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scriptions" sheetId="1" r:id="rId4"/>
    <sheet state="visible" name="Sheet2" sheetId="2" r:id="rId5"/>
    <sheet state="visible" name="Templates" sheetId="3" r:id="rId6"/>
    <sheet state="visible" name="Quartier prepositions" sheetId="4" r:id="rId7"/>
    <sheet state="visible" name="Country prepositions" sheetId="5" r:id="rId8"/>
    <sheet state="visible" name="Region prepositions" sheetId="6" r:id="rId9"/>
  </sheets>
  <definedNames>
    <definedName hidden="1" localSheetId="0" name="_xlnm._FilterDatabase">Descriptions!$A$1:$J$6170</definedName>
    <definedName hidden="1" localSheetId="2" name="_xlnm._FilterDatabase">Templates!$A$1:$G$21</definedName>
  </definedNames>
  <calcPr/>
</workbook>
</file>

<file path=xl/sharedStrings.xml><?xml version="1.0" encoding="utf-8"?>
<sst xmlns="http://schemas.openxmlformats.org/spreadsheetml/2006/main" count="63088" uniqueCount="16018">
  <si>
    <t>URL</t>
  </si>
  <si>
    <t>Current meta description</t>
  </si>
  <si>
    <t>New meta description</t>
  </si>
  <si>
    <t>bucket</t>
  </si>
  <si>
    <t>Location</t>
  </si>
  <si>
    <t>V/L</t>
  </si>
  <si>
    <t>M/A</t>
  </si>
  <si>
    <t>Location type</t>
  </si>
  <si>
    <t>Updated meta description</t>
  </si>
  <si>
    <t>Latest :) Updated meta description (static)</t>
  </si>
  <si>
    <t>https://www.immoscout24.ch/fr/appartement/acheter/lieu-dombresson</t>
  </si>
  <si>
    <t>Vendre appartement Dombresson: Trouvez le bien immobilier qui correspond idéalement à vos désirs sur ImmoScout24 - La plateforme de l'immobilier en Suisse.</t>
  </si>
  <si>
    <t>🏘  L’appartement de vos rêves se trouve sur ImmoScout24.ch ✅ Découvrez les dernières annonces de vente à Dombresson.</t>
  </si>
  <si>
    <t>https://www.immoscout24.ch/fr/appartement/acheter/lieu-tannay</t>
  </si>
  <si>
    <t>Vendre appartement Tannay: Trouvez le bien immobilier qui correspond idéalement à vos désirs sur ImmoScout24 - La plateforme de l'immobilier en Suisse.</t>
  </si>
  <si>
    <t>🏘  L’appartement de vos rêves se trouve sur ImmoScout24.ch ✅ Découvrez les dernières annonces de vente à Tannay.</t>
  </si>
  <si>
    <t>https://www.immoscout24.ch/fr/appartement/acheter/region-olten-thal-gaeu-gosgen</t>
  </si>
  <si>
    <t>Vendre appartement Olten - Thal - Gäu - Gösgen: Trouvez le bien immobilier qui correspond idéalement à vos désirs sur ImmoScout24 - La plateforme de l'immobilier en Suisse.</t>
  </si>
  <si>
    <t>🏘  L’appartement de vos rêves se trouve sur ImmoScout24.ch ✅ Découvrez les dernières annonces de vente dans la région d'Olten - Thal - Gäu - Gösgen.</t>
  </si>
  <si>
    <t>https://www.immoscout24.ch/fr/appartement/acheter/lieu-losone</t>
  </si>
  <si>
    <t>Vendre appartement Losone: Trouvez le bien immobilier qui correspond idéalement à vos désirs sur ImmoScout24 - La plateforme de l'immobilier en Suisse.</t>
  </si>
  <si>
    <t>🏘  L’appartement de vos rêves se trouve sur ImmoScout24.ch ✅ Découvrez les dernières annonces de vente à Losone.</t>
  </si>
  <si>
    <t>https://www.immoscout24.ch/fr/appartement/louer/lieu-hermenches</t>
  </si>
  <si>
    <t>Louer appartement Hermenches: Trouvez le bien immobilier qui correspond idéalement à vos désirs sur ImmoScout24 - La plateforme de l'immobilier en Suisse.</t>
  </si>
  <si>
    <t>🏘  Vous cherchez un appartement à louer à Hermenches? ✅ Les annonces les plus actuelles sont sur ImmoScout24.ch.</t>
  </si>
  <si>
    <t>https://www.immoscout24.ch/fr/appartement/louer/lieu-risch</t>
  </si>
  <si>
    <t>Louer appartement Risch: Trouvez le bien immobilier qui correspond idéalement à vos désirs sur ImmoScout24 - La plateforme de l'immobilier en Suisse.</t>
  </si>
  <si>
    <t>🏘  Vous cherchez un appartement à louer à Risch? ✅ Les annonces les plus actuelles sont sur ImmoScout24.ch.</t>
  </si>
  <si>
    <t>https://www.immoscout24.ch/fr/appartement/louer/lieu-alchenflueh</t>
  </si>
  <si>
    <t>Louer appartement Alchenflüh: Trouvez le bien immobilier qui correspond idéalement à vos désirs sur ImmoScout24 - La plateforme de l'immobilier en Suisse.</t>
  </si>
  <si>
    <t>🏘  Vous cherchez un appartement à louer à Alchenflüh? ✅ Les annonces les plus actuelles sont sur ImmoScout24.ch.</t>
  </si>
  <si>
    <t>https://www.immoscout24.ch/fr/appartement/louer/lieu-pailly</t>
  </si>
  <si>
    <t>Louer appartement Pailly: Trouvez le bien immobilier qui correspond idéalement à vos désirs sur ImmoScout24 - La plateforme de l'immobilier en Suisse.</t>
  </si>
  <si>
    <t>🏘  Vous cherchez un appartement à louer à Pailly? ✅ Les annonces les plus actuelles sont sur ImmoScout24.ch.</t>
  </si>
  <si>
    <t>https://www.immoscout24.ch/fr/maison/acheter/lieu-curio</t>
  </si>
  <si>
    <t>Vendre maison Curio: Trouvez le bien immobilier qui correspond idéalement à vos désirs sur ImmoScout24 - La plateforme de l'immobilier en Suisse.</t>
  </si>
  <si>
    <t>🏘  Vous souhaitez acheter une maison à Curio? ✅ Jetez un œil aux dernières offres sur ImmoScout24.ch.</t>
  </si>
  <si>
    <t>https://www.immoscout24.ch/fr/appartement/louer/lieu-wollerau</t>
  </si>
  <si>
    <t>Louer appartement Wollerau: Trouvez le bien immobilier qui correspond idéalement à vos désirs sur ImmoScout24 - La plateforme de l'immobilier en Suisse.</t>
  </si>
  <si>
    <t>🏘  Vous cherchez un appartement à louer à Wollerau? ✅ Les annonces les plus actuelles sont sur ImmoScout24.ch.</t>
  </si>
  <si>
    <t>https://www.immoscout24.ch/fr/appartement/louer/lieu-daettwil-ag</t>
  </si>
  <si>
    <t>Louer appartement Dättwil AG: Trouvez le bien immobilier qui correspond idéalement à vos désirs sur ImmoScout24 - La plateforme de l'immobilier en Suisse.</t>
  </si>
  <si>
    <t>🏘  Vous cherchez un appartement à louer à Dättwil AG? ✅ Les annonces les plus actuelles sont sur ImmoScout24.ch.</t>
  </si>
  <si>
    <t>https://www.immoscout24.ch/fr/appartement/louer/lieu-les-breuleux</t>
  </si>
  <si>
    <t>Louer appartement Les Breuleux: Trouvez le bien immobilier qui correspond idéalement à vos désirs sur ImmoScout24 - La plateforme de l'immobilier en Suisse.</t>
  </si>
  <si>
    <t>🏘  Vous cherchez un appartement à louer aux Breuleux? ✅ Les annonces les plus actuelles sont sur ImmoScout24.ch.</t>
  </si>
  <si>
    <t>https://www.immoscout24.ch/fr/maison/acheter/lieu-marly</t>
  </si>
  <si>
    <t>Vendre maison Marly: Trouvez le bien immobilier qui correspond idéalement à vos désirs sur ImmoScout24 - La plateforme de l'immobilier en Suisse.</t>
  </si>
  <si>
    <t>🏘  Vous souhaitez acheter une maison à Marly? ✅ Jetez un œil aux dernières offres sur ImmoScout24.ch.</t>
  </si>
  <si>
    <t>https://www.immoscout24.ch/fr/maison/louer/region-olten-thal-gaeu-gosgen</t>
  </si>
  <si>
    <t>Louer maison Olten - Thal - Gäu - Gösgen: Trouvez le bien immobilier qui correspond idéalement à vos désirs sur ImmoScout24 - La plateforme de l'immobilier en Suisse.</t>
  </si>
  <si>
    <t>🏘  Vous cherchez une maison à louer dans la région d'Olten - Thal - Gäu - Gösgen? ✅ Découvrez nos nombreuses annonces sur ImmoScout24.ch.</t>
  </si>
  <si>
    <t>https://www.immoscout24.ch/fr/appartement/acheter/lieu-ecuvillens</t>
  </si>
  <si>
    <t>Vendre appartement Ecuvillens: Trouvez le bien immobilier qui correspond idéalement à vos désirs sur ImmoScout24 - La plateforme de l'immobilier en Suisse.</t>
  </si>
  <si>
    <t>🏘  L’appartement de vos rêves se trouve sur ImmoScout24.ch ✅ Découvrez les dernières annonces de vente à Ecuvillens.</t>
  </si>
  <si>
    <t>https://www.immoscout24.ch/fr/maison/acheter/lieu-fontaines-sur-grandson</t>
  </si>
  <si>
    <t>Vendre maison Fontaines-sur-Grandson: Trouvez le bien immobilier qui correspond idéalement à vos désirs sur ImmoScout24 - La plateforme de l'immobilier en Suisse.</t>
  </si>
  <si>
    <t>🏘  Vous souhaitez acheter une maison à Fontaines-sur-Grandson? ✅ Jetez un œil aux dernières offres sur ImmoScout24.ch.</t>
  </si>
  <si>
    <t>https://www.immoscout24.ch/fr/appartement/acheter/lieu-tramelan</t>
  </si>
  <si>
    <t>Vendre appartement Tramelan: Trouvez le bien immobilier qui correspond idéalement à vos désirs sur ImmoScout24 - La plateforme de l'immobilier en Suisse.</t>
  </si>
  <si>
    <t>🏘  L’appartement de vos rêves se trouve sur ImmoScout24.ch ✅ Découvrez les dernières annonces de vente à Tramelan.</t>
  </si>
  <si>
    <t>https://www.immoscout24.ch/fr/maison/louer/quartier-jura-fribourg</t>
  </si>
  <si>
    <t>Louer maison Jura (Fribourg): Trouvez le bien immobilier qui correspond idéalement à vos désirs sur ImmoScout24 - La plateforme de l'immobilier en Suisse.</t>
  </si>
  <si>
    <t>🏘  Vous cherchez une maison à louer dans le quartier du Jura (Fribourg)? ✅ Découvrez nos nombreuses annonces sur ImmoScout24.ch.</t>
  </si>
  <si>
    <t>https://www.immoscout24.ch/fr/appartement/louer/lieu-boningen</t>
  </si>
  <si>
    <t>Louer appartement Boningen: Trouvez le bien immobilier qui correspond idéalement à vos désirs sur ImmoScout24 - La plateforme de l'immobilier en Suisse.</t>
  </si>
  <si>
    <t>🏘  Vous cherchez un appartement à louer à Boningen? ✅ Les annonces les plus actuelles sont sur ImmoScout24.ch.</t>
  </si>
  <si>
    <t>https://www.immoscout24.ch/fr/maison/acheter/lieu-carabietta</t>
  </si>
  <si>
    <t>Vendre maison Carabietta: Trouvez le bien immobilier qui correspond idéalement à vos désirs sur ImmoScout24 - La plateforme de l'immobilier en Suisse.</t>
  </si>
  <si>
    <t>🏘  Vous souhaitez acheter une maison à Carabietta? ✅ Jetez un œil aux dernières offres sur ImmoScout24.ch.</t>
  </si>
  <si>
    <t>https://www.immoscout24.ch/fr/appartement/acheter/lieu-finhaut</t>
  </si>
  <si>
    <t>Vendre appartement Finhaut: Trouvez le bien immobilier qui correspond idéalement à vos désirs sur ImmoScout24 - La plateforme de l'immobilier en Suisse.</t>
  </si>
  <si>
    <t>🏘  L’appartement de vos rêves se trouve sur ImmoScout24.ch ✅ Découvrez les dernières annonces de vente à Finhaut.</t>
  </si>
  <si>
    <t>https://www.immoscout24.ch/fr/maison/acheter/lieu-villeneuve-fr</t>
  </si>
  <si>
    <t>Vendre maison Villeneuve FR: Trouvez le bien immobilier qui correspond idéalement à vos désirs sur ImmoScout24 - La plateforme de l'immobilier en Suisse.</t>
  </si>
  <si>
    <t>🏘  Vous souhaitez acheter une maison à Villeneuve FR? ✅ Jetez un œil aux dernières offres sur ImmoScout24.ch.</t>
  </si>
  <si>
    <t>https://www.immoscout24.ch/fr/appartement/acheter/lieu-arolla</t>
  </si>
  <si>
    <t>Vendre appartement Arolla: Trouvez le bien immobilier qui correspond idéalement à vos désirs sur ImmoScout24 - La plateforme de l'immobilier en Suisse.</t>
  </si>
  <si>
    <t>🏘  L’appartement de vos rêves se trouve sur ImmoScout24.ch ✅ Découvrez les dernières annonces de vente à Arolla.</t>
  </si>
  <si>
    <t>https://www.immoscout24.ch/fr/maison/acheter/lieu-gumefens</t>
  </si>
  <si>
    <t>Vendre maison Gumefens: Trouvez le bien immobilier qui correspond idéalement à vos désirs sur ImmoScout24 - La plateforme de l'immobilier en Suisse.</t>
  </si>
  <si>
    <t>🏘  Vous souhaitez acheter une maison à Gumefens? ✅ Jetez un œil aux dernières offres sur ImmoScout24.ch.</t>
  </si>
  <si>
    <t>https://www.immoscout24.ch/fr/maison/acheter/lieu-engi</t>
  </si>
  <si>
    <t>Vendre maison Engi: Trouvez le bien immobilier qui correspond idéalement à vos désirs sur ImmoScout24 - La plateforme de l'immobilier en Suisse.</t>
  </si>
  <si>
    <t>🏘  Vous souhaitez acheter une maison à Engi? ✅ Jetez un œil aux dernières offres sur ImmoScout24.ch.</t>
  </si>
  <si>
    <t>https://www.immoscout24.ch/fr/appartement/acheter/lieu-jonen</t>
  </si>
  <si>
    <t>Vendre appartement Jonen: Trouvez le bien immobilier qui correspond idéalement à vos désirs sur ImmoScout24 - La plateforme de l'immobilier en Suisse.</t>
  </si>
  <si>
    <t>🏘  L’appartement de vos rêves se trouve sur ImmoScout24.ch ✅ Découvrez les dernières annonces de vente à Jonen.</t>
  </si>
  <si>
    <t>https://www.immoscout24.ch/fr/appartement/acheter/lieu-freienbach</t>
  </si>
  <si>
    <t>Vendre appartement Freienbach: Trouvez le bien immobilier qui correspond idéalement à vos désirs sur ImmoScout24 - La plateforme de l'immobilier en Suisse.</t>
  </si>
  <si>
    <t>🏘  L’appartement de vos rêves se trouve sur ImmoScout24.ch ✅ Découvrez les dernières annonces de vente à Freienbach.</t>
  </si>
  <si>
    <t>https://www.immoscout24.ch/fr/appartement/louer/lieu-koelliken</t>
  </si>
  <si>
    <t>Louer appartement Kölliken: Trouvez le bien immobilier qui correspond idéalement à vos désirs sur ImmoScout24 - La plateforme de l'immobilier en Suisse.</t>
  </si>
  <si>
    <t>🏘  Vous cherchez un appartement à louer à Kölliken? ✅ Les annonces les plus actuelles sont sur ImmoScout24.ch.</t>
  </si>
  <si>
    <t>https://www.immoscout24.ch/fr/appartement/louer/lieu-rheinau</t>
  </si>
  <si>
    <t>Louer appartement Rheinau: Trouvez le bien immobilier qui correspond idéalement à vos désirs sur ImmoScout24 - La plateforme de l'immobilier en Suisse.</t>
  </si>
  <si>
    <t>🏘  Vous cherchez un appartement à louer à Rheinau? ✅ Les annonces les plus actuelles sont sur ImmoScout24.ch.</t>
  </si>
  <si>
    <t>https://www.immoscout24.ch/fr/maison/acheter/lieu-eiken</t>
  </si>
  <si>
    <t>Vendre maison Eiken: Trouvez le bien immobilier qui correspond idéalement à vos désirs sur ImmoScout24 - La plateforme de l'immobilier en Suisse.</t>
  </si>
  <si>
    <t>🏘  Vous souhaitez acheter une maison à Eiken? ✅ Jetez un œil aux dernières offres sur ImmoScout24.ch.</t>
  </si>
  <si>
    <t>https://www.immoscout24.ch/fr/maison/louer/lieu-vandoeuvres</t>
  </si>
  <si>
    <t>Louer maison Vandoeuvres: Trouvez le bien immobilier qui correspond idéalement à vos désirs sur ImmoScout24 - La plateforme de l'immobilier en Suisse.</t>
  </si>
  <si>
    <t>🏘  Vous cherchez une maison à louer à Vandoeuvres? ✅ Découvrez nos nombreuses annonces sur ImmoScout24.ch.</t>
  </si>
  <si>
    <t>https://www.immoscout24.ch/fr/maison/acheter/lieu-russy</t>
  </si>
  <si>
    <t>Vendre maison Russy: Trouvez le bien immobilier qui correspond idéalement à vos désirs sur ImmoScout24 - La plateforme de l'immobilier en Suisse.</t>
  </si>
  <si>
    <t>🏘  Vous souhaitez acheter une maison à Russy? ✅ Jetez un œil aux dernières offres sur ImmoScout24.ch.</t>
  </si>
  <si>
    <t>https://www.immoscout24.ch/fr/maison/acheter/lieu-neuenkirch</t>
  </si>
  <si>
    <t>Vendre maison Neuenkirch: Trouvez le bien immobilier qui correspond idéalement à vos désirs sur ImmoScout24 - La plateforme de l'immobilier en Suisse.</t>
  </si>
  <si>
    <t>🏘  Vous souhaitez acheter une maison à Neuenkirch? ✅ Jetez un œil aux dernières offres sur ImmoScout24.ch.</t>
  </si>
  <si>
    <t>https://www.immoscout24.ch/fr/appartement/louer/lieu-dompierre-fr</t>
  </si>
  <si>
    <t>Louer appartement Dompierre FR: Trouvez le bien immobilier qui correspond idéalement à vos désirs sur ImmoScout24 - La plateforme de l'immobilier en Suisse.</t>
  </si>
  <si>
    <t>🏘  Vous cherchez un appartement à louer à Dompierre FR? ✅ Les annonces les plus actuelles sont sur ImmoScout24.ch.</t>
  </si>
  <si>
    <t>https://www.immoscout24.ch/fr/maison/acheter/lieu-amriswil</t>
  </si>
  <si>
    <t>Vendre maison Amriswil: Trouvez le bien immobilier qui correspond idéalement à vos désirs sur ImmoScout24 - La plateforme de l'immobilier en Suisse.</t>
  </si>
  <si>
    <t>🏘  Vous souhaitez acheter une maison à Amriswil? ✅ Jetez un œil aux dernières offres sur ImmoScout24.ch.</t>
  </si>
  <si>
    <t>https://www.immoscout24.ch/fr/appartement/louer/quartier-vorstaedte-bale</t>
  </si>
  <si>
    <t>Louer appartement Vorstädte (Bâle): Trouvez le bien immobilier qui correspond idéalement à vos désirs sur ImmoScout24 - La plateforme de l'immobilier en Suisse.</t>
  </si>
  <si>
    <t>🏘  Vous cherchez un appartement à louer dans le quartier de Vorstädte (Bâle)? ✅ Les annonces les plus actuelles sont sur ImmoScout24.ch.</t>
  </si>
  <si>
    <t>https://www.immoscout24.ch/fr/appartement/louer/lieu-moutier</t>
  </si>
  <si>
    <t>Louer appartement Moutier: Trouvez le bien immobilier qui correspond idéalement à vos désirs sur ImmoScout24 - La plateforme de l'immobilier en Suisse.</t>
  </si>
  <si>
    <t>🏘  Vous cherchez un appartement à louer à Moutier? ✅ Les annonces les plus actuelles sont sur ImmoScout24.ch.</t>
  </si>
  <si>
    <t>https://www.immoscout24.ch/fr/appartement/acheter/lieu-soerenberg</t>
  </si>
  <si>
    <t>Vendre appartement Sörenberg: Trouvez le bien immobilier qui correspond idéalement à vos désirs sur ImmoScout24 - La plateforme de l'immobilier en Suisse.</t>
  </si>
  <si>
    <t>🏘  L’appartement de vos rêves se trouve sur ImmoScout24.ch ✅ Découvrez les dernières annonces de vente à Sörenberg.</t>
  </si>
  <si>
    <t>https://www.immoscout24.ch/fr/maison/louer/lieu-promasens</t>
  </si>
  <si>
    <t>Louer maison Promasens: Trouvez le bien immobilier qui correspond idéalement à vos désirs sur ImmoScout24 - La plateforme de l'immobilier en Suisse.</t>
  </si>
  <si>
    <t>🏘  Vous cherchez une maison à louer à Promasens? ✅ Découvrez nos nombreuses annonces sur ImmoScout24.ch.</t>
  </si>
  <si>
    <t>https://www.immoscout24.ch/fr/maison/louer/lieu-dompierre-fr</t>
  </si>
  <si>
    <t>Louer maison Dompierre FR: Trouvez le bien immobilier qui correspond idéalement à vos désirs sur ImmoScout24 - La plateforme de l'immobilier en Suisse.</t>
  </si>
  <si>
    <t>🏘  Vous cherchez une maison à louer à Dompierre FR? ✅ Découvrez nos nombreuses annonces sur ImmoScout24.ch.</t>
  </si>
  <si>
    <t>https://www.immoscout24.ch/fr/maison/acheter/lieu-bex</t>
  </si>
  <si>
    <t>Vendre maison Bex: Trouvez le bien immobilier qui correspond idéalement à vos désirs sur ImmoScout24 - La plateforme de l'immobilier en Suisse.</t>
  </si>
  <si>
    <t>🏘  Vous souhaitez acheter une maison à Bex? ✅ Jetez un œil aux dernières offres sur ImmoScout24.ch.</t>
  </si>
  <si>
    <t>https://www.immoscout24.ch/fr/maison/acheter/lieu-kaisten</t>
  </si>
  <si>
    <t>Vendre maison Kaisten: Trouvez le bien immobilier qui correspond idéalement à vos désirs sur ImmoScout24 - La plateforme de l'immobilier en Suisse.</t>
  </si>
  <si>
    <t>🏘  Vous souhaitez acheter une maison à Kaisten? ✅ Jetez un œil aux dernières offres sur ImmoScout24.ch.</t>
  </si>
  <si>
    <t>https://www.immoscout24.ch/fr/appartement/acheter/lieu-les-charbonnieres</t>
  </si>
  <si>
    <t>Vendre appartement Les Charbonnières: Trouvez le bien immobilier qui correspond idéalement à vos désirs sur ImmoScout24 - La plateforme de l'immobilier en Suisse.</t>
  </si>
  <si>
    <t>🏘  L’appartement de vos rêves se trouve sur ImmoScout24.ch ✅ Découvrez les dernières annonces de vente aux Charbonnières.</t>
  </si>
  <si>
    <t>https://www.immoscout24.ch/fr/appartement/acheter/quartier-bethlehem-berne</t>
  </si>
  <si>
    <t>Vendre appartement Bethlehem (Berne):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</si>
  <si>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Bethlehem (Berne).</t>
  </si>
  <si>
    <t>https://www.immoscout24.ch/fr/maison/acheter/lieu-granges-paccot</t>
  </si>
  <si>
    <t>Vendre maison Granges-Paccot: Trouvez le bien immobilier qui correspond idéalement à vos désirs sur ImmoScout24 - La plateforme de l'immobilier en Suisse.</t>
  </si>
  <si>
    <t>🏘  Vous souhaitez acheter une maison à Granges-Paccot? ✅ Jetez un œil aux dernières offres sur ImmoScout24.ch.</t>
  </si>
  <si>
    <t>https://www.immoscout24.ch/fr/appartement/louer/lieu-dizy</t>
  </si>
  <si>
    <t>Louer appartement Dizy: Trouvez le bien immobilier qui correspond idéalement à vos désirs sur ImmoScout24 - La plateforme de l'immobilier en Suisse.</t>
  </si>
  <si>
    <t>🏘  Vous cherchez un appartement à louer à Dizy? ✅ Les annonces les plus actuelles sont sur ImmoScout24.ch.</t>
  </si>
  <si>
    <t>https://www.immoscout24.ch/fr/maison/acheter/lieu-bellinzona</t>
  </si>
  <si>
    <t>Vendre maison Bellinzona: Trouvez le bien immobilier qui correspond idéalement à vos désirs sur ImmoScout24 - La plateforme de l'immobilier en Suisse.</t>
  </si>
  <si>
    <t>🏘  Vous souhaitez acheter une maison à Bellinzona? ✅ Jetez un œil aux dernières offres sur ImmoScout24.ch.</t>
  </si>
  <si>
    <t>https://www.immoscout24.ch/fr/maison/louer/lieu-prez-vers-noreaz</t>
  </si>
  <si>
    <t>Louer maison Prez-vers-Noréaz: Trouvez le bien immobilier qui correspond idéalement à vos désirs sur ImmoScout24 - La plateforme de l'immobilier en Suisse.</t>
  </si>
  <si>
    <t>🏘  Vous cherchez une maison à louer à Prez-vers-Noréaz? ✅ Découvrez nos nombreuses annonces sur ImmoScout24.ch.</t>
  </si>
  <si>
    <t>https://www.immoscout24.ch/frby/pays-montenegro</t>
  </si>
  <si>
    <t>Vendre appartement Monténégro: Trouvez le bien immobilier qui correspond idéalement à vos désirs sur ImmoScout24 - La plateforme de l'immobilier en Suisse.</t>
  </si>
  <si>
    <t>🏘  Vous cherchez un appartement à louer au Monténégro? ✅ Les annonces les plus actuelles sont sur ImmoScout24.ch.</t>
  </si>
  <si>
    <t>https://www.immoscout24.ch/fr/appartement/louer/lieu-muriaux</t>
  </si>
  <si>
    <t>Louer appartement Muriaux: Trouvez le bien immobilier qui correspond idéalement à vos désirs sur ImmoScout24 - La plateforme de l'immobilier en Suisse.</t>
  </si>
  <si>
    <t>🏘  Vous cherchez un appartement à louer à Muriaux? ✅ Les annonces les plus actuelles sont sur ImmoScout24.ch.</t>
  </si>
  <si>
    <t>https://www.immoscout24.ch/fr/maison/louer/lieu-cormagens</t>
  </si>
  <si>
    <t>Louer maison Cormagens: Trouvez le bien immobilier qui correspond idéalement à vos désirs sur ImmoScout24 - La plateforme de l'immobilier en Suisse.</t>
  </si>
  <si>
    <t>🏘  Vous cherchez une maison à louer à Cormagens? ✅ Découvrez nos nombreuses annonces sur ImmoScout24.ch.</t>
  </si>
  <si>
    <t>https://www.immoscout24.ch/fr/appartement/acheter/lieu-sullens</t>
  </si>
  <si>
    <t>Vendre appartement Sullens: Trouvez le bien immobilier qui correspond idéalement à vos désirs sur ImmoScout24 - La plateforme de l'immobilier en Suisse.</t>
  </si>
  <si>
    <t>🏘  L’appartement de vos rêves se trouve sur ImmoScout24.ch ✅ Découvrez les dernières annonces de vente à Sullens.</t>
  </si>
  <si>
    <t>https://www.immoscout24.ch/fr/appartement/acheter/lieu-montet-glane</t>
  </si>
  <si>
    <t>Vendre appartement Montet (Glâne): Trouvez le bien immobilier qui correspond idéalement à vos désirs sur ImmoScout24 - La plateforme de l'immobilier en Suisse.</t>
  </si>
  <si>
    <t>🏘  L’appartement de vos rêves se trouve sur ImmoScout24.ch ✅ Découvrez les dernières annonces de vente à Montet (Glâne).</t>
  </si>
  <si>
    <t>https://www.immoscout24.ch/fr/maison/acheter/lieu-glis</t>
  </si>
  <si>
    <t>Vendre maison Glis: Trouvez le bien immobilier qui correspond idéalement à vos désirs sur ImmoScout24 - La plateforme de l'immobilier en Suisse.</t>
  </si>
  <si>
    <t>🏘  Vous souhaitez acheter une maison à Glis? ✅ Jetez un œil aux dernières offres sur ImmoScout24.ch.</t>
  </si>
  <si>
    <t>https://www.immoscout24.ch/fr/appartement/louer/lieu-eggiwil</t>
  </si>
  <si>
    <t>Louer appartement Eggiwil: Trouvez le bien immobilier qui correspond idéalement à vos désirs sur ImmoScout24 - La plateforme de l'immobilier en Suisse.</t>
  </si>
  <si>
    <t>🏘  Vous cherchez un appartement à louer à Eggiwil? ✅ Les annonces les plus actuelles sont sur ImmoScout24.ch.</t>
  </si>
  <si>
    <t>https://www.immoscout24.ch/fr/maison/louer/lieu-l-abbaye</t>
  </si>
  <si>
    <t>Louer maison L'Abbaye: Trouvez le bien immobilier qui correspond idéalement à vos désirs sur ImmoScout24 - La plateforme de l'immobilier en Suisse.</t>
  </si>
  <si>
    <t>🏘  Vous cherchez une maison à louer à L'Abbaye? ✅ Découvrez nos nombreuses annonces sur ImmoScout24.ch.</t>
  </si>
  <si>
    <t>https://www.immoscout24.ch/fr/appartement/louer/lieu-muehledorf-so</t>
  </si>
  <si>
    <t>Louer appartement Mühledorf SO: Trouvez le bien immobilier qui correspond idéalement à vos désirs sur ImmoScout24 - La plateforme de l'immobilier en Suisse.</t>
  </si>
  <si>
    <t>🏘  Vous cherchez un appartement à louer à Mühledorf SO? ✅ Les annonces les plus actuelles sont sur ImmoScout24.ch.</t>
  </si>
  <si>
    <t>https://www.immoscout24.ch/fr/maison/acheter/lieu-damphreux</t>
  </si>
  <si>
    <t>Vendre maison Damphreux: Trouvez le bien immobilier qui correspond idéalement à vos désirs sur ImmoScout24 - La plateforme de l'immobilier en Suisse.</t>
  </si>
  <si>
    <t>🏘  Vous souhaitez acheter une maison à Damphreux? ✅ Jetez un œil aux dernières offres sur ImmoScout24.ch.</t>
  </si>
  <si>
    <t>https://www.immoscout24.ch/fr/appartement/acheter/lieu-staldenried</t>
  </si>
  <si>
    <t>Vendre appartement Staldenried: Trouvez le bien immobilier qui correspond idéalement à vos désirs sur ImmoScout24 - La plateforme de l'immobilier en Suisse.</t>
  </si>
  <si>
    <t>🏘  L’appartement de vos rêves se trouve sur ImmoScout24.ch ✅ Découvrez les dernières annonces de vente à Staldenried.</t>
  </si>
  <si>
    <t>https://www.immoscout24.ch/fr/maison/acheter/lieu-buchillon</t>
  </si>
  <si>
    <t>Vendre maison Buchillon: Trouvez le bien immobilier qui correspond idéalement à vos désirs sur ImmoScout24 - La plateforme de l'immobilier en Suisse.</t>
  </si>
  <si>
    <t>🏘  Vous souhaitez acheter une maison à Buchillon? ✅ Jetez un œil aux dernières offres sur ImmoScout24.ch.</t>
  </si>
  <si>
    <t>https://www.immoscout24.ch/fr/appartement/louer/region-jura-vaudois</t>
  </si>
  <si>
    <t>Louer appartement Jura Vaudois: Trouvez le bien immobilier qui correspond idéalement à vos désirs sur ImmoScout24 - La plateforme de l'immobilier en Suisse.</t>
  </si>
  <si>
    <t>🏘  Vous cherchez un appartement à louer dans le Jura vaudois? ✅ Les annonces les plus actuelles sont sur ImmoScout24.ch.</t>
  </si>
  <si>
    <t>https://www.immoscout24.ch/fr/appartement/louer/lieu-lully-fr</t>
  </si>
  <si>
    <t>Louer appartement Lully FR: Trouvez le bien immobilier qui correspond idéalement à vos désirs sur ImmoScout24 - La plateforme de l'immobilier en Suisse.</t>
  </si>
  <si>
    <t>🏘  Vous cherchez un appartement à louer à Lully FR? ✅ Les annonces les plus actuelles sont sur ImmoScout24.ch.</t>
  </si>
  <si>
    <t>https://www.immoscout24.ch/fr/maison/acheter/lieu-klosters</t>
  </si>
  <si>
    <t>Vendre maison Klosters: Trouvez le bien immobilier qui correspond idéalement à vos désirs sur ImmoScout24 - La plateforme de l'immobilier en Suisse.</t>
  </si>
  <si>
    <t>🏘  Vous souhaitez acheter une maison à Klosters? ✅ Jetez un œil aux dernières offres sur ImmoScout24.ch.</t>
  </si>
  <si>
    <t>https://www.immoscout24.ch/fr/maison/acheter/quartier-auge-fribourg</t>
  </si>
  <si>
    <t>Vendre maison Auge (Fribourg): Trouvez le bien immobilier qui correspond idéalement à vos désirs sur ImmoScout24 - La plateforme de l'immobilier en Suisse.</t>
  </si>
  <si>
    <t>🏘  Vous souhaitez acheter une maison dans le quartier de l'Auge (Fribourg)? ✅ Jetez un œil aux dernières offres sur ImmoScout24.ch.</t>
  </si>
  <si>
    <t>https://www.immoscout24.ch/fr/appartement/louer/lieu-huttwil</t>
  </si>
  <si>
    <t>Louer appartement Huttwil: Trouvez le bien immobilier qui correspond idéalement à vos désirs sur ImmoScout24 - La plateforme de l'immobilier en Suisse.</t>
  </si>
  <si>
    <t>🏘  Vous cherchez un appartement à louer à Huttwil? ✅ Les annonces les plus actuelles sont sur ImmoScout24.ch.</t>
  </si>
  <si>
    <t>https://www.immoscout24.ch/fr/appartement/louer/quartier-st-jakob-st-gall</t>
  </si>
  <si>
    <t>Louer appartement St. Jakob (St-Gall): Trouvez le bien immobilier qui correspond idéalement à vos désirs sur ImmoScout24 - La plateforme de l'immobilier en Suisse.</t>
  </si>
  <si>
    <t>🏘  Vous cherchez un appartement à louer dans le quartier de St. Jakob (St-Gall)? ✅ Les annonces les plus actuelles sont sur ImmoScout24.ch.</t>
  </si>
  <si>
    <t>https://www.immoscout24.ch/fr/appartement/acheter/lieu-lyss</t>
  </si>
  <si>
    <t>Vendre appartement Lyss: Trouvez le bien immobilier qui correspond idéalement à vos désirs sur ImmoScout24 - La plateforme de l'immobilier en Suisse.</t>
  </si>
  <si>
    <t>🏘  L’appartement de vos rêves se trouve sur ImmoScout24.ch ✅ Découvrez les dernières annonces de vente à Lyss.</t>
  </si>
  <si>
    <t>https://www.immoscout24.ch/fr/appartement/louer/region-bas-valais</t>
  </si>
  <si>
    <t>Louer appartement Bas Valais: Trouvez le bien immobilier qui correspond idéalement à vos désirs sur ImmoScout24 - La plateforme de l'immobilier en Suisse.</t>
  </si>
  <si>
    <t>🏘  Vous cherchez un appartement à louer dans le Bas-Valais? ✅ Les annonces les plus actuelles sont sur ImmoScout24.ch.</t>
  </si>
  <si>
    <t>https://www.immoscout24.ch/fr/appartement/louer/lieu-nidau</t>
  </si>
  <si>
    <t>Louer appartement Nidau: Trouvez le bien immobilier qui correspond idéalement à vos désirs sur ImmoScout24 - La plateforme de l'immobilier en Suisse.</t>
  </si>
  <si>
    <t>🏘  Vous cherchez un appartement à louer à Nidau? ✅ Les annonces les plus actuelles sont sur ImmoScout24.ch.</t>
  </si>
  <si>
    <t>https://www.immoscout24.ch/fr/appartement/louer/lieu-puidoux</t>
  </si>
  <si>
    <t>Louer appartement Puidoux: Trouvez le bien immobilier qui correspond idéalement à vos désirs sur ImmoScout24 - La plateforme de l'immobilier en Suisse.</t>
  </si>
  <si>
    <t>🏘  Vous cherchez un appartement à louer à Puidoux? ✅ Les annonces les plus actuelles sont sur ImmoScout24.ch.</t>
  </si>
  <si>
    <t>https://www.immoscout24.ch/fr/appartement/acheter/lieu-disentis-muster</t>
  </si>
  <si>
    <t>Vendre appartement Disentis/Mustér: Trouvez le bien immobilier qui correspond idéalement à vos désirs sur ImmoScout24 - La plateforme de l'immobilier en Suisse.</t>
  </si>
  <si>
    <t>🏘  L’appartement de vos rêves se trouve sur ImmoScout24.ch ✅ Découvrez les dernières annonces de vente à Disentis/Mustér.</t>
  </si>
  <si>
    <t>https://www.immoscout24.ch/fr/appartement/louer/lieu-thierachern</t>
  </si>
  <si>
    <t>Louer appartement Thierachern: Trouvez le bien immobilier qui correspond idéalement à vos désirs sur ImmoScout24 - La plateforme de l'immobilier en Suisse.</t>
  </si>
  <si>
    <t>🏘  Vous cherchez un appartement à louer à Thierachern? ✅ Les annonces les plus actuelles sont sur ImmoScout24.ch.</t>
  </si>
  <si>
    <t>https://www.immoscout24.ch/fr/maison/acheter/region-toggenburg</t>
  </si>
  <si>
    <t>Vendre maison Toggenburg: Trouvez le bien immobilier qui correspond idéalement à vos désirs sur ImmoScout24 - La plateforme de l'immobilier en Suisse.</t>
  </si>
  <si>
    <t>🏘  Vous souhaitez acheter une maison dans la région du Toggenburg? ✅ Jetez un œil aux dernières offres sur ImmoScout24.ch.</t>
  </si>
  <si>
    <t>https://www.immoscout24.ch/fr/maison/louer/canton-geneve</t>
  </si>
  <si>
    <t>Louer maison Canton de Genève: Trouvez le bien immobilier qui correspond idéalement à vos désirs sur ImmoScout24 - La plateforme de l'immobilier en Suisse.</t>
  </si>
  <si>
    <t>🏘  Vous cherchez une maison à louer dans le Canton de Genève? ✅ Découvrez nos nombreuses annonces sur ImmoScout24.ch.</t>
  </si>
  <si>
    <t>https://www.immoscout24.ch/fr/maison/louer/lieu-bramois</t>
  </si>
  <si>
    <t>Louer maison Bramois: Trouvez le bien immobilier qui correspond idéalement à vos désirs sur ImmoScout24 - La plateforme de l'immobilier en Suisse.</t>
  </si>
  <si>
    <t>🏘  Vous cherchez une maison à louer à Bramois? ✅ Découvrez nos nombreuses annonces sur ImmoScout24.ch.</t>
  </si>
  <si>
    <t>https://www.immoscout24.ch/fr/appartement/acheter/pays-espagne</t>
  </si>
  <si>
    <t>Vendre appartement Espagne: Trouvez le bien immobilier qui correspond idéalement à vos désirs sur ImmoScout24 - La plateforme de l'immobilier en Suisse.</t>
  </si>
  <si>
    <t>🏘  Vous cherchez un appartement à louer en Espagne? ✅ Les annonces les plus actuelles sont sur ImmoScout24.ch.</t>
  </si>
  <si>
    <t>https://www.immoscout24.ch/fr/appartement/acheter/lieu-grandcour</t>
  </si>
  <si>
    <t>Vendre appartement Grandcour: Trouvez le bien immobilier qui correspond idéalement à vos désirs sur ImmoScout24 - La plateforme de l'immobilier en Suisse.</t>
  </si>
  <si>
    <t>🏘  L’appartement de vos rêves se trouve sur ImmoScout24.ch ✅ Découvrez les dernières annonces de vente à Grandcour.</t>
  </si>
  <si>
    <t>https://www.immoscout24.ch/fr/maison/acheter/lieu-eich</t>
  </si>
  <si>
    <t>Vendre maison Eich: Trouvez le bien immobilier qui correspond idéalement à vos désirs sur ImmoScout24 - La plateforme de l'immobilier en Suisse.</t>
  </si>
  <si>
    <t>🏘  Vous souhaitez acheter une maison à Eich? ✅ Jetez un œil aux dernières offres sur ImmoScout24.ch.</t>
  </si>
  <si>
    <t>https://www.immoscout24.ch/fr/appartement/acheter/lieu-lengnau-be</t>
  </si>
  <si>
    <t>Vendre appartement Lengnau BE: Trouvez le bien immobilier qui correspond idéalement à vos désirs sur ImmoScout24 - La plateforme de l'immobilier en Suisse.</t>
  </si>
  <si>
    <t>🏘  L’appartement de vos rêves se trouve sur ImmoScout24.ch ✅ Découvrez les dernières annonces de vente aungnau BE.</t>
  </si>
  <si>
    <t>https://www.immoscout24.ch/fr/appartement/louer/lieu-rances</t>
  </si>
  <si>
    <t>Louer appartement Rances: Trouvez le bien immobilier qui correspond idéalement à vos désirs sur ImmoScout24 - La plateforme de l'immobilier en Suisse.</t>
  </si>
  <si>
    <t>🏘  Vous cherchez un appartement à louer à Rances? ✅ Les annonces les plus actuelles sont sur ImmoScout24.ch.</t>
  </si>
  <si>
    <t>https://www.immoscout24.ch/fr/appartement/louer/lieu-rose</t>
  </si>
  <si>
    <t>Louer appartement Rosé: Trouvez le bien immobilier qui correspond idéalement à vos désirs sur ImmoScout24 - La plateforme de l'immobilier en Suisse.</t>
  </si>
  <si>
    <t>🏘  Vous cherchez un appartement à louer à Rosé? ✅ Les annonces les plus actuelles sont sur ImmoScout24.ch.</t>
  </si>
  <si>
    <t>https://www.immoscout24.ch/fr/maison/louer/lieu-ferpicloz</t>
  </si>
  <si>
    <t>Louer maison Ferpicloz: Trouvez le bien immobilier qui correspond idéalement à vos désirs sur ImmoScout24 - La plateforme de l'immobilier en Suisse.</t>
  </si>
  <si>
    <t>🏘  Vous cherchez une maison à louer à Ferpicloz? ✅ Découvrez nos nombreuses annonces sur ImmoScout24.ch.</t>
  </si>
  <si>
    <t>https://www.immoscout24.ch/fr/appartement/acheter/lieu-sierre</t>
  </si>
  <si>
    <t>Vendre appartement Sierre: Trouvez le bien immobilier qui correspond idéalement à vos désirs sur ImmoScout24 - La plateforme de l'immobilier en Suisse.</t>
  </si>
  <si>
    <t>🏘  L’appartement de vos rêves se trouve sur ImmoScout24.ch ✅ Découvrez les dernières annonces de vente à Sierre.</t>
  </si>
  <si>
    <t>https://www.immoscout24.ch/fr/maison/louer/lieu-aarburg</t>
  </si>
  <si>
    <t>Louer maison Aarburg: Trouvez le bien immobilier qui correspond idéalement à vos désirs sur ImmoScout24 - La plateforme de l'immobilier en Suisse.</t>
  </si>
  <si>
    <t>🏘  Vous cherchez une maison à louer à Aarburg? ✅ Découvrez nos nombreuses annonces sur ImmoScout24.ch.</t>
  </si>
  <si>
    <t>https://www.immoscout24.ch/fr/appartement/louer/lieu-courtedoux</t>
  </si>
  <si>
    <t>Louer appartement Courtedoux: Trouvez le bien immobilier qui correspond idéalement à vos désirs sur ImmoScout24 - La plateforme de l'immobilier en Suisse.</t>
  </si>
  <si>
    <t>🏘  Vous cherchez un appartement à louer à Courtedoux? ✅ Les annonces les plus actuelles sont sur ImmoScout24.ch.</t>
  </si>
  <si>
    <t>https://www.immoscout24.ch/fr/maison/acheter/lieu-vaulion</t>
  </si>
  <si>
    <t>Vendre maison Vaulion: Trouvez le bien immobilier qui correspond idéalement à vos désirs sur ImmoScout24 - La plateforme de l'immobilier en Suisse.</t>
  </si>
  <si>
    <t>🏘  Vous souhaitez acheter une maison à Vaulion? ✅ Jetez un œil aux dernières offres sur ImmoScout24.ch.</t>
  </si>
  <si>
    <t>https://www.immoscout24.ch/fr/appartement/louer/region-guerbetal-voralpen</t>
  </si>
  <si>
    <t>Louer appartement Gürbetal - Voralpen: Trouvez le bien immobilier qui correspond idéalement à vos désirs sur ImmoScout24 - La plateforme de l'immobilier en Suisse.</t>
  </si>
  <si>
    <t>🏘  Vous cherchez un appartement à louer à Gürbetal - Voralpen? ✅ Les annonces les plus actuelles sont sur ImmoScout24.ch.</t>
  </si>
  <si>
    <t>https://www.immoscout24.ch/fr/appartement/louer/lieu-zollikon</t>
  </si>
  <si>
    <t>Louer appartement Zollikon: Trouvez le bien immobilier qui correspond idéalement à vos désirs sur ImmoScout24 - La plateforme de l'immobilier en Suisse.</t>
  </si>
  <si>
    <t>🏘  Vous cherchez un appartement à louer à Zollikon? ✅ Les annonces les plus actuelles sont sur ImmoScout24.ch.</t>
  </si>
  <si>
    <t>https://www.immoscout24.ch/fr/maison/acheter/lieu-chiasso</t>
  </si>
  <si>
    <t>Vendre maison Chiasso: Trouvez le bien immobilier qui correspond idéalement à vos désirs sur ImmoScout24 - La plateforme de l'immobilier en Suisse.</t>
  </si>
  <si>
    <t>🏘  Vous souhaitez acheter une maison à Chiasso? ✅ Jetez un œil aux dernières offres sur ImmoScout24.ch.</t>
  </si>
  <si>
    <t>https://www.immoscout24.ch/fr/appartement/louer/lieu-riddes</t>
  </si>
  <si>
    <t>Louer appartement Riddes: Trouvez le bien immobilier qui correspond idéalement à vos désirs sur ImmoScout24 - La plateforme de l'immobilier en Suisse.</t>
  </si>
  <si>
    <t>🏘  Vous cherchez un appartement à louer à Riddes? ✅ Les annonces les plus actuelles sont sur ImmoScout24.ch.</t>
  </si>
  <si>
    <t>https://www.immoscout24.ch/fr/maison/louer/lieu-bossonnens</t>
  </si>
  <si>
    <t>Louer maison Bossonnens: Trouvez le bien immobilier qui correspond idéalement à vos désirs sur ImmoScout24 - La plateforme de l'immobilier en Suisse.</t>
  </si>
  <si>
    <t>🏘  Vous cherchez une maison à louer à Bossonnens? ✅ Découvrez nos nombreuses annonces sur ImmoScout24.ch.</t>
  </si>
  <si>
    <t>https://www.immoscout24.ch/fr/appartement/louer/quartier-gandria-lugano</t>
  </si>
  <si>
    <t>Louer appartement Gandria (Lugano): Trouvez le bien immobilier qui correspond idéalement à vos désirs sur ImmoScout24 - La plateforme de l'immobilier en Suisse.</t>
  </si>
  <si>
    <t>🏘  Vous cherchez un appartement à louer dans le quartier de Gandria (Lugano)? ✅ Les annonces les plus actuelles sont sur ImmoScout24.ch.</t>
  </si>
  <si>
    <t>https://www.immoscout24.ch/fr/appartement/louer/lieu-onnens-fr</t>
  </si>
  <si>
    <t>Louer appartement Onnens FR: Trouvez le bien immobilier qui correspond idéalement à vos désirs sur ImmoScout24 - La plateforme de l'immobilier en Suisse.</t>
  </si>
  <si>
    <t>🏘  Vous cherchez un appartement à louer à Onnens FR? ✅ Les annonces les plus actuelles sont sur ImmoScout24.ch.</t>
  </si>
  <si>
    <t>https://www.immoscout24.ch/fr/appartement/louer/lieu-souboz</t>
  </si>
  <si>
    <t>Louer appartement Souboz: Trouvez le bien immobilier qui correspond idéalement à vos désirs sur ImmoScout24 - La plateforme de l'immobilier en Suisse.</t>
  </si>
  <si>
    <t>🏘  Vous cherchez un appartement à louer à Souboz? ✅ Les annonces les plus actuelles sont sur ImmoScout24.ch.</t>
  </si>
  <si>
    <t>https://www.immoscout24.ch/fr/appartement/louer/lieu-sembrancher</t>
  </si>
  <si>
    <t>Louer appartement Sembrancher: Trouvez le bien immobilier qui correspond idéalement à vos désirs sur ImmoScout24 - La plateforme de l'immobilier en Suisse.</t>
  </si>
  <si>
    <t>🏘  Vous cherchez un appartement à louer à Sembrancher? ✅ Les annonces les plus actuelles sont sur ImmoScout24.ch.</t>
  </si>
  <si>
    <t>https://www.immoscout24.ch/fr/appartement/louer/lieu-taverne</t>
  </si>
  <si>
    <t>Louer appartement Taverne: Trouvez le bien immobilier qui correspond idéalement à vos désirs sur ImmoScout24 - La plateforme de l'immobilier en Suisse.</t>
  </si>
  <si>
    <t>🏘  Vous cherchez un appartement à louer à Taverne? ✅ Les annonces les plus actuelles sont sur ImmoScout24.ch.</t>
  </si>
  <si>
    <t>https://www.immoscout24.ch/fr/maison/louer/lieu-villmergen</t>
  </si>
  <si>
    <t>Louer maison Villmergen: Trouvez le bien immobilier qui correspond idéalement à vos désirs sur ImmoScout24 - La plateforme de l'immobilier en Suisse.</t>
  </si>
  <si>
    <t>🏘  Vous cherchez une maison à louer à Villmergen? ✅ Découvrez nos nombreuses annonces sur ImmoScout24.ch.</t>
  </si>
  <si>
    <t>https://www.immoscout24.ch/fr/maison/louer/lieu-seuzach</t>
  </si>
  <si>
    <t>Louer maison Seuzach: Trouvez le bien immobilier qui correspond idéalement à vos désirs sur ImmoScout24 - La plateforme de l'immobilier en Suisse.</t>
  </si>
  <si>
    <t>🏘  Vous cherchez une maison à louer à Seuzach? ✅ Découvrez nos nombreuses annonces sur ImmoScout24.ch.</t>
  </si>
  <si>
    <t>https://www.immoscout24.ch/fr/appartement/louer/lieu-la-sarraz</t>
  </si>
  <si>
    <t>Louer appartement La Sarraz: Trouvez le bien immobilier qui correspond idéalement à vos désirs sur ImmoScout24 - La plateforme de l'immobilier en Suisse.</t>
  </si>
  <si>
    <t>🏘  Vous cherchez un appartement à louer à La Sarraz? ✅ Les annonces les plus actuelles sont sur ImmoScout24.ch.</t>
  </si>
  <si>
    <t>https://www.immoscout24.ch/fr/maison/louer/lieu-les-valettes-bovernier</t>
  </si>
  <si>
    <t>Louer maison Les Valettes (Bovernier): Trouvez le bien immobilier qui correspond idéalement à vos désirs sur ImmoScout24 - La plateforme de l'immobilier en Suisse.</t>
  </si>
  <si>
    <t>🏘  Vous cherchez une maison à louer aux Valettes (Bovernier)? ✅ Découvrez nos nombreuses annonces sur ImmoScout24.ch.</t>
  </si>
  <si>
    <t>https://www.immoscout24.ch/fr/appartement/louer/lieu-martigny</t>
  </si>
  <si>
    <t>Louer appartement Martigny: Trouvez le bien immobilier qui correspond idéalement à vos désirs sur ImmoScout24 - La plateforme de l'immobilier en Suisse.</t>
  </si>
  <si>
    <t>🏘  Vous cherchez un appartement à louer à Martigny? ✅ Les annonces les plus actuelles sont sur ImmoScout24.ch.</t>
  </si>
  <si>
    <t>https://www.immoscout24.ch/fr/maison/acheter/lieu-la-russille</t>
  </si>
  <si>
    <t>Vendre maison La Russille: Trouvez le bien immobilier qui correspond idéalement à vos désirs sur ImmoScout24 - La plateforme de l'immobilier en Suisse.</t>
  </si>
  <si>
    <t>🏘  Vous souhaitez acheter une maison à La Russille? ✅ Jetez un œil aux dernières offres sur ImmoScout24.ch.</t>
  </si>
  <si>
    <t>https://www.immoscout24.ch/fr/appartement/acheter/lieu-bremgarten-ag</t>
  </si>
  <si>
    <t>Vendre appartement Bremgarten AG: Trouvez le bien immobilier qui correspond idéalement à vos désirs sur ImmoScout24 - La plateforme de l'immobilier en Suisse.</t>
  </si>
  <si>
    <t>🏘  L’appartement de vos rêves se trouve sur ImmoScout24.ch ✅ Découvrez les dernières annonces de vente à Bremgarten AG.</t>
  </si>
  <si>
    <t>https://www.immoscout24.ch/fr/maison/acheter/lieu-chene-bougeries</t>
  </si>
  <si>
    <t>Vendre maison Chêne-Bougeries: Trouvez le bien immobilier qui correspond idéalement à vos désirs sur ImmoScout24 - La plateforme de l'immobilier en Suisse.</t>
  </si>
  <si>
    <t>🏘  Vous souhaitez acheter une maison à Chêne-Bougeries? ✅ Jetez un œil aux dernières offres sur ImmoScout24.ch.</t>
  </si>
  <si>
    <t>https://www.immoscout24.ch/fr/appartement/acheter/lieu-belp</t>
  </si>
  <si>
    <t>Vendre appartement Belp: Trouvez le bien immobilier qui correspond idéalement à vos désirs sur ImmoScout24 - La plateforme de l'immobilier en Suisse.</t>
  </si>
  <si>
    <t>🏘  L’appartement de vos rêves se trouve sur ImmoScout24.ch ✅ Découvrez les dernières annonces de vente à Belp.</t>
  </si>
  <si>
    <t>https://www.immoscout24.ch/fr/appartement/acheter/lieu-bevilard</t>
  </si>
  <si>
    <t>Vendre appartement Bévilard: Trouvez le bien immobilier qui correspond idéalement à vos désirs sur ImmoScout24 - La plateforme de l'immobilier en Suisse.</t>
  </si>
  <si>
    <t>🏘  L’appartement de vos rêves se trouve sur ImmoScout24.ch ✅ Découvrez les dernières annonces de vente à Bévilard.</t>
  </si>
  <si>
    <t>https://www.immoscout24.ch/fr/appartement/louer/quartier-secteur-forain-nord-la-chaux-de-fonds</t>
  </si>
  <si>
    <t>Louer appartement Secteur forain nord (La Chaux-de-Fonds): Trouvez le bien immobilier qui correspond idéalement à vos désirs sur ImmoScout24 - La plateforme de l'immobilier en Suisse.</t>
  </si>
  <si>
    <t>🏘  Vous cherchez un appartement à louer dans le Secteur forain nord (La Chaux-de-Fonds)? ✅ Les annonces les plus actuelles sont sur ImmoScout24.ch.</t>
  </si>
  <si>
    <t>https://www.immoscout24.ch/fr/appartement/louer/lieu-penthalaz</t>
  </si>
  <si>
    <t>Louer appartement Penthalaz: Trouvez le bien immobilier qui correspond idéalement à vos désirs sur ImmoScout24 - La plateforme de l'immobilier en Suisse.</t>
  </si>
  <si>
    <t>🏘  Vous cherchez un appartement à louer à Penthalaz? ✅ Les annonces les plus actuelles sont sur ImmoScout24.ch.</t>
  </si>
  <si>
    <t>https://www.immoscout24.ch/fr/maison/louer/lieu-bursinel</t>
  </si>
  <si>
    <t>Louer maison Bursinel: Trouvez le bien immobilier qui correspond idéalement à vos désirs sur ImmoScout24 - La plateforme de l'immobilier en Suisse.</t>
  </si>
  <si>
    <t>🏘  Vous cherchez une maison à louer à Bursinel? ✅ Découvrez nos nombreuses annonces sur ImmoScout24.ch.</t>
  </si>
  <si>
    <t>https://www.immoscout24.ch/fr/appartement/acheter/lieu-zollikofen</t>
  </si>
  <si>
    <t>Vendre appartement Zollikofen: Trouvez le bien immobilier qui correspond idéalement à vos désirs sur ImmoScout24 - La plateforme de l'immobilier en Suisse.</t>
  </si>
  <si>
    <t>🏘  L’appartement de vos rêves se trouve sur ImmoScout24.ch ✅ Découvrez les dernières annonces de vente à Zollikofen.</t>
  </si>
  <si>
    <t>https://www.immoscout24.ch/fr/appartement/acheter/canton-appenzell-ri</t>
  </si>
  <si>
    <t>Vendre appartement Canton d'Appenzell RI: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</si>
  <si>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d'Appenzell RI.</t>
  </si>
  <si>
    <t>https://www.immoscout24.ch/fr/maison/acheter/lieu-lauperswil</t>
  </si>
  <si>
    <t>Vendre maison Lauperswil: Trouvez le bien immobilier qui correspond idéalement à vos désirs sur ImmoScout24 - La plateforme de l'immobilier en Suisse.</t>
  </si>
  <si>
    <t>🏘  Vous souhaitez acheter une maison à Lauperswil? ✅ Jetez un œil aux dernières offres sur ImmoScout24.ch.</t>
  </si>
  <si>
    <t>https://www.immoscout24.ch/fr/maison/louer/quartier-serrieres-neuchatel</t>
  </si>
  <si>
    <t>Louer maison Serrières (Neuchâtel): Trouvez le bien immobilier qui correspond idéalement à vos désirs sur ImmoScout24 - La plateforme de l'immobilier en Suisse.</t>
  </si>
  <si>
    <t>🏘  Vous cherchez une maison à louer dans le quartier de Serrières (Neuchâtel)? ✅ Découvrez nos nombreuses annonces sur ImmoScout24.ch.</t>
  </si>
  <si>
    <t>https://www.immoscout24.ch/fr/maison/acheter/lieu-flawil</t>
  </si>
  <si>
    <t>Vendre maison Flawil: Trouvez le bien immobilier qui correspond idéalement à vos désirs sur ImmoScout24 - La plateforme de l'immobilier en Suisse.</t>
  </si>
  <si>
    <t>🏘  Vous souhaitez acheter une maison à Flawil? ✅ Jetez un œil aux dernières offres sur ImmoScout24.ch.</t>
  </si>
  <si>
    <t>https://www.immoscout24.ch/fr/maison/acheter/lieu-bourg-st-pierre</t>
  </si>
  <si>
    <t>Vendre maison Bourg-St-Pierre: Trouvez le bien immobilier qui correspond idéalement à vos désirs sur ImmoScout24 - La plateforme de l'immobilier en Suisse.</t>
  </si>
  <si>
    <t>🏘  Vous souhaitez acheter une maison à Bourg-St-Pierre? ✅ Jetez un œil aux dernières offres sur ImmoScout24.ch.</t>
  </si>
  <si>
    <t>https://www.immoscout24.ch/fr/appartement/acheter/lieu-wabern</t>
  </si>
  <si>
    <t>Vendre appartement Wabern: Trouvez le bien immobilier qui correspond idéalement à vos désirs sur ImmoScout24 - La plateforme de l'immobilier en Suisse.</t>
  </si>
  <si>
    <t>🏘  L’appartement de vos rêves se trouve sur ImmoScout24.ch ✅ Découvrez les dernières annonces de vente à Wabern.</t>
  </si>
  <si>
    <t>https://www.immoscout24.ch/fr/appartement/louer/lieu-leukerbad</t>
  </si>
  <si>
    <t>Louer appartement Leukerbad: Trouvez le bien immobilier qui correspond idéalement à vos désirs sur ImmoScout24 - La plateforme de l'immobilier en Suisse.</t>
  </si>
  <si>
    <t>🏘  Vous cherchez un appartement à louer auukerbad? ✅ Les annonces les plus actuelles sont sur ImmoScout24.ch.</t>
  </si>
  <si>
    <t>https://www.immoscout24.ch/fr/appartement/louer/lieu-cresuz</t>
  </si>
  <si>
    <t>Louer appartement Crésuz: Trouvez le bien immobilier qui correspond idéalement à vos désirs sur ImmoScout24 - La plateforme de l'immobilier en Suisse.</t>
  </si>
  <si>
    <t>🏘  Vous cherchez un appartement à louer à Crésuz? ✅ Les annonces les plus actuelles sont sur ImmoScout24.ch.</t>
  </si>
  <si>
    <t>https://www.immoscout24.ch/fr/appartement/louer/lieu-jegenstorf</t>
  </si>
  <si>
    <t>Louer appartement Jegenstorf: Trouvez le bien immobilier qui correspond idéalement à vos désirs sur ImmoScout24 - La plateforme de l'immobilier en Suisse.</t>
  </si>
  <si>
    <t>🏘  Vous cherchez un appartement à louer à Jegenstorf? ✅ Les annonces les plus actuelles sont sur ImmoScout24.ch.</t>
  </si>
  <si>
    <t>https://www.immoscout24.ch/fr/maison/louer/lieu-st-legier-la-chiesaz</t>
  </si>
  <si>
    <t>Louer maison St-Légier-La Chiésaz: Trouvez le bien immobilier qui correspond idéalement à vos désirs sur ImmoScout24 - La plateforme de l'immobilier en Suisse.</t>
  </si>
  <si>
    <t>🏘  Vous cherchez une maison à louer à St-Légier-La Chiésaz? ✅ Découvrez nos nombreuses annonces sur ImmoScout24.ch.</t>
  </si>
  <si>
    <t>https://www.immoscout24.ch/fr/appartement/louer/lieu-vordemwald</t>
  </si>
  <si>
    <t>Louer appartement Vordemwald: Trouvez le bien immobilier qui correspond idéalement à vos désirs sur ImmoScout24 - La plateforme de l'immobilier en Suisse.</t>
  </si>
  <si>
    <t>🏘  Vous cherchez un appartement à louer à Vordemwald? ✅ Les annonces les plus actuelles sont sur ImmoScout24.ch.</t>
  </si>
  <si>
    <t>https://www.immoscout24.ch/fr/maison/acheter/lieu-courtedoux</t>
  </si>
  <si>
    <t>Vendre maison Courtedoux: Trouvez le bien immobilier qui correspond idéalement à vos désirs sur ImmoScout24 - La plateforme de l'immobilier en Suisse.</t>
  </si>
  <si>
    <t>🏘  Vous souhaitez acheter une maison à Courtedoux? ✅ Jetez un œil aux dernières offres sur ImmoScout24.ch.</t>
  </si>
  <si>
    <t>https://www.immoscout24.ch/fr/maison/louer/lieu-allschwil</t>
  </si>
  <si>
    <t>Louer maison Allschwil: Trouvez le bien immobilier qui correspond idéalement à vos désirs sur ImmoScout24 - La plateforme de l'immobilier en Suisse.</t>
  </si>
  <si>
    <t>🏘  Vous cherchez une maison à louer à Allschwil? ✅ Découvrez nos nombreuses annonces sur ImmoScout24.ch.</t>
  </si>
  <si>
    <t>https://www.immoscout24.ch/fr/maison/acheter/lieu-selzach</t>
  </si>
  <si>
    <t>Vendre maison Selzach: Trouvez le bien immobilier qui correspond idéalement à vos désirs sur ImmoScout24 - La plateforme de l'immobilier en Suisse.</t>
  </si>
  <si>
    <t>🏘  Vous souhaitez acheter une maison à Selzach? ✅ Jetez un œil aux dernières offres sur ImmoScout24.ch.</t>
  </si>
  <si>
    <t>https://www.immoscout24.ch/fr/appartement/louer/lieu-st-ursanne</t>
  </si>
  <si>
    <t>Louer appartement St-Ursanne: Trouvez le bien immobilier qui correspond idéalement à vos désirs sur ImmoScout24 - La plateforme de l'immobilier en Suisse.</t>
  </si>
  <si>
    <t>🏘  Vous cherchez un appartement à louer à St-Ursanne? ✅ Les annonces les plus actuelles sont sur ImmoScout24.ch.</t>
  </si>
  <si>
    <t>https://www.immoscout24.ch/fr/maison/acheter/lieu-dompierre-vd</t>
  </si>
  <si>
    <t>Vendre maison Dompierre VD: Trouvez le bien immobilier qui correspond idéalement à vos désirs sur ImmoScout24 - La plateforme de l'immobilier en Suisse.</t>
  </si>
  <si>
    <t>🏘  Vous souhaitez acheter une maison à Dompierre VD? ✅ Jetez un œil aux dernières offres sur ImmoScout24.ch.</t>
  </si>
  <si>
    <t>https://www.immoscout24.ch/fr/appartement/louer/lieu-vuisternens-en-ogoz</t>
  </si>
  <si>
    <t>Louer appartement Vuisternens-en-Ogoz: Trouvez le bien immobilier qui correspond idéalement à vos désirs sur ImmoScout24 - La plateforme de l'immobilier en Suisse.</t>
  </si>
  <si>
    <t>🏘  Vous cherchez un appartement à louer à Vuisternens-en-Ogoz? ✅ Les annonces les plus actuelles sont sur ImmoScout24.ch.</t>
  </si>
  <si>
    <t>https://www.immoscout24.ch/fr/appartement/louer/lieu-bellevue</t>
  </si>
  <si>
    <t>Louer appartement Bellevue: Trouvez le bien immobilier qui correspond idéalement à vos désirs sur ImmoScout24 - La plateforme de l'immobilier en Suisse.</t>
  </si>
  <si>
    <t>🏘  Vous cherchez un appartement à louer à Bellevue? ✅ Les annonces les plus actuelles sont sur ImmoScout24.ch.</t>
  </si>
  <si>
    <t>https://www.immoscout24.ch/fr/maison/acheter/lieu-chevilly</t>
  </si>
  <si>
    <t>Vendre maison Chevilly: Trouvez le bien immobilier qui correspond idéalement à vos désirs sur ImmoScout24 - La plateforme de l'immobilier en Suisse.</t>
  </si>
  <si>
    <t>🏘  Vous souhaitez acheter une maison à Chevilly? ✅ Jetez un œil aux dernières offres sur ImmoScout24.ch.</t>
  </si>
  <si>
    <t>https://www.immoscout24.ch/fr/maison/acheter/lieu-bussigny</t>
  </si>
  <si>
    <t>Vendre maison Bussigny: Trouvez le bien immobilier qui correspond idéalement à vos désirs sur ImmoScout24 - La plateforme de l'immobilier en Suisse.</t>
  </si>
  <si>
    <t>🏘  Vous souhaitez acheter une maison à Bussigny? ✅ Jetez un œil aux dernières offres sur ImmoScout24.ch.</t>
  </si>
  <si>
    <t>https://www.immoscout24.ch/fr/maison/louer/lieu-assens</t>
  </si>
  <si>
    <t>Louer maison Assens: Trouvez le bien immobilier qui correspond idéalement à vos désirs sur ImmoScout24 - La plateforme de l'immobilier en Suisse.</t>
  </si>
  <si>
    <t>🏘  Vous cherchez une maison à louer à Assens? ✅ Découvrez nos nombreuses annonces sur ImmoScout24.ch.</t>
  </si>
  <si>
    <t>https://www.immoscout24.ch/fr/maison/acheter/lieu-gruenenmatt</t>
  </si>
  <si>
    <t>Vendre maison Grünenmatt: Trouvez le bien immobilier qui correspond idéalement à vos désirs sur ImmoScout24 - La plateforme de l'immobilier en Suisse.</t>
  </si>
  <si>
    <t>🏘  Vous souhaitez acheter une maison à Grünenmatt? ✅ Jetez un œil aux dernières offres sur ImmoScout24.ch.</t>
  </si>
  <si>
    <t>https://www.immoscout24.ch/fr/maison/louer/lieu-echallens</t>
  </si>
  <si>
    <t>Louer maison Echallens: Trouvez le bien immobilier qui correspond idéalement à vos désirs sur ImmoScout24 - La plateforme de l'immobilier en Suisse.</t>
  </si>
  <si>
    <t>🏘  Vous cherchez une maison à louer à Echallens? ✅ Découvrez nos nombreuses annonces sur ImmoScout24.ch.</t>
  </si>
  <si>
    <t>https://www.immoscout24.ch/fr/appartement/louer/lieu-siebnen</t>
  </si>
  <si>
    <t>Louer appartement Siebnen: Trouvez le bien immobilier qui correspond idéalement à vos désirs sur ImmoScout24 - La plateforme de l'immobilier en Suisse.</t>
  </si>
  <si>
    <t>🏘  Vous cherchez un appartement à louer à Siebnen? ✅ Les annonces les plus actuelles sont sur ImmoScout24.ch.</t>
  </si>
  <si>
    <t>https://www.immoscout24.ch/fr/appartement/acheter/lieu-allschwil</t>
  </si>
  <si>
    <t>Vendre appartement Allschwil: Trouvez le bien immobilier qui correspond idéalement à vos désirs sur ImmoScout24 - La plateforme de l'immobilier en Suisse.</t>
  </si>
  <si>
    <t>🏘  L’appartement de vos rêves se trouve sur ImmoScout24.ch ✅ Découvrez les dernières annonces de vente à Allschwil.</t>
  </si>
  <si>
    <t>https://www.immoscout24.ch/fr/appartement/acheter/lieu-evolene</t>
  </si>
  <si>
    <t>Vendre appartement Evolène: Trouvez le bien immobilier qui correspond idéalement à vos désirs sur ImmoScout24 - La plateforme de l'immobilier en Suisse.</t>
  </si>
  <si>
    <t>🏘  L’appartement de vos rêves se trouve sur ImmoScout24.ch ✅ Découvrez les dernières annonces de vente à Evolène.</t>
  </si>
  <si>
    <t>https://www.immoscout24.ch/fr/appartement/louer/quartier-sandrain-berne</t>
  </si>
  <si>
    <t>Louer appartement Sandrain (Berne): Trouvez le bien immobilier qui correspond idéalement à vos désirs sur ImmoScout24 - La plateforme de l'immobilier en Suisse.</t>
  </si>
  <si>
    <t>🏘  Vous cherchez un appartement à louer dans le quartier de Sandrain (Berne)? ✅ Les annonces les plus actuelles sont sur ImmoScout24.ch.</t>
  </si>
  <si>
    <t>https://www.immoscout24.ch/fr/maison/acheter/lieu-belmont-sur-lausanne</t>
  </si>
  <si>
    <t>Vendre maison Belmont-sur-Lausanne: Trouvez le bien immobilier qui correspond idéalement à vos désirs sur ImmoScout24 - La plateforme de l'immobilier en Suisse.</t>
  </si>
  <si>
    <t>🏘  Vous souhaitez acheter une maison à Belmont-sur-Lausanne? ✅ Jetez un œil aux dernières offres sur ImmoScout24.ch.</t>
  </si>
  <si>
    <t>https://www.immoscout24.ch/fr/appartement/louer/lieu-torgon</t>
  </si>
  <si>
    <t>Louer appartement Torgon: Trouvez le bien immobilier qui correspond idéalement à vos désirs sur ImmoScout24 - La plateforme de l'immobilier en Suisse.</t>
  </si>
  <si>
    <t>🏘  Vous cherchez un appartement à louer à Torgon? ✅ Les annonces les plus actuelles sont sur ImmoScout24.ch.</t>
  </si>
  <si>
    <t>https://www.immoscout24.ch/fr/appartement/acheter/lieu-wohlen-ag</t>
  </si>
  <si>
    <t>Vendre appartement Wohlen AG: Trouvez le bien immobilier qui correspond idéalement à vos désirs sur ImmoScout24 - La plateforme de l'immobilier en Suisse.</t>
  </si>
  <si>
    <t>🏘  L’appartement de vos rêves se trouve sur ImmoScout24.ch ✅ Découvrez les dernières annonces de vente à Wohlen AG.</t>
  </si>
  <si>
    <t>https://www.immoscout24.ch/fr/appartement/louer/lieu-bodio-ti</t>
  </si>
  <si>
    <t>Louer appartement Bodio TI: Trouvez le bien immobilier qui correspond idéalement à vos désirs sur ImmoScout24 - La plateforme de l'immobilier en Suisse.</t>
  </si>
  <si>
    <t>🏘  Vous cherchez un appartement à louer à Bodio TI? ✅ Les annonces les plus actuelles sont sur ImmoScout24.ch.</t>
  </si>
  <si>
    <t>https://www.immoscout24.ch/fr/maison/acheter/lieu-la-sarraz</t>
  </si>
  <si>
    <t>Vendre maison La Sarraz: Trouvez le bien immobilier qui correspond idéalement à vos désirs sur ImmoScout24 - La plateforme de l'immobilier en Suisse.</t>
  </si>
  <si>
    <t>🏘  Vous souhaitez acheter une maison à La Sarraz? ✅ Jetez un œil aux dernières offres sur ImmoScout24.ch.</t>
  </si>
  <si>
    <t>https://www.immoscout24.ch/fr/appartement/louer/quartier-secteur-forain-est-la-chaux-de-fonds</t>
  </si>
  <si>
    <t>Louer appartement Secteur forain est (La Chaux-de-Fonds): Trouvez le bien immobilier qui correspond idéalement à vos désirs sur ImmoScout24 - La plateforme de l'immobilier en Suisse.</t>
  </si>
  <si>
    <t>🏘  Vous cherchez un appartement à louer dans le Secteur forain est (La Chaux-de-Fonds)? ✅ Les annonces les plus actuelles sont sur ImmoScout24.ch.</t>
  </si>
  <si>
    <t>https://www.immoscout24.ch/fr/appartement/acheter/lieu-bolligen</t>
  </si>
  <si>
    <t>Vendre appartement Bolligen: Trouvez le bien immobilier qui correspond idéalement à vos désirs sur ImmoScout24 - La plateforme de l'immobilier en Suisse.</t>
  </si>
  <si>
    <t>🏘  L’appartement de vos rêves se trouve sur ImmoScout24.ch ✅ Découvrez les dernières annonces de vente à Bolligen.</t>
  </si>
  <si>
    <t>https://www.immoscout24.ch/fr/appartement/louer/lieu-bubikon</t>
  </si>
  <si>
    <t>Louer appartement Bubikon: Trouvez le bien immobilier qui correspond idéalement à vos désirs sur ImmoScout24 - La plateforme de l'immobilier en Suisse.</t>
  </si>
  <si>
    <t>🏘  Vous cherchez un appartement à louer à Bubikon? ✅ Les annonces les plus actuelles sont sur ImmoScout24.ch.</t>
  </si>
  <si>
    <t>https://www.immoscout24.ch/fr/appartement/louer/lieu-petit-lancy</t>
  </si>
  <si>
    <t>Louer appartement Petit-Lancy: Trouvez le bien immobilier qui correspond idéalement à vos désirs sur ImmoScout24 - La plateforme de l'immobilier en Suisse.</t>
  </si>
  <si>
    <t>🏘  Vous cherchez un appartement à louer au Petit-Lancy? ✅ Les annonces les plus actuelles sont sur ImmoScout24.ch.</t>
  </si>
  <si>
    <t>https://www.immoscout24.ch/fr/appartement/louer/lieu-rueschegg-heubach</t>
  </si>
  <si>
    <t>Louer appartement Rüschegg Heubach: Trouvez le bien immobilier qui correspond idéalement à vos désirs sur ImmoScout24 - La plateforme de l'immobilier en Suisse.</t>
  </si>
  <si>
    <t>🏘  Vous cherchez un appartement à louer à Rüschegg Heubach? ✅ Les annonces les plus actuelles sont sur ImmoScout24.ch.</t>
  </si>
  <si>
    <t>https://www.immoscout24.ch/fr/appartement/louer/lieu-les-genevez-ju</t>
  </si>
  <si>
    <t>Louer appartement Les Genevez JU: Trouvez le bien immobilier qui correspond idéalement à vos désirs sur ImmoScout24 - La plateforme de l'immobilier en Suisse.</t>
  </si>
  <si>
    <t>🏘  Vous cherchez un appartement à louer aux Genevez JU? ✅ Les annonces les plus actuelles sont sur ImmoScout24.ch.</t>
  </si>
  <si>
    <t>https://www.immoscout24.ch/fr/appartement/acheter/quartier-perolles-fribourg</t>
  </si>
  <si>
    <t>Vendre appartement Pérolles (Fribourg):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</si>
  <si>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Pérolles (Fribourg).</t>
  </si>
  <si>
    <t>https://www.immoscout24.ch/fr/appartement/acheter/lieu-champlan-grimisuat</t>
  </si>
  <si>
    <t>Vendre appartement Champlan (Grimisuat): Trouvez le bien immobilier qui correspond idéalement à vos désirs sur ImmoScout24 - La plateforme de l'immobilier en Suisse.</t>
  </si>
  <si>
    <t>🏘  L’appartement de vos rêves se trouve sur ImmoScout24.ch ✅ Découvrez les dernières annonces de vente à Champlan (Grimisuat).</t>
  </si>
  <si>
    <t>https://www.immoscout24.ch/fr/appartement/louer/lieu-luetzelflueh-goldbach</t>
  </si>
  <si>
    <t>Louer appartement Lützelflüh-Goldbach: Trouvez le bien immobilier qui correspond idéalement à vos désirs sur ImmoScout24 - La plateforme de l'immobilier en Suisse.</t>
  </si>
  <si>
    <t>🏘  Vous cherchez un appartement à louer à Lützelflüh-Goldbach? ✅ Les annonces les plus actuelles sont sur ImmoScout24.ch.</t>
  </si>
  <si>
    <t>https://www.immoscout24.ch/fr/appartement/acheter/lieu-corgemont</t>
  </si>
  <si>
    <t>Vendre appartement Corgémont: Trouvez le bien immobilier qui correspond idéalement à vos désirs sur ImmoScout24 - La plateforme de l'immobilier en Suisse.</t>
  </si>
  <si>
    <t>🏘  L’appartement de vos rêves se trouve sur ImmoScout24.ch ✅ Découvrez les dernières annonces de vente à Corgémont.</t>
  </si>
  <si>
    <t>https://www.immoscout24.ch/fr/appartement/louer/lieu-sent</t>
  </si>
  <si>
    <t>Louer appartement Sent: Trouvez le bien immobilier qui correspond idéalement à vos désirs sur ImmoScout24 - La plateforme de l'immobilier en Suisse.</t>
  </si>
  <si>
    <t>🏘  Vous cherchez un appartement à louer à Sent? ✅ Les annonces les plus actuelles sont sur ImmoScout24.ch.</t>
  </si>
  <si>
    <t>https://www.immoscout24.ch/fr/maison/acheter/lieu-cimadera</t>
  </si>
  <si>
    <t>Vendre maison Cimadera: Trouvez le bien immobilier qui correspond idéalement à vos désirs sur ImmoScout24 - La plateforme de l'immobilier en Suisse.</t>
  </si>
  <si>
    <t>🏘  Vous souhaitez acheter une maison à Cimadera? ✅ Jetez un œil aux dernières offres sur ImmoScout24.ch.</t>
  </si>
  <si>
    <t>https://www.immoscout24.ch/fr/maison/acheter/lieu-chatillon-fr</t>
  </si>
  <si>
    <t>Vendre maison Châtillon FR: Trouvez le bien immobilier qui correspond idéalement à vos désirs sur ImmoScout24 - La plateforme de l'immobilier en Suisse.</t>
  </si>
  <si>
    <t>🏘  Vous souhaitez acheter une maison à Châtillon FR? ✅ Jetez un œil aux dernières offres sur ImmoScout24.ch.</t>
  </si>
  <si>
    <t>https://www.immoscout24.ch/fr/appartement/louer/lieu-treiten</t>
  </si>
  <si>
    <t>Louer appartement Treiten: Trouvez le bien immobilier qui correspond idéalement à vos désirs sur ImmoScout24 - La plateforme de l'immobilier en Suisse.</t>
  </si>
  <si>
    <t>🏘  Vous cherchez un appartement à louer à Treiten? ✅ Les annonces les plus actuelles sont sur ImmoScout24.ch.</t>
  </si>
  <si>
    <t>https://www.immoscout24.ch/fr/appartement/louer/quartier-niederwangen-koeniz</t>
  </si>
  <si>
    <t>Louer appartement Niederwangen (Köniz): Trouvez le bien immobilier qui correspond idéalement à vos désirs sur ImmoScout24 - La plateforme de l'immobilier en Suisse.</t>
  </si>
  <si>
    <t>🏘  Vous cherchez un appartement à louer dans le quartier de Niederwangen (Köniz)? ✅ Les annonces les plus actuelles sont sur ImmoScout24.ch.</t>
  </si>
  <si>
    <t>https://www.immoscout24.ch/fr/maison/louer/lieu-lens</t>
  </si>
  <si>
    <t>Louer maison Lens: Trouvez le bien immobilier qui correspond idéalement à vos désirs sur ImmoScout24 - La plateforme de l'immobilier en Suisse.</t>
  </si>
  <si>
    <t>🏘  Vous cherchez une maison à louer auns? ✅ Découvrez nos nombreuses annonces sur ImmoScout24.ch.</t>
  </si>
  <si>
    <t>https://www.immoscout24.ch/fr/appartement/louer/region-rive-droite</t>
  </si>
  <si>
    <t>Louer appartement Rive Droite: Trouvez le bien immobilier qui correspond idéalement à vos désirs sur ImmoScout24 - La plateforme de l'immobilier en Suisse.</t>
  </si>
  <si>
    <t>🏘  Vous cherchez un appartement à louer à Rive droite? ✅ Les annonces les plus actuelles sont sur ImmoScout24.ch.</t>
  </si>
  <si>
    <t>https://www.immoscout24.ch/fr/appartement/louer/lieu-viganello</t>
  </si>
  <si>
    <t>Louer appartement Viganello: Trouvez le bien immobilier qui correspond idéalement à vos désirs sur ImmoScout24 - La plateforme de l'immobilier en Suisse.</t>
  </si>
  <si>
    <t>🏘  Vous cherchez un appartement à louer à Viganello? ✅ Les annonces les plus actuelles sont sur ImmoScout24.ch.</t>
  </si>
  <si>
    <t>https://www.immoscout24.ch/fr/maison/louer/lieu-romanel-sur-lausanne</t>
  </si>
  <si>
    <t>Louer maison Romanel-sur-Lausanne: Trouvez le bien immobilier qui correspond idéalement à vos désirs sur ImmoScout24 - La plateforme de l'immobilier en Suisse.</t>
  </si>
  <si>
    <t>🏘  Vous cherchez une maison à louer à Romanel-sur-Lausanne? ✅ Découvrez nos nombreuses annonces sur ImmoScout24.ch.</t>
  </si>
  <si>
    <t>https://www.immoscout24.ch/fr/appartement/louer/lieu-massonnens</t>
  </si>
  <si>
    <t>Louer appartement Massonnens: Trouvez le bien immobilier qui correspond idéalement à vos désirs sur ImmoScout24 - La plateforme de l'immobilier en Suisse.</t>
  </si>
  <si>
    <t>🏘  Vous cherchez un appartement à louer à Massonnens? ✅ Les annonces les plus actuelles sont sur ImmoScout24.ch.</t>
  </si>
  <si>
    <t>https://www.immoscout24.ch/fr/appartement/louer/lieu-vex</t>
  </si>
  <si>
    <t>Louer appartement Vex: Trouvez le bien immobilier qui correspond idéalement à vos désirs sur ImmoScout24 - La plateforme de l'immobilier en Suisse.</t>
  </si>
  <si>
    <t>🏘  Vous cherchez un appartement à louer à Vex? ✅ Les annonces les plus actuelles sont sur ImmoScout24.ch.</t>
  </si>
  <si>
    <t>https://www.immoscout24.ch/fr/appartement/louer/lieu-ponte-tresa</t>
  </si>
  <si>
    <t>Louer appartement Ponte Tresa: Trouvez le bien immobilier qui correspond idéalement à vos désirs sur ImmoScout24 - La plateforme de l'immobilier en Suisse.</t>
  </si>
  <si>
    <t>🏘  Vous cherchez un appartement à louer à Ponte Tresa? ✅ Les annonces les plus actuelles sont sur ImmoScout24.ch.</t>
  </si>
  <si>
    <t>https://www.immoscout24.ch/fr/maison/acheter/lieu-leontica</t>
  </si>
  <si>
    <t>Vendre maison Leontica: Trouvez le bien immobilier qui correspond idéalement à vos désirs sur ImmoScout24 - La plateforme de l'immobilier en Suisse.</t>
  </si>
  <si>
    <t>🏘  Vous souhaitez acheter une maison auontica? ✅ Jetez un œil aux dernières offres sur ImmoScout24.ch.</t>
  </si>
  <si>
    <t>https://www.immoscout24.ch/fr/maison/acheter/lieu-villarlod</t>
  </si>
  <si>
    <t>Vendre maison Villarlod: Trouvez le bien immobilier qui correspond idéalement à vos désirs sur ImmoScout24 - La plateforme de l'immobilier en Suisse.</t>
  </si>
  <si>
    <t>🏘  Vous souhaitez acheter une maison à Villarlod? ✅ Jetez un œil aux dernières offres sur ImmoScout24.ch.</t>
  </si>
  <si>
    <t>https://www.immoscout24.ch/fr/appartement/acheter/lieu-reinach-bl</t>
  </si>
  <si>
    <t>Vendre appartement Reinach BL: Trouvez le bien immobilier qui correspond idéalement à vos désirs sur ImmoScout24 - La plateforme de l'immobilier en Suisse.</t>
  </si>
  <si>
    <t>🏘  L’appartement de vos rêves se trouve sur ImmoScout24.ch ✅ Découvrez les dernières annonces de vente à Reinach BL.</t>
  </si>
  <si>
    <t>https://www.immoscout24.ch/fr/maison/acheter/lieu-reinach-ag</t>
  </si>
  <si>
    <t>Vendre maison Reinach AG: Trouvez le bien immobilier qui correspond idéalement à vos désirs sur ImmoScout24 - La plateforme de l'immobilier en Suisse.</t>
  </si>
  <si>
    <t>🏘  Vous souhaitez acheter une maison à Reinach AG? ✅ Jetez un œil aux dernières offres sur ImmoScout24.ch.</t>
  </si>
  <si>
    <t>https://www.immoscout24.ch/fr/maison/acheter/lieu-corin-de-la-crete</t>
  </si>
  <si>
    <t>Vendre maison Corin-de-la-Crête: Trouvez le bien immobilier qui correspond idéalement à vos désirs sur ImmoScout24 - La plateforme de l'immobilier en Suisse.</t>
  </si>
  <si>
    <t>🏘  Vous souhaitez acheter une maison à Corin-de-la-Crête? ✅ Jetez un œil aux dernières offres sur ImmoScout24.ch.</t>
  </si>
  <si>
    <t>https://www.immoscout24.ch/fr/appartement/acheter/lieu-corpataux-magnedens</t>
  </si>
  <si>
    <t>Vendre appartement Corpataux: Trouvez le bien immobilier qui correspond idéalement à vos désirs sur ImmoScout24 - La plateforme de l'immobilier en Suisse.</t>
  </si>
  <si>
    <t>🏘  L’appartement de vos rêves se trouve sur ImmoScout24.ch ✅ Découvrez les dernières annonces de vente à Corpataux.</t>
  </si>
  <si>
    <t>https://www.immoscout24.ch/fr/appartement/acheter/lieu-st-george</t>
  </si>
  <si>
    <t>Vendre appartement St-George: Trouvez le bien immobilier qui correspond idéalement à vos désirs sur ImmoScout24 - La plateforme de l'immobilier en Suisse.</t>
  </si>
  <si>
    <t>🏘  L’appartement de vos rêves se trouve sur ImmoScout24.ch ✅ Découvrez les dernières annonces de vente à St-George.</t>
  </si>
  <si>
    <t>https://www.immoscout24.ch/fr/appartement/louer/lieu-giubiasco</t>
  </si>
  <si>
    <t>Louer appartement Giubiasco: Trouvez le bien immobilier qui correspond idéalement à vos désirs sur ImmoScout24 - La plateforme de l'immobilier en Suisse.</t>
  </si>
  <si>
    <t>🏘  Vous cherchez un appartement à louer à Giubiasco? ✅ Les annonces les plus actuelles sont sur ImmoScout24.ch.</t>
  </si>
  <si>
    <t>https://www.immoscout24.ch/fr/appartement/louer/lieu-vauffelin</t>
  </si>
  <si>
    <t>Louer appartement Vauffelin: Trouvez le bien immobilier qui correspond idéalement à vos désirs sur ImmoScout24 - La plateforme de l'immobilier en Suisse.</t>
  </si>
  <si>
    <t>🏘  Vous cherchez un appartement à louer à Vauffelin? ✅ Les annonces les plus actuelles sont sur ImmoScout24.ch.</t>
  </si>
  <si>
    <t>https://www.immoscout24.ch/fr/appartement/louer/lieu-denges</t>
  </si>
  <si>
    <t>Louer appartement Denges: Trouvez le bien immobilier qui correspond idéalement à vos désirs sur ImmoScout24 - La plateforme de l'immobilier en Suisse.</t>
  </si>
  <si>
    <t>🏘  Vous cherchez un appartement à louer à Denges? ✅ Les annonces les plus actuelles sont sur ImmoScout24.ch.</t>
  </si>
  <si>
    <t>https://www.immoscout24.ch/fr/appartement/louer/lieu-le-chatelard-vs</t>
  </si>
  <si>
    <t>Louer appartement Le Châtelard VS: Trouvez le bien immobilier qui correspond idéalement à vos désirs sur ImmoScout24 - La plateforme de l'immobilier en Suisse.</t>
  </si>
  <si>
    <t>🏘  Vous cherchez un appartement à louer au Châtelard VS? ✅ Les annonces les plus actuelles sont sur ImmoScout24.ch.</t>
  </si>
  <si>
    <t>https://www.immoscout24.ch/fr/appartement/acheter/lieu-vuadens</t>
  </si>
  <si>
    <t>Vendre appartement Vuadens: Trouvez le bien immobilier qui correspond idéalement à vos désirs sur ImmoScout24 - La plateforme de l'immobilier en Suisse.</t>
  </si>
  <si>
    <t>🏘  L’appartement de vos rêves se trouve sur ImmoScout24.ch ✅ Découvrez les dernières annonces de vente à Vuadens.</t>
  </si>
  <si>
    <t>https://www.immoscout24.ch/fr/appartement/louer/lieu-sursee</t>
  </si>
  <si>
    <t>Louer appartement Sursee: Trouvez le bien immobilier qui correspond idéalement à vos désirs sur ImmoScout24 - La plateforme de l'immobilier en Suisse.</t>
  </si>
  <si>
    <t>🏘  Vous cherchez un appartement à louer à Sursee? ✅ Les annonces les plus actuelles sont sur ImmoScout24.ch.</t>
  </si>
  <si>
    <t>https://www.immoscout24.ch/fr/maison/acheter/lieu-les-giettes</t>
  </si>
  <si>
    <t>Vendre maison Les Giettes: Trouvez le bien immobilier qui correspond idéalement à vos désirs sur ImmoScout24 - La plateforme de l'immobilier en Suisse.</t>
  </si>
  <si>
    <t>🏘  Vous souhaitez acheter une maison aux Giettes? ✅ Jetez un œil aux dernières offres sur ImmoScout24.ch.</t>
  </si>
  <si>
    <t>https://www.immoscout24.ch/fr/maison/acheter/quartier-monbijou-berne</t>
  </si>
  <si>
    <t>Vendre maison Monbijou (Berne): Trouvez le bien immobilier qui correspond idéalement à vos désirs sur ImmoScout24 - La plateforme de l'immobilier en Suisse.</t>
  </si>
  <si>
    <t>🏘  Vous souhaitez acheter une maison dans le quartier de Monbijou (Berne)? ✅ Jetez un œil aux dernières offres sur ImmoScout24.ch.</t>
  </si>
  <si>
    <t>https://www.immoscout24.ch/fr/maison/acheter/lieu-montagnola</t>
  </si>
  <si>
    <t>Vendre maison Montagnola: Trouvez le bien immobilier qui correspond idéalement à vos désirs sur ImmoScout24 - La plateforme de l'immobilier en Suisse.</t>
  </si>
  <si>
    <t>🏘  Vous souhaitez acheter une maison à Montagnola? ✅ Jetez un œil aux dernières offres sur ImmoScout24.ch.</t>
  </si>
  <si>
    <t>https://www.immoscout24.ch/fr/maison/louer/pays-liechtenstein</t>
  </si>
  <si>
    <t>Louer maison Liechtenstein: Trouvez le bien immobilier qui correspond idéalement à vos désirs sur ImmoScout24 - La plateforme de l'immobilier en Suisse.</t>
  </si>
  <si>
    <t>🏘  Vous cherchez un appartement à louer au Liechtenstein? ✅ Les annonces les plus actuelles sont sur ImmoScout24.ch.</t>
  </si>
  <si>
    <t>https://www.immoscout24.ch/fr/appartement/louer/quartier-sous-gare-ouchy-lausanne</t>
  </si>
  <si>
    <t>Louer appartement Sous-Gare - Ouchy (Lausanne): Trouvez le bien immobilier qui correspond idéalement à vos désirs sur ImmoScout24 - La plateforme de l'immobilier en Suisse.</t>
  </si>
  <si>
    <t>🏘  Vous cherchez un appartement à louer dans le quartier de Sous-Gare - Ouchy (Lausanne)? ✅ Les annonces les plus actuelles sont sur ImmoScout24.ch.</t>
  </si>
  <si>
    <t>https://www.immoscout24.ch/fr/maison/acheter/lieu-trimbach</t>
  </si>
  <si>
    <t>Vendre maison Trimbach: Trouvez le bien immobilier qui correspond idéalement à vos désirs sur ImmoScout24 - La plateforme de l'immobilier en Suisse.</t>
  </si>
  <si>
    <t>🏘  Vous souhaitez acheter une maison à Trimbach? ✅ Jetez un œil aux dernières offres sur ImmoScout24.ch.</t>
  </si>
  <si>
    <t>https://www.immoscout24.ch/fr/appartement/acheter/lieu-brunnen</t>
  </si>
  <si>
    <t>Vendre appartement Brunnen: Trouvez le bien immobilier qui correspond idéalement à vos désirs sur ImmoScout24 - La plateforme de l'immobilier en Suisse.</t>
  </si>
  <si>
    <t>🏘  L’appartement de vos rêves se trouve sur ImmoScout24.ch ✅ Découvrez les dernières annonces de vente à Brunnen.</t>
  </si>
  <si>
    <t>https://www.immoscout24.ch/fr/maison/acheter/lieu-schaan</t>
  </si>
  <si>
    <t>Vendre maison Schaan: Trouvez le bien immobilier qui correspond idéalement à vos désirs sur ImmoScout24 - La plateforme de l'immobilier en Suisse.</t>
  </si>
  <si>
    <t>🏘  Vous souhaitez acheter une maison à Schaan? ✅ Jetez un œil aux dernières offres sur ImmoScout24.ch.</t>
  </si>
  <si>
    <t>https://www.immoscout24.ch/fr/maison/acheter/lieu-la-comballaz</t>
  </si>
  <si>
    <t>Vendre maison La Comballaz: Trouvez le bien immobilier qui correspond idéalement à vos désirs sur ImmoScout24 - La plateforme de l'immobilier en Suisse.</t>
  </si>
  <si>
    <t>🏘  Vous souhaitez acheter une maison à La Comballaz? ✅ Jetez un œil aux dernières offres sur ImmoScout24.ch.</t>
  </si>
  <si>
    <t>https://www.immoscout24.ch/fr/maison/acheter/lieu-boulens</t>
  </si>
  <si>
    <t>Vendre maison Boulens: Trouvez le bien immobilier qui correspond idéalement à vos désirs sur ImmoScout24 - La plateforme de l'immobilier en Suisse.</t>
  </si>
  <si>
    <t>🏘  Vous souhaitez acheter une maison à Boulens? ✅ Jetez un œil aux dernières offres sur ImmoScout24.ch.</t>
  </si>
  <si>
    <t>https://www.immoscout24.ch/fr/appartement/louer/lieu-schwadernau</t>
  </si>
  <si>
    <t>Louer appartement Schwadernau: Trouvez le bien immobilier qui correspond idéalement à vos désirs sur ImmoScout24 - La plateforme de l'immobilier en Suisse.</t>
  </si>
  <si>
    <t>🏘  Vous cherchez un appartement à louer à Schwadernau? ✅ Les annonces les plus actuelles sont sur ImmoScout24.ch.</t>
  </si>
  <si>
    <t>https://www.immoscout24.ch/fr/appartement/acheter/lieu-bioley-orjulaz</t>
  </si>
  <si>
    <t>Vendre appartement Bioley-Orjulaz: Trouvez le bien immobilier qui correspond idéalement à vos désirs sur ImmoScout24 - La plateforme de l'immobilier en Suisse.</t>
  </si>
  <si>
    <t>🏘  L’appartement de vos rêves se trouve sur ImmoScout24.ch ✅ Découvrez les dernières annonces de vente à Bioley-Orjulaz.</t>
  </si>
  <si>
    <t>https://www.immoscout24.ch/fr/maison/acheter/lieu-prangins</t>
  </si>
  <si>
    <t>Vendre maison Prangins: Trouvez le bien immobilier qui correspond idéalement à vos désirs sur ImmoScout24 - La plateforme de l'immobilier en Suisse.</t>
  </si>
  <si>
    <t>🏘  Vous souhaitez acheter une maison à Prangins? ✅ Jetez un œil aux dernières offres sur ImmoScout24.ch.</t>
  </si>
  <si>
    <t>https://www.immoscout24.ch/fr/appartement/louer/lieu-oberhofen-am-thunersee</t>
  </si>
  <si>
    <t>Louer appartement Oberhofen am Thunersee: Trouvez le bien immobilier qui correspond idéalement à vos désirs sur ImmoScout24 - La plateforme de l'immobilier en Suisse.</t>
  </si>
  <si>
    <t>🏘  Vous cherchez un appartement à louer à Oberhofen am Thunersee? ✅ Les annonces les plus actuelles sont sur ImmoScout24.ch.</t>
  </si>
  <si>
    <t>https://www.immoscout24.ch/fr/maison/acheter/lieu-les-moulins</t>
  </si>
  <si>
    <t>Vendre maison Les Moulins: Trouvez le bien immobilier qui correspond idéalement à vos désirs sur ImmoScout24 - La plateforme de l'immobilier en Suisse.</t>
  </si>
  <si>
    <t>🏘  Vous souhaitez acheter une maison aux Moulins? ✅ Jetez un œil aux dernières offres sur ImmoScout24.ch.</t>
  </si>
  <si>
    <t>https://www.immoscout24.ch/fr/maison/louer/lieu-gumefens</t>
  </si>
  <si>
    <t>Louer maison Gumefens: Trouvez le bien immobilier qui correspond idéalement à vos désirs sur ImmoScout24 - La plateforme de l'immobilier en Suisse.</t>
  </si>
  <si>
    <t>🏘  Vous cherchez une maison à louer à Gumefens? ✅ Découvrez nos nombreuses annonces sur ImmoScout24.ch.</t>
  </si>
  <si>
    <t>https://www.immoscout24.ch/fr/appartement/acheter/lieu-vich</t>
  </si>
  <si>
    <t>Vendre appartement Vich: Trouvez le bien immobilier qui correspond idéalement à vos désirs sur ImmoScout24 - La plateforme de l'immobilier en Suisse.</t>
  </si>
  <si>
    <t>🏘  L’appartement de vos rêves se trouve sur ImmoScout24.ch ✅ Découvrez les dernières annonces de vente à Vich.</t>
  </si>
  <si>
    <t>https://www.immoscout24.ch/fr/appartement/acheter/region-val-de-travers</t>
  </si>
  <si>
    <t>Vendre appartement Val de Travers: Trouvez le bien immobilier qui correspond idéalement à vos désirs sur ImmoScout24 - La plateforme de l'immobilier en Suisse.</t>
  </si>
  <si>
    <t>🏘  L’appartement de vos rêves se trouve sur ImmoScout24.ch ✅ Découvrez les dernières annonces de vente dans le Val-de-Travers.</t>
  </si>
  <si>
    <t>https://www.immoscout24.ch/fr/appartement/louer/lieu-ponte-capriasca</t>
  </si>
  <si>
    <t>Louer appartement Ponte Capriasca: Trouvez le bien immobilier qui correspond idéalement à vos désirs sur ImmoScout24 - La plateforme de l'immobilier en Suisse.</t>
  </si>
  <si>
    <t>🏘  Vous cherchez un appartement à louer à Ponte Capriasca? ✅ Les annonces les plus actuelles sont sur ImmoScout24.ch.</t>
  </si>
  <si>
    <t>https://www.immoscout24.ch/fr/maison/louer/lieu-seedorf-be</t>
  </si>
  <si>
    <t>Louer maison Seedorf BE: Trouvez le bien immobilier qui correspond idéalement à vos désirs sur ImmoScout24 - La plateforme de l'immobilier en Suisse.</t>
  </si>
  <si>
    <t>🏘  Vous cherchez une maison à louer à Seedorf BE? ✅ Découvrez nos nombreuses annonces sur ImmoScout24.ch.</t>
  </si>
  <si>
    <t>https://www.immoscout24.ch/fr/maison/louer/lieu-richterswil</t>
  </si>
  <si>
    <t>Louer maison Richterswil: Trouvez le bien immobilier qui correspond idéalement à vos désirs sur ImmoScout24 - La plateforme de l'immobilier en Suisse.</t>
  </si>
  <si>
    <t>🏘  Vous cherchez une maison à louer à Richterswil? ✅ Découvrez nos nombreuses annonces sur ImmoScout24.ch.</t>
  </si>
  <si>
    <t>https://www.immoscout24.ch/fr/maison/acheter/lieu-mies</t>
  </si>
  <si>
    <t>Vendre maison Mies: Trouvez le bien immobilier qui correspond idéalement à vos désirs sur ImmoScout24 - La plateforme de l'immobilier en Suisse.</t>
  </si>
  <si>
    <t>🏘  Vous souhaitez acheter une maison à Mies? ✅ Jetez un œil aux dernières offres sur ImmoScout24.ch.</t>
  </si>
  <si>
    <t>https://www.immoscout24.ch/fr/maison/acheter/lieu-doettingen</t>
  </si>
  <si>
    <t>Vendre maison Döttingen: Trouvez le bien immobilier qui correspond idéalement à vos désirs sur ImmoScout24 - La plateforme de l'immobilier en Suisse.</t>
  </si>
  <si>
    <t>🏘  Vous souhaitez acheter une maison à Döttingen? ✅ Jetez un œil aux dernières offres sur ImmoScout24.ch.</t>
  </si>
  <si>
    <t>https://www.immoscout24.ch/fr/maison/acheter/lieu-bremgarten-ag</t>
  </si>
  <si>
    <t>Vendre maison Bremgarten AG: Trouvez le bien immobilier qui correspond idéalement à vos désirs sur ImmoScout24 - La plateforme de l'immobilier en Suisse.</t>
  </si>
  <si>
    <t>🏘  Vous souhaitez acheter une maison à Bremgarten AG? ✅ Jetez un œil aux dernières offres sur ImmoScout24.ch.</t>
  </si>
  <si>
    <t>https://www.immoscout24.ch/fr/maison/acheter/lieu-vernier</t>
  </si>
  <si>
    <t>Vendre maison Vernier: Trouvez le bien immobilier qui correspond idéalement à vos désirs sur ImmoScout24 - La plateforme de l'immobilier en Suisse.</t>
  </si>
  <si>
    <t>🏘  Vous souhaitez acheter une maison à Vernier? ✅ Jetez un œil aux dernières offres sur ImmoScout24.ch.</t>
  </si>
  <si>
    <t>https://www.immoscout24.ch/fr/appartement/louer/lieu-cordast</t>
  </si>
  <si>
    <t>Louer appartement Cordast: Trouvez le bien immobilier qui correspond idéalement à vos désirs sur ImmoScout24 - La plateforme de l'immobilier en Suisse.</t>
  </si>
  <si>
    <t>🏘  Vous cherchez un appartement à louer à Cordast? ✅ Les annonces les plus actuelles sont sur ImmoScout24.ch.</t>
  </si>
  <si>
    <t>https://www.immoscout24.ch/fr/maison/louer/lieu-reichenbach-im-kandertal</t>
  </si>
  <si>
    <t>Louer maison Reichenbach im Kandertal: Trouvez le bien immobilier qui correspond idéalement à vos désirs sur ImmoScout24 - La plateforme de l'immobilier en Suisse.</t>
  </si>
  <si>
    <t>🏘  Vous cherchez une maison à louer à Reichenbach im Kandertal? ✅ Découvrez nos nombreuses annonces sur ImmoScout24.ch.</t>
  </si>
  <si>
    <t>https://www.immoscout24.ch/fr/maison/acheter/lieu-forel-fr</t>
  </si>
  <si>
    <t>Vendre maison Forel FR: Trouvez le bien immobilier qui correspond idéalement à vos désirs sur ImmoScout24 - La plateforme de l'immobilier en Suisse.</t>
  </si>
  <si>
    <t>🏘  Vous souhaitez acheter une maison à Forel FR? ✅ Jetez un œil aux dernières offres sur ImmoScout24.ch.</t>
  </si>
  <si>
    <t>https://www.immoscout24.ch/fr/appartement/acheter/lieu-chalais</t>
  </si>
  <si>
    <t>Vendre appartement Chalais: Trouvez le bien immobilier qui correspond idéalement à vos désirs sur ImmoScout24 - La plateforme de l'immobilier en Suisse.</t>
  </si>
  <si>
    <t>🏘  L’appartement de vos rêves se trouve sur ImmoScout24.ch ✅ Découvrez les dernières annonces de vente à Chalais.</t>
  </si>
  <si>
    <t>https://www.immoscout24.ch/fr/maison/louer/lieu-luterbach</t>
  </si>
  <si>
    <t>Louer maison Luterbach: Trouvez le bien immobilier qui correspond idéalement à vos désirs sur ImmoScout24 - La plateforme de l'immobilier en Suisse.</t>
  </si>
  <si>
    <t>🏘  Vous cherchez une maison à louer à Luterbach? ✅ Découvrez nos nombreuses annonces sur ImmoScout24.ch.</t>
  </si>
  <si>
    <t>https://www.immoscout24.ch/fr/maison/acheter/lieu-orges</t>
  </si>
  <si>
    <t>Vendre maison Orges: Trouvez le bien immobilier qui correspond idéalement à vos désirs sur ImmoScout24 - La plateforme de l'immobilier en Suisse.</t>
  </si>
  <si>
    <t>🏘  Vous souhaitez acheter une maison à Orges? ✅ Jetez un œil aux dernières offres sur ImmoScout24.ch.</t>
  </si>
  <si>
    <t>https://www.immoscout24.ch/fr/maison/acheter/lieu-chippis</t>
  </si>
  <si>
    <t>Vendre maison Chippis: Trouvez le bien immobilier qui correspond idéalement à vos désirs sur ImmoScout24 - La plateforme de l'immobilier en Suisse.</t>
  </si>
  <si>
    <t>🏘  Vous souhaitez acheter une maison à Chippis? ✅ Jetez un œil aux dernières offres sur ImmoScout24.ch.</t>
  </si>
  <si>
    <t>https://www.immoscout24.ch/fr/appartement/louer/lieu-les-sciernes-d-albeuve</t>
  </si>
  <si>
    <t>Louer appartement Les Sciernes-d'Albeuve: Trouvez le bien immobilier qui correspond idéalement à vos désirs sur ImmoScout24 - La plateforme de l'immobilier en Suisse.</t>
  </si>
  <si>
    <t>🏘  Vous cherchez un appartement à louer aux Sciernes-d'Albeuve? ✅ Les annonces les plus actuelles sont sur ImmoScout24.ch.</t>
  </si>
  <si>
    <t>https://www.immoscout24.ch/fr/appartement/acheter/lieu-gals</t>
  </si>
  <si>
    <t>Vendre appartement Gals: Trouvez le bien immobilier qui correspond idéalement à vos désirs sur ImmoScout24 - La plateforme de l'immobilier en Suisse.</t>
  </si>
  <si>
    <t>🏘  L’appartement de vos rêves se trouve sur ImmoScout24.ch ✅ Découvrez les dernières annonces de vente à Gals.</t>
  </si>
  <si>
    <t>https://www.immoscout24.ch/fr/appartement/acheter/lieu-vitznau</t>
  </si>
  <si>
    <t>Vendre appartement Vitznau: Trouvez le bien immobilier qui correspond idéalement à vos désirs sur ImmoScout24 - La plateforme de l'immobilier en Suisse.</t>
  </si>
  <si>
    <t>🏘  L’appartement de vos rêves se trouve sur ImmoScout24.ch ✅ Découvrez les dernières annonces de vente à Vitznau.</t>
  </si>
  <si>
    <t>https://www.immoscout24.ch/fr/maison/acheter/lieu-nemiaz-chamoson</t>
  </si>
  <si>
    <t>Vendre maison Némiaz (Chamoson): Trouvez le bien immobilier qui correspond idéalement à vos désirs sur ImmoScout24 - La plateforme de l'immobilier en Suisse.</t>
  </si>
  <si>
    <t>🏘  Vous souhaitez acheter une maison à Némiaz (Chamoson)? ✅ Jetez un œil aux dernières offres sur ImmoScout24.ch.</t>
  </si>
  <si>
    <t>https://www.immoscout24.ch/fr/maison/louer/lieu-champagne</t>
  </si>
  <si>
    <t>Louer maison Champagne: Trouvez le bien immobilier qui correspond idéalement à vos désirs sur ImmoScout24 - La plateforme de l'immobilier en Suisse.</t>
  </si>
  <si>
    <t>🏘  Vous cherchez une maison à louer à Champagne? ✅ Découvrez nos nombreuses annonces sur ImmoScout24.ch.</t>
  </si>
  <si>
    <t>https://www.immoscout24.ch/fr/appartement/louer/lieu-chiasso</t>
  </si>
  <si>
    <t>Louer appartement Chiasso: Trouvez le bien immobilier qui correspond idéalement à vos désirs sur ImmoScout24 - La plateforme de l'immobilier en Suisse.</t>
  </si>
  <si>
    <t>🏘  Vous cherchez un appartement à louer à Chiasso? ✅ Les annonces les plus actuelles sont sur ImmoScout24.ch.</t>
  </si>
  <si>
    <t>https://www.immoscout24.ch/fr/maison/louer/region-campagne-gros-de-vaud</t>
  </si>
  <si>
    <t>Louer maison Campagne - Gros de Vaud: Trouvez le bien immobilier qui correspond idéalement à vos désirs sur ImmoScout24 - La plateforme de l'immobilier en Suisse.</t>
  </si>
  <si>
    <t>🏘  Vous cherchez une maison à louer à Gros-de-Vaud? ✅ Découvrez nos nombreuses annonces sur ImmoScout24.ch.</t>
  </si>
  <si>
    <t>https://www.immoscout24.ch/fr/appartement/acheter/lieu-volketswil</t>
  </si>
  <si>
    <t>Vendre appartement Volketswil: Trouvez le bien immobilier qui correspond idéalement à vos désirs sur ImmoScout24 - La plateforme de l'immobilier en Suisse.</t>
  </si>
  <si>
    <t>🏘  L’appartement de vos rêves se trouve sur ImmoScout24.ch ✅ Découvrez les dernières annonces de vente à Volketswil.</t>
  </si>
  <si>
    <t>https://www.immoscout24.ch/fr/appartement/louer/lieu-ruefenacht-be</t>
  </si>
  <si>
    <t>Louer appartement Rüfenacht BE: Trouvez le bien immobilier qui correspond idéalement à vos désirs sur ImmoScout24 - La plateforme de l'immobilier en Suisse.</t>
  </si>
  <si>
    <t>🏘  Vous cherchez un appartement à louer à Rüfenacht BE? ✅ Les annonces les plus actuelles sont sur ImmoScout24.ch.</t>
  </si>
  <si>
    <t>https://www.immoscout24.ch/fr/maison/acheter/lieu-renens-vd</t>
  </si>
  <si>
    <t>Vendre maison Renens VD: Trouvez le bien immobilier qui correspond idéalement à vos désirs sur ImmoScout24 - La plateforme de l'immobilier en Suisse.</t>
  </si>
  <si>
    <t>🏘  Vous souhaitez acheter une maison à Renens VD? ✅ Jetez un œil aux dernières offres sur ImmoScout24.ch.</t>
  </si>
  <si>
    <t>https://www.immoscout24.ch/fr/maison/louer/lieu-givrins</t>
  </si>
  <si>
    <t>Louer maison Givrins: Trouvez le bien immobilier qui correspond idéalement à vos désirs sur ImmoScout24 - La plateforme de l'immobilier en Suisse.</t>
  </si>
  <si>
    <t>🏘  Vous cherchez une maison à louer à Givrins? ✅ Découvrez nos nombreuses annonces sur ImmoScout24.ch.</t>
  </si>
  <si>
    <t>https://www.immoscout24.ch/fr/maison/acheter/lieu-sevaz</t>
  </si>
  <si>
    <t>Vendre maison Sévaz: Trouvez le bien immobilier qui correspond idéalement à vos désirs sur ImmoScout24 - La plateforme de l'immobilier en Suisse.</t>
  </si>
  <si>
    <t>🏘  Vous souhaitez acheter une maison à Sévaz? ✅ Jetez un œil aux dernières offres sur ImmoScout24.ch.</t>
  </si>
  <si>
    <t>https://www.immoscout24.ch/fr/appartement/louer/lieu-treytorrens-payerne</t>
  </si>
  <si>
    <t>Louer appartement Treytorrens (Payerne): Trouvez le bien immobilier qui correspond idéalement à vos désirs sur ImmoScout24 - La plateforme de l'immobilier en Suisse.</t>
  </si>
  <si>
    <t>🏘  Vous cherchez un appartement à louer à Treytorrens (Payerne)? ✅ Les annonces les plus actuelles sont sur ImmoScout24.ch.</t>
  </si>
  <si>
    <t>https://www.immoscout24.ch/fr/maison/louer/lieu-nax</t>
  </si>
  <si>
    <t>Louer maison Nax: Trouvez le bien immobilier qui correspond idéalement à vos désirs sur ImmoScout24 - La plateforme de l'immobilier en Suisse.</t>
  </si>
  <si>
    <t>🏘  Vous cherchez une maison à louer à Nax? ✅ Découvrez nos nombreuses annonces sur ImmoScout24.ch.</t>
  </si>
  <si>
    <t>https://www.immoscout24.ch/fr/maison/acheter/lieu-gurmels</t>
  </si>
  <si>
    <t>Vendre maison Gurmels: Trouvez le bien immobilier qui correspond idéalement à vos désirs sur ImmoScout24 - La plateforme de l'immobilier en Suisse.</t>
  </si>
  <si>
    <t>🏘  Vous souhaitez acheter une maison à Gurmels? ✅ Jetez un œil aux dernières offres sur ImmoScout24.ch.</t>
  </si>
  <si>
    <t>https://www.immoscout24.ch/fr/appartement/louer/lieu-allaman</t>
  </si>
  <si>
    <t>Louer appartement Allaman: Trouvez le bien immobilier qui correspond idéalement à vos désirs sur ImmoScout24 - La plateforme de l'immobilier en Suisse.</t>
  </si>
  <si>
    <t>🏘  Vous cherchez un appartement à louer à Allaman? ✅ Les annonces les plus actuelles sont sur ImmoScout24.ch.</t>
  </si>
  <si>
    <t>https://www.immoscout24.ch/fr/appartement/louer/lieu-le-sechey</t>
  </si>
  <si>
    <t>Louer appartement Le Séchey: Trouvez le bien immobilier qui correspond idéalement à vos désirs sur ImmoScout24 - La plateforme de l'immobilier en Suisse.</t>
  </si>
  <si>
    <t>🏘  Vous cherchez un appartement à louer au Séchey? ✅ Les annonces les plus actuelles sont sur ImmoScout24.ch.</t>
  </si>
  <si>
    <t>https://www.immoscout24.ch/fr/appartement/louer/lieu-guemligen</t>
  </si>
  <si>
    <t>Louer appartement Gümligen: Trouvez le bien immobilier qui correspond idéalement à vos désirs sur ImmoScout24 - La plateforme de l'immobilier en Suisse.</t>
  </si>
  <si>
    <t>🏘  Vous cherchez un appartement à louer à Gümligen? ✅ Les annonces les plus actuelles sont sur ImmoScout24.ch.</t>
  </si>
  <si>
    <t>https://www.immoscout24.ch/fr/appartement/louer/lieu-biasca</t>
  </si>
  <si>
    <t>Louer appartement Biasca: Trouvez le bien immobilier qui correspond idéalement à vos désirs sur ImmoScout24 - La plateforme de l'immobilier en Suisse.</t>
  </si>
  <si>
    <t>🏘  Vous cherchez un appartement à louer à Biasca? ✅ Les annonces les plus actuelles sont sur ImmoScout24.ch.</t>
  </si>
  <si>
    <t>https://www.immoscout24.ch/fr/maison/louer/lieu-meinier</t>
  </si>
  <si>
    <t>Louer maison Meinier: Trouvez le bien immobilier qui correspond idéalement à vos désirs sur ImmoScout24 - La plateforme de l'immobilier en Suisse.</t>
  </si>
  <si>
    <t>🏘  Vous cherchez une maison à louer à Meinier? ✅ Découvrez nos nombreuses annonces sur ImmoScout24.ch.</t>
  </si>
  <si>
    <t>https://www.immoscout24.ch/fr/maison/acheter/lieu-bioley-orjulaz</t>
  </si>
  <si>
    <t>Vendre maison Bioley-Orjulaz: Trouvez le bien immobilier qui correspond idéalement à vos désirs sur ImmoScout24 - La plateforme de l'immobilier en Suisse.</t>
  </si>
  <si>
    <t>🏘  Vous souhaitez acheter une maison à Bioley-Orjulaz? ✅ Jetez un œil aux dernières offres sur ImmoScout24.ch.</t>
  </si>
  <si>
    <t>https://www.immoscout24.ch/fr/maison/acheter/lieu-cugnasco</t>
  </si>
  <si>
    <t>Vendre maison Cugnasco: Trouvez le bien immobilier qui correspond idéalement à vos désirs sur ImmoScout24 - La plateforme de l'immobilier en Suisse.</t>
  </si>
  <si>
    <t>🏘  Vous souhaitez acheter une maison à Cugnasco? ✅ Jetez un œil aux dernières offres sur ImmoScout24.ch.</t>
  </si>
  <si>
    <t>https://www.immoscout24.ch/fr/appartement/acheter/lieu-boussens</t>
  </si>
  <si>
    <t>Vendre appartement Boussens: Trouvez le bien immobilier qui correspond idéalement à vos désirs sur ImmoScout24 - La plateforme de l'immobilier en Suisse.</t>
  </si>
  <si>
    <t>🏘  L’appartement de vos rêves se trouve sur ImmoScout24.ch ✅ Découvrez les dernières annonces de vente à Boussens.</t>
  </si>
  <si>
    <t>https://www.immoscout24.ch/fr/maison/louer/lieu-volketswil</t>
  </si>
  <si>
    <t>Louer maison Volketswil: Trouvez le bien immobilier qui correspond idéalement à vos désirs sur ImmoScout24 - La plateforme de l'immobilier en Suisse.</t>
  </si>
  <si>
    <t>🏘  Vous cherchez une maison à louer à Volketswil? ✅ Découvrez nos nombreuses annonces sur ImmoScout24.ch.</t>
  </si>
  <si>
    <t>https://www.immoscout24.ch/fr/maison/acheter/lieu-rorschacherberg</t>
  </si>
  <si>
    <t>Vendre maison Rorschacherberg: Trouvez le bien immobilier qui correspond idéalement à vos désirs sur ImmoScout24 - La plateforme de l'immobilier en Suisse.</t>
  </si>
  <si>
    <t>🏘  Vous souhaitez acheter une maison à Rorschacherberg? ✅ Jetez un œil aux dernières offres sur ImmoScout24.ch.</t>
  </si>
  <si>
    <t>https://www.immoscout24.ch/fr/maison/louer/lieu-hagneck</t>
  </si>
  <si>
    <t>Louer maison Hagneck: Trouvez le bien immobilier qui correspond idéalement à vos désirs sur ImmoScout24 - La plateforme de l'immobilier en Suisse.</t>
  </si>
  <si>
    <t>🏘  Vous cherchez une maison à louer à Hagneck? ✅ Découvrez nos nombreuses annonces sur ImmoScout24.ch.</t>
  </si>
  <si>
    <t>https://www.immoscout24.ch/fr/maison/louer/lieu-la-ferriere</t>
  </si>
  <si>
    <t>Louer maison La Ferrière: Trouvez le bien immobilier qui correspond idéalement à vos désirs sur ImmoScout24 - La plateforme de l'immobilier en Suisse.</t>
  </si>
  <si>
    <t>🏘  Vous cherchez une maison à louer à La Ferrière? ✅ Découvrez nos nombreuses annonces sur ImmoScout24.ch.</t>
  </si>
  <si>
    <t>https://www.immoscout24.ch/fr/appartement/acheter/lieu-miege</t>
  </si>
  <si>
    <t>Vendre appartement Miège: Trouvez le bien immobilier qui correspond idéalement à vos désirs sur ImmoScout24 - La plateforme de l'immobilier en Suisse.</t>
  </si>
  <si>
    <t>🏘  L’appartement de vos rêves se trouve sur ImmoScout24.ch ✅ Découvrez les dernières annonces de vente à Miège.</t>
  </si>
  <si>
    <t>https://www.immoscout24.ch/fr/maison/acheter/lieu-ipsach</t>
  </si>
  <si>
    <t>Vendre maison Ipsach: Trouvez le bien immobilier qui correspond idéalement à vos désirs sur ImmoScout24 - La plateforme de l'immobilier en Suisse.</t>
  </si>
  <si>
    <t>🏘  Vous souhaitez acheter une maison à Ipsach? ✅ Jetez un œil aux dernières offres sur ImmoScout24.ch.</t>
  </si>
  <si>
    <t>https://www.immoscout24.ch/fr/maison/louer/region-val-de-ruz</t>
  </si>
  <si>
    <t>Louer maison Val de Ruz: Trouvez le bien immobilier qui correspond idéalement à vos désirs sur ImmoScout24 - La plateforme de l'immobilier en Suisse.</t>
  </si>
  <si>
    <t>🏘  Vous cherchez une maison à louer dans le Val-de-Ruz? ✅ Découvrez nos nombreuses annonces sur ImmoScout24.ch.</t>
  </si>
  <si>
    <t>https://www.immoscout24.ch/fr/maison/louer/lieu-lossy</t>
  </si>
  <si>
    <t>Louer maison Lossy: Trouvez le bien immobilier qui correspond idéalement à vos désirs sur ImmoScout24 - La plateforme de l'immobilier en Suisse.</t>
  </si>
  <si>
    <t>🏘  Vous cherchez une maison à louer à Lossy? ✅ Découvrez nos nombreuses annonces sur ImmoScout24.ch.</t>
  </si>
  <si>
    <t>https://www.immoscout24.ch/fr/appartement/louer/lieu-flaach</t>
  </si>
  <si>
    <t>Louer appartement Flaach: Trouvez le bien immobilier qui correspond idéalement à vos désirs sur ImmoScout24 - La plateforme de l'immobilier en Suisse.</t>
  </si>
  <si>
    <t>🏘  Vous cherchez un appartement à louer à Flaach? ✅ Les annonces les plus actuelles sont sur ImmoScout24.ch.</t>
  </si>
  <si>
    <t>https://www.immoscout24.ch/fr/appartement/louer/lieu-bourrignon</t>
  </si>
  <si>
    <t>Louer appartement Bourrignon: Trouvez le bien immobilier qui correspond idéalement à vos désirs sur ImmoScout24 - La plateforme de l'immobilier en Suisse.</t>
  </si>
  <si>
    <t>🏘  Vous cherchez un appartement à louer à Bourrignon? ✅ Les annonces les plus actuelles sont sur ImmoScout24.ch.</t>
  </si>
  <si>
    <t>https://www.immoscout24.ch/fr/maison/acheter/lieu-agno</t>
  </si>
  <si>
    <t>Vendre maison Agno: Trouvez le bien immobilier qui correspond idéalement à vos désirs sur ImmoScout24 - La plateforme de l'immobilier en Suisse.</t>
  </si>
  <si>
    <t>🏘  Vous souhaitez acheter une maison à Agno? ✅ Jetez un œil aux dernières offres sur ImmoScout24.ch.</t>
  </si>
  <si>
    <t>https://www.immoscout24.ch/fr/appartement/acheter/lieu-la-conversion</t>
  </si>
  <si>
    <t>Vendre appartement La Conversion: Trouvez le bien immobilier qui correspond idéalement à vos désirs sur ImmoScout24 - La plateforme de l'immobilier en Suisse.</t>
  </si>
  <si>
    <t>🏘  L’appartement de vos rêves se trouve sur ImmoScout24.ch ✅ Découvrez les dernières annonces de vente à La Conversion.</t>
  </si>
  <si>
    <t>https://www.immoscout24.ch/fr/appartement/louer/quartier-weissenbuehl-berne</t>
  </si>
  <si>
    <t>Louer appartement Weissenbühl (Berne): Trouvez le bien immobilier qui correspond idéalement à vos désirs sur ImmoScout24 - La plateforme de l'immobilier en Suisse.</t>
  </si>
  <si>
    <t>🏘  Vous cherchez un appartement à louer dans le quartier de Weissenbühl (Berne)? ✅ Les annonces les plus actuelles sont sur ImmoScout24.ch.</t>
  </si>
  <si>
    <t>https://www.immoscout24.ch/fr/maison/acheter/lieu-hellikon</t>
  </si>
  <si>
    <t>Vendre maison Hellikon: Trouvez le bien immobilier qui correspond idéalement à vos désirs sur ImmoScout24 - La plateforme de l'immobilier en Suisse.</t>
  </si>
  <si>
    <t>🏘  Vous souhaitez acheter une maison à Hellikon? ✅ Jetez un œil aux dernières offres sur ImmoScout24.ch.</t>
  </si>
  <si>
    <t>https://www.immoscout24.ch/fr/maison/acheter/lieu-praz-vully</t>
  </si>
  <si>
    <t>Vendre maison Praz (Vully): Trouvez le bien immobilier qui correspond idéalement à vos désirs sur ImmoScout24 - La plateforme de l'immobilier en Suisse.</t>
  </si>
  <si>
    <t>🏘  Vous souhaitez acheter une maison à Praz (Vully)? ✅ Jetez un œil aux dernières offres sur ImmoScout24.ch.</t>
  </si>
  <si>
    <t>https://www.immoscout24.ch/fr/maison/acheter/lieu-vauderens</t>
  </si>
  <si>
    <t>Vendre maison Vauderens: Trouvez le bien immobilier qui correspond idéalement à vos désirs sur ImmoScout24 - La plateforme de l'immobilier en Suisse.</t>
  </si>
  <si>
    <t>🏘  Vous souhaitez acheter une maison à Vauderens? ✅ Jetez un œil aux dernières offres sur ImmoScout24.ch.</t>
  </si>
  <si>
    <t>https://www.immoscout24.ch/fr/maison/louer/lieu-villarbeney</t>
  </si>
  <si>
    <t>Louer maison Villarbeney: Trouvez le bien immobilier qui correspond idéalement à vos désirs sur ImmoScout24 - La plateforme de l'immobilier en Suisse.</t>
  </si>
  <si>
    <t>🏘  Vous cherchez une maison à louer à Villarbeney? ✅ Découvrez nos nombreuses annonces sur ImmoScout24.ch.</t>
  </si>
  <si>
    <t>https://www.immoscout24.ch/fr/maison/acheter/lieu-nussbaumen-ag</t>
  </si>
  <si>
    <t>Vendre maison Nussbaumen AG: Trouvez le bien immobilier qui correspond idéalement à vos désirs sur ImmoScout24 - La plateforme de l'immobilier en Suisse.</t>
  </si>
  <si>
    <t>🏘  Vous souhaitez acheter une maison à Nussbaumen AG? ✅ Jetez un œil aux dernières offres sur ImmoScout24.ch.</t>
  </si>
  <si>
    <t>https://www.immoscout24.ch/fr/appartement/acheter/quartier-florimont-chissiez-lausanne</t>
  </si>
  <si>
    <t>Vendre appartement Florimont - Chissiez (Lausanne):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</si>
  <si>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Florimont - Chissiez (Lausanne).</t>
  </si>
  <si>
    <t>https://www.immoscout24.ch/fr/appartement/louer/lieu-kilchberg-zh</t>
  </si>
  <si>
    <t>Louer appartement Kilchberg ZH: Trouvez le bien immobilier qui correspond idéalement à vos désirs sur ImmoScout24 - La plateforme de l'immobilier en Suisse.</t>
  </si>
  <si>
    <t>🏘  Vous cherchez un appartement à louer à Kilchberg ZH? ✅ Les annonces les plus actuelles sont sur ImmoScout24.ch.</t>
  </si>
  <si>
    <t>https://www.immoscout24.ch/fr/appartement/louer/lieu-lotzwil</t>
  </si>
  <si>
    <t>Louer appartement Lotzwil: Trouvez le bien immobilier qui correspond idéalement à vos désirs sur ImmoScout24 - La plateforme de l'immobilier en Suisse.</t>
  </si>
  <si>
    <t>🏘  Vous cherchez un appartement à louer à Lotzwil? ✅ Les annonces les plus actuelles sont sur ImmoScout24.ch.</t>
  </si>
  <si>
    <t>https://www.immoscout24.ch/fr/maison/acheter/lieu-bre-sopra-lugano</t>
  </si>
  <si>
    <t>Vendre maison Brè sopra Lugano: Trouvez le bien immobilier qui correspond idéalement à vos désirs sur ImmoScout24 - La plateforme de l'immobilier en Suisse.</t>
  </si>
  <si>
    <t>🏘  Vous souhaitez acheter une maison à Brè sopra Lugano? ✅ Jetez un œil aux dernières offres sur ImmoScout24.ch.</t>
  </si>
  <si>
    <t>https://www.immoscout24.ch/fr/appartement/acheter/pays-france</t>
  </si>
  <si>
    <t>Vendre appartement France: Trouvez le bien immobilier qui correspond idéalement à vos désirs sur ImmoScout24 - La plateforme de l'immobilier en Suisse.</t>
  </si>
  <si>
    <t>🏘  Vous cherchez un appartement à louer en France? ✅ Les annonces les plus actuelles sont sur ImmoScout24.ch.</t>
  </si>
  <si>
    <t>https://www.immoscout24.ch/fr/maison/louer/lieu-les-pontins</t>
  </si>
  <si>
    <t>Louer maison Les Pontins: Trouvez le bien immobilier qui correspond idéalement à vos désirs sur ImmoScout24 - La plateforme de l'immobilier en Suisse.</t>
  </si>
  <si>
    <t>🏘  Vous cherchez une maison à louer aux Pontins? ✅ Découvrez nos nombreuses annonces sur ImmoScout24.ch.</t>
  </si>
  <si>
    <t>https://www.immoscout24.ch/fr/maison/acheter/lieu-lenzerheide-lai</t>
  </si>
  <si>
    <t>Vendre maison Lenzerheide/Lai: Trouvez le bien immobilier qui correspond idéalement à vos désirs sur ImmoScout24 - La plateforme de l'immobilier en Suisse.</t>
  </si>
  <si>
    <t>🏘  Vous souhaitez acheter une maison aunzerheide/Lai? ✅ Jetez un œil aux dernières offres sur ImmoScout24.ch.</t>
  </si>
  <si>
    <t>https://www.immoscout24.ch/fr/appartement/louer/lieu-feusisberg</t>
  </si>
  <si>
    <t>Louer appartement Feusisberg: Trouvez le bien immobilier qui correspond idéalement à vos désirs sur ImmoScout24 - La plateforme de l'immobilier en Suisse.</t>
  </si>
  <si>
    <t>🏘  Vous cherchez un appartement à louer à Feusisberg? ✅ Les annonces les plus actuelles sont sur ImmoScout24.ch.</t>
  </si>
  <si>
    <t>https://www.immoscout24.ch/fr/maison/acheter/lieu-st-ursanne</t>
  </si>
  <si>
    <t>Vendre maison St-Ursanne: Trouvez le bien immobilier qui correspond idéalement à vos désirs sur ImmoScout24 - La plateforme de l'immobilier en Suisse.</t>
  </si>
  <si>
    <t>🏘  Vous souhaitez acheter une maison à St-Ursanne? ✅ Jetez un œil aux dernières offres sur ImmoScout24.ch.</t>
  </si>
  <si>
    <t>https://www.immoscout24.ch/fr/maison/acheter/lieu-coinsins</t>
  </si>
  <si>
    <t>Vendre maison Coinsins: Trouvez le bien immobilier qui correspond idéalement à vos désirs sur ImmoScout24 - La plateforme de l'immobilier en Suisse.</t>
  </si>
  <si>
    <t>🏘  Vous souhaitez acheter une maison à Coinsins? ✅ Jetez un œil aux dernières offres sur ImmoScout24.ch.</t>
  </si>
  <si>
    <t>https://www.immoscout24.ch/fr/appartement/louer/lieu-vals</t>
  </si>
  <si>
    <t>Louer appartement Vals: Trouvez le bien immobilier qui correspond idéalement à vos désirs sur ImmoScout24 - La plateforme de l'immobilier en Suisse.</t>
  </si>
  <si>
    <t>🏘  Vous cherchez un appartement à louer à Vals? ✅ Les annonces les plus actuelles sont sur ImmoScout24.ch.</t>
  </si>
  <si>
    <t>https://www.immoscout24.ch/fr/maison/acheter/pays-usa</t>
  </si>
  <si>
    <t>Vendre maison USA: Trouvez le bien immobilier qui correspond idéalement à vos désirs sur ImmoScout24 - La plateforme de l'immobilier en Suisse.</t>
  </si>
  <si>
    <t>🏘  Vous cherchez un appartement à louer aux USA? ✅ Les annonces les plus actuelles sont sur ImmoScout24.ch.</t>
  </si>
  <si>
    <t>https://www.immoscout24.ch/fr/appartement/acheter/lieu-gampelen</t>
  </si>
  <si>
    <t>Vendre appartement Gampelen: Trouvez le bien immobilier qui correspond idéalement à vos désirs sur ImmoScout24 - La plateforme de l'immobilier en Suisse.</t>
  </si>
  <si>
    <t>🏘  L’appartement de vos rêves se trouve sur ImmoScout24.ch ✅ Découvrez les dernières annonces de vente à Gampelen.</t>
  </si>
  <si>
    <t>https://www.immoscout24.ch/fr/appartement/acheter/lieu-les-geneveys-sur-coffrane</t>
  </si>
  <si>
    <t>Vendre appartement Les Geneveys-sur-Coffrane: Trouvez le bien immobilier qui correspond idéalement à vos désirs sur ImmoScout24 - La plateforme de l'immobilier en Suisse.</t>
  </si>
  <si>
    <t>🏘  L’appartement de vos rêves se trouve sur ImmoScout24.ch ✅ Découvrez les dernières annonces de vente aux Geneveys-sur-Coffrane.</t>
  </si>
  <si>
    <t>https://www.immoscout24.ch/fr/maison/acheter/lieu-lausanne-25</t>
  </si>
  <si>
    <t>Vendre maison Lausanne 25: Trouvez le bien immobilier qui correspond idéalement à vos désirs sur ImmoScout24 - La plateforme de l'immobilier en Suisse.</t>
  </si>
  <si>
    <t>🏘  Vous souhaitez acheter une maison à Lausanne 25? ✅ Jetez un œil aux dernières offres sur ImmoScout24.ch.</t>
  </si>
  <si>
    <t>https://www.immoscout24.ch/fr/appartement/louer/region-laupen-sense</t>
  </si>
  <si>
    <t>Louer appartement Laupen - Sense: Trouvez le bien immobilier qui correspond idéalement à vos désirs sur ImmoScout24 - La plateforme de l'immobilier en Suisse.</t>
  </si>
  <si>
    <t>🏘  Vous cherchez un appartement à louer à Laupen? ✅ Les annonces les plus actuelles sont sur ImmoScout24.ch.</t>
  </si>
  <si>
    <t>https://www.immoscout24.ch/fr/maison/acheter/lieu-concise</t>
  </si>
  <si>
    <t>Vendre maison Concise: Trouvez le bien immobilier qui correspond idéalement à vos désirs sur ImmoScout24 - La plateforme de l'immobilier en Suisse.</t>
  </si>
  <si>
    <t>🏘  Vous souhaitez acheter une maison à Concise? ✅ Jetez un œil aux dernières offres sur ImmoScout24.ch.</t>
  </si>
  <si>
    <t>https://www.immoscout24.ch/fr/appartement/acheter/quartier-bossons-blecherette-lausanne</t>
  </si>
  <si>
    <t>Vendre appartement Bossons - Blécherette (Lausanne):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</si>
  <si>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Bossons - Blécherette (Lausanne).</t>
  </si>
  <si>
    <t>https://www.immoscout24.ch/fr/appartement/louer/lieu-grancia</t>
  </si>
  <si>
    <t>Louer appartement Grancia: Trouvez le bien immobilier qui correspond idéalement à vos désirs sur ImmoScout24 - La plateforme de l'immobilier en Suisse.</t>
  </si>
  <si>
    <t>🏘  Vous cherchez un appartement à louer à Grancia? ✅ Les annonces les plus actuelles sont sur ImmoScout24.ch.</t>
  </si>
  <si>
    <t>https://www.immoscout24.ch/fr/appartement/acheter/lieu-plasselb</t>
  </si>
  <si>
    <t>Vendre appartement Plasselb: Trouvez le bien immobilier qui correspond idéalement à vos désirs sur ImmoScout24 - La plateforme de l'immobilier en Suisse.</t>
  </si>
  <si>
    <t>🏘  L’appartement de vos rêves se trouve sur ImmoScout24.ch ✅ Découvrez les dernières annonces de vente à Plasselb.</t>
  </si>
  <si>
    <t>https://www.immoscout24.ch/fr/maison/acheter/lieu-oftringen</t>
  </si>
  <si>
    <t>Vendre maison Oftringen: Trouvez le bien immobilier qui correspond idéalement à vos désirs sur ImmoScout24 - La plateforme de l'immobilier en Suisse.</t>
  </si>
  <si>
    <t>🏘  Vous souhaitez acheter une maison à Oftringen? ✅ Jetez un œil aux dernières offres sur ImmoScout24.ch.</t>
  </si>
  <si>
    <t>https://www.immoscout24.ch/fr/maison/acheter/lieu-contra</t>
  </si>
  <si>
    <t>Vendre maison Contra: Trouvez le bien immobilier qui correspond idéalement à vos désirs sur ImmoScout24 - La plateforme de l'immobilier en Suisse.</t>
  </si>
  <si>
    <t>🏘  Vous souhaitez acheter une maison à Contra? ✅ Jetez un œil aux dernières offres sur ImmoScout24.ch.</t>
  </si>
  <si>
    <t>https://www.immoscout24.ch/fr/maison/acheter/canton-bale-campagne</t>
  </si>
  <si>
    <t>Vendre maison Canton de Bâle-Campagne: Trouvez le bien immobilier qui correspond idéalement à vos désirs sur ImmoScout24 - La plateforme de l'immobilier en Suisse.</t>
  </si>
  <si>
    <t>🏘  Vous souhaitez acheter une maison dans le Canton de Bâle-Campagne? ✅ Jetez un œil aux dernières offres sur ImmoScout24.ch.</t>
  </si>
  <si>
    <t>https://www.immoscout24.ch/fr/maison/louer/lieu-trelex</t>
  </si>
  <si>
    <t>Louer maison Trélex: Trouvez le bien immobilier qui correspond idéalement à vos désirs sur ImmoScout24 - La plateforme de l'immobilier en Suisse.</t>
  </si>
  <si>
    <t>🏘  Vous cherchez une maison à louer à Trélex? ✅ Découvrez nos nombreuses annonces sur ImmoScout24.ch.</t>
  </si>
  <si>
    <t>https://www.immoscout24.ch/fr/appartement/louer/lieu-mur-vully-vd</t>
  </si>
  <si>
    <t>Louer appartement Mur (Vully) VD: Trouvez le bien immobilier qui correspond idéalement à vos désirs sur ImmoScout24 - La plateforme de l'immobilier en Suisse.</t>
  </si>
  <si>
    <t>🏘  Vous cherchez un appartement à louer à Mur (Vully) VD? ✅ Les annonces les plus actuelles sont sur ImmoScout24.ch.</t>
  </si>
  <si>
    <t>https://www.immoscout24.ch/fr/appartement/louer/lieu-neyruz-sur-moudon</t>
  </si>
  <si>
    <t>Louer appartement Neyruz-sur-Moudon: Trouvez le bien immobilier qui correspond idéalement à vos désirs sur ImmoScout24 - La plateforme de l'immobilier en Suisse.</t>
  </si>
  <si>
    <t>🏘  Vous cherchez un appartement à louer à Neyruz-sur-Moudon? ✅ Les annonces les plus actuelles sont sur ImmoScout24.ch.</t>
  </si>
  <si>
    <t>https://www.immoscout24.ch/fr/maison/louer/lieu-gingins</t>
  </si>
  <si>
    <t>Louer maison Gingins: Trouvez le bien immobilier qui correspond idéalement à vos désirs sur ImmoScout24 - La plateforme de l'immobilier en Suisse.</t>
  </si>
  <si>
    <t>🏘  Vous cherchez une maison à louer à Gingins? ✅ Découvrez nos nombreuses annonces sur ImmoScout24.ch.</t>
  </si>
  <si>
    <t>https://www.immoscout24.ch/fr/maison/louer/lieu-sala-capriasca</t>
  </si>
  <si>
    <t>Louer maison Sala Capriasca: Trouvez le bien immobilier qui correspond idéalement à vos désirs sur ImmoScout24 - La plateforme de l'immobilier en Suisse.</t>
  </si>
  <si>
    <t>🏘  Vous cherchez une maison à louer à Sala Capriasca? ✅ Découvrez nos nombreuses annonces sur ImmoScout24.ch.</t>
  </si>
  <si>
    <t>https://www.immoscout24.ch/fr/appartement/louer/lieu-olten</t>
  </si>
  <si>
    <t>Louer appartement Olten: Trouvez le bien immobilier qui correspond idéalement à vos désirs sur ImmoScout24 - La plateforme de l'immobilier en Suisse.</t>
  </si>
  <si>
    <t>🏘  Vous cherchez un appartement à louer à Olten? ✅ Les annonces les plus actuelles sont sur ImmoScout24.ch.</t>
  </si>
  <si>
    <t>https://www.immoscout24.ch/fr/maison/acheter/lieu-matzendorf</t>
  </si>
  <si>
    <t>Vendre maison Matzendorf: Trouvez le bien immobilier qui correspond idéalement à vos désirs sur ImmoScout24 - La plateforme de l'immobilier en Suisse.</t>
  </si>
  <si>
    <t>🏘  Vous souhaitez acheter une maison à Matzendorf? ✅ Jetez un œil aux dernières offres sur ImmoScout24.ch.</t>
  </si>
  <si>
    <t>https://www.immoscout24.ch/fr/appartement/louer/lieu-corseaux</t>
  </si>
  <si>
    <t>Louer appartement Corseaux: Trouvez le bien immobilier qui correspond idéalement à vos désirs sur ImmoScout24 - La plateforme de l'immobilier en Suisse.</t>
  </si>
  <si>
    <t>🏘  Vous cherchez un appartement à louer à Corseaux? ✅ Les annonces les plus actuelles sont sur ImmoScout24.ch.</t>
  </si>
  <si>
    <t>https://www.immoscout24.ch/fr/appartement/louer/lieu-glion</t>
  </si>
  <si>
    <t>Louer appartement Glion: Trouvez le bien immobilier qui correspond idéalement à vos désirs sur ImmoScout24 - La plateforme de l'immobilier en Suisse.</t>
  </si>
  <si>
    <t>🏘  Vous cherchez un appartement à louer à Glion? ✅ Les annonces les plus actuelles sont sur ImmoScout24.ch.</t>
  </si>
  <si>
    <t>https://www.immoscout24.ch/fr/appartement/louer/quartier-buempliz-berne</t>
  </si>
  <si>
    <t>Louer appartement Bümpliz (Berne): Trouvez le bien immobilier qui correspond idéalement à vos désirs sur ImmoScout24 - La plateforme de l'immobilier en Suisse.</t>
  </si>
  <si>
    <t>🏘  Vous cherchez un appartement à louer dans le quartier de Bümpliz (Berne)? ✅ Les annonces les plus actuelles sont sur ImmoScout24.ch.</t>
  </si>
  <si>
    <t>https://www.immoscout24.ch/fr/appartement/louer/lieu-sion</t>
  </si>
  <si>
    <t>Louer appartement Sion: Trouvez le bien immobilier qui correspond idéalement à vos désirs sur ImmoScout24 - La plateforme de l'immobilier en Suisse.</t>
  </si>
  <si>
    <t>🏘  Vous cherchez un appartement à louer à Sion? ✅ Les annonces les plus actuelles sont sur ImmoScout24.ch.</t>
  </si>
  <si>
    <t>https://www.immoscout24.ch/fr/maison/acheter/lieu-neirivue</t>
  </si>
  <si>
    <t>Vendre maison Neirivue: Trouvez le bien immobilier qui correspond idéalement à vos désirs sur ImmoScout24 - La plateforme de l'immobilier en Suisse.</t>
  </si>
  <si>
    <t>🏘  Vous souhaitez acheter une maison à Neirivue? ✅ Jetez un œil aux dernières offres sur ImmoScout24.ch.</t>
  </si>
  <si>
    <t>https://www.immoscout24.ch/fr/maison/acheter/lieu-villiers</t>
  </si>
  <si>
    <t>Vendre maison Villiers: Trouvez le bien immobilier qui correspond idéalement à vos désirs sur ImmoScout24 - La plateforme de l'immobilier en Suisse.</t>
  </si>
  <si>
    <t>🏘  Vous souhaitez acheter une maison à Villiers? ✅ Jetez un œil aux dernières offres sur ImmoScout24.ch.</t>
  </si>
  <si>
    <t>https://www.immoscout24.ch/fr/appartement/acheter/lieu-romanel-sur-lausanne</t>
  </si>
  <si>
    <t>Vendre appartement Romanel-sur-Lausanne: Trouvez le bien immobilier qui correspond idéalement à vos désirs sur ImmoScout24 - La plateforme de l'immobilier en Suisse.</t>
  </si>
  <si>
    <t>🏘  L’appartement de vos rêves se trouve sur ImmoScout24.ch ✅ Découvrez les dernières annonces de vente à Romanel-sur-Lausanne.</t>
  </si>
  <si>
    <t>https://www.immoscout24.ch/fr/maison/acheter/lieu-galmiz</t>
  </si>
  <si>
    <t>Vendre maison Galmiz: Trouvez le bien immobilier qui correspond idéalement à vos désirs sur ImmoScout24 - La plateforme de l'immobilier en Suisse.</t>
  </si>
  <si>
    <t>🏘  Vous souhaitez acheter une maison à Galmiz? ✅ Jetez un œil aux dernières offres sur ImmoScout24.ch.</t>
  </si>
  <si>
    <t>https://www.immoscout24.ch/fr/maison/acheter/lieu-fiaugeres</t>
  </si>
  <si>
    <t>Vendre maison Fiaugères: Trouvez le bien immobilier qui correspond idéalement à vos désirs sur ImmoScout24 - La plateforme de l'immobilier en Suisse.</t>
  </si>
  <si>
    <t>🏘  Vous souhaitez acheter une maison à Fiaugères? ✅ Jetez un œil aux dernières offres sur ImmoScout24.ch.</t>
  </si>
  <si>
    <t>https://www.immoscout24.ch/fr/maison/louer/lieu-rueyres</t>
  </si>
  <si>
    <t>Louer maison Rueyres: Trouvez le bien immobilier qui correspond idéalement à vos désirs sur ImmoScout24 - La plateforme de l'immobilier en Suisse.</t>
  </si>
  <si>
    <t>🏘  Vous cherchez une maison à louer à Rueyres? ✅ Découvrez nos nombreuses annonces sur ImmoScout24.ch.</t>
  </si>
  <si>
    <t>https://www.immoscout24.ch/fr/appartement/louer/quartier-succes-la-chaux-de-fonds</t>
  </si>
  <si>
    <t>Louer appartement Succès (La Chaux-de-Fonds): Trouvez le bien immobilier qui correspond idéalement à vos désirs sur ImmoScout24 - La plateforme de l'immobilier en Suisse.</t>
  </si>
  <si>
    <t>🏘  Vous cherchez un appartement à louer dans le quartier de Succès (La Chaux-de-Fonds)? ✅ Les annonces les plus actuelles sont sur ImmoScout24.ch.</t>
  </si>
  <si>
    <t>https://www.immoscout24.ch/fr/maison/acheter/lieu-buehler</t>
  </si>
  <si>
    <t>Vendre maison Bühler: Trouvez le bien immobilier qui correspond idéalement à vos désirs sur ImmoScout24 - La plateforme de l'immobilier en Suisse.</t>
  </si>
  <si>
    <t>🏘  Vous souhaitez acheter une maison à Bühler? ✅ Jetez un œil aux dernières offres sur ImmoScout24.ch.</t>
  </si>
  <si>
    <t>https://www.immoscout24.ch/fr/maison/acheter/lieu-piotta</t>
  </si>
  <si>
    <t>Vendre maison Piotta: Trouvez le bien immobilier qui correspond idéalement à vos désirs sur ImmoScout24 - La plateforme de l'immobilier en Suisse.</t>
  </si>
  <si>
    <t>🏘  Vous souhaitez acheter une maison à Piotta? ✅ Jetez un œil aux dernières offres sur ImmoScout24.ch.</t>
  </si>
  <si>
    <t>https://www.immoscout24.ch/fr/maison/acheter/lieu-strada</t>
  </si>
  <si>
    <t>Vendre maison Strada: Trouvez le bien immobilier qui correspond idéalement à vos désirs sur ImmoScout24 - La plateforme de l'immobilier en Suisse.</t>
  </si>
  <si>
    <t>🏘  Vous souhaitez acheter une maison à Strada? ✅ Jetez un œil aux dernières offres sur ImmoScout24.ch.</t>
  </si>
  <si>
    <t>https://www.immoscout24.ch/fr/maison/acheter/lieu-twann</t>
  </si>
  <si>
    <t>Vendre maison Twann: Trouvez le bien immobilier qui correspond idéalement à vos désirs sur ImmoScout24 - La plateforme de l'immobilier en Suisse.</t>
  </si>
  <si>
    <t>🏘  Vous souhaitez acheter une maison à Twann? ✅ Jetez un œil aux dernières offres sur ImmoScout24.ch.</t>
  </si>
  <si>
    <t>https://www.immoscout24.ch/fr/maison/louer/lieu-attalens</t>
  </si>
  <si>
    <t>Louer maison Attalens: Trouvez le bien immobilier qui correspond idéalement à vos désirs sur ImmoScout24 - La plateforme de l'immobilier en Suisse.</t>
  </si>
  <si>
    <t>🏘  Vous cherchez une maison à louer à Attalens? ✅ Découvrez nos nombreuses annonces sur ImmoScout24.ch.</t>
  </si>
  <si>
    <t>https://www.immoscout24.ch/fr/appartement/acheter/lieu-uvrier</t>
  </si>
  <si>
    <t>Vendre appartement Uvrier: Trouvez le bien immobilier qui correspond idéalement à vos désirs sur ImmoScout24 - La plateforme de l'immobilier en Suisse.</t>
  </si>
  <si>
    <t>🏘  L’appartement de vos rêves se trouve sur ImmoScout24.ch ✅ Découvrez les dernières annonces de vente à Uvrier.</t>
  </si>
  <si>
    <t>https://www.immoscout24.ch/fr/maison/louer/quartier-chailly-rovereaz-lausanne</t>
  </si>
  <si>
    <t>Louer maison Chailly - Rovéréaz (Lausanne): Trouvez le bien immobilier qui correspond idéalement à vos désirs sur ImmoScout24 - La plateforme de l'immobilier en Suisse.</t>
  </si>
  <si>
    <t>🏘  Vous cherchez une maison à louer dans le quartier de Chailly - Rovéréaz (Lausanne)? ✅ Découvrez nos nombreuses annonces sur ImmoScout24.ch.</t>
  </si>
  <si>
    <t>https://www.immoscout24.ch/fr/maison/louer/lieu-st-leonard</t>
  </si>
  <si>
    <t>Louer maison St-Léonard: Trouvez le bien immobilier qui correspond idéalement à vos désirs sur ImmoScout24 - La plateforme de l'immobilier en Suisse.</t>
  </si>
  <si>
    <t>🏘  Vous cherchez une maison à louer à St-Léonard? ✅ Découvrez nos nombreuses annonces sur ImmoScout24.ch.</t>
  </si>
  <si>
    <t>https://www.immoscout24.ch/fr/appartement/acheter/canton-jura</t>
  </si>
  <si>
    <t>Vendre appartement Canton du Jura: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</si>
  <si>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du Jura.</t>
  </si>
  <si>
    <t>https://www.immoscout24.ch/fr/appartement/louer/lieu-muerren</t>
  </si>
  <si>
    <t>Louer appartement Mürren: Trouvez le bien immobilier qui correspond idéalement à vos désirs sur ImmoScout24 - La plateforme de l'immobilier en Suisse.</t>
  </si>
  <si>
    <t>🏘  Vous cherchez un appartement à louer à Mürren? ✅ Les annonces les plus actuelles sont sur ImmoScout24.ch.</t>
  </si>
  <si>
    <t>https://www.immoscout24.ch/fr/appartement/louer/lieu-fontaine-dessus-liddes</t>
  </si>
  <si>
    <t>Louer appartement Fontaine Dessus (Liddes): Trouvez le bien immobilier qui correspond idéalement à vos désirs sur ImmoScout24 - La plateforme de l'immobilier en Suisse.</t>
  </si>
  <si>
    <t>🏘  Vous cherchez un appartement à louer à Fontaine Dessus (Liddes)? ✅ Les annonces les plus actuelles sont sur ImmoScout24.ch.</t>
  </si>
  <si>
    <t>https://www.immoscout24.ch/fr/maison/acheter/lieu-bercher</t>
  </si>
  <si>
    <t>Vendre maison Bercher: Trouvez le bien immobilier qui correspond idéalement à vos désirs sur ImmoScout24 - La plateforme de l'immobilier en Suisse.</t>
  </si>
  <si>
    <t>🏘  Vous souhaitez acheter une maison à Bercher? ✅ Jetez un œil aux dernières offres sur ImmoScout24.ch.</t>
  </si>
  <si>
    <t>https://www.immoscout24.ch/fr/maison/louer/lieu-ecublens-vd</t>
  </si>
  <si>
    <t>Louer maison Ecublens VD: Trouvez le bien immobilier qui correspond idéalement à vos désirs sur ImmoScout24 - La plateforme de l'immobilier en Suisse.</t>
  </si>
  <si>
    <t>🏘  Vous cherchez une maison à louer à Ecublens VD? ✅ Découvrez nos nombreuses annonces sur ImmoScout24.ch.</t>
  </si>
  <si>
    <t>https://www.immoscout24.ch/fr/appartement/louer/lieu-granges-veveyse</t>
  </si>
  <si>
    <t>Louer appartement Granges (Veveyse): Trouvez le bien immobilier qui correspond idéalement à vos désirs sur ImmoScout24 - La plateforme de l'immobilier en Suisse.</t>
  </si>
  <si>
    <t>🏘  Vous cherchez un appartement à louer à Granges (Veveyse)? ✅ Les annonces les plus actuelles sont sur ImmoScout24.ch.</t>
  </si>
  <si>
    <t>https://www.immoscout24.ch/fr/appartement/louer/lieu-glattpark-opfikon</t>
  </si>
  <si>
    <t>Louer appartement Glattpark (Opfikon): Trouvez le bien immobilier qui correspond idéalement à vos désirs sur ImmoScout24 - La plateforme de l'immobilier en Suisse.</t>
  </si>
  <si>
    <t>🏘  Vous cherchez un appartement à louer à Glattpark (Opfikon)? ✅ Les annonces les plus actuelles sont sur ImmoScout24.ch.</t>
  </si>
  <si>
    <t>https://www.immoscout24.ch/fr/appartement/acheter/lieu-le-brassus</t>
  </si>
  <si>
    <t>Vendre appartement Le Brassus: Trouvez le bien immobilier qui correspond idéalement à vos désirs sur ImmoScout24 - La plateforme de l'immobilier en Suisse.</t>
  </si>
  <si>
    <t>🏘  L’appartement de vos rêves se trouve sur ImmoScout24.ch ✅ Découvrez les dernières annonces de vente au Brassus.</t>
  </si>
  <si>
    <t>https://www.immoscout24.ch/fr/maison/acheter/pays-france</t>
  </si>
  <si>
    <t>Vendre maison France: Trouvez le bien immobilier qui correspond idéalement à vos désirs sur ImmoScout24 - La plateforme de l'immobilier en Suisse.</t>
  </si>
  <si>
    <t>https://www.immoscout24.ch/fr/appartement/acheter/lieu-stans</t>
  </si>
  <si>
    <t>Vendre appartement Stans: Trouvez le bien immobilier qui correspond idéalement à vos désirs sur ImmoScout24 - La plateforme de l'immobilier en Suisse.</t>
  </si>
  <si>
    <t>🏘  L’appartement de vos rêves se trouve sur ImmoScout24.ch ✅ Découvrez les dernières annonces de vente à Stans.</t>
  </si>
  <si>
    <t>https://www.immoscout24.ch/fr/maison/louer/lieu-lutry</t>
  </si>
  <si>
    <t>Louer maison Lutry: Trouvez le bien immobilier qui correspond idéalement à vos désirs sur ImmoScout24 - La plateforme de l'immobilier en Suisse.</t>
  </si>
  <si>
    <t>🏘  Vous cherchez une maison à louer à Lutry? ✅ Découvrez nos nombreuses annonces sur ImmoScout24.ch.</t>
  </si>
  <si>
    <t>https://www.immoscout24.ch/fr/appartement/acheter/lieu-kerzers</t>
  </si>
  <si>
    <t>Vendre appartement Kerzers: Trouvez le bien immobilier qui correspond idéalement à vos désirs sur ImmoScout24 - La plateforme de l'immobilier en Suisse.</t>
  </si>
  <si>
    <t>🏘  L’appartement de vos rêves se trouve sur ImmoScout24.ch ✅ Découvrez les dernières annonces de vente à Kerzers.</t>
  </si>
  <si>
    <t>https://www.immoscout24.ch/fr/maison/acheter/lieu-ecuvillens</t>
  </si>
  <si>
    <t>Vendre maison Ecuvillens: Trouvez le bien immobilier qui correspond idéalement à vos désirs sur ImmoScout24 - La plateforme de l'immobilier en Suisse.</t>
  </si>
  <si>
    <t>🏘  Vous souhaitez acheter une maison à Ecuvillens? ✅ Jetez un œil aux dernières offres sur ImmoScout24.ch.</t>
  </si>
  <si>
    <t>https://www.immoscout24.ch/fr/maison/acheter/lieu-les-bayards</t>
  </si>
  <si>
    <t>Vendre maison Les Bayards: Trouvez le bien immobilier qui correspond idéalement à vos désirs sur ImmoScout24 - La plateforme de l'immobilier en Suisse.</t>
  </si>
  <si>
    <t>🏘  Vous souhaitez acheter une maison aux Bayards? ✅ Jetez un œil aux dernières offres sur ImmoScout24.ch.</t>
  </si>
  <si>
    <t>https://www.immoscout24.ch/fr/appartement/louer/lieu-safenwil</t>
  </si>
  <si>
    <t>Louer appartement Safenwil: Trouvez le bien immobilier qui correspond idéalement à vos désirs sur ImmoScout24 - La plateforme de l'immobilier en Suisse.</t>
  </si>
  <si>
    <t>🏘  Vous cherchez un appartement à louer à Safenwil? ✅ Les annonces les plus actuelles sont sur ImmoScout24.ch.</t>
  </si>
  <si>
    <t>https://www.immoscout24.ch/fr/appartement/acheter/lieu-sugiez</t>
  </si>
  <si>
    <t>Vendre appartement Sugiez: Trouvez le bien immobilier qui correspond idéalement à vos désirs sur ImmoScout24 - La plateforme de l'immobilier en Suisse.</t>
  </si>
  <si>
    <t>🏘  L’appartement de vos rêves se trouve sur ImmoScout24.ch ✅ Découvrez les dernières annonces de vente à Sugiez.</t>
  </si>
  <si>
    <t>https://www.immoscout24.ch/fr/maison/acheter/lieu-riehen</t>
  </si>
  <si>
    <t>Vendre maison Riehen: Trouvez le bien immobilier qui correspond idéalement à vos désirs sur ImmoScout24 - La plateforme de l'immobilier en Suisse.</t>
  </si>
  <si>
    <t>🏘  Vous souhaitez acheter une maison à Riehen? ✅ Jetez un œil aux dernières offres sur ImmoScout24.ch.</t>
  </si>
  <si>
    <t>https://www.immoscout24.ch/fr/maison/louer/lieu-miege</t>
  </si>
  <si>
    <t>Louer maison Miège: Trouvez le bien immobilier qui correspond idéalement à vos désirs sur ImmoScout24 - La plateforme de l'immobilier en Suisse.</t>
  </si>
  <si>
    <t>🏘  Vous cherchez une maison à louer à Miège? ✅ Découvrez nos nombreuses annonces sur ImmoScout24.ch.</t>
  </si>
  <si>
    <t>https://www.immoscout24.ch/fr/appartement/acheter/lieu-villa-evolene</t>
  </si>
  <si>
    <t>Vendre appartement Villa (Evolène): Trouvez le bien immobilier qui correspond idéalement à vos désirs sur ImmoScout24 - La plateforme de l'immobilier en Suisse.</t>
  </si>
  <si>
    <t>🏘  L’appartement de vos rêves se trouve sur ImmoScout24.ch ✅ Découvrez les dernières annonces de vente à Villa (Evolène).</t>
  </si>
  <si>
    <t>https://www.immoscout24.ch/fr/maison/acheter/lieu-st-leonard</t>
  </si>
  <si>
    <t>Vendre maison St-Léonard: Trouvez le bien immobilier qui correspond idéalement à vos désirs sur ImmoScout24 - La plateforme de l'immobilier en Suisse.</t>
  </si>
  <si>
    <t>🏘  Vous souhaitez acheter une maison à St-Léonard? ✅ Jetez un œil aux dernières offres sur ImmoScout24.ch.</t>
  </si>
  <si>
    <t>https://www.immoscout24.ch/fr/maison/acheter/quartier-centre-ville-lausanne</t>
  </si>
  <si>
    <t>Vendre maison Centre-Ville (Lausanne): Trouvez le bien immobilier qui correspond idéalement à vos désirs sur ImmoScout24 - La plateforme de l'immobilier en Suisse.</t>
  </si>
  <si>
    <t>🏘  Vous souhaitez acheter une maison au Centre-Ville (Lausanne)? ✅ Jetez un œil aux dernières offres sur ImmoScout24.ch.</t>
  </si>
  <si>
    <t>https://www.immoscout24.ch/fr/appartement/louer/lieu-les-rasses</t>
  </si>
  <si>
    <t>Louer appartement Les Rasses: Trouvez le bien immobilier qui correspond idéalement à vos désirs sur ImmoScout24 - La plateforme de l'immobilier en Suisse.</t>
  </si>
  <si>
    <t>🏘  Vous cherchez un appartement à louer aux Rasses? ✅ Les annonces les plus actuelles sont sur ImmoScout24.ch.</t>
  </si>
  <si>
    <t>https://www.immoscout24.ch/fr/appartement/acheter/region-val-de-ruz</t>
  </si>
  <si>
    <t>Vendre appartement Val de Ruz: Trouvez le bien immobilier qui correspond idéalement à vos désirs sur ImmoScout24 - La plateforme de l'immobilier en Suisse.</t>
  </si>
  <si>
    <t>🏘  L’appartement de vos rêves se trouve sur ImmoScout24.ch ✅ Découvrez les dernières annonces de vente dans le Val-de-Ruz.</t>
  </si>
  <si>
    <t>https://www.immoscout24.ch/fr/appartement/louer/lieu-echichens</t>
  </si>
  <si>
    <t>Louer appartement Echichens: Trouvez le bien immobilier qui correspond idéalement à vos désirs sur ImmoScout24 - La plateforme de l'immobilier en Suisse.</t>
  </si>
  <si>
    <t>🏘  Vous cherchez un appartement à louer à Echichens? ✅ Les annonces les plus actuelles sont sur ImmoScout24.ch.</t>
  </si>
  <si>
    <t>https://www.immoscout24.ch/fr/appartement/louer/lieu-essertines-sur-yverdon</t>
  </si>
  <si>
    <t>Louer appartement Essertines-sur-Yverdon: Trouvez le bien immobilier qui correspond idéalement à vos désirs sur ImmoScout24 - La plateforme de l'immobilier en Suisse.</t>
  </si>
  <si>
    <t>🏘  Vous cherchez un appartement à louer à Essertines-sur-Yverdon? ✅ Les annonces les plus actuelles sont sur ImmoScout24.ch.</t>
  </si>
  <si>
    <t>https://www.immoscout24.ch/fr/appartement/louer/lieu-pfeffingen</t>
  </si>
  <si>
    <t>Louer appartement Pfeffingen: Trouvez le bien immobilier qui correspond idéalement à vos désirs sur ImmoScout24 - La plateforme de l'immobilier en Suisse.</t>
  </si>
  <si>
    <t>🏘  Vous cherchez un appartement à louer à Pfeffingen? ✅ Les annonces les plus actuelles sont sur ImmoScout24.ch.</t>
  </si>
  <si>
    <t>https://www.immoscout24.ch/fr/appartement/acheter/lieu-bruegg-be</t>
  </si>
  <si>
    <t>Vendre appartement Brügg BE: Trouvez le bien immobilier qui correspond idéalement à vos désirs sur ImmoScout24 - La plateforme de l'immobilier en Suisse.</t>
  </si>
  <si>
    <t>🏘  L’appartement de vos rêves se trouve sur ImmoScout24.ch ✅ Découvrez les dernières annonces de vente à Brügg BE.</t>
  </si>
  <si>
    <t>https://www.immoscout24.ch/fr/appartement/louer/quartier-blumenau-winterthur</t>
  </si>
  <si>
    <t>Louer appartement Blumenau (Winterthur): Trouvez le bien immobilier qui correspond idéalement à vos désirs sur ImmoScout24 - La plateforme de l'immobilier en Suisse.</t>
  </si>
  <si>
    <t>🏘  Vous cherchez un appartement à louer dans le quartier de Blumenau (Winterthur)? ✅ Les annonces les plus actuelles sont sur ImmoScout24.ch.</t>
  </si>
  <si>
    <t>https://www.immoscout24.ch/fr/appartement/louer/lieu-preles</t>
  </si>
  <si>
    <t>Louer appartement Prêles: Trouvez le bien immobilier qui correspond idéalement à vos désirs sur ImmoScout24 - La plateforme de l'immobilier en Suisse.</t>
  </si>
  <si>
    <t>🏘  Vous cherchez un appartement à louer à Prêles? ✅ Les annonces les plus actuelles sont sur ImmoScout24.ch.</t>
  </si>
  <si>
    <t>https://www.immoscout24.ch/fr/maison/acheter/lieu-vuadens</t>
  </si>
  <si>
    <t>Vendre maison Vuadens: Trouvez le bien immobilier qui correspond idéalement à vos désirs sur ImmoScout24 - La plateforme de l'immobilier en Suisse.</t>
  </si>
  <si>
    <t>🏘  Vous souhaitez acheter une maison à Vuadens? ✅ Jetez un œil aux dernières offres sur ImmoScout24.ch.</t>
  </si>
  <si>
    <t>https://www.immoscout24.ch/fr/appartement/louer/region-glarnerland</t>
  </si>
  <si>
    <t>Louer appartement Glarnerland: Trouvez le bien immobilier qui correspond idéalement à vos désirs sur ImmoScout24 - La plateforme de l'immobilier en Suisse.</t>
  </si>
  <si>
    <t>🏘  Vous cherchez un appartement à louer dans le Glarnerland? ✅ Les annonces les plus actuelles sont sur ImmoScout24.ch.</t>
  </si>
  <si>
    <t>https://www.immoscout24.ch/fr/maison/acheter/lieu-villette-lavaux</t>
  </si>
  <si>
    <t>Vendre maison Villette (Lavaux): Trouvez le bien immobilier qui correspond idéalement à vos désirs sur ImmoScout24 - La plateforme de l'immobilier en Suisse.</t>
  </si>
  <si>
    <t>🏘  Vous souhaitez acheter une maison à Villette (Lavaux)? ✅ Jetez un œil aux dernières offres sur ImmoScout24.ch.</t>
  </si>
  <si>
    <t>https://www.immoscout24.ch/fr/maison/acheter/lieu-st-prex</t>
  </si>
  <si>
    <t>Vendre maison St-Prex: Trouvez le bien immobilier qui correspond idéalement à vos désirs sur ImmoScout24 - La plateforme de l'immobilier en Suisse.</t>
  </si>
  <si>
    <t>🏘  Vous souhaitez acheter une maison à St-Prex? ✅ Jetez un œil aux dernières offres sur ImmoScout24.ch.</t>
  </si>
  <si>
    <t>https://www.immoscout24.ch/fr/appartement/acheter/lieu-flumserberg-tannenheim</t>
  </si>
  <si>
    <t>Vendre appartement Flumserberg Tannenheim: Trouvez le bien immobilier qui correspond idéalement à vos désirs sur ImmoScout24 - La plateforme de l'immobilier en Suisse.</t>
  </si>
  <si>
    <t>🏘  L’appartement de vos rêves se trouve sur ImmoScout24.ch ✅ Découvrez les dernières annonces de vente à Flumserberg Tannenheim.</t>
  </si>
  <si>
    <t>https://www.immoscout24.ch/fr/maison/acheter/quartier-nouvelle-ville-sud-biel-bienne</t>
  </si>
  <si>
    <t>Vendre maison Nouvelle ville sud (Biel/Bienne): Trouvez le bien immobilier qui correspond idéalement à vos désirs sur ImmoScout24 - La plateforme de l'immobilier en Suisse.</t>
  </si>
  <si>
    <t>🏘  Vous souhaitez acheter une maison dans le quartier de la Nouvelle ville sud (Biel/Bienne)? ✅ Jetez un œil aux dernières offres sur ImmoScout24.ch.</t>
  </si>
  <si>
    <t>https://www.immoscout24.ch/fr/appartement/louer/lieu-la-roche-fr</t>
  </si>
  <si>
    <t>Louer appartement La Roche FR: Trouvez le bien immobilier qui correspond idéalement à vos désirs sur ImmoScout24 - La plateforme de l'immobilier en Suisse.</t>
  </si>
  <si>
    <t>🏘  Vous cherchez un appartement à louer à La Roche FR? ✅ Les annonces les plus actuelles sont sur ImmoScout24.ch.</t>
  </si>
  <si>
    <t>https://www.immoscout24.ch/fr/appartement/louer/lieu-eclepens</t>
  </si>
  <si>
    <t>Louer appartement Eclépens: Trouvez le bien immobilier qui correspond idéalement à vos désirs sur ImmoScout24 - La plateforme de l'immobilier en Suisse.</t>
  </si>
  <si>
    <t>🏘  Vous cherchez un appartement à louer à Eclépens? ✅ Les annonces les plus actuelles sont sur ImmoScout24.ch.</t>
  </si>
  <si>
    <t>https://www.immoscout24.ch/fr/appartement/acheter/lieu-villeret</t>
  </si>
  <si>
    <t>Vendre appartement Villeret: Trouvez le bien immobilier qui correspond idéalement à vos désirs sur ImmoScout24 - La plateforme de l'immobilier en Suisse.</t>
  </si>
  <si>
    <t>🏘  L’appartement de vos rêves se trouve sur ImmoScout24.ch ✅ Découvrez les dernières annonces de vente à Villeret.</t>
  </si>
  <si>
    <t>https://www.immoscout24.ch/fr/appartement/louer/lieu-troistorrents</t>
  </si>
  <si>
    <t>Louer appartement Troistorrents: Trouvez le bien immobilier qui correspond idéalement à vos désirs sur ImmoScout24 - La plateforme de l'immobilier en Suisse.</t>
  </si>
  <si>
    <t>🏘  Vous cherchez un appartement à louer à Troistorrents? ✅ Les annonces les plus actuelles sont sur ImmoScout24.ch.</t>
  </si>
  <si>
    <t>https://www.immoscout24.ch/fr/appartement/louer/lieu-uetliberg</t>
  </si>
  <si>
    <t>Louer appartement Uetliberg: Trouvez le bien immobilier qui correspond idéalement à vos désirs sur ImmoScout24 - La plateforme de l'immobilier en Suisse.</t>
  </si>
  <si>
    <t>🏘  Vous cherchez un appartement à louer à Uetliberg? ✅ Les annonces les plus actuelles sont sur ImmoScout24.ch.</t>
  </si>
  <si>
    <t>https://www.immoscout24.ch/fr/maison/acheter/lieu-les-ponts-de-martel</t>
  </si>
  <si>
    <t>Vendre maison Les Ponts-de-Martel: Trouvez le bien immobilier qui correspond idéalement à vos désirs sur ImmoScout24 - La plateforme de l'immobilier en Suisse.</t>
  </si>
  <si>
    <t>🏘  Vous souhaitez acheter une maison aux Ponts-de-Martel? ✅ Jetez un œil aux dernières offres sur ImmoScout24.ch.</t>
  </si>
  <si>
    <t>https://www.immoscout24.ch/fr/appartement/louer/lieu-campione-d-italia</t>
  </si>
  <si>
    <t>Louer appartement Campione d'Italia: Trouvez le bien immobilier qui correspond idéalement à vos désirs sur ImmoScout24 - La plateforme de l'immobilier en Suisse.</t>
  </si>
  <si>
    <t>🏘  Vous cherchez un appartement à louer à Campione d'Italia? ✅ Les annonces les plus actuelles sont sur ImmoScout24.ch.</t>
  </si>
  <si>
    <t>https://www.immoscout24.ch/fr/maison/acheter/lieu-la-roche-fr</t>
  </si>
  <si>
    <t>Vendre maison La Roche FR: Trouvez le bien immobilier qui correspond idéalement à vos désirs sur ImmoScout24 - La plateforme de l'immobilier en Suisse.</t>
  </si>
  <si>
    <t>🏘  Vous souhaitez acheter une maison à La Roche FR? ✅ Jetez un œil aux dernières offres sur ImmoScout24.ch.</t>
  </si>
  <si>
    <t>https://www.immoscout24.ch/fr/maison/louer/canton-vaud</t>
  </si>
  <si>
    <t>Louer maison Canton de Vaud: Trouvez le bien immobilier qui correspond idéalement à vos désirs sur ImmoScout24 - La plateforme de l'immobilier en Suisse.</t>
  </si>
  <si>
    <t>🏘  Vous cherchez une maison à louer dans le Canton de Vaud? ✅ Découvrez nos nombreuses annonces sur ImmoScout24.ch.</t>
  </si>
  <si>
    <t>https://www.immoscout24.ch/fr/appartement/louer/lieu-rougemont</t>
  </si>
  <si>
    <t>Louer appartement Rougemont: Trouvez le bien immobilier qui correspond idéalement à vos désirs sur ImmoScout24 - La plateforme de l'immobilier en Suisse.</t>
  </si>
  <si>
    <t>🏘  Vous cherchez un appartement à louer à Rougemont? ✅ Les annonces les plus actuelles sont sur ImmoScout24.ch.</t>
  </si>
  <si>
    <t>https://www.immoscout24.ch/fr/appartement/louer/lieu-kallnach</t>
  </si>
  <si>
    <t>Louer appartement Kallnach: Trouvez le bien immobilier qui correspond idéalement à vos désirs sur ImmoScout24 - La plateforme de l'immobilier en Suisse.</t>
  </si>
  <si>
    <t>🏘  Vous cherchez un appartement à louer à Kallnach? ✅ Les annonces les plus actuelles sont sur ImmoScout24.ch.</t>
  </si>
  <si>
    <t>https://www.immoscout24.ch/fr/maison/acheter/lieu-trelex</t>
  </si>
  <si>
    <t>Vendre maison Trélex: Trouvez le bien immobilier qui correspond idéalement à vos désirs sur ImmoScout24 - La plateforme de l'immobilier en Suisse.</t>
  </si>
  <si>
    <t>🏘  Vous souhaitez acheter une maison à Trélex? ✅ Jetez un œil aux dernières offres sur ImmoScout24.ch.</t>
  </si>
  <si>
    <t>https://www.immoscout24.ch/fr/appartement/louer/lieu-aesch-zh</t>
  </si>
  <si>
    <t>Louer appartement Aesch ZH: Trouvez le bien immobilier qui correspond idéalement à vos désirs sur ImmoScout24 - La plateforme de l'immobilier en Suisse.</t>
  </si>
  <si>
    <t>🏘  Vous cherchez un appartement à louer à Aesch ZH? ✅ Les annonces les plus actuelles sont sur ImmoScout24.ch.</t>
  </si>
  <si>
    <t>https://www.immoscout24.ch/fr/appartement/louer/lieu-vaumarcus</t>
  </si>
  <si>
    <t>Louer appartement Vaumarcus: Trouvez le bien immobilier qui correspond idéalement à vos désirs sur ImmoScout24 - La plateforme de l'immobilier en Suisse.</t>
  </si>
  <si>
    <t>🏘  Vous cherchez un appartement à louer à Vaumarcus? ✅ Les annonces les plus actuelles sont sur ImmoScout24.ch.</t>
  </si>
  <si>
    <t>https://www.immoscout24.ch/fr/appartement/acheter/lieu-st-gingolph</t>
  </si>
  <si>
    <t>Vendre appartement St-Gingolph: Trouvez le bien immobilier qui correspond idéalement à vos désirs sur ImmoScout24 - La plateforme de l'immobilier en Suisse.</t>
  </si>
  <si>
    <t>🏘  L’appartement de vos rêves se trouve sur ImmoScout24.ch ✅ Découvrez les dernières annonces de vente à St-Gingolph.</t>
  </si>
  <si>
    <t>https://www.immoscout24.ch/fr/appartement/acheter/lieu-wangen-b-duebendorf</t>
  </si>
  <si>
    <t>Vendre appartement Wangen b. Dübendorf: Trouvez le bien immobilier qui correspond idéalement à vos désirs sur ImmoScout24 - La plateforme de l'immobilier en Suisse.</t>
  </si>
  <si>
    <t>🏘  L’appartement de vos rêves se trouve sur ImmoScout24.ch ✅ Découvrez les dernières annonces de vente à Wangen b. Dübendorf.</t>
  </si>
  <si>
    <t>https://www.immoscout24.ch/fr/appartement/acheter/lieu-les-brenets</t>
  </si>
  <si>
    <t>Vendre appartement Les Brenets: Trouvez le bien immobilier qui correspond idéalement à vos désirs sur ImmoScout24 - La plateforme de l'immobilier en Suisse.</t>
  </si>
  <si>
    <t>🏘  L’appartement de vos rêves se trouve sur ImmoScout24.ch ✅ Découvrez les dernières annonces de vente aux Brenets.</t>
  </si>
  <si>
    <t>https://www.immoscout24.ch/fr/appartement/louer/pays-belgique</t>
  </si>
  <si>
    <t>Louer appartement Belgique: Trouvez le bien immobilier qui correspond idéalement à vos désirs sur ImmoScout24 - La plateforme de l'immobilier en Suisse.</t>
  </si>
  <si>
    <t>🏘  Vous cherchez un appartement à louer en Belgique? ✅ Les annonces les plus actuelles sont sur ImmoScout24.ch.</t>
  </si>
  <si>
    <t>https://www.immoscout24.ch/fr/maison/acheter/region-tre-valli</t>
  </si>
  <si>
    <t>Vendre maison Tre Valli: Trouvez le bien immobilier qui correspond idéalement à vos désirs sur ImmoScout24 - La plateforme de l'immobilier en Suisse.</t>
  </si>
  <si>
    <t>🏘  Vous souhaitez acheter une maison dans la région de Tre Valli? ✅ Jetez un œil aux dernières offres sur ImmoScout24.ch.</t>
  </si>
  <si>
    <t>https://www.immoscout24.ch/fr/maison/acheter/lieu-longirod</t>
  </si>
  <si>
    <t>Vendre maison Longirod: Trouvez le bien immobilier qui correspond idéalement à vos désirs sur ImmoScout24 - La plateforme de l'immobilier en Suisse.</t>
  </si>
  <si>
    <t>🏘  Vous souhaitez acheter une maison à Longirod? ✅ Jetez un œil aux dernières offres sur ImmoScout24.ch.</t>
  </si>
  <si>
    <t>https://www.immoscout24.ch/fr/maison/louer/lieu-pomy</t>
  </si>
  <si>
    <t>Louer maison Pomy: Trouvez le bien immobilier qui correspond idéalement à vos désirs sur ImmoScout24 - La plateforme de l'immobilier en Suisse.</t>
  </si>
  <si>
    <t>🏘  Vous cherchez une maison à louer à Pomy? ✅ Découvrez nos nombreuses annonces sur ImmoScout24.ch.</t>
  </si>
  <si>
    <t>https://www.immoscout24.ch/fr/maison/acheter/lieu-chatel-st-denis</t>
  </si>
  <si>
    <t>Vendre maison Châtel-St-Denis: Trouvez le bien immobilier qui correspond idéalement à vos désirs sur ImmoScout24 - La plateforme de l'immobilier en Suisse.</t>
  </si>
  <si>
    <t>🏘  Vous souhaitez acheter une maison à Châtel-St-Denis? ✅ Jetez un œil aux dernières offres sur ImmoScout24.ch.</t>
  </si>
  <si>
    <t>https://www.immoscout24.ch/fr/appartement/acheter/lieu-vevey</t>
  </si>
  <si>
    <t>Vendre appartement Vevey: Trouvez le bien immobilier qui correspond idéalement à vos désirs sur ImmoScout24 - La plateforme de l'immobilier en Suisse.</t>
  </si>
  <si>
    <t>🏘  L’appartement de vos rêves se trouve sur ImmoScout24.ch ✅ Découvrez les dernières annonces de vente à Vevey.</t>
  </si>
  <si>
    <t>https://www.immoscout24.ch/fr/appartement/acheter/lieu-nidau</t>
  </si>
  <si>
    <t>Vendre appartement Nidau: Trouvez le bien immobilier qui correspond idéalement à vos désirs sur ImmoScout24 - La plateforme de l'immobilier en Suisse.</t>
  </si>
  <si>
    <t>🏘  L’appartement de vos rêves se trouve sur ImmoScout24.ch ✅ Découvrez les dernières annonces de vente à Nidau.</t>
  </si>
  <si>
    <t>https://www.immoscout24.ch/fr/maison/acheter/lieu-arisdorf</t>
  </si>
  <si>
    <t>Vendre maison Arisdorf: Trouvez le bien immobilier qui correspond idéalement à vos désirs sur ImmoScout24 - La plateforme de l'immobilier en Suisse.</t>
  </si>
  <si>
    <t>🏘  Vous souhaitez acheter une maison à Arisdorf? ✅ Jetez un œil aux dernières offres sur ImmoScout24.ch.</t>
  </si>
  <si>
    <t>https://www.immoscout24.ch/fr/appartement/louer/lieu-gretzenbach</t>
  </si>
  <si>
    <t>Louer appartement Gretzenbach: Trouvez le bien immobilier qui correspond idéalement à vos désirs sur ImmoScout24 - La plateforme de l'immobilier en Suisse.</t>
  </si>
  <si>
    <t>🏘  Vous cherchez un appartement à louer à Gretzenbach? ✅ Les annonces les plus actuelles sont sur ImmoScout24.ch.</t>
  </si>
  <si>
    <t>https://www.immoscout24.ch/fr/appartement/acheter/lieu-davos-platz</t>
  </si>
  <si>
    <t>Vendre appartement Davos Platz: Trouvez le bien immobilier qui correspond idéalement à vos désirs sur ImmoScout24 - La plateforme de l'immobilier en Suisse.</t>
  </si>
  <si>
    <t>🏘  L’appartement de vos rêves se trouve sur ImmoScout24.ch ✅ Découvrez les dernières annonces de vente à Davos Platz.</t>
  </si>
  <si>
    <t>https://www.immoscout24.ch/fr/appartement/acheter/lieu-mariastein</t>
  </si>
  <si>
    <t>Vendre appartement Mariastein: Trouvez le bien immobilier qui correspond idéalement à vos désirs sur ImmoScout24 - La plateforme de l'immobilier en Suisse.</t>
  </si>
  <si>
    <t>🏘  L’appartement de vos rêves se trouve sur ImmoScout24.ch ✅ Découvrez les dernières annonces de vente à Mariastein.</t>
  </si>
  <si>
    <t>https://www.immoscout24.ch/fr/maison/louer/lieu-soyhieres</t>
  </si>
  <si>
    <t>Louer maison Soyhières: Trouvez le bien immobilier qui correspond idéalement à vos désirs sur ImmoScout24 - La plateforme de l'immobilier en Suisse.</t>
  </si>
  <si>
    <t>🏘  Vous cherchez une maison à louer à Soyhières? ✅ Découvrez nos nombreuses annonces sur ImmoScout24.ch.</t>
  </si>
  <si>
    <t>https://www.immoscout24.ch/fr/maison/acheter/lieu-granges-de-vesin</t>
  </si>
  <si>
    <t>Vendre maison Granges-de-Vesin: Trouvez le bien immobilier qui correspond idéalement à vos désirs sur ImmoScout24 - La plateforme de l'immobilier en Suisse.</t>
  </si>
  <si>
    <t>🏘  Vous souhaitez acheter une maison à Granges-de-Vesin? ✅ Jetez un œil aux dernières offres sur ImmoScout24.ch.</t>
  </si>
  <si>
    <t>https://www.immoscout24.ch/fr/appartement/louer/lieu-weggis</t>
  </si>
  <si>
    <t>Louer appartement Weggis: Trouvez le bien immobilier qui correspond idéalement à vos désirs sur ImmoScout24 - La plateforme de l'immobilier en Suisse.</t>
  </si>
  <si>
    <t>🏘  Vous cherchez un appartement à louer à Weggis? ✅ Les annonces les plus actuelles sont sur ImmoScout24.ch.</t>
  </si>
  <si>
    <t>https://www.immoscout24.ch/fr/appartement/louer/region-littoral-neuchatelois</t>
  </si>
  <si>
    <t>Louer appartement Littoral Neuchâtelois: Trouvez le bien immobilier qui correspond idéalement à vos désirs sur ImmoScout24 - La plateforme de l'immobilier en Suisse.</t>
  </si>
  <si>
    <t>🏘  Vous cherchez un appartement à louer sur le Littoral neuchâtelois? ✅ Les annonces les plus actuelles sont sur ImmoScout24.ch.</t>
  </si>
  <si>
    <t>https://www.immoscout24.ch/fr/maison/acheter/lieu-onnens-fr</t>
  </si>
  <si>
    <t>Vendre maison Onnens FR: Trouvez le bien immobilier qui correspond idéalement à vos désirs sur ImmoScout24 - La plateforme de l'immobilier en Suisse.</t>
  </si>
  <si>
    <t>🏘  Vous souhaitez acheter une maison à Onnens FR? ✅ Jetez un œil aux dernières offres sur ImmoScout24.ch.</t>
  </si>
  <si>
    <t>https://www.immoscout24.ch/fr/appartement/acheter/lieu-oberoenz</t>
  </si>
  <si>
    <t>Vendre appartement Oberönz: Trouvez le bien immobilier qui correspond idéalement à vos désirs sur ImmoScout24 - La plateforme de l'immobilier en Suisse.</t>
  </si>
  <si>
    <t>🏘  L’appartement de vos rêves se trouve sur ImmoScout24.ch ✅ Découvrez les dernières annonces de vente à Oberönz.</t>
  </si>
  <si>
    <t>https://www.immoscout24.ch/fr/appartement/acheter/lieu-rueras</t>
  </si>
  <si>
    <t>Vendre appartement Rueras: Trouvez le bien immobilier qui correspond idéalement à vos désirs sur ImmoScout24 - La plateforme de l'immobilier en Suisse.</t>
  </si>
  <si>
    <t>🏘  L’appartement de vos rêves se trouve sur ImmoScout24.ch ✅ Découvrez les dernières annonces de vente à Rueras.</t>
  </si>
  <si>
    <t>https://www.immoscout24.ch/fr/appartement/louer/lieu-verossaz</t>
  </si>
  <si>
    <t>Louer appartement Vérossaz: Trouvez le bien immobilier qui correspond idéalement à vos désirs sur ImmoScout24 - La plateforme de l'immobilier en Suisse.</t>
  </si>
  <si>
    <t>🏘  Vous cherchez un appartement à louer à Vérossaz? ✅ Les annonces les plus actuelles sont sur ImmoScout24.ch.</t>
  </si>
  <si>
    <t>https://www.immoscout24.ch/fr/appartement/louer/lieu-weesen</t>
  </si>
  <si>
    <t>Louer appartement Weesen: Trouvez le bien immobilier qui correspond idéalement à vos désirs sur ImmoScout24 - La plateforme de l'immobilier en Suisse.</t>
  </si>
  <si>
    <t>🏘  Vous cherchez un appartement à louer à Weesen? ✅ Les annonces les plus actuelles sont sur ImmoScout24.ch.</t>
  </si>
  <si>
    <t>https://www.immoscout24.ch/fr/maison/acheter/lieu-fontainemelon</t>
  </si>
  <si>
    <t>Vendre maison Fontainemelon: Trouvez le bien immobilier qui correspond idéalement à vos désirs sur ImmoScout24 - La plateforme de l'immobilier en Suisse.</t>
  </si>
  <si>
    <t>🏘  Vous souhaitez acheter une maison à Fontainemelon? ✅ Jetez un œil aux dernières offres sur ImmoScout24.ch.</t>
  </si>
  <si>
    <t>https://www.immoscout24.ch/fr/appartement/louer/canton-grisons</t>
  </si>
  <si>
    <t>Louer appartement Canton des Grisons: Trouvez le bien immobilier qui correspond idéalement à vos désirs sur ImmoScout24 - La plateforme de l'immobilier en Suisse.</t>
  </si>
  <si>
    <t>🏘  Vous cherchez un appartement à louer dans le Canton des Grisons? ✅ Les annonces les plus actuelles sont sur ImmoScout24.ch.</t>
  </si>
  <si>
    <t>https://www.immoscout24.ch/fr/appartement/acheter/lieu-klosters</t>
  </si>
  <si>
    <t>Vendre appartement Klosters: Trouvez le bien immobilier qui correspond idéalement à vos désirs sur ImmoScout24 - La plateforme de l'immobilier en Suisse.</t>
  </si>
  <si>
    <t>🏘  L’appartement de vos rêves se trouve sur ImmoScout24.ch ✅ Découvrez les dernières annonces de vente à Klosters.</t>
  </si>
  <si>
    <t>https://www.immoscout24.ch/fr/maison/acheter/lieu-troinex</t>
  </si>
  <si>
    <t>Vendre maison Troinex: Trouvez le bien immobilier qui correspond idéalement à vos désirs sur ImmoScout24 - La plateforme de l'immobilier en Suisse.</t>
  </si>
  <si>
    <t>🏘  Vous souhaitez acheter une maison à Troinex? ✅ Jetez un œil aux dernières offres sur ImmoScout24.ch.</t>
  </si>
  <si>
    <t>https://www.immoscout24.ch/fr/maison/acheter/quartier-cite-centre-geneve</t>
  </si>
  <si>
    <t>Vendre maison Cité - Centre (Genève): Trouvez le bien immobilier qui correspond idéalement à vos désirs sur ImmoScout24 - La plateforme de l'immobilier en Suisse.</t>
  </si>
  <si>
    <t>🏘  Vous souhaitez acheter une maison dans le quartier de Cité - Centre (Genève)? ✅ Jetez un œil aux dernières offres sur ImmoScout24.ch.</t>
  </si>
  <si>
    <t>https://www.immoscout24.ch/fr/appartement/acheter/lieu-haldenstein</t>
  </si>
  <si>
    <t>Vendre appartement Haldenstein: Trouvez le bien immobilier qui correspond idéalement à vos désirs sur ImmoScout24 - La plateforme de l'immobilier en Suisse.</t>
  </si>
  <si>
    <t>🏘  L’appartement de vos rêves se trouve sur ImmoScout24.ch ✅ Découvrez les dernières annonces de vente à Haldenstein.</t>
  </si>
  <si>
    <t>https://www.immoscout24.ch/fr/maison/acheter/pays-cameroun</t>
  </si>
  <si>
    <t>Vendre maison Cameroun: Trouvez le bien immobilier qui correspond idéalement à vos désirs sur ImmoScout24 - La plateforme de l'immobilier en Suisse.</t>
  </si>
  <si>
    <t>🏘  Vous cherchez un appartement à louer au Cameroun? ✅ Les annonces les plus actuelles sont sur ImmoScout24.ch.</t>
  </si>
  <si>
    <t>https://www.immoscout24.ch/fr/appartement/acheter/lieu-eysins</t>
  </si>
  <si>
    <t>Vendre appartement Eysins: Trouvez le bien immobilier qui correspond idéalement à vos désirs sur ImmoScout24 - La plateforme de l'immobilier en Suisse.</t>
  </si>
  <si>
    <t>🏘  L’appartement de vos rêves se trouve sur ImmoScout24.ch ✅ Découvrez les dernières annonces de vente à Eysins.</t>
  </si>
  <si>
    <t>https://www.immoscout24.ch/fr/maison/acheter/region-avenches-payerne</t>
  </si>
  <si>
    <t>Vendre maison Avenches - Payerne: Trouvez le bien immobilier qui correspond idéalement à vos désirs sur ImmoScout24 - La plateforme de l'immobilier en Suisse.</t>
  </si>
  <si>
    <t>🏘  Vous souhaitez acheter une maison dans la région d'Avenches - Payerne? ✅ Jetez un œil aux dernières offres sur ImmoScout24.ch.</t>
  </si>
  <si>
    <t>https://www.immoscout24.ch/fr/appartement/louer/lieu-le-paquier-ne</t>
  </si>
  <si>
    <t>Louer appartement Le Pâquier NE: Trouvez le bien immobilier qui correspond idéalement à vos désirs sur ImmoScout24 - La plateforme de l'immobilier en Suisse.</t>
  </si>
  <si>
    <t>🏘  Vous cherchez un appartement à louer au Pâquier NE? ✅ Les annonces les plus actuelles sont sur ImmoScout24.ch.</t>
  </si>
  <si>
    <t>https://www.immoscout24.ch/fr/appartement/louer/lieu-chaumont</t>
  </si>
  <si>
    <t>Louer appartement Chaumont: Trouvez le bien immobilier qui correspond idéalement à vos désirs sur ImmoScout24 - La plateforme de l'immobilier en Suisse.</t>
  </si>
  <si>
    <t>🏘  Vous cherchez un appartement à louer à Chaumont? ✅ Les annonces les plus actuelles sont sur ImmoScout24.ch.</t>
  </si>
  <si>
    <t>https://www.immoscout24.ch/fr/appartement/louer/region-oberaargau</t>
  </si>
  <si>
    <t>Louer appartement Oberaargau: Trouvez le bien immobilier qui correspond idéalement à vos désirs sur ImmoScout24 - La plateforme de l'immobilier en Suisse.</t>
  </si>
  <si>
    <t>🏘  Vous cherchez un appartement à louer en Haute-Argovie? ✅ Les annonces les plus actuelles sont sur ImmoScout24.ch.</t>
  </si>
  <si>
    <t>https://www.immoscout24.ch/fr/appartement/louer/lieu-trogne-st-martin</t>
  </si>
  <si>
    <t>Louer appartement Trogne (St-Martin): Trouvez le bien immobilier qui correspond idéalement à vos désirs sur ImmoScout24 - La plateforme de l'immobilier en Suisse.</t>
  </si>
  <si>
    <t>🏘  Vous cherchez un appartement à louer à Trogne (St-Martin)? ✅ Les annonces les plus actuelles sont sur ImmoScout24.ch.</t>
  </si>
  <si>
    <t>https://www.immoscout24.ch/fr/appartement/louer/region-seetal-hochdorf</t>
  </si>
  <si>
    <t>Louer appartement Seetal - Hochdorf: Trouvez le bien immobilier qui correspond idéalement à vos désirs sur ImmoScout24 - La plateforme de l'immobilier en Suisse.</t>
  </si>
  <si>
    <t>🏘  Vous cherchez un appartement à louer dans le Seetal? ✅ Les annonces les plus actuelles sont sur ImmoScout24.ch.</t>
  </si>
  <si>
    <t>https://www.immoscout24.ch/fr/maison/acheter/lieu-schmitten-fr</t>
  </si>
  <si>
    <t>Vendre maison Schmitten FR: Trouvez le bien immobilier qui correspond idéalement à vos désirs sur ImmoScout24 - La plateforme de l'immobilier en Suisse.</t>
  </si>
  <si>
    <t>🏘  Vous souhaitez acheter une maison à Schmitten FR? ✅ Jetez un œil aux dernières offres sur ImmoScout24.ch.</t>
  </si>
  <si>
    <t>https://www.immoscout24.ch/fr/appartement/acheter/lieu-ferpicloz</t>
  </si>
  <si>
    <t>Vendre appartement Ferpicloz: Trouvez le bien immobilier qui correspond idéalement à vos désirs sur ImmoScout24 - La plateforme de l'immobilier en Suisse.</t>
  </si>
  <si>
    <t>🏘  L’appartement de vos rêves se trouve sur ImmoScout24.ch ✅ Découvrez les dernières annonces de vente à Ferpicloz.</t>
  </si>
  <si>
    <t>https://www.immoscout24.ch/fr/maison/louer/lieu-schwarzenburg</t>
  </si>
  <si>
    <t>Louer maison Schwarzenburg: Trouvez le bien immobilier qui correspond idéalement à vos désirs sur ImmoScout24 - La plateforme de l'immobilier en Suisse.</t>
  </si>
  <si>
    <t>🏘  Vous cherchez une maison à louer à Schwarzenburg? ✅ Découvrez nos nombreuses annonces sur ImmoScout24.ch.</t>
  </si>
  <si>
    <t>https://www.immoscout24.ch/fr/maison/acheter/lieu-borex</t>
  </si>
  <si>
    <t>Vendre maison Borex: Trouvez le bien immobilier qui correspond idéalement à vos désirs sur ImmoScout24 - La plateforme de l'immobilier en Suisse.</t>
  </si>
  <si>
    <t>🏘  Vous souhaitez acheter une maison à Borex? ✅ Jetez un œil aux dernières offres sur ImmoScout24.ch.</t>
  </si>
  <si>
    <t>https://www.immoscout24.ch/fr/maison/acheter/lieu-villars-burquin</t>
  </si>
  <si>
    <t>Vendre maison Villars-Burquin: Trouvez le bien immobilier qui correspond idéalement à vos désirs sur ImmoScout24 - La plateforme de l'immobilier en Suisse.</t>
  </si>
  <si>
    <t>🏘  Vous souhaitez acheter une maison à Villars-Burquin? ✅ Jetez un œil aux dernières offres sur ImmoScout24.ch.</t>
  </si>
  <si>
    <t>https://www.immoscout24.ch/fr/appartement/louer/lieu-lindau</t>
  </si>
  <si>
    <t>Louer appartement Lindau: Trouvez le bien immobilier qui correspond idéalement à vos désirs sur ImmoScout24 - La plateforme de l'immobilier en Suisse.</t>
  </si>
  <si>
    <t>🏘  Vous cherchez un appartement à louer à Lindau? ✅ Les annonces les plus actuelles sont sur ImmoScout24.ch.</t>
  </si>
  <si>
    <t>https://www.immoscout24.ch/fr/appartement/louer/lieu-bioley-orjulaz</t>
  </si>
  <si>
    <t>Louer appartement Bioley-Orjulaz: Trouvez le bien immobilier qui correspond idéalement à vos désirs sur ImmoScout24 - La plateforme de l'immobilier en Suisse.</t>
  </si>
  <si>
    <t>🏘  Vous cherchez un appartement à louer à Bioley-Orjulaz? ✅ Les annonces les plus actuelles sont sur ImmoScout24.ch.</t>
  </si>
  <si>
    <t>https://www.immoscout24.ch/fr/maison/acheter/lieu-ringgenberg-be</t>
  </si>
  <si>
    <t>Vendre maison Ringgenberg BE: Trouvez le bien immobilier qui correspond idéalement à vos désirs sur ImmoScout24 - La plateforme de l'immobilier en Suisse.</t>
  </si>
  <si>
    <t>🏘  Vous souhaitez acheter une maison à Ringgenberg BE? ✅ Jetez un œil aux dernières offres sur ImmoScout24.ch.</t>
  </si>
  <si>
    <t>https://www.immoscout24.ch/fr/appartement/acheter/lieu-chavannes-de-bogis</t>
  </si>
  <si>
    <t>Vendre appartement Chavannes-de-Bogis: Trouvez le bien immobilier qui correspond idéalement à vos désirs sur ImmoScout24 - La plateforme de l'immobilier en Suisse.</t>
  </si>
  <si>
    <t>🏘  L’appartement de vos rêves se trouve sur ImmoScout24.ch ✅ Découvrez les dernières annonces de vente à Chavannes-de-Bogis.</t>
  </si>
  <si>
    <t>https://www.immoscout24.ch/fr/appartement/acheter/lieu-sargans</t>
  </si>
  <si>
    <t>Vendre appartement Sargans: Trouvez le bien immobilier qui correspond idéalement à vos désirs sur ImmoScout24 - La plateforme de l'immobilier en Suisse.</t>
  </si>
  <si>
    <t>🏘  L’appartement de vos rêves se trouve sur ImmoScout24.ch ✅ Découvrez les dernières annonces de vente à Sargans.</t>
  </si>
  <si>
    <t>https://www.immoscout24.ch/fr/appartement/louer/lieu-hombrechtikon</t>
  </si>
  <si>
    <t>Louer appartement Hombrechtikon: Trouvez le bien immobilier qui correspond idéalement à vos désirs sur ImmoScout24 - La plateforme de l'immobilier en Suisse.</t>
  </si>
  <si>
    <t>🏘  Vous cherchez un appartement à louer à Hombrechtikon? ✅ Les annonces les plus actuelles sont sur ImmoScout24.ch.</t>
  </si>
  <si>
    <t>https://www.immoscout24.ch/fr/appartement/acheter/lieu-taeuffelen</t>
  </si>
  <si>
    <t>Vendre appartement Täuffelen: Trouvez le bien immobilier qui correspond idéalement à vos désirs sur ImmoScout24 - La plateforme de l'immobilier en Suisse.</t>
  </si>
  <si>
    <t>🏘  L’appartement de vos rêves se trouve sur ImmoScout24.ch ✅ Découvrez les dernières annonces de vente à Täuffelen.</t>
  </si>
  <si>
    <t>https://www.immoscout24.ch/fr/appartement/louer/lieu-stansstad</t>
  </si>
  <si>
    <t>Louer appartement Stansstad: Trouvez le bien immobilier qui correspond idéalement à vos désirs sur ImmoScout24 - La plateforme de l'immobilier en Suisse.</t>
  </si>
  <si>
    <t>🏘  Vous cherchez un appartement à louer à Stansstad? ✅ Les annonces les plus actuelles sont sur ImmoScout24.ch.</t>
  </si>
  <si>
    <t>https://www.immoscout24.ch/fr/appartement/louer/lieu-chenens</t>
  </si>
  <si>
    <t>Louer appartement Chénens: Trouvez le bien immobilier qui correspond idéalement à vos désirs sur ImmoScout24 - La plateforme de l'immobilier en Suisse.</t>
  </si>
  <si>
    <t>🏘  Vous cherchez un appartement à louer à Chénens? ✅ Les annonces les plus actuelles sont sur ImmoScout24.ch.</t>
  </si>
  <si>
    <t>https://www.immoscout24.ch/fr/maison/acheter/lieu-schlatt-tg</t>
  </si>
  <si>
    <t>Vendre maison Schlatt TG: Trouvez le bien immobilier qui correspond idéalement à vos désirs sur ImmoScout24 - La plateforme de l'immobilier en Suisse.</t>
  </si>
  <si>
    <t>🏘  Vous souhaitez acheter une maison à Schlatt TG? ✅ Jetez un œil aux dernières offres sur ImmoScout24.ch.</t>
  </si>
  <si>
    <t>https://www.immoscout24.ch/fr/appartement/acheter/lieu-krattigen</t>
  </si>
  <si>
    <t>Vendre appartement Krattigen: Trouvez le bien immobilier qui correspond idéalement à vos désirs sur ImmoScout24 - La plateforme de l'immobilier en Suisse.</t>
  </si>
  <si>
    <t>🏘  L’appartement de vos rêves se trouve sur ImmoScout24.ch ✅ Découvrez les dernières annonces de vente à Krattigen.</t>
  </si>
  <si>
    <t>https://www.immoscout24.ch/fr/appartement/acheter/lieu-bellinzona</t>
  </si>
  <si>
    <t>Vendre appartement Bellinzona: Trouvez le bien immobilier qui correspond idéalement à vos désirs sur ImmoScout24 - La plateforme de l'immobilier en Suisse.</t>
  </si>
  <si>
    <t>🏘  L’appartement de vos rêves se trouve sur ImmoScout24.ch ✅ Découvrez les dernières annonces de vente à Bellinzona.</t>
  </si>
  <si>
    <t>https://www.immoscout24.ch/fr/maison/acheter/lieu-juriens</t>
  </si>
  <si>
    <t>Vendre maison Juriens: Trouvez le bien immobilier qui correspond idéalement à vos désirs sur ImmoScout24 - La plateforme de l'immobilier en Suisse.</t>
  </si>
  <si>
    <t>🏘  Vous souhaitez acheter une maison à Juriens? ✅ Jetez un œil aux dernières offres sur ImmoScout24.ch.</t>
  </si>
  <si>
    <t>https://www.immoscout24.ch/fr/maison/acheter/lieu-savigny</t>
  </si>
  <si>
    <t>Vendre maison Savigny: Trouvez le bien immobilier qui correspond idéalement à vos désirs sur ImmoScout24 - La plateforme de l'immobilier en Suisse.</t>
  </si>
  <si>
    <t>🏘  Vous souhaitez acheter une maison à Savigny? ✅ Jetez un œil aux dernières offres sur ImmoScout24.ch.</t>
  </si>
  <si>
    <t>https://www.immoscout24.ch/fr/maison/louer/lieu-aumont</t>
  </si>
  <si>
    <t>Louer maison Aumont: Trouvez le bien immobilier qui correspond idéalement à vos désirs sur ImmoScout24 - La plateforme de l'immobilier en Suisse.</t>
  </si>
  <si>
    <t>🏘  Vous cherchez une maison à louer à Aumont? ✅ Découvrez nos nombreuses annonces sur ImmoScout24.ch.</t>
  </si>
  <si>
    <t>https://www.immoscout24.ch/fr/maison/acheter/lieu-neuhausen-am-rheinfall</t>
  </si>
  <si>
    <t>Vendre maison Neuhausen am Rheinfall: Trouvez le bien immobilier qui correspond idéalement à vos désirs sur ImmoScout24 - La plateforme de l'immobilier en Suisse.</t>
  </si>
  <si>
    <t>🏘  Vous souhaitez acheter une maison à Neuhausen am Rheinfall? ✅ Jetez un œil aux dernières offres sur ImmoScout24.ch.</t>
  </si>
  <si>
    <t>https://www.immoscout24.ch/fr/appartement/louer/lieu-gwatt-thun</t>
  </si>
  <si>
    <t>Louer appartement Gwatt (Thun): Trouvez le bien immobilier qui correspond idéalement à vos désirs sur ImmoScout24 - La plateforme de l'immobilier en Suisse.</t>
  </si>
  <si>
    <t>🏘  Vous cherchez un appartement à louer à Gwatt (Thun)? ✅ Les annonces les plus actuelles sont sur ImmoScout24.ch.</t>
  </si>
  <si>
    <t>https://www.immoscout24.ch/fr/appartement/louer/lieu-vouvry</t>
  </si>
  <si>
    <t>Louer appartement Vouvry: Trouvez le bien immobilier qui correspond idéalement à vos désirs sur ImmoScout24 - La plateforme de l'immobilier en Suisse.</t>
  </si>
  <si>
    <t>🏘  Vous cherchez un appartement à louer à Vouvry? ✅ Les annonces les plus actuelles sont sur ImmoScout24.ch.</t>
  </si>
  <si>
    <t>https://www.immoscout24.ch/fr/appartement/acheter/lieu-granges-pres-marnand</t>
  </si>
  <si>
    <t>Vendre appartement Granges-près-Marnand: Trouvez le bien immobilier qui correspond idéalement à vos désirs sur ImmoScout24 - La plateforme de l'immobilier en Suisse.</t>
  </si>
  <si>
    <t>🏘  L’appartement de vos rêves se trouve sur ImmoScout24.ch ✅ Découvrez les dernières annonces de vente à Granges-près-Marnand.</t>
  </si>
  <si>
    <t>https://www.immoscout24.ch/fr/appartement/louer/lieu-wengi-b-bueren</t>
  </si>
  <si>
    <t>Louer appartement Wengi b. Büren: Trouvez le bien immobilier qui correspond idéalement à vos désirs sur ImmoScout24 - La plateforme de l'immobilier en Suisse.</t>
  </si>
  <si>
    <t>🏘  Vous cherchez un appartement à louer à Wengi b. Büren? ✅ Les annonces les plus actuelles sont sur ImmoScout24.ch.</t>
  </si>
  <si>
    <t>https://www.immoscout24.ch/fr/appartement/acheter/lieu-boecourt</t>
  </si>
  <si>
    <t>Vendre appartement Boécourt: Trouvez le bien immobilier qui correspond idéalement à vos désirs sur ImmoScout24 - La plateforme de l'immobilier en Suisse.</t>
  </si>
  <si>
    <t>🏘  L’appartement de vos rêves se trouve sur ImmoScout24.ch ✅ Découvrez les dernières annonces de vente à Boécourt.</t>
  </si>
  <si>
    <t>https://www.immoscout24.ch/fr/maison/louer/lieu-aarberg</t>
  </si>
  <si>
    <t>Louer maison Aarberg: Trouvez le bien immobilier qui correspond idéalement à vos désirs sur ImmoScout24 - La plateforme de l'immobilier en Suisse.</t>
  </si>
  <si>
    <t>🏘  Vous cherchez une maison à louer à Aarberg? ✅ Découvrez nos nombreuses annonces sur ImmoScout24.ch.</t>
  </si>
  <si>
    <t>https://www.immoscout24.ch/fr/appartement/acheter/lieu-st-aubin-sauges</t>
  </si>
  <si>
    <t>Vendre appartement St-Aubin-Sauges: Trouvez le bien immobilier qui correspond idéalement à vos désirs sur ImmoScout24 - La plateforme de l'immobilier en Suisse.</t>
  </si>
  <si>
    <t>🏘  L’appartement de vos rêves se trouve sur ImmoScout24.ch ✅ Découvrez les dernières annonces de vente à St-Aubin-Sauges.</t>
  </si>
  <si>
    <t>https://www.immoscout24.ch/fr/maison/acheter/lieu-rekingen-ag</t>
  </si>
  <si>
    <t>Vendre maison Rekingen AG: Trouvez le bien immobilier qui correspond idéalement à vos désirs sur ImmoScout24 - La plateforme de l'immobilier en Suisse.</t>
  </si>
  <si>
    <t>🏘  Vous souhaitez acheter une maison à Rekingen AG? ✅ Jetez un œil aux dernières offres sur ImmoScout24.ch.</t>
  </si>
  <si>
    <t>https://www.immoscout24.ch/fr/appartement/acheter/lieu-bern</t>
  </si>
  <si>
    <t>Vendre appartement Bern: Trouvez le bien immobilier qui correspond idéalement à vos désirs sur ImmoScout24 - La plateforme de l'immobilier en Suisse.</t>
  </si>
  <si>
    <t>🏘  L’appartement de vos rêves se trouve sur ImmoScout24.ch ✅ Découvrez les dernières annonces de vente à Bern.</t>
  </si>
  <si>
    <t>https://www.immoscout24.ch/fr/maison/acheter/lieu-salvan</t>
  </si>
  <si>
    <t>Vendre maison Salvan: Trouvez le bien immobilier qui correspond idéalement à vos désirs sur ImmoScout24 - La plateforme de l'immobilier en Suisse.</t>
  </si>
  <si>
    <t>🏘  Vous souhaitez acheter une maison à Salvan? ✅ Jetez un œil aux dernières offres sur ImmoScout24.ch.</t>
  </si>
  <si>
    <t>https://www.immoscout24.ch/fr/maison/louer/lieu-lugnorre</t>
  </si>
  <si>
    <t>Louer maison Lugnorre: Trouvez le bien immobilier qui correspond idéalement à vos désirs sur ImmoScout24 - La plateforme de l'immobilier en Suisse.</t>
  </si>
  <si>
    <t>🏘  Vous cherchez une maison à louer à Lugnorre? ✅ Découvrez nos nombreuses annonces sur ImmoScout24.ch.</t>
  </si>
  <si>
    <t>https://www.immoscout24.ch/fr/appartement/acheter/lieu-chatel-sur-montsalvens</t>
  </si>
  <si>
    <t>Vendre appartement Châtel-sur-Montsalvens: Trouvez le bien immobilier qui correspond idéalement à vos désirs sur ImmoScout24 - La plateforme de l'immobilier en Suisse.</t>
  </si>
  <si>
    <t>🏘  L’appartement de vos rêves se trouve sur ImmoScout24.ch ✅ Découvrez les dernières annonces de vente à Châtel-sur-Montsalvens.</t>
  </si>
  <si>
    <t>https://www.immoscout24.ch/fr/appartement/louer/lieu-evilard</t>
  </si>
  <si>
    <t>Louer appartement Evilard: Trouvez le bien immobilier qui correspond idéalement à vos désirs sur ImmoScout24 - La plateforme de l'immobilier en Suisse.</t>
  </si>
  <si>
    <t>🏘  Vous cherchez un appartement à louer à Evilard? ✅ Les annonces les plus actuelles sont sur ImmoScout24.ch.</t>
  </si>
  <si>
    <t>https://www.immoscout24.ch/fr/maison/acheter/lieu-steffisburg</t>
  </si>
  <si>
    <t>Vendre maison Steffisburg: Trouvez le bien immobilier qui correspond idéalement à vos désirs sur ImmoScout24 - La plateforme de l'immobilier en Suisse.</t>
  </si>
  <si>
    <t>🏘  Vous souhaitez acheter une maison à Steffisburg? ✅ Jetez un œil aux dernières offres sur ImmoScout24.ch.</t>
  </si>
  <si>
    <t>https://www.immoscout24.ch/fr/maison/acheter/lieu-siselen-be</t>
  </si>
  <si>
    <t>Vendre maison Siselen BE: Trouvez le bien immobilier qui correspond idéalement à vos désirs sur ImmoScout24 - La plateforme de l'immobilier en Suisse.</t>
  </si>
  <si>
    <t>🏘  Vous souhaitez acheter une maison à Siselen BE? ✅ Jetez un œil aux dernières offres sur ImmoScout24.ch.</t>
  </si>
  <si>
    <t>https://www.immoscout24.ch/fr/appartement/louer/lieu-iseltwald</t>
  </si>
  <si>
    <t>Louer appartement Iseltwald: Trouvez le bien immobilier qui correspond idéalement à vos désirs sur ImmoScout24 - La plateforme de l'immobilier en Suisse.</t>
  </si>
  <si>
    <t>🏘  Vous cherchez un appartement à louer à Iseltwald? ✅ Les annonces les plus actuelles sont sur ImmoScout24.ch.</t>
  </si>
  <si>
    <t>https://www.immoscout24.ch/fr/maison/acheter/lieu-vucherens</t>
  </si>
  <si>
    <t>Vendre maison Vucherens: Trouvez le bien immobilier qui correspond idéalement à vos désirs sur ImmoScout24 - La plateforme de l'immobilier en Suisse.</t>
  </si>
  <si>
    <t>🏘  Vous souhaitez acheter une maison à Vucherens? ✅ Jetez un œil aux dernières offres sur ImmoScout24.ch.</t>
  </si>
  <si>
    <t>https://www.immoscout24.ch/fr/maison/louer/lieu-merligen</t>
  </si>
  <si>
    <t>Louer maison Merligen: Trouvez le bien immobilier qui correspond idéalement à vos désirs sur ImmoScout24 - La plateforme de l'immobilier en Suisse.</t>
  </si>
  <si>
    <t>🏘  Vous cherchez une maison à louer à Merligen? ✅ Découvrez nos nombreuses annonces sur ImmoScout24.ch.</t>
  </si>
  <si>
    <t>https://www.immoscout24.ch/fr/appartement/louer/lieu-bex</t>
  </si>
  <si>
    <t>Louer appartement Bex: Trouvez le bien immobilier qui correspond idéalement à vos désirs sur ImmoScout24 - La plateforme de l'immobilier en Suisse.</t>
  </si>
  <si>
    <t>🏘  Vous cherchez un appartement à louer à Bex? ✅ Les annonces les plus actuelles sont sur ImmoScout24.ch.</t>
  </si>
  <si>
    <t>https://www.immoscout24.ch/fr/appartement/louer/lieu-savosa</t>
  </si>
  <si>
    <t>Louer appartement Savosa: Trouvez le bien immobilier qui correspond idéalement à vos désirs sur ImmoScout24 - La plateforme de l'immobilier en Suisse.</t>
  </si>
  <si>
    <t>🏘  Vous cherchez un appartement à louer à Savosa? ✅ Les annonces les plus actuelles sont sur ImmoScout24.ch.</t>
  </si>
  <si>
    <t>https://www.immoscout24.ch/fr/maison/acheter/lieu-mont-sur-rolle</t>
  </si>
  <si>
    <t>Vendre maison Mont-sur-Rolle: Trouvez le bien immobilier qui correspond idéalement à vos désirs sur ImmoScout24 - La plateforme de l'immobilier en Suisse.</t>
  </si>
  <si>
    <t>🏘  Vous souhaitez acheter une maison à Mont-sur-Rolle? ✅ Jetez un œil aux dernières offres sur ImmoScout24.ch.</t>
  </si>
  <si>
    <t>https://www.immoscout24.ch/fr/appartement/louer/lieu-villarzel</t>
  </si>
  <si>
    <t>Louer appartement Villarzel: Trouvez le bien immobilier qui correspond idéalement à vos désirs sur ImmoScout24 - La plateforme de l'immobilier en Suisse.</t>
  </si>
  <si>
    <t>🏘  Vous cherchez un appartement à louer à Villarzel? ✅ Les annonces les plus actuelles sont sur ImmoScout24.ch.</t>
  </si>
  <si>
    <t>https://www.immoscout24.ch/fr/maison/acheter/lieu-gudo</t>
  </si>
  <si>
    <t>Vendre maison Gudo: Trouvez le bien immobilier qui correspond idéalement à vos désirs sur ImmoScout24 - La plateforme de l'immobilier en Suisse.</t>
  </si>
  <si>
    <t>🏘  Vous souhaitez acheter une maison à Gudo? ✅ Jetez un œil aux dernières offres sur ImmoScout24.ch.</t>
  </si>
  <si>
    <t>https://www.immoscout24.ch/fr/appartement/louer/lieu-la-cibourg</t>
  </si>
  <si>
    <t>Louer appartement La Cibourg: Trouvez le bien immobilier qui correspond idéalement à vos désirs sur ImmoScout24 - La plateforme de l'immobilier en Suisse.</t>
  </si>
  <si>
    <t>🏘  Vous cherchez un appartement à louer à La Cibourg? ✅ Les annonces les plus actuelles sont sur ImmoScout24.ch.</t>
  </si>
  <si>
    <t>https://www.immoscout24.ch/fr/appartement/louer/lieu-rennaz</t>
  </si>
  <si>
    <t>Louer appartement Rennaz: Trouvez le bien immobilier qui correspond idéalement à vos désirs sur ImmoScout24 - La plateforme de l'immobilier en Suisse.</t>
  </si>
  <si>
    <t>🏘  Vous cherchez un appartement à louer à Rennaz? ✅ Les annonces les plus actuelles sont sur ImmoScout24.ch.</t>
  </si>
  <si>
    <t>https://www.immoscout24.ch/fr/appartement/louer/lieu-riehen</t>
  </si>
  <si>
    <t>Louer appartement Riehen: Trouvez le bien immobilier qui correspond idéalement à vos désirs sur ImmoScout24 - La plateforme de l'immobilier en Suisse.</t>
  </si>
  <si>
    <t>🏘  Vous cherchez un appartement à louer à Riehen? ✅ Les annonces les plus actuelles sont sur ImmoScout24.ch.</t>
  </si>
  <si>
    <t>https://www.immoscout24.ch/fr/maison/acheter/region-rive-gauche</t>
  </si>
  <si>
    <t>Vendre maison Rive Gauche: Trouvez le bien immobilier qui correspond idéalement à vos désirs sur ImmoScout24 - La plateforme de l'immobilier en Suisse.</t>
  </si>
  <si>
    <t>🏘  Vous souhaitez acheter une maison à Rive gauche? ✅ Jetez un œil aux dernières offres sur ImmoScout24.ch.</t>
  </si>
  <si>
    <t>https://www.immoscout24.ch/fr/maison/acheter/lieu-dizy</t>
  </si>
  <si>
    <t>Vendre maison Dizy: Trouvez le bien immobilier qui correspond idéalement à vos désirs sur ImmoScout24 - La plateforme de l'immobilier en Suisse.</t>
  </si>
  <si>
    <t>🏘  Vous souhaitez acheter une maison à Dizy? ✅ Jetez un œil aux dernières offres sur ImmoScout24.ch.</t>
  </si>
  <si>
    <t>https://www.immoscout24.ch/fr/appartement/louer/lieu-jona</t>
  </si>
  <si>
    <t>Louer appartement Jona: Trouvez le bien immobilier qui correspond idéalement à vos désirs sur ImmoScout24 - La plateforme de l'immobilier en Suisse.</t>
  </si>
  <si>
    <t>🏘  Vous cherchez un appartement à louer à Jona? ✅ Les annonces les plus actuelles sont sur ImmoScout24.ch.</t>
  </si>
  <si>
    <t>https://www.immoscout24.ch/fr/appartement/louer/lieu-aeschi-b-spiez</t>
  </si>
  <si>
    <t>Louer appartement Aeschi b. Spiez: Trouvez le bien immobilier qui correspond idéalement à vos désirs sur ImmoScout24 - La plateforme de l'immobilier en Suisse.</t>
  </si>
  <si>
    <t>🏘  Vous cherchez un appartement à louer à Aeschi b. Spiez? ✅ Les annonces les plus actuelles sont sur ImmoScout24.ch.</t>
  </si>
  <si>
    <t>https://www.immoscout24.ch/fr/appartement/louer/lieu-zofingen</t>
  </si>
  <si>
    <t>Louer appartement Zofingen: Trouvez le bien immobilier qui correspond idéalement à vos désirs sur ImmoScout24 - La plateforme de l'immobilier en Suisse.</t>
  </si>
  <si>
    <t>🏘  Vous cherchez un appartement à louer à Zofingen? ✅ Les annonces les plus actuelles sont sur ImmoScout24.ch.</t>
  </si>
  <si>
    <t>https://www.immoscout24.ch/fr/maison/acheter/lieu-montagne-de-sonvilier</t>
  </si>
  <si>
    <t>Vendre maison Montagne-de-Sonvilier: Trouvez le bien immobilier qui correspond idéalement à vos désirs sur ImmoScout24 - La plateforme de l'immobilier en Suisse.</t>
  </si>
  <si>
    <t>🏘  Vous souhaitez acheter une maison à Montagne-de-Sonvilier? ✅ Jetez un œil aux dernières offres sur ImmoScout24.ch.</t>
  </si>
  <si>
    <t>https://www.immoscout24.ch/fr/appartement/acheter/region-jura-vaudois</t>
  </si>
  <si>
    <t>Vendre appartement Jura Vaudois: Trouvez le bien immobilier qui correspond idéalement à vos désirs sur ImmoScout24 - La plateforme de l'immobilier en Suisse.</t>
  </si>
  <si>
    <t>🏘  L’appartement de vos rêves se trouve sur ImmoScout24.ch ✅ Découvrez les dernières annonces de vente dans le Jura vaudois.</t>
  </si>
  <si>
    <t>https://www.immoscout24.ch/fr/appartement/louer/lieu-windisch</t>
  </si>
  <si>
    <t>Louer appartement Windisch: Trouvez le bien immobilier qui correspond idéalement à vos désirs sur ImmoScout24 - La plateforme de l'immobilier en Suisse.</t>
  </si>
  <si>
    <t>🏘  Vous cherchez un appartement à louer à Windisch? ✅ Les annonces les plus actuelles sont sur ImmoScout24.ch.</t>
  </si>
  <si>
    <t>https://www.immoscout24.ch/fr/appartement/acheter/lieu-minusio</t>
  </si>
  <si>
    <t>Vendre appartement Minusio: Trouvez le bien immobilier qui correspond idéalement à vos désirs sur ImmoScout24 - La plateforme de l'immobilier en Suisse.</t>
  </si>
  <si>
    <t>🏘  L’appartement de vos rêves se trouve sur ImmoScout24.ch ✅ Découvrez les dernières annonces de vente à Minusio.</t>
  </si>
  <si>
    <t>https://www.immoscout24.ch/fr/appartement/acheter/lieu-vico-morcote</t>
  </si>
  <si>
    <t>Vendre appartement Vico Morcote: Trouvez le bien immobilier qui correspond idéalement à vos désirs sur ImmoScout24 - La plateforme de l'immobilier en Suisse.</t>
  </si>
  <si>
    <t>🏘  L’appartement de vos rêves se trouve sur ImmoScout24.ch ✅ Découvrez les dernières annonces de vente à Vico Morcote.</t>
  </si>
  <si>
    <t>https://www.immoscout24.ch/fr/maison/acheter/lieu-pully</t>
  </si>
  <si>
    <t>Vendre maison Pully: Trouvez le bien immobilier qui correspond idéalement à vos désirs sur ImmoScout24 - La plateforme de l'immobilier en Suisse.</t>
  </si>
  <si>
    <t>🏘  Vous souhaitez acheter une maison à Pully? ✅ Jetez un œil aux dernières offres sur ImmoScout24.ch.</t>
  </si>
  <si>
    <t>https://www.immoscout24.ch/fr/maison/louer/lieu-grandson</t>
  </si>
  <si>
    <t>Louer maison Grandson: Trouvez le bien immobilier qui correspond idéalement à vos désirs sur ImmoScout24 - La plateforme de l'immobilier en Suisse.</t>
  </si>
  <si>
    <t>🏘  Vous cherchez une maison à louer à Grandson? ✅ Découvrez nos nombreuses annonces sur ImmoScout24.ch.</t>
  </si>
  <si>
    <t>https://www.immoscout24.ch/fr/maison/acheter/lieu-lavey-village</t>
  </si>
  <si>
    <t>Vendre maison Lavey-Village: Trouvez le bien immobilier qui correspond idéalement à vos désirs sur ImmoScout24 - La plateforme de l'immobilier en Suisse.</t>
  </si>
  <si>
    <t>🏘  Vous souhaitez acheter une maison à Lavey-Village? ✅ Jetez un œil aux dernières offres sur ImmoScout24.ch.</t>
  </si>
  <si>
    <t>https://www.immoscout24.ch/fr/appartement/acheter/lieu-avry-sur-matran</t>
  </si>
  <si>
    <t>Vendre appartement Avry-sur-Matran: Trouvez le bien immobilier qui correspond idéalement à vos désirs sur ImmoScout24 - La plateforme de l'immobilier en Suisse.</t>
  </si>
  <si>
    <t>🏘  L’appartement de vos rêves se trouve sur ImmoScout24.ch ✅ Découvrez les dernières annonces de vente à Avry-sur-Matran.</t>
  </si>
  <si>
    <t>https://www.immoscout24.ch/fr/maison/acheter/lieu-magnedens</t>
  </si>
  <si>
    <t>Vendre maison Magnedens: Trouvez le bien immobilier qui correspond idéalement à vos désirs sur ImmoScout24 - La plateforme de l'immobilier en Suisse.</t>
  </si>
  <si>
    <t>🏘  Vous souhaitez acheter une maison à Magnedens? ✅ Jetez un œil aux dernières offres sur ImmoScout24.ch.</t>
  </si>
  <si>
    <t>https://www.immoscout24.ch/fr/appartement/louer/lieu-koeniz</t>
  </si>
  <si>
    <t>Louer appartement Köniz: Trouvez le bien immobilier qui correspond idéalement à vos désirs sur ImmoScout24 - La plateforme de l'immobilier en Suisse.</t>
  </si>
  <si>
    <t>🏘  Vous cherchez un appartement à louer à Köniz? ✅ Les annonces les plus actuelles sont sur ImmoScout24.ch.</t>
  </si>
  <si>
    <t>https://www.immoscout24.ch/fr/appartement/acheter/lieu-obergerlafingen</t>
  </si>
  <si>
    <t>Vendre appartement Obergerlafingen: Trouvez le bien immobilier qui correspond idéalement à vos désirs sur ImmoScout24 - La plateforme de l'immobilier en Suisse.</t>
  </si>
  <si>
    <t>🏘  L’appartement de vos rêves se trouve sur ImmoScout24.ch ✅ Découvrez les dernières annonces de vente à Obergerlafingen.</t>
  </si>
  <si>
    <t>https://www.immoscout24.ch/fr/maison/acheter/lieu-frinvillier</t>
  </si>
  <si>
    <t>Vendre maison Frinvillier: Trouvez le bien immobilier qui correspond idéalement à vos désirs sur ImmoScout24 - La plateforme de l'immobilier en Suisse.</t>
  </si>
  <si>
    <t>🏘  Vous souhaitez acheter une maison à Frinvillier? ✅ Jetez un œil aux dernières offres sur ImmoScout24.ch.</t>
  </si>
  <si>
    <t>https://www.immoscout24.ch/fr/appartement/louer/quartier-breitenrain-berne</t>
  </si>
  <si>
    <t>Louer appartement Breitenrain (Berne): Trouvez le bien immobilier qui correspond idéalement à vos désirs sur ImmoScout24 - La plateforme de l'immobilier en Suisse.</t>
  </si>
  <si>
    <t>🏘  Vous cherchez un appartement à louer dans le quartier de Breitenrain (Berne)? ✅ Les annonces les plus actuelles sont sur ImmoScout24.ch.</t>
  </si>
  <si>
    <t>https://www.immoscout24.ch/fr/maison/acheter/lieu-pierrafortscha</t>
  </si>
  <si>
    <t>Vendre maison Pierrafortscha: Trouvez le bien immobilier qui correspond idéalement à vos désirs sur ImmoScout24 - La plateforme de l'immobilier en Suisse.</t>
  </si>
  <si>
    <t>🏘  Vous souhaitez acheter une maison à Pierrafortscha? ✅ Jetez un œil aux dernières offres sur ImmoScout24.ch.</t>
  </si>
  <si>
    <t>https://www.immoscout24.ch/fr/maison/acheter/lieu-les-brenets</t>
  </si>
  <si>
    <t>Vendre maison Les Brenets: Trouvez le bien immobilier qui correspond idéalement à vos désirs sur ImmoScout24 - La plateforme de l'immobilier en Suisse.</t>
  </si>
  <si>
    <t>🏘  Vous souhaitez acheter une maison aux Brenets? ✅ Jetez un œil aux dernières offres sur ImmoScout24.ch.</t>
  </si>
  <si>
    <t>https://www.immoscout24.ch/fr/maison/louer/lieu-locarno</t>
  </si>
  <si>
    <t>Louer maison Locarno: Trouvez le bien immobilier qui correspond idéalement à vos désirs sur ImmoScout24 - La plateforme de l'immobilier en Suisse.</t>
  </si>
  <si>
    <t>🏘  Vous cherchez une maison à louer à Locarno? ✅ Découvrez nos nombreuses annonces sur ImmoScout24.ch.</t>
  </si>
  <si>
    <t>https://www.immoscout24.ch/fr/maison/acheter/lieu-chatillon-ju</t>
  </si>
  <si>
    <t>Vendre maison Châtillon JU: Trouvez le bien immobilier qui correspond idéalement à vos désirs sur ImmoScout24 - La plateforme de l'immobilier en Suisse.</t>
  </si>
  <si>
    <t>🏘  Vous souhaitez acheter une maison à Châtillon JU? ✅ Jetez un œil aux dernières offres sur ImmoScout24.ch.</t>
  </si>
  <si>
    <t>https://www.immoscout24.ch/fr/appartement/louer/lieu-chabrey</t>
  </si>
  <si>
    <t>Louer appartement Chabrey: Trouvez le bien immobilier qui correspond idéalement à vos désirs sur ImmoScout24 - La plateforme de l'immobilier en Suisse.</t>
  </si>
  <si>
    <t>🏘  Vous cherchez un appartement à louer à Chabrey? ✅ Les annonces les plus actuelles sont sur ImmoScout24.ch.</t>
  </si>
  <si>
    <t>https://www.immoscout24.ch/fr/maison/louer/lieu-le-paquier-ne</t>
  </si>
  <si>
    <t>Louer maison Le Pâquier NE: Trouvez le bien immobilier qui correspond idéalement à vos désirs sur ImmoScout24 - La plateforme de l'immobilier en Suisse.</t>
  </si>
  <si>
    <t>🏘  Vous cherchez une maison à louer au Pâquier NE? ✅ Découvrez nos nombreuses annonces sur ImmoScout24.ch.</t>
  </si>
  <si>
    <t>https://www.immoscout24.ch/fr/appartement/louer/lieu-avegno</t>
  </si>
  <si>
    <t>Louer appartement Avegno: Trouvez le bien immobilier qui correspond idéalement à vos désirs sur ImmoScout24 - La plateforme de l'immobilier en Suisse.</t>
  </si>
  <si>
    <t>🏘  Vous cherchez un appartement à louer à Avegno? ✅ Les annonces les plus actuelles sont sur ImmoScout24.ch.</t>
  </si>
  <si>
    <t>https://www.immoscout24.ch/fr/maison/louer/lieu-anzere</t>
  </si>
  <si>
    <t>Louer maison Anzère: Trouvez le bien immobilier qui correspond idéalement à vos désirs sur ImmoScout24 - La plateforme de l'immobilier en Suisse.</t>
  </si>
  <si>
    <t>🏘  Vous cherchez une maison à louer à Anzère? ✅ Découvrez nos nombreuses annonces sur ImmoScout24.ch.</t>
  </si>
  <si>
    <t>https://www.immoscout24.ch/fr/appartement/louer/lieu-abtwil-sg</t>
  </si>
  <si>
    <t>Louer appartement Abtwil SG: Trouvez le bien immobilier qui correspond idéalement à vos désirs sur ImmoScout24 - La plateforme de l'immobilier en Suisse.</t>
  </si>
  <si>
    <t>🏘  Vous cherchez un appartement à louer à Abtwil SG? ✅ Les annonces les plus actuelles sont sur ImmoScout24.ch.</t>
  </si>
  <si>
    <t>https://www.immoscout24.ch/fr/appartement/louer/region-soleure-et-environs</t>
  </si>
  <si>
    <t>Louer appartement Soleure et environs: Trouvez le bien immobilier qui correspond idéalement à vos désirs sur ImmoScout24 - La plateforme de l'immobilier en Suisse.</t>
  </si>
  <si>
    <t>🏘  Vous cherchez un appartement à louer à Soleure et environs? ✅ Les annonces les plus actuelles sont sur ImmoScout24.ch.</t>
  </si>
  <si>
    <t>https://www.immoscout24.ch/fr/maison/acheter/lieu-cudrefin</t>
  </si>
  <si>
    <t>Vendre maison Cudrefin: Trouvez le bien immobilier qui correspond idéalement à vos désirs sur ImmoScout24 - La plateforme de l'immobilier en Suisse.</t>
  </si>
  <si>
    <t>🏘  Vous souhaitez acheter une maison à Cudrefin? ✅ Jetez un œil aux dernières offres sur ImmoScout24.ch.</t>
  </si>
  <si>
    <t>https://www.immoscout24.ch/fr/appartement/acheter/lieu-verbier</t>
  </si>
  <si>
    <t>Vendre appartement Verbier: Trouvez le bien immobilier qui correspond idéalement à vos désirs sur ImmoScout24 - La plateforme de l'immobilier en Suisse.</t>
  </si>
  <si>
    <t>🏘  L’appartement de vos rêves se trouve sur ImmoScout24.ch ✅ Découvrez les dernières annonces de vente à Verbier.</t>
  </si>
  <si>
    <t>https://www.immoscout24.ch/fr/appartement/louer/lieu-bernex</t>
  </si>
  <si>
    <t>Louer appartement Bernex: Trouvez le bien immobilier qui correspond idéalement à vos désirs sur ImmoScout24 - La plateforme de l'immobilier en Suisse.</t>
  </si>
  <si>
    <t>🏘  Vous cherchez un appartement à louer à Bernex? ✅ Les annonces les plus actuelles sont sur ImmoScout24.ch.</t>
  </si>
  <si>
    <t>https://www.immoscout24.ch/fr/maison/louer/lieu-yverdon-les-bains</t>
  </si>
  <si>
    <t>Louer maison Yverdon-les-Bains: Trouvez le bien immobilier qui correspond idéalement à vos désirs sur ImmoScout24 - La plateforme de l'immobilier en Suisse.</t>
  </si>
  <si>
    <t>🏘  Vous cherchez une maison à louer à Yverdon-les-Bains? ✅ Découvrez nos nombreuses annonces sur ImmoScout24.ch.</t>
  </si>
  <si>
    <t>https://www.immoscout24.ch/fr/maison/acheter/lieu-mauborget</t>
  </si>
  <si>
    <t>Vendre maison Mauborget: Trouvez le bien immobilier qui correspond idéalement à vos désirs sur ImmoScout24 - La plateforme de l'immobilier en Suisse.</t>
  </si>
  <si>
    <t>🏘  Vous souhaitez acheter une maison à Mauborget? ✅ Jetez un œil aux dernières offres sur ImmoScout24.ch.</t>
  </si>
  <si>
    <t>https://www.immoscout24.ch/fr/appartement/louer/lieu-pensier</t>
  </si>
  <si>
    <t>Louer appartement Pensier: Trouvez le bien immobilier qui correspond idéalement à vos désirs sur ImmoScout24 - La plateforme de l'immobilier en Suisse.</t>
  </si>
  <si>
    <t>🏘  Vous cherchez un appartement à louer à Pensier? ✅ Les annonces les plus actuelles sont sur ImmoScout24.ch.</t>
  </si>
  <si>
    <t>https://www.immoscout24.ch/fr/appartement/acheter/lieu-steinach</t>
  </si>
  <si>
    <t>Vendre appartement Steinach: Trouvez le bien immobilier qui correspond idéalement à vos désirs sur ImmoScout24 - La plateforme de l'immobilier en Suisse.</t>
  </si>
  <si>
    <t>🏘  L’appartement de vos rêves se trouve sur ImmoScout24.ch ✅ Découvrez les dernières annonces de vente à Steinach.</t>
  </si>
  <si>
    <t>https://www.immoscout24.ch/fr/appartement/louer/lieu-fislisbach</t>
  </si>
  <si>
    <t>Louer appartement Fislisbach: Trouvez le bien immobilier qui correspond idéalement à vos désirs sur ImmoScout24 - La plateforme de l'immobilier en Suisse.</t>
  </si>
  <si>
    <t>🏘  Vous cherchez un appartement à louer à Fislisbach? ✅ Les annonces les plus actuelles sont sur ImmoScout24.ch.</t>
  </si>
  <si>
    <t>https://www.immoscout24.ch/fr/maison/louer/lieu-bougy-villars</t>
  </si>
  <si>
    <t>Louer maison Bougy-Villars: Trouvez le bien immobilier qui correspond idéalement à vos désirs sur ImmoScout24 - La plateforme de l'immobilier en Suisse.</t>
  </si>
  <si>
    <t>🏘  Vous cherchez une maison à louer à Bougy-Villars? ✅ Découvrez nos nombreuses annonces sur ImmoScout24.ch.</t>
  </si>
  <si>
    <t>https://www.immoscout24.ch/fr/appartement/acheter/region-obwalden</t>
  </si>
  <si>
    <t>Vendre appartement Obwalden: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</si>
  <si>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d'Obwalden.</t>
  </si>
  <si>
    <t>https://www.immoscout24.ch/fr/appartement/louer/lieu-lamboing</t>
  </si>
  <si>
    <t>Louer appartement Lamboing: Trouvez le bien immobilier qui correspond idéalement à vos désirs sur ImmoScout24 - La plateforme de l'immobilier en Suisse.</t>
  </si>
  <si>
    <t>🏘  Vous cherchez un appartement à louer à Lamboing? ✅ Les annonces les plus actuelles sont sur ImmoScout24.ch.</t>
  </si>
  <si>
    <t>https://www.immoscout24.ch/fr/appartement/louer/pays-italie</t>
  </si>
  <si>
    <t>Louer appartement Italie: Trouvez le bien immobilier qui correspond idéalement à vos désirs sur ImmoScout24 - La plateforme de l'immobilier en Suisse.</t>
  </si>
  <si>
    <t>🏘  Vous cherchez un appartement à louer en Italie? ✅ Les annonces les plus actuelles sont sur ImmoScout24.ch.</t>
  </si>
  <si>
    <t>https://www.immoscout24.ch/fr/maison/acheter/lieu-rigi-kaltbad</t>
  </si>
  <si>
    <t>Vendre maison Rigi Kaltbad: Trouvez le bien immobilier qui correspond idéalement à vos désirs sur ImmoScout24 - La plateforme de l'immobilier en Suisse.</t>
  </si>
  <si>
    <t>🏘  Vous souhaitez acheter une maison à Rigi Kaltbad? ✅ Jetez un œil aux dernières offres sur ImmoScout24.ch.</t>
  </si>
  <si>
    <t>https://www.immoscout24.ch/fr/appartement/louer/lieu-huemoz</t>
  </si>
  <si>
    <t>Louer appartement Huémoz: Trouvez le bien immobilier qui correspond idéalement à vos désirs sur ImmoScout24 - La plateforme de l'immobilier en Suisse.</t>
  </si>
  <si>
    <t>🏘  Vous cherchez un appartement à louer à Huémoz? ✅ Les annonces les plus actuelles sont sur ImmoScout24.ch.</t>
  </si>
  <si>
    <t>https://www.immoscout24.ch/fr/appartement/acheter/quartier-rathaus-zurich</t>
  </si>
  <si>
    <t>Vendre appartement Rathaus (Zurich):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</si>
  <si>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Rathaus (Zurich).</t>
  </si>
  <si>
    <t>https://www.immoscout24.ch/fr/appartement/louer/lieu-miecourt</t>
  </si>
  <si>
    <t>Louer appartement Miécourt: Trouvez le bien immobilier qui correspond idéalement à vos désirs sur ImmoScout24 - La plateforme de l'immobilier en Suisse.</t>
  </si>
  <si>
    <t>🏘  Vous cherchez un appartement à louer à Miécourt? ✅ Les annonces les plus actuelles sont sur ImmoScout24.ch.</t>
  </si>
  <si>
    <t>https://www.immoscout24.ch/fr/appartement/louer/lieu-apples</t>
  </si>
  <si>
    <t>Louer appartement Apples: Trouvez le bien immobilier qui correspond idéalement à vos désirs sur ImmoScout24 - La plateforme de l'immobilier en Suisse.</t>
  </si>
  <si>
    <t>🏘  Vous cherchez un appartement à louer à Apples? ✅ Les annonces les plus actuelles sont sur ImmoScout24.ch.</t>
  </si>
  <si>
    <t>Obwalden</t>
  </si>
  <si>
    <t>https://www.immoscout24.ch/fr/appartement/louer/lieu-vessy</t>
  </si>
  <si>
    <t>Louer appartement Vessy: Trouvez le bien immobilier qui correspond idéalement à vos désirs sur ImmoScout24 - La plateforme de l'immobilier en Suisse.</t>
  </si>
  <si>
    <t>🏘  Vous cherchez un appartement à louer à Vessy? ✅ Les annonces les plus actuelles sont sur ImmoScout24.ch.</t>
  </si>
  <si>
    <t>St. Gall or St-Gall</t>
  </si>
  <si>
    <t>https://www.immoscout24.ch/fr/maison/louer/lieu-crans-pres-celigny</t>
  </si>
  <si>
    <t>Louer maison Crans-près-Céligny: Trouvez le bien immobilier qui correspond idéalement à vos désirs sur ImmoScout24 - La plateforme de l'immobilier en Suisse.</t>
  </si>
  <si>
    <t>🏘  Vous cherchez une maison à louer à Crans-près-Céligny? ✅ Découvrez nos nombreuses annonces sur ImmoScout24.ch.</t>
  </si>
  <si>
    <t>https://www.immoscout24.ch/fr/maison/acheter/lieu-la-cibourg</t>
  </si>
  <si>
    <t>Vendre maison La Cibourg: Trouvez le bien immobilier qui correspond idéalement à vos désirs sur ImmoScout24 - La plateforme de l'immobilier en Suisse.</t>
  </si>
  <si>
    <t>🏘  Vous souhaitez acheter une maison à La Cibourg? ✅ Jetez un œil aux dernières offres sur ImmoScout24.ch.</t>
  </si>
  <si>
    <t>https://www.immoscout24.ch/fr/maison/acheter/lieu-faido</t>
  </si>
  <si>
    <t>Vendre maison Faido: Trouvez le bien immobilier qui correspond idéalement à vos désirs sur ImmoScout24 - La plateforme de l'immobilier en Suisse.</t>
  </si>
  <si>
    <t>🏘  Vous souhaitez acheter une maison à Faido? ✅ Jetez un œil aux dernières offres sur ImmoScout24.ch.</t>
  </si>
  <si>
    <t>https://www.immoscout24.ch/fr/maison/louer/lieu-chamoson</t>
  </si>
  <si>
    <t>Louer maison Chamoson: Trouvez le bien immobilier qui correspond idéalement à vos désirs sur ImmoScout24 - La plateforme de l'immobilier en Suisse.</t>
  </si>
  <si>
    <t>🏘  Vous cherchez une maison à louer à Chamoson? ✅ Découvrez nos nombreuses annonces sur ImmoScout24.ch.</t>
  </si>
  <si>
    <t>https://www.immoscout24.ch/fr/maison/acheter/lieu-corserey</t>
  </si>
  <si>
    <t>Vendre maison Corserey: Trouvez le bien immobilier qui correspond idéalement à vos désirs sur ImmoScout24 - La plateforme de l'immobilier en Suisse.</t>
  </si>
  <si>
    <t>🏘  Vous souhaitez acheter une maison à Corserey? ✅ Jetez un œil aux dernières offres sur ImmoScout24.ch.</t>
  </si>
  <si>
    <t>https://www.immoscout24.ch/fr/appartement/louer/lieu-fraubrunnen</t>
  </si>
  <si>
    <t>Louer appartement Fraubrunnen: Trouvez le bien immobilier qui correspond idéalement à vos désirs sur ImmoScout24 - La plateforme de l'immobilier en Suisse.</t>
  </si>
  <si>
    <t>🏘  Vous cherchez un appartement à louer à Fraubrunnen? ✅ Les annonces les plus actuelles sont sur ImmoScout24.ch.</t>
  </si>
  <si>
    <t>https://www.immoscout24.ch/fr/appartement/louer/lieu-naefels</t>
  </si>
  <si>
    <t>Louer appartement Näfels: Trouvez le bien immobilier qui correspond idéalement à vos désirs sur ImmoScout24 - La plateforme de l'immobilier en Suisse.</t>
  </si>
  <si>
    <t>🏘  Vous cherchez un appartement à louer à Näfels? ✅ Les annonces les plus actuelles sont sur ImmoScout24.ch.</t>
  </si>
  <si>
    <t>https://www.immoscout24.ch/fr/maison/acheter/lieu-moerigen</t>
  </si>
  <si>
    <t>Vendre maison Mörigen: Trouvez le bien immobilier qui correspond idéalement à vos désirs sur ImmoScout24 - La plateforme de l'immobilier en Suisse.</t>
  </si>
  <si>
    <t>🏘  Vous souhaitez acheter une maison à Mörigen? ✅ Jetez un œil aux dernières offres sur ImmoScout24.ch.</t>
  </si>
  <si>
    <t>https://www.immoscout24.ch/fr/appartement/acheter/quartier-montchoisi-lausanne</t>
  </si>
  <si>
    <t>Vendre appartement Montchoisi (Lausanne):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</si>
  <si>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Montchoisi (Lausanne).</t>
  </si>
  <si>
    <t>https://www.immoscout24.ch/fr/appartement/acheter/lieu-oron-la-ville</t>
  </si>
  <si>
    <t>Vendre appartement Oron-la-Ville: Trouvez le bien immobilier qui correspond idéalement à vos désirs sur ImmoScout24 - La plateforme de l'immobilier en Suisse.</t>
  </si>
  <si>
    <t>🏘  L’appartement de vos rêves se trouve sur ImmoScout24.ch ✅ Découvrez les dernières annonces de vente à Oron-la-Ville.</t>
  </si>
  <si>
    <t>https://www.immoscout24.ch/fr/appartement/acheter/lieu-corminboeuf</t>
  </si>
  <si>
    <t>Vendre appartement Corminboeuf: Trouvez le bien immobilier qui correspond idéalement à vos désirs sur ImmoScout24 - La plateforme de l'immobilier en Suisse.</t>
  </si>
  <si>
    <t>🏘  L’appartement de vos rêves se trouve sur ImmoScout24.ch ✅ Découvrez les dernières annonces de vente à Corminboeuf.</t>
  </si>
  <si>
    <t>https://www.immoscout24.ch/fr/maison/acheter/lieu-crissier</t>
  </si>
  <si>
    <t>Vendre maison Crissier: Trouvez le bien immobilier qui correspond idéalement à vos désirs sur ImmoScout24 - La plateforme de l'immobilier en Suisse.</t>
  </si>
  <si>
    <t>🏘  Vous souhaitez acheter une maison à Crissier? ✅ Jetez un œil aux dernières offres sur ImmoScout24.ch.</t>
  </si>
  <si>
    <t>https://www.immoscout24.ch/fr/appartement/louer/lieu-bruegg-be</t>
  </si>
  <si>
    <t>Louer appartement Brügg BE: Trouvez le bien immobilier qui correspond idéalement à vos désirs sur ImmoScout24 - La plateforme de l'immobilier en Suisse.</t>
  </si>
  <si>
    <t>🏘  Vous cherchez un appartement à louer à Brügg BE? ✅ Les annonces les plus actuelles sont sur ImmoScout24.ch.</t>
  </si>
  <si>
    <t>https://www.immoscout24.ch/fr/maison/louer/lieu-bottmingen</t>
  </si>
  <si>
    <t>Louer maison Bottmingen: Trouvez le bien immobilier qui correspond idéalement à vos désirs sur ImmoScout24 - La plateforme de l'immobilier en Suisse.</t>
  </si>
  <si>
    <t>🏘  Vous cherchez une maison à louer à Bottmingen? ✅ Découvrez nos nombreuses annonces sur ImmoScout24.ch.</t>
  </si>
  <si>
    <t>https://www.immoscout24.ch/fr/appartement/louer/lieu-castione</t>
  </si>
  <si>
    <t>Louer appartement Castione: Trouvez le bien immobilier qui correspond idéalement à vos désirs sur ImmoScout24 - La plateforme de l'immobilier en Suisse.</t>
  </si>
  <si>
    <t>🏘  Vous cherchez un appartement à louer à Castione? ✅ Les annonces les plus actuelles sont sur ImmoScout24.ch.</t>
  </si>
  <si>
    <t>https://www.immoscout24.ch/fr/maison/acheter/lieu-lyss</t>
  </si>
  <si>
    <t>Vendre maison Lyss: Trouvez le bien immobilier qui correspond idéalement à vos désirs sur ImmoScout24 - La plateforme de l'immobilier en Suisse.</t>
  </si>
  <si>
    <t>🏘  Vous souhaitez acheter une maison à Lyss? ✅ Jetez un œil aux dernières offres sur ImmoScout24.ch.</t>
  </si>
  <si>
    <t>https://www.immoscout24.ch/fr/appartement/louer/lieu-pazzallo</t>
  </si>
  <si>
    <t>Louer appartement Pazzallo: Trouvez le bien immobilier qui correspond idéalement à vos désirs sur ImmoScout24 - La plateforme de l'immobilier en Suisse.</t>
  </si>
  <si>
    <t>🏘  Vous cherchez un appartement à louer à Pazzallo? ✅ Les annonces les plus actuelles sont sur ImmoScout24.ch.</t>
  </si>
  <si>
    <t>https://www.immoscout24.ch/fr/maison/louer/region-jura-bernois</t>
  </si>
  <si>
    <t>Louer maison Jura Bernois: Trouvez le bien immobilier qui correspond idéalement à vos désirs sur ImmoScout24 - La plateforme de l'immobilier en Suisse.</t>
  </si>
  <si>
    <t>🏘  Vous cherchez une maison à louer dans le Jura bernois? ✅ Découvrez nos nombreuses annonces sur ImmoScout24.ch.</t>
  </si>
  <si>
    <t>https://www.immoscout24.ch/fr/appartement/louer/region-rive-gauche</t>
  </si>
  <si>
    <t>Louer appartement Rive Gauche: Trouvez le bien immobilier qui correspond idéalement à vos désirs sur ImmoScout24 - La plateforme de l'immobilier en Suisse.</t>
  </si>
  <si>
    <t>🏘  Vous cherchez un appartement à louer à Rive gauche? ✅ Les annonces les plus actuelles sont sur ImmoScout24.ch.</t>
  </si>
  <si>
    <t>https://www.immoscout24.ch/fr/appartement/louer/lieu-campocologno</t>
  </si>
  <si>
    <t>Louer appartement Campocologno: Trouvez le bien immobilier qui correspond idéalement à vos désirs sur ImmoScout24 - La plateforme de l'immobilier en Suisse.</t>
  </si>
  <si>
    <t>🏘  Vous cherchez un appartement à louer à Campocologno? ✅ Les annonces les plus actuelles sont sur ImmoScout24.ch.</t>
  </si>
  <si>
    <t>https://www.immoscout24.ch/fr/appartement/acheter/lieu-glis</t>
  </si>
  <si>
    <t>Vendre appartement Glis: Trouvez le bien immobilier qui correspond idéalement à vos désirs sur ImmoScout24 - La plateforme de l'immobilier en Suisse.</t>
  </si>
  <si>
    <t>🏘  L’appartement de vos rêves se trouve sur ImmoScout24.ch ✅ Découvrez les dernières annonces de vente à Glis.</t>
  </si>
  <si>
    <t>https://www.immoscout24.ch/fr/appartement/acheter/lieu-bex</t>
  </si>
  <si>
    <t>Vendre appartement Bex: Trouvez le bien immobilier qui correspond idéalement à vos désirs sur ImmoScout24 - La plateforme de l'immobilier en Suisse.</t>
  </si>
  <si>
    <t>🏘  L’appartement de vos rêves se trouve sur ImmoScout24.ch ✅ Découvrez les dernières annonces de vente à Bex.</t>
  </si>
  <si>
    <t>https://www.immoscout24.ch/fr/appartement/acheter/lieu-vufflens-la-ville</t>
  </si>
  <si>
    <t>Vendre appartement Vufflens-la-Ville: Trouvez le bien immobilier qui correspond idéalement à vos désirs sur ImmoScout24 - La plateforme de l'immobilier en Suisse.</t>
  </si>
  <si>
    <t>🏘  L’appartement de vos rêves se trouve sur ImmoScout24.ch ✅ Découvrez les dernières annonces de vente à Vufflens-la-Ville.</t>
  </si>
  <si>
    <t>https://www.immoscout24.ch/fr/maison/acheter/lieu-neyruz-sur-moudon</t>
  </si>
  <si>
    <t>Vendre maison Neyruz-sur-Moudon: Trouvez le bien immobilier qui correspond idéalement à vos désirs sur ImmoScout24 - La plateforme de l'immobilier en Suisse.</t>
  </si>
  <si>
    <t>🏘  Vous souhaitez acheter une maison à Neyruz-sur-Moudon? ✅ Jetez un œil aux dernières offres sur ImmoScout24.ch.</t>
  </si>
  <si>
    <t>https://www.immoscout24.ch/fr/maison/acheter/lieu-malvaglia</t>
  </si>
  <si>
    <t>Vendre maison Malvaglia: Trouvez le bien immobilier qui correspond idéalement à vos désirs sur ImmoScout24 - La plateforme de l'immobilier en Suisse.</t>
  </si>
  <si>
    <t>🏘  Vous souhaitez acheter une maison à Malvaglia? ✅ Jetez un œil aux dernières offres sur ImmoScout24.ch.</t>
  </si>
  <si>
    <t>https://www.immoscout24.ch/fr/appartement/louer/lieu-hinterkappelen</t>
  </si>
  <si>
    <t>Louer appartement Hinterkappelen: Trouvez le bien immobilier qui correspond idéalement à vos désirs sur ImmoScout24 - La plateforme de l'immobilier en Suisse.</t>
  </si>
  <si>
    <t>🏘  Vous cherchez un appartement à louer à Hinterkappelen? ✅ Les annonces les plus actuelles sont sur ImmoScout24.ch.</t>
  </si>
  <si>
    <t>https://www.immoscout24.ch/fr/appartement/acheter/lieu-melide</t>
  </si>
  <si>
    <t>Vendre appartement Melide: Trouvez le bien immobilier qui correspond idéalement à vos désirs sur ImmoScout24 - La plateforme de l'immobilier en Suisse.</t>
  </si>
  <si>
    <t>🏘  L’appartement de vos rêves se trouve sur ImmoScout24.ch ✅ Découvrez les dernières annonces de vente à Melide.</t>
  </si>
  <si>
    <t>https://www.immoscout24.ch/fr/maison/acheter/lieu-schwarzsee</t>
  </si>
  <si>
    <t>Vendre maison Schwarzsee: Trouvez le bien immobilier qui correspond idéalement à vos désirs sur ImmoScout24 - La plateforme de l'immobilier en Suisse.</t>
  </si>
  <si>
    <t>🏘  Vous souhaitez acheter une maison à Schwarzsee? ✅ Jetez un œil aux dernières offres sur ImmoScout24.ch.</t>
  </si>
  <si>
    <t>https://www.immoscout24.ch/fr/appartement/louer/lieu-sempach</t>
  </si>
  <si>
    <t>Louer appartement Sempach: Trouvez le bien immobilier qui correspond idéalement à vos désirs sur ImmoScout24 - La plateforme de l'immobilier en Suisse.</t>
  </si>
  <si>
    <t>🏘  Vous cherchez un appartement à louer à Sempach? ✅ Les annonces les plus actuelles sont sur ImmoScout24.ch.</t>
  </si>
  <si>
    <t>https://www.immoscout24.ch/fr/maison/louer/region-gruyere-la-broye-lac-veveyse</t>
  </si>
  <si>
    <t>Louer maison Gruyère - La Broye - Lac - Veveyse: Trouvez le bien immobilier qui correspond idéalement à vos désirs sur ImmoScout24 - La plateforme de l'immobilier en Suisse.</t>
  </si>
  <si>
    <t>🏘  Vous cherchez une maison à louer dans les districts de Gruyère - La Broye - Lac - Veveyse? ✅ Découvrez nos nombreuses annonces sur ImmoScout24.ch.</t>
  </si>
  <si>
    <t>https://www.immoscout24.ch/fr/appartement/louer/lieu-montet-broye</t>
  </si>
  <si>
    <t>Louer appartement Montet (Broye): Trouvez le bien immobilier qui correspond idéalement à vos désirs sur ImmoScout24 - La plateforme de l'immobilier en Suisse.</t>
  </si>
  <si>
    <t>🏘  Vous cherchez un appartement à louer à Montet (Broye)? ✅ Les annonces les plus actuelles sont sur ImmoScout24.ch.</t>
  </si>
  <si>
    <t>https://www.immoscout24.ch/fr/appartement/louer/quartier-engeried-berne</t>
  </si>
  <si>
    <t>Louer appartement Engeried (Berne): Trouvez le bien immobilier qui correspond idéalement à vos désirs sur ImmoScout24 - La plateforme de l'immobilier en Suisse.</t>
  </si>
  <si>
    <t>🏘  Vous cherchez un appartement à louer dans le quartier d'Engeried (Berne)? ✅ Les annonces les plus actuelles sont sur ImmoScout24.ch.</t>
  </si>
  <si>
    <t>https://www.immoscout24.ch/fr/appartement/acheter/lieu-vernayaz</t>
  </si>
  <si>
    <t>Vendre appartement Vernayaz: Trouvez le bien immobilier qui correspond idéalement à vos désirs sur ImmoScout24 - La plateforme de l'immobilier en Suisse.</t>
  </si>
  <si>
    <t>🏘  L’appartement de vos rêves se trouve sur ImmoScout24.ch ✅ Découvrez les dernières annonces de vente à Vernayaz.</t>
  </si>
  <si>
    <t>https://www.immoscout24.ch/fr/appartement/louer/lieu-minusio</t>
  </si>
  <si>
    <t>Louer appartement Minusio: Trouvez le bien immobilier qui correspond idéalement à vos désirs sur ImmoScout24 - La plateforme de l'immobilier en Suisse.</t>
  </si>
  <si>
    <t>🏘  Vous cherchez un appartement à louer à Minusio? ✅ Les annonces les plus actuelles sont sur ImmoScout24.ch.</t>
  </si>
  <si>
    <t>https://www.immoscout24.ch/fr/maison/acheter/lieu-zermatt</t>
  </si>
  <si>
    <t>Vendre maison Zermatt: Trouvez le bien immobilier qui correspond idéalement à vos désirs sur ImmoScout24 - La plateforme de l'immobilier en Suisse.</t>
  </si>
  <si>
    <t>🏘  Vous souhaitez acheter une maison à Zermatt? ✅ Jetez un œil aux dernières offres sur ImmoScout24.ch.</t>
  </si>
  <si>
    <t>https://www.immoscout24.ch/fr/appartement/acheter/pays-chine</t>
  </si>
  <si>
    <t>Vendre appartement Chine: Trouvez le bien immobilier qui correspond idéalement à vos désirs sur ImmoScout24 - La plateforme de l'immobilier en Suisse.</t>
  </si>
  <si>
    <t>🏘  Vous cherchez un appartement à louer en Chine? ✅ Les annonces les plus actuelles sont sur ImmoScout24.ch.</t>
  </si>
  <si>
    <t>https://www.immoscout24.ch/fr/maison/acheter/lieu-les-planchettes</t>
  </si>
  <si>
    <t>Vendre maison Les Planchettes: Trouvez le bien immobilier qui correspond idéalement à vos désirs sur ImmoScout24 - La plateforme de l'immobilier en Suisse.</t>
  </si>
  <si>
    <t>🏘  Vous souhaitez acheter une maison aux Planchettes? ✅ Jetez un œil aux dernières offres sur ImmoScout24.ch.</t>
  </si>
  <si>
    <t>https://www.immoscout24.ch/fr/maison/acheter/quartier-vernand-lausanne</t>
  </si>
  <si>
    <t>Vendre maison Vernand (Lausanne): Trouvez le bien immobilier qui correspond idéalement à vos désirs sur ImmoScout24 - La plateforme de l'immobilier en Suisse.</t>
  </si>
  <si>
    <t>🏘  Vous souhaitez acheter une maison dans le quartier de Vernand (Lausanne)? ✅ Jetez un œil aux dernières offres sur ImmoScout24.ch.</t>
  </si>
  <si>
    <t>https://www.immoscout24.ch/fr/maison/louer/lieu-montbovon</t>
  </si>
  <si>
    <t>Louer maison Montbovon: Trouvez le bien immobilier qui correspond idéalement à vos désirs sur ImmoScout24 - La plateforme de l'immobilier en Suisse.</t>
  </si>
  <si>
    <t>🏘  Vous cherchez une maison à louer à Montbovon? ✅ Découvrez nos nombreuses annonces sur ImmoScout24.ch.</t>
  </si>
  <si>
    <t>https://www.immoscout24.ch/fr/appartement/louer/lieu-s-antonino</t>
  </si>
  <si>
    <t>Louer appartement S. Antonino: Trouvez le bien immobilier qui correspond idéalement à vos désirs sur ImmoScout24 - La plateforme de l'immobilier en Suisse.</t>
  </si>
  <si>
    <t>🏘  Vous cherchez un appartement à louer à S. Antonino? ✅ Les annonces les plus actuelles sont sur ImmoScout24.ch.</t>
  </si>
  <si>
    <t>https://www.immoscout24.ch/fr/maison/louer/lieu-muri-b-bern</t>
  </si>
  <si>
    <t>Louer maison Muri b. Bern: Trouvez le bien immobilier qui correspond idéalement à vos désirs sur ImmoScout24 - La plateforme de l'immobilier en Suisse.</t>
  </si>
  <si>
    <t>🏘  Vous cherchez une maison à louer à Muri b. Bern? ✅ Découvrez nos nombreuses annonces sur ImmoScout24.ch.</t>
  </si>
  <si>
    <t>https://www.immoscout24.ch/fr/maison/acheter/lieu-givrins</t>
  </si>
  <si>
    <t>Vendre maison Givrins: Trouvez le bien immobilier qui correspond idéalement à vos désirs sur ImmoScout24 - La plateforme de l'immobilier en Suisse.</t>
  </si>
  <si>
    <t>🏘  Vous souhaitez acheter une maison à Givrins? ✅ Jetez un œil aux dernières offres sur ImmoScout24.ch.</t>
  </si>
  <si>
    <t>https://www.immoscout24.ch/fr/appartement/louer/lieu-reclere</t>
  </si>
  <si>
    <t>Louer appartement Réclère: Trouvez le bien immobilier qui correspond idéalement à vos désirs sur ImmoScout24 - La plateforme de l'immobilier en Suisse.</t>
  </si>
  <si>
    <t>🏘  Vous cherchez un appartement à louer à Réclère? ✅ Les annonces les plus actuelles sont sur ImmoScout24.ch.</t>
  </si>
  <si>
    <t>https://www.immoscout24.ch/fr/maison/acheter/lieu-rose</t>
  </si>
  <si>
    <t>Vendre maison Rosé: Trouvez le bien immobilier qui correspond idéalement à vos désirs sur ImmoScout24 - La plateforme de l'immobilier en Suisse.</t>
  </si>
  <si>
    <t>🏘  Vous souhaitez acheter une maison à Rosé? ✅ Jetez un œil aux dernières offres sur ImmoScout24.ch.</t>
  </si>
  <si>
    <t>https://www.immoscout24.ch/fr/appartement/louer/quartier-vallon-bethusy-lausanne</t>
  </si>
  <si>
    <t>Louer appartement Vallon - Béthusy (Lausanne): Trouvez le bien immobilier qui correspond idéalement à vos désirs sur ImmoScout24 - La plateforme de l'immobilier en Suisse.</t>
  </si>
  <si>
    <t>🏘  Vous cherchez un appartement à louer dans le quartier de Vallon - Béthusy (Lausanne)? ✅ Les annonces les plus actuelles sont sur ImmoScout24.ch.</t>
  </si>
  <si>
    <t>https://www.immoscout24.ch/fr/appartement/louer/lieu-massagno</t>
  </si>
  <si>
    <t>Louer appartement Massagno: Trouvez le bien immobilier qui correspond idéalement à vos désirs sur ImmoScout24 - La plateforme de l'immobilier en Suisse.</t>
  </si>
  <si>
    <t>🏘  Vous cherchez un appartement à louer à Massagno? ✅ Les annonces les plus actuelles sont sur ImmoScout24.ch.</t>
  </si>
  <si>
    <t>https://www.immoscout24.ch/fr/maison/acheter/lieu-grand-lancy</t>
  </si>
  <si>
    <t>Vendre maison Grand-Lancy: Trouvez le bien immobilier qui correspond idéalement à vos désirs sur ImmoScout24 - La plateforme de l'immobilier en Suisse.</t>
  </si>
  <si>
    <t>🏘  Vous souhaitez acheter une maison à Grand-Lancy? ✅ Jetez un œil aux dernières offres sur ImmoScout24.ch.</t>
  </si>
  <si>
    <t>https://www.immoscout24.ch/fr/appartement/louer/quartier-pregassona-lugano</t>
  </si>
  <si>
    <t>Louer appartement Pregassona (Lugano): Trouvez le bien immobilier qui correspond idéalement à vos désirs sur ImmoScout24 - La plateforme de l'immobilier en Suisse.</t>
  </si>
  <si>
    <t>🏘  Vous cherchez un appartement à louer dans le quartier de Pregassona (Lugano)? ✅ Les annonces les plus actuelles sont sur ImmoScout24.ch.</t>
  </si>
  <si>
    <t>https://www.immoscout24.ch/fr/maison/acheter/lieu-etagnieres</t>
  </si>
  <si>
    <t>Vendre maison Etagnières: Trouvez le bien immobilier qui correspond idéalement à vos désirs sur ImmoScout24 - La plateforme de l'immobilier en Suisse.</t>
  </si>
  <si>
    <t>🏘  Vous souhaitez acheter une maison à Etagnières? ✅ Jetez un œil aux dernières offres sur ImmoScout24.ch.</t>
  </si>
  <si>
    <t>https://www.immoscout24.ch/fr/maison/acheter/region-soleure-et-environs</t>
  </si>
  <si>
    <t>Vendre maison Soleure et environs: Trouvez le bien immobilier qui correspond idéalement à vos désirs sur ImmoScout24 - La plateforme de l'immobilier en Suisse.</t>
  </si>
  <si>
    <t>🏘  Vous souhaitez acheter une maison à Soleure et environs? ✅ Jetez un œil aux dernières offres sur ImmoScout24.ch.</t>
  </si>
  <si>
    <t>https://www.immoscout24.ch/fr/appartement/louer/lieu-oberrieden</t>
  </si>
  <si>
    <t>Louer appartement Oberrieden: Trouvez le bien immobilier qui correspond idéalement à vos désirs sur ImmoScout24 - La plateforme de l'immobilier en Suisse.</t>
  </si>
  <si>
    <t>🏘  Vous cherchez un appartement à louer à Oberrieden? ✅ Les annonces les plus actuelles sont sur ImmoScout24.ch.</t>
  </si>
  <si>
    <t>https://www.immoscout24.ch/fr/appartement/louer/lieu-orvin</t>
  </si>
  <si>
    <t>Louer appartement Orvin: Trouvez le bien immobilier qui correspond idéalement à vos désirs sur ImmoScout24 - La plateforme de l'immobilier en Suisse.</t>
  </si>
  <si>
    <t>🏘  Vous cherchez un appartement à louer à Orvin? ✅ Les annonces les plus actuelles sont sur ImmoScout24.ch.</t>
  </si>
  <si>
    <t>https://www.immoscout24.ch/fr/appartement/louer/lieu-mesocco</t>
  </si>
  <si>
    <t>Louer appartement Mesocco: Trouvez le bien immobilier qui correspond idéalement à vos désirs sur ImmoScout24 - La plateforme de l'immobilier en Suisse.</t>
  </si>
  <si>
    <t>🏘  Vous cherchez un appartement à louer à Mesocco? ✅ Les annonces les plus actuelles sont sur ImmoScout24.ch.</t>
  </si>
  <si>
    <t>https://www.immoscout24.ch/fr/appartement/louer/lieu-aeschi-so</t>
  </si>
  <si>
    <t>Louer appartement Aeschi SO: Trouvez le bien immobilier qui correspond idéalement à vos désirs sur ImmoScout24 - La plateforme de l'immobilier en Suisse.</t>
  </si>
  <si>
    <t>🏘  Vous cherchez un appartement à louer à Aeschi SO? ✅ Les annonces les plus actuelles sont sur ImmoScout24.ch.</t>
  </si>
  <si>
    <t>https://www.immoscout24.ch/fr/appartement/louer/lieu-la-russille</t>
  </si>
  <si>
    <t>Louer appartement La Russille: Trouvez le bien immobilier qui correspond idéalement à vos désirs sur ImmoScout24 - La plateforme de l'immobilier en Suisse.</t>
  </si>
  <si>
    <t>🏘  Vous cherchez un appartement à louer à La Russille? ✅ Les annonces les plus actuelles sont sur ImmoScout24.ch.</t>
  </si>
  <si>
    <t>https://www.immoscout24.ch/fr/appartement/louer/lieu-guttet-feschel</t>
  </si>
  <si>
    <t>Louer appartement Guttet-Feschel: Trouvez le bien immobilier qui correspond idéalement à vos désirs sur ImmoScout24 - La plateforme de l'immobilier en Suisse.</t>
  </si>
  <si>
    <t>🏘  Vous cherchez un appartement à louer à Guttet-Feschel? ✅ Les annonces les plus actuelles sont sur ImmoScout24.ch.</t>
  </si>
  <si>
    <t>https://www.immoscout24.ch/fr/appartement/louer/lieu-le-cret-pres-semsales</t>
  </si>
  <si>
    <t>Louer appartement Le Crêt-près-Semsales: Trouvez le bien immobilier qui correspond idéalement à vos désirs sur ImmoScout24 - La plateforme de l'immobilier en Suisse.</t>
  </si>
  <si>
    <t>🏘  Vous cherchez un appartement à louer au Crêt-près-Semsales? ✅ Les annonces les plus actuelles sont sur ImmoScout24.ch.</t>
  </si>
  <si>
    <t>https://www.immoscout24.ch/fr/appartement/louer/lieu-meinier</t>
  </si>
  <si>
    <t>Louer appartement Meinier: Trouvez le bien immobilier qui correspond idéalement à vos désirs sur ImmoScout24 - La plateforme de l'immobilier en Suisse.</t>
  </si>
  <si>
    <t>🏘  Vous cherchez un appartement à louer à Meinier? ✅ Les annonces les plus actuelles sont sur ImmoScout24.ch.</t>
  </si>
  <si>
    <t>https://www.immoscout24.ch/fr/appartement/louer/lieu-bovernier</t>
  </si>
  <si>
    <t>Louer appartement Bovernier: Trouvez le bien immobilier qui correspond idéalement à vos désirs sur ImmoScout24 - La plateforme de l'immobilier en Suisse.</t>
  </si>
  <si>
    <t>🏘  Vous cherchez un appartement à louer à Bovernier? ✅ Les annonces les plus actuelles sont sur ImmoScout24.ch.</t>
  </si>
  <si>
    <t>https://www.immoscout24.ch/fr/appartement/louer/lieu-frauenfeld</t>
  </si>
  <si>
    <t>Louer appartement Frauenfeld: Trouvez le bien immobilier qui correspond idéalement à vos désirs sur ImmoScout24 - La plateforme de l'immobilier en Suisse.</t>
  </si>
  <si>
    <t>🏘  Vous cherchez un appartement à louer à Frauenfeld? ✅ Les annonces les plus actuelles sont sur ImmoScout24.ch.</t>
  </si>
  <si>
    <t>https://www.immoscout24.ch/fr/maison/louer/lieu-arzier-le-muids</t>
  </si>
  <si>
    <t>Louer maison Arzier-Le Muids: Trouvez le bien immobilier qui correspond idéalement à vos désirs sur ImmoScout24 - La plateforme de l'immobilier en Suisse.</t>
  </si>
  <si>
    <t>🏘  Vous cherchez une maison à louer à Arzier-Le Muids? ✅ Découvrez nos nombreuses annonces sur ImmoScout24.ch.</t>
  </si>
  <si>
    <t>https://www.immoscout24.ch/fr/maison/acheter/lieu-mollie-margot</t>
  </si>
  <si>
    <t>Vendre maison Mollie-Margot: Trouvez le bien immobilier qui correspond idéalement à vos désirs sur ImmoScout24 - La plateforme de l'immobilier en Suisse.</t>
  </si>
  <si>
    <t>🏘  Vous souhaitez acheter une maison à Mollie-Margot? ✅ Jetez un œil aux dernières offres sur ImmoScout24.ch.</t>
  </si>
  <si>
    <t>https://www.immoscout24.ch/fr/appartement/louer/lieu-ettingen</t>
  </si>
  <si>
    <t>Louer appartement Ettingen: Trouvez le bien immobilier qui correspond idéalement à vos désirs sur ImmoScout24 - La plateforme de l'immobilier en Suisse.</t>
  </si>
  <si>
    <t>🏘  Vous cherchez un appartement à louer à Ettingen? ✅ Les annonces les plus actuelles sont sur ImmoScout24.ch.</t>
  </si>
  <si>
    <t>https://www.immoscout24.ch/fr/appartement/louer/lieu-bionnens</t>
  </si>
  <si>
    <t>Louer appartement Bionnens: Trouvez le bien immobilier qui correspond idéalement à vos désirs sur ImmoScout24 - La plateforme de l'immobilier en Suisse.</t>
  </si>
  <si>
    <t>🏘  Vous cherchez un appartement à louer à Bionnens? ✅ Les annonces les plus actuelles sont sur ImmoScout24.ch.</t>
  </si>
  <si>
    <t>https://www.immoscout24.ch/fr/maison/acheter/lieu-fenil-sur-corsier</t>
  </si>
  <si>
    <t>Vendre maison Fenil-sur-Corsier: Trouvez le bien immobilier qui correspond idéalement à vos désirs sur ImmoScout24 - La plateforme de l'immobilier en Suisse.</t>
  </si>
  <si>
    <t>🏘  Vous souhaitez acheter une maison à Fenil-sur-Corsier? ✅ Jetez un œil aux dernières offres sur ImmoScout24.ch.</t>
  </si>
  <si>
    <t>https://www.immoscout24.ch/fr/maison/acheter/lieu-valeyres-sous-rances</t>
  </si>
  <si>
    <t>Vendre maison Valeyres-sous-Rances: Trouvez le bien immobilier qui correspond idéalement à vos désirs sur ImmoScout24 - La plateforme de l'immobilier en Suisse.</t>
  </si>
  <si>
    <t>🏘  Vous souhaitez acheter une maison à Valeyres-sous-Rances? ✅ Jetez un œil aux dernières offres sur ImmoScout24.ch.</t>
  </si>
  <si>
    <t>https://www.immoscout24.ch/fr/maison/acheter/lieu-cremines</t>
  </si>
  <si>
    <t>Vendre maison Crémines: Trouvez le bien immobilier qui correspond idéalement à vos désirs sur ImmoScout24 - La plateforme de l'immobilier en Suisse.</t>
  </si>
  <si>
    <t>🏘  Vous souhaitez acheter une maison à Crémines? ✅ Jetez un œil aux dernières offres sur ImmoScout24.ch.</t>
  </si>
  <si>
    <t>https://www.immoscout24.ch/fr/maison/acheter/lieu-st-gingolph</t>
  </si>
  <si>
    <t>Vendre maison St-Gingolph: Trouvez le bien immobilier qui correspond idéalement à vos désirs sur ImmoScout24 - La plateforme de l'immobilier en Suisse.</t>
  </si>
  <si>
    <t>🏘  Vous souhaitez acheter une maison à St-Gingolph? ✅ Jetez un œil aux dernières offres sur ImmoScout24.ch.</t>
  </si>
  <si>
    <t>https://www.immoscout24.ch/fr/appartement/acheter/lieu-affoltern-am-albis</t>
  </si>
  <si>
    <t>Vendre appartement Affoltern am Albis: Trouvez le bien immobilier qui correspond idéalement à vos désirs sur ImmoScout24 - La plateforme de l'immobilier en Suisse.</t>
  </si>
  <si>
    <t>🏘  L’appartement de vos rêves se trouve sur ImmoScout24.ch ✅ Découvrez les dernières annonces de vente à Affoltern am Albis.</t>
  </si>
  <si>
    <t>https://www.immoscout24.ch/fr/appartement/acheter/region-laupen-sense</t>
  </si>
  <si>
    <t>Vendre appartement Laupen - Sense: Trouvez le bien immobilier qui correspond idéalement à vos désirs sur ImmoScout24 - La plateforme de l'immobilier en Suisse.</t>
  </si>
  <si>
    <t>🏘  L’appartement de vos rêves se trouve sur ImmoScout24.ch ✅ Découvrez les dernières annonces de vente à Laupen.</t>
  </si>
  <si>
    <t>https://www.immoscout24.ch/fr/maison/louer/lieu-autigny</t>
  </si>
  <si>
    <t>Louer maison Autigny: Trouvez le bien immobilier qui correspond idéalement à vos désirs sur ImmoScout24 - La plateforme de l'immobilier en Suisse.</t>
  </si>
  <si>
    <t>🏘  Vous cherchez une maison à louer à Autigny? ✅ Découvrez nos nombreuses annonces sur ImmoScout24.ch.</t>
  </si>
  <si>
    <t>https://www.immoscout24.ch/fr/maison/louer/lieu-oulens-sous-echallens</t>
  </si>
  <si>
    <t>Louer maison Oulens-sous-Echallens: Trouvez le bien immobilier qui correspond idéalement à vos désirs sur ImmoScout24 - La plateforme de l'immobilier en Suisse.</t>
  </si>
  <si>
    <t>🏘  Vous cherchez une maison à louer à Oulens-sous-Echallens? ✅ Découvrez nos nombreuses annonces sur ImmoScout24.ch.</t>
  </si>
  <si>
    <t>https://www.immoscout24.ch/fr/maison/acheter/region-unterengadin-val-mustair</t>
  </si>
  <si>
    <t>Vendre maison Unterengadin - Val Mustair: Trouvez le bien immobilier qui correspond idéalement à vos désirs sur ImmoScout24 - La plateforme de l'immobilier en Suisse.</t>
  </si>
  <si>
    <t>🏘  Vous souhaitez acheter une maison en Basse-Engadine? ✅ Jetez un œil aux dernières offres sur ImmoScout24.ch.</t>
  </si>
  <si>
    <t>https://www.immoscout24.ch/fr/maison/acheter/lieu-reiden</t>
  </si>
  <si>
    <t>Vendre maison Reiden: Trouvez le bien immobilier qui correspond idéalement à vos désirs sur ImmoScout24 - La plateforme de l'immobilier en Suisse.</t>
  </si>
  <si>
    <t>🏘  Vous souhaitez acheter une maison à Reiden? ✅ Jetez un œil aux dernières offres sur ImmoScout24.ch.</t>
  </si>
  <si>
    <t>https://www.immoscout24.ch/fr/appartement/louer/lieu-gstaad</t>
  </si>
  <si>
    <t>Louer appartement Gstaad: Trouvez le bien immobilier qui correspond idéalement à vos désirs sur ImmoScout24 - La plateforme de l'immobilier en Suisse.</t>
  </si>
  <si>
    <t>🏘  Vous cherchez un appartement à louer à Gstaad? ✅ Les annonces les plus actuelles sont sur ImmoScout24.ch.</t>
  </si>
  <si>
    <t>https://www.immoscout24.ch/fr/appartement/acheter/lieu-mont-sur-rolle</t>
  </si>
  <si>
    <t>Vendre appartement Mont-sur-Rolle: Trouvez le bien immobilier qui correspond idéalement à vos désirs sur ImmoScout24 - La plateforme de l'immobilier en Suisse.</t>
  </si>
  <si>
    <t>🏘  L’appartement de vos rêves se trouve sur ImmoScout24.ch ✅ Découvrez les dernières annonces de vente à Mont-sur-Rolle.</t>
  </si>
  <si>
    <t>https://www.immoscout24.ch/fr/maison/acheter/lieu-krattigen</t>
  </si>
  <si>
    <t>Vendre maison Krattigen: Trouvez le bien immobilier qui correspond idéalement à vos désirs sur ImmoScout24 - La plateforme de l'immobilier en Suisse.</t>
  </si>
  <si>
    <t>🏘  Vous souhaitez acheter une maison à Krattigen? ✅ Jetez un œil aux dernières offres sur ImmoScout24.ch.</t>
  </si>
  <si>
    <t>https://www.immoscout24.ch/fr/appartement/acheter/region-appenzell-et-environs</t>
  </si>
  <si>
    <t>Vendre appartement Appenzell et environs: Trouvez le bien immobilier qui correspond idéalement à vos désirs sur ImmoScout24 - La plateforme de l'immobilier en Suisse.</t>
  </si>
  <si>
    <t>🏘  L’appartement de vos rêves se trouve sur ImmoScout24.ch ✅ Découvrez les dernières annonces de vente à Appenzell et environs.</t>
  </si>
  <si>
    <t>https://www.immoscout24.ch/fr/appartement/acheter/lieu-frutigen</t>
  </si>
  <si>
    <t>Vendre appartement Frutigen: Trouvez le bien immobilier qui correspond idéalement à vos désirs sur ImmoScout24 - La plateforme de l'immobilier en Suisse.</t>
  </si>
  <si>
    <t>🏘  L’appartement de vos rêves se trouve sur ImmoScout24.ch ✅ Découvrez les dernières annonces de vente à Frutigen.</t>
  </si>
  <si>
    <t>https://www.immoscout24.ch/fr/maison/louer/quartier-sallaz-vennes-sechaud-lausanne</t>
  </si>
  <si>
    <t>Louer maison Sallaz - Vennes - Séchaud (Lausanne): Trouvez le bien immobilier qui correspond idéalement à vos désirs sur ImmoScout24 - La plateforme de l'immobilier en Suisse.</t>
  </si>
  <si>
    <t>🏘  Vous cherchez une maison à louer dans le quartier de Sallaz - Vennes - Séchaud (Lausanne)? ✅ Découvrez nos nombreuses annonces sur ImmoScout24.ch.</t>
  </si>
  <si>
    <t>https://www.immoscout24.ch/fr/maison/acheter/lieu-vacallo</t>
  </si>
  <si>
    <t>Vendre maison Vacallo: Trouvez le bien immobilier qui correspond idéalement à vos désirs sur ImmoScout24 - La plateforme de l'immobilier en Suisse.</t>
  </si>
  <si>
    <t>🏘  Vous souhaitez acheter une maison à Vacallo? ✅ Jetez un œil aux dernières offres sur ImmoScout24.ch.</t>
  </si>
  <si>
    <t>https://www.immoscout24.ch/fr/appartement/acheter/lieu-pully</t>
  </si>
  <si>
    <t>Vendre appartement Pully: Trouvez le bien immobilier qui correspond idéalement à vos désirs sur ImmoScout24 - La plateforme de l'immobilier en Suisse.</t>
  </si>
  <si>
    <t>🏘  L’appartement de vos rêves se trouve sur ImmoScout24.ch ✅ Découvrez les dernières annonces de vente à Pully.</t>
  </si>
  <si>
    <t>https://www.immoscout24.ch/fr/maison/acheter/lieu-speicher</t>
  </si>
  <si>
    <t>Vendre maison Speicher: Trouvez le bien immobilier qui correspond idéalement à vos désirs sur ImmoScout24 - La plateforme de l'immobilier en Suisse.</t>
  </si>
  <si>
    <t>🏘  Vous souhaitez acheter une maison à Speicher? ✅ Jetez un œil aux dernières offres sur ImmoScout24.ch.</t>
  </si>
  <si>
    <t>https://www.immoscout24.ch/fr/maison/acheter/lieu-les-monts-de-corsier</t>
  </si>
  <si>
    <t>Vendre maison Les Monts-de-Corsier: Trouvez le bien immobilier qui correspond idéalement à vos désirs sur ImmoScout24 - La plateforme de l'immobilier en Suisse.</t>
  </si>
  <si>
    <t>🏘  Vous souhaitez acheter une maison aux Monts-de-Corsier? ✅ Jetez un œil aux dernières offres sur ImmoScout24.ch.</t>
  </si>
  <si>
    <t>https://www.immoscout24.ch/fr/appartement/louer/lieu-gland</t>
  </si>
  <si>
    <t>Louer appartement Gland: Trouvez le bien immobilier qui correspond idéalement à vos désirs sur ImmoScout24 - La plateforme de l'immobilier en Suisse.</t>
  </si>
  <si>
    <t>🏘  Vous cherchez un appartement à louer à Gland? ✅ Les annonces les plus actuelles sont sur ImmoScout24.ch.</t>
  </si>
  <si>
    <t>https://www.immoscout24.ch/fr/appartement/louer/lieu-cossonay-ville</t>
  </si>
  <si>
    <t>Louer appartement Cossonay-Ville: Trouvez le bien immobilier qui correspond idéalement à vos désirs sur ImmoScout24 - La plateforme de l'immobilier en Suisse.</t>
  </si>
  <si>
    <t>🏘  Vous cherchez un appartement à louer à Cossonay-Ville? ✅ Les annonces les plus actuelles sont sur ImmoScout24.ch.</t>
  </si>
  <si>
    <t>https://www.immoscout24.ch/fr/maison/acheter/lieu-stans</t>
  </si>
  <si>
    <t>Vendre maison Stans: Trouvez le bien immobilier qui correspond idéalement à vos désirs sur ImmoScout24 - La plateforme de l'immobilier en Suisse.</t>
  </si>
  <si>
    <t>🏘  Vous souhaitez acheter une maison à Stans? ✅ Jetez un œil aux dernières offres sur ImmoScout24.ch.</t>
  </si>
  <si>
    <t>https://www.immoscout24.ch/fr/appartement/louer/lieu-rheinfelden</t>
  </si>
  <si>
    <t>Louer appartement Rheinfelden: Trouvez le bien immobilier qui correspond idéalement à vos désirs sur ImmoScout24 - La plateforme de l'immobilier en Suisse.</t>
  </si>
  <si>
    <t>🏘  Vous cherchez un appartement à louer à Rheinfelden? ✅ Les annonces les plus actuelles sont sur ImmoScout24.ch.</t>
  </si>
  <si>
    <t>https://www.immoscout24.ch/fr/appartement/louer/lieu-limpach</t>
  </si>
  <si>
    <t>Louer appartement Limpach: Trouvez le bien immobilier qui correspond idéalement à vos désirs sur ImmoScout24 - La plateforme de l'immobilier en Suisse.</t>
  </si>
  <si>
    <t>🏘  Vous cherchez un appartement à louer à Limpach? ✅ Les annonces les plus actuelles sont sur ImmoScout24.ch.</t>
  </si>
  <si>
    <t>https://www.immoscout24.ch/fr/maison/acheter/lieu-movelier</t>
  </si>
  <si>
    <t>Vendre maison Movelier: Trouvez le bien immobilier qui correspond idéalement à vos désirs sur ImmoScout24 - La plateforme de l'immobilier en Suisse.</t>
  </si>
  <si>
    <t>🏘  Vous souhaitez acheter une maison à Movelier? ✅ Jetez un œil aux dernières offres sur ImmoScout24.ch.</t>
  </si>
  <si>
    <t>https://www.immoscout24.ch/fr/appartement/louer/lieu-fechy</t>
  </si>
  <si>
    <t>Louer appartement Féchy: Trouvez le bien immobilier qui correspond idéalement à vos désirs sur ImmoScout24 - La plateforme de l'immobilier en Suisse.</t>
  </si>
  <si>
    <t>🏘  Vous cherchez un appartement à louer à Féchy? ✅ Les annonces les plus actuelles sont sur ImmoScout24.ch.</t>
  </si>
  <si>
    <t>https://www.immoscout24.ch/fr/appartement/louer/lieu-baar-nendaz</t>
  </si>
  <si>
    <t>Louer appartement Baar (Nendaz): Trouvez le bien immobilier qui correspond idéalement à vos désirs sur ImmoScout24 - La plateforme de l'immobilier en Suisse.</t>
  </si>
  <si>
    <t>🏘  Vous cherchez un appartement à louer à Baar (Nendaz)? ✅ Les annonces les plus actuelles sont sur ImmoScout24.ch.</t>
  </si>
  <si>
    <t>https://www.immoscout24.ch/fr/maison/louer/lieu-pont-de-la-morge-sion</t>
  </si>
  <si>
    <t>Louer maison Pont-de-la-Morge (Sion): Trouvez le bien immobilier qui correspond idéalement à vos désirs sur ImmoScout24 - La plateforme de l'immobilier en Suisse.</t>
  </si>
  <si>
    <t>🏘  Vous cherchez une maison à louer à Pont-de-la-Morge (Sion)? ✅ Découvrez nos nombreuses annonces sur ImmoScout24.ch.</t>
  </si>
  <si>
    <t>https://www.immoscout24.ch/fr/appartement/louer/lieu-les-tavernes</t>
  </si>
  <si>
    <t>Louer appartement Les Tavernes: Trouvez le bien immobilier qui correspond idéalement à vos désirs sur ImmoScout24 - La plateforme de l'immobilier en Suisse.</t>
  </si>
  <si>
    <t>🏘  Vous cherchez un appartement à louer aux Tavernes? ✅ Les annonces les plus actuelles sont sur ImmoScout24.ch.</t>
  </si>
  <si>
    <t>https://www.immoscout24.ch/fr/maison/louer/quartier-wipkingen-zurich</t>
  </si>
  <si>
    <t>Louer maison Wipkingen (Zurich): Trouvez le bien immobilier qui correspond idéalement à vos désirs sur ImmoScout24 - La plateforme de l'immobilier en Suisse.</t>
  </si>
  <si>
    <t>🏘  Vous cherchez une maison à louer dans le quartier de Wipkingen (Zurich)? ✅ Découvrez nos nombreuses annonces sur ImmoScout24.ch.</t>
  </si>
  <si>
    <t>https://www.immoscout24.ch/fr/appartement/louer/lieu-mex-vs</t>
  </si>
  <si>
    <t>Louer appartement Mex VS: Trouvez le bien immobilier qui correspond idéalement à vos désirs sur ImmoScout24 - La plateforme de l'immobilier en Suisse.</t>
  </si>
  <si>
    <t>🏘  Vous cherchez un appartement à louer à Mex VS? ✅ Les annonces les plus actuelles sont sur ImmoScout24.ch.</t>
  </si>
  <si>
    <t>https://www.immoscout24.ch/fr/appartement/louer/lieu-noiraigue</t>
  </si>
  <si>
    <t>Louer appartement Noiraigue: Trouvez le bien immobilier qui correspond idéalement à vos désirs sur ImmoScout24 - La plateforme de l'immobilier en Suisse.</t>
  </si>
  <si>
    <t>🏘  Vous cherchez un appartement à louer à Noiraigue? ✅ Les annonces les plus actuelles sont sur ImmoScout24.ch.</t>
  </si>
  <si>
    <t>https://www.immoscout24.ch/fr/appartement/louer/lieu-charmey-gruyere</t>
  </si>
  <si>
    <t>Louer appartement Charmey (Gruyère): Trouvez le bien immobilier qui correspond idéalement à vos désirs sur ImmoScout24 - La plateforme de l'immobilier en Suisse.</t>
  </si>
  <si>
    <t>🏘  Vous cherchez un appartement à louer à Charmey (Gruyère)? ✅ Les annonces les plus actuelles sont sur ImmoScout24.ch.</t>
  </si>
  <si>
    <t>https://www.immoscout24.ch/fr/appartement/louer/lieu-muenchwilen-tg</t>
  </si>
  <si>
    <t>Louer appartement Münchwilen TG: Trouvez le bien immobilier qui correspond idéalement à vos désirs sur ImmoScout24 - La plateforme de l'immobilier en Suisse.</t>
  </si>
  <si>
    <t>🏘  Vous cherchez un appartement à louer à Münchwilen TG? ✅ Les annonces les plus actuelles sont sur ImmoScout24.ch.</t>
  </si>
  <si>
    <t>https://www.immoscout24.ch/fr/appartement/louer/lieu-reverolle</t>
  </si>
  <si>
    <t>Louer appartement Reverolle: Trouvez le bien immobilier qui correspond idéalement à vos désirs sur ImmoScout24 - La plateforme de l'immobilier en Suisse.</t>
  </si>
  <si>
    <t>🏘  Vous cherchez un appartement à louer à Reverolle? ✅ Les annonces les plus actuelles sont sur ImmoScout24.ch.</t>
  </si>
  <si>
    <t>https://www.immoscout24.ch/fr/appartement/louer/lieu-lengnau-be</t>
  </si>
  <si>
    <t>Louer appartement Lengnau BE: Trouvez le bien immobilier qui correspond idéalement à vos désirs sur ImmoScout24 - La plateforme de l'immobilier en Suisse.</t>
  </si>
  <si>
    <t>🏘  Vous cherchez un appartement à louer aungnau BE? ✅ Les annonces les plus actuelles sont sur ImmoScout24.ch.</t>
  </si>
  <si>
    <t>https://www.immoscout24.ch/fr/maison/acheter/lieu-blausee-mitholz</t>
  </si>
  <si>
    <t>Vendre maison Blausee-Mitholz: Trouvez le bien immobilier qui correspond idéalement à vos désirs sur ImmoScout24 - La plateforme de l'immobilier en Suisse.</t>
  </si>
  <si>
    <t>🏘  Vous souhaitez acheter une maison à Blausee-Mitholz? ✅ Jetez un œil aux dernières offres sur ImmoScout24.ch.</t>
  </si>
  <si>
    <t>https://www.immoscout24.ch/fr/maison/acheter/lieu-riaz</t>
  </si>
  <si>
    <t>Vendre maison Riaz: Trouvez le bien immobilier qui correspond idéalement à vos désirs sur ImmoScout24 - La plateforme de l'immobilier en Suisse.</t>
  </si>
  <si>
    <t>🏘  Vous souhaitez acheter une maison à Riaz? ✅ Jetez un œil aux dernières offres sur ImmoScout24.ch.</t>
  </si>
  <si>
    <t>https://www.immoscout24.ch/fr/appartement/acheter/lieu-winterthur</t>
  </si>
  <si>
    <t>Vendre appartement Winterthur: Trouvez le bien immobilier qui correspond idéalement à vos désirs sur ImmoScout24 - La plateforme de l'immobilier en Suisse.</t>
  </si>
  <si>
    <t>🏘  L’appartement de vos rêves se trouve sur ImmoScout24.ch ✅ Découvrez les dernières annonces de vente à Winterthur.</t>
  </si>
  <si>
    <t>https://www.immoscout24.ch/fr/maison/acheter/lieu-glovelier</t>
  </si>
  <si>
    <t>Vendre maison Glovelier: Trouvez le bien immobilier qui correspond idéalement à vos désirs sur ImmoScout24 - La plateforme de l'immobilier en Suisse.</t>
  </si>
  <si>
    <t>🏘  Vous souhaitez acheter une maison à Glovelier? ✅ Jetez un œil aux dernières offres sur ImmoScout24.ch.</t>
  </si>
  <si>
    <t>https://www.immoscout24.ch/fr/appartement/louer/canton-soleure</t>
  </si>
  <si>
    <t>Louer appartement Canton de Soleure: Trouvez le bien immobilier qui correspond idéalement à vos désirs sur ImmoScout24 - La plateforme de l'immobilier en Suisse.</t>
  </si>
  <si>
    <t>🏘  Vous cherchez un appartement à louer dans le Canton de Soleure? ✅ Les annonces les plus actuelles sont sur ImmoScout24.ch.</t>
  </si>
  <si>
    <t>https://www.immoscout24.ch/fr/maison/acheter/lieu-champ-du-moulin</t>
  </si>
  <si>
    <t>Vendre maison Champ-du-Moulin: Trouvez le bien immobilier qui correspond idéalement à vos désirs sur ImmoScout24 - La plateforme de l'immobilier en Suisse.</t>
  </si>
  <si>
    <t>🏘  Vous souhaitez acheter une maison à Champ-du-Moulin? ✅ Jetez un œil aux dernières offres sur ImmoScout24.ch.</t>
  </si>
  <si>
    <t>https://www.immoscout24.ch/fr/appartement/louer/quartier-bethlehem-berne</t>
  </si>
  <si>
    <t>Louer appartement Bethlehem (Berne): Trouvez le bien immobilier qui correspond idéalement à vos désirs sur ImmoScout24 - La plateforme de l'immobilier en Suisse.</t>
  </si>
  <si>
    <t>🏘  Vous cherchez un appartement à louer dans le quartier de Bethlehem (Berne)? ✅ Les annonces les plus actuelles sont sur ImmoScout24.ch.</t>
  </si>
  <si>
    <t>https://www.immoscout24.ch/fr/appartement/acheter/lieu-chapelle-sur-moudon</t>
  </si>
  <si>
    <t>Vendre appartement Chapelle-sur-Moudon: Trouvez le bien immobilier qui correspond idéalement à vos désirs sur ImmoScout24 - La plateforme de l'immobilier en Suisse.</t>
  </si>
  <si>
    <t>🏘  L’appartement de vos rêves se trouve sur ImmoScout24.ch ✅ Découvrez les dernières annonces de vente à Chapelle-sur-Moudon.</t>
  </si>
  <si>
    <t>https://www.immoscout24.ch/fr/appartement/louer/lieu-la-tour-de-peilz</t>
  </si>
  <si>
    <t>Louer appartement La Tour-de-Peilz: Trouvez le bien immobilier qui correspond idéalement à vos désirs sur ImmoScout24 - La plateforme de l'immobilier en Suisse.</t>
  </si>
  <si>
    <t>🏘  Vous cherchez un appartement à louer à La Tour-de-Peilz? ✅ Les annonces les plus actuelles sont sur ImmoScout24.ch.</t>
  </si>
  <si>
    <t>https://www.immoscout24.ch/fr/maison/acheter/lieu-wil-sg</t>
  </si>
  <si>
    <t>Vendre maison Wil SG: Trouvez le bien immobilier qui correspond idéalement à vos désirs sur ImmoScout24 - La plateforme de l'immobilier en Suisse.</t>
  </si>
  <si>
    <t>🏘  Vous souhaitez acheter une maison à Wil SG? ✅ Jetez un œil aux dernières offres sur ImmoScout24.ch.</t>
  </si>
  <si>
    <t>https://www.immoscout24.ch/fr/appartement/acheter/lieu-gingins</t>
  </si>
  <si>
    <t>Vendre appartement Gingins: Trouvez le bien immobilier qui correspond idéalement à vos désirs sur ImmoScout24 - La plateforme de l'immobilier en Suisse.</t>
  </si>
  <si>
    <t>🏘  L’appartement de vos rêves se trouve sur ImmoScout24.ch ✅ Découvrez les dernières annonces de vente à Gingins.</t>
  </si>
  <si>
    <t>https://www.immoscout24.ch/fr/maison/acheter/lieu-coppet</t>
  </si>
  <si>
    <t>Vendre maison Coppet: Trouvez le bien immobilier qui correspond idéalement à vos désirs sur ImmoScout24 - La plateforme de l'immobilier en Suisse.</t>
  </si>
  <si>
    <t>🏘  Vous souhaitez acheter une maison à Coppet? ✅ Jetez un œil aux dernières offres sur ImmoScout24.ch.</t>
  </si>
  <si>
    <t>https://www.immoscout24.ch/fr/appartement/acheter/lieu-montpreveyres</t>
  </si>
  <si>
    <t>Vendre appartement Montpreveyres: Trouvez le bien immobilier qui correspond idéalement à vos désirs sur ImmoScout24 - La plateforme de l'immobilier en Suisse.</t>
  </si>
  <si>
    <t>🏘  L’appartement de vos rêves se trouve sur ImmoScout24.ch ✅ Découvrez les dernières annonces de vente à Montpreveyres.</t>
  </si>
  <si>
    <t>https://www.immoscout24.ch/fr/appartement/acheter/lieu-gettnau</t>
  </si>
  <si>
    <t>Vendre appartement Gettnau: Trouvez le bien immobilier qui correspond idéalement à vos désirs sur ImmoScout24 - La plateforme de l'immobilier en Suisse.</t>
  </si>
  <si>
    <t>🏘  L’appartement de vos rêves se trouve sur ImmoScout24.ch ✅ Découvrez les dernières annonces de vente à Gettnau.</t>
  </si>
  <si>
    <t>https://www.immoscout24.ch/fr/appartement/acheter/canton-appenzell-re</t>
  </si>
  <si>
    <t>Vendre appartement Canton d'Appenzell RE: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</si>
  <si>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d'Appenzell RE.</t>
  </si>
  <si>
    <t>https://www.immoscout24.ch/fr/maison/acheter/lieu-st-jean-vs</t>
  </si>
  <si>
    <t>Vendre maison St-Jean VS: Trouvez le bien immobilier qui correspond idéalement à vos désirs sur ImmoScout24 - La plateforme de l'immobilier en Suisse.</t>
  </si>
  <si>
    <t>🏘  Vous souhaitez acheter une maison à St-Jean VS? ✅ Jetez un œil aux dernières offres sur ImmoScout24.ch.</t>
  </si>
  <si>
    <t>https://www.immoscout24.ch/fr/appartement/louer/lieu-mex-vd</t>
  </si>
  <si>
    <t>Louer appartement Mex VD: Trouvez le bien immobilier qui correspond idéalement à vos désirs sur ImmoScout24 - La plateforme de l'immobilier en Suisse.</t>
  </si>
  <si>
    <t>🏘  Vous cherchez un appartement à louer à Mex VD? ✅ Les annonces les plus actuelles sont sur ImmoScout24.ch.</t>
  </si>
  <si>
    <t>https://www.immoscout24.ch/fr/appartement/louer/lieu-sarreyer</t>
  </si>
  <si>
    <t>Louer appartement Sarreyer: Trouvez le bien immobilier qui correspond idéalement à vos désirs sur ImmoScout24 - La plateforme de l'immobilier en Suisse.</t>
  </si>
  <si>
    <t>🏘  Vous cherchez un appartement à louer à Sarreyer? ✅ Les annonces les plus actuelles sont sur ImmoScout24.ch.</t>
  </si>
  <si>
    <t>https://www.immoscout24.ch/fr/appartement/louer/lieu-sessa</t>
  </si>
  <si>
    <t>Louer appartement Sessa: Trouvez le bien immobilier qui correspond idéalement à vos désirs sur ImmoScout24 - La plateforme de l'immobilier en Suisse.</t>
  </si>
  <si>
    <t>🏘  Vous cherchez un appartement à louer à Sessa? ✅ Les annonces les plus actuelles sont sur ImmoScout24.ch.</t>
  </si>
  <si>
    <t>https://www.immoscout24.ch/fr/maison/acheter/lieu-montet-glane</t>
  </si>
  <si>
    <t>Vendre maison Montet (Glâne): Trouvez le bien immobilier qui correspond idéalement à vos désirs sur ImmoScout24 - La plateforme de l'immobilier en Suisse.</t>
  </si>
  <si>
    <t>🏘  Vous souhaitez acheter une maison à Montet (Glâne)? ✅ Jetez un œil aux dernières offres sur ImmoScout24.ch.</t>
  </si>
  <si>
    <t>https://www.immoscout24.ch/fr/maison/acheter/lieu-romont-fr</t>
  </si>
  <si>
    <t>Vendre maison Romont FR: Trouvez le bien immobilier qui correspond idéalement à vos désirs sur ImmoScout24 - La plateforme de l'immobilier en Suisse.</t>
  </si>
  <si>
    <t>🏘  Vous souhaitez acheter une maison à Romont FR? ✅ Jetez un œil aux dernières offres sur ImmoScout24.ch.</t>
  </si>
  <si>
    <t>https://www.immoscout24.ch/fr/appartement/acheter/lieu-cheyres</t>
  </si>
  <si>
    <t>Vendre appartement Cheyres: Trouvez le bien immobilier qui correspond idéalement à vos désirs sur ImmoScout24 - La plateforme de l'immobilier en Suisse.</t>
  </si>
  <si>
    <t>🏘  L’appartement de vos rêves se trouve sur ImmoScout24.ch ✅ Découvrez les dernières annonces de vente à Cheyres.</t>
  </si>
  <si>
    <t>https://www.immoscout24.ch/fr/maison/acheter/lieu-arzo</t>
  </si>
  <si>
    <t>Vendre maison Arzo: Trouvez le bien immobilier qui correspond idéalement à vos désirs sur ImmoScout24 - La plateforme de l'immobilier en Suisse.</t>
  </si>
  <si>
    <t>🏘  Vous souhaitez acheter une maison à Arzo? ✅ Jetez un œil aux dernières offres sur ImmoScout24.ch.</t>
  </si>
  <si>
    <t>https://www.immoscout24.ch/fr/appartement/acheter/lieu-motier-vully</t>
  </si>
  <si>
    <t>Vendre appartement Môtier (Vully): Trouvez le bien immobilier qui correspond idéalement à vos désirs sur ImmoScout24 - La plateforme de l'immobilier en Suisse.</t>
  </si>
  <si>
    <t>🏘  L’appartement de vos rêves se trouve sur ImmoScout24.ch ✅ Découvrez les dernières annonces de vente à Môtier (Vully).</t>
  </si>
  <si>
    <t>https://www.immoscout24.ch/fr/maison/acheter/lieu-seltisberg</t>
  </si>
  <si>
    <t>Vendre maison Seltisberg: Trouvez le bien immobilier qui correspond idéalement à vos désirs sur ImmoScout24 - La plateforme de l'immobilier en Suisse.</t>
  </si>
  <si>
    <t>🏘  Vous souhaitez acheter une maison à Seltisberg? ✅ Jetez un œil aux dernières offres sur ImmoScout24.ch.</t>
  </si>
  <si>
    <t>https://www.immoscout24.ch/fr/appartement/louer/lieu-cerniat-fr</t>
  </si>
  <si>
    <t>Louer appartement Cerniat FR: Trouvez le bien immobilier qui correspond idéalement à vos désirs sur ImmoScout24 - La plateforme de l'immobilier en Suisse.</t>
  </si>
  <si>
    <t>🏘  Vous cherchez un appartement à louer à Cerniat FR? ✅ Les annonces les plus actuelles sont sur ImmoScout24.ch.</t>
  </si>
  <si>
    <t>https://www.immoscout24.ch/fr/appartement/louer/lieu-petit-vicheres-liddes</t>
  </si>
  <si>
    <t>Louer appartement Petit Vichères (Liddes): Trouvez le bien immobilier qui correspond idéalement à vos désirs sur ImmoScout24 - La plateforme de l'immobilier en Suisse.</t>
  </si>
  <si>
    <t>🏘  Vous cherchez un appartement à louer à Petit Vichères (Liddes)? ✅ Les annonces les plus actuelles sont sur ImmoScout24.ch.</t>
  </si>
  <si>
    <t>https://www.immoscout24.ch/fr/appartement/louer/lieu-montignez</t>
  </si>
  <si>
    <t>Louer appartement Montignez: Trouvez le bien immobilier qui correspond idéalement à vos désirs sur ImmoScout24 - La plateforme de l'immobilier en Suisse.</t>
  </si>
  <si>
    <t>🏘  Vous cherchez un appartement à louer à Montignez? ✅ Les annonces les plus actuelles sont sur ImmoScout24.ch.</t>
  </si>
  <si>
    <t>https://www.immoscout24.ch/fr/appartement/louer/lieu-champ-du-moulin</t>
  </si>
  <si>
    <t>Louer appartement Champ-du-Moulin: Trouvez le bien immobilier qui correspond idéalement à vos désirs sur ImmoScout24 - La plateforme de l'immobilier en Suisse.</t>
  </si>
  <si>
    <t>🏘  Vous cherchez un appartement à louer à Champ-du-Moulin? ✅ Les annonces les plus actuelles sont sur ImmoScout24.ch.</t>
  </si>
  <si>
    <t>https://www.immoscout24.ch/fr/appartement/acheter/lieu-lonay</t>
  </si>
  <si>
    <t>Vendre appartement Lonay: Trouvez le bien immobilier qui correspond idéalement à vos désirs sur ImmoScout24 - La plateforme de l'immobilier en Suisse.</t>
  </si>
  <si>
    <t>🏘  L’appartement de vos rêves se trouve sur ImmoScout24.ch ✅ Découvrez les dernières annonces de vente à Lonay.</t>
  </si>
  <si>
    <t>https://www.immoscout24.ch/fr/maison/acheter/lieu-walenstadt</t>
  </si>
  <si>
    <t>Vendre maison Walenstadt: Trouvez le bien immobilier qui correspond idéalement à vos désirs sur ImmoScout24 - La plateforme de l'immobilier en Suisse.</t>
  </si>
  <si>
    <t>🏘  Vous souhaitez acheter une maison à Walenstadt? ✅ Jetez un œil aux dernières offres sur ImmoScout24.ch.</t>
  </si>
  <si>
    <t>https://www.immoscout24.ch/fr/appartement/acheter/lieu-bernex</t>
  </si>
  <si>
    <t>Vendre appartement Bernex: Trouvez le bien immobilier qui correspond idéalement à vos désirs sur ImmoScout24 - La plateforme de l'immobilier en Suisse.</t>
  </si>
  <si>
    <t>🏘  L’appartement de vos rêves se trouve sur ImmoScout24.ch ✅ Découvrez les dernières annonces de vente à Bernex.</t>
  </si>
  <si>
    <t>https://www.immoscout24.ch/fr/appartement/louer/lieu-orpund</t>
  </si>
  <si>
    <t>Louer appartement Orpund: Trouvez le bien immobilier qui correspond idéalement à vos désirs sur ImmoScout24 - La plateforme de l'immobilier en Suisse.</t>
  </si>
  <si>
    <t>🏘  Vous cherchez un appartement à louer à Orpund? ✅ Les annonces les plus actuelles sont sur ImmoScout24.ch.</t>
  </si>
  <si>
    <t>https://www.immoscout24.ch/fr/maison/acheter/lieu-zenauva</t>
  </si>
  <si>
    <t>Vendre maison Zénauva: Trouvez le bien immobilier qui correspond idéalement à vos désirs sur ImmoScout24 - La plateforme de l'immobilier en Suisse.</t>
  </si>
  <si>
    <t>🏘  Vous souhaitez acheter une maison à Zénauva? ✅ Jetez un œil aux dernières offres sur ImmoScout24.ch.</t>
  </si>
  <si>
    <t>https://www.immoscout24.ch/fr/maison/acheter/lieu-poschiavo</t>
  </si>
  <si>
    <t>Vendre maison Poschiavo: Trouvez le bien immobilier qui correspond idéalement à vos désirs sur ImmoScout24 - La plateforme de l'immobilier en Suisse.</t>
  </si>
  <si>
    <t>🏘  Vous souhaitez acheter une maison à Poschiavo? ✅ Jetez un œil aux dernières offres sur ImmoScout24.ch.</t>
  </si>
  <si>
    <t>https://www.immoscout24.ch/fr/maison/acheter/lieu-grancia</t>
  </si>
  <si>
    <t>Vendre maison Grancia: Trouvez le bien immobilier qui correspond idéalement à vos désirs sur ImmoScout24 - La plateforme de l'immobilier en Suisse.</t>
  </si>
  <si>
    <t>🏘  Vous souhaitez acheter une maison à Grancia? ✅ Jetez un œil aux dernières offres sur ImmoScout24.ch.</t>
  </si>
  <si>
    <t>https://www.immoscout24.ch/fr/appartement/acheter/quartier-chaumont-neuchatel</t>
  </si>
  <si>
    <t>Vendre appartement Chaumont (Neuchâtel): Trouvez le bien immobilier qui correspond idéalement à vos désirs sur ImmoScout24 - La plateforme de l'immobilier en Suisse.</t>
  </si>
  <si>
    <t>🏘  L’appartement de vos rêves se trouve sur ImmoScout24.ch ✅ Découvrez les dernières annonces de vente à Chaumont.</t>
  </si>
  <si>
    <t>https://www.immoscout24.ch/fr/appartement/louer/lieu-dottikon</t>
  </si>
  <si>
    <t>Louer appartement Dottikon: Trouvez le bien immobilier qui correspond idéalement à vos désirs sur ImmoScout24 - La plateforme de l'immobilier en Suisse.</t>
  </si>
  <si>
    <t>🏘  Vous cherchez un appartement à louer à Dottikon? ✅ Les annonces les plus actuelles sont sur ImmoScout24.ch.</t>
  </si>
  <si>
    <t>https://www.immoscout24.ch/fr/maison/acheter/lieu-rennaz</t>
  </si>
  <si>
    <t>Vendre maison Rennaz: Trouvez le bien immobilier qui correspond idéalement à vos désirs sur ImmoScout24 - La plateforme de l'immobilier en Suisse.</t>
  </si>
  <si>
    <t>🏘  Vous souhaitez acheter une maison à Rennaz? ✅ Jetez un œil aux dernières offres sur ImmoScout24.ch.</t>
  </si>
  <si>
    <t>https://www.immoscout24.ch/fr/maison/louer/lieu-val-d-illiez</t>
  </si>
  <si>
    <t>Louer maison Val-d'Illiez: Trouvez le bien immobilier qui correspond idéalement à vos désirs sur ImmoScout24 - La plateforme de l'immobilier en Suisse.</t>
  </si>
  <si>
    <t>🏘  Vous cherchez une maison à louer à Val-d'Illiez? ✅ Découvrez nos nombreuses annonces sur ImmoScout24.ch.</t>
  </si>
  <si>
    <t>https://www.immoscout24.ch/fr/appartement/louer/lieu-lovatens</t>
  </si>
  <si>
    <t>Louer appartement Lovatens: Trouvez le bien immobilier qui correspond idéalement à vos désirs sur ImmoScout24 - La plateforme de l'immobilier en Suisse.</t>
  </si>
  <si>
    <t>🏘  Vous cherchez un appartement à louer à Lovatens? ✅ Les annonces les plus actuelles sont sur ImmoScout24.ch.</t>
  </si>
  <si>
    <t>https://www.immoscout24.ch/fr/appartement/acheter/lieu-grimisuat</t>
  </si>
  <si>
    <t>Vendre appartement Grimisuat: Trouvez le bien immobilier qui correspond idéalement à vos désirs sur ImmoScout24 - La plateforme de l'immobilier en Suisse.</t>
  </si>
  <si>
    <t>🏘  L’appartement de vos rêves se trouve sur ImmoScout24.ch ✅ Découvrez les dernières annonces de vente à Grimisuat.</t>
  </si>
  <si>
    <t>https://www.immoscout24.ch/fr/maison/acheter/lieu-corticiasca</t>
  </si>
  <si>
    <t>Vendre maison Corticiasca: Trouvez le bien immobilier qui correspond idéalement à vos désirs sur ImmoScout24 - La plateforme de l'immobilier en Suisse.</t>
  </si>
  <si>
    <t>🏘  Vous souhaitez acheter une maison à Corticiasca? ✅ Jetez un œil aux dernières offres sur ImmoScout24.ch.</t>
  </si>
  <si>
    <t>https://www.immoscout24.ch/fr/appartement/acheter/lieu-noes</t>
  </si>
  <si>
    <t>Vendre appartement Noës: Trouvez le bien immobilier qui correspond idéalement à vos désirs sur ImmoScout24 - La plateforme de l'immobilier en Suisse.</t>
  </si>
  <si>
    <t>🏘  L’appartement de vos rêves se trouve sur ImmoScout24.ch ✅ Découvrez les dernières annonces de vente à Noës.</t>
  </si>
  <si>
    <t>https://www.immoscout24.ch/fr/maison/acheter/lieu-basse-nendaz</t>
  </si>
  <si>
    <t>Vendre maison Basse-Nendaz: Trouvez le bien immobilier qui correspond idéalement à vos désirs sur ImmoScout24 - La plateforme de l'immobilier en Suisse.</t>
  </si>
  <si>
    <t>🏘  Vous souhaitez acheter une maison à Basse-Nendaz? ✅ Jetez un œil aux dernières offres sur ImmoScout24.ch.</t>
  </si>
  <si>
    <t>https://www.immoscout24.ch/fr/appartement/acheter/lieu-bourg-st-pierre</t>
  </si>
  <si>
    <t>Vendre appartement Bourg-St-Pierre: Trouvez le bien immobilier qui correspond idéalement à vos désirs sur ImmoScout24 - La plateforme de l'immobilier en Suisse.</t>
  </si>
  <si>
    <t>🏘  L’appartement de vos rêves se trouve sur ImmoScout24.ch ✅ Découvrez les dernières annonces de vente à Bourg-St-Pierre.</t>
  </si>
  <si>
    <t>https://www.immoscout24.ch/fr/maison/acheter/lieu-villarsel-sur-marly</t>
  </si>
  <si>
    <t>Vendre maison Villarsel-sur-Marly: Trouvez le bien immobilier qui correspond idéalement à vos désirs sur ImmoScout24 - La plateforme de l'immobilier en Suisse.</t>
  </si>
  <si>
    <t>🏘  Vous souhaitez acheter une maison à Villarsel-sur-Marly? ✅ Jetez un œil aux dernières offres sur ImmoScout24.ch.</t>
  </si>
  <si>
    <t>https://www.immoscout24.ch/fr/maison/acheter/lieu-sta-maria-in-calanca</t>
  </si>
  <si>
    <t>Vendre maison Sta. Maria in Calanca: Trouvez le bien immobilier qui correspond idéalement à vos désirs sur ImmoScout24 - La plateforme de l'immobilier en Suisse.</t>
  </si>
  <si>
    <t>🏘  Vous souhaitez acheter une maison à Sta. Maria in Calanca? ✅ Jetez un œil aux dernières offres sur ImmoScout24.ch.</t>
  </si>
  <si>
    <t>https://www.immoscout24.ch/fr/maison/acheter/lieu-reconvilier</t>
  </si>
  <si>
    <t>Vendre maison Reconvilier: Trouvez le bien immobilier qui correspond idéalement à vos désirs sur ImmoScout24 - La plateforme de l'immobilier en Suisse.</t>
  </si>
  <si>
    <t>🏘  Vous souhaitez acheter une maison à Reconvilier? ✅ Jetez un œil aux dernières offres sur ImmoScout24.ch.</t>
  </si>
  <si>
    <t>https://www.immoscout24.ch/fr/appartement/louer/lieu-buchrain</t>
  </si>
  <si>
    <t>Louer appartement Buchrain: Trouvez le bien immobilier qui correspond idéalement à vos désirs sur ImmoScout24 - La plateforme de l'immobilier en Suisse.</t>
  </si>
  <si>
    <t>🏘  Vous cherchez un appartement à louer à Buchrain? ✅ Les annonces les plus actuelles sont sur ImmoScout24.ch.</t>
  </si>
  <si>
    <t>https://www.immoscout24.ch/fr/maison/louer/lieu-petit-lancy</t>
  </si>
  <si>
    <t>Louer maison Petit-Lancy: Trouvez le bien immobilier qui correspond idéalement à vos désirs sur ImmoScout24 - La plateforme de l'immobilier en Suisse.</t>
  </si>
  <si>
    <t>🏘  Vous cherchez une maison à louer au Petit-Lancy? ✅ Découvrez nos nombreuses annonces sur ImmoScout24.ch.</t>
  </si>
  <si>
    <t>https://www.immoscout24.ch/fr/appartement/louer/lieu-chene-bourg</t>
  </si>
  <si>
    <t>Louer appartement Chêne-Bourg: Trouvez le bien immobilier qui correspond idéalement à vos désirs sur ImmoScout24 - La plateforme de l'immobilier en Suisse.</t>
  </si>
  <si>
    <t>🏘  Vous cherchez un appartement à louer à Chêne-Bourg? ✅ Les annonces les plus actuelles sont sur ImmoScout24.ch.</t>
  </si>
  <si>
    <t>https://www.immoscout24.ch/fr/appartement/acheter/lieu-renan-be</t>
  </si>
  <si>
    <t>Vendre appartement Renan BE: Trouvez le bien immobilier qui correspond idéalement à vos désirs sur ImmoScout24 - La plateforme de l'immobilier en Suisse.</t>
  </si>
  <si>
    <t>🏘  L’appartement de vos rêves se trouve sur ImmoScout24.ch ✅ Découvrez les dernières annonces de vente à Renan BE.</t>
  </si>
  <si>
    <t>https://www.immoscout24.ch/fr/appartement/acheter/lieu-riederalp</t>
  </si>
  <si>
    <t>Vendre appartement Riederalp: Trouvez le bien immobilier qui correspond idéalement à vos désirs sur ImmoScout24 - La plateforme de l'immobilier en Suisse.</t>
  </si>
  <si>
    <t>🏘  L’appartement de vos rêves se trouve sur ImmoScout24.ch ✅ Découvrez les dernières annonces de vente à Riederalp.</t>
  </si>
  <si>
    <t>https://www.immoscout24.ch/fr/appartement/louer/lieu-fey-nendaz</t>
  </si>
  <si>
    <t>Louer appartement Fey (Nendaz): Trouvez le bien immobilier qui correspond idéalement à vos désirs sur ImmoScout24 - La plateforme de l'immobilier en Suisse.</t>
  </si>
  <si>
    <t>🏘  Vous cherchez un appartement à louer à Fey (Nendaz)? ✅ Les annonces les plus actuelles sont sur ImmoScout24.ch.</t>
  </si>
  <si>
    <t>https://www.immoscout24.ch/fr/appartement/louer/lieu-les-diablerets</t>
  </si>
  <si>
    <t>Louer appartement Les Diablerets: Trouvez le bien immobilier qui correspond idéalement à vos désirs sur ImmoScout24 - La plateforme de l'immobilier en Suisse.</t>
  </si>
  <si>
    <t>🏘  Vous cherchez un appartement à louer aux Diablerets? ✅ Les annonces les plus actuelles sont sur ImmoScout24.ch.</t>
  </si>
  <si>
    <t>https://www.immoscout24.ch/fr/maison/acheter/lieu-paudex</t>
  </si>
  <si>
    <t>Vendre maison Paudex: Trouvez le bien immobilier qui correspond idéalement à vos désirs sur ImmoScout24 - La plateforme de l'immobilier en Suisse.</t>
  </si>
  <si>
    <t>🏘  Vous souhaitez acheter une maison à Paudex? ✅ Jetez un œil aux dernières offres sur ImmoScout24.ch.</t>
  </si>
  <si>
    <t>https://www.immoscout24.ch/fr/maison/acheter/lieu-neerach</t>
  </si>
  <si>
    <t>Vendre maison Neerach: Trouvez le bien immobilier qui correspond idéalement à vos désirs sur ImmoScout24 - La plateforme de l'immobilier en Suisse.</t>
  </si>
  <si>
    <t>🏘  Vous souhaitez acheter une maison à Neerach? ✅ Jetez un œil aux dernières offres sur ImmoScout24.ch.</t>
  </si>
  <si>
    <t>https://www.immoscout24.ch/fr/appartement/louer/lieu-stans</t>
  </si>
  <si>
    <t>Louer appartement Stans: Trouvez le bien immobilier qui correspond idéalement à vos désirs sur ImmoScout24 - La plateforme de l'immobilier en Suisse.</t>
  </si>
  <si>
    <t>🏘  Vous cherchez un appartement à louer à Stans? ✅ Les annonces les plus actuelles sont sur ImmoScout24.ch.</t>
  </si>
  <si>
    <t>https://www.immoscout24.ch/fr/appartement/louer/lieu-regensberg</t>
  </si>
  <si>
    <t>Louer appartement Regensberg: Trouvez le bien immobilier qui correspond idéalement à vos désirs sur ImmoScout24 - La plateforme de l'immobilier en Suisse.</t>
  </si>
  <si>
    <t>🏘  Vous cherchez un appartement à louer à Regensberg? ✅ Les annonces les plus actuelles sont sur ImmoScout24.ch.</t>
  </si>
  <si>
    <t>https://www.immoscout24.ch/fr/maison/acheter/lieu-grueningen</t>
  </si>
  <si>
    <t>Vendre maison Grüningen: Trouvez le bien immobilier qui correspond idéalement à vos désirs sur ImmoScout24 - La plateforme de l'immobilier en Suisse.</t>
  </si>
  <si>
    <t>🏘  Vous souhaitez acheter une maison à Grüningen? ✅ Jetez un œil aux dernières offres sur ImmoScout24.ch.</t>
  </si>
  <si>
    <t>https://www.immoscout24.ch/fr/appartement/acheter/lieu-corcelles-pres-payerne</t>
  </si>
  <si>
    <t>Vendre appartement Corcelles-près-Payerne: Trouvez le bien immobilier qui correspond idéalement à vos désirs sur ImmoScout24 - La plateforme de l'immobilier en Suisse.</t>
  </si>
  <si>
    <t>🏘  L’appartement de vos rêves se trouve sur ImmoScout24.ch ✅ Découvrez les dernières annonces de vente à Corcelles-près-Payerne.</t>
  </si>
  <si>
    <t>https://www.immoscout24.ch/fr/maison/acheter/lieu-brione-verzasca</t>
  </si>
  <si>
    <t>Vendre maison Brione (Verzasca): Trouvez le bien immobilier qui correspond idéalement à vos désirs sur ImmoScout24 - La plateforme de l'immobilier en Suisse.</t>
  </si>
  <si>
    <t>🏘  Vous souhaitez acheter une maison à Brione (Verzasca)? ✅ Jetez un œil aux dernières offres sur ImmoScout24.ch.</t>
  </si>
  <si>
    <t>https://www.immoscout24.ch/fr/maison/louer/lieu-le-fuet</t>
  </si>
  <si>
    <t>Louer maison Le Fuet: Trouvez le bien immobilier qui correspond idéalement à vos désirs sur ImmoScout24 - La plateforme de l'immobilier en Suisse.</t>
  </si>
  <si>
    <t>🏘  Vous cherchez une maison à louer au Fuet? ✅ Découvrez nos nombreuses annonces sur ImmoScout24.ch.</t>
  </si>
  <si>
    <t>https://www.immoscout24.ch/fr/appartement/louer/lieu-siviriez</t>
  </si>
  <si>
    <t>Louer appartement Siviriez: Trouvez le bien immobilier qui correspond idéalement à vos désirs sur ImmoScout24 - La plateforme de l'immobilier en Suisse.</t>
  </si>
  <si>
    <t>🏘  Vous cherchez un appartement à louer à Siviriez? ✅ Les annonces les plus actuelles sont sur ImmoScout24.ch.</t>
  </si>
  <si>
    <t>https://www.immoscout24.ch/fr/maison/louer/lieu-payerne</t>
  </si>
  <si>
    <t>Louer maison Payerne: Trouvez le bien immobilier qui correspond idéalement à vos désirs sur ImmoScout24 - La plateforme de l'immobilier en Suisse.</t>
  </si>
  <si>
    <t>🏘  Vous cherchez une maison à louer à Payerne? ✅ Découvrez nos nombreuses annonces sur ImmoScout24.ch.</t>
  </si>
  <si>
    <t>https://www.immoscout24.ch/fr/appartement/acheter/lieu-charmey-gruyere</t>
  </si>
  <si>
    <t>Vendre appartement Charmey (Gruyère): Trouvez le bien immobilier qui correspond idéalement à vos désirs sur ImmoScout24 - La plateforme de l'immobilier en Suisse.</t>
  </si>
  <si>
    <t>🏘  L’appartement de vos rêves se trouve sur ImmoScout24.ch ✅ Découvrez les dernières annonces de vente à Charmey (Gruyère).</t>
  </si>
  <si>
    <t>https://www.immoscout24.ch/fr/appartement/louer/lieu-duggingen</t>
  </si>
  <si>
    <t>Louer appartement Duggingen: Trouvez le bien immobilier qui correspond idéalement à vos désirs sur ImmoScout24 - La plateforme de l'immobilier en Suisse.</t>
  </si>
  <si>
    <t>🏘  Vous cherchez un appartement à louer à Duggingen? ✅ Les annonces les plus actuelles sont sur ImmoScout24.ch.</t>
  </si>
  <si>
    <t>https://www.immoscout24.ch/fr/maison/louer/lieu-cormondreche</t>
  </si>
  <si>
    <t>Louer maison Cormondrèche: Trouvez le bien immobilier qui correspond idéalement à vos désirs sur ImmoScout24 - La plateforme de l'immobilier en Suisse.</t>
  </si>
  <si>
    <t>🏘  Vous cherchez une maison à louer à Cormondrèche? ✅ Découvrez nos nombreuses annonces sur ImmoScout24.ch.</t>
  </si>
  <si>
    <t>https://www.immoscout24.ch/fr/appartement/acheter/lieu-huttwil</t>
  </si>
  <si>
    <t>Vendre appartement Huttwil: Trouvez le bien immobilier qui correspond idéalement à vos désirs sur ImmoScout24 - La plateforme de l'immobilier en Suisse.</t>
  </si>
  <si>
    <t>🏘  L’appartement de vos rêves se trouve sur ImmoScout24.ch ✅ Découvrez les dernières annonces de vente à Huttwil.</t>
  </si>
  <si>
    <t>https://www.immoscout24.ch/fr/appartement/acheter/lieu-monnaz</t>
  </si>
  <si>
    <t>Vendre appartement Monnaz: Trouvez le bien immobilier qui correspond idéalement à vos désirs sur ImmoScout24 - La plateforme de l'immobilier en Suisse.</t>
  </si>
  <si>
    <t>🏘  L’appartement de vos rêves se trouve sur ImmoScout24.ch ✅ Découvrez les dernières annonces de vente à Monnaz.</t>
  </si>
  <si>
    <t>https://www.immoscout24.ch/fr/maison/louer/lieu-montcherand</t>
  </si>
  <si>
    <t>Louer maison Montcherand: Trouvez le bien immobilier qui correspond idéalement à vos désirs sur ImmoScout24 - La plateforme de l'immobilier en Suisse.</t>
  </si>
  <si>
    <t>🏘  Vous cherchez une maison à louer à Montcherand? ✅ Découvrez nos nombreuses annonces sur ImmoScout24.ch.</t>
  </si>
  <si>
    <t>https://www.immoscout24.ch/fr/appartement/louer/lieu-goldach</t>
  </si>
  <si>
    <t>Louer appartement Goldach: Trouvez le bien immobilier qui correspond idéalement à vos désirs sur ImmoScout24 - La plateforme de l'immobilier en Suisse.</t>
  </si>
  <si>
    <t>🏘  Vous cherchez un appartement à louer à Goldach? ✅ Les annonces les plus actuelles sont sur ImmoScout24.ch.</t>
  </si>
  <si>
    <t>https://www.immoscout24.ch/fr/maison/acheter/lieu-rona</t>
  </si>
  <si>
    <t>Vendre maison Rona: Trouvez le bien immobilier qui correspond idéalement à vos désirs sur ImmoScout24 - La plateforme de l'immobilier en Suisse.</t>
  </si>
  <si>
    <t>🏘  Vous souhaitez acheter une maison à Rona? ✅ Jetez un œil aux dernières offres sur ImmoScout24.ch.</t>
  </si>
  <si>
    <t>https://www.immoscout24.ch/fr/maison/acheter/lieu-vaugondry</t>
  </si>
  <si>
    <t>Vendre maison Vaugondry: Trouvez le bien immobilier qui correspond idéalement à vos désirs sur ImmoScout24 - La plateforme de l'immobilier en Suisse.</t>
  </si>
  <si>
    <t>🏘  Vous souhaitez acheter une maison à Vaugondry? ✅ Jetez un œil aux dernières offres sur ImmoScout24.ch.</t>
  </si>
  <si>
    <t>https://www.immoscout24.ch/fr/appartement/louer/lieu-cheserex</t>
  </si>
  <si>
    <t>Louer appartement Chéserex: Trouvez le bien immobilier qui correspond idéalement à vos désirs sur ImmoScout24 - La plateforme de l'immobilier en Suisse.</t>
  </si>
  <si>
    <t>🏘  Vous cherchez un appartement à louer à Chéserex? ✅ Les annonces les plus actuelles sont sur ImmoScout24.ch.</t>
  </si>
  <si>
    <t>https://www.immoscout24.ch/fr/appartement/louer/lieu-deitingen</t>
  </si>
  <si>
    <t>Louer appartement Deitingen: Trouvez le bien immobilier qui correspond idéalement à vos désirs sur ImmoScout24 - La plateforme de l'immobilier en Suisse.</t>
  </si>
  <si>
    <t>🏘  Vous cherchez un appartement à louer à Deitingen? ✅ Les annonces les plus actuelles sont sur ImmoScout24.ch.</t>
  </si>
  <si>
    <t>https://www.immoscout24.ch/fr/maison/louer/lieu-flamatt</t>
  </si>
  <si>
    <t>Louer maison Flamatt: Trouvez le bien immobilier qui correspond idéalement à vos désirs sur ImmoScout24 - La plateforme de l'immobilier en Suisse.</t>
  </si>
  <si>
    <t>🏘  Vous cherchez une maison à louer à Flamatt? ✅ Découvrez nos nombreuses annonces sur ImmoScout24.ch.</t>
  </si>
  <si>
    <t>https://www.immoscout24.ch/fr/appartement/acheter/lieu-cheseaux-sur-lausanne</t>
  </si>
  <si>
    <t>Vendre appartement Cheseaux-sur-Lausanne: Trouvez le bien immobilier qui correspond idéalement à vos désirs sur ImmoScout24 - La plateforme de l'immobilier en Suisse.</t>
  </si>
  <si>
    <t>🏘  L’appartement de vos rêves se trouve sur ImmoScout24.ch ✅ Découvrez les dernières annonces de vente à Cheseaux-sur-Lausanne.</t>
  </si>
  <si>
    <t>https://www.immoscout24.ch/fr/maison/acheter/lieu-bulle</t>
  </si>
  <si>
    <t>Vendre maison Bulle: Trouvez le bien immobilier qui correspond idéalement à vos désirs sur ImmoScout24 - La plateforme de l'immobilier en Suisse.</t>
  </si>
  <si>
    <t>🏘  Vous souhaitez acheter une maison à Bulle? ✅ Jetez un œil aux dernières offres sur ImmoScout24.ch.</t>
  </si>
  <si>
    <t>https://www.immoscout24.ch/fr/appartement/acheter/lieu-froideville</t>
  </si>
  <si>
    <t>Vendre appartement Froideville: Trouvez le bien immobilier qui correspond idéalement à vos désirs sur ImmoScout24 - La plateforme de l'immobilier en Suisse.</t>
  </si>
  <si>
    <t>🏘  L’appartement de vos rêves se trouve sur ImmoScout24.ch ✅ Découvrez les dernières annonces de vente à Froideville.</t>
  </si>
  <si>
    <t>https://www.immoscout24.ch/fr/maison/louer/lieu-penthaz</t>
  </si>
  <si>
    <t>Louer maison Penthaz: Trouvez le bien immobilier qui correspond idéalement à vos désirs sur ImmoScout24 - La plateforme de l'immobilier en Suisse.</t>
  </si>
  <si>
    <t>🏘  Vous cherchez une maison à louer à Penthaz? ✅ Découvrez nos nombreuses annonces sur ImmoScout24.ch.</t>
  </si>
  <si>
    <t>https://www.immoscout24.ch/fr/appartement/louer/quartier-kleinhueningen-bale</t>
  </si>
  <si>
    <t>Louer appartement Kleinhüningen (Bâle): Trouvez le bien immobilier qui correspond idéalement à vos désirs sur ImmoScout24 - La plateforme de l'immobilier en Suisse.</t>
  </si>
  <si>
    <t>🏘  Vous cherchez un appartement à louer dans le quartier de Kleinhüningen (Bâle)? ✅ Les annonces les plus actuelles sont sur ImmoScout24.ch.</t>
  </si>
  <si>
    <t>https://www.immoscout24.ch/fr/appartement/louer/lieu-wettswil</t>
  </si>
  <si>
    <t>Louer appartement Wettswil: Trouvez le bien immobilier qui correspond idéalement à vos désirs sur ImmoScout24 - La plateforme de l'immobilier en Suisse.</t>
  </si>
  <si>
    <t>🏘  Vous cherchez un appartement à louer à Wettswil? ✅ Les annonces les plus actuelles sont sur ImmoScout24.ch.</t>
  </si>
  <si>
    <t>https://www.immoscout24.ch/fr/appartement/louer/lieu-le-chatelard-pres-romont</t>
  </si>
  <si>
    <t>Louer appartement Le Châtelard-près-Romont: Trouvez le bien immobilier qui correspond idéalement à vos désirs sur ImmoScout24 - La plateforme de l'immobilier en Suisse.</t>
  </si>
  <si>
    <t>🏘  Vous cherchez un appartement à louer au Châtelard-près-Romont? ✅ Les annonces les plus actuelles sont sur ImmoScout24.ch.</t>
  </si>
  <si>
    <t>https://www.immoscout24.ch/fr/appartement/acheter/region-gruyere-la-broye-lac-veveyse</t>
  </si>
  <si>
    <t>Vendre appartement Gruyère - La Broye - Lac - Veveyse: Trouvez le bien immobilier qui correspond idéalement à vos désirs sur ImmoScout24 - La plateforme de l'immobilier en Suisse.</t>
  </si>
  <si>
    <t>🏘  L’appartement de vos rêves se trouve sur ImmoScout24.ch ✅ Découvrez les dernières annonces de vente dans les districts de Gruyère - La Broye - Lac - Veveyse.</t>
  </si>
  <si>
    <t>https://www.immoscout24.ch/fr/appartement/louer/region-gruyere-la-broye-lac-veveyse</t>
  </si>
  <si>
    <t>Louer appartement Gruyère - La Broye - Lac - Veveyse: Trouvez le bien immobilier qui correspond idéalement à vos désirs sur ImmoScout24 - La plateforme de l'immobilier en Suisse.</t>
  </si>
  <si>
    <t>🏘  Vous cherchez un appartement à louer dans les districts de Gruyère - La Broye - Lac - Veveyse? ✅ Les annonces les plus actuelles sont sur ImmoScout24.ch.</t>
  </si>
  <si>
    <t>https://www.immoscout24.ch/fr/maison/acheter/lieu-buseno</t>
  </si>
  <si>
    <t>Vendre maison Buseno: Trouvez le bien immobilier qui correspond idéalement à vos désirs sur ImmoScout24 - La plateforme de l'immobilier en Suisse.</t>
  </si>
  <si>
    <t>🏘  Vous souhaitez acheter une maison à Buseno? ✅ Jetez un œil aux dernières offres sur ImmoScout24.ch.</t>
  </si>
  <si>
    <t>https://www.immoscout24.ch/fr/maison/acheter/region-lausanne-et-environs</t>
  </si>
  <si>
    <t>Vendre maison Lausanne et environs: Trouvez le bien immobilier qui correspond idéalement à vos désirs sur ImmoScout24 - La plateforme de l'immobilier en Suisse.</t>
  </si>
  <si>
    <t>🏘  Vous souhaitez acheter une maison à Lausanne et environs? ✅ Jetez un œil aux dernières offres sur ImmoScout24.ch.</t>
  </si>
  <si>
    <t>https://www.immoscout24.ch/fr/appartement/acheter/lieu-portalban</t>
  </si>
  <si>
    <t>Vendre appartement Portalban: Trouvez le bien immobilier qui correspond idéalement à vos désirs sur ImmoScout24 - La plateforme de l'immobilier en Suisse.</t>
  </si>
  <si>
    <t>🏘  L’appartement de vos rêves se trouve sur ImmoScout24.ch ✅ Découvrez les dernières annonces de vente à Portalban.</t>
  </si>
  <si>
    <t>https://www.immoscout24.ch/fr/maison/acheter/lieu-avegno</t>
  </si>
  <si>
    <t>Vendre maison Avegno: Trouvez le bien immobilier qui correspond idéalement à vos désirs sur ImmoScout24 - La plateforme de l'immobilier en Suisse.</t>
  </si>
  <si>
    <t>🏘  Vous souhaitez acheter une maison à Avegno? ✅ Jetez un œil aux dernières offres sur ImmoScout24.ch.</t>
  </si>
  <si>
    <t>https://www.immoscout24.ch/fr/maison/louer/quartier-stgeorgen-st-gall</t>
  </si>
  <si>
    <t>Louer maison St. Georgen (St-Gall): Trouvez le bien immobilier qui correspond idéalement à vos désirs sur ImmoScout24 - La plateforme de l'immobilier en Suisse.</t>
  </si>
  <si>
    <t>🏘  Vous cherchez une maison à louer dans le quartier de St. Georgen (St-Gall)? ✅ Découvrez nos nombreuses annonces sur ImmoScout24.ch.</t>
  </si>
  <si>
    <t>https://www.immoscout24.ch/fr/appartement/louer/lieu-buetschwil</t>
  </si>
  <si>
    <t>Louer appartement Bütschwil: Trouvez le bien immobilier qui correspond idéalement à vos désirs sur ImmoScout24 - La plateforme de l'immobilier en Suisse.</t>
  </si>
  <si>
    <t>🏘  Vous cherchez un appartement à louer à Bütschwil? ✅ Les annonces les plus actuelles sont sur ImmoScout24.ch.</t>
  </si>
  <si>
    <t>https://www.immoscout24.ch/fr/maison/acheter/lieu-vufflens-le-chateau</t>
  </si>
  <si>
    <t>Vendre maison Vufflens-le-Château: Trouvez le bien immobilier qui correspond idéalement à vos désirs sur ImmoScout24 - La plateforme de l'immobilier en Suisse.</t>
  </si>
  <si>
    <t>🏘  Vous souhaitez acheter une maison à Vufflens-le-Château? ✅ Jetez un œil aux dernières offres sur ImmoScout24.ch.</t>
  </si>
  <si>
    <t>https://www.immoscout24.ch/fr/maison/acheter/lieu-caviano</t>
  </si>
  <si>
    <t>Vendre maison Caviano: Trouvez le bien immobilier qui correspond idéalement à vos désirs sur ImmoScout24 - La plateforme de l'immobilier en Suisse.</t>
  </si>
  <si>
    <t>🏘  Vous souhaitez acheter une maison à Caviano? ✅ Jetez un œil aux dernières offres sur ImmoScout24.ch.</t>
  </si>
  <si>
    <t>https://www.immoscout24.ch/fr/maison/acheter/lieu-chabrey</t>
  </si>
  <si>
    <t>Vendre maison Chabrey: Trouvez le bien immobilier qui correspond idéalement à vos désirs sur ImmoScout24 - La plateforme de l'immobilier en Suisse.</t>
  </si>
  <si>
    <t>🏘  Vous souhaitez acheter une maison à Chabrey? ✅ Jetez un œil aux dernières offres sur ImmoScout24.ch.</t>
  </si>
  <si>
    <t>https://www.immoscout24.ch/fr/appartement/acheter/lieu-chatel-st-denis</t>
  </si>
  <si>
    <t>Vendre appartement Châtel-St-Denis: Trouvez le bien immobilier qui correspond idéalement à vos désirs sur ImmoScout24 - La plateforme de l'immobilier en Suisse.</t>
  </si>
  <si>
    <t>🏘  L’appartement de vos rêves se trouve sur ImmoScout24.ch ✅ Découvrez les dernières annonces de vente à Châtel-St-Denis.</t>
  </si>
  <si>
    <t>https://www.immoscout24.ch/fr/maison/louer/lieu-carouge-ge</t>
  </si>
  <si>
    <t>Louer maison Carouge GE: Trouvez le bien immobilier qui correspond idéalement à vos désirs sur ImmoScout24 - La plateforme de l'immobilier en Suisse.</t>
  </si>
  <si>
    <t>🏘  Vous cherchez une maison à louer à Carouge GE? ✅ Découvrez nos nombreuses annonces sur ImmoScout24.ch.</t>
  </si>
  <si>
    <t>https://www.immoscout24.ch/fr/appartement/acheter/lieu-grand-lancy</t>
  </si>
  <si>
    <t>Vendre appartement Grand-Lancy: Trouvez le bien immobilier qui correspond idéalement à vos désirs sur ImmoScout24 - La plateforme de l'immobilier en Suisse.</t>
  </si>
  <si>
    <t>🏘  L’appartement de vos rêves se trouve sur ImmoScout24.ch ✅ Découvrez les dernières annonces de vente à Grand-Lancy.</t>
  </si>
  <si>
    <t>https://www.immoscout24.ch/fr/maison/acheter/lieu-la-heutte</t>
  </si>
  <si>
    <t>Vendre maison La Heutte: Trouvez le bien immobilier qui correspond idéalement à vos désirs sur ImmoScout24 - La plateforme de l'immobilier en Suisse.</t>
  </si>
  <si>
    <t>🏘  Vous souhaitez acheter une maison à La Heutte? ✅ Jetez un œil aux dernières offres sur ImmoScout24.ch.</t>
  </si>
  <si>
    <t>https://www.immoscout24.ch/fr/maison/louer/lieu-rochefort</t>
  </si>
  <si>
    <t>Louer maison Rochefort: Trouvez le bien immobilier qui correspond idéalement à vos désirs sur ImmoScout24 - La plateforme de l'immobilier en Suisse.</t>
  </si>
  <si>
    <t>🏘  Vous cherchez une maison à louer à Rochefort? ✅ Découvrez nos nombreuses annonces sur ImmoScout24.ch.</t>
  </si>
  <si>
    <t>https://www.immoscout24.ch/fr/appartement/acheter/quartier-boujean-biel-bienne</t>
  </si>
  <si>
    <t>Vendre appartement Boujean (Biel/Bienne):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</si>
  <si>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Boujean (Biel/Bienne).</t>
  </si>
  <si>
    <t>https://www.immoscout24.ch/fr/maison/acheter/lieu-sorens</t>
  </si>
  <si>
    <t>Vendre maison Sorens: Trouvez le bien immobilier qui correspond idéalement à vos désirs sur ImmoScout24 - La plateforme de l'immobilier en Suisse.</t>
  </si>
  <si>
    <t>🏘  Vous souhaitez acheter une maison à Sorens? ✅ Jetez un œil aux dernières offres sur ImmoScout24.ch.</t>
  </si>
  <si>
    <t>https://www.immoscout24.ch/fr/appartement/acheter/lieu-carona</t>
  </si>
  <si>
    <t>Vendre appartement Carona: Trouvez le bien immobilier qui correspond idéalement à vos désirs sur ImmoScout24 - La plateforme de l'immobilier en Suisse.</t>
  </si>
  <si>
    <t>🏘  L’appartement de vos rêves se trouve sur ImmoScout24.ch ✅ Découvrez les dernières annonces de vente à Carona.</t>
  </si>
  <si>
    <t>https://www.immoscout24.ch/fr/maison/acheter/quartier-bourg-fribourg</t>
  </si>
  <si>
    <t>Vendre maison Bourg (Fribourg): Trouvez le bien immobilier qui correspond idéalement à vos désirs sur ImmoScout24 - La plateforme de l'immobilier en Suisse.</t>
  </si>
  <si>
    <t>🏘  Vous souhaitez acheter une maison dans le quartier du Bourg (Fribourg)? ✅ Jetez un œil aux dernières offres sur ImmoScout24.ch.</t>
  </si>
  <si>
    <t>https://www.immoscout24.ch/fr/appartement/louer/lieu-staufen</t>
  </si>
  <si>
    <t>Louer appartement Staufen: Trouvez le bien immobilier qui correspond idéalement à vos désirs sur ImmoScout24 - La plateforme de l'immobilier en Suisse.</t>
  </si>
  <si>
    <t>🏘  Vous cherchez un appartement à louer à Staufen? ✅ Les annonces les plus actuelles sont sur ImmoScout24.ch.</t>
  </si>
  <si>
    <t>https://www.immoscout24.ch/fr/maison/acheter/lieu-hergiswil-nw</t>
  </si>
  <si>
    <t>Vendre maison Hergiswil NW: Trouvez le bien immobilier qui correspond idéalement à vos désirs sur ImmoScout24 - La plateforme de l'immobilier en Suisse.</t>
  </si>
  <si>
    <t>🏘  Vous souhaitez acheter une maison à Hergiswil NW? ✅ Jetez un œil aux dernières offres sur ImmoScout24.ch.</t>
  </si>
  <si>
    <t>https://www.immoscout24.ch/fr/appartement/louer/lieu-asp</t>
  </si>
  <si>
    <t>Louer appartement Asp: Trouvez le bien immobilier qui correspond idéalement à vos désirs sur ImmoScout24 - La plateforme de l'immobilier en Suisse.</t>
  </si>
  <si>
    <t>🏘  Vous cherchez un appartement à louer à Asp? ✅ Les annonces les plus actuelles sont sur ImmoScout24.ch.</t>
  </si>
  <si>
    <t>https://www.immoscout24.ch/fr/appartement/acheter/lieu-baulmes</t>
  </si>
  <si>
    <t>Vendre appartement Baulmes: Trouvez le bien immobilier qui correspond idéalement à vos désirs sur ImmoScout24 - La plateforme de l'immobilier en Suisse.</t>
  </si>
  <si>
    <t>🏘  L’appartement de vos rêves se trouve sur ImmoScout24.ch ✅ Découvrez les dernières annonces de vente à Baulmes.</t>
  </si>
  <si>
    <t>https://www.immoscout24.ch/fr/appartement/louer/lieu-bolken</t>
  </si>
  <si>
    <t>Louer appartement Bolken: Trouvez le bien immobilier qui correspond idéalement à vos désirs sur ImmoScout24 - La plateforme de l'immobilier en Suisse.</t>
  </si>
  <si>
    <t>🏘  Vous cherchez un appartement à louer à Bolken? ✅ Les annonces les plus actuelles sont sur ImmoScout24.ch.</t>
  </si>
  <si>
    <t>https://www.immoscout24.ch/fr/appartement/louer/lieu-font</t>
  </si>
  <si>
    <t>Louer appartement Font: Trouvez le bien immobilier qui correspond idéalement à vos désirs sur ImmoScout24 - La plateforme de l'immobilier en Suisse.</t>
  </si>
  <si>
    <t>🏘  Vous cherchez un appartement à louer à Font? ✅ Les annonces les plus actuelles sont sur ImmoScout24.ch.</t>
  </si>
  <si>
    <t>https://www.immoscout24.ch/fr/appartement/louer/lieu-perroy</t>
  </si>
  <si>
    <t>Louer appartement Perroy: Trouvez le bien immobilier qui correspond idéalement à vos désirs sur ImmoScout24 - La plateforme de l'immobilier en Suisse.</t>
  </si>
  <si>
    <t>🏘  Vous cherchez un appartement à louer à Perroy? ✅ Les annonces les plus actuelles sont sur ImmoScout24.ch.</t>
  </si>
  <si>
    <t>https://www.immoscout24.ch/fr/maison/louer/lieu-courrendlin</t>
  </si>
  <si>
    <t>Louer maison Courrendlin: Trouvez le bien immobilier qui correspond idéalement à vos désirs sur ImmoScout24 - La plateforme de l'immobilier en Suisse.</t>
  </si>
  <si>
    <t>🏘  Vous cherchez une maison à louer à Courrendlin? ✅ Découvrez nos nombreuses annonces sur ImmoScout24.ch.</t>
  </si>
  <si>
    <t>https://www.immoscout24.ch/fr/maison/louer/lieu-noreaz</t>
  </si>
  <si>
    <t>Louer maison Noréaz: Trouvez le bien immobilier qui correspond idéalement à vos désirs sur ImmoScout24 - La plateforme de l'immobilier en Suisse.</t>
  </si>
  <si>
    <t>🏘  Vous cherchez une maison à louer à Noréaz? ✅ Découvrez nos nombreuses annonces sur ImmoScout24.ch.</t>
  </si>
  <si>
    <t>https://www.immoscout24.ch/fr/maison/acheter/lieu-bottens</t>
  </si>
  <si>
    <t>Vendre maison Bottens: Trouvez le bien immobilier qui correspond idéalement à vos désirs sur ImmoScout24 - La plateforme de l'immobilier en Suisse.</t>
  </si>
  <si>
    <t>🏘  Vous souhaitez acheter une maison à Bottens? ✅ Jetez un œil aux dernières offres sur ImmoScout24.ch.</t>
  </si>
  <si>
    <t>https://www.immoscout24.ch/fr/appartement/louer/lieu-vernier</t>
  </si>
  <si>
    <t>Louer appartement Vernier: Trouvez le bien immobilier qui correspond idéalement à vos désirs sur ImmoScout24 - La plateforme de l'immobilier en Suisse.</t>
  </si>
  <si>
    <t>🏘  Vous cherchez un appartement à louer à Vernier? ✅ Les annonces les plus actuelles sont sur ImmoScout24.ch.</t>
  </si>
  <si>
    <t>https://www.immoscout24.ch/fr/maison/acheter/region-rheintal-werdenberg</t>
  </si>
  <si>
    <t>Vendre maison Rheintal - Werdenberg: Trouvez le bien immobilier qui correspond idéalement à vos désirs sur ImmoScout24 - La plateforme de l'immobilier en Suisse.</t>
  </si>
  <si>
    <t>🏘  Vous souhaitez acheter une maison dans la région de Rheintal - Werdenberg? ✅ Jetez un œil aux dernières offres sur ImmoScout24.ch.</t>
  </si>
  <si>
    <t>https://www.immoscout24.ch/fr/appartement/acheter/pays-pologne</t>
  </si>
  <si>
    <t>Vendre appartement Pologne: Trouvez le bien immobilier qui correspond idéalement à vos désirs sur ImmoScout24 - La plateforme de l'immobilier en Suisse.</t>
  </si>
  <si>
    <t>🏘  Vous cherchez un appartement à louer en Pologne? ✅ Les annonces les plus actuelles sont sur ImmoScout24.ch.</t>
  </si>
  <si>
    <t>https://www.immoscout24.ch/fr/appartement/acheter/lieu-wilderswil</t>
  </si>
  <si>
    <t>Vendre appartement Wilderswil: Trouvez le bien immobilier qui correspond idéalement à vos désirs sur ImmoScout24 - La plateforme de l'immobilier en Suisse.</t>
  </si>
  <si>
    <t>🏘  L’appartement de vos rêves se trouve sur ImmoScout24.ch ✅ Découvrez les dernières annonces de vente à Wilderswil.</t>
  </si>
  <si>
    <t>https://www.immoscout24.ch/fr/maison/acheter/lieu-vers-l-eglise</t>
  </si>
  <si>
    <t>Vendre maison Vers-l'Eglise: Trouvez le bien immobilier qui correspond idéalement à vos désirs sur ImmoScout24 - La plateforme de l'immobilier en Suisse.</t>
  </si>
  <si>
    <t>🏘  Vous souhaitez acheter une maison à Vers-l'Eglise? ✅ Jetez un œil aux dernières offres sur ImmoScout24.ch.</t>
  </si>
  <si>
    <t>https://www.immoscout24.ch/fr/maison/louer/lieu-st-sulpice-vd</t>
  </si>
  <si>
    <t>Louer maison St-Sulpice VD: Trouvez le bien immobilier qui correspond idéalement à vos désirs sur ImmoScout24 - La plateforme de l'immobilier en Suisse.</t>
  </si>
  <si>
    <t>🏘  Vous cherchez une maison à louer à St-Sulpice VD? ✅ Découvrez nos nombreuses annonces sur ImmoScout24.ch.</t>
  </si>
  <si>
    <t>https://www.immoscout24.ch/fr/appartement/acheter/lieu-massongex</t>
  </si>
  <si>
    <t>Vendre appartement Massongex: Trouvez le bien immobilier qui correspond idéalement à vos désirs sur ImmoScout24 - La plateforme de l'immobilier en Suisse.</t>
  </si>
  <si>
    <t>🏘  L’appartement de vos rêves se trouve sur ImmoScout24.ch ✅ Découvrez les dernières annonces de vente à Massongex.</t>
  </si>
  <si>
    <t>https://www.immoscout24.ch/fr/maison/acheter/lieu-poliez-le-grand</t>
  </si>
  <si>
    <t>Vendre maison Poliez-le-Grand: Trouvez le bien immobilier qui correspond idéalement à vos désirs sur ImmoScout24 - La plateforme de l'immobilier en Suisse.</t>
  </si>
  <si>
    <t>🏘  Vous souhaitez acheter une maison à Poliez-le-Grand? ✅ Jetez un œil aux dernières offres sur ImmoScout24.ch.</t>
  </si>
  <si>
    <t>https://www.immoscout24.ch/fr/appartement/acheter/lieu-penthaz</t>
  </si>
  <si>
    <t>Vendre appartement Penthaz: Trouvez le bien immobilier qui correspond idéalement à vos désirs sur ImmoScout24 - La plateforme de l'immobilier en Suisse.</t>
  </si>
  <si>
    <t>🏘  L’appartement de vos rêves se trouve sur ImmoScout24.ch ✅ Découvrez les dernières annonces de vente à Penthaz.</t>
  </si>
  <si>
    <t>https://www.immoscout24.ch/fr/maison/acheter/lieu-vullierens</t>
  </si>
  <si>
    <t>Vendre maison Vullierens: Trouvez le bien immobilier qui correspond idéalement à vos désirs sur ImmoScout24 - La plateforme de l'immobilier en Suisse.</t>
  </si>
  <si>
    <t>🏘  Vous souhaitez acheter une maison à Vullierens? ✅ Jetez un œil aux dernières offres sur ImmoScout24.ch.</t>
  </si>
  <si>
    <t>https://www.immoscout24.ch/fr/maison/louer/lieu-muraz-collombey</t>
  </si>
  <si>
    <t>Louer maison Muraz (Collombey): Trouvez le bien immobilier qui correspond idéalement à vos désirs sur ImmoScout24 - La plateforme de l'immobilier en Suisse.</t>
  </si>
  <si>
    <t>🏘  Vous cherchez une maison à louer à Muraz (Collombey)? ✅ Découvrez nos nombreuses annonces sur ImmoScout24.ch.</t>
  </si>
  <si>
    <t>https://www.immoscout24.ch/fr/appartement/louer/quartier-perolles-fribourg</t>
  </si>
  <si>
    <t>Louer appartement Pérolles (Fribourg): Trouvez le bien immobilier qui correspond idéalement à vos désirs sur ImmoScout24 - La plateforme de l'immobilier en Suisse.</t>
  </si>
  <si>
    <t>🏘  Vous cherchez un appartement à louer dans le quartier de Pérolles (Fribourg)? ✅ Les annonces les plus actuelles sont sur ImmoScout24.ch.</t>
  </si>
  <si>
    <t>https://www.immoscout24.ch/fr/appartement/louer/lieu-bouveret</t>
  </si>
  <si>
    <t>Louer appartement Bouveret: Trouvez le bien immobilier qui correspond idéalement à vos désirs sur ImmoScout24 - La plateforme de l'immobilier en Suisse.</t>
  </si>
  <si>
    <t>🏘  Vous cherchez un appartement à louer à Bouveret? ✅ Les annonces les plus actuelles sont sur ImmoScout24.ch.</t>
  </si>
  <si>
    <t>https://www.immoscout24.ch/fr/appartement/acheter/lieu-muralto</t>
  </si>
  <si>
    <t>Vendre appartement Muralto: Trouvez le bien immobilier qui correspond idéalement à vos désirs sur ImmoScout24 - La plateforme de l'immobilier en Suisse.</t>
  </si>
  <si>
    <t>🏘  L’appartement de vos rêves se trouve sur ImmoScout24.ch ✅ Découvrez les dernières annonces de vente à Muralto.</t>
  </si>
  <si>
    <t>https://www.immoscout24.ch/fr/appartement/acheter/lieu-lenzburg</t>
  </si>
  <si>
    <t>Vendre appartement Lenzburg: Trouvez le bien immobilier qui correspond idéalement à vos désirs sur ImmoScout24 - La plateforme de l'immobilier en Suisse.</t>
  </si>
  <si>
    <t>🏘  L’appartement de vos rêves se trouve sur ImmoScout24.ch ✅ Découvrez les dernières annonces de vente aunzburg.</t>
  </si>
  <si>
    <t>https://www.immoscout24.ch/fr/appartement/louer/lieu-st-ursen</t>
  </si>
  <si>
    <t>Louer appartement St. Ursen: Trouvez le bien immobilier qui correspond idéalement à vos désirs sur ImmoScout24 - La plateforme de l'immobilier en Suisse.</t>
  </si>
  <si>
    <t>🏘  Vous cherchez un appartement à louer à St. Ursen? ✅ Les annonces les plus actuelles sont sur ImmoScout24.ch.</t>
  </si>
  <si>
    <t>https://www.immoscout24.ch/fr/appartement/louer/quartier-buchthalen-schaffhouse</t>
  </si>
  <si>
    <t>Louer appartement Buchthalen (Schaffhouse): Trouvez le bien immobilier qui correspond idéalement à vos désirs sur ImmoScout24 - La plateforme de l'immobilier en Suisse.</t>
  </si>
  <si>
    <t>🏘  Vous cherchez un appartement à louer dans le quartier de Buchthalen (Schaffhouse)? ✅ Les annonces les plus actuelles sont sur ImmoScout24.ch.</t>
  </si>
  <si>
    <t>https://www.immoscout24.ch/fr/maison/acheter/region-pfannenstiel</t>
  </si>
  <si>
    <t>Vendre maison Pfannenstiel: Trouvez le bien immobilier qui correspond idéalement à vos désirs sur ImmoScout24 - La plateforme de l'immobilier en Suisse.</t>
  </si>
  <si>
    <t>🏘  Vous souhaitez acheter une maison dans la région de Pfannenstiel? ✅ Jetez un œil aux dernières offres sur ImmoScout24.ch.</t>
  </si>
  <si>
    <t>https://www.immoscout24.ch/fr/maison/acheter/lieu-vuissens</t>
  </si>
  <si>
    <t>Vendre maison Vuissens: Trouvez le bien immobilier qui correspond idéalement à vos désirs sur ImmoScout24 - La plateforme de l'immobilier en Suisse.</t>
  </si>
  <si>
    <t>🏘  Vous souhaitez acheter une maison à Vuissens? ✅ Jetez un œil aux dernières offres sur ImmoScout24.ch.</t>
  </si>
  <si>
    <t>https://www.immoscout24.ch/fr/appartement/acheter/lieu-jegenstorf</t>
  </si>
  <si>
    <t>Vendre appartement Jegenstorf: Trouvez le bien immobilier qui correspond idéalement à vos désirs sur ImmoScout24 - La plateforme de l'immobilier en Suisse.</t>
  </si>
  <si>
    <t>🏘  L’appartement de vos rêves se trouve sur ImmoScout24.ch ✅ Découvrez les dernières annonces de vente à Jegenstorf.</t>
  </si>
  <si>
    <t>https://www.immoscout24.ch/fr/maison/louer/region-guerbetal-voralpen</t>
  </si>
  <si>
    <t>Louer maison Gürbetal - Voralpen: Trouvez le bien immobilier qui correspond idéalement à vos désirs sur ImmoScout24 - La plateforme de l'immobilier en Suisse.</t>
  </si>
  <si>
    <t>🏘  Vous cherchez une maison à louer à Gürbetal - Voralpen? ✅ Découvrez nos nombreuses annonces sur ImmoScout24.ch.</t>
  </si>
  <si>
    <t>https://www.immoscout24.ch/fr/appartement/acheter/lieu-heerbrugg</t>
  </si>
  <si>
    <t>Vendre appartement Heerbrugg: Trouvez le bien immobilier qui correspond idéalement à vos désirs sur ImmoScout24 - La plateforme de l'immobilier en Suisse.</t>
  </si>
  <si>
    <t>🏘  L’appartement de vos rêves se trouve sur ImmoScout24.ch ✅ Découvrez les dernières annonces de vente à Heerbrugg.</t>
  </si>
  <si>
    <t>https://www.immoscout24.ch/fr/maison/acheter/lieu-founex</t>
  </si>
  <si>
    <t>Vendre maison Founex: Trouvez le bien immobilier qui correspond idéalement à vos désirs sur ImmoScout24 - La plateforme de l'immobilier en Suisse.</t>
  </si>
  <si>
    <t>🏘  Vous souhaitez acheter une maison à Founex? ✅ Jetez un œil aux dernières offres sur ImmoScout24.ch.</t>
  </si>
  <si>
    <t>https://www.immoscout24.ch/fr/appartement/acheter/lieu-chatonnaye</t>
  </si>
  <si>
    <t>Vendre appartement Châtonnaye: Trouvez le bien immobilier qui correspond idéalement à vos désirs sur ImmoScout24 - La plateforme de l'immobilier en Suisse.</t>
  </si>
  <si>
    <t>🏘  L’appartement de vos rêves se trouve sur ImmoScout24.ch ✅ Découvrez les dernières annonces de vente à Châtonnaye.</t>
  </si>
  <si>
    <t>https://www.immoscout24.ch/fr/appartement/louer/lieu-noville</t>
  </si>
  <si>
    <t>Louer appartement Noville: Trouvez le bien immobilier qui correspond idéalement à vos désirs sur ImmoScout24 - La plateforme de l'immobilier en Suisse.</t>
  </si>
  <si>
    <t>🏘  Vous cherchez un appartement à louer à Noville? ✅ Les annonces les plus actuelles sont sur ImmoScout24.ch.</t>
  </si>
  <si>
    <t>https://www.immoscout24.ch/fr/appartement/louer/lieu-maennedorf</t>
  </si>
  <si>
    <t>Louer appartement Männedorf: Trouvez le bien immobilier qui correspond idéalement à vos désirs sur ImmoScout24 - La plateforme de l'immobilier en Suisse.</t>
  </si>
  <si>
    <t>🏘  Vous cherchez un appartement à louer à Männedorf? ✅ Les annonces les plus actuelles sont sur ImmoScout24.ch.</t>
  </si>
  <si>
    <t>https://www.immoscout24.ch/fr/maison/acheter/lieu-berolle</t>
  </si>
  <si>
    <t>Vendre maison Berolle: Trouvez le bien immobilier qui correspond idéalement à vos désirs sur ImmoScout24 - La plateforme de l'immobilier en Suisse.</t>
  </si>
  <si>
    <t>🏘  Vous souhaitez acheter une maison à Berolle? ✅ Jetez un œil aux dernières offres sur ImmoScout24.ch.</t>
  </si>
  <si>
    <t>https://www.immoscout24.ch/fr/appartement/louer/lieu-laufen</t>
  </si>
  <si>
    <t>Louer appartement Laufen: Trouvez le bien immobilier qui correspond idéalement à vos désirs sur ImmoScout24 - La plateforme de l'immobilier en Suisse.</t>
  </si>
  <si>
    <t>🏘  Vous cherchez un appartement à louer à Laufen? ✅ Les annonces les plus actuelles sont sur ImmoScout24.ch.</t>
  </si>
  <si>
    <t>https://www.immoscout24.ch/fr/appartement/louer/region-yverdon-grandson</t>
  </si>
  <si>
    <t>Louer appartement Yverdon - Grandson: Trouvez le bien immobilier qui correspond idéalement à vos désirs sur ImmoScout24 - La plateforme de l'immobilier en Suisse.</t>
  </si>
  <si>
    <t>🏘  Vous cherchez un appartement à louer dans la région d'Yverdon - Grandson? ✅ Les annonces les plus actuelles sont sur ImmoScout24.ch.</t>
  </si>
  <si>
    <t>https://www.immoscout24.ch/fr/appartement/louer/lieu-muentschemier</t>
  </si>
  <si>
    <t>Louer appartement Müntschemier: Trouvez le bien immobilier qui correspond idéalement à vos désirs sur ImmoScout24 - La plateforme de l'immobilier en Suisse.</t>
  </si>
  <si>
    <t>🏘  Vous cherchez un appartement à louer à Müntschemier? ✅ Les annonces les plus actuelles sont sur ImmoScout24.ch.</t>
  </si>
  <si>
    <t>https://www.immoscout24.ch/fr/appartement/louer/lieu-grancy</t>
  </si>
  <si>
    <t>Louer appartement Grancy: Trouvez le bien immobilier qui correspond idéalement à vos désirs sur ImmoScout24 - La plateforme de l'immobilier en Suisse.</t>
  </si>
  <si>
    <t>🏘  Vous cherchez un appartement à louer à Grancy? ✅ Les annonces les plus actuelles sont sur ImmoScout24.ch.</t>
  </si>
  <si>
    <t>https://www.immoscout24.ch/fr/maison/louer/lieu-riex</t>
  </si>
  <si>
    <t>Louer maison Riex: Trouvez le bien immobilier qui correspond idéalement à vos désirs sur ImmoScout24 - La plateforme de l'immobilier en Suisse.</t>
  </si>
  <si>
    <t>🏘  Vous cherchez une maison à louer à Riex? ✅ Découvrez nos nombreuses annonces sur ImmoScout24.ch.</t>
  </si>
  <si>
    <t>https://www.immoscout24.ch/fr/appartement/louer/lieu-altwis</t>
  </si>
  <si>
    <t>Louer appartement Altwis: Trouvez le bien immobilier qui correspond idéalement à vos désirs sur ImmoScout24 - La plateforme de l'immobilier en Suisse.</t>
  </si>
  <si>
    <t>🏘  Vous cherchez un appartement à louer à Altwis? ✅ Les annonces les plus actuelles sont sur ImmoScout24.ch.</t>
  </si>
  <si>
    <t>https://www.immoscout24.ch/fr/appartement/louer/lieu-bellmund</t>
  </si>
  <si>
    <t>Louer appartement Bellmund: Trouvez le bien immobilier qui correspond idéalement à vos désirs sur ImmoScout24 - La plateforme de l'immobilier en Suisse.</t>
  </si>
  <si>
    <t>🏘  Vous cherchez un appartement à louer à Bellmund? ✅ Les annonces les plus actuelles sont sur ImmoScout24.ch.</t>
  </si>
  <si>
    <t>https://www.immoscout24.ch/fr/maison/acheter/lieu-marchissy</t>
  </si>
  <si>
    <t>Vendre maison Marchissy: Trouvez le bien immobilier qui correspond idéalement à vos désirs sur ImmoScout24 - La plateforme de l'immobilier en Suisse.</t>
  </si>
  <si>
    <t>🏘  Vous souhaitez acheter une maison à Marchissy? ✅ Jetez un œil aux dernières offres sur ImmoScout24.ch.</t>
  </si>
  <si>
    <t>https://www.immoscout24.ch/fr/maison/louer/lieu-thun</t>
  </si>
  <si>
    <t>Louer maison Thun: Trouvez le bien immobilier qui correspond idéalement à vos désirs sur ImmoScout24 - La plateforme de l'immobilier en Suisse.</t>
  </si>
  <si>
    <t>🏘  Vous cherchez une maison à louer à Thun? ✅ Découvrez nos nombreuses annonces sur ImmoScout24.ch.</t>
  </si>
  <si>
    <t>https://www.immoscout24.ch/fr/appartement/acheter/lieu-winterberg-zh</t>
  </si>
  <si>
    <t>Vendre appartement Winterberg ZH: Trouvez le bien immobilier qui correspond idéalement à vos désirs sur ImmoScout24 - La plateforme de l'immobilier en Suisse.</t>
  </si>
  <si>
    <t>🏘  L’appartement de vos rêves se trouve sur ImmoScout24.ch ✅ Découvrez les dernières annonces de vente à Winterberg ZH.</t>
  </si>
  <si>
    <t>https://www.immoscout24.ch/fr/appartement/acheter/lieu-hasliberg-reuti</t>
  </si>
  <si>
    <t>Vendre appartement Hasliberg Reuti: Trouvez le bien immobilier qui correspond idéalement à vos désirs sur ImmoScout24 - La plateforme de l'immobilier en Suisse.</t>
  </si>
  <si>
    <t>🏘  L’appartement de vos rêves se trouve sur ImmoScout24.ch ✅ Découvrez les dernières annonces de vente à Hasliberg Reuti.</t>
  </si>
  <si>
    <t>https://www.immoscout24.ch/fr/appartement/acheter/quartier-laenggasse-berne</t>
  </si>
  <si>
    <t>Vendre appartement Länggasse (Berne):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</si>
  <si>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Länggasse (Berne).</t>
  </si>
  <si>
    <t>https://www.immoscout24.ch/fr/maison/acheter/lieu-granges-vs</t>
  </si>
  <si>
    <t>Vendre maison Granges VS: Trouvez le bien immobilier qui correspond idéalement à vos désirs sur ImmoScout24 - La plateforme de l'immobilier en Suisse.</t>
  </si>
  <si>
    <t>🏘  Vous souhaitez acheter une maison à Granges VS? ✅ Jetez un œil aux dernières offres sur ImmoScout24.ch.</t>
  </si>
  <si>
    <t>https://www.immoscout24.ch/fr/maison/louer/lieu-bruegg-be</t>
  </si>
  <si>
    <t>Louer maison Brügg BE: Trouvez le bien immobilier qui correspond idéalement à vos désirs sur ImmoScout24 - La plateforme de l'immobilier en Suisse.</t>
  </si>
  <si>
    <t>🏘  Vous cherchez une maison à louer à Brügg BE? ✅ Découvrez nos nombreuses annonces sur ImmoScout24.ch.</t>
  </si>
  <si>
    <t>https://www.immoscout24.ch/fr/maison/acheter/lieu-flamatt</t>
  </si>
  <si>
    <t>Vendre maison Flamatt: Trouvez le bien immobilier qui correspond idéalement à vos désirs sur ImmoScout24 - La plateforme de l'immobilier en Suisse.</t>
  </si>
  <si>
    <t>🏘  Vous souhaitez acheter une maison à Flamatt? ✅ Jetez un œil aux dernières offres sur ImmoScout24.ch.</t>
  </si>
  <si>
    <t>https://www.immoscout24.ch/fr/maison/acheter/lieu-romanens</t>
  </si>
  <si>
    <t>Vendre maison Romanens: Trouvez le bien immobilier qui correspond idéalement à vos désirs sur ImmoScout24 - La plateforme de l'immobilier en Suisse.</t>
  </si>
  <si>
    <t>🏘  Vous souhaitez acheter une maison à Romanens? ✅ Jetez un œil aux dernières offres sur ImmoScout24.ch.</t>
  </si>
  <si>
    <t>https://www.immoscout24.ch/fr/maison/louer/lieu-gretzenbach</t>
  </si>
  <si>
    <t>Louer maison Gretzenbach: Trouvez le bien immobilier qui correspond idéalement à vos désirs sur ImmoScout24 - La plateforme de l'immobilier en Suisse.</t>
  </si>
  <si>
    <t>🏘  Vous cherchez une maison à louer à Gretzenbach? ✅ Découvrez nos nombreuses annonces sur ImmoScout24.ch.</t>
  </si>
  <si>
    <t>https://www.immoscout24.ch/fr/appartement/louer/lieu-domdidier</t>
  </si>
  <si>
    <t>Louer appartement Domdidier: Trouvez le bien immobilier qui correspond idéalement à vos désirs sur ImmoScout24 - La plateforme de l'immobilier en Suisse.</t>
  </si>
  <si>
    <t>🏘  Vous cherchez un appartement à louer à Domdidier? ✅ Les annonces les plus actuelles sont sur ImmoScout24.ch.</t>
  </si>
  <si>
    <t>https://www.immoscout24.ch/fr/appartement/louer/lieu-corgemont</t>
  </si>
  <si>
    <t>Louer appartement Corgémont: Trouvez le bien immobilier qui correspond idéalement à vos désirs sur ImmoScout24 - La plateforme de l'immobilier en Suisse.</t>
  </si>
  <si>
    <t>🏘  Vous cherchez un appartement à louer à Corgémont? ✅ Les annonces les plus actuelles sont sur ImmoScout24.ch.</t>
  </si>
  <si>
    <t>https://www.immoscout24.ch/fr/appartement/louer/lieu-st-martin-vs</t>
  </si>
  <si>
    <t>Louer appartement St-Martin VS: Trouvez le bien immobilier qui correspond idéalement à vos désirs sur ImmoScout24 - La plateforme de l'immobilier en Suisse.</t>
  </si>
  <si>
    <t>🏘  Vous cherchez un appartement à louer à St-Martin VS? ✅ Les annonces les plus actuelles sont sur ImmoScout24.ch.</t>
  </si>
  <si>
    <t>https://www.immoscout24.ch/fr/appartement/louer/lieu-chevilly</t>
  </si>
  <si>
    <t>Louer appartement Chevilly: Trouvez le bien immobilier qui correspond idéalement à vos désirs sur ImmoScout24 - La plateforme de l'immobilier en Suisse.</t>
  </si>
  <si>
    <t>🏘  Vous cherchez un appartement à louer à Chevilly? ✅ Les annonces les plus actuelles sont sur ImmoScout24.ch.</t>
  </si>
  <si>
    <t>https://www.immoscout24.ch/fr/appartement/acheter/lieu-aarau</t>
  </si>
  <si>
    <t>Vendre appartement Aarau: Trouvez le bien immobilier qui correspond idéalement à vos désirs sur ImmoScout24 - La plateforme de l'immobilier en Suisse.</t>
  </si>
  <si>
    <t>🏘  L’appartement de vos rêves se trouve sur ImmoScout24.ch ✅ Découvrez les dernières annonces de vente à Aarau.</t>
  </si>
  <si>
    <t>https://www.immoscout24.ch/fr/maison/acheter/lieu-rueyres-treyfayes</t>
  </si>
  <si>
    <t>Vendre maison Rueyres-Treyfayes: Trouvez le bien immobilier qui correspond idéalement à vos désirs sur ImmoScout24 - La plateforme de l'immobilier en Suisse.</t>
  </si>
  <si>
    <t>🏘  Vous souhaitez acheter une maison à Rueyres-Treyfayes? ✅ Jetez un œil aux dernières offres sur ImmoScout24.ch.</t>
  </si>
  <si>
    <t>https://www.immoscout24.ch/fr/appartement/louer/lieu-signau</t>
  </si>
  <si>
    <t>Louer appartement Signau: Trouvez le bien immobilier qui correspond idéalement à vos désirs sur ImmoScout24 - La plateforme de l'immobilier en Suisse.</t>
  </si>
  <si>
    <t>🏘  Vous cherchez un appartement à louer à Signau? ✅ Les annonces les plus actuelles sont sur ImmoScout24.ch.</t>
  </si>
  <si>
    <t>https://www.immoscout24.ch/fr/maison/louer/lieu-heiligenschwendi</t>
  </si>
  <si>
    <t>Louer maison Heiligenschwendi: Trouvez le bien immobilier qui correspond idéalement à vos désirs sur ImmoScout24 - La plateforme de l'immobilier en Suisse.</t>
  </si>
  <si>
    <t>🏘  Vous cherchez une maison à louer à Heiligenschwendi? ✅ Découvrez nos nombreuses annonces sur ImmoScout24.ch.</t>
  </si>
  <si>
    <t>https://www.immoscout24.ch/fr/maison/acheter/lieu-bettmeralp</t>
  </si>
  <si>
    <t>Vendre maison Bettmeralp: Trouvez le bien immobilier qui correspond idéalement à vos désirs sur ImmoScout24 - La plateforme de l'immobilier en Suisse.</t>
  </si>
  <si>
    <t>🏘  Vous souhaitez acheter une maison à Bettmeralp? ✅ Jetez un œil aux dernières offres sur ImmoScout24.ch.</t>
  </si>
  <si>
    <t>https://www.immoscout24.ch/fr/appartement/louer/lieu-malleray</t>
  </si>
  <si>
    <t>Louer appartement Malleray: Trouvez le bien immobilier qui correspond idéalement à vos désirs sur ImmoScout24 - La plateforme de l'immobilier en Suisse.</t>
  </si>
  <si>
    <t>🏘  Vous cherchez un appartement à louer à Malleray? ✅ Les annonces les plus actuelles sont sur ImmoScout24.ch.</t>
  </si>
  <si>
    <t>https://www.immoscout24.ch/fr/maison/acheter/lieu-brenles</t>
  </si>
  <si>
    <t>Vendre maison Brenles: Trouvez le bien immobilier qui correspond idéalement à vos désirs sur ImmoScout24 - La plateforme de l'immobilier en Suisse.</t>
  </si>
  <si>
    <t>🏘  Vous souhaitez acheter une maison à Brenles? ✅ Jetez un œil aux dernières offres sur ImmoScout24.ch.</t>
  </si>
  <si>
    <t>https://www.immoscout24.ch/fr/appartement/louer/lieu-brissago</t>
  </si>
  <si>
    <t>Louer appartement Brissago: Trouvez le bien immobilier qui correspond idéalement à vos désirs sur ImmoScout24 - La plateforme de l'immobilier en Suisse.</t>
  </si>
  <si>
    <t>🏘  Vous cherchez un appartement à louer à Brissago? ✅ Les annonces les plus actuelles sont sur ImmoScout24.ch.</t>
  </si>
  <si>
    <t>https://www.immoscout24.ch/fr/appartement/acheter/lieu-worb</t>
  </si>
  <si>
    <t>Vendre appartement Worb: Trouvez le bien immobilier qui correspond idéalement à vos désirs sur ImmoScout24 - La plateforme de l'immobilier en Suisse.</t>
  </si>
  <si>
    <t>🏘  L’appartement de vos rêves se trouve sur ImmoScout24.ch ✅ Découvrez les dernières annonces de vente à Worb.</t>
  </si>
  <si>
    <t>https://www.immoscout24.ch/fr/appartement/louer/lieu-chandolin</t>
  </si>
  <si>
    <t>Louer appartement Chandolin: Trouvez le bien immobilier qui correspond idéalement à vos désirs sur ImmoScout24 - La plateforme de l'immobilier en Suisse.</t>
  </si>
  <si>
    <t>🏘  Vous cherchez un appartement à louer à Chandolin? ✅ Les annonces les plus actuelles sont sur ImmoScout24.ch.</t>
  </si>
  <si>
    <t>https://www.immoscout24.ch/fr/maison/louer/lieu-aarau</t>
  </si>
  <si>
    <t>Louer maison Aarau: Trouvez le bien immobilier qui correspond idéalement à vos désirs sur ImmoScout24 - La plateforme de l'immobilier en Suisse.</t>
  </si>
  <si>
    <t>🏘  Vous cherchez une maison à louer à Aarau? ✅ Découvrez nos nombreuses annonces sur ImmoScout24.ch.</t>
  </si>
  <si>
    <t>https://www.immoscout24.ch/fr/appartement/louer/lieu-gryon</t>
  </si>
  <si>
    <t>Louer appartement Gryon: Trouvez le bien immobilier qui correspond idéalement à vos désirs sur ImmoScout24 - La plateforme de l'immobilier en Suisse.</t>
  </si>
  <si>
    <t>🏘  Vous cherchez un appartement à louer à Gryon? ✅ Les annonces les plus actuelles sont sur ImmoScout24.ch.</t>
  </si>
  <si>
    <t>https://www.immoscout24.ch/fr/appartement/acheter/quartier-paquis-navigation-geneve</t>
  </si>
  <si>
    <t>Vendre appartement Pâquis - Navigation (Genève):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</si>
  <si>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des Pâquis - Navigation (Genève).</t>
  </si>
  <si>
    <t>https://www.immoscout24.ch/fr/appartement/louer/lieu-bever</t>
  </si>
  <si>
    <t>Louer appartement Bever: Trouvez le bien immobilier qui correspond idéalement à vos désirs sur ImmoScout24 - La plateforme de l'immobilier en Suisse.</t>
  </si>
  <si>
    <t>🏘  Vous cherchez un appartement à louer à Bever? ✅ Les annonces les plus actuelles sont sur ImmoScout24.ch.</t>
  </si>
  <si>
    <t>https://www.immoscout24.ch/fr/appartement/acheter/lieu-promasens</t>
  </si>
  <si>
    <t>Vendre appartement Promasens: Trouvez le bien immobilier qui correspond idéalement à vos désirs sur ImmoScout24 - La plateforme de l'immobilier en Suisse.</t>
  </si>
  <si>
    <t>🏘  L’appartement de vos rêves se trouve sur ImmoScout24.ch ✅ Découvrez les dernières annonces de vente à Promasens.</t>
  </si>
  <si>
    <t>https://www.immoscout24.ch/fr/appartement/acheter/lieu-chandolin</t>
  </si>
  <si>
    <t>Vendre appartement Chandolin: Trouvez le bien immobilier qui correspond idéalement à vos désirs sur ImmoScout24 - La plateforme de l'immobilier en Suisse.</t>
  </si>
  <si>
    <t>🏘  L’appartement de vos rêves se trouve sur ImmoScout24.ch ✅ Découvrez les dernières annonces de vente à Chandolin.</t>
  </si>
  <si>
    <t>https://www.immoscout24.ch/fr/appartement/acheter/canton-bale-campagne</t>
  </si>
  <si>
    <t>Vendre appartement Canton de Bâle-Campagne: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</si>
  <si>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de Bâle-Campagne.</t>
  </si>
  <si>
    <t>https://www.immoscout24.ch/fr/appartement/louer/lieu-strengelbach</t>
  </si>
  <si>
    <t>Louer appartement Strengelbach: Trouvez le bien immobilier qui correspond idéalement à vos désirs sur ImmoScout24 - La plateforme de l'immobilier en Suisse.</t>
  </si>
  <si>
    <t>🏘  Vous cherchez un appartement à louer à Strengelbach? ✅ Les annonces les plus actuelles sont sur ImmoScout24.ch.</t>
  </si>
  <si>
    <t>https://www.immoscout24.ch/fr/appartement/louer/lieu-gunzgen</t>
  </si>
  <si>
    <t>Louer appartement Gunzgen: Trouvez le bien immobilier qui correspond idéalement à vos désirs sur ImmoScout24 - La plateforme de l'immobilier en Suisse.</t>
  </si>
  <si>
    <t>🏘  Vous cherchez un appartement à louer à Gunzgen? ✅ Les annonces les plus actuelles sont sur ImmoScout24.ch.</t>
  </si>
  <si>
    <t>https://www.immoscout24.ch/fr/maison/louer/lieu-luzern</t>
  </si>
  <si>
    <t>Louer maison Luzern: Trouvez le bien immobilier qui correspond idéalement à vos désirs sur ImmoScout24 - La plateforme de l'immobilier en Suisse.</t>
  </si>
  <si>
    <t>🏘  Vous cherchez une maison à louer à Luzern? ✅ Découvrez nos nombreuses annonces sur ImmoScout24.ch.</t>
  </si>
  <si>
    <t>https://www.immoscout24.ch/fr/maison/acheter/lieu-brunnen</t>
  </si>
  <si>
    <t>Vendre maison Brunnen: Trouvez le bien immobilier qui correspond idéalement à vos désirs sur ImmoScout24 - La plateforme de l'immobilier en Suisse.</t>
  </si>
  <si>
    <t>🏘  Vous souhaitez acheter une maison à Brunnen? ✅ Jetez un œil aux dernières offres sur ImmoScout24.ch.</t>
  </si>
  <si>
    <t>https://www.immoscout24.ch/fr/appartement/acheter/lieu-glovelier</t>
  </si>
  <si>
    <t>Vendre appartement Glovelier: Trouvez le bien immobilier qui correspond idéalement à vos désirs sur ImmoScout24 - La plateforme de l'immobilier en Suisse.</t>
  </si>
  <si>
    <t>🏘  L’appartement de vos rêves se trouve sur ImmoScout24.ch ✅ Découvrez les dernières annonces de vente à Glovelier.</t>
  </si>
  <si>
    <t>https://www.immoscout24.ch/fr/maison/acheter/lieu-le-sepey</t>
  </si>
  <si>
    <t>Vendre maison Le Sépey: Trouvez le bien immobilier qui correspond idéalement à vos désirs sur ImmoScout24 - La plateforme de l'immobilier en Suisse.</t>
  </si>
  <si>
    <t>🏘  Vous souhaitez acheter une maison au Sépey? ✅ Jetez un œil aux dernières offres sur ImmoScout24.ch.</t>
  </si>
  <si>
    <t>https://www.immoscout24.ch/fr/appartement/louer/lieu-ermatingen</t>
  </si>
  <si>
    <t>Louer appartement Ermatingen: Trouvez le bien immobilier qui correspond idéalement à vos désirs sur ImmoScout24 - La plateforme de l'immobilier en Suisse.</t>
  </si>
  <si>
    <t>🏘  Vous cherchez un appartement à louer à Ermatingen? ✅ Les annonces les plus actuelles sont sur ImmoScout24.ch.</t>
  </si>
  <si>
    <t>https://www.immoscout24.ch/fr/appartement/louer/lieu-montevraz</t>
  </si>
  <si>
    <t>Louer appartement Montévraz: Trouvez le bien immobilier qui correspond idéalement à vos désirs sur ImmoScout24 - La plateforme de l'immobilier en Suisse.</t>
  </si>
  <si>
    <t>🏘  Vous cherchez un appartement à louer à Montévraz? ✅ Les annonces les plus actuelles sont sur ImmoScout24.ch.</t>
  </si>
  <si>
    <t>https://www.immoscout24.ch/fr/appartement/louer/lieu-matzendorf</t>
  </si>
  <si>
    <t>Louer appartement Matzendorf: Trouvez le bien immobilier qui correspond idéalement à vos désirs sur ImmoScout24 - La plateforme de l'immobilier en Suisse.</t>
  </si>
  <si>
    <t>🏘  Vous cherchez un appartement à louer à Matzendorf? ✅ Les annonces les plus actuelles sont sur ImmoScout24.ch.</t>
  </si>
  <si>
    <t>https://www.immoscout24.ch/fr/maison/acheter/lieu-les-friques</t>
  </si>
  <si>
    <t>Vendre maison Les Friques: Trouvez le bien immobilier qui correspond idéalement à vos désirs sur ImmoScout24 - La plateforme de l'immobilier en Suisse.</t>
  </si>
  <si>
    <t>🏘  Vous souhaitez acheter une maison aux Friques? ✅ Jetez un œil aux dernières offres sur ImmoScout24.ch.</t>
  </si>
  <si>
    <t>https://www.immoscout24.ch/fr/appartement/louer/quartier-boujean-biel-bienne</t>
  </si>
  <si>
    <t>Louer appartement Boujean (Biel/Bienne): Trouvez le bien immobilier qui correspond idéalement à vos désirs sur ImmoScout24 - La plateforme de l'immobilier en Suisse.</t>
  </si>
  <si>
    <t>🏘  Vous cherchez un appartement à louer dans le quartier de Boujean (Biel/Bienne)? ✅ Les annonces les plus actuelles sont sur ImmoScout24.ch.</t>
  </si>
  <si>
    <t>https://www.immoscout24.ch/fr/appartement/louer/lieu-moenchaltorf</t>
  </si>
  <si>
    <t>Louer appartement Mönchaltorf: Trouvez le bien immobilier qui correspond idéalement à vos désirs sur ImmoScout24 - La plateforme de l'immobilier en Suisse.</t>
  </si>
  <si>
    <t>🏘  Vous cherchez un appartement à louer à Mönchaltorf? ✅ Les annonces les plus actuelles sont sur ImmoScout24.ch.</t>
  </si>
  <si>
    <t>https://www.immoscout24.ch/fr/appartement/louer/lieu-gettnau</t>
  </si>
  <si>
    <t>Louer appartement Gettnau: Trouvez le bien immobilier qui correspond idéalement à vos désirs sur ImmoScout24 - La plateforme de l'immobilier en Suisse.</t>
  </si>
  <si>
    <t>🏘  Vous cherchez un appartement à louer à Gettnau? ✅ Les annonces les plus actuelles sont sur ImmoScout24.ch.</t>
  </si>
  <si>
    <t>https://www.immoscout24.ch/fr/appartement/louer/lieu-biere</t>
  </si>
  <si>
    <t>Louer appartement Bière: Trouvez le bien immobilier qui correspond idéalement à vos désirs sur ImmoScout24 - La plateforme de l'immobilier en Suisse.</t>
  </si>
  <si>
    <t>🏘  Vous cherchez un appartement à louer à Bière? ✅ Les annonces les plus actuelles sont sur ImmoScout24.ch.</t>
  </si>
  <si>
    <t>https://www.immoscout24.ch/fr/maison/acheter/quartier-gryphenhuebeli-berne</t>
  </si>
  <si>
    <t>Vendre maison Gryphenhübeli (Berne): Trouvez le bien immobilier qui correspond idéalement à vos désirs sur ImmoScout24 - La plateforme de l'immobilier en Suisse.</t>
  </si>
  <si>
    <t>🏘  Vous souhaitez acheter une maison dans le quartier de Gryphenhübeli (Berne)? ✅ Jetez un œil aux dernières offres sur ImmoScout24.ch.</t>
  </si>
  <si>
    <t>https://www.immoscout24.ch/fr/maison/louer/lieu-rue</t>
  </si>
  <si>
    <t>Louer maison Rue: Trouvez le bien immobilier qui correspond idéalement à vos désirs sur ImmoScout24 - La plateforme de l'immobilier en Suisse.</t>
  </si>
  <si>
    <t>🏘  Vous cherchez une maison à louer à Rue? ✅ Découvrez nos nombreuses annonces sur ImmoScout24.ch.</t>
  </si>
  <si>
    <t>https://www.immoscout24.ch/fr/maison/acheter/lieu-rothrist</t>
  </si>
  <si>
    <t>Vendre maison Rothrist: Trouvez le bien immobilier qui correspond idéalement à vos désirs sur ImmoScout24 - La plateforme de l'immobilier en Suisse.</t>
  </si>
  <si>
    <t>🏘  Vous souhaitez acheter une maison à Rothrist? ✅ Jetez un œil aux dernières offres sur ImmoScout24.ch.</t>
  </si>
  <si>
    <t>https://www.immoscout24.ch/fr/appartement/louer/lieu-klingnau</t>
  </si>
  <si>
    <t>Louer appartement Klingnau: Trouvez le bien immobilier qui correspond idéalement à vos désirs sur ImmoScout24 - La plateforme de l'immobilier en Suisse.</t>
  </si>
  <si>
    <t>🏘  Vous cherchez un appartement à louer à Klingnau? ✅ Les annonces les plus actuelles sont sur ImmoScout24.ch.</t>
  </si>
  <si>
    <t>https://www.immoscout24.ch/fr/appartement/louer/lieu-cully</t>
  </si>
  <si>
    <t>Louer appartement Cully: Trouvez le bien immobilier qui correspond idéalement à vos désirs sur ImmoScout24 - La plateforme de l'immobilier en Suisse.</t>
  </si>
  <si>
    <t>🏘  Vous cherchez un appartement à louer à Cully? ✅ Les annonces les plus actuelles sont sur ImmoScout24.ch.</t>
  </si>
  <si>
    <t>https://www.immoscout24.ch/fr/appartement/acheter/lieu-chamoson</t>
  </si>
  <si>
    <t>Vendre appartement Chamoson: Trouvez le bien immobilier qui correspond idéalement à vos désirs sur ImmoScout24 - La plateforme de l'immobilier en Suisse.</t>
  </si>
  <si>
    <t>🏘  L’appartement de vos rêves se trouve sur ImmoScout24.ch ✅ Découvrez les dernières annonces de vente à Chamoson.</t>
  </si>
  <si>
    <t>https://www.immoscout24.ch/fr/maison/acheter/canton-berne</t>
  </si>
  <si>
    <t>Vendre maison Canton de Berne: Trouvez le bien immobilier qui correspond idéalement à vos désirs sur ImmoScout24 - La plateforme de l'immobilier en Suisse.</t>
  </si>
  <si>
    <t>🏘  Vous souhaitez acheter une maison dans le Canton de Berne? ✅ Jetez un œil aux dernières offres sur ImmoScout24.ch.</t>
  </si>
  <si>
    <t>https://www.immoscout24.ch/fr/maison/acheter/lieu-le-cret-du-locle</t>
  </si>
  <si>
    <t>Vendre maison Le Crêt-du-Locle: Trouvez le bien immobilier qui correspond idéalement à vos désirs sur ImmoScout24 - La plateforme de l'immobilier en Suisse.</t>
  </si>
  <si>
    <t>🏘  Vous souhaitez acheter une maison au Crêt-du-Locle? ✅ Jetez un œil aux dernières offres sur ImmoScout24.ch.</t>
  </si>
  <si>
    <t>https://www.immoscout24.ch/fr/appartement/acheter/lieu-kuessnacht-am-rigi</t>
  </si>
  <si>
    <t>Vendre appartement Küssnacht am Rigi: Trouvez le bien immobilier qui correspond idéalement à vos désirs sur ImmoScout24 - La plateforme de l'immobilier en Suisse.</t>
  </si>
  <si>
    <t>🏘  L’appartement de vos rêves se trouve sur ImmoScout24.ch ✅ Découvrez les dernières annonces de vente à Küssnacht am Rigi.</t>
  </si>
  <si>
    <t>https://www.immoscout24.ch/fr/maison/acheter/lieu-farnern</t>
  </si>
  <si>
    <t>Vendre maison Farnern: Trouvez le bien immobilier qui correspond idéalement à vos désirs sur ImmoScout24 - La plateforme de l'immobilier en Suisse.</t>
  </si>
  <si>
    <t>🏘  Vous souhaitez acheter une maison à Farnern? ✅ Jetez un œil aux dernières offres sur ImmoScout24.ch.</t>
  </si>
  <si>
    <t>https://www.immoscout24.ch/fr/appartement/louer/lieu-les-avanchets</t>
  </si>
  <si>
    <t>Louer appartement Les Avanchets: Trouvez le bien immobilier qui correspond idéalement à vos désirs sur ImmoScout24 - La plateforme de l'immobilier en Suisse.</t>
  </si>
  <si>
    <t>🏘  Vous cherchez un appartement à louer aux Avanchets? ✅ Les annonces les plus actuelles sont sur ImmoScout24.ch.</t>
  </si>
  <si>
    <t>https://www.immoscout24.ch/fr/appartement/louer/lieu-ried-b-kerzers</t>
  </si>
  <si>
    <t>Louer appartement Ried b. Kerzers: Trouvez le bien immobilier qui correspond idéalement à vos désirs sur ImmoScout24 - La plateforme de l'immobilier en Suisse.</t>
  </si>
  <si>
    <t>🏘  Vous cherchez un appartement à louer à Ried b. Kerzers? ✅ Les annonces les plus actuelles sont sur ImmoScout24.ch.</t>
  </si>
  <si>
    <t>https://www.immoscout24.ch/fr/maison/acheter/lieu-ried-brig</t>
  </si>
  <si>
    <t>Vendre maison Ried-Brig: Trouvez le bien immobilier qui correspond idéalement à vos désirs sur ImmoScout24 - La plateforme de l'immobilier en Suisse.</t>
  </si>
  <si>
    <t>🏘  Vous souhaitez acheter une maison à Ried-Brig? ✅ Jetez un œil aux dernières offres sur ImmoScout24.ch.</t>
  </si>
  <si>
    <t>https://www.immoscout24.ch/fr/appartement/acheter/lieu-paradiso</t>
  </si>
  <si>
    <t>Vendre appartement Paradiso: Trouvez le bien immobilier qui correspond idéalement à vos désirs sur ImmoScout24 - La plateforme de l'immobilier en Suisse.</t>
  </si>
  <si>
    <t>🏘  L’appartement de vos rêves se trouve sur ImmoScout24.ch ✅ Découvrez les dernières annonces de vente à Paradiso.</t>
  </si>
  <si>
    <t>https://www.immoscout24.ch/fr/appartement/acheter/lieu-baar</t>
  </si>
  <si>
    <t>Vendre appartement Baar: Trouvez le bien immobilier qui correspond idéalement à vos désirs sur ImmoScout24 - La plateforme de l'immobilier en Suisse.</t>
  </si>
  <si>
    <t>🏘  L’appartement de vos rêves se trouve sur ImmoScout24.ch ✅ Découvrez les dernières annonces de vente à Baar.</t>
  </si>
  <si>
    <t>https://www.immoscout24.ch/fr/maison/acheter/lieu-matten-b-interlaken</t>
  </si>
  <si>
    <t>Vendre maison Matten b. Interlaken: Trouvez le bien immobilier qui correspond idéalement à vos désirs sur ImmoScout24 - La plateforme de l'immobilier en Suisse.</t>
  </si>
  <si>
    <t>🏘  Vous souhaitez acheter une maison à Matten b. Interlaken? ✅ Jetez un œil aux dernières offres sur ImmoScout24.ch.</t>
  </si>
  <si>
    <t>https://www.immoscout24.ch/fr/appartement/acheter/lieu-pfaeffikon-zh</t>
  </si>
  <si>
    <t>Vendre appartement Pfäffikon ZH: Trouvez le bien immobilier qui correspond idéalement à vos désirs sur ImmoScout24 - La plateforme de l'immobilier en Suisse.</t>
  </si>
  <si>
    <t>🏘  L’appartement de vos rêves se trouve sur ImmoScout24.ch ✅ Découvrez les dernières annonces de vente à Pfäffikon ZH.</t>
  </si>
  <si>
    <t>https://www.immoscout24.ch/fr/appartement/louer/lieu-pfaffhausen</t>
  </si>
  <si>
    <t>Louer appartement Pfaffhausen: Trouvez le bien immobilier qui correspond idéalement à vos désirs sur ImmoScout24 - La plateforme de l'immobilier en Suisse.</t>
  </si>
  <si>
    <t>🏘  Vous cherchez un appartement à louer à Pfaffhausen? ✅ Les annonces les plus actuelles sont sur ImmoScout24.ch.</t>
  </si>
  <si>
    <t>https://www.immoscout24.ch/fr/appartement/acheter/lieu-le-mont-sur-lausanne</t>
  </si>
  <si>
    <t>Vendre appartement Le Mont-sur-Lausanne: Trouvez le bien immobilier qui correspond idéalement à vos désirs sur ImmoScout24 - La plateforme de l'immobilier en Suisse.</t>
  </si>
  <si>
    <t>🏘  L’appartement de vos rêves se trouve sur ImmoScout24.ch ✅ Découvrez les dernières annonces de vente au Mont-sur-Lausanne.</t>
  </si>
  <si>
    <t>https://www.immoscout24.ch/fr/appartement/louer/lieu-bremblens</t>
  </si>
  <si>
    <t>Louer appartement Bremblens: Trouvez le bien immobilier qui correspond idéalement à vos désirs sur ImmoScout24 - La plateforme de l'immobilier en Suisse.</t>
  </si>
  <si>
    <t>🏘  Vous cherchez un appartement à louer à Bremblens? ✅ Les annonces les plus actuelles sont sur ImmoScout24.ch.</t>
  </si>
  <si>
    <t>https://www.immoscout24.ch/fr/appartement/louer/lieu-kerns</t>
  </si>
  <si>
    <t>Louer appartement Kerns: Trouvez le bien immobilier qui correspond idéalement à vos désirs sur ImmoScout24 - La plateforme de l'immobilier en Suisse.</t>
  </si>
  <si>
    <t>🏘  Vous cherchez un appartement à louer à Kerns? ✅ Les annonces les plus actuelles sont sur ImmoScout24.ch.</t>
  </si>
  <si>
    <t>https://www.immoscout24.ch/fr/appartement/louer/lieu-corcelles-le-jorat</t>
  </si>
  <si>
    <t>Louer appartement Corcelles-le-Jorat: Trouvez le bien immobilier qui correspond idéalement à vos désirs sur ImmoScout24 - La plateforme de l'immobilier en Suisse.</t>
  </si>
  <si>
    <t>🏘  Vous cherchez un appartement à louer à Corcelles-le-Jorat? ✅ Les annonces les plus actuelles sont sur ImmoScout24.ch.</t>
  </si>
  <si>
    <t>https://www.immoscout24.ch/fr/appartement/louer/lieu-bonfol</t>
  </si>
  <si>
    <t>Louer appartement Bonfol: Trouvez le bien immobilier qui correspond idéalement à vos désirs sur ImmoScout24 - La plateforme de l'immobilier en Suisse.</t>
  </si>
  <si>
    <t>🏘  Vous cherchez un appartement à louer à Bonfol? ✅ Les annonces les plus actuelles sont sur ImmoScout24.ch.</t>
  </si>
  <si>
    <t>https://www.immoscout24.ch/fr/appartement/louer/lieu-kleindoettingen</t>
  </si>
  <si>
    <t>Louer appartement Kleindöttingen: Trouvez le bien immobilier qui correspond idéalement à vos désirs sur ImmoScout24 - La plateforme de l'immobilier en Suisse.</t>
  </si>
  <si>
    <t>🏘  Vous cherchez un appartement à louer à Kleindöttingen? ✅ Les annonces les plus actuelles sont sur ImmoScout24.ch.</t>
  </si>
  <si>
    <t>https://www.immoscout24.ch/fr/appartement/acheter/lieu-heremence</t>
  </si>
  <si>
    <t>Vendre appartement Hérémence: Trouvez le bien immobilier qui correspond idéalement à vos désirs sur ImmoScout24 - La plateforme de l'immobilier en Suisse.</t>
  </si>
  <si>
    <t>🏘  L’appartement de vos rêves se trouve sur ImmoScout24.ch ✅ Découvrez les dernières annonces de vente à Hérémence.</t>
  </si>
  <si>
    <t>https://www.immoscout24.ch/fr/appartement/louer/lieu-fully</t>
  </si>
  <si>
    <t>Louer appartement Fully: Trouvez le bien immobilier qui correspond idéalement à vos désirs sur ImmoScout24 - La plateforme de l'immobilier en Suisse.</t>
  </si>
  <si>
    <t>🏘  Vous cherchez un appartement à louer à Fully? ✅ Les annonces les plus actuelles sont sur ImmoScout24.ch.</t>
  </si>
  <si>
    <t>https://www.immoscout24.ch/fr/appartement/louer/lieu-bellerive-vd</t>
  </si>
  <si>
    <t>Louer appartement Bellerive VD: Trouvez le bien immobilier qui correspond idéalement à vos désirs sur ImmoScout24 - La plateforme de l'immobilier en Suisse.</t>
  </si>
  <si>
    <t>🏘  Vous cherchez un appartement à louer à Bellerive VD? ✅ Les annonces les plus actuelles sont sur ImmoScout24.ch.</t>
  </si>
  <si>
    <t>https://www.immoscout24.ch/fr/appartement/acheter/lieu-la-punt-chamues-ch</t>
  </si>
  <si>
    <t>Vendre appartement La Punt-Chamues-ch: Trouvez le bien immobilier qui correspond idéalement à vos désirs sur ImmoScout24 - La plateforme de l'immobilier en Suisse.</t>
  </si>
  <si>
    <t>🏘  L’appartement de vos rêves se trouve sur ImmoScout24.ch ✅ Découvrez les dernières annonces de vente à La Punt-Chamues-ch.</t>
  </si>
  <si>
    <t>https://www.immoscout24.ch/fr/appartement/louer/lieu-boussens</t>
  </si>
  <si>
    <t>Louer appartement Boussens: Trouvez le bien immobilier qui correspond idéalement à vos désirs sur ImmoScout24 - La plateforme de l'immobilier en Suisse.</t>
  </si>
  <si>
    <t>🏘  Vous cherchez un appartement à louer à Boussens? ✅ Les annonces les plus actuelles sont sur ImmoScout24.ch.</t>
  </si>
  <si>
    <t>https://www.immoscout24.ch/fr/appartement/louer/quartier-davesco-soragno-lugano</t>
  </si>
  <si>
    <t>Louer appartement Davesco-Soragno (Lugano): Trouvez le bien immobilier qui correspond idéalement à vos désirs sur ImmoScout24 - La plateforme de l'immobilier en Suisse.</t>
  </si>
  <si>
    <t>🏘  Vous cherchez un appartement à louer dans le quartier de Davesco-Soragno (Lugano)? ✅ Les annonces les plus actuelles sont sur ImmoScout24.ch.</t>
  </si>
  <si>
    <t>https://www.immoscout24.ch/fr/maison/louer/lieu-middes</t>
  </si>
  <si>
    <t>Louer maison Middes: Trouvez le bien immobilier qui correspond idéalement à vos désirs sur ImmoScout24 - La plateforme de l'immobilier en Suisse.</t>
  </si>
  <si>
    <t>🏘  Vous cherchez une maison à louer à Middes? ✅ Découvrez nos nombreuses annonces sur ImmoScout24.ch.</t>
  </si>
  <si>
    <t>https://www.immoscout24.ch/fr/appartement/acheter/lieu-lechelles</t>
  </si>
  <si>
    <t>Vendre appartement Léchelles: Trouvez le bien immobilier qui correspond idéalement à vos désirs sur ImmoScout24 - La plateforme de l'immobilier en Suisse.</t>
  </si>
  <si>
    <t>🏘  L’appartement de vos rêves se trouve sur ImmoScout24.ch ✅ Découvrez les dernières annonces de vente à Léchelles.</t>
  </si>
  <si>
    <t>https://www.immoscout24.ch/fr/appartement/louer/lieu-huenenberg</t>
  </si>
  <si>
    <t>Louer appartement Hünenberg: Trouvez le bien immobilier qui correspond idéalement à vos désirs sur ImmoScout24 - La plateforme de l'immobilier en Suisse.</t>
  </si>
  <si>
    <t>🏘  Vous cherchez un appartement à louer à Hünenberg? ✅ Les annonces les plus actuelles sont sur ImmoScout24.ch.</t>
  </si>
  <si>
    <t>https://www.immoscout24.ch/fr/appartement/acheter/lieu-versegeres</t>
  </si>
  <si>
    <t>Vendre appartement Versegères: Trouvez le bien immobilier qui correspond idéalement à vos désirs sur ImmoScout24 - La plateforme de l'immobilier en Suisse.</t>
  </si>
  <si>
    <t>🏘  L’appartement de vos rêves se trouve sur ImmoScout24.ch ✅ Découvrez les dernières annonces de vente à Versegères.</t>
  </si>
  <si>
    <t>https://www.immoscout24.ch/fr/maison/acheter/pays-grece</t>
  </si>
  <si>
    <t>Vendre maison Grèce: Trouvez le bien immobilier qui correspond idéalement à vos désirs sur ImmoScout24 - La plateforme de l'immobilier en Suisse.</t>
  </si>
  <si>
    <t>🏘  Vous cherchez un appartement à louer en Grèce? ✅ Les annonces les plus actuelles sont sur ImmoScout24.ch.</t>
  </si>
  <si>
    <t>https://www.immoscout24.ch/fr/maison/acheter/lieu-buerchen</t>
  </si>
  <si>
    <t>Vendre maison Bürchen: Trouvez le bien immobilier qui correspond idéalement à vos désirs sur ImmoScout24 - La plateforme de l'immobilier en Suisse.</t>
  </si>
  <si>
    <t>🏘  Vous souhaitez acheter une maison à Bürchen? ✅ Jetez un œil aux dernières offres sur ImmoScout24.ch.</t>
  </si>
  <si>
    <t>https://www.immoscout24.ch/fr/maison/louer/region-sion-sierre-et-environs</t>
  </si>
  <si>
    <t>Louer maison Sion - Sierre et environs: Trouvez le bien immobilier qui correspond idéalement à vos désirs sur ImmoScout24 - La plateforme de l'immobilier en Suisse.</t>
  </si>
  <si>
    <t>🏘  Vous cherchez une maison à louer à Sion - Sierre et environs? ✅ Découvrez nos nombreuses annonces sur ImmoScout24.ch.</t>
  </si>
  <si>
    <t>https://www.immoscout24.ch/fr/appartement/louer/lieu-hilterfingen</t>
  </si>
  <si>
    <t>Louer appartement Hilterfingen: Trouvez le bien immobilier qui correspond idéalement à vos désirs sur ImmoScout24 - La plateforme de l'immobilier en Suisse.</t>
  </si>
  <si>
    <t>🏘  Vous cherchez un appartement à louer à Hilterfingen? ✅ Les annonces les plus actuelles sont sur ImmoScout24.ch.</t>
  </si>
  <si>
    <t>https://www.immoscout24.ch/fr/maison/acheter/lieu-st-imier</t>
  </si>
  <si>
    <t>Vendre maison St-Imier: Trouvez le bien immobilier qui correspond idéalement à vos désirs sur ImmoScout24 - La plateforme de l'immobilier en Suisse.</t>
  </si>
  <si>
    <t>🏘  Vous souhaitez acheter une maison à St-Imier? ✅ Jetez un œil aux dernières offres sur ImmoScout24.ch.</t>
  </si>
  <si>
    <t>https://www.immoscout24.ch/fr/maison/acheter/lieu-travers</t>
  </si>
  <si>
    <t>Vendre maison Travers: Trouvez le bien immobilier qui correspond idéalement à vos désirs sur ImmoScout24 - La plateforme de l'immobilier en Suisse.</t>
  </si>
  <si>
    <t>🏘  Vous souhaitez acheter une maison à Travers? ✅ Jetez un œil aux dernières offres sur ImmoScout24.ch.</t>
  </si>
  <si>
    <t>https://www.immoscout24.ch/fr/appartement/louer/lieu-platta</t>
  </si>
  <si>
    <t>Louer appartement Platta: Trouvez le bien immobilier qui correspond idéalement à vos désirs sur ImmoScout24 - La plateforme de l'immobilier en Suisse.</t>
  </si>
  <si>
    <t>🏘  Vous cherchez un appartement à louer à Platta? ✅ Les annonces les plus actuelles sont sur ImmoScout24.ch.</t>
  </si>
  <si>
    <t>https://www.immoscout24.ch/fr/maison/acheter/lieu-oberhofen-am-thunersee</t>
  </si>
  <si>
    <t>Vendre maison Oberhofen am Thunersee: Trouvez le bien immobilier qui correspond idéalement à vos désirs sur ImmoScout24 - La plateforme de l'immobilier en Suisse.</t>
  </si>
  <si>
    <t>🏘  Vous souhaitez acheter une maison à Oberhofen am Thunersee? ✅ Jetez un œil aux dernières offres sur ImmoScout24.ch.</t>
  </si>
  <si>
    <t>https://www.immoscout24.ch/fr/appartement/louer/lieu-chesopelloz</t>
  </si>
  <si>
    <t>Louer appartement Chésopelloz: Trouvez le bien immobilier qui correspond idéalement à vos désirs sur ImmoScout24 - La plateforme de l'immobilier en Suisse.</t>
  </si>
  <si>
    <t>🏘  Vous cherchez un appartement à louer à Chésopelloz? ✅ Les annonces les plus actuelles sont sur ImmoScout24.ch.</t>
  </si>
  <si>
    <t>https://www.immoscout24.ch/fr/appartement/louer/lieu-tatroz</t>
  </si>
  <si>
    <t>Louer appartement Tatroz: Trouvez le bien immobilier qui correspond idéalement à vos désirs sur ImmoScout24 - La plateforme de l'immobilier en Suisse.</t>
  </si>
  <si>
    <t>🏘  Vous cherchez un appartement à louer à Tatroz? ✅ Les annonces les plus actuelles sont sur ImmoScout24.ch.</t>
  </si>
  <si>
    <t>https://www.immoscout24.ch/fr/appartement/louer/lieu-charrat</t>
  </si>
  <si>
    <t>Louer appartement Charrat: Trouvez le bien immobilier qui correspond idéalement à vos désirs sur ImmoScout24 - La plateforme de l'immobilier en Suisse.</t>
  </si>
  <si>
    <t>🏘  Vous cherchez un appartement à louer à Charrat? ✅ Les annonces les plus actuelles sont sur ImmoScout24.ch.</t>
  </si>
  <si>
    <t>https://www.immoscout24.ch/fr/appartement/louer/lieu-payerne</t>
  </si>
  <si>
    <t>Louer appartement Payerne: Trouvez le bien immobilier qui correspond idéalement à vos désirs sur ImmoScout24 - La plateforme de l'immobilier en Suisse.</t>
  </si>
  <si>
    <t>🏘  Vous cherchez un appartement à louer à Payerne? ✅ Les annonces les plus actuelles sont sur ImmoScout24.ch.</t>
  </si>
  <si>
    <t>https://www.immoscout24.ch/fr/maison/acheter/lieu-s-antonio-val-morobbia</t>
  </si>
  <si>
    <t>Vendre maison S. Antonio (Val Morobbia): Trouvez le bien immobilier qui correspond idéalement à vos désirs sur ImmoScout24 - La plateforme de l'immobilier en Suisse.</t>
  </si>
  <si>
    <t>🏘  Vous souhaitez acheter une maison à S. Antonio (Val Morobbia)? ✅ Jetez un œil aux dernières offres sur ImmoScout24.ch.</t>
  </si>
  <si>
    <t>https://www.immoscout24.ch/fr/appartement/acheter/lieu-gerlafingen</t>
  </si>
  <si>
    <t>Vendre appartement Gerlafingen: Trouvez le bien immobilier qui correspond idéalement à vos désirs sur ImmoScout24 - La plateforme de l'immobilier en Suisse.</t>
  </si>
  <si>
    <t>🏘  L’appartement de vos rêves se trouve sur ImmoScout24.ch ✅ Découvrez les dernières annonces de vente à Gerlafingen.</t>
  </si>
  <si>
    <t>https://www.immoscout24.ch/fr/appartement/acheter/lieu-mayens-de-chamoson</t>
  </si>
  <si>
    <t>Vendre appartement Mayens-de-Chamoson: Trouvez le bien immobilier qui correspond idéalement à vos désirs sur ImmoScout24 - La plateforme de l'immobilier en Suisse.</t>
  </si>
  <si>
    <t>🏘  L’appartement de vos rêves se trouve sur ImmoScout24.ch ✅ Découvrez les dernières annonces de vente à Mayens-de-Chamoson.</t>
  </si>
  <si>
    <t>https://www.immoscout24.ch/fr/appartement/louer/lieu-martherenges</t>
  </si>
  <si>
    <t>Louer appartement Martherenges: Trouvez le bien immobilier qui correspond idéalement à vos désirs sur ImmoScout24 - La plateforme de l'immobilier en Suisse.</t>
  </si>
  <si>
    <t>🏘  Vous cherchez un appartement à louer à Martherenges? ✅ Les annonces les plus actuelles sont sur ImmoScout24.ch.</t>
  </si>
  <si>
    <t>https://www.immoscout24.ch/fr/maison/acheter/lieu-hersberg</t>
  </si>
  <si>
    <t>Vendre maison Hersberg: Trouvez le bien immobilier qui correspond idéalement à vos désirs sur ImmoScout24 - La plateforme de l'immobilier en Suisse.</t>
  </si>
  <si>
    <t>🏘  Vous souhaitez acheter une maison à Hersberg? ✅ Jetez un œil aux dernières offres sur ImmoScout24.ch.</t>
  </si>
  <si>
    <t>https://www.immoscout24.ch/fr/maison/acheter/lieu-daillens</t>
  </si>
  <si>
    <t>Vendre maison Daillens: Trouvez le bien immobilier qui correspond idéalement à vos désirs sur ImmoScout24 - La plateforme de l'immobilier en Suisse.</t>
  </si>
  <si>
    <t>🏘  Vous souhaitez acheter une maison à Daillens? ✅ Jetez un œil aux dernières offres sur ImmoScout24.ch.</t>
  </si>
  <si>
    <t>https://www.immoscout24.ch/fr/maison/louer/quartier-centre-neuchatel</t>
  </si>
  <si>
    <t>Louer maison Centre (Neuchâtel): Trouvez le bien immobilier qui correspond idéalement à vos désirs sur ImmoScout24 - La plateforme de l'immobilier en Suisse.</t>
  </si>
  <si>
    <t>🏘  Vous cherchez une maison à louer dans le Centre de Neuchâtel? ✅ Découvrez nos nombreuses annonces sur ImmoScout24.ch.</t>
  </si>
  <si>
    <t>https://www.immoscout24.ch/fr/maison/acheter/lieu-maennedorf</t>
  </si>
  <si>
    <t>Vendre maison Männedorf: Trouvez le bien immobilier qui correspond idéalement à vos désirs sur ImmoScout24 - La plateforme de l'immobilier en Suisse.</t>
  </si>
  <si>
    <t>🏘  Vous souhaitez acheter une maison à Männedorf? ✅ Jetez un œil aux dernières offres sur ImmoScout24.ch.</t>
  </si>
  <si>
    <t>https://www.immoscout24.ch/fr/maison/acheter/lieu-roggenburg</t>
  </si>
  <si>
    <t>Vendre maison Roggenburg: Trouvez le bien immobilier qui correspond idéalement à vos désirs sur ImmoScout24 - La plateforme de l'immobilier en Suisse.</t>
  </si>
  <si>
    <t>🏘  Vous souhaitez acheter une maison à Roggenburg? ✅ Jetez un œil aux dernières offres sur ImmoScout24.ch.</t>
  </si>
  <si>
    <t>https://www.immoscout24.ch/fr/appartement/louer/lieu-vilars-ne</t>
  </si>
  <si>
    <t>Louer appartement Vilars NE: Trouvez le bien immobilier qui correspond idéalement à vos désirs sur ImmoScout24 - La plateforme de l'immobilier en Suisse.</t>
  </si>
  <si>
    <t>🏘  Vous cherchez un appartement à louer à Vilars NE? ✅ Les annonces les plus actuelles sont sur ImmoScout24.ch.</t>
  </si>
  <si>
    <t>https://www.immoscout24.ch/fr/appartement/louer/lieu-goumoens-la-ville</t>
  </si>
  <si>
    <t>Louer appartement Goumoens-la-Ville: Trouvez le bien immobilier qui correspond idéalement à vos désirs sur ImmoScout24 - La plateforme de l'immobilier en Suisse.</t>
  </si>
  <si>
    <t>🏘  Vous cherchez un appartement à louer à Goumoens-la-Ville? ✅ Les annonces les plus actuelles sont sur ImmoScout24.ch.</t>
  </si>
  <si>
    <t>https://www.immoscout24.ch/fr/maison/acheter/lieu-villars-le-terroir</t>
  </si>
  <si>
    <t>Vendre maison Villars-le-Terroir: Trouvez le bien immobilier qui correspond idéalement à vos désirs sur ImmoScout24 - La plateforme de l'immobilier en Suisse.</t>
  </si>
  <si>
    <t>🏘  Vous souhaitez acheter une maison à Villars-le-Terroir? ✅ Jetez un œil aux dernières offres sur ImmoScout24.ch.</t>
  </si>
  <si>
    <t>https://www.immoscout24.ch/fr/appartement/acheter/lieu-binz</t>
  </si>
  <si>
    <t>Vendre appartement Binz: Trouvez le bien immobilier qui correspond idéalement à vos désirs sur ImmoScout24 - La plateforme de l'immobilier en Suisse.</t>
  </si>
  <si>
    <t>🏘  L’appartement de vos rêves se trouve sur ImmoScout24.ch ✅ Découvrez les dernières annonces de vente à Binz.</t>
  </si>
  <si>
    <t>https://www.immoscout24.ch/fr/appartement/louer/lieu-lussy-sur-morges</t>
  </si>
  <si>
    <t>Louer appartement Lussy-sur-Morges: Trouvez le bien immobilier qui correspond idéalement à vos désirs sur ImmoScout24 - La plateforme de l'immobilier en Suisse.</t>
  </si>
  <si>
    <t>🏘  Vous cherchez un appartement à louer à Lussy-sur-Morges? ✅ Les annonces les plus actuelles sont sur ImmoScout24.ch.</t>
  </si>
  <si>
    <t>https://www.immoscout24.ch/fr/appartement/acheter/lieu-palezieux-village</t>
  </si>
  <si>
    <t>Vendre appartement Palézieux-Village: Trouvez le bien immobilier qui correspond idéalement à vos désirs sur ImmoScout24 - La plateforme de l'immobilier en Suisse.</t>
  </si>
  <si>
    <t>🏘  L’appartement de vos rêves se trouve sur ImmoScout24.ch ✅ Découvrez les dernières annonces de vente à Palézieux-Village.</t>
  </si>
  <si>
    <t>https://www.immoscout24.ch/fr/maison/acheter/lieu-le-bry</t>
  </si>
  <si>
    <t>Vendre maison Le Bry: Trouvez le bien immobilier qui correspond idéalement à vos désirs sur ImmoScout24 - La plateforme de l'immobilier en Suisse.</t>
  </si>
  <si>
    <t>🏘  Vous souhaitez acheter une maison au Bry? ✅ Jetez un œil aux dernières offres sur ImmoScout24.ch.</t>
  </si>
  <si>
    <t>https://www.immoscout24.ch/fr/appartement/acheter/lieu-zinal</t>
  </si>
  <si>
    <t>Vendre appartement Zinal: Trouvez le bien immobilier qui correspond idéalement à vos désirs sur ImmoScout24 - La plateforme de l'immobilier en Suisse.</t>
  </si>
  <si>
    <t>🏘  L’appartement de vos rêves se trouve sur ImmoScout24.ch ✅ Découvrez les dernières annonces de vente à Zinal.</t>
  </si>
  <si>
    <t>https://www.immoscout24.ch/fr/maison/acheter/lieu-les-pommerats</t>
  </si>
  <si>
    <t>Vendre maison Les Pommerats: Trouvez le bien immobilier qui correspond idéalement à vos désirs sur ImmoScout24 - La plateforme de l'immobilier en Suisse.</t>
  </si>
  <si>
    <t>🏘  Vous souhaitez acheter une maison aux Pommerats? ✅ Jetez un œil aux dernières offres sur ImmoScout24.ch.</t>
  </si>
  <si>
    <t>https://www.immoscout24.ch/fr/appartement/louer/lieu-davos-platz</t>
  </si>
  <si>
    <t>Louer appartement Davos Platz: Trouvez le bien immobilier qui correspond idéalement à vos désirs sur ImmoScout24 - La plateforme de l'immobilier en Suisse.</t>
  </si>
  <si>
    <t>🏘  Vous cherchez un appartement à louer à Davos Platz? ✅ Les annonces les plus actuelles sont sur ImmoScout24.ch.</t>
  </si>
  <si>
    <t>https://www.immoscout24.ch/fr/appartement/louer/lieu-moerigen</t>
  </si>
  <si>
    <t>Louer appartement Mörigen: Trouvez le bien immobilier qui correspond idéalement à vos désirs sur ImmoScout24 - La plateforme de l'immobilier en Suisse.</t>
  </si>
  <si>
    <t>🏘  Vous cherchez un appartement à louer à Mörigen? ✅ Les annonces les plus actuelles sont sur ImmoScout24.ch.</t>
  </si>
  <si>
    <t>https://www.immoscout24.ch/fr/appartement/acheter/lieu-bassins</t>
  </si>
  <si>
    <t>Vendre appartement Bassins: Trouvez le bien immobilier qui correspond idéalement à vos désirs sur ImmoScout24 - La plateforme de l'immobilier en Suisse.</t>
  </si>
  <si>
    <t>🏘  L’appartement de vos rêves se trouve sur ImmoScout24.ch ✅ Découvrez les dernières annonces de vente à Bassins.</t>
  </si>
  <si>
    <t>https://www.immoscout24.ch/fr/appartement/louer/lieu-netstal</t>
  </si>
  <si>
    <t>Louer appartement Netstal: Trouvez le bien immobilier qui correspond idéalement à vos désirs sur ImmoScout24 - La plateforme de l'immobilier en Suisse.</t>
  </si>
  <si>
    <t>🏘  Vous cherchez un appartement à louer à Netstal? ✅ Les annonces les plus actuelles sont sur ImmoScout24.ch.</t>
  </si>
  <si>
    <t>https://www.immoscout24.ch/fr/maison/louer/lieu-sugiez</t>
  </si>
  <si>
    <t>Louer maison Sugiez: Trouvez le bien immobilier qui correspond idéalement à vos désirs sur ImmoScout24 - La plateforme de l'immobilier en Suisse.</t>
  </si>
  <si>
    <t>🏘  Vous cherchez une maison à louer à Sugiez? ✅ Découvrez nos nombreuses annonces sur ImmoScout24.ch.</t>
  </si>
  <si>
    <t>https://www.immoscout24.ch/fr/maison/acheter/lieu-posieux</t>
  </si>
  <si>
    <t>Vendre maison Posieux: Trouvez le bien immobilier qui correspond idéalement à vos désirs sur ImmoScout24 - La plateforme de l'immobilier en Suisse.</t>
  </si>
  <si>
    <t>🏘  Vous souhaitez acheter une maison à Posieux? ✅ Jetez un œil aux dernières offres sur ImmoScout24.ch.</t>
  </si>
  <si>
    <t>https://www.immoscout24.ch/fr/appartement/acheter/lieu-neuchatel</t>
  </si>
  <si>
    <t>Vendre appartement Neuchâtel: Trouvez le bien immobilier qui correspond idéalement à vos désirs sur ImmoScout24 - La plateforme de l'immobilier en Suisse.</t>
  </si>
  <si>
    <t>🏘  L’appartement de vos rêves se trouve sur ImmoScout24.ch ✅ Découvrez les dernières annonces de vente à Neuchâtel.</t>
  </si>
  <si>
    <t>https://www.immoscout24.ch/fr/appartement/acheter/lieu-le-cret-pres-semsales</t>
  </si>
  <si>
    <t>Vendre appartement Le Crêt-près-Semsales: Trouvez le bien immobilier qui correspond idéalement à vos désirs sur ImmoScout24 - La plateforme de l'immobilier en Suisse.</t>
  </si>
  <si>
    <t>🏘  L’appartement de vos rêves se trouve sur ImmoScout24.ch ✅ Découvrez les dernières annonces de vente au Crêt-près-Semsales.</t>
  </si>
  <si>
    <t>https://www.immoscout24.ch/fr/appartement/acheter/lieu-enney</t>
  </si>
  <si>
    <t>Vendre appartement Enney: Trouvez le bien immobilier qui correspond idéalement à vos désirs sur ImmoScout24 - La plateforme de l'immobilier en Suisse.</t>
  </si>
  <si>
    <t>🏘  L’appartement de vos rêves se trouve sur ImmoScout24.ch ✅ Découvrez les dernières annonces de vente à Enney.</t>
  </si>
  <si>
    <t>https://www.immoscout24.ch/fr/maison/acheter/lieu-miex</t>
  </si>
  <si>
    <t>Vendre maison Miex: Trouvez le bien immobilier qui correspond idéalement à vos désirs sur ImmoScout24 - La plateforme de l'immobilier en Suisse.</t>
  </si>
  <si>
    <t>🏘  Vous souhaitez acheter une maison à Miex? ✅ Jetez un œil aux dernières offres sur ImmoScout24.ch.</t>
  </si>
  <si>
    <t>https://www.immoscout24.ch/fr/maison/louer/lieu-echarlens</t>
  </si>
  <si>
    <t>Louer maison Echarlens: Trouvez le bien immobilier qui correspond idéalement à vos désirs sur ImmoScout24 - La plateforme de l'immobilier en Suisse.</t>
  </si>
  <si>
    <t>🏘  Vous cherchez une maison à louer à Echarlens? ✅ Découvrez nos nombreuses annonces sur ImmoScout24.ch.</t>
  </si>
  <si>
    <t>https://www.immoscout24.ch/fr/maison/acheter/lieu-feldbrunnen</t>
  </si>
  <si>
    <t>Vendre maison Feldbrunnen: Trouvez le bien immobilier qui correspond idéalement à vos désirs sur ImmoScout24 - La plateforme de l'immobilier en Suisse.</t>
  </si>
  <si>
    <t>🏘  Vous souhaitez acheter une maison à Feldbrunnen? ✅ Jetez un œil aux dernières offres sur ImmoScout24.ch.</t>
  </si>
  <si>
    <t>https://www.immoscout24.ch/fr/appartement/louer/lieu-engollon</t>
  </si>
  <si>
    <t>Louer appartement Engollon: Trouvez le bien immobilier qui correspond idéalement à vos désirs sur ImmoScout24 - La plateforme de l'immobilier en Suisse.</t>
  </si>
  <si>
    <t>🏘  Vous cherchez un appartement à louer à Engollon? ✅ Les annonces les plus actuelles sont sur ImmoScout24.ch.</t>
  </si>
  <si>
    <t>https://www.immoscout24.ch/fr/maison/acheter/lieu-vufflens-la-ville</t>
  </si>
  <si>
    <t>Vendre maison Vufflens-la-Ville: Trouvez le bien immobilier qui correspond idéalement à vos désirs sur ImmoScout24 - La plateforme de l'immobilier en Suisse.</t>
  </si>
  <si>
    <t>🏘  Vous souhaitez acheter une maison à Vufflens-la-Ville? ✅ Jetez un œil aux dernières offres sur ImmoScout24.ch.</t>
  </si>
  <si>
    <t>https://www.immoscout24.ch/fr/maison/louer/lieu-charrat</t>
  </si>
  <si>
    <t>Louer maison Charrat: Trouvez le bien immobilier qui correspond idéalement à vos désirs sur ImmoScout24 - La plateforme de l'immobilier en Suisse.</t>
  </si>
  <si>
    <t>🏘  Vous cherchez une maison à louer à Charrat? ✅ Découvrez nos nombreuses annonces sur ImmoScout24.ch.</t>
  </si>
  <si>
    <t>https://www.immoscout24.ch/fr/appartement/louer/lieu-berlens</t>
  </si>
  <si>
    <t>Louer appartement Berlens: Trouvez le bien immobilier qui correspond idéalement à vos désirs sur ImmoScout24 - La plateforme de l'immobilier en Suisse.</t>
  </si>
  <si>
    <t>🏘  Vous cherchez un appartement à louer à Berlens? ✅ Les annonces les plus actuelles sont sur ImmoScout24.ch.</t>
  </si>
  <si>
    <t>https://www.immoscout24.ch/fr/appartement/louer/lieu-baech-sz</t>
  </si>
  <si>
    <t>Louer appartement Bäch SZ: Trouvez le bien immobilier qui correspond idéalement à vos désirs sur ImmoScout24 - La plateforme de l'immobilier en Suisse.</t>
  </si>
  <si>
    <t>🏘  Vous cherchez un appartement à louer à Bäch SZ? ✅ Les annonces les plus actuelles sont sur ImmoScout24.ch.</t>
  </si>
  <si>
    <t>https://www.immoscout24.ch/fr/maison/louer/lieu-martherenges</t>
  </si>
  <si>
    <t>Louer maison Martherenges: Trouvez le bien immobilier qui correspond idéalement à vos désirs sur ImmoScout24 - La plateforme de l'immobilier en Suisse.</t>
  </si>
  <si>
    <t>🏘  Vous cherchez une maison à louer à Martherenges? ✅ Découvrez nos nombreuses annonces sur ImmoScout24.ch.</t>
  </si>
  <si>
    <t>https://www.immoscout24.ch/fr/appartement/louer/lieu-st-triphon</t>
  </si>
  <si>
    <t>Louer appartement St-Triphon: Trouvez le bien immobilier qui correspond idéalement à vos désirs sur ImmoScout24 - La plateforme de l'immobilier en Suisse.</t>
  </si>
  <si>
    <t>🏘  Vous cherchez un appartement à louer à St-Triphon? ✅ Les annonces les plus actuelles sont sur ImmoScout24.ch.</t>
  </si>
  <si>
    <t>https://www.immoscout24.ch/fr/appartement/acheter/quartier-bourg-fribourg</t>
  </si>
  <si>
    <t>Vendre appartement Bourg (Fribourg):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</si>
  <si>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du Bourg (Fribourg).</t>
  </si>
  <si>
    <t>https://www.immoscout24.ch/fr/appartement/acheter/lieu-jouxtens-mezery</t>
  </si>
  <si>
    <t>Vendre appartement Jouxtens-Mézery: Trouvez le bien immobilier qui correspond idéalement à vos désirs sur ImmoScout24 - La plateforme de l'immobilier en Suisse.</t>
  </si>
  <si>
    <t>🏘  L’appartement de vos rêves se trouve sur ImmoScout24.ch ✅ Découvrez les dernières annonces de vente à Jouxtens-Mézery.</t>
  </si>
  <si>
    <t>https://www.immoscout24.ch/fr/maison/louer/lieu-pontenet</t>
  </si>
  <si>
    <t>Louer maison Pontenet: Trouvez le bien immobilier qui correspond idéalement à vos désirs sur ImmoScout24 - La plateforme de l'immobilier en Suisse.</t>
  </si>
  <si>
    <t>🏘  Vous cherchez une maison à louer à Pontenet? ✅ Découvrez nos nombreuses annonces sur ImmoScout24.ch.</t>
  </si>
  <si>
    <t>https://www.immoscout24.ch/fr/maison/acheter/lieu-sottens</t>
  </si>
  <si>
    <t>Vendre maison Sottens: Trouvez le bien immobilier qui correspond idéalement à vos désirs sur ImmoScout24 - La plateforme de l'immobilier en Suisse.</t>
  </si>
  <si>
    <t>🏘  Vous souhaitez acheter une maison à Sottens? ✅ Jetez un œil aux dernières offres sur ImmoScout24.ch.</t>
  </si>
  <si>
    <t>https://www.immoscout24.ch/fr/appartement/louer/lieu-botyre-ayent</t>
  </si>
  <si>
    <t>Louer appartement Botyre (Ayent): Trouvez le bien immobilier qui correspond idéalement à vos désirs sur ImmoScout24 - La plateforme de l'immobilier en Suisse.</t>
  </si>
  <si>
    <t>🏘  Vous cherchez un appartement à louer à Botyre (Ayent)? ✅ Les annonces les plus actuelles sont sur ImmoScout24.ch.</t>
  </si>
  <si>
    <t>https://www.immoscout24.ch/fr/maison/louer/lieu-bevaix</t>
  </si>
  <si>
    <t>Louer maison Bevaix: Trouvez le bien immobilier qui correspond idéalement à vos désirs sur ImmoScout24 - La plateforme de l'immobilier en Suisse.</t>
  </si>
  <si>
    <t>🏘  Vous cherchez une maison à louer à Bevaix? ✅ Découvrez nos nombreuses annonces sur ImmoScout24.ch.</t>
  </si>
  <si>
    <t>https://www.immoscout24.ch/fr/appartement/acheter/lieu-echandens</t>
  </si>
  <si>
    <t>Vendre appartement Echandens: Trouvez le bien immobilier qui correspond idéalement à vos désirs sur ImmoScout24 - La plateforme de l'immobilier en Suisse.</t>
  </si>
  <si>
    <t>🏘  L’appartement de vos rêves se trouve sur ImmoScout24.ch ✅ Découvrez les dernières annonces de vente à Echandens.</t>
  </si>
  <si>
    <t>https://www.immoscout24.ch/fr/maison/acheter/lieu-breganzona</t>
  </si>
  <si>
    <t>Vendre maison Breganzona: Trouvez le bien immobilier qui correspond idéalement à vos désirs sur ImmoScout24 - La plateforme de l'immobilier en Suisse.</t>
  </si>
  <si>
    <t>🏘  Vous souhaitez acheter une maison à Breganzona? ✅ Jetez un œil aux dernières offres sur ImmoScout24.ch.</t>
  </si>
  <si>
    <t>https://www.immoscout24.ch/fr/appartement/acheter/lieu-vesenaz</t>
  </si>
  <si>
    <t>Vendre appartement Vésenaz: Trouvez le bien immobilier qui correspond idéalement à vos désirs sur ImmoScout24 - La plateforme de l'immobilier en Suisse.</t>
  </si>
  <si>
    <t>🏘  L’appartement de vos rêves se trouve sur ImmoScout24.ch ✅ Découvrez les dernières annonces de vente à Vésenaz.</t>
  </si>
  <si>
    <t>https://www.immoscout24.ch/fr/maison/louer/lieu-chene-bougeries</t>
  </si>
  <si>
    <t>Louer maison Chêne-Bougeries: Trouvez le bien immobilier qui correspond idéalement à vos désirs sur ImmoScout24 - La plateforme de l'immobilier en Suisse.</t>
  </si>
  <si>
    <t>🏘  Vous cherchez une maison à louer à Chêne-Bougeries? ✅ Découvrez nos nombreuses annonces sur ImmoScout24.ch.</t>
  </si>
  <si>
    <t>https://www.immoscout24.ch/fr/appartement/louer/lieu-rueschlikon</t>
  </si>
  <si>
    <t>Louer appartement Rüschlikon: Trouvez le bien immobilier qui correspond idéalement à vos désirs sur ImmoScout24 - La plateforme de l'immobilier en Suisse.</t>
  </si>
  <si>
    <t>🏘  Vous cherchez un appartement à louer à Rüschlikon? ✅ Les annonces les plus actuelles sont sur ImmoScout24.ch.</t>
  </si>
  <si>
    <t>https://www.immoscout24.ch/fr/appartement/louer/lieu-champzabe</t>
  </si>
  <si>
    <t>Louer appartement Champzabé: Trouvez le bien immobilier qui correspond idéalement à vos désirs sur ImmoScout24 - La plateforme de l'immobilier en Suisse.</t>
  </si>
  <si>
    <t>🏘  Vous cherchez un appartement à louer à Champzabé? ✅ Les annonces les plus actuelles sont sur ImmoScout24.ch.</t>
  </si>
  <si>
    <t>https://www.immoscout24.ch/fr/appartement/louer/lieu-kappel-so</t>
  </si>
  <si>
    <t>Louer appartement Kappel SO: Trouvez le bien immobilier qui correspond idéalement à vos désirs sur ImmoScout24 - La plateforme de l'immobilier en Suisse.</t>
  </si>
  <si>
    <t>🏘  Vous cherchez un appartement à louer à Kappel SO? ✅ Les annonces les plus actuelles sont sur ImmoScout24.ch.</t>
  </si>
  <si>
    <t>https://www.immoscout24.ch/fr/maison/louer/quartier-centre-ville-lausanne</t>
  </si>
  <si>
    <t>Louer maison Centre-Ville (Lausanne): Trouvez le bien immobilier qui correspond idéalement à vos désirs sur ImmoScout24 - La plateforme de l'immobilier en Suisse.</t>
  </si>
  <si>
    <t>🏘  Vous cherchez une maison à louer au Centre-Ville (Lausanne)? ✅ Découvrez nos nombreuses annonces sur ImmoScout24.ch.</t>
  </si>
  <si>
    <t>https://www.immoscout24.ch/fr/maison/acheter/lieu-inden</t>
  </si>
  <si>
    <t>Vendre maison Inden: Trouvez le bien immobilier qui correspond idéalement à vos désirs sur ImmoScout24 - La plateforme de l'immobilier en Suisse.</t>
  </si>
  <si>
    <t>🏘  Vous souhaitez acheter une maison à Inden? ✅ Jetez un œil aux dernières offres sur ImmoScout24.ch.</t>
  </si>
  <si>
    <t>https://www.immoscout24.ch/fr/maison/louer/lieu-haute-nendaz</t>
  </si>
  <si>
    <t>Louer maison Haute-Nendaz: Trouvez le bien immobilier qui correspond idéalement à vos désirs sur ImmoScout24 - La plateforme de l'immobilier en Suisse.</t>
  </si>
  <si>
    <t>🏘  Vous cherchez une maison à louer à Haute-Nendaz? ✅ Découvrez nos nombreuses annonces sur ImmoScout24.ch.</t>
  </si>
  <si>
    <t>https://www.immoscout24.ch/fr/maison/acheter/lieu-dalpe</t>
  </si>
  <si>
    <t>Vendre maison Dalpe: Trouvez le bien immobilier qui correspond idéalement à vos désirs sur ImmoScout24 - La plateforme de l'immobilier en Suisse.</t>
  </si>
  <si>
    <t>🏘  Vous souhaitez acheter une maison à Dalpe? ✅ Jetez un œil aux dernières offres sur ImmoScout24.ch.</t>
  </si>
  <si>
    <t>https://www.immoscout24.ch/fr/appartement/louer/lieu-grindelwald</t>
  </si>
  <si>
    <t>Louer appartement Grindelwald: Trouvez le bien immobilier qui correspond idéalement à vos désirs sur ImmoScout24 - La plateforme de l'immobilier en Suisse.</t>
  </si>
  <si>
    <t>🏘  Vous cherchez un appartement à louer à Grindelwald? ✅ Les annonces les plus actuelles sont sur ImmoScout24.ch.</t>
  </si>
  <si>
    <t>https://www.immoscout24.ch/fr/appartement/louer/lieu-trey</t>
  </si>
  <si>
    <t>Louer appartement Trey: Trouvez le bien immobilier qui correspond idéalement à vos désirs sur ImmoScout24 - La plateforme de l'immobilier en Suisse.</t>
  </si>
  <si>
    <t>🏘  Vous cherchez un appartement à louer à Trey? ✅ Les annonces les plus actuelles sont sur ImmoScout24.ch.</t>
  </si>
  <si>
    <t>https://www.immoscout24.ch/fr/appartement/louer/lieu-daeniken-so</t>
  </si>
  <si>
    <t>Louer appartement Däniken SO: Trouvez le bien immobilier qui correspond idéalement à vos désirs sur ImmoScout24 - La plateforme de l'immobilier en Suisse.</t>
  </si>
  <si>
    <t>🏘  Vous cherchez un appartement à louer à Däniken SO? ✅ Les annonces les plus actuelles sont sur ImmoScout24.ch.</t>
  </si>
  <si>
    <t>https://www.immoscout24.ch/fr/appartement/louer/lieu-courtemautruy</t>
  </si>
  <si>
    <t>Louer appartement Courtemautruy: Trouvez le bien immobilier qui correspond idéalement à vos désirs sur ImmoScout24 - La plateforme de l'immobilier en Suisse.</t>
  </si>
  <si>
    <t>🏘  Vous cherchez un appartement à louer à Courtemautruy? ✅ Les annonces les plus actuelles sont sur ImmoScout24.ch.</t>
  </si>
  <si>
    <t>https://www.immoscout24.ch/fr/maison/louer/lieu-bavois</t>
  </si>
  <si>
    <t>Louer maison Bavois: Trouvez le bien immobilier qui correspond idéalement à vos désirs sur ImmoScout24 - La plateforme de l'immobilier en Suisse.</t>
  </si>
  <si>
    <t>🏘  Vous cherchez une maison à louer à Bavois? ✅ Découvrez nos nombreuses annonces sur ImmoScout24.ch.</t>
  </si>
  <si>
    <t>https://www.immoscout24.ch/fr/maison/acheter/lieu-molondin</t>
  </si>
  <si>
    <t>Vendre maison Molondin: Trouvez le bien immobilier qui correspond idéalement à vos désirs sur ImmoScout24 - La plateforme de l'immobilier en Suisse.</t>
  </si>
  <si>
    <t>🏘  Vous souhaitez acheter une maison à Molondin? ✅ Jetez un œil aux dernières offres sur ImmoScout24.ch.</t>
  </si>
  <si>
    <t>https://www.immoscout24.ch/fr/appartement/acheter/lieu-bassersdorf</t>
  </si>
  <si>
    <t>Vendre appartement Bassersdorf: Trouvez le bien immobilier qui correspond idéalement à vos désirs sur ImmoScout24 - La plateforme de l'immobilier en Suisse.</t>
  </si>
  <si>
    <t>🏘  L’appartement de vos rêves se trouve sur ImmoScout24.ch ✅ Découvrez les dernières annonces de vente à Bassersdorf.</t>
  </si>
  <si>
    <t>https://www.immoscout24.ch/fr/maison/acheter/lieu-le-pont</t>
  </si>
  <si>
    <t>Vendre maison Le Pont: Trouvez le bien immobilier qui correspond idéalement à vos désirs sur ImmoScout24 - La plateforme de l'immobilier en Suisse.</t>
  </si>
  <si>
    <t>🏘  Vous souhaitez acheter une maison au Pont? ✅ Jetez un œil aux dernières offres sur ImmoScout24.ch.</t>
  </si>
  <si>
    <t>https://www.immoscout24.ch/fr/maison/acheter/quartier-florissant-malagnou-geneve</t>
  </si>
  <si>
    <t>Vendre maison Florissant - Malagnou (Genève): Trouvez le bien immobilier qui correspond idéalement à vos désirs sur ImmoScout24 - La plateforme de l'immobilier en Suisse.</t>
  </si>
  <si>
    <t>🏘  Vous souhaitez acheter une maison dans le quartier de Florissant - Malagnou (Genève)? ✅ Jetez un œil aux dernières offres sur ImmoScout24.ch.</t>
  </si>
  <si>
    <t>https://www.immoscout24.ch/fr/maison/louer/lieu-preles</t>
  </si>
  <si>
    <t>Louer maison Prêles: Trouvez le bien immobilier qui correspond idéalement à vos désirs sur ImmoScout24 - La plateforme de l'immobilier en Suisse.</t>
  </si>
  <si>
    <t>🏘  Vous cherchez une maison à louer à Prêles? ✅ Découvrez nos nombreuses annonces sur ImmoScout24.ch.</t>
  </si>
  <si>
    <t>https://www.immoscout24.ch/fr/maison/acheter/lieu-obergerlafingen</t>
  </si>
  <si>
    <t>Vendre maison Obergerlafingen: Trouvez le bien immobilier qui correspond idéalement à vos désirs sur ImmoScout24 - La plateforme de l'immobilier en Suisse.</t>
  </si>
  <si>
    <t>🏘  Vous souhaitez acheter une maison à Obergerlafingen? ✅ Jetez un œil aux dernières offres sur ImmoScout24.ch.</t>
  </si>
  <si>
    <t>https://www.immoscout24.ch/fr/appartement/louer/canton-jura</t>
  </si>
  <si>
    <t>Louer appartement Canton du Jura: Trouvez le bien immobilier qui correspond idéalement à vos désirs sur ImmoScout24 - La plateforme de l'immobilier en Suisse.</t>
  </si>
  <si>
    <t>🏘  Vous cherchez un appartement à louer dans le Canton du Jura? ✅ Les annonces les plus actuelles sont sur ImmoScout24.ch.</t>
  </si>
  <si>
    <t>https://www.immoscout24.ch/fr/appartement/louer/lieu-glattfelden</t>
  </si>
  <si>
    <t>Louer appartement Glattfelden: Trouvez le bien immobilier qui correspond idéalement à vos désirs sur ImmoScout24 - La plateforme de l'immobilier en Suisse.</t>
  </si>
  <si>
    <t>🏘  Vous cherchez un appartement à louer à Glattfelden? ✅ Les annonces les plus actuelles sont sur ImmoScout24.ch.</t>
  </si>
  <si>
    <t>https://www.immoscout24.ch/fr/appartement/louer/lieu-corcelles-pres-payerne</t>
  </si>
  <si>
    <t>Louer appartement Corcelles-près-Payerne: Trouvez le bien immobilier qui correspond idéalement à vos désirs sur ImmoScout24 - La plateforme de l'immobilier en Suisse.</t>
  </si>
  <si>
    <t>🏘  Vous cherchez un appartement à louer à Corcelles-près-Payerne? ✅ Les annonces les plus actuelles sont sur ImmoScout24.ch.</t>
  </si>
  <si>
    <t>https://www.immoscout24.ch/fr/maison/louer/lieu-leytron</t>
  </si>
  <si>
    <t>Louer maison Leytron: Trouvez le bien immobilier qui correspond idéalement à vos désirs sur ImmoScout24 - La plateforme de l'immobilier en Suisse.</t>
  </si>
  <si>
    <t>🏘  Vous cherchez une maison à louer auytron? ✅ Découvrez nos nombreuses annonces sur ImmoScout24.ch.</t>
  </si>
  <si>
    <t>https://www.immoscout24.ch/fr/appartement/louer/lieu-venthone</t>
  </si>
  <si>
    <t>Louer appartement Venthône: Trouvez le bien immobilier qui correspond idéalement à vos désirs sur ImmoScout24 - La plateforme de l'immobilier en Suisse.</t>
  </si>
  <si>
    <t>🏘  Vous cherchez un appartement à louer à Venthône? ✅ Les annonces les plus actuelles sont sur ImmoScout24.ch.</t>
  </si>
  <si>
    <t>https://www.immoscout24.ch/fr/appartement/acheter/lieu-st-stephan</t>
  </si>
  <si>
    <t>Vendre appartement St. Stephan: Trouvez le bien immobilier qui correspond idéalement à vos désirs sur ImmoScout24 - La plateforme de l'immobilier en Suisse.</t>
  </si>
  <si>
    <t>🏘  L’appartement de vos rêves se trouve sur ImmoScout24.ch ✅ Découvrez les dernières annonces de vente à St. Stephan.</t>
  </si>
  <si>
    <t>https://www.immoscout24.ch/fr/appartement/louer/lieu-renan-be</t>
  </si>
  <si>
    <t>Louer appartement Renan BE: Trouvez le bien immobilier qui correspond idéalement à vos désirs sur ImmoScout24 - La plateforme de l'immobilier en Suisse.</t>
  </si>
  <si>
    <t>🏘  Vous cherchez un appartement à louer à Renan BE? ✅ Les annonces les plus actuelles sont sur ImmoScout24.ch.</t>
  </si>
  <si>
    <t>https://www.immoscout24.ch/fr/maison/acheter/lieu-plaffeien</t>
  </si>
  <si>
    <t>Vendre maison Plaffeien: Trouvez le bien immobilier qui correspond idéalement à vos désirs sur ImmoScout24 - La plateforme de l'immobilier en Suisse.</t>
  </si>
  <si>
    <t>🏘  Vous souhaitez acheter une maison à Plaffeien? ✅ Jetez un œil aux dernières offres sur ImmoScout24.ch.</t>
  </si>
  <si>
    <t>https://www.immoscout24.ch/fr/appartement/louer/lieu-liddes</t>
  </si>
  <si>
    <t>Louer appartement Liddes: Trouvez le bien immobilier qui correspond idéalement à vos désirs sur ImmoScout24 - La plateforme de l'immobilier en Suisse.</t>
  </si>
  <si>
    <t>🏘  Vous cherchez un appartement à louer à Liddes? ✅ Les annonces les plus actuelles sont sur ImmoScout24.ch.</t>
  </si>
  <si>
    <t>https://www.immoscout24.ch/fr/maison/acheter/lieu-villars-bozon</t>
  </si>
  <si>
    <t>Vendre maison Villars-Bozon: Trouvez le bien immobilier qui correspond idéalement à vos désirs sur ImmoScout24 - La plateforme de l'immobilier en Suisse.</t>
  </si>
  <si>
    <t>🏘  Vous souhaitez acheter une maison à Villars-Bozon? ✅ Jetez un œil aux dernières offres sur ImmoScout24.ch.</t>
  </si>
  <si>
    <t>https://www.immoscout24.ch/fr/maison/acheter/lieu-epiquerez</t>
  </si>
  <si>
    <t>Vendre maison Epiquerez: Trouvez le bien immobilier qui correspond idéalement à vos désirs sur ImmoScout24 - La plateforme de l'immobilier en Suisse.</t>
  </si>
  <si>
    <t>🏘  Vous souhaitez acheter une maison à Epiquerez? ✅ Jetez un œil aux dernières offres sur ImmoScout24.ch.</t>
  </si>
  <si>
    <t>https://www.immoscout24.ch/fr/appartement/acheter/lieu-fully</t>
  </si>
  <si>
    <t>Vendre appartement Fully: Trouvez le bien immobilier qui correspond idéalement à vos désirs sur ImmoScout24 - La plateforme de l'immobilier en Suisse.</t>
  </si>
  <si>
    <t>🏘  L’appartement de vos rêves se trouve sur ImmoScout24.ch ✅ Découvrez les dernières annonces de vente à Fully.</t>
  </si>
  <si>
    <t>https://www.immoscout24.ch/fr/appartement/louer/lieu-vellerat</t>
  </si>
  <si>
    <t>Louer appartement Vellerat: Trouvez le bien immobilier qui correspond idéalement à vos désirs sur ImmoScout24 - La plateforme de l'immobilier en Suisse.</t>
  </si>
  <si>
    <t>🏘  Vous cherchez un appartement à louer à Vellerat? ✅ Les annonces les plus actuelles sont sur ImmoScout24.ch.</t>
  </si>
  <si>
    <t>https://www.immoscout24.ch/fr/appartement/acheter/pays-tunisie</t>
  </si>
  <si>
    <t>Vendre appartement Tunisie: Trouvez le bien immobilier qui correspond idéalement à vos désirs sur ImmoScout24 - La plateforme de l'immobilier en Suisse.</t>
  </si>
  <si>
    <t>🏘  Vous cherchez un appartement à louer en Tunisie? ✅ Les annonces les plus actuelles sont sur ImmoScout24.ch.</t>
  </si>
  <si>
    <t>https://www.immoscout24.ch/fr/appartement/acheter/lieu-vaduz</t>
  </si>
  <si>
    <t>Vendre appartement Vaduz: Trouvez le bien immobilier qui correspond idéalement à vos désirs sur ImmoScout24 - La plateforme de l'immobilier en Suisse.</t>
  </si>
  <si>
    <t>🏘  L’appartement de vos rêves se trouve sur ImmoScout24.ch ✅ Découvrez les dernières annonces de vente à Vaduz.</t>
  </si>
  <si>
    <t>https://www.immoscout24.ch/fr/maison/louer/lieu-oberried-fr</t>
  </si>
  <si>
    <t>Louer maison Oberried FR: Trouvez le bien immobilier qui correspond idéalement à vos désirs sur ImmoScout24 - La plateforme de l'immobilier en Suisse.</t>
  </si>
  <si>
    <t>🏘  Vous cherchez une maison à louer à Oberried FR? ✅ Découvrez nos nombreuses annonces sur ImmoScout24.ch.</t>
  </si>
  <si>
    <t>https://www.immoscout24.ch/fr/appartement/acheter/lieu-altdorf-ur</t>
  </si>
  <si>
    <t>Vendre appartement Altdorf UR: Trouvez le bien immobilier qui correspond idéalement à vos désirs sur ImmoScout24 - La plateforme de l'immobilier en Suisse.</t>
  </si>
  <si>
    <t>🏘  L’appartement de vos rêves se trouve sur ImmoScout24.ch ✅ Découvrez les dernières annonces de vente à Altdorf UR.</t>
  </si>
  <si>
    <t>https://www.immoscout24.ch/fr/appartement/louer/lieu-vernamiege</t>
  </si>
  <si>
    <t>Louer appartement Vernamiège: Trouvez le bien immobilier qui correspond idéalement à vos désirs sur ImmoScout24 - La plateforme de l'immobilier en Suisse.</t>
  </si>
  <si>
    <t>🏘  Vous cherchez un appartement à louer à Vernamiège? ✅ Les annonces les plus actuelles sont sur ImmoScout24.ch.</t>
  </si>
  <si>
    <t>https://www.immoscout24.ch/fr/maison/louer/lieu-brig</t>
  </si>
  <si>
    <t>Louer maison Brig: Trouvez le bien immobilier qui correspond idéalement à vos désirs sur ImmoScout24 - La plateforme de l'immobilier en Suisse.</t>
  </si>
  <si>
    <t>🏘  Vous cherchez une maison à louer à Brig? ✅ Découvrez nos nombreuses annonces sur ImmoScout24.ch.</t>
  </si>
  <si>
    <t>https://www.immoscout24.ch/fr/appartement/louer/lieu-rothenburg</t>
  </si>
  <si>
    <t>Louer appartement Rothenburg: Trouvez le bien immobilier qui correspond idéalement à vos désirs sur ImmoScout24 - La plateforme de l'immobilier en Suisse.</t>
  </si>
  <si>
    <t>🏘  Vous cherchez un appartement à louer à Rothenburg? ✅ Les annonces les plus actuelles sont sur ImmoScout24.ch.</t>
  </si>
  <si>
    <t>https://www.immoscout24.ch/fr/appartement/acheter/lieu-ulrichen</t>
  </si>
  <si>
    <t>Vendre appartement Ulrichen: Trouvez le bien immobilier qui correspond idéalement à vos désirs sur ImmoScout24 - La plateforme de l'immobilier en Suisse.</t>
  </si>
  <si>
    <t>🏘  L’appartement de vos rêves se trouve sur ImmoScout24.ch ✅ Découvrez les dernières annonces de vente à Ulrichen.</t>
  </si>
  <si>
    <t>https://www.immoscout24.ch/fr/appartement/louer/pays-liechtenstein</t>
  </si>
  <si>
    <t>Louer appartement Liechtenstein: Trouvez le bien immobilier qui correspond idéalement à vos désirs sur ImmoScout24 - La plateforme de l'immobilier en Suisse.</t>
  </si>
  <si>
    <t>https://www.immoscout24.ch/fr/maison/acheter/quartier-pregassona-lugano</t>
  </si>
  <si>
    <t>Vendre maison Pregassona (Lugano): Trouvez le bien immobilier qui correspond idéalement à vos désirs sur ImmoScout24 - La plateforme de l'immobilier en Suisse.</t>
  </si>
  <si>
    <t>🏘  Vous souhaitez acheter une maison dans le quartier de Pregassona (Lugano)? ✅ Jetez un œil aux dernières offres sur ImmoScout24.ch.</t>
  </si>
  <si>
    <t>https://www.immoscout24.ch/fr/appartement/acheter/pays-roumanie</t>
  </si>
  <si>
    <t>Vendre appartement Roumanie: Trouvez le bien immobilier qui correspond idéalement à vos désirs sur ImmoScout24 - La plateforme de l'immobilier en Suisse.</t>
  </si>
  <si>
    <t>🏘  Vous cherchez un appartement à louer en Roumanie? ✅ Les annonces les plus actuelles sont sur ImmoScout24.ch.</t>
  </si>
  <si>
    <t>https://www.immoscout24.ch/fr/appartement/louer/lieu-vezia</t>
  </si>
  <si>
    <t>Louer appartement Vezia: Trouvez le bien immobilier qui correspond idéalement à vos désirs sur ImmoScout24 - La plateforme de l'immobilier en Suisse.</t>
  </si>
  <si>
    <t>🏘  Vous cherchez un appartement à louer à Vezia? ✅ Les annonces les plus actuelles sont sur ImmoScout24.ch.</t>
  </si>
  <si>
    <t>https://www.immoscout24.ch/fr/appartement/louer/lieu-genolier</t>
  </si>
  <si>
    <t>Louer appartement Genolier: Trouvez le bien immobilier qui correspond idéalement à vos désirs sur ImmoScout24 - La plateforme de l'immobilier en Suisse.</t>
  </si>
  <si>
    <t>🏘  Vous cherchez un appartement à louer à Genolier? ✅ Les annonces les plus actuelles sont sur ImmoScout24.ch.</t>
  </si>
  <si>
    <t>https://www.immoscout24.ch/fr/maison/acheter/lieu-choulex</t>
  </si>
  <si>
    <t>Vendre maison Choulex: Trouvez le bien immobilier qui correspond idéalement à vos désirs sur ImmoScout24 - La plateforme de l'immobilier en Suisse.</t>
  </si>
  <si>
    <t>🏘  Vous souhaitez acheter une maison à Choulex? ✅ Jetez un œil aux dernières offres sur ImmoScout24.ch.</t>
  </si>
  <si>
    <t>https://www.immoscout24.ch/fr/appartement/louer/lieu-duebendorf</t>
  </si>
  <si>
    <t>Louer appartement Dübendorf: Trouvez le bien immobilier qui correspond idéalement à vos désirs sur ImmoScout24 - La plateforme de l'immobilier en Suisse.</t>
  </si>
  <si>
    <t>🏘  Vous cherchez un appartement à louer à Dübendorf? ✅ Les annonces les plus actuelles sont sur ImmoScout24.ch.</t>
  </si>
  <si>
    <t>https://www.immoscout24.ch/fr/appartement/louer/quartier-abeilles-numa-droz-la-chaux-de-fonds</t>
  </si>
  <si>
    <t>Louer appartement Abeilles-Numa Droz (La Chaux-de-Fonds): Trouvez le bien immobilier qui correspond idéalement à vos désirs sur ImmoScout24 - La plateforme de l'immobilier en Suisse.</t>
  </si>
  <si>
    <t>🏘  Vous cherchez un appartement à louer dans le quartier des Abeilles-Numa Droz (La Chaux-de-Fonds)? ✅ Les annonces les plus actuelles sont sur ImmoScout24.ch.</t>
  </si>
  <si>
    <t>https://www.immoscout24.ch/fr/maison/acheter/lieu-oberwil-bl</t>
  </si>
  <si>
    <t>Vendre maison Oberwil BL: Trouvez le bien immobilier qui correspond idéalement à vos désirs sur ImmoScout24 - La plateforme de l'immobilier en Suisse.</t>
  </si>
  <si>
    <t>🏘  Vous souhaitez acheter une maison à Oberwil BL? ✅ Jetez un œil aux dernières offres sur ImmoScout24.ch.</t>
  </si>
  <si>
    <t>https://www.immoscout24.ch/fr/appartement/acheter/lieu-goldach</t>
  </si>
  <si>
    <t>Vendre appartement Goldach: Trouvez le bien immobilier qui correspond idéalement à vos désirs sur ImmoScout24 - La plateforme de l'immobilier en Suisse.</t>
  </si>
  <si>
    <t>🏘  L’appartement de vos rêves se trouve sur ImmoScout24.ch ✅ Découvrez les dernières annonces de vente à Goldach.</t>
  </si>
  <si>
    <t>https://www.immoscout24.ch/fr/maison/acheter/lieu-motiers-ne</t>
  </si>
  <si>
    <t>Vendre maison Môtiers NE: Trouvez le bien immobilier qui correspond idéalement à vos désirs sur ImmoScout24 - La plateforme de l'immobilier en Suisse.</t>
  </si>
  <si>
    <t>🏘  Vous souhaitez acheter une maison à Môtiers NE? ✅ Jetez un œil aux dernières offres sur ImmoScout24.ch.</t>
  </si>
  <si>
    <t>https://www.immoscout24.ch/fr/appartement/louer/lieu-lossy</t>
  </si>
  <si>
    <t>Louer appartement Lossy: Trouvez le bien immobilier qui correspond idéalement à vos désirs sur ImmoScout24 - La plateforme de l'immobilier en Suisse.</t>
  </si>
  <si>
    <t>🏘  Vous cherchez un appartement à louer à Lossy? ✅ Les annonces les plus actuelles sont sur ImmoScout24.ch.</t>
  </si>
  <si>
    <t>https://www.immoscout24.ch/fr/appartement/acheter/lieu-courtepin</t>
  </si>
  <si>
    <t>Vendre appartement Courtepin: Trouvez le bien immobilier qui correspond idéalement à vos désirs sur ImmoScout24 - La plateforme de l'immobilier en Suisse.</t>
  </si>
  <si>
    <t>🏘  L’appartement de vos rêves se trouve sur ImmoScout24.ch ✅ Découvrez les dernières annonces de vente à Courtepin.</t>
  </si>
  <si>
    <t>https://www.immoscout24.ch/fr/maison/acheter/lieu-mollens-vd</t>
  </si>
  <si>
    <t>Vendre maison Mollens VD: Trouvez le bien immobilier qui correspond idéalement à vos désirs sur ImmoScout24 - La plateforme de l'immobilier en Suisse.</t>
  </si>
  <si>
    <t>🏘  Vous souhaitez acheter une maison à Mollens VD? ✅ Jetez un œil aux dernières offres sur ImmoScout24.ch.</t>
  </si>
  <si>
    <t>https://www.immoscout24.ch/fr/appartement/louer/lieu-obernau</t>
  </si>
  <si>
    <t>Louer appartement Obernau: Trouvez le bien immobilier qui correspond idéalement à vos désirs sur ImmoScout24 - La plateforme de l'immobilier en Suisse.</t>
  </si>
  <si>
    <t>🏘  Vous cherchez un appartement à louer à Obernau? ✅ Les annonces les plus actuelles sont sur ImmoScout24.ch.</t>
  </si>
  <si>
    <t>https://www.immoscout24.ch/fr/appartement/louer/lieu-meyriez</t>
  </si>
  <si>
    <t>Louer appartement Meyriez: Trouvez le bien immobilier qui correspond idéalement à vos désirs sur ImmoScout24 - La plateforme de l'immobilier en Suisse.</t>
  </si>
  <si>
    <t>🏘  Vous cherchez un appartement à louer à Meyriez? ✅ Les annonces les plus actuelles sont sur ImmoScout24.ch.</t>
  </si>
  <si>
    <t>https://www.immoscout24.ch/fr/appartement/acheter/lieu-farvagny-le-petit</t>
  </si>
  <si>
    <t>Vendre appartement Farvagny-le-Petit: Trouvez le bien immobilier qui correspond idéalement à vos désirs sur ImmoScout24 - La plateforme de l'immobilier en Suisse.</t>
  </si>
  <si>
    <t>🏘  L’appartement de vos rêves se trouve sur ImmoScout24.ch ✅ Découvrez les dernières annonces de vente à Farvagny-le-Petit.</t>
  </si>
  <si>
    <t>https://www.immoscout24.ch/fr/maison/acheter/lieu-roches-be</t>
  </si>
  <si>
    <t>Vendre maison Roches BE: Trouvez le bien immobilier qui correspond idéalement à vos désirs sur ImmoScout24 - La plateforme de l'immobilier en Suisse.</t>
  </si>
  <si>
    <t>🏘  Vous souhaitez acheter une maison à Roches BE? ✅ Jetez un œil aux dernières offres sur ImmoScout24.ch.</t>
  </si>
  <si>
    <t>https://www.immoscout24.ch/fr/maison/acheter/lieu-venthone</t>
  </si>
  <si>
    <t>Vendre maison Venthône: Trouvez le bien immobilier qui correspond idéalement à vos désirs sur ImmoScout24 - La plateforme de l'immobilier en Suisse.</t>
  </si>
  <si>
    <t>🏘  Vous souhaitez acheter une maison à Venthône? ✅ Jetez un œil aux dernières offres sur ImmoScout24.ch.</t>
  </si>
  <si>
    <t>https://www.immoscout24.ch/fr/appartement/louer/lieu-fontenais</t>
  </si>
  <si>
    <t>Louer appartement Fontenais: Trouvez le bien immobilier qui correspond idéalement à vos désirs sur ImmoScout24 - La plateforme de l'immobilier en Suisse.</t>
  </si>
  <si>
    <t>🏘  Vous cherchez un appartement à louer à Fontenais? ✅ Les annonces les plus actuelles sont sur ImmoScout24.ch.</t>
  </si>
  <si>
    <t>https://www.immoscout24.ch/fr/maison/acheter/lieu-st-silvester</t>
  </si>
  <si>
    <t>Vendre maison St. Silvester: Trouvez le bien immobilier qui correspond idéalement à vos désirs sur ImmoScout24 - La plateforme de l'immobilier en Suisse.</t>
  </si>
  <si>
    <t>🏘  Vous souhaitez acheter une maison à St. Silvester? ✅ Jetez un œil aux dernières offres sur ImmoScout24.ch.</t>
  </si>
  <si>
    <t>https://www.immoscout24.ch/fr/appartement/louer/canton-schwyz</t>
  </si>
  <si>
    <t>Louer appartement Canton de Schwyz: Trouvez le bien immobilier qui correspond idéalement à vos désirs sur ImmoScout24 - La plateforme de l'immobilier en Suisse.</t>
  </si>
  <si>
    <t>🏘  Vous cherchez un appartement à louer dans le Canton de Schwyz? ✅ Les annonces les plus actuelles sont sur ImmoScout24.ch.</t>
  </si>
  <si>
    <t>https://www.immoscout24.ch/fr/maison/louer/lieu-horn</t>
  </si>
  <si>
    <t>Louer maison Horn: Trouvez le bien immobilier qui correspond idéalement à vos désirs sur ImmoScout24 - La plateforme de l'immobilier en Suisse.</t>
  </si>
  <si>
    <t>🏘  Vous cherchez une maison à louer à Horn? ✅ Découvrez nos nombreuses annonces sur ImmoScout24.ch.</t>
  </si>
  <si>
    <t>https://www.immoscout24.ch/fr/appartement/louer/lieu-granges-vs</t>
  </si>
  <si>
    <t>Louer appartement Granges VS: Trouvez le bien immobilier qui correspond idéalement à vos désirs sur ImmoScout24 - La plateforme de l'immobilier en Suisse.</t>
  </si>
  <si>
    <t>🏘  Vous cherchez un appartement à louer à Granges VS? ✅ Les annonces les plus actuelles sont sur ImmoScout24.ch.</t>
  </si>
  <si>
    <t>https://www.immoscout24.ch/fr/maison/acheter/lieu-thayngen</t>
  </si>
  <si>
    <t>Vendre maison Thayngen: Trouvez le bien immobilier qui correspond idéalement à vos désirs sur ImmoScout24 - La plateforme de l'immobilier en Suisse.</t>
  </si>
  <si>
    <t>🏘  Vous souhaitez acheter une maison à Thayngen? ✅ Jetez un œil aux dernières offres sur ImmoScout24.ch.</t>
  </si>
  <si>
    <t>https://www.immoscout24.ch/fr/appartement/louer/lieu-malans-gr</t>
  </si>
  <si>
    <t>Louer appartement Malans GR: Trouvez le bien immobilier qui correspond idéalement à vos désirs sur ImmoScout24 - La plateforme de l'immobilier en Suisse.</t>
  </si>
  <si>
    <t>🏘  Vous cherchez un appartement à louer à Malans GR? ✅ Les annonces les plus actuelles sont sur ImmoScout24.ch.</t>
  </si>
  <si>
    <t>https://www.immoscout24.ch/fr/maison/acheter/lieu-oron-la-ville</t>
  </si>
  <si>
    <t>Vendre maison Oron-la-Ville: Trouvez le bien immobilier qui correspond idéalement à vos désirs sur ImmoScout24 - La plateforme de l'immobilier en Suisse.</t>
  </si>
  <si>
    <t>🏘  Vous souhaitez acheter une maison à Oron-la-Ville? ✅ Jetez un œil aux dernières offres sur ImmoScout24.ch.</t>
  </si>
  <si>
    <t>https://www.immoscout24.ch/fr/appartement/acheter/lieu-st-maurice</t>
  </si>
  <si>
    <t>Vendre appartement St-Maurice: Trouvez le bien immobilier qui correspond idéalement à vos désirs sur ImmoScout24 - La plateforme de l'immobilier en Suisse.</t>
  </si>
  <si>
    <t>🏘  L’appartement de vos rêves se trouve sur ImmoScout24.ch ✅ Découvrez les dernières annonces de vente à St-Maurice.</t>
  </si>
  <si>
    <t>https://www.immoscout24.ch/fr/maison/acheter/lieu-le-tretien</t>
  </si>
  <si>
    <t>Vendre maison Le Trétien: Trouvez le bien immobilier qui correspond idéalement à vos désirs sur ImmoScout24 - La plateforme de l'immobilier en Suisse.</t>
  </si>
  <si>
    <t>🏘  Vous souhaitez acheter une maison au Trétien? ✅ Jetez un œil aux dernières offres sur ImmoScout24.ch.</t>
  </si>
  <si>
    <t>https://www.immoscout24.ch/fr/maison/acheter/lieu-echichens</t>
  </si>
  <si>
    <t>Vendre maison Echichens: Trouvez le bien immobilier qui correspond idéalement à vos désirs sur ImmoScout24 - La plateforme de l'immobilier en Suisse.</t>
  </si>
  <si>
    <t>🏘  Vous souhaitez acheter une maison à Echichens? ✅ Jetez un œil aux dernières offres sur ImmoScout24.ch.</t>
  </si>
  <si>
    <t>https://www.immoscout24.ch/fr/maison/acheter/lieu-saillon</t>
  </si>
  <si>
    <t>Vendre maison Saillon: Trouvez le bien immobilier qui correspond idéalement à vos désirs sur ImmoScout24 - La plateforme de l'immobilier en Suisse.</t>
  </si>
  <si>
    <t>🏘  Vous souhaitez acheter une maison à Saillon? ✅ Jetez un œil aux dernières offres sur ImmoScout24.ch.</t>
  </si>
  <si>
    <t>https://www.immoscout24.ch/fr/maison/acheter/lieu-les-posses-sur-bex</t>
  </si>
  <si>
    <t>Vendre maison Les Posses-sur-Bex: Trouvez le bien immobilier qui correspond idéalement à vos désirs sur ImmoScout24 - La plateforme de l'immobilier en Suisse.</t>
  </si>
  <si>
    <t>🏘  Vous souhaitez acheter une maison aux Posses-sur-Bex? ✅ Jetez un œil aux dernières offres sur ImmoScout24.ch.</t>
  </si>
  <si>
    <t>https://www.immoscout24.ch/fr/appartement/acheter/lieu-riggisberg</t>
  </si>
  <si>
    <t>Vendre appartement Riggisberg: Trouvez le bien immobilier qui correspond idéalement à vos désirs sur ImmoScout24 - La plateforme de l'immobilier en Suisse.</t>
  </si>
  <si>
    <t>🏘  L’appartement de vos rêves se trouve sur ImmoScout24.ch ✅ Découvrez les dernières annonces de vente à Riggisberg.</t>
  </si>
  <si>
    <t>https://www.immoscout24.ch/fr/appartement/louer/lieu-chesalles-sur-oron</t>
  </si>
  <si>
    <t>Louer appartement Chesalles-sur-Oron: Trouvez le bien immobilier qui correspond idéalement à vos désirs sur ImmoScout24 - La plateforme de l'immobilier en Suisse.</t>
  </si>
  <si>
    <t>🏘  Vous cherchez un appartement à louer à Chesalles-sur-Oron? ✅ Les annonces les plus actuelles sont sur ImmoScout24.ch.</t>
  </si>
  <si>
    <t>https://www.immoscout24.ch/fr/maison/acheter/lieu-mont-soleil</t>
  </si>
  <si>
    <t>Vendre maison Mont-Soleil: Trouvez le bien immobilier qui correspond idéalement à vos désirs sur ImmoScout24 - La plateforme de l'immobilier en Suisse.</t>
  </si>
  <si>
    <t>🏘  Vous souhaitez acheter une maison à Mont-Soleil? ✅ Jetez un œil aux dernières offres sur ImmoScout24.ch.</t>
  </si>
  <si>
    <t>https://www.immoscout24.ch/fr/maison/acheter/lieu-senarclens</t>
  </si>
  <si>
    <t>Vendre maison Senarclens: Trouvez le bien immobilier qui correspond idéalement à vos désirs sur ImmoScout24 - La plateforme de l'immobilier en Suisse.</t>
  </si>
  <si>
    <t>🏘  Vous souhaitez acheter une maison à Senarclens? ✅ Jetez un œil aux dernières offres sur ImmoScout24.ch.</t>
  </si>
  <si>
    <t>https://www.immoscout24.ch/fr/maison/acheter/lieu-wetzikon-zh</t>
  </si>
  <si>
    <t>Vendre maison Wetzikon ZH: Trouvez le bien immobilier qui correspond idéalement à vos désirs sur ImmoScout24 - La plateforme de l'immobilier en Suisse.</t>
  </si>
  <si>
    <t>🏘  Vous souhaitez acheter une maison à Wetzikon ZH? ✅ Jetez un œil aux dernières offres sur ImmoScout24.ch.</t>
  </si>
  <si>
    <t>https://www.immoscout24.ch/fr/maison/acheter/lieu-meiringen</t>
  </si>
  <si>
    <t>Vendre maison Meiringen: Trouvez le bien immobilier qui correspond idéalement à vos désirs sur ImmoScout24 - La plateforme de l'immobilier en Suisse.</t>
  </si>
  <si>
    <t>🏘  Vous souhaitez acheter une maison à Meiringen? ✅ Jetez un œil aux dernières offres sur ImmoScout24.ch.</t>
  </si>
  <si>
    <t>https://www.immoscout24.ch/fr/maison/acheter/lieu-soglio</t>
  </si>
  <si>
    <t>Vendre maison Soglio: Trouvez le bien immobilier qui correspond idéalement à vos désirs sur ImmoScout24 - La plateforme de l'immobilier en Suisse.</t>
  </si>
  <si>
    <t>🏘  Vous souhaitez acheter une maison à Soglio? ✅ Jetez un œil aux dernières offres sur ImmoScout24.ch.</t>
  </si>
  <si>
    <t>https://www.immoscout24.ch/fr/appartement/louer/lieu-schwarzsee</t>
  </si>
  <si>
    <t>Louer appartement Schwarzsee: Trouvez le bien immobilier qui correspond idéalement à vos désirs sur ImmoScout24 - La plateforme de l'immobilier en Suisse.</t>
  </si>
  <si>
    <t>🏘  Vous cherchez un appartement à louer à Schwarzsee? ✅ Les annonces les plus actuelles sont sur ImmoScout24.ch.</t>
  </si>
  <si>
    <t>https://www.immoscout24.ch/fr/maison/acheter/lieu-walzenhausen</t>
  </si>
  <si>
    <t>Vendre maison Walzenhausen: Trouvez le bien immobilier qui correspond idéalement à vos désirs sur ImmoScout24 - La plateforme de l'immobilier en Suisse.</t>
  </si>
  <si>
    <t>🏘  Vous souhaitez acheter une maison à Walzenhausen? ✅ Jetez un œil aux dernières offres sur ImmoScout24.ch.</t>
  </si>
  <si>
    <t>https://www.immoscout24.ch/fr/appartement/acheter/quartier-mousquines-bellevue-lausanne</t>
  </si>
  <si>
    <t>Vendre appartement Mousquines - Bellevue (Lausanne):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</si>
  <si>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des Mousquines - Bellevue (Lausanne).</t>
  </si>
  <si>
    <t>https://www.immoscout24.ch/fr/appartement/acheter/region-singine-sarine-lac</t>
  </si>
  <si>
    <t>Vendre appartement Singine - Sarine - Lac: Trouvez le bien immobilier qui correspond idéalement à vos désirs sur ImmoScout24 - La plateforme de l'immobilier en Suisse.</t>
  </si>
  <si>
    <t>🏘  L’appartement de vos rêves se trouve sur ImmoScout24.ch ✅ Découvrez les dernières annonces de vente dans les districts de Singine - Sarine - Lac.</t>
  </si>
  <si>
    <t>https://www.immoscout24.ch/fr/appartement/louer/quartier-rotes-quartier-berne</t>
  </si>
  <si>
    <t>Louer appartement Rotes Quartier (Berne): Trouvez le bien immobilier qui correspond idéalement à vos désirs sur ImmoScout24 - La plateforme de l'immobilier en Suisse.</t>
  </si>
  <si>
    <t>🏘  Vous cherchez un appartement à louer dans le Rotes Quartier? ✅ Les annonces les plus actuelles sont sur ImmoScout24.ch.</t>
  </si>
  <si>
    <t>https://www.immoscout24.ch/fr/maison/louer/lieu-malleray</t>
  </si>
  <si>
    <t>Louer maison Malleray: Trouvez le bien immobilier qui correspond idéalement à vos désirs sur ImmoScout24 - La plateforme de l'immobilier en Suisse.</t>
  </si>
  <si>
    <t>🏘  Vous cherchez une maison à louer à Malleray? ✅ Découvrez nos nombreuses annonces sur ImmoScout24.ch.</t>
  </si>
  <si>
    <t>https://www.immoscout24.ch/fr/appartement/louer/lieu-cousset</t>
  </si>
  <si>
    <t>Louer appartement Cousset: Trouvez le bien immobilier qui correspond idéalement à vos désirs sur ImmoScout24 - La plateforme de l'immobilier en Suisse.</t>
  </si>
  <si>
    <t>🏘  Vous cherchez un appartement à louer à Cousset? ✅ Les annonces les plus actuelles sont sur ImmoScout24.ch.</t>
  </si>
  <si>
    <t>https://www.immoscout24.ch/fr/maison/acheter/lieu-flanthey</t>
  </si>
  <si>
    <t>Vendre maison Flanthey: Trouvez le bien immobilier qui correspond idéalement à vos désirs sur ImmoScout24 - La plateforme de l'immobilier en Suisse.</t>
  </si>
  <si>
    <t>🏘  Vous souhaitez acheter une maison à Flanthey? ✅ Jetez un œil aux dernières offres sur ImmoScout24.ch.</t>
  </si>
  <si>
    <t>https://www.immoscout24.ch/fr/maison/acheter/canton-soleure</t>
  </si>
  <si>
    <t>Vendre maison Canton de Soleure: Trouvez le bien immobilier qui correspond idéalement à vos désirs sur ImmoScout24 - La plateforme de l'immobilier en Suisse.</t>
  </si>
  <si>
    <t>🏘  Vous souhaitez acheter une maison dans le Canton de Soleure? ✅ Jetez un œil aux dernières offres sur ImmoScout24.ch.</t>
  </si>
  <si>
    <t>https://www.immoscout24.ch/fr/appartement/louer/lieu-einsiedeln</t>
  </si>
  <si>
    <t>Louer appartement Einsiedeln: Trouvez le bien immobilier qui correspond idéalement à vos désirs sur ImmoScout24 - La plateforme de l'immobilier en Suisse.</t>
  </si>
  <si>
    <t>🏘  Vous cherchez un appartement à louer à Einsiedeln? ✅ Les annonces les plus actuelles sont sur ImmoScout24.ch.</t>
  </si>
  <si>
    <t>https://www.immoscout24.ch/fr/appartement/louer/lieu-orselina</t>
  </si>
  <si>
    <t>Louer appartement Orselina: Trouvez le bien immobilier qui correspond idéalement à vos désirs sur ImmoScout24 - La plateforme de l'immobilier en Suisse.</t>
  </si>
  <si>
    <t>🏘  Vous cherchez un appartement à louer à Orselina? ✅ Les annonces les plus actuelles sont sur ImmoScout24.ch.</t>
  </si>
  <si>
    <t>https://www.immoscout24.ch/fr/appartement/louer/quartier-secheron-prieure-geneve</t>
  </si>
  <si>
    <t>Louer appartement Sécheron - Prieuré (Genève): Trouvez le bien immobilier qui correspond idéalement à vos désirs sur ImmoScout24 - La plateforme de l'immobilier en Suisse.</t>
  </si>
  <si>
    <t>🏘  Vous cherchez un appartement à louer dans le quartier de Sécheron - Prieuré (Genève)? ✅ Les annonces les plus actuelles sont sur ImmoScout24.ch.</t>
  </si>
  <si>
    <t>https://www.immoscout24.ch/fr/maison/acheter/lieu-attalens</t>
  </si>
  <si>
    <t>Vendre maison Attalens: Trouvez le bien immobilier qui correspond idéalement à vos désirs sur ImmoScout24 - La plateforme de l'immobilier en Suisse.</t>
  </si>
  <si>
    <t>🏘  Vous souhaitez acheter une maison à Attalens? ✅ Jetez un œil aux dernières offres sur ImmoScout24.ch.</t>
  </si>
  <si>
    <t>https://www.immoscout24.ch/fr/appartement/louer/lieu-morens-fr</t>
  </si>
  <si>
    <t>Louer appartement Morens FR: Trouvez le bien immobilier qui correspond idéalement à vos désirs sur ImmoScout24 - La plateforme de l'immobilier en Suisse.</t>
  </si>
  <si>
    <t>🏘  Vous cherchez un appartement à louer à Morens FR? ✅ Les annonces les plus actuelles sont sur ImmoScout24.ch.</t>
  </si>
  <si>
    <t>https://www.immoscout24.ch/fr/appartement/acheter/lieu-sils-segl-maria</t>
  </si>
  <si>
    <t>Vendre appartement Sils/Segl Maria: Trouvez le bien immobilier qui correspond idéalement à vos désirs sur ImmoScout24 - La plateforme de l'immobilier en Suisse.</t>
  </si>
  <si>
    <t>🏘  L’appartement de vos rêves se trouve sur ImmoScout24.ch ✅ Découvrez les dernières annonces de vente à Sils/Segl Maria.</t>
  </si>
  <si>
    <t>https://www.immoscout24.ch/fr/appartement/acheter/quartier-centre-ville-lausanne</t>
  </si>
  <si>
    <t>Vendre appartement Centre-Ville (Lausanne): Trouvez le bien immobilier qui correspond idéalement à vos désirs sur ImmoScout24 - La plateforme de l'immobilier en Suisse.</t>
  </si>
  <si>
    <t>🏘  L’appartement de vos rêves se trouve sur ImmoScout24.ch ✅ Découvrez les dernières annonces de vente au Centre-Ville (Lausanne).</t>
  </si>
  <si>
    <t>https://www.immoscout24.ch/fr/maison/acheter/canton-geneve</t>
  </si>
  <si>
    <t>Vendre maison Canton de Genève: Trouvez le bien immobilier qui correspond idéalement à vos désirs sur ImmoScout24 - La plateforme de l'immobilier en Suisse.</t>
  </si>
  <si>
    <t>🏘  Vous souhaitez acheter une maison dans le Canton de Genève? ✅ Jetez un œil aux dernières offres sur ImmoScout24.ch.</t>
  </si>
  <si>
    <t>https://www.immoscout24.ch/fr/appartement/acheter/lieu-wettingen</t>
  </si>
  <si>
    <t>Vendre appartement Wettingen: Trouvez le bien immobilier qui correspond idéalement à vos désirs sur ImmoScout24 - La plateforme de l'immobilier en Suisse.</t>
  </si>
  <si>
    <t>🏘  L’appartement de vos rêves se trouve sur ImmoScout24.ch ✅ Découvrez les dernières annonces de vente à Wettingen.</t>
  </si>
  <si>
    <t>https://www.immoscout24.ch/fr/appartement/louer/lieu-finsterhennen</t>
  </si>
  <si>
    <t>Louer appartement Finsterhennen: Trouvez le bien immobilier qui correspond idéalement à vos désirs sur ImmoScout24 - La plateforme de l'immobilier en Suisse.</t>
  </si>
  <si>
    <t>🏘  Vous cherchez un appartement à louer à Finsterhennen? ✅ Les annonces les plus actuelles sont sur ImmoScout24.ch.</t>
  </si>
  <si>
    <t>https://www.immoscout24.ch/fr/maison/acheter/lieu-lenk-im-simmental</t>
  </si>
  <si>
    <t>Vendre maison Lenk im Simmental: Trouvez le bien immobilier qui correspond idéalement à vos désirs sur ImmoScout24 - La plateforme de l'immobilier en Suisse.</t>
  </si>
  <si>
    <t>🏘  Vous souhaitez acheter une maison aunk im Simmental? ✅ Jetez un œil aux dernières offres sur ImmoScout24.ch.</t>
  </si>
  <si>
    <t>https://www.immoscout24.ch/fr/appartement/louer/lieu-mittelhaeusern</t>
  </si>
  <si>
    <t>Louer appartement Mittelhäusern: Trouvez le bien immobilier qui correspond idéalement à vos désirs sur ImmoScout24 - La plateforme de l'immobilier en Suisse.</t>
  </si>
  <si>
    <t>🏘  Vous cherchez un appartement à louer à Mittelhäusern? ✅ Les annonces les plus actuelles sont sur ImmoScout24.ch.</t>
  </si>
  <si>
    <t>https://www.immoscout24.ch/fr/maison/acheter/lieu-stetten-sh</t>
  </si>
  <si>
    <t>Vendre maison Stetten SH: Trouvez le bien immobilier qui correspond idéalement à vos désirs sur ImmoScout24 - La plateforme de l'immobilier en Suisse.</t>
  </si>
  <si>
    <t>🏘  Vous souhaitez acheter une maison à Stetten SH? ✅ Jetez un œil aux dernières offres sur ImmoScout24.ch.</t>
  </si>
  <si>
    <t>https://www.immoscout24.ch/fr/appartement/louer/lieu-grellingen</t>
  </si>
  <si>
    <t>Louer appartement Grellingen: Trouvez le bien immobilier qui correspond idéalement à vos désirs sur ImmoScout24 - La plateforme de l'immobilier en Suisse.</t>
  </si>
  <si>
    <t>🏘  Vous cherchez un appartement à louer à Grellingen? ✅ Les annonces les plus actuelles sont sur ImmoScout24.ch.</t>
  </si>
  <si>
    <t>https://www.immoscout24.ch/fr/appartement/louer/lieu-marly</t>
  </si>
  <si>
    <t>Louer appartement Marly: Trouvez le bien immobilier qui correspond idéalement à vos désirs sur ImmoScout24 - La plateforme de l'immobilier en Suisse.</t>
  </si>
  <si>
    <t>🏘  Vous cherchez un appartement à louer à Marly? ✅ Les annonces les plus actuelles sont sur ImmoScout24.ch.</t>
  </si>
  <si>
    <t>https://www.immoscout24.ch/fr/maison/acheter/lieu-cheseaux-sur-lausanne</t>
  </si>
  <si>
    <t>Vendre maison Cheseaux-sur-Lausanne: Trouvez le bien immobilier qui correspond idéalement à vos désirs sur ImmoScout24 - La plateforme de l'immobilier en Suisse.</t>
  </si>
  <si>
    <t>🏘  Vous souhaitez acheter une maison à Cheseaux-sur-Lausanne? ✅ Jetez un œil aux dernières offres sur ImmoScout24.ch.</t>
  </si>
  <si>
    <t>https://www.immoscout24.ch/fr/maison/louer/lieu-chigny</t>
  </si>
  <si>
    <t>Louer maison Chigny: Trouvez le bien immobilier qui correspond idéalement à vos désirs sur ImmoScout24 - La plateforme de l'immobilier en Suisse.</t>
  </si>
  <si>
    <t>🏘  Vous cherchez une maison à louer à Chigny? ✅ Découvrez nos nombreuses annonces sur ImmoScout24.ch.</t>
  </si>
  <si>
    <t>https://www.immoscout24.ch/fr/appartement/louer/lieu-dorenaz</t>
  </si>
  <si>
    <t>Louer appartement Dorénaz: Trouvez le bien immobilier qui correspond idéalement à vos désirs sur ImmoScout24 - La plateforme de l'immobilier en Suisse.</t>
  </si>
  <si>
    <t>🏘  Vous cherchez un appartement à louer à Dorénaz? ✅ Les annonces les plus actuelles sont sur ImmoScout24.ch.</t>
  </si>
  <si>
    <t>https://www.immoscout24.ch/fr/appartement/louer/lieu-oberglatt-zh</t>
  </si>
  <si>
    <t>Louer appartement Oberglatt ZH: Trouvez le bien immobilier qui correspond idéalement à vos désirs sur ImmoScout24 - La plateforme de l'immobilier en Suisse.</t>
  </si>
  <si>
    <t>🏘  Vous cherchez un appartement à louer à Oberglatt ZH? ✅ Les annonces les plus actuelles sont sur ImmoScout24.ch.</t>
  </si>
  <si>
    <t>https://www.immoscout24.ch/fr/maison/acheter/lieu-molinazzo-di-monteggio</t>
  </si>
  <si>
    <t>Vendre maison Molinazzo di Monteggio: Trouvez le bien immobilier qui correspond idéalement à vos désirs sur ImmoScout24 - La plateforme de l'immobilier en Suisse.</t>
  </si>
  <si>
    <t>🏘  Vous souhaitez acheter une maison à Molinazzo di Monteggio? ✅ Jetez un œil aux dernières offres sur ImmoScout24.ch.</t>
  </si>
  <si>
    <t>https://www.immoscout24.ch/fr/maison/acheter/region-bale-campagne-est</t>
  </si>
  <si>
    <t>Vendre maison Bâle Campagne Est: Trouvez le bien immobilier qui correspond idéalement à vos désirs sur ImmoScout24 - La plateforme de l'immobilier en Suisse.</t>
  </si>
  <si>
    <t>🏘  Vous souhaitez acheter une maison à Bâle-Campagne Est? ✅ Jetez un œil aux dernières offres sur ImmoScout24.ch.</t>
  </si>
  <si>
    <t>https://www.immoscout24.ch/fr/appartement/louer/lieu-seedorf-be</t>
  </si>
  <si>
    <t>Louer appartement Seedorf BE: Trouvez le bien immobilier qui correspond idéalement à vos désirs sur ImmoScout24 - La plateforme de l'immobilier en Suisse.</t>
  </si>
  <si>
    <t>🏘  Vous cherchez un appartement à louer à Seedorf BE? ✅ Les annonces les plus actuelles sont sur ImmoScout24.ch.</t>
  </si>
  <si>
    <t>https://www.immoscout24.ch/fr/appartement/acheter/quartier-onu-rigot-geneve</t>
  </si>
  <si>
    <t>Vendre appartement ONU - Rigot (Genève):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</si>
  <si>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l'ONU - Rigot (Genève).</t>
  </si>
  <si>
    <t>https://www.immoscout24.ch/fr/maison/acheter/lieu-rosswald</t>
  </si>
  <si>
    <t>Vendre maison Rosswald: Trouvez le bien immobilier qui correspond idéalement à vos désirs sur ImmoScout24 - La plateforme de l'immobilier en Suisse.</t>
  </si>
  <si>
    <t>🏘  Vous souhaitez acheter une maison à Rosswald? ✅ Jetez un œil aux dernières offres sur ImmoScout24.ch.</t>
  </si>
  <si>
    <t>https://www.immoscout24.ch/fr/appartement/louer/lieu-zuoz</t>
  </si>
  <si>
    <t>Louer appartement Zuoz: Trouvez le bien immobilier qui correspond idéalement à vos désirs sur ImmoScout24 - La plateforme de l'immobilier en Suisse.</t>
  </si>
  <si>
    <t>🏘  Vous cherchez un appartement à louer à Zuoz? ✅ Les annonces les plus actuelles sont sur ImmoScout24.ch.</t>
  </si>
  <si>
    <t>https://www.immoscout24.ch/fr/appartement/louer/pays-grece</t>
  </si>
  <si>
    <t>Louer appartement Grèce: Trouvez le bien immobilier qui correspond idéalement à vos désirs sur ImmoScout24 - La plateforme de l'immobilier en Suisse.</t>
  </si>
  <si>
    <t>https://www.immoscout24.ch/fr/appartement/louer/lieu-ferpicloz</t>
  </si>
  <si>
    <t>Louer appartement Ferpicloz: Trouvez le bien immobilier qui correspond idéalement à vos désirs sur ImmoScout24 - La plateforme de l'immobilier en Suisse.</t>
  </si>
  <si>
    <t>🏘  Vous cherchez un appartement à louer à Ferpicloz? ✅ Les annonces les plus actuelles sont sur ImmoScout24.ch.</t>
  </si>
  <si>
    <t>https://www.immoscout24.ch/fr/appartement/louer/quartier-hochstrasse-schaffhouse</t>
  </si>
  <si>
    <t>Louer appartement Hochstrasse (Schaffhouse): Trouvez le bien immobilier qui correspond idéalement à vos désirs sur ImmoScout24 - La plateforme de l'immobilier en Suisse.</t>
  </si>
  <si>
    <t>🏘  Vous cherchez un appartement à louer dans le quartier de Hochstrasse (Schaffhouse)? ✅ Les annonces les plus actuelles sont sur ImmoScout24.ch.</t>
  </si>
  <si>
    <t>https://www.immoscout24.ch/fr/appartement/louer/lieu-melano</t>
  </si>
  <si>
    <t>Louer appartement Melano: Trouvez le bien immobilier qui correspond idéalement à vos désirs sur ImmoScout24 - La plateforme de l'immobilier en Suisse.</t>
  </si>
  <si>
    <t>🏘  Vous cherchez un appartement à louer à Melano? ✅ Les annonces les plus actuelles sont sur ImmoScout24.ch.</t>
  </si>
  <si>
    <t>https://www.immoscout24.ch/fr/maison/louer/lieu-mutrux</t>
  </si>
  <si>
    <t>Louer maison Mutrux: Trouvez le bien immobilier qui correspond idéalement à vos désirs sur ImmoScout24 - La plateforme de l'immobilier en Suisse.</t>
  </si>
  <si>
    <t>🏘  Vous cherchez une maison à louer à Mutrux? ✅ Découvrez nos nombreuses annonces sur ImmoScout24.ch.</t>
  </si>
  <si>
    <t>https://www.immoscout24.ch/fr/appartement/louer/lieu-kuessnacht-am-rigi</t>
  </si>
  <si>
    <t>Louer appartement Küssnacht am Rigi: Trouvez le bien immobilier qui correspond idéalement à vos désirs sur ImmoScout24 - La plateforme de l'immobilier en Suisse.</t>
  </si>
  <si>
    <t>🏘  Vous cherchez un appartement à louer à Küssnacht am Rigi? ✅ Les annonces les plus actuelles sont sur ImmoScout24.ch.</t>
  </si>
  <si>
    <t>https://www.immoscout24.ch/fr/appartement/louer/lieu-saignelegier</t>
  </si>
  <si>
    <t>Louer appartement Saignelégier: Trouvez le bien immobilier qui correspond idéalement à vos désirs sur ImmoScout24 - La plateforme de l'immobilier en Suisse.</t>
  </si>
  <si>
    <t>🏘  Vous cherchez un appartement à louer à Saignelégier? ✅ Les annonces les plus actuelles sont sur ImmoScout24.ch.</t>
  </si>
  <si>
    <t>https://www.immoscout24.ch/fr/appartement/louer/lieu-prangins</t>
  </si>
  <si>
    <t>Louer appartement Prangins: Trouvez le bien immobilier qui correspond idéalement à vos désirs sur ImmoScout24 - La plateforme de l'immobilier en Suisse.</t>
  </si>
  <si>
    <t>🏘  Vous cherchez un appartement à louer à Prangins? ✅ Les annonces les plus actuelles sont sur ImmoScout24.ch.</t>
  </si>
  <si>
    <t>https://www.immoscout24.ch/fr/appartement/louer/lieu-suberg</t>
  </si>
  <si>
    <t>Louer appartement Suberg: Trouvez le bien immobilier qui correspond idéalement à vos désirs sur ImmoScout24 - La plateforme de l'immobilier en Suisse.</t>
  </si>
  <si>
    <t>🏘  Vous cherchez un appartement à louer à Suberg? ✅ Les annonces les plus actuelles sont sur ImmoScout24.ch.</t>
  </si>
  <si>
    <t>https://www.immoscout24.ch/fr/appartement/louer/lieu-scheuren</t>
  </si>
  <si>
    <t>Louer appartement Scheuren: Trouvez le bien immobilier qui correspond idéalement à vos désirs sur ImmoScout24 - La plateforme de l'immobilier en Suisse.</t>
  </si>
  <si>
    <t>🏘  Vous cherchez un appartement à louer à Scheuren? ✅ Les annonces les plus actuelles sont sur ImmoScout24.ch.</t>
  </si>
  <si>
    <t>https://www.immoscout24.ch/fr/appartement/louer/lieu-riedholz</t>
  </si>
  <si>
    <t>Louer appartement Riedholz: Trouvez le bien immobilier qui correspond idéalement à vos désirs sur ImmoScout24 - La plateforme de l'immobilier en Suisse.</t>
  </si>
  <si>
    <t>🏘  Vous cherchez un appartement à louer à Riedholz? ✅ Les annonces les plus actuelles sont sur ImmoScout24.ch.</t>
  </si>
  <si>
    <t>https://www.immoscout24.ch/fr/maison/louer/lieu-corin-de-la-crete</t>
  </si>
  <si>
    <t>Louer maison Corin-de-la-Crête: Trouvez le bien immobilier qui correspond idéalement à vos désirs sur ImmoScout24 - La plateforme de l'immobilier en Suisse.</t>
  </si>
  <si>
    <t>🏘  Vous cherchez une maison à louer à Corin-de-la-Crête? ✅ Découvrez nos nombreuses annonces sur ImmoScout24.ch.</t>
  </si>
  <si>
    <t>https://www.immoscout24.ch/fr/maison/acheter/lieu-termine</t>
  </si>
  <si>
    <t>Vendre maison Termine: Trouvez le bien immobilier qui correspond idéalement à vos désirs sur ImmoScout24 - La plateforme de l'immobilier en Suisse.</t>
  </si>
  <si>
    <t>🏘  Vous souhaitez acheter une maison à Termine? ✅ Jetez un œil aux dernières offres sur ImmoScout24.ch.</t>
  </si>
  <si>
    <t>https://www.immoscout24.ch/fr/appartement/acheter/lieu-le-chatelard-vs</t>
  </si>
  <si>
    <t>Vendre appartement Le Châtelard VS: Trouvez le bien immobilier qui correspond idéalement à vos désirs sur ImmoScout24 - La plateforme de l'immobilier en Suisse.</t>
  </si>
  <si>
    <t>🏘  L’appartement de vos rêves se trouve sur ImmoScout24.ch ✅ Découvrez les dernières annonces de vente au Châtelard VS.</t>
  </si>
  <si>
    <t>https://www.immoscout24.ch/fr/appartement/acheter/lieu-tuescherz-alfermee</t>
  </si>
  <si>
    <t>Vendre appartement Tüscherz-Alfermée: Trouvez le bien immobilier qui correspond idéalement à vos désirs sur ImmoScout24 - La plateforme de l'immobilier en Suisse.</t>
  </si>
  <si>
    <t>🏘  L’appartement de vos rêves se trouve sur ImmoScout24.ch ✅ Découvrez les dernières annonces de vente à Tüscherz-Alfermée.</t>
  </si>
  <si>
    <t>https://www.immoscout24.ch/fr/appartement/louer/lieu-leytron</t>
  </si>
  <si>
    <t>Louer appartement Leytron: Trouvez le bien immobilier qui correspond idéalement à vos désirs sur ImmoScout24 - La plateforme de l'immobilier en Suisse.</t>
  </si>
  <si>
    <t>🏘  Vous cherchez un appartement à louer auytron? ✅ Les annonces les plus actuelles sont sur ImmoScout24.ch.</t>
  </si>
  <si>
    <t>https://www.immoscout24.ch/fr/maison/acheter/lieu-hermrigen</t>
  </si>
  <si>
    <t>Vendre maison Hermrigen: Trouvez le bien immobilier qui correspond idéalement à vos désirs sur ImmoScout24 - La plateforme de l'immobilier en Suisse.</t>
  </si>
  <si>
    <t>🏘  Vous souhaitez acheter une maison à Hermrigen? ✅ Jetez un œil aux dernières offres sur ImmoScout24.ch.</t>
  </si>
  <si>
    <t>https://www.immoscout24.ch/fr/appartement/louer/lieu-lommiswil</t>
  </si>
  <si>
    <t>Louer appartement Lommiswil: Trouvez le bien immobilier qui correspond idéalement à vos désirs sur ImmoScout24 - La plateforme de l'immobilier en Suisse.</t>
  </si>
  <si>
    <t>🏘  Vous cherchez un appartement à louer à Lommiswil? ✅ Les annonces les plus actuelles sont sur ImmoScout24.ch.</t>
  </si>
  <si>
    <t>https://www.immoscout24.ch/fr/appartement/louer/lieu-zermatt</t>
  </si>
  <si>
    <t>Louer appartement Zermatt: Trouvez le bien immobilier qui correspond idéalement à vos désirs sur ImmoScout24 - La plateforme de l'immobilier en Suisse.</t>
  </si>
  <si>
    <t>🏘  Vous cherchez un appartement à louer à Zermatt? ✅ Les annonces les plus actuelles sont sur ImmoScout24.ch.</t>
  </si>
  <si>
    <t>https://www.immoscout24.ch/fr/appartement/louer/quartier-ruche-la-chaux-de-fonds</t>
  </si>
  <si>
    <t>Louer appartement Ruche (La Chaux-de-Fonds): Trouvez le bien immobilier qui correspond idéalement à vos désirs sur ImmoScout24 - La plateforme de l'immobilier en Suisse.</t>
  </si>
  <si>
    <t>🏘  Vous cherchez un appartement à louer dans le quartier de la Ruche (La Chaux-de-Fonds)? ✅ Les annonces les plus actuelles sont sur ImmoScout24.ch.</t>
  </si>
  <si>
    <t>https://www.immoscout24.ch/fr/maison/louer/lieu-tramelan</t>
  </si>
  <si>
    <t>Louer maison Tramelan: Trouvez le bien immobilier qui correspond idéalement à vos désirs sur ImmoScout24 - La plateforme de l'immobilier en Suisse.</t>
  </si>
  <si>
    <t>🏘  Vous cherchez une maison à louer à Tramelan? ✅ Découvrez nos nombreuses annonces sur ImmoScout24.ch.</t>
  </si>
  <si>
    <t>https://www.immoscout24.ch/fr/maison/acheter/lieu-lessoc</t>
  </si>
  <si>
    <t>Vendre maison Lessoc: Trouvez le bien immobilier qui correspond idéalement à vos désirs sur ImmoScout24 - La plateforme de l'immobilier en Suisse.</t>
  </si>
  <si>
    <t>🏘  Vous souhaitez acheter une maison auxsoc? ✅ Jetez un œil aux dernières offres sur ImmoScout24.ch.</t>
  </si>
  <si>
    <t>https://www.immoscout24.ch/fr/appartement/louer/lieu-damvant</t>
  </si>
  <si>
    <t>Louer appartement Damvant: Trouvez le bien immobilier qui correspond idéalement à vos désirs sur ImmoScout24 - La plateforme de l'immobilier en Suisse.</t>
  </si>
  <si>
    <t>🏘  Vous cherchez un appartement à louer à Damvant? ✅ Les annonces les plus actuelles sont sur ImmoScout24.ch.</t>
  </si>
  <si>
    <t>https://www.immoscout24.ch/fr/appartement/louer/lieu-biberstein</t>
  </si>
  <si>
    <t>Louer appartement Biberstein: Trouvez le bien immobilier qui correspond idéalement à vos désirs sur ImmoScout24 - La plateforme de l'immobilier en Suisse.</t>
  </si>
  <si>
    <t>🏘  Vous cherchez un appartement à louer à Biberstein? ✅ Les annonces les plus actuelles sont sur ImmoScout24.ch.</t>
  </si>
  <si>
    <t>https://www.immoscout24.ch/fr/appartement/louer/lieu-colombier-ne</t>
  </si>
  <si>
    <t>Louer appartement Colombier NE: Trouvez le bien immobilier qui correspond idéalement à vos désirs sur ImmoScout24 - La plateforme de l'immobilier en Suisse.</t>
  </si>
  <si>
    <t>🏘  Vous cherchez un appartement à louer à Colombier NE? ✅ Les annonces les plus actuelles sont sur ImmoScout24.ch.</t>
  </si>
  <si>
    <t>https://www.immoscout24.ch/fr/maison/acheter/quartier-champagne-biel-bienne</t>
  </si>
  <si>
    <t>Vendre maison Champagne (Biel/Bienne): Trouvez le bien immobilier qui correspond idéalement à vos désirs sur ImmoScout24 - La plateforme de l'immobilier en Suisse.</t>
  </si>
  <si>
    <t>🏘  Vous souhaitez acheter une maison dans le quartier de Champagne (Biel/Bienne)? ✅ Jetez un œil aux dernières offres sur ImmoScout24.ch.</t>
  </si>
  <si>
    <t>https://www.immoscout24.ch/fr/maison/acheter/lieu-courgevaux</t>
  </si>
  <si>
    <t>Vendre maison Courgevaux: Trouvez le bien immobilier qui correspond idéalement à vos désirs sur ImmoScout24 - La plateforme de l'immobilier en Suisse.</t>
  </si>
  <si>
    <t>🏘  Vous souhaitez acheter une maison à Courgevaux? ✅ Jetez un œil aux dernières offres sur ImmoScout24.ch.</t>
  </si>
  <si>
    <t>https://www.immoscout24.ch/fr/appartement/louer/lieu-tavannes</t>
  </si>
  <si>
    <t>Louer appartement Tavannes: Trouvez le bien immobilier qui correspond idéalement à vos désirs sur ImmoScout24 - La plateforme de l'immobilier en Suisse.</t>
  </si>
  <si>
    <t>🏘  Vous cherchez un appartement à louer à Tavannes? ✅ Les annonces les plus actuelles sont sur ImmoScout24.ch.</t>
  </si>
  <si>
    <t>https://www.immoscout24.ch/fr/maison/acheter/lieu-corcelles-be</t>
  </si>
  <si>
    <t>Vendre maison Corcelles BE: Trouvez le bien immobilier qui correspond idéalement à vos désirs sur ImmoScout24 - La plateforme de l'immobilier en Suisse.</t>
  </si>
  <si>
    <t>🏘  Vous souhaitez acheter une maison à Corcelles BE? ✅ Jetez un œil aux dernières offres sur ImmoScout24.ch.</t>
  </si>
  <si>
    <t>https://www.immoscout24.ch/fr/maison/acheter/lieu-arnex-sur-orbe</t>
  </si>
  <si>
    <t>Vendre maison Arnex-sur-Orbe: Trouvez le bien immobilier qui correspond idéalement à vos désirs sur ImmoScout24 - La plateforme de l'immobilier en Suisse.</t>
  </si>
  <si>
    <t>🏘  Vous souhaitez acheter une maison à Arnex-sur-Orbe? ✅ Jetez un œil aux dernières offres sur ImmoScout24.ch.</t>
  </si>
  <si>
    <t>https://www.immoscout24.ch/fr/appartement/louer/lieu-capolago</t>
  </si>
  <si>
    <t>Louer appartement Capolago: Trouvez le bien immobilier qui correspond idéalement à vos désirs sur ImmoScout24 - La plateforme de l'immobilier en Suisse.</t>
  </si>
  <si>
    <t>🏘  Vous cherchez un appartement à louer à Capolago? ✅ Les annonces les plus actuelles sont sur ImmoScout24.ch.</t>
  </si>
  <si>
    <t>https://www.immoscout24.ch/fr/appartement/acheter/lieu-seedorf-be</t>
  </si>
  <si>
    <t>Vendre appartement Seedorf BE: Trouvez le bien immobilier qui correspond idéalement à vos désirs sur ImmoScout24 - La plateforme de l'immobilier en Suisse.</t>
  </si>
  <si>
    <t>🏘  L’appartement de vos rêves se trouve sur ImmoScout24.ch ✅ Découvrez les dernières annonces de vente à Seedorf BE.</t>
  </si>
  <si>
    <t>https://www.immoscout24.ch/fr/maison/acheter/lieu-villars-tiercelin</t>
  </si>
  <si>
    <t>Vendre maison Villars-Tiercelin: Trouvez le bien immobilier qui correspond idéalement à vos désirs sur ImmoScout24 - La plateforme de l'immobilier en Suisse.</t>
  </si>
  <si>
    <t>🏘  Vous souhaitez acheter une maison à Villars-Tiercelin? ✅ Jetez un œil aux dernières offres sur ImmoScout24.ch.</t>
  </si>
  <si>
    <t>https://www.immoscout24.ch/fr/appartement/louer/quartier-beundenfeld-berne</t>
  </si>
  <si>
    <t>Louer appartement Beundenfeld (Berne): Trouvez le bien immobilier qui correspond idéalement à vos désirs sur ImmoScout24 - La plateforme de l'immobilier en Suisse.</t>
  </si>
  <si>
    <t>🏘  Vous cherchez un appartement à louer dans le quartier de Beundenfeld (Berne)? ✅ Les annonces les plus actuelles sont sur ImmoScout24.ch.</t>
  </si>
  <si>
    <t>https://www.immoscout24.ch/fr/appartement/louer/lieu-villmergen</t>
  </si>
  <si>
    <t>Louer appartement Villmergen: Trouvez le bien immobilier qui correspond idéalement à vos désirs sur ImmoScout24 - La plateforme de l'immobilier en Suisse.</t>
  </si>
  <si>
    <t>🏘  Vous cherchez un appartement à louer à Villmergen? ✅ Les annonces les plus actuelles sont sur ImmoScout24.ch.</t>
  </si>
  <si>
    <t>https://www.immoscout24.ch/fr/maison/acheter/lieu-liebefeld</t>
  </si>
  <si>
    <t>Vendre maison Liebefeld: Trouvez le bien immobilier qui correspond idéalement à vos désirs sur ImmoScout24 - La plateforme de l'immobilier en Suisse.</t>
  </si>
  <si>
    <t>🏘  Vous souhaitez acheter une maison à Liebefeld? ✅ Jetez un œil aux dernières offres sur ImmoScout24.ch.</t>
  </si>
  <si>
    <t>https://www.immoscout24.ch/fr/appartement/acheter/pays-italie</t>
  </si>
  <si>
    <t>Vendre appartement Italie: Trouvez le bien immobilier qui correspond idéalement à vos désirs sur ImmoScout24 - La plateforme de l'immobilier en Suisse.</t>
  </si>
  <si>
    <t>https://www.immoscout24.ch/fr/appartement/louer/lieu-russin</t>
  </si>
  <si>
    <t>Louer appartement Russin: Trouvez le bien immobilier qui correspond idéalement à vos désirs sur ImmoScout24 - La plateforme de l'immobilier en Suisse.</t>
  </si>
  <si>
    <t>🏘  Vous cherchez un appartement à louer à Russin? ✅ Les annonces les plus actuelles sont sur ImmoScout24.ch.</t>
  </si>
  <si>
    <t>https://www.immoscout24.ch/fr/appartement/louer/lieu-les-planchettes</t>
  </si>
  <si>
    <t>Louer appartement Les Planchettes: Trouvez le bien immobilier qui correspond idéalement à vos désirs sur ImmoScout24 - La plateforme de l'immobilier en Suisse.</t>
  </si>
  <si>
    <t>🏘  Vous cherchez un appartement à louer aux Planchettes? ✅ Les annonces les plus actuelles sont sur ImmoScout24.ch.</t>
  </si>
  <si>
    <t>https://www.immoscout24.ch/fr/appartement/acheter/lieu-sorengo</t>
  </si>
  <si>
    <t>Vendre appartement Sorengo: Trouvez le bien immobilier qui correspond idéalement à vos désirs sur ImmoScout24 - La plateforme de l'immobilier en Suisse.</t>
  </si>
  <si>
    <t>🏘  L’appartement de vos rêves se trouve sur ImmoScout24.ch ✅ Découvrez les dernières annonces de vente à Sorengo.</t>
  </si>
  <si>
    <t>https://www.immoscout24.ch/fr/appartement/louer/lieu-inwil</t>
  </si>
  <si>
    <t>Louer appartement Inwil: Trouvez le bien immobilier qui correspond idéalement à vos désirs sur ImmoScout24 - La plateforme de l'immobilier en Suisse.</t>
  </si>
  <si>
    <t>🏘  Vous cherchez un appartement à louer à Inwil? ✅ Les annonces les plus actuelles sont sur ImmoScout24.ch.</t>
  </si>
  <si>
    <t>https://www.immoscout24.ch/fr/appartement/acheter/lieu-wavre</t>
  </si>
  <si>
    <t>Vendre appartement Wavre: Trouvez le bien immobilier qui correspond idéalement à vos désirs sur ImmoScout24 - La plateforme de l'immobilier en Suisse.</t>
  </si>
  <si>
    <t>🏘  L’appartement de vos rêves se trouve sur ImmoScout24.ch ✅ Découvrez les dernières annonces de vente à Wavre.</t>
  </si>
  <si>
    <t>https://www.immoscout24.ch/fr/maison/acheter/lieu-les-breuleux</t>
  </si>
  <si>
    <t>Vendre maison Les Breuleux: Trouvez le bien immobilier qui correspond idéalement à vos désirs sur ImmoScout24 - La plateforme de l'immobilier en Suisse.</t>
  </si>
  <si>
    <t>🏘  Vous souhaitez acheter une maison aux Breuleux? ✅ Jetez un œil aux dernières offres sur ImmoScout24.ch.</t>
  </si>
  <si>
    <t>https://www.immoscout24.ch/fr/appartement/louer/lieu-trub</t>
  </si>
  <si>
    <t>Louer appartement Trub: Trouvez le bien immobilier qui correspond idéalement à vos désirs sur ImmoScout24 - La plateforme de l'immobilier en Suisse.</t>
  </si>
  <si>
    <t>🏘  Vous cherchez un appartement à louer à Trub? ✅ Les annonces les plus actuelles sont sur ImmoScout24.ch.</t>
  </si>
  <si>
    <t>https://www.immoscout24.ch/fr/appartement/louer/quartier-borde-bellevaux-lausanne</t>
  </si>
  <si>
    <t>Louer appartement Borde - Bellevaux (Lausanne): Trouvez le bien immobilier qui correspond idéalement à vos désirs sur ImmoScout24 - La plateforme de l'immobilier en Suisse.</t>
  </si>
  <si>
    <t>🏘  Vous cherchez un appartement à louer dans le quartier de Borde - Bellevaux (Lausanne)? ✅ Les annonces les plus actuelles sont sur ImmoScout24.ch.</t>
  </si>
  <si>
    <t>https://www.immoscout24.ch/fr/maison/louer/lieu-gurmels</t>
  </si>
  <si>
    <t>Louer maison Gurmels: Trouvez le bien immobilier qui correspond idéalement à vos désirs sur ImmoScout24 - La plateforme de l'immobilier en Suisse.</t>
  </si>
  <si>
    <t>🏘  Vous cherchez une maison à louer à Gurmels? ✅ Découvrez nos nombreuses annonces sur ImmoScout24.ch.</t>
  </si>
  <si>
    <t>https://www.immoscout24.ch/fr/maison/louer/lieu-la-neuveville</t>
  </si>
  <si>
    <t>Louer maison La Neuveville: Trouvez le bien immobilier qui correspond idéalement à vos désirs sur ImmoScout24 - La plateforme de l'immobilier en Suisse.</t>
  </si>
  <si>
    <t>🏘  Vous cherchez une maison à louer à La Neuveville? ✅ Découvrez nos nombreuses annonces sur ImmoScout24.ch.</t>
  </si>
  <si>
    <t>https://www.immoscout24.ch/fr/appartement/louer/lieu-cremin</t>
  </si>
  <si>
    <t>Louer appartement Cremin: Trouvez le bien immobilier qui correspond idéalement à vos désirs sur ImmoScout24 - La plateforme de l'immobilier en Suisse.</t>
  </si>
  <si>
    <t>🏘  Vous cherchez un appartement à louer à Cremin? ✅ Les annonces les plus actuelles sont sur ImmoScout24.ch.</t>
  </si>
  <si>
    <t>https://www.immoscout24.ch/fr/appartement/louer/lieu-riex</t>
  </si>
  <si>
    <t>Louer appartement Riex: Trouvez le bien immobilier qui correspond idéalement à vos désirs sur ImmoScout24 - La plateforme de l'immobilier en Suisse.</t>
  </si>
  <si>
    <t>🏘  Vous cherchez un appartement à louer à Riex? ✅ Les annonces les plus actuelles sont sur ImmoScout24.ch.</t>
  </si>
  <si>
    <t>https://www.immoscout24.ch/fr/appartement/louer/lieu-wilderswil</t>
  </si>
  <si>
    <t>Louer appartement Wilderswil: Trouvez le bien immobilier qui correspond idéalement à vos désirs sur ImmoScout24 - La plateforme de l'immobilier en Suisse.</t>
  </si>
  <si>
    <t>🏘  Vous cherchez un appartement à louer à Wilderswil? ✅ Les annonces les plus actuelles sont sur ImmoScout24.ch.</t>
  </si>
  <si>
    <t>https://www.immoscout24.ch/fr/maison/louer/lieu-morges</t>
  </si>
  <si>
    <t>Louer maison Morges: Trouvez le bien immobilier qui correspond idéalement à vos désirs sur ImmoScout24 - La plateforme de l'immobilier en Suisse.</t>
  </si>
  <si>
    <t>🏘  Vous cherchez une maison à louer à Morges? ✅ Découvrez nos nombreuses annonces sur ImmoScout24.ch.</t>
  </si>
  <si>
    <t>https://www.immoscout24.ch/fr/appartement/louer/lieu-ardon</t>
  </si>
  <si>
    <t>Louer appartement Ardon: Trouvez le bien immobilier qui correspond idéalement à vos désirs sur ImmoScout24 - La plateforme de l'immobilier en Suisse.</t>
  </si>
  <si>
    <t>🏘  Vous cherchez un appartement à louer à Ardon? ✅ Les annonces les plus actuelles sont sur ImmoScout24.ch.</t>
  </si>
  <si>
    <t>https://www.immoscout24.ch/fr/maison/acheter/lieu-courcelon</t>
  </si>
  <si>
    <t>Vendre maison Courcelon: Trouvez le bien immobilier qui correspond idéalement à vos désirs sur ImmoScout24 - La plateforme de l'immobilier en Suisse.</t>
  </si>
  <si>
    <t>🏘  Vous souhaitez acheter une maison à Courcelon? ✅ Jetez un œil aux dernières offres sur ImmoScout24.ch.</t>
  </si>
  <si>
    <t>https://www.immoscout24.ch/fr/appartement/louer/lieu-poliez-le-grand</t>
  </si>
  <si>
    <t>Louer appartement Poliez-le-Grand: Trouvez le bien immobilier qui correspond idéalement à vos désirs sur ImmoScout24 - La plateforme de l'immobilier en Suisse.</t>
  </si>
  <si>
    <t>🏘  Vous cherchez un appartement à louer à Poliez-le-Grand? ✅ Les annonces les plus actuelles sont sur ImmoScout24.ch.</t>
  </si>
  <si>
    <t>https://www.immoscout24.ch/fr/appartement/louer/lieu-dombresson</t>
  </si>
  <si>
    <t>Louer appartement Dombresson: Trouvez le bien immobilier qui correspond idéalement à vos désirs sur ImmoScout24 - La plateforme de l'immobilier en Suisse.</t>
  </si>
  <si>
    <t>🏘  Vous cherchez un appartement à louer à Dombresson? ✅ Les annonces les plus actuelles sont sur ImmoScout24.ch.</t>
  </si>
  <si>
    <t>https://www.immoscout24.ch/fr/maison/acheter/lieu-fahy</t>
  </si>
  <si>
    <t>Vendre maison Fahy: Trouvez le bien immobilier qui correspond idéalement à vos désirs sur ImmoScout24 - La plateforme de l'immobilier en Suisse.</t>
  </si>
  <si>
    <t>🏘  Vous souhaitez acheter une maison à Fahy? ✅ Jetez un œil aux dernières offres sur ImmoScout24.ch.</t>
  </si>
  <si>
    <t>https://www.immoscout24.ch/fr/appartement/acheter/lieu-fischbach-goeslikon</t>
  </si>
  <si>
    <t>Vendre appartement Fischbach-Göslikon: Trouvez le bien immobilier qui correspond idéalement à vos désirs sur ImmoScout24 - La plateforme de l'immobilier en Suisse.</t>
  </si>
  <si>
    <t>🏘  L’appartement de vos rêves se trouve sur ImmoScout24.ch ✅ Découvrez les dernières annonces de vente à Fischbach-Göslikon.</t>
  </si>
  <si>
    <t>https://www.immoscout24.ch/fr/maison/louer/lieu-schmitten-fr</t>
  </si>
  <si>
    <t>Louer maison Schmitten FR: Trouvez le bien immobilier qui correspond idéalement à vos désirs sur ImmoScout24 - La plateforme de l'immobilier en Suisse.</t>
  </si>
  <si>
    <t>🏘  Vous cherchez une maison à louer à Schmitten FR? ✅ Découvrez nos nombreuses annonces sur ImmoScout24.ch.</t>
  </si>
  <si>
    <t>https://www.immoscout24.ch/fr/maison/acheter/lieu-la-croix-de-rozon</t>
  </si>
  <si>
    <t>Vendre maison La Croix-de-Rozon: Trouvez le bien immobilier qui correspond idéalement à vos désirs sur ImmoScout24 - La plateforme de l'immobilier en Suisse.</t>
  </si>
  <si>
    <t>🏘  Vous souhaitez acheter une maison à La Croix-de-Rozon? ✅ Jetez un œil aux dernières offres sur ImmoScout24.ch.</t>
  </si>
  <si>
    <t>https://www.immoscout24.ch/fr/maison/acheter/lieu-burgdorf</t>
  </si>
  <si>
    <t>Vendre maison Burgdorf: Trouvez le bien immobilier qui correspond idéalement à vos désirs sur ImmoScout24 - La plateforme de l'immobilier en Suisse.</t>
  </si>
  <si>
    <t>🏘  Vous souhaitez acheter une maison à Burgdorf? ✅ Jetez un œil aux dernières offres sur ImmoScout24.ch.</t>
  </si>
  <si>
    <t>https://www.immoscout24.ch/fr/appartement/louer/lieu-turtmann</t>
  </si>
  <si>
    <t>Louer appartement Turtmann: Trouvez le bien immobilier qui correspond idéalement à vos désirs sur ImmoScout24 - La plateforme de l'immobilier en Suisse.</t>
  </si>
  <si>
    <t>🏘  Vous cherchez un appartement à louer à Turtmann? ✅ Les annonces les plus actuelles sont sur ImmoScout24.ch.</t>
  </si>
  <si>
    <t>https://www.immoscout24.ch/fr/appartement/acheter/lieu-poliez-pittet</t>
  </si>
  <si>
    <t>Vendre appartement Poliez-Pittet: Trouvez le bien immobilier qui correspond idéalement à vos désirs sur ImmoScout24 - La plateforme de l'immobilier en Suisse.</t>
  </si>
  <si>
    <t>🏘  L’appartement de vos rêves se trouve sur ImmoScout24.ch ✅ Découvrez les dernières annonces de vente à Poliez-Pittet.</t>
  </si>
  <si>
    <t>https://www.immoscout24.ch/fr/maison/louer/lieu-chevroux</t>
  </si>
  <si>
    <t>Louer maison Chevroux: Trouvez le bien immobilier qui correspond idéalement à vos désirs sur ImmoScout24 - La plateforme de l'immobilier en Suisse.</t>
  </si>
  <si>
    <t>🏘  Vous cherchez une maison à louer à Chevroux? ✅ Découvrez nos nombreuses annonces sur ImmoScout24.ch.</t>
  </si>
  <si>
    <t>https://www.immoscout24.ch/fr/appartement/louer/lieu-schwarzenbach-sg</t>
  </si>
  <si>
    <t>Louer appartement Schwarzenbach SG: Trouvez le bien immobilier qui correspond idéalement à vos désirs sur ImmoScout24 - La plateforme de l'immobilier en Suisse.</t>
  </si>
  <si>
    <t>🏘  Vous cherchez un appartement à louer à Schwarzenbach SG? ✅ Les annonces les plus actuelles sont sur ImmoScout24.ch.</t>
  </si>
  <si>
    <t>https://www.immoscout24.ch/fr/appartement/acheter/lieu-mund</t>
  </si>
  <si>
    <t>Vendre appartement Mund: Trouvez le bien immobilier qui correspond idéalement à vos désirs sur ImmoScout24 - La plateforme de l'immobilier en Suisse.</t>
  </si>
  <si>
    <t>🏘  L’appartement de vos rêves se trouve sur ImmoScout24.ch ✅ Découvrez les dernières annonces de vente à Mund.</t>
  </si>
  <si>
    <t>https://www.immoscout24.ch/fr/maison/acheter/lieu-brent</t>
  </si>
  <si>
    <t>Vendre maison Brent: Trouvez le bien immobilier qui correspond idéalement à vos désirs sur ImmoScout24 - La plateforme de l'immobilier en Suisse.</t>
  </si>
  <si>
    <t>🏘  Vous souhaitez acheter une maison à Brent? ✅ Jetez un œil aux dernières offres sur ImmoScout24.ch.</t>
  </si>
  <si>
    <t>https://www.immoscout24.ch/fr/appartement/louer/lieu-gossau-sg</t>
  </si>
  <si>
    <t>Louer appartement Gossau SG: Trouvez le bien immobilier qui correspond idéalement à vos désirs sur ImmoScout24 - La plateforme de l'immobilier en Suisse.</t>
  </si>
  <si>
    <t>🏘  Vous cherchez un appartement à louer à Gossau SG? ✅ Les annonces les plus actuelles sont sur ImmoScout24.ch.</t>
  </si>
  <si>
    <t>https://www.immoscout24.ch/fr/maison/acheter/lieu-boll</t>
  </si>
  <si>
    <t>Vendre maison Boll: Trouvez le bien immobilier qui correspond idéalement à vos désirs sur ImmoScout24 - La plateforme de l'immobilier en Suisse.</t>
  </si>
  <si>
    <t>🏘  Vous souhaitez acheter une maison à Boll? ✅ Jetez un œil aux dernières offres sur ImmoScout24.ch.</t>
  </si>
  <si>
    <t>https://www.immoscout24.ch/fr/appartement/louer/lieu-leuk-stadt</t>
  </si>
  <si>
    <t>Louer appartement Leuk Stadt: Trouvez le bien immobilier qui correspond idéalement à vos désirs sur ImmoScout24 - La plateforme de l'immobilier en Suisse.</t>
  </si>
  <si>
    <t>🏘  Vous cherchez un appartement à louer auuk Stadt? ✅ Les annonces les plus actuelles sont sur ImmoScout24.ch.</t>
  </si>
  <si>
    <t>https://www.immoscout24.ch/fr/appartement/louer/lieu-rossenges</t>
  </si>
  <si>
    <t>Louer appartement Rossenges: Trouvez le bien immobilier qui correspond idéalement à vos désirs sur ImmoScout24 - La plateforme de l'immobilier en Suisse.</t>
  </si>
  <si>
    <t>🏘  Vous cherchez un appartement à louer à Rossenges? ✅ Les annonces les plus actuelles sont sur ImmoScout24.ch.</t>
  </si>
  <si>
    <t>https://www.immoscout24.ch/fr/appartement/acheter/lieu-muentschemier</t>
  </si>
  <si>
    <t>Vendre appartement Müntschemier: Trouvez le bien immobilier qui correspond idéalement à vos désirs sur ImmoScout24 - La plateforme de l'immobilier en Suisse.</t>
  </si>
  <si>
    <t>🏘  L’appartement de vos rêves se trouve sur ImmoScout24.ch ✅ Découvrez les dernières annonces de vente à Müntschemier.</t>
  </si>
  <si>
    <t>https://www.immoscout24.ch/fr/maison/acheter/lieu-hofstetten-so</t>
  </si>
  <si>
    <t>Vendre maison Hofstetten SO: Trouvez le bien immobilier qui correspond idéalement à vos désirs sur ImmoScout24 - La plateforme de l'immobilier en Suisse.</t>
  </si>
  <si>
    <t>🏘  Vous souhaitez acheter une maison à Hofstetten SO? ✅ Jetez un œil aux dernières offres sur ImmoScout24.ch.</t>
  </si>
  <si>
    <t>https://www.immoscout24.ch/fr/appartement/louer/lieu-arbedo</t>
  </si>
  <si>
    <t>Louer appartement Arbedo: Trouvez le bien immobilier qui correspond idéalement à vos désirs sur ImmoScout24 - La plateforme de l'immobilier en Suisse.</t>
  </si>
  <si>
    <t>🏘  Vous cherchez un appartement à louer à Arbedo? ✅ Les annonces les plus actuelles sont sur ImmoScout24.ch.</t>
  </si>
  <si>
    <t>https://www.immoscout24.ch/fr/appartement/louer/lieu-reinach-bl</t>
  </si>
  <si>
    <t>Louer appartement Reinach BL: Trouvez le bien immobilier qui correspond idéalement à vos désirs sur ImmoScout24 - La plateforme de l'immobilier en Suisse.</t>
  </si>
  <si>
    <t>🏘  Vous cherchez un appartement à louer à Reinach BL? ✅ Les annonces les plus actuelles sont sur ImmoScout24.ch.</t>
  </si>
  <si>
    <t>https://www.immoscout24.ch/fr/appartement/acheter/lieu-duedingen</t>
  </si>
  <si>
    <t>Vendre appartement Düdingen: Trouvez le bien immobilier qui correspond idéalement à vos désirs sur ImmoScout24 - La plateforme de l'immobilier en Suisse.</t>
  </si>
  <si>
    <t>🏘  L’appartement de vos rêves se trouve sur ImmoScout24.ch ✅ Découvrez les dernières annonces de vente à Düdingen.</t>
  </si>
  <si>
    <t>https://www.immoscout24.ch/fr/appartement/acheter/lieu-confignon</t>
  </si>
  <si>
    <t>Vendre appartement Confignon: Trouvez le bien immobilier qui correspond idéalement à vos désirs sur ImmoScout24 - La plateforme de l'immobilier en Suisse.</t>
  </si>
  <si>
    <t>🏘  L’appartement de vos rêves se trouve sur ImmoScout24.ch ✅ Découvrez les dernières annonces de vente à Confignon.</t>
  </si>
  <si>
    <t>https://www.immoscout24.ch/fr/appartement/louer/lieu-flanthey</t>
  </si>
  <si>
    <t>Louer appartement Flanthey: Trouvez le bien immobilier qui correspond idéalement à vos désirs sur ImmoScout24 - La plateforme de l'immobilier en Suisse.</t>
  </si>
  <si>
    <t>🏘  Vous cherchez un appartement à louer à Flanthey? ✅ Les annonces les plus actuelles sont sur ImmoScout24.ch.</t>
  </si>
  <si>
    <t>https://www.immoscout24.ch/fr/maison/acheter/lieu-prahins</t>
  </si>
  <si>
    <t>Vendre maison Prahins: Trouvez le bien immobilier qui correspond idéalement à vos désirs sur ImmoScout24 - La plateforme de l'immobilier en Suisse.</t>
  </si>
  <si>
    <t>🏘  Vous souhaitez acheter une maison à Prahins? ✅ Jetez un œil aux dernières offres sur ImmoScout24.ch.</t>
  </si>
  <si>
    <t>https://www.immoscout24.ch/fr/appartement/acheter/lieu-sonceboz-sombeval</t>
  </si>
  <si>
    <t>Vendre appartement Sonceboz-Sombeval: Trouvez le bien immobilier qui correspond idéalement à vos désirs sur ImmoScout24 - La plateforme de l'immobilier en Suisse.</t>
  </si>
  <si>
    <t>🏘  L’appartement de vos rêves se trouve sur ImmoScout24.ch ✅ Découvrez les dernières annonces de vente à Sonceboz-Sombeval.</t>
  </si>
  <si>
    <t>https://www.immoscout24.ch/fr/appartement/louer/lieu-riniken</t>
  </si>
  <si>
    <t>Louer appartement Riniken: Trouvez le bien immobilier qui correspond idéalement à vos désirs sur ImmoScout24 - La plateforme de l'immobilier en Suisse.</t>
  </si>
  <si>
    <t>🏘  Vous cherchez un appartement à louer à Riniken? ✅ Les annonces les plus actuelles sont sur ImmoScout24.ch.</t>
  </si>
  <si>
    <t>https://www.immoscout24.ch/fr/maison/acheter/lieu-hilterfingen</t>
  </si>
  <si>
    <t>Vendre maison Hilterfingen: Trouvez le bien immobilier qui correspond idéalement à vos désirs sur ImmoScout24 - La plateforme de l'immobilier en Suisse.</t>
  </si>
  <si>
    <t>🏘  Vous souhaitez acheter une maison à Hilterfingen? ✅ Jetez un œil aux dernières offres sur ImmoScout24.ch.</t>
  </si>
  <si>
    <t>https://www.immoscout24.ch/fr/maison/acheter/lieu-ocourt</t>
  </si>
  <si>
    <t>Vendre maison Ocourt: Trouvez le bien immobilier qui correspond idéalement à vos désirs sur ImmoScout24 - La plateforme de l'immobilier en Suisse.</t>
  </si>
  <si>
    <t>🏘  Vous souhaitez acheter une maison à Ocourt? ✅ Jetez un œil aux dernières offres sur ImmoScout24.ch.</t>
  </si>
  <si>
    <t>https://www.immoscout24.ch/fr/maison/acheter/lieu-oleyres</t>
  </si>
  <si>
    <t>Vendre maison Oleyres: Trouvez le bien immobilier qui correspond idéalement à vos désirs sur ImmoScout24 - La plateforme de l'immobilier en Suisse.</t>
  </si>
  <si>
    <t>🏘  Vous souhaitez acheter une maison à Oleyres? ✅ Jetez un œil aux dernières offres sur ImmoScout24.ch.</t>
  </si>
  <si>
    <t>https://www.immoscout24.ch/fr/appartement/louer/lieu-wuennewil</t>
  </si>
  <si>
    <t>Louer appartement Wünnewil: Trouvez le bien immobilier qui correspond idéalement à vos désirs sur ImmoScout24 - La plateforme de l'immobilier en Suisse.</t>
  </si>
  <si>
    <t>🏘  Vous cherchez un appartement à louer à Wünnewil? ✅ Les annonces les plus actuelles sont sur ImmoScout24.ch.</t>
  </si>
  <si>
    <t>https://www.immoscout24.ch/fr/maison/louer/lieu-corsier-ge</t>
  </si>
  <si>
    <t>Louer maison Corsier GE: Trouvez le bien immobilier qui correspond idéalement à vos désirs sur ImmoScout24 - La plateforme de l'immobilier en Suisse.</t>
  </si>
  <si>
    <t>🏘  Vous cherchez une maison à louer à Corsier GE? ✅ Découvrez nos nombreuses annonces sur ImmoScout24.ch.</t>
  </si>
  <si>
    <t>https://www.immoscout24.ch/fr/appartement/louer/lieu-yverdon-les-bains</t>
  </si>
  <si>
    <t>Louer appartement Yverdon-les-Bains: Trouvez le bien immobilier qui correspond idéalement à vos désirs sur ImmoScout24 - La plateforme de l'immobilier en Suisse.</t>
  </si>
  <si>
    <t>🏘  Vous cherchez un appartement à louer à Yverdon-les-Bains? ✅ Les annonces les plus actuelles sont sur ImmoScout24.ch.</t>
  </si>
  <si>
    <t>https://www.immoscout24.ch/fr/appartement/louer/lieu-corminboeuf</t>
  </si>
  <si>
    <t>Louer appartement Corminboeuf: Trouvez le bien immobilier qui correspond idéalement à vos désirs sur ImmoScout24 - La plateforme de l'immobilier en Suisse.</t>
  </si>
  <si>
    <t>🏘  Vous cherchez un appartement à louer à Corminboeuf? ✅ Les annonces les plus actuelles sont sur ImmoScout24.ch.</t>
  </si>
  <si>
    <t>https://www.immoscout24.ch/fr/appartement/louer/lieu-euseigne</t>
  </si>
  <si>
    <t>Louer appartement Euseigne: Trouvez le bien immobilier qui correspond idéalement à vos désirs sur ImmoScout24 - La plateforme de l'immobilier en Suisse.</t>
  </si>
  <si>
    <t>🏘  Vous cherchez un appartement à louer à Euseigne? ✅ Les annonces les plus actuelles sont sur ImmoScout24.ch.</t>
  </si>
  <si>
    <t>https://www.immoscout24.ch/fr/maison/acheter/lieu-ovronnaz</t>
  </si>
  <si>
    <t>Vendre maison Ovronnaz: Trouvez le bien immobilier qui correspond idéalement à vos désirs sur ImmoScout24 - La plateforme de l'immobilier en Suisse.</t>
  </si>
  <si>
    <t>🏘  Vous souhaitez acheter une maison à Ovronnaz? ✅ Jetez un œil aux dernières offres sur ImmoScout24.ch.</t>
  </si>
  <si>
    <t>https://www.immoscout24.ch/fr/appartement/louer/lieu-renens-vd</t>
  </si>
  <si>
    <t>Louer appartement Renens VD: Trouvez le bien immobilier qui correspond idéalement à vos désirs sur ImmoScout24 - La plateforme de l'immobilier en Suisse.</t>
  </si>
  <si>
    <t>🏘  Vous cherchez un appartement à louer à Renens VD? ✅ Les annonces les plus actuelles sont sur ImmoScout24.ch.</t>
  </si>
  <si>
    <t>https://www.immoscout24.ch/fr/appartement/louer/lieu-weissbad</t>
  </si>
  <si>
    <t>Louer appartement Weissbad: Trouvez le bien immobilier qui correspond idéalement à vos désirs sur ImmoScout24 - La plateforme de l'immobilier en Suisse.</t>
  </si>
  <si>
    <t>🏘  Vous cherchez un appartement à louer à Weissbad? ✅ Les annonces les plus actuelles sont sur ImmoScout24.ch.</t>
  </si>
  <si>
    <t>https://www.immoscout24.ch/fr/appartement/louer/lieu-aldesago</t>
  </si>
  <si>
    <t>Louer appartement Aldesago: Trouvez le bien immobilier qui correspond idéalement à vos désirs sur ImmoScout24 - La plateforme de l'immobilier en Suisse.</t>
  </si>
  <si>
    <t>🏘  Vous cherchez un appartement à louer à Aldesago? ✅ Les annonces les plus actuelles sont sur ImmoScout24.ch.</t>
  </si>
  <si>
    <t>https://www.immoscout24.ch/fr/appartement/louer/lieu-turbach</t>
  </si>
  <si>
    <t>Louer appartement Turbach: Trouvez le bien immobilier qui correspond idéalement à vos désirs sur ImmoScout24 - La plateforme de l'immobilier en Suisse.</t>
  </si>
  <si>
    <t>🏘  Vous cherchez un appartement à louer à Turbach? ✅ Les annonces les plus actuelles sont sur ImmoScout24.ch.</t>
  </si>
  <si>
    <t>https://www.immoscout24.ch/fr/appartement/louer/lieu-grossaffoltern</t>
  </si>
  <si>
    <t>Louer appartement Grossaffoltern: Trouvez le bien immobilier qui correspond idéalement à vos désirs sur ImmoScout24 - La plateforme de l'immobilier en Suisse.</t>
  </si>
  <si>
    <t>🏘  Vous cherchez un appartement à louer à Grossaffoltern? ✅ Les annonces les plus actuelles sont sur ImmoScout24.ch.</t>
  </si>
  <si>
    <t>https://www.immoscout24.ch/fr/appartement/louer/quartier-bouchet-moillebeau-geneve</t>
  </si>
  <si>
    <t>Louer appartement Bouchet - Moillebeau (Genève): Trouvez le bien immobilier qui correspond idéalement à vos désirs sur ImmoScout24 - La plateforme de l'immobilier en Suisse.</t>
  </si>
  <si>
    <t>🏘  Vous cherchez un appartement à louer dans le quartier de Bouchet - Moillebeau (Genève)? ✅ Les annonces les plus actuelles sont sur ImmoScout24.ch.</t>
  </si>
  <si>
    <t>https://www.immoscout24.ch/fr/maison/acheter/lieu-treycovagnes</t>
  </si>
  <si>
    <t>Vendre maison Treycovagnes: Trouvez le bien immobilier qui correspond idéalement à vos désirs sur ImmoScout24 - La plateforme de l'immobilier en Suisse.</t>
  </si>
  <si>
    <t>🏘  Vous souhaitez acheter une maison à Treycovagnes? ✅ Jetez un œil aux dernières offres sur ImmoScout24.ch.</t>
  </si>
  <si>
    <t>https://www.immoscout24.ch/fr/maison/acheter/lieu-sarreyer</t>
  </si>
  <si>
    <t>Vendre maison Sarreyer: Trouvez le bien immobilier qui correspond idéalement à vos désirs sur ImmoScout24 - La plateforme de l'immobilier en Suisse.</t>
  </si>
  <si>
    <t>🏘  Vous souhaitez acheter une maison à Sarreyer? ✅ Jetez un œil aux dernières offres sur ImmoScout24.ch.</t>
  </si>
  <si>
    <t>https://www.immoscout24.ch/fr/maison/acheter/lieu-wollerau</t>
  </si>
  <si>
    <t>Vendre maison Wollerau: Trouvez le bien immobilier qui correspond idéalement à vos désirs sur ImmoScout24 - La plateforme de l'immobilier en Suisse.</t>
  </si>
  <si>
    <t>🏘  Vous souhaitez acheter une maison à Wollerau? ✅ Jetez un œil aux dernières offres sur ImmoScout24.ch.</t>
  </si>
  <si>
    <t>https://www.immoscout24.ch/fr/maison/louer/lieu-echichens</t>
  </si>
  <si>
    <t>Louer maison Echichens: Trouvez le bien immobilier qui correspond idéalement à vos désirs sur ImmoScout24 - La plateforme de l'immobilier en Suisse.</t>
  </si>
  <si>
    <t>🏘  Vous cherchez une maison à louer à Echichens? ✅ Découvrez nos nombreuses annonces sur ImmoScout24.ch.</t>
  </si>
  <si>
    <t>https://www.immoscout24.ch/fr/appartement/acheter/lieu-baar-nendaz</t>
  </si>
  <si>
    <t>Vendre appartement Baar (Nendaz): Trouvez le bien immobilier qui correspond idéalement à vos désirs sur ImmoScout24 - La plateforme de l'immobilier en Suisse.</t>
  </si>
  <si>
    <t>🏘  L’appartement de vos rêves se trouve sur ImmoScout24.ch ✅ Découvrez les dernières annonces de vente à Baar (Nendaz).</t>
  </si>
  <si>
    <t>https://www.immoscout24.ch/fr/appartement/louer/lieu-mezery-pres-donneloye</t>
  </si>
  <si>
    <t>Louer appartement Mézery-près-Donneloye: Trouvez le bien immobilier qui correspond idéalement à vos désirs sur ImmoScout24 - La plateforme de l'immobilier en Suisse.</t>
  </si>
  <si>
    <t>🏘  Vous cherchez un appartement à louer à Mézery-près-Donneloye? ✅ Les annonces les plus actuelles sont sur ImmoScout24.ch.</t>
  </si>
  <si>
    <t>https://www.immoscout24.ch/fr/appartement/louer/lieu-gurbrue</t>
  </si>
  <si>
    <t>Louer appartement Gurbrü: Trouvez le bien immobilier qui correspond idéalement à vos désirs sur ImmoScout24 - La plateforme de l'immobilier en Suisse.</t>
  </si>
  <si>
    <t>🏘  Vous cherchez un appartement à louer à Gurbrü? ✅ Les annonces les plus actuelles sont sur ImmoScout24.ch.</t>
  </si>
  <si>
    <t>https://www.immoscout24.ch/fr/maison/louer/lieu-fahy</t>
  </si>
  <si>
    <t>Louer maison Fahy: Trouvez le bien immobilier qui correspond idéalement à vos désirs sur ImmoScout24 - La plateforme de l'immobilier en Suisse.</t>
  </si>
  <si>
    <t>🏘  Vous cherchez une maison à louer à Fahy? ✅ Découvrez nos nombreuses annonces sur ImmoScout24.ch.</t>
  </si>
  <si>
    <t>https://www.immoscout24.ch/fr/maison/acheter/lieu-gilly</t>
  </si>
  <si>
    <t>Vendre maison Gilly: Trouvez le bien immobilier qui correspond idéalement à vos désirs sur ImmoScout24 - La plateforme de l'immobilier en Suisse.</t>
  </si>
  <si>
    <t>🏘  Vous souhaitez acheter une maison à Gilly? ✅ Jetez un œil aux dernières offres sur ImmoScout24.ch.</t>
  </si>
  <si>
    <t>https://www.immoscout24.ch/fr/appartement/acheter/lieu-liestal</t>
  </si>
  <si>
    <t>Vendre appartement Liestal: Trouvez le bien immobilier qui correspond idéalement à vos désirs sur ImmoScout24 - La plateforme de l'immobilier en Suisse.</t>
  </si>
  <si>
    <t>🏘  L’appartement de vos rêves se trouve sur ImmoScout24.ch ✅ Découvrez les dernières annonces de vente à Liestal.</t>
  </si>
  <si>
    <t>https://www.immoscout24.ch/fr/maison/acheter/lieu-iserables</t>
  </si>
  <si>
    <t>Vendre maison Isérables: Trouvez le bien immobilier qui correspond idéalement à vos désirs sur ImmoScout24 - La plateforme de l'immobilier en Suisse.</t>
  </si>
  <si>
    <t>🏘  Vous souhaitez acheter une maison à Isérables? ✅ Jetez un œil aux dernières offres sur ImmoScout24.ch.</t>
  </si>
  <si>
    <t>https://www.immoscout24.ch/fr/maison/acheter/lieu-reckingen-vs</t>
  </si>
  <si>
    <t>Vendre maison Reckingen VS: Trouvez le bien immobilier qui correspond idéalement à vos désirs sur ImmoScout24 - La plateforme de l'immobilier en Suisse.</t>
  </si>
  <si>
    <t>🏘  Vous souhaitez acheter une maison à Reckingen VS? ✅ Jetez un œil aux dernières offres sur ImmoScout24.ch.</t>
  </si>
  <si>
    <t>https://www.immoscout24.ch/fr/appartement/louer/lieu-bremgarten-ag</t>
  </si>
  <si>
    <t>Louer appartement Bremgarten AG: Trouvez le bien immobilier qui correspond idéalement à vos désirs sur ImmoScout24 - La plateforme de l'immobilier en Suisse.</t>
  </si>
  <si>
    <t>🏘  Vous cherchez un appartement à louer à Bremgarten AG? ✅ Les annonces les plus actuelles sont sur ImmoScout24.ch.</t>
  </si>
  <si>
    <t>https://www.immoscout24.ch/fr/appartement/louer/lieu-grimisuat</t>
  </si>
  <si>
    <t>Louer appartement Grimisuat: Trouvez le bien immobilier qui correspond idéalement à vos désirs sur ImmoScout24 - La plateforme de l'immobilier en Suisse.</t>
  </si>
  <si>
    <t>🏘  Vous cherchez un appartement à louer à Grimisuat? ✅ Les annonces les plus actuelles sont sur ImmoScout24.ch.</t>
  </si>
  <si>
    <t>https://www.immoscout24.ch/fr/maison/acheter/lieu-kerzers</t>
  </si>
  <si>
    <t>Vendre maison Kerzers: Trouvez le bien immobilier qui correspond idéalement à vos désirs sur ImmoScout24 - La plateforme de l'immobilier en Suisse.</t>
  </si>
  <si>
    <t>🏘  Vous souhaitez acheter une maison à Kerzers? ✅ Jetez un œil aux dernières offres sur ImmoScout24.ch.</t>
  </si>
  <si>
    <t>https://www.immoscout24.ch/fr/maison/louer/lieu-chatel-st-denis</t>
  </si>
  <si>
    <t>Louer maison Châtel-St-Denis: Trouvez le bien immobilier qui correspond idéalement à vos désirs sur ImmoScout24 - La plateforme de l'immobilier en Suisse.</t>
  </si>
  <si>
    <t>🏘  Vous cherchez une maison à louer à Châtel-St-Denis? ✅ Découvrez nos nombreuses annonces sur ImmoScout24.ch.</t>
  </si>
  <si>
    <t>https://www.immoscout24.ch/fr/appartement/acheter/lieu-cottens-fr</t>
  </si>
  <si>
    <t>Vendre appartement Cottens FR: Trouvez le bien immobilier qui correspond idéalement à vos désirs sur ImmoScout24 - La plateforme de l'immobilier en Suisse.</t>
  </si>
  <si>
    <t>🏘  L’appartement de vos rêves se trouve sur ImmoScout24.ch ✅ Découvrez les dernières annonces de vente à Cottens FR.</t>
  </si>
  <si>
    <t>https://www.immoscout24.ch/fr/maison/louer/lieu-winterberg-zh</t>
  </si>
  <si>
    <t>Louer maison Winterberg ZH: Trouvez le bien immobilier qui correspond idéalement à vos désirs sur ImmoScout24 - La plateforme de l'immobilier en Suisse.</t>
  </si>
  <si>
    <t>🏘  Vous cherchez une maison à louer à Winterberg ZH? ✅ Découvrez nos nombreuses annonces sur ImmoScout24.ch.</t>
  </si>
  <si>
    <t>https://www.immoscout24.ch/fr/maison/louer/lieu-wallenbuch</t>
  </si>
  <si>
    <t>Louer maison Wallenbuch: Trouvez le bien immobilier qui correspond idéalement à vos désirs sur ImmoScout24 - La plateforme de l'immobilier en Suisse.</t>
  </si>
  <si>
    <t>🏘  Vous cherchez une maison à louer à Wallenbuch? ✅ Découvrez nos nombreuses annonces sur ImmoScout24.ch.</t>
  </si>
  <si>
    <t>https://www.immoscout24.ch/fr/maison/acheter/lieu-bonvillars</t>
  </si>
  <si>
    <t>Vendre maison Bonvillars: Trouvez le bien immobilier qui correspond idéalement à vos désirs sur ImmoScout24 - La plateforme de l'immobilier en Suisse.</t>
  </si>
  <si>
    <t>🏘  Vous souhaitez acheter une maison à Bonvillars? ✅ Jetez un œil aux dernières offres sur ImmoScout24.ch.</t>
  </si>
  <si>
    <t>https://www.immoscout24.ch/fr/appartement/louer/lieu-schliern-b-koeniz</t>
  </si>
  <si>
    <t>Louer appartement Schliern b. Köniz: Trouvez le bien immobilier qui correspond idéalement à vos désirs sur ImmoScout24 - La plateforme de l'immobilier en Suisse.</t>
  </si>
  <si>
    <t>🏘  Vous cherchez un appartement à louer à Schliern b. Köniz? ✅ Les annonces les plus actuelles sont sur ImmoScout24.ch.</t>
  </si>
  <si>
    <t>https://www.immoscout24.ch/fr/appartement/louer/lieu-pully</t>
  </si>
  <si>
    <t>Louer appartement Pully: Trouvez le bien immobilier qui correspond idéalement à vos désirs sur ImmoScout24 - La plateforme de l'immobilier en Suisse.</t>
  </si>
  <si>
    <t>🏘  Vous cherchez un appartement à louer à Pully? ✅ Les annonces les plus actuelles sont sur ImmoScout24.ch.</t>
  </si>
  <si>
    <t>https://www.immoscout24.ch/fr/maison/acheter/lieu-duillier</t>
  </si>
  <si>
    <t>Vendre maison Duillier: Trouvez le bien immobilier qui correspond idéalement à vos désirs sur ImmoScout24 - La plateforme de l'immobilier en Suisse.</t>
  </si>
  <si>
    <t>🏘  Vous souhaitez acheter une maison à Duillier? ✅ Jetez un œil aux dernières offres sur ImmoScout24.ch.</t>
  </si>
  <si>
    <t>https://www.immoscout24.ch/fr/appartement/louer/lieu-aire-la-ville</t>
  </si>
  <si>
    <t>Louer appartement Aire-la-Ville: Trouvez le bien immobilier qui correspond idéalement à vos désirs sur ImmoScout24 - La plateforme de l'immobilier en Suisse.</t>
  </si>
  <si>
    <t>🏘  Vous cherchez un appartement à louer à Aire-la-Ville? ✅ Les annonces les plus actuelles sont sur ImmoScout24.ch.</t>
  </si>
  <si>
    <t>https://www.immoscout24.ch/fr/appartement/louer/lieu-rossiniere</t>
  </si>
  <si>
    <t>Louer appartement Rossinière: Trouvez le bien immobilier qui correspond idéalement à vos désirs sur ImmoScout24 - La plateforme de l'immobilier en Suisse.</t>
  </si>
  <si>
    <t>🏘  Vous cherchez un appartement à louer à Rossinière? ✅ Les annonces les plus actuelles sont sur ImmoScout24.ch.</t>
  </si>
  <si>
    <t>https://www.immoscout24.ch/fr/appartement/acheter/lieu-kirchberg-be</t>
  </si>
  <si>
    <t>Vendre appartement Kirchberg BE: Trouvez le bien immobilier qui correspond idéalement à vos désirs sur ImmoScout24 - La plateforme de l'immobilier en Suisse.</t>
  </si>
  <si>
    <t>🏘  L’appartement de vos rêves se trouve sur ImmoScout24.ch ✅ Découvrez les dernières annonces de vente à Kirchberg BE.</t>
  </si>
  <si>
    <t>https://www.immoscout24.ch/fr/appartement/louer/lieu-tuescherz-alfermee</t>
  </si>
  <si>
    <t>Louer appartement Tüscherz-Alfermée: Trouvez le bien immobilier qui correspond idéalement à vos désirs sur ImmoScout24 - La plateforme de l'immobilier en Suisse.</t>
  </si>
  <si>
    <t>🏘  Vous cherchez un appartement à louer à Tüscherz-Alfermée? ✅ Les annonces les plus actuelles sont sur ImmoScout24.ch.</t>
  </si>
  <si>
    <t>https://www.immoscout24.ch/fr/appartement/acheter/lieu-la-tour-de-treme</t>
  </si>
  <si>
    <t>Vendre appartement La Tour-de-Trême: Trouvez le bien immobilier qui correspond idéalement à vos désirs sur ImmoScout24 - La plateforme de l'immobilier en Suisse.</t>
  </si>
  <si>
    <t>🏘  L’appartement de vos rêves se trouve sur ImmoScout24.ch ✅ Découvrez les dernières annonces de vente à La Tour-de-Trême.</t>
  </si>
  <si>
    <t>https://www.immoscout24.ch/fr/appartement/acheter/lieu-kloten</t>
  </si>
  <si>
    <t>Vendre appartement Kloten: Trouvez le bien immobilier qui correspond idéalement à vos désirs sur ImmoScout24 - La plateforme de l'immobilier en Suisse.</t>
  </si>
  <si>
    <t>🏘  L’appartement de vos rêves se trouve sur ImmoScout24.ch ✅ Découvrez les dernières annonces de vente à Kloten.</t>
  </si>
  <si>
    <t>https://www.immoscout24.ch/fr/maison/acheter/lieu-vissoie</t>
  </si>
  <si>
    <t>Vendre maison Vissoie: Trouvez le bien immobilier qui correspond idéalement à vos désirs sur ImmoScout24 - La plateforme de l'immobilier en Suisse.</t>
  </si>
  <si>
    <t>🏘  Vous souhaitez acheter une maison à Vissoie? ✅ Jetez un œil aux dernières offres sur ImmoScout24.ch.</t>
  </si>
  <si>
    <t>https://www.immoscout24.ch/fr/maison/louer/lieu-fleurier</t>
  </si>
  <si>
    <t>Louer maison Fleurier: Trouvez le bien immobilier qui correspond idéalement à vos désirs sur ImmoScout24 - La plateforme de l'immobilier en Suisse.</t>
  </si>
  <si>
    <t>🏘  Vous cherchez une maison à louer à Fleurier? ✅ Découvrez nos nombreuses annonces sur ImmoScout24.ch.</t>
  </si>
  <si>
    <t>https://www.immoscout24.ch/fr/appartement/acheter/lieu-corbieres</t>
  </si>
  <si>
    <t>Vendre appartement Corbières: Trouvez le bien immobilier qui correspond idéalement à vos désirs sur ImmoScout24 - La plateforme de l'immobilier en Suisse.</t>
  </si>
  <si>
    <t>🏘  L’appartement de vos rêves se trouve sur ImmoScout24.ch ✅ Découvrez les dernières annonces de vente à Corbières.</t>
  </si>
  <si>
    <t>https://www.immoscout24.ch/fr/appartement/louer/lieu-arosa</t>
  </si>
  <si>
    <t>Louer appartement Arosa: Trouvez le bien immobilier qui correspond idéalement à vos désirs sur ImmoScout24 - La plateforme de l'immobilier en Suisse.</t>
  </si>
  <si>
    <t>🏘  Vous cherchez un appartement à louer à Arosa? ✅ Les annonces les plus actuelles sont sur ImmoScout24.ch.</t>
  </si>
  <si>
    <t>https://www.immoscout24.ch/fr/maison/acheter/lieu-cornol</t>
  </si>
  <si>
    <t>Vendre maison Cornol: Trouvez le bien immobilier qui correspond idéalement à vos désirs sur ImmoScout24 - La plateforme de l'immobilier en Suisse.</t>
  </si>
  <si>
    <t>🏘  Vous souhaitez acheter une maison à Cornol? ✅ Jetez un œil aux dernières offres sur ImmoScout24.ch.</t>
  </si>
  <si>
    <t>https://www.immoscout24.ch/fr/appartement/acheter/lieu-muenster-vs</t>
  </si>
  <si>
    <t>Vendre appartement Münster VS: Trouvez le bien immobilier qui correspond idéalement à vos désirs sur ImmoScout24 - La plateforme de l'immobilier en Suisse.</t>
  </si>
  <si>
    <t>🏘  L’appartement de vos rêves se trouve sur ImmoScout24.ch ✅ Découvrez les dernières annonces de vente à Münster VS.</t>
  </si>
  <si>
    <t>https://www.immoscout24.ch/fr/maison/acheter/lieu-courchavon</t>
  </si>
  <si>
    <t>Vendre maison Courchavon: Trouvez le bien immobilier qui correspond idéalement à vos désirs sur ImmoScout24 - La plateforme de l'immobilier en Suisse.</t>
  </si>
  <si>
    <t>🏘  Vous souhaitez acheter une maison à Courchavon? ✅ Jetez un œil aux dernières offres sur ImmoScout24.ch.</t>
  </si>
  <si>
    <t>https://www.immoscout24.ch/fr/maison/acheter/lieu-chapelle-sur-moudon</t>
  </si>
  <si>
    <t>Vendre maison Chapelle-sur-Moudon: Trouvez le bien immobilier qui correspond idéalement à vos désirs sur ImmoScout24 - La plateforme de l'immobilier en Suisse.</t>
  </si>
  <si>
    <t>🏘  Vous souhaitez acheter une maison à Chapelle-sur-Moudon? ✅ Jetez un œil aux dernières offres sur ImmoScout24.ch.</t>
  </si>
  <si>
    <t>https://www.immoscout24.ch/fr/maison/acheter/canton-obwald</t>
  </si>
  <si>
    <t>Vendre maison Canton d'Obwald: Trouvez le bien immobilier qui correspond idéalement à vos désirs sur ImmoScout24 - La plateforme de l'immobilier en Suisse.</t>
  </si>
  <si>
    <t>🏘  Vous souhaitez acheter une maison dans le Canton d'Obwald? ✅ Jetez un œil aux dernières offres sur ImmoScout24.ch.</t>
  </si>
  <si>
    <t>https://www.immoscout24.ch/fr/maison/acheter/quartier-draizes-vauseyon-neuchatel</t>
  </si>
  <si>
    <t>Vendre maison Draizes - Vauseyon (Neuchâtel): Trouvez le bien immobilier qui correspond idéalement à vos désirs sur ImmoScout24 - La plateforme de l'immobilier en Suisse.</t>
  </si>
  <si>
    <t>🏘  Vous souhaitez acheter une maison dans le quartier des Draizes - Vauseyon (Neuchâtel)? ✅ Jetez un œil aux dernières offres sur ImmoScout24.ch.</t>
  </si>
  <si>
    <t>https://www.immoscout24.ch/fr/appartement/acheter/lieu-vella</t>
  </si>
  <si>
    <t>Vendre appartement Vella: Trouvez le bien immobilier qui correspond idéalement à vos désirs sur ImmoScout24 - La plateforme de l'immobilier en Suisse.</t>
  </si>
  <si>
    <t>🏘  L’appartement de vos rêves se trouve sur ImmoScout24.ch ✅ Découvrez les dernières annonces de vente à Vella.</t>
  </si>
  <si>
    <t>https://www.immoscout24.ch/fr/appartement/louer/lieu-oberramsern</t>
  </si>
  <si>
    <t>Louer appartement Oberramsern: Trouvez le bien immobilier qui correspond idéalement à vos désirs sur ImmoScout24 - La plateforme de l'immobilier en Suisse.</t>
  </si>
  <si>
    <t>🏘  Vous cherchez un appartement à louer à Oberramsern? ✅ Les annonces les plus actuelles sont sur ImmoScout24.ch.</t>
  </si>
  <si>
    <t>https://www.immoscout24.ch/fr/appartement/louer/lieu-les-emibois</t>
  </si>
  <si>
    <t>Louer appartement Les Emibois: Trouvez le bien immobilier qui correspond idéalement à vos désirs sur ImmoScout24 - La plateforme de l'immobilier en Suisse.</t>
  </si>
  <si>
    <t>🏘  Vous cherchez un appartement à louer aux Emibois? ✅ Les annonces les plus actuelles sont sur ImmoScout24.ch.</t>
  </si>
  <si>
    <t>https://www.immoscout24.ch/fr/maison/acheter/lieu-tolochenaz</t>
  </si>
  <si>
    <t>Vendre maison Tolochenaz: Trouvez le bien immobilier qui correspond idéalement à vos désirs sur ImmoScout24 - La plateforme de l'immobilier en Suisse.</t>
  </si>
  <si>
    <t>🏘  Vous souhaitez acheter une maison à Tolochenaz? ✅ Jetez un œil aux dernières offres sur ImmoScout24.ch.</t>
  </si>
  <si>
    <t>https://www.immoscout24.ch/fr/appartement/acheter/lieu-villeneuve-vd</t>
  </si>
  <si>
    <t>Vendre appartement Villeneuve VD: Trouvez le bien immobilier qui correspond idéalement à vos désirs sur ImmoScout24 - La plateforme de l'immobilier en Suisse.</t>
  </si>
  <si>
    <t>🏘  L’appartement de vos rêves se trouve sur ImmoScout24.ch ✅ Découvrez les dernières annonces de vente à Villeneuve VD.</t>
  </si>
  <si>
    <t>https://www.immoscout24.ch/fr/maison/acheter/lieu-tafers</t>
  </si>
  <si>
    <t>Vendre maison Tafers: Trouvez le bien immobilier qui correspond idéalement à vos désirs sur ImmoScout24 - La plateforme de l'immobilier en Suisse.</t>
  </si>
  <si>
    <t>🏘  Vous souhaitez acheter une maison à Tafers? ✅ Jetez un œil aux dernières offres sur ImmoScout24.ch.</t>
  </si>
  <si>
    <t>https://www.immoscout24.ch/fr/maison/acheter/lieu-herzogenbuchsee</t>
  </si>
  <si>
    <t>Vendre maison Herzogenbuchsee: Trouvez le bien immobilier qui correspond idéalement à vos désirs sur ImmoScout24 - La plateforme de l'immobilier en Suisse.</t>
  </si>
  <si>
    <t>🏘  Vous souhaitez acheter une maison à Herzogenbuchsee? ✅ Jetez un œil aux dernières offres sur ImmoScout24.ch.</t>
  </si>
  <si>
    <t>https://www.immoscout24.ch/fr/maison/acheter/lieu-avully</t>
  </si>
  <si>
    <t>Vendre maison Avully: Trouvez le bien immobilier qui correspond idéalement à vos désirs sur ImmoScout24 - La plateforme de l'immobilier en Suisse.</t>
  </si>
  <si>
    <t>🏘  Vous souhaitez acheter une maison à Avully? ✅ Jetez un œil aux dernières offres sur ImmoScout24.ch.</t>
  </si>
  <si>
    <t>https://www.immoscout24.ch/fr/maison/acheter/lieu-vernate</t>
  </si>
  <si>
    <t>Vendre maison Vernate: Trouvez le bien immobilier qui correspond idéalement à vos désirs sur ImmoScout24 - La plateforme de l'immobilier en Suisse.</t>
  </si>
  <si>
    <t>🏘  Vous souhaitez acheter une maison à Vernate? ✅ Jetez un œil aux dernières offres sur ImmoScout24.ch.</t>
  </si>
  <si>
    <t>https://www.immoscout24.ch/fr/maison/acheter/lieu-grandsivaz</t>
  </si>
  <si>
    <t>Vendre maison Grandsivaz: Trouvez le bien immobilier qui correspond idéalement à vos désirs sur ImmoScout24 - La plateforme de l'immobilier en Suisse.</t>
  </si>
  <si>
    <t>🏘  Vous souhaitez acheter une maison à Grandsivaz? ✅ Jetez un œil aux dernières offres sur ImmoScout24.ch.</t>
  </si>
  <si>
    <t>https://www.immoscout24.ch/fr/appartement/acheter/lieu-koeniz</t>
  </si>
  <si>
    <t>Vendre appartement Köniz: Trouvez le bien immobilier qui correspond idéalement à vos désirs sur ImmoScout24 - La plateforme de l'immobilier en Suisse.</t>
  </si>
  <si>
    <t>🏘  L’appartement de vos rêves se trouve sur ImmoScout24.ch ✅ Découvrez les dernières annonces de vente à Köniz.</t>
  </si>
  <si>
    <t>https://www.immoscout24.ch/fr/appartement/acheter/lieu-reutlingen-winterthur</t>
  </si>
  <si>
    <t>Vendre appartement Reutlingen (Winterthur): Trouvez le bien immobilier qui correspond idéalement à vos désirs sur ImmoScout24 - La plateforme de l'immobilier en Suisse.</t>
  </si>
  <si>
    <t>🏘  L’appartement de vos rêves se trouve sur ImmoScout24.ch ✅ Découvrez les dernières annonces de vente à Reutlingen (Winterthur).</t>
  </si>
  <si>
    <t>https://www.immoscout24.ch/fr/maison/acheter/lieu-pery</t>
  </si>
  <si>
    <t>Vendre maison Péry: Trouvez le bien immobilier qui correspond idéalement à vos désirs sur ImmoScout24 - La plateforme de l'immobilier en Suisse.</t>
  </si>
  <si>
    <t>🏘  Vous souhaitez acheter une maison à Péry? ✅ Jetez un œil aux dernières offres sur ImmoScout24.ch.</t>
  </si>
  <si>
    <t>https://www.immoscout24.ch/fr/appartement/louer/lieu-giswil</t>
  </si>
  <si>
    <t>Louer appartement Giswil: Trouvez le bien immobilier qui correspond idéalement à vos désirs sur ImmoScout24 - La plateforme de l'immobilier en Suisse.</t>
  </si>
  <si>
    <t>🏘  Vous cherchez un appartement à louer à Giswil? ✅ Les annonces les plus actuelles sont sur ImmoScout24.ch.</t>
  </si>
  <si>
    <t>https://www.immoscout24.ch/fr/appartement/acheter/lieu-saas-fee</t>
  </si>
  <si>
    <t>Vendre appartement Saas-Fee: Trouvez le bien immobilier qui correspond idéalement à vos désirs sur ImmoScout24 - La plateforme de l'immobilier en Suisse.</t>
  </si>
  <si>
    <t>🏘  L’appartement de vos rêves se trouve sur ImmoScout24.ch ✅ Découvrez les dernières annonces de vente à Saas-Fee.</t>
  </si>
  <si>
    <t>https://www.immoscout24.ch/fr/maison/acheter/lieu-clarens</t>
  </si>
  <si>
    <t>Vendre maison Clarens: Trouvez le bien immobilier qui correspond idéalement à vos désirs sur ImmoScout24 - La plateforme de l'immobilier en Suisse.</t>
  </si>
  <si>
    <t>🏘  Vous souhaitez acheter une maison à Clarens? ✅ Jetez un œil aux dernières offres sur ImmoScout24.ch.</t>
  </si>
  <si>
    <t>https://www.immoscout24.ch/fr/appartement/louer/lieu-boncourt</t>
  </si>
  <si>
    <t>Louer appartement Boncourt: Trouvez le bien immobilier qui correspond idéalement à vos désirs sur ImmoScout24 - La plateforme de l'immobilier en Suisse.</t>
  </si>
  <si>
    <t>🏘  Vous cherchez un appartement à louer à Boncourt? ✅ Les annonces les plus actuelles sont sur ImmoScout24.ch.</t>
  </si>
  <si>
    <t>https://www.immoscout24.ch/fr/appartement/acheter/lieu-blonay</t>
  </si>
  <si>
    <t>Vendre appartement Blonay: Trouvez le bien immobilier qui correspond idéalement à vos désirs sur ImmoScout24 - La plateforme de l'immobilier en Suisse.</t>
  </si>
  <si>
    <t>🏘  L’appartement de vos rêves se trouve sur ImmoScout24.ch ✅ Découvrez les dernières annonces de vente à Blonay.</t>
  </si>
  <si>
    <t>https://www.immoscout24.ch/fr/maison/acheter/lieu-beuson-nendaz</t>
  </si>
  <si>
    <t>Vendre maison Beuson (Nendaz): Trouvez le bien immobilier qui correspond idéalement à vos désirs sur ImmoScout24 - La plateforme de l'immobilier en Suisse.</t>
  </si>
  <si>
    <t>🏘  Vous souhaitez acheter une maison à Beuson (Nendaz)? ✅ Jetez un œil aux dernières offres sur ImmoScout24.ch.</t>
  </si>
  <si>
    <t>https://www.immoscout24.ch/fr/appartement/acheter/lieu-rougemont</t>
  </si>
  <si>
    <t>Vendre appartement Rougemont: Trouvez le bien immobilier qui correspond idéalement à vos désirs sur ImmoScout24 - La plateforme de l'immobilier en Suisse.</t>
  </si>
  <si>
    <t>🏘  L’appartement de vos rêves se trouve sur ImmoScout24.ch ✅ Découvrez les dernières annonces de vente à Rougemont.</t>
  </si>
  <si>
    <t>https://www.immoscout24.ch/fr/appartement/acheter/lieu-flanthey</t>
  </si>
  <si>
    <t>Vendre appartement Flanthey: Trouvez le bien immobilier qui correspond idéalement à vos désirs sur ImmoScout24 - La plateforme de l'immobilier en Suisse.</t>
  </si>
  <si>
    <t>🏘  L’appartement de vos rêves se trouve sur ImmoScout24.ch ✅ Découvrez les dernières annonces de vente à Flanthey.</t>
  </si>
  <si>
    <t>https://www.immoscout24.ch/fr/appartement/acheter/lieu-blessens</t>
  </si>
  <si>
    <t>Vendre appartement Blessens: Trouvez le bien immobilier qui correspond idéalement à vos désirs sur ImmoScout24 - La plateforme de l'immobilier en Suisse.</t>
  </si>
  <si>
    <t>🏘  L’appartement de vos rêves se trouve sur ImmoScout24.ch ✅ Découvrez les dernières annonces de vente à Blessens.</t>
  </si>
  <si>
    <t>https://www.immoscout24.ch/fr/appartement/louer/lieu-essertes</t>
  </si>
  <si>
    <t>Louer appartement Essertes: Trouvez le bien immobilier qui correspond idéalement à vos désirs sur ImmoScout24 - La plateforme de l'immobilier en Suisse.</t>
  </si>
  <si>
    <t>🏘  Vous cherchez un appartement à louer à Essertes? ✅ Les annonces les plus actuelles sont sur ImmoScout24.ch.</t>
  </si>
  <si>
    <t>https://www.immoscout24.ch/fr/appartement/acheter/lieu-apples</t>
  </si>
  <si>
    <t>Vendre appartement Apples: Trouvez le bien immobilier qui correspond idéalement à vos désirs sur ImmoScout24 - La plateforme de l'immobilier en Suisse.</t>
  </si>
  <si>
    <t>🏘  L’appartement de vos rêves se trouve sur ImmoScout24.ch ✅ Découvrez les dernières annonces de vente à Apples.</t>
  </si>
  <si>
    <t>https://www.immoscout24.ch/fr/appartement/louer/lieu-seltisberg</t>
  </si>
  <si>
    <t>Louer appartement Seltisberg: Trouvez le bien immobilier qui correspond idéalement à vos désirs sur ImmoScout24 - La plateforme de l'immobilier en Suisse.</t>
  </si>
  <si>
    <t>🏘  Vous cherchez un appartement à louer à Seltisberg? ✅ Les annonces les plus actuelles sont sur ImmoScout24.ch.</t>
  </si>
  <si>
    <t>https://www.immoscout24.ch/fr/maison/acheter/lieu-montbrelloz</t>
  </si>
  <si>
    <t>Vendre maison Montbrelloz: Trouvez le bien immobilier qui correspond idéalement à vos désirs sur ImmoScout24 - La plateforme de l'immobilier en Suisse.</t>
  </si>
  <si>
    <t>🏘  Vous souhaitez acheter une maison à Montbrelloz? ✅ Jetez un œil aux dernières offres sur ImmoScout24.ch.</t>
  </si>
  <si>
    <t>https://www.immoscout24.ch/fr/maison/acheter/lieu-maracon</t>
  </si>
  <si>
    <t>Vendre maison Maracon: Trouvez le bien immobilier qui correspond idéalement à vos désirs sur ImmoScout24 - La plateforme de l'immobilier en Suisse.</t>
  </si>
  <si>
    <t>🏘  Vous souhaitez acheter une maison à Maracon? ✅ Jetez un œil aux dernières offres sur ImmoScout24.ch.</t>
  </si>
  <si>
    <t>https://www.immoscout24.ch/fr/appartement/louer/lieu-valeyres-sous-rances</t>
  </si>
  <si>
    <t>Louer appartement Valeyres-sous-Rances: Trouvez le bien immobilier qui correspond idéalement à vos désirs sur ImmoScout24 - La plateforme de l'immobilier en Suisse.</t>
  </si>
  <si>
    <t>🏘  Vous cherchez un appartement à louer à Valeyres-sous-Rances? ✅ Les annonces les plus actuelles sont sur ImmoScout24.ch.</t>
  </si>
  <si>
    <t>https://www.immoscout24.ch/fr/appartement/acheter/lieu-vernate</t>
  </si>
  <si>
    <t>Vendre appartement Vernate: Trouvez le bien immobilier qui correspond idéalement à vos désirs sur ImmoScout24 - La plateforme de l'immobilier en Suisse.</t>
  </si>
  <si>
    <t>🏘  L’appartement de vos rêves se trouve sur ImmoScout24.ch ✅ Découvrez les dernières annonces de vente à Vernate.</t>
  </si>
  <si>
    <t>https://www.immoscout24.ch/fr/appartement/louer/lieu-biel-benken-bl</t>
  </si>
  <si>
    <t>Louer appartement Biel-Benken BL: Trouvez le bien immobilier qui correspond idéalement à vos désirs sur ImmoScout24 - La plateforme de l'immobilier en Suisse.</t>
  </si>
  <si>
    <t>🏘  Vous cherchez un appartement à louer à Biel-Benken BL? ✅ Les annonces les plus actuelles sont sur ImmoScout24.ch.</t>
  </si>
  <si>
    <t>https://www.immoscout24.ch/fr/maison/acheter/lieu-waedenswil</t>
  </si>
  <si>
    <t>Vendre maison Wädenswil: Trouvez le bien immobilier qui correspond idéalement à vos désirs sur ImmoScout24 - La plateforme de l'immobilier en Suisse.</t>
  </si>
  <si>
    <t>🏘  Vous souhaitez acheter une maison à Wädenswil? ✅ Jetez un œil aux dernières offres sur ImmoScout24.ch.</t>
  </si>
  <si>
    <t>https://www.immoscout24.ch/fr/appartement/louer/lieu-delemont</t>
  </si>
  <si>
    <t>Louer appartement Delémont: Trouvez le bien immobilier qui correspond idéalement à vos désirs sur ImmoScout24 - La plateforme de l'immobilier en Suisse.</t>
  </si>
  <si>
    <t>🏘  Vous cherchez un appartement à louer à Delémont? ✅ Les annonces les plus actuelles sont sur ImmoScout24.ch.</t>
  </si>
  <si>
    <t>https://www.immoscout24.ch/fr/maison/acheter/lieu-bottighofen</t>
  </si>
  <si>
    <t>Vendre maison Bottighofen: Trouvez le bien immobilier qui correspond idéalement à vos désirs sur ImmoScout24 - La plateforme de l'immobilier en Suisse.</t>
  </si>
  <si>
    <t>🏘  Vous souhaitez acheter une maison à Bottighofen? ✅ Jetez un œil aux dernières offres sur ImmoScout24.ch.</t>
  </si>
  <si>
    <t>https://www.immoscout24.ch/fr/appartement/louer/lieu-zimmerwald</t>
  </si>
  <si>
    <t>Louer appartement Zimmerwald: Trouvez le bien immobilier qui correspond idéalement à vos désirs sur ImmoScout24 - La plateforme de l'immobilier en Suisse.</t>
  </si>
  <si>
    <t>🏘  Vous cherchez un appartement à louer à Zimmerwald? ✅ Les annonces les plus actuelles sont sur ImmoScout24.ch.</t>
  </si>
  <si>
    <t>https://www.immoscout24.ch/fr/maison/louer/lieu-ins</t>
  </si>
  <si>
    <t>Louer maison Ins: Trouvez le bien immobilier qui correspond idéalement à vos désirs sur ImmoScout24 - La plateforme de l'immobilier en Suisse.</t>
  </si>
  <si>
    <t>🏘  Vous cherchez une maison à louer à Ins? ✅ Découvrez nos nombreuses annonces sur ImmoScout24.ch.</t>
  </si>
  <si>
    <t>https://www.immoscout24.ch/fr/maison/louer/lieu-cheseaux-sur-lausanne</t>
  </si>
  <si>
    <t>Louer maison Cheseaux-sur-Lausanne: Trouvez le bien immobilier qui correspond idéalement à vos désirs sur ImmoScout24 - La plateforme de l'immobilier en Suisse.</t>
  </si>
  <si>
    <t>🏘  Vous cherchez une maison à louer à Cheseaux-sur-Lausanne? ✅ Découvrez nos nombreuses annonces sur ImmoScout24.ch.</t>
  </si>
  <si>
    <t>https://www.immoscout24.ch/fr/maison/acheter/lieu-riva-san-vitale</t>
  </si>
  <si>
    <t>Vendre maison Riva San Vitale: Trouvez le bien immobilier qui correspond idéalement à vos désirs sur ImmoScout24 - La plateforme de l'immobilier en Suisse.</t>
  </si>
  <si>
    <t>🏘  Vous souhaitez acheter une maison à Riva San Vitale? ✅ Jetez un œil aux dernières offres sur ImmoScout24.ch.</t>
  </si>
  <si>
    <t>https://www.immoscout24.ch/fr/appartement/louer/lieu-fornet-dessus</t>
  </si>
  <si>
    <t>Louer appartement Fornet-Dessus: Trouvez le bien immobilier qui correspond idéalement à vos désirs sur ImmoScout24 - La plateforme de l'immobilier en Suisse.</t>
  </si>
  <si>
    <t>🏘  Vous cherchez un appartement à louer à Fornet-Dessus? ✅ Les annonces les plus actuelles sont sur ImmoScout24.ch.</t>
  </si>
  <si>
    <t>https://www.immoscout24.ch/fr/maison/louer/lieu-peseux</t>
  </si>
  <si>
    <t>Louer maison Peseux: Trouvez le bien immobilier qui correspond idéalement à vos désirs sur ImmoScout24 - La plateforme de l'immobilier en Suisse.</t>
  </si>
  <si>
    <t>🏘  Vous cherchez une maison à louer à Peseux? ✅ Découvrez nos nombreuses annonces sur ImmoScout24.ch.</t>
  </si>
  <si>
    <t>https://www.immoscout24.ch/fr/maison/acheter/lieu-jaun</t>
  </si>
  <si>
    <t>Vendre maison Jaun: Trouvez le bien immobilier qui correspond idéalement à vos désirs sur ImmoScout24 - La plateforme de l'immobilier en Suisse.</t>
  </si>
  <si>
    <t>🏘  Vous souhaitez acheter une maison à Jaun? ✅ Jetez un œil aux dernières offres sur ImmoScout24.ch.</t>
  </si>
  <si>
    <t>https://www.immoscout24.ch/fr/appartement/louer/region-sion-sierre-et-environs</t>
  </si>
  <si>
    <t>Louer appartement Sion - Sierre et environs: Trouvez le bien immobilier qui correspond idéalement à vos désirs sur ImmoScout24 - La plateforme de l'immobilier en Suisse.</t>
  </si>
  <si>
    <t>🏘  Vous cherchez un appartement à louer à Sion - Sierre et environs? ✅ Les annonces les plus actuelles sont sur ImmoScout24.ch.</t>
  </si>
  <si>
    <t>https://www.immoscout24.ch/fr/maison/acheter/lieu-billens</t>
  </si>
  <si>
    <t>Vendre maison Billens: Trouvez le bien immobilier qui correspond idéalement à vos désirs sur ImmoScout24 - La plateforme de l'immobilier en Suisse.</t>
  </si>
  <si>
    <t>🏘  Vous souhaitez acheter une maison à Billens? ✅ Jetez un œil aux dernières offres sur ImmoScout24.ch.</t>
  </si>
  <si>
    <t>https://www.immoscout24.ch/fr/maison/acheter/lieu-la-tanne</t>
  </si>
  <si>
    <t>Vendre maison La Tanne: Trouvez le bien immobilier qui correspond idéalement à vos désirs sur ImmoScout24 - La plateforme de l'immobilier en Suisse.</t>
  </si>
  <si>
    <t>🏘  Vous souhaitez acheter une maison à La Tanne? ✅ Jetez un œil aux dernières offres sur ImmoScout24.ch.</t>
  </si>
  <si>
    <t>https://www.immoscout24.ch/fr/appartement/louer/lieu-egerkingen</t>
  </si>
  <si>
    <t>Louer appartement Egerkingen: Trouvez le bien immobilier qui correspond idéalement à vos désirs sur ImmoScout24 - La plateforme de l'immobilier en Suisse.</t>
  </si>
  <si>
    <t>🏘  Vous cherchez un appartement à louer à Egerkingen? ✅ Les annonces les plus actuelles sont sur ImmoScout24.ch.</t>
  </si>
  <si>
    <t>https://www.immoscout24.ch/fr/appartement/louer/lieu-courfaivre</t>
  </si>
  <si>
    <t>Louer appartement Courfaivre: Trouvez le bien immobilier qui correspond idéalement à vos désirs sur ImmoScout24 - La plateforme de l'immobilier en Suisse.</t>
  </si>
  <si>
    <t>🏘  Vous cherchez un appartement à louer à Courfaivre? ✅ Les annonces les plus actuelles sont sur ImmoScout24.ch.</t>
  </si>
  <si>
    <t>https://www.immoscout24.ch/fr/appartement/louer/lieu-buechslen</t>
  </si>
  <si>
    <t>Louer appartement Büchslen: Trouvez le bien immobilier qui correspond idéalement à vos désirs sur ImmoScout24 - La plateforme de l'immobilier en Suisse.</t>
  </si>
  <si>
    <t>🏘  Vous cherchez un appartement à louer à Büchslen? ✅ Les annonces les plus actuelles sont sur ImmoScout24.ch.</t>
  </si>
  <si>
    <t>https://www.immoscout24.ch/fr/maison/louer/lieu-eclepens</t>
  </si>
  <si>
    <t>Louer maison Eclépens: Trouvez le bien immobilier qui correspond idéalement à vos désirs sur ImmoScout24 - La plateforme de l'immobilier en Suisse.</t>
  </si>
  <si>
    <t>🏘  Vous cherchez une maison à louer à Eclépens? ✅ Découvrez nos nombreuses annonces sur ImmoScout24.ch.</t>
  </si>
  <si>
    <t>https://www.immoscout24.ch/fr/maison/acheter/lieu-aathal-seegraeben</t>
  </si>
  <si>
    <t>Vendre maison Aathal-Seegräben: Trouvez le bien immobilier qui correspond idéalement à vos désirs sur ImmoScout24 - La plateforme de l'immobilier en Suisse.</t>
  </si>
  <si>
    <t>🏘  Vous souhaitez acheter une maison à Aathal-Seegräben? ✅ Jetez un œil aux dernières offres sur ImmoScout24.ch.</t>
  </si>
  <si>
    <t>https://www.immoscout24.ch/fr/appartement/acheter/lieu-charrat</t>
  </si>
  <si>
    <t>Vendre appartement Charrat: Trouvez le bien immobilier qui correspond idéalement à vos désirs sur ImmoScout24 - La plateforme de l'immobilier en Suisse.</t>
  </si>
  <si>
    <t>🏘  L’appartement de vos rêves se trouve sur ImmoScout24.ch ✅ Découvrez les dernières annonces de vente à Charrat.</t>
  </si>
  <si>
    <t>https://www.immoscout24.ch/fr/appartement/acheter/lieu-emmenbruecke</t>
  </si>
  <si>
    <t>Vendre appartement Emmenbrücke: Trouvez le bien immobilier qui correspond idéalement à vos désirs sur ImmoScout24 - La plateforme de l'immobilier en Suisse.</t>
  </si>
  <si>
    <t>🏘  L’appartement de vos rêves se trouve sur ImmoScout24.ch ✅ Découvrez les dernières annonces de vente à Emmenbrücke.</t>
  </si>
  <si>
    <t>https://www.immoscout24.ch/fr/appartement/louer/lieu-clarens</t>
  </si>
  <si>
    <t>Louer appartement Clarens: Trouvez le bien immobilier qui correspond idéalement à vos désirs sur ImmoScout24 - La plateforme de l'immobilier en Suisse.</t>
  </si>
  <si>
    <t>🏘  Vous cherchez un appartement à louer à Clarens? ✅ Les annonces les plus actuelles sont sur ImmoScout24.ch.</t>
  </si>
  <si>
    <t>https://www.immoscout24.ch/fr/appartement/louer/quartier-stjohann-bale</t>
  </si>
  <si>
    <t>Louer appartement St. Johann (Bâle): Trouvez le bien immobilier qui correspond idéalement à vos désirs sur ImmoScout24 - La plateforme de l'immobilier en Suisse.</t>
  </si>
  <si>
    <t>🏘  Vous cherchez un appartement à louer dans le quartier de St. Johann (Bâle)? ✅ Les annonces les plus actuelles sont sur ImmoScout24.ch.</t>
  </si>
  <si>
    <t>https://www.immoscout24.ch/fr/maison/acheter/lieu-wangen-an-der-aare</t>
  </si>
  <si>
    <t>Vendre maison Wangen an der Aare: Trouvez le bien immobilier qui correspond idéalement à vos désirs sur ImmoScout24 - La plateforme de l'immobilier en Suisse.</t>
  </si>
  <si>
    <t>🏘  Vous souhaitez acheter une maison à Wangen an der Aare? ✅ Jetez un œil aux dernières offres sur ImmoScout24.ch.</t>
  </si>
  <si>
    <t>https://www.immoscout24.ch/fr/maison/acheter/lieu-bournens</t>
  </si>
  <si>
    <t>Vendre maison Bournens: Trouvez le bien immobilier qui correspond idéalement à vos désirs sur ImmoScout24 - La plateforme de l'immobilier en Suisse.</t>
  </si>
  <si>
    <t>🏘  Vous souhaitez acheter une maison à Bournens? ✅ Jetez un œil aux dernières offres sur ImmoScout24.ch.</t>
  </si>
  <si>
    <t>https://www.immoscout24.ch/fr/maison/acheter/lieu-heitenried</t>
  </si>
  <si>
    <t>Vendre maison Heitenried: Trouvez le bien immobilier qui correspond idéalement à vos désirs sur ImmoScout24 - La plateforme de l'immobilier en Suisse.</t>
  </si>
  <si>
    <t>🏘  Vous souhaitez acheter une maison à Heitenried? ✅ Jetez un œil aux dernières offres sur ImmoScout24.ch.</t>
  </si>
  <si>
    <t>https://www.immoscout24.ch/fr/appartement/acheter/lieu-champery</t>
  </si>
  <si>
    <t>Vendre appartement Champéry: Trouvez le bien immobilier qui correspond idéalement à vos désirs sur ImmoScout24 - La plateforme de l'immobilier en Suisse.</t>
  </si>
  <si>
    <t>🏘  L’appartement de vos rêves se trouve sur ImmoScout24.ch ✅ Découvrez les dernières annonces de vente à Champéry.</t>
  </si>
  <si>
    <t>https://www.immoscout24.ch/fr/maison/acheter/lieu-montenol</t>
  </si>
  <si>
    <t>Vendre maison Montenol: Trouvez le bien immobilier qui correspond idéalement à vos désirs sur ImmoScout24 - La plateforme de l'immobilier en Suisse.</t>
  </si>
  <si>
    <t>🏘  Vous souhaitez acheter une maison à Montenol? ✅ Jetez un œil aux dernières offres sur ImmoScout24.ch.</t>
  </si>
  <si>
    <t>https://www.immoscout24.ch/fr/maison/louer/lieu-cossonay-ville</t>
  </si>
  <si>
    <t>Louer maison Cossonay-Ville: Trouvez le bien immobilier qui correspond idéalement à vos désirs sur ImmoScout24 - La plateforme de l'immobilier en Suisse.</t>
  </si>
  <si>
    <t>🏘  Vous cherchez une maison à louer à Cossonay-Ville? ✅ Découvrez nos nombreuses annonces sur ImmoScout24.ch.</t>
  </si>
  <si>
    <t>https://www.immoscout24.ch/fr/appartement/acheter/lieu-peseux</t>
  </si>
  <si>
    <t>Vendre appartement Peseux: Trouvez le bien immobilier qui correspond idéalement à vos désirs sur ImmoScout24 - La plateforme de l'immobilier en Suisse.</t>
  </si>
  <si>
    <t>🏘  L’appartement de vos rêves se trouve sur ImmoScout24.ch ✅ Découvrez les dernières annonces de vente à Peseux.</t>
  </si>
  <si>
    <t>https://www.immoscout24.ch/fr/maison/louer/quartier-florissant-malagnou-geneve</t>
  </si>
  <si>
    <t>Louer maison Florissant - Malagnou (Genève): Trouvez le bien immobilier qui correspond idéalement à vos désirs sur ImmoScout24 - La plateforme de l'immobilier en Suisse.</t>
  </si>
  <si>
    <t>🏘  Vous cherchez une maison à louer dans le quartier de Florissant - Malagnou (Genève)? ✅ Découvrez nos nombreuses annonces sur ImmoScout24.ch.</t>
  </si>
  <si>
    <t>https://www.immoscout24.ch/fr/maison/acheter/lieu-meinier</t>
  </si>
  <si>
    <t>Vendre maison Meinier: Trouvez le bien immobilier qui correspond idéalement à vos désirs sur ImmoScout24 - La plateforme de l'immobilier en Suisse.</t>
  </si>
  <si>
    <t>🏘  Vous souhaitez acheter une maison à Meinier? ✅ Jetez un œil aux dernières offres sur ImmoScout24.ch.</t>
  </si>
  <si>
    <t>https://www.immoscout24.ch/fr/maison/louer/lieu-solothurn</t>
  </si>
  <si>
    <t>Louer maison Solothurn: Trouvez le bien immobilier qui correspond idéalement à vos désirs sur ImmoScout24 - La plateforme de l'immobilier en Suisse.</t>
  </si>
  <si>
    <t>🏘  Vous cherchez une maison à louer à Solothurn? ✅ Découvrez nos nombreuses annonces sur ImmoScout24.ch.</t>
  </si>
  <si>
    <t>https://www.immoscout24.ch/fr/appartement/louer/lieu-chatillon-fr</t>
  </si>
  <si>
    <t>Louer appartement Châtillon FR: Trouvez le bien immobilier qui correspond idéalement à vos désirs sur ImmoScout24 - La plateforme de l'immobilier en Suisse.</t>
  </si>
  <si>
    <t>🏘  Vous cherchez un appartement à louer à Châtillon FR? ✅ Les annonces les plus actuelles sont sur ImmoScout24.ch.</t>
  </si>
  <si>
    <t>https://www.immoscout24.ch/fr/maison/acheter/lieu-vallorbe</t>
  </si>
  <si>
    <t>Vendre maison Vallorbe: Trouvez le bien immobilier qui correspond idéalement à vos désirs sur ImmoScout24 - La plateforme de l'immobilier en Suisse.</t>
  </si>
  <si>
    <t>🏘  Vous souhaitez acheter une maison à Vallorbe? ✅ Jetez un œil aux dernières offres sur ImmoScout24.ch.</t>
  </si>
  <si>
    <t>https://www.immoscout24.ch/fr/appartement/louer/lieu-fetigny</t>
  </si>
  <si>
    <t>Louer appartement Fétigny: Trouvez le bien immobilier qui correspond idéalement à vos désirs sur ImmoScout24 - La plateforme de l'immobilier en Suisse.</t>
  </si>
  <si>
    <t>🏘  Vous cherchez un appartement à louer à Fétigny? ✅ Les annonces les plus actuelles sont sur ImmoScout24.ch.</t>
  </si>
  <si>
    <t>https://www.immoscout24.ch/fr/appartement/acheter/lieu-giubiasco</t>
  </si>
  <si>
    <t>Vendre appartement Giubiasco: Trouvez le bien immobilier qui correspond idéalement à vos désirs sur ImmoScout24 - La plateforme de l'immobilier en Suisse.</t>
  </si>
  <si>
    <t>🏘  L’appartement de vos rêves se trouve sur ImmoScout24.ch ✅ Découvrez les dernières annonces de vente à Giubiasco.</t>
  </si>
  <si>
    <t>https://www.immoscout24.ch/fr/maison/acheter/lieu-chigny</t>
  </si>
  <si>
    <t>Vendre maison Chigny: Trouvez le bien immobilier qui correspond idéalement à vos désirs sur ImmoScout24 - La plateforme de l'immobilier en Suisse.</t>
  </si>
  <si>
    <t>🏘  Vous souhaitez acheter une maison à Chigny? ✅ Jetez un œil aux dernières offres sur ImmoScout24.ch.</t>
  </si>
  <si>
    <t>https://www.immoscout24.ch/fr/maison/acheter/lieu-zuerich</t>
  </si>
  <si>
    <t>Vendre maison Zürich: Trouvez le bien immobilier qui correspond idéalement à vos désirs sur ImmoScout24 - La plateforme de l'immobilier en Suisse.</t>
  </si>
  <si>
    <t>🏘  Vous souhaitez acheter une maison à Zürich? ✅ Jetez un œil aux dernières offres sur ImmoScout24.ch.</t>
  </si>
  <si>
    <t>https://www.immoscout24.ch/fr/appartement/louer/lieu-fontaines-sur-grandson</t>
  </si>
  <si>
    <t>Louer appartement Fontaines-sur-Grandson: Trouvez le bien immobilier qui correspond idéalement à vos désirs sur ImmoScout24 - La plateforme de l'immobilier en Suisse.</t>
  </si>
  <si>
    <t>🏘  Vous cherchez un appartement à louer à Fontaines-sur-Grandson? ✅ Les annonces les plus actuelles sont sur ImmoScout24.ch.</t>
  </si>
  <si>
    <t>https://www.immoscout24.ch/fr/maison/acheter/lieu-les-vieux-pres</t>
  </si>
  <si>
    <t>Vendre maison Les Vieux-Prés: Trouvez le bien immobilier qui correspond idéalement à vos désirs sur ImmoScout24 - La plateforme de l'immobilier en Suisse.</t>
  </si>
  <si>
    <t>🏘  Vous souhaitez acheter une maison aux Vieux-Prés? ✅ Jetez un œil aux dernières offres sur ImmoScout24.ch.</t>
  </si>
  <si>
    <t>https://www.immoscout24.ch/fr/appartement/acheter/lieu-wengen</t>
  </si>
  <si>
    <t>Vendre appartement Wengen: Trouvez le bien immobilier qui correspond idéalement à vos désirs sur ImmoScout24 - La plateforme de l'immobilier en Suisse.</t>
  </si>
  <si>
    <t>🏘  L’appartement de vos rêves se trouve sur ImmoScout24.ch ✅ Découvrez les dernières annonces de vente à Wengen.</t>
  </si>
  <si>
    <t>https://www.immoscout24.ch/fr/appartement/louer/lieu-vens-sembrancher</t>
  </si>
  <si>
    <t>Louer appartement Vens (Sembrancher): Trouvez le bien immobilier qui correspond idéalement à vos désirs sur ImmoScout24 - La plateforme de l'immobilier en Suisse.</t>
  </si>
  <si>
    <t>🏘  Vous cherchez un appartement à louer à Vens (Sembrancher)? ✅ Les annonces les plus actuelles sont sur ImmoScout24.ch.</t>
  </si>
  <si>
    <t>https://www.immoscout24.ch/fr/maison/acheter/lieu-delemont</t>
  </si>
  <si>
    <t>Vendre maison Delémont: Trouvez le bien immobilier qui correspond idéalement à vos désirs sur ImmoScout24 - La plateforme de l'immobilier en Suisse.</t>
  </si>
  <si>
    <t>🏘  Vous souhaitez acheter une maison à Delémont? ✅ Jetez un œil aux dernières offres sur ImmoScout24.ch.</t>
  </si>
  <si>
    <t>https://www.immoscout24.ch/fr/appartement/louer/lieu-alle</t>
  </si>
  <si>
    <t>Louer appartement Alle: Trouvez le bien immobilier qui correspond idéalement à vos désirs sur ImmoScout24 - La plateforme de l'immobilier en Suisse.</t>
  </si>
  <si>
    <t>🏘  Vous cherchez un appartement à louer à Alle? ✅ Les annonces les plus actuelles sont sur ImmoScout24.ch.</t>
  </si>
  <si>
    <t>https://www.immoscout24.ch/fr/appartement/louer/quartier-neufeld-berne</t>
  </si>
  <si>
    <t>Louer appartement Neufeld (Berne): Trouvez le bien immobilier qui correspond idéalement à vos désirs sur ImmoScout24 - La plateforme de l'immobilier en Suisse.</t>
  </si>
  <si>
    <t>🏘  Vous cherchez un appartement à louer dans le quartier de Neufeld (Berne)? ✅ Les annonces les plus actuelles sont sur ImmoScout24.ch.</t>
  </si>
  <si>
    <t>https://www.immoscout24.ch/fr/appartement/louer/lieu-marsens</t>
  </si>
  <si>
    <t>Louer appartement Marsens: Trouvez le bien immobilier qui correspond idéalement à vos désirs sur ImmoScout24 - La plateforme de l'immobilier en Suisse.</t>
  </si>
  <si>
    <t>🏘  Vous cherchez un appartement à louer à Marsens? ✅ Les annonces les plus actuelles sont sur ImmoScout24.ch.</t>
  </si>
  <si>
    <t>https://www.immoscout24.ch/fr/maison/acheter/lieu-chesalles-sur-moudon</t>
  </si>
  <si>
    <t>Vendre maison Chesalles-sur-Moudon: Trouvez le bien immobilier qui correspond idéalement à vos désirs sur ImmoScout24 - La plateforme de l'immobilier en Suisse.</t>
  </si>
  <si>
    <t>🏘  Vous souhaitez acheter une maison à Chesalles-sur-Moudon? ✅ Jetez un œil aux dernières offres sur ImmoScout24.ch.</t>
  </si>
  <si>
    <t>https://www.immoscout24.ch/fr/appartement/louer/lieu-cormagens</t>
  </si>
  <si>
    <t>Louer appartement Cormagens: Trouvez le bien immobilier qui correspond idéalement à vos désirs sur ImmoScout24 - La plateforme de l'immobilier en Suisse.</t>
  </si>
  <si>
    <t>🏘  Vous cherchez un appartement à louer à Cormagens? ✅ Les annonces les plus actuelles sont sur ImmoScout24.ch.</t>
  </si>
  <si>
    <t>https://www.immoscout24.ch/fr/appartement/louer/quartier-florimont-chissiez-lausanne</t>
  </si>
  <si>
    <t>Louer appartement Florimont - Chissiez (Lausanne): Trouvez le bien immobilier qui correspond idéalement à vos désirs sur ImmoScout24 - La plateforme de l'immobilier en Suisse.</t>
  </si>
  <si>
    <t>🏘  Vous cherchez un appartement à louer dans le quartier de Florimont - Chissiez (Lausanne)? ✅ Les annonces les plus actuelles sont sur ImmoScout24.ch.</t>
  </si>
  <si>
    <t>https://www.immoscout24.ch/fr/maison/acheter/lieu-chables-fr</t>
  </si>
  <si>
    <t>Vendre maison Châbles FR: Trouvez le bien immobilier qui correspond idéalement à vos désirs sur ImmoScout24 - La plateforme de l'immobilier en Suisse.</t>
  </si>
  <si>
    <t>🏘  Vous souhaitez acheter une maison à Châbles FR? ✅ Jetez un œil aux dernières offres sur ImmoScout24.ch.</t>
  </si>
  <si>
    <t>https://www.immoscout24.ch/fr/appartement/acheter/lieu-rose</t>
  </si>
  <si>
    <t>Vendre appartement Rosé: Trouvez le bien immobilier qui correspond idéalement à vos désirs sur ImmoScout24 - La plateforme de l'immobilier en Suisse.</t>
  </si>
  <si>
    <t>🏘  L’appartement de vos rêves se trouve sur ImmoScout24.ch ✅ Découvrez les dernières annonces de vente à Rosé.</t>
  </si>
  <si>
    <t>https://www.immoscout24.ch/fr/appartement/louer/lieu-bouloz</t>
  </si>
  <si>
    <t>Louer appartement Bouloz: Trouvez le bien immobilier qui correspond idéalement à vos désirs sur ImmoScout24 - La plateforme de l'immobilier en Suisse.</t>
  </si>
  <si>
    <t>🏘  Vous cherchez un appartement à louer à Bouloz? ✅ Les annonces les plus actuelles sont sur ImmoScout24.ch.</t>
  </si>
  <si>
    <t>https://www.immoscout24.ch/fr/appartement/acheter/lieu-constantine</t>
  </si>
  <si>
    <t>Vendre appartement Constantine: Trouvez le bien immobilier qui correspond idéalement à vos désirs sur ImmoScout24 - La plateforme de l'immobilier en Suisse.</t>
  </si>
  <si>
    <t>🏘  L’appartement de vos rêves se trouve sur ImmoScout24.ch ✅ Découvrez les dernières annonces de vente à Constantine.</t>
  </si>
  <si>
    <t>https://www.immoscout24.ch/fr/maison/acheter/canton-uri</t>
  </si>
  <si>
    <t>Vendre maison Canton d'Uri: Trouvez le bien immobilier qui correspond idéalement à vos désirs sur ImmoScout24 - La plateforme de l'immobilier en Suisse.</t>
  </si>
  <si>
    <t>🏘  Vous souhaitez acheter une maison dans le Canton d'Uri? ✅ Jetez un œil aux dernières offres sur ImmoScout24.ch.</t>
  </si>
  <si>
    <t>https://www.immoscout24.ch/fr/maison/louer/lieu-biberist</t>
  </si>
  <si>
    <t>Louer maison Biberist: Trouvez le bien immobilier qui correspond idéalement à vos désirs sur ImmoScout24 - La plateforme de l'immobilier en Suisse.</t>
  </si>
  <si>
    <t>🏘  Vous cherchez une maison à louer à Biberist? ✅ Découvrez nos nombreuses annonces sur ImmoScout24.ch.</t>
  </si>
  <si>
    <t>https://www.immoscout24.ch/fr/appartement/louer/lieu-vuarmarens</t>
  </si>
  <si>
    <t>Louer appartement Vuarmarens: Trouvez le bien immobilier qui correspond idéalement à vos désirs sur ImmoScout24 - La plateforme de l'immobilier en Suisse.</t>
  </si>
  <si>
    <t>🏘  Vous cherchez un appartement à louer à Vuarmarens? ✅ Les annonces les plus actuelles sont sur ImmoScout24.ch.</t>
  </si>
  <si>
    <t>https://www.immoscout24.ch/fr/appartement/louer/lieu-la-cote-aux-fees</t>
  </si>
  <si>
    <t>Louer appartement La Côte-aux-Fées: Trouvez le bien immobilier qui correspond idéalement à vos désirs sur ImmoScout24 - La plateforme de l'immobilier en Suisse.</t>
  </si>
  <si>
    <t>🏘  Vous cherchez un appartement à louer à La Côte-aux-Fées? ✅ Les annonces les plus actuelles sont sur ImmoScout24.ch.</t>
  </si>
  <si>
    <t>https://www.immoscout24.ch/fr/appartement/acheter/lieu-riaz</t>
  </si>
  <si>
    <t>Vendre appartement Riaz: Trouvez le bien immobilier qui correspond idéalement à vos désirs sur ImmoScout24 - La plateforme de l'immobilier en Suisse.</t>
  </si>
  <si>
    <t>🏘  L’appartement de vos rêves se trouve sur ImmoScout24.ch ✅ Découvrez les dernières annonces de vente à Riaz.</t>
  </si>
  <si>
    <t>https://www.immoscout24.ch/fr/appartement/louer/lieu-les-pommerats</t>
  </si>
  <si>
    <t>Louer appartement Les Pommerats: Trouvez le bien immobilier qui correspond idéalement à vos désirs sur ImmoScout24 - La plateforme de l'immobilier en Suisse.</t>
  </si>
  <si>
    <t>🏘  Vous cherchez un appartement à louer aux Pommerats? ✅ Les annonces les plus actuelles sont sur ImmoScout24.ch.</t>
  </si>
  <si>
    <t>https://www.immoscout24.ch/fr/appartement/louer/lieu-grangettes-pres-romont</t>
  </si>
  <si>
    <t>Louer appartement Grangettes-près-Romont: Trouvez le bien immobilier qui correspond idéalement à vos désirs sur ImmoScout24 - La plateforme de l'immobilier en Suisse.</t>
  </si>
  <si>
    <t>🏘  Vous cherchez un appartement à louer à Grangettes-près-Romont? ✅ Les annonces les plus actuelles sont sur ImmoScout24.ch.</t>
  </si>
  <si>
    <t>https://www.immoscout24.ch/fr/maison/acheter/lieu-boudry</t>
  </si>
  <si>
    <t>Vendre maison Boudry: Trouvez le bien immobilier qui correspond idéalement à vos désirs sur ImmoScout24 - La plateforme de l'immobilier en Suisse.</t>
  </si>
  <si>
    <t>🏘  Vous souhaitez acheter une maison à Boudry? ✅ Jetez un œil aux dernières offres sur ImmoScout24.ch.</t>
  </si>
  <si>
    <t>https://www.immoscout24.ch/fr/appartement/louer/lieu-treyvaux</t>
  </si>
  <si>
    <t>Louer appartement Treyvaux: Trouvez le bien immobilier qui correspond idéalement à vos désirs sur ImmoScout24 - La plateforme de l'immobilier en Suisse.</t>
  </si>
  <si>
    <t>🏘  Vous cherchez un appartement à louer à Treyvaux? ✅ Les annonces les plus actuelles sont sur ImmoScout24.ch.</t>
  </si>
  <si>
    <t>https://www.immoscout24.ch/fr/maison/acheter/lieu-st-brais</t>
  </si>
  <si>
    <t>Vendre maison St-Brais: Trouvez le bien immobilier qui correspond idéalement à vos désirs sur ImmoScout24 - La plateforme de l'immobilier en Suisse.</t>
  </si>
  <si>
    <t>🏘  Vous souhaitez acheter une maison à St-Brais? ✅ Jetez un œil aux dernières offres sur ImmoScout24.ch.</t>
  </si>
  <si>
    <t>https://www.immoscout24.ch/fr/appartement/acheter/lieu-les-mosses</t>
  </si>
  <si>
    <t>Vendre appartement Les Mosses: Trouvez le bien immobilier qui correspond idéalement à vos désirs sur ImmoScout24 - La plateforme de l'immobilier en Suisse.</t>
  </si>
  <si>
    <t>🏘  L’appartement de vos rêves se trouve sur ImmoScout24.ch ✅ Découvrez les dernières annonces de vente aux Mosses.</t>
  </si>
  <si>
    <t>https://www.immoscout24.ch/fr/appartement/acheter/lieu-epalinges</t>
  </si>
  <si>
    <t>Vendre appartement Epalinges: Trouvez le bien immobilier qui correspond idéalement à vos désirs sur ImmoScout24 - La plateforme de l'immobilier en Suisse.</t>
  </si>
  <si>
    <t>🏘  L’appartement de vos rêves se trouve sur ImmoScout24.ch ✅ Découvrez les dernières annonces de vente à Epalinges.</t>
  </si>
  <si>
    <t>https://www.immoscout24.ch/fr/maison/acheter/canton-schwyz</t>
  </si>
  <si>
    <t>Vendre maison Canton de Schwyz: Trouvez le bien immobilier qui correspond idéalement à vos désirs sur ImmoScout24 - La plateforme de l'immobilier en Suisse.</t>
  </si>
  <si>
    <t>🏘  Vous souhaitez acheter une maison dans le Canton de Schwyz? ✅ Jetez un œil aux dernières offres sur ImmoScout24.ch.</t>
  </si>
  <si>
    <t>https://www.immoscout24.ch/fr/maison/acheter/lieu-tentlingen</t>
  </si>
  <si>
    <t>Vendre maison Tentlingen: Trouvez le bien immobilier qui correspond idéalement à vos désirs sur ImmoScout24 - La plateforme de l'immobilier en Suisse.</t>
  </si>
  <si>
    <t>🏘  Vous souhaitez acheter une maison à Tentlingen? ✅ Jetez un œil aux dernières offres sur ImmoScout24.ch.</t>
  </si>
  <si>
    <t>https://www.immoscout24.ch/fr/appartement/louer/lieu-lechelles</t>
  </si>
  <si>
    <t>Louer appartement Léchelles: Trouvez le bien immobilier qui correspond idéalement à vos désirs sur ImmoScout24 - La plateforme de l'immobilier en Suisse.</t>
  </si>
  <si>
    <t>🏘  Vous cherchez un appartement à louer à Léchelles? ✅ Les annonces les plus actuelles sont sur ImmoScout24.ch.</t>
  </si>
  <si>
    <t>https://www.immoscout24.ch/fr/appartement/louer/lieu-bueren-nw</t>
  </si>
  <si>
    <t>Louer appartement Büren NW: Trouvez le bien immobilier qui correspond idéalement à vos désirs sur ImmoScout24 - La plateforme de l'immobilier en Suisse.</t>
  </si>
  <si>
    <t>🏘  Vous cherchez un appartement à louer à Büren NW? ✅ Les annonces les plus actuelles sont sur ImmoScout24.ch.</t>
  </si>
  <si>
    <t>https://www.immoscout24.ch/fr/maison/acheter/lieu-eriz</t>
  </si>
  <si>
    <t>Vendre maison Eriz: Trouvez le bien immobilier qui correspond idéalement à vos désirs sur ImmoScout24 - La plateforme de l'immobilier en Suisse.</t>
  </si>
  <si>
    <t>🏘  Vous souhaitez acheter une maison à Eriz? ✅ Jetez un œil aux dernières offres sur ImmoScout24.ch.</t>
  </si>
  <si>
    <t>https://www.immoscout24.ch/fr/appartement/louer/quartier-iselin-bale</t>
  </si>
  <si>
    <t>Louer appartement Iselin (Bâle): Trouvez le bien immobilier qui correspond idéalement à vos désirs sur ImmoScout24 - La plateforme de l'immobilier en Suisse.</t>
  </si>
  <si>
    <t>🏘  Vous cherchez un appartement à louer dans le quartier d'Iselin (Bâle)? ✅ Les annonces les plus actuelles sont sur ImmoScout24.ch.</t>
  </si>
  <si>
    <t>https://www.immoscout24.ch/fr/maison/acheter/lieu-montaubion-chardonney</t>
  </si>
  <si>
    <t>Vendre maison Montaubion-Chardonney: Trouvez le bien immobilier qui correspond idéalement à vos désirs sur ImmoScout24 - La plateforme de l'immobilier en Suisse.</t>
  </si>
  <si>
    <t>🏘  Vous souhaitez acheter une maison à Montaubion-Chardonney? ✅ Jetez un œil aux dernières offres sur ImmoScout24.ch.</t>
  </si>
  <si>
    <t>https://www.immoscout24.ch/fr/maison/acheter/lieu-oberhof</t>
  </si>
  <si>
    <t>Vendre maison Oberhof: Trouvez le bien immobilier qui correspond idéalement à vos désirs sur ImmoScout24 - La plateforme de l'immobilier en Suisse.</t>
  </si>
  <si>
    <t>🏘  Vous souhaitez acheter une maison à Oberhof? ✅ Jetez un œil aux dernières offres sur ImmoScout24.ch.</t>
  </si>
  <si>
    <t>https://www.immoscout24.ch/fr/appartement/louer/lieu-bissone</t>
  </si>
  <si>
    <t>Louer appartement Bissone: Trouvez le bien immobilier qui correspond idéalement à vos désirs sur ImmoScout24 - La plateforme de l'immobilier en Suisse.</t>
  </si>
  <si>
    <t>🏘  Vous cherchez un appartement à louer à Bissone? ✅ Les annonces les plus actuelles sont sur ImmoScout24.ch.</t>
  </si>
  <si>
    <t>https://www.immoscout24.ch/fr/maison/acheter/quartier-delices-grottes-geneve</t>
  </si>
  <si>
    <t>Vendre maison Délices - Grottes (Genève): Trouvez le bien immobilier qui correspond idéalement à vos désirs sur ImmoScout24 - La plateforme de l'immobilier en Suisse.</t>
  </si>
  <si>
    <t>🏘  Vous souhaitez acheter une maison dans le quartier des Délices - Grottes (Genève)? ✅ Jetez un œil aux dernières offres sur ImmoScout24.ch.</t>
  </si>
  <si>
    <t>https://www.immoscout24.ch/fr/maison/acheter/lieu-turbach</t>
  </si>
  <si>
    <t>Vendre maison Turbach: Trouvez le bien immobilier qui correspond idéalement à vos désirs sur ImmoScout24 - La plateforme de l'immobilier en Suisse.</t>
  </si>
  <si>
    <t>🏘  Vous souhaitez acheter une maison à Turbach? ✅ Jetez un œil aux dernières offres sur ImmoScout24.ch.</t>
  </si>
  <si>
    <t>https://www.immoscout24.ch/fr/appartement/louer/lieu-lenzburg</t>
  </si>
  <si>
    <t>Louer appartement Lenzburg: Trouvez le bien immobilier qui correspond idéalement à vos désirs sur ImmoScout24 - La plateforme de l'immobilier en Suisse.</t>
  </si>
  <si>
    <t>🏘  Vous cherchez un appartement à louer aunzburg? ✅ Les annonces les plus actuelles sont sur ImmoScout24.ch.</t>
  </si>
  <si>
    <t>https://www.immoscout24.ch/fr/appartement/acheter/lieu-iserables</t>
  </si>
  <si>
    <t>Vendre appartement Isérables: Trouvez le bien immobilier qui correspond idéalement à vos désirs sur ImmoScout24 - La plateforme de l'immobilier en Suisse.</t>
  </si>
  <si>
    <t>🏘  L’appartement de vos rêves se trouve sur ImmoScout24.ch ✅ Découvrez les dernières annonces de vente à Isérables.</t>
  </si>
  <si>
    <t>https://www.immoscout24.ch/fr/maison/acheter/lieu-ueken</t>
  </si>
  <si>
    <t>Vendre maison Ueken: Trouvez le bien immobilier qui correspond idéalement à vos désirs sur ImmoScout24 - La plateforme de l'immobilier en Suisse.</t>
  </si>
  <si>
    <t>🏘  Vous souhaitez acheter une maison à Ueken? ✅ Jetez un œil aux dernières offres sur ImmoScout24.ch.</t>
  </si>
  <si>
    <t>https://www.immoscout24.ch/fr/appartement/acheter/quartier-auge-fribourg</t>
  </si>
  <si>
    <t>Vendre appartement Auge (Fribourg):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</si>
  <si>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l'Auge (Fribourg).</t>
  </si>
  <si>
    <t>https://www.immoscout24.ch/fr/appartement/acheter/lieu-preverenges</t>
  </si>
  <si>
    <t>Vendre appartement Préverenges: Trouvez le bien immobilier qui correspond idéalement à vos désirs sur ImmoScout24 - La plateforme de l'immobilier en Suisse.</t>
  </si>
  <si>
    <t>🏘  L’appartement de vos rêves se trouve sur ImmoScout24.ch ✅ Découvrez les dernières annonces de vente à Préverenges.</t>
  </si>
  <si>
    <t>https://www.immoscout24.ch/fr/appartement/acheter/lieu-couvet</t>
  </si>
  <si>
    <t>Vendre appartement Couvet: Trouvez le bien immobilier qui correspond idéalement à vos désirs sur ImmoScout24 - La plateforme de l'immobilier en Suisse.</t>
  </si>
  <si>
    <t>🏘  L’appartement de vos rêves se trouve sur ImmoScout24.ch ✅ Découvrez les dernières annonces de vente à Couvet.</t>
  </si>
  <si>
    <t>https://www.immoscout24.ch/fr/appartement/louer/lieu-syens</t>
  </si>
  <si>
    <t>Louer appartement Syens: Trouvez le bien immobilier qui correspond idéalement à vos désirs sur ImmoScout24 - La plateforme de l'immobilier en Suisse.</t>
  </si>
  <si>
    <t>🏘  Vous cherchez un appartement à louer à Syens? ✅ Les annonces les plus actuelles sont sur ImmoScout24.ch.</t>
  </si>
  <si>
    <t>https://www.immoscout24.ch/fr/appartement/louer/lieu-tschugg</t>
  </si>
  <si>
    <t>Louer appartement Tschugg: Trouvez le bien immobilier qui correspond idéalement à vos désirs sur ImmoScout24 - La plateforme de l'immobilier en Suisse.</t>
  </si>
  <si>
    <t>🏘  Vous cherchez un appartement à louer à Tschugg? ✅ Les annonces les plus actuelles sont sur ImmoScout24.ch.</t>
  </si>
  <si>
    <t>https://www.immoscout24.ch/fr/appartement/louer/quartier-langensand-matthof-lucerne</t>
  </si>
  <si>
    <t>Louer appartement Langensand - Matthof (Lucerne): Trouvez le bien immobilier qui correspond idéalement à vos désirs sur ImmoScout24 - La plateforme de l'immobilier en Suisse.</t>
  </si>
  <si>
    <t>🏘  Vous cherchez un appartement à louer à Langensand - Matthof (Lucerne)? ✅ Les annonces les plus actuelles sont sur ImmoScout24.ch.</t>
  </si>
  <si>
    <t>https://www.immoscout24.ch/fr/maison/acheter/lieu-aldesago</t>
  </si>
  <si>
    <t>Vendre maison Aldesago: Trouvez le bien immobilier qui correspond idéalement à vos désirs sur ImmoScout24 - La plateforme de l'immobilier en Suisse.</t>
  </si>
  <si>
    <t>🏘  Vous souhaitez acheter une maison à Aldesago? ✅ Jetez un œil aux dernières offres sur ImmoScout24.ch.</t>
  </si>
  <si>
    <t>https://www.immoscout24.ch/fr/maison/acheter/lieu-la-sagne-ne</t>
  </si>
  <si>
    <t>Vendre maison La Sagne NE: Trouvez le bien immobilier qui correspond idéalement à vos désirs sur ImmoScout24 - La plateforme de l'immobilier en Suisse.</t>
  </si>
  <si>
    <t>🏘  Vous souhaitez acheter une maison à La Sagne NE? ✅ Jetez un œil aux dernières offres sur ImmoScout24.ch.</t>
  </si>
  <si>
    <t>https://www.immoscout24.ch/fr/maison/louer/lieu-bussigny</t>
  </si>
  <si>
    <t>Louer maison Bussigny: Trouvez le bien immobilier qui correspond idéalement à vos désirs sur ImmoScout24 - La plateforme de l'immobilier en Suisse.</t>
  </si>
  <si>
    <t>🏘  Vous cherchez une maison à louer à Bussigny? ✅ Découvrez nos nombreuses annonces sur ImmoScout24.ch.</t>
  </si>
  <si>
    <t>https://www.immoscout24.ch/fr/appartement/louer/lieu-killwangen</t>
  </si>
  <si>
    <t>Louer appartement Killwangen: Trouvez le bien immobilier qui correspond idéalement à vos désirs sur ImmoScout24 - La plateforme de l'immobilier en Suisse.</t>
  </si>
  <si>
    <t>🏘  Vous cherchez un appartement à louer à Killwangen? ✅ Les annonces les plus actuelles sont sur ImmoScout24.ch.</t>
  </si>
  <si>
    <t>https://www.immoscout24.ch/fr/maison/acheter/lieu-les-paccots</t>
  </si>
  <si>
    <t>Vendre maison Les Paccots: Trouvez le bien immobilier qui correspond idéalement à vos désirs sur ImmoScout24 - La plateforme de l'immobilier en Suisse.</t>
  </si>
  <si>
    <t>🏘  Vous souhaitez acheter une maison aux Paccots? ✅ Jetez un œil aux dernières offres sur ImmoScout24.ch.</t>
  </si>
  <si>
    <t>https://www.immoscout24.ch/fr/appartement/louer/lieu-boudry</t>
  </si>
  <si>
    <t>Louer appartement Boudry: Trouvez le bien immobilier qui correspond idéalement à vos désirs sur ImmoScout24 - La plateforme de l'immobilier en Suisse.</t>
  </si>
  <si>
    <t>🏘  Vous cherchez un appartement à louer à Boudry? ✅ Les annonces les plus actuelles sont sur ImmoScout24.ch.</t>
  </si>
  <si>
    <t>https://www.immoscout24.ch/fr/appartement/acheter/lieu-siviez-nendaz</t>
  </si>
  <si>
    <t>Vendre appartement Siviez (Nendaz): Trouvez le bien immobilier qui correspond idéalement à vos désirs sur ImmoScout24 - La plateforme de l'immobilier en Suisse.</t>
  </si>
  <si>
    <t>🏘  L’appartement de vos rêves se trouve sur ImmoScout24.ch ✅ Découvrez les dernières annonces de vente à Siviez (Nendaz).</t>
  </si>
  <si>
    <t>https://www.immoscout24.ch/fr/maison/acheter/lieu-goumoens-le-jux</t>
  </si>
  <si>
    <t>Vendre maison Goumoens-le-Jux: Trouvez le bien immobilier qui correspond idéalement à vos désirs sur ImmoScout24 - La plateforme de l'immobilier en Suisse.</t>
  </si>
  <si>
    <t>🏘  Vous souhaitez acheter une maison à Goumoens-le-Jux? ✅ Jetez un œil aux dernières offres sur ImmoScout24.ch.</t>
  </si>
  <si>
    <t>https://www.immoscout24.ch/fr/maison/louer/quartier-bre-lugano</t>
  </si>
  <si>
    <t>Louer maison Brè (Lugano): Trouvez le bien immobilier qui correspond idéalement à vos désirs sur ImmoScout24 - La plateforme de l'immobilier en Suisse.</t>
  </si>
  <si>
    <t>🏘  Vous cherchez une maison à louer dans le quartier de Brè (Lugano)? ✅ Découvrez nos nombreuses annonces sur ImmoScout24.ch.</t>
  </si>
  <si>
    <t>https://www.immoscout24.ch/fr/maison/acheter/lieu-lottigna</t>
  </si>
  <si>
    <t>Vendre maison Lottigna: Trouvez le bien immobilier qui correspond idéalement à vos désirs sur ImmoScout24 - La plateforme de l'immobilier en Suisse.</t>
  </si>
  <si>
    <t>🏘  Vous souhaitez acheter une maison à Lottigna? ✅ Jetez un œil aux dernières offres sur ImmoScout24.ch.</t>
  </si>
  <si>
    <t>https://www.immoscout24.ch/fr/maison/acheter/lieu-kehrsatz</t>
  </si>
  <si>
    <t>Vendre maison Kehrsatz: Trouvez le bien immobilier qui correspond idéalement à vos désirs sur ImmoScout24 - La plateforme de l'immobilier en Suisse.</t>
  </si>
  <si>
    <t>🏘  Vous souhaitez acheter une maison à Kehrsatz? ✅ Jetez un œil aux dernières offres sur ImmoScout24.ch.</t>
  </si>
  <si>
    <t>https://www.immoscout24.ch/fr/appartement/louer/lieu-curtilles</t>
  </si>
  <si>
    <t>Louer appartement Curtilles: Trouvez le bien immobilier qui correspond idéalement à vos désirs sur ImmoScout24 - La plateforme de l'immobilier en Suisse.</t>
  </si>
  <si>
    <t>🏘  Vous cherchez un appartement à louer à Curtilles? ✅ Les annonces les plus actuelles sont sur ImmoScout24.ch.</t>
  </si>
  <si>
    <t>https://www.immoscout24.ch/fr/appartement/louer/lieu-pfaffnau</t>
  </si>
  <si>
    <t>Louer appartement Pfaffnau: Trouvez le bien immobilier qui correspond idéalement à vos désirs sur ImmoScout24 - La plateforme de l'immobilier en Suisse.</t>
  </si>
  <si>
    <t>🏘  Vous cherchez un appartement à louer à Pfaffnau? ✅ Les annonces les plus actuelles sont sur ImmoScout24.ch.</t>
  </si>
  <si>
    <t>https://www.immoscout24.ch/fr/maison/acheter/lieu-baulmes</t>
  </si>
  <si>
    <t>Vendre maison Baulmes: Trouvez le bien immobilier qui correspond idéalement à vos désirs sur ImmoScout24 - La plateforme de l'immobilier en Suisse.</t>
  </si>
  <si>
    <t>🏘  Vous souhaitez acheter une maison à Baulmes? ✅ Jetez un œil aux dernières offres sur ImmoScout24.ch.</t>
  </si>
  <si>
    <t>https://www.immoscout24.ch/fr/appartement/acheter/lieu-bubendorf</t>
  </si>
  <si>
    <t>Vendre appartement Bubendorf: Trouvez le bien immobilier qui correspond idéalement à vos désirs sur ImmoScout24 - La plateforme de l'immobilier en Suisse.</t>
  </si>
  <si>
    <t>🏘  L’appartement de vos rêves se trouve sur ImmoScout24.ch ✅ Découvrez les dernières annonces de vente à Bubendorf.</t>
  </si>
  <si>
    <t>https://www.immoscout24.ch/fr/maison/acheter/lieu-conthey</t>
  </si>
  <si>
    <t>Vendre maison Conthey: Trouvez le bien immobilier qui correspond idéalement à vos désirs sur ImmoScout24 - La plateforme de l'immobilier en Suisse.</t>
  </si>
  <si>
    <t>🏘  Vous souhaitez acheter une maison à Conthey? ✅ Jetez un œil aux dernières offres sur ImmoScout24.ch.</t>
  </si>
  <si>
    <t>https://www.immoscout24.ch/fr/appartement/acheter/lieu-vauderens</t>
  </si>
  <si>
    <t>Vendre appartement Vauderens: Trouvez le bien immobilier qui correspond idéalement à vos désirs sur ImmoScout24 - La plateforme de l'immobilier en Suisse.</t>
  </si>
  <si>
    <t>🏘  L’appartement de vos rêves se trouve sur ImmoScout24.ch ✅ Découvrez les dernières annonces de vente à Vauderens.</t>
  </si>
  <si>
    <t>https://www.immoscout24.ch/fr/appartement/louer/lieu-la-corbaz</t>
  </si>
  <si>
    <t>Louer appartement La Corbaz: Trouvez le bien immobilier qui correspond idéalement à vos désirs sur ImmoScout24 - La plateforme de l'immobilier en Suisse.</t>
  </si>
  <si>
    <t>🏘  Vous cherchez un appartement à louer à La Corbaz? ✅ Les annonces les plus actuelles sont sur ImmoScout24.ch.</t>
  </si>
  <si>
    <t>https://www.immoscout24.ch/fr/maison/louer/lieu-pringy</t>
  </si>
  <si>
    <t>Louer maison Pringy: Trouvez le bien immobilier qui correspond idéalement à vos désirs sur ImmoScout24 - La plateforme de l'immobilier en Suisse.</t>
  </si>
  <si>
    <t>🏘  Vous cherchez une maison à louer à Pringy? ✅ Découvrez nos nombreuses annonces sur ImmoScout24.ch.</t>
  </si>
  <si>
    <t>https://www.immoscout24.ch/fr/appartement/louer/lieu-territet</t>
  </si>
  <si>
    <t>Louer appartement Territet: Trouvez le bien immobilier qui correspond idéalement à vos désirs sur ImmoScout24 - La plateforme de l'immobilier en Suisse.</t>
  </si>
  <si>
    <t>🏘  Vous cherchez un appartement à louer à Territet? ✅ Les annonces les plus actuelles sont sur ImmoScout24.ch.</t>
  </si>
  <si>
    <t>https://www.immoscout24.ch/fr/maison/acheter/lieu-cadempino</t>
  </si>
  <si>
    <t>Vendre maison Cadempino: Trouvez le bien immobilier qui correspond idéalement à vos désirs sur ImmoScout24 - La plateforme de l'immobilier en Suisse.</t>
  </si>
  <si>
    <t>🏘  Vous souhaitez acheter une maison à Cadempino? ✅ Jetez un œil aux dernières offres sur ImmoScout24.ch.</t>
  </si>
  <si>
    <t>https://www.immoscout24.ch/fr/appartement/louer/lieu-uetendorf</t>
  </si>
  <si>
    <t>Louer appartement Uetendorf: Trouvez le bien immobilier qui correspond idéalement à vos désirs sur ImmoScout24 - La plateforme de l'immobilier en Suisse.</t>
  </si>
  <si>
    <t>🏘  Vous cherchez un appartement à louer à Uetendorf? ✅ Les annonces les plus actuelles sont sur ImmoScout24.ch.</t>
  </si>
  <si>
    <t>https://www.immoscout24.ch/fr/appartement/louer/lieu-niederscherli</t>
  </si>
  <si>
    <t>Louer appartement Niederscherli: Trouvez le bien immobilier qui correspond idéalement à vos désirs sur ImmoScout24 - La plateforme de l'immobilier en Suisse.</t>
  </si>
  <si>
    <t>🏘  Vous cherchez un appartement à louer à Niederscherli? ✅ Les annonces les plus actuelles sont sur ImmoScout24.ch.</t>
  </si>
  <si>
    <t>https://www.immoscout24.ch/fr/appartement/acheter/lieu-lantsch-lenz</t>
  </si>
  <si>
    <t>Vendre appartement Lantsch/Lenz: Trouvez le bien immobilier qui correspond idéalement à vos désirs sur ImmoScout24 - La plateforme de l'immobilier en Suisse.</t>
  </si>
  <si>
    <t>🏘  L’appartement de vos rêves se trouve sur ImmoScout24.ch ✅ Découvrez les dernières annonces de vente à Lantsch/Lenz.</t>
  </si>
  <si>
    <t>https://www.immoscout24.ch/fr/appartement/louer/lieu-thusis</t>
  </si>
  <si>
    <t>Louer appartement Thusis: Trouvez le bien immobilier qui correspond idéalement à vos désirs sur ImmoScout24 - La plateforme de l'immobilier en Suisse.</t>
  </si>
  <si>
    <t>🏘  Vous cherchez un appartement à louer à Thusis? ✅ Les annonces les plus actuelles sont sur ImmoScout24.ch.</t>
  </si>
  <si>
    <t>https://www.immoscout24.ch/fr/appartement/louer/lieu-villars-epeney</t>
  </si>
  <si>
    <t>Louer appartement Villars-Epeney: Trouvez le bien immobilier qui correspond idéalement à vos désirs sur ImmoScout24 - La plateforme de l'immobilier en Suisse.</t>
  </si>
  <si>
    <t>🏘  Vous cherchez un appartement à louer à Villars-Epeney? ✅ Les annonces les plus actuelles sont sur ImmoScout24.ch.</t>
  </si>
  <si>
    <t>https://www.immoscout24.ch/fr/appartement/acheter/lieu-territet</t>
  </si>
  <si>
    <t>Vendre appartement Territet: Trouvez le bien immobilier qui correspond idéalement à vos désirs sur ImmoScout24 - La plateforme de l'immobilier en Suisse.</t>
  </si>
  <si>
    <t>🏘  L’appartement de vos rêves se trouve sur ImmoScout24.ch ✅ Découvrez les dernières annonces de vente à Territet.</t>
  </si>
  <si>
    <t>https://www.immoscout24.ch/fr/appartement/louer/lieu-muemliswil</t>
  </si>
  <si>
    <t>Louer appartement Mümliswil: Trouvez le bien immobilier qui correspond idéalement à vos désirs sur ImmoScout24 - La plateforme de l'immobilier en Suisse.</t>
  </si>
  <si>
    <t>🏘  Vous cherchez un appartement à louer à Mümliswil? ✅ Les annonces les plus actuelles sont sur ImmoScout24.ch.</t>
  </si>
  <si>
    <t>https://www.immoscout24.ch/fr/appartement/louer/lieu-oberkirch-lu</t>
  </si>
  <si>
    <t>Louer appartement Oberkirch LU: Trouvez le bien immobilier qui correspond idéalement à vos désirs sur ImmoScout24 - La plateforme de l'immobilier en Suisse.</t>
  </si>
  <si>
    <t>🏘  Vous cherchez un appartement à louer à Oberkirch LU? ✅ Les annonces les plus actuelles sont sur ImmoScout24.ch.</t>
  </si>
  <si>
    <t>https://www.immoscout24.ch/fr/maison/acheter/pays-suede</t>
  </si>
  <si>
    <t>Vendre maison Suède: Trouvez le bien immobilier qui correspond idéalement à vos désirs sur ImmoScout24 - La plateforme de l'immobilier en Suisse.</t>
  </si>
  <si>
    <t>🏘  Vous cherchez un appartement à louer en Suède? ✅ Les annonces les plus actuelles sont sur ImmoScout24.ch.</t>
  </si>
  <si>
    <t>https://www.immoscout24.ch/fr/maison/acheter/lieu-rossemaison</t>
  </si>
  <si>
    <t>Vendre maison Rossemaison: Trouvez le bien immobilier qui correspond idéalement à vos désirs sur ImmoScout24 - La plateforme de l'immobilier en Suisse.</t>
  </si>
  <si>
    <t>🏘  Vous souhaitez acheter une maison à Rossemaison? ✅ Jetez un œil aux dernières offres sur ImmoScout24.ch.</t>
  </si>
  <si>
    <t>https://www.immoscout24.ch/fr/appartement/louer/lieu-tamins</t>
  </si>
  <si>
    <t>Louer appartement Tamins: Trouvez le bien immobilier qui correspond idéalement à vos désirs sur ImmoScout24 - La plateforme de l'immobilier en Suisse.</t>
  </si>
  <si>
    <t>🏘  Vous cherchez un appartement à louer à Tamins? ✅ Les annonces les plus actuelles sont sur ImmoScout24.ch.</t>
  </si>
  <si>
    <t>https://www.immoscout24.ch/fr/maison/acheter/lieu-aarberg</t>
  </si>
  <si>
    <t>Vendre maison Aarberg: Trouvez le bien immobilier qui correspond idéalement à vos désirs sur ImmoScout24 - La plateforme de l'immobilier en Suisse.</t>
  </si>
  <si>
    <t>🏘  Vous souhaitez acheter une maison à Aarberg? ✅ Jetez un œil aux dernières offres sur ImmoScout24.ch.</t>
  </si>
  <si>
    <t>https://www.immoscout24.ch/fr/appartement/acheter/lieu-magliaso</t>
  </si>
  <si>
    <t>Vendre appartement Magliaso: Trouvez le bien immobilier qui correspond idéalement à vos désirs sur ImmoScout24 - La plateforme de l'immobilier en Suisse.</t>
  </si>
  <si>
    <t>🏘  L’appartement de vos rêves se trouve sur ImmoScout24.ch ✅ Découvrez les dernières annonces de vente à Magliaso.</t>
  </si>
  <si>
    <t>https://www.immoscout24.ch/fr/maison/acheter/lieu-oberentfelden</t>
  </si>
  <si>
    <t>Vendre maison Oberentfelden: Trouvez le bien immobilier qui correspond idéalement à vos désirs sur ImmoScout24 - La plateforme de l'immobilier en Suisse.</t>
  </si>
  <si>
    <t>🏘  Vous souhaitez acheter une maison à Oberentfelden? ✅ Jetez un œil aux dernières offres sur ImmoScout24.ch.</t>
  </si>
  <si>
    <t>https://www.immoscout24.ch/fr/maison/acheter/lieu-auddes-sur-riddes</t>
  </si>
  <si>
    <t>Vendre maison Auddes-sur-Riddes: Trouvez le bien immobilier qui correspond idéalement à vos désirs sur ImmoScout24 - La plateforme de l'immobilier en Suisse.</t>
  </si>
  <si>
    <t>🏘  Vous souhaitez acheter une maison à Auddes-sur-Riddes? ✅ Jetez un œil aux dernières offres sur ImmoScout24.ch.</t>
  </si>
  <si>
    <t>https://www.immoscout24.ch/fr/appartement/acheter/lieu-wilen-b-wollerau</t>
  </si>
  <si>
    <t>Vendre appartement Wilen b. Wollerau: Trouvez le bien immobilier qui correspond idéalement à vos désirs sur ImmoScout24 - La plateforme de l'immobilier en Suisse.</t>
  </si>
  <si>
    <t>🏘  L’appartement de vos rêves se trouve sur ImmoScout24.ch ✅ Découvrez les dernières annonces de vente à Wilen b. Wollerau.</t>
  </si>
  <si>
    <t>https://www.immoscout24.ch/fr/maison/acheter/lieu-camorino</t>
  </si>
  <si>
    <t>Vendre maison Camorino: Trouvez le bien immobilier qui correspond idéalement à vos désirs sur ImmoScout24 - La plateforme de l'immobilier en Suisse.</t>
  </si>
  <si>
    <t>🏘  Vous souhaitez acheter une maison à Camorino? ✅ Jetez un œil aux dernières offres sur ImmoScout24.ch.</t>
  </si>
  <si>
    <t>https://www.immoscout24.ch/fr/maison/acheter/lieu-herrenschwanden</t>
  </si>
  <si>
    <t>Vendre maison Herrenschwanden: Trouvez le bien immobilier qui correspond idéalement à vos désirs sur ImmoScout24 - La plateforme de l'immobilier en Suisse.</t>
  </si>
  <si>
    <t>🏘  Vous souhaitez acheter une maison à Herrenschwanden? ✅ Jetez un œil aux dernières offres sur ImmoScout24.ch.</t>
  </si>
  <si>
    <t>https://www.immoscout24.ch/fr/maison/acheter/region-gruyere-la-broye-lac-veveyse</t>
  </si>
  <si>
    <t>Vendre maison Gruyère - La Broye - Lac - Veveyse: Trouvez le bien immobilier qui correspond idéalement à vos désirs sur ImmoScout24 - La plateforme de l'immobilier en Suisse.</t>
  </si>
  <si>
    <t>🏘  Vous souhaitez acheter une maison dans les districts de Gruyère - La Broye - Lac - Veveyse? ✅ Jetez un œil aux dernières offres sur ImmoScout24.ch.</t>
  </si>
  <si>
    <t>https://www.immoscout24.ch/fr/maison/louer/lieu-mezieres-vd</t>
  </si>
  <si>
    <t>Louer maison Mézières VD: Trouvez le bien immobilier qui correspond idéalement à vos désirs sur ImmoScout24 - La plateforme de l'immobilier en Suisse.</t>
  </si>
  <si>
    <t>🏘  Vous cherchez une maison à louer à Mézières VD? ✅ Découvrez nos nombreuses annonces sur ImmoScout24.ch.</t>
  </si>
  <si>
    <t>https://www.immoscout24.ch/fr/maison/acheter/lieu-vouvry</t>
  </si>
  <si>
    <t>Vendre maison Vouvry: Trouvez le bien immobilier qui correspond idéalement à vos désirs sur ImmoScout24 - La plateforme de l'immobilier en Suisse.</t>
  </si>
  <si>
    <t>🏘  Vous souhaitez acheter une maison à Vouvry? ✅ Jetez un œil aux dernières offres sur ImmoScout24.ch.</t>
  </si>
  <si>
    <t>https://www.immoscout24.ch/fr/appartement/louer/lieu-corbeyrier</t>
  </si>
  <si>
    <t>Louer appartement Corbeyrier: Trouvez le bien immobilier qui correspond idéalement à vos désirs sur ImmoScout24 - La plateforme de l'immobilier en Suisse.</t>
  </si>
  <si>
    <t>🏘  Vous cherchez un appartement à louer à Corbeyrier? ✅ Les annonces les plus actuelles sont sur ImmoScout24.ch.</t>
  </si>
  <si>
    <t>https://www.immoscout24.ch/fr/maison/acheter/lieu-forel-lavaux</t>
  </si>
  <si>
    <t>Vendre maison Forel (Lavaux): Trouvez le bien immobilier qui correspond idéalement à vos désirs sur ImmoScout24 - La plateforme de l'immobilier en Suisse.</t>
  </si>
  <si>
    <t>🏘  Vous souhaitez acheter une maison à Forel (Lavaux)? ✅ Jetez un œil aux dernières offres sur ImmoScout24.ch.</t>
  </si>
  <si>
    <t>https://www.immoscout24.ch/fr/appartement/louer/lieu-stettlen</t>
  </si>
  <si>
    <t>Louer appartement Stettlen: Trouvez le bien immobilier qui correspond idéalement à vos désirs sur ImmoScout24 - La plateforme de l'immobilier en Suisse.</t>
  </si>
  <si>
    <t>🏘  Vous cherchez un appartement à louer à Stettlen? ✅ Les annonces les plus actuelles sont sur ImmoScout24.ch.</t>
  </si>
  <si>
    <t>https://www.immoscout24.ch/fr/maison/acheter/lieu-levron</t>
  </si>
  <si>
    <t>Vendre maison Levron: Trouvez le bien immobilier qui correspond idéalement à vos désirs sur ImmoScout24 - La plateforme de l'immobilier en Suisse.</t>
  </si>
  <si>
    <t>🏘  Vous souhaitez acheter une maison auvron? ✅ Jetez un œil aux dernières offres sur ImmoScout24.ch.</t>
  </si>
  <si>
    <t>https://www.immoscout24.ch/fr/appartement/louer/lieu-vaulruz</t>
  </si>
  <si>
    <t>Louer appartement Vaulruz: Trouvez le bien immobilier qui correspond idéalement à vos désirs sur ImmoScout24 - La plateforme de l'immobilier en Suisse.</t>
  </si>
  <si>
    <t>🏘  Vous cherchez un appartement à louer à Vaulruz? ✅ Les annonces les plus actuelles sont sur ImmoScout24.ch.</t>
  </si>
  <si>
    <t>https://www.immoscout24.ch/fr/appartement/louer/lieu-vaduz</t>
  </si>
  <si>
    <t>Louer appartement Vaduz: Trouvez le bien immobilier qui correspond idéalement à vos désirs sur ImmoScout24 - La plateforme de l'immobilier en Suisse.</t>
  </si>
  <si>
    <t>🏘  Vous cherchez un appartement à louer à Vaduz? ✅ Les annonces les plus actuelles sont sur ImmoScout24.ch.</t>
  </si>
  <si>
    <t>https://www.immoscout24.ch/fr/maison/acheter/lieu-mollis</t>
  </si>
  <si>
    <t>Vendre maison Mollis: Trouvez le bien immobilier qui correspond idéalement à vos désirs sur ImmoScout24 - La plateforme de l'immobilier en Suisse.</t>
  </si>
  <si>
    <t>🏘  Vous souhaitez acheter une maison à Mollis? ✅ Jetez un œil aux dernières offres sur ImmoScout24.ch.</t>
  </si>
  <si>
    <t>https://www.immoscout24.ch/fr/maison/acheter/lieu-les-verrieres</t>
  </si>
  <si>
    <t>Vendre maison Les Verrières: Trouvez le bien immobilier qui correspond idéalement à vos désirs sur ImmoScout24 - La plateforme de l'immobilier en Suisse.</t>
  </si>
  <si>
    <t>🏘  Vous souhaitez acheter une maison aux Verrières? ✅ Jetez un œil aux dernières offres sur ImmoScout24.ch.</t>
  </si>
  <si>
    <t>https://www.immoscout24.ch/fr/appartement/louer/lieu-albeuve</t>
  </si>
  <si>
    <t>Louer appartement Albeuve: Trouvez le bien immobilier qui correspond idéalement à vos désirs sur ImmoScout24 - La plateforme de l'immobilier en Suisse.</t>
  </si>
  <si>
    <t>🏘  Vous cherchez un appartement à louer à Albeuve? ✅ Les annonces les plus actuelles sont sur ImmoScout24.ch.</t>
  </si>
  <si>
    <t>https://www.immoscout24.ch/fr/appartement/louer/lieu-seftigen</t>
  </si>
  <si>
    <t>Louer appartement Seftigen: Trouvez le bien immobilier qui correspond idéalement à vos désirs sur ImmoScout24 - La plateforme de l'immobilier en Suisse.</t>
  </si>
  <si>
    <t>🏘  Vous cherchez un appartement à louer à Seftigen? ✅ Les annonces les plus actuelles sont sur ImmoScout24.ch.</t>
  </si>
  <si>
    <t>https://www.immoscout24.ch/fr/maison/acheter/lieu-wallenbuch</t>
  </si>
  <si>
    <t>Vendre maison Wallenbuch: Trouvez le bien immobilier qui correspond idéalement à vos désirs sur ImmoScout24 - La plateforme de l'immobilier en Suisse.</t>
  </si>
  <si>
    <t>🏘  Vous souhaitez acheter une maison à Wallenbuch? ✅ Jetez un œil aux dernières offres sur ImmoScout24.ch.</t>
  </si>
  <si>
    <t>https://www.immoscout24.ch/fr/maison/acheter/lieu-grone</t>
  </si>
  <si>
    <t>Vendre maison Grône: Trouvez le bien immobilier qui correspond idéalement à vos désirs sur ImmoScout24 - La plateforme de l'immobilier en Suisse.</t>
  </si>
  <si>
    <t>🏘  Vous souhaitez acheter une maison à Grône? ✅ Jetez un œil aux dernières offres sur ImmoScout24.ch.</t>
  </si>
  <si>
    <t>https://www.immoscout24.ch/fr/maison/acheter/lieu-saxonne-ayent</t>
  </si>
  <si>
    <t>Vendre maison Saxonne (Ayent): Trouvez le bien immobilier qui correspond idéalement à vos désirs sur ImmoScout24 - La plateforme de l'immobilier en Suisse.</t>
  </si>
  <si>
    <t>🏘  Vous souhaitez acheter une maison à Saxonne (Ayent)? ✅ Jetez un œil aux dernières offres sur ImmoScout24.ch.</t>
  </si>
  <si>
    <t>https://www.immoscout24.ch/fr/appartement/louer/lieu-egg-b-zuerich</t>
  </si>
  <si>
    <t>Louer appartement Egg b. Zürich: Trouvez le bien immobilier qui correspond idéalement à vos désirs sur ImmoScout24 - La plateforme de l'immobilier en Suisse.</t>
  </si>
  <si>
    <t>🏘  Vous cherchez un appartement à louer à Egg b. Zürich? ✅ Les annonces les plus actuelles sont sur ImmoScout24.ch.</t>
  </si>
  <si>
    <t>https://www.immoscout24.ch/fr/appartement/louer/quartier-vernand-lausanne</t>
  </si>
  <si>
    <t>Louer appartement Vernand (Lausanne): Trouvez le bien immobilier qui correspond idéalement à vos désirs sur ImmoScout24 - La plateforme de l'immobilier en Suisse.</t>
  </si>
  <si>
    <t>🏘  Vous cherchez un appartement à louer dans le quartier de Vernand (Lausanne)? ✅ Les annonces les plus actuelles sont sur ImmoScout24.ch.</t>
  </si>
  <si>
    <t>https://www.immoscout24.ch/fr/appartement/louer/region-valais-central</t>
  </si>
  <si>
    <t>Louer appartement Valais Central: Trouvez le bien immobilier qui correspond idéalement à vos désirs sur ImmoScout24 - La plateforme de l'immobilier en Suisse.</t>
  </si>
  <si>
    <t>🏘  Vous cherchez un appartement à louer en  Valais central? ✅ Les annonces les plus actuelles sont sur ImmoScout24.ch.</t>
  </si>
  <si>
    <t>https://www.immoscout24.ch/fr/maison/acheter/lieu-reichenbach-im-kandertal</t>
  </si>
  <si>
    <t>Vendre maison Reichenbach im Kandertal: Trouvez le bien immobilier qui correspond idéalement à vos désirs sur ImmoScout24 - La plateforme de l'immobilier en Suisse.</t>
  </si>
  <si>
    <t>🏘  Vous souhaitez acheter une maison à Reichenbach im Kandertal? ✅ Jetez un œil aux dernières offres sur ImmoScout24.ch.</t>
  </si>
  <si>
    <t>https://www.immoscout24.ch/fr/maison/acheter/lieu-montcherand</t>
  </si>
  <si>
    <t>Vendre maison Montcherand: Trouvez le bien immobilier qui correspond idéalement à vos désirs sur ImmoScout24 - La plateforme de l'immobilier en Suisse.</t>
  </si>
  <si>
    <t>🏘  Vous souhaitez acheter une maison à Montcherand? ✅ Jetez un œil aux dernières offres sur ImmoScout24.ch.</t>
  </si>
  <si>
    <t>https://www.immoscout24.ch/fr/maison/acheter/lieu-st-cierges</t>
  </si>
  <si>
    <t>Vendre maison St-Cierges: Trouvez le bien immobilier qui correspond idéalement à vos désirs sur ImmoScout24 - La plateforme de l'immobilier en Suisse.</t>
  </si>
  <si>
    <t>🏘  Vous souhaitez acheter une maison à St-Cierges? ✅ Jetez un œil aux dernières offres sur ImmoScout24.ch.</t>
  </si>
  <si>
    <t>https://www.immoscout24.ch/fr/maison/acheter/lieu-winterthur</t>
  </si>
  <si>
    <t>Vendre maison Winterthur: Trouvez le bien immobilier qui correspond idéalement à vos désirs sur ImmoScout24 - La plateforme de l'immobilier en Suisse.</t>
  </si>
  <si>
    <t>🏘  Vous souhaitez acheter une maison à Winterthur? ✅ Jetez un œil aux dernières offres sur ImmoScout24.ch.</t>
  </si>
  <si>
    <t>https://www.immoscout24.ch/fr/appartement/acheter/lieu-brugg-ag</t>
  </si>
  <si>
    <t>Vendre appartement Brugg AG: Trouvez le bien immobilier qui correspond idéalement à vos désirs sur ImmoScout24 - La plateforme de l'immobilier en Suisse.</t>
  </si>
  <si>
    <t>🏘  L’appartement de vos rêves se trouve sur ImmoScout24.ch ✅ Découvrez les dernières annonces de vente à Brugg AG.</t>
  </si>
  <si>
    <t>https://www.immoscout24.ch/fr/maison/acheter/lieu-vuibroye</t>
  </si>
  <si>
    <t>Vendre maison Vuibroye: Trouvez le bien immobilier qui correspond idéalement à vos désirs sur ImmoScout24 - La plateforme de l'immobilier en Suisse.</t>
  </si>
  <si>
    <t>🏘  Vous souhaitez acheter une maison à Vuibroye? ✅ Jetez un œil aux dernières offres sur ImmoScout24.ch.</t>
  </si>
  <si>
    <t>https://www.immoscout24.ch/fr/maison/acheter/lieu-fulenbach</t>
  </si>
  <si>
    <t>Vendre maison Fulenbach: Trouvez le bien immobilier qui correspond idéalement à vos désirs sur ImmoScout24 - La plateforme de l'immobilier en Suisse.</t>
  </si>
  <si>
    <t>🏘  Vous souhaitez acheter une maison à Fulenbach? ✅ Jetez un œil aux dernières offres sur ImmoScout24.ch.</t>
  </si>
  <si>
    <t>https://www.immoscout24.ch/fr/appartement/louer/lieu-martigny-croix</t>
  </si>
  <si>
    <t>Louer appartement Martigny-Croix: Trouvez le bien immobilier qui correspond idéalement à vos désirs sur ImmoScout24 - La plateforme de l'immobilier en Suisse.</t>
  </si>
  <si>
    <t>🏘  Vous cherchez un appartement à louer à Martigny-Croix? ✅ Les annonces les plus actuelles sont sur ImmoScout24.ch.</t>
  </si>
  <si>
    <t>https://www.immoscout24.ch/fr/appartement/louer/lieu-oetwil-am-see</t>
  </si>
  <si>
    <t>Louer appartement Oetwil am See: Trouvez le bien immobilier qui correspond idéalement à vos désirs sur ImmoScout24 - La plateforme de l'immobilier en Suisse.</t>
  </si>
  <si>
    <t>🏘  Vous cherchez un appartement à louer à Oetwil am See? ✅ Les annonces les plus actuelles sont sur ImmoScout24.ch.</t>
  </si>
  <si>
    <t>https://www.immoscout24.ch/fr/maison/acheter/lieu-boecourt</t>
  </si>
  <si>
    <t>Vendre maison Boécourt: Trouvez le bien immobilier qui correspond idéalement à vos désirs sur ImmoScout24 - La plateforme de l'immobilier en Suisse.</t>
  </si>
  <si>
    <t>🏘  Vous souhaitez acheter une maison à Boécourt? ✅ Jetez un œil aux dernières offres sur ImmoScout24.ch.</t>
  </si>
  <si>
    <t>https://www.immoscout24.ch/fr/maison/louer/lieu-poliez-le-grand</t>
  </si>
  <si>
    <t>Louer maison Poliez-le-Grand: Trouvez le bien immobilier qui correspond idéalement à vos désirs sur ImmoScout24 - La plateforme de l'immobilier en Suisse.</t>
  </si>
  <si>
    <t>🏘  Vous cherchez une maison à louer à Poliez-le-Grand? ✅ Découvrez nos nombreuses annonces sur ImmoScout24.ch.</t>
  </si>
  <si>
    <t>https://www.immoscout24.ch/fr/appartement/acheter/lieu-mezieres-vd</t>
  </si>
  <si>
    <t>Vendre appartement Mézières VD: Trouvez le bien immobilier qui correspond idéalement à vos désirs sur ImmoScout24 - La plateforme de l'immobilier en Suisse.</t>
  </si>
  <si>
    <t>🏘  L’appartement de vos rêves se trouve sur ImmoScout24.ch ✅ Découvrez les dernières annonces de vente à Mézières VD.</t>
  </si>
  <si>
    <t>https://www.immoscout24.ch/fr/maison/louer/lieu-grandvaux</t>
  </si>
  <si>
    <t>Louer maison Grandvaux: Trouvez le bien immobilier qui correspond idéalement à vos désirs sur ImmoScout24 - La plateforme de l'immobilier en Suisse.</t>
  </si>
  <si>
    <t>🏘  Vous cherchez une maison à louer à Grandvaux? ✅ Découvrez nos nombreuses annonces sur ImmoScout24.ch.</t>
  </si>
  <si>
    <t>https://www.immoscout24.ch/fr/maison/louer/lieu-saviese</t>
  </si>
  <si>
    <t>Louer maison Savièse: Trouvez le bien immobilier qui correspond idéalement à vos désirs sur ImmoScout24 - La plateforme de l'immobilier en Suisse.</t>
  </si>
  <si>
    <t>🏘  Vous cherchez une maison à louer à Savièse? ✅ Découvrez nos nombreuses annonces sur ImmoScout24.ch.</t>
  </si>
  <si>
    <t>https://www.immoscout24.ch/fr/appartement/louer/lieu-oberbipp</t>
  </si>
  <si>
    <t>Louer appartement Oberbipp: Trouvez le bien immobilier qui correspond idéalement à vos désirs sur ImmoScout24 - La plateforme de l'immobilier en Suisse.</t>
  </si>
  <si>
    <t>🏘  Vous cherchez un appartement à louer à Oberbipp? ✅ Les annonces les plus actuelles sont sur ImmoScout24.ch.</t>
  </si>
  <si>
    <t>https://www.immoscout24.ch/fr/appartement/louer/lieu-reconvilier</t>
  </si>
  <si>
    <t>Louer appartement Reconvilier: Trouvez le bien immobilier qui correspond idéalement à vos désirs sur ImmoScout24 - La plateforme de l'immobilier en Suisse.</t>
  </si>
  <si>
    <t>🏘  Vous cherchez un appartement à louer à Reconvilier? ✅ Les annonces les plus actuelles sont sur ImmoScout24.ch.</t>
  </si>
  <si>
    <t>https://www.immoscout24.ch/fr/appartement/acheter/quartier-grand-pre-vermont-geneve</t>
  </si>
  <si>
    <t>Vendre appartement Grand-Pré - Vermont (Genève):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</si>
  <si>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Grand-Pré - Vermont (Genève).</t>
  </si>
  <si>
    <t>https://www.immoscout24.ch/fr/appartement/louer/lieu-daellikon</t>
  </si>
  <si>
    <t>Louer appartement Dällikon: Trouvez le bien immobilier qui correspond idéalement à vos désirs sur ImmoScout24 - La plateforme de l'immobilier en Suisse.</t>
  </si>
  <si>
    <t>🏘  Vous cherchez un appartement à louer à Dällikon? ✅ Les annonces les plus actuelles sont sur ImmoScout24.ch.</t>
  </si>
  <si>
    <t>https://www.immoscout24.ch/fr/maison/acheter/lieu-begnins</t>
  </si>
  <si>
    <t>Vendre maison Begnins: Trouvez le bien immobilier qui correspond idéalement à vos désirs sur ImmoScout24 - La plateforme de l'immobilier en Suisse.</t>
  </si>
  <si>
    <t>🏘  Vous souhaitez acheter une maison à Begnins? ✅ Jetez un œil aux dernières offres sur ImmoScout24.ch.</t>
  </si>
  <si>
    <t>https://www.immoscout24.ch/fr/appartement/louer/lieu-wangen-b-olten</t>
  </si>
  <si>
    <t>Louer appartement Wangen b. Olten: Trouvez le bien immobilier qui correspond idéalement à vos désirs sur ImmoScout24 - La plateforme de l'immobilier en Suisse.</t>
  </si>
  <si>
    <t>🏘  Vous cherchez un appartement à louer à Wangen b. Olten? ✅ Les annonces les plus actuelles sont sur ImmoScout24.ch.</t>
  </si>
  <si>
    <t>https://www.immoscout24.ch/fr/maison/louer/lieu-guemligen</t>
  </si>
  <si>
    <t>Louer maison Gümligen: Trouvez le bien immobilier qui correspond idéalement à vos désirs sur ImmoScout24 - La plateforme de l'immobilier en Suisse.</t>
  </si>
  <si>
    <t>🏘  Vous cherchez une maison à louer à Gümligen? ✅ Découvrez nos nombreuses annonces sur ImmoScout24.ch.</t>
  </si>
  <si>
    <t>https://www.immoscout24.ch/fr/maison/acheter/lieu-hondrich</t>
  </si>
  <si>
    <t>Vendre maison Hondrich: Trouvez le bien immobilier qui correspond idéalement à vos désirs sur ImmoScout24 - La plateforme de l'immobilier en Suisse.</t>
  </si>
  <si>
    <t>🏘  Vous souhaitez acheter une maison à Hondrich? ✅ Jetez un œil aux dernières offres sur ImmoScout24.ch.</t>
  </si>
  <si>
    <t>https://www.immoscout24.ch/fr/appartement/acheter/lieu-vessy</t>
  </si>
  <si>
    <t>Vendre appartement Vessy: Trouvez le bien immobilier qui correspond idéalement à vos désirs sur ImmoScout24 - La plateforme de l'immobilier en Suisse.</t>
  </si>
  <si>
    <t>🏘  L’appartement de vos rêves se trouve sur ImmoScout24.ch ✅ Découvrez les dernières annonces de vente à Vessy.</t>
  </si>
  <si>
    <t>https://www.immoscout24.ch/fr/maison/acheter/lieu-auboranges</t>
  </si>
  <si>
    <t>Vendre maison Auboranges: Trouvez le bien immobilier qui correspond idéalement à vos désirs sur ImmoScout24 - La plateforme de l'immobilier en Suisse.</t>
  </si>
  <si>
    <t>🏘  Vous souhaitez acheter une maison à Auboranges? ✅ Jetez un œil aux dernières offres sur ImmoScout24.ch.</t>
  </si>
  <si>
    <t>https://www.immoscout24.ch/fr/maison/acheter/lieu-winterberg-zh</t>
  </si>
  <si>
    <t>Vendre maison Winterberg ZH: Trouvez le bien immobilier qui correspond idéalement à vos désirs sur ImmoScout24 - La plateforme de l'immobilier en Suisse.</t>
  </si>
  <si>
    <t>🏘  Vous souhaitez acheter une maison à Winterberg ZH? ✅ Jetez un œil aux dernières offres sur ImmoScout24.ch.</t>
  </si>
  <si>
    <t>https://www.immoscout24.ch/fr/maison/acheter/lieu-besencens</t>
  </si>
  <si>
    <t>Vendre maison Besencens: Trouvez le bien immobilier qui correspond idéalement à vos désirs sur ImmoScout24 - La plateforme de l'immobilier en Suisse.</t>
  </si>
  <si>
    <t>🏘  Vous souhaitez acheter une maison à Besencens? ✅ Jetez un œil aux dernières offres sur ImmoScout24.ch.</t>
  </si>
  <si>
    <t>https://www.immoscout24.ch/fr/maison/acheter/quartier-serrieres-neuchatel</t>
  </si>
  <si>
    <t>Vendre maison Serrières (Neuchâtel): Trouvez le bien immobilier qui correspond idéalement à vos désirs sur ImmoScout24 - La plateforme de l'immobilier en Suisse.</t>
  </si>
  <si>
    <t>🏘  Vous souhaitez acheter une maison dans le quartier de Serrières (Neuchâtel)? ✅ Jetez un œil aux dernières offres sur ImmoScout24.ch.</t>
  </si>
  <si>
    <t>https://www.immoscout24.ch/fr/maison/acheter/lieu-troistorrents</t>
  </si>
  <si>
    <t>Vendre maison Troistorrents: Trouvez le bien immobilier qui correspond idéalement à vos désirs sur ImmoScout24 - La plateforme de l'immobilier en Suisse.</t>
  </si>
  <si>
    <t>🏘  Vous souhaitez acheter une maison à Troistorrents? ✅ Jetez un œil aux dernières offres sur ImmoScout24.ch.</t>
  </si>
  <si>
    <t>https://www.immoscout24.ch/fr/maison/acheter/lieu-moosseedorf</t>
  </si>
  <si>
    <t>Vendre maison Moosseedorf: Trouvez le bien immobilier qui correspond idéalement à vos désirs sur ImmoScout24 - La plateforme de l'immobilier en Suisse.</t>
  </si>
  <si>
    <t>🏘  Vous souhaitez acheter une maison à Moosseedorf? ✅ Jetez un œil aux dernières offres sur ImmoScout24.ch.</t>
  </si>
  <si>
    <t>https://www.immoscout24.ch/fr/appartement/acheter/lieu-broc</t>
  </si>
  <si>
    <t>Vendre appartement Broc: Trouvez le bien immobilier qui correspond idéalement à vos désirs sur ImmoScout24 - La plateforme de l'immobilier en Suisse.</t>
  </si>
  <si>
    <t>🏘  L’appartement de vos rêves se trouve sur ImmoScout24.ch ✅ Découvrez les dernières annonces de vente à Broc.</t>
  </si>
  <si>
    <t>https://www.immoscout24.ch/fr/appartement/louer/lieu-bad-ragaz</t>
  </si>
  <si>
    <t>Louer appartement Bad Ragaz: Trouvez le bien immobilier qui correspond idéalement à vos désirs sur ImmoScout24 - La plateforme de l'immobilier en Suisse.</t>
  </si>
  <si>
    <t>🏘  Vous cherchez un appartement à louer à Bad Ragaz? ✅ Les annonces les plus actuelles sont sur ImmoScout24.ch.</t>
  </si>
  <si>
    <t>https://www.immoscout24.ch/fr/appartement/louer/lieu-langnau-am-albis</t>
  </si>
  <si>
    <t>Louer appartement Langnau am Albis: Trouvez le bien immobilier qui correspond idéalement à vos désirs sur ImmoScout24 - La plateforme de l'immobilier en Suisse.</t>
  </si>
  <si>
    <t>🏘  Vous cherchez un appartement à louer à Langnau am Albis? ✅ Les annonces les plus actuelles sont sur ImmoScout24.ch.</t>
  </si>
  <si>
    <t>https://www.immoscout24.ch/fr/appartement/acheter/region-emmental</t>
  </si>
  <si>
    <t>Vendre appartement Emmental: Trouvez le bien immobilier qui correspond idéalement à vos désirs sur ImmoScout24 - La plateforme de l'immobilier en Suisse.</t>
  </si>
  <si>
    <t>🏘  L’appartement de vos rêves se trouve sur ImmoScout24.ch ✅ Découvrez les dernières annonces de vente dans la région de l'Emmental.</t>
  </si>
  <si>
    <t>https://www.immoscout24.ch/fr/appartement/acheter/lieu-soral</t>
  </si>
  <si>
    <t>Vendre appartement Soral: Trouvez le bien immobilier qui correspond idéalement à vos désirs sur ImmoScout24 - La plateforme de l'immobilier en Suisse.</t>
  </si>
  <si>
    <t>🏘  L’appartement de vos rêves se trouve sur ImmoScout24.ch ✅ Découvrez les dernières annonces de vente à Soral.</t>
  </si>
  <si>
    <t>https://www.immoscout24.ch/fr/maison/acheter/lieu-biere</t>
  </si>
  <si>
    <t>Vendre maison Bière: Trouvez le bien immobilier qui correspond idéalement à vos désirs sur ImmoScout24 - La plateforme de l'immobilier en Suisse.</t>
  </si>
  <si>
    <t>🏘  Vous souhaitez acheter une maison à Bière? ✅ Jetez un œil aux dernières offres sur ImmoScout24.ch.</t>
  </si>
  <si>
    <t>https://www.immoscout24.ch/fr/appartement/acheter/lieu-comano</t>
  </si>
  <si>
    <t>Vendre appartement Comano: Trouvez le bien immobilier qui correspond idéalement à vos désirs sur ImmoScout24 - La plateforme de l'immobilier en Suisse.</t>
  </si>
  <si>
    <t>🏘  L’appartement de vos rêves se trouve sur ImmoScout24.ch ✅ Découvrez les dernières annonces de vente à Comano.</t>
  </si>
  <si>
    <t>https://www.immoscout24.ch/fr/appartement/acheter/lieu-la-sarraz</t>
  </si>
  <si>
    <t>Vendre appartement La Sarraz: Trouvez le bien immobilier qui correspond idéalement à vos désirs sur ImmoScout24 - La plateforme de l'immobilier en Suisse.</t>
  </si>
  <si>
    <t>🏘  L’appartement de vos rêves se trouve sur ImmoScout24.ch ✅ Découvrez les dernières annonces de vente à La Sarraz.</t>
  </si>
  <si>
    <t>https://www.immoscout24.ch/fr/appartement/louer/lieu-madulain</t>
  </si>
  <si>
    <t>Louer appartement Madulain: Trouvez le bien immobilier qui correspond idéalement à vos désirs sur ImmoScout24 - La plateforme de l'immobilier en Suisse.</t>
  </si>
  <si>
    <t>🏘  Vous cherchez un appartement à louer à Madulain? ✅ Les annonces les plus actuelles sont sur ImmoScout24.ch.</t>
  </si>
  <si>
    <t>https://www.immoscout24.ch/fr/maison/acheter/lieu-carouge-ge</t>
  </si>
  <si>
    <t>Vendre maison Carouge GE: Trouvez le bien immobilier qui correspond idéalement à vos désirs sur ImmoScout24 - La plateforme de l'immobilier en Suisse.</t>
  </si>
  <si>
    <t>🏘  Vous souhaitez acheter une maison à Carouge GE? ✅ Jetez un œil aux dernières offres sur ImmoScout24.ch.</t>
  </si>
  <si>
    <t>https://www.immoscout24.ch/fr/appartement/acheter/lieu-laax-gr</t>
  </si>
  <si>
    <t>Vendre appartement Laax GR: Trouvez le bien immobilier qui correspond idéalement à vos désirs sur ImmoScout24 - La plateforme de l'immobilier en Suisse.</t>
  </si>
  <si>
    <t>🏘  L’appartement de vos rêves se trouve sur ImmoScout24.ch ✅ Découvrez les dernières annonces de vente à Laax GR.</t>
  </si>
  <si>
    <t>https://www.immoscout24.ch/fr/appartement/louer/canton-valais</t>
  </si>
  <si>
    <t>Louer appartement Canton du Valais: Trouvez le bien immobilier qui correspond idéalement à vos désirs sur ImmoScout24 - La plateforme de l'immobilier en Suisse.</t>
  </si>
  <si>
    <t>🏘  Vous cherchez un appartement à louer dans le Canton du Valais? ✅ Les annonces les plus actuelles sont sur ImmoScout24.ch.</t>
  </si>
  <si>
    <t>https://www.immoscout24.ch/fr/maison/acheter/lieu-staldenried</t>
  </si>
  <si>
    <t>Vendre maison Staldenried: Trouvez le bien immobilier qui correspond idéalement à vos désirs sur ImmoScout24 - La plateforme de l'immobilier en Suisse.</t>
  </si>
  <si>
    <t>🏘  Vous souhaitez acheter une maison à Staldenried? ✅ Jetez un œil aux dernières offres sur ImmoScout24.ch.</t>
  </si>
  <si>
    <t>https://www.immoscout24.ch/fr/appartement/louer/lieu-le-pont</t>
  </si>
  <si>
    <t>Louer appartement Le Pont: Trouvez le bien immobilier qui correspond idéalement à vos désirs sur ImmoScout24 - La plateforme de l'immobilier en Suisse.</t>
  </si>
  <si>
    <t>🏘  Vous cherchez un appartement à louer au Pont? ✅ Les annonces les plus actuelles sont sur ImmoScout24.ch.</t>
  </si>
  <si>
    <t>https://www.immoscout24.ch/fr/appartement/acheter/lieu-erde</t>
  </si>
  <si>
    <t>Vendre appartement Erde: Trouvez le bien immobilier qui correspond idéalement à vos désirs sur ImmoScout24 - La plateforme de l'immobilier en Suisse.</t>
  </si>
  <si>
    <t>🏘  L’appartement de vos rêves se trouve sur ImmoScout24.ch ✅ Découvrez les dernières annonces de vente à Erde.</t>
  </si>
  <si>
    <t>https://www.immoscout24.ch/fr/appartement/louer/lieu-windlach</t>
  </si>
  <si>
    <t>Louer appartement Windlach: Trouvez le bien immobilier qui correspond idéalement à vos désirs sur ImmoScout24 - La plateforme de l'immobilier en Suisse.</t>
  </si>
  <si>
    <t>🏘  Vous cherchez un appartement à louer à Windlach? ✅ Les annonces les plus actuelles sont sur ImmoScout24.ch.</t>
  </si>
  <si>
    <t>https://www.immoscout24.ch/fr/appartement/acheter/lieu-saanen</t>
  </si>
  <si>
    <t>Vendre appartement Saanen: Trouvez le bien immobilier qui correspond idéalement à vos désirs sur ImmoScout24 - La plateforme de l'immobilier en Suisse.</t>
  </si>
  <si>
    <t>🏘  L’appartement de vos rêves se trouve sur ImmoScout24.ch ✅ Découvrez les dernières annonces de vente à Saanen.</t>
  </si>
  <si>
    <t>https://www.immoscout24.ch/fr/appartement/louer/region-seeland</t>
  </si>
  <si>
    <t>Louer appartement Seeland: Trouvez le bien immobilier qui correspond idéalement à vos désirs sur ImmoScout24 - La plateforme de l'immobilier en Suisse.</t>
  </si>
  <si>
    <t>🏘  Vous cherchez un appartement à louer dans le Seeland? ✅ Les annonces les plus actuelles sont sur ImmoScout24.ch.</t>
  </si>
  <si>
    <t>https://www.immoscout24.ch/fr/maison/louer/lieu-posieux</t>
  </si>
  <si>
    <t>Louer maison Posieux: Trouvez le bien immobilier qui correspond idéalement à vos désirs sur ImmoScout24 - La plateforme de l'immobilier en Suisse.</t>
  </si>
  <si>
    <t>🏘  Vous cherchez une maison à louer à Posieux? ✅ Découvrez nos nombreuses annonces sur ImmoScout24.ch.</t>
  </si>
  <si>
    <t>https://www.immoscout24.ch/fr/maison/louer/lieu-orny</t>
  </si>
  <si>
    <t>Louer maison Orny: Trouvez le bien immobilier qui correspond idéalement à vos désirs sur ImmoScout24 - La plateforme de l'immobilier en Suisse.</t>
  </si>
  <si>
    <t>🏘  Vous cherchez une maison à louer à Orny? ✅ Découvrez nos nombreuses annonces sur ImmoScout24.ch.</t>
  </si>
  <si>
    <t>https://www.immoscout24.ch/fr/maison/louer/lieu-niederhasli</t>
  </si>
  <si>
    <t>Louer maison Niederhasli: Trouvez le bien immobilier qui correspond idéalement à vos désirs sur ImmoScout24 - La plateforme de l'immobilier en Suisse.</t>
  </si>
  <si>
    <t>🏘  Vous cherchez une maison à louer à Niederhasli? ✅ Découvrez nos nombreuses annonces sur ImmoScout24.ch.</t>
  </si>
  <si>
    <t>https://www.immoscout24.ch/fr/appartement/louer/lieu-pomy</t>
  </si>
  <si>
    <t>Louer appartement Pomy: Trouvez le bien immobilier qui correspond idéalement à vos désirs sur ImmoScout24 - La plateforme de l'immobilier en Suisse.</t>
  </si>
  <si>
    <t>🏘  Vous cherchez un appartement à louer à Pomy? ✅ Les annonces les plus actuelles sont sur ImmoScout24.ch.</t>
  </si>
  <si>
    <t>https://www.immoscout24.ch/fr/maison/acheter/lieu-eischoll</t>
  </si>
  <si>
    <t>Vendre maison Eischoll: Trouvez le bien immobilier qui correspond idéalement à vos désirs sur ImmoScout24 - La plateforme de l'immobilier en Suisse.</t>
  </si>
  <si>
    <t>🏘  Vous souhaitez acheter une maison à Eischoll? ✅ Jetez un œil aux dernières offres sur ImmoScout24.ch.</t>
  </si>
  <si>
    <t>https://www.immoscout24.ch/fr/maison/acheter/lieu-koeniz</t>
  </si>
  <si>
    <t>Vendre maison Köniz: Trouvez le bien immobilier qui correspond idéalement à vos désirs sur ImmoScout24 - La plateforme de l'immobilier en Suisse.</t>
  </si>
  <si>
    <t>🏘  Vous souhaitez acheter une maison à Köniz? ✅ Jetez un œil aux dernières offres sur ImmoScout24.ch.</t>
  </si>
  <si>
    <t>https://www.immoscout24.ch/fr/maison/acheter/lieu-bossonnens</t>
  </si>
  <si>
    <t>Vendre maison Bossonnens: Trouvez le bien immobilier qui correspond idéalement à vos désirs sur ImmoScout24 - La plateforme de l'immobilier en Suisse.</t>
  </si>
  <si>
    <t>🏘  Vous souhaitez acheter une maison à Bossonnens? ✅ Jetez un œil aux dernières offres sur ImmoScout24.ch.</t>
  </si>
  <si>
    <t>https://www.immoscout24.ch/fr/maison/louer/region-singine-sarine-lac</t>
  </si>
  <si>
    <t>Louer maison Singine - Sarine - Lac: Trouvez le bien immobilier qui correspond idéalement à vos désirs sur ImmoScout24 - La plateforme de l'immobilier en Suisse.</t>
  </si>
  <si>
    <t>🏘  Vous cherchez une maison à louer dans les districts de Singine - Sarine - Lac? ✅ Découvrez nos nombreuses annonces sur ImmoScout24.ch.</t>
  </si>
  <si>
    <t>https://www.immoscout24.ch/fr/maison/acheter/pays-perou</t>
  </si>
  <si>
    <t>Vendre maison Pérou: Trouvez le bien immobilier qui correspond idéalement à vos désirs sur ImmoScout24 - La plateforme de l'immobilier en Suisse.</t>
  </si>
  <si>
    <t>🏘  Vous cherchez un appartement à louer au Pérou? ✅ Les annonces les plus actuelles sont sur ImmoScout24.ch.</t>
  </si>
  <si>
    <t>https://www.immoscout24.ch/fr/appartement/louer/lieu-genthod</t>
  </si>
  <si>
    <t>Louer appartement Genthod: Trouvez le bien immobilier qui correspond idéalement à vos désirs sur ImmoScout24 - La plateforme de l'immobilier en Suisse.</t>
  </si>
  <si>
    <t>🏘  Vous cherchez un appartement à louer à Genthod? ✅ Les annonces les plus actuelles sont sur ImmoScout24.ch.</t>
  </si>
  <si>
    <t>https://www.immoscout24.ch/fr/appartement/louer/lieu-troinex</t>
  </si>
  <si>
    <t>Louer appartement Troinex: Trouvez le bien immobilier qui correspond idéalement à vos désirs sur ImmoScout24 - La plateforme de l'immobilier en Suisse.</t>
  </si>
  <si>
    <t>🏘  Vous cherchez un appartement à louer à Troinex? ✅ Les annonces les plus actuelles sont sur ImmoScout24.ch.</t>
  </si>
  <si>
    <t>https://www.immoscout24.ch/fr/appartement/acheter/lieu-haute-nendaz</t>
  </si>
  <si>
    <t>Vendre appartement Haute-Nendaz: Trouvez le bien immobilier qui correspond idéalement à vos désirs sur ImmoScout24 - La plateforme de l'immobilier en Suisse.</t>
  </si>
  <si>
    <t>🏘  L’appartement de vos rêves se trouve sur ImmoScout24.ch ✅ Découvrez les dernières annonces de vente à Haute-Nendaz.</t>
  </si>
  <si>
    <t>https://www.immoscout24.ch/fr/appartement/louer/lieu-lucelle</t>
  </si>
  <si>
    <t>Louer appartement Lucelle: Trouvez le bien immobilier qui correspond idéalement à vos désirs sur ImmoScout24 - La plateforme de l'immobilier en Suisse.</t>
  </si>
  <si>
    <t>🏘  Vous cherchez un appartement à louer à Lucelle? ✅ Les annonces les plus actuelles sont sur ImmoScout24.ch.</t>
  </si>
  <si>
    <t>https://www.immoscout24.ch/fr/maison/acheter/lieu-gerolfingen</t>
  </si>
  <si>
    <t>Vendre maison Gerolfingen: Trouvez le bien immobilier qui correspond idéalement à vos désirs sur ImmoScout24 - La plateforme de l'immobilier en Suisse.</t>
  </si>
  <si>
    <t>🏘  Vous souhaitez acheter une maison à Gerolfingen? ✅ Jetez un œil aux dernières offres sur ImmoScout24.ch.</t>
  </si>
  <si>
    <t>https://www.immoscout24.ch/fr/appartement/acheter/lieu-pampigny</t>
  </si>
  <si>
    <t>Vendre appartement Pampigny: Trouvez le bien immobilier qui correspond idéalement à vos désirs sur ImmoScout24 - La plateforme de l'immobilier en Suisse.</t>
  </si>
  <si>
    <t>🏘  L’appartement de vos rêves se trouve sur ImmoScout24.ch ✅ Découvrez les dernières annonces de vente à Pampigny.</t>
  </si>
  <si>
    <t>https://www.immoscout24.ch/fr/appartement/acheter/lieu-petit-lancy</t>
  </si>
  <si>
    <t>Vendre appartement Petit-Lancy: Trouvez le bien immobilier qui correspond idéalement à vos désirs sur ImmoScout24 - La plateforme de l'immobilier en Suisse.</t>
  </si>
  <si>
    <t>🏘  L’appartement de vos rêves se trouve sur ImmoScout24.ch ✅ Découvrez les dernières annonces de vente au Petit-Lancy.</t>
  </si>
  <si>
    <t>https://www.immoscout24.ch/fr/maison/acheter/lieu-arch</t>
  </si>
  <si>
    <t>Vendre maison Arch: Trouvez le bien immobilier qui correspond idéalement à vos désirs sur ImmoScout24 - La plateforme de l'immobilier en Suisse.</t>
  </si>
  <si>
    <t>🏘  Vous souhaitez acheter une maison à Arch? ✅ Jetez un œil aux dernières offres sur ImmoScout24.ch.</t>
  </si>
  <si>
    <t>https://www.immoscout24.ch/fr/appartement/acheter/region-bremgarten-lenzburg-muri-kulm</t>
  </si>
  <si>
    <t>Vendre appartement Bremgarten - Lenzburg - Muri - Kulm: Trouvez le bien immobilier qui correspond idéalement à vos désirs sur ImmoScout24 - La plateforme de l'immobilier en Suisse.</t>
  </si>
  <si>
    <t>🏘  L’appartement de vos rêves se trouve sur ImmoScout24.ch ✅ Découvrez les dernières annonces de vente dans les districts de Bremgarten - Lenzburg - Muri - Kulm.</t>
  </si>
  <si>
    <t>https://www.immoscout24.ch/fr/appartement/louer/lieu-erlenbach-zh</t>
  </si>
  <si>
    <t>Louer appartement Erlenbach ZH: Trouvez le bien immobilier qui correspond idéalement à vos désirs sur ImmoScout24 - La plateforme de l'immobilier en Suisse.</t>
  </si>
  <si>
    <t>🏘  Vous cherchez un appartement à louer à Erlenbach ZH? ✅ Les annonces les plus actuelles sont sur ImmoScout24.ch.</t>
  </si>
  <si>
    <t>https://www.immoscout24.ch/fr/appartement/louer/lieu-prevondavaux</t>
  </si>
  <si>
    <t>Louer appartement Prévondavaux: Trouvez le bien immobilier qui correspond idéalement à vos désirs sur ImmoScout24 - La plateforme de l'immobilier en Suisse.</t>
  </si>
  <si>
    <t>🏘  Vous cherchez un appartement à louer à Prévondavaux? ✅ Les annonces les plus actuelles sont sur ImmoScout24.ch.</t>
  </si>
  <si>
    <t>https://www.immoscout24.ch/fr/appartement/acheter/lieu-geneve</t>
  </si>
  <si>
    <t>Vendre appartement Genève: Trouvez le bien immobilier qui correspond idéalement à vos désirs sur ImmoScout24 - La plateforme de l'immobilier en Suisse.</t>
  </si>
  <si>
    <t>🏘  L’appartement de vos rêves se trouve sur ImmoScout24.ch ✅ Découvrez les dernières annonces de vente à Genève.</t>
  </si>
  <si>
    <t>https://www.immoscout24.ch/fr/appartement/louer/lieu-brontallo</t>
  </si>
  <si>
    <t>Louer appartement Brontallo: Trouvez le bien immobilier qui correspond idéalement à vos désirs sur ImmoScout24 - La plateforme de l'immobilier en Suisse.</t>
  </si>
  <si>
    <t>🏘  Vous cherchez un appartement à louer à Brontallo? ✅ Les annonces les plus actuelles sont sur ImmoScout24.ch.</t>
  </si>
  <si>
    <t>https://www.immoscout24.ch/fr/maison/acheter/lieu-vitznau</t>
  </si>
  <si>
    <t>Vendre maison Vitznau: Trouvez le bien immobilier qui correspond idéalement à vos désirs sur ImmoScout24 - La plateforme de l'immobilier en Suisse.</t>
  </si>
  <si>
    <t>🏘  Vous souhaitez acheter une maison à Vitznau? ✅ Jetez un œil aux dernières offres sur ImmoScout24.ch.</t>
  </si>
  <si>
    <t>https://www.immoscout24.ch/fr/maison/louer/lieu-allaman</t>
  </si>
  <si>
    <t>Louer maison Allaman: Trouvez le bien immobilier qui correspond idéalement à vos désirs sur ImmoScout24 - La plateforme de l'immobilier en Suisse.</t>
  </si>
  <si>
    <t>🏘  Vous cherchez une maison à louer à Allaman? ✅ Découvrez nos nombreuses annonces sur ImmoScout24.ch.</t>
  </si>
  <si>
    <t>https://www.immoscout24.ch/fr/appartement/louer/lieu-beringen</t>
  </si>
  <si>
    <t>Louer appartement Beringen: Trouvez le bien immobilier qui correspond idéalement à vos désirs sur ImmoScout24 - La plateforme de l'immobilier en Suisse.</t>
  </si>
  <si>
    <t>🏘  Vous cherchez un appartement à louer à Beringen? ✅ Les annonces les plus actuelles sont sur ImmoScout24.ch.</t>
  </si>
  <si>
    <t>https://www.immoscout24.ch/fr/appartement/louer/region-rhone-arve</t>
  </si>
  <si>
    <t>Louer appartement Rhône-Arve: Trouvez le bien immobilier qui correspond idéalement à vos désirs sur ImmoScout24 - La plateforme de l'immobilier en Suisse.</t>
  </si>
  <si>
    <t>🏘  Vous cherchez un appartement à louer dans la région de Rhône-Arve? ✅ Les annonces les plus actuelles sont sur ImmoScout24.ch.</t>
  </si>
  <si>
    <t>https://www.immoscout24.ch/fr/maison/acheter/lieu-breil-brigels</t>
  </si>
  <si>
    <t>Vendre maison Breil/Brigels: Trouvez le bien immobilier qui correspond idéalement à vos désirs sur ImmoScout24 - La plateforme de l'immobilier en Suisse.</t>
  </si>
  <si>
    <t>🏘  Vous souhaitez acheter une maison à Breil/Brigels? ✅ Jetez un œil aux dernières offres sur ImmoScout24.ch.</t>
  </si>
  <si>
    <t>https://www.immoscout24.ch/fr/appartement/acheter/quartier-jura-fribourg</t>
  </si>
  <si>
    <t>Vendre appartement Jura (Fribourg):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</si>
  <si>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du Jura (Fribourg).</t>
  </si>
  <si>
    <t>https://www.immoscout24.ch/fr/maison/acheter/lieu-ligerz</t>
  </si>
  <si>
    <t>Vendre maison Ligerz: Trouvez le bien immobilier qui correspond idéalement à vos désirs sur ImmoScout24 - La plateforme de l'immobilier en Suisse.</t>
  </si>
  <si>
    <t>🏘  Vous souhaitez acheter une maison à Ligerz? ✅ Jetez un œil aux dernières offres sur ImmoScout24.ch.</t>
  </si>
  <si>
    <t>https://www.immoscout24.ch/fr/appartement/acheter/lieu-lavigny</t>
  </si>
  <si>
    <t>Vendre appartement Lavigny: Trouvez le bien immobilier qui correspond idéalement à vos désirs sur ImmoScout24 - La plateforme de l'immobilier en Suisse.</t>
  </si>
  <si>
    <t>🏘  L’appartement de vos rêves se trouve sur ImmoScout24.ch ✅ Découvrez les dernières annonces de vente à Lavigny.</t>
  </si>
  <si>
    <t>https://www.immoscout24.ch/fr/appartement/louer/pays-portugal</t>
  </si>
  <si>
    <t>Louer appartement Portugal: Trouvez le bien immobilier qui correspond idéalement à vos désirs sur ImmoScout24 - La plateforme de l'immobilier en Suisse.</t>
  </si>
  <si>
    <t>🏘  Vous cherchez un appartement à louer au Portugal? ✅ Les annonces les plus actuelles sont sur ImmoScout24.ch.</t>
  </si>
  <si>
    <t>https://www.immoscout24.ch/fr/maison/acheter/lieu-guarda</t>
  </si>
  <si>
    <t>Vendre maison Guarda: Trouvez le bien immobilier qui correspond idéalement à vos désirs sur ImmoScout24 - La plateforme de l'immobilier en Suisse.</t>
  </si>
  <si>
    <t>🏘  Vous souhaitez acheter une maison à Guarda? ✅ Jetez un œil aux dernières offres sur ImmoScout24.ch.</t>
  </si>
  <si>
    <t>https://www.immoscout24.ch/fr/appartement/acheter/lieu-mollens-vs</t>
  </si>
  <si>
    <t>Vendre appartement Mollens VS: Trouvez le bien immobilier qui correspond idéalement à vos désirs sur ImmoScout24 - La plateforme de l'immobilier en Suisse.</t>
  </si>
  <si>
    <t>🏘  L’appartement de vos rêves se trouve sur ImmoScout24.ch ✅ Découvrez les dernières annonces de vente à Mollens VS.</t>
  </si>
  <si>
    <t>https://www.immoscout24.ch/fr/maison/acheter/lieu-vernayaz</t>
  </si>
  <si>
    <t>Vendre maison Vernayaz: Trouvez le bien immobilier qui correspond idéalement à vos désirs sur ImmoScout24 - La plateforme de l'immobilier en Suisse.</t>
  </si>
  <si>
    <t>🏘  Vous souhaitez acheter une maison à Vernayaz? ✅ Jetez un œil aux dernières offres sur ImmoScout24.ch.</t>
  </si>
  <si>
    <t>https://www.immoscout24.ch/fr/maison/louer/canton-tessin</t>
  </si>
  <si>
    <t>Louer maison Canton du Tessin: Trouvez le bien immobilier qui correspond idéalement à vos désirs sur ImmoScout24 - La plateforme de l'immobilier en Suisse.</t>
  </si>
  <si>
    <t>🏘  Vous cherchez une maison à louer dans le Canton du Tessin? ✅ Découvrez nos nombreuses annonces sur ImmoScout24.ch.</t>
  </si>
  <si>
    <t>https://www.immoscout24.ch/fr/appartement/louer/canton-bale-campagne</t>
  </si>
  <si>
    <t>Louer appartement Canton de Bâle-Campagne: Trouvez le bien immobilier qui correspond idéalement à vos désirs sur ImmoScout24 - La plateforme de l'immobilier en Suisse.</t>
  </si>
  <si>
    <t>🏘  Vous cherchez un appartement à louer dans le Canton de Bâle-Campagne? ✅ Les annonces les plus actuelles sont sur ImmoScout24.ch.</t>
  </si>
  <si>
    <t>https://www.immoscout24.ch/fr/maison/acheter/lieu-grindelwald</t>
  </si>
  <si>
    <t>Vendre maison Grindelwald: Trouvez le bien immobilier qui correspond idéalement à vos désirs sur ImmoScout24 - La plateforme de l'immobilier en Suisse.</t>
  </si>
  <si>
    <t>🏘  Vous souhaitez acheter une maison à Grindelwald? ✅ Jetez un œil aux dernières offres sur ImmoScout24.ch.</t>
  </si>
  <si>
    <t>https://www.immoscout24.ch/fr/maison/louer/lieu-corgemont</t>
  </si>
  <si>
    <t>Louer maison Corgémont: Trouvez le bien immobilier qui correspond idéalement à vos désirs sur ImmoScout24 - La plateforme de l'immobilier en Suisse.</t>
  </si>
  <si>
    <t>🏘  Vous cherchez une maison à louer à Corgémont? ✅ Découvrez nos nombreuses annonces sur ImmoScout24.ch.</t>
  </si>
  <si>
    <t>https://www.immoscout24.ch/fr/appartement/louer/region-mendrisiotto</t>
  </si>
  <si>
    <t>Louer appartement Mendrisiotto: Trouvez le bien immobilier qui correspond idéalement à vos désirs sur ImmoScout24 - La plateforme de l'immobilier en Suisse.</t>
  </si>
  <si>
    <t>🏘  Vous cherchez un appartement à louer dans le Mendrisiotto? ✅ Les annonces les plus actuelles sont sur ImmoScout24.ch.</t>
  </si>
  <si>
    <t>https://www.immoscout24.ch/fr/appartement/louer/lieu-goldiwil-thun</t>
  </si>
  <si>
    <t>Louer appartement Goldiwil (Thun): Trouvez le bien immobilier qui correspond idéalement à vos désirs sur ImmoScout24 - La plateforme de l'immobilier en Suisse.</t>
  </si>
  <si>
    <t>🏘  Vous cherchez un appartement à louer à Goldiwil (Thun)? ✅ Les annonces les plus actuelles sont sur ImmoScout24.ch.</t>
  </si>
  <si>
    <t>https://www.immoscout24.ch/fr/appartement/louer/lieu-hurden</t>
  </si>
  <si>
    <t>Louer appartement Hurden: Trouvez le bien immobilier qui correspond idéalement à vos désirs sur ImmoScout24 - La plateforme de l'immobilier en Suisse.</t>
  </si>
  <si>
    <t>🏘  Vous cherchez un appartement à louer à Hurden? ✅ Les annonces les plus actuelles sont sur ImmoScout24.ch.</t>
  </si>
  <si>
    <t>https://www.immoscout24.ch/fr/maison/acheter/lieu-welschenrohr</t>
  </si>
  <si>
    <t>Vendre maison Welschenrohr: Trouvez le bien immobilier qui correspond idéalement à vos désirs sur ImmoScout24 - La plateforme de l'immobilier en Suisse.</t>
  </si>
  <si>
    <t>🏘  Vous souhaitez acheter une maison à Welschenrohr? ✅ Jetez un œil aux dernières offres sur ImmoScout24.ch.</t>
  </si>
  <si>
    <t>https://www.immoscout24.ch/fr/maison/louer/lieu-villars-sur-fontenais</t>
  </si>
  <si>
    <t>Louer maison Villars-sur-Fontenais: Trouvez le bien immobilier qui correspond idéalement à vos désirs sur ImmoScout24 - La plateforme de l'immobilier en Suisse.</t>
  </si>
  <si>
    <t>🏘  Vous cherchez une maison à louer à Villars-sur-Fontenais? ✅ Découvrez nos nombreuses annonces sur ImmoScout24.ch.</t>
  </si>
  <si>
    <t>https://www.immoscout24.ch/fr/appartement/acheter/region-campagne-rive-droite</t>
  </si>
  <si>
    <t>Vendre appartement Campagne - Rive droite: Trouvez le bien immobilier qui correspond idéalement à vos désirs sur ImmoScout24 - La plateforme de l'immobilier en Suisse.</t>
  </si>
  <si>
    <t>🏘  L’appartement de vos rêves se trouve sur ImmoScout24.ch ✅ Découvrez les dernières annonces de vente à Campagne - Rive droite.</t>
  </si>
  <si>
    <t>https://www.immoscout24.ch/fr/appartement/acheter/lieu-genolier</t>
  </si>
  <si>
    <t>Vendre appartement Genolier: Trouvez le bien immobilier qui correspond idéalement à vos désirs sur ImmoScout24 - La plateforme de l'immobilier en Suisse.</t>
  </si>
  <si>
    <t>🏘  L’appartement de vos rêves se trouve sur ImmoScout24.ch ✅ Découvrez les dernières annonces de vente à Genolier.</t>
  </si>
  <si>
    <t>https://www.immoscout24.ch/fr/appartement/louer/lieu-wangen-sz</t>
  </si>
  <si>
    <t>Louer appartement Wangen SZ: Trouvez le bien immobilier qui correspond idéalement à vos désirs sur ImmoScout24 - La plateforme de l'immobilier en Suisse.</t>
  </si>
  <si>
    <t>🏘  Vous cherchez un appartement à louer à Wangen SZ? ✅ Les annonces les plus actuelles sont sur ImmoScout24.ch.</t>
  </si>
  <si>
    <t>https://www.immoscout24.ch/fr/appartement/louer/lieu-luzern</t>
  </si>
  <si>
    <t>Louer appartement Luzern: Trouvez le bien immobilier qui correspond idéalement à vos désirs sur ImmoScout24 - La plateforme de l'immobilier en Suisse.</t>
  </si>
  <si>
    <t>🏘  Vous cherchez un appartement à louer à Luzern? ✅ Les annonces les plus actuelles sont sur ImmoScout24.ch.</t>
  </si>
  <si>
    <t>https://www.immoscout24.ch/fr/maison/acheter/pays-mexique</t>
  </si>
  <si>
    <t>Vendre maison Mexique: Trouvez le bien immobilier qui correspond idéalement à vos désirs sur ImmoScout24 - La plateforme de l'immobilier en Suisse.</t>
  </si>
  <si>
    <t>🏘  Vous cherchez un appartement à louer au Mexique? ✅ Les annonces les plus actuelles sont sur ImmoScout24.ch.</t>
  </si>
  <si>
    <t>https://www.immoscout24.ch/fr/appartement/louer/lieu-mendrisio</t>
  </si>
  <si>
    <t>Louer appartement Mendrisio: Trouvez le bien immobilier qui correspond idéalement à vos désirs sur ImmoScout24 - La plateforme de l'immobilier en Suisse.</t>
  </si>
  <si>
    <t>🏘  Vous cherchez un appartement à louer à Mendrisio? ✅ Les annonces les plus actuelles sont sur ImmoScout24.ch.</t>
  </si>
  <si>
    <t>https://www.immoscout24.ch/fr/appartement/louer/lieu-klosters</t>
  </si>
  <si>
    <t>Louer appartement Klosters: Trouvez le bien immobilier qui correspond idéalement à vos désirs sur ImmoScout24 - La plateforme de l'immobilier en Suisse.</t>
  </si>
  <si>
    <t>🏘  Vous cherchez un appartement à louer à Klosters? ✅ Les annonces les plus actuelles sont sur ImmoScout24.ch.</t>
  </si>
  <si>
    <t>https://www.immoscout24.ch/fr/maison/louer/lieu-willisau</t>
  </si>
  <si>
    <t>Louer maison Willisau: Trouvez le bien immobilier qui correspond idéalement à vos désirs sur ImmoScout24 - La plateforme de l'immobilier en Suisse.</t>
  </si>
  <si>
    <t>🏘  Vous cherchez une maison à louer à Willisau? ✅ Découvrez nos nombreuses annonces sur ImmoScout24.ch.</t>
  </si>
  <si>
    <t>https://www.immoscout24.ch/fr/appartement/acheter/lieu-rosshaeusern</t>
  </si>
  <si>
    <t>Vendre appartement Rosshäusern: Trouvez le bien immobilier qui correspond idéalement à vos désirs sur ImmoScout24 - La plateforme de l'immobilier en Suisse.</t>
  </si>
  <si>
    <t>🏘  L’appartement de vos rêves se trouve sur ImmoScout24.ch ✅ Découvrez les dernières annonces de vente à Rosshäusern.</t>
  </si>
  <si>
    <t>https://www.immoscout24.ch/fr/maison/acheter/lieu-meilen</t>
  </si>
  <si>
    <t>Vendre maison Meilen: Trouvez le bien immobilier qui correspond idéalement à vos désirs sur ImmoScout24 - La plateforme de l'immobilier en Suisse.</t>
  </si>
  <si>
    <t>🏘  Vous souhaitez acheter une maison à Meilen? ✅ Jetez un œil aux dernières offres sur ImmoScout24.ch.</t>
  </si>
  <si>
    <t>https://www.immoscout24.ch/fr/appartement/louer/lieu-aproz-nendaz</t>
  </si>
  <si>
    <t>Louer appartement Aproz (Nendaz): Trouvez le bien immobilier qui correspond idéalement à vos désirs sur ImmoScout24 - La plateforme de l'immobilier en Suisse.</t>
  </si>
  <si>
    <t>🏘  Vous cherchez un appartement à louer à Aproz (Nendaz)? ✅ Les annonces les plus actuelles sont sur ImmoScout24.ch.</t>
  </si>
  <si>
    <t>https://www.immoscout24.ch/fr/appartement/acheter/lieu-plan-les-ouates</t>
  </si>
  <si>
    <t>Vendre appartement Plan-les-Ouates: Trouvez le bien immobilier qui correspond idéalement à vos désirs sur ImmoScout24 - La plateforme de l'immobilier en Suisse.</t>
  </si>
  <si>
    <t>🏘  L’appartement de vos rêves se trouve sur ImmoScout24.ch ✅ Découvrez les dernières annonces de vente à Plan-les-Ouates.</t>
  </si>
  <si>
    <t>https://www.immoscout24.ch/fr/maison/louer/lieu-athenaz-avusy</t>
  </si>
  <si>
    <t>Louer maison Athenaz (Avusy): Trouvez le bien immobilier qui correspond idéalement à vos désirs sur ImmoScout24 - La plateforme de l'immobilier en Suisse.</t>
  </si>
  <si>
    <t>🏘  Vous cherchez une maison à louer à Athenaz (Avusy)? ✅ Découvrez nos nombreuses annonces sur ImmoScout24.ch.</t>
  </si>
  <si>
    <t>https://www.immoscout24.ch/fr/appartement/louer/lieu-breganzona</t>
  </si>
  <si>
    <t>Louer appartement Breganzona: Trouvez le bien immobilier qui correspond idéalement à vos désirs sur ImmoScout24 - La plateforme de l'immobilier en Suisse.</t>
  </si>
  <si>
    <t>🏘  Vous cherchez un appartement à louer à Breganzona? ✅ Les annonces les plus actuelles sont sur ImmoScout24.ch.</t>
  </si>
  <si>
    <t>https://www.immoscout24.ch/fr/appartement/acheter/lieu-posieux</t>
  </si>
  <si>
    <t>Vendre appartement Posieux: Trouvez le bien immobilier qui correspond idéalement à vos désirs sur ImmoScout24 - La plateforme de l'immobilier en Suisse.</t>
  </si>
  <si>
    <t>🏘  L’appartement de vos rêves se trouve sur ImmoScout24.ch ✅ Découvrez les dernières annonces de vente à Posieux.</t>
  </si>
  <si>
    <t>https://www.immoscout24.ch/fr/maison/louer/region-aigle-alpes-vaudoises</t>
  </si>
  <si>
    <t>Louer maison Aigle - Alpes Vaudoises: Trouvez le bien immobilier qui correspond idéalement à vos désirs sur ImmoScout24 - La plateforme de l'immobilier en Suisse.</t>
  </si>
  <si>
    <t>🏘  Vous cherchez une maison à louer dans la région d'Aigle - Alpes vaudoises? ✅ Découvrez nos nombreuses annonces sur ImmoScout24.ch.</t>
  </si>
  <si>
    <t>https://www.immoscout24.ch/fr/appartement/louer/lieu-la-garde-sembrancher</t>
  </si>
  <si>
    <t>Louer appartement La Garde (Sembrancher): Trouvez le bien immobilier qui correspond idéalement à vos désirs sur ImmoScout24 - La plateforme de l'immobilier en Suisse.</t>
  </si>
  <si>
    <t>🏘  Vous cherchez un appartement à louer à La Garde (Sembrancher)? ✅ Les annonces les plus actuelles sont sur ImmoScout24.ch.</t>
  </si>
  <si>
    <t>https://www.immoscout24.ch/fr/appartement/louer/lieu-senarclens</t>
  </si>
  <si>
    <t>Louer appartement Senarclens: Trouvez le bien immobilier qui correspond idéalement à vos désirs sur ImmoScout24 - La plateforme de l'immobilier en Suisse.</t>
  </si>
  <si>
    <t>🏘  Vous cherchez un appartement à louer à Senarclens? ✅ Les annonces les plus actuelles sont sur ImmoScout24.ch.</t>
  </si>
  <si>
    <t>https://www.immoscout24.ch/fr/appartement/louer/lieu-neuchatel</t>
  </si>
  <si>
    <t>Louer appartement Neuchâtel: Trouvez le bien immobilier qui correspond idéalement à vos désirs sur ImmoScout24 - La plateforme de l'immobilier en Suisse.</t>
  </si>
  <si>
    <t>🏘  Vous cherchez un appartement à louer à Neuchâtel? ✅ Les annonces les plus actuelles sont sur ImmoScout24.ch.</t>
  </si>
  <si>
    <t>https://www.immoscout24.ch/fr/appartement/acheter/lieu-stalden-vs</t>
  </si>
  <si>
    <t>Vendre appartement Stalden VS: Trouvez le bien immobilier qui correspond idéalement à vos désirs sur ImmoScout24 - La plateforme de l'immobilier en Suisse.</t>
  </si>
  <si>
    <t>🏘  L’appartement de vos rêves se trouve sur ImmoScout24.ch ✅ Découvrez les dernières annonces de vente à Stalden VS.</t>
  </si>
  <si>
    <t>https://www.immoscout24.ch/fr/appartement/acheter/lieu-boll</t>
  </si>
  <si>
    <t>Vendre appartement Boll: Trouvez le bien immobilier qui correspond idéalement à vos désirs sur ImmoScout24 - La plateforme de l'immobilier en Suisse.</t>
  </si>
  <si>
    <t>🏘  L’appartement de vos rêves se trouve sur ImmoScout24.ch ✅ Découvrez les dernières annonces de vente à Boll.</t>
  </si>
  <si>
    <t>https://www.immoscout24.ch/fr/appartement/acheter/lieu-roche-vd</t>
  </si>
  <si>
    <t>Vendre appartement Roche VD: Trouvez le bien immobilier qui correspond idéalement à vos désirs sur ImmoScout24 - La plateforme de l'immobilier en Suisse.</t>
  </si>
  <si>
    <t>🏘  L’appartement de vos rêves se trouve sur ImmoScout24.ch ✅ Découvrez les dernières annonces de vente à Roche VD.</t>
  </si>
  <si>
    <t>https://www.immoscout24.ch/fr/maison/acheter/lieu-heremence</t>
  </si>
  <si>
    <t>Vendre maison Hérémence: Trouvez le bien immobilier qui correspond idéalement à vos désirs sur ImmoScout24 - La plateforme de l'immobilier en Suisse.</t>
  </si>
  <si>
    <t>🏘  Vous souhaitez acheter une maison à Hérémence? ✅ Jetez un œil aux dernières offres sur ImmoScout24.ch.</t>
  </si>
  <si>
    <t>https://www.immoscout24.ch/fr/appartement/louer/lieu-siselen-be</t>
  </si>
  <si>
    <t>Louer appartement Siselen BE: Trouvez le bien immobilier qui correspond idéalement à vos désirs sur ImmoScout24 - La plateforme de l'immobilier en Suisse.</t>
  </si>
  <si>
    <t>🏘  Vous cherchez un appartement à louer à Siselen BE? ✅ Les annonces les plus actuelles sont sur ImmoScout24.ch.</t>
  </si>
  <si>
    <t>https://www.immoscout24.ch/fr/maison/acheter/lieu-peccia</t>
  </si>
  <si>
    <t>Vendre maison Peccia: Trouvez le bien immobilier qui correspond idéalement à vos désirs sur ImmoScout24 - La plateforme de l'immobilier en Suisse.</t>
  </si>
  <si>
    <t>🏘  Vous souhaitez acheter une maison à Peccia? ✅ Jetez un œil aux dernières offres sur ImmoScout24.ch.</t>
  </si>
  <si>
    <t>https://www.immoscout24.ch/fr/appartement/louer/lieu-ferreyres</t>
  </si>
  <si>
    <t>Louer appartement Ferreyres: Trouvez le bien immobilier qui correspond idéalement à vos désirs sur ImmoScout24 - La plateforme de l'immobilier en Suisse.</t>
  </si>
  <si>
    <t>🏘  Vous cherchez un appartement à louer à Ferreyres? ✅ Les annonces les plus actuelles sont sur ImmoScout24.ch.</t>
  </si>
  <si>
    <t>https://www.immoscout24.ch/fr/maison/acheter/lieu-pieterlen</t>
  </si>
  <si>
    <t>Vendre maison Pieterlen: Trouvez le bien immobilier qui correspond idéalement à vos désirs sur ImmoScout24 - La plateforme de l'immobilier en Suisse.</t>
  </si>
  <si>
    <t>🏘  Vous souhaitez acheter une maison à Pieterlen? ✅ Jetez un œil aux dernières offres sur ImmoScout24.ch.</t>
  </si>
  <si>
    <t>https://www.immoscout24.ch/fr/appartement/louer/lieu-weinfelden</t>
  </si>
  <si>
    <t>Louer appartement Weinfelden: Trouvez le bien immobilier qui correspond idéalement à vos désirs sur ImmoScout24 - La plateforme de l'immobilier en Suisse.</t>
  </si>
  <si>
    <t>🏘  Vous cherchez un appartement à louer à Weinfelden? ✅ Les annonces les plus actuelles sont sur ImmoScout24.ch.</t>
  </si>
  <si>
    <t>https://www.immoscout24.ch/fr/maison/acheter/pays-costa-rica</t>
  </si>
  <si>
    <t>Vendre maison Costa Rica: Trouvez le bien immobilier qui correspond idéalement à vos désirs sur ImmoScout24 - La plateforme de l'immobilier en Suisse.</t>
  </si>
  <si>
    <t>🏘  Vous cherchez un appartement à louer au Costa Rica? ✅ Les annonces les plus actuelles sont sur ImmoScout24.ch.</t>
  </si>
  <si>
    <t>https://www.immoscout24.ch/fr/maison/acheter/lieu-liddes</t>
  </si>
  <si>
    <t>Vendre maison Liddes: Trouvez le bien immobilier qui correspond idéalement à vos désirs sur ImmoScout24 - La plateforme de l'immobilier en Suisse.</t>
  </si>
  <si>
    <t>🏘  Vous souhaitez acheter une maison à Liddes? ✅ Jetez un œil aux dernières offres sur ImmoScout24.ch.</t>
  </si>
  <si>
    <t>https://www.immoscout24.ch/fr/maison/louer/lieu-binningen</t>
  </si>
  <si>
    <t>Louer maison Binningen: Trouvez le bien immobilier qui correspond idéalement à vos désirs sur ImmoScout24 - La plateforme de l'immobilier en Suisse.</t>
  </si>
  <si>
    <t>🏘  Vous cherchez une maison à louer à Binningen? ✅ Découvrez nos nombreuses annonces sur ImmoScout24.ch.</t>
  </si>
  <si>
    <t>https://www.immoscout24.ch/fr/maison/acheter/lieu-st-pierre-de-clages</t>
  </si>
  <si>
    <t>Vendre maison St-Pierre-de-Clages: Trouvez le bien immobilier qui correspond idéalement à vos désirs sur ImmoScout24 - La plateforme de l'immobilier en Suisse.</t>
  </si>
  <si>
    <t>🏘  Vous souhaitez acheter une maison à St-Pierre-de-Clages? ✅ Jetez un œil aux dernières offres sur ImmoScout24.ch.</t>
  </si>
  <si>
    <t>https://www.immoscout24.ch/fr/maison/acheter/lieu-courtaman</t>
  </si>
  <si>
    <t>Vendre maison Courtaman: Trouvez le bien immobilier qui correspond idéalement à vos désirs sur ImmoScout24 - La plateforme de l'immobilier en Suisse.</t>
  </si>
  <si>
    <t>🏘  Vous souhaitez acheter une maison à Courtaman? ✅ Jetez un œil aux dernières offres sur ImmoScout24.ch.</t>
  </si>
  <si>
    <t>https://www.immoscout24.ch/fr/maison/acheter/lieu-comano</t>
  </si>
  <si>
    <t>Vendre maison Comano: Trouvez le bien immobilier qui correspond idéalement à vos désirs sur ImmoScout24 - La plateforme de l'immobilier en Suisse.</t>
  </si>
  <si>
    <t>🏘  Vous souhaitez acheter une maison à Comano? ✅ Jetez un œil aux dernières offres sur ImmoScout24.ch.</t>
  </si>
  <si>
    <t>https://www.immoscout24.ch/fr/appartement/louer/lieu-grandson</t>
  </si>
  <si>
    <t>Louer appartement Grandson: Trouvez le bien immobilier qui correspond idéalement à vos désirs sur ImmoScout24 - La plateforme de l'immobilier en Suisse.</t>
  </si>
  <si>
    <t>🏘  Vous cherchez un appartement à louer à Grandson? ✅ Les annonces les plus actuelles sont sur ImmoScout24.ch.</t>
  </si>
  <si>
    <t>https://www.immoscout24.ch/fr/appartement/louer/lieu-prez-vers-siviriez</t>
  </si>
  <si>
    <t>Louer appartement Prez-vers-Siviriez: Trouvez le bien immobilier qui correspond idéalement à vos désirs sur ImmoScout24 - La plateforme de l'immobilier en Suisse.</t>
  </si>
  <si>
    <t>🏘  Vous cherchez un appartement à louer à Prez-vers-Siviriez? ✅ Les annonces les plus actuelles sont sur ImmoScout24.ch.</t>
  </si>
  <si>
    <t>https://www.immoscout24.ch/fr/maison/acheter/lieu-corseaux</t>
  </si>
  <si>
    <t>Vendre maison Corseaux: Trouvez le bien immobilier qui correspond idéalement à vos désirs sur ImmoScout24 - La plateforme de l'immobilier en Suisse.</t>
  </si>
  <si>
    <t>🏘  Vous souhaitez acheter une maison à Corseaux? ✅ Jetez un œil aux dernières offres sur ImmoScout24.ch.</t>
  </si>
  <si>
    <t>https://www.immoscout24.ch/fr/maison/louer/lieu-froideville</t>
  </si>
  <si>
    <t>Louer maison Froideville: Trouvez le bien immobilier qui correspond idéalement à vos désirs sur ImmoScout24 - La plateforme de l'immobilier en Suisse.</t>
  </si>
  <si>
    <t>🏘  Vous cherchez une maison à louer à Froideville? ✅ Découvrez nos nombreuses annonces sur ImmoScout24.ch.</t>
  </si>
  <si>
    <t>https://www.immoscout24.ch/fr/appartement/louer/lieu-rebstein</t>
  </si>
  <si>
    <t>Louer appartement Rebstein: Trouvez le bien immobilier qui correspond idéalement à vos désirs sur ImmoScout24 - La plateforme de l'immobilier en Suisse.</t>
  </si>
  <si>
    <t>🏘  Vous cherchez un appartement à louer à Rebstein? ✅ Les annonces les plus actuelles sont sur ImmoScout24.ch.</t>
  </si>
  <si>
    <t>https://www.immoscout24.ch/fr/appartement/louer/lieu-fiez</t>
  </si>
  <si>
    <t>Louer appartement Fiez: Trouvez le bien immobilier qui correspond idéalement à vos désirs sur ImmoScout24 - La plateforme de l'immobilier en Suisse.</t>
  </si>
  <si>
    <t>🏘  Vous cherchez un appartement à louer à Fiez? ✅ Les annonces les plus actuelles sont sur ImmoScout24.ch.</t>
  </si>
  <si>
    <t>https://www.immoscout24.ch/fr/appartement/louer/lieu-suscevaz</t>
  </si>
  <si>
    <t>Louer appartement Suscévaz: Trouvez le bien immobilier qui correspond idéalement à vos désirs sur ImmoScout24 - La plateforme de l'immobilier en Suisse.</t>
  </si>
  <si>
    <t>🏘  Vous cherchez un appartement à louer à Suscévaz? ✅ Les annonces les plus actuelles sont sur ImmoScout24.ch.</t>
  </si>
  <si>
    <t>https://www.immoscout24.ch/fr/appartement/louer/lieu-charmoille</t>
  </si>
  <si>
    <t>Louer appartement Charmoille: Trouvez le bien immobilier qui correspond idéalement à vos désirs sur ImmoScout24 - La plateforme de l'immobilier en Suisse.</t>
  </si>
  <si>
    <t>🏘  Vous cherchez un appartement à louer à Charmoille? ✅ Les annonces les plus actuelles sont sur ImmoScout24.ch.</t>
  </si>
  <si>
    <t>https://www.immoscout24.ch/fr/appartement/louer/lieu-ravoire</t>
  </si>
  <si>
    <t>Louer appartement Ravoire: Trouvez le bien immobilier qui correspond idéalement à vos désirs sur ImmoScout24 - La plateforme de l'immobilier en Suisse.</t>
  </si>
  <si>
    <t>🏘  Vous cherchez un appartement à louer à Ravoire? ✅ Les annonces les plus actuelles sont sur ImmoScout24.ch.</t>
  </si>
  <si>
    <t>https://www.immoscout24.ch/fr/maison/acheter/lieu-mammern</t>
  </si>
  <si>
    <t>Vendre maison Mammern: Trouvez le bien immobilier qui correspond idéalement à vos désirs sur ImmoScout24 - La plateforme de l'immobilier en Suisse.</t>
  </si>
  <si>
    <t>🏘  Vous souhaitez acheter une maison à Mammern? ✅ Jetez un œil aux dernières offres sur ImmoScout24.ch.</t>
  </si>
  <si>
    <t>https://www.immoscout24.ch/fr/appartement/acheter/lieu-le-chable-vs</t>
  </si>
  <si>
    <t>Vendre appartement Le Châble VS: Trouvez le bien immobilier qui correspond idéalement à vos désirs sur ImmoScout24 - La plateforme de l'immobilier en Suisse.</t>
  </si>
  <si>
    <t>🏘  L’appartement de vos rêves se trouve sur ImmoScout24.ch ✅ Découvrez les dernières annonces de vente au Châble VS.</t>
  </si>
  <si>
    <t>https://www.immoscout24.ch/fr/maison/acheter/lieu-thonex</t>
  </si>
  <si>
    <t>Vendre maison Thônex: Trouvez le bien immobilier qui correspond idéalement à vos désirs sur ImmoScout24 - La plateforme de l'immobilier en Suisse.</t>
  </si>
  <si>
    <t>🏘  Vous souhaitez acheter une maison à Thônex? ✅ Jetez un œil aux dernières offres sur ImmoScout24.ch.</t>
  </si>
  <si>
    <t>https://www.immoscout24.ch/fr/maison/acheter/canton-schaffhouse</t>
  </si>
  <si>
    <t>Vendre maison Canton de Schaffhouse: Trouvez le bien immobilier qui correspond idéalement à vos désirs sur ImmoScout24 - La plateforme de l'immobilier en Suisse.</t>
  </si>
  <si>
    <t>🏘  Vous souhaitez acheter une maison dans le Canton de Schaffhouse? ✅ Jetez un œil aux dernières offres sur ImmoScout24.ch.</t>
  </si>
  <si>
    <t>https://www.immoscout24.ch/fr/maison/acheter/lieu-gruben</t>
  </si>
  <si>
    <t>Vendre maison Gruben: Trouvez le bien immobilier qui correspond idéalement à vos désirs sur ImmoScout24 - La plateforme de l'immobilier en Suisse.</t>
  </si>
  <si>
    <t>🏘  Vous souhaitez acheter une maison à Gruben? ✅ Jetez un œil aux dernières offres sur ImmoScout24.ch.</t>
  </si>
  <si>
    <t>https://www.immoscout24.ch/fr/appartement/louer/lieu-perlen</t>
  </si>
  <si>
    <t>Louer appartement Perlen: Trouvez le bien immobilier qui correspond idéalement à vos désirs sur ImmoScout24 - La plateforme de l'immobilier en Suisse.</t>
  </si>
  <si>
    <t>🏘  Vous cherchez un appartement à louer à Perlen? ✅ Les annonces les plus actuelles sont sur ImmoScout24.ch.</t>
  </si>
  <si>
    <t>https://www.immoscout24.ch/fr/appartement/louer/lieu-steg-im-toesstal</t>
  </si>
  <si>
    <t>Louer appartement Steg im Tösstal: Trouvez le bien immobilier qui correspond idéalement à vos désirs sur ImmoScout24 - La plateforme de l'immobilier en Suisse.</t>
  </si>
  <si>
    <t>🏘  Vous cherchez un appartement à louer à Steg im Tösstal? ✅ Les annonces les plus actuelles sont sur ImmoScout24.ch.</t>
  </si>
  <si>
    <t>https://www.immoscout24.ch/fr/appartement/louer/lieu-bolligen</t>
  </si>
  <si>
    <t>Louer appartement Bolligen: Trouvez le bien immobilier qui correspond idéalement à vos désirs sur ImmoScout24 - La plateforme de l'immobilier en Suisse.</t>
  </si>
  <si>
    <t>🏘  Vous cherchez un appartement à louer à Bolligen? ✅ Les annonces les plus actuelles sont sur ImmoScout24.ch.</t>
  </si>
  <si>
    <t>https://www.immoscout24.ch/fr/appartement/louer/lieu-novalles</t>
  </si>
  <si>
    <t>Louer appartement Novalles: Trouvez le bien immobilier qui correspond idéalement à vos désirs sur ImmoScout24 - La plateforme de l'immobilier en Suisse.</t>
  </si>
  <si>
    <t>🏘  Vous cherchez un appartement à louer à Novalles? ✅ Les annonces les plus actuelles sont sur ImmoScout24.ch.</t>
  </si>
  <si>
    <t>https://www.immoscout24.ch/fr/appartement/louer/lieu-salenstein</t>
  </si>
  <si>
    <t>Louer appartement Salenstein: Trouvez le bien immobilier qui correspond idéalement à vos désirs sur ImmoScout24 - La plateforme de l'immobilier en Suisse.</t>
  </si>
  <si>
    <t>🏘  Vous cherchez un appartement à louer à Salenstein? ✅ Les annonces les plus actuelles sont sur ImmoScout24.ch.</t>
  </si>
  <si>
    <t>https://www.immoscout24.ch/fr/appartement/louer/lieu-le-tretien</t>
  </si>
  <si>
    <t>Louer appartement Le Trétien: Trouvez le bien immobilier qui correspond idéalement à vos désirs sur ImmoScout24 - La plateforme de l'immobilier en Suisse.</t>
  </si>
  <si>
    <t>🏘  Vous cherchez un appartement à louer au Trétien? ✅ Les annonces les plus actuelles sont sur ImmoScout24.ch.</t>
  </si>
  <si>
    <t>https://www.immoscout24.ch/fr/appartement/louer/quartier-la-coudre-neuchatel</t>
  </si>
  <si>
    <t>Louer appartement La Coudre (Neuchâtel): Trouvez le bien immobilier qui correspond idéalement à vos désirs sur ImmoScout24 - La plateforme de l'immobilier en Suisse.</t>
  </si>
  <si>
    <t>🏘  Vous cherchez un appartement à louer dans le quartier de La Coudre (Neuchâtel)? ✅ Les annonces les plus actuelles sont sur ImmoScout24.ch.</t>
  </si>
  <si>
    <t>https://www.immoscout24.ch/fr/appartement/louer/lieu-necker</t>
  </si>
  <si>
    <t>Louer appartement Necker: Trouvez le bien immobilier qui correspond idéalement à vos désirs sur ImmoScout24 - La plateforme de l'immobilier en Suisse.</t>
  </si>
  <si>
    <t>🏘  Vous cherchez un appartement à louer à Necker? ✅ Les annonces les plus actuelles sont sur ImmoScout24.ch.</t>
  </si>
  <si>
    <t>https://www.immoscout24.ch/fr/appartement/acheter/lieu-champagne</t>
  </si>
  <si>
    <t>Vendre appartement Champagne: Trouvez le bien immobilier qui correspond idéalement à vos désirs sur ImmoScout24 - La plateforme de l'immobilier en Suisse.</t>
  </si>
  <si>
    <t>🏘  L’appartement de vos rêves se trouve sur ImmoScout24.ch ✅ Découvrez les dernières annonces de vente à Champagne.</t>
  </si>
  <si>
    <t>https://www.immoscout24.ch/fr/maison/louer/lieu-eschert</t>
  </si>
  <si>
    <t>Louer maison Eschert: Trouvez le bien immobilier qui correspond idéalement à vos désirs sur ImmoScout24 - La plateforme de l'immobilier en Suisse.</t>
  </si>
  <si>
    <t>🏘  Vous cherchez une maison à louer à Eschert? ✅ Découvrez nos nombreuses annonces sur ImmoScout24.ch.</t>
  </si>
  <si>
    <t>https://www.immoscout24.ch/fr/maison/louer/lieu-ligerz</t>
  </si>
  <si>
    <t>Louer maison Ligerz: Trouvez le bien immobilier qui correspond idéalement à vos désirs sur ImmoScout24 - La plateforme de l'immobilier en Suisse.</t>
  </si>
  <si>
    <t>🏘  Vous cherchez une maison à louer à Ligerz? ✅ Découvrez nos nombreuses annonces sur ImmoScout24.ch.</t>
  </si>
  <si>
    <t>https://www.immoscout24.ch/fr/maison/acheter/region-laufenburg-rheinfelden</t>
  </si>
  <si>
    <t>Vendre maison Laufenburg - Rheinfelden: Trouvez le bien immobilier qui correspond idéalement à vos désirs sur ImmoScout24 - La plateforme de l'immobilier en Suisse.</t>
  </si>
  <si>
    <t>🏘  Vous souhaitez acheter une maison dans la région de Laufenburg - Rheinfelden? ✅ Jetez un œil aux dernières offres sur ImmoScout24.ch.</t>
  </si>
  <si>
    <t>https://www.immoscout24.ch/fr/maison/acheter/lieu-vich</t>
  </si>
  <si>
    <t>Vendre maison Vich: Trouvez le bien immobilier qui correspond idéalement à vos désirs sur ImmoScout24 - La plateforme de l'immobilier en Suisse.</t>
  </si>
  <si>
    <t>🏘  Vous souhaitez acheter une maison à Vich? ✅ Jetez un œil aux dernières offres sur ImmoScout24.ch.</t>
  </si>
  <si>
    <t>https://www.immoscout24.ch/fr/appartement/acheter/lieu-st-leonard</t>
  </si>
  <si>
    <t>Vendre appartement St-Léonard: Trouvez le bien immobilier qui correspond idéalement à vos désirs sur ImmoScout24 - La plateforme de l'immobilier en Suisse.</t>
  </si>
  <si>
    <t>🏘  L’appartement de vos rêves se trouve sur ImmoScout24.ch ✅ Découvrez les dernières annonces de vente à St-Léonard.</t>
  </si>
  <si>
    <t>https://www.immoscout24.ch/fr/appartement/louer/lieu-vinelz</t>
  </si>
  <si>
    <t>Louer appartement Vinelz: Trouvez le bien immobilier qui correspond idéalement à vos désirs sur ImmoScout24 - La plateforme de l'immobilier en Suisse.</t>
  </si>
  <si>
    <t>🏘  Vous cherchez un appartement à louer à Vinelz? ✅ Les annonces les plus actuelles sont sur ImmoScout24.ch.</t>
  </si>
  <si>
    <t>https://www.immoscout24.ch/fr/appartement/acheter/lieu-rancate</t>
  </si>
  <si>
    <t>Vendre appartement Rancate: Trouvez le bien immobilier qui correspond idéalement à vos désirs sur ImmoScout24 - La plateforme de l'immobilier en Suisse.</t>
  </si>
  <si>
    <t>🏘  L’appartement de vos rêves se trouve sur ImmoScout24.ch ✅ Découvrez les dernières annonces de vente à Rancate.</t>
  </si>
  <si>
    <t>https://www.immoscout24.ch/fr/maison/acheter/lieu-vellerat</t>
  </si>
  <si>
    <t>Vendre maison Vellerat: Trouvez le bien immobilier qui correspond idéalement à vos désirs sur ImmoScout24 - La plateforme de l'immobilier en Suisse.</t>
  </si>
  <si>
    <t>🏘  Vous souhaitez acheter une maison à Vellerat? ✅ Jetez un œil aux dernières offres sur ImmoScout24.ch.</t>
  </si>
  <si>
    <t>https://www.immoscout24.ch/fr/appartement/louer/lieu-chapelle-glane</t>
  </si>
  <si>
    <t>Louer appartement Chapelle (Glâne): Trouvez le bien immobilier qui correspond idéalement à vos désirs sur ImmoScout24 - La plateforme de l'immobilier en Suisse.</t>
  </si>
  <si>
    <t>🏘  Vous cherchez un appartement à louer à Chapelle (Glâne)? ✅ Les annonces les plus actuelles sont sur ImmoScout24.ch.</t>
  </si>
  <si>
    <t>https://www.immoscout24.ch/fr/appartement/louer/lieu-crans-montana</t>
  </si>
  <si>
    <t>Louer appartement Crans-Montana: Trouvez le bien immobilier qui correspond idéalement à vos désirs sur ImmoScout24 - La plateforme de l'immobilier en Suisse.</t>
  </si>
  <si>
    <t>🏘  Vous cherchez un appartement à louer à Crans-Montana? ✅ Les annonces les plus actuelles sont sur ImmoScout24.ch.</t>
  </si>
  <si>
    <t>https://www.immoscout24.ch/fr/maison/acheter/lieu-appenzell</t>
  </si>
  <si>
    <t>Vendre maison Appenzell: Trouvez le bien immobilier qui correspond idéalement à vos désirs sur ImmoScout24 - La plateforme de l'immobilier en Suisse.</t>
  </si>
  <si>
    <t>🏘  Vous souhaitez acheter une maison à Appenzell? ✅ Jetez un œil aux dernières offres sur ImmoScout24.ch.</t>
  </si>
  <si>
    <t>https://www.immoscout24.ch/fr/appartement/louer/lieu-la-joux-fr</t>
  </si>
  <si>
    <t>Louer appartement La Joux FR: Trouvez le bien immobilier qui correspond idéalement à vos désirs sur ImmoScout24 - La plateforme de l'immobilier en Suisse.</t>
  </si>
  <si>
    <t>🏘  Vous cherchez un appartement à louer à La Joux FR? ✅ Les annonces les plus actuelles sont sur ImmoScout24.ch.</t>
  </si>
  <si>
    <t>https://www.immoscout24.ch/fr/appartement/louer/lieu-diegten</t>
  </si>
  <si>
    <t>Louer appartement Diegten: Trouvez le bien immobilier qui correspond idéalement à vos désirs sur ImmoScout24 - La plateforme de l'immobilier en Suisse.</t>
  </si>
  <si>
    <t>🏘  Vous cherchez un appartement à louer à Diegten? ✅ Les annonces les plus actuelles sont sur ImmoScout24.ch.</t>
  </si>
  <si>
    <t>https://www.immoscout24.ch/fr/appartement/louer/lieu-oensingen</t>
  </si>
  <si>
    <t>Louer appartement Oensingen: Trouvez le bien immobilier qui correspond idéalement à vos désirs sur ImmoScout24 - La plateforme de l'immobilier en Suisse.</t>
  </si>
  <si>
    <t>🏘  Vous cherchez un appartement à louer à Oensingen? ✅ Les annonces les plus actuelles sont sur ImmoScout24.ch.</t>
  </si>
  <si>
    <t>https://www.immoscout24.ch/fr/appartement/acheter/lieu-cevio</t>
  </si>
  <si>
    <t>Vendre appartement Cevio: Trouvez le bien immobilier qui correspond idéalement à vos désirs sur ImmoScout24 - La plateforme de l'immobilier en Suisse.</t>
  </si>
  <si>
    <t>🏘  L’appartement de vos rêves se trouve sur ImmoScout24.ch ✅ Découvrez les dernières annonces de vente à Cevio.</t>
  </si>
  <si>
    <t>https://www.immoscout24.ch/fr/appartement/louer/lieu-montavon</t>
  </si>
  <si>
    <t>Louer appartement Montavon: Trouvez le bien immobilier qui correspond idéalement à vos désirs sur ImmoScout24 - La plateforme de l'immobilier en Suisse.</t>
  </si>
  <si>
    <t>🏘  Vous cherchez un appartement à louer à Montavon? ✅ Les annonces les plus actuelles sont sur ImmoScout24.ch.</t>
  </si>
  <si>
    <t>https://www.immoscout24.ch/fr/appartement/acheter/lieu-varen</t>
  </si>
  <si>
    <t>Vendre appartement Varen: Trouvez le bien immobilier qui correspond idéalement à vos désirs sur ImmoScout24 - La plateforme de l'immobilier en Suisse.</t>
  </si>
  <si>
    <t>🏘  L’appartement de vos rêves se trouve sur ImmoScout24.ch ✅ Découvrez les dernières annonces de vente à Varen.</t>
  </si>
  <si>
    <t>https://www.immoscout24.ch/fr/appartement/louer/lieu-hospental</t>
  </si>
  <si>
    <t>Louer appartement Hospental: Trouvez le bien immobilier qui correspond idéalement à vos désirs sur ImmoScout24 - La plateforme de l'immobilier en Suisse.</t>
  </si>
  <si>
    <t>🏘  Vous cherchez un appartement à louer à Hospental? ✅ Les annonces les plus actuelles sont sur ImmoScout24.ch.</t>
  </si>
  <si>
    <t>https://www.immoscout24.ch/fr/appartement/acheter/lieu-ernen</t>
  </si>
  <si>
    <t>Vendre appartement Ernen: Trouvez le bien immobilier qui correspond idéalement à vos désirs sur ImmoScout24 - La plateforme de l'immobilier en Suisse.</t>
  </si>
  <si>
    <t>🏘  L’appartement de vos rêves se trouve sur ImmoScout24.ch ✅ Découvrez les dernières annonces de vente à Ernen.</t>
  </si>
  <si>
    <t>https://www.immoscout24.ch/fr/maison/acheter/lieu-cologny</t>
  </si>
  <si>
    <t>Vendre maison Cologny: Trouvez le bien immobilier qui correspond idéalement à vos désirs sur ImmoScout24 - La plateforme de l'immobilier en Suisse.</t>
  </si>
  <si>
    <t>🏘  Vous souhaitez acheter une maison à Cologny? ✅ Jetez un œil aux dernières offres sur ImmoScout24.ch.</t>
  </si>
  <si>
    <t>https://www.immoscout24.ch/fr/maison/louer/lieu-leuk-stadt</t>
  </si>
  <si>
    <t>Louer maison Leuk Stadt: Trouvez le bien immobilier qui correspond idéalement à vos désirs sur ImmoScout24 - La plateforme de l'immobilier en Suisse.</t>
  </si>
  <si>
    <t>🏘  Vous cherchez une maison à louer auuk Stadt? ✅ Découvrez nos nombreuses annonces sur ImmoScout24.ch.</t>
  </si>
  <si>
    <t>https://www.immoscout24.ch/fr/maison/louer/lieu-les-paccots</t>
  </si>
  <si>
    <t>Louer maison Les Paccots: Trouvez le bien immobilier qui correspond idéalement à vos désirs sur ImmoScout24 - La plateforme de l'immobilier en Suisse.</t>
  </si>
  <si>
    <t>🏘  Vous cherchez une maison à louer aux Paccots? ✅ Découvrez nos nombreuses annonces sur ImmoScout24.ch.</t>
  </si>
  <si>
    <t>https://www.immoscout24.ch/fr/appartement/louer/canton-lucerne</t>
  </si>
  <si>
    <t>Louer appartement Canton de Lucerne: Trouvez le bien immobilier qui correspond idéalement à vos désirs sur ImmoScout24 - La plateforme de l'immobilier en Suisse.</t>
  </si>
  <si>
    <t>🏘  Vous cherchez un appartement à louer dans le Canton de Lucerne? ✅ Les annonces les plus actuelles sont sur ImmoScout24.ch.</t>
  </si>
  <si>
    <t>https://www.immoscout24.ch/fr/appartement/louer/lieu-wil-sg</t>
  </si>
  <si>
    <t>Louer appartement Wil SG: Trouvez le bien immobilier qui correspond idéalement à vos désirs sur ImmoScout24 - La plateforme de l'immobilier en Suisse.</t>
  </si>
  <si>
    <t>🏘  Vous cherchez un appartement à louer à Wil SG? ✅ Les annonces les plus actuelles sont sur ImmoScout24.ch.</t>
  </si>
  <si>
    <t>https://www.immoscout24.ch/fr/appartement/louer/lieu-evionnaz</t>
  </si>
  <si>
    <t>Louer appartement Evionnaz: Trouvez le bien immobilier qui correspond idéalement à vos désirs sur ImmoScout24 - La plateforme de l'immobilier en Suisse.</t>
  </si>
  <si>
    <t>🏘  Vous cherchez un appartement à louer à Evionnaz? ✅ Les annonces les plus actuelles sont sur ImmoScout24.ch.</t>
  </si>
  <si>
    <t>https://www.immoscout24.ch/fr/maison/acheter/lieu-lucens</t>
  </si>
  <si>
    <t>Vendre maison Lucens: Trouvez le bien immobilier qui correspond idéalement à vos désirs sur ImmoScout24 - La plateforme de l'immobilier en Suisse.</t>
  </si>
  <si>
    <t>🏘  Vous souhaitez acheter une maison à Lucens? ✅ Jetez un œil aux dernières offres sur ImmoScout24.ch.</t>
  </si>
  <si>
    <t>https://www.immoscout24.ch/fr/appartement/acheter/lieu-troistorrents</t>
  </si>
  <si>
    <t>Vendre appartement Troistorrents: Trouvez le bien immobilier qui correspond idéalement à vos désirs sur ImmoScout24 - La plateforme de l'immobilier en Suisse.</t>
  </si>
  <si>
    <t>🏘  L’appartement de vos rêves se trouve sur ImmoScout24.ch ✅ Découvrez les dernières annonces de vente à Troistorrents.</t>
  </si>
  <si>
    <t>https://www.immoscout24.ch/fr/maison/louer/lieu-dombresson</t>
  </si>
  <si>
    <t>Louer maison Dombresson: Trouvez le bien immobilier qui correspond idéalement à vos désirs sur ImmoScout24 - La plateforme de l'immobilier en Suisse.</t>
  </si>
  <si>
    <t>🏘  Vous cherchez une maison à louer à Dombresson? ✅ Découvrez nos nombreuses annonces sur ImmoScout24.ch.</t>
  </si>
  <si>
    <t>https://www.immoscout24.ch/fr/appartement/acheter/lieu-le-mont-pelerin</t>
  </si>
  <si>
    <t>Vendre appartement Le Mont-Pèlerin: Trouvez le bien immobilier qui correspond idéalement à vos désirs sur ImmoScout24 - La plateforme de l'immobilier en Suisse.</t>
  </si>
  <si>
    <t>🏘  L’appartement de vos rêves se trouve sur ImmoScout24.ch ✅ Découvrez les dernières annonces de vente au Mont-Pèlerin.</t>
  </si>
  <si>
    <t>https://www.immoscout24.ch/fr/appartement/louer/lieu-valbella</t>
  </si>
  <si>
    <t>Louer appartement Valbella: Trouvez le bien immobilier qui correspond idéalement à vos désirs sur ImmoScout24 - La plateforme de l'immobilier en Suisse.</t>
  </si>
  <si>
    <t>🏘  Vous cherchez un appartement à louer à Valbella? ✅ Les annonces les plus actuelles sont sur ImmoScout24.ch.</t>
  </si>
  <si>
    <t>https://www.immoscout24.ch/fr/maison/louer/lieu-signy</t>
  </si>
  <si>
    <t>Louer maison Signy: Trouvez le bien immobilier qui correspond idéalement à vos désirs sur ImmoScout24 - La plateforme de l'immobilier en Suisse.</t>
  </si>
  <si>
    <t>🏘  Vous cherchez une maison à louer à Signy? ✅ Découvrez nos nombreuses annonces sur ImmoScout24.ch.</t>
  </si>
  <si>
    <t>https://www.immoscout24.ch/fr/appartement/louer/lieu-mur-vully-fr</t>
  </si>
  <si>
    <t>Louer appartement Mur (Vully) FR: Trouvez le bien immobilier qui correspond idéalement à vos désirs sur ImmoScout24 - La plateforme de l'immobilier en Suisse.</t>
  </si>
  <si>
    <t>🏘  Vous cherchez un appartement à louer à Mur (Vully) FR? ✅ Les annonces les plus actuelles sont sur ImmoScout24.ch.</t>
  </si>
  <si>
    <t>https://www.immoscout24.ch/fr/maison/acheter/lieu-kirchdorf-ag</t>
  </si>
  <si>
    <t>Vendre maison Kirchdorf AG: Trouvez le bien immobilier qui correspond idéalement à vos désirs sur ImmoScout24 - La plateforme de l'immobilier en Suisse.</t>
  </si>
  <si>
    <t>🏘  Vous souhaitez acheter une maison à Kirchdorf AG? ✅ Jetez un œil aux dernières offres sur ImmoScout24.ch.</t>
  </si>
  <si>
    <t>https://www.immoscout24.ch/fr/appartement/louer/quartier-bel-air-la-chaux-de-fonds</t>
  </si>
  <si>
    <t>Louer appartement Bel-Air (La Chaux-de-Fonds): Trouvez le bien immobilier qui correspond idéalement à vos désirs sur ImmoScout24 - La plateforme de l'immobilier en Suisse.</t>
  </si>
  <si>
    <t>🏘  Vous cherchez un appartement à louer dans le quartier de Bel-Air (La Chaux-de-Fonds)? ✅ Les annonces les plus actuelles sont sur ImmoScout24.ch.</t>
  </si>
  <si>
    <t>https://www.immoscout24.ch/fr/appartement/louer/quartier-stalban-bale</t>
  </si>
  <si>
    <t>Louer appartement St. Alban (Bâle): Trouvez le bien immobilier qui correspond idéalement à vos désirs sur ImmoScout24 - La plateforme de l'immobilier en Suisse.</t>
  </si>
  <si>
    <t>🏘  Vous cherchez un appartement à louer dans le quartier de St. Alban (Bâle)? ✅ Les annonces les plus actuelles sont sur ImmoScout24.ch.</t>
  </si>
  <si>
    <t>https://www.immoscout24.ch/fr/maison/acheter/lieu-wavre</t>
  </si>
  <si>
    <t>Vendre maison Wavre: Trouvez le bien immobilier qui correspond idéalement à vos désirs sur ImmoScout24 - La plateforme de l'immobilier en Suisse.</t>
  </si>
  <si>
    <t>🏘  Vous souhaitez acheter une maison à Wavre? ✅ Jetez un œil aux dernières offres sur ImmoScout24.ch.</t>
  </si>
  <si>
    <t>https://www.immoscout24.ch/fr/appartement/louer/lieu-oberdiessbach</t>
  </si>
  <si>
    <t>Louer appartement Oberdiessbach: Trouvez le bien immobilier qui correspond idéalement à vos désirs sur ImmoScout24 - La plateforme de l'immobilier en Suisse.</t>
  </si>
  <si>
    <t>🏘  Vous cherchez un appartement à louer à Oberdiessbach? ✅ Les annonces les plus actuelles sont sur ImmoScout24.ch.</t>
  </si>
  <si>
    <t>https://www.immoscout24.ch/fr/appartement/louer/lieu-st-gingolph</t>
  </si>
  <si>
    <t>Louer appartement St-Gingolph: Trouvez le bien immobilier qui correspond idéalement à vos désirs sur ImmoScout24 - La plateforme de l'immobilier en Suisse.</t>
  </si>
  <si>
    <t>🏘  Vous cherchez un appartement à louer à St-Gingolph? ✅ Les annonces les plus actuelles sont sur ImmoScout24.ch.</t>
  </si>
  <si>
    <t>https://www.immoscout24.ch/fr/maison/acheter/lieu-cressier-ne</t>
  </si>
  <si>
    <t>Vendre maison Cressier NE: Trouvez le bien immobilier qui correspond idéalement à vos désirs sur ImmoScout24 - La plateforme de l'immobilier en Suisse.</t>
  </si>
  <si>
    <t>🏘  Vous souhaitez acheter une maison à Cressier NE? ✅ Jetez un œil aux dernières offres sur ImmoScout24.ch.</t>
  </si>
  <si>
    <t>https://www.immoscout24.ch/fr/appartement/louer/lieu-uitikon-waldegg</t>
  </si>
  <si>
    <t>Louer appartement Uitikon Waldegg: Trouvez le bien immobilier qui correspond idéalement à vos désirs sur ImmoScout24 - La plateforme de l'immobilier en Suisse.</t>
  </si>
  <si>
    <t>🏘  Vous cherchez un appartement à louer à Uitikon Waldegg? ✅ Les annonces les plus actuelles sont sur ImmoScout24.ch.</t>
  </si>
  <si>
    <t>https://www.immoscout24.ch/fr/appartement/louer/pays-grande-bretagne</t>
  </si>
  <si>
    <t>Louer appartement Grande-Bretagne: Trouvez le bien immobilier qui correspond idéalement à vos désirs sur ImmoScout24 - La plateforme de l'immobilier en Suisse.</t>
  </si>
  <si>
    <t>🏘  Vous cherchez un appartement à louer en Grande-Bretagne? ✅ Les annonces les plus actuelles sont sur ImmoScout24.ch.</t>
  </si>
  <si>
    <t>https://www.immoscout24.ch/fr/appartement/louer/lieu-glis</t>
  </si>
  <si>
    <t>Louer appartement Glis: Trouvez le bien immobilier qui correspond idéalement à vos désirs sur ImmoScout24 - La plateforme de l'immobilier en Suisse.</t>
  </si>
  <si>
    <t>🏘  Vous cherchez un appartement à louer à Glis? ✅ Les annonces les plus actuelles sont sur ImmoScout24.ch.</t>
  </si>
  <si>
    <t>https://www.immoscout24.ch/fr/appartement/acheter/quartier-sallaz-vennes-sechaud-lausanne</t>
  </si>
  <si>
    <t>Vendre appartement Sallaz - Vennes - Séchaud (Lausanne):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</si>
  <si>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Sallaz - Vennes - Séchaud (Lausanne).</t>
  </si>
  <si>
    <t>https://www.immoscout24.ch/fr/appartement/louer/lieu-meltingen</t>
  </si>
  <si>
    <t>Louer appartement Meltingen: Trouvez le bien immobilier qui correspond idéalement à vos désirs sur ImmoScout24 - La plateforme de l'immobilier en Suisse.</t>
  </si>
  <si>
    <t>🏘  Vous cherchez un appartement à louer à Meltingen? ✅ Les annonces les plus actuelles sont sur ImmoScout24.ch.</t>
  </si>
  <si>
    <t>https://www.immoscout24.ch/fr/maison/acheter/lieu-unteraegeri</t>
  </si>
  <si>
    <t>Vendre maison Unterägeri: Trouvez le bien immobilier qui correspond idéalement à vos désirs sur ImmoScout24 - La plateforme de l'immobilier en Suisse.</t>
  </si>
  <si>
    <t>🏘  Vous souhaitez acheter une maison à Unterägeri? ✅ Jetez un œil aux dernières offres sur ImmoScout24.ch.</t>
  </si>
  <si>
    <t>https://www.immoscout24.ch/fr/appartement/acheter/lieu-sembrancher</t>
  </si>
  <si>
    <t>Vendre appartement Sembrancher: Trouvez le bien immobilier qui correspond idéalement à vos désirs sur ImmoScout24 - La plateforme de l'immobilier en Suisse.</t>
  </si>
  <si>
    <t>🏘  L’appartement de vos rêves se trouve sur ImmoScout24.ch ✅ Découvrez les dernières annonces de vente à Sembrancher.</t>
  </si>
  <si>
    <t>https://www.immoscout24.ch/fr/appartement/acheter/lieu-saxon</t>
  </si>
  <si>
    <t>Vendre appartement Saxon: Trouvez le bien immobilier qui correspond idéalement à vos désirs sur ImmoScout24 - La plateforme de l'immobilier en Suisse.</t>
  </si>
  <si>
    <t>🏘  L’appartement de vos rêves se trouve sur ImmoScout24.ch ✅ Découvrez les dernières annonces de vente à Saxon.</t>
  </si>
  <si>
    <t>https://www.immoscout24.ch/fr/maison/acheter/region-sargans-et-environs</t>
  </si>
  <si>
    <t>Vendre maison Sargans et environs: Trouvez le bien immobilier qui correspond idéalement à vos désirs sur ImmoScout24 - La plateforme de l'immobilier en Suisse.</t>
  </si>
  <si>
    <t>🏘  Vous souhaitez acheter une maison à Sargans et environs? ✅ Jetez un œil aux dernières offres sur ImmoScout24.ch.</t>
  </si>
  <si>
    <t>https://www.immoscout24.ch/fr/appartement/louer/lieu-cormoret</t>
  </si>
  <si>
    <t>Louer appartement Cormoret: Trouvez le bien immobilier qui correspond idéalement à vos désirs sur ImmoScout24 - La plateforme de l'immobilier en Suisse.</t>
  </si>
  <si>
    <t>🏘  Vous cherchez un appartement à louer à Cormoret? ✅ Les annonces les plus actuelles sont sur ImmoScout24.ch.</t>
  </si>
  <si>
    <t>https://www.immoscout24.ch/fr/appartement/louer/quartier-gwatt-thun</t>
  </si>
  <si>
    <t>🏘  Vous cherchez un appartement à louer dans le quartier de Gwatt (Thoune)? ✅ Les annonces les plus actuelles sont sur ImmoScout24.ch.</t>
  </si>
  <si>
    <t>https://www.immoscout24.ch/fr/maison/acheter/lieu-studen-be</t>
  </si>
  <si>
    <t>Vendre maison Studen BE: Trouvez le bien immobilier qui correspond idéalement à vos désirs sur ImmoScout24 - La plateforme de l'immobilier en Suisse.</t>
  </si>
  <si>
    <t>🏘  Vous souhaitez acheter une maison à Studen BE? ✅ Jetez un œil aux dernières offres sur ImmoScout24.ch.</t>
  </si>
  <si>
    <t>https://www.immoscout24.ch/fr/appartement/louer/lieu-villaraboud</t>
  </si>
  <si>
    <t>Louer appartement Villaraboud: Trouvez le bien immobilier qui correspond idéalement à vos désirs sur ImmoScout24 - La plateforme de l'immobilier en Suisse.</t>
  </si>
  <si>
    <t>🏘  Vous cherchez un appartement à louer à Villaraboud? ✅ Les annonces les plus actuelles sont sur ImmoScout24.ch.</t>
  </si>
  <si>
    <t>https://www.immoscout24.ch/fr/maison/acheter/lieu-nuvilly</t>
  </si>
  <si>
    <t>Vendre maison Nuvilly: Trouvez le bien immobilier qui correspond idéalement à vos désirs sur ImmoScout24 - La plateforme de l'immobilier en Suisse.</t>
  </si>
  <si>
    <t>🏘  Vous souhaitez acheter une maison à Nuvilly? ✅ Jetez un œil aux dernières offres sur ImmoScout24.ch.</t>
  </si>
  <si>
    <t>https://www.immoscout24.ch/fr/appartement/louer/lieu-cortebert</t>
  </si>
  <si>
    <t>Louer appartement Cortébert: Trouvez le bien immobilier qui correspond idéalement à vos désirs sur ImmoScout24 - La plateforme de l'immobilier en Suisse.</t>
  </si>
  <si>
    <t>🏘  Vous cherchez un appartement à louer à Cortébert? ✅ Les annonces les plus actuelles sont sur ImmoScout24.ch.</t>
  </si>
  <si>
    <t>https://www.immoscout24.ch/fr/maison/louer/lieu-provence</t>
  </si>
  <si>
    <t>Louer maison Provence: Trouvez le bien immobilier qui correspond idéalement à vos désirs sur ImmoScout24 - La plateforme de l'immobilier en Suisse.</t>
  </si>
  <si>
    <t>🏘  Vous cherchez une maison à louer à Provence? ✅ Découvrez nos nombreuses annonces sur ImmoScout24.ch.</t>
  </si>
  <si>
    <t>https://www.immoscout24.ch/fr/appartement/louer/lieu-villars-tiercelin</t>
  </si>
  <si>
    <t>Louer appartement Villars-Tiercelin: Trouvez le bien immobilier qui correspond idéalement à vos désirs sur ImmoScout24 - La plateforme de l'immobilier en Suisse.</t>
  </si>
  <si>
    <t>🏘  Vous cherchez un appartement à louer à Villars-Tiercelin? ✅ Les annonces les plus actuelles sont sur ImmoScout24.ch.</t>
  </si>
  <si>
    <t>https://www.immoscout24.ch/fr/maison/louer/lieu-les-ponts-de-martel</t>
  </si>
  <si>
    <t>Louer maison Les Ponts-de-Martel: Trouvez le bien immobilier qui correspond idéalement à vos désirs sur ImmoScout24 - La plateforme de l'immobilier en Suisse.</t>
  </si>
  <si>
    <t>🏘  Vous cherchez une maison à louer aux Ponts-de-Martel? ✅ Découvrez nos nombreuses annonces sur ImmoScout24.ch.</t>
  </si>
  <si>
    <t>https://www.immoscout24.ch/fr/maison/acheter/lieu-isone</t>
  </si>
  <si>
    <t>Vendre maison Isone: Trouvez le bien immobilier qui correspond idéalement à vos désirs sur ImmoScout24 - La plateforme de l'immobilier en Suisse.</t>
  </si>
  <si>
    <t>🏘  Vous souhaitez acheter une maison à Isone? ✅ Jetez un œil aux dernières offres sur ImmoScout24.ch.</t>
  </si>
  <si>
    <t>https://www.immoscout24.ch/fr/appartement/acheter/lieu-meinier</t>
  </si>
  <si>
    <t>Vendre appartement Meinier: Trouvez le bien immobilier qui correspond idéalement à vos désirs sur ImmoScout24 - La plateforme de l'immobilier en Suisse.</t>
  </si>
  <si>
    <t>🏘  L’appartement de vos rêves se trouve sur ImmoScout24.ch ✅ Découvrez les dernières annonces de vente à Meinier.</t>
  </si>
  <si>
    <t>https://www.immoscout24.ch/fr/appartement/louer/lieu-bramois</t>
  </si>
  <si>
    <t>Louer appartement Bramois: Trouvez le bien immobilier qui correspond idéalement à vos désirs sur ImmoScout24 - La plateforme de l'immobilier en Suisse.</t>
  </si>
  <si>
    <t>🏘  Vous cherchez un appartement à louer à Bramois? ✅ Les annonces les plus actuelles sont sur ImmoScout24.ch.</t>
  </si>
  <si>
    <t>https://www.immoscout24.ch/fr/maison/acheter/lieu-sonogno</t>
  </si>
  <si>
    <t>Vendre maison Sonogno: Trouvez le bien immobilier qui correspond idéalement à vos désirs sur ImmoScout24 - La plateforme de l'immobilier en Suisse.</t>
  </si>
  <si>
    <t>🏘  Vous souhaitez acheter une maison à Sonogno? ✅ Jetez un œil aux dernières offres sur ImmoScout24.ch.</t>
  </si>
  <si>
    <t>https://www.immoscout24.ch/fr/maison/acheter/lieu-villars-epeney</t>
  </si>
  <si>
    <t>Vendre maison Villars-Epeney: Trouvez le bien immobilier qui correspond idéalement à vos désirs sur ImmoScout24 - La plateforme de l'immobilier en Suisse.</t>
  </si>
  <si>
    <t>🏘  Vous souhaitez acheter une maison à Villars-Epeney? ✅ Jetez un œil aux dernières offres sur ImmoScout24.ch.</t>
  </si>
  <si>
    <t>https://www.immoscout24.ch/fr/appartement/acheter/quartier-eaux-vives-lac-geneve</t>
  </si>
  <si>
    <t>Vendre appartement Eaux-Vives - Lac (Genève):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</si>
  <si>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des Eaux-Vives - Lac (Genève).</t>
  </si>
  <si>
    <t>https://www.immoscout24.ch/fr/maison/acheter/canton-glaris</t>
  </si>
  <si>
    <t>Vendre maison Canton de Glaris: Trouvez le bien immobilier qui correspond idéalement à vos désirs sur ImmoScout24 - La plateforme de l'immobilier en Suisse.</t>
  </si>
  <si>
    <t>🏘  Vous souhaitez acheter une maison dans le Canton de Glaris? ✅ Jetez un œil aux dernières offres sur ImmoScout24.ch.</t>
  </si>
  <si>
    <t>https://www.immoscout24.ch/fr/maison/acheter/lieu-kriechenwil</t>
  </si>
  <si>
    <t>Vendre maison Kriechenwil: Trouvez le bien immobilier qui correspond idéalement à vos désirs sur ImmoScout24 - La plateforme de l'immobilier en Suisse.</t>
  </si>
  <si>
    <t>🏘  Vous souhaitez acheter une maison à Kriechenwil? ✅ Jetez un œil aux dernières offres sur ImmoScout24.ch.</t>
  </si>
  <si>
    <t>https://www.immoscout24.ch/fr/maison/louer/lieu-correvon</t>
  </si>
  <si>
    <t>Louer maison Correvon: Trouvez le bien immobilier qui correspond idéalement à vos désirs sur ImmoScout24 - La plateforme de l'immobilier en Suisse.</t>
  </si>
  <si>
    <t>🏘  Vous cherchez une maison à louer à Correvon? ✅ Découvrez nos nombreuses annonces sur ImmoScout24.ch.</t>
  </si>
  <si>
    <t>https://www.immoscout24.ch/fr/maison/acheter/lieu-buesserach</t>
  </si>
  <si>
    <t>Vendre maison Büsserach: Trouvez le bien immobilier qui correspond idéalement à vos désirs sur ImmoScout24 - La plateforme de l'immobilier en Suisse.</t>
  </si>
  <si>
    <t>🏘  Vous souhaitez acheter une maison à Büsserach? ✅ Jetez un œil aux dernières offres sur ImmoScout24.ch.</t>
  </si>
  <si>
    <t>https://www.immoscout24.ch/fr/appartement/louer/lieu-les-ecasseys</t>
  </si>
  <si>
    <t>Louer appartement Les Ecasseys: Trouvez le bien immobilier qui correspond idéalement à vos désirs sur ImmoScout24 - La plateforme de l'immobilier en Suisse.</t>
  </si>
  <si>
    <t>🏘  Vous cherchez un appartement à louer aux Ecasseys? ✅ Les annonces les plus actuelles sont sur ImmoScout24.ch.</t>
  </si>
  <si>
    <t>https://www.immoscout24.ch/fr/maison/louer/lieu-les-posses-sur-bex</t>
  </si>
  <si>
    <t>Louer maison Les Posses-sur-Bex: Trouvez le bien immobilier qui correspond idéalement à vos désirs sur ImmoScout24 - La plateforme de l'immobilier en Suisse.</t>
  </si>
  <si>
    <t>🏘  Vous cherchez une maison à louer aux Posses-sur-Bex? ✅ Découvrez nos nombreuses annonces sur ImmoScout24.ch.</t>
  </si>
  <si>
    <t>https://www.immoscout24.ch/fr/appartement/louer/lieu-faellanden</t>
  </si>
  <si>
    <t>Louer appartement Fällanden: Trouvez le bien immobilier qui correspond idéalement à vos désirs sur ImmoScout24 - La plateforme de l'immobilier en Suisse.</t>
  </si>
  <si>
    <t>🏘  Vous cherchez un appartement à louer à Fällanden? ✅ Les annonces les plus actuelles sont sur ImmoScout24.ch.</t>
  </si>
  <si>
    <t>https://www.immoscout24.ch/fr/appartement/acheter/lieu-chexbres</t>
  </si>
  <si>
    <t>Vendre appartement Chexbres: Trouvez le bien immobilier qui correspond idéalement à vos désirs sur ImmoScout24 - La plateforme de l'immobilier en Suisse.</t>
  </si>
  <si>
    <t>🏘  L’appartement de vos rêves se trouve sur ImmoScout24.ch ✅ Découvrez les dernières annonces de vente à Chexbres.</t>
  </si>
  <si>
    <t>https://www.immoscout24.ch/fr/maison/acheter/lieu-charmoille</t>
  </si>
  <si>
    <t>Vendre maison Charmoille: Trouvez le bien immobilier qui correspond idéalement à vos désirs sur ImmoScout24 - La plateforme de l'immobilier en Suisse.</t>
  </si>
  <si>
    <t>🏘  Vous souhaitez acheter une maison à Charmoille? ✅ Jetez un œil aux dernières offres sur ImmoScout24.ch.</t>
  </si>
  <si>
    <t>https://www.immoscout24.ch/fr/maison/acheter/lieu-oberschrot</t>
  </si>
  <si>
    <t>Vendre maison Oberschrot: Trouvez le bien immobilier qui correspond idéalement à vos désirs sur ImmoScout24 - La plateforme de l'immobilier en Suisse.</t>
  </si>
  <si>
    <t>🏘  Vous souhaitez acheter une maison à Oberschrot? ✅ Jetez un œil aux dernières offres sur ImmoScout24.ch.</t>
  </si>
  <si>
    <t>https://www.immoscout24.ch/fr/maison/acheter/lieu-fusio</t>
  </si>
  <si>
    <t>Vendre maison Fusio: Trouvez le bien immobilier qui correspond idéalement à vos désirs sur ImmoScout24 - La plateforme de l'immobilier en Suisse.</t>
  </si>
  <si>
    <t>🏘  Vous souhaitez acheter une maison à Fusio? ✅ Jetez un œil aux dernières offres sur ImmoScout24.ch.</t>
  </si>
  <si>
    <t>https://www.immoscout24.ch/fr/maison/acheter/lieu-coffrane</t>
  </si>
  <si>
    <t>Vendre maison Coffrane: Trouvez le bien immobilier qui correspond idéalement à vos désirs sur ImmoScout24 - La plateforme de l'immobilier en Suisse.</t>
  </si>
  <si>
    <t>🏘  Vous souhaitez acheter une maison à Coffrane? ✅ Jetez un œil aux dernières offres sur ImmoScout24.ch.</t>
  </si>
  <si>
    <t>https://www.immoscout24.ch/fr/appartement/louer/lieu-cronay</t>
  </si>
  <si>
    <t>Louer appartement Cronay: Trouvez le bien immobilier qui correspond idéalement à vos désirs sur ImmoScout24 - La plateforme de l'immobilier en Suisse.</t>
  </si>
  <si>
    <t>🏘  Vous cherchez un appartement à louer à Cronay? ✅ Les annonces les plus actuelles sont sur ImmoScout24.ch.</t>
  </si>
  <si>
    <t>https://www.immoscout24.ch/fr/maison/louer/lieu-fenin</t>
  </si>
  <si>
    <t>Louer maison Fenin: Trouvez le bien immobilier qui correspond idéalement à vos désirs sur ImmoScout24 - La plateforme de l'immobilier en Suisse.</t>
  </si>
  <si>
    <t>🏘  Vous cherchez une maison à louer à Fenin? ✅ Découvrez nos nombreuses annonces sur ImmoScout24.ch.</t>
  </si>
  <si>
    <t>https://www.immoscout24.ch/fr/maison/louer/lieu-st-george</t>
  </si>
  <si>
    <t>Louer maison St-George: Trouvez le bien immobilier qui correspond idéalement à vos désirs sur ImmoScout24 - La plateforme de l'immobilier en Suisse.</t>
  </si>
  <si>
    <t>🏘  Vous cherchez une maison à louer à St-George? ✅ Découvrez nos nombreuses annonces sur ImmoScout24.ch.</t>
  </si>
  <si>
    <t>https://www.immoscout24.ch/fr/appartement/louer/pays-roumanie</t>
  </si>
  <si>
    <t>Louer appartement Roumanie: Trouvez le bien immobilier qui correspond idéalement à vos désirs sur ImmoScout24 - La plateforme de l'immobilier en Suisse.</t>
  </si>
  <si>
    <t>https://www.immoscout24.ch/fr/appartement/acheter/lieu-cully</t>
  </si>
  <si>
    <t>Vendre appartement Cully: Trouvez le bien immobilier qui correspond idéalement à vos désirs sur ImmoScout24 - La plateforme de l'immobilier en Suisse.</t>
  </si>
  <si>
    <t>🏘  L’appartement de vos rêves se trouve sur ImmoScout24.ch ✅ Découvrez les dernières annonces de vente à Cully.</t>
  </si>
  <si>
    <t>https://www.immoscout24.ch/fr/maison/acheter/lieu-vallamand</t>
  </si>
  <si>
    <t>Vendre maison Vallamand: Trouvez le bien immobilier qui correspond idéalement à vos désirs sur ImmoScout24 - La plateforme de l'immobilier en Suisse.</t>
  </si>
  <si>
    <t>🏘  Vous souhaitez acheter une maison à Vallamand? ✅ Jetez un œil aux dernières offres sur ImmoScout24.ch.</t>
  </si>
  <si>
    <t>https://www.immoscout24.ch/fr/maison/acheter/lieu-wirzweli</t>
  </si>
  <si>
    <t>Vendre maison Wirzweli: Trouvez le bien immobilier qui correspond idéalement à vos désirs sur ImmoScout24 - La plateforme de l'immobilier en Suisse.</t>
  </si>
  <si>
    <t>🏘  Vous souhaitez acheter une maison à Wirzweli? ✅ Jetez un œil aux dernières offres sur ImmoScout24.ch.</t>
  </si>
  <si>
    <t>https://www.immoscout24.ch/fr/appartement/louer/lieu-villargiroud</t>
  </si>
  <si>
    <t>Louer appartement Villargiroud: Trouvez le bien immobilier qui correspond idéalement à vos désirs sur ImmoScout24 - La plateforme de l'immobilier en Suisse.</t>
  </si>
  <si>
    <t>🏘  Vous cherchez un appartement à louer à Villargiroud? ✅ Les annonces les plus actuelles sont sur ImmoScout24.ch.</t>
  </si>
  <si>
    <t>https://www.immoscout24.ch/fr/appartement/louer/lieu-thyon</t>
  </si>
  <si>
    <t>Louer appartement Thyon: Trouvez le bien immobilier qui correspond idéalement à vos désirs sur ImmoScout24 - La plateforme de l'immobilier en Suisse.</t>
  </si>
  <si>
    <t>🏘  Vous cherchez un appartement à louer à Thyon? ✅ Les annonces les plus actuelles sont sur ImmoScout24.ch.</t>
  </si>
  <si>
    <t>https://www.immoscout24.ch/fr/maison/louer/lieu-leysin</t>
  </si>
  <si>
    <t>Louer maison Leysin: Trouvez le bien immobilier qui correspond idéalement à vos désirs sur ImmoScout24 - La plateforme de l'immobilier en Suisse.</t>
  </si>
  <si>
    <t>🏘  Vous cherchez une maison à louer auysin? ✅ Découvrez nos nombreuses annonces sur ImmoScout24.ch.</t>
  </si>
  <si>
    <t>https://www.immoscout24.ch/fr/maison/acheter/region-singine-sarine-lac</t>
  </si>
  <si>
    <t>Vendre maison Singine - Sarine - Lac: Trouvez le bien immobilier qui correspond idéalement à vos désirs sur ImmoScout24 - La plateforme de l'immobilier en Suisse.</t>
  </si>
  <si>
    <t>🏘  Vous souhaitez acheter une maison dans les districts de Singine - Sarine - Lac? ✅ Jetez un œil aux dernières offres sur ImmoScout24.ch.</t>
  </si>
  <si>
    <t>https://www.immoscout24.ch/fr/appartement/louer/lieu-fionnay</t>
  </si>
  <si>
    <t>Louer appartement Fionnay: Trouvez le bien immobilier qui correspond idéalement à vos désirs sur ImmoScout24 - La plateforme de l'immobilier en Suisse.</t>
  </si>
  <si>
    <t>🏘  Vous cherchez un appartement à louer à Fionnay? ✅ Les annonces les plus actuelles sont sur ImmoScout24.ch.</t>
  </si>
  <si>
    <t>https://www.immoscout24.ch/fr/maison/acheter/lieu-preles</t>
  </si>
  <si>
    <t>Vendre maison Prêles: Trouvez le bien immobilier qui correspond idéalement à vos désirs sur ImmoScout24 - La plateforme de l'immobilier en Suisse.</t>
  </si>
  <si>
    <t>🏘  Vous souhaitez acheter une maison à Prêles? ✅ Jetez un œil aux dernières offres sur ImmoScout24.ch.</t>
  </si>
  <si>
    <t>https://www.immoscout24.ch/fr/appartement/louer/lieu-bougy-villars</t>
  </si>
  <si>
    <t>Louer appartement Bougy-Villars: Trouvez le bien immobilier qui correspond idéalement à vos désirs sur ImmoScout24 - La plateforme de l'immobilier en Suisse.</t>
  </si>
  <si>
    <t>🏘  Vous cherchez un appartement à louer à Bougy-Villars? ✅ Les annonces les plus actuelles sont sur ImmoScout24.ch.</t>
  </si>
  <si>
    <t>https://www.immoscout24.ch/fr/appartement/louer/lieu-les-cullayes</t>
  </si>
  <si>
    <t>Louer appartement Les Cullayes: Trouvez le bien immobilier qui correspond idéalement à vos désirs sur ImmoScout24 - La plateforme de l'immobilier en Suisse.</t>
  </si>
  <si>
    <t>🏘  Vous cherchez un appartement à louer aux Cullayes? ✅ Les annonces les plus actuelles sont sur ImmoScout24.ch.</t>
  </si>
  <si>
    <t>https://www.immoscout24.ch/fr/maison/acheter/lieu-vugelles-la-mothe</t>
  </si>
  <si>
    <t>Vendre maison Vugelles-La Mothe: Trouvez le bien immobilier qui correspond idéalement à vos désirs sur ImmoScout24 - La plateforme de l'immobilier en Suisse.</t>
  </si>
  <si>
    <t>🏘  Vous souhaitez acheter une maison à Vugelles-La Mothe? ✅ Jetez un œil aux dernières offres sur ImmoScout24.ch.</t>
  </si>
  <si>
    <t>https://www.immoscout24.ch/fr/maison/acheter/lieu-nidfurn</t>
  </si>
  <si>
    <t>Vendre maison Nidfurn: Trouvez le bien immobilier qui correspond idéalement à vos désirs sur ImmoScout24 - La plateforme de l'immobilier en Suisse.</t>
  </si>
  <si>
    <t>🏘  Vous souhaitez acheter une maison à Nidfurn? ✅ Jetez un œil aux dernières offres sur ImmoScout24.ch.</t>
  </si>
  <si>
    <t>https://www.immoscout24.ch/fr/appartement/acheter/lieu-thun</t>
  </si>
  <si>
    <t>Vendre appartement Thun: Trouvez le bien immobilier qui correspond idéalement à vos désirs sur ImmoScout24 - La plateforme de l'immobilier en Suisse.</t>
  </si>
  <si>
    <t>🏘  L’appartement de vos rêves se trouve sur ImmoScout24.ch ✅ Découvrez les dernières annonces de vente à Thun.</t>
  </si>
  <si>
    <t>https://www.immoscout24.ch/fr/appartement/louer/lieu-ennetbuergen</t>
  </si>
  <si>
    <t>Louer appartement Ennetbürgen: Trouvez le bien immobilier qui correspond idéalement à vos désirs sur ImmoScout24 - La plateforme de l'immobilier en Suisse.</t>
  </si>
  <si>
    <t>🏘  Vous cherchez un appartement à louer à Ennetbürgen? ✅ Les annonces les plus actuelles sont sur ImmoScout24.ch.</t>
  </si>
  <si>
    <t>https://www.immoscout24.ch/fr/appartement/louer/lieu-bourg-st-pierre</t>
  </si>
  <si>
    <t>Louer appartement Bourg-St-Pierre: Trouvez le bien immobilier qui correspond idéalement à vos désirs sur ImmoScout24 - La plateforme de l'immobilier en Suisse.</t>
  </si>
  <si>
    <t>🏘  Vous cherchez un appartement à louer à Bourg-St-Pierre? ✅ Les annonces les plus actuelles sont sur ImmoScout24.ch.</t>
  </si>
  <si>
    <t>https://www.immoscout24.ch/fr/appartement/louer/lieu-neyruz-fr</t>
  </si>
  <si>
    <t>Louer appartement Neyruz FR: Trouvez le bien immobilier qui correspond idéalement à vos désirs sur ImmoScout24 - La plateforme de l'immobilier en Suisse.</t>
  </si>
  <si>
    <t>🏘  Vous cherchez un appartement à louer à Neyruz FR? ✅ Les annonces les plus actuelles sont sur ImmoScout24.ch.</t>
  </si>
  <si>
    <t>https://www.immoscout24.ch/fr/appartement/louer/lieu-hagendorn</t>
  </si>
  <si>
    <t>Louer appartement Hagendorn: Trouvez le bien immobilier qui correspond idéalement à vos désirs sur ImmoScout24 - La plateforme de l'immobilier en Suisse.</t>
  </si>
  <si>
    <t>🏘  Vous cherchez un appartement à louer à Hagendorn? ✅ Les annonces les plus actuelles sont sur ImmoScout24.ch.</t>
  </si>
  <si>
    <t>https://www.immoscout24.ch/fr/appartement/acheter/lieu-celerina-schlarigna</t>
  </si>
  <si>
    <t>Vendre appartement Celerina/Schlarigna: Trouvez le bien immobilier qui correspond idéalement à vos désirs sur ImmoScout24 - La plateforme de l'immobilier en Suisse.</t>
  </si>
  <si>
    <t>🏘  L’appartement de vos rêves se trouve sur ImmoScout24.ch ✅ Découvrez les dernières annonces de vente à Celerina/Schlarigna.</t>
  </si>
  <si>
    <t>https://www.immoscout24.ch/fr/appartement/louer/quartier-vers-chez-les-blanc-lausanne</t>
  </si>
  <si>
    <t>Louer appartement Vers-chez-les-Blanc (Lausanne): Trouvez le bien immobilier qui correspond idéalement à vos désirs sur ImmoScout24 - La plateforme de l'immobilier en Suisse.</t>
  </si>
  <si>
    <t>🏘  Vous cherchez un appartement à louer à Vers-chez-les-Blanc (Lausanne)? ✅ Les annonces les plus actuelles sont sur ImmoScout24.ch.</t>
  </si>
  <si>
    <t>https://www.immoscout24.ch/fr/appartement/louer/lieu-sullens</t>
  </si>
  <si>
    <t>Louer appartement Sullens: Trouvez le bien immobilier qui correspond idéalement à vos désirs sur ImmoScout24 - La plateforme de l'immobilier en Suisse.</t>
  </si>
  <si>
    <t>🏘  Vous cherchez un appartement à louer à Sullens? ✅ Les annonces les plus actuelles sont sur ImmoScout24.ch.</t>
  </si>
  <si>
    <t>https://www.immoscout24.ch/fr/appartement/louer/lieu-staefa</t>
  </si>
  <si>
    <t>Louer appartement Stäfa: Trouvez le bien immobilier qui correspond idéalement à vos désirs sur ImmoScout24 - La plateforme de l'immobilier en Suisse.</t>
  </si>
  <si>
    <t>🏘  Vous cherchez un appartement à louer à Stäfa? ✅ Les annonces les plus actuelles sont sur ImmoScout24.ch.</t>
  </si>
  <si>
    <t>https://www.immoscout24.ch/fr/appartement/louer/lieu-ruswil</t>
  </si>
  <si>
    <t>Louer appartement Ruswil: Trouvez le bien immobilier qui correspond idéalement à vos désirs sur ImmoScout24 - La plateforme de l'immobilier en Suisse.</t>
  </si>
  <si>
    <t>🏘  Vous cherchez un appartement à louer à Ruswil? ✅ Les annonces les plus actuelles sont sur ImmoScout24.ch.</t>
  </si>
  <si>
    <t>https://www.immoscout24.ch/fr/appartement/acheter/lieu-la-fouly-vs</t>
  </si>
  <si>
    <t>Vendre appartement La Fouly VS: Trouvez le bien immobilier qui correspond idéalement à vos désirs sur ImmoScout24 - La plateforme de l'immobilier en Suisse.</t>
  </si>
  <si>
    <t>🏘  L’appartement de vos rêves se trouve sur ImmoScout24.ch ✅ Découvrez les dernières annonces de vente à La Fouly VS.</t>
  </si>
  <si>
    <t>https://www.immoscout24.ch/fr/appartement/louer/lieu-les-thioleyres</t>
  </si>
  <si>
    <t>Louer appartement Les Thioleyres: Trouvez le bien immobilier qui correspond idéalement à vos désirs sur ImmoScout24 - La plateforme de l'immobilier en Suisse.</t>
  </si>
  <si>
    <t>🏘  Vous cherchez un appartement à louer aux Thioleyres? ✅ Les annonces les plus actuelles sont sur ImmoScout24.ch.</t>
  </si>
  <si>
    <t>https://www.immoscout24.ch/fr/maison/louer/lieu-veyras</t>
  </si>
  <si>
    <t>Louer maison Veyras: Trouvez le bien immobilier qui correspond idéalement à vos désirs sur ImmoScout24 - La plateforme de l'immobilier en Suisse.</t>
  </si>
  <si>
    <t>🏘  Vous cherchez une maison à louer à Veyras? ✅ Découvrez nos nombreuses annonces sur ImmoScout24.ch.</t>
  </si>
  <si>
    <t>https://www.immoscout24.ch/fr/appartement/louer/lieu-posat</t>
  </si>
  <si>
    <t>Louer appartement Posat: Trouvez le bien immobilier qui correspond idéalement à vos désirs sur ImmoScout24 - La plateforme de l'immobilier en Suisse.</t>
  </si>
  <si>
    <t>🏘  Vous cherchez un appartement à louer à Posat? ✅ Les annonces les plus actuelles sont sur ImmoScout24.ch.</t>
  </si>
  <si>
    <t>https://www.immoscout24.ch/fr/maison/acheter/lieu-chamoille-sembrancher</t>
  </si>
  <si>
    <t>Vendre maison Chamoille (Sembrancher): Trouvez le bien immobilier qui correspond idéalement à vos désirs sur ImmoScout24 - La plateforme de l'immobilier en Suisse.</t>
  </si>
  <si>
    <t>🏘  Vous souhaitez acheter une maison à Chamoille (Sembrancher)? ✅ Jetez un œil aux dernières offres sur ImmoScout24.ch.</t>
  </si>
  <si>
    <t>https://www.immoscout24.ch/fr/maison/acheter/lieu-lopagno</t>
  </si>
  <si>
    <t>Vendre maison Lopagno: Trouvez le bien immobilier qui correspond idéalement à vos désirs sur ImmoScout24 - La plateforme de l'immobilier en Suisse.</t>
  </si>
  <si>
    <t>🏘  Vous souhaitez acheter une maison à Lopagno? ✅ Jetez un œil aux dernières offres sur ImmoScout24.ch.</t>
  </si>
  <si>
    <t>https://www.immoscout24.ch/fr/appartement/louer/lieu-coppet</t>
  </si>
  <si>
    <t>Louer appartement Coppet: Trouvez le bien immobilier qui correspond idéalement à vos désirs sur ImmoScout24 - La plateforme de l'immobilier en Suisse.</t>
  </si>
  <si>
    <t>🏘  Vous cherchez un appartement à louer à Coppet? ✅ Les annonces les plus actuelles sont sur ImmoScout24.ch.</t>
  </si>
  <si>
    <t>https://www.immoscout24.ch/fr/appartement/acheter/lieu-effretikon</t>
  </si>
  <si>
    <t>Vendre appartement Effretikon: Trouvez le bien immobilier qui correspond idéalement à vos désirs sur ImmoScout24 - La plateforme de l'immobilier en Suisse.</t>
  </si>
  <si>
    <t>🏘  L’appartement de vos rêves se trouve sur ImmoScout24.ch ✅ Découvrez les dernières annonces de vente à Effretikon.</t>
  </si>
  <si>
    <t>https://www.immoscout24.ch/fr/appartement/acheter/quartier-alt-wiedikon-zurich</t>
  </si>
  <si>
    <t>Vendre appartement Alt-Wiedikon (Zurich):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</si>
  <si>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d'Alt-Wiedikon (Zurich).</t>
  </si>
  <si>
    <t>https://www.immoscout24.ch/fr/maison/acheter/lieu-dombresson</t>
  </si>
  <si>
    <t>Vendre maison Dombresson: Trouvez le bien immobilier qui correspond idéalement à vos désirs sur ImmoScout24 - La plateforme de l'immobilier en Suisse.</t>
  </si>
  <si>
    <t>🏘  Vous souhaitez acheter une maison à Dombresson? ✅ Jetez un œil aux dernières offres sur ImmoScout24.ch.</t>
  </si>
  <si>
    <t>https://www.immoscout24.ch/fr/maison/acheter/lieu-wangen-b-olten</t>
  </si>
  <si>
    <t>Vendre maison Wangen b. Olten: Trouvez le bien immobilier qui correspond idéalement à vos désirs sur ImmoScout24 - La plateforme de l'immobilier en Suisse.</t>
  </si>
  <si>
    <t>🏘  Vous souhaitez acheter une maison à Wangen b. Olten? ✅ Jetez un œil aux dernières offres sur ImmoScout24.ch.</t>
  </si>
  <si>
    <t>https://www.immoscout24.ch/fr/maison/acheter/lieu-thyon</t>
  </si>
  <si>
    <t>Vendre maison Thyon: Trouvez le bien immobilier qui correspond idéalement à vos désirs sur ImmoScout24 - La plateforme de l'immobilier en Suisse.</t>
  </si>
  <si>
    <t>🏘  Vous souhaitez acheter une maison à Thyon? ✅ Jetez un œil aux dernières offres sur ImmoScout24.ch.</t>
  </si>
  <si>
    <t>https://www.immoscout24.ch/fr/appartement/acheter/lieu-zermatt</t>
  </si>
  <si>
    <t>Vendre appartement Zermatt: Trouvez le bien immobilier qui correspond idéalement à vos désirs sur ImmoScout24 - La plateforme de l'immobilier en Suisse.</t>
  </si>
  <si>
    <t>🏘  L’appartement de vos rêves se trouve sur ImmoScout24.ch ✅ Découvrez les dernières annonces de vente à Zermatt.</t>
  </si>
  <si>
    <t>https://www.immoscout24.ch/fr/maison/louer/canton-zoug</t>
  </si>
  <si>
    <t>Louer maison Canton de Zoug: Trouvez le bien immobilier qui correspond idéalement à vos désirs sur ImmoScout24 - La plateforme de l'immobilier en Suisse.</t>
  </si>
  <si>
    <t>🏘  Vous cherchez une maison à louer dans le Canton de Zoug? ✅ Découvrez nos nombreuses annonces sur ImmoScout24.ch.</t>
  </si>
  <si>
    <t>https://www.immoscout24.ch/fr/appartement/louer/lieu-orsonnens</t>
  </si>
  <si>
    <t>Louer appartement Orsonnens: Trouvez le bien immobilier qui correspond idéalement à vos désirs sur ImmoScout24 - La plateforme de l'immobilier en Suisse.</t>
  </si>
  <si>
    <t>🏘  Vous cherchez un appartement à louer à Orsonnens? ✅ Les annonces les plus actuelles sont sur ImmoScout24.ch.</t>
  </si>
  <si>
    <t>https://www.immoscout24.ch/fr/appartement/louer/lieu-cressier-ne</t>
  </si>
  <si>
    <t>Louer appartement Cressier NE: Trouvez le bien immobilier qui correspond idéalement à vos désirs sur ImmoScout24 - La plateforme de l'immobilier en Suisse.</t>
  </si>
  <si>
    <t>🏘  Vous cherchez un appartement à louer à Cressier NE? ✅ Les annonces les plus actuelles sont sur ImmoScout24.ch.</t>
  </si>
  <si>
    <t>https://www.immoscout24.ch/fr/appartement/acheter/lieu-ascona</t>
  </si>
  <si>
    <t>Vendre appartement Ascona: Trouvez le bien immobilier qui correspond idéalement à vos désirs sur ImmoScout24 - La plateforme de l'immobilier en Suisse.</t>
  </si>
  <si>
    <t>🏘  L’appartement de vos rêves se trouve sur ImmoScout24.ch ✅ Découvrez les dernières annonces de vente à Ascona.</t>
  </si>
  <si>
    <t>https://www.immoscout24.ch/fr/appartement/louer/lieu-solothurn</t>
  </si>
  <si>
    <t>Louer appartement Solothurn: Trouvez le bien immobilier qui correspond idéalement à vos désirs sur ImmoScout24 - La plateforme de l'immobilier en Suisse.</t>
  </si>
  <si>
    <t>🏘  Vous cherchez un appartement à louer à Solothurn? ✅ Les annonces les plus actuelles sont sur ImmoScout24.ch.</t>
  </si>
  <si>
    <t>https://www.immoscout24.ch/fr/maison/louer/lieu-la-sagne-ne</t>
  </si>
  <si>
    <t>Louer maison La Sagne NE: Trouvez le bien immobilier qui correspond idéalement à vos désirs sur ImmoScout24 - La plateforme de l'immobilier en Suisse.</t>
  </si>
  <si>
    <t>🏘  Vous cherchez une maison à louer à La Sagne NE? ✅ Découvrez nos nombreuses annonces sur ImmoScout24.ch.</t>
  </si>
  <si>
    <t>https://www.immoscout24.ch/fr/maison/acheter/lieu-collonge-bellerive</t>
  </si>
  <si>
    <t>Vendre maison Collonge-Bellerive: Trouvez le bien immobilier qui correspond idéalement à vos désirs sur ImmoScout24 - La plateforme de l'immobilier en Suisse.</t>
  </si>
  <si>
    <t>🏘  Vous souhaitez acheter une maison à Collonge-Bellerive? ✅ Jetez un œil aux dernières offres sur ImmoScout24.ch.</t>
  </si>
  <si>
    <t>https://www.immoscout24.ch/fr/appartement/louer/lieu-corjolens</t>
  </si>
  <si>
    <t>Louer appartement Corjolens: Trouvez le bien immobilier qui correspond idéalement à vos désirs sur ImmoScout24 - La plateforme de l'immobilier en Suisse.</t>
  </si>
  <si>
    <t>🏘  Vous cherchez un appartement à louer à Corjolens? ✅ Les annonces les plus actuelles sont sur ImmoScout24.ch.</t>
  </si>
  <si>
    <t>https://www.immoscout24.ch/fr/maison/louer/lieu-sonvilier</t>
  </si>
  <si>
    <t>Louer maison Sonvilier: Trouvez le bien immobilier qui correspond idéalement à vos désirs sur ImmoScout24 - La plateforme de l'immobilier en Suisse.</t>
  </si>
  <si>
    <t>🏘  Vous cherchez une maison à louer à Sonvilier? ✅ Découvrez nos nombreuses annonces sur ImmoScout24.ch.</t>
  </si>
  <si>
    <t>https://www.immoscout24.ch/fr/maison/louer/lieu-vallorbe</t>
  </si>
  <si>
    <t>Louer maison Vallorbe: Trouvez le bien immobilier qui correspond idéalement à vos désirs sur ImmoScout24 - La plateforme de l'immobilier en Suisse.</t>
  </si>
  <si>
    <t>🏘  Vous cherchez une maison à louer à Vallorbe? ✅ Découvrez nos nombreuses annonces sur ImmoScout24.ch.</t>
  </si>
  <si>
    <t>https://www.immoscout24.ch/fr/maison/louer/canton-berne</t>
  </si>
  <si>
    <t>Louer maison Canton de Berne: Trouvez le bien immobilier qui correspond idéalement à vos désirs sur ImmoScout24 - La plateforme de l'immobilier en Suisse.</t>
  </si>
  <si>
    <t>🏘  Vous cherchez une maison à louer dans le Canton de Berne? ✅ Découvrez nos nombreuses annonces sur ImmoScout24.ch.</t>
  </si>
  <si>
    <t>https://www.immoscout24.ch/fr/maison/acheter/lieu-vevey</t>
  </si>
  <si>
    <t>Vendre maison Vevey: Trouvez le bien immobilier qui correspond idéalement à vos désirs sur ImmoScout24 - La plateforme de l'immobilier en Suisse.</t>
  </si>
  <si>
    <t>🏘  Vous souhaitez acheter une maison à Vevey? ✅ Jetez un œil aux dernières offres sur ImmoScout24.ch.</t>
  </si>
  <si>
    <t>https://www.immoscout24.ch/fr/appartement/louer/lieu-st-silvester</t>
  </si>
  <si>
    <t>Louer appartement St. Silvester: Trouvez le bien immobilier qui correspond idéalement à vos désirs sur ImmoScout24 - La plateforme de l'immobilier en Suisse.</t>
  </si>
  <si>
    <t>🏘  Vous cherchez un appartement à louer à St. Silvester? ✅ Les annonces les plus actuelles sont sur ImmoScout24.ch.</t>
  </si>
  <si>
    <t>https://www.immoscout24.ch/fr/maison/acheter/lieu-le-bemont-ju</t>
  </si>
  <si>
    <t>Vendre maison Le Bémont JU: Trouvez le bien immobilier qui correspond idéalement à vos désirs sur ImmoScout24 - La plateforme de l'immobilier en Suisse.</t>
  </si>
  <si>
    <t>🏘  Vous souhaitez acheter une maison au Bémont JU? ✅ Jetez un œil aux dernières offres sur ImmoScout24.ch.</t>
  </si>
  <si>
    <t>https://www.immoscout24.ch/fr/appartement/louer/lieu-asuel</t>
  </si>
  <si>
    <t>Louer appartement Asuel: Trouvez le bien immobilier qui correspond idéalement à vos désirs sur ImmoScout24 - La plateforme de l'immobilier en Suisse.</t>
  </si>
  <si>
    <t>🏘  Vous cherchez un appartement à louer à Asuel? ✅ Les annonces les plus actuelles sont sur ImmoScout24.ch.</t>
  </si>
  <si>
    <t>https://www.immoscout24.ch/fr/maison/acheter/lieu-moudon</t>
  </si>
  <si>
    <t>Vendre maison Moudon: Trouvez le bien immobilier qui correspond idéalement à vos désirs sur ImmoScout24 - La plateforme de l'immobilier en Suisse.</t>
  </si>
  <si>
    <t>🏘  Vous souhaitez acheter une maison à Moudon? ✅ Jetez un œil aux dernières offres sur ImmoScout24.ch.</t>
  </si>
  <si>
    <t>https://www.immoscout24.ch/fr/appartement/acheter/lieu-seelisberg</t>
  </si>
  <si>
    <t>Vendre appartement Seelisberg: Trouvez le bien immobilier qui correspond idéalement à vos désirs sur ImmoScout24 - La plateforme de l'immobilier en Suisse.</t>
  </si>
  <si>
    <t>🏘  L’appartement de vos rêves se trouve sur ImmoScout24.ch ✅ Découvrez les dernières annonces de vente à Seelisberg.</t>
  </si>
  <si>
    <t>https://www.immoscout24.ch/fr/maison/louer/lieu-minusio</t>
  </si>
  <si>
    <t>Louer maison Minusio: Trouvez le bien immobilier qui correspond idéalement à vos désirs sur ImmoScout24 - La plateforme de l'immobilier en Suisse.</t>
  </si>
  <si>
    <t>🏘  Vous cherchez une maison à louer à Minusio? ✅ Découvrez nos nombreuses annonces sur ImmoScout24.ch.</t>
  </si>
  <si>
    <t>https://www.immoscout24.ch/fr/appartement/louer/lieu-courtetelle</t>
  </si>
  <si>
    <t>Louer appartement Courtételle: Trouvez le bien immobilier qui correspond idéalement à vos désirs sur ImmoScout24 - La plateforme de l'immobilier en Suisse.</t>
  </si>
  <si>
    <t>🏘  Vous cherchez un appartement à louer à Courtételle? ✅ Les annonces les plus actuelles sont sur ImmoScout24.ch.</t>
  </si>
  <si>
    <t>https://www.immoscout24.ch/fr/maison/acheter/lieu-derendingen</t>
  </si>
  <si>
    <t>Vendre maison Derendingen: Trouvez le bien immobilier qui correspond idéalement à vos désirs sur ImmoScout24 - La plateforme de l'immobilier en Suisse.</t>
  </si>
  <si>
    <t>🏘  Vous souhaitez acheter une maison à Derendingen? ✅ Jetez un œil aux dernières offres sur ImmoScout24.ch.</t>
  </si>
  <si>
    <t>https://www.immoscout24.ch/fr/maison/louer/lieu-st-ursanne</t>
  </si>
  <si>
    <t>Louer maison St-Ursanne: Trouvez le bien immobilier qui correspond idéalement à vos désirs sur ImmoScout24 - La plateforme de l'immobilier en Suisse.</t>
  </si>
  <si>
    <t>🏘  Vous cherchez une maison à louer à St-Ursanne? ✅ Découvrez nos nombreuses annonces sur ImmoScout24.ch.</t>
  </si>
  <si>
    <t>https://www.immoscout24.ch/fr/maison/acheter/lieu-hochdorf</t>
  </si>
  <si>
    <t>Vendre maison Hochdorf: Trouvez le bien immobilier qui correspond idéalement à vos désirs sur ImmoScout24 - La plateforme de l'immobilier en Suisse.</t>
  </si>
  <si>
    <t>🏘  Vous souhaitez acheter une maison à Hochdorf? ✅ Jetez un œil aux dernières offres sur ImmoScout24.ch.</t>
  </si>
  <si>
    <t>https://www.immoscout24.ch/fr/maison/louer/lieu-fey</t>
  </si>
  <si>
    <t>Louer maison Fey: Trouvez le bien immobilier qui correspond idéalement à vos désirs sur ImmoScout24 - La plateforme de l'immobilier en Suisse.</t>
  </si>
  <si>
    <t>🏘  Vous cherchez une maison à louer à Fey? ✅ Découvrez nos nombreuses annonces sur ImmoScout24.ch.</t>
  </si>
  <si>
    <t>https://www.immoscout24.ch/fr/appartement/louer/lieu-aadorf</t>
  </si>
  <si>
    <t>Louer appartement Aadorf: Trouvez le bien immobilier qui correspond idéalement à vos désirs sur ImmoScout24 - La plateforme de l'immobilier en Suisse.</t>
  </si>
  <si>
    <t>🏘  Vous cherchez un appartement à louer à Aadorf? ✅ Les annonces les plus actuelles sont sur ImmoScout24.ch.</t>
  </si>
  <si>
    <t>https://www.immoscout24.ch/fr/maison/acheter/lieu-russo</t>
  </si>
  <si>
    <t>Vendre maison Russo: Trouvez le bien immobilier qui correspond idéalement à vos désirs sur ImmoScout24 - La plateforme de l'immobilier en Suisse.</t>
  </si>
  <si>
    <t>🏘  Vous souhaitez acheter une maison à Russo? ✅ Jetez un œil aux dernières offres sur ImmoScout24.ch.</t>
  </si>
  <si>
    <t>https://www.immoscout24.ch/fr/maison/louer/lieu-les-diablerets</t>
  </si>
  <si>
    <t>Louer maison Les Diablerets: Trouvez le bien immobilier qui correspond idéalement à vos désirs sur ImmoScout24 - La plateforme de l'immobilier en Suisse.</t>
  </si>
  <si>
    <t>🏘  Vous cherchez une maison à louer aux Diablerets? ✅ Découvrez nos nombreuses annonces sur ImmoScout24.ch.</t>
  </si>
  <si>
    <t>https://www.immoscout24.ch/fr/maison/louer/lieu-petit-vicheres-liddes</t>
  </si>
  <si>
    <t>Louer maison Petit Vichères (Liddes): Trouvez le bien immobilier qui correspond idéalement à vos désirs sur ImmoScout24 - La plateforme de l'immobilier en Suisse.</t>
  </si>
  <si>
    <t>🏘  Vous cherchez une maison à louer à Petit Vichères (Liddes)? ✅ Découvrez nos nombreuses annonces sur ImmoScout24.ch.</t>
  </si>
  <si>
    <t>https://www.immoscout24.ch/fr/maison/acheter/lieu-lugnorre</t>
  </si>
  <si>
    <t>Vendre maison Lugnorre: Trouvez le bien immobilier qui correspond idéalement à vos désirs sur ImmoScout24 - La plateforme de l'immobilier en Suisse.</t>
  </si>
  <si>
    <t>🏘  Vous souhaitez acheter une maison à Lugnorre? ✅ Jetez un œil aux dernières offres sur ImmoScout24.ch.</t>
  </si>
  <si>
    <t>https://www.immoscout24.ch/fr/maison/louer/canton-schwyz</t>
  </si>
  <si>
    <t>Louer maison Canton de Schwyz: Trouvez le bien immobilier qui correspond idéalement à vos désirs sur ImmoScout24 - La plateforme de l'immobilier en Suisse.</t>
  </si>
  <si>
    <t>🏘  Vous cherchez une maison à louer dans le Canton de Schwyz? ✅ Découvrez nos nombreuses annonces sur ImmoScout24.ch.</t>
  </si>
  <si>
    <t>https://www.immoscout24.ch/fr/appartement/louer/lieu-sins</t>
  </si>
  <si>
    <t>Louer appartement Sins: Trouvez le bien immobilier qui correspond idéalement à vos désirs sur ImmoScout24 - La plateforme de l'immobilier en Suisse.</t>
  </si>
  <si>
    <t>🏘  Vous cherchez un appartement à louer à Sins? ✅ Les annonces les plus actuelles sont sur ImmoScout24.ch.</t>
  </si>
  <si>
    <t>https://www.immoscout24.ch/fr/maison/acheter/lieu-toffen</t>
  </si>
  <si>
    <t>Vendre maison Toffen: Trouvez le bien immobilier qui correspond idéalement à vos désirs sur ImmoScout24 - La plateforme de l'immobilier en Suisse.</t>
  </si>
  <si>
    <t>🏘  Vous souhaitez acheter une maison à Toffen? ✅ Jetez un œil aux dernières offres sur ImmoScout24.ch.</t>
  </si>
  <si>
    <t>https://www.immoscout24.ch/fr/appartement/acheter/lieu-vandoeuvres</t>
  </si>
  <si>
    <t>Vendre appartement Vandoeuvres: Trouvez le bien immobilier qui correspond idéalement à vos désirs sur ImmoScout24 - La plateforme de l'immobilier en Suisse.</t>
  </si>
  <si>
    <t>🏘  L’appartement de vos rêves se trouve sur ImmoScout24.ch ✅ Découvrez les dernières annonces de vente à Vandoeuvres.</t>
  </si>
  <si>
    <t>https://www.immoscout24.ch/fr/appartement/acheter/lieu-bussy-fr</t>
  </si>
  <si>
    <t>Vendre appartement Bussy FR: Trouvez le bien immobilier qui correspond idéalement à vos désirs sur ImmoScout24 - La plateforme de l'immobilier en Suisse.</t>
  </si>
  <si>
    <t>🏘  L’appartement de vos rêves se trouve sur ImmoScout24.ch ✅ Découvrez les dernières annonces de vente à Bussy FR.</t>
  </si>
  <si>
    <t>https://www.immoscout24.ch/fr/maison/acheter/lieu-aadorf</t>
  </si>
  <si>
    <t>Vendre maison Aadorf: Trouvez le bien immobilier qui correspond idéalement à vos désirs sur ImmoScout24 - La plateforme de l'immobilier en Suisse.</t>
  </si>
  <si>
    <t>🏘  Vous souhaitez acheter une maison à Aadorf? ✅ Jetez un œil aux dernières offres sur ImmoScout24.ch.</t>
  </si>
  <si>
    <t>https://www.immoscout24.ch/fr/appartement/acheter/lieu-feusisberg</t>
  </si>
  <si>
    <t>Vendre appartement Feusisberg: Trouvez le bien immobilier qui correspond idéalement à vos désirs sur ImmoScout24 - La plateforme de l'immobilier en Suisse.</t>
  </si>
  <si>
    <t>🏘  L’appartement de vos rêves se trouve sur ImmoScout24.ch ✅ Découvrez les dernières annonces de vente à Feusisberg.</t>
  </si>
  <si>
    <t>https://www.immoscout24.ch/fr/appartement/louer/lieu-arbaz</t>
  </si>
  <si>
    <t>Louer appartement Arbaz: Trouvez le bien immobilier qui correspond idéalement à vos désirs sur ImmoScout24 - La plateforme de l'immobilier en Suisse.</t>
  </si>
  <si>
    <t>🏘  Vous cherchez un appartement à louer à Arbaz? ✅ Les annonces les plus actuelles sont sur ImmoScout24.ch.</t>
  </si>
  <si>
    <t>https://www.immoscout24.ch/fr/appartement/acheter/lieu-lussy-sur-morges</t>
  </si>
  <si>
    <t>Vendre appartement Lussy-sur-Morges: Trouvez le bien immobilier qui correspond idéalement à vos désirs sur ImmoScout24 - La plateforme de l'immobilier en Suisse.</t>
  </si>
  <si>
    <t>🏘  L’appartement de vos rêves se trouve sur ImmoScout24.ch ✅ Découvrez les dernières annonces de vente à Lussy-sur-Morges.</t>
  </si>
  <si>
    <t>https://www.immoscout24.ch/fr/maison/acheter/quartier-beaux-arts-neuchatel</t>
  </si>
  <si>
    <t>Vendre maison Beaux-Arts (Neuchâtel): Trouvez le bien immobilier qui correspond idéalement à vos désirs sur ImmoScout24 - La plateforme de l'immobilier en Suisse.</t>
  </si>
  <si>
    <t>🏘  Vous souhaitez acheter une maison dans le quartier des Beaux-Arts (Neuchâtel)? ✅ Jetez un œil aux dernières offres sur ImmoScout24.ch.</t>
  </si>
  <si>
    <t>https://www.immoscout24.ch/fr/appartement/louer/lieu-niederwil-ag</t>
  </si>
  <si>
    <t>Louer appartement Niederwil AG: Trouvez le bien immobilier qui correspond idéalement à vos désirs sur ImmoScout24 - La plateforme de l'immobilier en Suisse.</t>
  </si>
  <si>
    <t>🏘  Vous cherchez un appartement à louer à Niederwil AG? ✅ Les annonces les plus actuelles sont sur ImmoScout24.ch.</t>
  </si>
  <si>
    <t>https://www.immoscout24.ch/fr/appartement/louer/quartier-jonction-plainpalais-geneve</t>
  </si>
  <si>
    <t>Louer appartement Jonction - Plainpalais (Genève): Trouvez le bien immobilier qui correspond idéalement à vos désirs sur ImmoScout24 - La plateforme de l'immobilier en Suisse.</t>
  </si>
  <si>
    <t>🏘  Vous cherchez un appartement à louer dans le quartier de la Jonction - Plainpalais (Genève)? ✅ Les annonces les plus actuelles sont sur ImmoScout24.ch.</t>
  </si>
  <si>
    <t>https://www.immoscout24.ch/fr/maison/acheter/lieu-hirzel</t>
  </si>
  <si>
    <t>Vendre maison Hirzel: Trouvez le bien immobilier qui correspond idéalement à vos désirs sur ImmoScout24 - La plateforme de l'immobilier en Suisse.</t>
  </si>
  <si>
    <t>🏘  Vous souhaitez acheter une maison à Hirzel? ✅ Jetez un œil aux dernières offres sur ImmoScout24.ch.</t>
  </si>
  <si>
    <t>https://www.immoscout24.ch/fr/appartement/acheter/lieu-uttwil</t>
  </si>
  <si>
    <t>Vendre appartement Uttwil: Trouvez le bien immobilier qui correspond idéalement à vos désirs sur ImmoScout24 - La plateforme de l'immobilier en Suisse.</t>
  </si>
  <si>
    <t>🏘  L’appartement de vos rêves se trouve sur ImmoScout24.ch ✅ Découvrez les dernières annonces de vente à Uttwil.</t>
  </si>
  <si>
    <t>https://www.immoscout24.ch/fr/maison/acheter/lieu-morcote</t>
  </si>
  <si>
    <t>Vendre maison Morcote: Trouvez le bien immobilier qui correspond idéalement à vos désirs sur ImmoScout24 - La plateforme de l'immobilier en Suisse.</t>
  </si>
  <si>
    <t>🏘  Vous souhaitez acheter une maison à Morcote? ✅ Jetez un œil aux dernières offres sur ImmoScout24.ch.</t>
  </si>
  <si>
    <t>https://www.immoscout24.ch/fr/appartement/louer/lieu-ascona</t>
  </si>
  <si>
    <t>Louer appartement Ascona: Trouvez le bien immobilier qui correspond idéalement à vos désirs sur ImmoScout24 - La plateforme de l'immobilier en Suisse.</t>
  </si>
  <si>
    <t>🏘  Vous cherchez un appartement à louer à Ascona? ✅ Les annonces les plus actuelles sont sur ImmoScout24.ch.</t>
  </si>
  <si>
    <t>https://www.immoscout24.ch/fr/appartement/acheter/lieu-botyre-ayent</t>
  </si>
  <si>
    <t>Vendre appartement Botyre (Ayent): Trouvez le bien immobilier qui correspond idéalement à vos désirs sur ImmoScout24 - La plateforme de l'immobilier en Suisse.</t>
  </si>
  <si>
    <t>🏘  L’appartement de vos rêves se trouve sur ImmoScout24.ch ✅ Découvrez les dernières annonces de vente à Botyre (Ayent).</t>
  </si>
  <si>
    <t>https://www.immoscout24.ch/fr/maison/acheter/lieu-gockhausen</t>
  </si>
  <si>
    <t>Vendre maison Gockhausen: Trouvez le bien immobilier qui correspond idéalement à vos désirs sur ImmoScout24 - La plateforme de l'immobilier en Suisse.</t>
  </si>
  <si>
    <t>🏘  Vous souhaitez acheter une maison à Gockhausen? ✅ Jetez un œil aux dernières offres sur ImmoScout24.ch.</t>
  </si>
  <si>
    <t>https://www.immoscout24.ch/fr/maison/acheter/lieu-rue</t>
  </si>
  <si>
    <t>Vendre maison Rue: Trouvez le bien immobilier qui correspond idéalement à vos désirs sur ImmoScout24 - La plateforme de l'immobilier en Suisse.</t>
  </si>
  <si>
    <t>🏘  Vous souhaitez acheter une maison à Rue? ✅ Jetez un œil aux dernières offres sur ImmoScout24.ch.</t>
  </si>
  <si>
    <t>https://www.immoscout24.ch/fr/maison/acheter/lieu-ballwil</t>
  </si>
  <si>
    <t>Vendre maison Ballwil: Trouvez le bien immobilier qui correspond idéalement à vos désirs sur ImmoScout24 - La plateforme de l'immobilier en Suisse.</t>
  </si>
  <si>
    <t>🏘  Vous souhaitez acheter une maison à Ballwil? ✅ Jetez un œil aux dernières offres sur ImmoScout24.ch.</t>
  </si>
  <si>
    <t>https://www.immoscout24.ch/fr/appartement/louer/lieu-signese-ayent</t>
  </si>
  <si>
    <t>Louer appartement Signèse (Ayent): Trouvez le bien immobilier qui correspond idéalement à vos désirs sur ImmoScout24 - La plateforme de l'immobilier en Suisse.</t>
  </si>
  <si>
    <t>🏘  Vous cherchez un appartement à louer à Signèse (Ayent)? ✅ Les annonces les plus actuelles sont sur ImmoScout24.ch.</t>
  </si>
  <si>
    <t>https://www.immoscout24.ch/fr/appartement/louer/lieu-echandens</t>
  </si>
  <si>
    <t>Louer appartement Echandens: Trouvez le bien immobilier qui correspond idéalement à vos désirs sur ImmoScout24 - La plateforme de l'immobilier en Suisse.</t>
  </si>
  <si>
    <t>🏘  Vous cherchez un appartement à louer à Echandens? ✅ Les annonces les plus actuelles sont sur ImmoScout24.ch.</t>
  </si>
  <si>
    <t>https://www.immoscout24.ch/fr/maison/acheter/lieu-zwischenflueh</t>
  </si>
  <si>
    <t>Vendre maison Zwischenflüh: Trouvez le bien immobilier qui correspond idéalement à vos désirs sur ImmoScout24 - La plateforme de l'immobilier en Suisse.</t>
  </si>
  <si>
    <t>🏘  Vous souhaitez acheter une maison à Zwischenflüh? ✅ Jetez un œil aux dernières offres sur ImmoScout24.ch.</t>
  </si>
  <si>
    <t>https://www.immoscout24.ch/fr/maison/louer/pays-espagne</t>
  </si>
  <si>
    <t>Louer maison Espagne: Trouvez le bien immobilier qui correspond idéalement à vos désirs sur ImmoScout24 - La plateforme de l'immobilier en Suisse.</t>
  </si>
  <si>
    <t>https://www.immoscout24.ch/fr/maison/acheter/lieu-l-abbaye</t>
  </si>
  <si>
    <t>Vendre maison L'Abbaye: Trouvez le bien immobilier qui correspond idéalement à vos désirs sur ImmoScout24 - La plateforme de l'immobilier en Suisse.</t>
  </si>
  <si>
    <t>🏘  Vous souhaitez acheter une maison à L'Abbaye? ✅ Jetez un œil aux dernières offres sur ImmoScout24.ch.</t>
  </si>
  <si>
    <t>https://www.immoscout24.ch/fr/appartement/acheter/canton-tessin</t>
  </si>
  <si>
    <t>Vendre appartement Canton du Tessin: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</si>
  <si>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du Tessin.</t>
  </si>
  <si>
    <t>https://www.immoscout24.ch/fr/maison/acheter/lieu-torgon</t>
  </si>
  <si>
    <t>Vendre maison Torgon: Trouvez le bien immobilier qui correspond idéalement à vos désirs sur ImmoScout24 - La plateforme de l'immobilier en Suisse.</t>
  </si>
  <si>
    <t>🏘  Vous souhaitez acheter une maison à Torgon? ✅ Jetez un œil aux dernières offres sur ImmoScout24.ch.</t>
  </si>
  <si>
    <t>https://www.immoscout24.ch/fr/maison/acheter/lieu-noreaz</t>
  </si>
  <si>
    <t>Vendre maison Noréaz: Trouvez le bien immobilier qui correspond idéalement à vos désirs sur ImmoScout24 - La plateforme de l'immobilier en Suisse.</t>
  </si>
  <si>
    <t>🏘  Vous souhaitez acheter une maison à Noréaz? ✅ Jetez un œil aux dernières offres sur ImmoScout24.ch.</t>
  </si>
  <si>
    <t>https://www.immoscout24.ch/fr/appartement/louer/canton-obwald</t>
  </si>
  <si>
    <t>Louer appartement Canton d'Obwald: Trouvez le bien immobilier qui correspond idéalement à vos désirs sur ImmoScout24 - La plateforme de l'immobilier en Suisse.</t>
  </si>
  <si>
    <t>🏘  Vous cherchez un appartement à louer dans le Canton d'Obwald? ✅ Les annonces les plus actuelles sont sur ImmoScout24.ch.</t>
  </si>
  <si>
    <t>https://www.immoscout24.ch/fr/appartement/acheter/lieu-fey</t>
  </si>
  <si>
    <t>Vendre appartement Fey: Trouvez le bien immobilier qui correspond idéalement à vos désirs sur ImmoScout24 - La plateforme de l'immobilier en Suisse.</t>
  </si>
  <si>
    <t>🏘  L’appartement de vos rêves se trouve sur ImmoScout24.ch ✅ Découvrez les dernières annonces de vente à Fey.</t>
  </si>
  <si>
    <t>https://www.immoscout24.ch/fr/maison/acheter/lieu-lauenen-b-gstaad</t>
  </si>
  <si>
    <t>Vendre maison Lauenen b. Gstaad: Trouvez le bien immobilier qui correspond idéalement à vos désirs sur ImmoScout24 - La plateforme de l'immobilier en Suisse.</t>
  </si>
  <si>
    <t>🏘  Vous souhaitez acheter une maison à Lauenen b. Gstaad? ✅ Jetez un œil aux dernières offres sur ImmoScout24.ch.</t>
  </si>
  <si>
    <t>https://www.immoscout24.ch/fr/appartement/acheter/lieu-biere</t>
  </si>
  <si>
    <t>Vendre appartement Bière: Trouvez le bien immobilier qui correspond idéalement à vos désirs sur ImmoScout24 - La plateforme de l'immobilier en Suisse.</t>
  </si>
  <si>
    <t>🏘  L’appartement de vos rêves se trouve sur ImmoScout24.ch ✅ Découvrez les dernières annonces de vente à Bière.</t>
  </si>
  <si>
    <t>https://www.immoscout24.ch/fr/maison/acheter/lieu-boningen</t>
  </si>
  <si>
    <t>Vendre maison Boningen: Trouvez le bien immobilier qui correspond idéalement à vos désirs sur ImmoScout24 - La plateforme de l'immobilier en Suisse.</t>
  </si>
  <si>
    <t>🏘  Vous souhaitez acheter une maison à Boningen? ✅ Jetez un œil aux dernières offres sur ImmoScout24.ch.</t>
  </si>
  <si>
    <t>https://www.immoscout24.ch/fr/maison/acheter/quartier-alpes-neuchatel</t>
  </si>
  <si>
    <t>Vendre maison Alpes (Neuchâtel): Trouvez le bien immobilier qui correspond idéalement à vos désirs sur ImmoScout24 - La plateforme de l'immobilier en Suisse.</t>
  </si>
  <si>
    <t>🏘  Vous souhaitez acheter une maison à l'avenue des Alpes (Neuchâtel)? ✅ Jetez un œil aux dernières offres sur ImmoScout24.ch.</t>
  </si>
  <si>
    <t>https://www.immoscout24.ch/fr/maison/acheter/lieu-bole</t>
  </si>
  <si>
    <t>Vendre maison Bôle: Trouvez le bien immobilier qui correspond idéalement à vos désirs sur ImmoScout24 - La plateforme de l'immobilier en Suisse.</t>
  </si>
  <si>
    <t>🏘  Vous souhaitez acheter une maison à Bôle? ✅ Jetez un œil aux dernières offres sur ImmoScout24.ch.</t>
  </si>
  <si>
    <t>https://www.immoscout24.ch/fr/maison/louer/lieu-chermignon</t>
  </si>
  <si>
    <t>Louer maison Chermignon: Trouvez le bien immobilier qui correspond idéalement à vos désirs sur ImmoScout24 - La plateforme de l'immobilier en Suisse.</t>
  </si>
  <si>
    <t>🏘  Vous cherchez une maison à louer à Chermignon? ✅ Découvrez nos nombreuses annonces sur ImmoScout24.ch.</t>
  </si>
  <si>
    <t>https://www.immoscout24.ch/fr/maison/acheter/quartier-nouvelle-ville-nord-biel-bienne</t>
  </si>
  <si>
    <t>Vendre maison Nouvelle ville nord (Biel/Bienne): Trouvez le bien immobilier qui correspond idéalement à vos désirs sur ImmoScout24 - La plateforme de l'immobilier en Suisse.</t>
  </si>
  <si>
    <t>🏘  Vous souhaitez acheter une maison dans le quartier de la Nouvelle ville nord (Biel/Bienne)? ✅ Jetez un œil aux dernières offres sur ImmoScout24.ch.</t>
  </si>
  <si>
    <t>https://www.immoscout24.ch/fr/maison/louer/region-vallemaggia</t>
  </si>
  <si>
    <t>Louer maison Vallemaggia: Trouvez le bien immobilier qui correspond idéalement à vos désirs sur ImmoScout24 - La plateforme de l'immobilier en Suisse.</t>
  </si>
  <si>
    <t>🏘  Vous cherchez une maison à louer dans la région de Vallemaggia? ✅ Découvrez nos nombreuses annonces sur ImmoScout24.ch.</t>
  </si>
  <si>
    <t>https://www.immoscout24.ch/fr/maison/louer/lieu-puidoux</t>
  </si>
  <si>
    <t>Louer maison Puidoux: Trouvez le bien immobilier qui correspond idéalement à vos désirs sur ImmoScout24 - La plateforme de l'immobilier en Suisse.</t>
  </si>
  <si>
    <t>🏘  Vous cherchez une maison à louer à Puidoux? ✅ Découvrez nos nombreuses annonces sur ImmoScout24.ch.</t>
  </si>
  <si>
    <t>https://www.immoscout24.ch/fr/appartement/acheter/lieu-treyvaux</t>
  </si>
  <si>
    <t>Vendre appartement Treyvaux: Trouvez le bien immobilier qui correspond idéalement à vos désirs sur ImmoScout24 - La plateforme de l'immobilier en Suisse.</t>
  </si>
  <si>
    <t>🏘  L’appartement de vos rêves se trouve sur ImmoScout24.ch ✅ Découvrez les dernières annonces de vente à Treyvaux.</t>
  </si>
  <si>
    <t>https://www.immoscout24.ch/fr/maison/louer/lieu-arosa</t>
  </si>
  <si>
    <t>Louer maison Arosa: Trouvez le bien immobilier qui correspond idéalement à vos désirs sur ImmoScout24 - La plateforme de l'immobilier en Suisse.</t>
  </si>
  <si>
    <t>🏘  Vous cherchez une maison à louer à Arosa? ✅ Découvrez nos nombreuses annonces sur ImmoScout24.ch.</t>
  </si>
  <si>
    <t>https://www.immoscout24.ch/fr/appartement/louer/lieu-muttenz</t>
  </si>
  <si>
    <t>Louer appartement Muttenz: Trouvez le bien immobilier qui correspond idéalement à vos désirs sur ImmoScout24 - La plateforme de l'immobilier en Suisse.</t>
  </si>
  <si>
    <t>🏘  Vous cherchez un appartement à louer à Muttenz? ✅ Les annonces les plus actuelles sont sur ImmoScout24.ch.</t>
  </si>
  <si>
    <t>https://www.immoscout24.ch/fr/maison/acheter/lieu-walenstadtberg</t>
  </si>
  <si>
    <t>Vendre maison Walenstadtberg: Trouvez le bien immobilier qui correspond idéalement à vos désirs sur ImmoScout24 - La plateforme de l'immobilier en Suisse.</t>
  </si>
  <si>
    <t>🏘  Vous souhaitez acheter une maison à Walenstadtberg? ✅ Jetez un œil aux dernières offres sur ImmoScout24.ch.</t>
  </si>
  <si>
    <t>https://www.immoscout24.ch/fr/appartement/louer/lieu-gsteig-b-gstaad</t>
  </si>
  <si>
    <t>Louer appartement Gsteig b. Gstaad: Trouvez le bien immobilier qui correspond idéalement à vos désirs sur ImmoScout24 - La plateforme de l'immobilier en Suisse.</t>
  </si>
  <si>
    <t>🏘  Vous cherchez un appartement à louer à Gsteig b. Gstaad? ✅ Les annonces les plus actuelles sont sur ImmoScout24.ch.</t>
  </si>
  <si>
    <t>https://www.immoscout24.ch/fr/appartement/louer/lieu-rueyres-st-laurent</t>
  </si>
  <si>
    <t>Louer appartement Rueyres-St-Laurent: Trouvez le bien immobilier qui correspond idéalement à vos désirs sur ImmoScout24 - La plateforme de l'immobilier en Suisse.</t>
  </si>
  <si>
    <t>🏘  Vous cherchez un appartement à louer à Rueyres-St-Laurent? ✅ Les annonces les plus actuelles sont sur ImmoScout24.ch.</t>
  </si>
  <si>
    <t>https://www.immoscout24.ch/fr/appartement/louer/lieu-tecknau</t>
  </si>
  <si>
    <t>Louer appartement Tecknau: Trouvez le bien immobilier qui correspond idéalement à vos désirs sur ImmoScout24 - La plateforme de l'immobilier en Suisse.</t>
  </si>
  <si>
    <t>🏘  Vous cherchez un appartement à louer à Tecknau? ✅ Les annonces les plus actuelles sont sur ImmoScout24.ch.</t>
  </si>
  <si>
    <t>https://www.immoscout24.ch/fr/appartement/louer/lieu-aesch-bl</t>
  </si>
  <si>
    <t>Louer appartement Aesch BL: Trouvez le bien immobilier qui correspond idéalement à vos désirs sur ImmoScout24 - La plateforme de l'immobilier en Suisse.</t>
  </si>
  <si>
    <t>🏘  Vous cherchez un appartement à louer à Aesch BL? ✅ Les annonces les plus actuelles sont sur ImmoScout24.ch.</t>
  </si>
  <si>
    <t>https://www.immoscout24.ch/fr/maison/louer/lieu-romanens</t>
  </si>
  <si>
    <t>Louer maison Romanens: Trouvez le bien immobilier qui correspond idéalement à vos désirs sur ImmoScout24 - La plateforme de l'immobilier en Suisse.</t>
  </si>
  <si>
    <t>🏘  Vous cherchez une maison à louer à Romanens? ✅ Découvrez nos nombreuses annonces sur ImmoScout24.ch.</t>
  </si>
  <si>
    <t>https://www.immoscout24.ch/fr/appartement/louer/lieu-gingins</t>
  </si>
  <si>
    <t>Louer appartement Gingins: Trouvez le bien immobilier qui correspond idéalement à vos désirs sur ImmoScout24 - La plateforme de l'immobilier en Suisse.</t>
  </si>
  <si>
    <t>🏘  Vous cherchez un appartement à louer à Gingins? ✅ Les annonces les plus actuelles sont sur ImmoScout24.ch.</t>
  </si>
  <si>
    <t>https://www.immoscout24.ch/fr/appartement/louer/lieu-oberaegeri</t>
  </si>
  <si>
    <t>Louer appartement Oberägeri: Trouvez le bien immobilier qui correspond idéalement à vos désirs sur ImmoScout24 - La plateforme de l'immobilier en Suisse.</t>
  </si>
  <si>
    <t>🏘  Vous cherchez un appartement à louer à Oberägeri? ✅ Les annonces les plus actuelles sont sur ImmoScout24.ch.</t>
  </si>
  <si>
    <t>https://www.immoscout24.ch/fr/appartement/acheter/lieu-romont-fr</t>
  </si>
  <si>
    <t>Vendre appartement Romont FR: Trouvez le bien immobilier qui correspond idéalement à vos désirs sur ImmoScout24 - La plateforme de l'immobilier en Suisse.</t>
  </si>
  <si>
    <t>🏘  L’appartement de vos rêves se trouve sur ImmoScout24.ch ✅ Découvrez les dernières annonces de vente à Romont FR.</t>
  </si>
  <si>
    <t>https://www.immoscout24.ch/fr/appartement/louer/lieu-rubigen</t>
  </si>
  <si>
    <t>Louer appartement Rubigen: Trouvez le bien immobilier qui correspond idéalement à vos désirs sur ImmoScout24 - La plateforme de l'immobilier en Suisse.</t>
  </si>
  <si>
    <t>🏘  Vous cherchez un appartement à louer à Rubigen? ✅ Les annonces les plus actuelles sont sur ImmoScout24.ch.</t>
  </si>
  <si>
    <t>https://www.immoscout24.ch/fr/maison/louer/region-lavaux-vevey</t>
  </si>
  <si>
    <t>Louer maison Lavaux - Vevey: Trouvez le bien immobilier qui correspond idéalement à vos désirs sur ImmoScout24 - La plateforme de l'immobilier en Suisse.</t>
  </si>
  <si>
    <t>🏘  Vous cherchez une maison à louer dans la région de Lavaux - Vevey? ✅ Découvrez nos nombreuses annonces sur ImmoScout24.ch.</t>
  </si>
  <si>
    <t>https://www.immoscout24.ch/fr/appartement/acheter/quartier-centre-neuchatel</t>
  </si>
  <si>
    <t>Vendre appartement Centre (Neuchâtel): Trouvez le bien immobilier qui correspond idéalement à vos désirs sur ImmoScout24 - La plateforme de l'immobilier en Suisse.</t>
  </si>
  <si>
    <t>🏘  L’appartement de vos rêves se trouve sur ImmoScout24.ch ✅ Découvrez les dernières annonces de vente dans le Centre de Neuchâtel.</t>
  </si>
  <si>
    <t>https://www.immoscout24.ch/fr/maison/acheter/lieu-kuesnacht-zh</t>
  </si>
  <si>
    <t>Vendre maison Küsnacht ZH: Trouvez le bien immobilier qui correspond idéalement à vos désirs sur ImmoScout24 - La plateforme de l'immobilier en Suisse.</t>
  </si>
  <si>
    <t>🏘  Vous souhaitez acheter une maison à Küsnacht ZH? ✅ Jetez un œil aux dernières offres sur ImmoScout24.ch.</t>
  </si>
  <si>
    <t>https://www.immoscout24.ch/fr/appartement/acheter/region-rorschach-st-gallen</t>
  </si>
  <si>
    <t>Vendre appartement Rorschach - St. Gallen: Trouvez le bien immobilier qui correspond idéalement à vos désirs sur ImmoScout24 - La plateforme de l'immobilier en Suisse.</t>
  </si>
  <si>
    <t>🏘  L’appartement de vos rêves se trouve sur ImmoScout24.ch ✅ Découvrez les dernières annonces de vente dans la région de St-Gall.</t>
  </si>
  <si>
    <t>https://www.immoscout24.ch/fr/appartement/louer/lieu-fontaines-ne</t>
  </si>
  <si>
    <t>Louer appartement Fontaines NE: Trouvez le bien immobilier qui correspond idéalement à vos désirs sur ImmoScout24 - La plateforme de l'immobilier en Suisse.</t>
  </si>
  <si>
    <t>🏘  Vous cherchez un appartement à louer à Fontaines NE? ✅ Les annonces les plus actuelles sont sur ImmoScout24.ch.</t>
  </si>
  <si>
    <t>https://www.immoscout24.ch/fr/maison/louer/lieu-autavaux</t>
  </si>
  <si>
    <t>Louer maison Autavaux: Trouvez le bien immobilier qui correspond idéalement à vos désirs sur ImmoScout24 - La plateforme de l'immobilier en Suisse.</t>
  </si>
  <si>
    <t>🏘  Vous cherchez une maison à louer à Autavaux? ✅ Découvrez nos nombreuses annonces sur ImmoScout24.ch.</t>
  </si>
  <si>
    <t>https://www.immoscout24.ch/fr/maison/acheter/lieu-montherod</t>
  </si>
  <si>
    <t>Vendre maison Montherod: Trouvez le bien immobilier qui correspond idéalement à vos désirs sur ImmoScout24 - La plateforme de l'immobilier en Suisse.</t>
  </si>
  <si>
    <t>🏘  Vous souhaitez acheter une maison à Montherod? ✅ Jetez un œil aux dernières offres sur ImmoScout24.ch.</t>
  </si>
  <si>
    <t>https://www.immoscout24.ch/fr/maison/acheter/lieu-la-cote-aux-fees</t>
  </si>
  <si>
    <t>Vendre maison La Côte-aux-Fées: Trouvez le bien immobilier qui correspond idéalement à vos désirs sur ImmoScout24 - La plateforme de l'immobilier en Suisse.</t>
  </si>
  <si>
    <t>🏘  Vous souhaitez acheter une maison à La Côte-aux-Fées? ✅ Jetez un œil aux dernières offres sur ImmoScout24.ch.</t>
  </si>
  <si>
    <t>https://www.immoscout24.ch/fr/appartement/louer/lieu-herisau</t>
  </si>
  <si>
    <t>Louer appartement Herisau: Trouvez le bien immobilier qui correspond idéalement à vos désirs sur ImmoScout24 - La plateforme de l'immobilier en Suisse.</t>
  </si>
  <si>
    <t>🏘  Vous cherchez un appartement à louer à Herisau? ✅ Les annonces les plus actuelles sont sur ImmoScout24.ch.</t>
  </si>
  <si>
    <t>https://www.immoscout24.ch/fr/appartement/louer/lieu-les-hauderes</t>
  </si>
  <si>
    <t>Louer appartement Les Haudères: Trouvez le bien immobilier qui correspond idéalement à vos désirs sur ImmoScout24 - La plateforme de l'immobilier en Suisse.</t>
  </si>
  <si>
    <t>🏘  Vous cherchez un appartement à louer aux Haudères? ✅ Les annonces les plus actuelles sont sur ImmoScout24.ch.</t>
  </si>
  <si>
    <t>https://www.immoscout24.ch/fr/appartement/louer/lieu-la-vraconnaz</t>
  </si>
  <si>
    <t>Louer appartement La Vraconnaz: Trouvez le bien immobilier qui correspond idéalement à vos désirs sur ImmoScout24 - La plateforme de l'immobilier en Suisse.</t>
  </si>
  <si>
    <t>🏘  Vous cherchez un appartement à louer à La Vraconnaz? ✅ Les annonces les plus actuelles sont sur ImmoScout24.ch.</t>
  </si>
  <si>
    <t>https://www.immoscout24.ch/fr/appartement/louer/lieu-le-sentier</t>
  </si>
  <si>
    <t>Louer appartement Le Sentier: Trouvez le bien immobilier qui correspond idéalement à vos désirs sur ImmoScout24 - La plateforme de l'immobilier en Suisse.</t>
  </si>
  <si>
    <t>🏘  Vous cherchez un appartement à louer au Sentier? ✅ Les annonces les plus actuelles sont sur ImmoScout24.ch.</t>
  </si>
  <si>
    <t>https://www.immoscout24.ch/fr/appartement/louer/lieu-champlan-grimisuat</t>
  </si>
  <si>
    <t>Louer appartement Champlan (Grimisuat): Trouvez le bien immobilier qui correspond idéalement à vos désirs sur ImmoScout24 - La plateforme de l'immobilier en Suisse.</t>
  </si>
  <si>
    <t>🏘  Vous cherchez un appartement à louer à Champlan (Grimisuat)? ✅ Les annonces les plus actuelles sont sur ImmoScout24.ch.</t>
  </si>
  <si>
    <t>https://www.immoscout24.ch/fr/appartement/louer/lieu-veyras</t>
  </si>
  <si>
    <t>Louer appartement Veyras: Trouvez le bien immobilier qui correspond idéalement à vos désirs sur ImmoScout24 - La plateforme de l'immobilier en Suisse.</t>
  </si>
  <si>
    <t>🏘  Vous cherchez un appartement à louer à Veyras? ✅ Les annonces les plus actuelles sont sur ImmoScout24.ch.</t>
  </si>
  <si>
    <t>https://www.immoscout24.ch/fr/maison/acheter/lieu-beatenberg</t>
  </si>
  <si>
    <t>Vendre maison Beatenberg: Trouvez le bien immobilier qui correspond idéalement à vos désirs sur ImmoScout24 - La plateforme de l'immobilier en Suisse.</t>
  </si>
  <si>
    <t>🏘  Vous souhaitez acheter une maison à Beatenberg? ✅ Jetez un œil aux dernières offres sur ImmoScout24.ch.</t>
  </si>
  <si>
    <t>https://www.immoscout24.ch/fr/appartement/louer/lieu-liez-st-martin</t>
  </si>
  <si>
    <t>Louer appartement Liez (St-Martin): Trouvez le bien immobilier qui correspond idéalement à vos désirs sur ImmoScout24 - La plateforme de l'immobilier en Suisse.</t>
  </si>
  <si>
    <t>🏘  Vous cherchez un appartement à louer à Liez (St-Martin)? ✅ Les annonces les plus actuelles sont sur ImmoScout24.ch.</t>
  </si>
  <si>
    <t>https://www.immoscout24.ch/fr/appartement/louer/lieu-villeneuve-fr</t>
  </si>
  <si>
    <t>Louer appartement Villeneuve FR: Trouvez le bien immobilier qui correspond idéalement à vos désirs sur ImmoScout24 - La plateforme de l'immobilier en Suisse.</t>
  </si>
  <si>
    <t>🏘  Vous cherchez un appartement à louer à Villeneuve FR? ✅ Les annonces les plus actuelles sont sur ImmoScout24.ch.</t>
  </si>
  <si>
    <t>https://www.immoscout24.ch/fr/appartement/acheter/pays-albanie</t>
  </si>
  <si>
    <t>Vendre appartement Albanie: Trouvez le bien immobilier qui correspond idéalement à vos désirs sur ImmoScout24 - La plateforme de l'immobilier en Suisse.</t>
  </si>
  <si>
    <t>🏘  Vous cherchez un appartement à louer en Albanie? ✅ Les annonces les plus actuelles sont sur ImmoScout24.ch.</t>
  </si>
  <si>
    <t>https://www.immoscout24.ch/fr/maison/louer/lieu-gryon</t>
  </si>
  <si>
    <t>Louer maison Gryon: Trouvez le bien immobilier qui correspond idéalement à vos désirs sur ImmoScout24 - La plateforme de l'immobilier en Suisse.</t>
  </si>
  <si>
    <t>🏘  Vous cherchez une maison à louer à Gryon? ✅ Découvrez nos nombreuses annonces sur ImmoScout24.ch.</t>
  </si>
  <si>
    <t>https://www.immoscout24.ch/fr/appartement/louer/lieu-les-moulins</t>
  </si>
  <si>
    <t>Louer appartement Les Moulins: Trouvez le bien immobilier qui correspond idéalement à vos désirs sur ImmoScout24 - La plateforme de l'immobilier en Suisse.</t>
  </si>
  <si>
    <t>🏘  Vous cherchez un appartement à louer aux Moulins? ✅ Les annonces les plus actuelles sont sur ImmoScout24.ch.</t>
  </si>
  <si>
    <t>https://www.immoscout24.ch/fr/maison/acheter/lieu-tschugg</t>
  </si>
  <si>
    <t>Vendre maison Tschugg: Trouvez le bien immobilier qui correspond idéalement à vos désirs sur ImmoScout24 - La plateforme de l'immobilier en Suisse.</t>
  </si>
  <si>
    <t>🏘  Vous souhaitez acheter une maison à Tschugg? ✅ Jetez un œil aux dernières offres sur ImmoScout24.ch.</t>
  </si>
  <si>
    <t>https://www.immoscout24.ch/fr/maison/acheter/lieu-borgnone</t>
  </si>
  <si>
    <t>Vendre maison Borgnone: Trouvez le bien immobilier qui correspond idéalement à vos désirs sur ImmoScout24 - La plateforme de l'immobilier en Suisse.</t>
  </si>
  <si>
    <t>🏘  Vous souhaitez acheter une maison à Borgnone? ✅ Jetez un œil aux dernières offres sur ImmoScout24.ch.</t>
  </si>
  <si>
    <t>https://www.immoscout24.ch/fr/maison/louer/quartier-forges-endroits-la-chaux-de-fonds</t>
  </si>
  <si>
    <t>Louer maison Forges-Endroits (La Chaux-de-Fonds): Trouvez le bien immobilier qui correspond idéalement à vos désirs sur ImmoScout24 - La plateforme de l'immobilier en Suisse.</t>
  </si>
  <si>
    <t>🏘  Vous cherchez une maison à louer dans le quartier de Forges-Endroits (La Chaux-de-Fonds)? ✅ Découvrez nos nombreuses annonces sur ImmoScout24.ch.</t>
  </si>
  <si>
    <t>https://www.immoscout24.ch/fr/appartement/louer/lieu-lugano</t>
  </si>
  <si>
    <t>Louer appartement Lugano: Trouvez le bien immobilier qui correspond idéalement à vos désirs sur ImmoScout24 - La plateforme de l'immobilier en Suisse.</t>
  </si>
  <si>
    <t>🏘  Vous cherchez un appartement à louer à Lugano? ✅ Les annonces les plus actuelles sont sur ImmoScout24.ch.</t>
  </si>
  <si>
    <t>https://www.immoscout24.ch/fr/appartement/louer/quartier-viganello-lugano</t>
  </si>
  <si>
    <t>Louer appartement Viganello (Lugano): Trouvez le bien immobilier qui correspond idéalement à vos désirs sur ImmoScout24 - La plateforme de l'immobilier en Suisse.</t>
  </si>
  <si>
    <t>🏘  Vous cherchez un appartement à louer dans le quartier de Viganello (Lugano)? ✅ Les annonces les plus actuelles sont sur ImmoScout24.ch.</t>
  </si>
  <si>
    <t>https://www.immoscout24.ch/fr/appartement/louer/lieu-pfaeffikon-sz</t>
  </si>
  <si>
    <t>Louer appartement Pfäffikon SZ: Trouvez le bien immobilier qui correspond idéalement à vos désirs sur ImmoScout24 - La plateforme de l'immobilier en Suisse.</t>
  </si>
  <si>
    <t>🏘  Vous cherchez un appartement à louer à Pfäffikon SZ? ✅ Les annonces les plus actuelles sont sur ImmoScout24.ch.</t>
  </si>
  <si>
    <t>https://www.immoscout24.ch/fr/maison/acheter/lieu-bramois</t>
  </si>
  <si>
    <t>Vendre maison Bramois: Trouvez le bien immobilier qui correspond idéalement à vos désirs sur ImmoScout24 - La plateforme de l'immobilier en Suisse.</t>
  </si>
  <si>
    <t>🏘  Vous souhaitez acheter une maison à Bramois? ✅ Jetez un œil aux dernières offres sur ImmoScout24.ch.</t>
  </si>
  <si>
    <t>https://www.immoscout24.ch/fr/appartement/louer/lieu-sottens</t>
  </si>
  <si>
    <t>Louer appartement Sottens: Trouvez le bien immobilier qui correspond idéalement à vos désirs sur ImmoScout24 - La plateforme de l'immobilier en Suisse.</t>
  </si>
  <si>
    <t>🏘  Vous cherchez un appartement à louer à Sottens? ✅ Les annonces les plus actuelles sont sur ImmoScout24.ch.</t>
  </si>
  <si>
    <t>https://www.immoscout24.ch/fr/maison/acheter/lieu-le-fuet</t>
  </si>
  <si>
    <t>Vendre maison Le Fuet: Trouvez le bien immobilier qui correspond idéalement à vos désirs sur ImmoScout24 - La plateforme de l'immobilier en Suisse.</t>
  </si>
  <si>
    <t>🏘  Vous souhaitez acheter une maison au Fuet? ✅ Jetez un œil aux dernières offres sur ImmoScout24.ch.</t>
  </si>
  <si>
    <t>https://www.immoscout24.ch/fr/appartement/louer/lieu-le-mouret</t>
  </si>
  <si>
    <t>Louer appartement Le Mouret: Trouvez le bien immobilier qui correspond idéalement à vos désirs sur ImmoScout24 - La plateforme de l'immobilier en Suisse.</t>
  </si>
  <si>
    <t>🏘  Vous cherchez un appartement à louer au Mouret? ✅ Les annonces les plus actuelles sont sur ImmoScout24.ch.</t>
  </si>
  <si>
    <t>https://www.immoscout24.ch/fr/appartement/acheter/lieu-gimel</t>
  </si>
  <si>
    <t>Vendre appartement Gimel: Trouvez le bien immobilier qui correspond idéalement à vos désirs sur ImmoScout24 - La plateforme de l'immobilier en Suisse.</t>
  </si>
  <si>
    <t>🏘  L’appartement de vos rêves se trouve sur ImmoScout24.ch ✅ Découvrez les dernières annonces de vente à Gimel.</t>
  </si>
  <si>
    <t>https://www.immoscout24.ch/fr/appartement/louer/lieu-villars-sous-mont</t>
  </si>
  <si>
    <t>Louer appartement Villars-sous-Mont: Trouvez le bien immobilier qui correspond idéalement à vos désirs sur ImmoScout24 - La plateforme de l'immobilier en Suisse.</t>
  </si>
  <si>
    <t>🏘  Vous cherchez un appartement à louer à Villars-sous-Mont? ✅ Les annonces les plus actuelles sont sur ImmoScout24.ch.</t>
  </si>
  <si>
    <t>https://www.immoscout24.ch/fr/maison/acheter/quartier-bel-air-la-chaux-de-fonds</t>
  </si>
  <si>
    <t>Vendre maison Bel-Air (La Chaux-de-Fonds): Trouvez le bien immobilier qui correspond idéalement à vos désirs sur ImmoScout24 - La plateforme de l'immobilier en Suisse.</t>
  </si>
  <si>
    <t>🏘  Vous souhaitez acheter une maison dans le quartier de Bel-Air (La Chaux-de-Fonds)? ✅ Jetez un œil aux dernières offres sur ImmoScout24.ch.</t>
  </si>
  <si>
    <t>https://www.immoscout24.ch/fr/appartement/louer/lieu-thuernen</t>
  </si>
  <si>
    <t>Louer appartement Thürnen: Trouvez le bien immobilier qui correspond idéalement à vos désirs sur ImmoScout24 - La plateforme de l'immobilier en Suisse.</t>
  </si>
  <si>
    <t>🏘  Vous cherchez un appartement à louer à Thürnen? ✅ Les annonces les plus actuelles sont sur ImmoScout24.ch.</t>
  </si>
  <si>
    <t>https://www.immoscout24.ch/fr/maison/acheter/lieu-la-fouly-vs</t>
  </si>
  <si>
    <t>Vendre maison La Fouly VS: Trouvez le bien immobilier qui correspond idéalement à vos désirs sur ImmoScout24 - La plateforme de l'immobilier en Suisse.</t>
  </si>
  <si>
    <t>🏘  Vous souhaitez acheter une maison à La Fouly VS? ✅ Jetez un œil aux dernières offres sur ImmoScout24.ch.</t>
  </si>
  <si>
    <t>https://www.immoscout24.ch/fr/appartement/louer/lieu-boulens</t>
  </si>
  <si>
    <t>Louer appartement Boulens: Trouvez le bien immobilier qui correspond idéalement à vos désirs sur ImmoScout24 - La plateforme de l'immobilier en Suisse.</t>
  </si>
  <si>
    <t>🏘  Vous cherchez un appartement à louer à Boulens? ✅ Les annonces les plus actuelles sont sur ImmoScout24.ch.</t>
  </si>
  <si>
    <t>https://www.immoscout24.ch/fr/maison/acheter/lieu-menziken</t>
  </si>
  <si>
    <t>Vendre maison Menziken: Trouvez le bien immobilier qui correspond idéalement à vos désirs sur ImmoScout24 - La plateforme de l'immobilier en Suisse.</t>
  </si>
  <si>
    <t>🏘  Vous souhaitez acheter une maison à Menziken? ✅ Jetez un œil aux dernières offres sur ImmoScout24.ch.</t>
  </si>
  <si>
    <t>https://www.immoscout24.ch/fr/appartement/louer/lieu-saanen</t>
  </si>
  <si>
    <t>Louer appartement Saanen: Trouvez le bien immobilier qui correspond idéalement à vos désirs sur ImmoScout24 - La plateforme de l'immobilier en Suisse.</t>
  </si>
  <si>
    <t>🏘  Vous cherchez un appartement à louer à Saanen? ✅ Les annonces les plus actuelles sont sur ImmoScout24.ch.</t>
  </si>
  <si>
    <t>https://www.immoscout24.ch/fr/maison/acheter/lieu-suchy</t>
  </si>
  <si>
    <t>Vendre maison Suchy: Trouvez le bien immobilier qui correspond idéalement à vos désirs sur ImmoScout24 - La plateforme de l'immobilier en Suisse.</t>
  </si>
  <si>
    <t>🏘  Vous souhaitez acheter une maison à Suchy? ✅ Jetez un œil aux dernières offres sur ImmoScout24.ch.</t>
  </si>
  <si>
    <t>https://www.immoscout24.ch/fr/appartement/acheter/lieu-saas-balen</t>
  </si>
  <si>
    <t>Vendre appartement Saas-Balen: Trouvez le bien immobilier qui correspond idéalement à vos désirs sur ImmoScout24 - La plateforme de l'immobilier en Suisse.</t>
  </si>
  <si>
    <t>🏘  L’appartement de vos rêves se trouve sur ImmoScout24.ch ✅ Découvrez les dernières annonces de vente à Saas-Balen.</t>
  </si>
  <si>
    <t>https://www.immoscout24.ch/fr/appartement/louer/lieu-frenkendorf</t>
  </si>
  <si>
    <t>Louer appartement Frenkendorf: Trouvez le bien immobilier qui correspond idéalement à vos désirs sur ImmoScout24 - La plateforme de l'immobilier en Suisse.</t>
  </si>
  <si>
    <t>🏘  Vous cherchez un appartement à louer à Frenkendorf? ✅ Les annonces les plus actuelles sont sur ImmoScout24.ch.</t>
  </si>
  <si>
    <t>https://www.immoscout24.ch/fr/maison/acheter/lieu-les-verines-chamoson</t>
  </si>
  <si>
    <t>Vendre maison Les Vérines (Chamoson): Trouvez le bien immobilier qui correspond idéalement à vos désirs sur ImmoScout24 - La plateforme de l'immobilier en Suisse.</t>
  </si>
  <si>
    <t>🏘  Vous souhaitez acheter une maison aux Vérines (Chamoson)? ✅ Jetez un œil aux dernières offres sur ImmoScout24.ch.</t>
  </si>
  <si>
    <t>https://www.immoscout24.ch/fr/appartement/louer/lieu-berneck</t>
  </si>
  <si>
    <t>Louer appartement Berneck: Trouvez le bien immobilier qui correspond idéalement à vos désirs sur ImmoScout24 - La plateforme de l'immobilier en Suisse.</t>
  </si>
  <si>
    <t>🏘  Vous cherchez un appartement à louer à Berneck? ✅ Les annonces les plus actuelles sont sur ImmoScout24.ch.</t>
  </si>
  <si>
    <t>https://www.immoscout24.ch/fr/maison/acheter/quartier-cassarate-lugano</t>
  </si>
  <si>
    <t>Vendre maison Cassarate (Lugano): Trouvez le bien immobilier qui correspond idéalement à vos désirs sur ImmoScout24 - La plateforme de l'immobilier en Suisse.</t>
  </si>
  <si>
    <t>🏘  Vous souhaitez acheter une maison dans le quartier de Cassarate (Lugano)? ✅ Jetez un œil aux dernières offres sur ImmoScout24.ch.</t>
  </si>
  <si>
    <t>https://www.immoscout24.ch/fr/appartement/louer/lieu-salgesch</t>
  </si>
  <si>
    <t>Louer appartement Salgesch: Trouvez le bien immobilier qui correspond idéalement à vos désirs sur ImmoScout24 - La plateforme de l'immobilier en Suisse.</t>
  </si>
  <si>
    <t>🏘  Vous cherchez un appartement à louer à Salgesch? ✅ Les annonces les plus actuelles sont sur ImmoScout24.ch.</t>
  </si>
  <si>
    <t>https://www.immoscout24.ch/fr/appartement/louer/lieu-combremont-le-grand</t>
  </si>
  <si>
    <t>Louer appartement Combremont-le-Grand: Trouvez le bien immobilier qui correspond idéalement à vos désirs sur ImmoScout24 - La plateforme de l'immobilier en Suisse.</t>
  </si>
  <si>
    <t>🏘  Vous cherchez un appartement à louer à Combremont-le-Grand? ✅ Les annonces les plus actuelles sont sur ImmoScout24.ch.</t>
  </si>
  <si>
    <t>https://www.immoscout24.ch/fr/appartement/acheter/lieu-fenin</t>
  </si>
  <si>
    <t>Vendre appartement Fenin: Trouvez le bien immobilier qui correspond idéalement à vos désirs sur ImmoScout24 - La plateforme de l'immobilier en Suisse.</t>
  </si>
  <si>
    <t>🏘  L’appartement de vos rêves se trouve sur ImmoScout24.ch ✅ Découvrez les dernières annonces de vente à Fenin.</t>
  </si>
  <si>
    <t>https://www.immoscout24.ch/fr/appartement/acheter/lieu-les-crosets</t>
  </si>
  <si>
    <t>Vendre appartement Les Crosets: Trouvez le bien immobilier qui correspond idéalement à vos désirs sur ImmoScout24 - La plateforme de l'immobilier en Suisse.</t>
  </si>
  <si>
    <t>🏘  L’appartement de vos rêves se trouve sur ImmoScout24.ch ✅ Découvrez les dernières annonces de vente aux Crosets.</t>
  </si>
  <si>
    <t>https://www.immoscout24.ch/fr/maison/acheter/lieu-gorgier</t>
  </si>
  <si>
    <t>Vendre maison Gorgier: Trouvez le bien immobilier qui correspond idéalement à vos désirs sur ImmoScout24 - La plateforme de l'immobilier en Suisse.</t>
  </si>
  <si>
    <t>🏘  Vous souhaitez acheter une maison à Gorgier? ✅ Jetez un œil aux dernières offres sur ImmoScout24.ch.</t>
  </si>
  <si>
    <t>https://www.immoscout24.ch/fr/maison/acheter/lieu-rechthalten</t>
  </si>
  <si>
    <t>Vendre maison Rechthalten: Trouvez le bien immobilier qui correspond idéalement à vos désirs sur ImmoScout24 - La plateforme de l'immobilier en Suisse.</t>
  </si>
  <si>
    <t>🏘  Vous souhaitez acheter une maison à Rechthalten? ✅ Jetez un œil aux dernières offres sur ImmoScout24.ch.</t>
  </si>
  <si>
    <t>https://www.immoscout24.ch/fr/appartement/acheter/lieu-solothurn</t>
  </si>
  <si>
    <t>Vendre appartement Solothurn: Trouvez le bien immobilier qui correspond idéalement à vos désirs sur ImmoScout24 - La plateforme de l'immobilier en Suisse.</t>
  </si>
  <si>
    <t>🏘  L’appartement de vos rêves se trouve sur ImmoScout24.ch ✅ Découvrez les dernières annonces de vente à Solothurn.</t>
  </si>
  <si>
    <t>https://www.immoscout24.ch/fr/appartement/acheter/lieu-magnedens</t>
  </si>
  <si>
    <t>Vendre appartement Magnedens: Trouvez le bien immobilier qui correspond idéalement à vos désirs sur ImmoScout24 - La plateforme de l'immobilier en Suisse.</t>
  </si>
  <si>
    <t>🏘  L’appartement de vos rêves se trouve sur ImmoScout24.ch ✅ Découvrez les dernières annonces de vente à Magnedens.</t>
  </si>
  <si>
    <t>https://www.immoscout24.ch/fr/maison/acheter/lieu-st-luc</t>
  </si>
  <si>
    <t>Vendre maison St-Luc: Trouvez le bien immobilier qui correspond idéalement à vos désirs sur ImmoScout24 - La plateforme de l'immobilier en Suisse.</t>
  </si>
  <si>
    <t>🏘  Vous souhaitez acheter une maison à St-Luc? ✅ Jetez un œil aux dernières offres sur ImmoScout24.ch.</t>
  </si>
  <si>
    <t>https://www.immoscout24.ch/fr/appartement/louer/quartier-st-gervais-chantepoulet-geneve</t>
  </si>
  <si>
    <t>Louer appartement St-Gervais - Chantepoulet (Genève): Trouvez le bien immobilier qui correspond idéalement à vos désirs sur ImmoScout24 - La plateforme de l'immobilier en Suisse.</t>
  </si>
  <si>
    <t>🏘  Vous cherchez un appartement à louer dans le quartier de St-Gervais - Chantepoulet (Genève)? ✅ Les annonces les plus actuelles sont sur ImmoScout24.ch.</t>
  </si>
  <si>
    <t>https://www.immoscout24.ch/fr/appartement/louer/lieu-kirchlindach</t>
  </si>
  <si>
    <t>Louer appartement Kirchlindach: Trouvez le bien immobilier qui correspond idéalement à vos désirs sur ImmoScout24 - La plateforme de l'immobilier en Suisse.</t>
  </si>
  <si>
    <t>🏘  Vous cherchez un appartement à louer à Kirchlindach? ✅ Les annonces les plus actuelles sont sur ImmoScout24.ch.</t>
  </si>
  <si>
    <t>https://www.immoscout24.ch/fr/appartement/louer/lieu-liesberg</t>
  </si>
  <si>
    <t>Louer appartement Liesberg: Trouvez le bien immobilier qui correspond idéalement à vos désirs sur ImmoScout24 - La plateforme de l'immobilier en Suisse.</t>
  </si>
  <si>
    <t>🏘  Vous cherchez un appartement à louer à Liesberg? ✅ Les annonces les plus actuelles sont sur ImmoScout24.ch.</t>
  </si>
  <si>
    <t>https://www.immoscout24.ch/fr/maison/louer/lieu-kerzers</t>
  </si>
  <si>
    <t>Louer maison Kerzers: Trouvez le bien immobilier qui correspond idéalement à vos désirs sur ImmoScout24 - La plateforme de l'immobilier en Suisse.</t>
  </si>
  <si>
    <t>🏘  Vous cherchez une maison à louer à Kerzers? ✅ Découvrez nos nombreuses annonces sur ImmoScout24.ch.</t>
  </si>
  <si>
    <t>https://www.immoscout24.ch/fr/maison/louer/lieu-chenens</t>
  </si>
  <si>
    <t>Louer maison Chénens: Trouvez le bien immobilier qui correspond idéalement à vos désirs sur ImmoScout24 - La plateforme de l'immobilier en Suisse.</t>
  </si>
  <si>
    <t>🏘  Vous cherchez une maison à louer à Chénens? ✅ Découvrez nos nombreuses annonces sur ImmoScout24.ch.</t>
  </si>
  <si>
    <t>https://www.immoscout24.ch/fr/appartement/louer/lieu-schangnau</t>
  </si>
  <si>
    <t>Louer appartement Schangnau: Trouvez le bien immobilier qui correspond idéalement à vos désirs sur ImmoScout24 - La plateforme de l'immobilier en Suisse.</t>
  </si>
  <si>
    <t>🏘  Vous cherchez un appartement à louer à Schangnau? ✅ Les annonces les plus actuelles sont sur ImmoScout24.ch.</t>
  </si>
  <si>
    <t>https://www.immoscout24.ch/fr/appartement/louer/lieu-lausanne</t>
  </si>
  <si>
    <t>Louer appartement Lausanne: Trouvez le bien immobilier qui correspond idéalement à vos désirs sur ImmoScout24 - La plateforme de l'immobilier en Suisse.</t>
  </si>
  <si>
    <t>🏘  Vous cherchez un appartement à louer à Lausanne? ✅ Les annonces les plus actuelles sont sur ImmoScout24.ch.</t>
  </si>
  <si>
    <t>https://www.immoscout24.ch/fr/appartement/louer/lieu-gams</t>
  </si>
  <si>
    <t>Louer appartement Gams: Trouvez le bien immobilier qui correspond idéalement à vos désirs sur ImmoScout24 - La plateforme de l'immobilier en Suisse.</t>
  </si>
  <si>
    <t>🏘  Vous cherchez un appartement à louer à Gams? ✅ Les annonces les plus actuelles sont sur ImmoScout24.ch.</t>
  </si>
  <si>
    <t>https://www.immoscout24.ch/fr/appartement/acheter/lieu-begnins</t>
  </si>
  <si>
    <t>Vendre appartement Begnins: Trouvez le bien immobilier qui correspond idéalement à vos désirs sur ImmoScout24 - La plateforme de l'immobilier en Suisse.</t>
  </si>
  <si>
    <t>🏘  L’appartement de vos rêves se trouve sur ImmoScout24.ch ✅ Découvrez les dernières annonces de vente à Begnins.</t>
  </si>
  <si>
    <t>https://www.immoscout24.ch/fr/maison/acheter/pays-maroc</t>
  </si>
  <si>
    <t>Vendre maison Maroc: Trouvez le bien immobilier qui correspond idéalement à vos désirs sur ImmoScout24 - La plateforme de l'immobilier en Suisse.</t>
  </si>
  <si>
    <t>🏘  Vous cherchez un appartement à louer au Maroc? ✅ Les annonces les plus actuelles sont sur ImmoScout24.ch.</t>
  </si>
  <si>
    <t>https://www.immoscout24.ch/fr/appartement/louer/lieu-lavigny</t>
  </si>
  <si>
    <t>Louer appartement Lavigny: Trouvez le bien immobilier qui correspond idéalement à vos désirs sur ImmoScout24 - La plateforme de l'immobilier en Suisse.</t>
  </si>
  <si>
    <t>🏘  Vous cherchez un appartement à louer à Lavigny? ✅ Les annonces les plus actuelles sont sur ImmoScout24.ch.</t>
  </si>
  <si>
    <t>https://www.immoscout24.ch/fr/maison/acheter/lieu-les-hauderes</t>
  </si>
  <si>
    <t>Vendre maison Les Haudères: Trouvez le bien immobilier qui correspond idéalement à vos désirs sur ImmoScout24 - La plateforme de l'immobilier en Suisse.</t>
  </si>
  <si>
    <t>🏘  Vous souhaitez acheter une maison aux Haudères? ✅ Jetez un œil aux dernières offres sur ImmoScout24.ch.</t>
  </si>
  <si>
    <t>https://www.immoscout24.ch/fr/maison/acheter/lieu-bernex</t>
  </si>
  <si>
    <t>Vendre maison Bernex: Trouvez le bien immobilier qui correspond idéalement à vos désirs sur ImmoScout24 - La plateforme de l'immobilier en Suisse.</t>
  </si>
  <si>
    <t>🏘  Vous souhaitez acheter une maison à Bernex? ✅ Jetez un œil aux dernières offres sur ImmoScout24.ch.</t>
  </si>
  <si>
    <t>https://www.immoscout24.ch/fr/maison/acheter/lieu-villarsiviriaux</t>
  </si>
  <si>
    <t>Vendre maison Villarsiviriaux: Trouvez le bien immobilier qui correspond idéalement à vos désirs sur ImmoScout24 - La plateforme de l'immobilier en Suisse.</t>
  </si>
  <si>
    <t>🏘  Vous souhaitez acheter une maison à Villarsiviriaux? ✅ Jetez un œil aux dernières offres sur ImmoScout24.ch.</t>
  </si>
  <si>
    <t>https://www.immoscout24.ch/fr/maison/louer/lieu-choulex</t>
  </si>
  <si>
    <t>Louer maison Choulex: Trouvez le bien immobilier qui correspond idéalement à vos désirs sur ImmoScout24 - La plateforme de l'immobilier en Suisse.</t>
  </si>
  <si>
    <t>🏘  Vous cherchez une maison à louer à Choulex? ✅ Découvrez nos nombreuses annonces sur ImmoScout24.ch.</t>
  </si>
  <si>
    <t>https://www.immoscout24.ch/fr/maison/acheter/lieu-saviese</t>
  </si>
  <si>
    <t>Vendre maison Savièse: Trouvez le bien immobilier qui correspond idéalement à vos désirs sur ImmoScout24 - La plateforme de l'immobilier en Suisse.</t>
  </si>
  <si>
    <t>🏘  Vous souhaitez acheter une maison à Savièse? ✅ Jetez un œil aux dernières offres sur ImmoScout24.ch.</t>
  </si>
  <si>
    <t>https://www.immoscout24.ch/fr/maison/acheter/lieu-montpreveyres</t>
  </si>
  <si>
    <t>Vendre maison Montpreveyres: Trouvez le bien immobilier qui correspond idéalement à vos désirs sur ImmoScout24 - La plateforme de l'immobilier en Suisse.</t>
  </si>
  <si>
    <t>🏘  Vous souhaitez acheter une maison à Montpreveyres? ✅ Jetez un œil aux dernières offres sur ImmoScout24.ch.</t>
  </si>
  <si>
    <t>https://www.immoscout24.ch/fr/appartement/acheter/lieu-yens</t>
  </si>
  <si>
    <t>Vendre appartement Yens: Trouvez le bien immobilier qui correspond idéalement à vos désirs sur ImmoScout24 - La plateforme de l'immobilier en Suisse.</t>
  </si>
  <si>
    <t>🏘  L’appartement de vos rêves se trouve sur ImmoScout24.ch ✅ Découvrez les dernières annonces de vente à Yens.</t>
  </si>
  <si>
    <t>https://www.immoscout24.ch/fr/appartement/louer/lieu-morlon</t>
  </si>
  <si>
    <t>Louer appartement Morlon: Trouvez le bien immobilier qui correspond idéalement à vos désirs sur ImmoScout24 - La plateforme de l'immobilier en Suisse.</t>
  </si>
  <si>
    <t>🏘  Vous cherchez un appartement à louer à Morlon? ✅ Les annonces les plus actuelles sont sur ImmoScout24.ch.</t>
  </si>
  <si>
    <t>https://www.immoscout24.ch/fr/maison/acheter/lieu-morcles</t>
  </si>
  <si>
    <t>Vendre maison Morcles: Trouvez le bien immobilier qui correspond idéalement à vos désirs sur ImmoScout24 - La plateforme de l'immobilier en Suisse.</t>
  </si>
  <si>
    <t>🏘  Vous souhaitez acheter une maison à Morcles? ✅ Jetez un œil aux dernières offres sur ImmoScout24.ch.</t>
  </si>
  <si>
    <t>https://www.immoscout24.ch/fr/appartement/louer/lieu-bretigny-sur-morrens</t>
  </si>
  <si>
    <t>Louer appartement Bretigny-sur-Morrens: Trouvez le bien immobilier qui correspond idéalement à vos désirs sur ImmoScout24 - La plateforme de l'immobilier en Suisse.</t>
  </si>
  <si>
    <t>🏘  Vous cherchez un appartement à louer à Bretigny-sur-Morrens? ✅ Les annonces les plus actuelles sont sur ImmoScout24.ch.</t>
  </si>
  <si>
    <t>https://www.immoscout24.ch/fr/appartement/acheter/lieu-evilard</t>
  </si>
  <si>
    <t>Vendre appartement Evilard: Trouvez le bien immobilier qui correspond idéalement à vos désirs sur ImmoScout24 - La plateforme de l'immobilier en Suisse.</t>
  </si>
  <si>
    <t>🏘  L’appartement de vos rêves se trouve sur ImmoScout24.ch ✅ Découvrez les dernières annonces de vente à Evilard.</t>
  </si>
  <si>
    <t>https://www.immoscout24.ch/fr/maison/acheter/lieu-aproz-nendaz</t>
  </si>
  <si>
    <t>Vendre maison Aproz (Nendaz): Trouvez le bien immobilier qui correspond idéalement à vos désirs sur ImmoScout24 - La plateforme de l'immobilier en Suisse.</t>
  </si>
  <si>
    <t>🏘  Vous souhaitez acheter une maison à Aproz (Nendaz)? ✅ Jetez un œil aux dernières offres sur ImmoScout24.ch.</t>
  </si>
  <si>
    <t>https://www.immoscout24.ch/fr/appartement/louer/lieu-luescherz</t>
  </si>
  <si>
    <t>Louer appartement Lüscherz: Trouvez le bien immobilier qui correspond idéalement à vos désirs sur ImmoScout24 - La plateforme de l'immobilier en Suisse.</t>
  </si>
  <si>
    <t>🏘  Vous cherchez un appartement à louer à Lüscherz? ✅ Les annonces les plus actuelles sont sur ImmoScout24.ch.</t>
  </si>
  <si>
    <t>https://www.immoscout24.ch/fr/appartement/louer/lieu-grandcour</t>
  </si>
  <si>
    <t>Louer appartement Grandcour: Trouvez le bien immobilier qui correspond idéalement à vos désirs sur ImmoScout24 - La plateforme de l'immobilier en Suisse.</t>
  </si>
  <si>
    <t>🏘  Vous cherchez un appartement à louer à Grandcour? ✅ Les annonces les plus actuelles sont sur ImmoScout24.ch.</t>
  </si>
  <si>
    <t>https://www.immoscout24.ch/fr/appartement/acheter/lieu-lully-fr</t>
  </si>
  <si>
    <t>Vendre appartement Lully FR: Trouvez le bien immobilier qui correspond idéalement à vos désirs sur ImmoScout24 - La plateforme de l'immobilier en Suisse.</t>
  </si>
  <si>
    <t>🏘  L’appartement de vos rêves se trouve sur ImmoScout24.ch ✅ Découvrez les dernières annonces de vente à Lully FR.</t>
  </si>
  <si>
    <t>https://www.immoscout24.ch/fr/appartement/louer/lieu-brot-dessous</t>
  </si>
  <si>
    <t>Louer appartement Brot-Dessous: Trouvez le bien immobilier qui correspond idéalement à vos désirs sur ImmoScout24 - La plateforme de l'immobilier en Suisse.</t>
  </si>
  <si>
    <t>🏘  Vous cherchez un appartement à louer à Brot-Dessous? ✅ Les annonces les plus actuelles sont sur ImmoScout24.ch.</t>
  </si>
  <si>
    <t>https://www.immoscout24.ch/fr/appartement/louer/lieu-sedeilles</t>
  </si>
  <si>
    <t>Louer appartement Sédeilles: Trouvez le bien immobilier qui correspond idéalement à vos désirs sur ImmoScout24 - La plateforme de l'immobilier en Suisse.</t>
  </si>
  <si>
    <t>🏘  Vous cherchez un appartement à louer à Sédeilles? ✅ Les annonces les plus actuelles sont sur ImmoScout24.ch.</t>
  </si>
  <si>
    <t>https://www.immoscout24.ch/fr/appartement/louer/lieu-les-reussilles</t>
  </si>
  <si>
    <t>Louer appartement Les Reussilles: Trouvez le bien immobilier qui correspond idéalement à vos désirs sur ImmoScout24 - La plateforme de l'immobilier en Suisse.</t>
  </si>
  <si>
    <t>🏘  Vous cherchez un appartement à louer aux Reussilles? ✅ Les annonces les plus actuelles sont sur ImmoScout24.ch.</t>
  </si>
  <si>
    <t>https://www.immoscout24.ch/fr/maison/acheter/lieu-romainmotier</t>
  </si>
  <si>
    <t>Vendre maison Romainmôtier: Trouvez le bien immobilier qui correspond idéalement à vos désirs sur ImmoScout24 - La plateforme de l'immobilier en Suisse.</t>
  </si>
  <si>
    <t>🏘  Vous souhaitez acheter une maison à Romainmôtier? ✅ Jetez un œil aux dernières offres sur ImmoScout24.ch.</t>
  </si>
  <si>
    <t>https://www.immoscout24.ch/fr/appartement/acheter/lieu-soyhieres</t>
  </si>
  <si>
    <t>Vendre appartement Soyhières: Trouvez le bien immobilier qui correspond idéalement à vos désirs sur ImmoScout24 - La plateforme de l'immobilier en Suisse.</t>
  </si>
  <si>
    <t>🏘  L’appartement de vos rêves se trouve sur ImmoScout24.ch ✅ Découvrez les dernières annonces de vente à Soyhières.</t>
  </si>
  <si>
    <t>https://www.immoscout24.ch/fr/appartement/louer/lieu-lucens</t>
  </si>
  <si>
    <t>Louer appartement Lucens: Trouvez le bien immobilier qui correspond idéalement à vos désirs sur ImmoScout24 - La plateforme de l'immobilier en Suisse.</t>
  </si>
  <si>
    <t>🏘  Vous cherchez un appartement à louer à Lucens? ✅ Les annonces les plus actuelles sont sur ImmoScout24.ch.</t>
  </si>
  <si>
    <t>https://www.immoscout24.ch/fr/appartement/louer/lieu-feuerthalen</t>
  </si>
  <si>
    <t>Louer appartement Feuerthalen: Trouvez le bien immobilier qui correspond idéalement à vos désirs sur ImmoScout24 - La plateforme de l'immobilier en Suisse.</t>
  </si>
  <si>
    <t>🏘  Vous cherchez un appartement à louer à Feuerthalen? ✅ Les annonces les plus actuelles sont sur ImmoScout24.ch.</t>
  </si>
  <si>
    <t>https://www.immoscout24.ch/fr/appartement/acheter/lieu-bivio</t>
  </si>
  <si>
    <t>Vendre appartement Bivio: Trouvez le bien immobilier qui correspond idéalement à vos désirs sur ImmoScout24 - La plateforme de l'immobilier en Suisse.</t>
  </si>
  <si>
    <t>🏘  L’appartement de vos rêves se trouve sur ImmoScout24.ch ✅ Découvrez les dernières annonces de vente à Bivio.</t>
  </si>
  <si>
    <t>https://www.immoscout24.ch/fr/maison/acheter/lieu-sala-capriasca</t>
  </si>
  <si>
    <t>Vendre maison Sala Capriasca: Trouvez le bien immobilier qui correspond idéalement à vos désirs sur ImmoScout24 - La plateforme de l'immobilier en Suisse.</t>
  </si>
  <si>
    <t>🏘  Vous souhaitez acheter une maison à Sala Capriasca? ✅ Jetez un œil aux dernières offres sur ImmoScout24.ch.</t>
  </si>
  <si>
    <t>https://www.immoscout24.ch/fr/appartement/louer/quartier-cretets-la-chaux-de-fonds</t>
  </si>
  <si>
    <t>Louer appartement Crêtets (La Chaux-de-Fonds): Trouvez le bien immobilier qui correspond idéalement à vos désirs sur ImmoScout24 - La plateforme de l'immobilier en Suisse.</t>
  </si>
  <si>
    <t>🏘  Vous cherchez un appartement à louer dans le quartier des Crêtets (La Chaux-de-Fonds)? ✅ Les annonces les plus actuelles sont sur ImmoScout24.ch.</t>
  </si>
  <si>
    <t>https://www.immoscout24.ch/fr/appartement/louer/lieu-anzere</t>
  </si>
  <si>
    <t>Louer appartement Anzère: Trouvez le bien immobilier qui correspond idéalement à vos désirs sur ImmoScout24 - La plateforme de l'immobilier en Suisse.</t>
  </si>
  <si>
    <t>🏘  Vous cherchez un appartement à louer à Anzère? ✅ Les annonces les plus actuelles sont sur ImmoScout24.ch.</t>
  </si>
  <si>
    <t>https://www.immoscout24.ch/fr/appartement/louer/lieu-eschenbach-sg</t>
  </si>
  <si>
    <t>Louer appartement Eschenbach SG: Trouvez le bien immobilier qui correspond idéalement à vos désirs sur ImmoScout24 - La plateforme de l'immobilier en Suisse.</t>
  </si>
  <si>
    <t>🏘  Vous cherchez un appartement à louer à Eschenbach SG? ✅ Les annonces les plus actuelles sont sur ImmoScout24.ch.</t>
  </si>
  <si>
    <t>https://www.immoscout24.ch/fr/appartement/louer/lieu-muehlau</t>
  </si>
  <si>
    <t>Louer appartement Mühlau: Trouvez le bien immobilier qui correspond idéalement à vos désirs sur ImmoScout24 - La plateforme de l'immobilier en Suisse.</t>
  </si>
  <si>
    <t>🏘  Vous cherchez un appartement à louer à Mühlau? ✅ Les annonces les plus actuelles sont sur ImmoScout24.ch.</t>
  </si>
  <si>
    <t>https://www.immoscout24.ch/fr/appartement/louer/lieu-schwyz</t>
  </si>
  <si>
    <t>Louer appartement Schwyz: Trouvez le bien immobilier qui correspond idéalement à vos désirs sur ImmoScout24 - La plateforme de l'immobilier en Suisse.</t>
  </si>
  <si>
    <t>🏘  Vous cherchez un appartement à louer à Schwyz? ✅ Les annonces les plus actuelles sont sur ImmoScout24.ch.</t>
  </si>
  <si>
    <t>https://www.immoscout24.ch/fr/appartement/louer/quartier-schosshalde-berne</t>
  </si>
  <si>
    <t>Louer appartement Schosshalde (Berne): Trouvez le bien immobilier qui correspond idéalement à vos désirs sur ImmoScout24 - La plateforme de l'immobilier en Suisse.</t>
  </si>
  <si>
    <t>🏘  Vous cherchez un appartement à louer dans le quartier de Schosshalde (Berne)? ✅ Les annonces les plus actuelles sont sur ImmoScout24.ch.</t>
  </si>
  <si>
    <t>https://www.immoscout24.ch/fr/maison/louer/lieu-rolle</t>
  </si>
  <si>
    <t>Louer maison Rolle: Trouvez le bien immobilier qui correspond idéalement à vos désirs sur ImmoScout24 - La plateforme de l'immobilier en Suisse.</t>
  </si>
  <si>
    <t>🏘  Vous cherchez une maison à louer à Rolle? ✅ Découvrez nos nombreuses annonces sur ImmoScout24.ch.</t>
  </si>
  <si>
    <t>https://www.immoscout24.ch/fr/appartement/acheter/lieu-arnex-sur-orbe</t>
  </si>
  <si>
    <t>Vendre appartement Arnex-sur-Orbe: Trouvez le bien immobilier qui correspond idéalement à vos désirs sur ImmoScout24 - La plateforme de l'immobilier en Suisse.</t>
  </si>
  <si>
    <t>🏘  L’appartement de vos rêves se trouve sur ImmoScout24.ch ✅ Découvrez les dernières annonces de vente à Arnex-sur-Orbe.</t>
  </si>
  <si>
    <t>https://www.immoscout24.ch/fr/maison/acheter/lieu-salorino</t>
  </si>
  <si>
    <t>Vendre maison Salorino: Trouvez le bien immobilier qui correspond idéalement à vos désirs sur ImmoScout24 - La plateforme de l'immobilier en Suisse.</t>
  </si>
  <si>
    <t>🏘  Vous souhaitez acheter une maison à Salorino? ✅ Jetez un œil aux dernières offres sur ImmoScout24.ch.</t>
  </si>
  <si>
    <t>https://www.immoscout24.ch/fr/maison/acheter/lieu-rheineck</t>
  </si>
  <si>
    <t>Vendre maison Rheineck: Trouvez le bien immobilier qui correspond idéalement à vos désirs sur ImmoScout24 - La plateforme de l'immobilier en Suisse.</t>
  </si>
  <si>
    <t>🏘  Vous souhaitez acheter une maison à Rheineck? ✅ Jetez un œil aux dernières offres sur ImmoScout24.ch.</t>
  </si>
  <si>
    <t>https://www.immoscout24.ch/fr/maison/acheter/lieu-visp</t>
  </si>
  <si>
    <t>Vendre maison Visp: Trouvez le bien immobilier qui correspond idéalement à vos désirs sur ImmoScout24 - La plateforme de l'immobilier en Suisse.</t>
  </si>
  <si>
    <t>🏘  Vous souhaitez acheter une maison à Visp? ✅ Jetez un œil aux dernières offres sur ImmoScout24.ch.</t>
  </si>
  <si>
    <t>https://www.immoscout24.ch/fr/appartement/acheter/lieu-marchissy</t>
  </si>
  <si>
    <t>Vendre appartement Marchissy: Trouvez le bien immobilier qui correspond idéalement à vos désirs sur ImmoScout24 - La plateforme de l'immobilier en Suisse.</t>
  </si>
  <si>
    <t>🏘  L’appartement de vos rêves se trouve sur ImmoScout24.ch ✅ Découvrez les dernières annonces de vente à Marchissy.</t>
  </si>
  <si>
    <t>https://www.immoscout24.ch/fr/appartement/louer/lieu-chavannes-pres-renens</t>
  </si>
  <si>
    <t>Louer appartement Chavannes-près-Renens: Trouvez le bien immobilier qui correspond idéalement à vos désirs sur ImmoScout24 - La plateforme de l'immobilier en Suisse.</t>
  </si>
  <si>
    <t>🏘  Vous cherchez un appartement à louer à Chavannes-près-Renens? ✅ Les annonces les plus actuelles sont sur ImmoScout24.ch.</t>
  </si>
  <si>
    <t>https://www.immoscout24.ch/fr/appartement/louer/lieu-croy</t>
  </si>
  <si>
    <t>Louer appartement Croy: Trouvez le bien immobilier qui correspond idéalement à vos désirs sur ImmoScout24 - La plateforme de l'immobilier en Suisse.</t>
  </si>
  <si>
    <t>🏘  Vous cherchez un appartement à louer à Croy? ✅ Les annonces les plus actuelles sont sur ImmoScout24.ch.</t>
  </si>
  <si>
    <t>https://www.immoscout24.ch/fr/appartement/acheter/lieu-lungern</t>
  </si>
  <si>
    <t>Vendre appartement Lungern: Trouvez le bien immobilier qui correspond idéalement à vos désirs sur ImmoScout24 - La plateforme de l'immobilier en Suisse.</t>
  </si>
  <si>
    <t>🏘  L’appartement de vos rêves se trouve sur ImmoScout24.ch ✅ Découvrez les dernières annonces de vente à Lungern.</t>
  </si>
  <si>
    <t>https://www.immoscout24.ch/fr/appartement/louer/lieu-chavannes-des-bois</t>
  </si>
  <si>
    <t>Louer appartement Chavannes-des-Bois: Trouvez le bien immobilier qui correspond idéalement à vos désirs sur ImmoScout24 - La plateforme de l'immobilier en Suisse.</t>
  </si>
  <si>
    <t>🏘  Vous cherchez un appartement à louer à Chavannes-des-Bois? ✅ Les annonces les plus actuelles sont sur ImmoScout24.ch.</t>
  </si>
  <si>
    <t>https://www.immoscout24.ch/fr/appartement/acheter/lieu-luins</t>
  </si>
  <si>
    <t>Vendre appartement Luins: Trouvez le bien immobilier qui correspond idéalement à vos désirs sur ImmoScout24 - La plateforme de l'immobilier en Suisse.</t>
  </si>
  <si>
    <t>🏘  L’appartement de vos rêves se trouve sur ImmoScout24.ch ✅ Découvrez les dernières annonces de vente à Luins.</t>
  </si>
  <si>
    <t>https://www.immoscout24.ch/fr/appartement/louer/lieu-recherswil</t>
  </si>
  <si>
    <t>Louer appartement Recherswil: Trouvez le bien immobilier qui correspond idéalement à vos désirs sur ImmoScout24 - La plateforme de l'immobilier en Suisse.</t>
  </si>
  <si>
    <t>🏘  Vous cherchez un appartement à louer à Recherswil? ✅ Les annonces les plus actuelles sont sur ImmoScout24.ch.</t>
  </si>
  <si>
    <t>https://www.immoscout24.ch/fr/appartement/louer/lieu-st-martin-fr</t>
  </si>
  <si>
    <t>Louer appartement St-Martin FR: Trouvez le bien immobilier qui correspond idéalement à vos désirs sur ImmoScout24 - La plateforme de l'immobilier en Suisse.</t>
  </si>
  <si>
    <t>🏘  Vous cherchez un appartement à louer à St-Martin FR? ✅ Les annonces les plus actuelles sont sur ImmoScout24.ch.</t>
  </si>
  <si>
    <t>https://www.immoscout24.ch/fr/appartement/louer/lieu-volleges</t>
  </si>
  <si>
    <t>Louer appartement Vollèges: Trouvez le bien immobilier qui correspond idéalement à vos désirs sur ImmoScout24 - La plateforme de l'immobilier en Suisse.</t>
  </si>
  <si>
    <t>🏘  Vous cherchez un appartement à louer à Vollèges? ✅ Les annonces les plus actuelles sont sur ImmoScout24.ch.</t>
  </si>
  <si>
    <t>https://www.immoscout24.ch/fr/appartement/louer/quartier-delices-grottes-geneve</t>
  </si>
  <si>
    <t>Louer appartement Délices - Grottes (Genève): Trouvez le bien immobilier qui correspond idéalement à vos désirs sur ImmoScout24 - La plateforme de l'immobilier en Suisse.</t>
  </si>
  <si>
    <t>🏘  Vous cherchez un appartement à louer dans le quartier des Délices - Grottes (Genève)? ✅ Les annonces les plus actuelles sont sur ImmoScout24.ch.</t>
  </si>
  <si>
    <t>https://www.immoscout24.ch/fr/appartement/louer/lieu-mossel</t>
  </si>
  <si>
    <t>Louer appartement Mossel: Trouvez le bien immobilier qui correspond idéalement à vos désirs sur ImmoScout24 - La plateforme de l'immobilier en Suisse.</t>
  </si>
  <si>
    <t>🏘  Vous cherchez un appartement à louer à Mossel? ✅ Les annonces les plus actuelles sont sur ImmoScout24.ch.</t>
  </si>
  <si>
    <t>https://www.immoscout24.ch/fr/appartement/louer/lieu-montsevelier</t>
  </si>
  <si>
    <t>Louer appartement Montsevelier: Trouvez le bien immobilier qui correspond idéalement à vos désirs sur ImmoScout24 - La plateforme de l'immobilier en Suisse.</t>
  </si>
  <si>
    <t>🏘  Vous cherchez un appartement à louer à Montsevelier? ✅ Les annonces les plus actuelles sont sur ImmoScout24.ch.</t>
  </si>
  <si>
    <t>https://www.immoscout24.ch/fr/appartement/louer/lieu-novaggio</t>
  </si>
  <si>
    <t>Louer appartement Novaggio: Trouvez le bien immobilier qui correspond idéalement à vos désirs sur ImmoScout24 - La plateforme de l'immobilier en Suisse.</t>
  </si>
  <si>
    <t>🏘  Vous cherchez un appartement à louer à Novaggio? ✅ Les annonces les plus actuelles sont sur ImmoScout24.ch.</t>
  </si>
  <si>
    <t>https://www.immoscout24.ch/fr/appartement/louer/lieu-agra</t>
  </si>
  <si>
    <t>Louer appartement Agra: Trouvez le bien immobilier qui correspond idéalement à vos désirs sur ImmoScout24 - La plateforme de l'immobilier en Suisse.</t>
  </si>
  <si>
    <t>🏘  Vous cherchez un appartement à louer à Agra? ✅ Les annonces les plus actuelles sont sur ImmoScout24.ch.</t>
  </si>
  <si>
    <t>https://www.immoscout24.ch/fr/appartement/acheter/lieu-morgins</t>
  </si>
  <si>
    <t>Vendre appartement Morgins: Trouvez le bien immobilier qui correspond idéalement à vos désirs sur ImmoScout24 - La plateforme de l'immobilier en Suisse.</t>
  </si>
  <si>
    <t>🏘  L’appartement de vos rêves se trouve sur ImmoScout24.ch ✅ Découvrez les dernières annonces de vente à Morgins.</t>
  </si>
  <si>
    <t>https://www.immoscout24.ch/fr/appartement/louer/region-march-hofe</t>
  </si>
  <si>
    <t>Louer appartement March - Höfe: Trouvez le bien immobilier qui correspond idéalement à vos désirs sur ImmoScout24 - La plateforme de l'immobilier en Suisse.</t>
  </si>
  <si>
    <t>🏘  Vous cherchez un appartement à louer dans les districts de March - Höfe? ✅ Les annonces les plus actuelles sont sur ImmoScout24.ch.</t>
  </si>
  <si>
    <t>https://www.immoscout24.ch/fr/appartement/acheter/quartier-albisrieden-zurich</t>
  </si>
  <si>
    <t>Vendre appartement Albisrieden (Zurich):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</si>
  <si>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d'Albisrieden (Zurich).</t>
  </si>
  <si>
    <t>https://www.immoscout24.ch/fr/appartement/louer/lieu-lausanne-25</t>
  </si>
  <si>
    <t>Louer appartement Lausanne 25: Trouvez le bien immobilier qui correspond idéalement à vos désirs sur ImmoScout24 - La plateforme de l'immobilier en Suisse.</t>
  </si>
  <si>
    <t>🏘  Vous cherchez un appartement à louer à Lausanne 25? ✅ Les annonces les plus actuelles sont sur ImmoScout24.ch.</t>
  </si>
  <si>
    <t>https://www.immoscout24.ch/fr/maison/louer/lieu-st-maurice</t>
  </si>
  <si>
    <t>Louer maison St-Maurice: Trouvez le bien immobilier qui correspond idéalement à vos désirs sur ImmoScout24 - La plateforme de l'immobilier en Suisse.</t>
  </si>
  <si>
    <t>🏘  Vous cherchez une maison à louer à St-Maurice? ✅ Découvrez nos nombreuses annonces sur ImmoScout24.ch.</t>
  </si>
  <si>
    <t>https://www.immoscout24.ch/fr/maison/louer/lieu-plasselb</t>
  </si>
  <si>
    <t>Louer maison Plasselb: Trouvez le bien immobilier qui correspond idéalement à vos désirs sur ImmoScout24 - La plateforme de l'immobilier en Suisse.</t>
  </si>
  <si>
    <t>🏘  Vous cherchez une maison à louer à Plasselb? ✅ Découvrez nos nombreuses annonces sur ImmoScout24.ch.</t>
  </si>
  <si>
    <t>https://www.immoscout24.ch/fr/appartement/acheter/lieu-muenchenbuchsee</t>
  </si>
  <si>
    <t>Vendre appartement Münchenbuchsee: Trouvez le bien immobilier qui correspond idéalement à vos désirs sur ImmoScout24 - La plateforme de l'immobilier en Suisse.</t>
  </si>
  <si>
    <t>🏘  L’appartement de vos rêves se trouve sur ImmoScout24.ch ✅ Découvrez les dernières annonces de vente à Münchenbuchsee.</t>
  </si>
  <si>
    <t>https://www.immoscout24.ch/fr/appartement/acheter/lieu-leukerbad</t>
  </si>
  <si>
    <t>Vendre appartement Leukerbad: Trouvez le bien immobilier qui correspond idéalement à vos désirs sur ImmoScout24 - La plateforme de l'immobilier en Suisse.</t>
  </si>
  <si>
    <t>🏘  L’appartement de vos rêves se trouve sur ImmoScout24.ch ✅ Découvrez les dernières annonces de vente auukerbad.</t>
  </si>
  <si>
    <t>https://www.immoscout24.ch/fr/maison/louer/lieu-eschlikon-tg</t>
  </si>
  <si>
    <t>Louer maison Eschlikon TG: Trouvez le bien immobilier qui correspond idéalement à vos désirs sur ImmoScout24 - La plateforme de l'immobilier en Suisse.</t>
  </si>
  <si>
    <t>🏘  Vous cherchez une maison à louer à Eschlikon TG? ✅ Découvrez nos nombreuses annonces sur ImmoScout24.ch.</t>
  </si>
  <si>
    <t>https://www.immoscout24.ch/fr/maison/acheter/lieu-taeuffelen</t>
  </si>
  <si>
    <t>Vendre maison Täuffelen: Trouvez le bien immobilier qui correspond idéalement à vos désirs sur ImmoScout24 - La plateforme de l'immobilier en Suisse.</t>
  </si>
  <si>
    <t>🏘  Vous souhaitez acheter une maison à Täuffelen? ✅ Jetez un œil aux dernières offres sur ImmoScout24.ch.</t>
  </si>
  <si>
    <t>https://www.immoscout24.ch/fr/maison/acheter/lieu-mettembert</t>
  </si>
  <si>
    <t>Vendre maison Mettembert: Trouvez le bien immobilier qui correspond idéalement à vos désirs sur ImmoScout24 - La plateforme de l'immobilier en Suisse.</t>
  </si>
  <si>
    <t>🏘  Vous souhaitez acheter une maison à Mettembert? ✅ Jetez un œil aux dernières offres sur ImmoScout24.ch.</t>
  </si>
  <si>
    <t>https://www.immoscout24.ch/fr/appartement/louer/lieu-steinmaur</t>
  </si>
  <si>
    <t>Louer appartement Steinmaur: Trouvez le bien immobilier qui correspond idéalement à vos désirs sur ImmoScout24 - La plateforme de l'immobilier en Suisse.</t>
  </si>
  <si>
    <t>🏘  Vous cherchez un appartement à louer à Steinmaur? ✅ Les annonces les plus actuelles sont sur ImmoScout24.ch.</t>
  </si>
  <si>
    <t>https://www.immoscout24.ch/fr/appartement/acheter/lieu-magadino</t>
  </si>
  <si>
    <t>Vendre appartement Magadino: Trouvez le bien immobilier qui correspond idéalement à vos désirs sur ImmoScout24 - La plateforme de l'immobilier en Suisse.</t>
  </si>
  <si>
    <t>🏘  L’appartement de vos rêves se trouve sur ImmoScout24.ch ✅ Découvrez les dernières annonces de vente à Magadino.</t>
  </si>
  <si>
    <t>https://www.immoscout24.ch/fr/appartement/louer/lieu-farvagny-le-petit</t>
  </si>
  <si>
    <t>Louer appartement Farvagny-le-Petit: Trouvez le bien immobilier qui correspond idéalement à vos désirs sur ImmoScout24 - La plateforme de l'immobilier en Suisse.</t>
  </si>
  <si>
    <t>🏘  Vous cherchez un appartement à louer à Farvagny-le-Petit? ✅ Les annonces les plus actuelles sont sur ImmoScout24.ch.</t>
  </si>
  <si>
    <t>https://www.immoscout24.ch/fr/appartement/louer/lieu-ulrichen</t>
  </si>
  <si>
    <t>Louer appartement Ulrichen: Trouvez le bien immobilier qui correspond idéalement à vos désirs sur ImmoScout24 - La plateforme de l'immobilier en Suisse.</t>
  </si>
  <si>
    <t>🏘  Vous cherchez un appartement à louer à Ulrichen? ✅ Les annonces les plus actuelles sont sur ImmoScout24.ch.</t>
  </si>
  <si>
    <t>https://www.immoscout24.ch/fr/maison/acheter/lieu-worblaufen</t>
  </si>
  <si>
    <t>Vendre maison Worblaufen: Trouvez le bien immobilier qui correspond idéalement à vos désirs sur ImmoScout24 - La plateforme de l'immobilier en Suisse.</t>
  </si>
  <si>
    <t>🏘  Vous souhaitez acheter une maison à Worblaufen? ✅ Jetez un œil aux dernières offres sur ImmoScout24.ch.</t>
  </si>
  <si>
    <t>https://www.immoscout24.ch/fr/appartement/louer/lieu-avry-sur-matran</t>
  </si>
  <si>
    <t>Louer appartement Avry-sur-Matran: Trouvez le bien immobilier qui correspond idéalement à vos désirs sur ImmoScout24 - La plateforme de l'immobilier en Suisse.</t>
  </si>
  <si>
    <t>🏘  Vous cherchez un appartement à louer à Avry-sur-Matran? ✅ Les annonces les plus actuelles sont sur ImmoScout24.ch.</t>
  </si>
  <si>
    <t>https://www.immoscout24.ch/fr/appartement/louer/lieu-berikon</t>
  </si>
  <si>
    <t>Louer appartement Berikon: Trouvez le bien immobilier qui correspond idéalement à vos désirs sur ImmoScout24 - La plateforme de l'immobilier en Suisse.</t>
  </si>
  <si>
    <t>🏘  Vous cherchez un appartement à louer à Berikon? ✅ Les annonces les plus actuelles sont sur ImmoScout24.ch.</t>
  </si>
  <si>
    <t>https://www.immoscout24.ch/fr/maison/acheter/quartier-seebach-zurich</t>
  </si>
  <si>
    <t>Vendre maison Seebach (Zurich): Trouvez le bien immobilier qui correspond idéalement à vos désirs sur ImmoScout24 - La plateforme de l'immobilier en Suisse.</t>
  </si>
  <si>
    <t>🏘  Vous souhaitez acheter une maison dans le quartier de Seebach (Zurich)? ✅ Jetez un œil aux dernières offres sur ImmoScout24.ch.</t>
  </si>
  <si>
    <t>https://www.immoscout24.ch/fr/appartement/acheter/canton-neuchatel</t>
  </si>
  <si>
    <t>Vendre appartement Canton de Neuchâtel: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</si>
  <si>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de Neuchâtel.</t>
  </si>
  <si>
    <t>https://www.immoscout24.ch/fr/appartement/louer/lieu-st-urban</t>
  </si>
  <si>
    <t>Louer appartement St. Urban: Trouvez le bien immobilier qui correspond idéalement à vos désirs sur ImmoScout24 - La plateforme de l'immobilier en Suisse.</t>
  </si>
  <si>
    <t>🏘  Vous cherchez un appartement à louer à St. Urban? ✅ Les annonces les plus actuelles sont sur ImmoScout24.ch.</t>
  </si>
  <si>
    <t>https://www.immoscout24.ch/fr/appartement/acheter/lieu-schoetz</t>
  </si>
  <si>
    <t>Vendre appartement Schötz: Trouvez le bien immobilier qui correspond idéalement à vos désirs sur ImmoScout24 - La plateforme de l'immobilier en Suisse.</t>
  </si>
  <si>
    <t>🏘  L’appartement de vos rêves se trouve sur ImmoScout24.ch ✅ Découvrez les dernières annonces de vente à Schötz.</t>
  </si>
  <si>
    <t>https://www.immoscout24.ch/fr/appartement/acheter/lieu-montreux</t>
  </si>
  <si>
    <t>Vendre appartement Montreux: Trouvez le bien immobilier qui correspond idéalement à vos désirs sur ImmoScout24 - La plateforme de l'immobilier en Suisse.</t>
  </si>
  <si>
    <t>🏘  L’appartement de vos rêves se trouve sur ImmoScout24.ch ✅ Découvrez les dernières annonces de vente à Montreux.</t>
  </si>
  <si>
    <t>https://www.immoscout24.ch/fr/appartement/louer/lieu-ecoteaux</t>
  </si>
  <si>
    <t>Louer appartement Ecoteaux: Trouvez le bien immobilier qui correspond idéalement à vos désirs sur ImmoScout24 - La plateforme de l'immobilier en Suisse.</t>
  </si>
  <si>
    <t>🏘  Vous cherchez un appartement à louer à Ecoteaux? ✅ Les annonces les plus actuelles sont sur ImmoScout24.ch.</t>
  </si>
  <si>
    <t>https://www.immoscout24.ch/fr/appartement/louer/lieu-demoret</t>
  </si>
  <si>
    <t>Louer appartement Démoret: Trouvez le bien immobilier qui correspond idéalement à vos désirs sur ImmoScout24 - La plateforme de l'immobilier en Suisse.</t>
  </si>
  <si>
    <t>🏘  Vous cherchez un appartement à louer à Démoret? ✅ Les annonces les plus actuelles sont sur ImmoScout24.ch.</t>
  </si>
  <si>
    <t>https://www.immoscout24.ch/fr/maison/acheter/lieu-mission</t>
  </si>
  <si>
    <t>Vendre maison Mission: Trouvez le bien immobilier qui correspond idéalement à vos désirs sur ImmoScout24 - La plateforme de l'immobilier en Suisse.</t>
  </si>
  <si>
    <t>🏘  Vous souhaitez acheter une maison à Mission? ✅ Jetez un œil aux dernières offres sur ImmoScout24.ch.</t>
  </si>
  <si>
    <t>https://www.immoscout24.ch/fr/maison/louer/lieu-vevey</t>
  </si>
  <si>
    <t>Louer maison Vevey: Trouvez le bien immobilier qui correspond idéalement à vos désirs sur ImmoScout24 - La plateforme de l'immobilier en Suisse.</t>
  </si>
  <si>
    <t>🏘  Vous cherchez une maison à louer à Vevey? ✅ Découvrez nos nombreuses annonces sur ImmoScout24.ch.</t>
  </si>
  <si>
    <t>https://www.immoscout24.ch/fr/maison/acheter/lieu-castel-san-pietro</t>
  </si>
  <si>
    <t>Vendre maison Castel San Pietro: Trouvez le bien immobilier qui correspond idéalement à vos désirs sur ImmoScout24 - La plateforme de l'immobilier en Suisse.</t>
  </si>
  <si>
    <t>🏘  Vous souhaitez acheter une maison à Castel San Pietro? ✅ Jetez un œil aux dernières offres sur ImmoScout24.ch.</t>
  </si>
  <si>
    <t>https://www.immoscout24.ch/fr/maison/acheter/lieu-walperswil</t>
  </si>
  <si>
    <t>Vendre maison Walperswil: Trouvez le bien immobilier qui correspond idéalement à vos désirs sur ImmoScout24 - La plateforme de l'immobilier en Suisse.</t>
  </si>
  <si>
    <t>🏘  Vous souhaitez acheter une maison à Walperswil? ✅ Jetez un œil aux dernières offres sur ImmoScout24.ch.</t>
  </si>
  <si>
    <t>https://www.immoscout24.ch/fr/maison/acheter/lieu-basel</t>
  </si>
  <si>
    <t>Vendre maison Basel: Trouvez le bien immobilier qui correspond idéalement à vos désirs sur ImmoScout24 - La plateforme de l'immobilier en Suisse.</t>
  </si>
  <si>
    <t>🏘  Vous souhaitez acheter une maison à Basel? ✅ Jetez un œil aux dernières offres sur ImmoScout24.ch.</t>
  </si>
  <si>
    <t>https://www.immoscout24.ch/fr/maison/acheter/lieu-habkern</t>
  </si>
  <si>
    <t>Vendre maison Habkern: Trouvez le bien immobilier qui correspond idéalement à vos désirs sur ImmoScout24 - La plateforme de l'immobilier en Suisse.</t>
  </si>
  <si>
    <t>🏘  Vous souhaitez acheter une maison à Habkern? ✅ Jetez un œil aux dernières offres sur ImmoScout24.ch.</t>
  </si>
  <si>
    <t>https://www.immoscout24.ch/fr/maison/acheter/lieu-horw</t>
  </si>
  <si>
    <t>Vendre maison Horw: Trouvez le bien immobilier qui correspond idéalement à vos désirs sur ImmoScout24 - La plateforme de l'immobilier en Suisse.</t>
  </si>
  <si>
    <t>🏘  Vous souhaitez acheter une maison à Horw? ✅ Jetez un œil aux dernières offres sur ImmoScout24.ch.</t>
  </si>
  <si>
    <t>https://www.immoscout24.ch/fr/appartement/acheter/lieu-roeschenz</t>
  </si>
  <si>
    <t>Vendre appartement Röschenz: Trouvez le bien immobilier qui correspond idéalement à vos désirs sur ImmoScout24 - La plateforme de l'immobilier en Suisse.</t>
  </si>
  <si>
    <t>🏘  L’appartement de vos rêves se trouve sur ImmoScout24.ch ✅ Découvrez les dernières annonces de vente à Röschenz.</t>
  </si>
  <si>
    <t>https://www.immoscout24.ch/fr/maison/acheter/lieu-gempenach</t>
  </si>
  <si>
    <t>Vendre maison Gempenach: Trouvez le bien immobilier qui correspond idéalement à vos désirs sur ImmoScout24 - La plateforme de l'immobilier en Suisse.</t>
  </si>
  <si>
    <t>🏘  Vous souhaitez acheter une maison à Gempenach? ✅ Jetez un œil aux dernières offres sur ImmoScout24.ch.</t>
  </si>
  <si>
    <t>https://www.immoscout24.ch/fr/appartement/louer/lieu-toffen</t>
  </si>
  <si>
    <t>Louer appartement Toffen: Trouvez le bien immobilier qui correspond idéalement à vos désirs sur ImmoScout24 - La plateforme de l'immobilier en Suisse.</t>
  </si>
  <si>
    <t>🏘  Vous cherchez un appartement à louer à Toffen? ✅ Les annonces les plus actuelles sont sur ImmoScout24.ch.</t>
  </si>
  <si>
    <t>https://www.immoscout24.ch/fr/maison/acheter/lieu-cornaux-ne</t>
  </si>
  <si>
    <t>Vendre maison Cornaux NE: Trouvez le bien immobilier qui correspond idéalement à vos désirs sur ImmoScout24 - La plateforme de l'immobilier en Suisse.</t>
  </si>
  <si>
    <t>🏘  Vous souhaitez acheter une maison à Cornaux NE? ✅ Jetez un œil aux dernières offres sur ImmoScout24.ch.</t>
  </si>
  <si>
    <t>https://www.immoscout24.ch/fr/maison/louer/lieu-st-imier</t>
  </si>
  <si>
    <t>Louer maison St-Imier: Trouvez le bien immobilier qui correspond idéalement à vos désirs sur ImmoScout24 - La plateforme de l'immobilier en Suisse.</t>
  </si>
  <si>
    <t>🏘  Vous cherchez une maison à louer à St-Imier? ✅ Découvrez nos nombreuses annonces sur ImmoScout24.ch.</t>
  </si>
  <si>
    <t>https://www.immoscout24.ch/fr/maison/acheter/lieu-chezard-st-martin</t>
  </si>
  <si>
    <t>Vendre maison Chézard-St-Martin: Trouvez le bien immobilier qui correspond idéalement à vos désirs sur ImmoScout24 - La plateforme de l'immobilier en Suisse.</t>
  </si>
  <si>
    <t>🏘  Vous souhaitez acheter une maison à Chézard-St-Martin? ✅ Jetez un œil aux dernières offres sur ImmoScout24.ch.</t>
  </si>
  <si>
    <t>https://www.immoscout24.ch/fr/appartement/acheter/lieu-champoussin</t>
  </si>
  <si>
    <t>Vendre appartement Champoussin: Trouvez le bien immobilier qui correspond idéalement à vos désirs sur ImmoScout24 - La plateforme de l'immobilier en Suisse.</t>
  </si>
  <si>
    <t>🏘  L’appartement de vos rêves se trouve sur ImmoScout24.ch ✅ Découvrez les dernières annonces de vente à Champoussin.</t>
  </si>
  <si>
    <t>https://www.immoscout24.ch/fr/maison/acheter/lieu-lully-fr</t>
  </si>
  <si>
    <t>Vendre maison Lully FR: Trouvez le bien immobilier qui correspond idéalement à vos désirs sur ImmoScout24 - La plateforme de l'immobilier en Suisse.</t>
  </si>
  <si>
    <t>🏘  Vous souhaitez acheter une maison à Lully FR? ✅ Jetez un œil aux dernières offres sur ImmoScout24.ch.</t>
  </si>
  <si>
    <t>https://www.immoscout24.ch/fr/appartement/louer/quartier-vinet-pontaise-lausanne</t>
  </si>
  <si>
    <t>Louer appartement Vinet - Pontaise (Lausanne): Trouvez le bien immobilier qui correspond idéalement à vos désirs sur ImmoScout24 - La plateforme de l'immobilier en Suisse.</t>
  </si>
  <si>
    <t>🏘  Vous cherchez un appartement à louer dans le quartier de Vinet - Pontaise (Lausanne)? ✅ Les annonces les plus actuelles sont sur ImmoScout24.ch.</t>
  </si>
  <si>
    <t>https://www.immoscout24.ch/fr/appartement/acheter/lieu-cronay</t>
  </si>
  <si>
    <t>Vendre appartement Cronay: Trouvez le bien immobilier qui correspond idéalement à vos désirs sur ImmoScout24 - La plateforme de l'immobilier en Suisse.</t>
  </si>
  <si>
    <t>🏘  L’appartement de vos rêves se trouve sur ImmoScout24.ch ✅ Découvrez les dernières annonces de vente à Cronay.</t>
  </si>
  <si>
    <t>https://www.immoscout24.ch/fr/appartement/acheter/lieu-malleray</t>
  </si>
  <si>
    <t>Vendre appartement Malleray: Trouvez le bien immobilier qui correspond idéalement à vos désirs sur ImmoScout24 - La plateforme de l'immobilier en Suisse.</t>
  </si>
  <si>
    <t>🏘  L’appartement de vos rêves se trouve sur ImmoScout24.ch ✅ Découvrez les dernières annonces de vente à Malleray.</t>
  </si>
  <si>
    <t>https://www.immoscout24.ch/fr/appartement/acheter/lieu-hallwil</t>
  </si>
  <si>
    <t>Vendre appartement Hallwil: Trouvez le bien immobilier qui correspond idéalement à vos désirs sur ImmoScout24 - La plateforme de l'immobilier en Suisse.</t>
  </si>
  <si>
    <t>🏘  L’appartement de vos rêves se trouve sur ImmoScout24.ch ✅ Découvrez les dernières annonces de vente à Hallwil.</t>
  </si>
  <si>
    <t>https://www.immoscout24.ch/fr/appartement/acheter/quartier-beauregard-fribourg</t>
  </si>
  <si>
    <t>Vendre appartement Beauregard (Fribourg):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</si>
  <si>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Beauregard (Fribourg).</t>
  </si>
  <si>
    <t>https://www.immoscout24.ch/fr/maison/louer/region-thoune-lac-de-thoune-nord</t>
  </si>
  <si>
    <t>Louer maison Thoune - Lac de Thoune nord: Trouvez le bien immobilier qui correspond idéalement à vos désirs sur ImmoScout24 - La plateforme de l'immobilier en Suisse.</t>
  </si>
  <si>
    <t>🏘  Vous cherchez une maison à louer près de Thoune - Lac de Thoune nord? ✅ Découvrez nos nombreuses annonces sur ImmoScout24.ch.</t>
  </si>
  <si>
    <t>https://www.immoscout24.ch/fr/appartement/louer/lieu-gross</t>
  </si>
  <si>
    <t>Louer appartement Gross: Trouvez le bien immobilier qui correspond idéalement à vos désirs sur ImmoScout24 - La plateforme de l'immobilier en Suisse.</t>
  </si>
  <si>
    <t>🏘  Vous cherchez un appartement à louer à Gross? ✅ Les annonces les plus actuelles sont sur ImmoScout24.ch.</t>
  </si>
  <si>
    <t>https://www.immoscout24.ch/fr/maison/acheter/lieu-vaumarcus</t>
  </si>
  <si>
    <t>Vendre maison Vaumarcus: Trouvez le bien immobilier qui correspond idéalement à vos désirs sur ImmoScout24 - La plateforme de l'immobilier en Suisse.</t>
  </si>
  <si>
    <t>🏘  Vous souhaitez acheter une maison à Vaumarcus? ✅ Jetez un œil aux dernières offres sur ImmoScout24.ch.</t>
  </si>
  <si>
    <t>https://www.immoscout24.ch/fr/maison/louer/lieu-noiraigue</t>
  </si>
  <si>
    <t>Louer maison Noiraigue: Trouvez le bien immobilier qui correspond idéalement à vos désirs sur ImmoScout24 - La plateforme de l'immobilier en Suisse.</t>
  </si>
  <si>
    <t>🏘  Vous cherchez une maison à louer à Noiraigue? ✅ Découvrez nos nombreuses annonces sur ImmoScout24.ch.</t>
  </si>
  <si>
    <t>https://www.immoscout24.ch/fr/appartement/louer/lieu-le-vaud</t>
  </si>
  <si>
    <t>Louer appartement Le Vaud: Trouvez le bien immobilier qui correspond idéalement à vos désirs sur ImmoScout24 - La plateforme de l'immobilier en Suisse.</t>
  </si>
  <si>
    <t>🏘  Vous cherchez un appartement à louer au Vaud? ✅ Les annonces les plus actuelles sont sur ImmoScout24.ch.</t>
  </si>
  <si>
    <t>https://www.immoscout24.ch/fr/appartement/louer/region-val-de-ruz</t>
  </si>
  <si>
    <t>Louer appartement Val de Ruz: Trouvez le bien immobilier qui correspond idéalement à vos désirs sur ImmoScout24 - La plateforme de l'immobilier en Suisse.</t>
  </si>
  <si>
    <t>🏘  Vous cherchez un appartement à louer dans le Val-de-Ruz? ✅ Les annonces les plus actuelles sont sur ImmoScout24.ch.</t>
  </si>
  <si>
    <t>https://www.immoscout24.ch/fr/appartement/acheter/lieu-jongny</t>
  </si>
  <si>
    <t>Vendre appartement Jongny: Trouvez le bien immobilier qui correspond idéalement à vos désirs sur ImmoScout24 - La plateforme de l'immobilier en Suisse.</t>
  </si>
  <si>
    <t>🏘  L’appartement de vos rêves se trouve sur ImmoScout24.ch ✅ Découvrez les dernières annonces de vente à Jongny.</t>
  </si>
  <si>
    <t>https://www.immoscout24.ch/fr/appartement/acheter/lieu-camignolo</t>
  </si>
  <si>
    <t>Vendre appartement Camignolo: Trouvez le bien immobilier qui correspond idéalement à vos désirs sur ImmoScout24 - La plateforme de l'immobilier en Suisse.</t>
  </si>
  <si>
    <t>🏘  L’appartement de vos rêves se trouve sur ImmoScout24.ch ✅ Découvrez les dernières annonces de vente à Camignolo.</t>
  </si>
  <si>
    <t>https://www.immoscout24.ch/fr/appartement/louer/lieu-uttwil</t>
  </si>
  <si>
    <t>Louer appartement Uttwil: Trouvez le bien immobilier qui correspond idéalement à vos désirs sur ImmoScout24 - La plateforme de l'immobilier en Suisse.</t>
  </si>
  <si>
    <t>🏘  Vous cherchez un appartement à louer à Uttwil? ✅ Les annonces les plus actuelles sont sur ImmoScout24.ch.</t>
  </si>
  <si>
    <t>https://www.immoscout24.ch/fr/maison/acheter/lieu-genolier</t>
  </si>
  <si>
    <t>Vendre maison Genolier: Trouvez le bien immobilier qui correspond idéalement à vos désirs sur ImmoScout24 - La plateforme de l'immobilier en Suisse.</t>
  </si>
  <si>
    <t>🏘  Vous souhaitez acheter une maison à Genolier? ✅ Jetez un œil aux dernières offres sur ImmoScout24.ch.</t>
  </si>
  <si>
    <t>https://www.immoscout24.ch/fr/appartement/acheter/lieu-vicosoprano</t>
  </si>
  <si>
    <t>Vendre appartement Vicosoprano: Trouvez le bien immobilier qui correspond idéalement à vos désirs sur ImmoScout24 - La plateforme de l'immobilier en Suisse.</t>
  </si>
  <si>
    <t>🏘  L’appartement de vos rêves se trouve sur ImmoScout24.ch ✅ Découvrez les dernières annonces de vente à Vicosoprano.</t>
  </si>
  <si>
    <t>https://www.immoscout24.ch/fr/appartement/louer/lieu-etagnieres</t>
  </si>
  <si>
    <t>Louer appartement Etagnières: Trouvez le bien immobilier qui correspond idéalement à vos désirs sur ImmoScout24 - La plateforme de l'immobilier en Suisse.</t>
  </si>
  <si>
    <t>🏘  Vous cherchez un appartement à louer à Etagnières? ✅ Les annonces les plus actuelles sont sur ImmoScout24.ch.</t>
  </si>
  <si>
    <t>https://www.immoscout24.ch/fr/maison/louer/lieu-cugy-fr</t>
  </si>
  <si>
    <t>Louer maison Cugy FR: Trouvez le bien immobilier qui correspond idéalement à vos désirs sur ImmoScout24 - La plateforme de l'immobilier en Suisse.</t>
  </si>
  <si>
    <t>🏘  Vous cherchez une maison à louer à Cugy FR? ✅ Découvrez nos nombreuses annonces sur ImmoScout24.ch.</t>
  </si>
  <si>
    <t>https://www.immoscout24.ch/fr/appartement/louer/lieu-baeriswil-be</t>
  </si>
  <si>
    <t>Louer appartement Bäriswil BE: Trouvez le bien immobilier qui correspond idéalement à vos désirs sur ImmoScout24 - La plateforme de l'immobilier en Suisse.</t>
  </si>
  <si>
    <t>🏘  Vous cherchez un appartement à louer à Bäriswil BE? ✅ Les annonces les plus actuelles sont sur ImmoScout24.ch.</t>
  </si>
  <si>
    <t>https://www.immoscout24.ch/fr/appartement/acheter/lieu-porrentruy</t>
  </si>
  <si>
    <t>Vendre appartement Porrentruy: Trouvez le bien immobilier qui correspond idéalement à vos désirs sur ImmoScout24 - La plateforme de l'immobilier en Suisse.</t>
  </si>
  <si>
    <t>🏘  L’appartement de vos rêves se trouve sur ImmoScout24.ch ✅ Découvrez les dernières annonces de vente à Porrentruy.</t>
  </si>
  <si>
    <t>https://www.immoscout24.ch/fr/maison/louer/lieu-riddes</t>
  </si>
  <si>
    <t>Louer maison Riddes: Trouvez le bien immobilier qui correspond idéalement à vos désirs sur ImmoScout24 - La plateforme de l'immobilier en Suisse.</t>
  </si>
  <si>
    <t>🏘  Vous cherchez une maison à louer à Riddes? ✅ Découvrez nos nombreuses annonces sur ImmoScout24.ch.</t>
  </si>
  <si>
    <t>https://www.immoscout24.ch/fr/maison/acheter/lieu-st-moritz</t>
  </si>
  <si>
    <t>Vendre maison St. Moritz: Trouvez le bien immobilier qui correspond idéalement à vos désirs sur ImmoScout24 - La plateforme de l'immobilier en Suisse.</t>
  </si>
  <si>
    <t>🏘  Vous souhaitez acheter une maison à St. Moritz? ✅ Jetez un œil aux dernières offres sur ImmoScout24.ch.</t>
  </si>
  <si>
    <t>https://www.immoscout24.ch/fr/maison/acheter/quartier-places-fribourg</t>
  </si>
  <si>
    <t>Vendre maison Places (Fribourg): Trouvez le bien immobilier qui correspond idéalement à vos désirs sur ImmoScout24 - La plateforme de l'immobilier en Suisse.</t>
  </si>
  <si>
    <t>🏘  Vous souhaitez acheter une maison dans le quartier des Places (Fribourg)? ✅ Jetez un œil aux dernières offres sur ImmoScout24.ch.</t>
  </si>
  <si>
    <t>https://www.immoscout24.ch/fr/maison/acheter/lieu-valeyres-sous-montagny</t>
  </si>
  <si>
    <t>Vendre maison Valeyres-sous-Montagny: Trouvez le bien immobilier qui correspond idéalement à vos désirs sur ImmoScout24 - La plateforme de l'immobilier en Suisse.</t>
  </si>
  <si>
    <t>🏘  Vous souhaitez acheter une maison à Valeyres-sous-Montagny? ✅ Jetez un œil aux dernières offres sur ImmoScout24.ch.</t>
  </si>
  <si>
    <t>https://www.immoscout24.ch/fr/maison/acheter/lieu-orvin</t>
  </si>
  <si>
    <t>Vendre maison Orvin: Trouvez le bien immobilier qui correspond idéalement à vos désirs sur ImmoScout24 - La plateforme de l'immobilier en Suisse.</t>
  </si>
  <si>
    <t>🏘  Vous souhaitez acheter une maison à Orvin? ✅ Jetez un œil aux dernières offres sur ImmoScout24.ch.</t>
  </si>
  <si>
    <t>https://www.immoscout24.ch/fr/maison/acheter/lieu-mase</t>
  </si>
  <si>
    <t>Vendre maison Mase: Trouvez le bien immobilier qui correspond idéalement à vos désirs sur ImmoScout24 - La plateforme de l'immobilier en Suisse.</t>
  </si>
  <si>
    <t>🏘  Vous souhaitez acheter une maison à Mase? ✅ Jetez un œil aux dernières offres sur ImmoScout24.ch.</t>
  </si>
  <si>
    <t>https://www.immoscout24.ch/fr/appartement/louer/lieu-confignon</t>
  </si>
  <si>
    <t>Louer appartement Confignon: Trouvez le bien immobilier qui correspond idéalement à vos désirs sur ImmoScout24 - La plateforme de l'immobilier en Suisse.</t>
  </si>
  <si>
    <t>🏘  Vous cherchez un appartement à louer à Confignon? ✅ Les annonces les plus actuelles sont sur ImmoScout24.ch.</t>
  </si>
  <si>
    <t>https://www.immoscout24.ch/fr/appartement/louer/lieu-schwaderloch</t>
  </si>
  <si>
    <t>Louer appartement Schwaderloch: Trouvez le bien immobilier qui correspond idéalement à vos désirs sur ImmoScout24 - La plateforme de l'immobilier en Suisse.</t>
  </si>
  <si>
    <t>🏘  Vous cherchez un appartement à louer à Schwaderloch? ✅ Les annonces les plus actuelles sont sur ImmoScout24.ch.</t>
  </si>
  <si>
    <t>https://www.immoscout24.ch/fr/maison/acheter/canton-jura</t>
  </si>
  <si>
    <t>Vendre maison Canton du Jura: Trouvez le bien immobilier qui correspond idéalement à vos désirs sur ImmoScout24 - La plateforme de l'immobilier en Suisse.</t>
  </si>
  <si>
    <t>🏘  Vous souhaitez acheter une maison dans le Canton du Jura? ✅ Jetez un œil aux dernières offres sur ImmoScout24.ch.</t>
  </si>
  <si>
    <t>https://www.immoscout24.ch/fr/maison/acheter/lieu-belprahon</t>
  </si>
  <si>
    <t>Vendre maison Belprahon: Trouvez le bien immobilier qui correspond idéalement à vos désirs sur ImmoScout24 - La plateforme de l'immobilier en Suisse.</t>
  </si>
  <si>
    <t>🏘  Vous souhaitez acheter une maison à Belprahon? ✅ Jetez un œil aux dernières offres sur ImmoScout24.ch.</t>
  </si>
  <si>
    <t>https://www.immoscout24.ch/fr/maison/louer/lieu-iseltwald</t>
  </si>
  <si>
    <t>Louer maison Iseltwald: Trouvez le bien immobilier qui correspond idéalement à vos désirs sur ImmoScout24 - La plateforme de l'immobilier en Suisse.</t>
  </si>
  <si>
    <t>🏘  Vous cherchez une maison à louer à Iseltwald? ✅ Découvrez nos nombreuses annonces sur ImmoScout24.ch.</t>
  </si>
  <si>
    <t>https://www.immoscout24.ch/fr/maison/acheter/lieu-middes</t>
  </si>
  <si>
    <t>Vendre maison Middes: Trouvez le bien immobilier qui correspond idéalement à vos désirs sur ImmoScout24 - La plateforme de l'immobilier en Suisse.</t>
  </si>
  <si>
    <t>🏘  Vous souhaitez acheter une maison à Middes? ✅ Jetez un œil aux dernières offres sur ImmoScout24.ch.</t>
  </si>
  <si>
    <t>https://www.immoscout24.ch/fr/maison/louer/region-lausanne-et-environs</t>
  </si>
  <si>
    <t>Louer maison Lausanne et environs: Trouvez le bien immobilier qui correspond idéalement à vos désirs sur ImmoScout24 - La plateforme de l'immobilier en Suisse.</t>
  </si>
  <si>
    <t>🏘  Vous cherchez une maison à louer à Lausanne et environs? ✅ Découvrez nos nombreuses annonces sur ImmoScout24.ch.</t>
  </si>
  <si>
    <t>https://www.immoscout24.ch/fr/maison/acheter/lieu-andeer</t>
  </si>
  <si>
    <t>Vendre maison Andeer: Trouvez le bien immobilier qui correspond idéalement à vos désirs sur ImmoScout24 - La plateforme de l'immobilier en Suisse.</t>
  </si>
  <si>
    <t>🏘  Vous souhaitez acheter une maison à Andeer? ✅ Jetez un œil aux dernières offres sur ImmoScout24.ch.</t>
  </si>
  <si>
    <t>https://www.immoscout24.ch/fr/maison/acheter/lieu-burtigny</t>
  </si>
  <si>
    <t>Vendre maison Burtigny: Trouvez le bien immobilier qui correspond idéalement à vos désirs sur ImmoScout24 - La plateforme de l'immobilier en Suisse.</t>
  </si>
  <si>
    <t>🏘  Vous souhaitez acheter une maison à Burtigny? ✅ Jetez un œil aux dernières offres sur ImmoScout24.ch.</t>
  </si>
  <si>
    <t>https://www.immoscout24.ch/fr/appartement/acheter/lieu-grone</t>
  </si>
  <si>
    <t>Vendre appartement Grône: Trouvez le bien immobilier qui correspond idéalement à vos désirs sur ImmoScout24 - La plateforme de l'immobilier en Suisse.</t>
  </si>
  <si>
    <t>🏘  L’appartement de vos rêves se trouve sur ImmoScout24.ch ✅ Découvrez les dernières annonces de vente à Grône.</t>
  </si>
  <si>
    <t>https://www.immoscout24.ch/fr/appartement/louer/lieu-constantine</t>
  </si>
  <si>
    <t>Louer appartement Constantine: Trouvez le bien immobilier qui correspond idéalement à vos désirs sur ImmoScout24 - La plateforme de l'immobilier en Suisse.</t>
  </si>
  <si>
    <t>🏘  Vous cherchez un appartement à louer à Constantine? ✅ Les annonces les plus actuelles sont sur ImmoScout24.ch.</t>
  </si>
  <si>
    <t>https://www.immoscout24.ch/fr/appartement/louer/region-aigle-alpes-vaudoises</t>
  </si>
  <si>
    <t>Louer appartement Aigle - Alpes Vaudoises: Trouvez le bien immobilier qui correspond idéalement à vos désirs sur ImmoScout24 - La plateforme de l'immobilier en Suisse.</t>
  </si>
  <si>
    <t>🏘  Vous cherchez un appartement à louer dans la région d'Aigle - Alpes vaudoises? ✅ Les annonces les plus actuelles sont sur ImmoScout24.ch.</t>
  </si>
  <si>
    <t>https://www.immoscout24.ch/fr/maison/acheter/pays-espagne</t>
  </si>
  <si>
    <t>Vendre maison Espagne: Trouvez le bien immobilier qui correspond idéalement à vos désirs sur ImmoScout24 - La plateforme de l'immobilier en Suisse.</t>
  </si>
  <si>
    <t>https://www.immoscout24.ch/fr/appartement/louer/lieu-ranzo</t>
  </si>
  <si>
    <t>Louer appartement Ranzo: Trouvez le bien immobilier qui correspond idéalement à vos désirs sur ImmoScout24 - La plateforme de l'immobilier en Suisse.</t>
  </si>
  <si>
    <t>🏘  Vous cherchez un appartement à louer à Ranzo? ✅ Les annonces les plus actuelles sont sur ImmoScout24.ch.</t>
  </si>
  <si>
    <t>https://www.immoscout24.ch/fr/appartement/louer/lieu-estavayer-le-gibloux</t>
  </si>
  <si>
    <t>Louer appartement Estavayer-le-Gibloux: Trouvez le bien immobilier qui correspond idéalement à vos désirs sur ImmoScout24 - La plateforme de l'immobilier en Suisse.</t>
  </si>
  <si>
    <t>🏘  Vous cherchez un appartement à louer à Estavayer-le-Gibloux? ✅ Les annonces les plus actuelles sont sur ImmoScout24.ch.</t>
  </si>
  <si>
    <t>https://www.immoscout24.ch/fr/appartement/louer/lieu-piotta</t>
  </si>
  <si>
    <t>Louer appartement Piotta: Trouvez le bien immobilier qui correspond idéalement à vos désirs sur ImmoScout24 - La plateforme de l'immobilier en Suisse.</t>
  </si>
  <si>
    <t>🏘  Vous cherchez un appartement à louer à Piotta? ✅ Les annonces les plus actuelles sont sur ImmoScout24.ch.</t>
  </si>
  <si>
    <t>https://www.immoscout24.ch/fr/appartement/louer/lieu-grabs</t>
  </si>
  <si>
    <t>Louer appartement Grabs: Trouvez le bien immobilier qui correspond idéalement à vos désirs sur ImmoScout24 - La plateforme de l'immobilier en Suisse.</t>
  </si>
  <si>
    <t>🏘  Vous cherchez un appartement à louer à Grabs? ✅ Les annonces les plus actuelles sont sur ImmoScout24.ch.</t>
  </si>
  <si>
    <t>https://www.immoscout24.ch/fr/maison/acheter/lieu-bieudron-nendaz</t>
  </si>
  <si>
    <t>Vendre maison Bieudron (Nendaz): Trouvez le bien immobilier qui correspond idéalement à vos désirs sur ImmoScout24 - La plateforme de l'immobilier en Suisse.</t>
  </si>
  <si>
    <t>🏘  Vous souhaitez acheter une maison à Bieudron (Nendaz)? ✅ Jetez un œil aux dernières offres sur ImmoScout24.ch.</t>
  </si>
  <si>
    <t>https://www.immoscout24.ch/fr/appartement/louer/lieu-le-mont-pelerin</t>
  </si>
  <si>
    <t>Louer appartement Le Mont-Pèlerin: Trouvez le bien immobilier qui correspond idéalement à vos désirs sur ImmoScout24 - La plateforme de l'immobilier en Suisse.</t>
  </si>
  <si>
    <t>🏘  Vous cherchez un appartement à louer au Mont-Pèlerin? ✅ Les annonces les plus actuelles sont sur ImmoScout24.ch.</t>
  </si>
  <si>
    <t>https://www.immoscout24.ch/fr/maison/acheter/lieu-st-livres</t>
  </si>
  <si>
    <t>Vendre maison St-Livres: Trouvez le bien immobilier qui correspond idéalement à vos désirs sur ImmoScout24 - La plateforme de l'immobilier en Suisse.</t>
  </si>
  <si>
    <t>🏘  Vous souhaitez acheter une maison à St-Livres? ✅ Jetez un œil aux dernières offres sur ImmoScout24.ch.</t>
  </si>
  <si>
    <t>https://www.immoscout24.ch/fr/appartement/louer/lieu-vallorbe</t>
  </si>
  <si>
    <t>Louer appartement Vallorbe: Trouvez le bien immobilier qui correspond idéalement à vos désirs sur ImmoScout24 - La plateforme de l'immobilier en Suisse.</t>
  </si>
  <si>
    <t>🏘  Vous cherchez un appartement à louer à Vallorbe? ✅ Les annonces les plus actuelles sont sur ImmoScout24.ch.</t>
  </si>
  <si>
    <t>https://www.immoscout24.ch/fr/appartement/acheter/lieu-melano</t>
  </si>
  <si>
    <t>Vendre appartement Melano: Trouvez le bien immobilier qui correspond idéalement à vos désirs sur ImmoScout24 - La plateforme de l'immobilier en Suisse.</t>
  </si>
  <si>
    <t>🏘  L’appartement de vos rêves se trouve sur ImmoScout24.ch ✅ Découvrez les dernières annonces de vente à Melano.</t>
  </si>
  <si>
    <t>https://www.immoscout24.ch/fr/appartement/louer/lieu-donneloye</t>
  </si>
  <si>
    <t>Louer appartement Donneloye: Trouvez le bien immobilier qui correspond idéalement à vos désirs sur ImmoScout24 - La plateforme de l'immobilier en Suisse.</t>
  </si>
  <si>
    <t>🏘  Vous cherchez un appartement à louer à Donneloye? ✅ Les annonces les plus actuelles sont sur ImmoScout24.ch.</t>
  </si>
  <si>
    <t>https://www.immoscout24.ch/fr/maison/louer/lieu-etoy</t>
  </si>
  <si>
    <t>Louer maison Etoy: Trouvez le bien immobilier qui correspond idéalement à vos désirs sur ImmoScout24 - La plateforme de l'immobilier en Suisse.</t>
  </si>
  <si>
    <t>🏘  Vous cherchez une maison à louer à Etoy? ✅ Découvrez nos nombreuses annonces sur ImmoScout24.ch.</t>
  </si>
  <si>
    <t>https://www.immoscout24.ch/fr/appartement/louer/lieu-mollis</t>
  </si>
  <si>
    <t>Louer appartement Mollis: Trouvez le bien immobilier qui correspond idéalement à vos désirs sur ImmoScout24 - La plateforme de l'immobilier en Suisse.</t>
  </si>
  <si>
    <t>🏘  Vous cherchez un appartement à louer à Mollis? ✅ Les annonces les plus actuelles sont sur ImmoScout24.ch.</t>
  </si>
  <si>
    <t>https://www.immoscout24.ch/fr/appartement/louer/lieu-montcherand</t>
  </si>
  <si>
    <t>Louer appartement Montcherand: Trouvez le bien immobilier qui correspond idéalement à vos désirs sur ImmoScout24 - La plateforme de l'immobilier en Suisse.</t>
  </si>
  <si>
    <t>🏘  Vous cherchez un appartement à louer à Montcherand? ✅ Les annonces les plus actuelles sont sur ImmoScout24.ch.</t>
  </si>
  <si>
    <t>https://www.immoscout24.ch/fr/appartement/acheter/lieu-koppigen</t>
  </si>
  <si>
    <t>Vendre appartement Koppigen: Trouvez le bien immobilier qui correspond idéalement à vos désirs sur ImmoScout24 - La plateforme de l'immobilier en Suisse.</t>
  </si>
  <si>
    <t>🏘  L’appartement de vos rêves se trouve sur ImmoScout24.ch ✅ Découvrez les dernières annonces de vente à Koppigen.</t>
  </si>
  <si>
    <t>https://www.immoscout24.ch/fr/appartement/louer/quartier-linsebuehl-dreilinden-st-gall</t>
  </si>
  <si>
    <t>Louer appartement Linsebühl - Dreilinden (St-Gall): Trouvez le bien immobilier qui correspond idéalement à vos désirs sur ImmoScout24 - La plateforme de l'immobilier en Suisse.</t>
  </si>
  <si>
    <t>🏘  Vous cherchez un appartement à louer dans le quartier de Linsebühl - Dreilinden (St-Gall)? ✅ Les annonces les plus actuelles sont sur ImmoScout24.ch.</t>
  </si>
  <si>
    <t>https://www.immoscout24.ch/fr/appartement/louer/lieu-l-auberson</t>
  </si>
  <si>
    <t>Louer appartement L'Auberson: Trouvez le bien immobilier qui correspond idéalement à vos désirs sur ImmoScout24 - La plateforme de l'immobilier en Suisse.</t>
  </si>
  <si>
    <t>🏘  Vous cherchez un appartement à louer à L'Auberson? ✅ Les annonces les plus actuelles sont sur ImmoScout24.ch.</t>
  </si>
  <si>
    <t>https://www.immoscout24.ch/fr/maison/acheter/lieu-caslano</t>
  </si>
  <si>
    <t>Vendre maison Caslano: Trouvez le bien immobilier qui correspond idéalement à vos désirs sur ImmoScout24 - La plateforme de l'immobilier en Suisse.</t>
  </si>
  <si>
    <t>🏘  Vous souhaitez acheter une maison à Caslano? ✅ Jetez un œil aux dernières offres sur ImmoScout24.ch.</t>
  </si>
  <si>
    <t>https://www.immoscout24.ch/fr/appartement/acheter/lieu-lostorf</t>
  </si>
  <si>
    <t>Vendre appartement Lostorf: Trouvez le bien immobilier qui correspond idéalement à vos désirs sur ImmoScout24 - La plateforme de l'immobilier en Suisse.</t>
  </si>
  <si>
    <t>🏘  L’appartement de vos rêves se trouve sur ImmoScout24.ch ✅ Découvrez les dernières annonces de vente à Lostorf.</t>
  </si>
  <si>
    <t>https://www.immoscout24.ch/fr/appartement/louer/lieu-les-charbonnieres</t>
  </si>
  <si>
    <t>Louer appartement Les Charbonnières: Trouvez le bien immobilier qui correspond idéalement à vos désirs sur ImmoScout24 - La plateforme de l'immobilier en Suisse.</t>
  </si>
  <si>
    <t>🏘  Vous cherchez un appartement à louer aux Charbonnières? ✅ Les annonces les plus actuelles sont sur ImmoScout24.ch.</t>
  </si>
  <si>
    <t>https://www.immoscout24.ch/fr/appartement/louer/lieu-enney</t>
  </si>
  <si>
    <t>Louer appartement Enney: Trouvez le bien immobilier qui correspond idéalement à vos désirs sur ImmoScout24 - La plateforme de l'immobilier en Suisse.</t>
  </si>
  <si>
    <t>🏘  Vous cherchez un appartement à louer à Enney? ✅ Les annonces les plus actuelles sont sur ImmoScout24.ch.</t>
  </si>
  <si>
    <t>https://www.immoscout24.ch/fr/appartement/louer/lieu-lyss</t>
  </si>
  <si>
    <t>Louer appartement Lyss: Trouvez le bien immobilier qui correspond idéalement à vos désirs sur ImmoScout24 - La plateforme de l'immobilier en Suisse.</t>
  </si>
  <si>
    <t>🏘  Vous cherchez un appartement à louer à Lyss? ✅ Les annonces les plus actuelles sont sur ImmoScout24.ch.</t>
  </si>
  <si>
    <t>https://www.immoscout24.ch/fr/appartement/louer/lieu-la-vernaz-les-agettes</t>
  </si>
  <si>
    <t>Louer appartement La Vernaz (Les Agettes): Trouvez le bien immobilier qui correspond idéalement à vos désirs sur ImmoScout24 - La plateforme de l'immobilier en Suisse.</t>
  </si>
  <si>
    <t>🏘  Vous cherchez un appartement à louer à La Vernaz (Les Agettes)? ✅ Les annonces les plus actuelles sont sur ImmoScout24.ch.</t>
  </si>
  <si>
    <t>https://www.immoscout24.ch/fr/appartement/acheter/lieu-perroy</t>
  </si>
  <si>
    <t>Vendre appartement Perroy: Trouvez le bien immobilier qui correspond idéalement à vos désirs sur ImmoScout24 - La plateforme de l'immobilier en Suisse.</t>
  </si>
  <si>
    <t>🏘  L’appartement de vos rêves se trouve sur ImmoScout24.ch ✅ Découvrez les dernières annonces de vente à Perroy.</t>
  </si>
  <si>
    <t>https://www.immoscout24.ch/fr/appartement/acheter/canton-nidwald</t>
  </si>
  <si>
    <t>Vendre appartement Canton de Nidwald: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</si>
  <si>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de Nidwald.</t>
  </si>
  <si>
    <t>https://www.immoscout24.ch/fr/maison/acheter/region-einsiedeln</t>
  </si>
  <si>
    <t>Vendre maison Einsiedeln: Trouvez le bien immobilier qui correspond idéalement à vos désirs sur ImmoScout24 - La plateforme de l'immobilier en Suisse.</t>
  </si>
  <si>
    <t>🏘  Vous souhaitez acheter une maison à Einsiedeln? ✅ Jetez un œil aux dernières offres sur ImmoScout24.ch.</t>
  </si>
  <si>
    <t>https://www.immoscout24.ch/fr/maison/acheter/lieu-mathod</t>
  </si>
  <si>
    <t>Vendre maison Mathod: Trouvez le bien immobilier qui correspond idéalement à vos désirs sur ImmoScout24 - La plateforme de l'immobilier en Suisse.</t>
  </si>
  <si>
    <t>🏘  Vous souhaitez acheter une maison à Mathod? ✅ Jetez un œil aux dernières offres sur ImmoScout24.ch.</t>
  </si>
  <si>
    <t>https://www.immoscout24.ch/fr/maison/acheter/lieu-linthal</t>
  </si>
  <si>
    <t>Vendre maison Linthal: Trouvez le bien immobilier qui correspond idéalement à vos désirs sur ImmoScout24 - La plateforme de l'immobilier en Suisse.</t>
  </si>
  <si>
    <t>🏘  Vous souhaitez acheter une maison à Linthal? ✅ Jetez un œil aux dernières offres sur ImmoScout24.ch.</t>
  </si>
  <si>
    <t>https://www.immoscout24.ch/fr/maison/acheter/lieu-bruegg-be</t>
  </si>
  <si>
    <t>Vendre maison Brügg BE: Trouvez le bien immobilier qui correspond idéalement à vos désirs sur ImmoScout24 - La plateforme de l'immobilier en Suisse.</t>
  </si>
  <si>
    <t>🏘  Vous souhaitez acheter une maison à Brügg BE? ✅ Jetez un œil aux dernières offres sur ImmoScout24.ch.</t>
  </si>
  <si>
    <t>https://www.immoscout24.ch/fr/maison/louer/lieu-arnex-sur-orbe</t>
  </si>
  <si>
    <t>Louer maison Arnex-sur-Orbe: Trouvez le bien immobilier qui correspond idéalement à vos désirs sur ImmoScout24 - La plateforme de l'immobilier en Suisse.</t>
  </si>
  <si>
    <t>🏘  Vous cherchez une maison à louer à Arnex-sur-Orbe? ✅ Découvrez nos nombreuses annonces sur ImmoScout24.ch.</t>
  </si>
  <si>
    <t>https://www.immoscout24.ch/fr/maison/acheter/lieu-goldingen</t>
  </si>
  <si>
    <t>Vendre maison Goldingen: Trouvez le bien immobilier qui correspond idéalement à vos désirs sur ImmoScout24 - La plateforme de l'immobilier en Suisse.</t>
  </si>
  <si>
    <t>🏘  Vous souhaitez acheter une maison à Goldingen? ✅ Jetez un œil aux dernières offres sur ImmoScout24.ch.</t>
  </si>
  <si>
    <t>https://www.immoscout24.ch/fr/maison/acheter/pays-bosnie-herzegovine</t>
  </si>
  <si>
    <t>Vendre maison Bosnie-Herzégovine: Trouvez le bien immobilier qui correspond idéalement à vos désirs sur ImmoScout24 - La plateforme de l'immobilier en Suisse.</t>
  </si>
  <si>
    <t>🏘  Vous cherchez un appartement à louer en Bosnie-Herzégovine? ✅ Les annonces les plus actuelles sont sur ImmoScout24.ch.</t>
  </si>
  <si>
    <t>https://www.immoscout24.ch/fr/appartement/louer/lieu-les-agettes</t>
  </si>
  <si>
    <t>Louer appartement Les Agettes: Trouvez le bien immobilier qui correspond idéalement à vos désirs sur ImmoScout24 - La plateforme de l'immobilier en Suisse.</t>
  </si>
  <si>
    <t>🏘  Vous cherchez un appartement à louer aux Agettes? ✅ Les annonces les plus actuelles sont sur ImmoScout24.ch.</t>
  </si>
  <si>
    <t>https://www.immoscout24.ch/fr/appartement/acheter/canton-geneve</t>
  </si>
  <si>
    <t>Vendre appartement Canton de Genève: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</si>
  <si>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de Genève.</t>
  </si>
  <si>
    <t>https://www.immoscout24.ch/fr/appartement/louer/lieu-balerna</t>
  </si>
  <si>
    <t>Louer appartement Balerna: Trouvez le bien immobilier qui correspond idéalement à vos désirs sur ImmoScout24 - La plateforme de l'immobilier en Suisse.</t>
  </si>
  <si>
    <t>🏘  Vous cherchez un appartement à louer à Balerna? ✅ Les annonces les plus actuelles sont sur ImmoScout24.ch.</t>
  </si>
  <si>
    <t>https://www.immoscout24.ch/fr/maison/acheter/lieu-naters</t>
  </si>
  <si>
    <t>Vendre maison Naters: Trouvez le bien immobilier qui correspond idéalement à vos désirs sur ImmoScout24 - La plateforme de l'immobilier en Suisse.</t>
  </si>
  <si>
    <t>🏘  Vous souhaitez acheter une maison à Naters? ✅ Jetez un œil aux dernières offres sur ImmoScout24.ch.</t>
  </si>
  <si>
    <t>https://www.immoscout24.ch/fr/maison/acheter/lieu-spreitenbach</t>
  </si>
  <si>
    <t>Vendre maison Spreitenbach: Trouvez le bien immobilier qui correspond idéalement à vos désirs sur ImmoScout24 - La plateforme de l'immobilier en Suisse.</t>
  </si>
  <si>
    <t>🏘  Vous souhaitez acheter une maison à Spreitenbach? ✅ Jetez un œil aux dernières offres sur ImmoScout24.ch.</t>
  </si>
  <si>
    <t>https://www.immoscout24.ch/fr/maison/acheter/lieu-les-valettes-bovernier</t>
  </si>
  <si>
    <t>Vendre maison Les Valettes (Bovernier): Trouvez le bien immobilier qui correspond idéalement à vos désirs sur ImmoScout24 - La plateforme de l'immobilier en Suisse.</t>
  </si>
  <si>
    <t>🏘  Vous souhaitez acheter une maison aux Valettes (Bovernier)? ✅ Jetez un œil aux dernières offres sur ImmoScout24.ch.</t>
  </si>
  <si>
    <t>https://www.immoscout24.ch/fr/appartement/acheter/lieu-vernamiege</t>
  </si>
  <si>
    <t>Vendre appartement Vernamiège: Trouvez le bien immobilier qui correspond idéalement à vos désirs sur ImmoScout24 - La plateforme de l'immobilier en Suisse.</t>
  </si>
  <si>
    <t>🏘  L’appartement de vos rêves se trouve sur ImmoScout24.ch ✅ Découvrez les dernières annonces de vente à Vernamiège.</t>
  </si>
  <si>
    <t>https://www.immoscout24.ch/fr/appartement/louer/canton-turgovie</t>
  </si>
  <si>
    <t>Louer appartement Canton de Turgovie: Trouvez le bien immobilier qui correspond idéalement à vos désirs sur ImmoScout24 - La plateforme de l'immobilier en Suisse.</t>
  </si>
  <si>
    <t>🏘  Vous cherchez un appartement à louer dans le Canton de Turgovie? ✅ Les annonces les plus actuelles sont sur ImmoScout24.ch.</t>
  </si>
  <si>
    <t>https://www.immoscout24.ch/fr/appartement/acheter/lieu-evionnaz</t>
  </si>
  <si>
    <t>Vendre appartement Evionnaz: Trouvez le bien immobilier qui correspond idéalement à vos désirs sur ImmoScout24 - La plateforme de l'immobilier en Suisse.</t>
  </si>
  <si>
    <t>🏘  L’appartement de vos rêves se trouve sur ImmoScout24.ch ✅ Découvrez les dernières annonces de vente à Evionnaz.</t>
  </si>
  <si>
    <t>https://www.immoscout24.ch/fr/maison/acheter/quartier-secteur-forain-est-la-chaux-de-fonds</t>
  </si>
  <si>
    <t>Vendre maison Secteur forain est (La Chaux-de-Fonds): Trouvez le bien immobilier qui correspond idéalement à vos désirs sur ImmoScout24 - La plateforme de l'immobilier en Suisse.</t>
  </si>
  <si>
    <t>🏘  Vous souhaitez acheter une maison dans le Secteur forain est (La Chaux-de-Fonds)? ✅ Jetez un œil aux dernières offres sur ImmoScout24.ch.</t>
  </si>
  <si>
    <t>https://www.immoscout24.ch/fr/appartement/louer/lieu-maur</t>
  </si>
  <si>
    <t>Louer appartement Maur: Trouvez le bien immobilier qui correspond idéalement à vos désirs sur ImmoScout24 - La plateforme de l'immobilier en Suisse.</t>
  </si>
  <si>
    <t>🏘  Vous cherchez un appartement à louer à Maur? ✅ Les annonces les plus actuelles sont sur ImmoScout24.ch.</t>
  </si>
  <si>
    <t>https://www.immoscout24.ch/fr/appartement/acheter/lieu-lugano</t>
  </si>
  <si>
    <t>Vendre appartement Lugano: Trouvez le bien immobilier qui correspond idéalement à vos désirs sur ImmoScout24 - La plateforme de l'immobilier en Suisse.</t>
  </si>
  <si>
    <t>🏘  L’appartement de vos rêves se trouve sur ImmoScout24.ch ✅ Découvrez les dernières annonces de vente à Lugano.</t>
  </si>
  <si>
    <t>https://www.immoscout24.ch/fr/appartement/louer/lieu-koppigen</t>
  </si>
  <si>
    <t>Louer appartement Koppigen: Trouvez le bien immobilier qui correspond idéalement à vos désirs sur ImmoScout24 - La plateforme de l'immobilier en Suisse.</t>
  </si>
  <si>
    <t>🏘  Vous cherchez un appartement à louer à Koppigen? ✅ Les annonces les plus actuelles sont sur ImmoScout24.ch.</t>
  </si>
  <si>
    <t>https://www.immoscout24.ch/fr/appartement/acheter/lieu-vira-gambarogno</t>
  </si>
  <si>
    <t>Vendre appartement Vira (Gambarogno): Trouvez le bien immobilier qui correspond idéalement à vos désirs sur ImmoScout24 - La plateforme de l'immobilier en Suisse.</t>
  </si>
  <si>
    <t>🏘  L’appartement de vos rêves se trouve sur ImmoScout24.ch ✅ Découvrez les dernières annonces de vente à Vira (Gambarogno).</t>
  </si>
  <si>
    <t>https://www.immoscout24.ch/fr/appartement/acheter/lieu-beuson-nendaz</t>
  </si>
  <si>
    <t>Vendre appartement Beuson (Nendaz): Trouvez le bien immobilier qui correspond idéalement à vos désirs sur ImmoScout24 - La plateforme de l'immobilier en Suisse.</t>
  </si>
  <si>
    <t>🏘  L’appartement de vos rêves se trouve sur ImmoScout24.ch ✅ Découvrez les dernières annonces de vente à Beuson (Nendaz).</t>
  </si>
  <si>
    <t>https://www.immoscout24.ch/fr/maison/acheter/lieu-plasselb</t>
  </si>
  <si>
    <t>Vendre maison Plasselb: Trouvez le bien immobilier qui correspond idéalement à vos désirs sur ImmoScout24 - La plateforme de l'immobilier en Suisse.</t>
  </si>
  <si>
    <t>🏘  Vous souhaitez acheter une maison à Plasselb? ✅ Jetez un œil aux dernières offres sur ImmoScout24.ch.</t>
  </si>
  <si>
    <t>https://www.immoscout24.ch/fr/maison/acheter/lieu-la-lecherette</t>
  </si>
  <si>
    <t>Vendre maison La Lécherette: Trouvez le bien immobilier qui correspond idéalement à vos désirs sur ImmoScout24 - La plateforme de l'immobilier en Suisse.</t>
  </si>
  <si>
    <t>🏘  Vous souhaitez acheter une maison à La Lécherette? ✅ Jetez un œil aux dernières offres sur ImmoScout24.ch.</t>
  </si>
  <si>
    <t>https://www.immoscout24.ch/fr/appartement/louer/quartier-grand-pre-vermont-geneve</t>
  </si>
  <si>
    <t>Louer appartement Grand-Pré - Vermont (Genève): Trouvez le bien immobilier qui correspond idéalement à vos désirs sur ImmoScout24 - La plateforme de l'immobilier en Suisse.</t>
  </si>
  <si>
    <t>🏘  Vous cherchez un appartement à louer dans le quartier de Grand-Pré - Vermont (Genève)? ✅ Les annonces les plus actuelles sont sur ImmoScout24.ch.</t>
  </si>
  <si>
    <t>https://www.immoscout24.ch/fr/maison/acheter/lieu-le-predame</t>
  </si>
  <si>
    <t>Vendre maison Le Prédame: Trouvez le bien immobilier qui correspond idéalement à vos désirs sur ImmoScout24 - La plateforme de l'immobilier en Suisse.</t>
  </si>
  <si>
    <t>🏘  Vous souhaitez acheter une maison au Prédame? ✅ Jetez un œil aux dernières offres sur ImmoScout24.ch.</t>
  </si>
  <si>
    <t>https://www.immoscout24.ch/fr/appartement/louer/lieu-thierrens</t>
  </si>
  <si>
    <t>Louer appartement Thierrens: Trouvez le bien immobilier qui correspond idéalement à vos désirs sur ImmoScout24 - La plateforme de l'immobilier en Suisse.</t>
  </si>
  <si>
    <t>🏘  Vous cherchez un appartement à louer à Thierrens? ✅ Les annonces les plus actuelles sont sur ImmoScout24.ch.</t>
  </si>
  <si>
    <t>https://www.immoscout24.ch/fr/appartement/louer/canton-st-gall</t>
  </si>
  <si>
    <t>Louer appartement Canton de St. Gall: Trouvez le bien immobilier qui correspond idéalement à vos désirs sur ImmoScout24 - La plateforme de l'immobilier en Suisse.</t>
  </si>
  <si>
    <t>🏘  Vous cherchez un appartement à louer dans le Canton de St. Gall? ✅ Les annonces les plus actuelles sont sur ImmoScout24.ch.</t>
  </si>
  <si>
    <t>https://www.immoscout24.ch/fr/appartement/louer/lieu-botterens</t>
  </si>
  <si>
    <t>Louer appartement Botterens: Trouvez le bien immobilier qui correspond idéalement à vos désirs sur ImmoScout24 - La plateforme de l'immobilier en Suisse.</t>
  </si>
  <si>
    <t>🏘  Vous cherchez un appartement à louer à Botterens? ✅ Les annonces les plus actuelles sont sur ImmoScout24.ch.</t>
  </si>
  <si>
    <t>https://www.immoscout24.ch/fr/maison/acheter/lieu-aigle</t>
  </si>
  <si>
    <t>Vendre maison Aigle: Trouvez le bien immobilier qui correspond idéalement à vos désirs sur ImmoScout24 - La plateforme de l'immobilier en Suisse.</t>
  </si>
  <si>
    <t>🏘  Vous souhaitez acheter une maison à Aigle? ✅ Jetez un œil aux dernières offres sur ImmoScout24.ch.</t>
  </si>
  <si>
    <t>https://www.immoscout24.ch/fr/appartement/acheter/lieu-aldesago</t>
  </si>
  <si>
    <t>Vendre appartement Aldesago: Trouvez le bien immobilier qui correspond idéalement à vos désirs sur ImmoScout24 - La plateforme de l'immobilier en Suisse.</t>
  </si>
  <si>
    <t>🏘  L’appartement de vos rêves se trouve sur ImmoScout24.ch ✅ Découvrez les dernières annonces de vente à Aldesago.</t>
  </si>
  <si>
    <t>https://www.immoscout24.ch/fr/appartement/louer/lieu-vesenaz</t>
  </si>
  <si>
    <t>Louer appartement Vésenaz: Trouvez le bien immobilier qui correspond idéalement à vos désirs sur ImmoScout24 - La plateforme de l'immobilier en Suisse.</t>
  </si>
  <si>
    <t>🏘  Vous cherchez un appartement à louer à Vésenaz? ✅ Les annonces les plus actuelles sont sur ImmoScout24.ch.</t>
  </si>
  <si>
    <t>https://www.immoscout24.ch/fr/appartement/acheter/lieu-lussery-villars</t>
  </si>
  <si>
    <t>Vendre appartement Lussery-Villars: Trouvez le bien immobilier qui correspond idéalement à vos désirs sur ImmoScout24 - La plateforme de l'immobilier en Suisse.</t>
  </si>
  <si>
    <t>🏘  L’appartement de vos rêves se trouve sur ImmoScout24.ch ✅ Découvrez les dernières annonces de vente à Lussery-Villars.</t>
  </si>
  <si>
    <t>https://www.immoscout24.ch/fr/maison/acheter/quartier-st-gervais-chantepoulet-geneve</t>
  </si>
  <si>
    <t>Vendre maison St-Gervais - Chantepoulet (Genève): Trouvez le bien immobilier qui correspond idéalement à vos désirs sur ImmoScout24 - La plateforme de l'immobilier en Suisse.</t>
  </si>
  <si>
    <t>🏘  Vous souhaitez acheter une maison dans le quartier de St-Gervais - Chantepoulet (Genève)? ✅ Jetez un œil aux dernières offres sur ImmoScout24.ch.</t>
  </si>
  <si>
    <t>https://www.immoscout24.ch/fr/appartement/louer/lieu-saubraz</t>
  </si>
  <si>
    <t>Louer appartement Saubraz: Trouvez le bien immobilier qui correspond idéalement à vos désirs sur ImmoScout24 - La plateforme de l'immobilier en Suisse.</t>
  </si>
  <si>
    <t>🏘  Vous cherchez un appartement à louer à Saubraz? ✅ Les annonces les plus actuelles sont sur ImmoScout24.ch.</t>
  </si>
  <si>
    <t>https://www.immoscout24.ch/fr/maison/acheter/lieu-romanel-sur-lausanne</t>
  </si>
  <si>
    <t>Vendre maison Romanel-sur-Lausanne: Trouvez le bien immobilier qui correspond idéalement à vos désirs sur ImmoScout24 - La plateforme de l'immobilier en Suisse.</t>
  </si>
  <si>
    <t>🏘  Vous souhaitez acheter une maison à Romanel-sur-Lausanne? ✅ Jetez un œil aux dernières offres sur ImmoScout24.ch.</t>
  </si>
  <si>
    <t>https://www.immoscout24.ch/fr/appartement/louer/lieu-villeneuve-vd</t>
  </si>
  <si>
    <t>Louer appartement Villeneuve VD: Trouvez le bien immobilier qui correspond idéalement à vos désirs sur ImmoScout24 - La plateforme de l'immobilier en Suisse.</t>
  </si>
  <si>
    <t>🏘  Vous cherchez un appartement à louer à Villeneuve VD? ✅ Les annonces les plus actuelles sont sur ImmoScout24.ch.</t>
  </si>
  <si>
    <t>https://www.immoscout24.ch/fr/appartement/louer/lieu-wildegg</t>
  </si>
  <si>
    <t>Louer appartement Wildegg: Trouvez le bien immobilier qui correspond idéalement à vos désirs sur ImmoScout24 - La plateforme de l'immobilier en Suisse.</t>
  </si>
  <si>
    <t>🏘  Vous cherchez un appartement à louer à Wildegg? ✅ Les annonces les plus actuelles sont sur ImmoScout24.ch.</t>
  </si>
  <si>
    <t>https://www.immoscout24.ch/fr/maison/acheter/region-aarau-et-environs</t>
  </si>
  <si>
    <t>Vendre maison Aarau et environs: Trouvez le bien immobilier qui correspond idéalement à vos désirs sur ImmoScout24 - La plateforme de l'immobilier en Suisse.</t>
  </si>
  <si>
    <t>🏘  Vous souhaitez acheter une maison à Aarau et environs? ✅ Jetez un œil aux dernières offres sur ImmoScout24.ch.</t>
  </si>
  <si>
    <t>https://www.immoscout24.ch/fr/appartement/acheter/lieu-coldrerio</t>
  </si>
  <si>
    <t>Vendre appartement Coldrerio: Trouvez le bien immobilier qui correspond idéalement à vos désirs sur ImmoScout24 - La plateforme de l'immobilier en Suisse.</t>
  </si>
  <si>
    <t>🏘  L’appartement de vos rêves se trouve sur ImmoScout24.ch ✅ Découvrez les dernières annonces de vente à Coldrerio.</t>
  </si>
  <si>
    <t>https://www.immoscout24.ch/fr/appartement/louer/lieu-schoenenwerd</t>
  </si>
  <si>
    <t>Louer appartement Schönenwerd: Trouvez le bien immobilier qui correspond idéalement à vos désirs sur ImmoScout24 - La plateforme de l'immobilier en Suisse.</t>
  </si>
  <si>
    <t>🏘  Vous cherchez un appartement à louer à Schönenwerd? ✅ Les annonces les plus actuelles sont sur ImmoScout24.ch.</t>
  </si>
  <si>
    <t>https://www.immoscout24.ch/fr/appartement/louer/lieu-chamby</t>
  </si>
  <si>
    <t>Louer appartement Chamby: Trouvez le bien immobilier qui correspond idéalement à vos désirs sur ImmoScout24 - La plateforme de l'immobilier en Suisse.</t>
  </si>
  <si>
    <t>🏘  Vous cherchez un appartement à louer à Chamby? ✅ Les annonces les plus actuelles sont sur ImmoScout24.ch.</t>
  </si>
  <si>
    <t>https://www.immoscout24.ch/fr/maison/acheter/lieu-villarsel-le-gibloux</t>
  </si>
  <si>
    <t>Vendre maison Villarsel-le-Gibloux: Trouvez le bien immobilier qui correspond idéalement à vos désirs sur ImmoScout24 - La plateforme de l'immobilier en Suisse.</t>
  </si>
  <si>
    <t>🏘  Vous souhaitez acheter une maison à Villarsel-le-Gibloux? ✅ Jetez un œil aux dernières offres sur ImmoScout24.ch.</t>
  </si>
  <si>
    <t>https://www.immoscout24.ch/fr/maison/acheter/lieu-grengiols</t>
  </si>
  <si>
    <t>Vendre maison Grengiols: Trouvez le bien immobilier qui correspond idéalement à vos désirs sur ImmoScout24 - La plateforme de l'immobilier en Suisse.</t>
  </si>
  <si>
    <t>🏘  Vous souhaitez acheter une maison à Grengiols? ✅ Jetez un œil aux dernières offres sur ImmoScout24.ch.</t>
  </si>
  <si>
    <t>https://www.immoscout24.ch/fr/maison/acheter/lieu-lossy</t>
  </si>
  <si>
    <t>Vendre maison Lossy: Trouvez le bien immobilier qui correspond idéalement à vos désirs sur ImmoScout24 - La plateforme de l'immobilier en Suisse.</t>
  </si>
  <si>
    <t>🏘  Vous souhaitez acheter une maison à Lossy? ✅ Jetez un œil aux dernières offres sur ImmoScout24.ch.</t>
  </si>
  <si>
    <t>https://www.immoscout24.ch/fr/appartement/louer/lieu-chippis</t>
  </si>
  <si>
    <t>Louer appartement Chippis: Trouvez le bien immobilier qui correspond idéalement à vos désirs sur ImmoScout24 - La plateforme de l'immobilier en Suisse.</t>
  </si>
  <si>
    <t>🏘  Vous cherchez un appartement à louer à Chippis? ✅ Les annonces les plus actuelles sont sur ImmoScout24.ch.</t>
  </si>
  <si>
    <t>https://www.immoscout24.ch/fr/appartement/louer/lieu-les-enfers</t>
  </si>
  <si>
    <t>Louer appartement Les Enfers: Trouvez le bien immobilier qui correspond idéalement à vos désirs sur ImmoScout24 - La plateforme de l'immobilier en Suisse.</t>
  </si>
  <si>
    <t>🏘  Vous cherchez un appartement à louer aux Enfers? ✅ Les annonces les plus actuelles sont sur ImmoScout24.ch.</t>
  </si>
  <si>
    <t>https://www.immoscout24.ch/fr/appartement/louer/lieu-aegerten</t>
  </si>
  <si>
    <t>Louer appartement Aegerten: Trouvez le bien immobilier qui correspond idéalement à vos désirs sur ImmoScout24 - La plateforme de l'immobilier en Suisse.</t>
  </si>
  <si>
    <t>🏘  Vous cherchez un appartement à louer à Aegerten? ✅ Les annonces les plus actuelles sont sur ImmoScout24.ch.</t>
  </si>
  <si>
    <t>https://www.immoscout24.ch/fr/appartement/louer/lieu-gilly</t>
  </si>
  <si>
    <t>Louer appartement Gilly: Trouvez le bien immobilier qui correspond idéalement à vos désirs sur ImmoScout24 - La plateforme de l'immobilier en Suisse.</t>
  </si>
  <si>
    <t>🏘  Vous cherchez un appartement à louer à Gilly? ✅ Les annonces les plus actuelles sont sur ImmoScout24.ch.</t>
  </si>
  <si>
    <t>https://www.immoscout24.ch/fr/appartement/louer/lieu-les-hauts-geneveys</t>
  </si>
  <si>
    <t>Louer appartement Les Hauts-Geneveys: Trouvez le bien immobilier qui correspond idéalement à vos désirs sur ImmoScout24 - La plateforme de l'immobilier en Suisse.</t>
  </si>
  <si>
    <t>🏘  Vous cherchez un appartement à louer aux Hauts-Geneveys? ✅ Les annonces les plus actuelles sont sur ImmoScout24.ch.</t>
  </si>
  <si>
    <t>https://www.immoscout24.ch/fr/appartement/acheter/lieu-middes</t>
  </si>
  <si>
    <t>Vendre appartement Middes: Trouvez le bien immobilier qui correspond idéalement à vos désirs sur ImmoScout24 - La plateforme de l'immobilier en Suisse.</t>
  </si>
  <si>
    <t>🏘  L’appartement de vos rêves se trouve sur ImmoScout24.ch ✅ Découvrez les dernières annonces de vente à Middes.</t>
  </si>
  <si>
    <t>https://www.immoscout24.ch/fr/appartement/acheter/lieu-courtetelle</t>
  </si>
  <si>
    <t>Vendre appartement Courtételle: Trouvez le bien immobilier qui correspond idéalement à vos désirs sur ImmoScout24 - La plateforme de l'immobilier en Suisse.</t>
  </si>
  <si>
    <t>🏘  L’appartement de vos rêves se trouve sur ImmoScout24.ch ✅ Découvrez les dernières annonces de vente à Courtételle.</t>
  </si>
  <si>
    <t>https://www.immoscout24.ch/fr/appartement/acheter/lieu-pompaples</t>
  </si>
  <si>
    <t>Vendre appartement Pompaples: Trouvez le bien immobilier qui correspond idéalement à vos désirs sur ImmoScout24 - La plateforme de l'immobilier en Suisse.</t>
  </si>
  <si>
    <t>🏘  L’appartement de vos rêves se trouve sur ImmoScout24.ch ✅ Découvrez les dernières annonces de vente à Pompaples.</t>
  </si>
  <si>
    <t>https://www.immoscout24.ch/fr/maison/louer/lieu-enney</t>
  </si>
  <si>
    <t>Louer maison Enney: Trouvez le bien immobilier qui correspond idéalement à vos désirs sur ImmoScout24 - La plateforme de l'immobilier en Suisse.</t>
  </si>
  <si>
    <t>🏘  Vous cherchez une maison à louer à Enney? ✅ Découvrez nos nombreuses annonces sur ImmoScout24.ch.</t>
  </si>
  <si>
    <t>https://www.immoscout24.ch/fr/appartement/louer/canton-zurich</t>
  </si>
  <si>
    <t>Louer appartement Canton de Zurich: Trouvez le bien immobilier qui correspond idéalement à vos désirs sur ImmoScout24 - La plateforme de l'immobilier en Suisse.</t>
  </si>
  <si>
    <t>🏘  Vous cherchez un appartement à louer dans le Canton de Zurich? ✅ Les annonces les plus actuelles sont sur ImmoScout24.ch.</t>
  </si>
  <si>
    <t>https://www.immoscout24.ch/fr/appartement/acheter/lieu-randogne</t>
  </si>
  <si>
    <t>Vendre appartement Randogne: Trouvez le bien immobilier qui correspond idéalement à vos désirs sur ImmoScout24 - La plateforme de l'immobilier en Suisse.</t>
  </si>
  <si>
    <t>🏘  L’appartement de vos rêves se trouve sur ImmoScout24.ch ✅ Découvrez les dernières annonces de vente à Randogne.</t>
  </si>
  <si>
    <t>https://www.immoscout24.ch/fr/appartement/louer/lieu-spiegel-b-bern</t>
  </si>
  <si>
    <t>Louer appartement Spiegel b. Bern: Trouvez le bien immobilier qui correspond idéalement à vos désirs sur ImmoScout24 - La plateforme de l'immobilier en Suisse.</t>
  </si>
  <si>
    <t>🏘  Vous cherchez un appartement à louer à Spiegel b. Bern? ✅ Les annonces les plus actuelles sont sur ImmoScout24.ch.</t>
  </si>
  <si>
    <t>https://www.immoscout24.ch/fr/maison/acheter/lieu-eschert</t>
  </si>
  <si>
    <t>Vendre maison Eschert: Trouvez le bien immobilier qui correspond idéalement à vos désirs sur ImmoScout24 - La plateforme de l'immobilier en Suisse.</t>
  </si>
  <si>
    <t>🏘  Vous souhaitez acheter une maison à Eschert? ✅ Jetez un œil aux dernières offres sur ImmoScout24.ch.</t>
  </si>
  <si>
    <t>https://www.immoscout24.ch/fr/appartement/louer/lieu-chesieres</t>
  </si>
  <si>
    <t>Louer appartement Chesières: Trouvez le bien immobilier qui correspond idéalement à vos désirs sur ImmoScout24 - La plateforme de l'immobilier en Suisse.</t>
  </si>
  <si>
    <t>🏘  Vous cherchez un appartement à louer à Chesières? ✅ Les annonces les plus actuelles sont sur ImmoScout24.ch.</t>
  </si>
  <si>
    <t>https://www.immoscout24.ch/fr/maison/acheter/lieu-la-sagne-ste-croix</t>
  </si>
  <si>
    <t>Vendre maison La Sagne (Ste-Croix): Trouvez le bien immobilier qui correspond idéalement à vos désirs sur ImmoScout24 - La plateforme de l'immobilier en Suisse.</t>
  </si>
  <si>
    <t>🏘  Vous souhaitez acheter une maison à La Sagne (Ste-Croix)? ✅ Jetez un œil aux dernières offres sur ImmoScout24.ch.</t>
  </si>
  <si>
    <t>https://www.immoscout24.ch/fr/appartement/acheter/lieu-brig</t>
  </si>
  <si>
    <t>Vendre appartement Brig: Trouvez le bien immobilier qui correspond idéalement à vos désirs sur ImmoScout24 - La plateforme de l'immobilier en Suisse.</t>
  </si>
  <si>
    <t>🏘  L’appartement de vos rêves se trouve sur ImmoScout24.ch ✅ Découvrez les dernières annonces de vente à Brig.</t>
  </si>
  <si>
    <t>https://www.immoscout24.ch/fr/maison/acheter/lieu-mendrisio</t>
  </si>
  <si>
    <t>Vendre maison Mendrisio: Trouvez le bien immobilier qui correspond idéalement à vos désirs sur ImmoScout24 - La plateforme de l'immobilier en Suisse.</t>
  </si>
  <si>
    <t>🏘  Vous souhaitez acheter une maison à Mendrisio? ✅ Jetez un œil aux dernières offres sur ImmoScout24.ch.</t>
  </si>
  <si>
    <t>https://www.immoscout24.ch/fr/maison/acheter/lieu-vers-chez-perrin</t>
  </si>
  <si>
    <t>Vendre maison Vers-chez-Perrin: Trouvez le bien immobilier qui correspond idéalement à vos désirs sur ImmoScout24 - La plateforme de l'immobilier en Suisse.</t>
  </si>
  <si>
    <t>🏘  Vous souhaitez acheter une maison à Vers-chez-Perrin? ✅ Jetez un œil aux dernières offres sur ImmoScout24.ch.</t>
  </si>
  <si>
    <t>https://www.immoscout24.ch/fr/appartement/louer/lieu-wiesendangen</t>
  </si>
  <si>
    <t>Louer appartement Wiesendangen: Trouvez le bien immobilier qui correspond idéalement à vos désirs sur ImmoScout24 - La plateforme de l'immobilier en Suisse.</t>
  </si>
  <si>
    <t>🏘  Vous cherchez un appartement à louer à Wiesendangen? ✅ Les annonces les plus actuelles sont sur ImmoScout24.ch.</t>
  </si>
  <si>
    <t>https://www.immoscout24.ch/fr/maison/acheter/lieu-liesberg-dorf</t>
  </si>
  <si>
    <t>Vendre maison Liesberg Dorf: Trouvez le bien immobilier qui correspond idéalement à vos désirs sur ImmoScout24 - La plateforme de l'immobilier en Suisse.</t>
  </si>
  <si>
    <t>🏘  Vous souhaitez acheter une maison à Liesberg Dorf? ✅ Jetez un œil aux dernières offres sur ImmoScout24.ch.</t>
  </si>
  <si>
    <t>https://www.immoscout24.ch/fr/appartement/louer/lieu-erde</t>
  </si>
  <si>
    <t>Louer appartement Erde: Trouvez le bien immobilier qui correspond idéalement à vos désirs sur ImmoScout24 - La plateforme de l'immobilier en Suisse.</t>
  </si>
  <si>
    <t>🏘  Vous cherchez un appartement à louer à Erde? ✅ Les annonces les plus actuelles sont sur ImmoScout24.ch.</t>
  </si>
  <si>
    <t>https://www.immoscout24.ch/fr/maison/acheter/lieu-la-corbaz</t>
  </si>
  <si>
    <t>Vendre maison La Corbaz: Trouvez le bien immobilier qui correspond idéalement à vos désirs sur ImmoScout24 - La plateforme de l'immobilier en Suisse.</t>
  </si>
  <si>
    <t>🏘  Vous souhaitez acheter une maison à La Corbaz? ✅ Jetez un œil aux dernières offres sur ImmoScout24.ch.</t>
  </si>
  <si>
    <t>https://www.immoscout24.ch/fr/appartement/louer/lieu-puplinge</t>
  </si>
  <si>
    <t>Louer appartement Puplinge: Trouvez le bien immobilier qui correspond idéalement à vos désirs sur ImmoScout24 - La plateforme de l'immobilier en Suisse.</t>
  </si>
  <si>
    <t>🏘  Vous cherchez un appartement à louer à Puplinge? ✅ Les annonces les plus actuelles sont sur ImmoScout24.ch.</t>
  </si>
  <si>
    <t>https://www.immoscout24.ch/fr/maison/acheter/lieu-perroy</t>
  </si>
  <si>
    <t>Vendre maison Perroy: Trouvez le bien immobilier qui correspond idéalement à vos désirs sur ImmoScout24 - La plateforme de l'immobilier en Suisse.</t>
  </si>
  <si>
    <t>🏘  Vous souhaitez acheter une maison à Perroy? ✅ Jetez un œil aux dernières offres sur ImmoScout24.ch.</t>
  </si>
  <si>
    <t>https://www.immoscout24.ch/fr/maison/acheter/lieu-miecourt</t>
  </si>
  <si>
    <t>Vendre maison Miécourt: Trouvez le bien immobilier qui correspond idéalement à vos désirs sur ImmoScout24 - La plateforme de l'immobilier en Suisse.</t>
  </si>
  <si>
    <t>🏘  Vous souhaitez acheter une maison à Miécourt? ✅ Jetez un œil aux dernières offres sur ImmoScout24.ch.</t>
  </si>
  <si>
    <t>https://www.immoscout24.ch/fr/maison/louer/lieu-maracon</t>
  </si>
  <si>
    <t>Louer maison Maracon: Trouvez le bien immobilier qui correspond idéalement à vos désirs sur ImmoScout24 - La plateforme de l'immobilier en Suisse.</t>
  </si>
  <si>
    <t>🏘  Vous cherchez une maison à louer à Maracon? ✅ Découvrez nos nombreuses annonces sur ImmoScout24.ch.</t>
  </si>
  <si>
    <t>https://www.immoscout24.ch/fr/maison/acheter/lieu-corcelles-pres-payerne</t>
  </si>
  <si>
    <t>Vendre maison Corcelles-près-Payerne: Trouvez le bien immobilier qui correspond idéalement à vos désirs sur ImmoScout24 - La plateforme de l'immobilier en Suisse.</t>
  </si>
  <si>
    <t>🏘  Vous souhaitez acheter une maison à Corcelles-près-Payerne? ✅ Jetez un œil aux dernières offres sur ImmoScout24.ch.</t>
  </si>
  <si>
    <t>https://www.immoscout24.ch/fr/appartement/louer/lieu-sissach</t>
  </si>
  <si>
    <t>Louer appartement Sissach: Trouvez le bien immobilier qui correspond idéalement à vos désirs sur ImmoScout24 - La plateforme de l'immobilier en Suisse.</t>
  </si>
  <si>
    <t>🏘  Vous cherchez un appartement à louer à Sissach? ✅ Les annonces les plus actuelles sont sur ImmoScout24.ch.</t>
  </si>
  <si>
    <t>https://www.immoscout24.ch/fr/appartement/acheter/lieu-rochefort</t>
  </si>
  <si>
    <t>Vendre appartement Rochefort: Trouvez le bien immobilier qui correspond idéalement à vos désirs sur ImmoScout24 - La plateforme de l'immobilier en Suisse.</t>
  </si>
  <si>
    <t>🏘  L’appartement de vos rêves se trouve sur ImmoScout24.ch ✅ Découvrez les dernières annonces de vente à Rochefort.</t>
  </si>
  <si>
    <t>https://www.immoscout24.ch/fr/appartement/louer/region-aegerisee</t>
  </si>
  <si>
    <t>Louer appartement Ägerisee: Trouvez le bien immobilier qui correspond idéalement à vos désirs sur ImmoScout24 - La plateforme de l'immobilier en Suisse.</t>
  </si>
  <si>
    <t>🏘  Vous cherchez un appartement à louer près du lac d'Ägeri? ✅ Les annonces les plus actuelles sont sur ImmoScout24.ch.</t>
  </si>
  <si>
    <t>https://www.immoscout24.ch/fr/maison/acheter/lieu-koblenz</t>
  </si>
  <si>
    <t>Vendre maison Koblenz: Trouvez le bien immobilier qui correspond idéalement à vos désirs sur ImmoScout24 - La plateforme de l'immobilier en Suisse.</t>
  </si>
  <si>
    <t>🏘  Vous souhaitez acheter une maison à Koblenz? ✅ Jetez un œil aux dernières offres sur ImmoScout24.ch.</t>
  </si>
  <si>
    <t>https://www.immoscout24.ch/fr/appartement/louer/lieu-engelberg</t>
  </si>
  <si>
    <t>Louer appartement Engelberg: Trouvez le bien immobilier qui correspond idéalement à vos désirs sur ImmoScout24 - La plateforme de l'immobilier en Suisse.</t>
  </si>
  <si>
    <t>🏘  Vous cherchez un appartement à louer à Engelberg? ✅ Les annonces les plus actuelles sont sur ImmoScout24.ch.</t>
  </si>
  <si>
    <t>https://www.immoscout24.ch/fr/appartement/louer/quartier-vignoble-biel-bienne</t>
  </si>
  <si>
    <t>Louer appartement Vignoble (Biel/Bienne): Trouvez le bien immobilier qui correspond idéalement à vos désirs sur ImmoScout24 - La plateforme de l'immobilier en Suisse.</t>
  </si>
  <si>
    <t>🏘  Vous cherchez un appartement à louer dans le quartier du Vignoble (Biel/Bienne)? ✅ Les annonces les plus actuelles sont sur ImmoScout24.ch.</t>
  </si>
  <si>
    <t>https://www.immoscout24.ch/fr/appartement/louer/lieu-vuarrens</t>
  </si>
  <si>
    <t>Louer appartement Vuarrens: Trouvez le bien immobilier qui correspond idéalement à vos désirs sur ImmoScout24 - La plateforme de l'immobilier en Suisse.</t>
  </si>
  <si>
    <t>🏘  Vous cherchez un appartement à louer à Vuarrens? ✅ Les annonces les plus actuelles sont sur ImmoScout24.ch.</t>
  </si>
  <si>
    <t>https://www.immoscout24.ch/fr/maison/acheter/lieu-loveresse</t>
  </si>
  <si>
    <t>Vendre maison Loveresse: Trouvez le bien immobilier qui correspond idéalement à vos désirs sur ImmoScout24 - La plateforme de l'immobilier en Suisse.</t>
  </si>
  <si>
    <t>🏘  Vous souhaitez acheter une maison à Loveresse? ✅ Jetez un œil aux dernières offres sur ImmoScout24.ch.</t>
  </si>
  <si>
    <t>https://www.immoscout24.ch/fr/appartement/louer/lieu-villarimboud</t>
  </si>
  <si>
    <t>Louer appartement Villarimboud: Trouvez le bien immobilier qui correspond idéalement à vos désirs sur ImmoScout24 - La plateforme de l'immobilier en Suisse.</t>
  </si>
  <si>
    <t>🏘  Vous cherchez un appartement à louer à Villarimboud? ✅ Les annonces les plus actuelles sont sur ImmoScout24.ch.</t>
  </si>
  <si>
    <t>https://www.immoscout24.ch/fr/appartement/louer/lieu-bad-zurzach</t>
  </si>
  <si>
    <t>Louer appartement Bad Zurzach: Trouvez le bien immobilier qui correspond idéalement à vos désirs sur ImmoScout24 - La plateforme de l'immobilier en Suisse.</t>
  </si>
  <si>
    <t>🏘  Vous cherchez un appartement à louer à Bad Zurzach? ✅ Les annonces les plus actuelles sont sur ImmoScout24.ch.</t>
  </si>
  <si>
    <t>https://www.immoscout24.ch/fr/maison/acheter/lieu-axalp</t>
  </si>
  <si>
    <t>Vendre maison Axalp: Trouvez le bien immobilier qui correspond idéalement à vos désirs sur ImmoScout24 - La plateforme de l'immobilier en Suisse.</t>
  </si>
  <si>
    <t>🏘  Vous souhaitez acheter une maison à Axalp? ✅ Jetez un œil aux dernières offres sur ImmoScout24.ch.</t>
  </si>
  <si>
    <t>https://www.immoscout24.ch/fr/appartement/louer/canton-berne</t>
  </si>
  <si>
    <t>Louer appartement Canton de Berne: Trouvez le bien immobilier qui correspond idéalement à vos désirs sur ImmoScout24 - La plateforme de l'immobilier en Suisse.</t>
  </si>
  <si>
    <t>🏘  Vous cherchez un appartement à louer dans le Canton de Berne? ✅ Les annonces les plus actuelles sont sur ImmoScout24.ch.</t>
  </si>
  <si>
    <t>https://www.immoscout24.ch/fr/appartement/acheter/lieu-oberdorf-so</t>
  </si>
  <si>
    <t>Vendre appartement Oberdorf SO: Trouvez le bien immobilier qui correspond idéalement à vos désirs sur ImmoScout24 - La plateforme de l'immobilier en Suisse.</t>
  </si>
  <si>
    <t>🏘  L’appartement de vos rêves se trouve sur ImmoScout24.ch ✅ Découvrez les dernières annonces de vente à Oberdorf SO.</t>
  </si>
  <si>
    <t>https://www.immoscout24.ch/fr/appartement/acheter/lieu-bramois</t>
  </si>
  <si>
    <t>Vendre appartement Bramois: Trouvez le bien immobilier qui correspond idéalement à vos désirs sur ImmoScout24 - La plateforme de l'immobilier en Suisse.</t>
  </si>
  <si>
    <t>🏘  L’appartement de vos rêves se trouve sur ImmoScout24.ch ✅ Découvrez les dernières annonces de vente à Bramois.</t>
  </si>
  <si>
    <t>https://www.immoscout24.ch/fr/maison/acheter/lieu-les-crosets</t>
  </si>
  <si>
    <t>Vendre maison Les Crosets: Trouvez le bien immobilier qui correspond idéalement à vos désirs sur ImmoScout24 - La plateforme de l'immobilier en Suisse.</t>
  </si>
  <si>
    <t>🏘  Vous souhaitez acheter une maison aux Crosets? ✅ Jetez un œil aux dernières offres sur ImmoScout24.ch.</t>
  </si>
  <si>
    <t>https://www.immoscout24.ch/fr/appartement/louer/lieu-la-brevine</t>
  </si>
  <si>
    <t>Louer appartement La Brévine: Trouvez le bien immobilier qui correspond idéalement à vos désirs sur ImmoScout24 - La plateforme de l'immobilier en Suisse.</t>
  </si>
  <si>
    <t>🏘  Vous cherchez un appartement à louer à La Brévine? ✅ Les annonces les plus actuelles sont sur ImmoScout24.ch.</t>
  </si>
  <si>
    <t>https://www.immoscout24.ch/fr/maison/louer/lieu-thonex</t>
  </si>
  <si>
    <t>Louer maison Thônex: Trouvez le bien immobilier qui correspond idéalement à vos désirs sur ImmoScout24 - La plateforme de l'immobilier en Suisse.</t>
  </si>
  <si>
    <t>🏘  Vous cherchez une maison à louer à Thônex? ✅ Découvrez nos nombreuses annonces sur ImmoScout24.ch.</t>
  </si>
  <si>
    <t>https://www.immoscout24.ch/fr/maison/acheter/lieu-merzligen</t>
  </si>
  <si>
    <t>Vendre maison Merzligen: Trouvez le bien immobilier qui correspond idéalement à vos désirs sur ImmoScout24 - La plateforme de l'immobilier en Suisse.</t>
  </si>
  <si>
    <t>🏘  Vous souhaitez acheter une maison à Merzligen? ✅ Jetez un œil aux dernières offres sur ImmoScout24.ch.</t>
  </si>
  <si>
    <t>https://www.immoscout24.ch/fr/maison/acheter/region-mendrisiotto</t>
  </si>
  <si>
    <t>Vendre maison Mendrisiotto: Trouvez le bien immobilier qui correspond idéalement à vos désirs sur ImmoScout24 - La plateforme de l'immobilier en Suisse.</t>
  </si>
  <si>
    <t>🏘  Vous souhaitez acheter une maison dans le Mendrisiotto? ✅ Jetez un œil aux dernières offres sur ImmoScout24.ch.</t>
  </si>
  <si>
    <t>https://www.immoscout24.ch/fr/maison/acheter/lieu-colla</t>
  </si>
  <si>
    <t>Vendre maison Colla: Trouvez le bien immobilier qui correspond idéalement à vos désirs sur ImmoScout24 - La plateforme de l'immobilier en Suisse.</t>
  </si>
  <si>
    <t>🏘  Vous souhaitez acheter une maison à Colla? ✅ Jetez un œil aux dernières offres sur ImmoScout24.ch.</t>
  </si>
  <si>
    <t>https://www.immoscout24.ch/fr/appartement/louer/lieu-sevelen</t>
  </si>
  <si>
    <t>Louer appartement Sevelen: Trouvez le bien immobilier qui correspond idéalement à vos désirs sur ImmoScout24 - La plateforme de l'immobilier en Suisse.</t>
  </si>
  <si>
    <t>🏘  Vous cherchez un appartement à louer à Sevelen? ✅ Les annonces les plus actuelles sont sur ImmoScout24.ch.</t>
  </si>
  <si>
    <t>https://www.immoscout24.ch/fr/appartement/louer/lieu-corban</t>
  </si>
  <si>
    <t>Louer appartement Corban: Trouvez le bien immobilier qui correspond idéalement à vos désirs sur ImmoScout24 - La plateforme de l'immobilier en Suisse.</t>
  </si>
  <si>
    <t>🏘  Vous cherchez un appartement à louer à Corban? ✅ Les annonces les plus actuelles sont sur ImmoScout24.ch.</t>
  </si>
  <si>
    <t>https://www.immoscout24.ch/fr/maison/acheter/lieu-lamboing</t>
  </si>
  <si>
    <t>Vendre maison Lamboing: Trouvez le bien immobilier qui correspond idéalement à vos désirs sur ImmoScout24 - La plateforme de l'immobilier en Suisse.</t>
  </si>
  <si>
    <t>🏘  Vous souhaitez acheter une maison à Lamboing? ✅ Jetez un œil aux dernières offres sur ImmoScout24.ch.</t>
  </si>
  <si>
    <t>https://www.immoscout24.ch/fr/appartement/acheter/quartier-sous-gare-ouchy-lausanne</t>
  </si>
  <si>
    <t>Vendre appartement Sous-Gare - Ouchy (Lausanne):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</si>
  <si>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Sous-Gare - Ouchy (Lausanne).</t>
  </si>
  <si>
    <t>https://www.immoscout24.ch/fr/appartement/louer/lieu-rueti-zh</t>
  </si>
  <si>
    <t>Louer appartement Rüti ZH: Trouvez le bien immobilier qui correspond idéalement à vos désirs sur ImmoScout24 - La plateforme de l'immobilier en Suisse.</t>
  </si>
  <si>
    <t>🏘  Vous cherchez un appartement à louer à Rüti ZH? ✅ Les annonces les plus actuelles sont sur ImmoScout24.ch.</t>
  </si>
  <si>
    <t>https://www.immoscout24.ch/fr/appartement/louer/lieu-niederlenz</t>
  </si>
  <si>
    <t>Louer appartement Niederlenz: Trouvez le bien immobilier qui correspond idéalement à vos désirs sur ImmoScout24 - La plateforme de l'immobilier en Suisse.</t>
  </si>
  <si>
    <t>🏘  Vous cherchez un appartement à louer à Niederlenz? ✅ Les annonces les plus actuelles sont sur ImmoScout24.ch.</t>
  </si>
  <si>
    <t>https://www.immoscout24.ch/fr/appartement/acheter/lieu-oberrohrdorf</t>
  </si>
  <si>
    <t>Vendre appartement Oberrohrdorf: Trouvez le bien immobilier qui correspond idéalement à vos désirs sur ImmoScout24 - La plateforme de l'immobilier en Suisse.</t>
  </si>
  <si>
    <t>🏘  L’appartement de vos rêves se trouve sur ImmoScout24.ch ✅ Découvrez les dernières annonces de vente à Oberrohrdorf.</t>
  </si>
  <si>
    <t>https://www.immoscout24.ch/fr/maison/acheter/lieu-st-aubin-fr</t>
  </si>
  <si>
    <t>Vendre maison St-Aubin FR: Trouvez le bien immobilier qui correspond idéalement à vos désirs sur ImmoScout24 - La plateforme de l'immobilier en Suisse.</t>
  </si>
  <si>
    <t>🏘  Vous souhaitez acheter une maison à St-Aubin FR? ✅ Jetez un œil aux dernières offres sur ImmoScout24.ch.</t>
  </si>
  <si>
    <t>https://www.immoscout24.ch/fr/maison/louer/lieu-muenchenbuchsee</t>
  </si>
  <si>
    <t>Louer maison Münchenbuchsee: Trouvez le bien immobilier qui correspond idéalement à vos désirs sur ImmoScout24 - La plateforme de l'immobilier en Suisse.</t>
  </si>
  <si>
    <t>🏘  Vous cherchez une maison à louer à Münchenbuchsee? ✅ Découvrez nos nombreuses annonces sur ImmoScout24.ch.</t>
  </si>
  <si>
    <t>https://www.immoscout24.ch/fr/maison/louer/lieu-wohlen-ag</t>
  </si>
  <si>
    <t>Louer maison Wohlen AG: Trouvez le bien immobilier qui correspond idéalement à vos désirs sur ImmoScout24 - La plateforme de l'immobilier en Suisse.</t>
  </si>
  <si>
    <t>🏘  Vous cherchez une maison à louer à Wohlen AG? ✅ Découvrez nos nombreuses annonces sur ImmoScout24.ch.</t>
  </si>
  <si>
    <t>https://www.immoscout24.ch/fr/appartement/acheter/lieu-les-breuleux</t>
  </si>
  <si>
    <t>Vendre appartement Les Breuleux: Trouvez le bien immobilier qui correspond idéalement à vos désirs sur ImmoScout24 - La plateforme de l'immobilier en Suisse.</t>
  </si>
  <si>
    <t>🏘  L’appartement de vos rêves se trouve sur ImmoScout24.ch ✅ Découvrez les dernières annonces de vente aux Breuleux.</t>
  </si>
  <si>
    <t>https://www.immoscout24.ch/fr/appartement/acheter/lieu-bioggio</t>
  </si>
  <si>
    <t>Vendre appartement Bioggio: Trouvez le bien immobilier qui correspond idéalement à vos désirs sur ImmoScout24 - La plateforme de l'immobilier en Suisse.</t>
  </si>
  <si>
    <t>🏘  L’appartement de vos rêves se trouve sur ImmoScout24.ch ✅ Découvrez les dernières annonces de vente à Bioggio.</t>
  </si>
  <si>
    <t>https://www.immoscout24.ch/fr/appartement/acheter/lieu-morges</t>
  </si>
  <si>
    <t>Vendre appartement Morges: Trouvez le bien immobilier qui correspond idéalement à vos désirs sur ImmoScout24 - La plateforme de l'immobilier en Suisse.</t>
  </si>
  <si>
    <t>🏘  L’appartement de vos rêves se trouve sur ImmoScout24.ch ✅ Découvrez les dernières annonces de vente à Morges.</t>
  </si>
  <si>
    <t>https://www.immoscout24.ch/fr/appartement/louer/lieu-bueren-an-der-aare</t>
  </si>
  <si>
    <t>Louer appartement Büren an der Aare: Trouvez le bien immobilier qui correspond idéalement à vos désirs sur ImmoScout24 - La plateforme de l'immobilier en Suisse.</t>
  </si>
  <si>
    <t>🏘  Vous cherchez un appartement à louer à Büren an der Aare? ✅ Les annonces les plus actuelles sont sur ImmoScout24.ch.</t>
  </si>
  <si>
    <t>https://www.immoscout24.ch/fr/appartement/louer/lieu-uebeschi</t>
  </si>
  <si>
    <t>Louer appartement Uebeschi: Trouvez le bien immobilier qui correspond idéalement à vos désirs sur ImmoScout24 - La plateforme de l'immobilier en Suisse.</t>
  </si>
  <si>
    <t>🏘  Vous cherchez un appartement à louer à Uebeschi? ✅ Les annonces les plus actuelles sont sur ImmoScout24.ch.</t>
  </si>
  <si>
    <t>https://www.immoscout24.ch/fr/appartement/louer/quartier-batie-acacias-geneve</t>
  </si>
  <si>
    <t>Louer appartement Bâtie - Acacias (Genève): Trouvez le bien immobilier qui correspond idéalement à vos désirs sur ImmoScout24 - La plateforme de l'immobilier en Suisse.</t>
  </si>
  <si>
    <t>🏘  Vous cherchez un appartement à louer dans le quartier de Bâtie - Acacias (Genève)? ✅ Les annonces les plus actuelles sont sur ImmoScout24.ch.</t>
  </si>
  <si>
    <t>https://www.immoscout24.ch/fr/appartement/louer/lieu-epalinges</t>
  </si>
  <si>
    <t>Louer appartement Epalinges: Trouvez le bien immobilier qui correspond idéalement à vos désirs sur ImmoScout24 - La plateforme de l'immobilier en Suisse.</t>
  </si>
  <si>
    <t>🏘  Vous cherchez un appartement à louer à Epalinges? ✅ Les annonces les plus actuelles sont sur ImmoScout24.ch.</t>
  </si>
  <si>
    <t>https://www.immoscout24.ch/fr/maison/louer/lieu-st-aubin-fr</t>
  </si>
  <si>
    <t>Louer maison St-Aubin FR: Trouvez le bien immobilier qui correspond idéalement à vos désirs sur ImmoScout24 - La plateforme de l'immobilier en Suisse.</t>
  </si>
  <si>
    <t>🏘  Vous cherchez une maison à louer à St-Aubin FR? ✅ Découvrez nos nombreuses annonces sur ImmoScout24.ch.</t>
  </si>
  <si>
    <t>https://www.immoscout24.ch/fr/appartement/louer/lieu-morcote</t>
  </si>
  <si>
    <t>Louer appartement Morcote: Trouvez le bien immobilier qui correspond idéalement à vos désirs sur ImmoScout24 - La plateforme de l'immobilier en Suisse.</t>
  </si>
  <si>
    <t>🏘  Vous cherchez un appartement à louer à Morcote? ✅ Les annonces les plus actuelles sont sur ImmoScout24.ch.</t>
  </si>
  <si>
    <t>https://www.immoscout24.ch/fr/maison/louer/lieu-vissoie</t>
  </si>
  <si>
    <t>Louer maison Vissoie: Trouvez le bien immobilier qui correspond idéalement à vos désirs sur ImmoScout24 - La plateforme de l'immobilier en Suisse.</t>
  </si>
  <si>
    <t>🏘  Vous cherchez une maison à louer à Vissoie? ✅ Découvrez nos nombreuses annonces sur ImmoScout24.ch.</t>
  </si>
  <si>
    <t>https://www.immoscout24.ch/fr/appartement/acheter/lieu-monte-bre-sopra-locarno</t>
  </si>
  <si>
    <t>Vendre appartement Monte Brè sopra Locarno: Trouvez le bien immobilier qui correspond idéalement à vos désirs sur ImmoScout24 - La plateforme de l'immobilier en Suisse.</t>
  </si>
  <si>
    <t>🏘  L’appartement de vos rêves se trouve sur ImmoScout24.ch ✅ Découvrez les dernières annonces de vente à Monte Brè sopra Locarno.</t>
  </si>
  <si>
    <t>https://www.immoscout24.ch/fr/maison/louer/lieu-corminboeuf</t>
  </si>
  <si>
    <t>Louer maison Corminboeuf: Trouvez le bien immobilier qui correspond idéalement à vos désirs sur ImmoScout24 - La plateforme de l'immobilier en Suisse.</t>
  </si>
  <si>
    <t>🏘  Vous cherchez une maison à louer à Corminboeuf? ✅ Découvrez nos nombreuses annonces sur ImmoScout24.ch.</t>
  </si>
  <si>
    <t>https://www.immoscout24.ch/fr/maison/acheter/lieu-vallon</t>
  </si>
  <si>
    <t>Vendre maison Vallon: Trouvez le bien immobilier qui correspond idéalement à vos désirs sur ImmoScout24 - La plateforme de l'immobilier en Suisse.</t>
  </si>
  <si>
    <t>🏘  Vous souhaitez acheter une maison à Vallon? ✅ Jetez un œil aux dernières offres sur ImmoScout24.ch.</t>
  </si>
  <si>
    <t>https://www.immoscout24.ch/fr/appartement/acheter/lieu-belfaux</t>
  </si>
  <si>
    <t>Vendre appartement Belfaux: Trouvez le bien immobilier qui correspond idéalement à vos désirs sur ImmoScout24 - La plateforme de l'immobilier en Suisse.</t>
  </si>
  <si>
    <t>🏘  L’appartement de vos rêves se trouve sur ImmoScout24.ch ✅ Découvrez les dernières annonces de vente à Belfaux.</t>
  </si>
  <si>
    <t>https://www.immoscout24.ch/fr/appartement/louer/quartier-kirchenfeld-berne</t>
  </si>
  <si>
    <t>Louer appartement Kirchenfeld (Berne): Trouvez le bien immobilier qui correspond idéalement à vos désirs sur ImmoScout24 - La plateforme de l'immobilier en Suisse.</t>
  </si>
  <si>
    <t>🏘  Vous cherchez un appartement à louer dans le quartier de Kirchenfeld (Berne)? ✅ Les annonces les plus actuelles sont sur ImmoScout24.ch.</t>
  </si>
  <si>
    <t>https://www.immoscout24.ch/fr/appartement/acheter/lieu-benken-zh</t>
  </si>
  <si>
    <t>Vendre appartement Benken ZH: Trouvez le bien immobilier qui correspond idéalement à vos désirs sur ImmoScout24 - La plateforme de l'immobilier en Suisse.</t>
  </si>
  <si>
    <t>🏘  L’appartement de vos rêves se trouve sur ImmoScout24.ch ✅ Découvrez les dernières annonces de vente à Benken ZH.</t>
  </si>
  <si>
    <t>https://www.immoscout24.ch/fr/appartement/louer/lieu-schoetz</t>
  </si>
  <si>
    <t>Louer appartement Schötz: Trouvez le bien immobilier qui correspond idéalement à vos désirs sur ImmoScout24 - La plateforme de l'immobilier en Suisse.</t>
  </si>
  <si>
    <t>🏘  Vous cherchez un appartement à louer à Schötz? ✅ Les annonces les plus actuelles sont sur ImmoScout24.ch.</t>
  </si>
  <si>
    <t>https://www.immoscout24.ch/fr/appartement/acheter/lieu-la-croix-lutry</t>
  </si>
  <si>
    <t>Vendre appartement La Croix (Lutry): Trouvez le bien immobilier qui correspond idéalement à vos désirs sur ImmoScout24 - La plateforme de l'immobilier en Suisse.</t>
  </si>
  <si>
    <t>🏘  L’appartement de vos rêves se trouve sur ImmoScout24.ch ✅ Découvrez les dernières annonces de vente à La Croix (Lutry).</t>
  </si>
  <si>
    <t>https://www.immoscout24.ch/fr/maison/louer/lieu-hinwil</t>
  </si>
  <si>
    <t>Louer maison Hinwil: Trouvez le bien immobilier qui correspond idéalement à vos désirs sur ImmoScout24 - La plateforme de l'immobilier en Suisse.</t>
  </si>
  <si>
    <t>🏘  Vous cherchez une maison à louer à Hinwil? ✅ Découvrez nos nombreuses annonces sur ImmoScout24.ch.</t>
  </si>
  <si>
    <t>https://www.immoscout24.ch/fr/maison/louer/lieu-gampelen</t>
  </si>
  <si>
    <t>Louer maison Gampelen: Trouvez le bien immobilier qui correspond idéalement à vos désirs sur ImmoScout24 - La plateforme de l'immobilier en Suisse.</t>
  </si>
  <si>
    <t>🏘  Vous cherchez une maison à louer à Gampelen? ✅ Découvrez nos nombreuses annonces sur ImmoScout24.ch.</t>
  </si>
  <si>
    <t>https://www.immoscout24.ch/fr/maison/louer/lieu-villars-sur-ollon</t>
  </si>
  <si>
    <t>Louer maison Villars-sur-Ollon: Trouvez le bien immobilier qui correspond idéalement à vos désirs sur ImmoScout24 - La plateforme de l'immobilier en Suisse.</t>
  </si>
  <si>
    <t>🏘  Vous cherchez une maison à louer à Villars-sur-Ollon? ✅ Découvrez nos nombreuses annonces sur ImmoScout24.ch.</t>
  </si>
  <si>
    <t>https://www.immoscout24.ch/fr/appartement/louer/lieu-arconciel</t>
  </si>
  <si>
    <t>Louer appartement Arconciel: Trouvez le bien immobilier qui correspond idéalement à vos désirs sur ImmoScout24 - La plateforme de l'immobilier en Suisse.</t>
  </si>
  <si>
    <t>🏘  Vous cherchez un appartement à louer à Arconciel? ✅ Les annonces les plus actuelles sont sur ImmoScout24.ch.</t>
  </si>
  <si>
    <t>https://www.immoscout24.ch/fr/maison/acheter/lieu-adelboden</t>
  </si>
  <si>
    <t>Vendre maison Adelboden: Trouvez le bien immobilier qui correspond idéalement à vos désirs sur ImmoScout24 - La plateforme de l'immobilier en Suisse.</t>
  </si>
  <si>
    <t>🏘  Vous souhaitez acheter une maison à Adelboden? ✅ Jetez un œil aux dernières offres sur ImmoScout24.ch.</t>
  </si>
  <si>
    <t>https://www.immoscout24.ch/fr/appartement/louer/lieu-steckborn</t>
  </si>
  <si>
    <t>Louer appartement Steckborn: Trouvez le bien immobilier qui correspond idéalement à vos désirs sur ImmoScout24 - La plateforme de l'immobilier en Suisse.</t>
  </si>
  <si>
    <t>🏘  Vous cherchez un appartement à louer à Steckborn? ✅ Les annonces les plus actuelles sont sur ImmoScout24.ch.</t>
  </si>
  <si>
    <t>https://www.immoscout24.ch/fr/appartement/louer/lieu-thalwil</t>
  </si>
  <si>
    <t>Louer appartement Thalwil: Trouvez le bien immobilier qui correspond idéalement à vos désirs sur ImmoScout24 - La plateforme de l'immobilier en Suisse.</t>
  </si>
  <si>
    <t>🏘  Vous cherchez un appartement à louer à Thalwil? ✅ Les annonces les plus actuelles sont sur ImmoScout24.ch.</t>
  </si>
  <si>
    <t>https://www.immoscout24.ch/fr/maison/louer/lieu-pieterlen</t>
  </si>
  <si>
    <t>Louer maison Pieterlen: Trouvez le bien immobilier qui correspond idéalement à vos désirs sur ImmoScout24 - La plateforme de l'immobilier en Suisse.</t>
  </si>
  <si>
    <t>🏘  Vous cherchez une maison à louer à Pieterlen? ✅ Découvrez nos nombreuses annonces sur ImmoScout24.ch.</t>
  </si>
  <si>
    <t>https://www.immoscout24.ch/fr/appartement/acheter/lieu-binningen</t>
  </si>
  <si>
    <t>Vendre appartement Binningen: Trouvez le bien immobilier qui correspond idéalement à vos désirs sur ImmoScout24 - La plateforme de l'immobilier en Suisse.</t>
  </si>
  <si>
    <t>🏘  L’appartement de vos rêves se trouve sur ImmoScout24.ch ✅ Découvrez les dernières annonces de vente à Binningen.</t>
  </si>
  <si>
    <t>https://www.immoscout24.ch/fr/maison/acheter/lieu-arbaz</t>
  </si>
  <si>
    <t>Vendre maison Arbaz: Trouvez le bien immobilier qui correspond idéalement à vos désirs sur ImmoScout24 - La plateforme de l'immobilier en Suisse.</t>
  </si>
  <si>
    <t>🏘  Vous souhaitez acheter une maison à Arbaz? ✅ Jetez un œil aux dernières offres sur ImmoScout24.ch.</t>
  </si>
  <si>
    <t>https://www.immoscout24.ch/fr/appartement/acheter/lieu-corsier-sur-vevey</t>
  </si>
  <si>
    <t>Vendre appartement Corsier-sur-Vevey: Trouvez le bien immobilier qui correspond idéalement à vos désirs sur ImmoScout24 - La plateforme de l'immobilier en Suisse.</t>
  </si>
  <si>
    <t>🏘  L’appartement de vos rêves se trouve sur ImmoScout24.ch ✅ Découvrez les dernières annonces de vente à Corsier-sur-Vevey.</t>
  </si>
  <si>
    <t>https://www.immoscout24.ch/fr/appartement/acheter/lieu-cossonay-ville</t>
  </si>
  <si>
    <t>Vendre appartement Cossonay-Ville: Trouvez le bien immobilier qui correspond idéalement à vos désirs sur ImmoScout24 - La plateforme de l'immobilier en Suisse.</t>
  </si>
  <si>
    <t>🏘  L’appartement de vos rêves se trouve sur ImmoScout24.ch ✅ Découvrez les dernières annonces de vente à Cossonay-Ville.</t>
  </si>
  <si>
    <t>https://www.immoscout24.ch/fr/appartement/louer/lieu-moudon</t>
  </si>
  <si>
    <t>Louer appartement Moudon: Trouvez le bien immobilier qui correspond idéalement à vos désirs sur ImmoScout24 - La plateforme de l'immobilier en Suisse.</t>
  </si>
  <si>
    <t>🏘  Vous cherchez un appartement à louer à Moudon? ✅ Les annonces les plus actuelles sont sur ImmoScout24.ch.</t>
  </si>
  <si>
    <t>https://www.immoscout24.ch/fr/appartement/louer/lieu-bazenheid</t>
  </si>
  <si>
    <t>Louer appartement Bazenheid: Trouvez le bien immobilier qui correspond idéalement à vos désirs sur ImmoScout24 - La plateforme de l'immobilier en Suisse.</t>
  </si>
  <si>
    <t>🏘  Vous cherchez un appartement à louer à Bazenheid? ✅ Les annonces les plus actuelles sont sur ImmoScout24.ch.</t>
  </si>
  <si>
    <t>https://www.immoscout24.ch/fr/maison/acheter/region-valais-central</t>
  </si>
  <si>
    <t>Vendre maison Valais Central: Trouvez le bien immobilier qui correspond idéalement à vos désirs sur ImmoScout24 - La plateforme de l'immobilier en Suisse.</t>
  </si>
  <si>
    <t>🏘  Vous souhaitez acheter une maison en  Valais central? ✅ Jetez un œil aux dernières offres sur ImmoScout24.ch.</t>
  </si>
  <si>
    <t>https://www.immoscout24.ch/fr/appartement/louer/lieu-la-neuveville</t>
  </si>
  <si>
    <t>Louer appartement La Neuveville: Trouvez le bien immobilier qui correspond idéalement à vos désirs sur ImmoScout24 - La plateforme de l'immobilier en Suisse.</t>
  </si>
  <si>
    <t>🏘  Vous cherchez un appartement à louer à La Neuveville? ✅ Les annonces les plus actuelles sont sur ImmoScout24.ch.</t>
  </si>
  <si>
    <t>https://www.immoscout24.ch/fr/appartement/acheter/lieu-vaulruz</t>
  </si>
  <si>
    <t>Vendre appartement Vaulruz: Trouvez le bien immobilier qui correspond idéalement à vos désirs sur ImmoScout24 - La plateforme de l'immobilier en Suisse.</t>
  </si>
  <si>
    <t>🏘  L’appartement de vos rêves se trouve sur ImmoScout24.ch ✅ Découvrez les dernières annonces de vente à Vaulruz.</t>
  </si>
  <si>
    <t>https://www.immoscout24.ch/fr/appartement/louer/lieu-ins</t>
  </si>
  <si>
    <t>Louer appartement Ins: Trouvez le bien immobilier qui correspond idéalement à vos désirs sur ImmoScout24 - La plateforme de l'immobilier en Suisse.</t>
  </si>
  <si>
    <t>🏘  Vous cherchez un appartement à louer à Ins? ✅ Les annonces les plus actuelles sont sur ImmoScout24.ch.</t>
  </si>
  <si>
    <t>https://www.immoscout24.ch/fr/appartement/louer/lieu-muenchenwiler</t>
  </si>
  <si>
    <t>Louer appartement Münchenwiler: Trouvez le bien immobilier qui correspond idéalement à vos désirs sur ImmoScout24 - La plateforme de l'immobilier en Suisse.</t>
  </si>
  <si>
    <t>🏘  Vous cherchez un appartement à louer à Münchenwiler? ✅ Les annonces les plus actuelles sont sur ImmoScout24.ch.</t>
  </si>
  <si>
    <t>https://www.immoscout24.ch/fr/maison/acheter/lieu-safenwil</t>
  </si>
  <si>
    <t>Vendre maison Safenwil: Trouvez le bien immobilier qui correspond idéalement à vos désirs sur ImmoScout24 - La plateforme de l'immobilier en Suisse.</t>
  </si>
  <si>
    <t>🏘  Vous souhaitez acheter une maison à Safenwil? ✅ Jetez un œil aux dernières offres sur ImmoScout24.ch.</t>
  </si>
  <si>
    <t>https://www.immoscout24.ch/fr/appartement/acheter/lieu-sachseln</t>
  </si>
  <si>
    <t>Vendre appartement Sachseln: Trouvez le bien immobilier qui correspond idéalement à vos désirs sur ImmoScout24 - La plateforme de l'immobilier en Suisse.</t>
  </si>
  <si>
    <t>🏘  L’appartement de vos rêves se trouve sur ImmoScout24.ch ✅ Découvrez les dernières annonces de vente à Sachseln.</t>
  </si>
  <si>
    <t>https://www.immoscout24.ch/fr/appartement/louer/lieu-lully-vd</t>
  </si>
  <si>
    <t>Louer appartement Lully VD: Trouvez le bien immobilier qui correspond idéalement à vos désirs sur ImmoScout24 - La plateforme de l'immobilier en Suisse.</t>
  </si>
  <si>
    <t>🏘  Vous cherchez un appartement à louer à Lully VD? ✅ Les annonces les plus actuelles sont sur ImmoScout24.ch.</t>
  </si>
  <si>
    <t>https://www.immoscout24.ch/fr/maison/acheter/lieu-mezzovico</t>
  </si>
  <si>
    <t>Vendre maison Mezzovico: Trouvez le bien immobilier qui correspond idéalement à vos désirs sur ImmoScout24 - La plateforme de l'immobilier en Suisse.</t>
  </si>
  <si>
    <t>🏘  Vous souhaitez acheter une maison à Mezzovico? ✅ Jetez un œil aux dernières offres sur ImmoScout24.ch.</t>
  </si>
  <si>
    <t>https://www.immoscout24.ch/fr/appartement/louer/region-lac-majeur</t>
  </si>
  <si>
    <t>Louer appartement Lac Majeur: Trouvez le bien immobilier qui correspond idéalement à vos désirs sur ImmoScout24 - La plateforme de l'immobilier en Suisse.</t>
  </si>
  <si>
    <t>🏘  Vous cherchez un appartement à louer près du Lac Majeur? ✅ Les annonces les plus actuelles sont sur ImmoScout24.ch.</t>
  </si>
  <si>
    <t>https://www.immoscout24.ch/fr/maison/acheter/lieu-dardagny</t>
  </si>
  <si>
    <t>Vendre maison Dardagny: Trouvez le bien immobilier qui correspond idéalement à vos désirs sur ImmoScout24 - La plateforme de l'immobilier en Suisse.</t>
  </si>
  <si>
    <t>🏘  Vous souhaitez acheter une maison à Dardagny? ✅ Jetez un œil aux dernières offres sur ImmoScout24.ch.</t>
  </si>
  <si>
    <t>https://www.immoscout24.ch/fr/maison/acheter/region-jura-bernois</t>
  </si>
  <si>
    <t>Vendre maison Jura Bernois: Trouvez le bien immobilier qui correspond idéalement à vos désirs sur ImmoScout24 - La plateforme de l'immobilier en Suisse.</t>
  </si>
  <si>
    <t>🏘  Vous souhaitez acheter une maison dans le Jura bernois? ✅ Jetez un œil aux dernières offres sur ImmoScout24.ch.</t>
  </si>
  <si>
    <t>https://www.immoscout24.ch/fr/maison/acheter/lieu-bougy-villars</t>
  </si>
  <si>
    <t>Vendre maison Bougy-Villars: Trouvez le bien immobilier qui correspond idéalement à vos désirs sur ImmoScout24 - La plateforme de l'immobilier en Suisse.</t>
  </si>
  <si>
    <t>🏘  Vous souhaitez acheter une maison à Bougy-Villars? ✅ Jetez un œil aux dernières offres sur ImmoScout24.ch.</t>
  </si>
  <si>
    <t>https://www.immoscout24.ch/fr/appartement/louer/lieu-root</t>
  </si>
  <si>
    <t>Louer appartement Root: Trouvez le bien immobilier qui correspond idéalement à vos désirs sur ImmoScout24 - La plateforme de l'immobilier en Suisse.</t>
  </si>
  <si>
    <t>🏘  Vous cherchez un appartement à louer à Root? ✅ Les annonces les plus actuelles sont sur ImmoScout24.ch.</t>
  </si>
  <si>
    <t>https://www.immoscout24.ch/fr/maison/acheter/lieu-pont-la-ville</t>
  </si>
  <si>
    <t>Vendre maison Pont-la-Ville: Trouvez le bien immobilier qui correspond idéalement à vos désirs sur ImmoScout24 - La plateforme de l'immobilier en Suisse.</t>
  </si>
  <si>
    <t>🏘  Vous souhaitez acheter une maison à Pont-la-Ville? ✅ Jetez un œil aux dernières offres sur ImmoScout24.ch.</t>
  </si>
  <si>
    <t>https://www.immoscout24.ch/fr/appartement/louer/lieu-guettingen</t>
  </si>
  <si>
    <t>Louer appartement Güttingen: Trouvez le bien immobilier qui correspond idéalement à vos désirs sur ImmoScout24 - La plateforme de l'immobilier en Suisse.</t>
  </si>
  <si>
    <t>🏘  Vous cherchez un appartement à louer à Güttingen? ✅ Les annonces les plus actuelles sont sur ImmoScout24.ch.</t>
  </si>
  <si>
    <t>https://www.immoscout24.ch/fr/appartement/louer/lieu-levron</t>
  </si>
  <si>
    <t>Louer appartement Levron: Trouvez le bien immobilier qui correspond idéalement à vos désirs sur ImmoScout24 - La plateforme de l'immobilier en Suisse.</t>
  </si>
  <si>
    <t>🏘  Vous cherchez un appartement à louer auvron? ✅ Les annonces les plus actuelles sont sur ImmoScout24.ch.</t>
  </si>
  <si>
    <t>https://www.immoscout24.ch/fr/maison/acheter/quartier-chailly-rovereaz-lausanne</t>
  </si>
  <si>
    <t>Vendre maison Chailly - Rovéréaz (Lausanne): Trouvez le bien immobilier qui correspond idéalement à vos désirs sur ImmoScout24 - La plateforme de l'immobilier en Suisse.</t>
  </si>
  <si>
    <t>🏘  Vous souhaitez acheter une maison dans le quartier de Chailly - Rovéréaz (Lausanne)? ✅ Jetez un œil aux dernières offres sur ImmoScout24.ch.</t>
  </si>
  <si>
    <t>https://www.immoscout24.ch/fr/maison/acheter/lieu-pringy</t>
  </si>
  <si>
    <t>Vendre maison Pringy: Trouvez le bien immobilier qui correspond idéalement à vos désirs sur ImmoScout24 - La plateforme de l'immobilier en Suisse.</t>
  </si>
  <si>
    <t>🏘  Vous souhaitez acheter une maison à Pringy? ✅ Jetez un œil aux dernières offres sur ImmoScout24.ch.</t>
  </si>
  <si>
    <t>https://www.immoscout24.ch/fr/maison/acheter/quartier-valcolla-lugano</t>
  </si>
  <si>
    <t>Vendre maison Valcolla (Lugano): Trouvez le bien immobilier qui correspond idéalement à vos désirs sur ImmoScout24 - La plateforme de l'immobilier en Suisse.</t>
  </si>
  <si>
    <t>🏘  Vous souhaitez acheter une maison dans le quartier de Valcolla (Lugano)? ✅ Jetez un œil aux dernières offres sur ImmoScout24.ch.</t>
  </si>
  <si>
    <t>https://www.immoscout24.ch/fr/maison/louer/lieu-lussery-villars</t>
  </si>
  <si>
    <t>Louer maison Lussery-Villars: Trouvez le bien immobilier qui correspond idéalement à vos désirs sur ImmoScout24 - La plateforme de l'immobilier en Suisse.</t>
  </si>
  <si>
    <t>🏘  Vous cherchez une maison à louer à Lussery-Villars? ✅ Découvrez nos nombreuses annonces sur ImmoScout24.ch.</t>
  </si>
  <si>
    <t>https://www.immoscout24.ch/fr/maison/louer/lieu-tavannes</t>
  </si>
  <si>
    <t>Louer maison Tavannes: Trouvez le bien immobilier qui correspond idéalement à vos désirs sur ImmoScout24 - La plateforme de l'immobilier en Suisse.</t>
  </si>
  <si>
    <t>🏘  Vous cherchez une maison à louer à Tavannes? ✅ Découvrez nos nombreuses annonces sur ImmoScout24.ch.</t>
  </si>
  <si>
    <t>https://www.immoscout24.ch/fr/appartement/louer/pays-autriche</t>
  </si>
  <si>
    <t>Louer appartement Autriche: Trouvez le bien immobilier qui correspond idéalement à vos désirs sur ImmoScout24 - La plateforme de l'immobilier en Suisse.</t>
  </si>
  <si>
    <t>🏘  Vous cherchez un appartement à louer en Autriche? ✅ Les annonces les plus actuelles sont sur ImmoScout24.ch.</t>
  </si>
  <si>
    <t>https://www.immoscout24.ch/fr/appartement/louer/lieu-brenles</t>
  </si>
  <si>
    <t>Louer appartement Brenles: Trouvez le bien immobilier qui correspond idéalement à vos désirs sur ImmoScout24 - La plateforme de l'immobilier en Suisse.</t>
  </si>
  <si>
    <t>🏘  Vous cherchez un appartement à louer à Brenles? ✅ Les annonces les plus actuelles sont sur ImmoScout24.ch.</t>
  </si>
  <si>
    <t>https://www.immoscout24.ch/fr/maison/acheter/lieu-marin-epagnier</t>
  </si>
  <si>
    <t>Vendre maison Marin-Epagnier: Trouvez le bien immobilier qui correspond idéalement à vos désirs sur ImmoScout24 - La plateforme de l'immobilier en Suisse.</t>
  </si>
  <si>
    <t>🏘  Vous souhaitez acheter une maison à Marin-Epagnier? ✅ Jetez un œil aux dernières offres sur ImmoScout24.ch.</t>
  </si>
  <si>
    <t>https://www.immoscout24.ch/fr/appartement/louer/lieu-boecourt</t>
  </si>
  <si>
    <t>Louer appartement Boécourt: Trouvez le bien immobilier qui correspond idéalement à vos désirs sur ImmoScout24 - La plateforme de l'immobilier en Suisse.</t>
  </si>
  <si>
    <t>🏘  Vous cherchez un appartement à louer à Boécourt? ✅ Les annonces les plus actuelles sont sur ImmoScout24.ch.</t>
  </si>
  <si>
    <t>https://www.immoscout24.ch/fr/maison/acheter/lieu-dozwil</t>
  </si>
  <si>
    <t>Vendre maison Dozwil: Trouvez le bien immobilier qui correspond idéalement à vos désirs sur ImmoScout24 - La plateforme de l'immobilier en Suisse.</t>
  </si>
  <si>
    <t>🏘  Vous souhaitez acheter une maison à Dozwil? ✅ Jetez un œil aux dernières offres sur ImmoScout24.ch.</t>
  </si>
  <si>
    <t>https://www.immoscout24.ch/fr/maison/acheter/lieu-sutz</t>
  </si>
  <si>
    <t>Vendre maison Sutz: Trouvez le bien immobilier qui correspond idéalement à vos désirs sur ImmoScout24 - La plateforme de l'immobilier en Suisse.</t>
  </si>
  <si>
    <t>🏘  Vous souhaitez acheter une maison à Sutz? ✅ Jetez un œil aux dernières offres sur ImmoScout24.ch.</t>
  </si>
  <si>
    <t>https://www.immoscout24.ch/fr/appartement/louer/lieu-rueyres</t>
  </si>
  <si>
    <t>Louer appartement Rueyres: Trouvez le bien immobilier qui correspond idéalement à vos désirs sur ImmoScout24 - La plateforme de l'immobilier en Suisse.</t>
  </si>
  <si>
    <t>🏘  Vous cherchez un appartement à louer à Rueyres? ✅ Les annonces les plus actuelles sont sur ImmoScout24.ch.</t>
  </si>
  <si>
    <t>https://www.immoscout24.ch/fr/maison/acheter/lieu-fenin</t>
  </si>
  <si>
    <t>Vendre maison Fenin: Trouvez le bien immobilier qui correspond idéalement à vos désirs sur ImmoScout24 - La plateforme de l'immobilier en Suisse.</t>
  </si>
  <si>
    <t>🏘  Vous souhaitez acheter une maison à Fenin? ✅ Jetez un œil aux dernières offres sur ImmoScout24.ch.</t>
  </si>
  <si>
    <t>https://www.immoscout24.ch/fr/appartement/acheter/lieu-arzier-le-muids</t>
  </si>
  <si>
    <t>Vendre appartement Arzier-Le Muids: Trouvez le bien immobilier qui correspond idéalement à vos désirs sur ImmoScout24 - La plateforme de l'immobilier en Suisse.</t>
  </si>
  <si>
    <t>🏘  L’appartement de vos rêves se trouve sur ImmoScout24.ch ✅ Découvrez les dernières annonces de vente à Arzier-Le Muids.</t>
  </si>
  <si>
    <t>https://www.immoscout24.ch/fr/appartement/louer/lieu-bremgarten-b-bern</t>
  </si>
  <si>
    <t>Louer appartement Bremgarten b. Bern: Trouvez le bien immobilier qui correspond idéalement à vos désirs sur ImmoScout24 - La plateforme de l'immobilier en Suisse.</t>
  </si>
  <si>
    <t>🏘  Vous cherchez un appartement à louer à Bremgarten b. Bern? ✅ Les annonces les plus actuelles sont sur ImmoScout24.ch.</t>
  </si>
  <si>
    <t>https://www.immoscout24.ch/fr/maison/acheter/lieu-attiswil</t>
  </si>
  <si>
    <t>Vendre maison Attiswil: Trouvez le bien immobilier qui correspond idéalement à vos désirs sur ImmoScout24 - La plateforme de l'immobilier en Suisse.</t>
  </si>
  <si>
    <t>🏘  Vous souhaitez acheter une maison à Attiswil? ✅ Jetez un œil aux dernières offres sur ImmoScout24.ch.</t>
  </si>
  <si>
    <t>https://www.immoscout24.ch/fr/appartement/acheter/quartier-maupas-valency-lausanne</t>
  </si>
  <si>
    <t>Vendre appartement Maupas - Valency (Lausanne):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</si>
  <si>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Maupas - Valency (Lausanne).</t>
  </si>
  <si>
    <t>https://www.immoscout24.ch/fr/maison/acheter/region-jura-vaudois</t>
  </si>
  <si>
    <t>Vendre maison Jura Vaudois: Trouvez le bien immobilier qui correspond idéalement à vos désirs sur ImmoScout24 - La plateforme de l'immobilier en Suisse.</t>
  </si>
  <si>
    <t>🏘  Vous souhaitez acheter une maison dans le Jura vaudois? ✅ Jetez un œil aux dernières offres sur ImmoScout24.ch.</t>
  </si>
  <si>
    <t>https://www.immoscout24.ch/fr/maison/acheter/lieu-corpataux-magnedens</t>
  </si>
  <si>
    <t>Vendre maison Corpataux: Trouvez le bien immobilier qui correspond idéalement à vos désirs sur ImmoScout24 - La plateforme de l'immobilier en Suisse.</t>
  </si>
  <si>
    <t>🏘  Vous souhaitez acheter une maison à Corpataux? ✅ Jetez un œil aux dernières offres sur ImmoScout24.ch.</t>
  </si>
  <si>
    <t>https://www.immoscout24.ch/fr/maison/acheter/region-bellinzone</t>
  </si>
  <si>
    <t>Vendre maison Bellinzone: Trouvez le bien immobilier qui correspond idéalement à vos désirs sur ImmoScout24 - La plateforme de l'immobilier en Suisse.</t>
  </si>
  <si>
    <t>🏘  Vous souhaitez acheter une maison à Bellinzone? ✅ Jetez un œil aux dernières offres sur ImmoScout24.ch.</t>
  </si>
  <si>
    <t>https://www.immoscout24.ch/fr/appartement/acheter/lieu-savigny</t>
  </si>
  <si>
    <t>Vendre appartement Savigny: Trouvez le bien immobilier qui correspond idéalement à vos désirs sur ImmoScout24 - La plateforme de l'immobilier en Suisse.</t>
  </si>
  <si>
    <t>🏘  L’appartement de vos rêves se trouve sur ImmoScout24.ch ✅ Découvrez les dernières annonces de vente à Savigny.</t>
  </si>
  <si>
    <t>https://www.immoscout24.ch/fr/maison/louer/lieu-tentlingen</t>
  </si>
  <si>
    <t>Louer maison Tentlingen: Trouvez le bien immobilier qui correspond idéalement à vos désirs sur ImmoScout24 - La plateforme de l'immobilier en Suisse.</t>
  </si>
  <si>
    <t>🏘  Vous cherchez une maison à louer à Tentlingen? ✅ Découvrez nos nombreuses annonces sur ImmoScout24.ch.</t>
  </si>
  <si>
    <t>https://www.immoscout24.ch/fr/maison/acheter/lieu-oberwald</t>
  </si>
  <si>
    <t>Vendre maison Oberwald: Trouvez le bien immobilier qui correspond idéalement à vos désirs sur ImmoScout24 - La plateforme de l'immobilier en Suisse.</t>
  </si>
  <si>
    <t>🏘  Vous souhaitez acheter une maison à Oberwald? ✅ Jetez un œil aux dernières offres sur ImmoScout24.ch.</t>
  </si>
  <si>
    <t>https://www.immoscout24.ch/fr/maison/acheter/lieu-servion</t>
  </si>
  <si>
    <t>Vendre maison Servion: Trouvez le bien immobilier qui correspond idéalement à vos désirs sur ImmoScout24 - La plateforme de l'immobilier en Suisse.</t>
  </si>
  <si>
    <t>🏘  Vous souhaitez acheter une maison à Servion? ✅ Jetez un œil aux dernières offres sur ImmoScout24.ch.</t>
  </si>
  <si>
    <t>https://www.immoscout24.ch/fr/appartement/louer/lieu-locarno</t>
  </si>
  <si>
    <t>Louer appartement Locarno: Trouvez le bien immobilier qui correspond idéalement à vos désirs sur ImmoScout24 - La plateforme de l'immobilier en Suisse.</t>
  </si>
  <si>
    <t>🏘  Vous cherchez un appartement à louer à Locarno? ✅ Les annonces les plus actuelles sont sur ImmoScout24.ch.</t>
  </si>
  <si>
    <t>https://www.immoscout24.ch/fr/maison/louer/lieu-la-croix-lutry</t>
  </si>
  <si>
    <t>Louer maison La Croix (Lutry): Trouvez le bien immobilier qui correspond idéalement à vos désirs sur ImmoScout24 - La plateforme de l'immobilier en Suisse.</t>
  </si>
  <si>
    <t>🏘  Vous cherchez une maison à louer à La Croix (Lutry)? ✅ Découvrez nos nombreuses annonces sur ImmoScout24.ch.</t>
  </si>
  <si>
    <t>https://www.immoscout24.ch/fr/maison/acheter/lieu-romairon</t>
  </si>
  <si>
    <t>Vendre maison Romairon: Trouvez le bien immobilier qui correspond idéalement à vos désirs sur ImmoScout24 - La plateforme de l'immobilier en Suisse.</t>
  </si>
  <si>
    <t>🏘  Vous souhaitez acheter une maison à Romairon? ✅ Jetez un œil aux dernières offres sur ImmoScout24.ch.</t>
  </si>
  <si>
    <t>https://www.immoscout24.ch/fr/appartement/acheter/lieu-biglen</t>
  </si>
  <si>
    <t>Vendre appartement Biglen: Trouvez le bien immobilier qui correspond idéalement à vos désirs sur ImmoScout24 - La plateforme de l'immobilier en Suisse.</t>
  </si>
  <si>
    <t>🏘  L’appartement de vos rêves se trouve sur ImmoScout24.ch ✅ Découvrez les dernières annonces de vente à Biglen.</t>
  </si>
  <si>
    <t>https://www.immoscout24.ch/fr/appartement/acheter/lieu-ollon-vd</t>
  </si>
  <si>
    <t>Vendre appartement Ollon VD: Trouvez le bien immobilier qui correspond idéalement à vos désirs sur ImmoScout24 - La plateforme de l'immobilier en Suisse.</t>
  </si>
  <si>
    <t>🏘  L’appartement de vos rêves se trouve sur ImmoScout24.ch ✅ Découvrez les dernières annonces de vente à Ollon VD.</t>
  </si>
  <si>
    <t>https://www.immoscout24.ch/fr/maison/acheter/lieu-treytorrens-payerne</t>
  </si>
  <si>
    <t>Vendre maison Treytorrens (Payerne): Trouvez le bien immobilier qui correspond idéalement à vos désirs sur ImmoScout24 - La plateforme de l'immobilier en Suisse.</t>
  </si>
  <si>
    <t>🏘  Vous souhaitez acheter une maison à Treytorrens (Payerne)? ✅ Jetez un œil aux dernières offres sur ImmoScout24.ch.</t>
  </si>
  <si>
    <t>https://www.immoscout24.ch/fr/appartement/acheter/lieu-visperterminen</t>
  </si>
  <si>
    <t>Vendre appartement Visperterminen: Trouvez le bien immobilier qui correspond idéalement à vos désirs sur ImmoScout24 - La plateforme de l'immobilier en Suisse.</t>
  </si>
  <si>
    <t>🏘  L’appartement de vos rêves se trouve sur ImmoScout24.ch ✅ Découvrez les dernières annonces de vente à Visperterminen.</t>
  </si>
  <si>
    <t>https://www.immoscout24.ch/fr/maison/acheter/lieu-hoeri</t>
  </si>
  <si>
    <t>Vendre maison Höri: Trouvez le bien immobilier qui correspond idéalement à vos désirs sur ImmoScout24 - La plateforme de l'immobilier en Suisse.</t>
  </si>
  <si>
    <t>🏘  Vous souhaitez acheter une maison à Höri? ✅ Jetez un œil aux dernières offres sur ImmoScout24.ch.</t>
  </si>
  <si>
    <t>https://www.immoscout24.ch/fr/appartement/louer/pays-maroc</t>
  </si>
  <si>
    <t>Louer appartement Maroc: Trouvez le bien immobilier qui correspond idéalement à vos désirs sur ImmoScout24 - La plateforme de l'immobilier en Suisse.</t>
  </si>
  <si>
    <t>https://www.immoscout24.ch/fr/appartement/louer/lieu-st-severin</t>
  </si>
  <si>
    <t>Louer appartement St-Séverin: Trouvez le bien immobilier qui correspond idéalement à vos désirs sur ImmoScout24 - La plateforme de l'immobilier en Suisse.</t>
  </si>
  <si>
    <t>🏘  Vous cherchez un appartement à louer à St-Séverin? ✅ Les annonces les plus actuelles sont sur ImmoScout24.ch.</t>
  </si>
  <si>
    <t>https://www.immoscout24.ch/fr/maison/acheter/lieu-courgenay</t>
  </si>
  <si>
    <t>Vendre maison Courgenay: Trouvez le bien immobilier qui correspond idéalement à vos désirs sur ImmoScout24 - La plateforme de l'immobilier en Suisse.</t>
  </si>
  <si>
    <t>🏘  Vous souhaitez acheter une maison à Courgenay? ✅ Jetez un œil aux dernières offres sur ImmoScout24.ch.</t>
  </si>
  <si>
    <t>https://www.immoscout24.ch/fr/appartement/acheter/lieu-fetigny</t>
  </si>
  <si>
    <t>Vendre appartement Fétigny: Trouvez le bien immobilier qui correspond idéalement à vos désirs sur ImmoScout24 - La plateforme de l'immobilier en Suisse.</t>
  </si>
  <si>
    <t>🏘  L’appartement de vos rêves se trouve sur ImmoScout24.ch ✅ Découvrez les dernières annonces de vente à Fétigny.</t>
  </si>
  <si>
    <t>https://www.immoscout24.ch/fr/appartement/louer/lieu-fischbach-goeslikon</t>
  </si>
  <si>
    <t>Louer appartement Fischbach-Göslikon: Trouvez le bien immobilier qui correspond idéalement à vos désirs sur ImmoScout24 - La plateforme de l'immobilier en Suisse.</t>
  </si>
  <si>
    <t>🏘  Vous cherchez un appartement à louer à Fischbach-Göslikon? ✅ Les annonces les plus actuelles sont sur ImmoScout24.ch.</t>
  </si>
  <si>
    <t>https://www.immoscout24.ch/fr/maison/louer/lieu-cottens-vd</t>
  </si>
  <si>
    <t>Louer maison Cottens VD: Trouvez le bien immobilier qui correspond idéalement à vos désirs sur ImmoScout24 - La plateforme de l'immobilier en Suisse.</t>
  </si>
  <si>
    <t>🏘  Vous cherchez une maison à louer à Cottens VD? ✅ Découvrez nos nombreuses annonces sur ImmoScout24.ch.</t>
  </si>
  <si>
    <t>https://www.immoscout24.ch/fr/maison/louer/lieu-st-romain-ayent</t>
  </si>
  <si>
    <t>Louer maison St-Romain (Ayent): Trouvez le bien immobilier qui correspond idéalement à vos désirs sur ImmoScout24 - La plateforme de l'immobilier en Suisse.</t>
  </si>
  <si>
    <t>🏘  Vous cherchez une maison à louer à St-Romain (Ayent)? ✅ Découvrez nos nombreuses annonces sur ImmoScout24.ch.</t>
  </si>
  <si>
    <t>https://www.immoscout24.ch/fr/appartement/louer/lieu-vinzel</t>
  </si>
  <si>
    <t>Louer appartement Vinzel: Trouvez le bien immobilier qui correspond idéalement à vos désirs sur ImmoScout24 - La plateforme de l'immobilier en Suisse.</t>
  </si>
  <si>
    <t>🏘  Vous cherchez un appartement à louer à Vinzel? ✅ Les annonces les plus actuelles sont sur ImmoScout24.ch.</t>
  </si>
  <si>
    <t>https://www.immoscout24.ch/fr/appartement/louer/lieu-cham</t>
  </si>
  <si>
    <t>Louer appartement Cham: Trouvez le bien immobilier qui correspond idéalement à vos désirs sur ImmoScout24 - La plateforme de l'immobilier en Suisse.</t>
  </si>
  <si>
    <t>🏘  Vous cherchez un appartement à louer à Cham? ✅ Les annonces les plus actuelles sont sur ImmoScout24.ch.</t>
  </si>
  <si>
    <t>https://www.immoscout24.ch/fr/maison/acheter/lieu-montagne-de-courtelary</t>
  </si>
  <si>
    <t>Vendre maison Montagne-de-Courtelary: Trouvez le bien immobilier qui correspond idéalement à vos désirs sur ImmoScout24 - La plateforme de l'immobilier en Suisse.</t>
  </si>
  <si>
    <t>🏘  Vous souhaitez acheter une maison à Montagne-de-Courtelary? ✅ Jetez un œil aux dernières offres sur ImmoScout24.ch.</t>
  </si>
  <si>
    <t>https://www.immoscout24.ch/fr/maison/acheter/quartier-carona-lugano</t>
  </si>
  <si>
    <t>Vendre maison Carona (Lugano): Trouvez le bien immobilier qui correspond idéalement à vos désirs sur ImmoScout24 - La plateforme de l'immobilier en Suisse.</t>
  </si>
  <si>
    <t>🏘  Vous souhaitez acheter une maison dans le quartier de Carona (Lugano)? ✅ Jetez un œil aux dernières offres sur ImmoScout24.ch.</t>
  </si>
  <si>
    <t>https://www.immoscout24.ch/fr/appartement/acheter/lieu-st-gallen</t>
  </si>
  <si>
    <t>Vendre appartement St. Gallen: Trouvez le bien immobilier qui correspond idéalement à vos désirs sur ImmoScout24 - La plateforme de l'immobilier en Suisse.</t>
  </si>
  <si>
    <t>🏘  L’appartement de vos rêves se trouve sur ImmoScout24.ch ✅ Découvrez les dernières annonces de vente à St. Gallen.</t>
  </si>
  <si>
    <t>https://www.immoscout24.ch/fr/maison/acheter/lieu-seuzach</t>
  </si>
  <si>
    <t>Vendre maison Seuzach: Trouvez le bien immobilier qui correspond idéalement à vos désirs sur ImmoScout24 - La plateforme de l'immobilier en Suisse.</t>
  </si>
  <si>
    <t>🏘  Vous souhaitez acheter une maison à Seuzach? ✅ Jetez un œil aux dernières offres sur ImmoScout24.ch.</t>
  </si>
  <si>
    <t>https://www.immoscout24.ch/fr/appartement/louer/lieu-faulensee</t>
  </si>
  <si>
    <t>Louer appartement Faulensee: Trouvez le bien immobilier qui correspond idéalement à vos désirs sur ImmoScout24 - La plateforme de l'immobilier en Suisse.</t>
  </si>
  <si>
    <t>🏘  Vous cherchez un appartement à louer à Faulensee? ✅ Les annonces les plus actuelles sont sur ImmoScout24.ch.</t>
  </si>
  <si>
    <t>https://www.immoscout24.ch/fr/maison/acheter/pays-roumanie</t>
  </si>
  <si>
    <t>Vendre maison Roumanie: Trouvez le bien immobilier qui correspond idéalement à vos désirs sur ImmoScout24 - La plateforme de l'immobilier en Suisse.</t>
  </si>
  <si>
    <t>https://www.immoscout24.ch/fr/maison/acheter/lieu-wengen</t>
  </si>
  <si>
    <t>Vendre maison Wengen: Trouvez le bien immobilier qui correspond idéalement à vos désirs sur ImmoScout24 - La plateforme de l'immobilier en Suisse.</t>
  </si>
  <si>
    <t>🏘  Vous souhaitez acheter une maison à Wengen? ✅ Jetez un œil aux dernières offres sur ImmoScout24.ch.</t>
  </si>
  <si>
    <t>https://www.immoscout24.ch/fr/maison/acheter/lieu-misery</t>
  </si>
  <si>
    <t>Vendre maison Misery: Trouvez le bien immobilier qui correspond idéalement à vos désirs sur ImmoScout24 - La plateforme de l'immobilier en Suisse.</t>
  </si>
  <si>
    <t>🏘  Vous souhaitez acheter une maison à Misery? ✅ Jetez un œil aux dernières offres sur ImmoScout24.ch.</t>
  </si>
  <si>
    <t>https://www.immoscout24.ch/fr/appartement/louer/lieu-corcelles-be</t>
  </si>
  <si>
    <t>Louer appartement Corcelles BE: Trouvez le bien immobilier qui correspond idéalement à vos désirs sur ImmoScout24 - La plateforme de l'immobilier en Suisse.</t>
  </si>
  <si>
    <t>🏘  Vous cherchez un appartement à louer à Corcelles BE? ✅ Les annonces les plus actuelles sont sur ImmoScout24.ch.</t>
  </si>
  <si>
    <t>https://www.immoscout24.ch/fr/maison/louer/lieu-le-grand-saconnex</t>
  </si>
  <si>
    <t>Louer maison Le Grand-Saconnex: Trouvez le bien immobilier qui correspond idéalement à vos désirs sur ImmoScout24 - La plateforme de l'immobilier en Suisse.</t>
  </si>
  <si>
    <t>🏘  Vous cherchez une maison à louer au Grand-Saconnex? ✅ Découvrez nos nombreuses annonces sur ImmoScout24.ch.</t>
  </si>
  <si>
    <t>https://www.immoscout24.ch/fr/maison/acheter/lieu-minusio</t>
  </si>
  <si>
    <t>Vendre maison Minusio: Trouvez le bien immobilier qui correspond idéalement à vos désirs sur ImmoScout24 - La plateforme de l'immobilier en Suisse.</t>
  </si>
  <si>
    <t>🏘  Vous souhaitez acheter une maison à Minusio? ✅ Jetez un œil aux dernières offres sur ImmoScout24.ch.</t>
  </si>
  <si>
    <t>https://www.immoscout24.ch/fr/maison/louer/lieu-sorens</t>
  </si>
  <si>
    <t>Louer maison Sorens: Trouvez le bien immobilier qui correspond idéalement à vos désirs sur ImmoScout24 - La plateforme de l'immobilier en Suisse.</t>
  </si>
  <si>
    <t>🏘  Vous cherchez une maison à louer à Sorens? ✅ Découvrez nos nombreuses annonces sur ImmoScout24.ch.</t>
  </si>
  <si>
    <t>https://www.immoscout24.ch/fr/maison/louer/lieu-sottens</t>
  </si>
  <si>
    <t>Louer maison Sottens: Trouvez le bien immobilier qui correspond idéalement à vos désirs sur ImmoScout24 - La plateforme de l'immobilier en Suisse.</t>
  </si>
  <si>
    <t>🏘  Vous cherchez une maison à louer à Sottens? ✅ Découvrez nos nombreuses annonces sur ImmoScout24.ch.</t>
  </si>
  <si>
    <t>https://www.immoscout24.ch/fr/appartement/acheter/lieu-neuenegg</t>
  </si>
  <si>
    <t>Vendre appartement Neuenegg: Trouvez le bien immobilier qui correspond idéalement à vos désirs sur ImmoScout24 - La plateforme de l'immobilier en Suisse.</t>
  </si>
  <si>
    <t>🏘  L’appartement de vos rêves se trouve sur ImmoScout24.ch ✅ Découvrez les dernières annonces de vente à Neuenegg.</t>
  </si>
  <si>
    <t>https://www.immoscout24.ch/fr/appartement/louer/lieu-russo</t>
  </si>
  <si>
    <t>Louer appartement Russo: Trouvez le bien immobilier qui correspond idéalement à vos désirs sur ImmoScout24 - La plateforme de l'immobilier en Suisse.</t>
  </si>
  <si>
    <t>🏘  Vous cherchez un appartement à louer à Russo? ✅ Les annonces les plus actuelles sont sur ImmoScout24.ch.</t>
  </si>
  <si>
    <t>https://www.immoscout24.ch/fr/maison/acheter/lieu-fiesch</t>
  </si>
  <si>
    <t>Vendre maison Fiesch: Trouvez le bien immobilier qui correspond idéalement à vos désirs sur ImmoScout24 - La plateforme de l'immobilier en Suisse.</t>
  </si>
  <si>
    <t>🏘  Vous souhaitez acheter une maison à Fiesch? ✅ Jetez un œil aux dernières offres sur ImmoScout24.ch.</t>
  </si>
  <si>
    <t>https://www.immoscout24.ch/fr/appartement/louer/lieu-mase</t>
  </si>
  <si>
    <t>Louer appartement Mase: Trouvez le bien immobilier qui correspond idéalement à vos désirs sur ImmoScout24 - La plateforme de l'immobilier en Suisse.</t>
  </si>
  <si>
    <t>🏘  Vous cherchez un appartement à louer à Mase? ✅ Les annonces les plus actuelles sont sur ImmoScout24.ch.</t>
  </si>
  <si>
    <t>https://www.immoscout24.ch/fr/appartement/acheter/lieu-epagny</t>
  </si>
  <si>
    <t>Vendre appartement Epagny: Trouvez le bien immobilier qui correspond idéalement à vos désirs sur ImmoScout24 - La plateforme de l'immobilier en Suisse.</t>
  </si>
  <si>
    <t>🏘  L’appartement de vos rêves se trouve sur ImmoScout24.ch ✅ Découvrez les dernières annonces de vente à Epagny.</t>
  </si>
  <si>
    <t>https://www.immoscout24.ch/fr/maison/louer/lieu-le-mouret</t>
  </si>
  <si>
    <t>Louer maison Le Mouret: Trouvez le bien immobilier qui correspond idéalement à vos désirs sur ImmoScout24 - La plateforme de l'immobilier en Suisse.</t>
  </si>
  <si>
    <t>🏘  Vous cherchez une maison à louer au Mouret? ✅ Découvrez nos nombreuses annonces sur ImmoScout24.ch.</t>
  </si>
  <si>
    <t>https://www.immoscout24.ch/fr/appartement/louer/lieu-gampelen</t>
  </si>
  <si>
    <t>Louer appartement Gampelen: Trouvez le bien immobilier qui correspond idéalement à vos désirs sur ImmoScout24 - La plateforme de l'immobilier en Suisse.</t>
  </si>
  <si>
    <t>🏘  Vous cherchez un appartement à louer à Gampelen? ✅ Les annonces les plus actuelles sont sur ImmoScout24.ch.</t>
  </si>
  <si>
    <t>https://www.immoscout24.ch/fr/maison/acheter/lieu-buttes</t>
  </si>
  <si>
    <t>Vendre maison Buttes: Trouvez le bien immobilier qui correspond idéalement à vos désirs sur ImmoScout24 - La plateforme de l'immobilier en Suisse.</t>
  </si>
  <si>
    <t>🏘  Vous souhaitez acheter une maison à Buttes? ✅ Jetez un œil aux dernières offres sur ImmoScout24.ch.</t>
  </si>
  <si>
    <t>https://www.immoscout24.ch/fr/maison/louer/lieu-muraz-sierre</t>
  </si>
  <si>
    <t>Louer maison Muraz (Sierre): Trouvez le bien immobilier qui correspond idéalement à vos désirs sur ImmoScout24 - La plateforme de l'immobilier en Suisse.</t>
  </si>
  <si>
    <t>🏘  Vous cherchez une maison à louer à Muraz (Sierre)? ✅ Découvrez nos nombreuses annonces sur ImmoScout24.ch.</t>
  </si>
  <si>
    <t>https://www.immoscout24.ch/fr/appartement/louer/lieu-collonge-bellerive</t>
  </si>
  <si>
    <t>Louer appartement Collonge-Bellerive: Trouvez le bien immobilier qui correspond idéalement à vos désirs sur ImmoScout24 - La plateforme de l'immobilier en Suisse.</t>
  </si>
  <si>
    <t>🏘  Vous cherchez un appartement à louer à Collonge-Bellerive? ✅ Les annonces les plus actuelles sont sur ImmoScout24.ch.</t>
  </si>
  <si>
    <t>https://www.immoscout24.ch/fr/maison/louer/lieu-finhaut</t>
  </si>
  <si>
    <t>Louer maison Finhaut: Trouvez le bien immobilier qui correspond idéalement à vos désirs sur ImmoScout24 - La plateforme de l'immobilier en Suisse.</t>
  </si>
  <si>
    <t>🏘  Vous cherchez une maison à louer à Finhaut? ✅ Découvrez nos nombreuses annonces sur ImmoScout24.ch.</t>
  </si>
  <si>
    <t>https://www.immoscout24.ch/fr/appartement/louer/lieu-thoerishaus</t>
  </si>
  <si>
    <t>Louer appartement Thörishaus: Trouvez le bien immobilier qui correspond idéalement à vos désirs sur ImmoScout24 - La plateforme de l'immobilier en Suisse.</t>
  </si>
  <si>
    <t>🏘  Vous cherchez un appartement à louer à Thörishaus? ✅ Les annonces les plus actuelles sont sur ImmoScout24.ch.</t>
  </si>
  <si>
    <t>https://www.immoscout24.ch/fr/maison/acheter/lieu-les-mayens-de-sion</t>
  </si>
  <si>
    <t>Vendre maison Les Mayens-de-Sion: Trouvez le bien immobilier qui correspond idéalement à vos désirs sur ImmoScout24 - La plateforme de l'immobilier en Suisse.</t>
  </si>
  <si>
    <t>🏘  Vous souhaitez acheter une maison aux Mayens-de-Sion? ✅ Jetez un œil aux dernières offres sur ImmoScout24.ch.</t>
  </si>
  <si>
    <t>https://www.immoscout24.ch/fr/maison/acheter/lieu-port</t>
  </si>
  <si>
    <t>Vendre maison Port: Trouvez le bien immobilier qui correspond idéalement à vos désirs sur ImmoScout24 - La plateforme de l'immobilier en Suisse.</t>
  </si>
  <si>
    <t>🏘  Vous souhaitez acheter une maison à Port? ✅ Jetez un œil aux dernières offres sur ImmoScout24.ch.</t>
  </si>
  <si>
    <t>https://www.immoscout24.ch/fr/appartement/acheter/lieu-salavaux</t>
  </si>
  <si>
    <t>Vendre appartement Salavaux: Trouvez le bien immobilier qui correspond idéalement à vos désirs sur ImmoScout24 - La plateforme de l'immobilier en Suisse.</t>
  </si>
  <si>
    <t>🏘  L’appartement de vos rêves se trouve sur ImmoScout24.ch ✅ Découvrez les dernières annonces de vente à Salavaux.</t>
  </si>
  <si>
    <t>https://www.immoscout24.ch/fr/maison/louer/lieu-rossiniere</t>
  </si>
  <si>
    <t>Louer maison Rossinière: Trouvez le bien immobilier qui correspond idéalement à vos désirs sur ImmoScout24 - La plateforme de l'immobilier en Suisse.</t>
  </si>
  <si>
    <t>🏘  Vous cherchez une maison à louer à Rossinière? ✅ Découvrez nos nombreuses annonces sur ImmoScout24.ch.</t>
  </si>
  <si>
    <t>https://www.immoscout24.ch/fr/maison/acheter/lieu-dugny-leytron</t>
  </si>
  <si>
    <t>Vendre maison Dugny (Leytron): Trouvez le bien immobilier qui correspond idéalement à vos désirs sur ImmoScout24 - La plateforme de l'immobilier en Suisse.</t>
  </si>
  <si>
    <t>🏘  Vous souhaitez acheter une maison à Dugny (Leytron)? ✅ Jetez un œil aux dernières offres sur ImmoScout24.ch.</t>
  </si>
  <si>
    <t>https://www.immoscout24.ch/fr/appartement/louer/lieu-courtepin</t>
  </si>
  <si>
    <t>Louer appartement Courtepin: Trouvez le bien immobilier qui correspond idéalement à vos désirs sur ImmoScout24 - La plateforme de l'immobilier en Suisse.</t>
  </si>
  <si>
    <t>🏘  Vous cherchez un appartement à louer à Courtepin? ✅ Les annonces les plus actuelles sont sur ImmoScout24.ch.</t>
  </si>
  <si>
    <t>https://www.immoscout24.ch/fr/maison/acheter/lieu-astano</t>
  </si>
  <si>
    <t>Vendre maison Astano: Trouvez le bien immobilier qui correspond idéalement à vos désirs sur ImmoScout24 - La plateforme de l'immobilier en Suisse.</t>
  </si>
  <si>
    <t>🏘  Vous souhaitez acheter une maison à Astano? ✅ Jetez un œil aux dernières offres sur ImmoScout24.ch.</t>
  </si>
  <si>
    <t>https://www.immoscout24.ch/fr/maison/acheter/lieu-nidau</t>
  </si>
  <si>
    <t>Vendre maison Nidau: Trouvez le bien immobilier qui correspond idéalement à vos désirs sur ImmoScout24 - La plateforme de l'immobilier en Suisse.</t>
  </si>
  <si>
    <t>🏘  Vous souhaitez acheter une maison à Nidau? ✅ Jetez un œil aux dernières offres sur ImmoScout24.ch.</t>
  </si>
  <si>
    <t>https://www.immoscout24.ch/fr/appartement/acheter/lieu-colombier-ne</t>
  </si>
  <si>
    <t>Vendre appartement Colombier NE: Trouvez le bien immobilier qui correspond idéalement à vos désirs sur ImmoScout24 - La plateforme de l'immobilier en Suisse.</t>
  </si>
  <si>
    <t>🏘  L’appartement de vos rêves se trouve sur ImmoScout24.ch ✅ Découvrez les dernières annonces de vente à Colombier NE.</t>
  </si>
  <si>
    <t>https://www.immoscout24.ch/fr/appartement/acheter/quartier-cretets-la-chaux-de-fonds</t>
  </si>
  <si>
    <t>Vendre appartement Crêtets (La Chaux-de-Fonds):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</si>
  <si>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des Crêtets (La Chaux-de-Fonds).</t>
  </si>
  <si>
    <t>https://www.immoscout24.ch/fr/appartement/louer/lieu-radelfingen-b-aarberg</t>
  </si>
  <si>
    <t>Louer appartement Radelfingen b. Aarberg: Trouvez le bien immobilier qui correspond idéalement à vos désirs sur ImmoScout24 - La plateforme de l'immobilier en Suisse.</t>
  </si>
  <si>
    <t>🏘  Vous cherchez un appartement à louer à Radelfingen b. Aarberg? ✅ Les annonces les plus actuelles sont sur ImmoScout24.ch.</t>
  </si>
  <si>
    <t>https://www.immoscout24.ch/fr/maison/acheter/lieu-brignon-nendaz</t>
  </si>
  <si>
    <t>Vendre maison Brignon (Nendaz): Trouvez le bien immobilier qui correspond idéalement à vos désirs sur ImmoScout24 - La plateforme de l'immobilier en Suisse.</t>
  </si>
  <si>
    <t>🏘  Vous souhaitez acheter une maison à Brignon (Nendaz)? ✅ Jetez un œil aux dernières offres sur ImmoScout24.ch.</t>
  </si>
  <si>
    <t>https://www.immoscout24.ch/fr/appartement/louer/lieu-balgach</t>
  </si>
  <si>
    <t>Louer appartement Balgach: Trouvez le bien immobilier qui correspond idéalement à vos désirs sur ImmoScout24 - La plateforme de l'immobilier en Suisse.</t>
  </si>
  <si>
    <t>🏘  Vous cherchez un appartement à louer à Balgach? ✅ Les annonces les plus actuelles sont sur ImmoScout24.ch.</t>
  </si>
  <si>
    <t>https://www.immoscout24.ch/fr/maison/acheter/lieu-mariastein</t>
  </si>
  <si>
    <t>Vendre maison Mariastein: Trouvez le bien immobilier qui correspond idéalement à vos désirs sur ImmoScout24 - La plateforme de l'immobilier en Suisse.</t>
  </si>
  <si>
    <t>🏘  Vous souhaitez acheter une maison à Mariastein? ✅ Jetez un œil aux dernières offres sur ImmoScout24.ch.</t>
  </si>
  <si>
    <t>https://www.immoscout24.ch/fr/maison/acheter/lieu-arzier-le-muids</t>
  </si>
  <si>
    <t>Vendre maison Arzier-Le Muids: Trouvez le bien immobilier qui correspond idéalement à vos désirs sur ImmoScout24 - La plateforme de l'immobilier en Suisse.</t>
  </si>
  <si>
    <t>🏘  Vous souhaitez acheter une maison à Arzier-Le Muids? ✅ Jetez un œil aux dernières offres sur ImmoScout24.ch.</t>
  </si>
  <si>
    <t>https://www.immoscout24.ch/fr/maison/louer/lieu-misery</t>
  </si>
  <si>
    <t>Louer maison Misery: Trouvez le bien immobilier qui correspond idéalement à vos désirs sur ImmoScout24 - La plateforme de l'immobilier en Suisse.</t>
  </si>
  <si>
    <t>🏘  Vous cherchez une maison à louer à Misery? ✅ Découvrez nos nombreuses annonces sur ImmoScout24.ch.</t>
  </si>
  <si>
    <t>https://www.immoscout24.ch/fr/appartement/louer/lieu-morrens-vd</t>
  </si>
  <si>
    <t>Louer appartement Morrens VD: Trouvez le bien immobilier qui correspond idéalement à vos désirs sur ImmoScout24 - La plateforme de l'immobilier en Suisse.</t>
  </si>
  <si>
    <t>🏘  Vous cherchez un appartement à louer à Morrens VD? ✅ Les annonces les plus actuelles sont sur ImmoScout24.ch.</t>
  </si>
  <si>
    <t>https://www.immoscout24.ch/fr/appartement/louer/lieu-jonschwil</t>
  </si>
  <si>
    <t>Louer appartement Jonschwil: Trouvez le bien immobilier qui correspond idéalement à vos désirs sur ImmoScout24 - La plateforme de l'immobilier en Suisse.</t>
  </si>
  <si>
    <t>🏘  Vous cherchez un appartement à louer à Jonschwil? ✅ Les annonces les plus actuelles sont sur ImmoScout24.ch.</t>
  </si>
  <si>
    <t>https://www.immoscout24.ch/fr/appartement/louer/lieu-st-maurice</t>
  </si>
  <si>
    <t>Louer appartement St-Maurice: Trouvez le bien immobilier qui correspond idéalement à vos désirs sur ImmoScout24 - La plateforme de l'immobilier en Suisse.</t>
  </si>
  <si>
    <t>🏘  Vous cherchez un appartement à louer à St-Maurice? ✅ Les annonces les plus actuelles sont sur ImmoScout24.ch.</t>
  </si>
  <si>
    <t>https://www.immoscout24.ch/fr/appartement/louer/lieu-aarberg</t>
  </si>
  <si>
    <t>Louer appartement Aarberg: Trouvez le bien immobilier qui correspond idéalement à vos désirs sur ImmoScout24 - La plateforme de l'immobilier en Suisse.</t>
  </si>
  <si>
    <t>🏘  Vous cherchez un appartement à louer à Aarberg? ✅ Les annonces les plus actuelles sont sur ImmoScout24.ch.</t>
  </si>
  <si>
    <t>https://www.immoscout24.ch/fr/appartement/acheter/lieu-samedan</t>
  </si>
  <si>
    <t>Vendre appartement Samedan: Trouvez le bien immobilier qui correspond idéalement à vos désirs sur ImmoScout24 - La plateforme de l'immobilier en Suisse.</t>
  </si>
  <si>
    <t>🏘  L’appartement de vos rêves se trouve sur ImmoScout24.ch ✅ Découvrez les dernières annonces de vente à Samedan.</t>
  </si>
  <si>
    <t>https://www.immoscout24.ch/fr/appartement/louer/lieu-malters</t>
  </si>
  <si>
    <t>Louer appartement Malters: Trouvez le bien immobilier qui correspond idéalement à vos désirs sur ImmoScout24 - La plateforme de l'immobilier en Suisse.</t>
  </si>
  <si>
    <t>🏘  Vous cherchez un appartement à louer à Malters? ✅ Les annonces les plus actuelles sont sur ImmoScout24.ch.</t>
  </si>
  <si>
    <t>https://www.immoscout24.ch/fr/appartement/acheter/lieu-schlierbach</t>
  </si>
  <si>
    <t>Vendre appartement Schlierbach: Trouvez le bien immobilier qui correspond idéalement à vos désirs sur ImmoScout24 - La plateforme de l'immobilier en Suisse.</t>
  </si>
  <si>
    <t>🏘  L’appartement de vos rêves se trouve sur ImmoScout24.ch ✅ Découvrez les dernières annonces de vente à Schlierbach.</t>
  </si>
  <si>
    <t>https://www.immoscout24.ch/fr/appartement/acheter/lieu-orselina</t>
  </si>
  <si>
    <t>Vendre appartement Orselina: Trouvez le bien immobilier qui correspond idéalement à vos désirs sur ImmoScout24 - La plateforme de l'immobilier en Suisse.</t>
  </si>
  <si>
    <t>🏘  L’appartement de vos rêves se trouve sur ImmoScout24.ch ✅ Découvrez les dernières annonces de vente à Orselina.</t>
  </si>
  <si>
    <t>https://www.immoscout24.ch/fr/appartement/acheter/lieu-bellevue</t>
  </si>
  <si>
    <t>Vendre appartement Bellevue: Trouvez le bien immobilier qui correspond idéalement à vos désirs sur ImmoScout24 - La plateforme de l'immobilier en Suisse.</t>
  </si>
  <si>
    <t>🏘  L’appartement de vos rêves se trouve sur ImmoScout24.ch ✅ Découvrez les dernières annonces de vente à Bellevue.</t>
  </si>
  <si>
    <t>https://www.immoscout24.ch/fr/maison/acheter/lieu-fleurier</t>
  </si>
  <si>
    <t>Vendre maison Fleurier: Trouvez le bien immobilier qui correspond idéalement à vos désirs sur ImmoScout24 - La plateforme de l'immobilier en Suisse.</t>
  </si>
  <si>
    <t>🏘  Vous souhaitez acheter une maison à Fleurier? ✅ Jetez un œil aux dernières offres sur ImmoScout24.ch.</t>
  </si>
  <si>
    <t>https://www.immoscout24.ch/fr/maison/louer/lieu-sierre</t>
  </si>
  <si>
    <t>Louer maison Sierre: Trouvez le bien immobilier qui correspond idéalement à vos désirs sur ImmoScout24 - La plateforme de l'immobilier en Suisse.</t>
  </si>
  <si>
    <t>🏘  Vous cherchez une maison à louer à Sierre? ✅ Découvrez nos nombreuses annonces sur ImmoScout24.ch.</t>
  </si>
  <si>
    <t>https://www.immoscout24.ch/fr/maison/acheter/lieu-chatonnaye</t>
  </si>
  <si>
    <t>Vendre maison Châtonnaye: Trouvez le bien immobilier qui correspond idéalement à vos désirs sur ImmoScout24 - La plateforme de l'immobilier en Suisse.</t>
  </si>
  <si>
    <t>🏘  Vous souhaitez acheter une maison à Châtonnaye? ✅ Jetez un œil aux dernières offres sur ImmoScout24.ch.</t>
  </si>
  <si>
    <t>https://www.immoscout24.ch/fr/appartement/louer/lieu-cointrin</t>
  </si>
  <si>
    <t>Louer appartement Cointrin: Trouvez le bien immobilier qui correspond idéalement à vos désirs sur ImmoScout24 - La plateforme de l'immobilier en Suisse.</t>
  </si>
  <si>
    <t>🏘  Vous cherchez un appartement à louer à Cointrin? ✅ Les annonces les plus actuelles sont sur ImmoScout24.ch.</t>
  </si>
  <si>
    <t>https://www.immoscout24.ch/fr/appartement/louer/lieu-moiry-vd</t>
  </si>
  <si>
    <t>Louer appartement Moiry VD: Trouvez le bien immobilier qui correspond idéalement à vos désirs sur ImmoScout24 - La plateforme de l'immobilier en Suisse.</t>
  </si>
  <si>
    <t>🏘  Vous cherchez un appartement à louer à Moiry VD? ✅ Les annonces les plus actuelles sont sur ImmoScout24.ch.</t>
  </si>
  <si>
    <t>https://www.immoscout24.ch/fr/appartement/louer/quartier-mousquines-bellevue-lausanne</t>
  </si>
  <si>
    <t>Louer appartement Mousquines - Bellevue (Lausanne): Trouvez le bien immobilier qui correspond idéalement à vos désirs sur ImmoScout24 - La plateforme de l'immobilier en Suisse.</t>
  </si>
  <si>
    <t>🏘  Vous cherchez un appartement à louer dans le quartier des Mousquines - Bellevue (Lausanne)? ✅ Les annonces les plus actuelles sont sur ImmoScout24.ch.</t>
  </si>
  <si>
    <t>https://www.immoscout24.ch/fr/appartement/louer/lieu-cremines</t>
  </si>
  <si>
    <t>Louer appartement Crémines: Trouvez le bien immobilier qui correspond idéalement à vos désirs sur ImmoScout24 - La plateforme de l'immobilier en Suisse.</t>
  </si>
  <si>
    <t>🏘  Vous cherchez un appartement à louer à Crémines? ✅ Les annonces les plus actuelles sont sur ImmoScout24.ch.</t>
  </si>
  <si>
    <t>https://www.immoscout24.ch/fr/maison/acheter/lieu-rovio</t>
  </si>
  <si>
    <t>Vendre maison Rovio: Trouvez le bien immobilier qui correspond idéalement à vos désirs sur ImmoScout24 - La plateforme de l'immobilier en Suisse.</t>
  </si>
  <si>
    <t>🏘  Vous souhaitez acheter une maison à Rovio? ✅ Jetez un œil aux dernières offres sur ImmoScout24.ch.</t>
  </si>
  <si>
    <t>https://www.immoscout24.ch/fr/maison/acheter/lieu-weggis</t>
  </si>
  <si>
    <t>Vendre maison Weggis: Trouvez le bien immobilier qui correspond idéalement à vos désirs sur ImmoScout24 - La plateforme de l'immobilier en Suisse.</t>
  </si>
  <si>
    <t>🏘  Vous souhaitez acheter une maison à Weggis? ✅ Jetez un œil aux dernières offres sur ImmoScout24.ch.</t>
  </si>
  <si>
    <t>https://www.immoscout24.ch/fr/appartement/acheter/lieu-aegerten</t>
  </si>
  <si>
    <t>Vendre appartement Aegerten: Trouvez le bien immobilier qui correspond idéalement à vos désirs sur ImmoScout24 - La plateforme de l'immobilier en Suisse.</t>
  </si>
  <si>
    <t>🏘  L’appartement de vos rêves se trouve sur ImmoScout24.ch ✅ Découvrez les dernières annonces de vente à Aegerten.</t>
  </si>
  <si>
    <t>https://www.immoscout24.ch/fr/maison/acheter/lieu-corbeyrier</t>
  </si>
  <si>
    <t>Vendre maison Corbeyrier: Trouvez le bien immobilier qui correspond idéalement à vos désirs sur ImmoScout24 - La plateforme de l'immobilier en Suisse.</t>
  </si>
  <si>
    <t>🏘  Vous souhaitez acheter une maison à Corbeyrier? ✅ Jetez un œil aux dernières offres sur ImmoScout24.ch.</t>
  </si>
  <si>
    <t>https://www.immoscout24.ch/fr/maison/acheter/lieu-allaman</t>
  </si>
  <si>
    <t>Vendre maison Allaman: Trouvez le bien immobilier qui correspond idéalement à vos désirs sur ImmoScout24 - La plateforme de l'immobilier en Suisse.</t>
  </si>
  <si>
    <t>🏘  Vous souhaitez acheter une maison à Allaman? ✅ Jetez un œil aux dernières offres sur ImmoScout24.ch.</t>
  </si>
  <si>
    <t>https://www.immoscout24.ch/fr/appartement/acheter/quartier-mache-biel-bienne</t>
  </si>
  <si>
    <t>Vendre appartement Mâche (Biel/Bienne):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</si>
  <si>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Mâche (Biel/Bienne).</t>
  </si>
  <si>
    <t>https://www.immoscout24.ch/fr/maison/acheter/lieu-rifferswil</t>
  </si>
  <si>
    <t>Vendre maison Rifferswil: Trouvez le bien immobilier qui correspond idéalement à vos désirs sur ImmoScout24 - La plateforme de l'immobilier en Suisse.</t>
  </si>
  <si>
    <t>🏘  Vous souhaitez acheter une maison à Rifferswil? ✅ Jetez un œil aux dernières offres sur ImmoScout24.ch.</t>
  </si>
  <si>
    <t>https://www.immoscout24.ch/fr/maison/acheter/lieu-muralto</t>
  </si>
  <si>
    <t>Vendre maison Muralto: Trouvez le bien immobilier qui correspond idéalement à vos désirs sur ImmoScout24 - La plateforme de l'immobilier en Suisse.</t>
  </si>
  <si>
    <t>🏘  Vous souhaitez acheter une maison à Muralto? ✅ Jetez un œil aux dernières offres sur ImmoScout24.ch.</t>
  </si>
  <si>
    <t>https://www.immoscout24.ch/fr/appartement/louer/quartier-gundeldingen-bale</t>
  </si>
  <si>
    <t>Louer appartement Gundeldingen (Bâle): Trouvez le bien immobilier qui correspond idéalement à vos désirs sur ImmoScout24 - La plateforme de l'immobilier en Suisse.</t>
  </si>
  <si>
    <t>🏘  Vous cherchez un appartement à louer dans le quartier de Gundeldingen (Bâle)? ✅ Les annonces les plus actuelles sont sur ImmoScout24.ch.</t>
  </si>
  <si>
    <t>https://www.immoscout24.ch/fr/appartement/louer/lieu-randa</t>
  </si>
  <si>
    <t>Louer appartement Randa: Trouvez le bien immobilier qui correspond idéalement à vos désirs sur ImmoScout24 - La plateforme de l'immobilier en Suisse.</t>
  </si>
  <si>
    <t>🏘  Vous cherchez un appartement à louer à Randa? ✅ Les annonces les plus actuelles sont sur ImmoScout24.ch.</t>
  </si>
  <si>
    <t>https://www.immoscout24.ch/fr/appartement/louer/lieu-unterbaech-vs</t>
  </si>
  <si>
    <t>Louer appartement Unterbäch VS: Trouvez le bien immobilier qui correspond idéalement à vos désirs sur ImmoScout24 - La plateforme de l'immobilier en Suisse.</t>
  </si>
  <si>
    <t>🏘  Vous cherchez un appartement à louer à Unterbäch VS? ✅ Les annonces les plus actuelles sont sur ImmoScout24.ch.</t>
  </si>
  <si>
    <t>https://www.immoscout24.ch/fr/maison/acheter/lieu-cugy-fr</t>
  </si>
  <si>
    <t>Vendre maison Cugy FR: Trouvez le bien immobilier qui correspond idéalement à vos désirs sur ImmoScout24 - La plateforme de l'immobilier en Suisse.</t>
  </si>
  <si>
    <t>🏘  Vous souhaitez acheter une maison à Cugy FR? ✅ Jetez un œil aux dernières offres sur ImmoScout24.ch.</t>
  </si>
  <si>
    <t>https://www.immoscout24.ch/fr/maison/acheter/lieu-peseux</t>
  </si>
  <si>
    <t>Vendre maison Peseux: Trouvez le bien immobilier qui correspond idéalement à vos désirs sur ImmoScout24 - La plateforme de l'immobilier en Suisse.</t>
  </si>
  <si>
    <t>🏘  Vous souhaitez acheter une maison à Peseux? ✅ Jetez un œil aux dernières offres sur ImmoScout24.ch.</t>
  </si>
  <si>
    <t>https://www.immoscout24.ch/fr/appartement/louer/lieu-vallon</t>
  </si>
  <si>
    <t>Louer appartement Vallon: Trouvez le bien immobilier qui correspond idéalement à vos désirs sur ImmoScout24 - La plateforme de l'immobilier en Suisse.</t>
  </si>
  <si>
    <t>🏘  Vous cherchez un appartement à louer à Vallon? ✅ Les annonces les plus actuelles sont sur ImmoScout24.ch.</t>
  </si>
  <si>
    <t>https://www.immoscout24.ch/fr/maison/acheter/lieu-hauteville</t>
  </si>
  <si>
    <t>Vendre maison Hauteville: Trouvez le bien immobilier qui correspond idéalement à vos désirs sur ImmoScout24 - La plateforme de l'immobilier en Suisse.</t>
  </si>
  <si>
    <t>🏘  Vous souhaitez acheter une maison à Hauteville? ✅ Jetez un œil aux dernières offres sur ImmoScout24.ch.</t>
  </si>
  <si>
    <t>https://www.immoscout24.ch/fr/maison/acheter/lieu-chevroux</t>
  </si>
  <si>
    <t>Vendre maison Chevroux: Trouvez le bien immobilier qui correspond idéalement à vos désirs sur ImmoScout24 - La plateforme de l'immobilier en Suisse.</t>
  </si>
  <si>
    <t>🏘  Vous souhaitez acheter une maison à Chevroux? ✅ Jetez un œil aux dernières offres sur ImmoScout24.ch.</t>
  </si>
  <si>
    <t>https://www.immoscout24.ch/fr/maison/acheter/lieu-saicourt</t>
  </si>
  <si>
    <t>Vendre maison Saicourt: Trouvez le bien immobilier qui correspond idéalement à vos désirs sur ImmoScout24 - La plateforme de l'immobilier en Suisse.</t>
  </si>
  <si>
    <t>🏘  Vous souhaitez acheter une maison à Saicourt? ✅ Jetez un œil aux dernières offres sur ImmoScout24.ch.</t>
  </si>
  <si>
    <t>https://www.immoscout24.ch/fr/maison/louer/lieu-prangins</t>
  </si>
  <si>
    <t>Louer maison Prangins: Trouvez le bien immobilier qui correspond idéalement à vos désirs sur ImmoScout24 - La plateforme de l'immobilier en Suisse.</t>
  </si>
  <si>
    <t>🏘  Vous cherchez une maison à louer à Prangins? ✅ Découvrez nos nombreuses annonces sur ImmoScout24.ch.</t>
  </si>
  <si>
    <t>https://www.immoscout24.ch/fr/appartement/louer/lieu-rebeuvelier</t>
  </si>
  <si>
    <t>Louer appartement Rebeuvelier: Trouvez le bien immobilier qui correspond idéalement à vos désirs sur ImmoScout24 - La plateforme de l'immobilier en Suisse.</t>
  </si>
  <si>
    <t>🏘  Vous cherchez un appartement à louer à Rebeuvelier? ✅ Les annonces les plus actuelles sont sur ImmoScout24.ch.</t>
  </si>
  <si>
    <t>https://www.immoscout24.ch/fr/maison/acheter/lieu-les-granges-salvan</t>
  </si>
  <si>
    <t>Vendre maison Les Granges (Salvan): Trouvez le bien immobilier qui correspond idéalement à vos désirs sur ImmoScout24 - La plateforme de l'immobilier en Suisse.</t>
  </si>
  <si>
    <t>🏘  Vous souhaitez acheter une maison aux Granges (Salvan)? ✅ Jetez un œil aux dernières offres sur ImmoScout24.ch.</t>
  </si>
  <si>
    <t>https://www.immoscout24.ch/fr/appartement/louer/lieu-oberbuchsiten</t>
  </si>
  <si>
    <t>Louer appartement Oberbuchsiten: Trouvez le bien immobilier qui correspond idéalement à vos désirs sur ImmoScout24 - La plateforme de l'immobilier en Suisse.</t>
  </si>
  <si>
    <t>🏘  Vous cherchez un appartement à louer à Oberbuchsiten? ✅ Les annonces les plus actuelles sont sur ImmoScout24.ch.</t>
  </si>
  <si>
    <t>https://www.immoscout24.ch/fr/maison/acheter/lieu-undervelier</t>
  </si>
  <si>
    <t>Vendre maison Undervelier: Trouvez le bien immobilier qui correspond idéalement à vos désirs sur ImmoScout24 - La plateforme de l'immobilier en Suisse.</t>
  </si>
  <si>
    <t>🏘  Vous souhaitez acheter une maison à Undervelier? ✅ Jetez un œil aux dernières offres sur ImmoScout24.ch.</t>
  </si>
  <si>
    <t>https://www.immoscout24.ch/fr/maison/acheter/lieu-territet</t>
  </si>
  <si>
    <t>Vendre maison Territet: Trouvez le bien immobilier qui correspond idéalement à vos désirs sur ImmoScout24 - La plateforme de l'immobilier en Suisse.</t>
  </si>
  <si>
    <t>🏘  Vous souhaitez acheter une maison à Territet? ✅ Jetez un œil aux dernières offres sur ImmoScout24.ch.</t>
  </si>
  <si>
    <t>https://www.immoscout24.ch/fr/maison/acheter/quartier-weissenstein-berne</t>
  </si>
  <si>
    <t>Vendre maison Weissenstein (Berne): Trouvez le bien immobilier qui correspond idéalement à vos désirs sur ImmoScout24 - La plateforme de l'immobilier en Suisse.</t>
  </si>
  <si>
    <t>🏘  Vous souhaitez acheter une maison dans le quartier de Weissenstein (Berne)? ✅ Jetez un œil aux dernières offres sur ImmoScout24.ch.</t>
  </si>
  <si>
    <t>https://www.immoscout24.ch/fr/appartement/acheter/lieu-guemligen</t>
  </si>
  <si>
    <t>Vendre appartement Gümligen: Trouvez le bien immobilier qui correspond idéalement à vos désirs sur ImmoScout24 - La plateforme de l'immobilier en Suisse.</t>
  </si>
  <si>
    <t>🏘  L’appartement de vos rêves se trouve sur ImmoScout24.ch ✅ Découvrez les dernières annonces de vente à Gümligen.</t>
  </si>
  <si>
    <t>https://www.immoscout24.ch/fr/appartement/louer/region-avenches-payerne</t>
  </si>
  <si>
    <t>Louer appartement Avenches - Payerne: Trouvez le bien immobilier qui correspond idéalement à vos désirs sur ImmoScout24 - La plateforme de l'immobilier en Suisse.</t>
  </si>
  <si>
    <t>🏘  Vous cherchez un appartement à louer dans la région d'Avenches - Payerne? ✅ Les annonces les plus actuelles sont sur ImmoScout24.ch.</t>
  </si>
  <si>
    <t>https://www.immoscout24.ch/fr/appartement/acheter/lieu-schwerzenbach</t>
  </si>
  <si>
    <t>Vendre appartement Schwerzenbach: Trouvez le bien immobilier qui correspond idéalement à vos désirs sur ImmoScout24 - La plateforme de l'immobilier en Suisse.</t>
  </si>
  <si>
    <t>🏘  L’appartement de vos rêves se trouve sur ImmoScout24.ch ✅ Découvrez les dernières annonces de vente à Schwerzenbach.</t>
  </si>
  <si>
    <t>https://www.immoscout24.ch/fr/appartement/louer/quartier-neuwiesen-winterthur</t>
  </si>
  <si>
    <t>Louer appartement Neuwiesen (Winterthur): Trouvez le bien immobilier qui correspond idéalement à vos désirs sur ImmoScout24 - La plateforme de l'immobilier en Suisse.</t>
  </si>
  <si>
    <t>🏘  Vous cherchez un appartement à louer dans le quartier de Neuwiesen (Winterthur)? ✅ Les annonces les plus actuelles sont sur ImmoScout24.ch.</t>
  </si>
  <si>
    <t>https://www.immoscout24.ch/fr/maison/acheter/quartier-vigneules-biel-bienne</t>
  </si>
  <si>
    <t>Vendre maison Vigneules (Biel/Bienne): Trouvez le bien immobilier qui correspond idéalement à vos désirs sur ImmoScout24 - La plateforme de l'immobilier en Suisse.</t>
  </si>
  <si>
    <t>🏘  Vous souhaitez acheter une maison dans le quartier de Vigneules (Biel/Bienne)? ✅ Jetez un œil aux dernières offres sur ImmoScout24.ch.</t>
  </si>
  <si>
    <t>https://www.immoscout24.ch/fr/appartement/louer/lieu-noreaz</t>
  </si>
  <si>
    <t>Louer appartement Noréaz: Trouvez le bien immobilier qui correspond idéalement à vos désirs sur ImmoScout24 - La plateforme de l'immobilier en Suisse.</t>
  </si>
  <si>
    <t>🏘  Vous cherchez un appartement à louer à Noréaz? ✅ Les annonces les plus actuelles sont sur ImmoScout24.ch.</t>
  </si>
  <si>
    <t>https://www.immoscout24.ch/fr/maison/louer/quartier-champagne-biel-bienne</t>
  </si>
  <si>
    <t>Louer maison Champagne (Biel/Bienne): Trouvez le bien immobilier qui correspond idéalement à vos désirs sur ImmoScout24 - La plateforme de l'immobilier en Suisse.</t>
  </si>
  <si>
    <t>🏘  Vous cherchez une maison à louer dans le quartier de Champagne (Biel/Bienne)? ✅ Découvrez nos nombreuses annonces sur ImmoScout24.ch.</t>
  </si>
  <si>
    <t>https://www.immoscout24.ch/fr/appartement/acheter/lieu-aadorf</t>
  </si>
  <si>
    <t>Vendre appartement Aadorf: Trouvez le bien immobilier qui correspond idéalement à vos désirs sur ImmoScout24 - La plateforme de l'immobilier en Suisse.</t>
  </si>
  <si>
    <t>🏘  L’appartement de vos rêves se trouve sur ImmoScout24.ch ✅ Découvrez les dernières annonces de vente à Aadorf.</t>
  </si>
  <si>
    <t>https://www.immoscout24.ch/fr/appartement/acheter/lieu-cologny</t>
  </si>
  <si>
    <t>Vendre appartement Cologny: Trouvez le bien immobilier qui correspond idéalement à vos désirs sur ImmoScout24 - La plateforme de l'immobilier en Suisse.</t>
  </si>
  <si>
    <t>🏘  L’appartement de vos rêves se trouve sur ImmoScout24.ch ✅ Découvrez les dernières annonces de vente à Cologny.</t>
  </si>
  <si>
    <t>https://www.immoscout24.ch/fr/appartement/acheter/lieu-granges-de-vesin</t>
  </si>
  <si>
    <t>Vendre appartement Granges-de-Vesin: Trouvez le bien immobilier qui correspond idéalement à vos désirs sur ImmoScout24 - La plateforme de l'immobilier en Suisse.</t>
  </si>
  <si>
    <t>🏘  L’appartement de vos rêves se trouve sur ImmoScout24.ch ✅ Découvrez les dernières annonces de vente à Granges-de-Vesin.</t>
  </si>
  <si>
    <t>https://www.immoscout24.ch/fr/maison/acheter/lieu-sirnach</t>
  </si>
  <si>
    <t>Vendre maison Sirnach: Trouvez le bien immobilier qui correspond idéalement à vos désirs sur ImmoScout24 - La plateforme de l'immobilier en Suisse.</t>
  </si>
  <si>
    <t>🏘  Vous souhaitez acheter une maison à Sirnach? ✅ Jetez un œil aux dernières offres sur ImmoScout24.ch.</t>
  </si>
  <si>
    <t>https://www.immoscout24.ch/fr/maison/louer/lieu-tafers</t>
  </si>
  <si>
    <t>Louer maison Tafers: Trouvez le bien immobilier qui correspond idéalement à vos désirs sur ImmoScout24 - La plateforme de l'immobilier en Suisse.</t>
  </si>
  <si>
    <t>🏘  Vous cherchez une maison à louer à Tafers? ✅ Découvrez nos nombreuses annonces sur ImmoScout24.ch.</t>
  </si>
  <si>
    <t>https://www.immoscout24.ch/fr/maison/acheter/lieu-hagneck</t>
  </si>
  <si>
    <t>Vendre maison Hagneck: Trouvez le bien immobilier qui correspond idéalement à vos désirs sur ImmoScout24 - La plateforme de l'immobilier en Suisse.</t>
  </si>
  <si>
    <t>🏘  Vous souhaitez acheter une maison à Hagneck? ✅ Jetez un œil aux dernières offres sur ImmoScout24.ch.</t>
  </si>
  <si>
    <t>https://www.immoscout24.ch/fr/appartement/acheter/lieu-grandvaux</t>
  </si>
  <si>
    <t>Vendre appartement Grandvaux: Trouvez le bien immobilier qui correspond idéalement à vos désirs sur ImmoScout24 - La plateforme de l'immobilier en Suisse.</t>
  </si>
  <si>
    <t>🏘  L’appartement de vos rêves se trouve sur ImmoScout24.ch ✅ Découvrez les dernières annonces de vente à Grandvaux.</t>
  </si>
  <si>
    <t>https://www.immoscout24.ch/fr/maison/acheter/quartier-buempliz-berne</t>
  </si>
  <si>
    <t>Vendre maison Bümpliz (Berne): Trouvez le bien immobilier qui correspond idéalement à vos désirs sur ImmoScout24 - La plateforme de l'immobilier en Suisse.</t>
  </si>
  <si>
    <t>🏘  Vous souhaitez acheter une maison dans le quartier de Bümpliz (Berne)? ✅ Jetez un œil aux dernières offres sur ImmoScout24.ch.</t>
  </si>
  <si>
    <t>https://www.immoscout24.ch/fr/maison/acheter/lieu-rocourt</t>
  </si>
  <si>
    <t>Vendre maison Rocourt: Trouvez le bien immobilier qui correspond idéalement à vos désirs sur ImmoScout24 - La plateforme de l'immobilier en Suisse.</t>
  </si>
  <si>
    <t>🏘  Vous souhaitez acheter une maison à Rocourt? ✅ Jetez un œil aux dernières offres sur ImmoScout24.ch.</t>
  </si>
  <si>
    <t>https://www.immoscout24.ch/fr/appartement/louer/lieu-hindelbank</t>
  </si>
  <si>
    <t>Louer appartement Hindelbank: Trouvez le bien immobilier qui correspond idéalement à vos désirs sur ImmoScout24 - La plateforme de l'immobilier en Suisse.</t>
  </si>
  <si>
    <t>🏘  Vous cherchez un appartement à louer à Hindelbank? ✅ Les annonces les plus actuelles sont sur ImmoScout24.ch.</t>
  </si>
  <si>
    <t>https://www.immoscout24.ch/fr/maison/acheter/lieu-penthereaz</t>
  </si>
  <si>
    <t>Vendre maison Penthéréaz: Trouvez le bien immobilier qui correspond idéalement à vos désirs sur ImmoScout24 - La plateforme de l'immobilier en Suisse.</t>
  </si>
  <si>
    <t>🏘  Vous souhaitez acheter une maison à Penthéréaz? ✅ Jetez un œil aux dernières offres sur ImmoScout24.ch.</t>
  </si>
  <si>
    <t>https://www.immoscout24.ch/fr/appartement/louer/lieu-duillier</t>
  </si>
  <si>
    <t>Louer appartement Duillier: Trouvez le bien immobilier qui correspond idéalement à vos désirs sur ImmoScout24 - La plateforme de l'immobilier en Suisse.</t>
  </si>
  <si>
    <t>🏘  Vous cherchez un appartement à louer à Duillier? ✅ Les annonces les plus actuelles sont sur ImmoScout24.ch.</t>
  </si>
  <si>
    <t>https://www.immoscout24.ch/fr/appartement/acheter/lieu-granges-veveyse</t>
  </si>
  <si>
    <t>Vendre appartement Granges (Veveyse): Trouvez le bien immobilier qui correspond idéalement à vos désirs sur ImmoScout24 - La plateforme de l'immobilier en Suisse.</t>
  </si>
  <si>
    <t>🏘  L’appartement de vos rêves se trouve sur ImmoScout24.ch ✅ Découvrez les dernières annonces de vente à Granges (Veveyse).</t>
  </si>
  <si>
    <t>https://www.immoscout24.ch/fr/maison/louer/lieu-les-granges-salvan</t>
  </si>
  <si>
    <t>Louer maison Les Granges (Salvan): Trouvez le bien immobilier qui correspond idéalement à vos désirs sur ImmoScout24 - La plateforme de l'immobilier en Suisse.</t>
  </si>
  <si>
    <t>🏘  Vous cherchez une maison à louer aux Granges (Salvan)? ✅ Découvrez nos nombreuses annonces sur ImmoScout24.ch.</t>
  </si>
  <si>
    <t>https://www.immoscout24.ch/fr/appartement/louer/quartier-sennhof-winterthur</t>
  </si>
  <si>
    <t>Louer appartement Sennhof (Winterthur): Trouvez le bien immobilier qui correspond idéalement à vos désirs sur ImmoScout24 - La plateforme de l'immobilier en Suisse.</t>
  </si>
  <si>
    <t>🏘  Vous cherchez un appartement à louer dans le quartier de Sennhof (Winterthur)? ✅ Les annonces les plus actuelles sont sur ImmoScout24.ch.</t>
  </si>
  <si>
    <t>https://www.immoscout24.ch/fr/maison/acheter/lieu-froideville</t>
  </si>
  <si>
    <t>Vendre maison Froideville: Trouvez le bien immobilier qui correspond idéalement à vos désirs sur ImmoScout24 - La plateforme de l'immobilier en Suisse.</t>
  </si>
  <si>
    <t>🏘  Vous souhaitez acheter une maison à Froideville? ✅ Jetez un œil aux dernières offres sur ImmoScout24.ch.</t>
  </si>
  <si>
    <t>https://www.immoscout24.ch/fr/maison/louer/lieu-murten</t>
  </si>
  <si>
    <t>Louer maison Murten: Trouvez le bien immobilier qui correspond idéalement à vos désirs sur ImmoScout24 - La plateforme de l'immobilier en Suisse.</t>
  </si>
  <si>
    <t>🏘  Vous cherchez une maison à louer à Murten? ✅ Découvrez nos nombreuses annonces sur ImmoScout24.ch.</t>
  </si>
  <si>
    <t>https://www.immoscout24.ch/fr/maison/acheter/lieu-zuoz</t>
  </si>
  <si>
    <t>Vendre maison Zuoz: Trouvez le bien immobilier qui correspond idéalement à vos désirs sur ImmoScout24 - La plateforme de l'immobilier en Suisse.</t>
  </si>
  <si>
    <t>🏘  Vous souhaitez acheter une maison à Zuoz? ✅ Jetez un œil aux dernières offres sur ImmoScout24.ch.</t>
  </si>
  <si>
    <t>https://www.immoscout24.ch/fr/appartement/louer/quartier-pouillerel-postiers-chevreuils-la-chaux-de-fonds</t>
  </si>
  <si>
    <t>Louer appartement Pouillerel-Postiers-Chevreuils (La Chaux-de-Fonds): Trouvez le bien immobilier qui correspond idéalement à vos désirs sur ImmoScout24 - La plateforme de l'immobilier en Suisse.</t>
  </si>
  <si>
    <t>🏘  Vous cherchez un appartement à louer dans le quartier de Pouillerel-Postiers-Chevreuils (La Chaux-de-Fonds)? ✅ Les annonces les plus actuelles sont sur ImmoScout24.ch.</t>
  </si>
  <si>
    <t>https://www.immoscout24.ch/fr/appartement/louer/quartier-ville-ancienne-la-chaux-de-fonds</t>
  </si>
  <si>
    <t>Louer appartement Ville Ancienne (La Chaux-de-Fonds): Trouvez le bien immobilier qui correspond idéalement à vos désirs sur ImmoScout24 - La plateforme de l'immobilier en Suisse.</t>
  </si>
  <si>
    <t>🏘  Vous cherchez un appartement à louer en Ville Ancienne (La Chaux-de-Fonds)? ✅ Les annonces les plus actuelles sont sur ImmoScout24.ch.</t>
  </si>
  <si>
    <t>https://www.immoscout24.ch/fr/appartement/louer/lieu-magglingen-macolin</t>
  </si>
  <si>
    <t>Louer appartement Magglingen/Macolin: Trouvez le bien immobilier qui correspond idéalement à vos désirs sur ImmoScout24 - La plateforme de l'immobilier en Suisse.</t>
  </si>
  <si>
    <t>🏘  Vous cherchez un appartement à louer à Magglingen/Macolin? ✅ Les annonces les plus actuelles sont sur ImmoScout24.ch.</t>
  </si>
  <si>
    <t>https://www.immoscout24.ch/fr/appartement/louer/lieu-farvagny</t>
  </si>
  <si>
    <t>Louer appartement Farvagny-le-Grand: Trouvez le bien immobilier qui correspond idéalement à vos désirs sur ImmoScout24 - La plateforme de l'immobilier en Suisse.</t>
  </si>
  <si>
    <t>🏘  Vous cherchez un appartement à louer à Farvagny-le-Grand? ✅ Les annonces les plus actuelles sont sur ImmoScout24.ch.</t>
  </si>
  <si>
    <t>https://www.immoscout24.ch/fr/appartement/acheter/lieu-cheserex</t>
  </si>
  <si>
    <t>Vendre appartement Chéserex: Trouvez le bien immobilier qui correspond idéalement à vos désirs sur ImmoScout24 - La plateforme de l'immobilier en Suisse.</t>
  </si>
  <si>
    <t>🏘  L’appartement de vos rêves se trouve sur ImmoScout24.ch ✅ Découvrez les dernières annonces de vente à Chéserex.</t>
  </si>
  <si>
    <t>https://www.immoscout24.ch/fr/maison/acheter/lieu-chene-paquier</t>
  </si>
  <si>
    <t>Vendre maison Chêne-Pâquier: Trouvez le bien immobilier qui correspond idéalement à vos désirs sur ImmoScout24 - La plateforme de l'immobilier en Suisse.</t>
  </si>
  <si>
    <t>🏘  Vous souhaitez acheter une maison à Chêne-Pâquier? ✅ Jetez un œil aux dernières offres sur ImmoScout24.ch.</t>
  </si>
  <si>
    <t>https://www.immoscout24.ch/fr/appartement/louer/lieu-bottmingen</t>
  </si>
  <si>
    <t>Louer appartement Bottmingen: Trouvez le bien immobilier qui correspond idéalement à vos désirs sur ImmoScout24 - La plateforme de l'immobilier en Suisse.</t>
  </si>
  <si>
    <t>🏘  Vous cherchez un appartement à louer à Bottmingen? ✅ Les annonces les plus actuelles sont sur ImmoScout24.ch.</t>
  </si>
  <si>
    <t>https://www.immoscout24.ch/fr/maison/acheter/lieu-menieres</t>
  </si>
  <si>
    <t>Vendre maison Ménières: Trouvez le bien immobilier qui correspond idéalement à vos désirs sur ImmoScout24 - La plateforme de l'immobilier en Suisse.</t>
  </si>
  <si>
    <t>🏘  Vous souhaitez acheter une maison à Ménières? ✅ Jetez un œil aux dernières offres sur ImmoScout24.ch.</t>
  </si>
  <si>
    <t>https://www.immoscout24.ch/fr/maison/acheter/lieu-cheiry</t>
  </si>
  <si>
    <t>Vendre maison Cheiry: Trouvez le bien immobilier qui correspond idéalement à vos désirs sur ImmoScout24 - La plateforme de l'immobilier en Suisse.</t>
  </si>
  <si>
    <t>🏘  Vous souhaitez acheter une maison à Cheiry? ✅ Jetez un œil aux dernières offres sur ImmoScout24.ch.</t>
  </si>
  <si>
    <t>https://www.immoscout24.ch/fr/appartement/louer/lieu-wauwil</t>
  </si>
  <si>
    <t>Louer appartement Wauwil: Trouvez le bien immobilier qui correspond idéalement à vos désirs sur ImmoScout24 - La plateforme de l'immobilier en Suisse.</t>
  </si>
  <si>
    <t>🏘  Vous cherchez un appartement à louer à Wauwil? ✅ Les annonces les plus actuelles sont sur ImmoScout24.ch.</t>
  </si>
  <si>
    <t>https://www.immoscout24.ch/fr/maison/acheter/lieu-muenchenstein</t>
  </si>
  <si>
    <t>Vendre maison Münchenstein: Trouvez le bien immobilier qui correspond idéalement à vos désirs sur ImmoScout24 - La plateforme de l'immobilier en Suisse.</t>
  </si>
  <si>
    <t>🏘  Vous souhaitez acheter une maison à Münchenstein? ✅ Jetez un œil aux dernières offres sur ImmoScout24.ch.</t>
  </si>
  <si>
    <t>https://www.immoscout24.ch/fr/appartement/louer/lieu-wohlen-b-bern</t>
  </si>
  <si>
    <t>Louer appartement Wohlen b. Bern: Trouvez le bien immobilier qui correspond idéalement à vos désirs sur ImmoScout24 - La plateforme de l'immobilier en Suisse.</t>
  </si>
  <si>
    <t>🏘  Vous cherchez un appartement à louer à Wohlen b. Bern? ✅ Les annonces les plus actuelles sont sur ImmoScout24.ch.</t>
  </si>
  <si>
    <t>https://www.immoscout24.ch/fr/maison/acheter/lieu-starrkirch-wil</t>
  </si>
  <si>
    <t>Vendre maison Starrkirch-Wil: Trouvez le bien immobilier qui correspond idéalement à vos désirs sur ImmoScout24 - La plateforme de l'immobilier en Suisse.</t>
  </si>
  <si>
    <t>🏘  Vous souhaitez acheter une maison à Starrkirch-Wil? ✅ Jetez un œil aux dernières offres sur ImmoScout24.ch.</t>
  </si>
  <si>
    <t>https://www.immoscout24.ch/fr/maison/acheter/lieu-rueyres-st-laurent</t>
  </si>
  <si>
    <t>Vendre maison Rueyres-St-Laurent: Trouvez le bien immobilier qui correspond idéalement à vos désirs sur ImmoScout24 - La plateforme de l'immobilier en Suisse.</t>
  </si>
  <si>
    <t>🏘  Vous souhaitez acheter une maison à Rueyres-St-Laurent? ✅ Jetez un œil aux dernières offres sur ImmoScout24.ch.</t>
  </si>
  <si>
    <t>https://www.immoscout24.ch/fr/maison/acheter/lieu-granges-veveyse</t>
  </si>
  <si>
    <t>Vendre maison Granges (Veveyse): Trouvez le bien immobilier qui correspond idéalement à vos désirs sur ImmoScout24 - La plateforme de l'immobilier en Suisse.</t>
  </si>
  <si>
    <t>🏘  Vous souhaitez acheter une maison à Granges (Veveyse)? ✅ Jetez un œil aux dernières offres sur ImmoScout24.ch.</t>
  </si>
  <si>
    <t>https://www.immoscout24.ch/fr/appartement/louer/lieu-wangen-an-der-aare</t>
  </si>
  <si>
    <t>Louer appartement Wangen an der Aare: Trouvez le bien immobilier qui correspond idéalement à vos désirs sur ImmoScout24 - La plateforme de l'immobilier en Suisse.</t>
  </si>
  <si>
    <t>🏘  Vous cherchez un appartement à louer à Wangen an der Aare? ✅ Les annonces les plus actuelles sont sur ImmoScout24.ch.</t>
  </si>
  <si>
    <t>https://www.immoscout24.ch/fr/appartement/louer/quartier-gryphenhuebeli-berne</t>
  </si>
  <si>
    <t>Louer appartement Gryphenhübeli (Berne): Trouvez le bien immobilier qui correspond idéalement à vos désirs sur ImmoScout24 - La plateforme de l'immobilier en Suisse.</t>
  </si>
  <si>
    <t>🏘  Vous cherchez un appartement à louer dans le quartier de Gryphenhübeli (Berne)? ✅ Les annonces les plus actuelles sont sur ImmoScout24.ch.</t>
  </si>
  <si>
    <t>https://www.immoscout24.ch/fr/maison/acheter/lieu-birmenstorf-ag</t>
  </si>
  <si>
    <t>Vendre maison Birmenstorf AG: Trouvez le bien immobilier qui correspond idéalement à vos désirs sur ImmoScout24 - La plateforme de l'immobilier en Suisse.</t>
  </si>
  <si>
    <t>🏘  Vous souhaitez acheter une maison à Birmenstorf AG? ✅ Jetez un œil aux dernières offres sur ImmoScout24.ch.</t>
  </si>
  <si>
    <t>https://www.immoscout24.ch/fr/appartement/acheter/lieu-veysonnaz</t>
  </si>
  <si>
    <t>Vendre appartement Veysonnaz: Trouvez le bien immobilier qui correspond idéalement à vos désirs sur ImmoScout24 - La plateforme de l'immobilier en Suisse.</t>
  </si>
  <si>
    <t>🏘  L’appartement de vos rêves se trouve sur ImmoScout24.ch ✅ Découvrez les dernières annonces de vente à Veysonnaz.</t>
  </si>
  <si>
    <t>https://www.immoscout24.ch/fr/maison/louer/lieu-yvorne</t>
  </si>
  <si>
    <t>Louer maison Yvorne: Trouvez le bien immobilier qui correspond idéalement à vos désirs sur ImmoScout24 - La plateforme de l'immobilier en Suisse.</t>
  </si>
  <si>
    <t>🏘  Vous cherchez une maison à louer à Yvorne? ✅ Découvrez nos nombreuses annonces sur ImmoScout24.ch.</t>
  </si>
  <si>
    <t>https://www.immoscout24.ch/fr/maison/acheter/lieu-bellelay</t>
  </si>
  <si>
    <t>Vendre maison Bellelay: Trouvez le bien immobilier qui correspond idéalement à vos désirs sur ImmoScout24 - La plateforme de l'immobilier en Suisse.</t>
  </si>
  <si>
    <t>🏘  Vous souhaitez acheter une maison à Bellelay? ✅ Jetez un œil aux dernières offres sur ImmoScout24.ch.</t>
  </si>
  <si>
    <t>https://www.immoscout24.ch/fr/appartement/louer/lieu-tegna</t>
  </si>
  <si>
    <t>Louer appartement Tegna: Trouvez le bien immobilier qui correspond idéalement à vos désirs sur ImmoScout24 - La plateforme de l'immobilier en Suisse.</t>
  </si>
  <si>
    <t>🏘  Vous cherchez un appartement à louer à Tegna? ✅ Les annonces les plus actuelles sont sur ImmoScout24.ch.</t>
  </si>
  <si>
    <t>https://www.immoscout24.ch/fr/appartement/louer/lieu-sergey</t>
  </si>
  <si>
    <t>Louer appartement Sergey: Trouvez le bien immobilier qui correspond idéalement à vos désirs sur ImmoScout24 - La plateforme de l'immobilier en Suisse.</t>
  </si>
  <si>
    <t>🏘  Vous cherchez un appartement à louer à Sergey? ✅ Les annonces les plus actuelles sont sur ImmoScout24.ch.</t>
  </si>
  <si>
    <t>https://www.immoscout24.ch/fr/maison/acheter/lieu-losone</t>
  </si>
  <si>
    <t>Vendre maison Losone: Trouvez le bien immobilier qui correspond idéalement à vos désirs sur ImmoScout24 - La plateforme de l'immobilier en Suisse.</t>
  </si>
  <si>
    <t>🏘  Vous souhaitez acheter une maison à Losone? ✅ Jetez un œil aux dernières offres sur ImmoScout24.ch.</t>
  </si>
  <si>
    <t>https://www.immoscout24.ch/fr/appartement/acheter/region-aarau-et-environs</t>
  </si>
  <si>
    <t>Vendre appartement Aarau et environs: Trouvez le bien immobilier qui correspond idéalement à vos désirs sur ImmoScout24 - La plateforme de l'immobilier en Suisse.</t>
  </si>
  <si>
    <t>🏘  L’appartement de vos rêves se trouve sur ImmoScout24.ch ✅ Découvrez les dernières annonces de vente à Aarau et environs.</t>
  </si>
  <si>
    <t>https://www.immoscout24.ch/fr/maison/acheter/lieu-chaneaz</t>
  </si>
  <si>
    <t>Vendre maison Chanéaz: Trouvez le bien immobilier qui correspond idéalement à vos désirs sur ImmoScout24 - La plateforme de l'immobilier en Suisse.</t>
  </si>
  <si>
    <t>🏘  Vous souhaitez acheter une maison à Chanéaz? ✅ Jetez un œil aux dernières offres sur ImmoScout24.ch.</t>
  </si>
  <si>
    <t>https://www.immoscout24.ch/fr/maison/acheter/lieu-guettingen</t>
  </si>
  <si>
    <t>Vendre maison Güttingen: Trouvez le bien immobilier qui correspond idéalement à vos désirs sur ImmoScout24 - La plateforme de l'immobilier en Suisse.</t>
  </si>
  <si>
    <t>🏘  Vous souhaitez acheter une maison à Güttingen? ✅ Jetez un œil aux dernières offres sur ImmoScout24.ch.</t>
  </si>
  <si>
    <t>https://www.immoscout24.ch/fr/appartement/acheter/lieu-gurmels</t>
  </si>
  <si>
    <t>Vendre appartement Gurmels: Trouvez le bien immobilier qui correspond idéalement à vos désirs sur ImmoScout24 - La plateforme de l'immobilier en Suisse.</t>
  </si>
  <si>
    <t>🏘  L’appartement de vos rêves se trouve sur ImmoScout24.ch ✅ Découvrez les dernières annonces de vente à Gurmels.</t>
  </si>
  <si>
    <t>https://www.immoscout24.ch/fr/appartement/acheter/lieu-volleges</t>
  </si>
  <si>
    <t>Vendre appartement Vollèges: Trouvez le bien immobilier qui correspond idéalement à vos désirs sur ImmoScout24 - La plateforme de l'immobilier en Suisse.</t>
  </si>
  <si>
    <t>🏘  L’appartement de vos rêves se trouve sur ImmoScout24.ch ✅ Découvrez les dernières annonces de vente à Vollèges.</t>
  </si>
  <si>
    <t>https://www.immoscout24.ch/fr/maison/louer/lieu-lausanne</t>
  </si>
  <si>
    <t>Louer maison Lausanne: Trouvez le bien immobilier qui correspond idéalement à vos désirs sur ImmoScout24 - La plateforme de l'immobilier en Suisse.</t>
  </si>
  <si>
    <t>🏘  Vous cherchez une maison à louer à Lausanne? ✅ Découvrez nos nombreuses annonces sur ImmoScout24.ch.</t>
  </si>
  <si>
    <t>https://www.immoscout24.ch/fr/maison/acheter/lieu-glion</t>
  </si>
  <si>
    <t>Vendre maison Glion: Trouvez le bien immobilier qui correspond idéalement à vos désirs sur ImmoScout24 - La plateforme de l'immobilier en Suisse.</t>
  </si>
  <si>
    <t>🏘  Vous souhaitez acheter une maison à Glion? ✅ Jetez un œil aux dernières offres sur ImmoScout24.ch.</t>
  </si>
  <si>
    <t>https://www.immoscout24.ch/fr/appartement/louer/lieu-semsales</t>
  </si>
  <si>
    <t>Louer appartement Semsales: Trouvez le bien immobilier qui correspond idéalement à vos désirs sur ImmoScout24 - La plateforme de l'immobilier en Suisse.</t>
  </si>
  <si>
    <t>🏘  Vous cherchez un appartement à louer à Semsales? ✅ Les annonces les plus actuelles sont sur ImmoScout24.ch.</t>
  </si>
  <si>
    <t>https://www.immoscout24.ch/fr/appartement/louer/lieu-ste-croix</t>
  </si>
  <si>
    <t>Louer appartement Ste-Croix: Trouvez le bien immobilier qui correspond idéalement à vos désirs sur ImmoScout24 - La plateforme de l'immobilier en Suisse.</t>
  </si>
  <si>
    <t>🏘  Vous cherchez un appartement à louer à Ste-Croix? ✅ Les annonces les plus actuelles sont sur ImmoScout24.ch.</t>
  </si>
  <si>
    <t>https://www.immoscout24.ch/fr/appartement/louer/lieu-estavannens</t>
  </si>
  <si>
    <t>Louer appartement Estavannens: Trouvez le bien immobilier qui correspond idéalement à vos désirs sur ImmoScout24 - La plateforme de l'immobilier en Suisse.</t>
  </si>
  <si>
    <t>🏘  Vous cherchez un appartement à louer à Estavannens? ✅ Les annonces les plus actuelles sont sur ImmoScout24.ch.</t>
  </si>
  <si>
    <t>https://www.immoscout24.ch/fr/appartement/louer/lieu-mettmenstetten</t>
  </si>
  <si>
    <t>Louer appartement Mettmenstetten: Trouvez le bien immobilier qui correspond idéalement à vos désirs sur ImmoScout24 - La plateforme de l'immobilier en Suisse.</t>
  </si>
  <si>
    <t>🏘  Vous cherchez un appartement à louer à Mettmenstetten? ✅ Les annonces les plus actuelles sont sur ImmoScout24.ch.</t>
  </si>
  <si>
    <t>https://www.immoscout24.ch/fr/maison/acheter/pays-seychelles</t>
  </si>
  <si>
    <t>Vendre maison Seychelles: Trouvez le bien immobilier qui correspond idéalement à vos désirs sur ImmoScout24 - La plateforme de l'immobilier en Suisse.</t>
  </si>
  <si>
    <t>🏘  Vous cherchez un appartement à louer aux Seychelles? ✅ Les annonces les plus actuelles sont sur ImmoScout24.ch.</t>
  </si>
  <si>
    <t>https://www.immoscout24.ch/fr/maison/louer/lieu-surpierre</t>
  </si>
  <si>
    <t>Louer maison Surpierre: Trouvez le bien immobilier qui correspond idéalement à vos désirs sur ImmoScout24 - La plateforme de l'immobilier en Suisse.</t>
  </si>
  <si>
    <t>🏘  Vous cherchez une maison à louer à Surpierre? ✅ Découvrez nos nombreuses annonces sur ImmoScout24.ch.</t>
  </si>
  <si>
    <t>https://www.immoscout24.ch/fr/appartement/louer/lieu-stein-am-rhein</t>
  </si>
  <si>
    <t>Louer appartement Stein am Rhein: Trouvez le bien immobilier qui correspond idéalement à vos désirs sur ImmoScout24 - La plateforme de l'immobilier en Suisse.</t>
  </si>
  <si>
    <t>🏘  Vous cherchez un appartement à louer à Stein am Rhein? ✅ Les annonces les plus actuelles sont sur ImmoScout24.ch.</t>
  </si>
  <si>
    <t>https://www.immoscout24.ch/fr/maison/acheter/lieu-ascona</t>
  </si>
  <si>
    <t>Vendre maison Ascona: Trouvez le bien immobilier qui correspond idéalement à vos désirs sur ImmoScout24 - La plateforme de l'immobilier en Suisse.</t>
  </si>
  <si>
    <t>🏘  Vous souhaitez acheter une maison à Ascona? ✅ Jetez un œil aux dernières offres sur ImmoScout24.ch.</t>
  </si>
  <si>
    <t>https://www.immoscout24.ch/fr/appartement/louer/lieu-boudevilliers</t>
  </si>
  <si>
    <t>Louer appartement Boudevilliers: Trouvez le bien immobilier qui correspond idéalement à vos désirs sur ImmoScout24 - La plateforme de l'immobilier en Suisse.</t>
  </si>
  <si>
    <t>🏘  Vous cherchez un appartement à louer à Boudevilliers? ✅ Les annonces les plus actuelles sont sur ImmoScout24.ch.</t>
  </si>
  <si>
    <t>https://www.immoscout24.ch/fr/appartement/louer/lieu-gossau-zh</t>
  </si>
  <si>
    <t>Louer appartement Gossau ZH: Trouvez le bien immobilier qui correspond idéalement à vos désirs sur ImmoScout24 - La plateforme de l'immobilier en Suisse.</t>
  </si>
  <si>
    <t>🏘  Vous cherchez un appartement à louer à Gossau ZH? ✅ Les annonces les plus actuelles sont sur ImmoScout24.ch.</t>
  </si>
  <si>
    <t>https://www.immoscout24.ch/fr/appartement/louer/quartier-wettstein-bale</t>
  </si>
  <si>
    <t>Louer appartement Wettstein (Bâle): Trouvez le bien immobilier qui correspond idéalement à vos désirs sur ImmoScout24 - La plateforme de l'immobilier en Suisse.</t>
  </si>
  <si>
    <t>🏘  Vous cherchez un appartement à louer dans le quartier de Wettstein (Bâle)? ✅ Les annonces les plus actuelles sont sur ImmoScout24.ch.</t>
  </si>
  <si>
    <t>https://www.immoscout24.ch/fr/appartement/acheter/lieu-massonnens</t>
  </si>
  <si>
    <t>Vendre appartement Massonnens: Trouvez le bien immobilier qui correspond idéalement à vos désirs sur ImmoScout24 - La plateforme de l'immobilier en Suisse.</t>
  </si>
  <si>
    <t>🏘  L’appartement de vos rêves se trouve sur ImmoScout24.ch ✅ Découvrez les dernières annonces de vente à Massonnens.</t>
  </si>
  <si>
    <t>https://www.immoscout24.ch/fr/maison/acheter/lieu-la-cure</t>
  </si>
  <si>
    <t>Vendre maison La Cure: Trouvez le bien immobilier qui correspond idéalement à vos désirs sur ImmoScout24 - La plateforme de l'immobilier en Suisse.</t>
  </si>
  <si>
    <t>🏘  Vous souhaitez acheter une maison à La Cure? ✅ Jetez un œil aux dernières offres sur ImmoScout24.ch.</t>
  </si>
  <si>
    <t>https://www.immoscout24.ch/fr/maison/acheter/lieu-grandvaux</t>
  </si>
  <si>
    <t>Vendre maison Grandvaux: Trouvez le bien immobilier qui correspond idéalement à vos désirs sur ImmoScout24 - La plateforme de l'immobilier en Suisse.</t>
  </si>
  <si>
    <t>🏘  Vous souhaitez acheter une maison à Grandvaux? ✅ Jetez un œil aux dernières offres sur ImmoScout24.ch.</t>
  </si>
  <si>
    <t>https://www.immoscout24.ch/fr/maison/louer/lieu-le-landeron</t>
  </si>
  <si>
    <t>Louer maison Le Landeron: Trouvez le bien immobilier qui correspond idéalement à vos désirs sur ImmoScout24 - La plateforme de l'immobilier en Suisse.</t>
  </si>
  <si>
    <t>🏘  Vous cherchez une maison à louer au Landeron? ✅ Découvrez nos nombreuses annonces sur ImmoScout24.ch.</t>
  </si>
  <si>
    <t>https://www.immoscout24.ch/fr/appartement/louer/quartier-mattenhof-berne</t>
  </si>
  <si>
    <t>Louer appartement Mattenhof (Berne): Trouvez le bien immobilier qui correspond idéalement à vos désirs sur ImmoScout24 - La plateforme de l'immobilier en Suisse.</t>
  </si>
  <si>
    <t>🏘  Vous cherchez un appartement à louer dans le quartier de Mattenhof (Berne)? ✅ Les annonces les plus actuelles sont sur ImmoScout24.ch.</t>
  </si>
  <si>
    <t>https://www.immoscout24.ch/fr/maison/acheter/lieu-ponthaux</t>
  </si>
  <si>
    <t>Vendre maison Ponthaux: Trouvez le bien immobilier qui correspond idéalement à vos désirs sur ImmoScout24 - La plateforme de l'immobilier en Suisse.</t>
  </si>
  <si>
    <t>🏘  Vous souhaitez acheter une maison à Ponthaux? ✅ Jetez un œil aux dernières offres sur ImmoScout24.ch.</t>
  </si>
  <si>
    <t>https://www.immoscout24.ch/fr/appartement/louer/lieu-monte-carasso</t>
  </si>
  <si>
    <t>Louer appartement Monte Carasso: Trouvez le bien immobilier qui correspond idéalement à vos désirs sur ImmoScout24 - La plateforme de l'immobilier en Suisse.</t>
  </si>
  <si>
    <t>🏘  Vous cherchez un appartement à louer à Monte Carasso? ✅ Les annonces les plus actuelles sont sur ImmoScout24.ch.</t>
  </si>
  <si>
    <t>https://www.immoscout24.ch/fr/appartement/louer/lieu-langwiesen</t>
  </si>
  <si>
    <t>Louer appartement Langwiesen: Trouvez le bien immobilier qui correspond idéalement à vos désirs sur ImmoScout24 - La plateforme de l'immobilier en Suisse.</t>
  </si>
  <si>
    <t>🏘  Vous cherchez un appartement à louer à Langwiesen? ✅ Les annonces les plus actuelles sont sur ImmoScout24.ch.</t>
  </si>
  <si>
    <t>https://www.immoscout24.ch/fr/maison/acheter/lieu-aeschi-b-spiez</t>
  </si>
  <si>
    <t>Vendre maison Aeschi b. Spiez: Trouvez le bien immobilier qui correspond idéalement à vos désirs sur ImmoScout24 - La plateforme de l'immobilier en Suisse.</t>
  </si>
  <si>
    <t>🏘  Vous souhaitez acheter une maison à Aeschi b. Spiez? ✅ Jetez un œil aux dernières offres sur ImmoScout24.ch.</t>
  </si>
  <si>
    <t>https://www.immoscout24.ch/fr/maison/louer/lieu-la-croix-de-rozon</t>
  </si>
  <si>
    <t>Louer maison La Croix-de-Rozon: Trouvez le bien immobilier qui correspond idéalement à vos désirs sur ImmoScout24 - La plateforme de l'immobilier en Suisse.</t>
  </si>
  <si>
    <t>🏘  Vous cherchez une maison à louer à La Croix-de-Rozon? ✅ Découvrez nos nombreuses annonces sur ImmoScout24.ch.</t>
  </si>
  <si>
    <t>https://www.immoscout24.ch/fr/appartement/louer/lieu-corcelles-ne</t>
  </si>
  <si>
    <t>Louer appartement Corcelles NE: Trouvez le bien immobilier qui correspond idéalement à vos désirs sur ImmoScout24 - La plateforme de l'immobilier en Suisse.</t>
  </si>
  <si>
    <t>🏘  Vous cherchez un appartement à louer à Corcelles NE? ✅ Les annonces les plus actuelles sont sur ImmoScout24.ch.</t>
  </si>
  <si>
    <t>https://www.immoscout24.ch/fr/appartement/acheter/lieu-assens</t>
  </si>
  <si>
    <t>Vendre appartement Assens: Trouvez le bien immobilier qui correspond idéalement à vos désirs sur ImmoScout24 - La plateforme de l'immobilier en Suisse.</t>
  </si>
  <si>
    <t>🏘  L’appartement de vos rêves se trouve sur ImmoScout24.ch ✅ Découvrez les dernières annonces de vente à Assens.</t>
  </si>
  <si>
    <t>https://www.immoscout24.ch/fr/appartement/acheter/lieu-carrouge-vd</t>
  </si>
  <si>
    <t>Vendre appartement Carrouge VD: Trouvez le bien immobilier qui correspond idéalement à vos désirs sur ImmoScout24 - La plateforme de l'immobilier en Suisse.</t>
  </si>
  <si>
    <t>🏘  L’appartement de vos rêves se trouve sur ImmoScout24.ch ✅ Découvrez les dernières annonces de vente à Carrouge VD.</t>
  </si>
  <si>
    <t>https://www.immoscout24.ch/fr/appartement/louer/lieu-clebes-nendaz</t>
  </si>
  <si>
    <t>Louer appartement Clèbes (Nendaz): Trouvez le bien immobilier qui correspond idéalement à vos désirs sur ImmoScout24 - La plateforme de l'immobilier en Suisse.</t>
  </si>
  <si>
    <t>🏘  Vous cherchez un appartement à louer à Clèbes (Nendaz)? ✅ Les annonces les plus actuelles sont sur ImmoScout24.ch.</t>
  </si>
  <si>
    <t>https://www.immoscout24.ch/fr/appartement/louer/lieu-niederbipp</t>
  </si>
  <si>
    <t>Louer appartement Niederbipp: Trouvez le bien immobilier qui correspond idéalement à vos désirs sur ImmoScout24 - La plateforme de l'immobilier en Suisse.</t>
  </si>
  <si>
    <t>🏘  Vous cherchez un appartement à louer à Niederbipp? ✅ Les annonces les plus actuelles sont sur ImmoScout24.ch.</t>
  </si>
  <si>
    <t>https://www.immoscout24.ch/fr/maison/acheter/lieu-wynau</t>
  </si>
  <si>
    <t>Vendre maison Wynau: Trouvez le bien immobilier qui correspond idéalement à vos désirs sur ImmoScout24 - La plateforme de l'immobilier en Suisse.</t>
  </si>
  <si>
    <t>🏘  Vous souhaitez acheter une maison à Wynau? ✅ Jetez un œil aux dernières offres sur ImmoScout24.ch.</t>
  </si>
  <si>
    <t>https://www.immoscout24.ch/fr/appartement/acheter/lieu-fribourg</t>
  </si>
  <si>
    <t>Vendre appartement Fribourg: Trouvez le bien immobilier qui correspond idéalement à vos désirs sur ImmoScout24 - La plateforme de l'immobilier en Suisse.</t>
  </si>
  <si>
    <t>🏘  L’appartement de vos rêves se trouve sur ImmoScout24.ch ✅ Découvrez les dernières annonces de vente à Fribourg.</t>
  </si>
  <si>
    <t>https://www.immoscout24.ch/fr/appartement/louer/lieu-niederurnen</t>
  </si>
  <si>
    <t>Louer appartement Niederurnen: Trouvez le bien immobilier qui correspond idéalement à vos désirs sur ImmoScout24 - La plateforme de l'immobilier en Suisse.</t>
  </si>
  <si>
    <t>🏘  Vous cherchez un appartement à louer à Niederurnen? ✅ Les annonces les plus actuelles sont sur ImmoScout24.ch.</t>
  </si>
  <si>
    <t>https://www.immoscout24.ch/fr/appartement/louer/lieu-colombier-vd</t>
  </si>
  <si>
    <t>Louer appartement Colombier VD: Trouvez le bien immobilier qui correspond idéalement à vos désirs sur ImmoScout24 - La plateforme de l'immobilier en Suisse.</t>
  </si>
  <si>
    <t>🏘  Vous cherchez un appartement à louer à Colombier VD? ✅ Les annonces les plus actuelles sont sur ImmoScout24.ch.</t>
  </si>
  <si>
    <t>https://www.immoscout24.ch/fr/maison/acheter/lieu-rive-haute-liddes</t>
  </si>
  <si>
    <t>Vendre maison Rive Haute (Liddes): Trouvez le bien immobilier qui correspond idéalement à vos désirs sur ImmoScout24 - La plateforme de l'immobilier en Suisse.</t>
  </si>
  <si>
    <t>🏘  Vous souhaitez acheter une maison à Rive Haute (Liddes)? ✅ Jetez un œil aux dernières offres sur ImmoScout24.ch.</t>
  </si>
  <si>
    <t>https://www.immoscout24.ch/fr/maison/acheter/lieu-courchapoix</t>
  </si>
  <si>
    <t>Vendre maison Courchapoix: Trouvez le bien immobilier qui correspond idéalement à vos désirs sur ImmoScout24 - La plateforme de l'immobilier en Suisse.</t>
  </si>
  <si>
    <t>🏘  Vous souhaitez acheter une maison à Courchapoix? ✅ Jetez un œil aux dernières offres sur ImmoScout24.ch.</t>
  </si>
  <si>
    <t>https://www.immoscout24.ch/fr/appartement/louer/lieu-bussy-fr</t>
  </si>
  <si>
    <t>Louer appartement Bussy FR: Trouvez le bien immobilier qui correspond idéalement à vos désirs sur ImmoScout24 - La plateforme de l'immobilier en Suisse.</t>
  </si>
  <si>
    <t>🏘  Vous cherchez un appartement à louer à Bussy FR? ✅ Les annonces les plus actuelles sont sur ImmoScout24.ch.</t>
  </si>
  <si>
    <t>https://www.immoscout24.ch/fr/maison/acheter/lieu-laufen</t>
  </si>
  <si>
    <t>Vendre maison Laufen: Trouvez le bien immobilier qui correspond idéalement à vos désirs sur ImmoScout24 - La plateforme de l'immobilier en Suisse.</t>
  </si>
  <si>
    <t>🏘  Vous souhaitez acheter une maison à Laufen? ✅ Jetez un œil aux dernières offres sur ImmoScout24.ch.</t>
  </si>
  <si>
    <t>https://www.immoscout24.ch/fr/maison/acheter/lieu-fey-nendaz</t>
  </si>
  <si>
    <t>Vendre maison Fey (Nendaz): Trouvez le bien immobilier qui correspond idéalement à vos désirs sur ImmoScout24 - La plateforme de l'immobilier en Suisse.</t>
  </si>
  <si>
    <t>🏘  Vous souhaitez acheter une maison à Fey (Nendaz)? ✅ Jetez un œil aux dernières offres sur ImmoScout24.ch.</t>
  </si>
  <si>
    <t>https://www.immoscout24.ch/fr/appartement/acheter/lieu-wilen-sarnen</t>
  </si>
  <si>
    <t>Vendre appartement Wilen (Sarnen): Trouvez le bien immobilier qui correspond idéalement à vos désirs sur ImmoScout24 - La plateforme de l'immobilier en Suisse.</t>
  </si>
  <si>
    <t>🏘  L’appartement de vos rêves se trouve sur ImmoScout24.ch ✅ Découvrez les dernières annonces de vente à Wilen (Sarnen).</t>
  </si>
  <si>
    <t>https://www.immoscout24.ch/fr/maison/acheter/lieu-court</t>
  </si>
  <si>
    <t>Vendre maison Court: Trouvez le bien immobilier qui correspond idéalement à vos désirs sur ImmoScout24 - La plateforme de l'immobilier en Suisse.</t>
  </si>
  <si>
    <t>🏘  Vous souhaitez acheter une maison à Court? ✅ Jetez un œil aux dernières offres sur ImmoScout24.ch.</t>
  </si>
  <si>
    <t>https://www.immoscout24.ch/fr/appartement/acheter/lieu-worben</t>
  </si>
  <si>
    <t>Vendre appartement Worben: Trouvez le bien immobilier qui correspond idéalement à vos désirs sur ImmoScout24 - La plateforme de l'immobilier en Suisse.</t>
  </si>
  <si>
    <t>🏘  L’appartement de vos rêves se trouve sur ImmoScout24.ch ✅ Découvrez les dernières annonces de vente à Worben.</t>
  </si>
  <si>
    <t>https://www.immoscout24.ch/fr/appartement/acheter/lieu-longirod</t>
  </si>
  <si>
    <t>Vendre appartement Longirod: Trouvez le bien immobilier qui correspond idéalement à vos désirs sur ImmoScout24 - La plateforme de l'immobilier en Suisse.</t>
  </si>
  <si>
    <t>🏘  L’appartement de vos rêves se trouve sur ImmoScout24.ch ✅ Découvrez les dernières annonces de vente à Longirod.</t>
  </si>
  <si>
    <t>https://www.immoscout24.ch/fr/appartement/louer/lieu-vallamand</t>
  </si>
  <si>
    <t>Louer appartement Vallamand: Trouvez le bien immobilier qui correspond idéalement à vos désirs sur ImmoScout24 - La plateforme de l'immobilier en Suisse.</t>
  </si>
  <si>
    <t>🏘  Vous cherchez un appartement à louer à Vallamand? ✅ Les annonces les plus actuelles sont sur ImmoScout24.ch.</t>
  </si>
  <si>
    <t>https://www.immoscout24.ch/fr/appartement/louer/quartier-maupas-valency-lausanne</t>
  </si>
  <si>
    <t>Louer appartement Maupas - Valency (Lausanne): Trouvez le bien immobilier qui correspond idéalement à vos désirs sur ImmoScout24 - La plateforme de l'immobilier en Suisse.</t>
  </si>
  <si>
    <t>🏘  Vous cherchez un appartement à louer dans le quartier de Maupas - Valency (Lausanne)? ✅ Les annonces les plus actuelles sont sur ImmoScout24.ch.</t>
  </si>
  <si>
    <t>https://www.immoscout24.ch/fr/appartement/louer/lieu-albinen</t>
  </si>
  <si>
    <t>Louer appartement Albinen: Trouvez le bien immobilier qui correspond idéalement à vos désirs sur ImmoScout24 - La plateforme de l'immobilier en Suisse.</t>
  </si>
  <si>
    <t>🏘  Vous cherchez un appartement à louer à Albinen? ✅ Les annonces les plus actuelles sont sur ImmoScout24.ch.</t>
  </si>
  <si>
    <t>https://www.immoscout24.ch/fr/maison/acheter/lieu-couvet</t>
  </si>
  <si>
    <t>Vendre maison Couvet: Trouvez le bien immobilier qui correspond idéalement à vos désirs sur ImmoScout24 - La plateforme de l'immobilier en Suisse.</t>
  </si>
  <si>
    <t>🏘  Vous souhaitez acheter une maison à Couvet? ✅ Jetez un œil aux dernières offres sur ImmoScout24.ch.</t>
  </si>
  <si>
    <t>https://www.immoscout24.ch/fr/appartement/acheter/lieu-giez</t>
  </si>
  <si>
    <t>Vendre appartement Giez: Trouvez le bien immobilier qui correspond idéalement à vos désirs sur ImmoScout24 - La plateforme de l'immobilier en Suisse.</t>
  </si>
  <si>
    <t>🏘  L’appartement de vos rêves se trouve sur ImmoScout24.ch ✅ Découvrez les dernières annonces de vente à Giez.</t>
  </si>
  <si>
    <t>https://www.immoscout24.ch/fr/appartement/louer/lieu-basel</t>
  </si>
  <si>
    <t>Louer appartement Basel: Trouvez le bien immobilier qui correspond idéalement à vos désirs sur ImmoScout24 - La plateforme de l'immobilier en Suisse.</t>
  </si>
  <si>
    <t>🏘  Vous cherchez un appartement à louer à Basel? ✅ Les annonces les plus actuelles sont sur ImmoScout24.ch.</t>
  </si>
  <si>
    <t>https://www.immoscout24.ch/fr/appartement/louer/lieu-chamoson</t>
  </si>
  <si>
    <t>Louer appartement Chamoson: Trouvez le bien immobilier qui correspond idéalement à vos désirs sur ImmoScout24 - La plateforme de l'immobilier en Suisse.</t>
  </si>
  <si>
    <t>🏘  Vous cherchez un appartement à louer à Chamoson? ✅ Les annonces les plus actuelles sont sur ImmoScout24.ch.</t>
  </si>
  <si>
    <t>https://www.immoscout24.ch/fr/appartement/louer/lieu-bevilard</t>
  </si>
  <si>
    <t>Louer appartement Bévilard: Trouvez le bien immobilier qui correspond idéalement à vos désirs sur ImmoScout24 - La plateforme de l'immobilier en Suisse.</t>
  </si>
  <si>
    <t>🏘  Vous cherchez un appartement à louer à Bévilard? ✅ Les annonces les plus actuelles sont sur ImmoScout24.ch.</t>
  </si>
  <si>
    <t>https://www.immoscout24.ch/fr/appartement/louer/lieu-arch</t>
  </si>
  <si>
    <t>Louer appartement Arch: Trouvez le bien immobilier qui correspond idéalement à vos désirs sur ImmoScout24 - La plateforme de l'immobilier en Suisse.</t>
  </si>
  <si>
    <t>🏘  Vous cherchez un appartement à louer à Arch? ✅ Les annonces les plus actuelles sont sur ImmoScout24.ch.</t>
  </si>
  <si>
    <t>https://www.immoscout24.ch/fr/appartement/louer/lieu-raron</t>
  </si>
  <si>
    <t>Louer appartement Raron: Trouvez le bien immobilier qui correspond idéalement à vos désirs sur ImmoScout24 - La plateforme de l'immobilier en Suisse.</t>
  </si>
  <si>
    <t>🏘  Vous cherchez un appartement à louer à Raron? ✅ Les annonces les plus actuelles sont sur ImmoScout24.ch.</t>
  </si>
  <si>
    <t>https://www.immoscout24.ch/fr/appartement/louer/lieu-cureglia</t>
  </si>
  <si>
    <t>Louer appartement Cureglia: Trouvez le bien immobilier qui correspond idéalement à vos désirs sur ImmoScout24 - La plateforme de l'immobilier en Suisse.</t>
  </si>
  <si>
    <t>🏘  Vous cherchez un appartement à louer à Cureglia? ✅ Les annonces les plus actuelles sont sur ImmoScout24.ch.</t>
  </si>
  <si>
    <t>https://www.immoscout24.ch/fr/appartement/louer/quartier-cite-centre-geneve</t>
  </si>
  <si>
    <t>Louer appartement Cité - Centre (Genève): Trouvez le bien immobilier qui correspond idéalement à vos désirs sur ImmoScout24 - La plateforme de l'immobilier en Suisse.</t>
  </si>
  <si>
    <t>🏘  Vous cherchez un appartement à louer dans le quartier de Cité - Centre (Genève)? ✅ Les annonces les plus actuelles sont sur ImmoScout24.ch.</t>
  </si>
  <si>
    <t>https://www.immoscout24.ch/fr/maison/acheter/lieu-perrefitte</t>
  </si>
  <si>
    <t>Vendre maison Perrefitte: Trouvez le bien immobilier qui correspond idéalement à vos désirs sur ImmoScout24 - La plateforme de l'immobilier en Suisse.</t>
  </si>
  <si>
    <t>🏘  Vous souhaitez acheter une maison à Perrefitte? ✅ Jetez un œil aux dernières offres sur ImmoScout24.ch.</t>
  </si>
  <si>
    <t>https://www.immoscout24.ch/fr/appartement/acheter/canton-bale-ville</t>
  </si>
  <si>
    <t>Vendre appartement Canton de Bâle-Ville: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</si>
  <si>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de Bâle-Ville.</t>
  </si>
  <si>
    <t>https://www.immoscout24.ch/fr/appartement/louer/lieu-collombey</t>
  </si>
  <si>
    <t>Louer appartement Collombey: Trouvez le bien immobilier qui correspond idéalement à vos désirs sur ImmoScout24 - La plateforme de l'immobilier en Suisse.</t>
  </si>
  <si>
    <t>🏘  Vous cherchez un appartement à louer à Collombey? ✅ Les annonces les plus actuelles sont sur ImmoScout24.ch.</t>
  </si>
  <si>
    <t>https://www.immoscout24.ch/fr/appartement/louer/lieu-granges-de-vesin</t>
  </si>
  <si>
    <t>Louer appartement Granges-de-Vesin: Trouvez le bien immobilier qui correspond idéalement à vos désirs sur ImmoScout24 - La plateforme de l'immobilier en Suisse.</t>
  </si>
  <si>
    <t>🏘  Vous cherchez un appartement à louer à Granges-de-Vesin? ✅ Les annonces les plus actuelles sont sur ImmoScout24.ch.</t>
  </si>
  <si>
    <t>https://www.immoscout24.ch/fr/appartement/acheter/lieu-moosseedorf</t>
  </si>
  <si>
    <t>Vendre appartement Moosseedorf: Trouvez le bien immobilier qui correspond idéalement à vos désirs sur ImmoScout24 - La plateforme de l'immobilier en Suisse.</t>
  </si>
  <si>
    <t>🏘  L’appartement de vos rêves se trouve sur ImmoScout24.ch ✅ Découvrez les dernières annonces de vente à Moosseedorf.</t>
  </si>
  <si>
    <t>https://www.immoscout24.ch/fr/appartement/louer/quartier-gasel-koeniz</t>
  </si>
  <si>
    <t>Louer appartement Gasel (Köniz): Trouvez le bien immobilier qui correspond idéalement à vos désirs sur ImmoScout24 - La plateforme de l'immobilier en Suisse.</t>
  </si>
  <si>
    <t>🏘  Vous cherchez un appartement à louer dans le quartier de Gasel (Köniz)? ✅ Les annonces les plus actuelles sont sur ImmoScout24.ch.</t>
  </si>
  <si>
    <t>https://www.immoscout24.ch/fr/appartement/louer/lieu-heitenried</t>
  </si>
  <si>
    <t>Louer appartement Heitenried: Trouvez le bien immobilier qui correspond idéalement à vos désirs sur ImmoScout24 - La plateforme de l'immobilier en Suisse.</t>
  </si>
  <si>
    <t>🏘  Vous cherchez un appartement à louer à Heitenried? ✅ Les annonces les plus actuelles sont sur ImmoScout24.ch.</t>
  </si>
  <si>
    <t>https://www.immoscout24.ch/fr/appartement/acheter/lieu-corsier-ge</t>
  </si>
  <si>
    <t>Vendre appartement Corsier GE: Trouvez le bien immobilier qui correspond idéalement à vos désirs sur ImmoScout24 - La plateforme de l'immobilier en Suisse.</t>
  </si>
  <si>
    <t>🏘  L’appartement de vos rêves se trouve sur ImmoScout24.ch ✅ Découvrez les dernières annonces de vente à Corsier GE.</t>
  </si>
  <si>
    <t>https://www.immoscout24.ch/fr/appartement/louer/region-rorschach-st-gallen</t>
  </si>
  <si>
    <t>Louer appartement Rorschach - St. Gallen: Trouvez le bien immobilier qui correspond idéalement à vos désirs sur ImmoScout24 - La plateforme de l'immobilier en Suisse.</t>
  </si>
  <si>
    <t>🏘  Vous cherchez un appartement à louer dans la région de St-Gall? ✅ Les annonces les plus actuelles sont sur ImmoScout24.ch.</t>
  </si>
  <si>
    <t>https://www.immoscout24.ch/fr/appartement/acheter/lieu-muri-ag</t>
  </si>
  <si>
    <t>Vendre appartement Muri AG: Trouvez le bien immobilier qui correspond idéalement à vos désirs sur ImmoScout24 - La plateforme de l'immobilier en Suisse.</t>
  </si>
  <si>
    <t>🏘  L’appartement de vos rêves se trouve sur ImmoScout24.ch ✅ Découvrez les dernières annonces de vente à Muri AG.</t>
  </si>
  <si>
    <t>https://www.immoscout24.ch/fr/appartement/louer/lieu-wilen-sarnen</t>
  </si>
  <si>
    <t>Louer appartement Wilen (Sarnen): Trouvez le bien immobilier qui correspond idéalement à vos désirs sur ImmoScout24 - La plateforme de l'immobilier en Suisse.</t>
  </si>
  <si>
    <t>🏘  Vous cherchez un appartement à louer à Wilen (Sarnen)? ✅ Les annonces les plus actuelles sont sur ImmoScout24.ch.</t>
  </si>
  <si>
    <t>https://www.immoscout24.ch/fr/appartement/louer/lieu-uzwil</t>
  </si>
  <si>
    <t>Louer appartement Uzwil: Trouvez le bien immobilier qui correspond idéalement à vos désirs sur ImmoScout24 - La plateforme de l'immobilier en Suisse.</t>
  </si>
  <si>
    <t>🏘  Vous cherchez un appartement à louer à Uzwil? ✅ Les annonces les plus actuelles sont sur ImmoScout24.ch.</t>
  </si>
  <si>
    <t>https://www.immoscout24.ch/fr/maison/acheter/lieu-essertines-sur-rolle</t>
  </si>
  <si>
    <t>Vendre maison Essertines-sur-Rolle: Trouvez le bien immobilier qui correspond idéalement à vos désirs sur ImmoScout24 - La plateforme de l'immobilier en Suisse.</t>
  </si>
  <si>
    <t>🏘  Vous souhaitez acheter une maison à Essertines-sur-Rolle? ✅ Jetez un œil aux dernières offres sur ImmoScout24.ch.</t>
  </si>
  <si>
    <t>https://www.immoscout24.ch/fr/appartement/louer/lieu-jens</t>
  </si>
  <si>
    <t>Louer appartement Jens: Trouvez le bien immobilier qui correspond idéalement à vos désirs sur ImmoScout24 - La plateforme de l'immobilier en Suisse.</t>
  </si>
  <si>
    <t>🏘  Vous cherchez un appartement à louer à Jens? ✅ Les annonces les plus actuelles sont sur ImmoScout24.ch.</t>
  </si>
  <si>
    <t>https://www.immoscout24.ch/fr/appartement/louer/lieu-burgdorf</t>
  </si>
  <si>
    <t>Louer appartement Burgdorf: Trouvez le bien immobilier qui correspond idéalement à vos désirs sur ImmoScout24 - La plateforme de l'immobilier en Suisse.</t>
  </si>
  <si>
    <t>🏘  Vous cherchez un appartement à louer à Burgdorf? ✅ Les annonces les plus actuelles sont sur ImmoScout24.ch.</t>
  </si>
  <si>
    <t>https://www.immoscout24.ch/fr/appartement/acheter/quartier-breitenrain-berne</t>
  </si>
  <si>
    <t>Vendre appartement Breitenrain (Berne):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</si>
  <si>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Breitenrain (Berne).</t>
  </si>
  <si>
    <t>https://www.immoscout24.ch/fr/maison/acheter/lieu-bremblens</t>
  </si>
  <si>
    <t>Vendre maison Bremblens: Trouvez le bien immobilier qui correspond idéalement à vos désirs sur ImmoScout24 - La plateforme de l'immobilier en Suisse.</t>
  </si>
  <si>
    <t>🏘  Vous souhaitez acheter une maison à Bremblens? ✅ Jetez un œil aux dernières offres sur ImmoScout24.ch.</t>
  </si>
  <si>
    <t>https://www.immoscout24.ch/fr/maison/louer/lieu-bruson</t>
  </si>
  <si>
    <t>Louer maison Bruson: Trouvez le bien immobilier qui correspond idéalement à vos désirs sur ImmoScout24 - La plateforme de l'immobilier en Suisse.</t>
  </si>
  <si>
    <t>🏘  Vous cherchez une maison à louer à Bruson? ✅ Découvrez nos nombreuses annonces sur ImmoScout24.ch.</t>
  </si>
  <si>
    <t>https://www.immoscout24.ch/fr/maison/acheter/lieu-dotzigen</t>
  </si>
  <si>
    <t>Vendre maison Dotzigen: Trouvez le bien immobilier qui correspond idéalement à vos désirs sur ImmoScout24 - La plateforme de l'immobilier en Suisse.</t>
  </si>
  <si>
    <t>🏘  Vous souhaitez acheter une maison à Dotzigen? ✅ Jetez un œil aux dernières offres sur ImmoScout24.ch.</t>
  </si>
  <si>
    <t>https://www.immoscout24.ch/fr/appartement/louer/lieu-muraz-sierre</t>
  </si>
  <si>
    <t>Louer appartement Muraz (Sierre): Trouvez le bien immobilier qui correspond idéalement à vos désirs sur ImmoScout24 - La plateforme de l'immobilier en Suisse.</t>
  </si>
  <si>
    <t>🏘  Vous cherchez un appartement à louer à Muraz (Sierre)? ✅ Les annonces les plus actuelles sont sur ImmoScout24.ch.</t>
  </si>
  <si>
    <t>https://www.immoscout24.ch/fr/appartement/louer/quartier-neuveville-fribourg</t>
  </si>
  <si>
    <t>Louer appartement Neuveville (Fribourg): Trouvez le bien immobilier qui correspond idéalement à vos désirs sur ImmoScout24 - La plateforme de l'immobilier en Suisse.</t>
  </si>
  <si>
    <t>🏘  Vous cherchez un appartement à louer dans le quartier de la Neuveville (Fribourg)? ✅ Les annonces les plus actuelles sont sur ImmoScout24.ch.</t>
  </si>
  <si>
    <t>https://www.immoscout24.ch/fr/maison/acheter/lieu-dompierre-fr</t>
  </si>
  <si>
    <t>Vendre maison Dompierre FR: Trouvez le bien immobilier qui correspond idéalement à vos désirs sur ImmoScout24 - La plateforme de l'immobilier en Suisse.</t>
  </si>
  <si>
    <t>🏘  Vous souhaitez acheter une maison à Dompierre FR? ✅ Jetez un œil aux dernières offres sur ImmoScout24.ch.</t>
  </si>
  <si>
    <t>https://www.immoscout24.ch/fr/appartement/louer/quartier-jura-fribourg</t>
  </si>
  <si>
    <t>Louer appartement Jura (Fribourg): Trouvez le bien immobilier qui correspond idéalement à vos désirs sur ImmoScout24 - La plateforme de l'immobilier en Suisse.</t>
  </si>
  <si>
    <t>🏘  Vous cherchez un appartement à louer dans le quartier du Jura (Fribourg)? ✅ Les annonces les plus actuelles sont sur ImmoScout24.ch.</t>
  </si>
  <si>
    <t>https://www.immoscout24.ch/fr/appartement/louer/quartier-sauvabelin-lausanne</t>
  </si>
  <si>
    <t>Louer appartement Sauvabelin (Lausanne): Trouvez le bien immobilier qui correspond idéalement à vos désirs sur ImmoScout24 - La plateforme de l'immobilier en Suisse.</t>
  </si>
  <si>
    <t>🏘  Vous cherchez un appartement à louer dans le quartier de Sauvabelin (Lausanne)? ✅ Les annonces les plus actuelles sont sur ImmoScout24.ch.</t>
  </si>
  <si>
    <t>https://www.immoscout24.ch/fr/maison/acheter/lieu-sigriswil</t>
  </si>
  <si>
    <t>Vendre maison Sigriswil: Trouvez le bien immobilier qui correspond idéalement à vos désirs sur ImmoScout24 - La plateforme de l'immobilier en Suisse.</t>
  </si>
  <si>
    <t>🏘  Vous souhaitez acheter une maison à Sigriswil? ✅ Jetez un œil aux dernières offres sur ImmoScout24.ch.</t>
  </si>
  <si>
    <t>https://www.immoscout24.ch/fr/appartement/louer/lieu-witterswil</t>
  </si>
  <si>
    <t>Louer appartement Witterswil: Trouvez le bien immobilier qui correspond idéalement à vos désirs sur ImmoScout24 - La plateforme de l'immobilier en Suisse.</t>
  </si>
  <si>
    <t>🏘  Vous cherchez un appartement à louer à Witterswil? ✅ Les annonces les plus actuelles sont sur ImmoScout24.ch.</t>
  </si>
  <si>
    <t>https://www.immoscout24.ch/fr/appartement/louer/lieu-chatel-sur-montsalvens</t>
  </si>
  <si>
    <t>Louer appartement Châtel-sur-Montsalvens: Trouvez le bien immobilier qui correspond idéalement à vos désirs sur ImmoScout24 - La plateforme de l'immobilier en Suisse.</t>
  </si>
  <si>
    <t>🏘  Vous cherchez un appartement à louer à Châtel-sur-Montsalvens? ✅ Les annonces les plus actuelles sont sur ImmoScout24.ch.</t>
  </si>
  <si>
    <t>https://www.immoscout24.ch/fr/appartement/louer/lieu-tiefencastel</t>
  </si>
  <si>
    <t>Louer appartement Tiefencastel: Trouvez le bien immobilier qui correspond idéalement à vos désirs sur ImmoScout24 - La plateforme de l'immobilier en Suisse.</t>
  </si>
  <si>
    <t>🏘  Vous cherchez un appartement à louer à Tiefencastel? ✅ Les annonces les plus actuelles sont sur ImmoScout24.ch.</t>
  </si>
  <si>
    <t>https://www.immoscout24.ch/fr/appartement/louer/canton-schaffhouse</t>
  </si>
  <si>
    <t>Louer appartement Canton de Schaffhouse: Trouvez le bien immobilier qui correspond idéalement à vos désirs sur ImmoScout24 - La plateforme de l'immobilier en Suisse.</t>
  </si>
  <si>
    <t>🏘  Vous cherchez un appartement à louer dans le Canton de Schaffhouse? ✅ Les annonces les plus actuelles sont sur ImmoScout24.ch.</t>
  </si>
  <si>
    <t>https://www.immoscout24.ch/fr/appartement/louer/lieu-zuchwil</t>
  </si>
  <si>
    <t>Louer appartement Zuchwil: Trouvez le bien immobilier qui correspond idéalement à vos désirs sur ImmoScout24 - La plateforme de l'immobilier en Suisse.</t>
  </si>
  <si>
    <t>🏘  Vous cherchez un appartement à louer à Zuchwil? ✅ Les annonces les plus actuelles sont sur ImmoScout24.ch.</t>
  </si>
  <si>
    <t>https://www.immoscout24.ch/fr/appartement/louer/lieu-boniswil</t>
  </si>
  <si>
    <t>Louer appartement Boniswil: Trouvez le bien immobilier qui correspond idéalement à vos désirs sur ImmoScout24 - La plateforme de l'immobilier en Suisse.</t>
  </si>
  <si>
    <t>🏘  Vous cherchez un appartement à louer à Boniswil? ✅ Les annonces les plus actuelles sont sur ImmoScout24.ch.</t>
  </si>
  <si>
    <t>https://www.immoscout24.ch/fr/maison/acheter/lieu-les-collons</t>
  </si>
  <si>
    <t>Vendre maison Les Collons: Trouvez le bien immobilier qui correspond idéalement à vos désirs sur ImmoScout24 - La plateforme de l'immobilier en Suisse.</t>
  </si>
  <si>
    <t>🏘  Vous souhaitez acheter une maison aux Collons? ✅ Jetez un œil aux dernières offres sur ImmoScout24.ch.</t>
  </si>
  <si>
    <t>https://www.immoscout24.ch/fr/appartement/louer/lieu-autavaux</t>
  </si>
  <si>
    <t>Louer appartement Autavaux: Trouvez le bien immobilier qui correspond idéalement à vos désirs sur ImmoScout24 - La plateforme de l'immobilier en Suisse.</t>
  </si>
  <si>
    <t>🏘  Vous cherchez un appartement à louer à Autavaux? ✅ Les annonces les plus actuelles sont sur ImmoScout24.ch.</t>
  </si>
  <si>
    <t>https://www.immoscout24.ch/fr/maison/louer/lieu-produit-leytron</t>
  </si>
  <si>
    <t>Louer maison Produit (Leytron): Trouvez le bien immobilier qui correspond idéalement à vos désirs sur ImmoScout24 - La plateforme de l'immobilier en Suisse.</t>
  </si>
  <si>
    <t>🏘  Vous cherchez une maison à louer à Produit (Leytron)? ✅ Découvrez nos nombreuses annonces sur ImmoScout24.ch.</t>
  </si>
  <si>
    <t>https://www.immoscout24.ch/fr/appartement/louer/lieu-brione-sopra-minusio</t>
  </si>
  <si>
    <t>Louer appartement Brione sopra Minusio: Trouvez le bien immobilier qui correspond idéalement à vos désirs sur ImmoScout24 - La plateforme de l'immobilier en Suisse.</t>
  </si>
  <si>
    <t>🏘  Vous cherchez un appartement à louer à Brione sopra Minusio? ✅ Les annonces les plus actuelles sont sur ImmoScout24.ch.</t>
  </si>
  <si>
    <t>https://www.immoscout24.ch/fr/appartement/louer/lieu-uttigen</t>
  </si>
  <si>
    <t>Louer appartement Uttigen: Trouvez le bien immobilier qui correspond idéalement à vos désirs sur ImmoScout24 - La plateforme de l'immobilier en Suisse.</t>
  </si>
  <si>
    <t>🏘  Vous cherchez un appartement à louer à Uttigen? ✅ Les annonces les plus actuelles sont sur ImmoScout24.ch.</t>
  </si>
  <si>
    <t>https://www.immoscout24.ch/fr/maison/louer/lieu-mont-soleil</t>
  </si>
  <si>
    <t>Louer maison Mont-Soleil: Trouvez le bien immobilier qui correspond idéalement à vos désirs sur ImmoScout24 - La plateforme de l'immobilier en Suisse.</t>
  </si>
  <si>
    <t>🏘  Vous cherchez une maison à louer à Mont-Soleil? ✅ Découvrez nos nombreuses annonces sur ImmoScout24.ch.</t>
  </si>
  <si>
    <t>https://www.immoscout24.ch/fr/maison/acheter/lieu-jeuss</t>
  </si>
  <si>
    <t>Vendre maison Jeuss: Trouvez le bien immobilier qui correspond idéalement à vos désirs sur ImmoScout24 - La plateforme de l'immobilier en Suisse.</t>
  </si>
  <si>
    <t>🏘  Vous souhaitez acheter une maison à Jeuss? ✅ Jetez un œil aux dernières offres sur ImmoScout24.ch.</t>
  </si>
  <si>
    <t>https://www.immoscout24.ch/fr/maison/acheter/region-limmattal</t>
  </si>
  <si>
    <t>Vendre maison Limmattal: Trouvez le bien immobilier qui correspond idéalement à vos désirs sur ImmoScout24 - La plateforme de l'immobilier en Suisse.</t>
  </si>
  <si>
    <t>🏘  Vous souhaitez acheter une maison dans la vallée de la Limmat? ✅ Jetez un œil aux dernières offres sur ImmoScout24.ch.</t>
  </si>
  <si>
    <t>https://www.immoscout24.ch/fr/appartement/acheter/lieu-cham</t>
  </si>
  <si>
    <t>Vendre appartement Cham: Trouvez le bien immobilier qui correspond idéalement à vos désirs sur ImmoScout24 - La plateforme de l'immobilier en Suisse.</t>
  </si>
  <si>
    <t>🏘  L’appartement de vos rêves se trouve sur ImmoScout24.ch ✅ Découvrez les dernières annonces de vente à Cham.</t>
  </si>
  <si>
    <t>https://www.immoscout24.ch/fr/maison/acheter/lieu-belp</t>
  </si>
  <si>
    <t>Vendre maison Belp: Trouvez le bien immobilier qui correspond idéalement à vos désirs sur ImmoScout24 - La plateforme de l'immobilier en Suisse.</t>
  </si>
  <si>
    <t>🏘  Vous souhaitez acheter une maison à Belp? ✅ Jetez un œil aux dernières offres sur ImmoScout24.ch.</t>
  </si>
  <si>
    <t>https://www.immoscout24.ch/fr/maison/acheter/region-littoral-neuchatelois</t>
  </si>
  <si>
    <t>Vendre maison Littoral Neuchâtelois: Trouvez le bien immobilier qui correspond idéalement à vos désirs sur ImmoScout24 - La plateforme de l'immobilier en Suisse.</t>
  </si>
  <si>
    <t>🏘  Vous souhaitez acheter une maison sur le Littoral neuchâtelois? ✅ Jetez un œil aux dernières offres sur ImmoScout24.ch.</t>
  </si>
  <si>
    <t>https://www.immoscout24.ch/fr/appartement/louer/region-singine-sarine-lac</t>
  </si>
  <si>
    <t>Louer appartement Singine - Sarine - Lac: Trouvez le bien immobilier qui correspond idéalement à vos désirs sur ImmoScout24 - La plateforme de l'immobilier en Suisse.</t>
  </si>
  <si>
    <t>🏘  Vous cherchez un appartement à louer dans les districts de Singine - Sarine - Lac? ✅ Les annonces les plus actuelles sont sur ImmoScout24.ch.</t>
  </si>
  <si>
    <t>https://www.immoscout24.ch/fr/maison/acheter/lieu-savagnier</t>
  </si>
  <si>
    <t>Vendre maison Savagnier: Trouvez le bien immobilier qui correspond idéalement à vos désirs sur ImmoScout24 - La plateforme de l'immobilier en Suisse.</t>
  </si>
  <si>
    <t>🏘  Vous souhaitez acheter une maison à Savagnier? ✅ Jetez un œil aux dernières offres sur ImmoScout24.ch.</t>
  </si>
  <si>
    <t>https://www.immoscout24.ch/fr/appartement/acheter/lieu-riddes</t>
  </si>
  <si>
    <t>Vendre appartement Riddes: Trouvez le bien immobilier qui correspond idéalement à vos désirs sur ImmoScout24 - La plateforme de l'immobilier en Suisse.</t>
  </si>
  <si>
    <t>🏘  L’appartement de vos rêves se trouve sur ImmoScout24.ch ✅ Découvrez les dernières annonces de vente à Riddes.</t>
  </si>
  <si>
    <t>https://www.immoscout24.ch/fr/appartement/louer/lieu-liebistorf</t>
  </si>
  <si>
    <t>Louer appartement Liebistorf: Trouvez le bien immobilier qui correspond idéalement à vos désirs sur ImmoScout24 - La plateforme de l'immobilier en Suisse.</t>
  </si>
  <si>
    <t>🏘  Vous cherchez un appartement à louer à Liebistorf? ✅ Les annonces les plus actuelles sont sur ImmoScout24.ch.</t>
  </si>
  <si>
    <t>https://www.immoscout24.ch/fr/appartement/louer/lieu-middes</t>
  </si>
  <si>
    <t>Louer appartement Middes: Trouvez le bien immobilier qui correspond idéalement à vos désirs sur ImmoScout24 - La plateforme de l'immobilier en Suisse.</t>
  </si>
  <si>
    <t>🏘  Vous cherchez un appartement à louer à Middes? ✅ Les annonces les plus actuelles sont sur ImmoScout24.ch.</t>
  </si>
  <si>
    <t>https://www.immoscout24.ch/fr/maison/acheter/lieu-cottens-vd</t>
  </si>
  <si>
    <t>Vendre maison Cottens VD: Trouvez le bien immobilier qui correspond idéalement à vos désirs sur ImmoScout24 - La plateforme de l'immobilier en Suisse.</t>
  </si>
  <si>
    <t>🏘  Vous souhaitez acheter une maison à Cottens VD? ✅ Jetez un œil aux dernières offres sur ImmoScout24.ch.</t>
  </si>
  <si>
    <t>https://www.immoscout24.ch/fr/appartement/acheter/lieu-echichens</t>
  </si>
  <si>
    <t>Vendre appartement Echichens: Trouvez le bien immobilier qui correspond idéalement à vos désirs sur ImmoScout24 - La plateforme de l'immobilier en Suisse.</t>
  </si>
  <si>
    <t>🏘  L’appartement de vos rêves se trouve sur ImmoScout24.ch ✅ Découvrez les dernières annonces de vente à Echichens.</t>
  </si>
  <si>
    <t>https://www.immoscout24.ch/fr/maison/louer/region-seeland</t>
  </si>
  <si>
    <t>Louer maison Seeland: Trouvez le bien immobilier qui correspond idéalement à vos désirs sur ImmoScout24 - La plateforme de l'immobilier en Suisse.</t>
  </si>
  <si>
    <t>🏘  Vous cherchez une maison à louer dans le Seeland? ✅ Découvrez nos nombreuses annonces sur ImmoScout24.ch.</t>
  </si>
  <si>
    <t>https://www.immoscout24.ch/fr/appartement/acheter/lieu-oberwald</t>
  </si>
  <si>
    <t>Vendre appartement Oberwald: Trouvez le bien immobilier qui correspond idéalement à vos désirs sur ImmoScout24 - La plateforme de l'immobilier en Suisse.</t>
  </si>
  <si>
    <t>🏘  L’appartement de vos rêves se trouve sur ImmoScout24.ch ✅ Découvrez les dernières annonces de vente à Oberwald.</t>
  </si>
  <si>
    <t>https://www.immoscout24.ch/fr/maison/acheter/region-bas-valais</t>
  </si>
  <si>
    <t>Vendre maison Bas Valais: Trouvez le bien immobilier qui correspond idéalement à vos désirs sur ImmoScout24 - La plateforme de l'immobilier en Suisse.</t>
  </si>
  <si>
    <t>🏘  Vous souhaitez acheter une maison dans le Bas-Valais? ✅ Jetez un œil aux dernières offres sur ImmoScout24.ch.</t>
  </si>
  <si>
    <t>https://www.immoscout24.ch/fr/appartement/acheter/lieu-stabio</t>
  </si>
  <si>
    <t>Vendre appartement Stabio: Trouvez le bien immobilier qui correspond idéalement à vos désirs sur ImmoScout24 - La plateforme de l'immobilier en Suisse.</t>
  </si>
  <si>
    <t>🏘  L’appartement de vos rêves se trouve sur ImmoScout24.ch ✅ Découvrez les dernières annonces de vente à Stabio.</t>
  </si>
  <si>
    <t>https://www.immoscout24.ch/fr/maison/acheter/lieu-chexbres</t>
  </si>
  <si>
    <t>Vendre maison Chexbres: Trouvez le bien immobilier qui correspond idéalement à vos désirs sur ImmoScout24 - La plateforme de l'immobilier en Suisse.</t>
  </si>
  <si>
    <t>🏘  Vous souhaitez acheter une maison à Chexbres? ✅ Jetez un œil aux dernières offres sur ImmoScout24.ch.</t>
  </si>
  <si>
    <t>https://www.immoscout24.ch/fr/appartement/acheter/lieu-gossau-sg</t>
  </si>
  <si>
    <t>Vendre appartement Gossau SG: Trouvez le bien immobilier qui correspond idéalement à vos désirs sur ImmoScout24 - La plateforme de l'immobilier en Suisse.</t>
  </si>
  <si>
    <t>🏘  L’appartement de vos rêves se trouve sur ImmoScout24.ch ✅ Découvrez les dernières annonces de vente à Gossau SG.</t>
  </si>
  <si>
    <t>https://www.immoscout24.ch/fr/appartement/acheter/quartier-langstrasse-zurich</t>
  </si>
  <si>
    <t>Vendre appartement Langstrasse (Zurich):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</si>
  <si>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Langstrasse (Zurich).</t>
  </si>
  <si>
    <t>https://www.immoscout24.ch/fr/appartement/acheter/lieu-crissier</t>
  </si>
  <si>
    <t>Vendre appartement Crissier: Trouvez le bien immobilier qui correspond idéalement à vos désirs sur ImmoScout24 - La plateforme de l'immobilier en Suisse.</t>
  </si>
  <si>
    <t>🏘  L’appartement de vos rêves se trouve sur ImmoScout24.ch ✅ Découvrez les dernières annonces de vente à Crissier.</t>
  </si>
  <si>
    <t>https://www.immoscout24.ch/fr/maison/louer/canton-lucerne</t>
  </si>
  <si>
    <t>Louer maison Canton de Lucerne: Trouvez le bien immobilier qui correspond idéalement à vos désirs sur ImmoScout24 - La plateforme de l'immobilier en Suisse.</t>
  </si>
  <si>
    <t>🏘  Vous cherchez une maison à louer dans le Canton de Lucerne? ✅ Découvrez nos nombreuses annonces sur ImmoScout24.ch.</t>
  </si>
  <si>
    <t>https://www.immoscout24.ch/fr/maison/acheter/lieu-nax</t>
  </si>
  <si>
    <t>Vendre maison Nax: Trouvez le bien immobilier qui correspond idéalement à vos désirs sur ImmoScout24 - La plateforme de l'immobilier en Suisse.</t>
  </si>
  <si>
    <t>🏘  Vous souhaitez acheter une maison à Nax? ✅ Jetez un œil aux dernières offres sur ImmoScout24.ch.</t>
  </si>
  <si>
    <t>https://www.immoscout24.ch/fr/appartement/acheter/lieu-davos-dorf</t>
  </si>
  <si>
    <t>Vendre appartement Davos Dorf: Trouvez le bien immobilier qui correspond idéalement à vos désirs sur ImmoScout24 - La plateforme de l'immobilier en Suisse.</t>
  </si>
  <si>
    <t>🏘  L’appartement de vos rêves se trouve sur ImmoScout24.ch ✅ Découvrez les dernières annonces de vente à Davos Dorf.</t>
  </si>
  <si>
    <t>https://www.immoscout24.ch/fr/appartement/louer/quartier-gruben-schaffhouse</t>
  </si>
  <si>
    <t>Louer appartement Gruben (Schaffhouse): Trouvez le bien immobilier qui correspond idéalement à vos désirs sur ImmoScout24 - La plateforme de l'immobilier en Suisse.</t>
  </si>
  <si>
    <t>🏘  Vous cherchez un appartement à louer dans le quartier de Gruben (Schaffhouse)? ✅ Les annonces les plus actuelles sont sur ImmoScout24.ch.</t>
  </si>
  <si>
    <t>https://www.immoscout24.ch/fr/maison/acheter/lieu-personico</t>
  </si>
  <si>
    <t>Vendre maison Personico: Trouvez le bien immobilier qui correspond idéalement à vos désirs sur ImmoScout24 - La plateforme de l'immobilier en Suisse.</t>
  </si>
  <si>
    <t>🏘  Vous souhaitez acheter une maison à Personico? ✅ Jetez un œil aux dernières offres sur ImmoScout24.ch.</t>
  </si>
  <si>
    <t>https://www.immoscout24.ch/fr/maison/acheter/lieu-engelberg</t>
  </si>
  <si>
    <t>Vendre maison Engelberg: Trouvez le bien immobilier qui correspond idéalement à vos désirs sur ImmoScout24 - La plateforme de l'immobilier en Suisse.</t>
  </si>
  <si>
    <t>🏘  Vous souhaitez acheter une maison à Engelberg? ✅ Jetez un œil aux dernières offres sur ImmoScout24.ch.</t>
  </si>
  <si>
    <t>https://www.immoscout24.ch/fr/maison/louer/lieu-balsthal</t>
  </si>
  <si>
    <t>Louer maison Balsthal: Trouvez le bien immobilier qui correspond idéalement à vos désirs sur ImmoScout24 - La plateforme de l'immobilier en Suisse.</t>
  </si>
  <si>
    <t>🏘  Vous cherchez une maison à louer à Balsthal? ✅ Découvrez nos nombreuses annonces sur ImmoScout24.ch.</t>
  </si>
  <si>
    <t>https://www.immoscout24.ch/fr/appartement/acheter/lieu-bottens</t>
  </si>
  <si>
    <t>Vendre appartement Bottens: Trouvez le bien immobilier qui correspond idéalement à vos désirs sur ImmoScout24 - La plateforme de l'immobilier en Suisse.</t>
  </si>
  <si>
    <t>🏘  L’appartement de vos rêves se trouve sur ImmoScout24.ch ✅ Découvrez les dernières annonces de vente à Bottens.</t>
  </si>
  <si>
    <t>https://www.immoscout24.ch/fr/appartement/louer/lieu-montfaucon</t>
  </si>
  <si>
    <t>Louer appartement Montfaucon: Trouvez le bien immobilier qui correspond idéalement à vos désirs sur ImmoScout24 - La plateforme de l'immobilier en Suisse.</t>
  </si>
  <si>
    <t>🏘  Vous cherchez un appartement à louer à Montfaucon? ✅ Les annonces les plus actuelles sont sur ImmoScout24.ch.</t>
  </si>
  <si>
    <t>https://www.immoscout24.ch/fr/maison/acheter/lieu-villa-evolene</t>
  </si>
  <si>
    <t>Vendre maison Villa (Evolène): Trouvez le bien immobilier qui correspond idéalement à vos désirs sur ImmoScout24 - La plateforme de l'immobilier en Suisse.</t>
  </si>
  <si>
    <t>🏘  Vous souhaitez acheter une maison à Villa (Evolène)? ✅ Jetez un œil aux dernières offres sur ImmoScout24.ch.</t>
  </si>
  <si>
    <t>https://www.immoscout24.ch/fr/maison/louer/lieu-chandolin</t>
  </si>
  <si>
    <t>Louer maison Chandolin: Trouvez le bien immobilier qui correspond idéalement à vos désirs sur ImmoScout24 - La plateforme de l'immobilier en Suisse.</t>
  </si>
  <si>
    <t>🏘  Vous cherchez une maison à louer à Chandolin? ✅ Découvrez nos nombreuses annonces sur ImmoScout24.ch.</t>
  </si>
  <si>
    <t>https://www.immoscout24.ch/fr/appartement/louer/lieu-versegeres</t>
  </si>
  <si>
    <t>Louer appartement Versegères: Trouvez le bien immobilier qui correspond idéalement à vos désirs sur ImmoScout24 - La plateforme de l'immobilier en Suisse.</t>
  </si>
  <si>
    <t>🏘  Vous cherchez un appartement à louer à Versegères? ✅ Les annonces les plus actuelles sont sur ImmoScout24.ch.</t>
  </si>
  <si>
    <t>https://www.immoscout24.ch/fr/maison/acheter/lieu-gletterens</t>
  </si>
  <si>
    <t>Vendre maison Gletterens: Trouvez le bien immobilier qui correspond idéalement à vos désirs sur ImmoScout24 - La plateforme de l'immobilier en Suisse.</t>
  </si>
  <si>
    <t>🏘  Vous souhaitez acheter une maison à Gletterens? ✅ Jetez un œil aux dernières offres sur ImmoScout24.ch.</t>
  </si>
  <si>
    <t>https://www.immoscout24.ch/fr/appartement/louer/lieu-matran</t>
  </si>
  <si>
    <t>Louer appartement Matran: Trouvez le bien immobilier qui correspond idéalement à vos désirs sur ImmoScout24 - La plateforme de l'immobilier en Suisse.</t>
  </si>
  <si>
    <t>🏘  Vous cherchez un appartement à louer à Matran? ✅ Les annonces les plus actuelles sont sur ImmoScout24.ch.</t>
  </si>
  <si>
    <t>https://www.immoscout24.ch/fr/appartement/acheter/lieu-grimentz</t>
  </si>
  <si>
    <t>Vendre appartement Grimentz: Trouvez le bien immobilier qui correspond idéalement à vos désirs sur ImmoScout24 - La plateforme de l'immobilier en Suisse.</t>
  </si>
  <si>
    <t>🏘  L’appartement de vos rêves se trouve sur ImmoScout24.ch ✅ Découvrez les dernières annonces de vente à Grimentz.</t>
  </si>
  <si>
    <t>https://www.immoscout24.ch/fr/appartement/acheter/lieu-brissago</t>
  </si>
  <si>
    <t>Vendre appartement Brissago: Trouvez le bien immobilier qui correspond idéalement à vos désirs sur ImmoScout24 - La plateforme de l'immobilier en Suisse.</t>
  </si>
  <si>
    <t>🏘  L’appartement de vos rêves se trouve sur ImmoScout24.ch ✅ Découvrez les dernières annonces de vente à Brissago.</t>
  </si>
  <si>
    <t>https://www.immoscout24.ch/fr/appartement/acheter/lieu-lugnorre</t>
  </si>
  <si>
    <t>Vendre appartement Lugnorre: Trouvez le bien immobilier qui correspond idéalement à vos désirs sur ImmoScout24 - La plateforme de l'immobilier en Suisse.</t>
  </si>
  <si>
    <t>🏘  L’appartement de vos rêves se trouve sur ImmoScout24.ch ✅ Découvrez les dernières annonces de vente à Lugnorre.</t>
  </si>
  <si>
    <t>https://www.immoscout24.ch/fr/maison/louer/lieu-verossaz</t>
  </si>
  <si>
    <t>Louer maison Vérossaz: Trouvez le bien immobilier qui correspond idéalement à vos désirs sur ImmoScout24 - La plateforme de l'immobilier en Suisse.</t>
  </si>
  <si>
    <t>🏘  Vous cherchez une maison à louer à Vérossaz? ✅ Découvrez nos nombreuses annonces sur ImmoScout24.ch.</t>
  </si>
  <si>
    <t>https://www.immoscout24.ch/fr/appartement/louer/lieu-rechthalten</t>
  </si>
  <si>
    <t>Louer appartement Rechthalten: Trouvez le bien immobilier qui correspond idéalement à vos désirs sur ImmoScout24 - La plateforme de l'immobilier en Suisse.</t>
  </si>
  <si>
    <t>🏘  Vous cherchez un appartement à louer à Rechthalten? ✅ Les annonces les plus actuelles sont sur ImmoScout24.ch.</t>
  </si>
  <si>
    <t>https://www.immoscout24.ch/fr/appartement/louer/lieu-villarepos</t>
  </si>
  <si>
    <t>Louer appartement Villarepos: Trouvez le bien immobilier qui correspond idéalement à vos désirs sur ImmoScout24 - La plateforme de l'immobilier en Suisse.</t>
  </si>
  <si>
    <t>🏘  Vous cherchez un appartement à louer à Villarepos? ✅ Les annonces les plus actuelles sont sur ImmoScout24.ch.</t>
  </si>
  <si>
    <t>https://www.immoscout24.ch/fr/maison/acheter/lieu-bauma</t>
  </si>
  <si>
    <t>Vendre maison Bauma: Trouvez le bien immobilier qui correspond idéalement à vos désirs sur ImmoScout24 - La plateforme de l'immobilier en Suisse.</t>
  </si>
  <si>
    <t>🏘  Vous souhaitez acheter une maison à Bauma? ✅ Jetez un œil aux dernières offres sur ImmoScout24.ch.</t>
  </si>
  <si>
    <t>https://www.immoscout24.ch/fr/appartement/louer/lieu-obergesteln</t>
  </si>
  <si>
    <t>Louer appartement Obergesteln: Trouvez le bien immobilier qui correspond idéalement à vos désirs sur ImmoScout24 - La plateforme de l'immobilier en Suisse.</t>
  </si>
  <si>
    <t>🏘  Vous cherchez un appartement à louer à Obergesteln? ✅ Les annonces les plus actuelles sont sur ImmoScout24.ch.</t>
  </si>
  <si>
    <t>https://www.immoscout24.ch/fr/maison/acheter/lieu-leissigen</t>
  </si>
  <si>
    <t>Vendre maison Leissigen: Trouvez le bien immobilier qui correspond idéalement à vos désirs sur ImmoScout24 - La plateforme de l'immobilier en Suisse.</t>
  </si>
  <si>
    <t>🏘  Vous souhaitez acheter une maison auissigen? ✅ Jetez un œil aux dernières offres sur ImmoScout24.ch.</t>
  </si>
  <si>
    <t>https://www.immoscout24.ch/fr/appartement/louer/lieu-dulliken</t>
  </si>
  <si>
    <t>Louer appartement Dulliken: Trouvez le bien immobilier qui correspond idéalement à vos désirs sur ImmoScout24 - La plateforme de l'immobilier en Suisse.</t>
  </si>
  <si>
    <t>🏘  Vous cherchez un appartement à louer à Dulliken? ✅ Les annonces les plus actuelles sont sur ImmoScout24.ch.</t>
  </si>
  <si>
    <t>https://www.immoscout24.ch/fr/appartement/louer/quartier-hegi-winterthur</t>
  </si>
  <si>
    <t>Louer appartement Hegi (Winterthur): Trouvez le bien immobilier qui correspond idéalement à vos désirs sur ImmoScout24 - La plateforme de l'immobilier en Suisse.</t>
  </si>
  <si>
    <t>🏘  Vous cherchez un appartement à louer dans le quartier de Hegi (Winterthur)? ✅ Les annonces les plus actuelles sont sur ImmoScout24.ch.</t>
  </si>
  <si>
    <t>https://www.immoscout24.ch/fr/appartement/acheter/lieu-turtmann</t>
  </si>
  <si>
    <t>Vendre appartement Turtmann: Trouvez le bien immobilier qui correspond idéalement à vos désirs sur ImmoScout24 - La plateforme de l'immobilier en Suisse.</t>
  </si>
  <si>
    <t>🏘  L’appartement de vos rêves se trouve sur ImmoScout24.ch ✅ Découvrez les dernières annonces de vente à Turtmann.</t>
  </si>
  <si>
    <t>https://www.immoscout24.ch/fr/appartement/louer/lieu-salvan</t>
  </si>
  <si>
    <t>Louer appartement Salvan: Trouvez le bien immobilier qui correspond idéalement à vos désirs sur ImmoScout24 - La plateforme de l'immobilier en Suisse.</t>
  </si>
  <si>
    <t>🏘  Vous cherchez un appartement à louer à Salvan? ✅ Les annonces les plus actuelles sont sur ImmoScout24.ch.</t>
  </si>
  <si>
    <t>https://www.immoscout24.ch/fr/appartement/louer/lieu-vetroz</t>
  </si>
  <si>
    <t>Louer appartement Vétroz: Trouvez le bien immobilier qui correspond idéalement à vos désirs sur ImmoScout24 - La plateforme de l'immobilier en Suisse.</t>
  </si>
  <si>
    <t>🏘  Vous cherchez un appartement à louer à Vétroz? ✅ Les annonces les plus actuelles sont sur ImmoScout24.ch.</t>
  </si>
  <si>
    <t>https://www.immoscout24.ch/fr/maison/acheter/lieu-lignerolle</t>
  </si>
  <si>
    <t>Vendre maison Lignerolle: Trouvez le bien immobilier qui correspond idéalement à vos désirs sur ImmoScout24 - La plateforme de l'immobilier en Suisse.</t>
  </si>
  <si>
    <t>🏘  Vous souhaitez acheter une maison à Lignerolle? ✅ Jetez un œil aux dernières offres sur ImmoScout24.ch.</t>
  </si>
  <si>
    <t>https://www.immoscout24.ch/fr/maison/acheter/lieu-portalban</t>
  </si>
  <si>
    <t>Vendre maison Portalban: Trouvez le bien immobilier qui correspond idéalement à vos désirs sur ImmoScout24 - La plateforme de l'immobilier en Suisse.</t>
  </si>
  <si>
    <t>🏘  Vous souhaitez acheter une maison à Portalban? ✅ Jetez un œil aux dernières offres sur ImmoScout24.ch.</t>
  </si>
  <si>
    <t>https://www.immoscout24.ch/fr/maison/louer/lieu-winterthur</t>
  </si>
  <si>
    <t>Louer maison Winterthur: Trouvez le bien immobilier qui correspond idéalement à vos désirs sur ImmoScout24 - La plateforme de l'immobilier en Suisse.</t>
  </si>
  <si>
    <t>🏘  Vous cherchez une maison à louer à Winterthur? ✅ Découvrez nos nombreuses annonces sur ImmoScout24.ch.</t>
  </si>
  <si>
    <t>https://www.immoscout24.ch/fr/appartement/louer/lieu-travers</t>
  </si>
  <si>
    <t>Louer appartement Travers: Trouvez le bien immobilier qui correspond idéalement à vos désirs sur ImmoScout24 - La plateforme de l'immobilier en Suisse.</t>
  </si>
  <si>
    <t>🏘  Vous cherchez un appartement à louer à Travers? ✅ Les annonces les plus actuelles sont sur ImmoScout24.ch.</t>
  </si>
  <si>
    <t>https://www.immoscout24.ch/fr/maison/louer/canton-neuchatel</t>
  </si>
  <si>
    <t>Louer maison Canton de Neuchâtel: Trouvez le bien immobilier qui correspond idéalement à vos désirs sur ImmoScout24 - La plateforme de l'immobilier en Suisse.</t>
  </si>
  <si>
    <t>🏘  Vous cherchez une maison à louer dans le Canton de Neuchâtel? ✅ Découvrez nos nombreuses annonces sur ImmoScout24.ch.</t>
  </si>
  <si>
    <t>https://www.immoscout24.ch/fr/appartement/louer/lieu-escholzmatt</t>
  </si>
  <si>
    <t>Louer appartement Escholzmatt: Trouvez le bien immobilier qui correspond idéalement à vos désirs sur ImmoScout24 - La plateforme de l'immobilier en Suisse.</t>
  </si>
  <si>
    <t>🏘  Vous cherchez un appartement à louer à Escholzmatt? ✅ Les annonces les plus actuelles sont sur ImmoScout24.ch.</t>
  </si>
  <si>
    <t>https://www.immoscout24.ch/fr/appartement/louer/lieu-breitenbach</t>
  </si>
  <si>
    <t>Louer appartement Breitenbach: Trouvez le bien immobilier qui correspond idéalement à vos désirs sur ImmoScout24 - La plateforme de l'immobilier en Suisse.</t>
  </si>
  <si>
    <t>🏘  Vous cherchez un appartement à louer à Breitenbach? ✅ Les annonces les plus actuelles sont sur ImmoScout24.ch.</t>
  </si>
  <si>
    <t>https://www.immoscout24.ch/fr/maison/acheter/lieu-boudevilliers</t>
  </si>
  <si>
    <t>Vendre maison Boudevilliers: Trouvez le bien immobilier qui correspond idéalement à vos désirs sur ImmoScout24 - La plateforme de l'immobilier en Suisse.</t>
  </si>
  <si>
    <t>🏘  Vous souhaitez acheter une maison à Boudevilliers? ✅ Jetez un œil aux dernières offres sur ImmoScout24.ch.</t>
  </si>
  <si>
    <t>https://www.immoscout24.ch/fr/appartement/louer/lieu-gutenswil</t>
  </si>
  <si>
    <t>Louer appartement Gutenswil: Trouvez le bien immobilier qui correspond idéalement à vos désirs sur ImmoScout24 - La plateforme de l'immobilier en Suisse.</t>
  </si>
  <si>
    <t>🏘  Vous cherchez un appartement à louer à Gutenswil? ✅ Les annonces les plus actuelles sont sur ImmoScout24.ch.</t>
  </si>
  <si>
    <t>https://www.immoscout24.ch/fr/maison/acheter/lieu-essert-pittet</t>
  </si>
  <si>
    <t>Vendre maison Essert-Pittet: Trouvez le bien immobilier qui correspond idéalement à vos désirs sur ImmoScout24 - La plateforme de l'immobilier en Suisse.</t>
  </si>
  <si>
    <t>🏘  Vous souhaitez acheter une maison à Essert-Pittet? ✅ Jetez un œil aux dernières offres sur ImmoScout24.ch.</t>
  </si>
  <si>
    <t>https://www.immoscout24.ch/fr/appartement/louer/lieu-verbier</t>
  </si>
  <si>
    <t>Louer appartement Verbier: Trouvez le bien immobilier qui correspond idéalement à vos désirs sur ImmoScout24 - La plateforme de l'immobilier en Suisse.</t>
  </si>
  <si>
    <t>🏘  Vous cherchez un appartement à louer à Verbier? ✅ Les annonces les plus actuelles sont sur ImmoScout24.ch.</t>
  </si>
  <si>
    <t>https://www.immoscout24.ch/fr/maison/acheter/lieu-cheserex</t>
  </si>
  <si>
    <t>Vendre maison Chéserex: Trouvez le bien immobilier qui correspond idéalement à vos désirs sur ImmoScout24 - La plateforme de l'immobilier en Suisse.</t>
  </si>
  <si>
    <t>🏘  Vous souhaitez acheter une maison à Chéserex? ✅ Jetez un œil aux dernières offres sur ImmoScout24.ch.</t>
  </si>
  <si>
    <t>https://www.immoscout24.ch/fr/appartement/louer/lieu-fehraltorf</t>
  </si>
  <si>
    <t>Louer appartement Fehraltorf: Trouvez le bien immobilier qui correspond idéalement à vos désirs sur ImmoScout24 - La plateforme de l'immobilier en Suisse.</t>
  </si>
  <si>
    <t>🏘  Vous cherchez un appartement à louer à Fehraltorf? ✅ Les annonces les plus actuelles sont sur ImmoScout24.ch.</t>
  </si>
  <si>
    <t>https://www.immoscout24.ch/fr/appartement/louer/lieu-alterswil-fr</t>
  </si>
  <si>
    <t>Louer appartement Alterswil FR: Trouvez le bien immobilier qui correspond idéalement à vos désirs sur ImmoScout24 - La plateforme de l'immobilier en Suisse.</t>
  </si>
  <si>
    <t>🏘  Vous cherchez un appartement à louer à Alterswil FR? ✅ Les annonces les plus actuelles sont sur ImmoScout24.ch.</t>
  </si>
  <si>
    <t>https://www.immoscout24.ch/fr/appartement/louer/lieu-salins</t>
  </si>
  <si>
    <t>Louer appartement Salins: Trouvez le bien immobilier qui correspond idéalement à vos désirs sur ImmoScout24 - La plateforme de l'immobilier en Suisse.</t>
  </si>
  <si>
    <t>🏘  Vous cherchez un appartement à louer à Salins? ✅ Les annonces les plus actuelles sont sur ImmoScout24.ch.</t>
  </si>
  <si>
    <t>https://www.immoscout24.ch/fr/maison/louer/lieu-la-chaux-de-fonds</t>
  </si>
  <si>
    <t>Louer maison La Chaux-de-Fonds: Trouvez le bien immobilier qui correspond idéalement à vos désirs sur ImmoScout24 - La plateforme de l'immobilier en Suisse.</t>
  </si>
  <si>
    <t>🏘  Vous cherchez une maison à louer à La Chaux-de-Fonds? ✅ Découvrez nos nombreuses annonces sur ImmoScout24.ch.</t>
  </si>
  <si>
    <t>https://www.immoscout24.ch/fr/appartement/louer/region-furttal</t>
  </si>
  <si>
    <t>Louer appartement Furttal: Trouvez le bien immobilier qui correspond idéalement à vos désirs sur ImmoScout24 - La plateforme de l'immobilier en Suisse.</t>
  </si>
  <si>
    <t>🏘  Vous cherchez un appartement à louer dans la vallée de la Furt? ✅ Les annonces les plus actuelles sont sur ImmoScout24.ch.</t>
  </si>
  <si>
    <t>https://www.immoscout24.ch/fr/appartement/louer/lieu-wichtrach</t>
  </si>
  <si>
    <t>Louer appartement Wichtrach: Trouvez le bien immobilier qui correspond idéalement à vos désirs sur ImmoScout24 - La plateforme de l'immobilier en Suisse.</t>
  </si>
  <si>
    <t>🏘  Vous cherchez un appartement à louer à Wichtrach? ✅ Les annonces les plus actuelles sont sur ImmoScout24.ch.</t>
  </si>
  <si>
    <t>https://www.immoscout24.ch/fr/appartement/louer/lieu-rossens-fr</t>
  </si>
  <si>
    <t>Louer appartement Rossens FR: Trouvez le bien immobilier qui correspond idéalement à vos désirs sur ImmoScout24 - La plateforme de l'immobilier en Suisse.</t>
  </si>
  <si>
    <t>🏘  Vous cherchez un appartement à louer à Rossens FR? ✅ Les annonces les plus actuelles sont sur ImmoScout24.ch.</t>
  </si>
  <si>
    <t>https://www.immoscout24.ch/fr/appartement/louer/quartier-bruderholz-bale</t>
  </si>
  <si>
    <t>Louer appartement Bruderholz (Bâle): Trouvez le bien immobilier qui correspond idéalement à vos désirs sur ImmoScout24 - La plateforme de l'immobilier en Suisse.</t>
  </si>
  <si>
    <t>🏘  Vous cherchez un appartement à louer dans le quartier de Bruderholz (Bâle)? ✅ Les annonces les plus actuelles sont sur ImmoScout24.ch.</t>
  </si>
  <si>
    <t>https://www.immoscout24.ch/fr/maison/louer/lieu-panex</t>
  </si>
  <si>
    <t>Louer maison Panex: Trouvez le bien immobilier qui correspond idéalement à vos désirs sur ImmoScout24 - La plateforme de l'immobilier en Suisse.</t>
  </si>
  <si>
    <t>🏘  Vous cherchez une maison à louer à Panex? ✅ Découvrez nos nombreuses annonces sur ImmoScout24.ch.</t>
  </si>
  <si>
    <t>https://www.immoscout24.ch/fr/maison/louer/lieu-grone</t>
  </si>
  <si>
    <t>Louer maison Grône: Trouvez le bien immobilier qui correspond idéalement à vos désirs sur ImmoScout24 - La plateforme de l'immobilier en Suisse.</t>
  </si>
  <si>
    <t>🏘  Vous cherchez une maison à louer à Grône? ✅ Découvrez nos nombreuses annonces sur ImmoScout24.ch.</t>
  </si>
  <si>
    <t>https://www.immoscout24.ch/fr/maison/acheter/lieu-fetigny</t>
  </si>
  <si>
    <t>Vendre maison Fétigny: Trouvez le bien immobilier qui correspond idéalement à vos désirs sur ImmoScout24 - La plateforme de l'immobilier en Suisse.</t>
  </si>
  <si>
    <t>🏘  Vous souhaitez acheter une maison à Fétigny? ✅ Jetez un œil aux dernières offres sur ImmoScout24.ch.</t>
  </si>
  <si>
    <t>https://www.immoscout24.ch/fr/appartement/acheter/lieu-les-genevez-ju</t>
  </si>
  <si>
    <t>Vendre appartement Les Genevez JU: Trouvez le bien immobilier qui correspond idéalement à vos désirs sur ImmoScout24 - La plateforme de l'immobilier en Suisse.</t>
  </si>
  <si>
    <t>🏘  L’appartement de vos rêves se trouve sur ImmoScout24.ch ✅ Découvrez les dernières annonces de vente aux Genevez JU.</t>
  </si>
  <si>
    <t>https://www.immoscout24.ch/fr/maison/louer/lieu-les-cullayes</t>
  </si>
  <si>
    <t>Louer maison Les Cullayes: Trouvez le bien immobilier qui correspond idéalement à vos désirs sur ImmoScout24 - La plateforme de l'immobilier en Suisse.</t>
  </si>
  <si>
    <t>🏘  Vous cherchez une maison à louer aux Cullayes? ✅ Découvrez nos nombreuses annonces sur ImmoScout24.ch.</t>
  </si>
  <si>
    <t>https://www.immoscout24.ch/fr/maison/acheter/lieu-haute-nendaz</t>
  </si>
  <si>
    <t>Vendre maison Haute-Nendaz: Trouvez le bien immobilier qui correspond idéalement à vos désirs sur ImmoScout24 - La plateforme de l'immobilier en Suisse.</t>
  </si>
  <si>
    <t>🏘  Vous souhaitez acheter une maison à Haute-Nendaz? ✅ Jetez un œil aux dernières offres sur ImmoScout24.ch.</t>
  </si>
  <si>
    <t>https://www.immoscout24.ch/fr/appartement/acheter/lieu-cudrefin</t>
  </si>
  <si>
    <t>Vendre appartement Cudrefin: Trouvez le bien immobilier qui correspond idéalement à vos désirs sur ImmoScout24 - La plateforme de l'immobilier en Suisse.</t>
  </si>
  <si>
    <t>🏘  L’appartement de vos rêves se trouve sur ImmoScout24.ch ✅ Découvrez les dernières annonces de vente à Cudrefin.</t>
  </si>
  <si>
    <t>https://www.immoscout24.ch/fr/maison/louer/lieu-le-mont-sur-lausanne</t>
  </si>
  <si>
    <t>Louer maison Le Mont-sur-Lausanne: Trouvez le bien immobilier qui correspond idéalement à vos désirs sur ImmoScout24 - La plateforme de l'immobilier en Suisse.</t>
  </si>
  <si>
    <t>🏘  Vous cherchez une maison à louer au Mont-sur-Lausanne? ✅ Découvrez nos nombreuses annonces sur ImmoScout24.ch.</t>
  </si>
  <si>
    <t>https://www.immoscout24.ch/fr/maison/acheter/lieu-bottmingen</t>
  </si>
  <si>
    <t>Vendre maison Bottmingen: Trouvez le bien immobilier qui correspond idéalement à vos désirs sur ImmoScout24 - La plateforme de l'immobilier en Suisse.</t>
  </si>
  <si>
    <t>🏘  Vous souhaitez acheter une maison à Bottmingen? ✅ Jetez un œil aux dernières offres sur ImmoScout24.ch.</t>
  </si>
  <si>
    <t>https://www.immoscout24.ch/fr/maison/acheter/lieu-leysin</t>
  </si>
  <si>
    <t>Vendre maison Leysin: Trouvez le bien immobilier qui correspond idéalement à vos désirs sur ImmoScout24 - La plateforme de l'immobilier en Suisse.</t>
  </si>
  <si>
    <t>🏘  Vous souhaitez acheter une maison auysin? ✅ Jetez un œil aux dernières offres sur ImmoScout24.ch.</t>
  </si>
  <si>
    <t>https://www.immoscout24.ch/fr/appartement/louer/lieu-sigriswil</t>
  </si>
  <si>
    <t>Louer appartement Sigriswil: Trouvez le bien immobilier qui correspond idéalement à vos désirs sur ImmoScout24 - La plateforme de l'immobilier en Suisse.</t>
  </si>
  <si>
    <t>🏘  Vous cherchez un appartement à louer à Sigriswil? ✅ Les annonces les plus actuelles sont sur ImmoScout24.ch.</t>
  </si>
  <si>
    <t>https://www.immoscout24.ch/fr/appartement/louer/region-mosa</t>
  </si>
  <si>
    <t>Louer appartement Moesa: Trouvez le bien immobilier qui correspond idéalement à vos désirs sur ImmoScout24 - La plateforme de l'immobilier en Suisse.</t>
  </si>
  <si>
    <t>🏘  Vous cherchez un appartement à louer dans la région de Moesa? ✅ Les annonces les plus actuelles sont sur ImmoScout24.ch.</t>
  </si>
  <si>
    <t>https://www.immoscout24.ch/fr/appartement/louer/lieu-roggwil-be</t>
  </si>
  <si>
    <t>Louer appartement Roggwil BE: Trouvez le bien immobilier qui correspond idéalement à vos désirs sur ImmoScout24 - La plateforme de l'immobilier en Suisse.</t>
  </si>
  <si>
    <t>🏘  Vous cherchez un appartement à louer à Roggwil BE? ✅ Les annonces les plus actuelles sont sur ImmoScout24.ch.</t>
  </si>
  <si>
    <t>https://www.immoscout24.ch/fr/maison/acheter/region-delemont</t>
  </si>
  <si>
    <t>https://www.immoscout24.ch/fr/appartement/acheter/lieu-corin-de-la-crete</t>
  </si>
  <si>
    <t>Vendre appartement Corin-de-la-Crête: Trouvez le bien immobilier qui correspond idéalement à vos désirs sur ImmoScout24 - La plateforme de l'immobilier en Suisse.</t>
  </si>
  <si>
    <t>🏘  L’appartement de vos rêves se trouve sur ImmoScout24.ch ✅ Découvrez les dernières annonces de vente à Corin-de-la-Crête.</t>
  </si>
  <si>
    <t>https://www.immoscout24.ch/fr/appartement/acheter/lieu-schinznach-bad</t>
  </si>
  <si>
    <t>Vendre appartement Schinznach Bad: Trouvez le bien immobilier qui correspond idéalement à vos désirs sur ImmoScout24 - La plateforme de l'immobilier en Suisse.</t>
  </si>
  <si>
    <t>🏘  L’appartement de vos rêves se trouve sur ImmoScout24.ch ✅ Découvrez les dernières annonces de vente à Schinznach Bad.</t>
  </si>
  <si>
    <t>https://www.immoscout24.ch/fr/appartement/acheter/lieu-emmetten</t>
  </si>
  <si>
    <t>Vendre appartement Emmetten: Trouvez le bien immobilier qui correspond idéalement à vos désirs sur ImmoScout24 - La plateforme de l'immobilier en Suisse.</t>
  </si>
  <si>
    <t>🏘  L’appartement de vos rêves se trouve sur ImmoScout24.ch ✅ Découvrez les dernières annonces de vente à Emmetten.</t>
  </si>
  <si>
    <t>https://www.immoscout24.ch/fr/appartement/louer/lieu-anglikon</t>
  </si>
  <si>
    <t>Louer appartement Anglikon: Trouvez le bien immobilier qui correspond idéalement à vos désirs sur ImmoScout24 - La plateforme de l'immobilier en Suisse.</t>
  </si>
  <si>
    <t>🏘  Vous cherchez un appartement à louer à Anglikon? ✅ Les annonces les plus actuelles sont sur ImmoScout24.ch.</t>
  </si>
  <si>
    <t>https://www.immoscout24.ch/fr/appartement/acheter/lieu-zollbrueck</t>
  </si>
  <si>
    <t>Vendre appartement Zollbrück: Trouvez le bien immobilier qui correspond idéalement à vos désirs sur ImmoScout24 - La plateforme de l'immobilier en Suisse.</t>
  </si>
  <si>
    <t>🏘  L’appartement de vos rêves se trouve sur ImmoScout24.ch ✅ Découvrez les dernières annonces de vente à Zollbrück.</t>
  </si>
  <si>
    <t>https://www.immoscout24.ch/fr/maison/acheter/lieu-muerren</t>
  </si>
  <si>
    <t>Vendre maison Mürren: Trouvez le bien immobilier qui correspond idéalement à vos désirs sur ImmoScout24 - La plateforme de l'immobilier en Suisse.</t>
  </si>
  <si>
    <t>🏘  Vous souhaitez acheter une maison à Mürren? ✅ Jetez un œil aux dernières offres sur ImmoScout24.ch.</t>
  </si>
  <si>
    <t>https://www.immoscout24.ch/fr/appartement/louer/lieu-chardonne</t>
  </si>
  <si>
    <t>Louer appartement Chardonne: Trouvez le bien immobilier qui correspond idéalement à vos désirs sur ImmoScout24 - La plateforme de l'immobilier en Suisse.</t>
  </si>
  <si>
    <t>🏘  Vous cherchez un appartement à louer à Chardonne? ✅ Les annonces les plus actuelles sont sur ImmoScout24.ch.</t>
  </si>
  <si>
    <t>https://www.immoscout24.ch/fr/maison/louer/lieu-baar-nendaz</t>
  </si>
  <si>
    <t>Louer maison Baar (Nendaz): Trouvez le bien immobilier qui correspond idéalement à vos désirs sur ImmoScout24 - La plateforme de l'immobilier en Suisse.</t>
  </si>
  <si>
    <t>🏘  Vous cherchez une maison à louer à Baar (Nendaz)? ✅ Découvrez nos nombreuses annonces sur ImmoScout24.ch.</t>
  </si>
  <si>
    <t>https://www.immoscout24.ch/fr/maison/acheter/lieu-la-sage</t>
  </si>
  <si>
    <t>Vendre maison La Sage: Trouvez le bien immobilier qui correspond idéalement à vos désirs sur ImmoScout24 - La plateforme de l'immobilier en Suisse.</t>
  </si>
  <si>
    <t>🏘  Vous souhaitez acheter une maison à La Sage? ✅ Jetez un œil aux dernières offres sur ImmoScout24.ch.</t>
  </si>
  <si>
    <t>https://www.immoscout24.ch/fr/appartement/louer/quartier-gotthelf-bale</t>
  </si>
  <si>
    <t>Louer appartement Gotthelf (Bâle): Trouvez le bien immobilier qui correspond idéalement à vos désirs sur ImmoScout24 - La plateforme de l'immobilier en Suisse.</t>
  </si>
  <si>
    <t>🏘  Vous cherchez un appartement à louer dans le quartier de Gotthelf (Bâle)? ✅ Les annonces les plus actuelles sont sur ImmoScout24.ch.</t>
  </si>
  <si>
    <t>https://www.immoscout24.ch/fr/maison/acheter/lieu-grandval</t>
  </si>
  <si>
    <t>Vendre maison Grandval: Trouvez le bien immobilier qui correspond idéalement à vos désirs sur ImmoScout24 - La plateforme de l'immobilier en Suisse.</t>
  </si>
  <si>
    <t>🏘  Vous souhaitez acheter une maison à Grandval? ✅ Jetez un œil aux dernières offres sur ImmoScout24.ch.</t>
  </si>
  <si>
    <t>https://www.immoscout24.ch/fr/appartement/acheter/lieu-savagnier</t>
  </si>
  <si>
    <t>Vendre appartement Savagnier: Trouvez le bien immobilier qui correspond idéalement à vos désirs sur ImmoScout24 - La plateforme de l'immobilier en Suisse.</t>
  </si>
  <si>
    <t>🏘  L’appartement de vos rêves se trouve sur ImmoScout24.ch ✅ Découvrez les dernières annonces de vente à Savagnier.</t>
  </si>
  <si>
    <t>https://www.immoscout24.ch/fr/maison/acheter/lieu-soulce</t>
  </si>
  <si>
    <t>Vendre maison Soulce: Trouvez le bien immobilier qui correspond idéalement à vos désirs sur ImmoScout24 - La plateforme de l'immobilier en Suisse.</t>
  </si>
  <si>
    <t>🏘  Vous souhaitez acheter une maison à Soulce? ✅ Jetez un œil aux dernières offres sur ImmoScout24.ch.</t>
  </si>
  <si>
    <t>https://www.immoscout24.ch/fr/maison/acheter/lieu-forel-sur-lucens</t>
  </si>
  <si>
    <t>Vendre maison Forel-sur-Lucens: Trouvez le bien immobilier qui correspond idéalement à vos désirs sur ImmoScout24 - La plateforme de l'immobilier en Suisse.</t>
  </si>
  <si>
    <t>🏘  Vous souhaitez acheter une maison à Forel-sur-Lucens? ✅ Jetez un œil aux dernières offres sur ImmoScout24.ch.</t>
  </si>
  <si>
    <t>https://www.immoscout24.ch/fr/maison/acheter/lieu-boussens</t>
  </si>
  <si>
    <t>Vendre maison Boussens: Trouvez le bien immobilier qui correspond idéalement à vos désirs sur ImmoScout24 - La plateforme de l'immobilier en Suisse.</t>
  </si>
  <si>
    <t>🏘  Vous souhaitez acheter une maison à Boussens? ✅ Jetez un œil aux dernières offres sur ImmoScout24.ch.</t>
  </si>
  <si>
    <t>https://www.immoscout24.ch/fr/maison/louer/lieu-lengnau-be</t>
  </si>
  <si>
    <t>Louer maison Lengnau BE: Trouvez le bien immobilier qui correspond idéalement à vos désirs sur ImmoScout24 - La plateforme de l'immobilier en Suisse.</t>
  </si>
  <si>
    <t>🏘  Vous cherchez une maison à louer aungnau BE? ✅ Découvrez nos nombreuses annonces sur ImmoScout24.ch.</t>
  </si>
  <si>
    <t>https://www.immoscout24.ch/fr/appartement/acheter/lieu-olten</t>
  </si>
  <si>
    <t>Vendre appartement Olten: Trouvez le bien immobilier qui correspond idéalement à vos désirs sur ImmoScout24 - La plateforme de l'immobilier en Suisse.</t>
  </si>
  <si>
    <t>🏘  L’appartement de vos rêves se trouve sur ImmoScout24.ch ✅ Découvrez les dernières annonces de vente à Olten.</t>
  </si>
  <si>
    <t>https://www.immoscout24.ch/fr/appartement/louer/lieu-presinge</t>
  </si>
  <si>
    <t>Louer appartement Presinge: Trouvez le bien immobilier qui correspond idéalement à vos désirs sur ImmoScout24 - La plateforme de l'immobilier en Suisse.</t>
  </si>
  <si>
    <t>🏘  Vous cherchez un appartement à louer à Presinge? ✅ Les annonces les plus actuelles sont sur ImmoScout24.ch.</t>
  </si>
  <si>
    <t>https://www.immoscout24.ch/fr/appartement/louer/lieu-menznau</t>
  </si>
  <si>
    <t>Louer appartement Menznau: Trouvez le bien immobilier qui correspond idéalement à vos désirs sur ImmoScout24 - La plateforme de l'immobilier en Suisse.</t>
  </si>
  <si>
    <t>🏘  Vous cherchez un appartement à louer à Menznau? ✅ Les annonces les plus actuelles sont sur ImmoScout24.ch.</t>
  </si>
  <si>
    <t>https://www.immoscout24.ch/fr/maison/louer/lieu-le-cret-du-locle</t>
  </si>
  <si>
    <t>Louer maison Le Crêt-du-Locle: Trouvez le bien immobilier qui correspond idéalement à vos désirs sur ImmoScout24 - La plateforme de l'immobilier en Suisse.</t>
  </si>
  <si>
    <t>🏘  Vous cherchez une maison à louer au Crêt-du-Locle? ✅ Découvrez nos nombreuses annonces sur ImmoScout24.ch.</t>
  </si>
  <si>
    <t>https://www.immoscout24.ch/fr/appartement/louer/lieu-gerzensee</t>
  </si>
  <si>
    <t>Louer appartement Gerzensee: Trouvez le bien immobilier qui correspond idéalement à vos désirs sur ImmoScout24 - La plateforme de l'immobilier en Suisse.</t>
  </si>
  <si>
    <t>🏘  Vous cherchez un appartement à louer à Gerzensee? ✅ Les annonces les plus actuelles sont sur ImmoScout24.ch.</t>
  </si>
  <si>
    <t>https://www.immoscout24.ch/fr/maison/louer/region-valais-central</t>
  </si>
  <si>
    <t>Louer maison Valais Central: Trouvez le bien immobilier qui correspond idéalement à vos désirs sur ImmoScout24 - La plateforme de l'immobilier en Suisse.</t>
  </si>
  <si>
    <t>🏘  Vous cherchez une maison à louer en  Valais central? ✅ Découvrez nos nombreuses annonces sur ImmoScout24.ch.</t>
  </si>
  <si>
    <t>https://www.immoscout24.ch/fr/maison/acheter/lieu-bussy-chardonney</t>
  </si>
  <si>
    <t>Vendre maison Bussy-Chardonney: Trouvez le bien immobilier qui correspond idéalement à vos désirs sur ImmoScout24 - La plateforme de l'immobilier en Suisse.</t>
  </si>
  <si>
    <t>🏘  Vous souhaitez acheter une maison à Bussy-Chardonney? ✅ Jetez un œil aux dernières offres sur ImmoScout24.ch.</t>
  </si>
  <si>
    <t>https://www.immoscout24.ch/fr/appartement/acheter/lieu-la-ferriere</t>
  </si>
  <si>
    <t>Vendre appartement La Ferrière: Trouvez le bien immobilier qui correspond idéalement à vos désirs sur ImmoScout24 - La plateforme de l'immobilier en Suisse.</t>
  </si>
  <si>
    <t>🏘  L’appartement de vos rêves se trouve sur ImmoScout24.ch ✅ Découvrez les dernières annonces de vente à La Ferrière.</t>
  </si>
  <si>
    <t>https://www.immoscout24.ch/fr/appartement/louer/lieu-chambesy</t>
  </si>
  <si>
    <t>Louer appartement Chambésy: Trouvez le bien immobilier qui correspond idéalement à vos désirs sur ImmoScout24 - La plateforme de l'immobilier en Suisse.</t>
  </si>
  <si>
    <t>🏘  Vous cherchez un appartement à louer à Chambésy? ✅ Les annonces les plus actuelles sont sur ImmoScout24.ch.</t>
  </si>
  <si>
    <t>https://www.immoscout24.ch/fr/maison/acheter/lieu-gsteig-b-gstaad</t>
  </si>
  <si>
    <t>Vendre maison Gsteig b. Gstaad: Trouvez le bien immobilier qui correspond idéalement à vos désirs sur ImmoScout24 - La plateforme de l'immobilier en Suisse.</t>
  </si>
  <si>
    <t>🏘  Vous souhaitez acheter une maison à Gsteig b. Gstaad? ✅ Jetez un œil aux dernières offres sur ImmoScout24.ch.</t>
  </si>
  <si>
    <t>https://www.immoscout24.ch/fr/appartement/louer/lieu-st-aubin-fr</t>
  </si>
  <si>
    <t>Louer appartement St-Aubin FR: Trouvez le bien immobilier qui correspond idéalement à vos désirs sur ImmoScout24 - La plateforme de l'immobilier en Suisse.</t>
  </si>
  <si>
    <t>🏘  Vous cherchez un appartement à louer à St-Aubin FR? ✅ Les annonces les plus actuelles sont sur ImmoScout24.ch.</t>
  </si>
  <si>
    <t>https://www.immoscout24.ch/fr/appartement/louer/lieu-matzingen</t>
  </si>
  <si>
    <t>Louer appartement Matzingen: Trouvez le bien immobilier qui correspond idéalement à vos désirs sur ImmoScout24 - La plateforme de l'immobilier en Suisse.</t>
  </si>
  <si>
    <t>🏘  Vous cherchez un appartement à louer à Matzingen? ✅ Les annonces les plus actuelles sont sur ImmoScout24.ch.</t>
  </si>
  <si>
    <t>https://www.immoscout24.ch/fr/appartement/louer/lieu-oron-le-chatel</t>
  </si>
  <si>
    <t>Louer appartement Oron-le-Châtel: Trouvez le bien immobilier qui correspond idéalement à vos désirs sur ImmoScout24 - La plateforme de l'immobilier en Suisse.</t>
  </si>
  <si>
    <t>🏘  Vous cherchez un appartement à louer à Oron-le-Châtel? ✅ Les annonces les plus actuelles sont sur ImmoScout24.ch.</t>
  </si>
  <si>
    <t>https://www.immoscout24.ch/fr/appartement/louer/lieu-chavornay</t>
  </si>
  <si>
    <t>Louer appartement Chavornay: Trouvez le bien immobilier qui correspond idéalement à vos désirs sur ImmoScout24 - La plateforme de l'immobilier en Suisse.</t>
  </si>
  <si>
    <t>🏘  Vous cherchez un appartement à louer à Chavornay? ✅ Les annonces les plus actuelles sont sur ImmoScout24.ch.</t>
  </si>
  <si>
    <t>https://www.immoscout24.ch/fr/maison/acheter/lieu-presinge</t>
  </si>
  <si>
    <t>Vendre maison Presinge: Trouvez le bien immobilier qui correspond idéalement à vos désirs sur ImmoScout24 - La plateforme de l'immobilier en Suisse.</t>
  </si>
  <si>
    <t>🏘  Vous souhaitez acheter une maison à Presinge? ✅ Jetez un œil aux dernières offres sur ImmoScout24.ch.</t>
  </si>
  <si>
    <t>https://www.immoscout24.ch/fr/appartement/louer/lieu-agno</t>
  </si>
  <si>
    <t>Louer appartement Agno: Trouvez le bien immobilier qui correspond idéalement à vos désirs sur ImmoScout24 - La plateforme de l'immobilier en Suisse.</t>
  </si>
  <si>
    <t>🏘  Vous cherchez un appartement à louer à Agno? ✅ Les annonces les plus actuelles sont sur ImmoScout24.ch.</t>
  </si>
  <si>
    <t>https://www.immoscout24.ch/fr/appartement/louer/region-vallemaggia</t>
  </si>
  <si>
    <t>Louer appartement Vallemaggia: Trouvez le bien immobilier qui correspond idéalement à vos désirs sur ImmoScout24 - La plateforme de l'immobilier en Suisse.</t>
  </si>
  <si>
    <t>🏘  Vous cherchez un appartement à louer dans la région de Vallemaggia? ✅ Les annonces les plus actuelles sont sur ImmoScout24.ch.</t>
  </si>
  <si>
    <t>https://www.immoscout24.ch/fr/appartement/acheter/lieu-bottighofen</t>
  </si>
  <si>
    <t>Vendre appartement Bottighofen: Trouvez le bien immobilier qui correspond idéalement à vos désirs sur ImmoScout24 - La plateforme de l'immobilier en Suisse.</t>
  </si>
  <si>
    <t>🏘  L’appartement de vos rêves se trouve sur ImmoScout24.ch ✅ Découvrez les dernières annonces de vente à Bottighofen.</t>
  </si>
  <si>
    <t>https://www.immoscout24.ch/fr/appartement/louer/lieu-ueberstorf</t>
  </si>
  <si>
    <t>Louer appartement Ueberstorf: Trouvez le bien immobilier qui correspond idéalement à vos désirs sur ImmoScout24 - La plateforme de l'immobilier en Suisse.</t>
  </si>
  <si>
    <t>🏘  Vous cherchez un appartement à louer à Ueberstorf? ✅ Les annonces les plus actuelles sont sur ImmoScout24.ch.</t>
  </si>
  <si>
    <t>https://www.immoscout24.ch/fr/appartement/louer/region-bellinzone</t>
  </si>
  <si>
    <t>Louer appartement Bellinzone: Trouvez le bien immobilier qui correspond idéalement à vos désirs sur ImmoScout24 - La plateforme de l'immobilier en Suisse.</t>
  </si>
  <si>
    <t>🏘  Vous cherchez un appartement à louer à Bellinzone? ✅ Les annonces les plus actuelles sont sur ImmoScout24.ch.</t>
  </si>
  <si>
    <t>https://www.immoscout24.ch/fr/appartement/louer/lieu-oulens-sous-echallens</t>
  </si>
  <si>
    <t>Louer appartement Oulens-sous-Echallens: Trouvez le bien immobilier qui correspond idéalement à vos désirs sur ImmoScout24 - La plateforme de l'immobilier en Suisse.</t>
  </si>
  <si>
    <t>🏘  Vous cherchez un appartement à louer à Oulens-sous-Echallens? ✅ Les annonces les plus actuelles sont sur ImmoScout24.ch.</t>
  </si>
  <si>
    <t>https://www.immoscout24.ch/fr/maison/acheter/lieu-beinwil-am-see</t>
  </si>
  <si>
    <t>Vendre maison Beinwil am See: Trouvez le bien immobilier qui correspond idéalement à vos désirs sur ImmoScout24 - La plateforme de l'immobilier en Suisse.</t>
  </si>
  <si>
    <t>🏘  Vous souhaitez acheter une maison à Beinwil am See? ✅ Jetez un œil aux dernières offres sur ImmoScout24.ch.</t>
  </si>
  <si>
    <t>https://www.immoscout24.ch/fr/maison/acheter/lieu-geneve-15-aeroport</t>
  </si>
  <si>
    <t>Vendre maison Genève 15 Aéroport: Trouvez le bien immobilier qui correspond idéalement à vos désirs sur ImmoScout24 - La plateforme de l'immobilier en Suisse.</t>
  </si>
  <si>
    <t>🏘  Vous souhaitez acheter une maison à Genève 15 Aéroport? ✅ Jetez un œil aux dernières offres sur ImmoScout24.ch.</t>
  </si>
  <si>
    <t>https://www.immoscout24.ch/fr/maison/louer/pays-algerie</t>
  </si>
  <si>
    <t>Louer maison Algérie: Trouvez le bien immobilier qui correspond idéalement à vos désirs sur ImmoScout24 - La plateforme de l'immobilier en Suisse.</t>
  </si>
  <si>
    <t>🏘  Vous cherchez un appartement à louer en Algérie? ✅ Les annonces les plus actuelles sont sur ImmoScout24.ch.</t>
  </si>
  <si>
    <t>https://www.immoscout24.ch/fr/appartement/acheter/region-jura-bernois</t>
  </si>
  <si>
    <t>Vendre appartement Jura Bernois: Trouvez le bien immobilier qui correspond idéalement à vos désirs sur ImmoScout24 - La plateforme de l'immobilier en Suisse.</t>
  </si>
  <si>
    <t>🏘  L’appartement de vos rêves se trouve sur ImmoScout24.ch ✅ Découvrez les dernières annonces de vente dans le Jura bernois.</t>
  </si>
  <si>
    <t>https://www.immoscout24.ch/fr/maison/acheter/lieu-vuisternens-devant-romont</t>
  </si>
  <si>
    <t>Vendre maison Vuisternens-devant-Romont: Trouvez le bien immobilier qui correspond idéalement à vos désirs sur ImmoScout24 - La plateforme de l'immobilier en Suisse.</t>
  </si>
  <si>
    <t>🏘  Vous souhaitez acheter une maison à Vuisternens-devant-Romont? ✅ Jetez un œil aux dernières offres sur ImmoScout24.ch.</t>
  </si>
  <si>
    <t>https://www.immoscout24.ch/fr/appartement/louer/lieu-athenaz-avusy</t>
  </si>
  <si>
    <t>Louer appartement Athenaz (Avusy): Trouvez le bien immobilier qui correspond idéalement à vos désirs sur ImmoScout24 - La plateforme de l'immobilier en Suisse.</t>
  </si>
  <si>
    <t>🏘  Vous cherchez un appartement à louer à Athenaz (Avusy)? ✅ Les annonces les plus actuelles sont sur ImmoScout24.ch.</t>
  </si>
  <si>
    <t>https://www.immoscout24.ch/fr/appartement/acheter/quartier-pregassona-lugano</t>
  </si>
  <si>
    <t>Vendre appartement Pregassona (Lugano):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</si>
  <si>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Pregassona (Lugano).</t>
  </si>
  <si>
    <t>https://www.immoscout24.ch/fr/appartement/louer/lieu-st-niklaus-vs</t>
  </si>
  <si>
    <t>Louer appartement St. Niklaus VS: Trouvez le bien immobilier qui correspond idéalement à vos désirs sur ImmoScout24 - La plateforme de l'immobilier en Suisse.</t>
  </si>
  <si>
    <t>🏘  Vous cherchez un appartement à louer à St. Niklaus VS? ✅ Les annonces les plus actuelles sont sur ImmoScout24.ch.</t>
  </si>
  <si>
    <t>https://www.immoscout24.ch/fr/appartement/louer/lieu-bussnang</t>
  </si>
  <si>
    <t>Louer appartement Bussnang: Trouvez le bien immobilier qui correspond idéalement à vos désirs sur ImmoScout24 - La plateforme de l'immobilier en Suisse.</t>
  </si>
  <si>
    <t>🏘  Vous cherchez un appartement à louer à Bussnang? ✅ Les annonces les plus actuelles sont sur ImmoScout24.ch.</t>
  </si>
  <si>
    <t>https://www.immoscout24.ch/fr/maison/acheter/lieu-bouveret</t>
  </si>
  <si>
    <t>Vendre maison Bouveret: Trouvez le bien immobilier qui correspond idéalement à vos désirs sur ImmoScout24 - La plateforme de l'immobilier en Suisse.</t>
  </si>
  <si>
    <t>🏘  Vous souhaitez acheter une maison à Bouveret? ✅ Jetez un œil aux dernières offres sur ImmoScout24.ch.</t>
  </si>
  <si>
    <t>https://www.immoscout24.ch/fr/maison/acheter/lieu-coeuve</t>
  </si>
  <si>
    <t>Vendre maison Coeuve: Trouvez le bien immobilier qui correspond idéalement à vos désirs sur ImmoScout24 - La plateforme de l'immobilier en Suisse.</t>
  </si>
  <si>
    <t>🏘  Vous souhaitez acheter une maison à Coeuve? ✅ Jetez un œil aux dernières offres sur ImmoScout24.ch.</t>
  </si>
  <si>
    <t>https://www.immoscout24.ch/fr/maison/acheter/lieu-veysonnaz</t>
  </si>
  <si>
    <t>Vendre maison Veysonnaz: Trouvez le bien immobilier qui correspond idéalement à vos désirs sur ImmoScout24 - La plateforme de l'immobilier en Suisse.</t>
  </si>
  <si>
    <t>🏘  Vous souhaitez acheter une maison à Veysonnaz? ✅ Jetez un œil aux dernières offres sur ImmoScout24.ch.</t>
  </si>
  <si>
    <t>https://www.immoscout24.ch/fr/maison/louer/quartier-beundenfeld-berne</t>
  </si>
  <si>
    <t>Louer maison Beundenfeld (Berne): Trouvez le bien immobilier qui correspond idéalement à vos désirs sur ImmoScout24 - La plateforme de l'immobilier en Suisse.</t>
  </si>
  <si>
    <t>🏘  Vous cherchez une maison à louer dans le quartier de Beundenfeld (Berne)? ✅ Découvrez nos nombreuses annonces sur ImmoScout24.ch.</t>
  </si>
  <si>
    <t>https://www.immoscout24.ch/fr/maison/louer/lieu-raron</t>
  </si>
  <si>
    <t>Louer maison Raron: Trouvez le bien immobilier qui correspond idéalement à vos désirs sur ImmoScout24 - La plateforme de l'immobilier en Suisse.</t>
  </si>
  <si>
    <t>🏘  Vous cherchez une maison à louer à Raron? ✅ Découvrez nos nombreuses annonces sur ImmoScout24.ch.</t>
  </si>
  <si>
    <t>https://www.immoscout24.ch/fr/appartement/louer/lieu-schnottwil</t>
  </si>
  <si>
    <t>Louer appartement Schnottwil: Trouvez le bien immobilier qui correspond idéalement à vos désirs sur ImmoScout24 - La plateforme de l'immobilier en Suisse.</t>
  </si>
  <si>
    <t>🏘  Vous cherchez un appartement à louer à Schnottwil? ✅ Les annonces les plus actuelles sont sur ImmoScout24.ch.</t>
  </si>
  <si>
    <t>https://www.immoscout24.ch/fr/appartement/louer/quartier-gruenes-quartier-berne</t>
  </si>
  <si>
    <t>Louer appartement Grünes Quartier (Berne): Trouvez le bien immobilier qui correspond idéalement à vos désirs sur ImmoScout24 - La plateforme de l'immobilier en Suisse.</t>
  </si>
  <si>
    <t>🏘  Vous cherchez un appartement à louer dans le Grünes Quartier? ✅ Les annonces les plus actuelles sont sur ImmoScout24.ch.</t>
  </si>
  <si>
    <t>https://www.immoscout24.ch/fr/appartement/acheter/lieu-leuk-stadt</t>
  </si>
  <si>
    <t>Vendre appartement Leuk Stadt: Trouvez le bien immobilier qui correspond idéalement à vos désirs sur ImmoScout24 - La plateforme de l'immobilier en Suisse.</t>
  </si>
  <si>
    <t>🏘  L’appartement de vos rêves se trouve sur ImmoScout24.ch ✅ Découvrez les dernières annonces de vente auuk Stadt.</t>
  </si>
  <si>
    <t>https://www.immoscout24.ch/fr/appartement/louer/lieu-zaeziwil</t>
  </si>
  <si>
    <t>Louer appartement Zäziwil: Trouvez le bien immobilier qui correspond idéalement à vos désirs sur ImmoScout24 - La plateforme de l'immobilier en Suisse.</t>
  </si>
  <si>
    <t>🏘  Vous cherchez un appartement à louer à Zäziwil? ✅ Les annonces les plus actuelles sont sur ImmoScout24.ch.</t>
  </si>
  <si>
    <t>https://www.immoscout24.ch/fr/maison/louer/canton-argovie</t>
  </si>
  <si>
    <t>Louer maison Canton d'Argovie: Trouvez le bien immobilier qui correspond idéalement à vos désirs sur ImmoScout24 - La plateforme de l'immobilier en Suisse.</t>
  </si>
  <si>
    <t>🏘  Vous cherchez une maison à louer dans le Canton d'Argovie? ✅ Découvrez nos nombreuses annonces sur ImmoScout24.ch.</t>
  </si>
  <si>
    <t>https://www.immoscout24.ch/fr/maison/louer/lieu-blonay</t>
  </si>
  <si>
    <t>Louer maison Blonay: Trouvez le bien immobilier qui correspond idéalement à vos désirs sur ImmoScout24 - La plateforme de l'immobilier en Suisse.</t>
  </si>
  <si>
    <t>🏘  Vous cherchez une maison à louer à Blonay? ✅ Découvrez nos nombreuses annonces sur ImmoScout24.ch.</t>
  </si>
  <si>
    <t>https://www.immoscout24.ch/fr/appartement/louer/lieu-vers-l-eglise</t>
  </si>
  <si>
    <t>Louer appartement Vers-l'Eglise: Trouvez le bien immobilier qui correspond idéalement à vos désirs sur ImmoScout24 - La plateforme de l'immobilier en Suisse.</t>
  </si>
  <si>
    <t>🏘  Vous cherchez un appartement à louer à Vers-l'Eglise? ✅ Les annonces les plus actuelles sont sur ImmoScout24.ch.</t>
  </si>
  <si>
    <t>https://www.immoscout24.ch/fr/maison/acheter/lieu-orzens</t>
  </si>
  <si>
    <t>Vendre maison Orzens: Trouvez le bien immobilier qui correspond idéalement à vos désirs sur ImmoScout24 - La plateforme de l'immobilier en Suisse.</t>
  </si>
  <si>
    <t>🏘  Vous souhaitez acheter une maison à Orzens? ✅ Jetez un œil aux dernières offres sur ImmoScout24.ch.</t>
  </si>
  <si>
    <t>https://www.immoscout24.ch/fr/maison/acheter/lieu-schnottwil</t>
  </si>
  <si>
    <t>Vendre maison Schnottwil: Trouvez le bien immobilier qui correspond idéalement à vos désirs sur ImmoScout24 - La plateforme de l'immobilier en Suisse.</t>
  </si>
  <si>
    <t>🏘  Vous souhaitez acheter une maison à Schnottwil? ✅ Jetez un œil aux dernières offres sur ImmoScout24.ch.</t>
  </si>
  <si>
    <t>https://www.immoscout24.ch/fr/appartement/acheter/lieu-fislisbach</t>
  </si>
  <si>
    <t>Vendre appartement Fislisbach: Trouvez le bien immobilier qui correspond idéalement à vos désirs sur ImmoScout24 - La plateforme de l'immobilier en Suisse.</t>
  </si>
  <si>
    <t>🏘  L’appartement de vos rêves se trouve sur ImmoScout24.ch ✅ Découvrez les dernières annonces de vente à Fislisbach.</t>
  </si>
  <si>
    <t>https://www.immoscout24.ch/fr/appartement/louer/lieu-brunnen</t>
  </si>
  <si>
    <t>Louer appartement Brunnen: Trouvez le bien immobilier qui correspond idéalement à vos désirs sur ImmoScout24 - La plateforme de l'immobilier en Suisse.</t>
  </si>
  <si>
    <t>🏘  Vous cherchez un appartement à louer à Brunnen? ✅ Les annonces les plus actuelles sont sur ImmoScout24.ch.</t>
  </si>
  <si>
    <t>https://www.immoscout24.ch/fr/maison/acheter/lieu-anieres</t>
  </si>
  <si>
    <t>Vendre maison Anières: Trouvez le bien immobilier qui correspond idéalement à vos désirs sur ImmoScout24 - La plateforme de l'immobilier en Suisse.</t>
  </si>
  <si>
    <t>🏘  Vous souhaitez acheter une maison à Anières? ✅ Jetez un œil aux dernières offres sur ImmoScout24.ch.</t>
  </si>
  <si>
    <t>https://www.immoscout24.ch/fr/appartement/louer/lieu-guemmenen</t>
  </si>
  <si>
    <t>Louer appartement Gümmenen: Trouvez le bien immobilier qui correspond idéalement à vos désirs sur ImmoScout24 - La plateforme de l'immobilier en Suisse.</t>
  </si>
  <si>
    <t>🏘  Vous cherchez un appartement à louer à Gümmenen? ✅ Les annonces les plus actuelles sont sur ImmoScout24.ch.</t>
  </si>
  <si>
    <t>https://www.immoscout24.ch/fr/appartement/acheter/quartier-fluntern-zurich</t>
  </si>
  <si>
    <t>Vendre appartement Fluntern (Zurich):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</si>
  <si>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Fluntern (Zurich).</t>
  </si>
  <si>
    <t>https://www.immoscout24.ch/fr/maison/acheter/lieu-onnens-vd</t>
  </si>
  <si>
    <t>Vendre maison Onnens VD: Trouvez le bien immobilier qui correspond idéalement à vos désirs sur ImmoScout24 - La plateforme de l'immobilier en Suisse.</t>
  </si>
  <si>
    <t>🏘  Vous souhaitez acheter une maison à Onnens VD? ✅ Jetez un œil aux dernières offres sur ImmoScout24.ch.</t>
  </si>
  <si>
    <t>https://www.immoscout24.ch/fr/appartement/louer/lieu-tramelan</t>
  </si>
  <si>
    <t>Louer appartement Tramelan: Trouvez le bien immobilier qui correspond idéalement à vos désirs sur ImmoScout24 - La plateforme de l'immobilier en Suisse.</t>
  </si>
  <si>
    <t>🏘  Vous cherchez un appartement à louer à Tramelan? ✅ Les annonces les plus actuelles sont sur ImmoScout24.ch.</t>
  </si>
  <si>
    <t>https://www.immoscout24.ch/fr/maison/louer/lieu-thalwil</t>
  </si>
  <si>
    <t>Louer maison Thalwil: Trouvez le bien immobilier qui correspond idéalement à vos désirs sur ImmoScout24 - La plateforme de l'immobilier en Suisse.</t>
  </si>
  <si>
    <t>🏘  Vous cherchez une maison à louer à Thalwil? ✅ Découvrez nos nombreuses annonces sur ImmoScout24.ch.</t>
  </si>
  <si>
    <t>https://www.immoscout24.ch/fr/appartement/louer/lieu-ebikon</t>
  </si>
  <si>
    <t>Louer appartement Ebikon: Trouvez le bien immobilier qui correspond idéalement à vos désirs sur ImmoScout24 - La plateforme de l'immobilier en Suisse.</t>
  </si>
  <si>
    <t>🏘  Vous cherchez un appartement à louer à Ebikon? ✅ Les annonces les plus actuelles sont sur ImmoScout24.ch.</t>
  </si>
  <si>
    <t>https://www.immoscout24.ch/fr/appartement/louer/lieu-poschiavo</t>
  </si>
  <si>
    <t>Louer appartement Poschiavo: Trouvez le bien immobilier qui correspond idéalement à vos désirs sur ImmoScout24 - La plateforme de l'immobilier en Suisse.</t>
  </si>
  <si>
    <t>🏘  Vous cherchez un appartement à louer à Poschiavo? ✅ Les annonces les plus actuelles sont sur ImmoScout24.ch.</t>
  </si>
  <si>
    <t>https://www.immoscout24.ch/fr/maison/acheter/lieu-blumenstein</t>
  </si>
  <si>
    <t>Vendre maison Blumenstein: Trouvez le bien immobilier qui correspond idéalement à vos désirs sur ImmoScout24 - La plateforme de l'immobilier en Suisse.</t>
  </si>
  <si>
    <t>🏘  Vous souhaitez acheter une maison à Blumenstein? ✅ Jetez un œil aux dernières offres sur ImmoScout24.ch.</t>
  </si>
  <si>
    <t>https://www.immoscout24.ch/fr/appartement/acheter/lieu-holziken</t>
  </si>
  <si>
    <t>Vendre appartement Holziken: Trouvez le bien immobilier qui correspond idéalement à vos désirs sur ImmoScout24 - La plateforme de l'immobilier en Suisse.</t>
  </si>
  <si>
    <t>🏘  L’appartement de vos rêves se trouve sur ImmoScout24.ch ✅ Découvrez les dernières annonces de vente à Holziken.</t>
  </si>
  <si>
    <t>https://www.immoscout24.ch/fr/appartement/louer/lieu-stuesslingen</t>
  </si>
  <si>
    <t>Louer appartement Stüsslingen: Trouvez le bien immobilier qui correspond idéalement à vos désirs sur ImmoScout24 - La plateforme de l'immobilier en Suisse.</t>
  </si>
  <si>
    <t>🏘  Vous cherchez un appartement à louer à Stüsslingen? ✅ Les annonces les plus actuelles sont sur ImmoScout24.ch.</t>
  </si>
  <si>
    <t>https://www.immoscout24.ch/fr/maison/louer/lieu-prahins</t>
  </si>
  <si>
    <t>Louer maison Prahins: Trouvez le bien immobilier qui correspond idéalement à vos désirs sur ImmoScout24 - La plateforme de l'immobilier en Suisse.</t>
  </si>
  <si>
    <t>🏘  Vous cherchez une maison à louer à Prahins? ✅ Découvrez nos nombreuses annonces sur ImmoScout24.ch.</t>
  </si>
  <si>
    <t>https://www.immoscout24.ch/fr/maison/acheter/lieu-botyre-ayent</t>
  </si>
  <si>
    <t>Vendre maison Botyre (Ayent): Trouvez le bien immobilier qui correspond idéalement à vos désirs sur ImmoScout24 - La plateforme de l'immobilier en Suisse.</t>
  </si>
  <si>
    <t>🏘  Vous souhaitez acheter une maison à Botyre (Ayent)? ✅ Jetez un œil aux dernières offres sur ImmoScout24.ch.</t>
  </si>
  <si>
    <t>https://www.immoscout24.ch/fr/maison/acheter/lieu-dietikon</t>
  </si>
  <si>
    <t>Vendre maison Dietikon: Trouvez le bien immobilier qui correspond idéalement à vos désirs sur ImmoScout24 - La plateforme de l'immobilier en Suisse.</t>
  </si>
  <si>
    <t>🏘  Vous souhaitez acheter une maison à Dietikon? ✅ Jetez un œil aux dernières offres sur ImmoScout24.ch.</t>
  </si>
  <si>
    <t>https://www.immoscout24.ch/fr/maison/acheter/lieu-lajoux-ju</t>
  </si>
  <si>
    <t>Vendre maison Lajoux JU: Trouvez le bien immobilier qui correspond idéalement à vos désirs sur ImmoScout24 - La plateforme de l'immobilier en Suisse.</t>
  </si>
  <si>
    <t>🏘  Vous souhaitez acheter une maison à Lajoux JU? ✅ Jetez un œil aux dernières offres sur ImmoScout24.ch.</t>
  </si>
  <si>
    <t>https://www.immoscout24.ch/fr/appartement/louer/lieu-tannay</t>
  </si>
  <si>
    <t>Louer appartement Tannay: Trouvez le bien immobilier qui correspond idéalement à vos désirs sur ImmoScout24 - La plateforme de l'immobilier en Suisse.</t>
  </si>
  <si>
    <t>🏘  Vous cherchez un appartement à louer à Tannay? ✅ Les annonces les plus actuelles sont sur ImmoScout24.ch.</t>
  </si>
  <si>
    <t>https://www.immoscout24.ch/fr/maison/acheter/lieu-seewen-so</t>
  </si>
  <si>
    <t>Vendre maison Seewen SO: Trouvez le bien immobilier qui correspond idéalement à vos désirs sur ImmoScout24 - La plateforme de l'immobilier en Suisse.</t>
  </si>
  <si>
    <t>🏘  Vous souhaitez acheter une maison à Seewen SO? ✅ Jetez un œil aux dernières offres sur ImmoScout24.ch.</t>
  </si>
  <si>
    <t>https://www.immoscout24.ch/fr/appartement/acheter/region-rhone-arve</t>
  </si>
  <si>
    <t>Vendre appartement Rhône-Arve: Trouvez le bien immobilier qui correspond idéalement à vos désirs sur ImmoScout24 - La plateforme de l'immobilier en Suisse.</t>
  </si>
  <si>
    <t>🏘  L’appartement de vos rêves se trouve sur ImmoScout24.ch ✅ Découvrez les dernières annonces de vente dans la région de Rhône-Arve.</t>
  </si>
  <si>
    <t>https://www.immoscout24.ch/fr/maison/louer/lieu-bourguillon</t>
  </si>
  <si>
    <t>Louer maison Bourguillon: Trouvez le bien immobilier qui correspond idéalement à vos désirs sur ImmoScout24 - La plateforme de l'immobilier en Suisse.</t>
  </si>
  <si>
    <t>🏘  Vous cherchez une maison à louer à Bourguillon? ✅ Découvrez nos nombreuses annonces sur ImmoScout24.ch.</t>
  </si>
  <si>
    <t>https://www.immoscout24.ch/fr/maison/louer/lieu-luins</t>
  </si>
  <si>
    <t>Louer maison Luins: Trouvez le bien immobilier qui correspond idéalement à vos désirs sur ImmoScout24 - La plateforme de l'immobilier en Suisse.</t>
  </si>
  <si>
    <t>🏘  Vous cherchez une maison à louer à Luins? ✅ Découvrez nos nombreuses annonces sur ImmoScout24.ch.</t>
  </si>
  <si>
    <t>https://www.immoscout24.ch/fr/appartement/louer/region-lausanne-et-environs</t>
  </si>
  <si>
    <t>Louer appartement Lausanne et environs: Trouvez le bien immobilier qui correspond idéalement à vos désirs sur ImmoScout24 - La plateforme de l'immobilier en Suisse.</t>
  </si>
  <si>
    <t>🏘  Vous cherchez un appartement à louer à Lausanne et environs? ✅ Les annonces les plus actuelles sont sur ImmoScout24.ch.</t>
  </si>
  <si>
    <t>https://www.immoscout24.ch/fr/appartement/louer/lieu-chene-bougeries</t>
  </si>
  <si>
    <t>Louer appartement Chêne-Bougeries: Trouvez le bien immobilier qui correspond idéalement à vos désirs sur ImmoScout24 - La plateforme de l'immobilier en Suisse.</t>
  </si>
  <si>
    <t>🏘  Vous cherchez un appartement à louer à Chêne-Bougeries? ✅ Les annonces les plus actuelles sont sur ImmoScout24.ch.</t>
  </si>
  <si>
    <t>https://www.immoscout24.ch/fr/appartement/acheter/lieu-venthone</t>
  </si>
  <si>
    <t>Vendre appartement Venthône: Trouvez le bien immobilier qui correspond idéalement à vos désirs sur ImmoScout24 - La plateforme de l'immobilier en Suisse.</t>
  </si>
  <si>
    <t>🏘  L’appartement de vos rêves se trouve sur ImmoScout24.ch ✅ Découvrez les dernières annonces de vente à Venthône.</t>
  </si>
  <si>
    <t>https://www.immoscout24.ch/fr/appartement/acheter/lieu-beatenberg</t>
  </si>
  <si>
    <t>Vendre appartement Beatenberg: Trouvez le bien immobilier qui correspond idéalement à vos désirs sur ImmoScout24 - La plateforme de l'immobilier en Suisse.</t>
  </si>
  <si>
    <t>🏘  L’appartement de vos rêves se trouve sur ImmoScout24.ch ✅ Découvrez les dernières annonces de vente à Beatenberg.</t>
  </si>
  <si>
    <t>https://www.immoscout24.ch/fr/appartement/acheter/lieu-lauterbrunnen</t>
  </si>
  <si>
    <t>Vendre appartement Lauterbrunnen: Trouvez le bien immobilier qui correspond idéalement à vos désirs sur ImmoScout24 - La plateforme de l'immobilier en Suisse.</t>
  </si>
  <si>
    <t>🏘  L’appartement de vos rêves se trouve sur ImmoScout24.ch ✅ Découvrez les dernières annonces de vente à Lauterbrunnen.</t>
  </si>
  <si>
    <t>https://www.immoscout24.ch/fr/maison/acheter/canton-vaud</t>
  </si>
  <si>
    <t>Vendre maison Canton de Vaud: Trouvez le bien immobilier qui correspond idéalement à vos désirs sur ImmoScout24 - La plateforme de l'immobilier en Suisse.</t>
  </si>
  <si>
    <t>🏘  Vous souhaitez acheter une maison dans le Canton de Vaud? ✅ Jetez un œil aux dernières offres sur ImmoScout24.ch.</t>
  </si>
  <si>
    <t>https://www.immoscout24.ch/fr/appartement/louer/lieu-villars-burquin</t>
  </si>
  <si>
    <t>Louer appartement Villars-Burquin: Trouvez le bien immobilier qui correspond idéalement à vos désirs sur ImmoScout24 - La plateforme de l'immobilier en Suisse.</t>
  </si>
  <si>
    <t>🏘  Vous cherchez un appartement à louer à Villars-Burquin? ✅ Les annonces les plus actuelles sont sur ImmoScout24.ch.</t>
  </si>
  <si>
    <t>https://www.immoscout24.ch/fr/appartement/louer/quartier-nord-neuchatel</t>
  </si>
  <si>
    <t>Louer appartement Nord (Neuchâtel): Trouvez le bien immobilier qui correspond idéalement à vos désirs sur ImmoScout24 - La plateforme de l'immobilier en Suisse.</t>
  </si>
  <si>
    <t>🏘  Vous cherchez un appartement à louer dans le quartier Nord (Neuchâtel)? ✅ Les annonces les plus actuelles sont sur ImmoScout24.ch.</t>
  </si>
  <si>
    <t>https://www.immoscout24.ch/fr/appartement/acheter/lieu-muraz-collombey</t>
  </si>
  <si>
    <t>Vendre appartement Muraz (Collombey): Trouvez le bien immobilier qui correspond idéalement à vos désirs sur ImmoScout24 - La plateforme de l'immobilier en Suisse.</t>
  </si>
  <si>
    <t>🏘  L’appartement de vos rêves se trouve sur ImmoScout24.ch ✅ Découvrez les dernières annonces de vente à Muraz (Collombey).</t>
  </si>
  <si>
    <t>https://www.immoscout24.ch/fr/maison/louer/lieu-caslano</t>
  </si>
  <si>
    <t>Louer maison Caslano: Trouvez le bien immobilier qui correspond idéalement à vos désirs sur ImmoScout24 - La plateforme de l'immobilier en Suisse.</t>
  </si>
  <si>
    <t>🏘  Vous cherchez une maison à louer à Caslano? ✅ Découvrez nos nombreuses annonces sur ImmoScout24.ch.</t>
  </si>
  <si>
    <t>https://www.immoscout24.ch/fr/appartement/louer/lieu-kandersteg</t>
  </si>
  <si>
    <t>Louer appartement Kandersteg: Trouvez le bien immobilier qui correspond idéalement à vos désirs sur ImmoScout24 - La plateforme de l'immobilier en Suisse.</t>
  </si>
  <si>
    <t>🏘  Vous cherchez un appartement à louer à Kandersteg? ✅ Les annonces les plus actuelles sont sur ImmoScout24.ch.</t>
  </si>
  <si>
    <t>https://www.immoscout24.ch/fr/appartement/louer/lieu-mollens-vd</t>
  </si>
  <si>
    <t>Louer appartement Mollens VD: Trouvez le bien immobilier qui correspond idéalement à vos désirs sur ImmoScout24 - La plateforme de l'immobilier en Suisse.</t>
  </si>
  <si>
    <t>🏘  Vous cherchez un appartement à louer à Mollens VD? ✅ Les annonces les plus actuelles sont sur ImmoScout24.ch.</t>
  </si>
  <si>
    <t>https://www.immoscout24.ch/fr/maison/louer/lieu-plan-les-ouates</t>
  </si>
  <si>
    <t>Louer maison Plan-les-Ouates: Trouvez le bien immobilier qui correspond idéalement à vos désirs sur ImmoScout24 - La plateforme de l'immobilier en Suisse.</t>
  </si>
  <si>
    <t>🏘  Vous cherchez une maison à louer à Plan-les-Ouates? ✅ Découvrez nos nombreuses annonces sur ImmoScout24.ch.</t>
  </si>
  <si>
    <t>https://www.immoscout24.ch/fr/maison/acheter/lieu-gressy</t>
  </si>
  <si>
    <t>Vendre maison Gressy: Trouvez le bien immobilier qui correspond idéalement à vos désirs sur ImmoScout24 - La plateforme de l'immobilier en Suisse.</t>
  </si>
  <si>
    <t>🏘  Vous souhaitez acheter une maison à Gressy? ✅ Jetez un œil aux dernières offres sur ImmoScout24.ch.</t>
  </si>
  <si>
    <t>https://www.immoscout24.ch/fr/appartement/louer/lieu-lausanne-26</t>
  </si>
  <si>
    <t>Louer appartement Lausanne 26: Trouvez le bien immobilier qui correspond idéalement à vos désirs sur ImmoScout24 - La plateforme de l'immobilier en Suisse.</t>
  </si>
  <si>
    <t>🏘  Vous cherchez un appartement à louer à Lausanne 26? ✅ Les annonces les plus actuelles sont sur ImmoScout24.ch.</t>
  </si>
  <si>
    <t>https://www.immoscout24.ch/fr/appartement/louer/lieu-wasen-im-emmental</t>
  </si>
  <si>
    <t>Louer appartement Wasen im Emmental: Trouvez le bien immobilier qui correspond idéalement à vos désirs sur ImmoScout24 - La plateforme de l'immobilier en Suisse.</t>
  </si>
  <si>
    <t>🏘  Vous cherchez un appartement à louer à Wasen im Emmental? ✅ Les annonces les plus actuelles sont sur ImmoScout24.ch.</t>
  </si>
  <si>
    <t>https://www.immoscout24.ch/fr/maison/louer/lieu-orpund</t>
  </si>
  <si>
    <t>Louer maison Orpund: Trouvez le bien immobilier qui correspond idéalement à vos désirs sur ImmoScout24 - La plateforme de l'immobilier en Suisse.</t>
  </si>
  <si>
    <t>🏘  Vous cherchez une maison à louer à Orpund? ✅ Découvrez nos nombreuses annonces sur ImmoScout24.ch.</t>
  </si>
  <si>
    <t>https://www.immoscout24.ch/fr/maison/acheter/lieu-les-ecasseys</t>
  </si>
  <si>
    <t>Vendre maison Les Ecasseys: Trouvez le bien immobilier qui correspond idéalement à vos désirs sur ImmoScout24 - La plateforme de l'immobilier en Suisse.</t>
  </si>
  <si>
    <t>🏘  Vous souhaitez acheter une maison aux Ecasseys? ✅ Jetez un œil aux dernières offres sur ImmoScout24.ch.</t>
  </si>
  <si>
    <t>https://www.immoscout24.ch/fr/maison/acheter/region-val-de-travers</t>
  </si>
  <si>
    <t>Vendre maison Val de Travers: Trouvez le bien immobilier qui correspond idéalement à vos désirs sur ImmoScout24 - La plateforme de l'immobilier en Suisse.</t>
  </si>
  <si>
    <t>🏘  Vous souhaitez acheter une maison dans le Val-de-Travers? ✅ Jetez un œil aux dernières offres sur ImmoScout24.ch.</t>
  </si>
  <si>
    <t>https://www.immoscout24.ch/fr/appartement/louer/lieu-buochs</t>
  </si>
  <si>
    <t>Louer appartement Buochs: Trouvez le bien immobilier qui correspond idéalement à vos désirs sur ImmoScout24 - La plateforme de l'immobilier en Suisse.</t>
  </si>
  <si>
    <t>🏘  Vous cherchez un appartement à louer à Buochs? ✅ Les annonces les plus actuelles sont sur ImmoScout24.ch.</t>
  </si>
  <si>
    <t>https://www.immoscout24.ch/fr/appartement/louer/lieu-fahrweid</t>
  </si>
  <si>
    <t>Louer appartement Fahrweid: Trouvez le bien immobilier qui correspond idéalement à vos désirs sur ImmoScout24 - La plateforme de l'immobilier en Suisse.</t>
  </si>
  <si>
    <t>🏘  Vous cherchez un appartement à louer à Fahrweid? ✅ Les annonces les plus actuelles sont sur ImmoScout24.ch.</t>
  </si>
  <si>
    <t>https://www.immoscout24.ch/fr/maison/louer/lieu-sales-gruyere</t>
  </si>
  <si>
    <t>Louer maison Sâles (Gruyère): Trouvez le bien immobilier qui correspond idéalement à vos désirs sur ImmoScout24 - La plateforme de l'immobilier en Suisse.</t>
  </si>
  <si>
    <t>🏘  Vous cherchez une maison à louer à Sâles (Gruyère)? ✅ Découvrez nos nombreuses annonces sur ImmoScout24.ch.</t>
  </si>
  <si>
    <t>https://www.immoscout24.ch/fr/maison/acheter/lieu-etoy</t>
  </si>
  <si>
    <t>Vendre maison Etoy: Trouvez le bien immobilier qui correspond idéalement à vos désirs sur ImmoScout24 - La plateforme de l'immobilier en Suisse.</t>
  </si>
  <si>
    <t>🏘  Vous souhaitez acheter une maison à Etoy? ✅ Jetez un œil aux dernières offres sur ImmoScout24.ch.</t>
  </si>
  <si>
    <t>https://www.immoscout24.ch/fr/maison/acheter/lieu-la-chaux-de-fonds</t>
  </si>
  <si>
    <t>Vendre maison La Chaux-de-Fonds: Trouvez le bien immobilier qui correspond idéalement à vos désirs sur ImmoScout24 - La plateforme de l'immobilier en Suisse.</t>
  </si>
  <si>
    <t>🏘  Vous souhaitez acheter une maison à La Chaux-de-Fonds? ✅ Jetez un œil aux dernières offres sur ImmoScout24.ch.</t>
  </si>
  <si>
    <t>https://www.immoscout24.ch/fr/maison/acheter/lieu-monteggio</t>
  </si>
  <si>
    <t>Vendre maison Monteggio: Trouvez le bien immobilier qui correspond idéalement à vos désirs sur ImmoScout24 - La plateforme de l'immobilier en Suisse.</t>
  </si>
  <si>
    <t>🏘  Vous souhaitez acheter une maison à Monteggio? ✅ Jetez un œil aux dernières offres sur ImmoScout24.ch.</t>
  </si>
  <si>
    <t>https://www.immoscout24.ch/fr/maison/acheter/lieu-lignieres</t>
  </si>
  <si>
    <t>Vendre maison Lignières: Trouvez le bien immobilier qui correspond idéalement à vos désirs sur ImmoScout24 - La plateforme de l'immobilier en Suisse.</t>
  </si>
  <si>
    <t>🏘  Vous souhaitez acheter une maison à Lignières? ✅ Jetez un œil aux dernières offres sur ImmoScout24.ch.</t>
  </si>
  <si>
    <t>https://www.immoscout24.ch/fr/appartement/acheter/lieu-bellmund</t>
  </si>
  <si>
    <t>Vendre appartement Bellmund: Trouvez le bien immobilier qui correspond idéalement à vos désirs sur ImmoScout24 - La plateforme de l'immobilier en Suisse.</t>
  </si>
  <si>
    <t>🏘  L’appartement de vos rêves se trouve sur ImmoScout24.ch ✅ Découvrez les dernières annonces de vente à Bellmund.</t>
  </si>
  <si>
    <t>https://www.immoscout24.ch/fr/appartement/louer/lieu-wavre</t>
  </si>
  <si>
    <t>Louer appartement Wavre: Trouvez le bien immobilier qui correspond idéalement à vos désirs sur ImmoScout24 - La plateforme de l'immobilier en Suisse.</t>
  </si>
  <si>
    <t>🏘  Vous cherchez un appartement à louer à Wavre? ✅ Les annonces les plus actuelles sont sur ImmoScout24.ch.</t>
  </si>
  <si>
    <t>https://www.immoscout24.ch/fr/appartement/louer/lieu-heimenhausen</t>
  </si>
  <si>
    <t>Louer appartement Heimenhausen: Trouvez le bien immobilier qui correspond idéalement à vos désirs sur ImmoScout24 - La plateforme de l'immobilier en Suisse.</t>
  </si>
  <si>
    <t>🏘  Vous cherchez un appartement à louer à Heimenhausen? ✅ Les annonces les plus actuelles sont sur ImmoScout24.ch.</t>
  </si>
  <si>
    <t>https://www.immoscout24.ch/fr/maison/acheter/region-laupen-sense</t>
  </si>
  <si>
    <t>Vendre maison Laupen - Sense: Trouvez le bien immobilier qui correspond idéalement à vos désirs sur ImmoScout24 - La plateforme de l'immobilier en Suisse.</t>
  </si>
  <si>
    <t>🏘  Vous souhaitez acheter une maison à Laupen? ✅ Jetez un œil aux dernières offres sur ImmoScout24.ch.</t>
  </si>
  <si>
    <t>https://www.immoscout24.ch/fr/appartement/louer/lieu-les-bioux</t>
  </si>
  <si>
    <t>Louer appartement Les Bioux: Trouvez le bien immobilier qui correspond idéalement à vos désirs sur ImmoScout24 - La plateforme de l'immobilier en Suisse.</t>
  </si>
  <si>
    <t>🏘  Vous cherchez un appartement à louer aux Bioux? ✅ Les annonces les plus actuelles sont sur ImmoScout24.ch.</t>
  </si>
  <si>
    <t>https://www.immoscout24.ch/fr/maison/acheter/lieu-lanna</t>
  </si>
  <si>
    <t>Vendre maison Lanna: Trouvez le bien immobilier qui correspond idéalement à vos désirs sur ImmoScout24 - La plateforme de l'immobilier en Suisse.</t>
  </si>
  <si>
    <t>🏘  Vous souhaitez acheter une maison à Lanna? ✅ Jetez un œil aux dernières offres sur ImmoScout24.ch.</t>
  </si>
  <si>
    <t>https://www.immoscout24.ch/fr/maison/acheter/lieu-jongny</t>
  </si>
  <si>
    <t>Vendre maison Jongny: Trouvez le bien immobilier qui correspond idéalement à vos désirs sur ImmoScout24 - La plateforme de l'immobilier en Suisse.</t>
  </si>
  <si>
    <t>🏘  Vous souhaitez acheter une maison à Jongny? ✅ Jetez un œil aux dernières offres sur ImmoScout24.ch.</t>
  </si>
  <si>
    <t>https://www.immoscout24.ch/fr/maison/acheter/lieu-les-mosses</t>
  </si>
  <si>
    <t>Vendre maison Les Mosses: Trouvez le bien immobilier qui correspond idéalement à vos désirs sur ImmoScout24 - La plateforme de l'immobilier en Suisse.</t>
  </si>
  <si>
    <t>🏘  Vous souhaitez acheter une maison aux Mosses? ✅ Jetez un œil aux dernières offres sur ImmoScout24.ch.</t>
  </si>
  <si>
    <t>https://www.immoscout24.ch/fr/appartement/louer/lieu-st-george</t>
  </si>
  <si>
    <t>Louer appartement St-George: Trouvez le bien immobilier qui correspond idéalement à vos désirs sur ImmoScout24 - La plateforme de l'immobilier en Suisse.</t>
  </si>
  <si>
    <t>🏘  Vous cherchez un appartement à louer à St-George? ✅ Les annonces les plus actuelles sont sur ImmoScout24.ch.</t>
  </si>
  <si>
    <t>https://www.immoscout24.ch/fr/appartement/acheter/lieu-servion</t>
  </si>
  <si>
    <t>Vendre appartement Servion: Trouvez le bien immobilier qui correspond idéalement à vos désirs sur ImmoScout24 - La plateforme de l'immobilier en Suisse.</t>
  </si>
  <si>
    <t>🏘  L’appartement de vos rêves se trouve sur ImmoScout24.ch ✅ Découvrez les dernières annonces de vente à Servion.</t>
  </si>
  <si>
    <t>https://www.immoscout24.ch/fr/appartement/acheter/quartier-sauvabelin-lausanne</t>
  </si>
  <si>
    <t>Vendre appartement Sauvabelin (Lausanne):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</si>
  <si>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Sauvabelin (Lausanne).</t>
  </si>
  <si>
    <t>https://www.immoscout24.ch/fr/appartement/louer/lieu-jussy</t>
  </si>
  <si>
    <t>Louer appartement Jussy: Trouvez le bien immobilier qui correspond idéalement à vos désirs sur ImmoScout24 - La plateforme de l'immobilier en Suisse.</t>
  </si>
  <si>
    <t>🏘  Vous cherchez un appartement à louer à Jussy? ✅ Les annonces les plus actuelles sont sur ImmoScout24.ch.</t>
  </si>
  <si>
    <t>https://www.immoscout24.ch/fr/maison/acheter/lieu-fieschertal</t>
  </si>
  <si>
    <t>Vendre maison Fieschertal: Trouvez le bien immobilier qui correspond idéalement à vos désirs sur ImmoScout24 - La plateforme de l'immobilier en Suisse.</t>
  </si>
  <si>
    <t>🏘  Vous souhaitez acheter une maison à Fieschertal? ✅ Jetez un œil aux dernières offres sur ImmoScout24.ch.</t>
  </si>
  <si>
    <t>https://www.immoscout24.ch/fr/appartement/louer/lieu-rikon-im-toesstal</t>
  </si>
  <si>
    <t>Louer appartement Rikon im Tösstal: Trouvez le bien immobilier qui correspond idéalement à vos désirs sur ImmoScout24 - La plateforme de l'immobilier en Suisse.</t>
  </si>
  <si>
    <t>🏘  Vous cherchez un appartement à louer à Rikon im Tösstal? ✅ Les annonces les plus actuelles sont sur ImmoScout24.ch.</t>
  </si>
  <si>
    <t>https://www.immoscout24.ch/fr/appartement/louer/region-lucerne-hinterland</t>
  </si>
  <si>
    <t>Louer appartement Lucerne Hinterland: Trouvez le bien immobilier qui correspond idéalement à vos désirs sur ImmoScout24 - La plateforme de l'immobilier en Suisse.</t>
  </si>
  <si>
    <t>🏘  Vous cherchez un appartement à louer dans la région de Lucerne Hinterland? ✅ Les annonces les plus actuelles sont sur ImmoScout24.ch.</t>
  </si>
  <si>
    <t>https://www.immoscout24.ch/fr/appartement/acheter/lieu-montherod</t>
  </si>
  <si>
    <t>Vendre appartement Montherod: Trouvez le bien immobilier qui correspond idéalement à vos désirs sur ImmoScout24 - La plateforme de l'immobilier en Suisse.</t>
  </si>
  <si>
    <t>🏘  L’appartement de vos rêves se trouve sur ImmoScout24.ch ✅ Découvrez les dernières annonces de vente à Montherod.</t>
  </si>
  <si>
    <t>https://www.immoscout24.ch/fr/appartement/acheter/lieu-preles</t>
  </si>
  <si>
    <t>Vendre appartement Prêles: Trouvez le bien immobilier qui correspond idéalement à vos désirs sur ImmoScout24 - La plateforme de l'immobilier en Suisse.</t>
  </si>
  <si>
    <t>🏘  L’appartement de vos rêves se trouve sur ImmoScout24.ch ✅ Découvrez les dernières annonces de vente à Prêles.</t>
  </si>
  <si>
    <t>https://www.immoscout24.ch/fr/maison/acheter/lieu-suberg</t>
  </si>
  <si>
    <t>Vendre maison Suberg: Trouvez le bien immobilier qui correspond idéalement à vos désirs sur ImmoScout24 - La plateforme de l'immobilier en Suisse.</t>
  </si>
  <si>
    <t>🏘  Vous souhaitez acheter une maison à Suberg? ✅ Jetez un œil aux dernières offres sur ImmoScout24.ch.</t>
  </si>
  <si>
    <t>https://www.immoscout24.ch/fr/appartement/louer/lieu-gerolfingen</t>
  </si>
  <si>
    <t>Louer appartement Gerolfingen: Trouvez le bien immobilier qui correspond idéalement à vos désirs sur ImmoScout24 - La plateforme de l'immobilier en Suisse.</t>
  </si>
  <si>
    <t>🏘  Vous cherchez un appartement à louer à Gerolfingen? ✅ Les annonces les plus actuelles sont sur ImmoScout24.ch.</t>
  </si>
  <si>
    <t>https://www.immoscout24.ch/fr/appartement/louer/lieu-ollon-vs</t>
  </si>
  <si>
    <t>Louer appartement Ollon VS: Trouvez le bien immobilier qui correspond idéalement à vos désirs sur ImmoScout24 - La plateforme de l'immobilier en Suisse.</t>
  </si>
  <si>
    <t>🏘  Vous cherchez un appartement à louer à Ollon VS? ✅ Les annonces les plus actuelles sont sur ImmoScout24.ch.</t>
  </si>
  <si>
    <t>https://www.immoscout24.ch/fr/appartement/louer/lieu-massongex</t>
  </si>
  <si>
    <t>Louer appartement Massongex: Trouvez le bien immobilier qui correspond idéalement à vos désirs sur ImmoScout24 - La plateforme de l'immobilier en Suisse.</t>
  </si>
  <si>
    <t>🏘  Vous cherchez un appartement à louer à Massongex? ✅ Les annonces les plus actuelles sont sur ImmoScout24.ch.</t>
  </si>
  <si>
    <t>https://www.immoscout24.ch/fr/appartement/acheter/region-bale-ville</t>
  </si>
  <si>
    <t>Vendre appartement Bâle-Ville: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</si>
  <si>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de Bâle-Ville.</t>
  </si>
  <si>
    <t>https://www.immoscout24.ch/fr/maison/acheter/lieu-commugny</t>
  </si>
  <si>
    <t>Vendre maison Commugny: Trouvez le bien immobilier qui correspond idéalement à vos désirs sur ImmoScout24 - La plateforme de l'immobilier en Suisse.</t>
  </si>
  <si>
    <t>🏘  Vous souhaitez acheter une maison à Commugny? ✅ Jetez un œil aux dernières offres sur ImmoScout24.ch.</t>
  </si>
  <si>
    <t>https://www.immoscout24.ch/fr/maison/louer/lieu-avenches</t>
  </si>
  <si>
    <t>Louer maison Avenches: Trouvez le bien immobilier qui correspond idéalement à vos désirs sur ImmoScout24 - La plateforme de l'immobilier en Suisse.</t>
  </si>
  <si>
    <t>🏘  Vous cherchez une maison à louer à Avenches? ✅ Découvrez nos nombreuses annonces sur ImmoScout24.ch.</t>
  </si>
  <si>
    <t>https://www.immoscout24.ch/fr/appartement/acheter/lieu-corseaux</t>
  </si>
  <si>
    <t>Vendre appartement Corseaux: Trouvez le bien immobilier qui correspond idéalement à vos désirs sur ImmoScout24 - La plateforme de l'immobilier en Suisse.</t>
  </si>
  <si>
    <t>🏘  L’appartement de vos rêves se trouve sur ImmoScout24.ch ✅ Découvrez les dernières annonces de vente à Corseaux.</t>
  </si>
  <si>
    <t>https://www.immoscout24.ch/fr/maison/acheter/lieu-st-german</t>
  </si>
  <si>
    <t>Vendre maison St. German: Trouvez le bien immobilier qui correspond idéalement à vos désirs sur ImmoScout24 - La plateforme de l'immobilier en Suisse.</t>
  </si>
  <si>
    <t>🏘  Vous souhaitez acheter une maison à St. German? ✅ Jetez un œil aux dernières offres sur ImmoScout24.ch.</t>
  </si>
  <si>
    <t>https://www.immoscout24.ch/fr/maison/louer/lieu-mollens-vd</t>
  </si>
  <si>
    <t>Louer maison Mollens VD: Trouvez le bien immobilier qui correspond idéalement à vos désirs sur ImmoScout24 - La plateforme de l'immobilier en Suisse.</t>
  </si>
  <si>
    <t>🏘  Vous cherchez une maison à louer à Mollens VD? ✅ Découvrez nos nombreuses annonces sur ImmoScout24.ch.</t>
  </si>
  <si>
    <t>https://www.immoscout24.ch/fr/appartement/louer/lieu-herzogenbuchsee</t>
  </si>
  <si>
    <t>Louer appartement Herzogenbuchsee: Trouvez le bien immobilier qui correspond idéalement à vos désirs sur ImmoScout24 - La plateforme de l'immobilier en Suisse.</t>
  </si>
  <si>
    <t>🏘  Vous cherchez un appartement à louer à Herzogenbuchsee? ✅ Les annonces les plus actuelles sont sur ImmoScout24.ch.</t>
  </si>
  <si>
    <t>https://www.immoscout24.ch/fr/appartement/louer/lieu-l-isle</t>
  </si>
  <si>
    <t>Louer appartement L'Isle: Trouvez le bien immobilier qui correspond idéalement à vos désirs sur ImmoScout24 - La plateforme de l'immobilier en Suisse.</t>
  </si>
  <si>
    <t>🏘  Vous cherchez un appartement à louer à L'Isle? ✅ Les annonces les plus actuelles sont sur ImmoScout24.ch.</t>
  </si>
  <si>
    <t>https://www.immoscout24.ch/fr/maison/acheter/lieu-heiligenschwendi</t>
  </si>
  <si>
    <t>Vendre maison Heiligenschwendi: Trouvez le bien immobilier qui correspond idéalement à vos désirs sur ImmoScout24 - La plateforme de l'immobilier en Suisse.</t>
  </si>
  <si>
    <t>🏘  Vous souhaitez acheter une maison à Heiligenschwendi? ✅ Jetez un œil aux dernières offres sur ImmoScout24.ch.</t>
  </si>
  <si>
    <t>https://www.immoscout24.ch/fr/appartement/louer/lieu-baar</t>
  </si>
  <si>
    <t>Louer appartement Baar: Trouvez le bien immobilier qui correspond idéalement à vos désirs sur ImmoScout24 - La plateforme de l'immobilier en Suisse.</t>
  </si>
  <si>
    <t>🏘  Vous cherchez un appartement à louer à Baar? ✅ Les annonces les plus actuelles sont sur ImmoScout24.ch.</t>
  </si>
  <si>
    <t>https://www.immoscout24.ch/fr/maison/louer/lieu-grimisuat</t>
  </si>
  <si>
    <t>Louer maison Grimisuat: Trouvez le bien immobilier qui correspond idéalement à vos désirs sur ImmoScout24 - La plateforme de l'immobilier en Suisse.</t>
  </si>
  <si>
    <t>🏘  Vous cherchez une maison à louer à Grimisuat? ✅ Découvrez nos nombreuses annonces sur ImmoScout24.ch.</t>
  </si>
  <si>
    <t>https://www.immoscout24.ch/fr/appartement/louer/lieu-eysins</t>
  </si>
  <si>
    <t>Louer appartement Eysins: Trouvez le bien immobilier qui correspond idéalement à vos désirs sur ImmoScout24 - La plateforme de l'immobilier en Suisse.</t>
  </si>
  <si>
    <t>🏘  Vous cherchez un appartement à louer à Eysins? ✅ Les annonces les plus actuelles sont sur ImmoScout24.ch.</t>
  </si>
  <si>
    <t>https://www.immoscout24.ch/fr/maison/acheter/lieu-leuk-stadt</t>
  </si>
  <si>
    <t>Vendre maison Leuk Stadt: Trouvez le bien immobilier qui correspond idéalement à vos désirs sur ImmoScout24 - La plateforme de l'immobilier en Suisse.</t>
  </si>
  <si>
    <t>🏘  Vous souhaitez acheter une maison auuk Stadt? ✅ Jetez un œil aux dernières offres sur ImmoScout24.ch.</t>
  </si>
  <si>
    <t>https://www.immoscout24.ch/fr/maison/louer/lieu-courtelary</t>
  </si>
  <si>
    <t>Louer maison Courtelary: Trouvez le bien immobilier qui correspond idéalement à vos désirs sur ImmoScout24 - La plateforme de l'immobilier en Suisse.</t>
  </si>
  <si>
    <t>🏘  Vous cherchez une maison à louer à Courtelary? ✅ Découvrez nos nombreuses annonces sur ImmoScout24.ch.</t>
  </si>
  <si>
    <t>https://www.immoscout24.ch/fr/maison/louer/region-fribourg-glane</t>
  </si>
  <si>
    <t>Louer maison Fribourg Glane: Trouvez le bien immobilier qui correspond idéalement à vos désirs sur ImmoScout24 - La plateforme de l'immobilier en Suisse.</t>
  </si>
  <si>
    <t>🏘  Vous cherchez une maison à louer dans le district de la Glâne? ✅ Découvrez nos nombreuses annonces sur ImmoScout24.ch.</t>
  </si>
  <si>
    <t>https://www.immoscout24.ch/fr/appartement/louer/lieu-mervelier</t>
  </si>
  <si>
    <t>Louer appartement Mervelier: Trouvez le bien immobilier qui correspond idéalement à vos désirs sur ImmoScout24 - La plateforme de l'immobilier en Suisse.</t>
  </si>
  <si>
    <t>🏘  Vous cherchez un appartement à louer à Mervelier? ✅ Les annonces les plus actuelles sont sur ImmoScout24.ch.</t>
  </si>
  <si>
    <t>https://www.immoscout24.ch/fr/maison/acheter/pays-turquie</t>
  </si>
  <si>
    <t>Vendre maison Turquie: Trouvez le bien immobilier qui correspond idéalement à vos désirs sur ImmoScout24 - La plateforme de l'immobilier en Suisse.</t>
  </si>
  <si>
    <t>🏘  Vous cherchez un appartement à louer en Turquie? ✅ Les annonces les plus actuelles sont sur ImmoScout24.ch.</t>
  </si>
  <si>
    <t>https://www.immoscout24.ch/fr/appartement/louer/lieu-gampel</t>
  </si>
  <si>
    <t>Louer appartement Gampel: Trouvez le bien immobilier qui correspond idéalement à vos désirs sur ImmoScout24 - La plateforme de l'immobilier en Suisse.</t>
  </si>
  <si>
    <t>🏘  Vous cherchez un appartement à louer à Gampel? ✅ Les annonces les plus actuelles sont sur ImmoScout24.ch.</t>
  </si>
  <si>
    <t>https://www.immoscout24.ch/fr/appartement/acheter/lieu-monthey</t>
  </si>
  <si>
    <t>Vendre appartement Monthey: Trouvez le bien immobilier qui correspond idéalement à vos désirs sur ImmoScout24 - La plateforme de l'immobilier en Suisse.</t>
  </si>
  <si>
    <t>🏘  L’appartement de vos rêves se trouve sur ImmoScout24.ch ✅ Découvrez les dernières annonces de vente à Monthey.</t>
  </si>
  <si>
    <t>https://www.immoscout24.ch/fr/maison/acheter/lieu-genthod</t>
  </si>
  <si>
    <t>Vendre maison Genthod: Trouvez le bien immobilier qui correspond idéalement à vos désirs sur ImmoScout24 - La plateforme de l'immobilier en Suisse.</t>
  </si>
  <si>
    <t>🏘  Vous souhaitez acheter une maison à Genthod? ✅ Jetez un œil aux dernières offres sur ImmoScout24.ch.</t>
  </si>
  <si>
    <t>https://www.immoscout24.ch/fr/maison/louer/lieu-rueyres-les-pres</t>
  </si>
  <si>
    <t>Louer maison Rueyres-les-Prés: Trouvez le bien immobilier qui correspond idéalement à vos désirs sur ImmoScout24 - La plateforme de l'immobilier en Suisse.</t>
  </si>
  <si>
    <t>🏘  Vous cherchez une maison à louer à Rueyres-les-Prés? ✅ Découvrez nos nombreuses annonces sur ImmoScout24.ch.</t>
  </si>
  <si>
    <t>https://www.immoscout24.ch/fr/appartement/louer/lieu-porsel</t>
  </si>
  <si>
    <t>Louer appartement Porsel: Trouvez le bien immobilier qui correspond idéalement à vos désirs sur ImmoScout24 - La plateforme de l'immobilier en Suisse.</t>
  </si>
  <si>
    <t>🏘  Vous cherchez un appartement à louer à Porsel? ✅ Les annonces les plus actuelles sont sur ImmoScout24.ch.</t>
  </si>
  <si>
    <t>https://www.immoscout24.ch/fr/appartement/louer/lieu-rocourt</t>
  </si>
  <si>
    <t>Louer appartement Rocourt: Trouvez le bien immobilier qui correspond idéalement à vos désirs sur ImmoScout24 - La plateforme de l'immobilier en Suisse.</t>
  </si>
  <si>
    <t>🏘  Vous cherchez un appartement à louer à Rocourt? ✅ Les annonces les plus actuelles sont sur ImmoScout24.ch.</t>
  </si>
  <si>
    <t>https://www.immoscout24.ch/fr/maison/acheter/lieu-seengen</t>
  </si>
  <si>
    <t>Vendre maison Seengen: Trouvez le bien immobilier qui correspond idéalement à vos désirs sur ImmoScout24 - La plateforme de l'immobilier en Suisse.</t>
  </si>
  <si>
    <t>🏘  Vous souhaitez acheter une maison à Seengen? ✅ Jetez un œil aux dernières offres sur ImmoScout24.ch.</t>
  </si>
  <si>
    <t>https://www.immoscout24.ch/fr/appartement/louer/lieu-spreitenbach</t>
  </si>
  <si>
    <t>Louer appartement Spreitenbach: Trouvez le bien immobilier qui correspond idéalement à vos désirs sur ImmoScout24 - La plateforme de l'immobilier en Suisse.</t>
  </si>
  <si>
    <t>🏘  Vous cherchez un appartement à louer à Spreitenbach? ✅ Les annonces les plus actuelles sont sur ImmoScout24.ch.</t>
  </si>
  <si>
    <t>https://www.immoscout24.ch/fr/appartement/louer/lieu-sorengo</t>
  </si>
  <si>
    <t>Louer appartement Sorengo: Trouvez le bien immobilier qui correspond idéalement à vos désirs sur ImmoScout24 - La plateforme de l'immobilier en Suisse.</t>
  </si>
  <si>
    <t>🏘  Vous cherchez un appartement à louer à Sorengo? ✅ Les annonces les plus actuelles sont sur ImmoScout24.ch.</t>
  </si>
  <si>
    <t>https://www.immoscout24.ch/fr/appartement/louer/lieu-illnau</t>
  </si>
  <si>
    <t>Louer appartement Illnau: Trouvez le bien immobilier qui correspond idéalement à vos désirs sur ImmoScout24 - La plateforme de l'immobilier en Suisse.</t>
  </si>
  <si>
    <t>🏘  Vous cherchez un appartement à louer à Illnau? ✅ Les annonces les plus actuelles sont sur ImmoScout24.ch.</t>
  </si>
  <si>
    <t>https://www.immoscout24.ch/fr/appartement/acheter/lieu-courtelary</t>
  </si>
  <si>
    <t>Vendre appartement Courtelary: Trouvez le bien immobilier qui correspond idéalement à vos désirs sur ImmoScout24 - La plateforme de l'immobilier en Suisse.</t>
  </si>
  <si>
    <t>🏘  L’appartement de vos rêves se trouve sur ImmoScout24.ch ✅ Découvrez les dernières annonces de vente à Courtelary.</t>
  </si>
  <si>
    <t>https://www.immoscout24.ch/fr/appartement/acheter/lieu-epsach</t>
  </si>
  <si>
    <t>Vendre appartement Epsach: Trouvez le bien immobilier qui correspond idéalement à vos désirs sur ImmoScout24 - La plateforme de l'immobilier en Suisse.</t>
  </si>
  <si>
    <t>🏘  L’appartement de vos rêves se trouve sur ImmoScout24.ch ✅ Découvrez les dernières annonces de vente à Epsach.</t>
  </si>
  <si>
    <t>https://www.immoscout24.ch/fr/appartement/louer/lieu-bassersdorf</t>
  </si>
  <si>
    <t>Louer appartement Bassersdorf: Trouvez le bien immobilier qui correspond idéalement à vos désirs sur ImmoScout24 - La plateforme de l'immobilier en Suisse.</t>
  </si>
  <si>
    <t>🏘  Vous cherchez un appartement à louer à Bassersdorf? ✅ Les annonces les plus actuelles sont sur ImmoScout24.ch.</t>
  </si>
  <si>
    <t>https://www.immoscout24.ch/fr/maison/louer/lieu-versoix</t>
  </si>
  <si>
    <t>Louer maison Versoix: Trouvez le bien immobilier qui correspond idéalement à vos désirs sur ImmoScout24 - La plateforme de l'immobilier en Suisse.</t>
  </si>
  <si>
    <t>🏘  Vous cherchez une maison à louer à Versoix? ✅ Découvrez nos nombreuses annonces sur ImmoScout24.ch.</t>
  </si>
  <si>
    <t>https://www.immoscout24.ch/fr/maison/louer/canton-fribourg</t>
  </si>
  <si>
    <t>Louer maison Canton de Fribourg: Trouvez le bien immobilier qui correspond idéalement à vos désirs sur ImmoScout24 - La plateforme de l'immobilier en Suisse.</t>
  </si>
  <si>
    <t>🏘  Vous cherchez une maison à louer dans le Canton de Fribourg? ✅ Découvrez nos nombreuses annonces sur ImmoScout24.ch.</t>
  </si>
  <si>
    <t>https://www.immoscout24.ch/fr/maison/acheter/lieu-areuse</t>
  </si>
  <si>
    <t>Vendre maison Areuse: Trouvez le bien immobilier qui correspond idéalement à vos désirs sur ImmoScout24 - La plateforme de l'immobilier en Suisse.</t>
  </si>
  <si>
    <t>🏘  Vous souhaitez acheter une maison à Areuse? ✅ Jetez un œil aux dernières offres sur ImmoScout24.ch.</t>
  </si>
  <si>
    <t>https://www.immoscout24.ch/fr/appartement/acheter/lieu-pont-de-la-morge-sion</t>
  </si>
  <si>
    <t>Vendre appartement Pont-de-la-Morge (Sion): Trouvez le bien immobilier qui correspond idéalement à vos désirs sur ImmoScout24 - La plateforme de l'immobilier en Suisse.</t>
  </si>
  <si>
    <t>🏘  L’appartement de vos rêves se trouve sur ImmoScout24.ch ✅ Découvrez les dernières annonces de vente à Pont-de-la-Morge (Sion).</t>
  </si>
  <si>
    <t>https://www.immoscout24.ch/fr/appartement/louer/quartier-centre-ville-lausanne</t>
  </si>
  <si>
    <t>Louer appartement Centre-Ville (Lausanne): Trouvez le bien immobilier qui correspond idéalement à vos désirs sur ImmoScout24 - La plateforme de l'immobilier en Suisse.</t>
  </si>
  <si>
    <t>🏘  Vous cherchez un appartement à louer au Centre-Ville (Lausanne)? ✅ Les annonces les plus actuelles sont sur ImmoScout24.ch.</t>
  </si>
  <si>
    <t>https://www.immoscout24.ch/fr/appartement/louer/lieu-eison-st-martin</t>
  </si>
  <si>
    <t>Louer appartement Eison (St-Martin): Trouvez le bien immobilier qui correspond idéalement à vos désirs sur ImmoScout24 - La plateforme de l'immobilier en Suisse.</t>
  </si>
  <si>
    <t>🏘  Vous cherchez un appartement à louer à Eison (St-Martin)? ✅ Les annonces les plus actuelles sont sur ImmoScout24.ch.</t>
  </si>
  <si>
    <t>https://www.immoscout24.ch/fr/appartement/louer/lieu-surpierre</t>
  </si>
  <si>
    <t>Louer appartement Surpierre: Trouvez le bien immobilier qui correspond idéalement à vos désirs sur ImmoScout24 - La plateforme de l'immobilier en Suisse.</t>
  </si>
  <si>
    <t>🏘  Vous cherchez un appartement à louer à Surpierre? ✅ Les annonces les plus actuelles sont sur ImmoScout24.ch.</t>
  </si>
  <si>
    <t>https://www.immoscout24.ch/fr/appartement/louer/lieu-fulenbach</t>
  </si>
  <si>
    <t>Louer appartement Fulenbach: Trouvez le bien immobilier qui correspond idéalement à vos désirs sur ImmoScout24 - La plateforme de l'immobilier en Suisse.</t>
  </si>
  <si>
    <t>🏘  Vous cherchez un appartement à louer à Fulenbach? ✅ Les annonces les plus actuelles sont sur ImmoScout24.ch.</t>
  </si>
  <si>
    <t>https://www.immoscout24.ch/fr/appartement/acheter/lieu-bottmingen</t>
  </si>
  <si>
    <t>Vendre appartement Bottmingen: Trouvez le bien immobilier qui correspond idéalement à vos désirs sur ImmoScout24 - La plateforme de l'immobilier en Suisse.</t>
  </si>
  <si>
    <t>🏘  L’appartement de vos rêves se trouve sur ImmoScout24.ch ✅ Découvrez les dernières annonces de vente à Bottmingen.</t>
  </si>
  <si>
    <t>https://www.immoscout24.ch/fr/appartement/louer/lieu-liebefeld</t>
  </si>
  <si>
    <t>Louer appartement Liebefeld: Trouvez le bien immobilier qui correspond idéalement à vos désirs sur ImmoScout24 - La plateforme de l'immobilier en Suisse.</t>
  </si>
  <si>
    <t>🏘  Vous cherchez un appartement à louer à Liebefeld? ✅ Les annonces les plus actuelles sont sur ImmoScout24.ch.</t>
  </si>
  <si>
    <t>https://www.immoscout24.ch/fr/maison/acheter/lieu-martisberg</t>
  </si>
  <si>
    <t>Vendre maison Martisberg: Trouvez le bien immobilier qui correspond idéalement à vos désirs sur ImmoScout24 - La plateforme de l'immobilier en Suisse.</t>
  </si>
  <si>
    <t>🏘  Vous souhaitez acheter une maison à Martisberg? ✅ Jetez un œil aux dernières offres sur ImmoScout24.ch.</t>
  </si>
  <si>
    <t>https://www.immoscout24.ch/fr/appartement/louer/lieu-emmen</t>
  </si>
  <si>
    <t>Louer appartement Emmen: Trouvez le bien immobilier qui correspond idéalement à vos désirs sur ImmoScout24 - La plateforme de l'immobilier en Suisse.</t>
  </si>
  <si>
    <t>🏘  Vous cherchez un appartement à louer à Emmen? ✅ Les annonces les plus actuelles sont sur ImmoScout24.ch.</t>
  </si>
  <si>
    <t>https://www.immoscout24.ch/fr/maison/acheter/lieu-cressier-fr</t>
  </si>
  <si>
    <t>Vendre maison Cressier FR: Trouvez le bien immobilier qui correspond idéalement à vos désirs sur ImmoScout24 - La plateforme de l'immobilier en Suisse.</t>
  </si>
  <si>
    <t>🏘  Vous souhaitez acheter une maison à Cressier FR? ✅ Jetez un œil aux dernières offres sur ImmoScout24.ch.</t>
  </si>
  <si>
    <t>https://www.immoscout24.ch/fr/appartement/louer/lieu-baettwil</t>
  </si>
  <si>
    <t>Louer appartement Bättwil: Trouvez le bien immobilier qui correspond idéalement à vos désirs sur ImmoScout24 - La plateforme de l'immobilier en Suisse.</t>
  </si>
  <si>
    <t>🏘  Vous cherchez un appartement à louer à Bättwil? ✅ Les annonces les plus actuelles sont sur ImmoScout24.ch.</t>
  </si>
  <si>
    <t>https://www.immoscout24.ch/fr/maison/acheter/lieu-roveredo-gr</t>
  </si>
  <si>
    <t>Vendre maison Roveredo GR: Trouvez le bien immobilier qui correspond idéalement à vos désirs sur ImmoScout24 - La plateforme de l'immobilier en Suisse.</t>
  </si>
  <si>
    <t>🏘  Vous souhaitez acheter une maison à Roveredo GR? ✅ Jetez un œil aux dernières offres sur ImmoScout24.ch.</t>
  </si>
  <si>
    <t>https://www.immoscout24.ch/fr/appartement/louer/lieu-chancy</t>
  </si>
  <si>
    <t>Louer appartement Chancy: Trouvez le bien immobilier qui correspond idéalement à vos désirs sur ImmoScout24 - La plateforme de l'immobilier en Suisse.</t>
  </si>
  <si>
    <t>🏘  Vous cherchez un appartement à louer à Chancy? ✅ Les annonces les plus actuelles sont sur ImmoScout24.ch.</t>
  </si>
  <si>
    <t>https://www.immoscout24.ch/fr/maison/acheter/lieu-plagne</t>
  </si>
  <si>
    <t>Vendre maison Plagne: Trouvez le bien immobilier qui correspond idéalement à vos désirs sur ImmoScout24 - La plateforme de l'immobilier en Suisse.</t>
  </si>
  <si>
    <t>🏘  Vous souhaitez acheter une maison à Plagne? ✅ Jetez un œil aux dernières offres sur ImmoScout24.ch.</t>
  </si>
  <si>
    <t>https://www.immoscout24.ch/fr/maison/acheter/lieu-rodersdorf</t>
  </si>
  <si>
    <t>Vendre maison Rodersdorf: Trouvez le bien immobilier qui correspond idéalement à vos désirs sur ImmoScout24 - La plateforme de l'immobilier en Suisse.</t>
  </si>
  <si>
    <t>🏘  Vous souhaitez acheter une maison à Rodersdorf? ✅ Jetez un œil aux dernières offres sur ImmoScout24.ch.</t>
  </si>
  <si>
    <t>https://www.immoscout24.ch/fr/appartement/louer/lieu-baetterkinden</t>
  </si>
  <si>
    <t>Louer appartement Bätterkinden: Trouvez le bien immobilier qui correspond idéalement à vos désirs sur ImmoScout24 - La plateforme de l'immobilier en Suisse.</t>
  </si>
  <si>
    <t>🏘  Vous cherchez un appartement à louer à Bätterkinden? ✅ Les annonces les plus actuelles sont sur ImmoScout24.ch.</t>
  </si>
  <si>
    <t>https://www.immoscout24.ch/fr/maison/acheter/lieu-ballens</t>
  </si>
  <si>
    <t>Vendre maison Ballens: Trouvez le bien immobilier qui correspond idéalement à vos désirs sur ImmoScout24 - La plateforme de l'immobilier en Suisse.</t>
  </si>
  <si>
    <t>🏘  Vous souhaitez acheter une maison à Ballens? ✅ Jetez un œil aux dernières offres sur ImmoScout24.ch.</t>
  </si>
  <si>
    <t>https://www.immoscout24.ch/fr/maison/acheter/lieu-saxeten</t>
  </si>
  <si>
    <t>Vendre maison Saxeten: Trouvez le bien immobilier qui correspond idéalement à vos désirs sur ImmoScout24 - La plateforme de l'immobilier en Suisse.</t>
  </si>
  <si>
    <t>🏘  Vous souhaitez acheter une maison à Saxeten? ✅ Jetez un œil aux dernières offres sur ImmoScout24.ch.</t>
  </si>
  <si>
    <t>https://www.immoscout24.ch/fr/maison/acheter/lieu-saulcy</t>
  </si>
  <si>
    <t>Vendre maison Saulcy: Trouvez le bien immobilier qui correspond idéalement à vos désirs sur ImmoScout24 - La plateforme de l'immobilier en Suisse.</t>
  </si>
  <si>
    <t>🏘  Vous souhaitez acheter une maison à Saulcy? ✅ Jetez un œil aux dernières offres sur ImmoScout24.ch.</t>
  </si>
  <si>
    <t>https://www.immoscout24.ch/fr/appartement/acheter/lieu-lax</t>
  </si>
  <si>
    <t>Vendre appartement Lax: Trouvez le bien immobilier qui correspond idéalement à vos désirs sur ImmoScout24 - La plateforme de l'immobilier en Suisse.</t>
  </si>
  <si>
    <t>🏘  L’appartement de vos rêves se trouve sur ImmoScout24.ch ✅ Découvrez les dernières annonces de vente à Lax.</t>
  </si>
  <si>
    <t>https://www.immoscout24.ch/fr/appartement/louer/lieu-vulliens</t>
  </si>
  <si>
    <t>Louer appartement Vulliens: Trouvez le bien immobilier qui correspond idéalement à vos désirs sur ImmoScout24 - La plateforme de l'immobilier en Suisse.</t>
  </si>
  <si>
    <t>🏘  Vous cherchez un appartement à louer à Vulliens? ✅ Les annonces les plus actuelles sont sur ImmoScout24.ch.</t>
  </si>
  <si>
    <t>https://www.immoscout24.ch/fr/appartement/louer/lieu-st-stephan</t>
  </si>
  <si>
    <t>Louer appartement St. Stephan: Trouvez le bien immobilier qui correspond idéalement à vos désirs sur ImmoScout24 - La plateforme de l'immobilier en Suisse.</t>
  </si>
  <si>
    <t>🏘  Vous cherchez un appartement à louer à St. Stephan? ✅ Les annonces les plus actuelles sont sur ImmoScout24.ch.</t>
  </si>
  <si>
    <t>https://www.immoscout24.ch/fr/maison/acheter/lieu-fornet-dessus</t>
  </si>
  <si>
    <t>Vendre maison Fornet-Dessus: Trouvez le bien immobilier qui correspond idéalement à vos désirs sur ImmoScout24 - La plateforme de l'immobilier en Suisse.</t>
  </si>
  <si>
    <t>🏘  Vous souhaitez acheter une maison à Fornet-Dessus? ✅ Jetez un œil aux dernières offres sur ImmoScout24.ch.</t>
  </si>
  <si>
    <t>https://www.immoscout24.ch/fr/maison/acheter/lieu-isenfluh</t>
  </si>
  <si>
    <t>Vendre maison Isenfluh: Trouvez le bien immobilier qui correspond idéalement à vos désirs sur ImmoScout24 - La plateforme de l'immobilier en Suisse.</t>
  </si>
  <si>
    <t>🏘  Vous souhaitez acheter une maison à Isenfluh? ✅ Jetez un œil aux dernières offres sur ImmoScout24.ch.</t>
  </si>
  <si>
    <t>https://www.immoscout24.ch/fr/appartement/acheter/lieu-daerligen</t>
  </si>
  <si>
    <t>Vendre appartement Därligen: Trouvez le bien immobilier qui correspond idéalement à vos désirs sur ImmoScout24 - La plateforme de l'immobilier en Suisse.</t>
  </si>
  <si>
    <t>🏘  L’appartement de vos rêves se trouve sur ImmoScout24.ch ✅ Découvrez les dernières annonces de vente à Därligen.</t>
  </si>
  <si>
    <t>https://www.immoscout24.ch/fr/appartement/louer/region-val-de-travers</t>
  </si>
  <si>
    <t>Louer appartement Val de Travers: Trouvez le bien immobilier qui correspond idéalement à vos désirs sur ImmoScout24 - La plateforme de l'immobilier en Suisse.</t>
  </si>
  <si>
    <t>🏘  Vous cherchez un appartement à louer dans le Val-de-Travers? ✅ Les annonces les plus actuelles sont sur ImmoScout24.ch.</t>
  </si>
  <si>
    <t>https://www.immoscout24.ch/fr/appartement/louer/lieu-unteriberg</t>
  </si>
  <si>
    <t>Louer appartement Unteriberg: Trouvez le bien immobilier qui correspond idéalement à vos désirs sur ImmoScout24 - La plateforme de l'immobilier en Suisse.</t>
  </si>
  <si>
    <t>🏘  Vous cherchez un appartement à louer à Unteriberg? ✅ Les annonces les plus actuelles sont sur ImmoScout24.ch.</t>
  </si>
  <si>
    <t>https://www.immoscout24.ch/fr/maison/acheter/pays-uruguay</t>
  </si>
  <si>
    <t>Vendre maison Uruguay: Trouvez le bien immobilier qui correspond idéalement à vos désirs sur ImmoScout24 - La plateforme de l'immobilier en Suisse.</t>
  </si>
  <si>
    <t>🏘  Vous cherchez un appartement à louer en Uruguay? ✅ Les annonces les plus actuelles sont sur ImmoScout24.ch.</t>
  </si>
  <si>
    <t>https://www.immoscout24.ch/fr/appartement/louer/lieu-varen</t>
  </si>
  <si>
    <t>Louer appartement Varen: Trouvez le bien immobilier qui correspond idéalement à vos désirs sur ImmoScout24 - La plateforme de l'immobilier en Suisse.</t>
  </si>
  <si>
    <t>🏘  Vous cherchez un appartement à louer à Varen? ✅ Les annonces les plus actuelles sont sur ImmoScout24.ch.</t>
  </si>
  <si>
    <t>https://www.immoscout24.ch/fr/appartement/louer/lieu-gimel</t>
  </si>
  <si>
    <t>Louer appartement Gimel: Trouvez le bien immobilier qui correspond idéalement à vos désirs sur ImmoScout24 - La plateforme de l'immobilier en Suisse.</t>
  </si>
  <si>
    <t>🏘  Vous cherchez un appartement à louer à Gimel? ✅ Les annonces les plus actuelles sont sur ImmoScout24.ch.</t>
  </si>
  <si>
    <t>https://www.immoscout24.ch/fr/maison/acheter/lieu-grattavache</t>
  </si>
  <si>
    <t>Vendre maison Grattavache: Trouvez le bien immobilier qui correspond idéalement à vos désirs sur ImmoScout24 - La plateforme de l'immobilier en Suisse.</t>
  </si>
  <si>
    <t>🏘  Vous souhaitez acheter une maison à Grattavache? ✅ Jetez un œil aux dernières offres sur ImmoScout24.ch.</t>
  </si>
  <si>
    <t>https://www.immoscout24.ch/fr/appartement/louer/lieu-les-tailleres</t>
  </si>
  <si>
    <t>Louer appartement Les Taillères: Trouvez le bien immobilier qui correspond idéalement à vos désirs sur ImmoScout24 - La plateforme de l'immobilier en Suisse.</t>
  </si>
  <si>
    <t>🏘  Vous cherchez un appartement à louer aux Taillères? ✅ Les annonces les plus actuelles sont sur ImmoScout24.ch.</t>
  </si>
  <si>
    <t>https://www.immoscout24.ch/fr/maison/acheter/lieu-villars-bramard</t>
  </si>
  <si>
    <t>Vendre maison Villars-Bramard: Trouvez le bien immobilier qui correspond idéalement à vos désirs sur ImmoScout24 - La plateforme de l'immobilier en Suisse.</t>
  </si>
  <si>
    <t>🏘  Vous souhaitez acheter une maison à Villars-Bramard? ✅ Jetez un œil aux dernières offres sur ImmoScout24.ch.</t>
  </si>
  <si>
    <t>https://www.immoscout24.ch/fr/appartement/acheter/lieu-bussy-chardonney</t>
  </si>
  <si>
    <t>Vendre appartement Bussy-Chardonney: Trouvez le bien immobilier qui correspond idéalement à vos désirs sur ImmoScout24 - La plateforme de l'immobilier en Suisse.</t>
  </si>
  <si>
    <t>🏘  L’appartement de vos rêves se trouve sur ImmoScout24.ch ✅ Découvrez les dernières annonces de vente à Bussy-Chardonney.</t>
  </si>
  <si>
    <t>https://www.immoscout24.ch/fr/appartement/acheter/quartier-la-coudre-neuchatel</t>
  </si>
  <si>
    <t>Vendre appartement La Coudre (Neuchâtel):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</si>
  <si>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La Coudre (Neuchâtel).</t>
  </si>
  <si>
    <t>https://www.immoscout24.ch/fr/appartement/louer/lieu-curio</t>
  </si>
  <si>
    <t>Louer appartement Curio: Trouvez le bien immobilier qui correspond idéalement à vos désirs sur ImmoScout24 - La plateforme de l'immobilier en Suisse.</t>
  </si>
  <si>
    <t>🏘  Vous cherchez un appartement à louer à Curio? ✅ Les annonces les plus actuelles sont sur ImmoScout24.ch.</t>
  </si>
  <si>
    <t>https://www.immoscout24.ch/fr/appartement/louer/lieu-missy</t>
  </si>
  <si>
    <t>Louer appartement Missy: Trouvez le bien immobilier qui correspond idéalement à vos désirs sur ImmoScout24 - La plateforme de l'immobilier en Suisse.</t>
  </si>
  <si>
    <t>🏘  Vous cherchez un appartement à louer à Missy? ✅ Les annonces les plus actuelles sont sur ImmoScout24.ch.</t>
  </si>
  <si>
    <t>https://www.immoscout24.ch/fr/appartement/acheter/lieu-onex</t>
  </si>
  <si>
    <t>Vendre appartement Onex: Trouvez le bien immobilier qui correspond idéalement à vos désirs sur ImmoScout24 - La plateforme de l'immobilier en Suisse.</t>
  </si>
  <si>
    <t>🏘  L’appartement de vos rêves se trouve sur ImmoScout24.ch ✅ Découvrez les dernières annonces de vente à Onex.</t>
  </si>
  <si>
    <t>https://www.immoscout24.ch/fr/appartement/louer/lieu-les-paccots</t>
  </si>
  <si>
    <t>Louer appartement Les Paccots: Trouvez le bien immobilier qui correspond idéalement à vos désirs sur ImmoScout24 - La plateforme de l'immobilier en Suisse.</t>
  </si>
  <si>
    <t>🏘  Vous cherchez un appartement à louer aux Paccots? ✅ Les annonces les plus actuelles sont sur ImmoScout24.ch.</t>
  </si>
  <si>
    <t>https://www.immoscout24.ch/fr/maison/louer/lieu-courgevaux</t>
  </si>
  <si>
    <t>Louer maison Courgevaux: Trouvez le bien immobilier qui correspond idéalement à vos désirs sur ImmoScout24 - La plateforme de l'immobilier en Suisse.</t>
  </si>
  <si>
    <t>🏘  Vous cherchez une maison à louer à Courgevaux? ✅ Découvrez nos nombreuses annonces sur ImmoScout24.ch.</t>
  </si>
  <si>
    <t>https://www.immoscout24.ch/fr/maison/acheter/lieu-vermes</t>
  </si>
  <si>
    <t>Vendre maison Vermes: Trouvez le bien immobilier qui correspond idéalement à vos désirs sur ImmoScout24 - La plateforme de l'immobilier en Suisse.</t>
  </si>
  <si>
    <t>🏘  Vous souhaitez acheter une maison à Vermes? ✅ Jetez un œil aux dernières offres sur ImmoScout24.ch.</t>
  </si>
  <si>
    <t>https://www.immoscout24.ch/fr/appartement/louer/lieu-montagny-pres-yverdon</t>
  </si>
  <si>
    <t>Louer appartement Montagny-près-Yverdon: Trouvez le bien immobilier qui correspond idéalement à vos désirs sur ImmoScout24 - La plateforme de l'immobilier en Suisse.</t>
  </si>
  <si>
    <t>🏘  Vous cherchez un appartement à louer à Montagny-près-Yverdon? ✅ Les annonces les plus actuelles sont sur ImmoScout24.ch.</t>
  </si>
  <si>
    <t>https://www.immoscout24.ch/fr/appartement/acheter/lieu-interlaken</t>
  </si>
  <si>
    <t>Vendre appartement Interlaken: Trouvez le bien immobilier qui correspond idéalement à vos désirs sur ImmoScout24 - La plateforme de l'immobilier en Suisse.</t>
  </si>
  <si>
    <t>🏘  L’appartement de vos rêves se trouve sur ImmoScout24.ch ✅ Découvrez les dernières annonces de vente à Interlaken.</t>
  </si>
  <si>
    <t>https://www.immoscout24.ch/fr/appartement/acheter/lieu-gryon</t>
  </si>
  <si>
    <t>Vendre appartement Gryon: Trouvez le bien immobilier qui correspond idéalement à vos désirs sur ImmoScout24 - La plateforme de l'immobilier en Suisse.</t>
  </si>
  <si>
    <t>🏘  L’appartement de vos rêves se trouve sur ImmoScout24.ch ✅ Découvrez les dernières annonces de vente à Gryon.</t>
  </si>
  <si>
    <t>https://www.immoscout24.ch/fr/appartement/louer/lieu-lenzerheide-lai</t>
  </si>
  <si>
    <t>Louer appartement Lenzerheide/Lai: Trouvez le bien immobilier qui correspond idéalement à vos désirs sur ImmoScout24 - La plateforme de l'immobilier en Suisse.</t>
  </si>
  <si>
    <t>🏘  Vous cherchez un appartement à louer aunzerheide/Lai? ✅ Les annonces les plus actuelles sont sur ImmoScout24.ch.</t>
  </si>
  <si>
    <t>https://www.immoscout24.ch/fr/appartement/louer/lieu-canobbio</t>
  </si>
  <si>
    <t>Louer appartement Canobbio: Trouvez le bien immobilier qui correspond idéalement à vos désirs sur ImmoScout24 - La plateforme de l'immobilier en Suisse.</t>
  </si>
  <si>
    <t>🏘  Vous cherchez un appartement à louer à Canobbio? ✅ Les annonces les plus actuelles sont sur ImmoScout24.ch.</t>
  </si>
  <si>
    <t>https://www.immoscout24.ch/fr/maison/acheter/lieu-cevio</t>
  </si>
  <si>
    <t>Vendre maison Cevio: Trouvez le bien immobilier qui correspond idéalement à vos désirs sur ImmoScout24 - La plateforme de l'immobilier en Suisse.</t>
  </si>
  <si>
    <t>🏘  Vous souhaitez acheter une maison à Cevio? ✅ Jetez un œil aux dernières offres sur ImmoScout24.ch.</t>
  </si>
  <si>
    <t>https://www.immoscout24.ch/fr/appartement/louer/lieu-borex</t>
  </si>
  <si>
    <t>Louer appartement Borex: Trouvez le bien immobilier qui correspond idéalement à vos désirs sur ImmoScout24 - La plateforme de l'immobilier en Suisse.</t>
  </si>
  <si>
    <t>🏘  Vous cherchez un appartement à louer à Borex? ✅ Les annonces les plus actuelles sont sur ImmoScout24.ch.</t>
  </si>
  <si>
    <t>https://www.immoscout24.ch/fr/appartement/acheter/lieu-schwarzsee</t>
  </si>
  <si>
    <t>Vendre appartement Schwarzsee: Trouvez le bien immobilier qui correspond idéalement à vos désirs sur ImmoScout24 - La plateforme de l'immobilier en Suisse.</t>
  </si>
  <si>
    <t>🏘  L’appartement de vos rêves se trouve sur ImmoScout24.ch ✅ Découvrez les dernières annonces de vente à Schwarzsee.</t>
  </si>
  <si>
    <t>https://www.immoscout24.ch/fr/appartement/louer/lieu-st-saphorin-sur-morges</t>
  </si>
  <si>
    <t>Louer appartement St-Saphorin-sur-Morges: Trouvez le bien immobilier qui correspond idéalement à vos désirs sur ImmoScout24 - La plateforme de l'immobilier en Suisse.</t>
  </si>
  <si>
    <t>🏘  Vous cherchez un appartement à louer à St-Saphorin-sur-Morges? ✅ Les annonces les plus actuelles sont sur ImmoScout24.ch.</t>
  </si>
  <si>
    <t>https://www.immoscout24.ch/fr/appartement/acheter/lieu-savosa</t>
  </si>
  <si>
    <t>Vendre appartement Savosa: Trouvez le bien immobilier qui correspond idéalement à vos désirs sur ImmoScout24 - La plateforme de l'immobilier en Suisse.</t>
  </si>
  <si>
    <t>🏘  L’appartement de vos rêves se trouve sur ImmoScout24.ch ✅ Découvrez les dernières annonces de vente à Savosa.</t>
  </si>
  <si>
    <t>https://www.immoscout24.ch/fr/maison/louer/lieu-cheyres</t>
  </si>
  <si>
    <t>Louer maison Cheyres: Trouvez le bien immobilier qui correspond idéalement à vos désirs sur ImmoScout24 - La plateforme de l'immobilier en Suisse.</t>
  </si>
  <si>
    <t>🏘  Vous cherchez une maison à louer à Cheyres? ✅ Découvrez nos nombreuses annonces sur ImmoScout24.ch.</t>
  </si>
  <si>
    <t>https://www.immoscout24.ch/fr/appartement/acheter/lieu-frick</t>
  </si>
  <si>
    <t>Vendre appartement Frick: Trouvez le bien immobilier qui correspond idéalement à vos désirs sur ImmoScout24 - La plateforme de l'immobilier en Suisse.</t>
  </si>
  <si>
    <t>🏘  L’appartement de vos rêves se trouve sur ImmoScout24.ch ✅ Découvrez les dernières annonces de vente à Frick.</t>
  </si>
  <si>
    <t>https://www.immoscout24.ch/fr/appartement/acheter/canton-obwald</t>
  </si>
  <si>
    <t>Vendre appartement Canton d'Obwald: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</si>
  <si>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d'Obwald.</t>
  </si>
  <si>
    <t>https://www.immoscout24.ch/fr/appartement/acheter/lieu-buesingen</t>
  </si>
  <si>
    <t>Vendre appartement Büsingen: Trouvez le bien immobilier qui correspond idéalement à vos désirs sur ImmoScout24 - La plateforme de l'immobilier en Suisse.</t>
  </si>
  <si>
    <t>🏘  L’appartement de vos rêves se trouve sur ImmoScout24.ch ✅ Découvrez les dernières annonces de vente à Büsingen.</t>
  </si>
  <si>
    <t>https://www.immoscout24.ch/fr/appartement/louer/lieu-vaux-sur-morges</t>
  </si>
  <si>
    <t>Louer appartement Vaux-sur-Morges: Trouvez le bien immobilier qui correspond idéalement à vos désirs sur ImmoScout24 - La plateforme de l'immobilier en Suisse.</t>
  </si>
  <si>
    <t>🏘  Vous cherchez un appartement à louer à Vaux-sur-Morges? ✅ Les annonces les plus actuelles sont sur ImmoScout24.ch.</t>
  </si>
  <si>
    <t>https://www.immoscout24.ch/fr/maison/acheter/lieu-russin</t>
  </si>
  <si>
    <t>Vendre maison Russin: Trouvez le bien immobilier qui correspond idéalement à vos désirs sur ImmoScout24 - La plateforme de l'immobilier en Suisse.</t>
  </si>
  <si>
    <t>🏘  Vous souhaitez acheter une maison à Russin? ✅ Jetez un œil aux dernières offres sur ImmoScout24.ch.</t>
  </si>
  <si>
    <t>https://www.immoscout24.ch/fr/appartement/louer/lieu-prevonloup</t>
  </si>
  <si>
    <t>Louer appartement Prévonloup: Trouvez le bien immobilier qui correspond idéalement à vos désirs sur ImmoScout24 - La plateforme de l'immobilier en Suisse.</t>
  </si>
  <si>
    <t>🏘  Vous cherchez un appartement à louer à Prévonloup? ✅ Les annonces les plus actuelles sont sur ImmoScout24.ch.</t>
  </si>
  <si>
    <t>https://www.immoscout24.ch/fr/appartement/louer/region-zuercher-unterland</t>
  </si>
  <si>
    <t>Louer appartement Zürcher Unterland: Trouvez le bien immobilier qui correspond idéalement à vos désirs sur ImmoScout24 - La plateforme de l'immobilier en Suisse.</t>
  </si>
  <si>
    <t>🏘  Vous cherchez un appartement à louer dans l'Unterland zurichois? ✅ Les annonces les plus actuelles sont sur ImmoScout24.ch.</t>
  </si>
  <si>
    <t>https://www.immoscout24.ch/fr/appartement/acheter/lieu-granges-paccot</t>
  </si>
  <si>
    <t>Vendre appartement Granges-Paccot: Trouvez le bien immobilier qui correspond idéalement à vos désirs sur ImmoScout24 - La plateforme de l'immobilier en Suisse.</t>
  </si>
  <si>
    <t>🏘  L’appartement de vos rêves se trouve sur ImmoScout24.ch ✅ Découvrez les dernières annonces de vente à Granges-Paccot.</t>
  </si>
  <si>
    <t>https://www.immoscout24.ch/fr/appartement/louer/lieu-ruemlang</t>
  </si>
  <si>
    <t>Louer appartement Rümlang: Trouvez le bien immobilier qui correspond idéalement à vos désirs sur ImmoScout24 - La plateforme de l'immobilier en Suisse.</t>
  </si>
  <si>
    <t>🏘  Vous cherchez un appartement à louer à Rümlang? ✅ Les annonces les plus actuelles sont sur ImmoScout24.ch.</t>
  </si>
  <si>
    <t>https://www.immoscout24.ch/fr/appartement/louer/pays-bresil</t>
  </si>
  <si>
    <t>Louer appartement Brésil: Trouvez le bien immobilier qui correspond idéalement à vos désirs sur ImmoScout24 - La plateforme de l'immobilier en Suisse.</t>
  </si>
  <si>
    <t>🏘  Vous cherchez un appartement à louer au Brésil? ✅ Les annonces les plus actuelles sont sur ImmoScout24.ch.</t>
  </si>
  <si>
    <t>https://www.immoscout24.ch/fr/maison/louer/lieu-cernier</t>
  </si>
  <si>
    <t>Louer maison Cernier: Trouvez le bien immobilier qui correspond idéalement à vos désirs sur ImmoScout24 - La plateforme de l'immobilier en Suisse.</t>
  </si>
  <si>
    <t>🏘  Vous cherchez une maison à louer à Cernier? ✅ Découvrez nos nombreuses annonces sur ImmoScout24.ch.</t>
  </si>
  <si>
    <t>https://www.immoscout24.ch/fr/maison/louer/lieu-gockhausen</t>
  </si>
  <si>
    <t>Louer maison Gockhausen: Trouvez le bien immobilier qui correspond idéalement à vos désirs sur ImmoScout24 - La plateforme de l'immobilier en Suisse.</t>
  </si>
  <si>
    <t>🏘  Vous cherchez une maison à louer à Gockhausen? ✅ Découvrez nos nombreuses annonces sur ImmoScout24.ch.</t>
  </si>
  <si>
    <t>https://www.immoscout24.ch/fr/maison/acheter/lieu-salavaux</t>
  </si>
  <si>
    <t>Vendre maison Salavaux: Trouvez le bien immobilier qui correspond idéalement à vos désirs sur ImmoScout24 - La plateforme de l'immobilier en Suisse.</t>
  </si>
  <si>
    <t>🏘  Vous souhaitez acheter une maison à Salavaux? ✅ Jetez un œil aux dernières offres sur ImmoScout24.ch.</t>
  </si>
  <si>
    <t>https://www.immoscout24.ch/fr/maison/louer/lieu-villars-tiercelin</t>
  </si>
  <si>
    <t>Louer maison Villars-Tiercelin: Trouvez le bien immobilier qui correspond idéalement à vos désirs sur ImmoScout24 - La plateforme de l'immobilier en Suisse.</t>
  </si>
  <si>
    <t>🏘  Vous cherchez une maison à louer à Villars-Tiercelin? ✅ Découvrez nos nombreuses annonces sur ImmoScout24.ch.</t>
  </si>
  <si>
    <t>https://www.immoscout24.ch/fr/maison/acheter/canton-zurich</t>
  </si>
  <si>
    <t>Vendre maison Canton de Zurich: Trouvez le bien immobilier qui correspond idéalement à vos désirs sur ImmoScout24 - La plateforme de l'immobilier en Suisse.</t>
  </si>
  <si>
    <t>🏘  Vous souhaitez acheter une maison dans le Canton de Zurich? ✅ Jetez un œil aux dernières offres sur ImmoScout24.ch.</t>
  </si>
  <si>
    <t>https://www.immoscout24.ch/fr/appartement/louer/lieu-aarau</t>
  </si>
  <si>
    <t>Louer appartement Aarau: Trouvez le bien immobilier qui correspond idéalement à vos désirs sur ImmoScout24 - La plateforme de l'immobilier en Suisse.</t>
  </si>
  <si>
    <t>🏘  Vous cherchez un appartement à louer à Aarau? ✅ Les annonces les plus actuelles sont sur ImmoScout24.ch.</t>
  </si>
  <si>
    <t>https://www.immoscout24.ch/fr/maison/acheter/lieu-blignou-ayent</t>
  </si>
  <si>
    <t>Vendre maison Blignou (Ayent): Trouvez le bien immobilier qui correspond idéalement à vos désirs sur ImmoScout24 - La plateforme de l'immobilier en Suisse.</t>
  </si>
  <si>
    <t>🏘  Vous souhaitez acheter une maison à Blignou (Ayent)? ✅ Jetez un œil aux dernières offres sur ImmoScout24.ch.</t>
  </si>
  <si>
    <t>https://www.immoscout24.ch/fr/maison/acheter/lieu-seon</t>
  </si>
  <si>
    <t>Vendre maison Seon: Trouvez le bien immobilier qui correspond idéalement à vos désirs sur ImmoScout24 - La plateforme de l'immobilier en Suisse.</t>
  </si>
  <si>
    <t>🏘  Vous souhaitez acheter une maison à Seon? ✅ Jetez un œil aux dernières offres sur ImmoScout24.ch.</t>
  </si>
  <si>
    <t>https://www.immoscout24.ch/fr/appartement/acheter/lieu-studen-be</t>
  </si>
  <si>
    <t>Vendre appartement Studen BE: Trouvez le bien immobilier qui correspond idéalement à vos désirs sur ImmoScout24 - La plateforme de l'immobilier en Suisse.</t>
  </si>
  <si>
    <t>🏘  L’appartement de vos rêves se trouve sur ImmoScout24.ch ✅ Découvrez les dernières annonces de vente à Studen BE.</t>
  </si>
  <si>
    <t>https://www.immoscout24.ch/fr/maison/louer/lieu-evilard</t>
  </si>
  <si>
    <t>Louer maison Evilard: Trouvez le bien immobilier qui correspond idéalement à vos désirs sur ImmoScout24 - La plateforme de l'immobilier en Suisse.</t>
  </si>
  <si>
    <t>🏘  Vous cherchez une maison à louer à Evilard? ✅ Découvrez nos nombreuses annonces sur ImmoScout24.ch.</t>
  </si>
  <si>
    <t>https://www.immoscout24.ch/fr/appartement/acheter/lieu-aubonne</t>
  </si>
  <si>
    <t>Vendre appartement Aubonne: Trouvez le bien immobilier qui correspond idéalement à vos désirs sur ImmoScout24 - La plateforme de l'immobilier en Suisse.</t>
  </si>
  <si>
    <t>🏘  L’appartement de vos rêves se trouve sur ImmoScout24.ch ✅ Découvrez les dernières annonces de vente à Aubonne.</t>
  </si>
  <si>
    <t>https://www.immoscout24.ch/fr/appartement/louer/lieu-orzens</t>
  </si>
  <si>
    <t>Louer appartement Orzens: Trouvez le bien immobilier qui correspond idéalement à vos désirs sur ImmoScout24 - La plateforme de l'immobilier en Suisse.</t>
  </si>
  <si>
    <t>🏘  Vous cherchez un appartement à louer à Orzens? ✅ Les annonces les plus actuelles sont sur ImmoScout24.ch.</t>
  </si>
  <si>
    <t>https://www.immoscout24.ch/fr/appartement/louer/lieu-niederhasli</t>
  </si>
  <si>
    <t>Louer appartement Niederhasli: Trouvez le bien immobilier qui correspond idéalement à vos désirs sur ImmoScout24 - La plateforme de l'immobilier en Suisse.</t>
  </si>
  <si>
    <t>🏘  Vous cherchez un appartement à louer à Niederhasli? ✅ Les annonces les plus actuelles sont sur ImmoScout24.ch.</t>
  </si>
  <si>
    <t>https://www.immoscout24.ch/fr/maison/acheter/lieu-steckborn</t>
  </si>
  <si>
    <t>Vendre maison Steckborn: Trouvez le bien immobilier qui correspond idéalement à vos désirs sur ImmoScout24 - La plateforme de l'immobilier en Suisse.</t>
  </si>
  <si>
    <t>🏘  Vous souhaitez acheter une maison à Steckborn? ✅ Jetez un œil aux dernières offres sur ImmoScout24.ch.</t>
  </si>
  <si>
    <t>https://www.immoscout24.ch/fr/appartement/acheter/lieu-montmollin</t>
  </si>
  <si>
    <t>Vendre appartement Montmollin: Trouvez le bien immobilier qui correspond idéalement à vos désirs sur ImmoScout24 - La plateforme de l'immobilier en Suisse.</t>
  </si>
  <si>
    <t>🏘  L’appartement de vos rêves se trouve sur ImmoScout24.ch ✅ Découvrez les dernières annonces de vente à Montmollin.</t>
  </si>
  <si>
    <t>https://www.immoscout24.ch/fr/appartement/louer/lieu-vernayaz</t>
  </si>
  <si>
    <t>Louer appartement Vernayaz: Trouvez le bien immobilier qui correspond idéalement à vos désirs sur ImmoScout24 - La plateforme de l'immobilier en Suisse.</t>
  </si>
  <si>
    <t>🏘  Vous cherchez un appartement à louer à Vernayaz? ✅ Les annonces les plus actuelles sont sur ImmoScout24.ch.</t>
  </si>
  <si>
    <t>https://www.immoscout24.ch/fr/appartement/louer/lieu-greifensee</t>
  </si>
  <si>
    <t>Louer appartement Greifensee: Trouvez le bien immobilier qui correspond idéalement à vos désirs sur ImmoScout24 - La plateforme de l'immobilier en Suisse.</t>
  </si>
  <si>
    <t>🏘  Vous cherchez un appartement à louer à Greifensee? ✅ Les annonces les plus actuelles sont sur ImmoScout24.ch.</t>
  </si>
  <si>
    <t>https://www.immoscout24.ch/fr/maison/acheter/quartier-langensand-matthof-lucerne</t>
  </si>
  <si>
    <t>Vendre maison Langensand - Matthof (Lucerne): Trouvez le bien immobilier qui correspond idéalement à vos désirs sur ImmoScout24 - La plateforme de l'immobilier en Suisse.</t>
  </si>
  <si>
    <t>🏘  Vous souhaitez acheter une maison à Langensand - Matthof (Lucerne)? ✅ Jetez un œil aux dernières offres sur ImmoScout24.ch.</t>
  </si>
  <si>
    <t>https://www.immoscout24.ch/fr/maison/acheter/region-fribourg-glane</t>
  </si>
  <si>
    <t>Vendre maison Fribourg Glane: Trouvez le bien immobilier qui correspond idéalement à vos désirs sur ImmoScout24 - La plateforme de l'immobilier en Suisse.</t>
  </si>
  <si>
    <t>🏘  Vous souhaitez acheter une maison dans le district de la Glâne? ✅ Jetez un œil aux dernières offres sur ImmoScout24.ch.</t>
  </si>
  <si>
    <t>https://www.immoscout24.ch/fr/maison/louer/lieu-lonay</t>
  </si>
  <si>
    <t>Louer maison Lonay: Trouvez le bien immobilier qui correspond idéalement à vos désirs sur ImmoScout24 - La plateforme de l'immobilier en Suisse.</t>
  </si>
  <si>
    <t>🏘  Vous cherchez une maison à louer à Lonay? ✅ Découvrez nos nombreuses annonces sur ImmoScout24.ch.</t>
  </si>
  <si>
    <t>https://www.immoscout24.ch/fr/appartement/acheter/lieu-founex</t>
  </si>
  <si>
    <t>Vendre appartement Founex: Trouvez le bien immobilier qui correspond idéalement à vos désirs sur ImmoScout24 - La plateforme de l'immobilier en Suisse.</t>
  </si>
  <si>
    <t>🏘  L’appartement de vos rêves se trouve sur ImmoScout24.ch ✅ Découvrez les dernières annonces de vente à Founex.</t>
  </si>
  <si>
    <t>https://www.immoscout24.ch/fr/appartement/acheter/lieu-donneloye</t>
  </si>
  <si>
    <t>Vendre appartement Donneloye: Trouvez le bien immobilier qui correspond idéalement à vos désirs sur ImmoScout24 - La plateforme de l'immobilier en Suisse.</t>
  </si>
  <si>
    <t>🏘  L’appartement de vos rêves se trouve sur ImmoScout24.ch ✅ Découvrez les dernières annonces de vente à Donneloye.</t>
  </si>
  <si>
    <t>https://www.immoscout24.ch/fr/appartement/louer/lieu-oberentfelden</t>
  </si>
  <si>
    <t>Louer appartement Oberentfelden: Trouvez le bien immobilier qui correspond idéalement à vos désirs sur ImmoScout24 - La plateforme de l'immobilier en Suisse.</t>
  </si>
  <si>
    <t>🏘  Vous cherchez un appartement à louer à Oberentfelden? ✅ Les annonces les plus actuelles sont sur ImmoScout24.ch.</t>
  </si>
  <si>
    <t>https://www.immoscout24.ch/fr/maison/acheter/lieu-champlan-grimisuat</t>
  </si>
  <si>
    <t>Vendre maison Champlan (Grimisuat): Trouvez le bien immobilier qui correspond idéalement à vos désirs sur ImmoScout24 - La plateforme de l'immobilier en Suisse.</t>
  </si>
  <si>
    <t>🏘  Vous souhaitez acheter une maison à Champlan (Grimisuat)? ✅ Jetez un œil aux dernières offres sur ImmoScout24.ch.</t>
  </si>
  <si>
    <t>https://www.immoscout24.ch/fr/maison/acheter/lieu-schoenried</t>
  </si>
  <si>
    <t>Vendre maison Schönried: Trouvez le bien immobilier qui correspond idéalement à vos désirs sur ImmoScout24 - La plateforme de l'immobilier en Suisse.</t>
  </si>
  <si>
    <t>🏘  Vous souhaitez acheter une maison à Schönried? ✅ Jetez un œil aux dernières offres sur ImmoScout24.ch.</t>
  </si>
  <si>
    <t>https://www.immoscout24.ch/fr/maison/acheter/lieu-savognin</t>
  </si>
  <si>
    <t>Vendre maison Savognin: Trouvez le bien immobilier qui correspond idéalement à vos désirs sur ImmoScout24 - La plateforme de l'immobilier en Suisse.</t>
  </si>
  <si>
    <t>🏘  Vous souhaitez acheter une maison à Savognin? ✅ Jetez un œil aux dernières offres sur ImmoScout24.ch.</t>
  </si>
  <si>
    <t>https://www.immoscout24.ch/fr/appartement/acheter/quartier-madretsch-nord-biel-bienne</t>
  </si>
  <si>
    <t>Vendre appartement Madretsch Nord (Biel/Bienne):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</si>
  <si>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Madretsch Nord (Biel/Bienne).</t>
  </si>
  <si>
    <t>https://www.immoscout24.ch/fr/appartement/acheter/lieu-adelboden</t>
  </si>
  <si>
    <t>Vendre appartement Adelboden: Trouvez le bien immobilier qui correspond idéalement à vos désirs sur ImmoScout24 - La plateforme de l'immobilier en Suisse.</t>
  </si>
  <si>
    <t>🏘  L’appartement de vos rêves se trouve sur ImmoScout24.ch ✅ Découvrez les dernières annonces de vente à Adelboden.</t>
  </si>
  <si>
    <t>https://www.immoscout24.ch/fr/maison/acheter/lieu-unterbaech-vs</t>
  </si>
  <si>
    <t>Vendre maison Unterbäch VS: Trouvez le bien immobilier qui correspond idéalement à vos désirs sur ImmoScout24 - La plateforme de l'immobilier en Suisse.</t>
  </si>
  <si>
    <t>🏘  Vous souhaitez acheter une maison à Unterbäch VS? ✅ Jetez un œil aux dernières offres sur ImmoScout24.ch.</t>
  </si>
  <si>
    <t>https://www.immoscout24.ch/fr/appartement/louer/lieu-porrentruy</t>
  </si>
  <si>
    <t>Louer appartement Porrentruy: Trouvez le bien immobilier qui correspond idéalement à vos désirs sur ImmoScout24 - La plateforme de l'immobilier en Suisse.</t>
  </si>
  <si>
    <t>🏘  Vous cherchez un appartement à louer à Porrentruy? ✅ Les annonces les plus actuelles sont sur ImmoScout24.ch.</t>
  </si>
  <si>
    <t>https://www.immoscout24.ch/fr/maison/acheter/region-guerbetal-voralpen</t>
  </si>
  <si>
    <t>Vendre maison Gürbetal - Voralpen: Trouvez le bien immobilier qui correspond idéalement à vos désirs sur ImmoScout24 - La plateforme de l'immobilier en Suisse.</t>
  </si>
  <si>
    <t>🏘  Vous souhaitez acheter une maison à Gürbetal - Voralpen? ✅ Jetez un œil aux dernières offres sur ImmoScout24.ch.</t>
  </si>
  <si>
    <t>https://www.immoscout24.ch/fr/appartement/acheter/lieu-chambrelien</t>
  </si>
  <si>
    <t>Vendre appartement Chambrelien: Trouvez le bien immobilier qui correspond idéalement à vos désirs sur ImmoScout24 - La plateforme de l'immobilier en Suisse.</t>
  </si>
  <si>
    <t>🏘  L’appartement de vos rêves se trouve sur ImmoScout24.ch ✅ Découvrez les dernières annonces de vente à Chambrelien.</t>
  </si>
  <si>
    <t>https://www.immoscout24.ch/fr/appartement/acheter/lieu-muensingen</t>
  </si>
  <si>
    <t>Vendre appartement Münsingen: Trouvez le bien immobilier qui correspond idéalement à vos désirs sur ImmoScout24 - La plateforme de l'immobilier en Suisse.</t>
  </si>
  <si>
    <t>🏘  L’appartement de vos rêves se trouve sur ImmoScout24.ch ✅ Découvrez les dernières annonces de vente à Münsingen.</t>
  </si>
  <si>
    <t>https://www.immoscout24.ch/fr/maison/acheter/lieu-moerel</t>
  </si>
  <si>
    <t>Vendre maison Mörel: Trouvez le bien immobilier qui correspond idéalement à vos désirs sur ImmoScout24 - La plateforme de l'immobilier en Suisse.</t>
  </si>
  <si>
    <t>🏘  Vous souhaitez acheter une maison à Mörel? ✅ Jetez un œil aux dernières offres sur ImmoScout24.ch.</t>
  </si>
  <si>
    <t>https://www.immoscout24.ch/fr/maison/acheter/lieu-les-avants</t>
  </si>
  <si>
    <t>Vendre maison Les Avants: Trouvez le bien immobilier qui correspond idéalement à vos désirs sur ImmoScout24 - La plateforme de l'immobilier en Suisse.</t>
  </si>
  <si>
    <t>🏘  Vous souhaitez acheter une maison aux Avants? ✅ Jetez un œil aux dernières offres sur ImmoScout24.ch.</t>
  </si>
  <si>
    <t>https://www.immoscout24.ch/fr/appartement/acheter/region-yverdon-grandson</t>
  </si>
  <si>
    <t>Vendre appartement Yverdon - Grandson: Trouvez le bien immobilier qui correspond idéalement à vos désirs sur ImmoScout24 - La plateforme de l'immobilier en Suisse.</t>
  </si>
  <si>
    <t>🏘  L’appartement de vos rêves se trouve sur ImmoScout24.ch ✅ Découvrez les dernières annonces de vente dans la région d'Yverdon - Grandson.</t>
  </si>
  <si>
    <t>https://www.immoscout24.ch/fr/appartement/louer/lieu-les-giettes</t>
  </si>
  <si>
    <t>Louer appartement Les Giettes: Trouvez le bien immobilier qui correspond idéalement à vos désirs sur ImmoScout24 - La plateforme de l'immobilier en Suisse.</t>
  </si>
  <si>
    <t>🏘  Vous cherchez un appartement à louer aux Giettes? ✅ Les annonces les plus actuelles sont sur ImmoScout24.ch.</t>
  </si>
  <si>
    <t>https://www.immoscout24.ch/fr/appartement/louer/quartier-rosenberg-winterthur</t>
  </si>
  <si>
    <t>Louer appartement Rosenberg (Winterthur): Trouvez le bien immobilier qui correspond idéalement à vos désirs sur ImmoScout24 - La plateforme de l'immobilier en Suisse.</t>
  </si>
  <si>
    <t>🏘  Vous cherchez un appartement à louer dans le quartier de Rosenberg (Winterthur)? ✅ Les annonces les plus actuelles sont sur ImmoScout24.ch.</t>
  </si>
  <si>
    <t>https://www.immoscout24.ch/fr/appartement/louer/lieu-moehlin</t>
  </si>
  <si>
    <t>Louer appartement Möhlin: Trouvez le bien immobilier qui correspond idéalement à vos désirs sur ImmoScout24 - La plateforme de l'immobilier en Suisse.</t>
  </si>
  <si>
    <t>🏘  Vous cherchez un appartement à louer à Möhlin? ✅ Les annonces les plus actuelles sont sur ImmoScout24.ch.</t>
  </si>
  <si>
    <t>https://www.immoscout24.ch/fr/maison/acheter/lieu-morges</t>
  </si>
  <si>
    <t>Vendre maison Morges: Trouvez le bien immobilier qui correspond idéalement à vos désirs sur ImmoScout24 - La plateforme de l'immobilier en Suisse.</t>
  </si>
  <si>
    <t>🏘  Vous souhaitez acheter une maison à Morges? ✅ Jetez un œil aux dernières offres sur ImmoScout24.ch.</t>
  </si>
  <si>
    <t>https://www.immoscout24.ch/fr/maison/louer/lieu-mathod</t>
  </si>
  <si>
    <t>Louer maison Mathod: Trouvez le bien immobilier qui correspond idéalement à vos désirs sur ImmoScout24 - La plateforme de l'immobilier en Suisse.</t>
  </si>
  <si>
    <t>🏘  Vous cherchez une maison à louer à Mathod? ✅ Découvrez nos nombreuses annonces sur ImmoScout24.ch.</t>
  </si>
  <si>
    <t>https://www.immoscout24.ch/fr/appartement/louer/lieu-les-brenets</t>
  </si>
  <si>
    <t>Louer appartement Les Brenets: Trouvez le bien immobilier qui correspond idéalement à vos désirs sur ImmoScout24 - La plateforme de l'immobilier en Suisse.</t>
  </si>
  <si>
    <t>🏘  Vous cherchez un appartement à louer aux Brenets? ✅ Les annonces les plus actuelles sont sur ImmoScout24.ch.</t>
  </si>
  <si>
    <t>https://www.immoscout24.ch/fr/maison/acheter/lieu-bursins</t>
  </si>
  <si>
    <t>Vendre maison Bursins: Trouvez le bien immobilier qui correspond idéalement à vos désirs sur ImmoScout24 - La plateforme de l'immobilier en Suisse.</t>
  </si>
  <si>
    <t>🏘  Vous souhaitez acheter une maison à Bursins? ✅ Jetez un œil aux dernières offres sur ImmoScout24.ch.</t>
  </si>
  <si>
    <t>https://www.immoscout24.ch/fr/maison/louer/lieu-satigny</t>
  </si>
  <si>
    <t>Louer maison Satigny: Trouvez le bien immobilier qui correspond idéalement à vos désirs sur ImmoScout24 - La plateforme de l'immobilier en Suisse.</t>
  </si>
  <si>
    <t>🏘  Vous cherchez une maison à louer à Satigny? ✅ Découvrez nos nombreuses annonces sur ImmoScout24.ch.</t>
  </si>
  <si>
    <t>https://www.immoscout24.ch/fr/maison/acheter/lieu-lengnau-be</t>
  </si>
  <si>
    <t>Vendre maison Lengnau BE: Trouvez le bien immobilier qui correspond idéalement à vos désirs sur ImmoScout24 - La plateforme de l'immobilier en Suisse.</t>
  </si>
  <si>
    <t>🏘  Vous souhaitez acheter une maison aungnau BE? ✅ Jetez un œil aux dernières offres sur ImmoScout24.ch.</t>
  </si>
  <si>
    <t>https://www.immoscout24.ch/fr/maison/louer/lieu-ste-croix</t>
  </si>
  <si>
    <t>Louer maison Ste-Croix: Trouvez le bien immobilier qui correspond idéalement à vos désirs sur ImmoScout24 - La plateforme de l'immobilier en Suisse.</t>
  </si>
  <si>
    <t>🏘  Vous cherchez une maison à louer à Ste-Croix? ✅ Découvrez nos nombreuses annonces sur ImmoScout24.ch.</t>
  </si>
  <si>
    <t>https://www.immoscout24.ch/fr/appartement/acheter/lieu-adlikon-b-regensdorf</t>
  </si>
  <si>
    <t>Vendre appartement Adlikon b. Regensdorf: Trouvez le bien immobilier qui correspond idéalement à vos désirs sur ImmoScout24 - La plateforme de l'immobilier en Suisse.</t>
  </si>
  <si>
    <t>🏘  L’appartement de vos rêves se trouve sur ImmoScout24.ch ✅ Découvrez les dernières annonces de vente à Adlikon b. Regensdorf.</t>
  </si>
  <si>
    <t>https://www.immoscout24.ch/fr/maison/louer/region-val-de-travers</t>
  </si>
  <si>
    <t>Louer maison Val de Travers: Trouvez le bien immobilier qui correspond idéalement à vos désirs sur ImmoScout24 - La plateforme de l'immobilier en Suisse.</t>
  </si>
  <si>
    <t>🏘  Vous cherchez une maison à louer dans le Val-de-Travers? ✅ Découvrez nos nombreuses annonces sur ImmoScout24.ch.</t>
  </si>
  <si>
    <t>https://www.immoscout24.ch/fr/maison/acheter/lieu-villeneuve-vd</t>
  </si>
  <si>
    <t>Vendre maison Villeneuve VD: Trouvez le bien immobilier qui correspond idéalement à vos désirs sur ImmoScout24 - La plateforme de l'immobilier en Suisse.</t>
  </si>
  <si>
    <t>🏘  Vous souhaitez acheter une maison à Villeneuve VD? ✅ Jetez un œil aux dernières offres sur ImmoScout24.ch.</t>
  </si>
  <si>
    <t>https://www.immoscout24.ch/fr/appartement/louer/lieu-coeuve</t>
  </si>
  <si>
    <t>Louer appartement Coeuve: Trouvez le bien immobilier qui correspond idéalement à vos désirs sur ImmoScout24 - La plateforme de l'immobilier en Suisse.</t>
  </si>
  <si>
    <t>🏘  Vous cherchez un appartement à louer à Coeuve? ✅ Les annonces les plus actuelles sont sur ImmoScout24.ch.</t>
  </si>
  <si>
    <t>https://www.immoscout24.ch/fr/appartement/louer/quartier-places-fribourg</t>
  </si>
  <si>
    <t>Louer appartement Places (Fribourg): Trouvez le bien immobilier qui correspond idéalement à vos désirs sur ImmoScout24 - La plateforme de l'immobilier en Suisse.</t>
  </si>
  <si>
    <t>🏘  Vous cherchez un appartement à louer dans le quartier des Places (Fribourg)? ✅ Les annonces les plus actuelles sont sur ImmoScout24.ch.</t>
  </si>
  <si>
    <t>https://www.immoscout24.ch/fr/appartement/louer/lieu-goldau</t>
  </si>
  <si>
    <t>Louer appartement Goldau: Trouvez le bien immobilier qui correspond idéalement à vos désirs sur ImmoScout24 - La plateforme de l'immobilier en Suisse.</t>
  </si>
  <si>
    <t>🏘  Vous cherchez un appartement à louer à Goldau? ✅ Les annonces les plus actuelles sont sur ImmoScout24.ch.</t>
  </si>
  <si>
    <t>https://www.immoscout24.ch/fr/maison/acheter/lieu-magliaso</t>
  </si>
  <si>
    <t>Vendre maison Magliaso: Trouvez le bien immobilier qui correspond idéalement à vos désirs sur ImmoScout24 - La plateforme de l'immobilier en Suisse.</t>
  </si>
  <si>
    <t>🏘  Vous souhaitez acheter une maison à Magliaso? ✅ Jetez un œil aux dernières offres sur ImmoScout24.ch.</t>
  </si>
  <si>
    <t>https://www.immoscout24.ch/fr/appartement/louer/quartier-centre-neuchatel</t>
  </si>
  <si>
    <t>Louer appartement Centre (Neuchâtel): Trouvez le bien immobilier qui correspond idéalement à vos désirs sur ImmoScout24 - La plateforme de l'immobilier en Suisse.</t>
  </si>
  <si>
    <t>🏘  Vous cherchez un appartement à louer dans le Centre de Neuchâtel? ✅ Les annonces les plus actuelles sont sur ImmoScout24.ch.</t>
  </si>
  <si>
    <t>https://www.immoscout24.ch/fr/appartement/louer/lieu-arbon</t>
  </si>
  <si>
    <t>Louer appartement Arbon: Trouvez le bien immobilier qui correspond idéalement à vos désirs sur ImmoScout24 - La plateforme de l'immobilier en Suisse.</t>
  </si>
  <si>
    <t>🏘  Vous cherchez un appartement à louer à Arbon? ✅ Les annonces les plus actuelles sont sur ImmoScout24.ch.</t>
  </si>
  <si>
    <t>https://www.immoscout24.ch/fr/appartement/louer/lieu-oberwil-b-bueren</t>
  </si>
  <si>
    <t>Louer appartement Oberwil b. Büren: Trouvez le bien immobilier qui correspond idéalement à vos désirs sur ImmoScout24 - La plateforme de l'immobilier en Suisse.</t>
  </si>
  <si>
    <t>🏘  Vous cherchez un appartement à louer à Oberwil b. Büren? ✅ Les annonces les plus actuelles sont sur ImmoScout24.ch.</t>
  </si>
  <si>
    <t>https://www.immoscout24.ch/fr/appartement/louer/lieu-mels</t>
  </si>
  <si>
    <t>Louer appartement Mels: Trouvez le bien immobilier qui correspond idéalement à vos désirs sur ImmoScout24 - La plateforme de l'immobilier en Suisse.</t>
  </si>
  <si>
    <t>🏘  Vous cherchez un appartement à louer à Mels? ✅ Les annonces les plus actuelles sont sur ImmoScout24.ch.</t>
  </si>
  <si>
    <t>https://www.immoscout24.ch/fr/appartement/louer/lieu-geneve-15-aeroport</t>
  </si>
  <si>
    <t>Louer appartement Genève 15 Aéroport: Trouvez le bien immobilier qui correspond idéalement à vos désirs sur ImmoScout24 - La plateforme de l'immobilier en Suisse.</t>
  </si>
  <si>
    <t>🏘  Vous cherchez un appartement à louer à Genève 15 Aéroport? ✅ Les annonces les plus actuelles sont sur ImmoScout24.ch.</t>
  </si>
  <si>
    <t>https://www.immoscout24.ch/fr/maison/acheter/lieu-fiez</t>
  </si>
  <si>
    <t>Vendre maison Fiez: Trouvez le bien immobilier qui correspond idéalement à vos désirs sur ImmoScout24 - La plateforme de l'immobilier en Suisse.</t>
  </si>
  <si>
    <t>🏘  Vous souhaitez acheter une maison à Fiez? ✅ Jetez un œil aux dernières offres sur ImmoScout24.ch.</t>
  </si>
  <si>
    <t>https://www.immoscout24.ch/fr/appartement/louer/region-aarau-et-environs</t>
  </si>
  <si>
    <t>Louer appartement Aarau et environs: Trouvez le bien immobilier qui correspond idéalement à vos désirs sur ImmoScout24 - La plateforme de l'immobilier en Suisse.</t>
  </si>
  <si>
    <t>🏘  Vous cherchez un appartement à louer à Aarau et environs? ✅ Les annonces les plus actuelles sont sur ImmoScout24.ch.</t>
  </si>
  <si>
    <t>https://www.immoscout24.ch/fr/appartement/louer/lieu-mumpf</t>
  </si>
  <si>
    <t>Louer appartement Mumpf: Trouvez le bien immobilier qui correspond idéalement à vos désirs sur ImmoScout24 - La plateforme de l'immobilier en Suisse.</t>
  </si>
  <si>
    <t>🏘  Vous cherchez un appartement à louer à Mumpf? ✅ Les annonces les plus actuelles sont sur ImmoScout24.ch.</t>
  </si>
  <si>
    <t>https://www.immoscout24.ch/fr/appartement/louer/lieu-assens</t>
  </si>
  <si>
    <t>Louer appartement Assens: Trouvez le bien immobilier qui correspond idéalement à vos désirs sur ImmoScout24 - La plateforme de l'immobilier en Suisse.</t>
  </si>
  <si>
    <t>🏘  Vous cherchez un appartement à louer à Assens? ✅ Les annonces les plus actuelles sont sur ImmoScout24.ch.</t>
  </si>
  <si>
    <t>https://www.immoscout24.ch/fr/appartement/louer/lieu-ponthaux</t>
  </si>
  <si>
    <t>Louer appartement Ponthaux: Trouvez le bien immobilier qui correspond idéalement à vos désirs sur ImmoScout24 - La plateforme de l'immobilier en Suisse.</t>
  </si>
  <si>
    <t>🏘  Vous cherchez un appartement à louer à Ponthaux? ✅ Les annonces les plus actuelles sont sur ImmoScout24.ch.</t>
  </si>
  <si>
    <t>https://www.immoscout24.ch/fr/maison/acheter/lieu-la-chaux-du-milieu</t>
  </si>
  <si>
    <t>Vendre maison La Chaux-du-Milieu: Trouvez le bien immobilier qui correspond idéalement à vos désirs sur ImmoScout24 - La plateforme de l'immobilier en Suisse.</t>
  </si>
  <si>
    <t>🏘  Vous souhaitez acheter une maison à La Chaux-du-Milieu? ✅ Jetez un œil aux dernières offres sur ImmoScout24.ch.</t>
  </si>
  <si>
    <t>https://www.immoscout24.ch/fr/appartement/louer/lieu-les-evouettes</t>
  </si>
  <si>
    <t>Louer appartement Les Evouettes: Trouvez le bien immobilier qui correspond idéalement à vos désirs sur ImmoScout24 - La plateforme de l'immobilier en Suisse.</t>
  </si>
  <si>
    <t>🏘  Vous cherchez un appartement à louer aux Evouettes? ✅ Les annonces les plus actuelles sont sur ImmoScout24.ch.</t>
  </si>
  <si>
    <t>https://www.immoscout24.ch/fr/maison/acheter/lieu-chalais</t>
  </si>
  <si>
    <t>Vendre maison Chalais: Trouvez le bien immobilier qui correspond idéalement à vos désirs sur ImmoScout24 - La plateforme de l'immobilier en Suisse.</t>
  </si>
  <si>
    <t>🏘  Vous souhaitez acheter une maison à Chalais? ✅ Jetez un œil aux dernières offres sur ImmoScout24.ch.</t>
  </si>
  <si>
    <t>https://www.immoscout24.ch/fr/maison/louer/lieu-zuerich</t>
  </si>
  <si>
    <t>Louer maison Zürich: Trouvez le bien immobilier qui correspond idéalement à vos désirs sur ImmoScout24 - La plateforme de l'immobilier en Suisse.</t>
  </si>
  <si>
    <t>🏘  Vous cherchez une maison à louer à Zürich? ✅ Découvrez nos nombreuses annonces sur ImmoScout24.ch.</t>
  </si>
  <si>
    <t>https://www.immoscout24.ch/fr/maison/louer/lieu-eisten</t>
  </si>
  <si>
    <t>Louer maison Eisten: Trouvez le bien immobilier qui correspond idéalement à vos désirs sur ImmoScout24 - La plateforme de l'immobilier en Suisse.</t>
  </si>
  <si>
    <t>🏘  Vous cherchez une maison à louer à Eisten? ✅ Découvrez nos nombreuses annonces sur ImmoScout24.ch.</t>
  </si>
  <si>
    <t>https://www.immoscout24.ch/fr/appartement/louer/lieu-altstaetten-sg</t>
  </si>
  <si>
    <t>Louer appartement Altstätten SG: Trouvez le bien immobilier qui correspond idéalement à vos désirs sur ImmoScout24 - La plateforme de l'immobilier en Suisse.</t>
  </si>
  <si>
    <t>🏘  Vous cherchez un appartement à louer à Altstätten SG? ✅ Les annonces les plus actuelles sont sur ImmoScout24.ch.</t>
  </si>
  <si>
    <t>https://www.immoscout24.ch/fr/maison/acheter/lieu-bern</t>
  </si>
  <si>
    <t>Vendre maison Bern: Trouvez le bien immobilier qui correspond idéalement à vos désirs sur ImmoScout24 - La plateforme de l'immobilier en Suisse.</t>
  </si>
  <si>
    <t>🏘  Vous souhaitez acheter une maison à Bern? ✅ Jetez un œil aux dernières offres sur ImmoScout24.ch.</t>
  </si>
  <si>
    <t>https://www.immoscout24.ch/fr/maison/acheter/lieu-varen</t>
  </si>
  <si>
    <t>Vendre maison Varen: Trouvez le bien immobilier qui correspond idéalement à vos désirs sur ImmoScout24 - La plateforme de l'immobilier en Suisse.</t>
  </si>
  <si>
    <t>🏘  Vous souhaitez acheter une maison à Varen? ✅ Jetez un œil aux dernières offres sur ImmoScout24.ch.</t>
  </si>
  <si>
    <t>https://www.immoscout24.ch/fr/appartement/acheter/lieu-dottikon</t>
  </si>
  <si>
    <t>Vendre appartement Dottikon: Trouvez le bien immobilier qui correspond idéalement à vos désirs sur ImmoScout24 - La plateforme de l'immobilier en Suisse.</t>
  </si>
  <si>
    <t>🏘  L’appartement de vos rêves se trouve sur ImmoScout24.ch ✅ Découvrez les dernières annonces de vente à Dottikon.</t>
  </si>
  <si>
    <t>https://www.immoscout24.ch/fr/maison/acheter/lieu-renan-be</t>
  </si>
  <si>
    <t>Vendre maison Renan BE: Trouvez le bien immobilier qui correspond idéalement à vos désirs sur ImmoScout24 - La plateforme de l'immobilier en Suisse.</t>
  </si>
  <si>
    <t>🏘  Vous souhaitez acheter une maison à Renan BE? ✅ Jetez un œil aux dernières offres sur ImmoScout24.ch.</t>
  </si>
  <si>
    <t>https://www.immoscout24.ch/fr/appartement/acheter/lieu-villars-tiercelin</t>
  </si>
  <si>
    <t>Vendre appartement Villars-Tiercelin: Trouvez le bien immobilier qui correspond idéalement à vos désirs sur ImmoScout24 - La plateforme de l'immobilier en Suisse.</t>
  </si>
  <si>
    <t>🏘  L’appartement de vos rêves se trouve sur ImmoScout24.ch ✅ Découvrez les dernières annonces de vente à Villars-Tiercelin.</t>
  </si>
  <si>
    <t>https://www.immoscout24.ch/fr/appartement/louer/lieu-rickenbach-b-schwyz</t>
  </si>
  <si>
    <t>Louer appartement Rickenbach b. Schwyz: Trouvez le bien immobilier qui correspond idéalement à vos désirs sur ImmoScout24 - La plateforme de l'immobilier en Suisse.</t>
  </si>
  <si>
    <t>🏘  Vous cherchez un appartement à louer à Rickenbach b. Schwyz? ✅ Les annonces les plus actuelles sont sur ImmoScout24.ch.</t>
  </si>
  <si>
    <t>https://www.immoscout24.ch/fr/appartement/louer/lieu-cournillens</t>
  </si>
  <si>
    <t>Louer appartement Cournillens: Trouvez le bien immobilier qui correspond idéalement à vos désirs sur ImmoScout24 - La plateforme de l'immobilier en Suisse.</t>
  </si>
  <si>
    <t>🏘  Vous cherchez un appartement à louer à Cournillens? ✅ Les annonces les plus actuelles sont sur ImmoScout24.ch.</t>
  </si>
  <si>
    <t>https://www.immoscout24.ch/fr/appartement/louer/lieu-sarnen</t>
  </si>
  <si>
    <t>Louer appartement Sarnen: Trouvez le bien immobilier qui correspond idéalement à vos désirs sur ImmoScout24 - La plateforme de l'immobilier en Suisse.</t>
  </si>
  <si>
    <t>🏘  Vous cherchez un appartement à louer à Sarnen? ✅ Les annonces les plus actuelles sont sur ImmoScout24.ch.</t>
  </si>
  <si>
    <t>https://www.immoscout24.ch/fr/appartement/acheter/lieu-dompierre-fr</t>
  </si>
  <si>
    <t>Vendre appartement Dompierre FR: Trouvez le bien immobilier qui correspond idéalement à vos désirs sur ImmoScout24 - La plateforme de l'immobilier en Suisse.</t>
  </si>
  <si>
    <t>🏘  L’appartement de vos rêves se trouve sur ImmoScout24.ch ✅ Découvrez les dernières annonces de vente à Dompierre FR.</t>
  </si>
  <si>
    <t>https://www.immoscout24.ch/fr/appartement/louer/lieu-suchy</t>
  </si>
  <si>
    <t>Louer appartement Suchy: Trouvez le bien immobilier qui correspond idéalement à vos désirs sur ImmoScout24 - La plateforme de l'immobilier en Suisse.</t>
  </si>
  <si>
    <t>🏘  Vous cherchez un appartement à louer à Suchy? ✅ Les annonces les plus actuelles sont sur ImmoScout24.ch.</t>
  </si>
  <si>
    <t>https://www.immoscout24.ch/fr/appartement/louer/lieu-gorduno</t>
  </si>
  <si>
    <t>Louer appartement Gorduno: Trouvez le bien immobilier qui correspond idéalement à vos désirs sur ImmoScout24 - La plateforme de l'immobilier en Suisse.</t>
  </si>
  <si>
    <t>🏘  Vous cherchez un appartement à louer à Gorduno? ✅ Les annonces les plus actuelles sont sur ImmoScout24.ch.</t>
  </si>
  <si>
    <t>https://www.immoscout24.ch/fr/appartement/louer/lieu-vufflens-le-chateau</t>
  </si>
  <si>
    <t>Louer appartement Vufflens-le-Château: Trouvez le bien immobilier qui correspond idéalement à vos désirs sur ImmoScout24 - La plateforme de l'immobilier en Suisse.</t>
  </si>
  <si>
    <t>🏘  Vous cherchez un appartement à louer à Vufflens-le-Château? ✅ Les annonces les plus actuelles sont sur ImmoScout24.ch.</t>
  </si>
  <si>
    <t>https://www.immoscout24.ch/fr/appartement/louer/lieu-corin-de-la-crete</t>
  </si>
  <si>
    <t>Louer appartement Corin-de-la-Crête: Trouvez le bien immobilier qui correspond idéalement à vos désirs sur ImmoScout24 - La plateforme de l'immobilier en Suisse.</t>
  </si>
  <si>
    <t>🏘  Vous cherchez un appartement à louer à Corin-de-la-Crête? ✅ Les annonces les plus actuelles sont sur ImmoScout24.ch.</t>
  </si>
  <si>
    <t>https://www.immoscout24.ch/fr/appartement/acheter/lieu-rheinfelden</t>
  </si>
  <si>
    <t>Vendre appartement Rheinfelden: Trouvez le bien immobilier qui correspond idéalement à vos désirs sur ImmoScout24 - La plateforme de l'immobilier en Suisse.</t>
  </si>
  <si>
    <t>🏘  L’appartement de vos rêves se trouve sur ImmoScout24.ch ✅ Découvrez les dernières annonces de vente à Rheinfelden.</t>
  </si>
  <si>
    <t>https://www.immoscout24.ch/fr/appartement/louer/lieu-horgen</t>
  </si>
  <si>
    <t>Louer appartement Horgen: Trouvez le bien immobilier qui correspond idéalement à vos désirs sur ImmoScout24 - La plateforme de l'immobilier en Suisse.</t>
  </si>
  <si>
    <t>🏘  Vous cherchez un appartement à louer à Horgen? ✅ Les annonces les plus actuelles sont sur ImmoScout24.ch.</t>
  </si>
  <si>
    <t>https://www.immoscout24.ch/fr/appartement/louer/region-frauenfeld-muenchwilen</t>
  </si>
  <si>
    <t>Louer appartement Frauenfeld - Münchwilen: Trouvez le bien immobilier qui correspond idéalement à vos désirs sur ImmoScout24 - La plateforme de l'immobilier en Suisse.</t>
  </si>
  <si>
    <t>🏘  Vous cherchez un appartement à louer dans la région de Frauenfeld - Münchwilen? ✅ Les annonces les plus actuelles sont sur ImmoScout24.ch.</t>
  </si>
  <si>
    <t>https://www.immoscout24.ch/fr/maison/louer/lieu-yvonand</t>
  </si>
  <si>
    <t>Louer maison Yvonand: Trouvez le bien immobilier qui correspond idéalement à vos désirs sur ImmoScout24 - La plateforme de l'immobilier en Suisse.</t>
  </si>
  <si>
    <t>🏘  Vous cherchez une maison à louer à Yvonand? ✅ Découvrez nos nombreuses annonces sur ImmoScout24.ch.</t>
  </si>
  <si>
    <t>https://www.immoscout24.ch/fr/maison/acheter/lieu-neuchatel</t>
  </si>
  <si>
    <t>Vendre maison Neuchâtel: Trouvez le bien immobilier qui correspond idéalement à vos désirs sur ImmoScout24 - La plateforme de l'immobilier en Suisse.</t>
  </si>
  <si>
    <t>🏘  Vous souhaitez acheter une maison à Neuchâtel? ✅ Jetez un œil aux dernières offres sur ImmoScout24.ch.</t>
  </si>
  <si>
    <t>https://www.immoscout24.ch/fr/appartement/acheter/lieu-saas-almagell</t>
  </si>
  <si>
    <t>Vendre appartement Saas-Almagell: Trouvez le bien immobilier qui correspond idéalement à vos désirs sur ImmoScout24 - La plateforme de l'immobilier en Suisse.</t>
  </si>
  <si>
    <t>🏘  L’appartement de vos rêves se trouve sur ImmoScout24.ch ✅ Découvrez les dernières annonces de vente à Saas-Almagell.</t>
  </si>
  <si>
    <t>https://www.immoscout24.ch/fr/appartement/louer/lieu-luterbach</t>
  </si>
  <si>
    <t>Louer appartement Luterbach: Trouvez le bien immobilier qui correspond idéalement à vos désirs sur ImmoScout24 - La plateforme de l'immobilier en Suisse.</t>
  </si>
  <si>
    <t>🏘  Vous cherchez un appartement à louer à Luterbach? ✅ Les annonces les plus actuelles sont sur ImmoScout24.ch.</t>
  </si>
  <si>
    <t>https://www.immoscout24.ch/fr/appartement/louer/lieu-dietlikon</t>
  </si>
  <si>
    <t>Louer appartement Dietlikon: Trouvez le bien immobilier qui correspond idéalement à vos désirs sur ImmoScout24 - La plateforme de l'immobilier en Suisse.</t>
  </si>
  <si>
    <t>🏘  Vous cherchez un appartement à louer à Dietlikon? ✅ Les annonces les plus actuelles sont sur ImmoScout24.ch.</t>
  </si>
  <si>
    <t>https://www.immoscout24.ch/fr/appartement/acheter/lieu-rueschlikon</t>
  </si>
  <si>
    <t>Vendre appartement Rüschlikon: Trouvez le bien immobilier qui correspond idéalement à vos désirs sur ImmoScout24 - La plateforme de l'immobilier en Suisse.</t>
  </si>
  <si>
    <t>🏘  L’appartement de vos rêves se trouve sur ImmoScout24.ch ✅ Découvrez les dernières annonces de vente à Rüschlikon.</t>
  </si>
  <si>
    <t>https://www.immoscout24.ch/fr/maison/acheter/lieu-le-brassus</t>
  </si>
  <si>
    <t>Vendre maison Le Brassus: Trouvez le bien immobilier qui correspond idéalement à vos désirs sur ImmoScout24 - La plateforme de l'immobilier en Suisse.</t>
  </si>
  <si>
    <t>🏘  Vous souhaitez acheter une maison au Brassus? ✅ Jetez un œil aux dernières offres sur ImmoScout24.ch.</t>
  </si>
  <si>
    <t>https://www.immoscout24.ch/fr/appartement/acheter/lieu-ipsach</t>
  </si>
  <si>
    <t>Vendre appartement Ipsach: Trouvez le bien immobilier qui correspond idéalement à vos désirs sur ImmoScout24 - La plateforme de l'immobilier en Suisse.</t>
  </si>
  <si>
    <t>🏘  L’appartement de vos rêves se trouve sur ImmoScout24.ch ✅ Découvrez les dernières annonces de vente à Ipsach.</t>
  </si>
  <si>
    <t>https://www.immoscout24.ch/fr/appartement/louer/lieu-schlieren</t>
  </si>
  <si>
    <t>Louer appartement Schlieren: Trouvez le bien immobilier qui correspond idéalement à vos désirs sur ImmoScout24 - La plateforme de l'immobilier en Suisse.</t>
  </si>
  <si>
    <t>🏘  Vous cherchez un appartement à louer à Schlieren? ✅ Les annonces les plus actuelles sont sur ImmoScout24.ch.</t>
  </si>
  <si>
    <t>https://www.immoscout24.ch/fr/maison/acheter/lieu-uttwil</t>
  </si>
  <si>
    <t>Vendre maison Uttwil: Trouvez le bien immobilier qui correspond idéalement à vos désirs sur ImmoScout24 - La plateforme de l'immobilier en Suisse.</t>
  </si>
  <si>
    <t>🏘  Vous souhaitez acheter une maison à Uttwil? ✅ Jetez un œil aux dernières offres sur ImmoScout24.ch.</t>
  </si>
  <si>
    <t>https://www.immoscout24.ch/fr/appartement/louer/lieu-bogis-bossey</t>
  </si>
  <si>
    <t>Louer appartement Bogis-Bossey: Trouvez le bien immobilier qui correspond idéalement à vos désirs sur ImmoScout24 - La plateforme de l'immobilier en Suisse.</t>
  </si>
  <si>
    <t>🏘  Vous cherchez un appartement à louer à Bogis-Bossey? ✅ Les annonces les plus actuelles sont sur ImmoScout24.ch.</t>
  </si>
  <si>
    <t>https://www.immoscout24.ch/fr/appartement/acheter/lieu-uzwil</t>
  </si>
  <si>
    <t>Vendre appartement Uzwil: Trouvez le bien immobilier qui correspond idéalement à vos désirs sur ImmoScout24 - La plateforme de l'immobilier en Suisse.</t>
  </si>
  <si>
    <t>🏘  L’appartement de vos rêves se trouve sur ImmoScout24.ch ✅ Découvrez les dernières annonces de vente à Uzwil.</t>
  </si>
  <si>
    <t>https://www.immoscout24.ch/fr/maison/louer/lieu-erlinsbach</t>
  </si>
  <si>
    <t>Louer maison Erlinsbach: Trouvez le bien immobilier qui correspond idéalement à vos désirs sur ImmoScout24 - La plateforme de l'immobilier en Suisse.</t>
  </si>
  <si>
    <t>🏘  Vous cherchez une maison à louer à Erlinsbach? ✅ Découvrez nos nombreuses annonces sur ImmoScout24.ch.</t>
  </si>
  <si>
    <t>https://www.immoscout24.ch/fr/appartement/louer/lieu-chatel-st-denis</t>
  </si>
  <si>
    <t>Louer appartement Châtel-St-Denis: Trouvez le bien immobilier qui correspond idéalement à vos désirs sur ImmoScout24 - La plateforme de l'immobilier en Suisse.</t>
  </si>
  <si>
    <t>🏘  Vous cherchez un appartement à louer à Châtel-St-Denis? ✅ Les annonces les plus actuelles sont sur ImmoScout24.ch.</t>
  </si>
  <si>
    <t>https://www.immoscout24.ch/fr/maison/acheter/lieu-kreuzlingen</t>
  </si>
  <si>
    <t>Vendre maison Kreuzlingen: Trouvez le bien immobilier qui correspond idéalement à vos désirs sur ImmoScout24 - La plateforme de l'immobilier en Suisse.</t>
  </si>
  <si>
    <t>🏘  Vous souhaitez acheter une maison à Kreuzlingen? ✅ Jetez un œil aux dernières offres sur ImmoScout24.ch.</t>
  </si>
  <si>
    <t>https://www.immoscout24.ch/fr/appartement/louer/lieu-lengnau-ag</t>
  </si>
  <si>
    <t>Louer appartement Lengnau AG: Trouvez le bien immobilier qui correspond idéalement à vos désirs sur ImmoScout24 - La plateforme de l'immobilier en Suisse.</t>
  </si>
  <si>
    <t>🏘  Vous cherchez un appartement à louer aungnau AG? ✅ Les annonces les plus actuelles sont sur ImmoScout24.ch.</t>
  </si>
  <si>
    <t>https://www.immoscout24.ch/fr/maison/acheter/lieu-cotterd</t>
  </si>
  <si>
    <t>Vendre maison Cotterd: Trouvez le bien immobilier qui correspond idéalement à vos désirs sur ImmoScout24 - La plateforme de l'immobilier en Suisse.</t>
  </si>
  <si>
    <t>🏘  Vous souhaitez acheter une maison à Cotterd? ✅ Jetez un œil aux dernières offres sur ImmoScout24.ch.</t>
  </si>
  <si>
    <t>https://www.immoscout24.ch/fr/appartement/louer/lieu-cormerod</t>
  </si>
  <si>
    <t>Louer appartement Cormérod: Trouvez le bien immobilier qui correspond idéalement à vos désirs sur ImmoScout24 - La plateforme de l'immobilier en Suisse.</t>
  </si>
  <si>
    <t>🏘  Vous cherchez un appartement à louer à Cormérod? ✅ Les annonces les plus actuelles sont sur ImmoScout24.ch.</t>
  </si>
  <si>
    <t>https://www.immoscout24.ch/fr/maison/louer/lieu-alle</t>
  </si>
  <si>
    <t>Louer maison Alle: Trouvez le bien immobilier qui correspond idéalement à vos désirs sur ImmoScout24 - La plateforme de l'immobilier en Suisse.</t>
  </si>
  <si>
    <t>🏘  Vous cherchez une maison à louer à Alle? ✅ Découvrez nos nombreuses annonces sur ImmoScout24.ch.</t>
  </si>
  <si>
    <t>https://www.immoscout24.ch/fr/appartement/louer/lieu-oberschrot</t>
  </si>
  <si>
    <t>Louer appartement Oberschrot: Trouvez le bien immobilier qui correspond idéalement à vos désirs sur ImmoScout24 - La plateforme de l'immobilier en Suisse.</t>
  </si>
  <si>
    <t>🏘  Vous cherchez un appartement à louer à Oberschrot? ✅ Les annonces les plus actuelles sont sur ImmoScout24.ch.</t>
  </si>
  <si>
    <t>https://www.immoscout24.ch/fr/appartement/louer/lieu-zell-lu</t>
  </si>
  <si>
    <t>Louer appartement Zell LU: Trouvez le bien immobilier qui correspond idéalement à vos désirs sur ImmoScout24 - La plateforme de l'immobilier en Suisse.</t>
  </si>
  <si>
    <t>🏘  Vous cherchez un appartement à louer à Zell LU? ✅ Les annonces les plus actuelles sont sur ImmoScout24.ch.</t>
  </si>
  <si>
    <t>https://www.immoscout24.ch/fr/maison/acheter/lieu-gstaad</t>
  </si>
  <si>
    <t>Vendre maison Gstaad: Trouvez le bien immobilier qui correspond idéalement à vos désirs sur ImmoScout24 - La plateforme de l'immobilier en Suisse.</t>
  </si>
  <si>
    <t>🏘  Vous souhaitez acheter une maison à Gstaad? ✅ Jetez un œil aux dernières offres sur ImmoScout24.ch.</t>
  </si>
  <si>
    <t>https://www.immoscout24.ch/fr/appartement/louer/lieu-perrefitte</t>
  </si>
  <si>
    <t>Louer appartement Perrefitte: Trouvez le bien immobilier qui correspond idéalement à vos désirs sur ImmoScout24 - La plateforme de l'immobilier en Suisse.</t>
  </si>
  <si>
    <t>🏘  Vous cherchez un appartement à louer à Perrefitte? ✅ Les annonces les plus actuelles sont sur ImmoScout24.ch.</t>
  </si>
  <si>
    <t>https://www.immoscout24.ch/fr/maison/acheter/lieu-zollikerberg</t>
  </si>
  <si>
    <t>Vendre maison Zollikerberg: Trouvez le bien immobilier qui correspond idéalement à vos désirs sur ImmoScout24 - La plateforme de l'immobilier en Suisse.</t>
  </si>
  <si>
    <t>🏘  Vous souhaitez acheter une maison à Zollikerberg? ✅ Jetez un œil aux dernières offres sur ImmoScout24.ch.</t>
  </si>
  <si>
    <t>https://www.immoscout24.ch/fr/appartement/louer/lieu-les-monts-de-corsier</t>
  </si>
  <si>
    <t>Louer appartement Les Monts-de-Corsier: Trouvez le bien immobilier qui correspond idéalement à vos désirs sur ImmoScout24 - La plateforme de l'immobilier en Suisse.</t>
  </si>
  <si>
    <t>🏘  Vous cherchez un appartement à louer aux Monts-de-Corsier? ✅ Les annonces les plus actuelles sont sur ImmoScout24.ch.</t>
  </si>
  <si>
    <t>https://www.immoscout24.ch/fr/appartement/acheter/lieu-dagmersellen</t>
  </si>
  <si>
    <t>Vendre appartement Dagmersellen: Trouvez le bien immobilier qui correspond idéalement à vos désirs sur ImmoScout24 - La plateforme de l'immobilier en Suisse.</t>
  </si>
  <si>
    <t>🏘  L’appartement de vos rêves se trouve sur ImmoScout24.ch ✅ Découvrez les dernières annonces de vente à Dagmersellen.</t>
  </si>
  <si>
    <t>https://www.immoscout24.ch/fr/maison/louer/lieu-saxon</t>
  </si>
  <si>
    <t>Louer maison Saxon: Trouvez le bien immobilier qui correspond idéalement à vos désirs sur ImmoScout24 - La plateforme de l'immobilier en Suisse.</t>
  </si>
  <si>
    <t>🏘  Vous cherchez une maison à louer à Saxon? ✅ Découvrez nos nombreuses annonces sur ImmoScout24.ch.</t>
  </si>
  <si>
    <t>https://www.immoscout24.ch/fr/maison/louer/lieu-caux</t>
  </si>
  <si>
    <t>Louer maison Caux: Trouvez le bien immobilier qui correspond idéalement à vos désirs sur ImmoScout24 - La plateforme de l'immobilier en Suisse.</t>
  </si>
  <si>
    <t>🏘  Vous cherchez une maison à louer à Caux? ✅ Découvrez nos nombreuses annonces sur ImmoScout24.ch.</t>
  </si>
  <si>
    <t>https://www.immoscout24.ch/fr/appartement/louer/lieu-galmiz</t>
  </si>
  <si>
    <t>Louer appartement Galmiz: Trouvez le bien immobilier qui correspond idéalement à vos désirs sur ImmoScout24 - La plateforme de l'immobilier en Suisse.</t>
  </si>
  <si>
    <t>🏘  Vous cherchez un appartement à louer à Galmiz? ✅ Les annonces les plus actuelles sont sur ImmoScout24.ch.</t>
  </si>
  <si>
    <t>https://www.immoscout24.ch/fr/appartement/louer/lieu-melide</t>
  </si>
  <si>
    <t>Louer appartement Melide: Trouvez le bien immobilier qui correspond idéalement à vos désirs sur ImmoScout24 - La plateforme de l'immobilier en Suisse.</t>
  </si>
  <si>
    <t>🏘  Vous cherchez un appartement à louer à Melide? ✅ Les annonces les plus actuelles sont sur ImmoScout24.ch.</t>
  </si>
  <si>
    <t>https://www.immoscout24.ch/fr/appartement/louer/quartier-littau-dorf-lucerne</t>
  </si>
  <si>
    <t>Louer appartement Littau Dorf (Lucerne): Trouvez le bien immobilier qui correspond idéalement à vos désirs sur ImmoScout24 - La plateforme de l'immobilier en Suisse.</t>
  </si>
  <si>
    <t>🏘  Vous cherchez un appartement à louer dans le quartier de Littau Dorf (Lucerne)? ✅ Les annonces les plus actuelles sont sur ImmoScout24.ch.</t>
  </si>
  <si>
    <t>https://www.immoscout24.ch/fr/appartement/louer/lieu-corsier-ge</t>
  </si>
  <si>
    <t>Louer appartement Corsier GE: Trouvez le bien immobilier qui correspond idéalement à vos désirs sur ImmoScout24 - La plateforme de l'immobilier en Suisse.</t>
  </si>
  <si>
    <t>🏘  Vous cherchez un appartement à louer à Corsier GE? ✅ Les annonces les plus actuelles sont sur ImmoScout24.ch.</t>
  </si>
  <si>
    <t>https://www.immoscout24.ch/fr/maison/acheter/lieu-chambrelien</t>
  </si>
  <si>
    <t>Vendre maison Chambrelien: Trouvez le bien immobilier qui correspond idéalement à vos désirs sur ImmoScout24 - La plateforme de l'immobilier en Suisse.</t>
  </si>
  <si>
    <t>🏘  Vous souhaitez acheter une maison à Chambrelien? ✅ Jetez un œil aux dernières offres sur ImmoScout24.ch.</t>
  </si>
  <si>
    <t>https://www.immoscout24.ch/fr/maison/acheter/lieu-fruthwilen</t>
  </si>
  <si>
    <t>Vendre maison Fruthwilen: Trouvez le bien immobilier qui correspond idéalement à vos désirs sur ImmoScout24 - La plateforme de l'immobilier en Suisse.</t>
  </si>
  <si>
    <t>🏘  Vous souhaitez acheter une maison à Fruthwilen? ✅ Jetez un œil aux dernières offres sur ImmoScout24.ch.</t>
  </si>
  <si>
    <t>https://www.immoscout24.ch/fr/appartement/louer/lieu-uettligen</t>
  </si>
  <si>
    <t>Louer appartement Uettligen: Trouvez le bien immobilier qui correspond idéalement à vos désirs sur ImmoScout24 - La plateforme de l'immobilier en Suisse.</t>
  </si>
  <si>
    <t>🏘  Vous cherchez un appartement à louer à Uettligen? ✅ Les annonces les plus actuelles sont sur ImmoScout24.ch.</t>
  </si>
  <si>
    <t>https://www.immoscout24.ch/fr/maison/acheter/lieu-finsterhennen</t>
  </si>
  <si>
    <t>Vendre maison Finsterhennen: Trouvez le bien immobilier qui correspond idéalement à vos désirs sur ImmoScout24 - La plateforme de l'immobilier en Suisse.</t>
  </si>
  <si>
    <t>🏘  Vous souhaitez acheter une maison à Finsterhennen? ✅ Jetez un œil aux dernières offres sur ImmoScout24.ch.</t>
  </si>
  <si>
    <t>https://www.immoscout24.ch/fr/maison/acheter/lieu-monnaz</t>
  </si>
  <si>
    <t>Vendre maison Monnaz: Trouvez le bien immobilier qui correspond idéalement à vos désirs sur ImmoScout24 - La plateforme de l'immobilier en Suisse.</t>
  </si>
  <si>
    <t>🏘  Vous souhaitez acheter une maison à Monnaz? ✅ Jetez un œil aux dernières offres sur ImmoScout24.ch.</t>
  </si>
  <si>
    <t>https://www.immoscout24.ch/fr/maison/acheter/lieu-safnern</t>
  </si>
  <si>
    <t>Vendre maison Safnern: Trouvez le bien immobilier qui correspond idéalement à vos désirs sur ImmoScout24 - La plateforme de l'immobilier en Suisse.</t>
  </si>
  <si>
    <t>🏘  Vous souhaitez acheter une maison à Safnern? ✅ Jetez un œil aux dernières offres sur ImmoScout24.ch.</t>
  </si>
  <si>
    <t>https://www.immoscout24.ch/fr/appartement/acheter/lieu-fontainemelon</t>
  </si>
  <si>
    <t>Vendre appartement Fontainemelon: Trouvez le bien immobilier qui correspond idéalement à vos désirs sur ImmoScout24 - La plateforme de l'immobilier en Suisse.</t>
  </si>
  <si>
    <t>🏘  L’appartement de vos rêves se trouve sur ImmoScout24.ch ✅ Découvrez les dernières annonces de vente à Fontainemelon.</t>
  </si>
  <si>
    <t>https://www.immoscout24.ch/fr/maison/acheter/lieu-buchs-ag</t>
  </si>
  <si>
    <t>Vendre maison Buchs AG: Trouvez le bien immobilier qui correspond idéalement à vos désirs sur ImmoScout24 - La plateforme de l'immobilier en Suisse.</t>
  </si>
  <si>
    <t>🏘  Vous souhaitez acheter une maison à Buchs AG? ✅ Jetez un œil aux dernières offres sur ImmoScout24.ch.</t>
  </si>
  <si>
    <t>https://www.immoscout24.ch/fr/appartement/louer/lieu-port</t>
  </si>
  <si>
    <t>Louer appartement Port: Trouvez le bien immobilier qui correspond idéalement à vos désirs sur ImmoScout24 - La plateforme de l'immobilier en Suisse.</t>
  </si>
  <si>
    <t>🏘  Vous cherchez un appartement à louer à Port? ✅ Les annonces les plus actuelles sont sur ImmoScout24.ch.</t>
  </si>
  <si>
    <t>https://www.immoscout24.ch/fr/maison/acheter/lieu-corminboeuf</t>
  </si>
  <si>
    <t>Vendre maison Corminboeuf: Trouvez le bien immobilier qui correspond idéalement à vos désirs sur ImmoScout24 - La plateforme de l'immobilier en Suisse.</t>
  </si>
  <si>
    <t>🏘  Vous souhaitez acheter une maison à Corminboeuf? ✅ Jetez un œil aux dernières offres sur ImmoScout24.ch.</t>
  </si>
  <si>
    <t>https://www.immoscout24.ch/fr/maison/acheter/lieu-faulensee</t>
  </si>
  <si>
    <t>Vendre maison Faulensee: Trouvez le bien immobilier qui correspond idéalement à vos désirs sur ImmoScout24 - La plateforme de l'immobilier en Suisse.</t>
  </si>
  <si>
    <t>🏘  Vous souhaitez acheter une maison à Faulensee? ✅ Jetez un œil aux dernières offres sur ImmoScout24.ch.</t>
  </si>
  <si>
    <t>https://www.immoscout24.ch/fr/appartement/louer/quartier-guggenbuehl-winterthur</t>
  </si>
  <si>
    <t>Louer appartement Guggenbühl (Winterthur): Trouvez le bien immobilier qui correspond idéalement à vos désirs sur ImmoScout24 - La plateforme de l'immobilier en Suisse.</t>
  </si>
  <si>
    <t>🏘  Vous cherchez un appartement à louer dans le quartier de Guggenbühl (Winterthur)? ✅ Les annonces les plus actuelles sont sur ImmoScout24.ch.</t>
  </si>
  <si>
    <t>https://www.immoscout24.ch/fr/appartement/louer/lieu-sassel</t>
  </si>
  <si>
    <t>Louer appartement Sassel: Trouvez le bien immobilier qui correspond idéalement à vos désirs sur ImmoScout24 - La plateforme de l'immobilier en Suisse.</t>
  </si>
  <si>
    <t>🏘  Vous cherchez un appartement à louer à Sassel? ✅ Les annonces les plus actuelles sont sur ImmoScout24.ch.</t>
  </si>
  <si>
    <t>https://www.immoscout24.ch/fr/maison/acheter/lieu-crans-montana</t>
  </si>
  <si>
    <t>Vendre maison Crans-Montana: Trouvez le bien immobilier qui correspond idéalement à vos désirs sur ImmoScout24 - La plateforme de l'immobilier en Suisse.</t>
  </si>
  <si>
    <t>🏘  Vous souhaitez acheter une maison à Crans-Montana? ✅ Jetez un œil aux dernières offres sur ImmoScout24.ch.</t>
  </si>
  <si>
    <t>https://www.immoscout24.ch/fr/maison/acheter/lieu-avry-devant-pont</t>
  </si>
  <si>
    <t>Vendre maison Avry-devant-Pont: Trouvez le bien immobilier qui correspond idéalement à vos désirs sur ImmoScout24 - La plateforme de l'immobilier en Suisse.</t>
  </si>
  <si>
    <t>🏘  Vous souhaitez acheter une maison à Avry-devant-Pont? ✅ Jetez un œil aux dernières offres sur ImmoScout24.ch.</t>
  </si>
  <si>
    <t>https://www.immoscout24.ch/fr/appartement/louer/lieu-sonceboz-sombeval</t>
  </si>
  <si>
    <t>Louer appartement Sonceboz-Sombeval: Trouvez le bien immobilier qui correspond idéalement à vos désirs sur ImmoScout24 - La plateforme de l'immobilier en Suisse.</t>
  </si>
  <si>
    <t>🏘  Vous cherchez un appartement à louer à Sonceboz-Sombeval? ✅ Les annonces les plus actuelles sont sur ImmoScout24.ch.</t>
  </si>
  <si>
    <t>https://www.immoscout24.ch/fr/maison/acheter/lieu-mont-la-ville</t>
  </si>
  <si>
    <t>Vendre maison Mont-la-Ville: Trouvez le bien immobilier qui correspond idéalement à vos désirs sur ImmoScout24 - La plateforme de l'immobilier en Suisse.</t>
  </si>
  <si>
    <t>🏘  Vous souhaitez acheter une maison à Mont-la-Ville? ✅ Jetez un œil aux dernières offres sur ImmoScout24.ch.</t>
  </si>
  <si>
    <t>https://www.immoscout24.ch/fr/maison/acheter/lieu-cernier</t>
  </si>
  <si>
    <t>Vendre maison Cernier: Trouvez le bien immobilier qui correspond idéalement à vos désirs sur ImmoScout24 - La plateforme de l'immobilier en Suisse.</t>
  </si>
  <si>
    <t>🏘  Vous souhaitez acheter une maison à Cernier? ✅ Jetez un œil aux dernières offres sur ImmoScout24.ch.</t>
  </si>
  <si>
    <t>https://www.immoscout24.ch/fr/maison/acheter/lieu-praz-de-fort</t>
  </si>
  <si>
    <t>Vendre maison Praz-de-Fort: Trouvez le bien immobilier qui correspond idéalement à vos désirs sur ImmoScout24 - La plateforme de l'immobilier en Suisse.</t>
  </si>
  <si>
    <t>🏘  Vous souhaitez acheter une maison à Praz-de-Fort? ✅ Jetez un œil aux dernières offres sur ImmoScout24.ch.</t>
  </si>
  <si>
    <t>https://www.immoscout24.ch/fr/maison/acheter/region-vallemaggia</t>
  </si>
  <si>
    <t>Vendre maison Vallemaggia: Trouvez le bien immobilier qui correspond idéalement à vos désirs sur ImmoScout24 - La plateforme de l'immobilier en Suisse.</t>
  </si>
  <si>
    <t>🏘  Vous souhaitez acheter une maison dans la région de Vallemaggia? ✅ Jetez un œil aux dernières offres sur ImmoScout24.ch.</t>
  </si>
  <si>
    <t>https://www.immoscout24.ch/fr/appartement/louer/lieu-zernez</t>
  </si>
  <si>
    <t>Louer appartement Zernez: Trouvez le bien immobilier qui correspond idéalement à vos désirs sur ImmoScout24 - La plateforme de l'immobilier en Suisse.</t>
  </si>
  <si>
    <t>🏘  Vous cherchez un appartement à louer à Zernez? ✅ Les annonces les plus actuelles sont sur ImmoScout24.ch.</t>
  </si>
  <si>
    <t>https://www.immoscout24.ch/fr/maison/acheter/lieu-montricher</t>
  </si>
  <si>
    <t>Vendre maison Montricher: Trouvez le bien immobilier qui correspond idéalement à vos désirs sur ImmoScout24 - La plateforme de l'immobilier en Suisse.</t>
  </si>
  <si>
    <t>🏘  Vous souhaitez acheter une maison à Montricher? ✅ Jetez un œil aux dernières offres sur ImmoScout24.ch.</t>
  </si>
  <si>
    <t>https://www.immoscout24.ch/fr/appartement/louer/lieu-tumegl-tomils</t>
  </si>
  <si>
    <t>Louer appartement Tumegl/Tomils: Trouvez le bien immobilier qui correspond idéalement à vos désirs sur ImmoScout24 - La plateforme de l'immobilier en Suisse.</t>
  </si>
  <si>
    <t>🏘  Vous cherchez un appartement à louer à Tumegl/Tomils? ✅ Les annonces les plus actuelles sont sur ImmoScout24.ch.</t>
  </si>
  <si>
    <t>https://www.immoscout24.ch/fr/appartement/acheter/lieu-hauterive-ne</t>
  </si>
  <si>
    <t>Vendre appartement Hauterive NE: Trouvez le bien immobilier qui correspond idéalement à vos désirs sur ImmoScout24 - La plateforme de l'immobilier en Suisse.</t>
  </si>
  <si>
    <t>🏘  L’appartement de vos rêves se trouve sur ImmoScout24.ch ✅ Découvrez les dernières annonces de vente à Hauterive NE.</t>
  </si>
  <si>
    <t>https://www.immoscout24.ch/fr/maison/acheter/lieu-oberbalm</t>
  </si>
  <si>
    <t>Vendre maison Oberbalm: Trouvez le bien immobilier qui correspond idéalement à vos désirs sur ImmoScout24 - La plateforme de l'immobilier en Suisse.</t>
  </si>
  <si>
    <t>🏘  Vous souhaitez acheter une maison à Oberbalm? ✅ Jetez un œil aux dernières offres sur ImmoScout24.ch.</t>
  </si>
  <si>
    <t>https://www.immoscout24.ch/fr/appartement/acheter/lieu-yverdon-les-bains</t>
  </si>
  <si>
    <t>Vendre appartement Yverdon-les-Bains: Trouvez le bien immobilier qui correspond idéalement à vos désirs sur ImmoScout24 - La plateforme de l'immobilier en Suisse.</t>
  </si>
  <si>
    <t>🏘  L’appartement de vos rêves se trouve sur ImmoScout24.ch ✅ Découvrez les dernières annonces de vente à Yverdon-les-Bains.</t>
  </si>
  <si>
    <t>https://www.immoscout24.ch/fr/appartement/acheter/lieu-kilchberg-zh</t>
  </si>
  <si>
    <t>Vendre appartement Kilchberg ZH: Trouvez le bien immobilier qui correspond idéalement à vos désirs sur ImmoScout24 - La plateforme de l'immobilier en Suisse.</t>
  </si>
  <si>
    <t>🏘  L’appartement de vos rêves se trouve sur ImmoScout24.ch ✅ Découvrez les dernières annonces de vente à Kilchberg ZH.</t>
  </si>
  <si>
    <t>https://www.immoscout24.ch/fr/maison/louer/lieu-le-pont</t>
  </si>
  <si>
    <t>Louer maison Le Pont: Trouvez le bien immobilier qui correspond idéalement à vos désirs sur ImmoScout24 - La plateforme de l'immobilier en Suisse.</t>
  </si>
  <si>
    <t>🏘  Vous cherchez une maison à louer au Pont? ✅ Découvrez nos nombreuses annonces sur ImmoScout24.ch.</t>
  </si>
  <si>
    <t>https://www.immoscout24.ch/fr/appartement/acheter/lieu-le-grand-saconnex</t>
  </si>
  <si>
    <t>Vendre appartement Le Grand-Saconnex: Trouvez le bien immobilier qui correspond idéalement à vos désirs sur ImmoScout24 - La plateforme de l'immobilier en Suisse.</t>
  </si>
  <si>
    <t>🏘  L’appartement de vos rêves se trouve sur ImmoScout24.ch ✅ Découvrez les dernières annonces de vente au Grand-Saconnex.</t>
  </si>
  <si>
    <t>https://www.immoscout24.ch/fr/maison/acheter/lieu-haegendorf</t>
  </si>
  <si>
    <t>Vendre maison Hägendorf: Trouvez le bien immobilier qui correspond idéalement à vos désirs sur ImmoScout24 - La plateforme de l'immobilier en Suisse.</t>
  </si>
  <si>
    <t>🏘  Vous souhaitez acheter une maison à Hägendorf? ✅ Jetez un œil aux dernières offres sur ImmoScout24.ch.</t>
  </si>
  <si>
    <t>https://www.immoscout24.ch/fr/maison/acheter/lieu-oron-le-chatel</t>
  </si>
  <si>
    <t>Vendre maison Oron-le-Châtel: Trouvez le bien immobilier qui correspond idéalement à vos désirs sur ImmoScout24 - La plateforme de l'immobilier en Suisse.</t>
  </si>
  <si>
    <t>🏘  Vous souhaitez acheter une maison à Oron-le-Châtel? ✅ Jetez un œil aux dernières offres sur ImmoScout24.ch.</t>
  </si>
  <si>
    <t>https://www.immoscout24.ch/fr/appartement/acheter/quartier-gruenes-quartier-berne</t>
  </si>
  <si>
    <t>Vendre appartement Grünes Quartier (Berne):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</si>
  <si>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Grünes Quartier.</t>
  </si>
  <si>
    <t>https://www.immoscout24.ch/fr/maison/acheter/lieu-samedan</t>
  </si>
  <si>
    <t>Vendre maison Samedan: Trouvez le bien immobilier qui correspond idéalement à vos désirs sur ImmoScout24 - La plateforme de l'immobilier en Suisse.</t>
  </si>
  <si>
    <t>🏘  Vous souhaitez acheter une maison à Samedan? ✅ Jetez un œil aux dernières offres sur ImmoScout24.ch.</t>
  </si>
  <si>
    <t>https://www.immoscout24.ch/fr/appartement/louer/lieu-s-chanf</t>
  </si>
  <si>
    <t>Louer appartement S-chanf: Trouvez le bien immobilier qui correspond idéalement à vos désirs sur ImmoScout24 - La plateforme de l'immobilier en Suisse.</t>
  </si>
  <si>
    <t>🏘  Vous cherchez un appartement à louer à S-chanf? ✅ Les annonces les plus actuelles sont sur ImmoScout24.ch.</t>
  </si>
  <si>
    <t>https://www.immoscout24.ch/fr/maison/louer/lieu-charmey-gruyere</t>
  </si>
  <si>
    <t>Louer maison Charmey (Gruyère): Trouvez le bien immobilier qui correspond idéalement à vos désirs sur ImmoScout24 - La plateforme de l'immobilier en Suisse.</t>
  </si>
  <si>
    <t>🏘  Vous cherchez une maison à louer à Charmey (Gruyère)? ✅ Découvrez nos nombreuses annonces sur ImmoScout24.ch.</t>
  </si>
  <si>
    <t>https://www.immoscout24.ch/fr/appartement/louer/lieu-volketswil</t>
  </si>
  <si>
    <t>Louer appartement Volketswil: Trouvez le bien immobilier qui correspond idéalement à vos désirs sur ImmoScout24 - La plateforme de l'immobilier en Suisse.</t>
  </si>
  <si>
    <t>🏘  Vous cherchez un appartement à louer à Volketswil? ✅ Les annonces les plus actuelles sont sur ImmoScout24.ch.</t>
  </si>
  <si>
    <t>https://www.immoscout24.ch/fr/appartement/louer/canton-liechtenstein</t>
  </si>
  <si>
    <t>Louer appartement Canton de Liechtenstein: Trouvez le bien immobilier qui correspond idéalement à vos désirs sur ImmoScout24 - La plateforme de l'immobilier en Suisse.</t>
  </si>
  <si>
    <t>🏘  Vous cherchez un appartement à louer dans le Canton de Liechtenstein? ✅ Les annonces les plus actuelles sont sur ImmoScout24.ch.</t>
  </si>
  <si>
    <t>https://www.immoscout24.ch/fr/appartement/acheter/lieu-vilars-ne</t>
  </si>
  <si>
    <t>Vendre appartement Vilars NE: Trouvez le bien immobilier qui correspond idéalement à vos désirs sur ImmoScout24 - La plateforme de l'immobilier en Suisse.</t>
  </si>
  <si>
    <t>🏘  L’appartement de vos rêves se trouve sur ImmoScout24.ch ✅ Découvrez les dernières annonces de vente à Vilars NE.</t>
  </si>
  <si>
    <t>https://www.immoscout24.ch/fr/appartement/louer/lieu-gelterkinden</t>
  </si>
  <si>
    <t>Louer appartement Gelterkinden: Trouvez le bien immobilier qui correspond idéalement à vos désirs sur ImmoScout24 - La plateforme de l'immobilier en Suisse.</t>
  </si>
  <si>
    <t>🏘  Vous cherchez un appartement à louer à Gelterkinden? ✅ Les annonces les plus actuelles sont sur ImmoScout24.ch.</t>
  </si>
  <si>
    <t>https://www.immoscout24.ch/fr/appartement/acheter/lieu-lufingen</t>
  </si>
  <si>
    <t>Vendre appartement Lufingen: Trouvez le bien immobilier qui correspond idéalement à vos désirs sur ImmoScout24 - La plateforme de l'immobilier en Suisse.</t>
  </si>
  <si>
    <t>🏘  L’appartement de vos rêves se trouve sur ImmoScout24.ch ✅ Découvrez les dernières annonces de vente à Lufingen.</t>
  </si>
  <si>
    <t>https://www.immoscout24.ch/fr/maison/louer/lieu-cortebert</t>
  </si>
  <si>
    <t>Louer maison Cortébert: Trouvez le bien immobilier qui correspond idéalement à vos désirs sur ImmoScout24 - La plateforme de l'immobilier en Suisse.</t>
  </si>
  <si>
    <t>🏘  Vous cherchez une maison à louer à Cortébert? ✅ Découvrez nos nombreuses annonces sur ImmoScout24.ch.</t>
  </si>
  <si>
    <t>https://www.immoscout24.ch/fr/maison/acheter/lieu-conches</t>
  </si>
  <si>
    <t>Vendre maison Conches: Trouvez le bien immobilier qui correspond idéalement à vos désirs sur ImmoScout24 - La plateforme de l'immobilier en Suisse.</t>
  </si>
  <si>
    <t>🏘  Vous souhaitez acheter une maison à Conches? ✅ Jetez un œil aux dernières offres sur ImmoScout24.ch.</t>
  </si>
  <si>
    <t>https://www.immoscout24.ch/fr/appartement/louer/lieu-leuzigen</t>
  </si>
  <si>
    <t>Louer appartement Leuzigen: Trouvez le bien immobilier qui correspond idéalement à vos désirs sur ImmoScout24 - La plateforme de l'immobilier en Suisse.</t>
  </si>
  <si>
    <t>🏘  Vous cherchez un appartement à louer auuzigen? ✅ Les annonces les plus actuelles sont sur ImmoScout24.ch.</t>
  </si>
  <si>
    <t>https://www.immoscout24.ch/fr/appartement/louer/lieu-bercher</t>
  </si>
  <si>
    <t>Louer appartement Bercher: Trouvez le bien immobilier qui correspond idéalement à vos désirs sur ImmoScout24 - La plateforme de l'immobilier en Suisse.</t>
  </si>
  <si>
    <t>🏘  Vous cherchez un appartement à louer à Bercher? ✅ Les annonces les plus actuelles sont sur ImmoScout24.ch.</t>
  </si>
  <si>
    <t>https://www.immoscout24.ch/fr/maison/acheter/lieu-deitingen</t>
  </si>
  <si>
    <t>Vendre maison Deitingen: Trouvez le bien immobilier qui correspond idéalement à vos désirs sur ImmoScout24 - La plateforme de l'immobilier en Suisse.</t>
  </si>
  <si>
    <t>🏘  Vous souhaitez acheter une maison à Deitingen? ✅ Jetez un œil aux dernières offres sur ImmoScout24.ch.</t>
  </si>
  <si>
    <t>https://www.immoscout24.ch/fr/maison/acheter/lieu-langenthal</t>
  </si>
  <si>
    <t>Vendre maison Langenthal: Trouvez le bien immobilier qui correspond idéalement à vos désirs sur ImmoScout24 - La plateforme de l'immobilier en Suisse.</t>
  </si>
  <si>
    <t>🏘  Vous souhaitez acheter une maison à Langenthal? ✅ Jetez un œil aux dernières offres sur ImmoScout24.ch.</t>
  </si>
  <si>
    <t>https://www.immoscout24.ch/fr/maison/acheter/lieu-cortaillod</t>
  </si>
  <si>
    <t>Vendre maison Cortaillod: Trouvez le bien immobilier qui correspond idéalement à vos désirs sur ImmoScout24 - La plateforme de l'immobilier en Suisse.</t>
  </si>
  <si>
    <t>🏘  Vous souhaitez acheter une maison à Cortaillod? ✅ Jetez un œil aux dernières offres sur ImmoScout24.ch.</t>
  </si>
  <si>
    <t>https://www.immoscout24.ch/fr/maison/louer/lieu-cortaillod</t>
  </si>
  <si>
    <t>Louer maison Cortaillod: Trouvez le bien immobilier qui correspond idéalement à vos désirs sur ImmoScout24 - La plateforme de l'immobilier en Suisse.</t>
  </si>
  <si>
    <t>🏘  Vous cherchez une maison à louer à Cortaillod? ✅ Découvrez nos nombreuses annonces sur ImmoScout24.ch.</t>
  </si>
  <si>
    <t>https://www.immoscout24.ch/fr/appartement/acheter/quartier-vignoble-biel-bienne</t>
  </si>
  <si>
    <t>Vendre appartement Vignoble (Biel/Bienne):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</si>
  <si>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du Vignoble (Biel/Bienne).</t>
  </si>
  <si>
    <t>https://www.immoscout24.ch/fr/appartement/louer/lieu-lonay</t>
  </si>
  <si>
    <t>Louer appartement Lonay: Trouvez le bien immobilier qui correspond idéalement à vos désirs sur ImmoScout24 - La plateforme de l'immobilier en Suisse.</t>
  </si>
  <si>
    <t>🏘  Vous cherchez un appartement à louer à Lonay? ✅ Les annonces les plus actuelles sont sur ImmoScout24.ch.</t>
  </si>
  <si>
    <t>https://www.immoscout24.ch/fr/maison/louer/lieu-la-cibourg</t>
  </si>
  <si>
    <t>Louer maison La Cibourg: Trouvez le bien immobilier qui correspond idéalement à vos désirs sur ImmoScout24 - La plateforme de l'immobilier en Suisse.</t>
  </si>
  <si>
    <t>🏘  Vous cherchez une maison à louer à La Cibourg? ✅ Découvrez nos nombreuses annonces sur ImmoScout24.ch.</t>
  </si>
  <si>
    <t>https://www.immoscout24.ch/fr/appartement/louer/lieu-wiggiswil</t>
  </si>
  <si>
    <t>Louer appartement Wiggiswil: Trouvez le bien immobilier qui correspond idéalement à vos désirs sur ImmoScout24 - La plateforme de l'immobilier en Suisse.</t>
  </si>
  <si>
    <t>🏘  Vous cherchez un appartement à louer à Wiggiswil? ✅ Les annonces les plus actuelles sont sur ImmoScout24.ch.</t>
  </si>
  <si>
    <t>https://www.immoscout24.ch/fr/maison/louer/lieu-villeneuve-vd</t>
  </si>
  <si>
    <t>Louer maison Villeneuve VD: Trouvez le bien immobilier qui correspond idéalement à vos désirs sur ImmoScout24 - La plateforme de l'immobilier en Suisse.</t>
  </si>
  <si>
    <t>🏘  Vous cherchez une maison à louer à Villeneuve VD? ✅ Découvrez nos nombreuses annonces sur ImmoScout24.ch.</t>
  </si>
  <si>
    <t>https://www.immoscout24.ch/fr/appartement/louer/lieu-monthey</t>
  </si>
  <si>
    <t>Louer appartement Monthey: Trouvez le bien immobilier qui correspond idéalement à vos désirs sur ImmoScout24 - La plateforme de l'immobilier en Suisse.</t>
  </si>
  <si>
    <t>🏘  Vous cherchez un appartement à louer à Monthey? ✅ Les annonces les plus actuelles sont sur ImmoScout24.ch.</t>
  </si>
  <si>
    <t>https://www.immoscout24.ch/fr/appartement/louer/lieu-loveresse</t>
  </si>
  <si>
    <t>Louer appartement Loveresse: Trouvez le bien immobilier qui correspond idéalement à vos désirs sur ImmoScout24 - La plateforme de l'immobilier en Suisse.</t>
  </si>
  <si>
    <t>🏘  Vous cherchez un appartement à louer à Loveresse? ✅ Les annonces les plus actuelles sont sur ImmoScout24.ch.</t>
  </si>
  <si>
    <t>https://www.immoscout24.ch/fr/appartement/acheter/lieu-vicques</t>
  </si>
  <si>
    <t>Vendre appartement Vicques: Trouvez le bien immobilier qui correspond idéalement à vos désirs sur ImmoScout24 - La plateforme de l'immobilier en Suisse.</t>
  </si>
  <si>
    <t>🏘  L’appartement de vos rêves se trouve sur ImmoScout24.ch ✅ Découvrez les dernières annonces de vente à Vicques.</t>
  </si>
  <si>
    <t>https://www.immoscout24.ch/fr/appartement/acheter/lieu-st-prex</t>
  </si>
  <si>
    <t>Vendre appartement St-Prex: Trouvez le bien immobilier qui correspond idéalement à vos désirs sur ImmoScout24 - La plateforme de l'immobilier en Suisse.</t>
  </si>
  <si>
    <t>🏘  L’appartement de vos rêves se trouve sur ImmoScout24.ch ✅ Découvrez les dernières annonces de vente à St-Prex.</t>
  </si>
  <si>
    <t>https://www.immoscout24.ch/fr/appartement/louer/region-glaris-et-environs</t>
  </si>
  <si>
    <t>Louer appartement Glaris et environs: Trouvez le bien immobilier qui correspond idéalement à vos désirs sur ImmoScout24 - La plateforme de l'immobilier en Suisse.</t>
  </si>
  <si>
    <t>🏘  Vous cherchez un appartement à louer à Glaris et environs? ✅ Les annonces les plus actuelles sont sur ImmoScout24.ch.</t>
  </si>
  <si>
    <t>https://www.immoscout24.ch/fr/appartement/louer/quartier-montchoisi-lausanne</t>
  </si>
  <si>
    <t>Louer appartement Montchoisi (Lausanne): Trouvez le bien immobilier qui correspond idéalement à vos désirs sur ImmoScout24 - La plateforme de l'immobilier en Suisse.</t>
  </si>
  <si>
    <t>🏘  Vous cherchez un appartement à louer dans le quartier de Montchoisi (Lausanne)? ✅ Les annonces les plus actuelles sont sur ImmoScout24.ch.</t>
  </si>
  <si>
    <t>https://www.immoscout24.ch/fr/appartement/louer/lieu-aigle</t>
  </si>
  <si>
    <t>Louer appartement Aigle: Trouvez le bien immobilier qui correspond idéalement à vos désirs sur ImmoScout24 - La plateforme de l'immobilier en Suisse.</t>
  </si>
  <si>
    <t>🏘  Vous cherchez un appartement à louer à Aigle? ✅ Les annonces les plus actuelles sont sur ImmoScout24.ch.</t>
  </si>
  <si>
    <t>https://www.immoscout24.ch/fr/appartement/louer/lieu-esmonts</t>
  </si>
  <si>
    <t>Louer appartement Esmonts: Trouvez le bien immobilier qui correspond idéalement à vos désirs sur ImmoScout24 - La plateforme de l'immobilier en Suisse.</t>
  </si>
  <si>
    <t>🏘  Vous cherchez un appartement à louer à Esmonts? ✅ Les annonces les plus actuelles sont sur ImmoScout24.ch.</t>
  </si>
  <si>
    <t>https://www.immoscout24.ch/fr/maison/acheter/quartier-thoerishaus-koeniz</t>
  </si>
  <si>
    <t>Vendre maison Thörishaus (Köniz): Trouvez le bien immobilier qui correspond idéalement à vos désirs sur ImmoScout24 - La plateforme de l'immobilier en Suisse.</t>
  </si>
  <si>
    <t>🏘  Vous souhaitez acheter une maison à Thörishaus (Köniz)? ✅ Jetez un œil aux dernières offres sur ImmoScout24.ch.</t>
  </si>
  <si>
    <t>https://www.immoscout24.ch/fr/maison/acheter/lieu-laupersdorf</t>
  </si>
  <si>
    <t>Vendre maison Laupersdorf: Trouvez le bien immobilier qui correspond idéalement à vos désirs sur ImmoScout24 - La plateforme de l'immobilier en Suisse.</t>
  </si>
  <si>
    <t>🏘  Vous souhaitez acheter une maison à Laupersdorf? ✅ Jetez un œil aux dernières offres sur ImmoScout24.ch.</t>
  </si>
  <si>
    <t>https://www.immoscout24.ch/fr/appartement/louer/lieu-chateau-d-oex</t>
  </si>
  <si>
    <t>Louer appartement Château-d'Oex: Trouvez le bien immobilier qui correspond idéalement à vos désirs sur ImmoScout24 - La plateforme de l'immobilier en Suisse.</t>
  </si>
  <si>
    <t>🏘  Vous cherchez un appartement à louer à Château-d'Oex? ✅ Les annonces les plus actuelles sont sur ImmoScout24.ch.</t>
  </si>
  <si>
    <t>https://www.immoscout24.ch/fr/appartement/acheter/lieu-chez-le-bart</t>
  </si>
  <si>
    <t>Vendre appartement Chez-le-Bart: Trouvez le bien immobilier qui correspond idéalement à vos désirs sur ImmoScout24 - La plateforme de l'immobilier en Suisse.</t>
  </si>
  <si>
    <t>🏘  L’appartement de vos rêves se trouve sur ImmoScout24.ch ✅ Découvrez les dernières annonces de vente à Chez-le-Bart.</t>
  </si>
  <si>
    <t>https://www.immoscout24.ch/fr/maison/acheter/lieu-boenigen-b-interlaken</t>
  </si>
  <si>
    <t>Vendre maison Bönigen b. Interlaken: Trouvez le bien immobilier qui correspond idéalement à vos désirs sur ImmoScout24 - La plateforme de l'immobilier en Suisse.</t>
  </si>
  <si>
    <t>🏘  Vous souhaitez acheter une maison à Bönigen b. Interlaken? ✅ Jetez un œil aux dernières offres sur ImmoScout24.ch.</t>
  </si>
  <si>
    <t>https://www.immoscout24.ch/fr/maison/louer/lieu-safenwil</t>
  </si>
  <si>
    <t>Louer maison Safenwil: Trouvez le bien immobilier qui correspond idéalement à vos désirs sur ImmoScout24 - La plateforme de l'immobilier en Suisse.</t>
  </si>
  <si>
    <t>🏘  Vous cherchez une maison à louer à Safenwil? ✅ Découvrez nos nombreuses annonces sur ImmoScout24.ch.</t>
  </si>
  <si>
    <t>https://www.immoscout24.ch/fr/appartement/acheter/lieu-weggis</t>
  </si>
  <si>
    <t>Vendre appartement Weggis: Trouvez le bien immobilier qui correspond idéalement à vos désirs sur ImmoScout24 - La plateforme de l'immobilier en Suisse.</t>
  </si>
  <si>
    <t>🏘  L’appartement de vos rêves se trouve sur ImmoScout24.ch ✅ Découvrez les dernières annonces de vente à Weggis.</t>
  </si>
  <si>
    <t>https://www.immoscout24.ch/fr/appartement/louer/lieu-gunten</t>
  </si>
  <si>
    <t>Louer appartement Gunten: Trouvez le bien immobilier qui correspond idéalement à vos désirs sur ImmoScout24 - La plateforme de l'immobilier en Suisse.</t>
  </si>
  <si>
    <t>🏘  Vous cherchez un appartement à louer à Gunten? ✅ Les annonces les plus actuelles sont sur ImmoScout24.ch.</t>
  </si>
  <si>
    <t>https://www.immoscout24.ch/fr/appartement/louer/lieu-bassecourt</t>
  </si>
  <si>
    <t>Louer appartement Bassecourt: Trouvez le bien immobilier qui correspond idéalement à vos désirs sur ImmoScout24 - La plateforme de l'immobilier en Suisse.</t>
  </si>
  <si>
    <t>🏘  Vous cherchez un appartement à louer à Bassecourt? ✅ Les annonces les plus actuelles sont sur ImmoScout24.ch.</t>
  </si>
  <si>
    <t>https://www.immoscout24.ch/fr/maison/acheter/lieu-noes</t>
  </si>
  <si>
    <t>Vendre maison Noës: Trouvez le bien immobilier qui correspond idéalement à vos désirs sur ImmoScout24 - La plateforme de l'immobilier en Suisse.</t>
  </si>
  <si>
    <t>🏘  Vous souhaitez acheter une maison à Noës? ✅ Jetez un œil aux dernières offres sur ImmoScout24.ch.</t>
  </si>
  <si>
    <t>https://www.immoscout24.ch/fr/appartement/louer/lieu-chapelle-sur-moudon</t>
  </si>
  <si>
    <t>Louer appartement Chapelle-sur-Moudon: Trouvez le bien immobilier qui correspond idéalement à vos désirs sur ImmoScout24 - La plateforme de l'immobilier en Suisse.</t>
  </si>
  <si>
    <t>🏘  Vous cherchez un appartement à louer à Chapelle-sur-Moudon? ✅ Les annonces les plus actuelles sont sur ImmoScout24.ch.</t>
  </si>
  <si>
    <t>https://www.immoscout24.ch/fr/maison/acheter/lieu-ried-b-kerzers</t>
  </si>
  <si>
    <t>Vendre maison Ried b. Kerzers: Trouvez le bien immobilier qui correspond idéalement à vos désirs sur ImmoScout24 - La plateforme de l'immobilier en Suisse.</t>
  </si>
  <si>
    <t>🏘  Vous souhaitez acheter une maison à Ried b. Kerzers? ✅ Jetez un œil aux dernières offres sur ImmoScout24.ch.</t>
  </si>
  <si>
    <t>https://www.immoscout24.ch/fr/maison/louer/lieu-bre-sopra-lugano</t>
  </si>
  <si>
    <t>Louer maison Brè sopra Lugano: Trouvez le bien immobilier qui correspond idéalement à vos désirs sur ImmoScout24 - La plateforme de l'immobilier en Suisse.</t>
  </si>
  <si>
    <t>🏘  Vous cherchez une maison à louer à Brè sopra Lugano? ✅ Découvrez nos nombreuses annonces sur ImmoScout24.ch.</t>
  </si>
  <si>
    <t>https://www.immoscout24.ch/fr/appartement/louer/lieu-peseux</t>
  </si>
  <si>
    <t>Louer appartement Peseux: Trouvez le bien immobilier qui correspond idéalement à vos désirs sur ImmoScout24 - La plateforme de l'immobilier en Suisse.</t>
  </si>
  <si>
    <t>🏘  Vous cherchez un appartement à louer à Peseux? ✅ Les annonces les plus actuelles sont sur ImmoScout24.ch.</t>
  </si>
  <si>
    <t>https://www.immoscout24.ch/fr/maison/acheter/lieu-le-landeron</t>
  </si>
  <si>
    <t>Vendre maison Le Landeron: Trouvez le bien immobilier qui correspond idéalement à vos désirs sur ImmoScout24 - La plateforme de l'immobilier en Suisse.</t>
  </si>
  <si>
    <t>🏘  Vous souhaitez acheter une maison au Landeron? ✅ Jetez un œil aux dernières offres sur ImmoScout24.ch.</t>
  </si>
  <si>
    <t>https://www.immoscout24.ch/fr/appartement/acheter/region-surselva</t>
  </si>
  <si>
    <t>Vendre appartement Surselva: Trouvez le bien immobilier qui correspond idéalement à vos désirs sur ImmoScout24 - La plateforme de l'immobilier en Suisse.</t>
  </si>
  <si>
    <t>🏘  L’appartement de vos rêves se trouve sur ImmoScout24.ch ✅ Découvrez les dernières annonces de vente dans la région de Surselva.</t>
  </si>
  <si>
    <t>https://www.immoscout24.ch/fr/appartement/louer/lieu-bure</t>
  </si>
  <si>
    <t>Louer appartement Bure: Trouvez le bien immobilier qui correspond idéalement à vos désirs sur ImmoScout24 - La plateforme de l'immobilier en Suisse.</t>
  </si>
  <si>
    <t>🏘  Vous cherchez un appartement à louer à Bure? ✅ Les annonces les plus actuelles sont sur ImmoScout24.ch.</t>
  </si>
  <si>
    <t>https://www.immoscout24.ch/fr/maison/acheter/lieu-ronco-sopra-ascona</t>
  </si>
  <si>
    <t>Vendre maison Ronco sopra Ascona: Trouvez le bien immobilier qui correspond idéalement à vos désirs sur ImmoScout24 - La plateforme de l'immobilier en Suisse.</t>
  </si>
  <si>
    <t>🏘  Vous souhaitez acheter une maison à Ronco sopra Ascona? ✅ Jetez un œil aux dernières offres sur ImmoScout24.ch.</t>
  </si>
  <si>
    <t>https://www.immoscout24.ch/fr/appartement/louer/lieu-veysonnaz</t>
  </si>
  <si>
    <t>Louer appartement Veysonnaz: Trouvez le bien immobilier qui correspond idéalement à vos désirs sur ImmoScout24 - La plateforme de l'immobilier en Suisse.</t>
  </si>
  <si>
    <t>🏘  Vous cherchez un appartement à louer à Veysonnaz? ✅ Les annonces les plus actuelles sont sur ImmoScout24.ch.</t>
  </si>
  <si>
    <t>https://www.immoscout24.ch/fr/maison/acheter/region-lavaux-vevey</t>
  </si>
  <si>
    <t>Vendre maison Lavaux - Vevey: Trouvez le bien immobilier qui correspond idéalement à vos désirs sur ImmoScout24 - La plateforme de l'immobilier en Suisse.</t>
  </si>
  <si>
    <t>🏘  Vous souhaitez acheter une maison dans la région de Lavaux - Vevey? ✅ Jetez un œil aux dernières offres sur ImmoScout24.ch.</t>
  </si>
  <si>
    <t>https://www.immoscout24.ch/fr/appartement/louer/lieu-naz</t>
  </si>
  <si>
    <t>Louer appartement Naz: Trouvez le bien immobilier qui correspond idéalement à vos désirs sur ImmoScout24 - La plateforme de l'immobilier en Suisse.</t>
  </si>
  <si>
    <t>🏘  Vous cherchez un appartement à louer à Naz? ✅ Les annonces les plus actuelles sont sur ImmoScout24.ch.</t>
  </si>
  <si>
    <t>https://www.immoscout24.ch/fr/appartement/acheter/lieu-breitenbach</t>
  </si>
  <si>
    <t>Vendre appartement Breitenbach: Trouvez le bien immobilier qui correspond idéalement à vos désirs sur ImmoScout24 - La plateforme de l'immobilier en Suisse.</t>
  </si>
  <si>
    <t>🏘  L’appartement de vos rêves se trouve sur ImmoScout24.ch ✅ Découvrez les dernières annonces de vente à Breitenbach.</t>
  </si>
  <si>
    <t>https://www.immoscout24.ch/fr/maison/acheter/lieu-roethenbach-im-emmental</t>
  </si>
  <si>
    <t>Vendre maison Röthenbach im Emmental: Trouvez le bien immobilier qui correspond idéalement à vos désirs sur ImmoScout24 - La plateforme de l'immobilier en Suisse.</t>
  </si>
  <si>
    <t>🏘  Vous souhaitez acheter une maison à Röthenbach im Emmental? ✅ Jetez un œil aux dernières offres sur ImmoScout24.ch.</t>
  </si>
  <si>
    <t>https://www.immoscout24.ch/fr/maison/acheter/lieu-noiraigue</t>
  </si>
  <si>
    <t>Vendre maison Noiraigue: Trouvez le bien immobilier qui correspond idéalement à vos désirs sur ImmoScout24 - La plateforme de l'immobilier en Suisse.</t>
  </si>
  <si>
    <t>🏘  Vous souhaitez acheter une maison à Noiraigue? ✅ Jetez un œil aux dernières offres sur ImmoScout24.ch.</t>
  </si>
  <si>
    <t>https://www.immoscout24.ch/fr/appartement/acheter/lieu-villars-sur-glane</t>
  </si>
  <si>
    <t>Vendre appartement Villars-sur-Glâne: Trouvez le bien immobilier qui correspond idéalement à vos désirs sur ImmoScout24 - La plateforme de l'immobilier en Suisse.</t>
  </si>
  <si>
    <t>🏘  L’appartement de vos rêves se trouve sur ImmoScout24.ch ✅ Découvrez les dernières annonces de vente à Villars-sur-Glâne.</t>
  </si>
  <si>
    <t>https://www.immoscout24.ch/fr/appartement/louer/lieu-st-margrethen-sg</t>
  </si>
  <si>
    <t>Louer appartement St. Margrethen SG: Trouvez le bien immobilier qui correspond idéalement à vos désirs sur ImmoScout24 - La plateforme de l'immobilier en Suisse.</t>
  </si>
  <si>
    <t>🏘  Vous cherchez un appartement à louer à St. Margrethen SG? ✅ Les annonces les plus actuelles sont sur ImmoScout24.ch.</t>
  </si>
  <si>
    <t>https://www.immoscout24.ch/fr/maison/acheter/lieu-luzern</t>
  </si>
  <si>
    <t>Vendre maison Luzern: Trouvez le bien immobilier qui correspond idéalement à vos désirs sur ImmoScout24 - La plateforme de l'immobilier en Suisse.</t>
  </si>
  <si>
    <t>🏘  Vous souhaitez acheter une maison à Luzern? ✅ Jetez un œil aux dernières offres sur ImmoScout24.ch.</t>
  </si>
  <si>
    <t>https://www.immoscout24.ch/fr/appartement/louer/lieu-rechy</t>
  </si>
  <si>
    <t>Louer appartement Réchy: Trouvez le bien immobilier qui correspond idéalement à vos désirs sur ImmoScout24 - La plateforme de l'immobilier en Suisse.</t>
  </si>
  <si>
    <t>🏘  Vous cherchez un appartement à louer à Réchy? ✅ Les annonces les plus actuelles sont sur ImmoScout24.ch.</t>
  </si>
  <si>
    <t>https://www.immoscout24.ch/fr/appartement/louer/lieu-ipsach</t>
  </si>
  <si>
    <t>Louer appartement Ipsach: Trouvez le bien immobilier qui correspond idéalement à vos désirs sur ImmoScout24 - La plateforme de l'immobilier en Suisse.</t>
  </si>
  <si>
    <t>🏘  Vous cherchez un appartement à louer à Ipsach? ✅ Les annonces les plus actuelles sont sur ImmoScout24.ch.</t>
  </si>
  <si>
    <t>https://www.immoscout24.ch/fr/maison/acheter/lieu-heerbrugg</t>
  </si>
  <si>
    <t>Vendre maison Heerbrugg: Trouvez le bien immobilier qui correspond idéalement à vos désirs sur ImmoScout24 - La plateforme de l'immobilier en Suisse.</t>
  </si>
  <si>
    <t>🏘  Vous souhaitez acheter une maison à Heerbrugg? ✅ Jetez un œil aux dernières offres sur ImmoScout24.ch.</t>
  </si>
  <si>
    <t>https://www.immoscout24.ch/fr/appartement/acheter/region-lausanne-et-environs</t>
  </si>
  <si>
    <t>Vendre appartement Lausanne et environs: Trouvez le bien immobilier qui correspond idéalement à vos désirs sur ImmoScout24 - La plateforme de l'immobilier en Suisse.</t>
  </si>
  <si>
    <t>🏘  L’appartement de vos rêves se trouve sur ImmoScout24.ch ✅ Découvrez les dernières annonces de vente à Lausanne et environs.</t>
  </si>
  <si>
    <t>https://www.immoscout24.ch/fr/maison/acheter/quartier-castagnola-lugano</t>
  </si>
  <si>
    <t>Vendre maison Castagnola (Lugano): Trouvez le bien immobilier qui correspond idéalement à vos désirs sur ImmoScout24 - La plateforme de l'immobilier en Suisse.</t>
  </si>
  <si>
    <t>🏘  Vous souhaitez acheter une maison dans le quartier de Castagnola (Lugano)? ✅ Jetez un œil aux dernières offres sur ImmoScout24.ch.</t>
  </si>
  <si>
    <t>https://www.immoscout24.ch/fr/appartement/acheter/lieu-piazzogna</t>
  </si>
  <si>
    <t>Vendre appartement Piazzogna: Trouvez le bien immobilier qui correspond idéalement à vos désirs sur ImmoScout24 - La plateforme de l'immobilier en Suisse.</t>
  </si>
  <si>
    <t>🏘  L’appartement de vos rêves se trouve sur ImmoScout24.ch ✅ Découvrez les dernières annonces de vente à Piazzogna.</t>
  </si>
  <si>
    <t>https://www.immoscout24.ch/fr/appartement/louer/lieu-russy</t>
  </si>
  <si>
    <t>Louer appartement Russy: Trouvez le bien immobilier qui correspond idéalement à vos désirs sur ImmoScout24 - La plateforme de l'immobilier en Suisse.</t>
  </si>
  <si>
    <t>🏘  Vous cherchez un appartement à louer à Russy? ✅ Les annonces les plus actuelles sont sur ImmoScout24.ch.</t>
  </si>
  <si>
    <t>https://www.immoscout24.ch/fr/appartement/louer/lieu-mies</t>
  </si>
  <si>
    <t>Louer appartement Mies: Trouvez le bien immobilier qui correspond idéalement à vos désirs sur ImmoScout24 - La plateforme de l'immobilier en Suisse.</t>
  </si>
  <si>
    <t>🏘  Vous cherchez un appartement à louer à Mies? ✅ Les annonces les plus actuelles sont sur ImmoScout24.ch.</t>
  </si>
  <si>
    <t>https://www.immoscout24.ch/fr/maison/acheter/lieu-diesse</t>
  </si>
  <si>
    <t>Vendre maison Diesse: Trouvez le bien immobilier qui correspond idéalement à vos désirs sur ImmoScout24 - La plateforme de l'immobilier en Suisse.</t>
  </si>
  <si>
    <t>🏘  Vous souhaitez acheter une maison à Diesse? ✅ Jetez un œil aux dernières offres sur ImmoScout24.ch.</t>
  </si>
  <si>
    <t>https://www.immoscout24.ch/fr/appartement/louer/lieu-gempen</t>
  </si>
  <si>
    <t>Louer appartement Gempen: Trouvez le bien immobilier qui correspond idéalement à vos désirs sur ImmoScout24 - La plateforme de l'immobilier en Suisse.</t>
  </si>
  <si>
    <t>🏘  Vous cherchez un appartement à louer à Gempen? ✅ Les annonces les plus actuelles sont sur ImmoScout24.ch.</t>
  </si>
  <si>
    <t>https://www.immoscout24.ch/fr/appartement/louer/lieu-lanzenhaeusern</t>
  </si>
  <si>
    <t>Louer appartement Lanzenhäusern: Trouvez le bien immobilier qui correspond idéalement à vos désirs sur ImmoScout24 - La plateforme de l'immobilier en Suisse.</t>
  </si>
  <si>
    <t>🏘  Vous cherchez un appartement à louer à Lanzenhäusern? ✅ Les annonces les plus actuelles sont sur ImmoScout24.ch.</t>
  </si>
  <si>
    <t>https://www.immoscout24.ch/fr/maison/louer/lieu-bouveret</t>
  </si>
  <si>
    <t>Louer maison Bouveret: Trouvez le bien immobilier qui correspond idéalement à vos désirs sur ImmoScout24 - La plateforme de l'immobilier en Suisse.</t>
  </si>
  <si>
    <t>🏘  Vous cherchez une maison à louer à Bouveret? ✅ Découvrez nos nombreuses annonces sur ImmoScout24.ch.</t>
  </si>
  <si>
    <t>https://www.immoscout24.ch/fr/maison/acheter/lieu-echandens</t>
  </si>
  <si>
    <t>Vendre maison Echandens: Trouvez le bien immobilier qui correspond idéalement à vos désirs sur ImmoScout24 - La plateforme de l'immobilier en Suisse.</t>
  </si>
  <si>
    <t>🏘  Vous souhaitez acheter une maison à Echandens? ✅ Jetez un œil aux dernières offres sur ImmoScout24.ch.</t>
  </si>
  <si>
    <t>https://www.immoscout24.ch/fr/maison/louer/quartier-bruggen-st-gall</t>
  </si>
  <si>
    <t>Louer maison Bruggen (St-Gall): Trouvez le bien immobilier qui correspond idéalement à vos désirs sur ImmoScout24 - La plateforme de l'immobilier en Suisse.</t>
  </si>
  <si>
    <t>🏘  Vous cherchez une maison à louer dans le quartier de Bruggen (St-Gall)? ✅ Découvrez nos nombreuses annonces sur ImmoScout24.ch.</t>
  </si>
  <si>
    <t>https://www.immoscout24.ch/fr/maison/acheter/lieu-saubraz</t>
  </si>
  <si>
    <t>Vendre maison Saubraz: Trouvez le bien immobilier qui correspond idéalement à vos désirs sur ImmoScout24 - La plateforme de l'immobilier en Suisse.</t>
  </si>
  <si>
    <t>🏘  Vous souhaitez acheter une maison à Saubraz? ✅ Jetez un œil aux dernières offres sur ImmoScout24.ch.</t>
  </si>
  <si>
    <t>https://www.immoscout24.ch/fr/appartement/louer/lieu-blitzingen</t>
  </si>
  <si>
    <t>Louer appartement Blitzingen: Trouvez le bien immobilier qui correspond idéalement à vos désirs sur ImmoScout24 - La plateforme de l'immobilier en Suisse.</t>
  </si>
  <si>
    <t>🏘  Vous cherchez un appartement à louer à Blitzingen? ✅ Les annonces les plus actuelles sont sur ImmoScout24.ch.</t>
  </si>
  <si>
    <t>https://www.immoscout24.ch/fr/appartement/acheter/lieu-cartigny</t>
  </si>
  <si>
    <t>Vendre appartement Cartigny: Trouvez le bien immobilier qui correspond idéalement à vos désirs sur ImmoScout24 - La plateforme de l'immobilier en Suisse.</t>
  </si>
  <si>
    <t>🏘  L’appartement de vos rêves se trouve sur ImmoScout24.ch ✅ Découvrez les dernières annonces de vente à Cartigny.</t>
  </si>
  <si>
    <t>https://www.immoscout24.ch/fr/appartement/louer/lieu-reutigen</t>
  </si>
  <si>
    <t>Louer appartement Reutigen: Trouvez le bien immobilier qui correspond idéalement à vos désirs sur ImmoScout24 - La plateforme de l'immobilier en Suisse.</t>
  </si>
  <si>
    <t>🏘  Vous cherchez un appartement à louer à Reutigen? ✅ Les annonces les plus actuelles sont sur ImmoScout24.ch.</t>
  </si>
  <si>
    <t>https://www.immoscout24.ch/fr/maison/acheter/lieu-henniez</t>
  </si>
  <si>
    <t>Vendre maison Henniez: Trouvez le bien immobilier qui correspond idéalement à vos désirs sur ImmoScout24 - La plateforme de l'immobilier en Suisse.</t>
  </si>
  <si>
    <t>🏘  Vous souhaitez acheter une maison à Henniez? ✅ Jetez un œil aux dernières offres sur ImmoScout24.ch.</t>
  </si>
  <si>
    <t>https://www.immoscout24.ch/fr/maison/acheter/lieu-wilen-sarnen</t>
  </si>
  <si>
    <t>Vendre maison Wilen (Sarnen): Trouvez le bien immobilier qui correspond idéalement à vos désirs sur ImmoScout24 - La plateforme de l'immobilier en Suisse.</t>
  </si>
  <si>
    <t>🏘  Vous souhaitez acheter une maison à Wilen (Sarnen)? ✅ Jetez un œil aux dernières offres sur ImmoScout24.ch.</t>
  </si>
  <si>
    <t>https://www.immoscout24.ch/fr/maison/acheter/lieu-burg-im-leimental</t>
  </si>
  <si>
    <t>Vendre maison Burg im Leimental: Trouvez le bien immobilier qui correspond idéalement à vos désirs sur ImmoScout24 - La plateforme de l'immobilier en Suisse.</t>
  </si>
  <si>
    <t>🏘  Vous souhaitez acheter une maison à Burg im Leimental? ✅ Jetez un œil aux dernières offres sur ImmoScout24.ch.</t>
  </si>
  <si>
    <t>https://www.immoscout24.ch/fr/maison/louer/lieu-montreux</t>
  </si>
  <si>
    <t>Louer maison Montreux: Trouvez le bien immobilier qui correspond idéalement à vos désirs sur ImmoScout24 - La plateforme de l'immobilier en Suisse.</t>
  </si>
  <si>
    <t>🏘  Vous cherchez une maison à louer à Montreux? ✅ Découvrez nos nombreuses annonces sur ImmoScout24.ch.</t>
  </si>
  <si>
    <t>https://www.immoscout24.ch/fr/maison/louer/lieu-beuson-nendaz</t>
  </si>
  <si>
    <t>Louer maison Beuson (Nendaz): Trouvez le bien immobilier qui correspond idéalement à vos désirs sur ImmoScout24 - La plateforme de l'immobilier en Suisse.</t>
  </si>
  <si>
    <t>🏘  Vous cherchez une maison à louer à Beuson (Nendaz)? ✅ Découvrez nos nombreuses annonces sur ImmoScout24.ch.</t>
  </si>
  <si>
    <t>https://www.immoscout24.ch/fr/maison/acheter/lieu-biezwil</t>
  </si>
  <si>
    <t>Vendre maison Biezwil: Trouvez le bien immobilier qui correspond idéalement à vos désirs sur ImmoScout24 - La plateforme de l'immobilier en Suisse.</t>
  </si>
  <si>
    <t>🏘  Vous souhaitez acheter une maison à Biezwil? ✅ Jetez un œil aux dernières offres sur ImmoScout24.ch.</t>
  </si>
  <si>
    <t>https://www.immoscout24.ch/fr/appartement/louer/lieu-villette-lavaux</t>
  </si>
  <si>
    <t>Louer appartement Villette (Lavaux): Trouvez le bien immobilier qui correspond idéalement à vos désirs sur ImmoScout24 - La plateforme de l'immobilier en Suisse.</t>
  </si>
  <si>
    <t>🏘  Vous cherchez un appartement à louer à Villette (Lavaux)? ✅ Les annonces les plus actuelles sont sur ImmoScout24.ch.</t>
  </si>
  <si>
    <t>https://www.immoscout24.ch/fr/appartement/acheter/lieu-sigriswil</t>
  </si>
  <si>
    <t>Vendre appartement Sigriswil: Trouvez le bien immobilier qui correspond idéalement à vos désirs sur ImmoScout24 - La plateforme de l'immobilier en Suisse.</t>
  </si>
  <si>
    <t>🏘  L’appartement de vos rêves se trouve sur ImmoScout24.ch ✅ Découvrez les dernières annonces de vente à Sigriswil.</t>
  </si>
  <si>
    <t>https://www.immoscout24.ch/fr/appartement/louer/lieu-les-geneveys-sur-coffrane</t>
  </si>
  <si>
    <t>Louer appartement Les Geneveys-sur-Coffrane: Trouvez le bien immobilier qui correspond idéalement à vos désirs sur ImmoScout24 - La plateforme de l'immobilier en Suisse.</t>
  </si>
  <si>
    <t>🏘  Vous cherchez un appartement à louer aux Geneveys-sur-Coffrane? ✅ Les annonces les plus actuelles sont sur ImmoScout24.ch.</t>
  </si>
  <si>
    <t>https://www.immoscout24.ch/fr/maison/acheter/lieu-mund</t>
  </si>
  <si>
    <t>Vendre maison Mund: Trouvez le bien immobilier qui correspond idéalement à vos désirs sur ImmoScout24 - La plateforme de l'immobilier en Suisse.</t>
  </si>
  <si>
    <t>🏘  Vous souhaitez acheter une maison à Mund? ✅ Jetez un œil aux dernières offres sur ImmoScout24.ch.</t>
  </si>
  <si>
    <t>https://www.immoscout24.ch/fr/maison/acheter/lieu-arlesheim</t>
  </si>
  <si>
    <t>Vendre maison Arlesheim: Trouvez le bien immobilier qui correspond idéalement à vos désirs sur ImmoScout24 - La plateforme de l'immobilier en Suisse.</t>
  </si>
  <si>
    <t>🏘  Vous souhaitez acheter une maison à Arlesheim? ✅ Jetez un œil aux dernières offres sur ImmoScout24.ch.</t>
  </si>
  <si>
    <t>https://www.immoscout24.ch/fr/appartement/louer/lieu-cheseaux-sur-lausanne</t>
  </si>
  <si>
    <t>Louer appartement Cheseaux-sur-Lausanne: Trouvez le bien immobilier qui correspond idéalement à vos désirs sur ImmoScout24 - La plateforme de l'immobilier en Suisse.</t>
  </si>
  <si>
    <t>🏘  Vous cherchez un appartement à louer à Cheseaux-sur-Lausanne? ✅ Les annonces les plus actuelles sont sur ImmoScout24.ch.</t>
  </si>
  <si>
    <t>https://www.immoscout24.ch/fr/appartement/louer/lieu-les-verrieres</t>
  </si>
  <si>
    <t>Louer appartement Les Verrières: Trouvez le bien immobilier qui correspond idéalement à vos désirs sur ImmoScout24 - La plateforme de l'immobilier en Suisse.</t>
  </si>
  <si>
    <t>🏘  Vous cherchez un appartement à louer aux Verrières? ✅ Les annonces les plus actuelles sont sur ImmoScout24.ch.</t>
  </si>
  <si>
    <t>https://www.immoscout24.ch/fr/maison/acheter/lieu-interlaken</t>
  </si>
  <si>
    <t>Vendre maison Interlaken: Trouvez le bien immobilier qui correspond idéalement à vos désirs sur ImmoScout24 - La plateforme de l'immobilier en Suisse.</t>
  </si>
  <si>
    <t>🏘  Vous souhaitez acheter une maison à Interlaken? ✅ Jetez un œil aux dernières offres sur ImmoScout24.ch.</t>
  </si>
  <si>
    <t>https://www.immoscout24.ch/fr/appartement/louer/lieu-endingen</t>
  </si>
  <si>
    <t>Louer appartement Endingen: Trouvez le bien immobilier qui correspond idéalement à vos désirs sur ImmoScout24 - La plateforme de l'immobilier en Suisse.</t>
  </si>
  <si>
    <t>🏘  Vous cherchez un appartement à louer à Endingen? ✅ Les annonces les plus actuelles sont sur ImmoScout24.ch.</t>
  </si>
  <si>
    <t>https://www.immoscout24.ch/fr/maison/acheter/lieu-wuerenlingen</t>
  </si>
  <si>
    <t>Vendre maison Würenlingen: Trouvez le bien immobilier qui correspond idéalement à vos désirs sur ImmoScout24 - La plateforme de l'immobilier en Suisse.</t>
  </si>
  <si>
    <t>🏘  Vous souhaitez acheter une maison à Würenlingen? ✅ Jetez un œil aux dernières offres sur ImmoScout24.ch.</t>
  </si>
  <si>
    <t>https://www.immoscout24.ch/fr/appartement/louer/lieu-fiesch</t>
  </si>
  <si>
    <t>Louer appartement Fiesch: Trouvez le bien immobilier qui correspond idéalement à vos désirs sur ImmoScout24 - La plateforme de l'immobilier en Suisse.</t>
  </si>
  <si>
    <t>🏘  Vous cherchez un appartement à louer à Fiesch? ✅ Les annonces les plus actuelles sont sur ImmoScout24.ch.</t>
  </si>
  <si>
    <t>https://www.immoscout24.ch/fr/maison/acheter/canton-neuchatel</t>
  </si>
  <si>
    <t>Vendre maison Canton de Neuchâtel: Trouvez le bien immobilier qui correspond idéalement à vos désirs sur ImmoScout24 - La plateforme de l'immobilier en Suisse.</t>
  </si>
  <si>
    <t>🏘  Vous souhaitez acheter une maison dans le Canton de Neuchâtel? ✅ Jetez un œil aux dernières offres sur ImmoScout24.ch.</t>
  </si>
  <si>
    <t>https://www.immoscout24.ch/fr/appartement/acheter/quartier-vallon-bethusy-lausanne</t>
  </si>
  <si>
    <t>Vendre appartement Vallon - Béthusy (Lausanne):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</si>
  <si>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 Vallon - Béthusy (Lausanne).</t>
  </si>
  <si>
    <t>https://www.immoscout24.ch/fr/maison/acheter/lieu-st-cergue</t>
  </si>
  <si>
    <t>Vendre maison St-Cergue: Trouvez le bien immobilier qui correspond idéalement à vos désirs sur ImmoScout24 - La plateforme de l'immobilier en Suisse.</t>
  </si>
  <si>
    <t>🏘  Vous souhaitez acheter une maison à St-Cergue? ✅ Jetez un œil aux dernières offres sur ImmoScout24.ch.</t>
  </si>
  <si>
    <t>https://www.immoscout24.ch/fr/appartement/louer/lieu-les-collons</t>
  </si>
  <si>
    <t>Louer appartement Les Collons: Trouvez le bien immobilier qui correspond idéalement à vos désirs sur ImmoScout24 - La plateforme de l'immobilier en Suisse.</t>
  </si>
  <si>
    <t>🏘  Vous cherchez un appartement à louer aux Collons? ✅ Les annonces les plus actuelles sont sur ImmoScout24.ch.</t>
  </si>
  <si>
    <t>https://www.immoscout24.ch/fr/maison/acheter/lieu-oberhallau</t>
  </si>
  <si>
    <t>Vendre maison Oberhallau: Trouvez le bien immobilier qui correspond idéalement à vos désirs sur ImmoScout24 - La plateforme de l'immobilier en Suisse.</t>
  </si>
  <si>
    <t>🏘  Vous souhaitez acheter une maison à Oberhallau? ✅ Jetez un œil aux dernières offres sur ImmoScout24.ch.</t>
  </si>
  <si>
    <t>https://www.immoscout24.ch/fr/maison/acheter/lieu-champvent</t>
  </si>
  <si>
    <t>Vendre maison Champvent: Trouvez le bien immobilier qui correspond idéalement à vos désirs sur ImmoScout24 - La plateforme de l'immobilier en Suisse.</t>
  </si>
  <si>
    <t>🏘  Vous souhaitez acheter une maison à Champvent? ✅ Jetez un œil aux dernières offres sur ImmoScout24.ch.</t>
  </si>
  <si>
    <t>https://www.immoscout24.ch/fr/appartement/louer/lieu-wallenwil</t>
  </si>
  <si>
    <t>Louer appartement Wallenwil: Trouvez le bien immobilier qui correspond idéalement à vos désirs sur ImmoScout24 - La plateforme de l'immobilier en Suisse.</t>
  </si>
  <si>
    <t>🏘  Vous cherchez un appartement à louer à Wallenwil? ✅ Les annonces les plus actuelles sont sur ImmoScout24.ch.</t>
  </si>
  <si>
    <t>https://www.immoscout24.ch/fr/maison/louer/lieu-monthey</t>
  </si>
  <si>
    <t>Louer maison Monthey: Trouvez le bien immobilier qui correspond idéalement à vos désirs sur ImmoScout24 - La plateforme de l'immobilier en Suisse.</t>
  </si>
  <si>
    <t>🏘  Vous cherchez une maison à louer à Monthey? ✅ Découvrez nos nombreuses annonces sur ImmoScout24.ch.</t>
  </si>
  <si>
    <t>https://www.immoscout24.ch/fr/appartement/acheter/pays-allemagne</t>
  </si>
  <si>
    <t>Vendre appartement Allemagne: Trouvez le bien immobilier qui correspond idéalement à vos désirs sur ImmoScout24 - La plateforme de l'immobilier en Suisse.</t>
  </si>
  <si>
    <t>🏘  Vous cherchez un appartement à louer en Allemagne? ✅ Les annonces les plus actuelles sont sur ImmoScout24.ch.</t>
  </si>
  <si>
    <t>https://www.immoscout24.ch/fr/appartement/louer/lieu-fey</t>
  </si>
  <si>
    <t>Louer appartement Fey: Trouvez le bien immobilier qui correspond idéalement à vos désirs sur ImmoScout24 - La plateforme de l'immobilier en Suisse.</t>
  </si>
  <si>
    <t>🏘  Vous cherchez un appartement à louer à Fey? ✅ Les annonces les plus actuelles sont sur ImmoScout24.ch.</t>
  </si>
  <si>
    <t>https://www.immoscout24.ch/fr/appartement/louer/lieu-bettens</t>
  </si>
  <si>
    <t>Louer appartement Bettens: Trouvez le bien immobilier qui correspond idéalement à vos désirs sur ImmoScout24 - La plateforme de l'immobilier en Suisse.</t>
  </si>
  <si>
    <t>🏘  Vous cherchez un appartement à louer à Bettens? ✅ Les annonces les plus actuelles sont sur ImmoScout24.ch.</t>
  </si>
  <si>
    <t>https://www.immoscout24.ch/fr/maison/acheter/lieu-gansingen</t>
  </si>
  <si>
    <t>Vendre maison Gansingen: Trouvez le bien immobilier qui correspond idéalement à vos désirs sur ImmoScout24 - La plateforme de l'immobilier en Suisse.</t>
  </si>
  <si>
    <t>🏘  Vous souhaitez acheter une maison à Gansingen? ✅ Jetez un œil aux dernières offres sur ImmoScout24.ch.</t>
  </si>
  <si>
    <t>https://www.immoscout24.ch/fr/appartement/acheter/lieu-malans-gr</t>
  </si>
  <si>
    <t>Vendre appartement Malans GR: Trouvez le bien immobilier qui correspond idéalement à vos désirs sur ImmoScout24 - La plateforme de l'immobilier en Suisse.</t>
  </si>
  <si>
    <t>🏘  L’appartement de vos rêves se trouve sur ImmoScout24.ch ✅ Découvrez les dernières annonces de vente à Malans GR.</t>
  </si>
  <si>
    <t>https://www.immoscout24.ch/fr/appartement/louer/lieu-kuesnacht-zh</t>
  </si>
  <si>
    <t>Louer appartement Küsnacht ZH: Trouvez le bien immobilier qui correspond idéalement à vos désirs sur ImmoScout24 - La plateforme de l'immobilier en Suisse.</t>
  </si>
  <si>
    <t>🏘  Vous cherchez un appartement à louer à Küsnacht ZH? ✅ Les annonces les plus actuelles sont sur ImmoScout24.ch.</t>
  </si>
  <si>
    <t>https://www.immoscout24.ch/fr/appartement/louer/lieu-effretikon</t>
  </si>
  <si>
    <t>Louer appartement Effretikon: Trouvez le bien immobilier qui correspond idéalement à vos désirs sur ImmoScout24 - La plateforme de l'immobilier en Suisse.</t>
  </si>
  <si>
    <t>🏘  Vous cherchez un appartement à louer à Effretikon? ✅ Les annonces les plus actuelles sont sur ImmoScout24.ch.</t>
  </si>
  <si>
    <t>https://www.immoscout24.ch/fr/maison/louer/lieu-fuellinsdorf</t>
  </si>
  <si>
    <t>Louer maison Füllinsdorf: Trouvez le bien immobilier qui correspond idéalement à vos désirs sur ImmoScout24 - La plateforme de l'immobilier en Suisse.</t>
  </si>
  <si>
    <t>🏘  Vous cherchez une maison à louer à Füllinsdorf? ✅ Découvrez nos nombreuses annonces sur ImmoScout24.ch.</t>
  </si>
  <si>
    <t>https://www.immoscout24.ch/fr/appartement/acheter/lieu-bonaduz</t>
  </si>
  <si>
    <t>Vendre appartement Bonaduz: Trouvez le bien immobilier qui correspond idéalement à vos désirs sur ImmoScout24 - La plateforme de l'immobilier en Suisse.</t>
  </si>
  <si>
    <t>🏘  L’appartement de vos rêves se trouve sur ImmoScout24.ch ✅ Découvrez les dernières annonces de vente à Bonaduz.</t>
  </si>
  <si>
    <t>https://www.immoscout24.ch/fr/maison/louer/quartier-montoie-bourdonette-lausanne</t>
  </si>
  <si>
    <t>Louer maison Montoie - Bourdonette (Lausanne): Trouvez le bien immobilier qui correspond idéalement à vos désirs sur ImmoScout24 - La plateforme de l'immobilier en Suisse.</t>
  </si>
  <si>
    <t>🏘  Vous cherchez une maison à louer dans le quartier de Montoie - Bourdonette (Lausanne)? ✅ Découvrez nos nombreuses annonces sur ImmoScout24.ch.</t>
  </si>
  <si>
    <t>https://www.immoscout24.ch/fr/appartement/louer/lieu-beatenberg</t>
  </si>
  <si>
    <t>Louer appartement Beatenberg: Trouvez le bien immobilier qui correspond idéalement à vos désirs sur ImmoScout24 - La plateforme de l'immobilier en Suisse.</t>
  </si>
  <si>
    <t>🏘  Vous cherchez un appartement à louer à Beatenberg? ✅ Les annonces les plus actuelles sont sur ImmoScout24.ch.</t>
  </si>
  <si>
    <t>https://www.immoscout24.ch/fr/maison/acheter/lieu-niederwil-ag</t>
  </si>
  <si>
    <t>Vendre maison Niederwil AG: Trouvez le bien immobilier qui correspond idéalement à vos désirs sur ImmoScout24 - La plateforme de l'immobilier en Suisse.</t>
  </si>
  <si>
    <t>🏘  Vous souhaitez acheter une maison à Niederwil AG? ✅ Jetez un œil aux dernières offres sur ImmoScout24.ch.</t>
  </si>
  <si>
    <t>https://www.immoscout24.ch/fr/appartement/louer/lieu-zumholz</t>
  </si>
  <si>
    <t>Louer appartement Zumholz: Trouvez le bien immobilier qui correspond idéalement à vos désirs sur ImmoScout24 - La plateforme de l'immobilier en Suisse.</t>
  </si>
  <si>
    <t>🏘  Vous cherchez un appartement à louer à Zumholz? ✅ Les annonces les plus actuelles sont sur ImmoScout24.ch.</t>
  </si>
  <si>
    <t>https://www.immoscout24.ch/fr/appartement/louer/lieu-villars-sous-champvent</t>
  </si>
  <si>
    <t>Louer appartement Villars-sous-Champvent: Trouvez le bien immobilier qui correspond idéalement à vos désirs sur ImmoScout24 - La plateforme de l'immobilier en Suisse.</t>
  </si>
  <si>
    <t>🏘  Vous cherchez un appartement à louer à Villars-sous-Champvent? ✅ Les annonces les plus actuelles sont sur ImmoScout24.ch.</t>
  </si>
  <si>
    <t>https://www.immoscout24.ch/fr/appartement/acheter/lieu-belmont-sur-lausanne</t>
  </si>
  <si>
    <t>Vendre appartement Belmont-sur-Lausanne: Trouvez le bien immobilier qui correspond idéalement à vos désirs sur ImmoScout24 - La plateforme de l'immobilier en Suisse.</t>
  </si>
  <si>
    <t>🏘  L’appartement de vos rêves se trouve sur ImmoScout24.ch ✅ Découvrez les dernières annonces de vente à Belmont-sur-Lausanne.</t>
  </si>
  <si>
    <t>https://www.immoscout24.ch/fr/appartement/acheter/lieu-villars-sur-ollon</t>
  </si>
  <si>
    <t>Vendre appartement Villars-sur-Ollon: Trouvez le bien immobilier qui correspond idéalement à vos désirs sur ImmoScout24 - La plateforme de l'immobilier en Suisse.</t>
  </si>
  <si>
    <t>🏘  L’appartement de vos rêves se trouve sur ImmoScout24.ch ✅ Découvrez les dernières annonces de vente à Villars-sur-Ollon.</t>
  </si>
  <si>
    <t>https://www.immoscout24.ch/fr/maison/acheter/lieu-arbedo</t>
  </si>
  <si>
    <t>Vendre maison Arbedo: Trouvez le bien immobilier qui correspond idéalement à vos désirs sur ImmoScout24 - La plateforme de l'immobilier en Suisse.</t>
  </si>
  <si>
    <t>🏘  Vous souhaitez acheter une maison à Arbedo? ✅ Jetez un œil aux dernières offres sur ImmoScout24.ch.</t>
  </si>
  <si>
    <t>https://www.immoscout24.ch/fr/appartement/louer/lieu-trient</t>
  </si>
  <si>
    <t>Louer appartement Trient: Trouvez le bien immobilier qui correspond idéalement à vos désirs sur ImmoScout24 - La plateforme de l'immobilier en Suisse.</t>
  </si>
  <si>
    <t>🏘  Vous cherchez un appartement à louer à Trient? ✅ Les annonces les plus actuelles sont sur ImmoScout24.ch.</t>
  </si>
  <si>
    <t>https://www.immoscout24.ch/fr/appartement/acheter/lieu-loveresse</t>
  </si>
  <si>
    <t>Vendre appartement Loveresse: Trouvez le bien immobilier qui correspond idéalement à vos désirs sur ImmoScout24 - La plateforme de l'immobilier en Suisse.</t>
  </si>
  <si>
    <t>🏘  L’appartement de vos rêves se trouve sur ImmoScout24.ch ✅ Découvrez les dernières annonces de vente à Loveresse.</t>
  </si>
  <si>
    <t>https://www.immoscout24.ch/fr/maison/acheter/lieu-l-abergement</t>
  </si>
  <si>
    <t>Vendre maison L'Abergement: Trouvez le bien immobilier qui correspond idéalement à vos désirs sur ImmoScout24 - La plateforme de l'immobilier en Suisse.</t>
  </si>
  <si>
    <t>🏘  Vous souhaitez acheter une maison à L'Abergement? ✅ Jetez un œil aux dernières offres sur ImmoScout24.ch.</t>
  </si>
  <si>
    <t>https://www.immoscout24.ch/fr/appartement/acheter/lieu-palezieux</t>
  </si>
  <si>
    <t>Vendre appartement Palézieux: Trouvez le bien immobilier qui correspond idéalement à vos désirs sur ImmoScout24 - La plateforme de l'immobilier en Suisse.</t>
  </si>
  <si>
    <t>🏘  L’appartement de vos rêves se trouve sur ImmoScout24.ch ✅ Découvrez les dernières annonces de vente à Palézieux.</t>
  </si>
  <si>
    <t>https://www.immoscout24.ch/fr/appartement/louer/lieu-bauma</t>
  </si>
  <si>
    <t>Louer appartement Bauma: Trouvez le bien immobilier qui correspond idéalement à vos désirs sur ImmoScout24 - La plateforme de l'immobilier en Suisse.</t>
  </si>
  <si>
    <t>🏘  Vous cherchez un appartement à louer à Bauma? ✅ Les annonces les plus actuelles sont sur ImmoScout24.ch.</t>
  </si>
  <si>
    <t>https://www.immoscout24.ch/fr/appartement/acheter/lieu-nax</t>
  </si>
  <si>
    <t>Vendre appartement Nax: Trouvez le bien immobilier qui correspond idéalement à vos désirs sur ImmoScout24 - La plateforme de l'immobilier en Suisse.</t>
  </si>
  <si>
    <t>🏘  L’appartement de vos rêves se trouve sur ImmoScout24.ch ✅ Découvrez les dernières annonces de vente à Nax.</t>
  </si>
  <si>
    <t>https://www.immoscout24.ch/fr/appartement/louer/lieu-cartigny</t>
  </si>
  <si>
    <t>Louer appartement Cartigny: Trouvez le bien immobilier qui correspond idéalement à vos désirs sur ImmoScout24 - La plateforme de l'immobilier en Suisse.</t>
  </si>
  <si>
    <t>🏘  Vous cherchez un appartement à louer à Cartigny? ✅ Les annonces les plus actuelles sont sur ImmoScout24.ch.</t>
  </si>
  <si>
    <t>https://www.immoscout24.ch/fr/maison/acheter/lieu-chermignon</t>
  </si>
  <si>
    <t>Vendre maison Chermignon: Trouvez le bien immobilier qui correspond idéalement à vos désirs sur ImmoScout24 - La plateforme de l'immobilier en Suisse.</t>
  </si>
  <si>
    <t>🏘  Vous souhaitez acheter une maison à Chermignon? ✅ Jetez un œil aux dernières offres sur ImmoScout24.ch.</t>
  </si>
  <si>
    <t>https://www.immoscout24.ch/fr/appartement/acheter/lieu-steffisburg</t>
  </si>
  <si>
    <t>Vendre appartement Steffisburg: Trouvez le bien immobilier qui correspond idéalement à vos désirs sur ImmoScout24 - La plateforme de l'immobilier en Suisse.</t>
  </si>
  <si>
    <t>🏘  L’appartement de vos rêves se trouve sur ImmoScout24.ch ✅ Découvrez les dernières annonces de vente à Steffisburg.</t>
  </si>
  <si>
    <t>https://www.immoscout24.ch/fr/appartement/louer/lieu-seon</t>
  </si>
  <si>
    <t>Louer appartement Seon: Trouvez le bien immobilier qui correspond idéalement à vos désirs sur ImmoScout24 - La plateforme de l'immobilier en Suisse.</t>
  </si>
  <si>
    <t>🏘  Vous cherchez un appartement à louer à Seon? ✅ Les annonces les plus actuelles sont sur ImmoScout24.ch.</t>
  </si>
  <si>
    <t>https://www.immoscout24.ch/fr/maison/acheter/lieu-flaach</t>
  </si>
  <si>
    <t>Vendre maison Flaach: Trouvez le bien immobilier qui correspond idéalement à vos désirs sur ImmoScout24 - La plateforme de l'immobilier en Suisse.</t>
  </si>
  <si>
    <t>🏘  Vous souhaitez acheter une maison à Flaach? ✅ Jetez un œil aux dernières offres sur ImmoScout24.ch.</t>
  </si>
  <si>
    <t>https://www.immoscout24.ch/fr/maison/louer/lieu-lully-fr</t>
  </si>
  <si>
    <t>Louer maison Lully FR: Trouvez le bien immobilier qui correspond idéalement à vos désirs sur ImmoScout24 - La plateforme de l'immobilier en Suisse.</t>
  </si>
  <si>
    <t>🏘  Vous cherchez une maison à louer à Lully FR? ✅ Découvrez nos nombreuses annonces sur ImmoScout24.ch.</t>
  </si>
  <si>
    <t>https://www.immoscout24.ch/fr/appartement/acheter/canton-uri</t>
  </si>
  <si>
    <t>Vendre appartement Canton d'Uri: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</si>
  <si>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d'Uri.</t>
  </si>
  <si>
    <t>https://www.immoscout24.ch/fr/appartement/louer/lieu-fontainemelon</t>
  </si>
  <si>
    <t>Louer appartement Fontainemelon: Trouvez le bien immobilier qui correspond idéalement à vos désirs sur ImmoScout24 - La plateforme de l'immobilier en Suisse.</t>
  </si>
  <si>
    <t>🏘  Vous cherchez un appartement à louer à Fontainemelon? ✅ Les annonces les plus actuelles sont sur ImmoScout24.ch.</t>
  </si>
  <si>
    <t>https://www.immoscout24.ch/fr/appartement/louer/lieu-faoug</t>
  </si>
  <si>
    <t>Louer appartement Faoug: Trouvez le bien immobilier qui correspond idéalement à vos désirs sur ImmoScout24 - La plateforme de l'immobilier en Suisse.</t>
  </si>
  <si>
    <t>🏘  Vous cherchez un appartement à louer à Faoug? ✅ Les annonces les plus actuelles sont sur ImmoScout24.ch.</t>
  </si>
  <si>
    <t>https://www.immoscout24.ch/fr/maison/acheter/lieu-lauterbrunnen</t>
  </si>
  <si>
    <t>Vendre maison Lauterbrunnen: Trouvez le bien immobilier qui correspond idéalement à vos désirs sur ImmoScout24 - La plateforme de l'immobilier en Suisse.</t>
  </si>
  <si>
    <t>🏘  Vous souhaitez acheter une maison à Lauterbrunnen? ✅ Jetez un œil aux dernières offres sur ImmoScout24.ch.</t>
  </si>
  <si>
    <t>https://www.immoscout24.ch/fr/maison/acheter/lieu-guttet-feschel</t>
  </si>
  <si>
    <t>Vendre maison Guttet-Feschel: Trouvez le bien immobilier qui correspond idéalement à vos désirs sur ImmoScout24 - La plateforme de l'immobilier en Suisse.</t>
  </si>
  <si>
    <t>🏘  Vous souhaitez acheter une maison à Guttet-Feschel? ✅ Jetez un œil aux dernières offres sur ImmoScout24.ch.</t>
  </si>
  <si>
    <t>https://www.immoscout24.ch/fr/maison/acheter/lieu-fontaine-dessous-liddes</t>
  </si>
  <si>
    <t>Vendre maison Fontaine Dessous (Liddes): Trouvez le bien immobilier qui correspond idéalement à vos désirs sur ImmoScout24 - La plateforme de l'immobilier en Suisse.</t>
  </si>
  <si>
    <t>🏘  Vous souhaitez acheter une maison à Fontaine Dessous (Liddes)? ✅ Jetez un œil aux dernières offres sur ImmoScout24.ch.</t>
  </si>
  <si>
    <t>https://www.immoscout24.ch/fr/appartement/louer/quartier-cassarate-lugano</t>
  </si>
  <si>
    <t>Louer appartement Cassarate (Lugano): Trouvez le bien immobilier qui correspond idéalement à vos désirs sur ImmoScout24 - La plateforme de l'immobilier en Suisse.</t>
  </si>
  <si>
    <t>🏘  Vous cherchez un appartement à louer dans le quartier de Cassarate (Lugano)? ✅ Les annonces les plus actuelles sont sur ImmoScout24.ch.</t>
  </si>
  <si>
    <t>https://www.immoscout24.ch/fr/appartement/louer/region-linthebene-see</t>
  </si>
  <si>
    <t>Louer appartement Linthebene - See: Trouvez le bien immobilier qui correspond idéalement à vos désirs sur ImmoScout24 - La plateforme de l'immobilier en Suisse.</t>
  </si>
  <si>
    <t>🏘  Vous cherchez un appartement à louer dans la vallée de la Linth? ✅ Les annonces les plus actuelles sont sur ImmoScout24.ch.</t>
  </si>
  <si>
    <t>https://www.immoscout24.ch/fr/maison/acheter/lieu-brienz-be</t>
  </si>
  <si>
    <t>Vendre maison Brienz BE: Trouvez le bien immobilier qui correspond idéalement à vos désirs sur ImmoScout24 - La plateforme de l'immobilier en Suisse.</t>
  </si>
  <si>
    <t>🏘  Vous souhaitez acheter une maison à Brienz BE? ✅ Jetez un œil aux dernières offres sur ImmoScout24.ch.</t>
  </si>
  <si>
    <t>https://www.immoscout24.ch/fr/appartement/acheter/quartier-unterstrass-zurich</t>
  </si>
  <si>
    <t>Vendre appartement Unterstrass (Zurich):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</si>
  <si>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d'Unterstrass (Zurich).</t>
  </si>
  <si>
    <t>https://www.immoscout24.ch/fr/maison/acheter/lieu-bourguillon</t>
  </si>
  <si>
    <t>Vendre maison Bourguillon: Trouvez le bien immobilier qui correspond idéalement à vos désirs sur ImmoScout24 - La plateforme de l'immobilier en Suisse.</t>
  </si>
  <si>
    <t>🏘  Vous souhaitez acheter une maison à Bourguillon? ✅ Jetez un œil aux dernières offres sur ImmoScout24.ch.</t>
  </si>
  <si>
    <t>https://www.immoscout24.ch/fr/maison/louer/lieu-bellach</t>
  </si>
  <si>
    <t>Louer maison Bellach: Trouvez le bien immobilier qui correspond idéalement à vos désirs sur ImmoScout24 - La plateforme de l'immobilier en Suisse.</t>
  </si>
  <si>
    <t>🏘  Vous cherchez une maison à louer à Bellach? ✅ Découvrez nos nombreuses annonces sur ImmoScout24.ch.</t>
  </si>
  <si>
    <t>https://www.immoscout24.ch/fr/maison/acheter/lieu-saignelegier</t>
  </si>
  <si>
    <t>Vendre maison Saignelégier: Trouvez le bien immobilier qui correspond idéalement à vos désirs sur ImmoScout24 - La plateforme de l'immobilier en Suisse.</t>
  </si>
  <si>
    <t>🏘  Vous souhaitez acheter une maison à Saignelégier? ✅ Jetez un œil aux dernières offres sur ImmoScout24.ch.</t>
  </si>
  <si>
    <t>https://www.immoscout24.ch/fr/maison/louer/lieu-colombier-ne</t>
  </si>
  <si>
    <t>Louer maison Colombier NE: Trouvez le bien immobilier qui correspond idéalement à vos désirs sur ImmoScout24 - La plateforme de l'immobilier en Suisse.</t>
  </si>
  <si>
    <t>🏘  Vous cherchez une maison à louer à Colombier NE? ✅ Découvrez nos nombreuses annonces sur ImmoScout24.ch.</t>
  </si>
  <si>
    <t>https://www.immoscout24.ch/fr/appartement/acheter/lieu-ennetbuergen</t>
  </si>
  <si>
    <t>Vendre appartement Ennetbürgen: Trouvez le bien immobilier qui correspond idéalement à vos désirs sur ImmoScout24 - La plateforme de l'immobilier en Suisse.</t>
  </si>
  <si>
    <t>🏘  L’appartement de vos rêves se trouve sur ImmoScout24.ch ✅ Découvrez les dernières annonces de vente à Ennetbürgen.</t>
  </si>
  <si>
    <t>https://www.immoscout24.ch/fr/appartement/louer/lieu-couvet</t>
  </si>
  <si>
    <t>Louer appartement Couvet: Trouvez le bien immobilier qui correspond idéalement à vos désirs sur ImmoScout24 - La plateforme de l'immobilier en Suisse.</t>
  </si>
  <si>
    <t>🏘  Vous cherchez un appartement à louer à Couvet? ✅ Les annonces les plus actuelles sont sur ImmoScout24.ch.</t>
  </si>
  <si>
    <t>https://www.immoscout24.ch/fr/appartement/louer/lieu-brig</t>
  </si>
  <si>
    <t>Louer appartement Brig: Trouvez le bien immobilier qui correspond idéalement à vos désirs sur ImmoScout24 - La plateforme de l'immobilier en Suisse.</t>
  </si>
  <si>
    <t>🏘  Vous cherchez un appartement à louer à Brig? ✅ Les annonces les plus actuelles sont sur ImmoScout24.ch.</t>
  </si>
  <si>
    <t>https://www.immoscout24.ch/fr/appartement/acheter/lieu-samnaun-compatsch</t>
  </si>
  <si>
    <t>Vendre appartement Samnaun-Compatsch: Trouvez le bien immobilier qui correspond idéalement à vos désirs sur ImmoScout24 - La plateforme de l'immobilier en Suisse.</t>
  </si>
  <si>
    <t>🏘  L’appartement de vos rêves se trouve sur ImmoScout24.ch ✅ Découvrez les dernières annonces de vente à Samnaun-Compatsch.</t>
  </si>
  <si>
    <t>https://www.immoscout24.ch/fr/maison/acheter/pays-italie</t>
  </si>
  <si>
    <t>Vendre maison Italie: Trouvez le bien immobilier qui correspond idéalement à vos désirs sur ImmoScout24 - La plateforme de l'immobilier en Suisse.</t>
  </si>
  <si>
    <t>https://www.immoscout24.ch/fr/appartement/acheter/lieu-kaltbrunn</t>
  </si>
  <si>
    <t>Vendre appartement Kaltbrunn: Trouvez le bien immobilier qui correspond idéalement à vos désirs sur ImmoScout24 - La plateforme de l'immobilier en Suisse.</t>
  </si>
  <si>
    <t>🏘  L’appartement de vos rêves se trouve sur ImmoScout24.ch ✅ Découvrez les dernières annonces de vente à Kaltbrunn.</t>
  </si>
  <si>
    <t>https://www.immoscout24.ch/fr/appartement/louer/lieu-doettingen</t>
  </si>
  <si>
    <t>Louer appartement Döttingen: Trouvez le bien immobilier qui correspond idéalement à vos désirs sur ImmoScout24 - La plateforme de l'immobilier en Suisse.</t>
  </si>
  <si>
    <t>🏘  Vous cherchez un appartement à louer à Döttingen? ✅ Les annonces les plus actuelles sont sur ImmoScout24.ch.</t>
  </si>
  <si>
    <t>https://www.immoscout24.ch/fr/maison/louer/lieu-appenzell</t>
  </si>
  <si>
    <t>Louer maison Appenzell: Trouvez le bien immobilier qui correspond idéalement à vos désirs sur ImmoScout24 - La plateforme de l'immobilier en Suisse.</t>
  </si>
  <si>
    <t>🏘  Vous cherchez une maison à louer à Appenzell? ✅ Découvrez nos nombreuses annonces sur ImmoScout24.ch.</t>
  </si>
  <si>
    <t>https://www.immoscout24.ch/fr/appartement/acheter/lieu-monte-carasso</t>
  </si>
  <si>
    <t>Vendre appartement Monte Carasso: Trouvez le bien immobilier qui correspond idéalement à vos désirs sur ImmoScout24 - La plateforme de l'immobilier en Suisse.</t>
  </si>
  <si>
    <t>🏘  L’appartement de vos rêves se trouve sur ImmoScout24.ch ✅ Découvrez les dernières annonces de vente à Monte Carasso.</t>
  </si>
  <si>
    <t>https://www.immoscout24.ch/fr/maison/acheter/lieu-charmey-gruyere</t>
  </si>
  <si>
    <t>Vendre maison Charmey (Gruyère): Trouvez le bien immobilier qui correspond idéalement à vos désirs sur ImmoScout24 - La plateforme de l'immobilier en Suisse.</t>
  </si>
  <si>
    <t>🏘  Vous souhaitez acheter une maison à Charmey (Gruyère)? ✅ Jetez un œil aux dernières offres sur ImmoScout24.ch.</t>
  </si>
  <si>
    <t>https://www.immoscout24.ch/fr/maison/acheter/lieu-martigny-croix</t>
  </si>
  <si>
    <t>Vendre maison Martigny-Croix: Trouvez le bien immobilier qui correspond idéalement à vos désirs sur ImmoScout24 - La plateforme de l'immobilier en Suisse.</t>
  </si>
  <si>
    <t>🏘  Vous souhaitez acheter une maison à Martigny-Croix? ✅ Jetez un œil aux dernières offres sur ImmoScout24.ch.</t>
  </si>
  <si>
    <t>https://www.immoscout24.ch/fr/maison/acheter/lieu-sierre</t>
  </si>
  <si>
    <t>Vendre maison Sierre: Trouvez le bien immobilier qui correspond idéalement à vos désirs sur ImmoScout24 - La plateforme de l'immobilier en Suisse.</t>
  </si>
  <si>
    <t>🏘  Vous souhaitez acheter une maison à Sierre? ✅ Jetez un œil aux dernières offres sur ImmoScout24.ch.</t>
  </si>
  <si>
    <t>https://www.immoscout24.ch/fr/appartement/louer/lieu-menieres</t>
  </si>
  <si>
    <t>Louer appartement Ménières: Trouvez le bien immobilier qui correspond idéalement à vos désirs sur ImmoScout24 - La plateforme de l'immobilier en Suisse.</t>
  </si>
  <si>
    <t>🏘  Vous cherchez un appartement à louer à Ménières? ✅ Les annonces les plus actuelles sont sur ImmoScout24.ch.</t>
  </si>
  <si>
    <t>https://www.immoscout24.ch/fr/appartement/acheter/lieu-bevaix</t>
  </si>
  <si>
    <t>Vendre appartement Bevaix: Trouvez le bien immobilier qui correspond idéalement à vos désirs sur ImmoScout24 - La plateforme de l'immobilier en Suisse.</t>
  </si>
  <si>
    <t>🏘  L’appartement de vos rêves se trouve sur ImmoScout24.ch ✅ Découvrez les dernières annonces de vente à Bevaix.</t>
  </si>
  <si>
    <t>https://www.immoscout24.ch/fr/appartement/louer/quartier-gelbes-quartier-berne</t>
  </si>
  <si>
    <t>Louer appartement Gelbes Quartier (Berne): Trouvez le bien immobilier qui correspond idéalement à vos désirs sur ImmoScout24 - La plateforme de l'immobilier en Suisse.</t>
  </si>
  <si>
    <t>🏘  Vous cherchez un appartement à louer dans le Gelbes Quartier? ✅ Les annonces les plus actuelles sont sur ImmoScout24.ch.</t>
  </si>
  <si>
    <t>https://www.immoscout24.ch/fr/appartement/louer/lieu-le-brouillet</t>
  </si>
  <si>
    <t>Louer appartement Le Brouillet: Trouvez le bien immobilier qui correspond idéalement à vos désirs sur ImmoScout24 - La plateforme de l'immobilier en Suisse.</t>
  </si>
  <si>
    <t>🏘  Vous cherchez un appartement à louer au Brouillet? ✅ Les annonces les plus actuelles sont sur ImmoScout24.ch.</t>
  </si>
  <si>
    <t>https://www.immoscout24.ch/fr/appartement/louer/lieu-oberwil-b-zug</t>
  </si>
  <si>
    <t>Louer appartement Oberwil b. Zug: Trouvez le bien immobilier qui correspond idéalement à vos désirs sur ImmoScout24 - La plateforme de l'immobilier en Suisse.</t>
  </si>
  <si>
    <t>🏘  Vous cherchez un appartement à louer à Oberwil b. Zug? ✅ Les annonces les plus actuelles sont sur ImmoScout24.ch.</t>
  </si>
  <si>
    <t>https://www.immoscout24.ch/fr/appartement/louer/lieu-st-imier</t>
  </si>
  <si>
    <t>Louer appartement St-Imier: Trouvez le bien immobilier qui correspond idéalement à vos désirs sur ImmoScout24 - La plateforme de l'immobilier en Suisse.</t>
  </si>
  <si>
    <t>🏘  Vous cherchez un appartement à louer à St-Imier? ✅ Les annonces les plus actuelles sont sur ImmoScout24.ch.</t>
  </si>
  <si>
    <t>https://www.immoscout24.ch/fr/appartement/louer/lieu-wallenried</t>
  </si>
  <si>
    <t>Louer appartement Wallenried: Trouvez le bien immobilier qui correspond idéalement à vos désirs sur ImmoScout24 - La plateforme de l'immobilier en Suisse.</t>
  </si>
  <si>
    <t>🏘  Vous cherchez un appartement à louer à Wallenried? ✅ Les annonces les plus actuelles sont sur ImmoScout24.ch.</t>
  </si>
  <si>
    <t>https://www.immoscout24.ch/fr/appartement/louer/lieu-la-chaux-des-breuleux</t>
  </si>
  <si>
    <t>Louer appartement La Chaux-des-Breuleux: Trouvez le bien immobilier qui correspond idéalement à vos désirs sur ImmoScout24 - La plateforme de l'immobilier en Suisse.</t>
  </si>
  <si>
    <t>🏘  Vous cherchez un appartement à louer à La Chaux-des-Breuleux? ✅ Les annonces les plus actuelles sont sur ImmoScout24.ch.</t>
  </si>
  <si>
    <t>https://www.immoscout24.ch/fr/maison/acheter/lieu-alle</t>
  </si>
  <si>
    <t>Vendre maison Alle: Trouvez le bien immobilier qui correspond idéalement à vos désirs sur ImmoScout24 - La plateforme de l'immobilier en Suisse.</t>
  </si>
  <si>
    <t>🏘  Vous souhaitez acheter une maison à Alle? ✅ Jetez un œil aux dernières offres sur ImmoScout24.ch.</t>
  </si>
  <si>
    <t>https://www.immoscout24.ch/fr/appartement/acheter/lieu-st-saphorin-lavaux</t>
  </si>
  <si>
    <t>Vendre appartement St-Saphorin (Lavaux): Trouvez le bien immobilier qui correspond idéalement à vos désirs sur ImmoScout24 - La plateforme de l'immobilier en Suisse.</t>
  </si>
  <si>
    <t>🏘  L’appartement de vos rêves se trouve sur ImmoScout24.ch ✅ Découvrez les dernières annonces de vente à St-Saphorin (Lavaux).</t>
  </si>
  <si>
    <t>https://www.immoscout24.ch/fr/appartement/acheter/lieu-guettingen</t>
  </si>
  <si>
    <t>Vendre appartement Güttingen: Trouvez le bien immobilier qui correspond idéalement à vos désirs sur ImmoScout24 - La plateforme de l'immobilier en Suisse.</t>
  </si>
  <si>
    <t>🏘  L’appartement de vos rêves se trouve sur ImmoScout24.ch ✅ Découvrez les dernières annonces de vente à Güttingen.</t>
  </si>
  <si>
    <t>https://www.immoscout24.ch/fr/appartement/acheter/lieu-carouge-ge</t>
  </si>
  <si>
    <t>Vendre appartement Carouge GE: Trouvez le bien immobilier qui correspond idéalement à vos désirs sur ImmoScout24 - La plateforme de l'immobilier en Suisse.</t>
  </si>
  <si>
    <t>🏘  L’appartement de vos rêves se trouve sur ImmoScout24.ch ✅ Découvrez les dernières annonces de vente à Carouge GE.</t>
  </si>
  <si>
    <t>https://www.immoscout24.ch/fr/appartement/acheter/lieu-pieterlen</t>
  </si>
  <si>
    <t>Vendre appartement Pieterlen: Trouvez le bien immobilier qui correspond idéalement à vos désirs sur ImmoScout24 - La plateforme de l'immobilier en Suisse.</t>
  </si>
  <si>
    <t>🏘  L’appartement de vos rêves se trouve sur ImmoScout24.ch ✅ Découvrez les dernières annonces de vente à Pieterlen.</t>
  </si>
  <si>
    <t>https://www.immoscout24.ch/fr/appartement/acheter/lieu-hergiswil-nw</t>
  </si>
  <si>
    <t>Vendre appartement Hergiswil NW: Trouvez le bien immobilier qui correspond idéalement à vos désirs sur ImmoScout24 - La plateforme de l'immobilier en Suisse.</t>
  </si>
  <si>
    <t>🏘  L’appartement de vos rêves se trouve sur ImmoScout24.ch ✅ Découvrez les dernières annonces de vente à Hergiswil NW.</t>
  </si>
  <si>
    <t>https://www.immoscout24.ch/fr/appartement/louer/lieu-vauderens</t>
  </si>
  <si>
    <t>Louer appartement Vauderens: Trouvez le bien immobilier qui correspond idéalement à vos désirs sur ImmoScout24 - La plateforme de l'immobilier en Suisse.</t>
  </si>
  <si>
    <t>🏘  Vous cherchez un appartement à louer à Vauderens? ✅ Les annonces les plus actuelles sont sur ImmoScout24.ch.</t>
  </si>
  <si>
    <t>https://www.immoscout24.ch/fr/maison/acheter/lieu-mayens-de-chamoson</t>
  </si>
  <si>
    <t>Vendre maison Mayens-de-Chamoson: Trouvez le bien immobilier qui correspond idéalement à vos désirs sur ImmoScout24 - La plateforme de l'immobilier en Suisse.</t>
  </si>
  <si>
    <t>🏘  Vous souhaitez acheter une maison à Mayens-de-Chamoson? ✅ Jetez un œil aux dernières offres sur ImmoScout24.ch.</t>
  </si>
  <si>
    <t>https://www.immoscout24.ch/fr/appartement/louer/lieu-court</t>
  </si>
  <si>
    <t>Louer appartement Court: Trouvez le bien immobilier qui correspond idéalement à vos désirs sur ImmoScout24 - La plateforme de l'immobilier en Suisse.</t>
  </si>
  <si>
    <t>🏘  Vous cherchez un appartement à louer à Court? ✅ Les annonces les plus actuelles sont sur ImmoScout24.ch.</t>
  </si>
  <si>
    <t>https://www.immoscout24.ch/fr/maison/acheter/lieu-elsau</t>
  </si>
  <si>
    <t>Vendre maison Elsau: Trouvez le bien immobilier qui correspond idéalement à vos désirs sur ImmoScout24 - La plateforme de l'immobilier en Suisse.</t>
  </si>
  <si>
    <t>🏘  Vous souhaitez acheter une maison à Elsau? ✅ Jetez un œil aux dernières offres sur ImmoScout24.ch.</t>
  </si>
  <si>
    <t>https://www.immoscout24.ch/fr/appartement/acheter/region-knonaueramt</t>
  </si>
  <si>
    <t>Vendre appartement Knonaueramt: Trouvez le bien immobilier qui correspond idéalement à vos désirs sur ImmoScout24 - La plateforme de l'immobilier en Suisse.</t>
  </si>
  <si>
    <t>🏘  L’appartement de vos rêves se trouve sur ImmoScout24.ch ✅ Découvrez les dernières annonces de vente dans le district d'Affoltern.</t>
  </si>
  <si>
    <t>https://www.immoscout24.ch/fr/appartement/louer/lieu-epauvillers</t>
  </si>
  <si>
    <t>Louer appartement Epauvillers: Trouvez le bien immobilier qui correspond idéalement à vos désirs sur ImmoScout24 - La plateforme de l'immobilier en Suisse.</t>
  </si>
  <si>
    <t>🏘  Vous cherchez un appartement à louer à Epauvillers? ✅ Les annonces les plus actuelles sont sur ImmoScout24.ch.</t>
  </si>
  <si>
    <t>https://www.immoscout24.ch/fr/maison/louer/lieu-bournens</t>
  </si>
  <si>
    <t>Louer maison Bournens: Trouvez le bien immobilier qui correspond idéalement à vos désirs sur ImmoScout24 - La plateforme de l'immobilier en Suisse.</t>
  </si>
  <si>
    <t>🏘  Vous cherchez une maison à louer à Bournens? ✅ Découvrez nos nombreuses annonces sur ImmoScout24.ch.</t>
  </si>
  <si>
    <t>https://www.immoscout24.ch/fr/appartement/louer/lieu-chavannes-le-chene</t>
  </si>
  <si>
    <t>Louer appartement Chavannes-le-Chêne: Trouvez le bien immobilier qui correspond idéalement à vos désirs sur ImmoScout24 - La plateforme de l'immobilier en Suisse.</t>
  </si>
  <si>
    <t>🏘  Vous cherchez un appartement à louer à Chavannes-le-Chêne? ✅ Les annonces les plus actuelles sont sur ImmoScout24.ch.</t>
  </si>
  <si>
    <t>https://www.immoscout24.ch/fr/appartement/louer/lieu-romanel-sur-lausanne</t>
  </si>
  <si>
    <t>Louer appartement Romanel-sur-Lausanne: Trouvez le bien immobilier qui correspond idéalement à vos désirs sur ImmoScout24 - La plateforme de l'immobilier en Suisse.</t>
  </si>
  <si>
    <t>🏘  Vous cherchez un appartement à louer à Romanel-sur-Lausanne? ✅ Les annonces les plus actuelles sont sur ImmoScout24.ch.</t>
  </si>
  <si>
    <t>https://www.immoscout24.ch/fr/appartement/acheter/lieu-suchy</t>
  </si>
  <si>
    <t>Vendre appartement Suchy: Trouvez le bien immobilier qui correspond idéalement à vos désirs sur ImmoScout24 - La plateforme de l'immobilier en Suisse.</t>
  </si>
  <si>
    <t>🏘  L’appartement de vos rêves se trouve sur ImmoScout24.ch ✅ Découvrez les dernières annonces de vente à Suchy.</t>
  </si>
  <si>
    <t>https://www.immoscout24.ch/fr/appartement/louer/lieu-st-aubin-sauges</t>
  </si>
  <si>
    <t>Louer appartement St-Aubin-Sauges: Trouvez le bien immobilier qui correspond idéalement à vos désirs sur ImmoScout24 - La plateforme de l'immobilier en Suisse.</t>
  </si>
  <si>
    <t>🏘  Vous cherchez un appartement à louer à St-Aubin-Sauges? ✅ Les annonces les plus actuelles sont sur ImmoScout24.ch.</t>
  </si>
  <si>
    <t>https://www.immoscout24.ch/fr/maison/acheter/lieu-verbier</t>
  </si>
  <si>
    <t>Vendre maison Verbier: Trouvez le bien immobilier qui correspond idéalement à vos désirs sur ImmoScout24 - La plateforme de l'immobilier en Suisse.</t>
  </si>
  <si>
    <t>🏘  Vous souhaitez acheter une maison à Verbier? ✅ Jetez un œil aux dernières offres sur ImmoScout24.ch.</t>
  </si>
  <si>
    <t>https://www.immoscout24.ch/fr/maison/acheter/lieu-morlon</t>
  </si>
  <si>
    <t>Vendre maison Morlon: Trouvez le bien immobilier qui correspond idéalement à vos désirs sur ImmoScout24 - La plateforme de l'immobilier en Suisse.</t>
  </si>
  <si>
    <t>🏘  Vous souhaitez acheter une maison à Morlon? ✅ Jetez un œil aux dernières offres sur ImmoScout24.ch.</t>
  </si>
  <si>
    <t>https://www.immoscout24.ch/fr/maison/louer/lieu-basse-nendaz</t>
  </si>
  <si>
    <t>Louer maison Basse-Nendaz: Trouvez le bien immobilier qui correspond idéalement à vos désirs sur ImmoScout24 - La plateforme de l'immobilier en Suisse.</t>
  </si>
  <si>
    <t>🏘  Vous cherchez une maison à louer à Basse-Nendaz? ✅ Découvrez nos nombreuses annonces sur ImmoScout24.ch.</t>
  </si>
  <si>
    <t>https://www.immoscout24.ch/fr/maison/acheter/lieu-courtion</t>
  </si>
  <si>
    <t>Vendre maison Courtion: Trouvez le bien immobilier qui correspond idéalement à vos désirs sur ImmoScout24 - La plateforme de l'immobilier en Suisse.</t>
  </si>
  <si>
    <t>🏘  Vous souhaitez acheter une maison à Courtion? ✅ Jetez un œil aux dernières offres sur ImmoScout24.ch.</t>
  </si>
  <si>
    <t>https://www.immoscout24.ch/fr/maison/louer/canton-uri</t>
  </si>
  <si>
    <t>Louer maison Canton d'Uri: Trouvez le bien immobilier qui correspond idéalement à vos désirs sur ImmoScout24 - La plateforme de l'immobilier en Suisse.</t>
  </si>
  <si>
    <t>🏘  Vous cherchez une maison à louer dans le Canton d'Uri? ✅ Découvrez nos nombreuses annonces sur ImmoScout24.ch.</t>
  </si>
  <si>
    <t>https://www.immoscout24.ch/fr/appartement/louer/lieu-reinach-ag</t>
  </si>
  <si>
    <t>Louer appartement Reinach AG: Trouvez le bien immobilier qui correspond idéalement à vos désirs sur ImmoScout24 - La plateforme de l'immobilier en Suisse.</t>
  </si>
  <si>
    <t>🏘  Vous cherchez un appartement à louer à Reinach AG? ✅ Les annonces les plus actuelles sont sur ImmoScout24.ch.</t>
  </si>
  <si>
    <t>https://www.immoscout24.ch/fr/appartement/acheter/lieu-inden</t>
  </si>
  <si>
    <t>Vendre appartement Inden: Trouvez le bien immobilier qui correspond idéalement à vos désirs sur ImmoScout24 - La plateforme de l'immobilier en Suisse.</t>
  </si>
  <si>
    <t>🏘  L’appartement de vos rêves se trouve sur ImmoScout24.ch ✅ Découvrez les dernières annonces de vente à Inden.</t>
  </si>
  <si>
    <t>https://www.immoscout24.ch/fr/appartement/louer/lieu-grattavache</t>
  </si>
  <si>
    <t>Louer appartement Grattavache: Trouvez le bien immobilier qui correspond idéalement à vos désirs sur ImmoScout24 - La plateforme de l'immobilier en Suisse.</t>
  </si>
  <si>
    <t>🏘  Vous cherchez un appartement à louer à Grattavache? ✅ Les annonces les plus actuelles sont sur ImmoScout24.ch.</t>
  </si>
  <si>
    <t>https://www.immoscout24.ch/fr/appartement/acheter/lieu-rolle</t>
  </si>
  <si>
    <t>Vendre appartement Rolle: Trouvez le bien immobilier qui correspond idéalement à vos désirs sur ImmoScout24 - La plateforme de l'immobilier en Suisse.</t>
  </si>
  <si>
    <t>🏘  L’appartement de vos rêves se trouve sur ImmoScout24.ch ✅ Découvrez les dernières annonces de vente à Rolle.</t>
  </si>
  <si>
    <t>https://www.immoscout24.ch/fr/appartement/louer/lieu-satigny</t>
  </si>
  <si>
    <t>Louer appartement Satigny: Trouvez le bien immobilier qui correspond idéalement à vos désirs sur ImmoScout24 - La plateforme de l'immobilier en Suisse.</t>
  </si>
  <si>
    <t>🏘  Vous cherchez un appartement à louer à Satigny? ✅ Les annonces les plus actuelles sont sur ImmoScout24.ch.</t>
  </si>
  <si>
    <t>https://www.immoscout24.ch/fr/maison/acheter/lieu-palezieux-village</t>
  </si>
  <si>
    <t>Vendre maison Palézieux-Village: Trouvez le bien immobilier qui correspond idéalement à vos désirs sur ImmoScout24 - La plateforme de l'immobilier en Suisse.</t>
  </si>
  <si>
    <t>🏘  Vous souhaitez acheter une maison à Palézieux-Village? ✅ Jetez un œil aux dernières offres sur ImmoScout24.ch.</t>
  </si>
  <si>
    <t>https://www.immoscout24.ch/fr/maison/acheter/region-mosa</t>
  </si>
  <si>
    <t>Vendre maison Moesa: Trouvez le bien immobilier qui correspond idéalement à vos désirs sur ImmoScout24 - La plateforme de l'immobilier en Suisse.</t>
  </si>
  <si>
    <t>🏘  Vous souhaitez acheter une maison dans la région de Moesa? ✅ Jetez un œil aux dernières offres sur ImmoScout24.ch.</t>
  </si>
  <si>
    <t>https://www.immoscout24.ch/fr/appartement/acheter/lieu-cormondreche</t>
  </si>
  <si>
    <t>Vendre appartement Cormondrèche: Trouvez le bien immobilier qui correspond idéalement à vos désirs sur ImmoScout24 - La plateforme de l'immobilier en Suisse.</t>
  </si>
  <si>
    <t>🏘  L’appartement de vos rêves se trouve sur ImmoScout24.ch ✅ Découvrez les dernières annonces de vente à Cormondrèche.</t>
  </si>
  <si>
    <t>https://www.immoscout24.ch/fr/appartement/louer/lieu-bevaix</t>
  </si>
  <si>
    <t>Louer appartement Bevaix: Trouvez le bien immobilier qui correspond idéalement à vos désirs sur ImmoScout24 - La plateforme de l'immobilier en Suisse.</t>
  </si>
  <si>
    <t>🏘  Vous cherchez un appartement à louer à Bevaix? ✅ Les annonces les plus actuelles sont sur ImmoScout24.ch.</t>
  </si>
  <si>
    <t>https://www.immoscout24.ch/fr/maison/louer/quartier-mache-biel-bienne</t>
  </si>
  <si>
    <t>Louer maison Mâche (Biel/Bienne): Trouvez le bien immobilier qui correspond idéalement à vos désirs sur ImmoScout24 - La plateforme de l'immobilier en Suisse.</t>
  </si>
  <si>
    <t>🏘  Vous cherchez une maison à louer dans le quartier de Mâche (Biel/Bienne)? ✅ Découvrez nos nombreuses annonces sur ImmoScout24.ch.</t>
  </si>
  <si>
    <t>https://www.immoscout24.ch/fr/maison/acheter/quartier-jonction-plainpalais-geneve</t>
  </si>
  <si>
    <t>Vendre maison Jonction - Plainpalais (Genève): Trouvez le bien immobilier qui correspond idéalement à vos désirs sur ImmoScout24 - La plateforme de l'immobilier en Suisse.</t>
  </si>
  <si>
    <t>🏘  Vous souhaitez acheter une maison dans le quartier de la Jonction - Plainpalais (Genève)? ✅ Jetez un œil aux dernières offres sur ImmoScout24.ch.</t>
  </si>
  <si>
    <t>https://www.immoscout24.ch/fr/appartement/louer/lieu-wuerenlingen</t>
  </si>
  <si>
    <t>Louer appartement Würenlingen: Trouvez le bien immobilier qui correspond idéalement à vos désirs sur ImmoScout24 - La plateforme de l'immobilier en Suisse.</t>
  </si>
  <si>
    <t>🏘  Vous cherchez un appartement à louer à Würenlingen? ✅ Les annonces les plus actuelles sont sur ImmoScout24.ch.</t>
  </si>
  <si>
    <t>https://www.immoscout24.ch/fr/appartement/louer/lieu-muelligen</t>
  </si>
  <si>
    <t>Louer appartement Mülligen: Trouvez le bien immobilier qui correspond idéalement à vos désirs sur ImmoScout24 - La plateforme de l'immobilier en Suisse.</t>
  </si>
  <si>
    <t>🏘  Vous cherchez un appartement à louer à Mülligen? ✅ Les annonces les plus actuelles sont sur ImmoScout24.ch.</t>
  </si>
  <si>
    <t>https://www.immoscout24.ch/fr/maison/acheter/lieu-frasses</t>
  </si>
  <si>
    <t>Vendre maison Frasses: Trouvez le bien immobilier qui correspond idéalement à vos désirs sur ImmoScout24 - La plateforme de l'immobilier en Suisse.</t>
  </si>
  <si>
    <t>🏘  Vous souhaitez acheter une maison à Frasses? ✅ Jetez un œil aux dernières offres sur ImmoScout24.ch.</t>
  </si>
  <si>
    <t>https://www.immoscout24.ch/fr/appartement/acheter/lieu-gampel</t>
  </si>
  <si>
    <t>Vendre appartement Gampel: Trouvez le bien immobilier qui correspond idéalement à vos désirs sur ImmoScout24 - La plateforme de l'immobilier en Suisse.</t>
  </si>
  <si>
    <t>🏘  L’appartement de vos rêves se trouve sur ImmoScout24.ch ✅ Découvrez les dernières annonces de vente à Gampel.</t>
  </si>
  <si>
    <t>https://www.immoscout24.ch/fr/maison/acheter/lieu-delley</t>
  </si>
  <si>
    <t>Vendre maison Delley: Trouvez le bien immobilier qui correspond idéalement à vos désirs sur ImmoScout24 - La plateforme de l'immobilier en Suisse.</t>
  </si>
  <si>
    <t>🏘  Vous souhaitez acheter une maison à Delley? ✅ Jetez un œil aux dernières offres sur ImmoScout24.ch.</t>
  </si>
  <si>
    <t>https://www.immoscout24.ch/fr/maison/acheter/lieu-prez-vers-siviriez</t>
  </si>
  <si>
    <t>Vendre maison Prez-vers-Siviriez: Trouvez le bien immobilier qui correspond idéalement à vos désirs sur ImmoScout24 - La plateforme de l'immobilier en Suisse.</t>
  </si>
  <si>
    <t>🏘  Vous souhaitez acheter une maison à Prez-vers-Siviriez? ✅ Jetez un œil aux dernières offres sur ImmoScout24.ch.</t>
  </si>
  <si>
    <t>https://www.immoscout24.ch/fr/appartement/acheter/canton-valais</t>
  </si>
  <si>
    <t>Vendre appartement Canton du Valais: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</si>
  <si>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du Valais.</t>
  </si>
  <si>
    <t>https://www.immoscout24.ch/fr/maison/acheter/lieu-melchtal</t>
  </si>
  <si>
    <t>Vendre maison Melchtal: Trouvez le bien immobilier qui correspond idéalement à vos désirs sur ImmoScout24 - La plateforme de l'immobilier en Suisse.</t>
  </si>
  <si>
    <t>🏘  Vous souhaitez acheter une maison à Melchtal? ✅ Jetez un œil aux dernières offres sur ImmoScout24.ch.</t>
  </si>
  <si>
    <t>https://www.immoscout24.ch/fr/maison/acheter/lieu-muzzano</t>
  </si>
  <si>
    <t>Vendre maison Muzzano: Trouvez le bien immobilier qui correspond idéalement à vos désirs sur ImmoScout24 - La plateforme de l'immobilier en Suisse.</t>
  </si>
  <si>
    <t>🏘  Vous souhaitez acheter une maison à Muzzano? ✅ Jetez un œil aux dernières offres sur ImmoScout24.ch.</t>
  </si>
  <si>
    <t>https://www.immoscout24.ch/fr/maison/acheter/lieu-bogis-bossey</t>
  </si>
  <si>
    <t>Vendre maison Bogis-Bossey: Trouvez le bien immobilier qui correspond idéalement à vos désirs sur ImmoScout24 - La plateforme de l'immobilier en Suisse.</t>
  </si>
  <si>
    <t>🏘  Vous souhaitez acheter une maison à Bogis-Bossey? ✅ Jetez un œil aux dernières offres sur ImmoScout24.ch.</t>
  </si>
  <si>
    <t>https://www.immoscout24.ch/fr/maison/louer/lieu-im-fang</t>
  </si>
  <si>
    <t>Louer maison Im Fang: Trouvez le bien immobilier qui correspond idéalement à vos désirs sur ImmoScout24 - La plateforme de l'immobilier en Suisse.</t>
  </si>
  <si>
    <t>🏘  Vous cherchez une maison à louer à Im Fang? ✅ Découvrez nos nombreuses annonces sur ImmoScout24.ch.</t>
  </si>
  <si>
    <t>https://www.immoscout24.ch/fr/maison/acheter/lieu-ecoteaux</t>
  </si>
  <si>
    <t>Vendre maison Ecoteaux: Trouvez le bien immobilier qui correspond idéalement à vos désirs sur ImmoScout24 - La plateforme de l'immobilier en Suisse.</t>
  </si>
  <si>
    <t>🏘  Vous souhaitez acheter une maison à Ecoteaux? ✅ Jetez un œil aux dernières offres sur ImmoScout24.ch.</t>
  </si>
  <si>
    <t>https://www.immoscout24.ch/fr/appartement/louer/lieu-wattwil</t>
  </si>
  <si>
    <t>Louer appartement Wattwil: Trouvez le bien immobilier qui correspond idéalement à vos désirs sur ImmoScout24 - La plateforme de l'immobilier en Suisse.</t>
  </si>
  <si>
    <t>🏘  Vous cherchez un appartement à louer à Wattwil? ✅ Les annonces les plus actuelles sont sur ImmoScout24.ch.</t>
  </si>
  <si>
    <t>https://www.immoscout24.ch/fr/appartement/louer/lieu-ebmatingen</t>
  </si>
  <si>
    <t>Louer appartement Ebmatingen: Trouvez le bien immobilier qui correspond idéalement à vos désirs sur ImmoScout24 - La plateforme de l'immobilier en Suisse.</t>
  </si>
  <si>
    <t>🏘  Vous cherchez un appartement à louer à Ebmatingen? ✅ Les annonces les plus actuelles sont sur ImmoScout24.ch.</t>
  </si>
  <si>
    <t>https://www.immoscout24.ch/fr/appartement/louer/lieu-saas-almagell</t>
  </si>
  <si>
    <t>Louer appartement Saas-Almagell: Trouvez le bien immobilier qui correspond idéalement à vos désirs sur ImmoScout24 - La plateforme de l'immobilier en Suisse.</t>
  </si>
  <si>
    <t>🏘  Vous cherchez un appartement à louer à Saas-Almagell? ✅ Les annonces les plus actuelles sont sur ImmoScout24.ch.</t>
  </si>
  <si>
    <t>https://www.immoscout24.ch/fr/maison/louer/lieu-servion</t>
  </si>
  <si>
    <t>Louer maison Servion: Trouvez le bien immobilier qui correspond idéalement à vos désirs sur ImmoScout24 - La plateforme de l'immobilier en Suisse.</t>
  </si>
  <si>
    <t>🏘  Vous cherchez une maison à louer à Servion? ✅ Découvrez nos nombreuses annonces sur ImmoScout24.ch.</t>
  </si>
  <si>
    <t>https://www.immoscout24.ch/fr/appartement/louer/lieu-veytaux</t>
  </si>
  <si>
    <t>Louer appartement Veytaux: Trouvez le bien immobilier qui correspond idéalement à vos désirs sur ImmoScout24 - La plateforme de l'immobilier en Suisse.</t>
  </si>
  <si>
    <t>🏘  Vous cherchez un appartement à louer à Veytaux? ✅ Les annonces les plus actuelles sont sur ImmoScout24.ch.</t>
  </si>
  <si>
    <t>https://www.immoscout24.ch/fr/appartement/acheter/lieu-chavannes-pres-renens</t>
  </si>
  <si>
    <t>Vendre appartement Chavannes-près-Renens: Trouvez le bien immobilier qui correspond idéalement à vos désirs sur ImmoScout24 - La plateforme de l'immobilier en Suisse.</t>
  </si>
  <si>
    <t>🏘  L’appartement de vos rêves se trouve sur ImmoScout24.ch ✅ Découvrez les dernières annonces de vente à Chavannes-près-Renens.</t>
  </si>
  <si>
    <t>https://www.immoscout24.ch/fr/maison/acheter/lieu-chez-le-bart</t>
  </si>
  <si>
    <t>Vendre maison Chez-le-Bart: Trouvez le bien immobilier qui correspond idéalement à vos désirs sur ImmoScout24 - La plateforme de l'immobilier en Suisse.</t>
  </si>
  <si>
    <t>🏘  Vous souhaitez acheter une maison à Chez-le-Bart? ✅ Jetez un œil aux dernières offres sur ImmoScout24.ch.</t>
  </si>
  <si>
    <t>https://www.immoscout24.ch/fr/maison/louer/lieu-la-forclaz-vd</t>
  </si>
  <si>
    <t>Louer maison La Forclaz VD: Trouvez le bien immobilier qui correspond idéalement à vos désirs sur ImmoScout24 - La plateforme de l'immobilier en Suisse.</t>
  </si>
  <si>
    <t>🏘  Vous cherchez une maison à louer à La Forclaz VD? ✅ Découvrez nos nombreuses annonces sur ImmoScout24.ch.</t>
  </si>
  <si>
    <t>https://www.immoscout24.ch/fr/appartement/louer/lieu-courrendlin</t>
  </si>
  <si>
    <t>Louer appartement Courrendlin: Trouvez le bien immobilier qui correspond idéalement à vos désirs sur ImmoScout24 - La plateforme de l'immobilier en Suisse.</t>
  </si>
  <si>
    <t>🏘  Vous cherchez un appartement à louer à Courrendlin? ✅ Les annonces les plus actuelles sont sur ImmoScout24.ch.</t>
  </si>
  <si>
    <t>https://www.immoscout24.ch/fr/maison/louer/lieu-vouvry</t>
  </si>
  <si>
    <t>Louer maison Vouvry: Trouvez le bien immobilier qui correspond idéalement à vos désirs sur ImmoScout24 - La plateforme de l'immobilier en Suisse.</t>
  </si>
  <si>
    <t>🏘  Vous cherchez une maison à louer à Vouvry? ✅ Découvrez nos nombreuses annonces sur ImmoScout24.ch.</t>
  </si>
  <si>
    <t>https://www.immoscout24.ch/fr/maison/acheter/lieu-praratoud</t>
  </si>
  <si>
    <t>Vendre maison Praratoud: Trouvez le bien immobilier qui correspond idéalement à vos désirs sur ImmoScout24 - La plateforme de l'immobilier en Suisse.</t>
  </si>
  <si>
    <t>🏘  Vous souhaitez acheter une maison à Praratoud? ✅ Jetez un œil aux dernières offres sur ImmoScout24.ch.</t>
  </si>
  <si>
    <t>https://www.immoscout24.ch/fr/appartement/louer/lieu-villars-ste-croix</t>
  </si>
  <si>
    <t>Louer appartement Villars-Ste-Croix: Trouvez le bien immobilier qui correspond idéalement à vos désirs sur ImmoScout24 - La plateforme de l'immobilier en Suisse.</t>
  </si>
  <si>
    <t>🏘  Vous cherchez un appartement à louer à Villars-Ste-Croix? ✅ Les annonces les plus actuelles sont sur ImmoScout24.ch.</t>
  </si>
  <si>
    <t>https://www.immoscout24.ch/fr/maison/acheter/lieu-reinach-bl</t>
  </si>
  <si>
    <t>Vendre maison Reinach BL: Trouvez le bien immobilier qui correspond idéalement à vos désirs sur ImmoScout24 - La plateforme de l'immobilier en Suisse.</t>
  </si>
  <si>
    <t>🏘  Vous souhaitez acheter une maison à Reinach BL? ✅ Jetez un œil aux dernières offres sur ImmoScout24.ch.</t>
  </si>
  <si>
    <t>https://www.immoscout24.ch/fr/maison/louer/lieu-grossaffoltern</t>
  </si>
  <si>
    <t>Louer maison Grossaffoltern: Trouvez le bien immobilier qui correspond idéalement à vos désirs sur ImmoScout24 - La plateforme de l'immobilier en Suisse.</t>
  </si>
  <si>
    <t>🏘  Vous cherchez une maison à louer à Grossaffoltern? ✅ Découvrez nos nombreuses annonces sur ImmoScout24.ch.</t>
  </si>
  <si>
    <t>https://www.immoscout24.ch/fr/maison/louer/lieu-vicques</t>
  </si>
  <si>
    <t>Louer maison Vicques: Trouvez le bien immobilier qui correspond idéalement à vos désirs sur ImmoScout24 - La plateforme de l'immobilier en Suisse.</t>
  </si>
  <si>
    <t>🏘  Vous cherchez une maison à louer à Vicques? ✅ Découvrez nos nombreuses annonces sur ImmoScout24.ch.</t>
  </si>
  <si>
    <t>https://www.immoscout24.ch/fr/appartement/louer/lieu-ependes-vd</t>
  </si>
  <si>
    <t>Louer appartement Ependes VD: Trouvez le bien immobilier qui correspond idéalement à vos désirs sur ImmoScout24 - La plateforme de l'immobilier en Suisse.</t>
  </si>
  <si>
    <t>🏘  Vous cherchez un appartement à louer à Ependes VD? ✅ Les annonces les plus actuelles sont sur ImmoScout24.ch.</t>
  </si>
  <si>
    <t>https://www.immoscout24.ch/fr/appartement/louer/region-thoune-lac-de-thoune-nord</t>
  </si>
  <si>
    <t>Louer appartement Thoune - Lac de Thoune nord: Trouvez le bien immobilier qui correspond idéalement à vos désirs sur ImmoScout24 - La plateforme de l'immobilier en Suisse.</t>
  </si>
  <si>
    <t>🏘  Vous cherchez un appartement à louer près de Thoune - Lac de Thoune nord? ✅ Les annonces les plus actuelles sont sur ImmoScout24.ch.</t>
  </si>
  <si>
    <t>https://www.immoscout24.ch/fr/maison/louer/lieu-onnens-fr</t>
  </si>
  <si>
    <t>Louer maison Onnens FR: Trouvez le bien immobilier qui correspond idéalement à vos désirs sur ImmoScout24 - La plateforme de l'immobilier en Suisse.</t>
  </si>
  <si>
    <t>🏘  Vous cherchez une maison à louer à Onnens FR? ✅ Découvrez nos nombreuses annonces sur ImmoScout24.ch.</t>
  </si>
  <si>
    <t>https://www.immoscout24.ch/fr/appartement/louer/lieu-adligenswil</t>
  </si>
  <si>
    <t>Louer appartement Adligenswil: Trouvez le bien immobilier qui correspond idéalement à vos désirs sur ImmoScout24 - La plateforme de l'immobilier en Suisse.</t>
  </si>
  <si>
    <t>🏘  Vous cherchez un appartement à louer à Adligenswil? ✅ Les annonces les plus actuelles sont sur ImmoScout24.ch.</t>
  </si>
  <si>
    <t>https://www.immoscout24.ch/fr/maison/louer/lieu-le-vaud</t>
  </si>
  <si>
    <t>Louer maison Le Vaud: Trouvez le bien immobilier qui correspond idéalement à vos désirs sur ImmoScout24 - La plateforme de l'immobilier en Suisse.</t>
  </si>
  <si>
    <t>🏘  Vous cherchez une maison à louer au Vaud? ✅ Découvrez nos nombreuses annonces sur ImmoScout24.ch.</t>
  </si>
  <si>
    <t>https://www.immoscout24.ch/fr/appartement/acheter/region-zurich-ville</t>
  </si>
  <si>
    <t>Vendre appartement Zurich ville: Trouvez le bien immobilier qui correspond idéalement à vos désirs sur ImmoScout24 - La plateforme de l'immobilier en Suisse.</t>
  </si>
  <si>
    <t>🏘  L’appartement de vos rêves se trouve sur ImmoScout24.ch ✅ Découvrez les dernières annonces de vente à Zurich ville.</t>
  </si>
  <si>
    <t>https://www.immoscout24.ch/fr/maison/louer/lieu-epalinges</t>
  </si>
  <si>
    <t>Louer maison Epalinges: Trouvez le bien immobilier qui correspond idéalement à vos désirs sur ImmoScout24 - La plateforme de l'immobilier en Suisse.</t>
  </si>
  <si>
    <t>🏘  Vous cherchez une maison à louer à Epalinges? ✅ Découvrez nos nombreuses annonces sur ImmoScout24.ch.</t>
  </si>
  <si>
    <t>https://www.immoscout24.ch/fr/appartement/acheter/lieu-laufen</t>
  </si>
  <si>
    <t>Vendre appartement Laufen: Trouvez le bien immobilier qui correspond idéalement à vos désirs sur ImmoScout24 - La plateforme de l'immobilier en Suisse.</t>
  </si>
  <si>
    <t>🏘  L’appartement de vos rêves se trouve sur ImmoScout24.ch ✅ Découvrez les dernières annonces de vente à Laufen.</t>
  </si>
  <si>
    <t>https://www.immoscout24.ch/fr/maison/acheter/pays-montenegro</t>
  </si>
  <si>
    <t>Vendre maison Monténégro: Trouvez le bien immobilier qui correspond idéalement à vos désirs sur ImmoScout24 - La plateforme de l'immobilier en Suisse.</t>
  </si>
  <si>
    <t>https://www.immoscout24.ch/fr/appartement/acheter/lieu-iseltwald</t>
  </si>
  <si>
    <t>Vendre appartement Iseltwald: Trouvez le bien immobilier qui correspond idéalement à vos désirs sur ImmoScout24 - La plateforme de l'immobilier en Suisse.</t>
  </si>
  <si>
    <t>🏘  L’appartement de vos rêves se trouve sur ImmoScout24.ch ✅ Découvrez les dernières annonces de vente à Iseltwald.</t>
  </si>
  <si>
    <t>https://www.immoscout24.ch/fr/appartement/louer/lieu-dommartin</t>
  </si>
  <si>
    <t>Louer appartement Dommartin: Trouvez le bien immobilier qui correspond idéalement à vos désirs sur ImmoScout24 - La plateforme de l'immobilier en Suisse.</t>
  </si>
  <si>
    <t>🏘  Vous cherchez un appartement à louer à Dommartin? ✅ Les annonces les plus actuelles sont sur ImmoScout24.ch.</t>
  </si>
  <si>
    <t>https://www.immoscout24.ch/fr/appartement/louer/lieu-waengi</t>
  </si>
  <si>
    <t>Louer appartement Wängi: Trouvez le bien immobilier qui correspond idéalement à vos désirs sur ImmoScout24 - La plateforme de l'immobilier en Suisse.</t>
  </si>
  <si>
    <t>🏘  Vous cherchez un appartement à louer à Wängi? ✅ Les annonces les plus actuelles sont sur ImmoScout24.ch.</t>
  </si>
  <si>
    <t>https://www.immoscout24.ch/fr/appartement/louer/lieu-allenwinden</t>
  </si>
  <si>
    <t>Louer appartement Allenwinden: Trouvez le bien immobilier qui correspond idéalement à vos désirs sur ImmoScout24 - La plateforme de l'immobilier en Suisse.</t>
  </si>
  <si>
    <t>🏘  Vous cherchez un appartement à louer à Allenwinden? ✅ Les annonces les plus actuelles sont sur ImmoScout24.ch.</t>
  </si>
  <si>
    <t>https://www.immoscout24.ch/fr/appartement/louer/lieu-crassier</t>
  </si>
  <si>
    <t>Louer appartement Crassier: Trouvez le bien immobilier qui correspond idéalement à vos désirs sur ImmoScout24 - La plateforme de l'immobilier en Suisse.</t>
  </si>
  <si>
    <t>🏘  Vous cherchez un appartement à louer à Crassier? ✅ Les annonces les plus actuelles sont sur ImmoScout24.ch.</t>
  </si>
  <si>
    <t>https://www.immoscout24.ch/fr/appartement/louer/lieu-taeuffelen</t>
  </si>
  <si>
    <t>Louer appartement Täuffelen: Trouvez le bien immobilier qui correspond idéalement à vos désirs sur ImmoScout24 - La plateforme de l'immobilier en Suisse.</t>
  </si>
  <si>
    <t>🏘  Vous cherchez un appartement à louer à Täuffelen? ✅ Les annonces les plus actuelles sont sur ImmoScout24.ch.</t>
  </si>
  <si>
    <t>https://www.immoscout24.ch/fr/appartement/acheter/lieu-berlens</t>
  </si>
  <si>
    <t>Vendre appartement Berlens: Trouvez le bien immobilier qui correspond idéalement à vos désirs sur ImmoScout24 - La plateforme de l'immobilier en Suisse.</t>
  </si>
  <si>
    <t>🏘  L’appartement de vos rêves se trouve sur ImmoScout24.ch ✅ Découvrez les dernières annonces de vente à Berlens.</t>
  </si>
  <si>
    <t>https://www.immoscout24.ch/fr/appartement/louer/lieu-arlesheim</t>
  </si>
  <si>
    <t>Louer appartement Arlesheim: Trouvez le bien immobilier qui correspond idéalement à vos désirs sur ImmoScout24 - La plateforme de l'immobilier en Suisse.</t>
  </si>
  <si>
    <t>🏘  Vous cherchez un appartement à louer à Arlesheim? ✅ Les annonces les plus actuelles sont sur ImmoScout24.ch.</t>
  </si>
  <si>
    <t>https://www.immoscout24.ch/fr/appartement/louer/quartier-nouvelle-ville-nord-biel-bienne</t>
  </si>
  <si>
    <t>Louer appartement Nouvelle ville nord (Biel/Bienne): Trouvez le bien immobilier qui correspond idéalement à vos désirs sur ImmoScout24 - La plateforme de l'immobilier en Suisse.</t>
  </si>
  <si>
    <t>🏘  Vous cherchez un appartement à louer dans le quartier de la Nouvelle ville nord (Biel/Bienne)? ✅ Les annonces les plus actuelles sont sur ImmoScout24.ch.</t>
  </si>
  <si>
    <t>https://www.immoscout24.ch/fr/maison/acheter/lieu-vergeletto</t>
  </si>
  <si>
    <t>Vendre maison Vergeletto: Trouvez le bien immobilier qui correspond idéalement à vos désirs sur ImmoScout24 - La plateforme de l'immobilier en Suisse.</t>
  </si>
  <si>
    <t>🏘  Vous souhaitez acheter une maison à Vergeletto? ✅ Jetez un œil aux dernières offres sur ImmoScout24.ch.</t>
  </si>
  <si>
    <t>https://www.immoscout24.ch/fr/appartement/louer/lieu-corserey</t>
  </si>
  <si>
    <t>Louer appartement Corserey: Trouvez le bien immobilier qui correspond idéalement à vos désirs sur ImmoScout24 - La plateforme de l'immobilier en Suisse.</t>
  </si>
  <si>
    <t>🏘  Vous cherchez un appartement à louer à Corserey? ✅ Les annonces les plus actuelles sont sur ImmoScout24.ch.</t>
  </si>
  <si>
    <t>https://www.immoscout24.ch/fr/appartement/acheter/lieu-luzern</t>
  </si>
  <si>
    <t>Vendre appartement Luzern: Trouvez le bien immobilier qui correspond idéalement à vos désirs sur ImmoScout24 - La plateforme de l'immobilier en Suisse.</t>
  </si>
  <si>
    <t>🏘  L’appartement de vos rêves se trouve sur ImmoScout24.ch ✅ Découvrez les dernières annonces de vente à Luzern.</t>
  </si>
  <si>
    <t>https://www.immoscout24.ch/fr/maison/louer/lieu-st-prex</t>
  </si>
  <si>
    <t>Louer maison St-Prex: Trouvez le bien immobilier qui correspond idéalement à vos désirs sur ImmoScout24 - La plateforme de l'immobilier en Suisse.</t>
  </si>
  <si>
    <t>🏘  Vous cherchez une maison à louer à St-Prex? ✅ Découvrez nos nombreuses annonces sur ImmoScout24.ch.</t>
  </si>
  <si>
    <t>https://www.immoscout24.ch/fr/maison/acheter/lieu-sarnen</t>
  </si>
  <si>
    <t>Vendre maison Sarnen: Trouvez le bien immobilier qui correspond idéalement à vos désirs sur ImmoScout24 - La plateforme de l'immobilier en Suisse.</t>
  </si>
  <si>
    <t>🏘  Vous souhaitez acheter une maison à Sarnen? ✅ Jetez un œil aux dernières offres sur ImmoScout24.ch.</t>
  </si>
  <si>
    <t>https://www.immoscout24.ch/fr/appartement/louer/lieu-le-cret-du-locle</t>
  </si>
  <si>
    <t>Louer appartement Le Crêt-du-Locle: Trouvez le bien immobilier qui correspond idéalement à vos désirs sur ImmoScout24 - La plateforme de l'immobilier en Suisse.</t>
  </si>
  <si>
    <t>🏘  Vous cherchez un appartement à louer au Crêt-du-Locle? ✅ Les annonces les plus actuelles sont sur ImmoScout24.ch.</t>
  </si>
  <si>
    <t>https://www.immoscout24.ch/fr/appartement/louer/lieu-cressier-fr</t>
  </si>
  <si>
    <t>Louer appartement Cressier FR: Trouvez le bien immobilier qui correspond idéalement à vos désirs sur ImmoScout24 - La plateforme de l'immobilier en Suisse.</t>
  </si>
  <si>
    <t>🏘  Vous cherchez un appartement à louer à Cressier FR? ✅ Les annonces les plus actuelles sont sur ImmoScout24.ch.</t>
  </si>
  <si>
    <t>https://www.immoscout24.ch/fr/maison/louer/lieu-bern</t>
  </si>
  <si>
    <t>Louer maison Bern: Trouvez le bien immobilier qui correspond idéalement à vos désirs sur ImmoScout24 - La plateforme de l'immobilier en Suisse.</t>
  </si>
  <si>
    <t>🏘  Vous cherchez une maison à louer à Bern? ✅ Découvrez nos nombreuses annonces sur ImmoScout24.ch.</t>
  </si>
  <si>
    <t>https://www.immoscout24.ch/fr/maison/acheter/lieu-combremont-le-grand</t>
  </si>
  <si>
    <t>Vendre maison Combremont-le-Grand: Trouvez le bien immobilier qui correspond idéalement à vos désirs sur ImmoScout24 - La plateforme de l'immobilier en Suisse.</t>
  </si>
  <si>
    <t>🏘  Vous souhaitez acheter une maison à Combremont-le-Grand? ✅ Jetez un œil aux dernières offres sur ImmoScout24.ch.</t>
  </si>
  <si>
    <t>https://www.immoscout24.ch/fr/appartement/acheter/lieu-choex</t>
  </si>
  <si>
    <t>Vendre appartement Choëx: Trouvez le bien immobilier qui correspond idéalement à vos désirs sur ImmoScout24 - La plateforme de l'immobilier en Suisse.</t>
  </si>
  <si>
    <t>🏘  L’appartement de vos rêves se trouve sur ImmoScout24.ch ✅ Découvrez les dernières annonces de vente à Choëx.</t>
  </si>
  <si>
    <t>https://www.immoscout24.ch/fr/appartement/louer/lieu-villard-sur-chamby</t>
  </si>
  <si>
    <t>Louer appartement Villard-sur-Chamby: Trouvez le bien immobilier qui correspond idéalement à vos désirs sur ImmoScout24 - La plateforme de l'immobilier en Suisse.</t>
  </si>
  <si>
    <t>🏘  Vous cherchez un appartement à louer à Villard-sur-Chamby? ✅ Les annonces les plus actuelles sont sur ImmoScout24.ch.</t>
  </si>
  <si>
    <t>https://www.immoscout24.ch/fr/appartement/louer/lieu-montpreveyres</t>
  </si>
  <si>
    <t>Louer appartement Montpreveyres: Trouvez le bien immobilier qui correspond idéalement à vos désirs sur ImmoScout24 - La plateforme de l'immobilier en Suisse.</t>
  </si>
  <si>
    <t>🏘  Vous cherchez un appartement à louer à Montpreveyres? ✅ Les annonces les plus actuelles sont sur ImmoScout24.ch.</t>
  </si>
  <si>
    <t>https://www.immoscout24.ch/fr/appartement/louer/lieu-romont-fr</t>
  </si>
  <si>
    <t>Louer appartement Romont FR: Trouvez le bien immobilier qui correspond idéalement à vos désirs sur ImmoScout24 - La plateforme de l'immobilier en Suisse.</t>
  </si>
  <si>
    <t>🏘  Vous cherchez un appartement à louer à Romont FR? ✅ Les annonces les plus actuelles sont sur ImmoScout24.ch.</t>
  </si>
  <si>
    <t>https://www.immoscout24.ch/fr/appartement/louer/lieu-bullet</t>
  </si>
  <si>
    <t>Louer appartement Bullet: Trouvez le bien immobilier qui correspond idéalement à vos désirs sur ImmoScout24 - La plateforme de l'immobilier en Suisse.</t>
  </si>
  <si>
    <t>🏘  Vous cherchez un appartement à louer à Bullet? ✅ Les annonces les plus actuelles sont sur ImmoScout24.ch.</t>
  </si>
  <si>
    <t>https://www.immoscout24.ch/fr/appartement/louer/lieu-servion</t>
  </si>
  <si>
    <t>Louer appartement Servion: Trouvez le bien immobilier qui correspond idéalement à vos désirs sur ImmoScout24 - La plateforme de l'immobilier en Suisse.</t>
  </si>
  <si>
    <t>🏘  Vous cherchez un appartement à louer à Servion? ✅ Les annonces les plus actuelles sont sur ImmoScout24.ch.</t>
  </si>
  <si>
    <t>https://www.immoscout24.ch/fr/appartement/louer/lieu-frinvillier</t>
  </si>
  <si>
    <t>Louer appartement Frinvillier: Trouvez le bien immobilier qui correspond idéalement à vos désirs sur ImmoScout24 - La plateforme de l'immobilier en Suisse.</t>
  </si>
  <si>
    <t>🏘  Vous cherchez un appartement à louer à Frinvillier? ✅ Les annonces les plus actuelles sont sur ImmoScout24.ch.</t>
  </si>
  <si>
    <t>https://www.immoscout24.ch/fr/maison/acheter/lieu-ogens</t>
  </si>
  <si>
    <t>Vendre maison Ogens: Trouvez le bien immobilier qui correspond idéalement à vos désirs sur ImmoScout24 - La plateforme de l'immobilier en Suisse.</t>
  </si>
  <si>
    <t>🏘  Vous souhaitez acheter une maison à Ogens? ✅ Jetez un œil aux dernières offres sur ImmoScout24.ch.</t>
  </si>
  <si>
    <t>https://www.immoscout24.ch/fr/appartement/louer/lieu-ballens</t>
  </si>
  <si>
    <t>Louer appartement Ballens: Trouvez le bien immobilier qui correspond idéalement à vos désirs sur ImmoScout24 - La plateforme de l'immobilier en Suisse.</t>
  </si>
  <si>
    <t>🏘  Vous cherchez un appartement à louer à Ballens? ✅ Les annonces les plus actuelles sont sur ImmoScout24.ch.</t>
  </si>
  <si>
    <t>https://www.immoscout24.ch/fr/maison/acheter/lieu-les-agettes</t>
  </si>
  <si>
    <t>Vendre maison Les Agettes: Trouvez le bien immobilier qui correspond idéalement à vos désirs sur ImmoScout24 - La plateforme de l'immobilier en Suisse.</t>
  </si>
  <si>
    <t>🏘  Vous souhaitez acheter une maison aux Agettes? ✅ Jetez un œil aux dernières offres sur ImmoScout24.ch.</t>
  </si>
  <si>
    <t>https://www.immoscout24.ch/fr/appartement/louer/lieu-orny</t>
  </si>
  <si>
    <t>Louer appartement Orny: Trouvez le bien immobilier qui correspond idéalement à vos désirs sur ImmoScout24 - La plateforme de l'immobilier en Suisse.</t>
  </si>
  <si>
    <t>🏘  Vous cherchez un appartement à louer à Orny? ✅ Les annonces les plus actuelles sont sur ImmoScout24.ch.</t>
  </si>
  <si>
    <t>https://www.immoscout24.ch/fr/maison/acheter/lieu-mervelier</t>
  </si>
  <si>
    <t>Vendre maison Mervelier: Trouvez le bien immobilier qui correspond idéalement à vos désirs sur ImmoScout24 - La plateforme de l'immobilier en Suisse.</t>
  </si>
  <si>
    <t>🏘  Vous souhaitez acheter une maison à Mervelier? ✅ Jetez un œil aux dernières offres sur ImmoScout24.ch.</t>
  </si>
  <si>
    <t>https://www.immoscout24.ch/fr/appartement/acheter/lieu-chene-bougeries</t>
  </si>
  <si>
    <t>Vendre appartement Chêne-Bougeries: Trouvez le bien immobilier qui correspond idéalement à vos désirs sur ImmoScout24 - La plateforme de l'immobilier en Suisse.</t>
  </si>
  <si>
    <t>🏘  L’appartement de vos rêves se trouve sur ImmoScout24.ch ✅ Découvrez les dernières annonces de vente à Chêne-Bougeries.</t>
  </si>
  <si>
    <t>https://www.immoscout24.ch/fr/maison/acheter/lieu-hindelbank</t>
  </si>
  <si>
    <t>Vendre maison Hindelbank: Trouvez le bien immobilier qui correspond idéalement à vos désirs sur ImmoScout24 - La plateforme de l'immobilier en Suisse.</t>
  </si>
  <si>
    <t>🏘  Vous souhaitez acheter une maison à Hindelbank? ✅ Jetez un œil aux dernières offres sur ImmoScout24.ch.</t>
  </si>
  <si>
    <t>https://www.immoscout24.ch/fr/maison/acheter/lieu-meikirch</t>
  </si>
  <si>
    <t>Vendre maison Meikirch: Trouvez le bien immobilier qui correspond idéalement à vos désirs sur ImmoScout24 - La plateforme de l'immobilier en Suisse.</t>
  </si>
  <si>
    <t>🏘  Vous souhaitez acheter une maison à Meikirch? ✅ Jetez un œil aux dernières offres sur ImmoScout24.ch.</t>
  </si>
  <si>
    <t>https://www.immoscout24.ch/fr/maison/louer/lieu-brunnen</t>
  </si>
  <si>
    <t>Louer maison Brunnen: Trouvez le bien immobilier qui correspond idéalement à vos désirs sur ImmoScout24 - La plateforme de l'immobilier en Suisse.</t>
  </si>
  <si>
    <t>🏘  Vous cherchez une maison à louer à Brunnen? ✅ Découvrez nos nombreuses annonces sur ImmoScout24.ch.</t>
  </si>
  <si>
    <t>https://www.immoscout24.ch/fr/appartement/louer/lieu-ligornetto</t>
  </si>
  <si>
    <t>Louer appartement Ligornetto: Trouvez le bien immobilier qui correspond idéalement à vos désirs sur ImmoScout24 - La plateforme de l'immobilier en Suisse.</t>
  </si>
  <si>
    <t>🏘  Vous cherchez un appartement à louer à Ligornetto? ✅ Les annonces les plus actuelles sont sur ImmoScout24.ch.</t>
  </si>
  <si>
    <t>https://www.immoscout24.ch/fr/maison/acheter/lieu-autavaux</t>
  </si>
  <si>
    <t>Vendre maison Autavaux: Trouvez le bien immobilier qui correspond idéalement à vos désirs sur ImmoScout24 - La plateforme de l'immobilier en Suisse.</t>
  </si>
  <si>
    <t>🏘  Vous souhaitez acheter une maison à Autavaux? ✅ Jetez un œil aux dernières offres sur ImmoScout24.ch.</t>
  </si>
  <si>
    <t>https://www.immoscout24.ch/fr/appartement/louer/quartier-rosental-bale</t>
  </si>
  <si>
    <t>Louer appartement Rosental (Bâle): Trouvez le bien immobilier qui correspond idéalement à vos désirs sur ImmoScout24 - La plateforme de l'immobilier en Suisse.</t>
  </si>
  <si>
    <t>🏘  Vous cherchez un appartement à louer dans le quartier de Rosental (Bâle)? ✅ Les annonces les plus actuelles sont sur ImmoScout24.ch.</t>
  </si>
  <si>
    <t>https://www.immoscout24.ch/fr/appartement/acheter/lieu-morcote</t>
  </si>
  <si>
    <t>Vendre appartement Morcote: Trouvez le bien immobilier qui correspond idéalement à vos désirs sur ImmoScout24 - La plateforme de l'immobilier en Suisse.</t>
  </si>
  <si>
    <t>🏘  L’appartement de vos rêves se trouve sur ImmoScout24.ch ✅ Découvrez les dernières annonces de vente à Morcote.</t>
  </si>
  <si>
    <t>https://www.immoscout24.ch/fr/maison/acheter/lieu-vesin</t>
  </si>
  <si>
    <t>Vendre maison Vesin: Trouvez le bien immobilier qui correspond idéalement à vos désirs sur ImmoScout24 - La plateforme de l'immobilier en Suisse.</t>
  </si>
  <si>
    <t>🏘  Vous souhaitez acheter une maison à Vesin? ✅ Jetez un œil aux dernières offres sur ImmoScout24.ch.</t>
  </si>
  <si>
    <t>https://www.immoscout24.ch/fr/appartement/acheter/lieu-wagen</t>
  </si>
  <si>
    <t>Vendre appartement Wagen: Trouvez le bien immobilier qui correspond idéalement à vos désirs sur ImmoScout24 - La plateforme de l'immobilier en Suisse.</t>
  </si>
  <si>
    <t>🏘  L’appartement de vos rêves se trouve sur ImmoScout24.ch ✅ Découvrez les dernières annonces de vente à Wagen.</t>
  </si>
  <si>
    <t>https://www.immoscout24.ch/fr/maison/acheter/lieu-domdidier</t>
  </si>
  <si>
    <t>Vendre maison Domdidier: Trouvez le bien immobilier qui correspond idéalement à vos désirs sur ImmoScout24 - La plateforme de l'immobilier en Suisse.</t>
  </si>
  <si>
    <t>🏘  Vous souhaitez acheter une maison à Domdidier? ✅ Jetez un œil aux dernières offres sur ImmoScout24.ch.</t>
  </si>
  <si>
    <t>https://www.immoscout24.ch/fr/maison/acheter/region-soleure</t>
  </si>
  <si>
    <t>Vendre maison Soleure: Trouvez le bien immobilier qui correspond idéalement à vos désirs sur ImmoScout24 - La plateforme de l'immobilier en Suisse.</t>
  </si>
  <si>
    <t>🏘  Vous souhaitez acheter une maison dans le canton de Soleure? ✅ Jetez un œil aux dernières offres sur ImmoScout24.ch.</t>
  </si>
  <si>
    <t>https://www.immoscout24.ch/fr/appartement/louer/lieu-vicques</t>
  </si>
  <si>
    <t>Louer appartement Vicques: Trouvez le bien immobilier qui correspond idéalement à vos désirs sur ImmoScout24 - La plateforme de l'immobilier en Suisse.</t>
  </si>
  <si>
    <t>🏘  Vous cherchez un appartement à louer à Vicques? ✅ Les annonces les plus actuelles sont sur ImmoScout24.ch.</t>
  </si>
  <si>
    <t>https://www.immoscout24.ch/fr/appartement/louer/lieu-st-livres</t>
  </si>
  <si>
    <t>Louer appartement St-Livres: Trouvez le bien immobilier qui correspond idéalement à vos désirs sur ImmoScout24 - La plateforme de l'immobilier en Suisse.</t>
  </si>
  <si>
    <t>🏘  Vous cherchez un appartement à louer à St-Livres? ✅ Les annonces les plus actuelles sont sur ImmoScout24.ch.</t>
  </si>
  <si>
    <t>https://www.immoscout24.ch/fr/maison/louer/lieu-salavaux</t>
  </si>
  <si>
    <t>Louer maison Salavaux: Trouvez le bien immobilier qui correspond idéalement à vos désirs sur ImmoScout24 - La plateforme de l'immobilier en Suisse.</t>
  </si>
  <si>
    <t>🏘  Vous cherchez une maison à louer à Salavaux? ✅ Découvrez nos nombreuses annonces sur ImmoScout24.ch.</t>
  </si>
  <si>
    <t>https://www.immoscout24.ch/fr/maison/louer/lieu-le-mont-pelerin</t>
  </si>
  <si>
    <t>Louer maison Le Mont-Pèlerin: Trouvez le bien immobilier qui correspond idéalement à vos désirs sur ImmoScout24 - La plateforme de l'immobilier en Suisse.</t>
  </si>
  <si>
    <t>🏘  Vous cherchez une maison à louer au Mont-Pèlerin? ✅ Découvrez nos nombreuses annonces sur ImmoScout24.ch.</t>
  </si>
  <si>
    <t>https://www.immoscout24.ch/fr/maison/louer/lieu-lechelles</t>
  </si>
  <si>
    <t>Louer maison Léchelles: Trouvez le bien immobilier qui correspond idéalement à vos désirs sur ImmoScout24 - La plateforme de l'immobilier en Suisse.</t>
  </si>
  <si>
    <t>🏘  Vous cherchez une maison à louer à Léchelles? ✅ Découvrez nos nombreuses annonces sur ImmoScout24.ch.</t>
  </si>
  <si>
    <t>https://www.immoscout24.ch/fr/appartement/louer/lieu-versoix</t>
  </si>
  <si>
    <t>Louer appartement Versoix: Trouvez le bien immobilier qui correspond idéalement à vos désirs sur ImmoScout24 - La plateforme de l'immobilier en Suisse.</t>
  </si>
  <si>
    <t>🏘  Vous cherchez un appartement à louer à Versoix? ✅ Les annonces les plus actuelles sont sur ImmoScout24.ch.</t>
  </si>
  <si>
    <t>https://www.immoscout24.ch/fr/maison/louer/lieu-villaz-st-pierre</t>
  </si>
  <si>
    <t>Louer maison Villaz-St-Pierre: Trouvez le bien immobilier qui correspond idéalement à vos désirs sur ImmoScout24 - La plateforme de l'immobilier en Suisse.</t>
  </si>
  <si>
    <t>🏘  Vous cherchez une maison à louer à Villaz-St-Pierre? ✅ Découvrez nos nombreuses annonces sur ImmoScout24.ch.</t>
  </si>
  <si>
    <t>https://www.immoscout24.ch/fr/maison/acheter/lieu-berlingen</t>
  </si>
  <si>
    <t>Vendre maison Berlingen: Trouvez le bien immobilier qui correspond idéalement à vos désirs sur ImmoScout24 - La plateforme de l'immobilier en Suisse.</t>
  </si>
  <si>
    <t>🏘  Vous souhaitez acheter une maison à Berlingen? ✅ Jetez un œil aux dernières offres sur ImmoScout24.ch.</t>
  </si>
  <si>
    <t>https://www.immoscout24.ch/fr/appartement/louer/lieu-les-ponts-de-martel</t>
  </si>
  <si>
    <t>Louer appartement Les Ponts-de-Martel: Trouvez le bien immobilier qui correspond idéalement à vos désirs sur ImmoScout24 - La plateforme de l'immobilier en Suisse.</t>
  </si>
  <si>
    <t>🏘  Vous cherchez un appartement à louer aux Ponts-de-Martel? ✅ Les annonces les plus actuelles sont sur ImmoScout24.ch.</t>
  </si>
  <si>
    <t>https://www.immoscout24.ch/fr/appartement/acheter/region-mendrisiotto</t>
  </si>
  <si>
    <t>Vendre appartement Mendrisiotto: Trouvez le bien immobilier qui correspond idéalement à vos désirs sur ImmoScout24 - La plateforme de l'immobilier en Suisse.</t>
  </si>
  <si>
    <t>🏘  L’appartement de vos rêves se trouve sur ImmoScout24.ch ✅ Découvrez les dernières annonces de vente dans le Mendrisiotto.</t>
  </si>
  <si>
    <t>https://www.immoscout24.ch/fr/appartement/louer/lieu-st-moritz</t>
  </si>
  <si>
    <t>Louer appartement St. Moritz: Trouvez le bien immobilier qui correspond idéalement à vos désirs sur ImmoScout24 - La plateforme de l'immobilier en Suisse.</t>
  </si>
  <si>
    <t>🏘  Vous cherchez un appartement à louer à St. Moritz? ✅ Les annonces les plus actuelles sont sur ImmoScout24.ch.</t>
  </si>
  <si>
    <t>https://www.immoscout24.ch/fr/maison/louer/lieu-cottens-fr</t>
  </si>
  <si>
    <t>Louer maison Cottens FR: Trouvez le bien immobilier qui correspond idéalement à vos désirs sur ImmoScout24 - La plateforme de l'immobilier en Suisse.</t>
  </si>
  <si>
    <t>🏘  Vous cherchez une maison à louer à Cottens FR? ✅ Découvrez nos nombreuses annonces sur ImmoScout24.ch.</t>
  </si>
  <si>
    <t>https://www.immoscout24.ch/fr/maison/acheter/lieu-la-forclaz-vs</t>
  </si>
  <si>
    <t>Vendre maison La Forclaz VS: Trouvez le bien immobilier qui correspond idéalement à vos désirs sur ImmoScout24 - La plateforme de l'immobilier en Suisse.</t>
  </si>
  <si>
    <t>🏘  Vous souhaitez acheter une maison à La Forclaz VS? ✅ Jetez un œil aux dernières offres sur ImmoScout24.ch.</t>
  </si>
  <si>
    <t>https://www.immoscout24.ch/fr/maison/louer/lieu-vuarrens</t>
  </si>
  <si>
    <t>Louer maison Vuarrens: Trouvez le bien immobilier qui correspond idéalement à vos désirs sur ImmoScout24 - La plateforme de l'immobilier en Suisse.</t>
  </si>
  <si>
    <t>🏘  Vous cherchez une maison à louer à Vuarrens? ✅ Découvrez nos nombreuses annonces sur ImmoScout24.ch.</t>
  </si>
  <si>
    <t>https://www.immoscout24.ch/fr/appartement/louer/lieu-krattigen</t>
  </si>
  <si>
    <t>Louer appartement Krattigen: Trouvez le bien immobilier qui correspond idéalement à vos désirs sur ImmoScout24 - La plateforme de l'immobilier en Suisse.</t>
  </si>
  <si>
    <t>🏘  Vous cherchez un appartement à louer à Krattigen? ✅ Les annonces les plus actuelles sont sur ImmoScout24.ch.</t>
  </si>
  <si>
    <t>https://www.immoscout24.ch/fr/maison/acheter/region-nidwald</t>
  </si>
  <si>
    <t>Vendre maison Nidwald: Trouvez le bien immobilier qui correspond idéalement à vos désirs sur ImmoScout24 - La plateforme de l'immobilier en Suisse.</t>
  </si>
  <si>
    <t>🏘  Vous souhaitez acheter une maison dans le canton de Nidwald? ✅ Jetez un œil aux dernières offres sur ImmoScout24.ch.</t>
  </si>
  <si>
    <t>https://www.immoscout24.ch/fr/maison/acheter/lieu-erlenbach-im-simmental</t>
  </si>
  <si>
    <t>Vendre maison Erlenbach im Simmental: Trouvez le bien immobilier qui correspond idéalement à vos désirs sur ImmoScout24 - La plateforme de l'immobilier en Suisse.</t>
  </si>
  <si>
    <t>🏘  Vous souhaitez acheter une maison à Erlenbach im Simmental? ✅ Jetez un œil aux dernières offres sur ImmoScout24.ch.</t>
  </si>
  <si>
    <t>https://www.immoscout24.ch/fr/appartement/louer/lieu-frasses</t>
  </si>
  <si>
    <t>Louer appartement Frasses: Trouvez le bien immobilier qui correspond idéalement à vos désirs sur ImmoScout24 - La plateforme de l'immobilier en Suisse.</t>
  </si>
  <si>
    <t>🏘  Vous cherchez un appartement à louer à Frasses? ✅ Les annonces les plus actuelles sont sur ImmoScout24.ch.</t>
  </si>
  <si>
    <t>https://www.immoscout24.ch/fr/appartement/louer/lieu-neuenhof</t>
  </si>
  <si>
    <t>Louer appartement Neuenhof: Trouvez le bien immobilier qui correspond idéalement à vos désirs sur ImmoScout24 - La plateforme de l'immobilier en Suisse.</t>
  </si>
  <si>
    <t>🏘  Vous cherchez un appartement à louer à Neuenhof? ✅ Les annonces les plus actuelles sont sur ImmoScout24.ch.</t>
  </si>
  <si>
    <t>https://www.immoscout24.ch/fr/maison/acheter/region-lac-de-constance</t>
  </si>
  <si>
    <t>Vendre maison Lac de Constance: Trouvez le bien immobilier qui correspond idéalement à vos désirs sur ImmoScout24 - La plateforme de l'immobilier en Suisse.</t>
  </si>
  <si>
    <t>🏘  Vous souhaitez acheter une maison près du lac de Constance? ✅ Jetez un œil aux dernières offres sur ImmoScout24.ch.</t>
  </si>
  <si>
    <t>https://www.immoscout24.ch/fr/appartement/louer/quartier-centro-lugano</t>
  </si>
  <si>
    <t>Louer appartement Centro (Lugano): Trouvez le bien immobilier qui correspond idéalement à vos désirs sur ImmoScout24 - La plateforme de l'immobilier en Suisse.</t>
  </si>
  <si>
    <t>🏘  Vous cherchez un appartement à louer dans le centre de Lugano? ✅ Les annonces les plus actuelles sont sur ImmoScout24.ch.</t>
  </si>
  <si>
    <t>https://www.immoscout24.ch/fr/maison/acheter/lieu-lens</t>
  </si>
  <si>
    <t>Vendre maison Lens: Trouvez le bien immobilier qui correspond idéalement à vos désirs sur ImmoScout24 - La plateforme de l'immobilier en Suisse.</t>
  </si>
  <si>
    <t>🏘  Vous souhaitez acheter une maison auns? ✅ Jetez un œil aux dernières offres sur ImmoScout24.ch.</t>
  </si>
  <si>
    <t>https://www.immoscout24.ch/fr/maison/louer/lieu-turin-salins</t>
  </si>
  <si>
    <t>Louer maison Turin (Salins): Trouvez le bien immobilier qui correspond idéalement à vos désirs sur ImmoScout24 - La plateforme de l'immobilier en Suisse.</t>
  </si>
  <si>
    <t>🏘  Vous cherchez une maison à louer à Turin (Salins)? ✅ Découvrez nos nombreuses annonces sur ImmoScout24.ch.</t>
  </si>
  <si>
    <t>https://www.immoscout24.ch/fr/appartement/louer/quartier-champagne-biel-bienne</t>
  </si>
  <si>
    <t>Louer appartement Champagne (Biel/Bienne): Trouvez le bien immobilier qui correspond idéalement à vos désirs sur ImmoScout24 - La plateforme de l'immobilier en Suisse.</t>
  </si>
  <si>
    <t>🏘  Vous cherchez un appartement à louer dans le quartier de Champagne (Biel/Bienne)? ✅ Les annonces les plus actuelles sont sur ImmoScout24.ch.</t>
  </si>
  <si>
    <t>https://www.immoscout24.ch/fr/maison/acheter/lieu-brissago</t>
  </si>
  <si>
    <t>Vendre maison Brissago: Trouvez le bien immobilier qui correspond idéalement à vos désirs sur ImmoScout24 - La plateforme de l'immobilier en Suisse.</t>
  </si>
  <si>
    <t>🏘  Vous souhaitez acheter une maison à Brissago? ✅ Jetez un œil aux dernières offres sur ImmoScout24.ch.</t>
  </si>
  <si>
    <t>https://www.immoscout24.ch/fr/appartement/acheter/lieu-les-diablerets</t>
  </si>
  <si>
    <t>Vendre appartement Les Diablerets: Trouvez le bien immobilier qui correspond idéalement à vos désirs sur ImmoScout24 - La plateforme de l'immobilier en Suisse.</t>
  </si>
  <si>
    <t>🏘  L’appartement de vos rêves se trouve sur ImmoScout24.ch ✅ Découvrez les dernières annonces de vente aux Diablerets.</t>
  </si>
  <si>
    <t>https://www.immoscout24.ch/fr/maison/acheter/lieu-la-chaux-cossonay</t>
  </si>
  <si>
    <t>Vendre maison La Chaux (Cossonay): Trouvez le bien immobilier qui correspond idéalement à vos désirs sur ImmoScout24 - La plateforme de l'immobilier en Suisse.</t>
  </si>
  <si>
    <t>🏘  Vous souhaitez acheter une maison à La Chaux (Cossonay)? ✅ Jetez un œil aux dernières offres sur ImmoScout24.ch.</t>
  </si>
  <si>
    <t>https://www.immoscout24.ch/fr/appartement/louer/lieu-vugelles-la-mothe</t>
  </si>
  <si>
    <t>Louer appartement Vugelles-La Mothe: Trouvez le bien immobilier qui correspond idéalement à vos désirs sur ImmoScout24 - La plateforme de l'immobilier en Suisse.</t>
  </si>
  <si>
    <t>🏘  Vous cherchez un appartement à louer à Vugelles-La Mothe? ✅ Les annonces les plus actuelles sont sur ImmoScout24.ch.</t>
  </si>
  <si>
    <t>https://www.immoscout24.ch/fr/maison/acheter/quartier-champel-roseraie-geneve</t>
  </si>
  <si>
    <t>Vendre maison Champel - Roseraie (Genève): Trouvez le bien immobilier qui correspond idéalement à vos désirs sur ImmoScout24 - La plateforme de l'immobilier en Suisse.</t>
  </si>
  <si>
    <t>🏘  Vous souhaitez acheter une maison dans le quartier de Champel - Roseraie (Genève)? ✅ Jetez un œil aux dernières offres sur ImmoScout24.ch.</t>
  </si>
  <si>
    <t>https://www.immoscout24.ch/fr/maison/acheter/lieu-grandcour</t>
  </si>
  <si>
    <t>Vendre maison Grandcour: Trouvez le bien immobilier qui correspond idéalement à vos désirs sur ImmoScout24 - La plateforme de l'immobilier en Suisse.</t>
  </si>
  <si>
    <t>🏘  Vous souhaitez acheter une maison à Grandcour? ✅ Jetez un œil aux dernières offres sur ImmoScout24.ch.</t>
  </si>
  <si>
    <t>https://www.immoscout24.ch/fr/appartement/louer/lieu-la-chaux-du-milieu</t>
  </si>
  <si>
    <t>Louer appartement La Chaux-du-Milieu: Trouvez le bien immobilier qui correspond idéalement à vos désirs sur ImmoScout24 - La plateforme de l'immobilier en Suisse.</t>
  </si>
  <si>
    <t>🏘  Vous cherchez un appartement à louer à La Chaux-du-Milieu? ✅ Les annonces les plus actuelles sont sur ImmoScout24.ch.</t>
  </si>
  <si>
    <t>https://www.immoscout24.ch/fr/appartement/louer/lieu-aire</t>
  </si>
  <si>
    <t>Louer appartement Aïre: Trouvez le bien immobilier qui correspond idéalement à vos désirs sur ImmoScout24 - La plateforme de l'immobilier en Suisse.</t>
  </si>
  <si>
    <t>🏘  Vous cherchez un appartement à louer à Aïre? ✅ Les annonces les plus actuelles sont sur ImmoScout24.ch.</t>
  </si>
  <si>
    <t>https://www.immoscout24.ch/fr/appartement/acheter/lieu-zweisimmen</t>
  </si>
  <si>
    <t>Vendre appartement Zweisimmen: Trouvez le bien immobilier qui correspond idéalement à vos désirs sur ImmoScout24 - La plateforme de l'immobilier en Suisse.</t>
  </si>
  <si>
    <t>🏘  L’appartement de vos rêves se trouve sur ImmoScout24.ch ✅ Découvrez les dernières annonces de vente à Zweisimmen.</t>
  </si>
  <si>
    <t>https://www.immoscout24.ch/fr/maison/louer/lieu-estavayer-le-lac</t>
  </si>
  <si>
    <t>Louer maison Estavayer-le-Lac: Trouvez le bien immobilier qui correspond idéalement à vos désirs sur ImmoScout24 - La plateforme de l'immobilier en Suisse.</t>
  </si>
  <si>
    <t>🏘  Vous cherchez une maison à louer à Estavayer-le-Lac? ✅ Découvrez nos nombreuses annonces sur ImmoScout24.ch.</t>
  </si>
  <si>
    <t>https://www.immoscout24.ch/fr/appartement/louer/lieu-villa-evolene</t>
  </si>
  <si>
    <t>Louer appartement Villa (Evolène): Trouvez le bien immobilier qui correspond idéalement à vos désirs sur ImmoScout24 - La plateforme de l'immobilier en Suisse.</t>
  </si>
  <si>
    <t>🏘  Vous cherchez un appartement à louer à Villa (Evolène)? ✅ Les annonces les plus actuelles sont sur ImmoScout24.ch.</t>
  </si>
  <si>
    <t>https://www.immoscout24.ch/fr/appartement/louer/lieu-rapperswil-be</t>
  </si>
  <si>
    <t>Louer appartement Rapperswil BE: Trouvez le bien immobilier qui correspond idéalement à vos désirs sur ImmoScout24 - La plateforme de l'immobilier en Suisse.</t>
  </si>
  <si>
    <t>🏘  Vous cherchez un appartement à louer à Rapperswil BE? ✅ Les annonces les plus actuelles sont sur ImmoScout24.ch.</t>
  </si>
  <si>
    <t>https://www.immoscout24.ch/fr/appartement/acheter/region-avenches-payerne</t>
  </si>
  <si>
    <t>Vendre appartement Avenches - Payerne: Trouvez le bien immobilier qui correspond idéalement à vos désirs sur ImmoScout24 - La plateforme de l'immobilier en Suisse.</t>
  </si>
  <si>
    <t>🏘  L’appartement de vos rêves se trouve sur ImmoScout24.ch ✅ Découvrez les dernières annonces de vente dans la région d'Avenches - Payerne.</t>
  </si>
  <si>
    <t>https://www.immoscout24.ch/fr/maison/louer/lieu-erde</t>
  </si>
  <si>
    <t>Louer maison Erde: Trouvez le bien immobilier qui correspond idéalement à vos désirs sur ImmoScout24 - La plateforme de l'immobilier en Suisse.</t>
  </si>
  <si>
    <t>🏘  Vous cherchez une maison à louer à Erde? ✅ Découvrez nos nombreuses annonces sur ImmoScout24.ch.</t>
  </si>
  <si>
    <t>https://www.immoscout24.ch/fr/maison/acheter/lieu-daillon</t>
  </si>
  <si>
    <t>Vendre maison Daillon: Trouvez le bien immobilier qui correspond idéalement à vos désirs sur ImmoScout24 - La plateforme de l'immobilier en Suisse.</t>
  </si>
  <si>
    <t>🏘  Vous souhaitez acheter une maison à Daillon? ✅ Jetez un œil aux dernières offres sur ImmoScout24.ch.</t>
  </si>
  <si>
    <t>https://www.immoscout24.ch/fr/maison/acheter/lieu-pilatus-kulm</t>
  </si>
  <si>
    <t>Vendre maison Pilatus Kulm: Trouvez le bien immobilier qui correspond idéalement à vos désirs sur ImmoScout24 - La plateforme de l'immobilier en Suisse.</t>
  </si>
  <si>
    <t>🏘  Vous souhaitez acheter une maison à Pilatus Kulm? ✅ Jetez un œil aux dernières offres sur ImmoScout24.ch.</t>
  </si>
  <si>
    <t>https://www.immoscout24.ch/fr/appartement/acheter/quartier-beaux-arts-neuchatel</t>
  </si>
  <si>
    <t>Vendre appartement Beaux-Arts (Neuchâtel): Trouvez le bien immobilier qui correspond idéalement à vos désirs sur ImmoScout24 - La plateforme de l'immobilier en Suisse.</t>
  </si>
  <si>
    <t>🏘  L’appartement de vos rêves se trouve sur ImmoScout24.ch ✅ Découvrez les dernières annonces de vente dans le quartier des Beaux-Arts (Neuchâtel).</t>
  </si>
  <si>
    <t>https://www.immoscout24.ch/fr/maison/acheter/lieu-sornetan</t>
  </si>
  <si>
    <t>Vendre maison Sornetan: Trouvez le bien immobilier qui correspond idéalement à vos désirs sur ImmoScout24 - La plateforme de l'immobilier en Suisse.</t>
  </si>
  <si>
    <t>🏘  Vous souhaitez acheter une maison à Sornetan? ✅ Jetez un œil aux dernières offres sur ImmoScout24.ch.</t>
  </si>
  <si>
    <t>https://www.immoscout24.ch/fr/maison/acheter/lieu-palezieux</t>
  </si>
  <si>
    <t>Vendre maison Palézieux: Trouvez le bien immobilier qui correspond idéalement à vos désirs sur ImmoScout24 - La plateforme de l'immobilier en Suisse.</t>
  </si>
  <si>
    <t>🏘  Vous souhaitez acheter une maison à Palézieux? ✅ Jetez un œil aux dernières offres sur ImmoScout24.ch.</t>
  </si>
  <si>
    <t>https://www.immoscout24.ch/fr/appartement/louer/lieu-oberwangen-b-bern</t>
  </si>
  <si>
    <t>Louer appartement Oberwangen b. Bern: Trouvez le bien immobilier qui correspond idéalement à vos désirs sur ImmoScout24 - La plateforme de l'immobilier en Suisse.</t>
  </si>
  <si>
    <t>🏘  Vous cherchez un appartement à louer à Oberwangen b. Bern? ✅ Les annonces les plus actuelles sont sur ImmoScout24.ch.</t>
  </si>
  <si>
    <t>https://www.immoscout24.ch/fr/appartement/louer/lieu-lens</t>
  </si>
  <si>
    <t>Louer appartement Lens: Trouvez le bien immobilier qui correspond idéalement à vos désirs sur ImmoScout24 - La plateforme de l'immobilier en Suisse.</t>
  </si>
  <si>
    <t>🏘  Vous cherchez un appartement à louer auns? ✅ Les annonces les plus actuelles sont sur ImmoScout24.ch.</t>
  </si>
  <si>
    <t>https://www.immoscout24.ch/fr/appartement/acheter/lieu-orbe</t>
  </si>
  <si>
    <t>Vendre appartement Orbe: Trouvez le bien immobilier qui correspond idéalement à vos désirs sur ImmoScout24 - La plateforme de l'immobilier en Suisse.</t>
  </si>
  <si>
    <t>🏘  L’appartement de vos rêves se trouve sur ImmoScout24.ch ✅ Découvrez les dernières annonces de vente à Orbe.</t>
  </si>
  <si>
    <t>https://www.immoscout24.ch/fr/maison/acheter/lieu-les-bois</t>
  </si>
  <si>
    <t>Vendre maison Les Bois: Trouvez le bien immobilier qui correspond idéalement à vos désirs sur ImmoScout24 - La plateforme de l'immobilier en Suisse.</t>
  </si>
  <si>
    <t>🏘  Vous souhaitez acheter une maison aux Bois? ✅ Jetez un œil aux dernières offres sur ImmoScout24.ch.</t>
  </si>
  <si>
    <t>https://www.immoscout24.ch/fr/appartement/acheter/lieu-cernier</t>
  </si>
  <si>
    <t>Vendre appartement Cernier: Trouvez le bien immobilier qui correspond idéalement à vos désirs sur ImmoScout24 - La plateforme de l'immobilier en Suisse.</t>
  </si>
  <si>
    <t>🏘  L’appartement de vos rêves se trouve sur ImmoScout24.ch ✅ Découvrez les dernières annonces de vente à Cernier.</t>
  </si>
  <si>
    <t>https://www.immoscout24.ch/fr/appartement/louer/lieu-bussy-sur-moudon</t>
  </si>
  <si>
    <t>Louer appartement Bussy-sur-Moudon: Trouvez le bien immobilier qui correspond idéalement à vos désirs sur ImmoScout24 - La plateforme de l'immobilier en Suisse.</t>
  </si>
  <si>
    <t>🏘  Vous cherchez un appartement à louer à Bussy-sur-Moudon? ✅ Les annonces les plus actuelles sont sur ImmoScout24.ch.</t>
  </si>
  <si>
    <t>https://www.immoscout24.ch/fr/maison/acheter/lieu-kirchlindach</t>
  </si>
  <si>
    <t>Vendre maison Kirchlindach: Trouvez le bien immobilier qui correspond idéalement à vos désirs sur ImmoScout24 - La plateforme de l'immobilier en Suisse.</t>
  </si>
  <si>
    <t>🏘  Vous souhaitez acheter une maison à Kirchlindach? ✅ Jetez un œil aux dernières offres sur ImmoScout24.ch.</t>
  </si>
  <si>
    <t>https://www.immoscout24.ch/fr/maison/acheter/lieu-cassina-d-agno</t>
  </si>
  <si>
    <t>Vendre maison Cassina d'Agno: Trouvez le bien immobilier qui correspond idéalement à vos désirs sur ImmoScout24 - La plateforme de l'immobilier en Suisse.</t>
  </si>
  <si>
    <t>🏘  Vous souhaitez acheter une maison à Cassina d'Agno? ✅ Jetez un œil aux dernières offres sur ImmoScout24.ch.</t>
  </si>
  <si>
    <t>https://www.immoscout24.ch/fr/appartement/acheter/lieu-salins</t>
  </si>
  <si>
    <t>Vendre appartement Salins: Trouvez le bien immobilier qui correspond idéalement à vos désirs sur ImmoScout24 - La plateforme de l'immobilier en Suisse.</t>
  </si>
  <si>
    <t>🏘  L’appartement de vos rêves se trouve sur ImmoScout24.ch ✅ Découvrez les dernières annonces de vente à Salins.</t>
  </si>
  <si>
    <t>https://www.immoscout24.ch/fr/appartement/louer/lieu-vandoeuvres</t>
  </si>
  <si>
    <t>Louer appartement Vandoeuvres: Trouvez le bien immobilier qui correspond idéalement à vos désirs sur ImmoScout24 - La plateforme de l'immobilier en Suisse.</t>
  </si>
  <si>
    <t>🏘  Vous cherchez un appartement à louer à Vandoeuvres? ✅ Les annonces les plus actuelles sont sur ImmoScout24.ch.</t>
  </si>
  <si>
    <t>https://www.immoscout24.ch/fr/maison/acheter/lieu-les-tavernes</t>
  </si>
  <si>
    <t>Vendre maison Les Tavernes: Trouvez le bien immobilier qui correspond idéalement à vos désirs sur ImmoScout24 - La plateforme de l'immobilier en Suisse.</t>
  </si>
  <si>
    <t>🏘  Vous souhaitez acheter une maison aux Tavernes? ✅ Jetez un œil aux dernières offres sur ImmoScout24.ch.</t>
  </si>
  <si>
    <t>https://www.immoscout24.ch/fr/appartement/acheter/lieu-chapelle-broye</t>
  </si>
  <si>
    <t>Vendre appartement Chapelle (Broye): Trouvez le bien immobilier qui correspond idéalement à vos désirs sur ImmoScout24 - La plateforme de l'immobilier en Suisse.</t>
  </si>
  <si>
    <t>🏘  L’appartement de vos rêves se trouve sur ImmoScout24.ch ✅ Découvrez les dernières annonces de vente à Chapelle (Broye).</t>
  </si>
  <si>
    <t>https://www.immoscout24.ch/fr/maison/acheter/lieu-berneck</t>
  </si>
  <si>
    <t>Vendre maison Berneck: Trouvez le bien immobilier qui correspond idéalement à vos désirs sur ImmoScout24 - La plateforme de l'immobilier en Suisse.</t>
  </si>
  <si>
    <t>🏘  Vous souhaitez acheter une maison à Berneck? ✅ Jetez un œil aux dernières offres sur ImmoScout24.ch.</t>
  </si>
  <si>
    <t>https://www.immoscout24.ch/fr/maison/louer/region-mendrisiotto</t>
  </si>
  <si>
    <t>Louer maison Mendrisiotto: Trouvez le bien immobilier qui correspond idéalement à vos désirs sur ImmoScout24 - La plateforme de l'immobilier en Suisse.</t>
  </si>
  <si>
    <t>🏘  Vous cherchez une maison à louer dans le Mendrisiotto? ✅ Découvrez nos nombreuses annonces sur ImmoScout24.ch.</t>
  </si>
  <si>
    <t>https://www.immoscout24.ch/fr/appartement/acheter/lieu-praz-vully</t>
  </si>
  <si>
    <t>Vendre appartement Praz (Vully): Trouvez le bien immobilier qui correspond idéalement à vos désirs sur ImmoScout24 - La plateforme de l'immobilier en Suisse.</t>
  </si>
  <si>
    <t>🏘  L’appartement de vos rêves se trouve sur ImmoScout24.ch ✅ Découvrez les dernières annonces de vente à Praz (Vully).</t>
  </si>
  <si>
    <t>https://www.immoscout24.ch/fr/maison/acheter/lieu-senedes</t>
  </si>
  <si>
    <t>Vendre maison Senèdes: Trouvez le bien immobilier qui correspond idéalement à vos désirs sur ImmoScout24 - La plateforme de l'immobilier en Suisse.</t>
  </si>
  <si>
    <t>🏘  Vous souhaitez acheter une maison à Senèdes? ✅ Jetez un œil aux dernières offres sur ImmoScout24.ch.</t>
  </si>
  <si>
    <t>https://www.immoscout24.ch/fr/appartement/louer/lieu-chavannes-de-bogis</t>
  </si>
  <si>
    <t>Louer appartement Chavannes-de-Bogis: Trouvez le bien immobilier qui correspond idéalement à vos désirs sur ImmoScout24 - La plateforme de l'immobilier en Suisse.</t>
  </si>
  <si>
    <t>🏘  Vous cherchez un appartement à louer à Chavannes-de-Bogis? ✅ Les annonces les plus actuelles sont sur ImmoScout24.ch.</t>
  </si>
  <si>
    <t>https://www.immoscout24.ch/fr/maison/acheter/lieu-st-ursen</t>
  </si>
  <si>
    <t>Vendre maison St. Ursen: Trouvez le bien immobilier qui correspond idéalement à vos désirs sur ImmoScout24 - La plateforme de l'immobilier en Suisse.</t>
  </si>
  <si>
    <t>🏘  Vous souhaitez acheter une maison à St. Ursen? ✅ Jetez un œil aux dernières offres sur ImmoScout24.ch.</t>
  </si>
  <si>
    <t>https://www.immoscout24.ch/fr/appartement/louer/lieu-motiers-ne</t>
  </si>
  <si>
    <t>Louer appartement Môtiers NE: Trouvez le bien immobilier qui correspond idéalement à vos désirs sur ImmoScout24 - La plateforme de l'immobilier en Suisse.</t>
  </si>
  <si>
    <t>🏘  Vous cherchez un appartement à louer à Môtiers NE? ✅ Les annonces les plus actuelles sont sur ImmoScout24.ch.</t>
  </si>
  <si>
    <t>https://www.immoscout24.ch/fr/appartement/acheter/lieu-campione-d-italia</t>
  </si>
  <si>
    <t>Vendre appartement Campione d'Italia: Trouvez le bien immobilier qui correspond idéalement à vos désirs sur ImmoScout24 - La plateforme de l'immobilier en Suisse.</t>
  </si>
  <si>
    <t>🏘  L’appartement de vos rêves se trouve sur ImmoScout24.ch ✅ Découvrez les dernières annonces de vente à Campione d'Italia.</t>
  </si>
  <si>
    <t>https://www.immoscout24.ch/fr/appartement/acheter/lieu-dardagny</t>
  </si>
  <si>
    <t>Vendre appartement Dardagny: Trouvez le bien immobilier qui correspond idéalement à vos désirs sur ImmoScout24 - La plateforme de l'immobilier en Suisse.</t>
  </si>
  <si>
    <t>🏘  L’appartement de vos rêves se trouve sur ImmoScout24.ch ✅ Découvrez les dernières annonces de vente à Dardagny.</t>
  </si>
  <si>
    <t>https://www.immoscout24.ch/fr/appartement/acheter/lieu-birmenstorf-ag</t>
  </si>
  <si>
    <t>Vendre appartement Birmenstorf AG: Trouvez le bien immobilier qui correspond idéalement à vos désirs sur ImmoScout24 - La plateforme de l'immobilier en Suisse.</t>
  </si>
  <si>
    <t>🏘  L’appartement de vos rêves se trouve sur ImmoScout24.ch ✅ Découvrez les dernières annonces de vente à Birmenstorf AG.</t>
  </si>
  <si>
    <t>https://www.immoscout24.ch/fr/appartement/louer/quartier-grossbasel-altstadt-bale</t>
  </si>
  <si>
    <t>Louer appartement Grossbasel Altstadt (Bâle): Trouvez le bien immobilier qui correspond idéalement à vos désirs sur ImmoScout24 - La plateforme de l'immobilier en Suisse.</t>
  </si>
  <si>
    <t>🏘  Vous cherchez un appartement à louer dans le quartier de Alstadt Grossbasel (Bâle)? ✅ Les annonces les plus actuelles sont sur ImmoScout24.ch.</t>
  </si>
  <si>
    <t>https://www.immoscout24.ch/fr/appartement/louer/lieu-meggen</t>
  </si>
  <si>
    <t>Louer appartement Meggen: Trouvez le bien immobilier qui correspond idéalement à vos désirs sur ImmoScout24 - La plateforme de l'immobilier en Suisse.</t>
  </si>
  <si>
    <t>🏘  Vous cherchez un appartement à louer à Meggen? ✅ Les annonces les plus actuelles sont sur ImmoScout24.ch.</t>
  </si>
  <si>
    <t>https://www.immoscout24.ch/fr/appartement/acheter/lieu-puplinge</t>
  </si>
  <si>
    <t>Vendre appartement Puplinge: Trouvez le bien immobilier qui correspond idéalement à vos désirs sur ImmoScout24 - La plateforme de l'immobilier en Suisse.</t>
  </si>
  <si>
    <t>🏘  L’appartement de vos rêves se trouve sur ImmoScout24.ch ✅ Découvrez les dernières annonces de vente à Puplinge.</t>
  </si>
  <si>
    <t>https://www.immoscout24.ch/fr/appartement/louer/lieu-bursins</t>
  </si>
  <si>
    <t>Louer appartement Bursins: Trouvez le bien immobilier qui correspond idéalement à vos désirs sur ImmoScout24 - La plateforme de l'immobilier en Suisse.</t>
  </si>
  <si>
    <t>🏘  Vous cherchez un appartement à louer à Bursins? ✅ Les annonces les plus actuelles sont sur ImmoScout24.ch.</t>
  </si>
  <si>
    <t>https://www.immoscout24.ch/fr/maison/acheter/lieu-lully-vd</t>
  </si>
  <si>
    <t>Vendre maison Lully VD: Trouvez le bien immobilier qui correspond idéalement à vos désirs sur ImmoScout24 - La plateforme de l'immobilier en Suisse.</t>
  </si>
  <si>
    <t>🏘  Vous souhaitez acheter une maison à Lully VD? ✅ Jetez un œil aux dernières offres sur ImmoScout24.ch.</t>
  </si>
  <si>
    <t>https://www.immoscout24.ch/fr/appartement/louer/lieu-kemptthal</t>
  </si>
  <si>
    <t>Louer appartement Kemptthal: Trouvez le bien immobilier qui correspond idéalement à vos désirs sur ImmoScout24 - La plateforme de l'immobilier en Suisse.</t>
  </si>
  <si>
    <t>🏘  Vous cherchez un appartement à louer à Kemptthal? ✅ Les annonces les plus actuelles sont sur ImmoScout24.ch.</t>
  </si>
  <si>
    <t>https://www.immoscout24.ch/fr/appartement/acheter/lieu-wangs</t>
  </si>
  <si>
    <t>Vendre appartement Wangs: Trouvez le bien immobilier qui correspond idéalement à vos désirs sur ImmoScout24 - La plateforme de l'immobilier en Suisse.</t>
  </si>
  <si>
    <t>🏘  L’appartement de vos rêves se trouve sur ImmoScout24.ch ✅ Découvrez les dernières annonces de vente à Wangs.</t>
  </si>
  <si>
    <t>https://www.immoscout24.ch/fr/maison/acheter/lieu-giffers</t>
  </si>
  <si>
    <t>Vendre maison Giffers: Trouvez le bien immobilier qui correspond idéalement à vos désirs sur ImmoScout24 - La plateforme de l'immobilier en Suisse.</t>
  </si>
  <si>
    <t>🏘  Vous souhaitez acheter une maison à Giffers? ✅ Jetez un œil aux dernières offres sur ImmoScout24.ch.</t>
  </si>
  <si>
    <t>https://www.immoscout24.ch/fr/maison/acheter/lieu-bellmund</t>
  </si>
  <si>
    <t>Vendre maison Bellmund: Trouvez le bien immobilier qui correspond idéalement à vos désirs sur ImmoScout24 - La plateforme de l'immobilier en Suisse.</t>
  </si>
  <si>
    <t>🏘  Vous souhaitez acheter une maison à Bellmund? ✅ Jetez un œil aux dernières offres sur ImmoScout24.ch.</t>
  </si>
  <si>
    <t>https://www.immoscout24.ch/fr/appartement/acheter/lieu-lajoux-ju</t>
  </si>
  <si>
    <t>Vendre appartement Lajoux JU: Trouvez le bien immobilier qui correspond idéalement à vos désirs sur ImmoScout24 - La plateforme de l'immobilier en Suisse.</t>
  </si>
  <si>
    <t>🏘  L’appartement de vos rêves se trouve sur ImmoScout24.ch ✅ Découvrez les dernières annonces de vente à Lajoux JU.</t>
  </si>
  <si>
    <t>https://www.immoscout24.ch/fr/appartement/acheter/lieu-saanenmoeser</t>
  </si>
  <si>
    <t>Vendre appartement Saanenmöser: Trouvez le bien immobilier qui correspond idéalement à vos désirs sur ImmoScout24 - La plateforme de l'immobilier en Suisse.</t>
  </si>
  <si>
    <t>🏘  L’appartement de vos rêves se trouve sur ImmoScout24.ch ✅ Découvrez les dernières annonces de vente à Saanenmöser.</t>
  </si>
  <si>
    <t>https://www.immoscout24.ch/fr/maison/acheter/lieu-liesberg</t>
  </si>
  <si>
    <t>Vendre maison Liesberg: Trouvez le bien immobilier qui correspond idéalement à vos désirs sur ImmoScout24 - La plateforme de l'immobilier en Suisse.</t>
  </si>
  <si>
    <t>🏘  Vous souhaitez acheter une maison à Liesberg? ✅ Jetez un œil aux dernières offres sur ImmoScout24.ch.</t>
  </si>
  <si>
    <t>https://www.immoscout24.ch/fr/maison/acheter/lieu-fey</t>
  </si>
  <si>
    <t>Vendre maison Fey: Trouvez le bien immobilier qui correspond idéalement à vos désirs sur ImmoScout24 - La plateforme de l'immobilier en Suisse.</t>
  </si>
  <si>
    <t>🏘  Vous souhaitez acheter une maison à Fey? ✅ Jetez un œil aux dernières offres sur ImmoScout24.ch.</t>
  </si>
  <si>
    <t>https://www.immoscout24.ch/fr/appartement/louer/lieu-conthey</t>
  </si>
  <si>
    <t>Louer appartement Conthey: Trouvez le bien immobilier qui correspond idéalement à vos désirs sur ImmoScout24 - La plateforme de l'immobilier en Suisse.</t>
  </si>
  <si>
    <t>🏘  Vous cherchez un appartement à louer à Conthey? ✅ Les annonces les plus actuelles sont sur ImmoScout24.ch.</t>
  </si>
  <si>
    <t>https://www.immoscout24.ch/fr/appartement/louer/lieu-avry-devant-pont</t>
  </si>
  <si>
    <t>Louer appartement Avry-devant-Pont: Trouvez le bien immobilier qui correspond idéalement à vos désirs sur ImmoScout24 - La plateforme de l'immobilier en Suisse.</t>
  </si>
  <si>
    <t>🏘  Vous cherchez un appartement à louer à Avry-devant-Pont? ✅ Les annonces les plus actuelles sont sur ImmoScout24.ch.</t>
  </si>
  <si>
    <t>https://www.immoscout24.ch/fr/maison/acheter/lieu-le-cret-pres-semsales</t>
  </si>
  <si>
    <t>Vendre maison Le Crêt-près-Semsales: Trouvez le bien immobilier qui correspond idéalement à vos désirs sur ImmoScout24 - La plateforme de l'immobilier en Suisse.</t>
  </si>
  <si>
    <t>🏘  Vous souhaitez acheter une maison au Crêt-près-Semsales? ✅ Jetez un œil aux dernières offres sur ImmoScout24.ch.</t>
  </si>
  <si>
    <t>https://www.immoscout24.ch/fr/maison/acheter/lieu-trogen</t>
  </si>
  <si>
    <t>Vendre maison Trogen: Trouvez le bien immobilier qui correspond idéalement à vos désirs sur ImmoScout24 - La plateforme de l'immobilier en Suisse.</t>
  </si>
  <si>
    <t>🏘  Vous souhaitez acheter une maison à Trogen? ✅ Jetez un œil aux dernières offres sur ImmoScout24.ch.</t>
  </si>
  <si>
    <t>https://www.immoscout24.ch/fr/maison/louer/region-zurich-ville</t>
  </si>
  <si>
    <t>Louer maison Zurich ville: Trouvez le bien immobilier qui correspond idéalement à vos désirs sur ImmoScout24 - La plateforme de l'immobilier en Suisse.</t>
  </si>
  <si>
    <t>🏘  Vous cherchez une maison à louer à Zurich ville? ✅ Découvrez nos nombreuses annonces sur ImmoScout24.ch.</t>
  </si>
  <si>
    <t>https://www.immoscout24.ch/fr/maison/acheter/lieu-sedeilles</t>
  </si>
  <si>
    <t>Vendre maison Sédeilles: Trouvez le bien immobilier qui correspond idéalement à vos désirs sur ImmoScout24 - La plateforme de l'immobilier en Suisse.</t>
  </si>
  <si>
    <t>🏘  Vous souhaitez acheter une maison à Sédeilles? ✅ Jetez un œil aux dernières offres sur ImmoScout24.ch.</t>
  </si>
  <si>
    <t>https://www.immoscout24.ch/fr/appartement/louer/quartier-sallaz-vennes-sechaud-lausanne</t>
  </si>
  <si>
    <t>Louer appartement Sallaz - Vennes - Séchaud (Lausanne): Trouvez le bien immobilier qui correspond idéalement à vos désirs sur ImmoScout24 - La plateforme de l'immobilier en Suisse.</t>
  </si>
  <si>
    <t>🏘  Vous cherchez un appartement à louer dans le quartier de Sallaz - Vennes - Séchaud (Lausanne)? ✅ Les annonces les plus actuelles sont sur ImmoScout24.ch.</t>
  </si>
  <si>
    <t>https://www.immoscout24.ch/fr/maison/louer/lieu-le-sepey</t>
  </si>
  <si>
    <t>Louer maison Le Sépey: Trouvez le bien immobilier qui correspond idéalement à vos désirs sur ImmoScout24 - La plateforme de l'immobilier en Suisse.</t>
  </si>
  <si>
    <t>🏘  Vous cherchez une maison à louer au Sépey? ✅ Découvrez nos nombreuses annonces sur ImmoScout24.ch.</t>
  </si>
  <si>
    <t>https://www.immoscout24.ch/fr/maison/acheter/lieu-ollon-vs</t>
  </si>
  <si>
    <t>Vendre maison Ollon VS: Trouvez le bien immobilier qui correspond idéalement à vos désirs sur ImmoScout24 - La plateforme de l'immobilier en Suisse.</t>
  </si>
  <si>
    <t>🏘  Vous souhaitez acheter une maison à Ollon VS? ✅ Jetez un œil aux dernières offres sur ImmoScout24.ch.</t>
  </si>
  <si>
    <t>https://www.immoscout24.ch/fr/maison/louer/lieu-neuchatel</t>
  </si>
  <si>
    <t>Louer maison Neuchâtel: Trouvez le bien immobilier qui correspond idéalement à vos désirs sur ImmoScout24 - La plateforme de l'immobilier en Suisse.</t>
  </si>
  <si>
    <t>🏘  Vous cherchez une maison à louer à Neuchâtel? ✅ Découvrez nos nombreuses annonces sur ImmoScout24.ch.</t>
  </si>
  <si>
    <t>https://www.immoscout24.ch/fr/appartement/louer/lieu-le-bemont-ju</t>
  </si>
  <si>
    <t>Louer appartement Le Bémont JU: Trouvez le bien immobilier qui correspond idéalement à vos désirs sur ImmoScout24 - La plateforme de l'immobilier en Suisse.</t>
  </si>
  <si>
    <t>🏘  Vous cherchez un appartement à louer au Bémont JU? ✅ Les annonces les plus actuelles sont sur ImmoScout24.ch.</t>
  </si>
  <si>
    <t>https://www.immoscout24.ch/fr/appartement/acheter/lieu-merligen</t>
  </si>
  <si>
    <t>Vendre appartement Merligen: Trouvez le bien immobilier qui correspond idéalement à vos désirs sur ImmoScout24 - La plateforme de l'immobilier en Suisse.</t>
  </si>
  <si>
    <t>🏘  L’appartement de vos rêves se trouve sur ImmoScout24.ch ✅ Découvrez les dernières annonces de vente à Merligen.</t>
  </si>
  <si>
    <t>https://www.immoscout24.ch/fr/appartement/louer/lieu-morcles</t>
  </si>
  <si>
    <t>Louer appartement Morcles: Trouvez le bien immobilier qui correspond idéalement à vos désirs sur ImmoScout24 - La plateforme de l'immobilier en Suisse.</t>
  </si>
  <si>
    <t>🏘  Vous cherchez un appartement à louer à Morcles? ✅ Les annonces les plus actuelles sont sur ImmoScout24.ch.</t>
  </si>
  <si>
    <t>https://www.immoscout24.ch/fr/maison/louer/lieu-wil-sg</t>
  </si>
  <si>
    <t>Louer maison Wil SG: Trouvez le bien immobilier qui correspond idéalement à vos désirs sur ImmoScout24 - La plateforme de l'immobilier en Suisse.</t>
  </si>
  <si>
    <t>🏘  Vous cherchez une maison à louer à Wil SG? ✅ Découvrez nos nombreuses annonces sur ImmoScout24.ch.</t>
  </si>
  <si>
    <t>https://www.immoscout24.ch/fr/appartement/acheter/lieu-aminona</t>
  </si>
  <si>
    <t>Vendre appartement Aminona: Trouvez le bien immobilier qui correspond idéalement à vos désirs sur ImmoScout24 - La plateforme de l'immobilier en Suisse.</t>
  </si>
  <si>
    <t>🏘  L’appartement de vos rêves se trouve sur ImmoScout24.ch ✅ Découvrez les dernières annonces de vente à Aminona.</t>
  </si>
  <si>
    <t>https://www.immoscout24.ch/fr/maison/acheter/lieu-monthey</t>
  </si>
  <si>
    <t>Vendre maison Monthey: Trouvez le bien immobilier qui correspond idéalement à vos désirs sur ImmoScout24 - La plateforme de l'immobilier en Suisse.</t>
  </si>
  <si>
    <t>🏘  Vous souhaitez acheter une maison à Monthey? ✅ Jetez un œil aux dernières offres sur ImmoScout24.ch.</t>
  </si>
  <si>
    <t>https://www.immoscout24.ch/fr/appartement/louer/lieu-le-landeron</t>
  </si>
  <si>
    <t>Louer appartement Le Landeron: Trouvez le bien immobilier qui correspond idéalement à vos désirs sur ImmoScout24 - La plateforme de l'immobilier en Suisse.</t>
  </si>
  <si>
    <t>🏘  Vous cherchez un appartement à louer au Landeron? ✅ Les annonces les plus actuelles sont sur ImmoScout24.ch.</t>
  </si>
  <si>
    <t>https://www.immoscout24.ch/fr/appartement/louer/quartier-centre-la-chaux-de-fonds</t>
  </si>
  <si>
    <t>Louer appartement Centre (La Chaux-de-Fonds): Trouvez le bien immobilier qui correspond idéalement à vos désirs sur ImmoScout24 - La plateforme de l'immobilier en Suisse.</t>
  </si>
  <si>
    <t>🏘  Vous cherchez un appartement à louer dans le Centre de La Chaux-de-Fonds? ✅ Les annonces les plus actuelles sont sur ImmoScout24.ch.</t>
  </si>
  <si>
    <t>https://www.immoscout24.ch/fr/appartement/acheter/lieu-farvagny</t>
  </si>
  <si>
    <t>Vendre appartement Farvagny-le-Grand: Trouvez le bien immobilier qui correspond idéalement à vos désirs sur ImmoScout24 - La plateforme de l'immobilier en Suisse.</t>
  </si>
  <si>
    <t>🏘  L’appartement de vos rêves se trouve sur ImmoScout24.ch ✅ Découvrez les dernières annonces de vente à Farvagny-le-Grand.</t>
  </si>
  <si>
    <t>https://www.immoscout24.ch/fr/maison/acheter/lieu-pont-veveyse</t>
  </si>
  <si>
    <t>Vendre maison Pont (Veveyse): Trouvez le bien immobilier qui correspond idéalement à vos désirs sur ImmoScout24 - La plateforme de l'immobilier en Suisse.</t>
  </si>
  <si>
    <t>🏘  Vous souhaitez acheter une maison à Pont (Veveyse)? ✅ Jetez un œil aux dernières offres sur ImmoScout24.ch.</t>
  </si>
  <si>
    <t>https://www.immoscout24.ch/fr/maison/louer/lieu-chavannes-sur-moudon</t>
  </si>
  <si>
    <t>Louer maison Chavannes-sur-Moudon: Trouvez le bien immobilier qui correspond idéalement à vos désirs sur ImmoScout24 - La plateforme de l'immobilier en Suisse.</t>
  </si>
  <si>
    <t>🏘  Vous cherchez une maison à louer à Chavannes-sur-Moudon? ✅ Découvrez nos nombreuses annonces sur ImmoScout24.ch.</t>
  </si>
  <si>
    <t>https://www.immoscout24.ch/fr/maison/louer/lieu-vernier</t>
  </si>
  <si>
    <t>Louer maison Vernier: Trouvez le bien immobilier qui correspond idéalement à vos désirs sur ImmoScout24 - La plateforme de l'immobilier en Suisse.</t>
  </si>
  <si>
    <t>🏘  Vous cherchez une maison à louer à Vernier? ✅ Découvrez nos nombreuses annonces sur ImmoScout24.ch.</t>
  </si>
  <si>
    <t>https://www.immoscout24.ch/fr/maison/acheter/lieu-veytaux</t>
  </si>
  <si>
    <t>Vendre maison Veytaux: Trouvez le bien immobilier qui correspond idéalement à vos désirs sur ImmoScout24 - La plateforme de l'immobilier en Suisse.</t>
  </si>
  <si>
    <t>🏘  Vous souhaitez acheter une maison à Veytaux? ✅ Jetez un œil aux dernières offres sur ImmoScout24.ch.</t>
  </si>
  <si>
    <t>https://www.immoscout24.ch/fr/appartement/louer/lieu-wohlen-ag</t>
  </si>
  <si>
    <t>Louer appartement Wohlen AG: Trouvez le bien immobilier qui correspond idéalement à vos désirs sur ImmoScout24 - La plateforme de l'immobilier en Suisse.</t>
  </si>
  <si>
    <t>🏘  Vous cherchez un appartement à louer à Wohlen AG? ✅ Les annonces les plus actuelles sont sur ImmoScout24.ch.</t>
  </si>
  <si>
    <t>https://www.immoscout24.ch/fr/maison/louer/pays-tunisie</t>
  </si>
  <si>
    <t>Louer maison Tunisie: Trouvez le bien immobilier qui correspond idéalement à vos désirs sur ImmoScout24 - La plateforme de l'immobilier en Suisse.</t>
  </si>
  <si>
    <t>https://www.immoscout24.ch/fr/maison/louer/lieu-holderbank-so</t>
  </si>
  <si>
    <t>Louer maison Holderbank SO: Trouvez le bien immobilier qui correspond idéalement à vos désirs sur ImmoScout24 - La plateforme de l'immobilier en Suisse.</t>
  </si>
  <si>
    <t>🏘  Vous cherchez une maison à louer à Holderbank SO? ✅ Découvrez nos nombreuses annonces sur ImmoScout24.ch.</t>
  </si>
  <si>
    <t>https://www.immoscout24.ch/fr/appartement/louer/lieu-correvon</t>
  </si>
  <si>
    <t>Louer appartement Correvon: Trouvez le bien immobilier qui correspond idéalement à vos désirs sur ImmoScout24 - La plateforme de l'immobilier en Suisse.</t>
  </si>
  <si>
    <t>🏘  Vous cherchez un appartement à louer à Correvon? ✅ Les annonces les plus actuelles sont sur ImmoScout24.ch.</t>
  </si>
  <si>
    <t>https://www.immoscout24.ch/fr/maison/acheter/region-zurich-et-environs</t>
  </si>
  <si>
    <t>Vendre maison Zurich et environs: Trouvez le bien immobilier qui correspond idéalement à vos désirs sur ImmoScout24 - La plateforme de l'immobilier en Suisse.</t>
  </si>
  <si>
    <t>🏘  Vous souhaitez acheter une maison à Zurich et environs? ✅ Jetez un œil aux dernières offres sur ImmoScout24.ch.</t>
  </si>
  <si>
    <t>https://www.immoscout24.ch/fr/appartement/acheter/lieu-ardon</t>
  </si>
  <si>
    <t>Vendre appartement Ardon: Trouvez le bien immobilier qui correspond idéalement à vos désirs sur ImmoScout24 - La plateforme de l'immobilier en Suisse.</t>
  </si>
  <si>
    <t>🏘  L’appartement de vos rêves se trouve sur ImmoScout24.ch ✅ Découvrez les dernières annonces de vente à Ardon.</t>
  </si>
  <si>
    <t>https://www.immoscout24.ch/fr/maison/louer/lieu-le-cerneux-pequignot</t>
  </si>
  <si>
    <t>Louer maison Le Cerneux-Péquignot: Trouvez le bien immobilier qui correspond idéalement à vos désirs sur ImmoScout24 - La plateforme de l'immobilier en Suisse.</t>
  </si>
  <si>
    <t>🏘  Vous cherchez une maison à louer au Cerneux-Péquignot? ✅ Découvrez nos nombreuses annonces sur ImmoScout24.ch.</t>
  </si>
  <si>
    <t>https://www.immoscout24.ch/fr/appartement/louer/lieu-le-lignon</t>
  </si>
  <si>
    <t>Louer appartement Le Lignon: Trouvez le bien immobilier qui correspond idéalement à vos désirs sur ImmoScout24 - La plateforme de l'immobilier en Suisse.</t>
  </si>
  <si>
    <t>🏘  Vous cherchez un appartement à louer au Lignon? ✅ Les annonces les plus actuelles sont sur ImmoScout24.ch.</t>
  </si>
  <si>
    <t>https://www.immoscout24.ch/fr/appartement/acheter/lieu-capolago</t>
  </si>
  <si>
    <t>Vendre appartement Capolago: Trouvez le bien immobilier qui correspond idéalement à vos désirs sur ImmoScout24 - La plateforme de l'immobilier en Suisse.</t>
  </si>
  <si>
    <t>🏘  L’appartement de vos rêves se trouve sur ImmoScout24.ch ✅ Découvrez les dernières annonces de vente à Capolago.</t>
  </si>
  <si>
    <t>https://www.immoscout24.ch/fr/maison/acheter/region-bremgarten-lenzburg-muri-kulm</t>
  </si>
  <si>
    <t>Vendre maison Bremgarten - Lenzburg - Muri - Kulm: Trouvez le bien immobilier qui correspond idéalement à vos désirs sur ImmoScout24 - La plateforme de l'immobilier en Suisse.</t>
  </si>
  <si>
    <t>🏘  Vous souhaitez acheter une maison dans les districts de Bremgarten - Lenzburg - Muri - Kulm? ✅ Jetez un œil aux dernières offres sur ImmoScout24.ch.</t>
  </si>
  <si>
    <t>https://www.immoscout24.ch/fr/appartement/louer/lieu-wolhusen</t>
  </si>
  <si>
    <t>Louer appartement Wolhusen: Trouvez le bien immobilier qui correspond idéalement à vos désirs sur ImmoScout24 - La plateforme de l'immobilier en Suisse.</t>
  </si>
  <si>
    <t>🏘  Vous cherchez un appartement à louer à Wolhusen? ✅ Les annonces les plus actuelles sont sur ImmoScout24.ch.</t>
  </si>
  <si>
    <t>https://www.immoscout24.ch/fr/appartement/louer/lieu-vullierens</t>
  </si>
  <si>
    <t>Louer appartement Vullierens: Trouvez le bien immobilier qui correspond idéalement à vos désirs sur ImmoScout24 - La plateforme de l'immobilier en Suisse.</t>
  </si>
  <si>
    <t>🏘  Vous cherchez un appartement à louer à Vullierens? ✅ Les annonces les plus actuelles sont sur ImmoScout24.ch.</t>
  </si>
  <si>
    <t>https://www.immoscout24.ch/fr/appartement/louer/lieu-steffisburg</t>
  </si>
  <si>
    <t>Louer appartement Steffisburg: Trouvez le bien immobilier qui correspond idéalement à vos désirs sur ImmoScout24 - La plateforme de l'immobilier en Suisse.</t>
  </si>
  <si>
    <t>🏘  Vous cherchez un appartement à louer à Steffisburg? ✅ Les annonces les plus actuelles sont sur ImmoScout24.ch.</t>
  </si>
  <si>
    <t>https://www.immoscout24.ch/fr/maison/acheter/lieu-erlach</t>
  </si>
  <si>
    <t>Vendre maison Erlach: Trouvez le bien immobilier qui correspond idéalement à vos désirs sur ImmoScout24 - La plateforme de l'immobilier en Suisse.</t>
  </si>
  <si>
    <t>🏘  Vous souhaitez acheter une maison à Erlach? ✅ Jetez un œil aux dernières offres sur ImmoScout24.ch.</t>
  </si>
  <si>
    <t>https://www.immoscout24.ch/fr/maison/acheter/lieu-riex</t>
  </si>
  <si>
    <t>Vendre maison Riex: Trouvez le bien immobilier qui correspond idéalement à vos désirs sur ImmoScout24 - La plateforme de l'immobilier en Suisse.</t>
  </si>
  <si>
    <t>🏘  Vous souhaitez acheter une maison à Riex? ✅ Jetez un œil aux dernières offres sur ImmoScout24.ch.</t>
  </si>
  <si>
    <t>https://www.immoscout24.ch/fr/appartement/acheter/lieu-walliswil-b-wangen</t>
  </si>
  <si>
    <t>Vendre appartement Walliswil b. Wangen: Trouvez le bien immobilier qui correspond idéalement à vos désirs sur ImmoScout24 - La plateforme de l'immobilier en Suisse.</t>
  </si>
  <si>
    <t>🏘  L’appartement de vos rêves se trouve sur ImmoScout24.ch ✅ Découvrez les dernières annonces de vente à Walliswil b. Wangen.</t>
  </si>
  <si>
    <t>https://www.immoscout24.ch/fr/appartement/louer/lieu-cottens-fr</t>
  </si>
  <si>
    <t>Louer appartement Cottens FR: Trouvez le bien immobilier qui correspond idéalement à vos désirs sur ImmoScout24 - La plateforme de l'immobilier en Suisse.</t>
  </si>
  <si>
    <t>🏘  Vous cherchez un appartement à louer à Cottens FR? ✅ Les annonces les plus actuelles sont sur ImmoScout24.ch.</t>
  </si>
  <si>
    <t>https://www.immoscout24.ch/fr/appartement/louer/lieu-heerbrugg</t>
  </si>
  <si>
    <t>Louer appartement Heerbrugg: Trouvez le bien immobilier qui correspond idéalement à vos désirs sur ImmoScout24 - La plateforme de l'immobilier en Suisse.</t>
  </si>
  <si>
    <t>🏘  Vous cherchez un appartement à louer à Heerbrugg? ✅ Les annonces les plus actuelles sont sur ImmoScout24.ch.</t>
  </si>
  <si>
    <t>https://www.immoscout24.ch/fr/appartement/acheter/lieu-st-sulpice-vd</t>
  </si>
  <si>
    <t>Vendre appartement St-Sulpice VD: Trouvez le bien immobilier qui correspond idéalement à vos désirs sur ImmoScout24 - La plateforme de l'immobilier en Suisse.</t>
  </si>
  <si>
    <t>🏘  L’appartement de vos rêves se trouve sur ImmoScout24.ch ✅ Découvrez les dernières annonces de vente à St-Sulpice VD.</t>
  </si>
  <si>
    <t>https://www.immoscout24.ch/fr/appartement/acheter/lieu-mission</t>
  </si>
  <si>
    <t>Vendre appartement Mission: Trouvez le bien immobilier qui correspond idéalement à vos désirs sur ImmoScout24 - La plateforme de l'immobilier en Suisse.</t>
  </si>
  <si>
    <t>🏘  L’appartement de vos rêves se trouve sur ImmoScout24.ch ✅ Découvrez les dernières annonces de vente à Mission.</t>
  </si>
  <si>
    <t>https://www.immoscout24.ch/fr/maison/acheter/lieu-la-joux-fr</t>
  </si>
  <si>
    <t>Vendre maison La Joux FR: Trouvez le bien immobilier qui correspond idéalement à vos désirs sur ImmoScout24 - La plateforme de l'immobilier en Suisse.</t>
  </si>
  <si>
    <t>https://www.immoscout24.ch/fr/maison/acheter/lieu-les-reussilles</t>
  </si>
  <si>
    <t>Vendre maison Les Reussilles: Trouvez le bien immobilier qui correspond idéalement à vos désirs sur ImmoScout24 - La plateforme de l'immobilier en Suisse.</t>
  </si>
  <si>
    <t>https://www.immoscout24.ch/fr/appartement/acheter/lieu-unterseen</t>
  </si>
  <si>
    <t>Vendre appartement Unterseen: Trouvez le bien immobilier qui correspond idéalement à vos désirs sur ImmoScout24 - La plateforme de l'immobilier en Suisse.</t>
  </si>
  <si>
    <t>https://www.immoscout24.ch/fr/appartement/louer/quartier-stoeckacker-berne</t>
  </si>
  <si>
    <t>Louer appartement Stöckacker (Berne): Trouvez le bien immobilier qui correspond idéalement à vos désirs sur ImmoScout24 - La plateforme de l'immobilier en Suisse.</t>
  </si>
  <si>
    <t>https://www.immoscout24.ch/fr/maison/acheter/lieu-kandersteg</t>
  </si>
  <si>
    <t>Vendre maison Kandersteg: Trouvez le bien immobilier qui correspond idéalement à vos désirs sur ImmoScout24 - La plateforme de l'immobilier en Suisse.</t>
  </si>
  <si>
    <t>https://www.immoscout24.ch/fr/appartement/louer/quartier-monruz-neuchatel</t>
  </si>
  <si>
    <t>Louer appartement Monruz (Neuchâtel): Trouvez le bien immobilier qui correspond idéalement à vos désirs sur ImmoScout24 - La plateforme de l'immobilier en Suisse.</t>
  </si>
  <si>
    <t>https://www.immoscout24.ch/fr/maison/acheter/lieu-iseo</t>
  </si>
  <si>
    <t>Vendre maison Iseo: Trouvez le bien immobilier qui correspond idéalement à vos désirs sur ImmoScout24 - La plateforme de l'immobilier en Suisse.</t>
  </si>
  <si>
    <t>https://www.immoscout24.ch/fr/appartement/louer/lieu-diesse</t>
  </si>
  <si>
    <t>Louer appartement Diesse: Trouvez le bien immobilier qui correspond idéalement à vos désirs sur ImmoScout24 - La plateforme de l'immobilier en Suisse.</t>
  </si>
  <si>
    <t>https://www.immoscout24.ch/fr/appartement/louer/lieu-pratteln</t>
  </si>
  <si>
    <t>Louer appartement Pratteln: Trouvez le bien immobilier qui correspond idéalement à vos désirs sur ImmoScout24 - La plateforme de l'immobilier en Suisse.</t>
  </si>
  <si>
    <t>https://www.immoscout24.ch/fr/appartement/louer/lieu-schwarzenberg-lu</t>
  </si>
  <si>
    <t>Louer appartement Schwarzenberg LU: Trouvez le bien immobilier qui correspond idéalement à vos désirs sur ImmoScout24 - La plateforme de l'immobilier en Suisse.</t>
  </si>
  <si>
    <t>https://www.immoscout24.ch/fr/appartement/acheter/lieu-bussnang</t>
  </si>
  <si>
    <t>Vendre appartement Bussnang: Trouvez le bien immobilier qui correspond idéalement à vos désirs sur ImmoScout24 - La plateforme de l'immobilier en Suisse.</t>
  </si>
  <si>
    <t>https://www.immoscout24.ch/fr/maison/acheter/lieu-le-noirmont</t>
  </si>
  <si>
    <t>Vendre maison Le Noirmont: Trouvez le bien immobilier qui correspond idéalement à vos désirs sur ImmoScout24 - La plateforme de l'immobilier en Suisse.</t>
  </si>
  <si>
    <t>https://www.immoscout24.ch/fr/appartement/louer/quartier-bossons-blecherette-lausanne</t>
  </si>
  <si>
    <t>Louer appartement Bossons - Blécherette (Lausanne): Trouvez le bien immobilier qui correspond idéalement à vos désirs sur ImmoScout24 - La plateforme de l'immobilier en Suisse.</t>
  </si>
  <si>
    <t>https://www.immoscout24.ch/fr/maison/acheter/lieu-montfaucon</t>
  </si>
  <si>
    <t>Vendre maison Montfaucon: Trouvez le bien immobilier qui correspond idéalement à vos désirs sur ImmoScout24 - La plateforme de l'immobilier en Suisse.</t>
  </si>
  <si>
    <t>https://www.immoscout24.ch/fr/appartement/acheter/lieu-thonex</t>
  </si>
  <si>
    <t>Vendre appartement Thônex: Trouvez le bien immobilier qui correspond idéalement à vos désirs sur ImmoScout24 - La plateforme de l'immobilier en Suisse.</t>
  </si>
  <si>
    <t>https://www.immoscout24.ch/fr/appartement/louer/lieu-oberiberg</t>
  </si>
  <si>
    <t>Louer appartement Oberiberg: Trouvez le bien immobilier qui correspond idéalement à vos désirs sur ImmoScout24 - La plateforme de l'immobilier en Suisse.</t>
  </si>
  <si>
    <t>https://www.immoscout24.ch/fr/maison/acheter/lieu-fregiecourt</t>
  </si>
  <si>
    <t>Vendre maison Fregiécourt: Trouvez le bien immobilier qui correspond idéalement à vos désirs sur ImmoScout24 - La plateforme de l'immobilier en Suisse.</t>
  </si>
  <si>
    <t>https://www.immoscout24.ch/fr/maison/acheter/lieu-grandfontaine</t>
  </si>
  <si>
    <t>Vendre maison Grandfontaine: Trouvez le bien immobilier qui correspond idéalement à vos désirs sur ImmoScout24 - La plateforme de l'immobilier en Suisse.</t>
  </si>
  <si>
    <t>https://www.immoscout24.ch/fr/appartement/louer/lieu-haag-rheintal</t>
  </si>
  <si>
    <t>Louer appartement Haag (Rheintal): Trouvez le bien immobilier qui correspond idéalement à vos désirs sur ImmoScout24 - La plateforme de l'immobilier en Suisse.</t>
  </si>
  <si>
    <t>https://www.immoscout24.ch/fr/appartement/acheter/lieu-stoos-sz</t>
  </si>
  <si>
    <t>Vendre appartement Stoos SZ: Trouvez le bien immobilier qui correspond idéalement à vos désirs sur ImmoScout24 - La plateforme de l'immobilier en Suisse.</t>
  </si>
  <si>
    <t>https://www.immoscout24.ch/fr/maison/acheter/lieu-gerra-verzasca</t>
  </si>
  <si>
    <t>Vendre maison Gerra (Verzasca): Trouvez le bien immobilier qui correspond idéalement à vos désirs sur ImmoScout24 - La plateforme de l'immobilier en Suisse.</t>
  </si>
  <si>
    <t>https://www.immoscout24.ch/fr/appartement/louer/lieu-chermignon</t>
  </si>
  <si>
    <t>Louer appartement Chermignon: Trouvez le bien immobilier qui correspond idéalement à vos désirs sur ImmoScout24 - La plateforme de l'immobilier en Suisse.</t>
  </si>
  <si>
    <t>https://www.immoscout24.ch/fr/appartement/louer/lieu-chevroux</t>
  </si>
  <si>
    <t>Louer appartement Chevroux: Trouvez le bien immobilier qui correspond idéalement à vos désirs sur ImmoScout24 - La plateforme de l'immobilier en Suisse.</t>
  </si>
  <si>
    <t>https://www.immoscout24.ch/fr/appartement/acheter/lieu-dotzigen</t>
  </si>
  <si>
    <t>Vendre appartement Dotzigen: Trouvez le bien immobilier qui correspond idéalement à vos désirs sur ImmoScout24 - La plateforme de l'immobilier en Suisse.</t>
  </si>
  <si>
    <t>https://www.immoscout24.ch/fr/appartement/louer/lieu-saillon</t>
  </si>
  <si>
    <t>Louer appartement Saillon: Trouvez le bien immobilier qui correspond idéalement à vos désirs sur ImmoScout24 - La plateforme de l'immobilier en Suisse.</t>
  </si>
  <si>
    <t>https://www.immoscout24.ch/fr/maison/acheter/lieu-promasens</t>
  </si>
  <si>
    <t>Vendre maison Promasens: Trouvez le bien immobilier qui correspond idéalement à vos désirs sur ImmoScout24 - La plateforme de l'immobilier en Suisse.</t>
  </si>
  <si>
    <t>https://www.immoscout24.ch/fr/maison/louer/lieu-freienbach</t>
  </si>
  <si>
    <t>Louer maison Freienbach: Trouvez le bien immobilier qui correspond idéalement à vos désirs sur ImmoScout24 - La plateforme de l'immobilier en Suisse.</t>
  </si>
  <si>
    <t>https://www.immoscout24.ch/fr/appartement/louer/lieu-seleute</t>
  </si>
  <si>
    <t>Louer appartement Seleute: Trouvez le bien immobilier qui correspond idéalement à vos désirs sur ImmoScout24 - La plateforme de l'immobilier en Suisse.</t>
  </si>
  <si>
    <t>https://www.immoscout24.ch/fr/maison/acheter/lieu-magden</t>
  </si>
  <si>
    <t>Vendre maison Magden: Trouvez le bien immobilier qui correspond idéalement à vos désirs sur ImmoScout24 - La plateforme de l'immobilier en Suisse.</t>
  </si>
  <si>
    <t>https://www.immoscout24.ch/fr/appartement/acheter/lieu-visp</t>
  </si>
  <si>
    <t>Vendre appartement Visp: Trouvez le bien immobilier qui correspond idéalement à vos désirs sur ImmoScout24 - La plateforme de l'immobilier en Suisse.</t>
  </si>
  <si>
    <t>https://www.immoscout24.ch/fr/maison/louer/lieu-kollbrunn</t>
  </si>
  <si>
    <t>Louer maison Kollbrunn: Trouvez le bien immobilier qui correspond idéalement à vos désirs sur ImmoScout24 - La plateforme de l'immobilier en Suisse.</t>
  </si>
  <si>
    <t>https://www.immoscout24.ch/fr/maison/acheter/lieu-assens</t>
  </si>
  <si>
    <t>Vendre maison Assens: Trouvez le bien immobilier qui correspond idéalement à vos désirs sur ImmoScout24 - La plateforme de l'immobilier en Suisse.</t>
  </si>
  <si>
    <t>https://www.immoscout24.ch/fr/appartement/louer/lieu-valeyres-sous-montagny</t>
  </si>
  <si>
    <t>Louer appartement Valeyres-sous-Montagny: Trouvez le bien immobilier qui correspond idéalement à vos désirs sur ImmoScout24 - La plateforme de l'immobilier en Suisse.</t>
  </si>
  <si>
    <t>https://www.immoscout24.ch/fr/maison/acheter/lieu-merligen</t>
  </si>
  <si>
    <t>Vendre maison Merligen: Trouvez le bien immobilier qui correspond idéalement à vos désirs sur ImmoScout24 - La plateforme de l'immobilier en Suisse.</t>
  </si>
  <si>
    <t>https://www.immoscout24.ch/fr/maison/acheter/quartier-secheron-prieure-geneve</t>
  </si>
  <si>
    <t>Vendre maison Sécheron - Prieuré (Genève): Trouvez le bien immobilier qui correspond idéalement à vos désirs sur ImmoScout24 - La plateforme de l'immobilier en Suisse.</t>
  </si>
  <si>
    <t>https://www.immoscout24.ch/fr/maison/louer/lieu-rocourt</t>
  </si>
  <si>
    <t>Louer maison Rocourt: Trouvez le bien immobilier qui correspond idéalement à vos désirs sur ImmoScout24 - La plateforme de l'immobilier en Suisse.</t>
  </si>
  <si>
    <t>https://www.immoscout24.ch/fr/maison/louer/lieu-ursy</t>
  </si>
  <si>
    <t>Louer maison Ursy: Trouvez le bien immobilier qui correspond idéalement à vos désirs sur ImmoScout24 - La plateforme de l'immobilier en Suisse.</t>
  </si>
  <si>
    <t>https://www.immoscout24.ch/fr/appartement/louer/quartier-besso-lugano</t>
  </si>
  <si>
    <t>Louer appartement Besso (Lugano): Trouvez le bien immobilier qui correspond idéalement à vos désirs sur ImmoScout24 - La plateforme de l'immobilier en Suisse.</t>
  </si>
  <si>
    <t>https://www.immoscout24.ch/fr/appartement/louer/lieu-dagmersellen</t>
  </si>
  <si>
    <t>Louer appartement Dagmersellen: Trouvez le bien immobilier qui correspond idéalement à vos désirs sur ImmoScout24 - La plateforme de l'immobilier en Suisse.</t>
  </si>
  <si>
    <t>https://www.immoscout24.ch/fr/maison/acheter/lieu-st-sulpice-ne</t>
  </si>
  <si>
    <t>Vendre maison St-Sulpice NE: Trouvez le bien immobilier qui correspond idéalement à vos désirs sur ImmoScout24 - La plateforme de l'immobilier en Suisse.</t>
  </si>
  <si>
    <t>https://www.immoscout24.ch/fr/maison/acheter/lieu-wuennewil</t>
  </si>
  <si>
    <t>Vendre maison Wünnewil: Trouvez le bien immobilier qui correspond idéalement à vos désirs sur ImmoScout24 - La plateforme de l'immobilier en Suisse.</t>
  </si>
  <si>
    <t>https://www.immoscout24.ch/fr/appartement/louer/lieu-visp</t>
  </si>
  <si>
    <t>Louer appartement Visp: Trouvez le bien immobilier qui correspond idéalement à vos désirs sur ImmoScout24 - La plateforme de l'immobilier en Suisse.</t>
  </si>
  <si>
    <t>https://www.immoscout24.ch/fr/maison/acheter/lieu-zofingen</t>
  </si>
  <si>
    <t>Vendre maison Zofingen: Trouvez le bien immobilier qui correspond idéalement à vos désirs sur ImmoScout24 - La plateforme de l'immobilier en Suisse.</t>
  </si>
  <si>
    <t>https://www.immoscout24.ch/fr/appartement/louer/lieu-pfaeffikon-zh</t>
  </si>
  <si>
    <t>Louer appartement Pfäffikon ZH: Trouvez le bien immobilier qui correspond idéalement à vos désirs sur ImmoScout24 - La plateforme de l'immobilier en Suisse.</t>
  </si>
  <si>
    <t>https://www.immoscout24.ch/fr/appartement/acheter/lieu-bursins</t>
  </si>
  <si>
    <t>Vendre appartement Bursins: Trouvez le bien immobilier qui correspond idéalement à vos désirs sur ImmoScout24 - La plateforme de l'immobilier en Suisse.</t>
  </si>
  <si>
    <t>https://www.immoscout24.ch/fr/appartement/louer/lieu-muellheim-dorf</t>
  </si>
  <si>
    <t>Louer appartement Müllheim Dorf: Trouvez le bien immobilier qui correspond idéalement à vos désirs sur ImmoScout24 - La plateforme de l'immobilier en Suisse.</t>
  </si>
  <si>
    <t>https://www.immoscout24.ch/fr/maison/acheter/lieu-croy</t>
  </si>
  <si>
    <t>Vendre maison Croy: Trouvez le bien immobilier qui correspond idéalement à vos désirs sur ImmoScout24 - La plateforme de l'immobilier en Suisse.</t>
  </si>
  <si>
    <t>https://www.immoscout24.ch/fr/maison/louer/region-montagnes-neuchateloises</t>
  </si>
  <si>
    <t>Louer maison Montagnes Neuchâteloises: Trouvez le bien immobilier qui correspond idéalement à vos désirs sur ImmoScout24 - La plateforme de l'immobilier en Suisse.</t>
  </si>
  <si>
    <t>https://www.immoscout24.ch/fr/maison/acheter/lieu-bruson</t>
  </si>
  <si>
    <t>Vendre maison Bruson: Trouvez le bien immobilier qui correspond idéalement à vos désirs sur ImmoScout24 - La plateforme de l'immobilier en Suisse.</t>
  </si>
  <si>
    <t>https://www.immoscout24.ch/fr/maison/acheter/lieu-ballaigues</t>
  </si>
  <si>
    <t>Vendre maison Ballaigues: Trouvez le bien immobilier qui correspond idéalement à vos désirs sur ImmoScout24 - La plateforme de l'immobilier en Suisse.</t>
  </si>
  <si>
    <t>https://www.immoscout24.ch/fr/appartement/acheter/lieu-muttenz</t>
  </si>
  <si>
    <t>Vendre appartement Muttenz: Trouvez le bien immobilier qui correspond idéalement à vos désirs sur ImmoScout24 - La plateforme de l'immobilier en Suisse.</t>
  </si>
  <si>
    <t>https://www.immoscout24.ch/fr/maison/louer/region-rorschach-st-gallen</t>
  </si>
  <si>
    <t>Louer maison Rorschach - St. Gallen: Trouvez le bien immobilier qui correspond idéalement à vos désirs sur ImmoScout24 - La plateforme de l'immobilier en Suisse.</t>
  </si>
  <si>
    <t>https://www.immoscout24.ch/fr/appartement/louer/lieu-kirchberg-be</t>
  </si>
  <si>
    <t>Louer appartement Kirchberg BE: Trouvez le bien immobilier qui correspond idéalement à vos désirs sur ImmoScout24 - La plateforme de l'immobilier en Suisse.</t>
  </si>
  <si>
    <t>https://www.immoscout24.ch/fr/appartement/acheter/lieu-luterbach</t>
  </si>
  <si>
    <t>Vendre appartement Luterbach: Trouvez le bien immobilier qui correspond idéalement à vos désirs sur ImmoScout24 - La plateforme de l'immobilier en Suisse.</t>
  </si>
  <si>
    <t>https://www.immoscout24.ch/fr/appartement/acheter/lieu-ostermundigen</t>
  </si>
  <si>
    <t>Vendre appartement Ostermundigen: Trouvez le bien immobilier qui correspond idéalement à vos désirs sur ImmoScout24 - La plateforme de l'immobilier en Suisse.</t>
  </si>
  <si>
    <t>https://www.immoscout24.ch/fr/appartement/louer/lieu-la-plaine</t>
  </si>
  <si>
    <t>Louer appartement La Plaine: Trouvez le bien immobilier qui correspond idéalement à vos désirs sur ImmoScout24 - La plateforme de l'immobilier en Suisse.</t>
  </si>
  <si>
    <t>https://www.immoscout24.ch/fr/maison/acheter/lieu-pensier</t>
  </si>
  <si>
    <t>Vendre maison Pensier: Trouvez le bien immobilier qui correspond idéalement à vos désirs sur ImmoScout24 - La plateforme de l'immobilier en Suisse.</t>
  </si>
  <si>
    <t>https://www.immoscout24.ch/fr/maison/acheter/lieu-cully</t>
  </si>
  <si>
    <t>Vendre maison Cully: Trouvez le bien immobilier qui correspond idéalement à vos désirs sur ImmoScout24 - La plateforme de l'immobilier en Suisse.</t>
  </si>
  <si>
    <t>https://www.immoscout24.ch/fr/appartement/acheter/lieu-giffers</t>
  </si>
  <si>
    <t>Vendre appartement Giffers: Trouvez le bien immobilier qui correspond idéalement à vos désirs sur ImmoScout24 - La plateforme de l'immobilier en Suisse.</t>
  </si>
  <si>
    <t>https://www.immoscout24.ch/fr/maison/acheter/quartier-kleinhueningen-bale</t>
  </si>
  <si>
    <t>Vendre maison Kleinhüningen (Bâle): Trouvez le bien immobilier qui correspond idéalement à vos désirs sur ImmoScout24 - La plateforme de l'immobilier en Suisse.</t>
  </si>
  <si>
    <t>https://www.immoscout24.ch/fr/appartement/acheter/lieu-l-etivaz</t>
  </si>
  <si>
    <t>Vendre appartement L'Etivaz: Trouvez le bien immobilier qui correspond idéalement à vos désirs sur ImmoScout24 - La plateforme de l'immobilier en Suisse.</t>
  </si>
  <si>
    <t>https://www.immoscout24.ch/fr/appartement/louer/lieu-appenzell</t>
  </si>
  <si>
    <t>Louer appartement Appenzell: Trouvez le bien immobilier qui correspond idéalement à vos désirs sur ImmoScout24 - La plateforme de l'immobilier en Suisse.</t>
  </si>
  <si>
    <t>https://www.immoscout24.ch/fr/appartement/louer/lieu-vira-gambarogno</t>
  </si>
  <si>
    <t>Louer appartement Vira (Gambarogno): Trouvez le bien immobilier qui correspond idéalement à vos désirs sur ImmoScout24 - La plateforme de l'immobilier en Suisse.</t>
  </si>
  <si>
    <t>https://www.immoscout24.ch/fr/maison/acheter/lieu-orny</t>
  </si>
  <si>
    <t>Vendre maison Orny: Trouvez le bien immobilier qui correspond idéalement à vos désirs sur ImmoScout24 - La plateforme de l'immobilier en Suisse.</t>
  </si>
  <si>
    <t>https://www.immoscout24.ch/fr/maison/louer/lieu-murist</t>
  </si>
  <si>
    <t>Louer maison Murist: Trouvez le bien immobilier qui correspond idéalement à vos désirs sur ImmoScout24 - La plateforme de l'immobilier en Suisse.</t>
  </si>
  <si>
    <t>https://www.immoscout24.ch/fr/appartement/louer/lieu-l-abbaye</t>
  </si>
  <si>
    <t>Louer appartement L'Abbaye: Trouvez le bien immobilier qui correspond idéalement à vos désirs sur ImmoScout24 - La plateforme de l'immobilier en Suisse.</t>
  </si>
  <si>
    <t>https://www.immoscout24.ch/fr/maison/acheter/lieu-quinten</t>
  </si>
  <si>
    <t>Vendre maison Quinten: Trouvez le bien immobilier qui correspond idéalement à vos désirs sur ImmoScout24 - La plateforme de l'immobilier en Suisse.</t>
  </si>
  <si>
    <t>https://www.immoscout24.ch/fr/maison/louer/region-rive-droite</t>
  </si>
  <si>
    <t>Louer maison Rive Droite: Trouvez le bien immobilier qui correspond idéalement à vos désirs sur ImmoScout24 - La plateforme de l'immobilier en Suisse.</t>
  </si>
  <si>
    <t>https://www.immoscout24.ch/fr/appartement/louer/lieu-givrins</t>
  </si>
  <si>
    <t>Louer appartement Givrins: Trouvez le bien immobilier qui correspond idéalement à vos désirs sur ImmoScout24 - La plateforme de l'immobilier en Suisse.</t>
  </si>
  <si>
    <t>https://www.immoscout24.ch/fr/appartement/louer/lieu-portalban</t>
  </si>
  <si>
    <t>Louer appartement Portalban: Trouvez le bien immobilier qui correspond idéalement à vos désirs sur ImmoScout24 - La plateforme de l'immobilier en Suisse.</t>
  </si>
  <si>
    <t>https://www.immoscout24.ch/fr/maison/acheter/lieu-villarbeney</t>
  </si>
  <si>
    <t>Vendre maison Villarbeney: Trouvez le bien immobilier qui correspond idéalement à vos désirs sur ImmoScout24 - La plateforme de l'immobilier en Suisse.</t>
  </si>
  <si>
    <t>https://www.immoscout24.ch/fr/appartement/louer/lieu-aran</t>
  </si>
  <si>
    <t>Louer appartement Aran: Trouvez le bien immobilier qui correspond idéalement à vos désirs sur ImmoScout24 - La plateforme de l'immobilier en Suisse.</t>
  </si>
  <si>
    <t>https://www.immoscout24.ch/fr/appartement/louer/lieu-montagny-la-ville</t>
  </si>
  <si>
    <t>Louer appartement Montagny-la-Ville: Trouvez le bien immobilier qui correspond idéalement à vos désirs sur ImmoScout24 - La plateforme de l'immobilier en Suisse.</t>
  </si>
  <si>
    <t>https://www.immoscout24.ch/fr/maison/louer/lieu-champtauroz</t>
  </si>
  <si>
    <t>Louer maison Champtauroz: Trouvez le bien immobilier qui correspond idéalement à vos désirs sur ImmoScout24 - La plateforme de l'immobilier en Suisse.</t>
  </si>
  <si>
    <t>https://www.immoscout24.ch/fr/maison/acheter/lieu-biembach-im-emmental</t>
  </si>
  <si>
    <t>Vendre maison Biembach im Emmental: Trouvez le bien immobilier qui correspond idéalement à vos désirs sur ImmoScout24 - La plateforme de l'immobilier en Suisse.</t>
  </si>
  <si>
    <t>https://www.immoscout24.ch/fr/maison/acheter/lieu-bueetigen</t>
  </si>
  <si>
    <t>Vendre maison Büetigen: Trouvez le bien immobilier qui correspond idéalement à vos désirs sur ImmoScout24 - La plateforme de l'immobilier en Suisse.</t>
  </si>
  <si>
    <t>https://www.immoscout24.ch/fr/appartement/acheter/lieu-st-legier-la-chiesaz</t>
  </si>
  <si>
    <t>Vendre appartement St-Légier-La Chiésaz: Trouvez le bien immobilier qui correspond idéalement à vos désirs sur ImmoScout24 - La plateforme de l'immobilier en Suisse.</t>
  </si>
  <si>
    <t>https://www.immoscout24.ch/fr/appartement/louer/lieu-brignon-nendaz</t>
  </si>
  <si>
    <t>Louer appartement Brignon (Nendaz): Trouvez le bien immobilier qui correspond idéalement à vos désirs sur ImmoScout24 - La plateforme de l'immobilier en Suisse.</t>
  </si>
  <si>
    <t>https://www.immoscout24.ch/fr/appartement/acheter/lieu-fiez</t>
  </si>
  <si>
    <t>Vendre appartement Fiez: Trouvez le bien immobilier qui correspond idéalement à vos désirs sur ImmoScout24 - La plateforme de l'immobilier en Suisse.</t>
  </si>
  <si>
    <t>https://www.immoscout24.ch/fr/maison/acheter/lieu-ostermundigen</t>
  </si>
  <si>
    <t>Vendre maison Ostermundigen: Trouvez le bien immobilier qui correspond idéalement à vos désirs sur ImmoScout24 - La plateforme de l'immobilier en Suisse.</t>
  </si>
  <si>
    <t>https://www.immoscout24.ch/fr/maison/louer/lieu-boll</t>
  </si>
  <si>
    <t>Louer maison Boll: Trouvez le bien immobilier qui correspond idéalement à vos désirs sur ImmoScout24 - La plateforme de l'immobilier en Suisse.</t>
  </si>
  <si>
    <t>https://www.immoscout24.ch/fr/appartement/louer/lieu-fenin</t>
  </si>
  <si>
    <t>Louer appartement Fenin: Trouvez le bien immobilier qui correspond idéalement à vos désirs sur ImmoScout24 - La plateforme de l'immobilier en Suisse.</t>
  </si>
  <si>
    <t>https://www.immoscout24.ch/fr/appartement/louer/lieu-st-cergue</t>
  </si>
  <si>
    <t>Louer appartement St-Cergue: Trouvez le bien immobilier qui correspond idéalement à vos désirs sur ImmoScout24 - La plateforme de l'immobilier en Suisse.</t>
  </si>
  <si>
    <t>https://www.immoscout24.ch/fr/appartement/louer/quartier-rotmonten-st-gall</t>
  </si>
  <si>
    <t>Louer appartement Rotmonten (St-Gall): Trouvez le bien immobilier qui correspond idéalement à vos désirs sur ImmoScout24 - La plateforme de l'immobilier en Suisse.</t>
  </si>
  <si>
    <t>https://www.immoscout24.ch/fr/appartement/louer/lieu-st-blaise</t>
  </si>
  <si>
    <t>Louer appartement St-Blaise: Trouvez le bien immobilier qui correspond idéalement à vos désirs sur ImmoScout24 - La plateforme de l'immobilier en Suisse.</t>
  </si>
  <si>
    <t>https://www.immoscout24.ch/fr/maison/louer/lieu-farvagny</t>
  </si>
  <si>
    <t>Louer maison Farvagny-le-Grand: Trouvez le bien immobilier qui correspond idéalement à vos désirs sur ImmoScout24 - La plateforme de l'immobilier en Suisse.</t>
  </si>
  <si>
    <t>https://www.immoscout24.ch/fr/appartement/acheter/lieu-simplon-dorf</t>
  </si>
  <si>
    <t>Vendre appartement Simplon Dorf: Trouvez le bien immobilier qui correspond idéalement à vos désirs sur ImmoScout24 - La plateforme de l'immobilier en Suisse.</t>
  </si>
  <si>
    <t>https://www.immoscout24.ch/fr/maison/acheter/lieu-rebeuvelier</t>
  </si>
  <si>
    <t>Vendre maison Rebeuvelier: Trouvez le bien immobilier qui correspond idéalement à vos désirs sur ImmoScout24 - La plateforme de l'immobilier en Suisse.</t>
  </si>
  <si>
    <t>https://www.immoscout24.ch/fr/maison/acheter/pays-canada</t>
  </si>
  <si>
    <t>Vendre maison Canada: Trouvez le bien immobilier qui correspond idéalement à vos désirs sur ImmoScout24 - La plateforme de l'immobilier en Suisse.</t>
  </si>
  <si>
    <t>https://www.immoscout24.ch/fr/maison/acheter/lieu-braggio</t>
  </si>
  <si>
    <t>Vendre maison Braggio: Trouvez le bien immobilier qui correspond idéalement à vos désirs sur ImmoScout24 - La plateforme de l'immobilier en Suisse.</t>
  </si>
  <si>
    <t>https://www.immoscout24.ch/fr/maison/acheter/lieu-confignon</t>
  </si>
  <si>
    <t>Vendre maison Confignon: Trouvez le bien immobilier qui correspond idéalement à vos désirs sur ImmoScout24 - La plateforme de l'immobilier en Suisse.</t>
  </si>
  <si>
    <t>https://www.immoscout24.ch/fr/appartement/louer/lieu-gachnang</t>
  </si>
  <si>
    <t>Louer appartement Gachnang: Trouvez le bien immobilier qui correspond idéalement à vos désirs sur ImmoScout24 - La plateforme de l'immobilier en Suisse.</t>
  </si>
  <si>
    <t>https://www.immoscout24.ch/fr/maison/louer/lieu-jongny</t>
  </si>
  <si>
    <t>Louer maison Jongny: Trouvez le bien immobilier qui correspond idéalement à vos désirs sur ImmoScout24 - La plateforme de l'immobilier en Suisse.</t>
  </si>
  <si>
    <t>https://www.immoscout24.ch/fr/maison/acheter/lieu-dornach</t>
  </si>
  <si>
    <t>Vendre maison Dornach: Trouvez le bien immobilier qui correspond idéalement à vos désirs sur ImmoScout24 - La plateforme de l'immobilier en Suisse.</t>
  </si>
  <si>
    <t>https://www.immoscout24.ch/fr/appartement/louer/lieu-verscio</t>
  </si>
  <si>
    <t>Louer appartement Verscio: Trouvez le bien immobilier qui correspond idéalement à vos désirs sur ImmoScout24 - La plateforme de l'immobilier en Suisse.</t>
  </si>
  <si>
    <t>https://www.immoscout24.ch/fr/appartement/louer/lieu-bronschhofen</t>
  </si>
  <si>
    <t>Louer appartement Bronschhofen: Trouvez le bien immobilier qui correspond idéalement à vos désirs sur ImmoScout24 - La plateforme de l'immobilier en Suisse.</t>
  </si>
  <si>
    <t>https://www.immoscout24.ch/fr/maison/acheter/lieu-yvorne</t>
  </si>
  <si>
    <t>Vendre maison Yvorne: Trouvez le bien immobilier qui correspond idéalement à vos désirs sur ImmoScout24 - La plateforme de l'immobilier en Suisse.</t>
  </si>
  <si>
    <t>https://www.immoscout24.ch/fr/appartement/acheter/lieu-gy</t>
  </si>
  <si>
    <t>Vendre appartement Gy: Trouvez le bien immobilier qui correspond idéalement à vos désirs sur ImmoScout24 - La plateforme de l'immobilier en Suisse.</t>
  </si>
  <si>
    <t>https://www.immoscout24.ch/fr/maison/louer/lieu-fiaugeres</t>
  </si>
  <si>
    <t>Louer maison Fiaugères: Trouvez le bien immobilier qui correspond idéalement à vos désirs sur ImmoScout24 - La plateforme de l'immobilier en Suisse.</t>
  </si>
  <si>
    <t>https://www.immoscout24.ch/fr/appartement/acheter/lieu-baden</t>
  </si>
  <si>
    <t>Vendre appartement Baden: Trouvez le bien immobilier qui correspond idéalement à vos désirs sur ImmoScout24 - La plateforme de l'immobilier en Suisse.</t>
  </si>
  <si>
    <t>https://www.immoscout24.ch/fr/maison/acheter/lieu-fuellinsdorf</t>
  </si>
  <si>
    <t>Vendre maison Füllinsdorf: Trouvez le bien immobilier qui correspond idéalement à vos désirs sur ImmoScout24 - La plateforme de l'immobilier en Suisse.</t>
  </si>
  <si>
    <t>https://www.immoscout24.ch/fr/appartement/louer/region-bischofszell-weinfelden</t>
  </si>
  <si>
    <t>Louer appartement Bischofszell - Weinfelden: Trouvez le bien immobilier qui correspond idéalement à vos désirs sur ImmoScout24 - La plateforme de l'immobilier en Suisse.</t>
  </si>
  <si>
    <t>https://www.immoscout24.ch/fr/maison/acheter/pays-croatie</t>
  </si>
  <si>
    <t>Vendre maison Croatie: Trouvez le bien immobilier qui correspond idéalement à vos désirs sur ImmoScout24 - La plateforme de l'immobilier en Suisse.</t>
  </si>
  <si>
    <t>https://www.immoscout24.ch/fr/appartement/louer/lieu-muri-ag</t>
  </si>
  <si>
    <t>Louer appartement Muri AG: Trouvez le bien immobilier qui correspond idéalement à vos désirs sur ImmoScout24 - La plateforme de l'immobilier en Suisse.</t>
  </si>
  <si>
    <t>https://www.immoscout24.ch/fr/appartement/louer/lieu-oberburg</t>
  </si>
  <si>
    <t>Louer appartement Oberburg: Trouvez le bien immobilier qui correspond idéalement à vos désirs sur ImmoScout24 - La plateforme de l'immobilier en Suisse.</t>
  </si>
  <si>
    <t>https://www.immoscout24.ch/fr/maison/acheter/lieu-kilchberg-zh</t>
  </si>
  <si>
    <t>Vendre maison Kilchberg ZH: Trouvez le bien immobilier qui correspond idéalement à vos désirs sur ImmoScout24 - La plateforme de l'immobilier en Suisse.</t>
  </si>
  <si>
    <t>https://www.immoscout24.ch/fr/appartement/acheter/lieu-chenens</t>
  </si>
  <si>
    <t>Vendre appartement Chénens: Trouvez le bien immobilier qui correspond idéalement à vos désirs sur ImmoScout24 - La plateforme de l'immobilier en Suisse.</t>
  </si>
  <si>
    <t>https://www.immoscout24.ch/fr/maison/acheter/lieu-fontenais</t>
  </si>
  <si>
    <t>Vendre maison Fontenais: Trouvez le bien immobilier qui correspond idéalement à vos désirs sur ImmoScout24 - La plateforme de l'immobilier en Suisse.</t>
  </si>
  <si>
    <t>https://www.immoscout24.ch/fr/maison/acheter/lieu-tschingel-ob-gunten</t>
  </si>
  <si>
    <t>Vendre maison Tschingel ob Gunten: Trouvez le bien immobilier qui correspond idéalement à vos désirs sur ImmoScout24 - La plateforme de l'immobilier en Suisse.</t>
  </si>
  <si>
    <t>https://www.immoscout24.ch/fr/appartement/louer/lieu-montagnola</t>
  </si>
  <si>
    <t>Louer appartement Montagnola: Trouvez le bien immobilier qui correspond idéalement à vos désirs sur ImmoScout24 - La plateforme de l'immobilier en Suisse.</t>
  </si>
  <si>
    <t>https://www.immoscout24.ch/fr/appartement/acheter/lieu-twann</t>
  </si>
  <si>
    <t>Vendre appartement Twann: Trouvez le bien immobilier qui correspond idéalement à vos désirs sur ImmoScout24 - La plateforme de l'immobilier en Suisse.</t>
  </si>
  <si>
    <t>https://www.immoscout24.ch/fr/maison/louer/lieu-combremont-le-petit</t>
  </si>
  <si>
    <t>Louer maison Combremont-le-Petit: Trouvez le bien immobilier qui correspond idéalement à vos désirs sur ImmoScout24 - La plateforme de l'immobilier en Suisse.</t>
  </si>
  <si>
    <t>https://www.immoscout24.ch/fr/appartement/louer/lieu-villars-le-terroir</t>
  </si>
  <si>
    <t>Louer appartement Villars-le-Terroir: Trouvez le bien immobilier qui correspond idéalement à vos désirs sur ImmoScout24 - La plateforme de l'immobilier en Suisse.</t>
  </si>
  <si>
    <t>https://www.immoscout24.ch/fr/appartement/louer/lieu-schmitten-fr</t>
  </si>
  <si>
    <t>Louer appartement Schmitten FR: Trouvez le bien immobilier qui correspond idéalement à vos désirs sur ImmoScout24 - La plateforme de l'immobilier en Suisse.</t>
  </si>
  <si>
    <t>https://www.immoscout24.ch/fr/maison/acheter/lieu-vessy</t>
  </si>
  <si>
    <t>Vendre maison Vessy: Trouvez le bien immobilier qui correspond idéalement à vos désirs sur ImmoScout24 - La plateforme de l'immobilier en Suisse.</t>
  </si>
  <si>
    <t>https://www.immoscout24.ch/fr/appartement/louer/lieu-auboranges</t>
  </si>
  <si>
    <t>Louer appartement Auboranges: Trouvez le bien immobilier qui correspond idéalement à vos désirs sur ImmoScout24 - La plateforme de l'immobilier en Suisse.</t>
  </si>
  <si>
    <t>https://www.immoscout24.ch/fr/maison/acheter/lieu-ruedlingen</t>
  </si>
  <si>
    <t>Vendre maison Rüdlingen: Trouvez le bien immobilier qui correspond idéalement à vos désirs sur ImmoScout24 - La plateforme de l'immobilier en Suisse.</t>
  </si>
  <si>
    <t>https://www.immoscout24.ch/fr/appartement/louer/lieu-spiez</t>
  </si>
  <si>
    <t>Louer appartement Spiez: Trouvez le bien immobilier qui correspond idéalement à vos désirs sur ImmoScout24 - La plateforme de l'immobilier en Suisse.</t>
  </si>
  <si>
    <t>https://www.immoscout24.ch/fr/appartement/louer/quartier-laenggasse-berne</t>
  </si>
  <si>
    <t>Louer appartement Länggasse (Berne): Trouvez le bien immobilier qui correspond idéalement à vos désirs sur ImmoScout24 - La plateforme de l'immobilier en Suisse.</t>
  </si>
  <si>
    <t>https://www.immoscout24.ch/fr/maison/acheter/lieu-schlans</t>
  </si>
  <si>
    <t>Vendre maison Schlans: Trouvez le bien immobilier qui correspond idéalement à vos désirs sur ImmoScout24 - La plateforme de l'immobilier en Suisse.</t>
  </si>
  <si>
    <t>https://www.immoscout24.ch/fr/appartement/acheter/lieu-diesse</t>
  </si>
  <si>
    <t>Vendre appartement Diesse: Trouvez le bien immobilier qui correspond idéalement à vos désirs sur ImmoScout24 - La plateforme de l'immobilier en Suisse.</t>
  </si>
  <si>
    <t>https://www.immoscout24.ch/fr/appartement/louer/lieu-bonvillars</t>
  </si>
  <si>
    <t>Louer appartement Bonvillars: Trouvez le bien immobilier qui correspond idéalement à vos désirs sur ImmoScout24 - La plateforme de l'immobilier en Suisse.</t>
  </si>
  <si>
    <t>https://www.immoscout24.ch/fr/maison/acheter/lieu-orsieres</t>
  </si>
  <si>
    <t>Vendre maison Orsières: Trouvez le bien immobilier qui correspond idéalement à vos désirs sur ImmoScout24 - La plateforme de l'immobilier en Suisse.</t>
  </si>
  <si>
    <t>https://www.immoscout24.ch/fr/appartement/acheter/lieu-salgesch</t>
  </si>
  <si>
    <t>Vendre appartement Salgesch: Trouvez le bien immobilier qui correspond idéalement à vos désirs sur ImmoScout24 - La plateforme de l'immobilier en Suisse.</t>
  </si>
  <si>
    <t>https://www.immoscout24.ch/fr/maison/louer/lieu-crissier</t>
  </si>
  <si>
    <t>Louer maison Crissier: Trouvez le bien immobilier qui correspond idéalement à vos désirs sur ImmoScout24 - La plateforme de l'immobilier en Suisse.</t>
  </si>
  <si>
    <t>https://www.immoscout24.ch/fr/appartement/acheter/lieu-kuesnacht-zh</t>
  </si>
  <si>
    <t>Vendre appartement Küsnacht ZH: Trouvez le bien immobilier qui correspond idéalement à vos désirs sur ImmoScout24 - La plateforme de l'immobilier en Suisse.</t>
  </si>
  <si>
    <t>https://www.immoscout24.ch/fr/maison/acheter/lieu-sassel</t>
  </si>
  <si>
    <t>Vendre maison Sassel: Trouvez le bien immobilier qui correspond idéalement à vos désirs sur ImmoScout24 - La plateforme de l'immobilier en Suisse.</t>
  </si>
  <si>
    <t>https://www.immoscout24.ch/fr/appartement/acheter/lieu-baech-sz</t>
  </si>
  <si>
    <t>Vendre appartement Bäch SZ: Trouvez le bien immobilier qui correspond idéalement à vos désirs sur ImmoScout24 - La plateforme de l'immobilier en Suisse.</t>
  </si>
  <si>
    <t>https://www.immoscout24.ch/fr/maison/louer/lieu-chardonne</t>
  </si>
  <si>
    <t>Louer maison Chardonne: Trouvez le bien immobilier qui correspond idéalement à vos désirs sur ImmoScout24 - La plateforme de l'immobilier en Suisse.</t>
  </si>
  <si>
    <t>https://www.immoscout24.ch/fr/maison/acheter/quartier-jura-fribourg</t>
  </si>
  <si>
    <t>Vendre maison Jura (Fribourg): Trouvez le bien immobilier qui correspond idéalement à vos désirs sur ImmoScout24 - La plateforme de l'immobilier en Suisse.</t>
  </si>
  <si>
    <t>https://www.immoscout24.ch/fr/appartement/acheter/lieu-villars-ste-croix</t>
  </si>
  <si>
    <t>Vendre appartement Villars-Ste-Croix: Trouvez le bien immobilier qui correspond idéalement à vos désirs sur ImmoScout24 - La plateforme de l'immobilier en Suisse.</t>
  </si>
  <si>
    <t>https://www.immoscout24.ch/fr/appartement/acheter/lieu-chesopelloz</t>
  </si>
  <si>
    <t>Vendre appartement Chésopelloz: Trouvez le bien immobilier qui correspond idéalement à vos désirs sur ImmoScout24 - La plateforme de l'immobilier en Suisse.</t>
  </si>
  <si>
    <t>https://www.immoscout24.ch/fr/appartement/louer/lieu-nods</t>
  </si>
  <si>
    <t>Louer appartement Nods: Trouvez le bien immobilier qui correspond idéalement à vos désirs sur ImmoScout24 - La plateforme de l'immobilier en Suisse.</t>
  </si>
  <si>
    <t>https://www.immoscout24.ch/fr/maison/acheter/lieu-wallisellen</t>
  </si>
  <si>
    <t>Vendre maison Wallisellen: Trouvez le bien immobilier qui correspond idéalement à vos désirs sur ImmoScout24 - La plateforme de l'immobilier en Suisse.</t>
  </si>
  <si>
    <t>https://www.immoscout24.ch/fr/appartement/acheter/lieu-sementina</t>
  </si>
  <si>
    <t>Vendre appartement Sementina: Trouvez le bien immobilier qui correspond idéalement à vos désirs sur ImmoScout24 - La plateforme de l'immobilier en Suisse.</t>
  </si>
  <si>
    <t>https://www.immoscout24.ch/fr/maison/louer/quartier-rotmonten-st-gall</t>
  </si>
  <si>
    <t>Louer maison Rotmonten (St-Gall): Trouvez le bien immobilier qui correspond idéalement à vos désirs sur ImmoScout24 - La plateforme de l'immobilier en Suisse.</t>
  </si>
  <si>
    <t>https://www.immoscout24.ch/fr/maison/acheter/lieu-buergenstock</t>
  </si>
  <si>
    <t>Vendre maison Bürgenstock: Trouvez le bien immobilier qui correspond idéalement à vos désirs sur ImmoScout24 - La plateforme de l'immobilier en Suisse.</t>
  </si>
  <si>
    <t>https://www.immoscout24.ch/fr/appartement/louer/lieu-heremence</t>
  </si>
  <si>
    <t>Louer appartement Hérémence: Trouvez le bien immobilier qui correspond idéalement à vos désirs sur ImmoScout24 - La plateforme de l'immobilier en Suisse.</t>
  </si>
  <si>
    <t>https://www.immoscout24.ch/fr/appartement/acheter/lieu-vuisternens-devant-romont</t>
  </si>
  <si>
    <t>Vendre appartement Vuisternens-devant-Romont: Trouvez le bien immobilier qui correspond idéalement à vos désirs sur ImmoScout24 - La plateforme de l'immobilier en Suisse.</t>
  </si>
  <si>
    <t>https://www.immoscout24.ch/fr/maison/acheter/lieu-cari</t>
  </si>
  <si>
    <t>Vendre maison Carì: Trouvez le bien immobilier qui correspond idéalement à vos désirs sur ImmoScout24 - La plateforme de l'immobilier en Suisse.</t>
  </si>
  <si>
    <t>https://www.immoscout24.ch/fr/appartement/louer/lieu-domat-ems</t>
  </si>
  <si>
    <t>Louer appartement Domat/Ems: Trouvez le bien immobilier qui correspond idéalement à vos désirs sur ImmoScout24 - La plateforme de l'immobilier en Suisse.</t>
  </si>
  <si>
    <t>https://www.immoscout24.ch/fr/maison/louer/lieu-lentigny</t>
  </si>
  <si>
    <t>Louer maison Lentigny: Trouvez le bien immobilier qui correspond idéalement à vos désirs sur ImmoScout24 - La plateforme de l'immobilier en Suisse.</t>
  </si>
  <si>
    <t>https://www.immoscout24.ch/fr/maison/louer/lieu-vionnaz</t>
  </si>
  <si>
    <t>Louer maison Vionnaz: Trouvez le bien immobilier qui correspond idéalement à vos désirs sur ImmoScout24 - La plateforme de l'immobilier en Suisse.</t>
  </si>
  <si>
    <t>https://www.immoscout24.ch/fr/maison/acheter/lieu-pontenet</t>
  </si>
  <si>
    <t>Vendre maison Pontenet: Trouvez le bien immobilier qui correspond idéalement à vos désirs sur ImmoScout24 - La plateforme de l'immobilier en Suisse.</t>
  </si>
  <si>
    <t>https://www.immoscout24.ch/fr/appartement/louer/lieu-treycovagnes</t>
  </si>
  <si>
    <t>Louer appartement Treycovagnes: Trouvez le bien immobilier qui correspond idéalement à vos désirs sur ImmoScout24 - La plateforme de l'immobilier en Suisse.</t>
  </si>
  <si>
    <t>https://www.immoscout24.ch/fr/appartement/acheter/lieu-therwil</t>
  </si>
  <si>
    <t>Vendre appartement Therwil: Trouvez le bien immobilier qui correspond idéalement à vos désirs sur ImmoScout24 - La plateforme de l'immobilier en Suisse.</t>
  </si>
  <si>
    <t>https://www.immoscout24.ch/fr/appartement/louer/quartier-sonvico-lugano</t>
  </si>
  <si>
    <t>Louer appartement Sonvico (Lugano): Trouvez le bien immobilier qui correspond idéalement à vos désirs sur ImmoScout24 - La plateforme de l'immobilier en Suisse.</t>
  </si>
  <si>
    <t>https://www.immoscout24.ch/fr/maison/acheter/lieu-coglio</t>
  </si>
  <si>
    <t>Vendre maison Coglio: Trouvez le bien immobilier qui correspond idéalement à vos désirs sur ImmoScout24 - La plateforme de l'immobilier en Suisse.</t>
  </si>
  <si>
    <t>https://www.immoscout24.ch/fr/maison/acheter/lieu-krauchthal</t>
  </si>
  <si>
    <t>Vendre maison Krauchthal: Trouvez le bien immobilier qui correspond idéalement à vos désirs sur ImmoScout24 - La plateforme de l'immobilier en Suisse.</t>
  </si>
  <si>
    <t>https://www.immoscout24.ch/fr/appartement/louer/lieu-ruggell</t>
  </si>
  <si>
    <t>Louer appartement Ruggell: Trouvez le bien immobilier qui correspond idéalement à vos désirs sur ImmoScout24 - La plateforme de l'immobilier en Suisse.</t>
  </si>
  <si>
    <t>https://www.immoscout24.ch/fr/appartement/louer/lieu-basse-nendaz</t>
  </si>
  <si>
    <t>Louer appartement Basse-Nendaz: Trouvez le bien immobilier qui correspond idéalement à vos désirs sur ImmoScout24 - La plateforme de l'immobilier en Suisse.</t>
  </si>
  <si>
    <t>https://www.immoscout24.ch/fr/appartement/louer/lieu-palezieux</t>
  </si>
  <si>
    <t>Louer appartement Palézieux: Trouvez le bien immobilier qui correspond idéalement à vos désirs sur ImmoScout24 - La plateforme de l'immobilier en Suisse.</t>
  </si>
  <si>
    <t>https://www.immoscout24.ch/fr/maison/louer/lieu-nesselnbach</t>
  </si>
  <si>
    <t>Louer maison Nesselnbach: Trouvez le bien immobilier qui correspond idéalement à vos désirs sur ImmoScout24 - La plateforme de l'immobilier en Suisse.</t>
  </si>
  <si>
    <t>https://www.immoscout24.ch/fr/maison/louer/region-littoral-neuchatelois</t>
  </si>
  <si>
    <t>Louer maison Littoral Neuchâtelois: Trouvez le bien immobilier qui correspond idéalement à vos désirs sur ImmoScout24 - La plateforme de l'immobilier en Suisse.</t>
  </si>
  <si>
    <t>https://www.immoscout24.ch/fr/maison/louer/lieu-cressier-fr</t>
  </si>
  <si>
    <t>Louer maison Cressier FR: Trouvez le bien immobilier qui correspond idéalement à vos désirs sur ImmoScout24 - La plateforme de l'immobilier en Suisse.</t>
  </si>
  <si>
    <t>https://www.immoscout24.ch/fr/appartement/louer/lieu-ocourt</t>
  </si>
  <si>
    <t>Louer appartement Ocourt: Trouvez le bien immobilier qui correspond idéalement à vos désirs sur ImmoScout24 - La plateforme de l'immobilier en Suisse.</t>
  </si>
  <si>
    <t>https://www.immoscout24.ch/fr/appartement/louer/lieu-bern</t>
  </si>
  <si>
    <t>Louer appartement Bern: Trouvez le bien immobilier qui correspond idéalement à vos désirs sur ImmoScout24 - La plateforme de l'immobilier en Suisse.</t>
  </si>
  <si>
    <t>https://www.immoscout24.ch/fr/maison/acheter/lieu-biasca</t>
  </si>
  <si>
    <t>Vendre maison Biasca: Trouvez le bien immobilier qui correspond idéalement à vos désirs sur ImmoScout24 - La plateforme de l'immobilier en Suisse.</t>
  </si>
  <si>
    <t>https://www.immoscout24.ch/fr/maison/acheter/lieu-lechelles</t>
  </si>
  <si>
    <t>Vendre maison Léchelles: Trouvez le bien immobilier qui correspond idéalement à vos désirs sur ImmoScout24 - La plateforme de l'immobilier en Suisse.</t>
  </si>
  <si>
    <t>https://www.immoscout24.ch/fr/appartement/acheter/lieu-gordola</t>
  </si>
  <si>
    <t>Vendre appartement Gordola: Trouvez le bien immobilier qui correspond idéalement à vos désirs sur ImmoScout24 - La plateforme de l'immobilier en Suisse.</t>
  </si>
  <si>
    <t>https://www.immoscout24.ch/fr/appartement/louer/lieu-reckingen-vs</t>
  </si>
  <si>
    <t>Louer appartement Reckingen VS: Trouvez le bien immobilier qui correspond idéalement à vos désirs sur ImmoScout24 - La plateforme de l'immobilier en Suisse.</t>
  </si>
  <si>
    <t>https://www.immoscout24.ch/fr/appartement/acheter/pays-bresil</t>
  </si>
  <si>
    <t>Vendre appartement Brésil: Trouvez le bien immobilier qui correspond idéalement à vos désirs sur ImmoScout24 - La plateforme de l'immobilier en Suisse.</t>
  </si>
  <si>
    <t>https://www.immoscout24.ch/fr/maison/acheter/lieu-zeneggen</t>
  </si>
  <si>
    <t>Vendre maison Zeneggen: Trouvez le bien immobilier qui correspond idéalement à vos désirs sur ImmoScout24 - La plateforme de l'immobilier en Suisse.</t>
  </si>
  <si>
    <t>https://www.immoscout24.ch/fr/maison/louer/lieu-waldstatt</t>
  </si>
  <si>
    <t>Louer maison Waldstatt: Trouvez le bien immobilier qui correspond idéalement à vos désirs sur ImmoScout24 - La plateforme de l'immobilier en Suisse.</t>
  </si>
  <si>
    <t>https://www.immoscout24.ch/fr/appartement/acheter/lieu-le-mouret</t>
  </si>
  <si>
    <t>Vendre appartement Le Mouret: Trouvez le bien immobilier qui correspond idéalement à vos désirs sur ImmoScout24 - La plateforme de l'immobilier en Suisse.</t>
  </si>
  <si>
    <t>https://www.immoscout24.ch/fr/maison/acheter/lieu-les-emibois</t>
  </si>
  <si>
    <t>Vendre maison Les Emibois: Trouvez le bien immobilier qui correspond idéalement à vos désirs sur ImmoScout24 - La plateforme de l'immobilier en Suisse.</t>
  </si>
  <si>
    <t>https://www.immoscout24.ch/fr/maison/acheter/lieu-wangen-b-duebendorf</t>
  </si>
  <si>
    <t>Vendre maison Wangen b. Dübendorf: Trouvez le bien immobilier qui correspond idéalement à vos désirs sur ImmoScout24 - La plateforme de l'immobilier en Suisse.</t>
  </si>
  <si>
    <t>https://www.immoscout24.ch/fr/maison/acheter/lieu-elgg</t>
  </si>
  <si>
    <t>Vendre maison Elgg: Trouvez le bien immobilier qui correspond idéalement à vos désirs sur ImmoScout24 - La plateforme de l'immobilier en Suisse.</t>
  </si>
  <si>
    <t>https://www.immoscout24.ch/fr/appartement/louer/lieu-riaz</t>
  </si>
  <si>
    <t>Louer appartement Riaz: Trouvez le bien immobilier qui correspond idéalement à vos désirs sur ImmoScout24 - La plateforme de l'immobilier en Suisse.</t>
  </si>
  <si>
    <t>https://www.immoscout24.ch/fr/appartement/louer/lieu-le-bry</t>
  </si>
  <si>
    <t>Louer appartement Le Bry: Trouvez le bien immobilier qui correspond idéalement à vos désirs sur ImmoScout24 - La plateforme de l'immobilier en Suisse.</t>
  </si>
  <si>
    <t>https://www.immoscout24.ch/fr/appartement/acheter/lieu-locarno</t>
  </si>
  <si>
    <t>Vendre appartement Locarno: Trouvez le bien immobilier qui correspond idéalement à vos désirs sur ImmoScout24 - La plateforme de l'immobilier en Suisse.</t>
  </si>
  <si>
    <t>https://www.immoscout24.ch/fr/maison/acheter/lieu-grimentz</t>
  </si>
  <si>
    <t>Vendre maison Grimentz: Trouvez le bien immobilier qui correspond idéalement à vos désirs sur ImmoScout24 - La plateforme de l'immobilier en Suisse.</t>
  </si>
  <si>
    <t>https://www.immoscout24.ch/fr/maison/louer/lieu-vordemwald</t>
  </si>
  <si>
    <t>Louer maison Vordemwald: Trouvez le bien immobilier qui correspond idéalement à vos désirs sur ImmoScout24 - La plateforme de l'immobilier en Suisse.</t>
  </si>
  <si>
    <t>https://www.immoscout24.ch/fr/maison/acheter/lieu-corsier-ge</t>
  </si>
  <si>
    <t>Vendre maison Corsier GE: Trouvez le bien immobilier qui correspond idéalement à vos désirs sur ImmoScout24 - La plateforme de l'immobilier en Suisse.</t>
  </si>
  <si>
    <t>https://www.immoscout24.ch/fr/appartement/louer/lieu-st-luc</t>
  </si>
  <si>
    <t>Louer appartement St-Luc: Trouvez le bien immobilier qui correspond idéalement à vos désirs sur ImmoScout24 - La plateforme de l'immobilier en Suisse.</t>
  </si>
  <si>
    <t>https://www.immoscout24.ch/fr/maison/louer/lieu-pery</t>
  </si>
  <si>
    <t>Louer maison Péry: Trouvez le bien immobilier qui correspond idéalement à vos désirs sur ImmoScout24 - La plateforme de l'immobilier en Suisse.</t>
  </si>
  <si>
    <t>https://www.immoscout24.ch/fr/appartement/acheter/lieu-les-bayards</t>
  </si>
  <si>
    <t>Vendre appartement Les Bayards: Trouvez le bien immobilier qui correspond idéalement à vos désirs sur ImmoScout24 - La plateforme de l'immobilier en Suisse.</t>
  </si>
  <si>
    <t>https://www.immoscout24.ch/fr/maison/acheter/lieu-lumino</t>
  </si>
  <si>
    <t>Vendre maison Lumino: Trouvez le bien immobilier qui correspond idéalement à vos désirs sur ImmoScout24 - La plateforme de l'immobilier en Suisse.</t>
  </si>
  <si>
    <t>https://www.immoscout24.ch/fr/maison/acheter/lieu-chironico</t>
  </si>
  <si>
    <t>Vendre maison Chironico: Trouvez le bien immobilier qui correspond idéalement à vos désirs sur ImmoScout24 - La plateforme de l'immobilier en Suisse.</t>
  </si>
  <si>
    <t>https://www.immoscout24.ch/fr/appartement/louer/lieu-delley</t>
  </si>
  <si>
    <t>Louer appartement Delley: Trouvez le bien immobilier qui correspond idéalement à vos désirs sur ImmoScout24 - La plateforme de l'immobilier en Suisse.</t>
  </si>
  <si>
    <t>https://www.immoscout24.ch/fr/appartement/louer/lieu-hedingen</t>
  </si>
  <si>
    <t>Louer appartement Hedingen: Trouvez le bien immobilier qui correspond idéalement à vos désirs sur ImmoScout24 - La plateforme de l'immobilier en Suisse.</t>
  </si>
  <si>
    <t>https://www.immoscout24.ch/fr/appartement/louer/lieu-vionnaz</t>
  </si>
  <si>
    <t>Louer appartement Vionnaz: Trouvez le bien immobilier qui correspond idéalement à vos désirs sur ImmoScout24 - La plateforme de l'immobilier en Suisse.</t>
  </si>
  <si>
    <t>https://www.immoscout24.ch/fr/appartement/acheter/lieu-faulensee</t>
  </si>
  <si>
    <t>Vendre appartement Faulensee: Trouvez le bien immobilier qui correspond idéalement à vos désirs sur ImmoScout24 - La plateforme de l'immobilier en Suisse.</t>
  </si>
  <si>
    <t>https://www.immoscout24.ch/fr/maison/acheter/lieu-bubendorf</t>
  </si>
  <si>
    <t>Vendre maison Bubendorf: Trouvez le bien immobilier qui correspond idéalement à vos désirs sur ImmoScout24 - La plateforme de l'immobilier en Suisse.</t>
  </si>
  <si>
    <t>https://www.immoscout24.ch/fr/maison/louer/lieu-gy</t>
  </si>
  <si>
    <t>Louer maison Gy: Trouvez le bien immobilier qui correspond idéalement à vos désirs sur ImmoScout24 - La plateforme de l'immobilier en Suisse.</t>
  </si>
  <si>
    <t>https://www.immoscout24.ch/fr/appartement/acheter/lieu-ottenbach</t>
  </si>
  <si>
    <t>Vendre appartement Ottenbach: Trouvez le bien immobilier qui correspond idéalement à vos désirs sur ImmoScout24 - La plateforme de l'immobilier en Suisse.</t>
  </si>
  <si>
    <t>https://www.immoscout24.ch/fr/maison/acheter/quartier-maladiere-mail-neuchatel</t>
  </si>
  <si>
    <t>Vendre maison Maladière - Mail (Neuchâtel): Trouvez le bien immobilier qui correspond idéalement à vos désirs sur ImmoScout24 - La plateforme de l'immobilier en Suisse.</t>
  </si>
  <si>
    <t>https://www.immoscout24.ch/fr/appartement/acheter/region-bellinzone</t>
  </si>
  <si>
    <t>Vendre appartement Bellinzone: Trouvez le bien immobilier qui correspond idéalement à vos désirs sur ImmoScout24 - La plateforme de l'immobilier en Suisse.</t>
  </si>
  <si>
    <t>https://www.immoscout24.ch/fr/maison/louer/lieu-ravoire</t>
  </si>
  <si>
    <t>Louer maison Ravoire: Trouvez le bien immobilier qui correspond idéalement à vos désirs sur ImmoScout24 - La plateforme de l'immobilier en Suisse.</t>
  </si>
  <si>
    <t>https://www.immoscout24.ch/fr/appartement/louer/quartier-croix-federale-la-chaux-de-fonds</t>
  </si>
  <si>
    <t>Louer appartement Croix-Fédérale (La Chaux-de-Fonds): Trouvez le bien immobilier qui correspond idéalement à vos désirs sur ImmoScout24 - La plateforme de l'immobilier en Suisse.</t>
  </si>
  <si>
    <t>https://www.immoscout24.ch/fr/maison/louer/canton-nidwald</t>
  </si>
  <si>
    <t>Louer maison Canton de Nidwald: Trouvez le bien immobilier qui correspond idéalement à vos désirs sur ImmoScout24 - La plateforme de l'immobilier en Suisse.</t>
  </si>
  <si>
    <t>https://www.immoscout24.ch/fr/maison/acheter/lieu-mergoscia</t>
  </si>
  <si>
    <t>Vendre maison Mergoscia: Trouvez le bien immobilier qui correspond idéalement à vos désirs sur ImmoScout24 - La plateforme de l'immobilier en Suisse.</t>
  </si>
  <si>
    <t>https://www.immoscout24.ch/fr/appartement/louer/lieu-neuenegg</t>
  </si>
  <si>
    <t>Louer appartement Neuenegg: Trouvez le bien immobilier qui correspond idéalement à vos désirs sur ImmoScout24 - La plateforme de l'immobilier en Suisse.</t>
  </si>
  <si>
    <t>https://www.immoscout24.ch/fr/maison/louer/lieu-granges-veveyse</t>
  </si>
  <si>
    <t>Louer maison Granges (Veveyse): Trouvez le bien immobilier qui correspond idéalement à vos désirs sur ImmoScout24 - La plateforme de l'immobilier en Suisse.</t>
  </si>
  <si>
    <t>https://www.immoscout24.ch/fr/maison/acheter/lieu-cremin</t>
  </si>
  <si>
    <t>Vendre maison Cremin: Trouvez le bien immobilier qui correspond idéalement à vos désirs sur ImmoScout24 - La plateforme de l'immobilier en Suisse.</t>
  </si>
  <si>
    <t>https://www.immoscout24.ch/fr/maison/acheter/lieu-saules-be</t>
  </si>
  <si>
    <t>Vendre maison Saules BE: Trouvez le bien immobilier qui correspond idéalement à vos désirs sur ImmoScout24 - La plateforme de l'immobilier en Suisse.</t>
  </si>
  <si>
    <t>https://www.immoscout24.ch/fr/maison/acheter/lieu-volleges</t>
  </si>
  <si>
    <t>Vendre maison Vollèges: Trouvez le bien immobilier qui correspond idéalement à vos désirs sur ImmoScout24 - La plateforme de l'immobilier en Suisse.</t>
  </si>
  <si>
    <t>https://www.immoscout24.ch/fr/appartement/louer/lieu-schafisheim</t>
  </si>
  <si>
    <t>Louer appartement Schafisheim: Trouvez le bien immobilier qui correspond idéalement à vos désirs sur ImmoScout24 - La plateforme de l'immobilier en Suisse.</t>
  </si>
  <si>
    <t>https://www.immoscout24.ch/fr/maison/acheter/lieu-faoug</t>
  </si>
  <si>
    <t>Vendre maison Faoug: Trouvez le bien immobilier qui correspond idéalement à vos désirs sur ImmoScout24 - La plateforme de l'immobilier en Suisse.</t>
  </si>
  <si>
    <t>https://www.immoscout24.ch/fr/maison/acheter/lieu-brugg-ag</t>
  </si>
  <si>
    <t>Vendre maison Brugg AG: Trouvez le bien immobilier qui correspond idéalement à vos désirs sur ImmoScout24 - La plateforme de l'immobilier en Suisse.</t>
  </si>
  <si>
    <t>https://www.immoscout24.ch/fr/maison/acheter/lieu-le-chatelard-pres-romont</t>
  </si>
  <si>
    <t>Vendre maison Le Châtelard-près-Romont: Trouvez le bien immobilier qui correspond idéalement à vos désirs sur ImmoScout24 - La plateforme de l'immobilier en Suisse.</t>
  </si>
  <si>
    <t>https://www.immoscout24.ch/fr/appartement/louer/lieu-murgenthal</t>
  </si>
  <si>
    <t>Louer appartement Murgenthal: Trouvez le bien immobilier qui correspond idéalement à vos désirs sur ImmoScout24 - La plateforme de l'immobilier en Suisse.</t>
  </si>
  <si>
    <t>https://www.immoscout24.ch/fr/appartement/acheter/lieu-st-aubin-fr</t>
  </si>
  <si>
    <t>Vendre appartement St-Aubin FR: Trouvez le bien immobilier qui correspond idéalement à vos désirs sur ImmoScout24 - La plateforme de l'immobilier en Suisse.</t>
  </si>
  <si>
    <t>https://www.immoscout24.ch/fr/maison/louer/lieu-crassier</t>
  </si>
  <si>
    <t>Louer maison Crassier: Trouvez le bien immobilier qui correspond idéalement à vos désirs sur ImmoScout24 - La plateforme de l'immobilier en Suisse.</t>
  </si>
  <si>
    <t>https://www.immoscout24.ch/fr/appartement/louer/lieu-la-sage</t>
  </si>
  <si>
    <t>Louer appartement La Sage: Trouvez le bien immobilier qui correspond idéalement à vos désirs sur ImmoScout24 - La plateforme de l'immobilier en Suisse.</t>
  </si>
  <si>
    <t>https://www.immoscout24.ch/fr/maison/acheter/lieu-vercorin</t>
  </si>
  <si>
    <t>Vendre maison Vercorin: Trouvez le bien immobilier qui correspond idéalement à vos désirs sur ImmoScout24 - La plateforme de l'immobilier en Suisse.</t>
  </si>
  <si>
    <t>https://www.immoscout24.ch/fr/appartement/acheter/lieu-massagno</t>
  </si>
  <si>
    <t>Vendre appartement Massagno: Trouvez le bien immobilier qui correspond idéalement à vos désirs sur ImmoScout24 - La plateforme de l'immobilier en Suisse.</t>
  </si>
  <si>
    <t>https://www.immoscout24.ch/fr/appartement/acheter/lieu-schaffhausen</t>
  </si>
  <si>
    <t>Vendre appartement Schaffhausen: Trouvez le bien immobilier qui correspond idéalement à vos désirs sur ImmoScout24 - La plateforme de l'immobilier en Suisse.</t>
  </si>
  <si>
    <t>https://www.immoscout24.ch/fr/appartement/louer/lieu-pfyn</t>
  </si>
  <si>
    <t>Louer appartement Pfyn: Trouvez le bien immobilier qui correspond idéalement à vos désirs sur ImmoScout24 - La plateforme de l'immobilier en Suisse.</t>
  </si>
  <si>
    <t>https://www.immoscout24.ch/fr/appartement/acheter/quartier-vernand-lausanne</t>
  </si>
  <si>
    <t>Vendre appartement Vernand (Lausanne): Trouvez le bien immobilier qui correspond idéalement à vos désirs sur ImmoScout24 - La plateforme de l'immobilier en Suisse.</t>
  </si>
  <si>
    <t>https://www.immoscout24.ch/fr/appartement/louer/lieu-gals</t>
  </si>
  <si>
    <t>Louer appartement Gals: Trouvez le bien immobilier qui correspond idéalement à vos désirs sur ImmoScout24 - La plateforme de l'immobilier en Suisse.</t>
  </si>
  <si>
    <t>https://www.immoscout24.ch/fr/appartement/louer/lieu-chavannes-sur-moudon</t>
  </si>
  <si>
    <t>Louer appartement Chavannes-sur-Moudon: Trouvez le bien immobilier qui correspond idéalement à vos désirs sur ImmoScout24 - La plateforme de l'immobilier en Suisse.</t>
  </si>
  <si>
    <t>https://www.immoscout24.ch/fr/appartement/acheter/lieu-schoenenbuch</t>
  </si>
  <si>
    <t>Vendre appartement Schönenbuch: Trouvez le bien immobilier qui correspond idéalement à vos désirs sur ImmoScout24 - La plateforme de l'immobilier en Suisse.</t>
  </si>
  <si>
    <t>https://www.immoscout24.ch/fr/maison/acheter/lieu-les-hauts-geneveys</t>
  </si>
  <si>
    <t>Vendre maison Les Hauts-Geneveys: Trouvez le bien immobilier qui correspond idéalement à vos désirs sur ImmoScout24 - La plateforme de l'immobilier en Suisse.</t>
  </si>
  <si>
    <t>https://www.immoscout24.ch/fr/maison/acheter/region-zueri-obersee</t>
  </si>
  <si>
    <t>Vendre maison Züri-Obersee: Trouvez le bien immobilier qui correspond idéalement à vos désirs sur ImmoScout24 - La plateforme de l'immobilier en Suisse.</t>
  </si>
  <si>
    <t>https://www.immoscout24.ch/fr/appartement/louer/lieu-eggerberg</t>
  </si>
  <si>
    <t>Louer appartement Eggerberg: Trouvez le bien immobilier qui correspond idéalement à vos désirs sur ImmoScout24 - La plateforme de l'immobilier en Suisse.</t>
  </si>
  <si>
    <t>https://www.immoscout24.ch/fr/appartement/acheter/lieu-dachsen</t>
  </si>
  <si>
    <t>Vendre appartement Dachsen: Trouvez le bien immobilier qui correspond idéalement à vos désirs sur ImmoScout24 - La plateforme de l'immobilier en Suisse.</t>
  </si>
  <si>
    <t>https://www.immoscout24.ch/fr/maison/louer/region-bale-campagne-ouest</t>
  </si>
  <si>
    <t>Louer maison Bâle Campagne Ouest: Trouvez le bien immobilier qui correspond idéalement à vos désirs sur ImmoScout24 - La plateforme de l'immobilier en Suisse.</t>
  </si>
  <si>
    <t>https://www.immoscout24.ch/fr/maison/acheter/lieu-hochwald</t>
  </si>
  <si>
    <t>Vendre maison Hochwald: Trouvez le bien immobilier qui correspond idéalement à vos désirs sur ImmoScout24 - La plateforme de l'immobilier en Suisse.</t>
  </si>
  <si>
    <t>https://www.immoscout24.ch/fr/appartement/louer/lieu-la-punt-chamues-ch</t>
  </si>
  <si>
    <t>Louer appartement La Punt-Chamues-ch: Trouvez le bien immobilier qui correspond idéalement à vos désirs sur ImmoScout24 - La plateforme de l'immobilier en Suisse.</t>
  </si>
  <si>
    <t>https://www.immoscout24.ch/fr/maison/acheter/lieu-yvonand</t>
  </si>
  <si>
    <t>Vendre maison Yvonand: Trouvez le bien immobilier qui correspond idéalement à vos désirs sur ImmoScout24 - La plateforme de l'immobilier en Suisse.</t>
  </si>
  <si>
    <t>https://www.immoscout24.ch/fr/appartement/acheter/region-valais-central</t>
  </si>
  <si>
    <t>Vendre appartement Valais Central: Trouvez le bien immobilier qui correspond idéalement à vos désirs sur ImmoScout24 - La plateforme de l'immobilier en Suisse.</t>
  </si>
  <si>
    <t>https://www.immoscout24.ch/fr/maison/louer/lieu-la-rippe</t>
  </si>
  <si>
    <t>Louer maison La Rippe: Trouvez le bien immobilier qui correspond idéalement à vos désirs sur ImmoScout24 - La plateforme de l'immobilier en Suisse.</t>
  </si>
  <si>
    <t>https://www.immoscout24.ch/fr/appartement/louer/pays-france</t>
  </si>
  <si>
    <t>Louer appartement France: Trouvez le bien immobilier qui correspond idéalement à vos désirs sur ImmoScout24 - La plateforme de l'immobilier en Suisse.</t>
  </si>
  <si>
    <t>https://www.immoscout24.ch/fr/appartement/louer/lieu-vuiteboeuf</t>
  </si>
  <si>
    <t>Louer appartement Vuiteboeuf: Trouvez le bien immobilier qui correspond idéalement à vos désirs sur ImmoScout24 - La plateforme de l'immobilier en Suisse.</t>
  </si>
  <si>
    <t>https://www.immoscout24.ch/fr/maison/acheter/lieu-crans-pres-celigny</t>
  </si>
  <si>
    <t>Vendre maison Crans-près-Céligny: Trouvez le bien immobilier qui correspond idéalement à vos désirs sur ImmoScout24 - La plateforme de l'immobilier en Suisse.</t>
  </si>
  <si>
    <t>https://www.immoscout24.ch/fr/maison/acheter/lieu-giornico</t>
  </si>
  <si>
    <t>Vendre maison Giornico: Trouvez le bien immobilier qui correspond idéalement à vos désirs sur ImmoScout24 - La plateforme de l'immobilier en Suisse.</t>
  </si>
  <si>
    <t>https://www.immoscout24.ch/fr/appartement/acheter/lieu-eschenbach-sg</t>
  </si>
  <si>
    <t>Vendre appartement Eschenbach SG: Trouvez le bien immobilier qui correspond idéalement à vos désirs sur ImmoScout24 - La plateforme de l'immobilier en Suisse.</t>
  </si>
  <si>
    <t>https://www.immoscout24.ch/fr/appartement/louer/lieu-elgg</t>
  </si>
  <si>
    <t>Louer appartement Elgg: Trouvez le bien immobilier qui correspond idéalement à vos désirs sur ImmoScout24 - La plateforme de l'immobilier en Suisse.</t>
  </si>
  <si>
    <t>https://www.immoscout24.ch/fr/maison/acheter/lieu-rheinfelden</t>
  </si>
  <si>
    <t>Vendre maison Rheinfelden: Trouvez le bien immobilier qui correspond idéalement à vos désirs sur ImmoScout24 - La plateforme de l'immobilier en Suisse.</t>
  </si>
  <si>
    <t>https://www.immoscout24.ch/fr/appartement/louer/lieu-goppisberg</t>
  </si>
  <si>
    <t>Louer appartement Goppisberg: Trouvez le bien immobilier qui correspond idéalement à vos désirs sur ImmoScout24 - La plateforme de l'immobilier en Suisse.</t>
  </si>
  <si>
    <t>https://www.immoscout24.ch/fr/maison/acheter/lieu-graechen</t>
  </si>
  <si>
    <t>Vendre maison Grächen: Trouvez le bien immobilier qui correspond idéalement à vos désirs sur ImmoScout24 - La plateforme de l'immobilier en Suisse.</t>
  </si>
  <si>
    <t>https://www.immoscout24.ch/fr/maison/acheter/lieu-hermance</t>
  </si>
  <si>
    <t>Vendre maison Hermance: Trouvez le bien immobilier qui correspond idéalement à vos désirs sur ImmoScout24 - La plateforme de l'immobilier en Suisse.</t>
  </si>
  <si>
    <t>https://www.immoscout24.ch/fr/maison/acheter/quartier-perolles-fribourg</t>
  </si>
  <si>
    <t>Vendre maison Pérolles (Fribourg): Trouvez le bien immobilier qui correspond idéalement à vos désirs sur ImmoScout24 - La plateforme de l'immobilier en Suisse.</t>
  </si>
  <si>
    <t>https://www.immoscout24.ch/fr/appartement/acheter/lieu-montet-broye</t>
  </si>
  <si>
    <t>Vendre appartement Montet (Broye): Trouvez le bien immobilier qui correspond idéalement à vos désirs sur ImmoScout24 - La plateforme de l'immobilier en Suisse.</t>
  </si>
  <si>
    <t>https://www.immoscout24.ch/fr/appartement/louer/lieu-gordola</t>
  </si>
  <si>
    <t>Louer appartement Gordola: Trouvez le bien immobilier qui correspond idéalement à vos désirs sur ImmoScout24 - La plateforme de l'immobilier en Suisse.</t>
  </si>
  <si>
    <t>https://www.immoscout24.ch/fr/maison/acheter/pays-portugal</t>
  </si>
  <si>
    <t>Vendre maison Portugal: Trouvez le bien immobilier qui correspond idéalement à vos désirs sur ImmoScout24 - La plateforme de l'immobilier en Suisse.</t>
  </si>
  <si>
    <t>https://www.immoscout24.ch/fr/appartement/louer/lieu-gisikon</t>
  </si>
  <si>
    <t>Louer appartement Gisikon: Trouvez le bien immobilier qui correspond idéalement à vos désirs sur ImmoScout24 - La plateforme de l'immobilier en Suisse.</t>
  </si>
  <si>
    <t>https://www.immoscout24.ch/fr/maison/acheter/lieu-saclentse</t>
  </si>
  <si>
    <t>Vendre maison Saclentse: Trouvez le bien immobilier qui correspond idéalement à vos désirs sur ImmoScout24 - La plateforme de l'immobilier en Suisse.</t>
  </si>
  <si>
    <t>https://www.immoscout24.ch/fr/maison/acheter/lieu-eison-st-martin</t>
  </si>
  <si>
    <t>Vendre maison Eison (St-Martin): Trouvez le bien immobilier qui correspond idéalement à vos désirs sur ImmoScout24 - La plateforme de l'immobilier en Suisse.</t>
  </si>
  <si>
    <t>https://www.immoscout24.ch/fr/maison/louer/quartier-chaumont-neuchatel</t>
  </si>
  <si>
    <t>Louer maison Chaumont (Neuchâtel): Trouvez le bien immobilier qui correspond idéalement à vos désirs sur ImmoScout24 - La plateforme de l'immobilier en Suisse.</t>
  </si>
  <si>
    <t>https://www.immoscout24.ch/fr/appartement/louer/lieu-montana</t>
  </si>
  <si>
    <t>Louer appartement Montana: Trouvez le bien immobilier qui correspond idéalement à vos désirs sur ImmoScout24 - La plateforme de l'immobilier en Suisse.</t>
  </si>
  <si>
    <t>https://www.immoscout24.ch/fr/appartement/acheter/lieu-neuenhof</t>
  </si>
  <si>
    <t>Vendre appartement Neuenhof: Trouvez le bien immobilier qui correspond idéalement à vos désirs sur ImmoScout24 - La plateforme de l'immobilier en Suisse.</t>
  </si>
  <si>
    <t>https://www.immoscout24.ch/fr/appartement/acheter/lieu-mels</t>
  </si>
  <si>
    <t>Vendre appartement Mels: Trouvez le bien immobilier qui correspond idéalement à vos désirs sur ImmoScout24 - La plateforme de l'immobilier en Suisse.</t>
  </si>
  <si>
    <t>https://www.immoscout24.ch/fr/maison/louer/lieu-chatonnaye</t>
  </si>
  <si>
    <t>Louer maison Châtonnaye: Trouvez le bien immobilier qui correspond idéalement à vos désirs sur ImmoScout24 - La plateforme de l'immobilier en Suisse.</t>
  </si>
  <si>
    <t>https://www.immoscout24.ch/fr/appartement/louer/lieu-courroux</t>
  </si>
  <si>
    <t>Louer appartement Courroux: Trouvez le bien immobilier qui correspond idéalement à vos désirs sur ImmoScout24 - La plateforme de l'immobilier en Suisse.</t>
  </si>
  <si>
    <t>https://www.immoscout24.ch/fr/maison/acheter/lieu-st-gallen</t>
  </si>
  <si>
    <t>Vendre maison St. Gallen: Trouvez le bien immobilier qui correspond idéalement à vos désirs sur ImmoScout24 - La plateforme de l'immobilier en Suisse.</t>
  </si>
  <si>
    <t>https://www.immoscout24.ch/fr/appartement/acheter/lieu-echallens</t>
  </si>
  <si>
    <t>Vendre appartement Echallens: Trouvez le bien immobilier qui correspond idéalement à vos désirs sur ImmoScout24 - La plateforme de l'immobilier en Suisse.</t>
  </si>
  <si>
    <t>https://www.immoscout24.ch/fr/maison/louer/lieu-asuel</t>
  </si>
  <si>
    <t>Louer maison Asuel: Trouvez le bien immobilier qui correspond idéalement à vos désirs sur ImmoScout24 - La plateforme de l'immobilier en Suisse.</t>
  </si>
  <si>
    <t>https://www.immoscout24.ch/fr/appartement/louer/lieu-miege</t>
  </si>
  <si>
    <t>Louer appartement Miège: Trouvez le bien immobilier qui correspond idéalement à vos désirs sur ImmoScout24 - La plateforme de l'immobilier en Suisse.</t>
  </si>
  <si>
    <t>https://www.immoscout24.ch/fr/maison/acheter/lieu-treyvaux</t>
  </si>
  <si>
    <t>Vendre maison Treyvaux: Trouvez le bien immobilier qui correspond idéalement à vos désirs sur ImmoScout24 - La plateforme de l'immobilier en Suisse.</t>
  </si>
  <si>
    <t>https://www.immoscout24.ch/fr/appartement/acheter/lieu-morrens-vd</t>
  </si>
  <si>
    <t>Vendre appartement Morrens VD: Trouvez le bien immobilier qui correspond idéalement à vos désirs sur ImmoScout24 - La plateforme de l'immobilier en Suisse.</t>
  </si>
  <si>
    <t>https://www.immoscout24.ch/fr/appartement/acheter/lieu-herzogenbuchsee</t>
  </si>
  <si>
    <t>Vendre appartement Herzogenbuchsee: Trouvez le bien immobilier qui correspond idéalement à vos désirs sur ImmoScout24 - La plateforme de l'immobilier en Suisse.</t>
  </si>
  <si>
    <t>https://www.immoscout24.ch/fr/maison/acheter/lieu-bevaix</t>
  </si>
  <si>
    <t>Vendre maison Bevaix: Trouvez le bien immobilier qui correspond idéalement à vos désirs sur ImmoScout24 - La plateforme de l'immobilier en Suisse.</t>
  </si>
  <si>
    <t>https://www.immoscout24.ch/fr/appartement/acheter/lieu-glattpark-opfikon</t>
  </si>
  <si>
    <t>Vendre appartement Glattpark (Opfikon): Trouvez le bien immobilier qui correspond idéalement à vos désirs sur ImmoScout24 - La plateforme de l'immobilier en Suisse.</t>
  </si>
  <si>
    <t>https://www.immoscout24.ch/fr/maison/acheter/lieu-isenthal</t>
  </si>
  <si>
    <t>Vendre maison Isenthal: Trouvez le bien immobilier qui correspond idéalement à vos désirs sur ImmoScout24 - La plateforme de l'immobilier en Suisse.</t>
  </si>
  <si>
    <t>https://www.immoscout24.ch/fr/appartement/acheter/region-campagne-gros-de-vaud</t>
  </si>
  <si>
    <t>Vendre appartement Campagne - Gros de Vaud: Trouvez le bien immobilier qui correspond idéalement à vos désirs sur ImmoScout24 - La plateforme de l'immobilier en Suisse.</t>
  </si>
  <si>
    <t>https://www.immoscout24.ch/fr/appartement/louer/lieu-chables-fr</t>
  </si>
  <si>
    <t>Louer appartement Châbles FR: Trouvez le bien immobilier qui correspond idéalement à vos désirs sur ImmoScout24 - La plateforme de l'immobilier en Suisse.</t>
  </si>
  <si>
    <t>https://www.immoscout24.ch/fr/maison/louer/lieu-sonceboz-sombeval</t>
  </si>
  <si>
    <t>Louer maison Sonceboz-Sombeval: Trouvez le bien immobilier qui correspond idéalement à vos désirs sur ImmoScout24 - La plateforme de l'immobilier en Suisse.</t>
  </si>
  <si>
    <t>https://www.immoscout24.ch/fr/maison/acheter/lieu-bellevue</t>
  </si>
  <si>
    <t>Vendre maison Bellevue: Trouvez le bien immobilier qui correspond idéalement à vos désirs sur ImmoScout24 - La plateforme de l'immobilier en Suisse.</t>
  </si>
  <si>
    <t>https://www.immoscout24.ch/fr/appartement/louer/region-emmental</t>
  </si>
  <si>
    <t>Louer appartement Emmental: Trouvez le bien immobilier qui correspond idéalement à vos désirs sur ImmoScout24 - La plateforme de l'immobilier en Suisse.</t>
  </si>
  <si>
    <t>https://www.immoscout24.ch/fr/appartement/louer/lieu-thun</t>
  </si>
  <si>
    <t>Louer appartement Thun: Trouvez le bien immobilier qui correspond idéalement à vos désirs sur ImmoScout24 - La plateforme de l'immobilier en Suisse.</t>
  </si>
  <si>
    <t>https://www.immoscout24.ch/fr/appartement/acheter/lieu-boudry</t>
  </si>
  <si>
    <t>Vendre appartement Boudry: Trouvez le bien immobilier qui correspond idéalement à vos désirs sur ImmoScout24 - La plateforme de l'immobilier en Suisse.</t>
  </si>
  <si>
    <t>https://www.immoscout24.ch/fr/appartement/acheter/lieu-st-cergue</t>
  </si>
  <si>
    <t>Vendre appartement St-Cergue: Trouvez le bien immobilier qui correspond idéalement à vos désirs sur ImmoScout24 - La plateforme de l'immobilier en Suisse.</t>
  </si>
  <si>
    <t>https://www.immoscout24.ch/fr/maison/acheter/lieu-les-diablerets</t>
  </si>
  <si>
    <t>Vendre maison Les Diablerets: Trouvez le bien immobilier qui correspond idéalement à vos désirs sur ImmoScout24 - La plateforme de l'immobilier en Suisse.</t>
  </si>
  <si>
    <t>https://www.immoscout24.ch/fr/appartement/acheter/lieu-bogis-bossey</t>
  </si>
  <si>
    <t>Vendre appartement Bogis-Bossey: Trouvez le bien immobilier qui correspond idéalement à vos désirs sur ImmoScout24 - La plateforme de l'immobilier en Suisse.</t>
  </si>
  <si>
    <t>https://www.immoscout24.ch/fr/appartement/louer/lieu-denens</t>
  </si>
  <si>
    <t>Louer appartement Denens: Trouvez le bien immobilier qui correspond idéalement à vos désirs sur ImmoScout24 - La plateforme de l'immobilier en Suisse.</t>
  </si>
  <si>
    <t>https://www.immoscout24.ch/fr/appartement/louer/lieu-sevaz</t>
  </si>
  <si>
    <t>Louer appartement Sévaz: Trouvez le bien immobilier qui correspond idéalement à vos désirs sur ImmoScout24 - La plateforme de l'immobilier en Suisse.</t>
  </si>
  <si>
    <t>https://www.immoscout24.ch/fr/appartement/acheter/lieu-buchrain</t>
  </si>
  <si>
    <t>Vendre appartement Buchrain: Trouvez le bien immobilier qui correspond idéalement à vos désirs sur ImmoScout24 - La plateforme de l'immobilier en Suisse.</t>
  </si>
  <si>
    <t>https://www.immoscout24.ch/fr/maison/louer/pays-france</t>
  </si>
  <si>
    <t>Louer maison France: Trouvez le bien immobilier qui correspond idéalement à vos désirs sur ImmoScout24 - La plateforme de l'immobilier en Suisse.</t>
  </si>
  <si>
    <t>https://www.immoscout24.ch/fr/maison/louer/quartier-beauregard-fribourg</t>
  </si>
  <si>
    <t>Louer maison Beauregard (Fribourg): Trouvez le bien immobilier qui correspond idéalement à vos désirs sur ImmoScout24 - La plateforme de l'immobilier en Suisse.</t>
  </si>
  <si>
    <t>https://www.immoscout24.ch/fr/appartement/acheter/lieu-seiry</t>
  </si>
  <si>
    <t>Vendre appartement Seiry: Trouvez le bien immobilier qui correspond idéalement à vos désirs sur ImmoScout24 - La plateforme de l'immobilier en Suisse.</t>
  </si>
  <si>
    <t>https://www.immoscout24.ch/fr/appartement/louer/lieu-grossdietwil</t>
  </si>
  <si>
    <t>Louer appartement Grossdietwil: Trouvez le bien immobilier qui correspond idéalement à vos désirs sur ImmoScout24 - La plateforme de l'immobilier en Suisse.</t>
  </si>
  <si>
    <t>https://www.immoscout24.ch/fr/maison/louer/lieu-stein-am-rhein</t>
  </si>
  <si>
    <t>Louer maison Stein am Rhein: Trouvez le bien immobilier qui correspond idéalement à vos désirs sur ImmoScout24 - La plateforme de l'immobilier en Suisse.</t>
  </si>
  <si>
    <t>https://www.immoscout24.ch/fr/maison/louer/lieu-rennaz</t>
  </si>
  <si>
    <t>Louer maison Rennaz: Trouvez le bien immobilier qui correspond idéalement à vos désirs sur ImmoScout24 - La plateforme de l'immobilier en Suisse.</t>
  </si>
  <si>
    <t>https://www.immoscout24.ch/fr/appartement/louer/lieu-soyhieres</t>
  </si>
  <si>
    <t>Louer appartement Soyhières: Trouvez le bien immobilier qui correspond idéalement à vos désirs sur ImmoScout24 - La plateforme de l'immobilier en Suisse.</t>
  </si>
  <si>
    <t>https://www.immoscout24.ch/fr/appartement/louer/lieu-chamblon</t>
  </si>
  <si>
    <t>Louer appartement Chamblon: Trouvez le bien immobilier qui correspond idéalement à vos désirs sur ImmoScout24 - La plateforme de l'immobilier en Suisse.</t>
  </si>
  <si>
    <t>https://www.immoscout24.ch/fr/appartement/louer/lieu-heiden</t>
  </si>
  <si>
    <t>Louer appartement Heiden: Trouvez le bien immobilier qui correspond idéalement à vos désirs sur ImmoScout24 - La plateforme de l'immobilier en Suisse.</t>
  </si>
  <si>
    <t>https://www.immoscout24.ch/fr/appartement/acheter/lieu-courroux</t>
  </si>
  <si>
    <t>Vendre appartement Courroux: Trouvez le bien immobilier qui correspond idéalement à vos désirs sur ImmoScout24 - La plateforme de l'immobilier en Suisse.</t>
  </si>
  <si>
    <t>https://www.immoscout24.ch/fr/maison/acheter/lieu-denges</t>
  </si>
  <si>
    <t>Vendre maison Denges: Trouvez le bien immobilier qui correspond idéalement à vos désirs sur ImmoScout24 - La plateforme de l'immobilier en Suisse.</t>
  </si>
  <si>
    <t>https://www.immoscout24.ch/fr/maison/acheter/lieu-vionnaz</t>
  </si>
  <si>
    <t>Vendre maison Vionnaz: Trouvez le bien immobilier qui correspond idéalement à vos désirs sur ImmoScout24 - La plateforme de l'immobilier en Suisse.</t>
  </si>
  <si>
    <t>https://www.immoscout24.ch/fr/maison/louer/lieu-forel-lavaux</t>
  </si>
  <si>
    <t>Louer maison Forel (Lavaux): Trouvez le bien immobilier qui correspond idéalement à vos désirs sur ImmoScout24 - La plateforme de l'immobilier en Suisse.</t>
  </si>
  <si>
    <t>https://www.immoscout24.ch/fr/maison/acheter/lieu-thierachern</t>
  </si>
  <si>
    <t>Vendre maison Thierachern: Trouvez le bien immobilier qui correspond idéalement à vos désirs sur ImmoScout24 - La plateforme de l'immobilier en Suisse.</t>
  </si>
  <si>
    <t>https://www.immoscout24.ch/fr/maison/acheter/lieu-tschiertschen</t>
  </si>
  <si>
    <t>Vendre maison Tschiertschen: Trouvez le bien immobilier qui correspond idéalement à vos désirs sur ImmoScout24 - La plateforme de l'immobilier en Suisse.</t>
  </si>
  <si>
    <t>https://www.immoscout24.ch/fr/maison/acheter/lieu-ardon</t>
  </si>
  <si>
    <t>Vendre maison Ardon: Trouvez le bien immobilier qui correspond idéalement à vos désirs sur ImmoScout24 - La plateforme de l'immobilier en Suisse.</t>
  </si>
  <si>
    <t>https://www.immoscout24.ch/fr/appartement/acheter/lieu-kreuzlingen</t>
  </si>
  <si>
    <t>Vendre appartement Kreuzlingen: Trouvez le bien immobilier qui correspond idéalement à vos désirs sur ImmoScout24 - La plateforme de l'immobilier en Suisse.</t>
  </si>
  <si>
    <t>https://www.immoscout24.ch/fr/appartement/louer/lieu-eichberg</t>
  </si>
  <si>
    <t>Louer appartement Eichberg: Trouvez le bien immobilier qui correspond idéalement à vos désirs sur ImmoScout24 - La plateforme de l'immobilier en Suisse.</t>
  </si>
  <si>
    <t>https://www.immoscout24.ch/fr/maison/louer/lieu-bex</t>
  </si>
  <si>
    <t>Louer maison Bex: Trouvez le bien immobilier qui correspond idéalement à vos désirs sur ImmoScout24 - La plateforme de l'immobilier en Suisse.</t>
  </si>
  <si>
    <t>https://www.immoscout24.ch/fr/maison/louer/lieu-vex</t>
  </si>
  <si>
    <t>Louer maison Vex: Trouvez le bien immobilier qui correspond idéalement à vos désirs sur ImmoScout24 - La plateforme de l'immobilier en Suisse.</t>
  </si>
  <si>
    <t>https://www.immoscout24.ch/fr/maison/acheter/lieu-wildhaus</t>
  </si>
  <si>
    <t>Vendre maison Wildhaus: Trouvez le bien immobilier qui correspond idéalement à vos désirs sur ImmoScout24 - La plateforme de l'immobilier en Suisse.</t>
  </si>
  <si>
    <t>https://www.immoscout24.ch/fr/appartement/louer/lieu-enges</t>
  </si>
  <si>
    <t>Louer appartement Enges: Trouvez le bien immobilier qui correspond idéalement à vos désirs sur ImmoScout24 - La plateforme de l'immobilier en Suisse.</t>
  </si>
  <si>
    <t>https://www.immoscout24.ch/fr/appartement/louer/lieu-peney-le-jorat</t>
  </si>
  <si>
    <t>Louer appartement Peney-le-Jorat: Trouvez le bien immobilier qui correspond idéalement à vos désirs sur ImmoScout24 - La plateforme de l'immobilier en Suisse.</t>
  </si>
  <si>
    <t>https://www.immoscout24.ch/fr/appartement/louer/lieu-les-pres-d-orvin</t>
  </si>
  <si>
    <t>Louer appartement Les Prés-d'Orvin: Trouvez le bien immobilier qui correspond idéalement à vos désirs sur ImmoScout24 - La plateforme de l'immobilier en Suisse.</t>
  </si>
  <si>
    <t>https://www.immoscout24.ch/fr/appartement/acheter/lieu-bouveret</t>
  </si>
  <si>
    <t>Vendre appartement Bouveret: Trouvez le bien immobilier qui correspond idéalement à vos désirs sur ImmoScout24 - La plateforme de l'immobilier en Suisse.</t>
  </si>
  <si>
    <t>https://www.immoscout24.ch/fr/appartement/acheter/quartier-batie-acacias-geneve</t>
  </si>
  <si>
    <t>Vendre appartement Bâtie - Acacias (Genève): Trouvez le bien immobilier qui correspond idéalement à vos désirs sur ImmoScout24 - La plateforme de l'immobilier en Suisse.</t>
  </si>
  <si>
    <t>https://www.immoscout24.ch/fr/appartement/louer/lieu-eyholz</t>
  </si>
  <si>
    <t>Louer appartement Eyholz: Trouvez le bien immobilier qui correspond idéalement à vos désirs sur ImmoScout24 - La plateforme de l'immobilier en Suisse.</t>
  </si>
  <si>
    <t>https://www.immoscout24.ch/fr/appartement/louer/lieu-chavannes-le-veyron</t>
  </si>
  <si>
    <t>Louer appartement Chavannes-le-Veyron: Trouvez le bien immobilier qui correspond idéalement à vos désirs sur ImmoScout24 - La plateforme de l'immobilier en Suisse.</t>
  </si>
  <si>
    <t>https://www.immoscout24.ch/fr/maison/acheter/lieu-lutry</t>
  </si>
  <si>
    <t>Vendre maison Lutry: Trouvez le bien immobilier qui correspond idéalement à vos désirs sur ImmoScout24 - La plateforme de l'immobilier en Suisse.</t>
  </si>
  <si>
    <t>https://www.immoscout24.ch/fr/maison/acheter/lieu-les-pontins</t>
  </si>
  <si>
    <t>Vendre maison Les Pontins: Trouvez le bien immobilier qui correspond idéalement à vos désirs sur ImmoScout24 - La plateforme de l'immobilier en Suisse.</t>
  </si>
  <si>
    <t>https://www.immoscout24.ch/fr/maison/acheter/lieu-soyhieres</t>
  </si>
  <si>
    <t>Vendre maison Soyhières: Trouvez le bien immobilier qui correspond idéalement à vos désirs sur ImmoScout24 - La plateforme de l'immobilier en Suisse.</t>
  </si>
  <si>
    <t>https://www.immoscout24.ch/fr/maison/acheter/region-linthebene-see</t>
  </si>
  <si>
    <t>Vendre maison Linthebene - See: Trouvez le bien immobilier qui correspond idéalement à vos désirs sur ImmoScout24 - La plateforme de l'immobilier en Suisse.</t>
  </si>
  <si>
    <t>https://www.immoscout24.ch/fr/maison/acheter/region-campagne-gros-de-vaud</t>
  </si>
  <si>
    <t>Vendre maison Campagne - Gros de Vaud: Trouvez le bien immobilier qui correspond idéalement à vos désirs sur ImmoScout24 - La plateforme de l'immobilier en Suisse.</t>
  </si>
  <si>
    <t>https://www.immoscout24.ch/fr/appartement/acheter/quartier-beaulieu-grey-boisy-lausanne</t>
  </si>
  <si>
    <t>Vendre appartement Beaulieu - Grey - Boisy (Lausanne): Trouvez le bien immobilier qui correspond idéalement à vos désirs sur ImmoScout24 - La plateforme de l'immobilier en Suisse.</t>
  </si>
  <si>
    <t>https://www.immoscout24.ch/fr/appartement/louer/lieu-waedenswil</t>
  </si>
  <si>
    <t>Louer appartement Wädenswil: Trouvez le bien immobilier qui correspond idéalement à vos désirs sur ImmoScout24 - La plateforme de l'immobilier en Suisse.</t>
  </si>
  <si>
    <t>https://www.immoscout24.ch/fr/appartement/acheter/lieu-coffrane</t>
  </si>
  <si>
    <t>Vendre appartement Coffrane: Trouvez le bien immobilier qui correspond idéalement à vos désirs sur ImmoScout24 - La plateforme de l'immobilier en Suisse.</t>
  </si>
  <si>
    <t>https://www.immoscout24.ch/fr/maison/louer/quartier-monbijou-berne</t>
  </si>
  <si>
    <t>Louer maison Monbijou (Berne): Trouvez le bien immobilier qui correspond idéalement à vos désirs sur ImmoScout24 - La plateforme de l'immobilier en Suisse.</t>
  </si>
  <si>
    <t>https://www.immoscout24.ch/fr/appartement/louer/lieu-lyssach</t>
  </si>
  <si>
    <t>Louer appartement Lyssach: Trouvez le bien immobilier qui correspond idéalement à vos désirs sur ImmoScout24 - La plateforme de l'immobilier en Suisse.</t>
  </si>
  <si>
    <t>https://www.immoscout24.ch/fr/appartement/louer/lieu-le-chable-vs</t>
  </si>
  <si>
    <t>Louer appartement Le Châble VS: Trouvez le bien immobilier qui correspond idéalement à vos désirs sur ImmoScout24 - La plateforme de l'immobilier en Suisse.</t>
  </si>
  <si>
    <t>https://www.immoscout24.ch/fr/appartement/louer/lieu-eschert</t>
  </si>
  <si>
    <t>Louer appartement Eschert: Trouvez le bien immobilier qui correspond idéalement à vos désirs sur ImmoScout24 - La plateforme de l'immobilier en Suisse.</t>
  </si>
  <si>
    <t>https://www.immoscout24.ch/fr/appartement/louer/quartier-murifeld-berne</t>
  </si>
  <si>
    <t>Louer appartement Murifeld (Berne): Trouvez le bien immobilier qui correspond idéalement à vos désirs sur ImmoScout24 - La plateforme de l'immobilier en Suisse.</t>
  </si>
  <si>
    <t>https://www.immoscout24.ch/fr/maison/acheter/lieu-saas-fee</t>
  </si>
  <si>
    <t>Vendre maison Saas-Fee: Trouvez le bien immobilier qui correspond idéalement à vos désirs sur ImmoScout24 - La plateforme de l'immobilier en Suisse.</t>
  </si>
  <si>
    <t>https://www.immoscout24.ch/fr/appartement/louer/lieu-rochefort</t>
  </si>
  <si>
    <t>Louer appartement Rochefort: Trouvez le bien immobilier qui correspond idéalement à vos désirs sur ImmoScout24 - La plateforme de l'immobilier en Suisse.</t>
  </si>
  <si>
    <t>https://www.immoscout24.ch/fr/appartement/louer/lieu-sirnach</t>
  </si>
  <si>
    <t>Louer appartement Sirnach: Trouvez le bien immobilier qui correspond idéalement à vos désirs sur ImmoScout24 - La plateforme de l'immobilier en Suisse.</t>
  </si>
  <si>
    <t>https://www.immoscout24.ch/fr/appartement/louer/lieu-coldrerio</t>
  </si>
  <si>
    <t>Louer appartement Coldrerio: Trouvez le bien immobilier qui correspond idéalement à vos désirs sur ImmoScout24 - La plateforme de l'immobilier en Suisse.</t>
  </si>
  <si>
    <t>https://www.immoscout24.ch/fr/maison/louer/lieu-lenk-im-simmental</t>
  </si>
  <si>
    <t>Louer maison Lenk im Simmental: Trouvez le bien immobilier qui correspond idéalement à vos désirs sur ImmoScout24 - La plateforme de l'immobilier en Suisse.</t>
  </si>
  <si>
    <t>https://www.immoscout24.ch/fr/maison/louer/lieu-concise</t>
  </si>
  <si>
    <t>Louer maison Concise: Trouvez le bien immobilier qui correspond idéalement à vos désirs sur ImmoScout24 - La plateforme de l'immobilier en Suisse.</t>
  </si>
  <si>
    <t>https://www.immoscout24.ch/fr/maison/louer/lieu-romont-fr</t>
  </si>
  <si>
    <t>Louer maison Romont FR: Trouvez le bien immobilier qui correspond idéalement à vos désirs sur ImmoScout24 - La plateforme de l'immobilier en Suisse.</t>
  </si>
  <si>
    <t>https://www.immoscout24.ch/fr/appartement/louer/lieu-uznach</t>
  </si>
  <si>
    <t>Louer appartement Uznach: Trouvez le bien immobilier qui correspond idéalement à vos désirs sur ImmoScout24 - La plateforme de l'immobilier en Suisse.</t>
  </si>
  <si>
    <t>https://www.immoscout24.ch/fr/maison/acheter/region-oberland-est</t>
  </si>
  <si>
    <t>Vendre maison Oberland Est: Trouvez le bien immobilier qui correspond idéalement à vos désirs sur ImmoScout24 - La plateforme de l'immobilier en Suisse.</t>
  </si>
  <si>
    <t>https://www.immoscout24.ch/fr/maison/louer/lieu-villarsel-le-gibloux</t>
  </si>
  <si>
    <t>Louer maison Villarsel-le-Gibloux: Trouvez le bien immobilier qui correspond idéalement à vos désirs sur ImmoScout24 - La plateforme de l'immobilier en Suisse.</t>
  </si>
  <si>
    <t>https://www.immoscout24.ch/fr/maison/acheter/lieu-murist</t>
  </si>
  <si>
    <t>Vendre maison Murist: Trouvez le bien immobilier qui correspond idéalement à vos désirs sur ImmoScout24 - La plateforme de l'immobilier en Suisse.</t>
  </si>
  <si>
    <t>https://www.immoscout24.ch/fr/appartement/louer/lieu-lausen</t>
  </si>
  <si>
    <t>Louer appartement Lausen: Trouvez le bien immobilier qui correspond idéalement à vos désirs sur ImmoScout24 - La plateforme de l'immobilier en Suisse.</t>
  </si>
  <si>
    <t>https://www.immoscout24.ch/fr/appartement/louer/lieu-steg-vs</t>
  </si>
  <si>
    <t>Louer appartement Steg VS: Trouvez le bien immobilier qui correspond idéalement à vos désirs sur ImmoScout24 - La plateforme de l'immobilier en Suisse.</t>
  </si>
  <si>
    <t>https://www.immoscout24.ch/fr/appartement/louer/lieu-brusino-arsizio</t>
  </si>
  <si>
    <t>Louer appartement Brusino Arsizio: Trouvez le bien immobilier qui correspond idéalement à vos désirs sur ImmoScout24 - La plateforme de l'immobilier en Suisse.</t>
  </si>
  <si>
    <t>https://www.immoscout24.ch/fr/maison/acheter/lieu-belfaux</t>
  </si>
  <si>
    <t>Vendre maison Belfaux: Trouvez le bien immobilier qui correspond idéalement à vos désirs sur ImmoScout24 - La plateforme de l'immobilier en Suisse.</t>
  </si>
  <si>
    <t>https://www.immoscout24.ch/fr/maison/acheter/lieu-givisiez</t>
  </si>
  <si>
    <t>Vendre maison Givisiez: Trouvez le bien immobilier qui correspond idéalement à vos désirs sur ImmoScout24 - La plateforme de l'immobilier en Suisse.</t>
  </si>
  <si>
    <t>https://www.immoscout24.ch/fr/appartement/louer/lieu-arth</t>
  </si>
  <si>
    <t>Louer appartement Arth: Trouvez le bien immobilier qui correspond idéalement à vos désirs sur ImmoScout24 - La plateforme de l'immobilier en Suisse.</t>
  </si>
  <si>
    <t>https://www.immoscout24.ch/fr/maison/acheter/lieu-les-evouettes</t>
  </si>
  <si>
    <t>Vendre maison Les Evouettes: Trouvez le bien immobilier qui correspond idéalement à vos désirs sur ImmoScout24 - La plateforme de l'immobilier en Suisse.</t>
  </si>
  <si>
    <t>https://www.immoscout24.ch/fr/appartement/louer/lieu-grens</t>
  </si>
  <si>
    <t>Louer appartement Grens: Trouvez le bien immobilier qui correspond idéalement à vos désirs sur ImmoScout24 - La plateforme de l'immobilier en Suisse.</t>
  </si>
  <si>
    <t>https://www.immoscout24.ch/fr/appartement/louer/lieu-arnex-sur-orbe</t>
  </si>
  <si>
    <t>Louer appartement Arnex-sur-Orbe: Trouvez le bien immobilier qui correspond idéalement à vos désirs sur ImmoScout24 - La plateforme de l'immobilier en Suisse.</t>
  </si>
  <si>
    <t>https://www.immoscout24.ch/fr/maison/acheter/lieu-obergesteln</t>
  </si>
  <si>
    <t>Vendre maison Obergesteln: Trouvez le bien immobilier qui correspond idéalement à vos désirs sur ImmoScout24 - La plateforme de l'immobilier en Suisse.</t>
  </si>
  <si>
    <t>https://www.immoscout24.ch/fr/appartement/louer/lieu-gruyeres</t>
  </si>
  <si>
    <t>Louer appartement Gruyères: Trouvez le bien immobilier qui correspond idéalement à vos désirs sur ImmoScout24 - La plateforme de l'immobilier en Suisse.</t>
  </si>
  <si>
    <t>https://www.immoscout24.ch/fr/maison/acheter/lieu-bazenheid</t>
  </si>
  <si>
    <t>Vendre maison Bazenheid: Trouvez le bien immobilier qui correspond idéalement à vos désirs sur ImmoScout24 - La plateforme de l'immobilier en Suisse.</t>
  </si>
  <si>
    <t>https://www.immoscout24.ch/fr/maison/louer/lieu-bieudron-nendaz</t>
  </si>
  <si>
    <t>Louer maison Bieudron (Nendaz): Trouvez le bien immobilier qui correspond idéalement à vos désirs sur ImmoScout24 - La plateforme de l'immobilier en Suisse.</t>
  </si>
  <si>
    <t>https://www.immoscout24.ch/fr/appartement/louer/lieu-fresens</t>
  </si>
  <si>
    <t>Louer appartement Fresens: Trouvez le bien immobilier qui correspond idéalement à vos désirs sur ImmoScout24 - La plateforme de l'immobilier en Suisse.</t>
  </si>
  <si>
    <t>https://www.immoscout24.ch/fr/appartement/louer/lieu-la-conversion</t>
  </si>
  <si>
    <t>Louer appartement La Conversion: Trouvez le bien immobilier qui correspond idéalement à vos désirs sur ImmoScout24 - La plateforme de l'immobilier en Suisse.</t>
  </si>
  <si>
    <t>https://www.immoscout24.ch/fr/appartement/louer/lieu-selzach</t>
  </si>
  <si>
    <t>Louer appartement Selzach: Trouvez le bien immobilier qui correspond idéalement à vos désirs sur ImmoScout24 - La plateforme de l'immobilier en Suisse.</t>
  </si>
  <si>
    <t>https://www.immoscout24.ch/fr/appartement/acheter/lieu-bullet</t>
  </si>
  <si>
    <t>Vendre appartement Bullet: Trouvez le bien immobilier qui correspond idéalement à vos désirs sur ImmoScout24 - La plateforme de l'immobilier en Suisse.</t>
  </si>
  <si>
    <t>https://www.immoscout24.ch/fr/maison/acheter/lieu-versegeres</t>
  </si>
  <si>
    <t>Vendre maison Versegères: Trouvez le bien immobilier qui correspond idéalement à vos désirs sur ImmoScout24 - La plateforme de l'immobilier en Suisse.</t>
  </si>
  <si>
    <t>https://www.immoscout24.ch/fr/maison/louer/lieu-la-chaux-cossonay</t>
  </si>
  <si>
    <t>Louer maison La Chaux (Cossonay): Trouvez le bien immobilier qui correspond idéalement à vos désirs sur ImmoScout24 - La plateforme de l'immobilier en Suisse.</t>
  </si>
  <si>
    <t>https://www.immoscout24.ch/fr/maison/acheter/canton-valais</t>
  </si>
  <si>
    <t>Vendre maison Canton du Valais: Trouvez le bien immobilier qui correspond idéalement à vos désirs sur ImmoScout24 - La plateforme de l'immobilier en Suisse.</t>
  </si>
  <si>
    <t>https://www.immoscout24.ch/fr/appartement/louer/lieu-walchwil</t>
  </si>
  <si>
    <t>Louer appartement Walchwil: Trouvez le bien immobilier qui correspond idéalement à vos désirs sur ImmoScout24 - La plateforme de l'immobilier en Suisse.</t>
  </si>
  <si>
    <t>https://www.immoscout24.ch/fr/appartement/louer/lieu-courcelon</t>
  </si>
  <si>
    <t>Louer appartement Courcelon: Trouvez le bien immobilier qui correspond idéalement à vos désirs sur ImmoScout24 - La plateforme de l'immobilier en Suisse.</t>
  </si>
  <si>
    <t>https://www.immoscout24.ch/fr/appartement/louer/lieu-erstfeld</t>
  </si>
  <si>
    <t>Louer appartement Erstfeld: Trouvez le bien immobilier qui correspond idéalement à vos désirs sur ImmoScout24 - La plateforme de l'immobilier en Suisse.</t>
  </si>
  <si>
    <t>https://www.immoscout24.ch/fr/maison/acheter/lieu-chambesy</t>
  </si>
  <si>
    <t>Vendre maison Chambésy: Trouvez le bien immobilier qui correspond idéalement à vos désirs sur ImmoScout24 - La plateforme de l'immobilier en Suisse.</t>
  </si>
  <si>
    <t>https://www.immoscout24.ch/fr/maison/acheter/pays-allemagne</t>
  </si>
  <si>
    <t>Vendre maison Allemagne: Trouvez le bien immobilier qui correspond idéalement à vos désirs sur ImmoScout24 - La plateforme de l'immobilier en Suisse.</t>
  </si>
  <si>
    <t>https://www.immoscout24.ch/fr/maison/acheter/lieu-zeihen</t>
  </si>
  <si>
    <t>Vendre maison Zeihen: Trouvez le bien immobilier qui correspond idéalement à vos désirs sur ImmoScout24 - La plateforme de l'immobilier en Suisse.</t>
  </si>
  <si>
    <t>https://www.immoscout24.ch/fr/maison/louer/lieu-kuesnacht-zh</t>
  </si>
  <si>
    <t>Louer maison Küsnacht ZH: Trouvez le bien immobilier qui correspond idéalement à vos désirs sur ImmoScout24 - La plateforme de l'immobilier en Suisse.</t>
  </si>
  <si>
    <t>https://www.immoscout24.ch/fr/appartement/louer/lieu-richterswil</t>
  </si>
  <si>
    <t>Louer appartement Richterswil: Trouvez le bien immobilier qui correspond idéalement à vos désirs sur ImmoScout24 - La plateforme de l'immobilier en Suisse.</t>
  </si>
  <si>
    <t>https://www.immoscout24.ch/fr/appartement/acheter/lieu-vallamand</t>
  </si>
  <si>
    <t>Vendre appartement Vallamand: Trouvez le bien immobilier qui correspond idéalement à vos désirs sur ImmoScout24 - La plateforme de l'immobilier en Suisse.</t>
  </si>
  <si>
    <t>https://www.immoscout24.ch/fr/appartement/louer/lieu-cornaux-ne</t>
  </si>
  <si>
    <t>Louer appartement Cornaux NE: Trouvez le bien immobilier qui correspond idéalement à vos désirs sur ImmoScout24 - La plateforme de l'immobilier en Suisse.</t>
  </si>
  <si>
    <t>https://www.immoscout24.ch/fr/maison/acheter/lieu-porrentruy</t>
  </si>
  <si>
    <t>Vendre maison Porrentruy: Trouvez le bien immobilier qui correspond idéalement à vos désirs sur ImmoScout24 - La plateforme de l'immobilier en Suisse.</t>
  </si>
  <si>
    <t>https://www.immoscout24.ch/fr/appartement/louer/lieu-zinal</t>
  </si>
  <si>
    <t>Louer appartement Zinal: Trouvez le bien immobilier qui correspond idéalement à vos désirs sur ImmoScout24 - La plateforme de l'immobilier en Suisse.</t>
  </si>
  <si>
    <t>https://www.immoscout24.ch/fr/appartement/louer/canton-zoug</t>
  </si>
  <si>
    <t>Louer appartement Canton de Zoug: Trouvez le bien immobilier qui correspond idéalement à vos désirs sur ImmoScout24 - La plateforme de l'immobilier en Suisse.</t>
  </si>
  <si>
    <t>https://www.immoscout24.ch/fr/maison/acheter/lieu-roggwil-be</t>
  </si>
  <si>
    <t>Vendre maison Roggwil BE: Trouvez le bien immobilier qui correspond idéalement à vos désirs sur ImmoScout24 - La plateforme de l'immobilier en Suisse.</t>
  </si>
  <si>
    <t>https://www.immoscout24.ch/fr/appartement/acheter/lieu-moutier</t>
  </si>
  <si>
    <t>Vendre appartement Moutier: Trouvez le bien immobilier qui correspond idéalement à vos désirs sur ImmoScout24 - La plateforme de l'immobilier en Suisse.</t>
  </si>
  <si>
    <t>https://www.immoscout24.ch/fr/appartement/louer/lieu-plan-les-ouates</t>
  </si>
  <si>
    <t>Louer appartement Plan-les-Ouates: Trouvez le bien immobilier qui correspond idéalement à vos désirs sur ImmoScout24 - La plateforme de l'immobilier en Suisse.</t>
  </si>
  <si>
    <t>https://www.immoscout24.ch/fr/maison/acheter/quartier-beaulieu-grey-boisy-lausanne</t>
  </si>
  <si>
    <t>Vendre maison Beaulieu - Grey - Boisy (Lausanne): Trouvez le bien immobilier qui correspond idéalement à vos désirs sur ImmoScout24 - La plateforme de l'immobilier en Suisse.</t>
  </si>
  <si>
    <t>https://www.immoscout24.ch/fr/appartement/louer/quartier-herblingen-schaffhouse</t>
  </si>
  <si>
    <t>Louer appartement Herblingen (Schaffhouse): Trouvez le bien immobilier qui correspond idéalement à vos désirs sur ImmoScout24 - La plateforme de l'immobilier en Suisse.</t>
  </si>
  <si>
    <t>https://www.immoscout24.ch/fr/maison/acheter/lieu-la-garde-sembrancher</t>
  </si>
  <si>
    <t>Vendre maison La Garde (Sembrancher): Trouvez le bien immobilier qui correspond idéalement à vos désirs sur ImmoScout24 - La plateforme de l'immobilier en Suisse.</t>
  </si>
  <si>
    <t>https://www.immoscout24.ch/fr/maison/acheter/region-fribourg-ville</t>
  </si>
  <si>
    <t>Vendre maison Fribourg ville: Trouvez le bien immobilier qui correspond idéalement à vos désirs sur ImmoScout24 - La plateforme de l'immobilier en Suisse.</t>
  </si>
  <si>
    <t>https://www.immoscout24.ch/fr/maison/acheter/lieu-cormondreche</t>
  </si>
  <si>
    <t>Vendre maison Cormondrèche: Trouvez le bien immobilier qui correspond idéalement à vos désirs sur ImmoScout24 - La plateforme de l'immobilier en Suisse.</t>
  </si>
  <si>
    <t>https://www.immoscout24.ch/fr/appartement/acheter/lieu-zofingen</t>
  </si>
  <si>
    <t>Vendre appartement Zofingen: Trouvez le bien immobilier qui correspond idéalement à vos désirs sur ImmoScout24 - La plateforme de l'immobilier en Suisse.</t>
  </si>
  <si>
    <t>https://www.immoscout24.ch/fr/appartement/louer/lieu-rossens-vd</t>
  </si>
  <si>
    <t>Louer appartement Rossens VD: Trouvez le bien immobilier qui correspond idéalement à vos désirs sur ImmoScout24 - La plateforme de l'immobilier en Suisse.</t>
  </si>
  <si>
    <t>https://www.immoscout24.ch/fr/appartement/louer/lieu-vico-morcote</t>
  </si>
  <si>
    <t>Louer appartement Vico Morcote: Trouvez le bien immobilier qui correspond idéalement à vos désirs sur ImmoScout24 - La plateforme de l'immobilier en Suisse.</t>
  </si>
  <si>
    <t>https://www.immoscout24.ch/fr/appartement/louer/lieu-longirod</t>
  </si>
  <si>
    <t>Louer appartement Longirod: Trouvez le bien immobilier qui correspond idéalement à vos désirs sur ImmoScout24 - La plateforme de l'immobilier en Suisse.</t>
  </si>
  <si>
    <t>https://www.immoscout24.ch/fr/maison/acheter/lieu-worben</t>
  </si>
  <si>
    <t>Vendre maison Worben: Trouvez le bien immobilier qui correspond idéalement à vos désirs sur ImmoScout24 - La plateforme de l'immobilier en Suisse.</t>
  </si>
  <si>
    <t>https://www.immoscout24.ch/fr/appartement/acheter/quartier-aldesago-lugano</t>
  </si>
  <si>
    <t>Vendre appartement Aldesago (Lugano): Trouvez le bien immobilier qui correspond idéalement à vos désirs sur ImmoScout24 - La plateforme de l'immobilier en Suisse.</t>
  </si>
  <si>
    <t>https://www.immoscout24.ch/fr/appartement/louer/lieu-fleurier</t>
  </si>
  <si>
    <t>Louer appartement Fleurier: Trouvez le bien immobilier qui correspond idéalement à vos désirs sur ImmoScout24 - La plateforme de l'immobilier en Suisse.</t>
  </si>
  <si>
    <t>https://www.immoscout24.ch/fr/maison/louer/lieu-les-agettes</t>
  </si>
  <si>
    <t>Louer maison Les Agettes: Trouvez le bien immobilier qui correspond idéalement à vos désirs sur ImmoScout24 - La plateforme de l'immobilier en Suisse.</t>
  </si>
  <si>
    <t>https://www.immoscout24.ch/fr/maison/acheter/lieu-kaiserstuhl-ag</t>
  </si>
  <si>
    <t>Vendre maison Kaiserstuhl AG: Trouvez le bien immobilier qui correspond idéalement à vos désirs sur ImmoScout24 - La plateforme de l'immobilier en Suisse.</t>
  </si>
  <si>
    <t>https://www.immoscout24.ch/fr/appartement/louer/region-lugano-e-dintorni</t>
  </si>
  <si>
    <t>Louer appartement Lugano e dintorni: Trouvez le bien immobilier qui correspond idéalement à vos désirs sur ImmoScout24 - La plateforme de l'immobilier en Suisse.</t>
  </si>
  <si>
    <t>https://www.immoscout24.ch/fr/appartement/louer/lieu-diessenhofen</t>
  </si>
  <si>
    <t>Louer appartement Diessenhofen: Trouvez le bien immobilier qui correspond idéalement à vos désirs sur ImmoScout24 - La plateforme de l'immobilier en Suisse.</t>
  </si>
  <si>
    <t>https://www.immoscout24.ch/fr/appartement/louer/lieu-sommentier</t>
  </si>
  <si>
    <t>Louer appartement Sommentier: Trouvez le bien immobilier qui correspond idéalement à vos désirs sur ImmoScout24 - La plateforme de l'immobilier en Suisse.</t>
  </si>
  <si>
    <t>https://www.immoscout24.ch/fr/appartement/louer/lieu-murist</t>
  </si>
  <si>
    <t>Louer appartement Murist: Trouvez le bien immobilier qui correspond idéalement à vos désirs sur ImmoScout24 - La plateforme de l'immobilier en Suisse.</t>
  </si>
  <si>
    <t>https://www.immoscout24.ch/fr/maison/acheter/lieu-heimberg</t>
  </si>
  <si>
    <t>Vendre maison Heimberg: Trouvez le bien immobilier qui correspond idéalement à vos désirs sur ImmoScout24 - La plateforme de l'immobilier en Suisse.</t>
  </si>
  <si>
    <t>https://www.immoscout24.ch/fr/maison/louer/lieu-morgins</t>
  </si>
  <si>
    <t>Louer maison Morgins: Trouvez le bien immobilier qui correspond idéalement à vos désirs sur ImmoScout24 - La plateforme de l'immobilier en Suisse.</t>
  </si>
  <si>
    <t>https://www.immoscout24.ch/fr/maison/louer/lieu-morrens-vd</t>
  </si>
  <si>
    <t>Louer maison Morrens VD: Trouvez le bien immobilier qui correspond idéalement à vos désirs sur ImmoScout24 - La plateforme de l'immobilier en Suisse.</t>
  </si>
  <si>
    <t>https://www.immoscout24.ch/fr/appartement/louer/quartier-schonberg-fribourg</t>
  </si>
  <si>
    <t>Louer appartement Schoenberg (Fribourg): Trouvez le bien immobilier qui correspond idéalement à vos désirs sur ImmoScout24 - La plateforme de l'immobilier en Suisse.</t>
  </si>
  <si>
    <t>https://www.immoscout24.ch/fr/appartement/louer/lieu-grengiols</t>
  </si>
  <si>
    <t>Louer appartement Grengiols: Trouvez le bien immobilier qui correspond idéalement à vos désirs sur ImmoScout24 - La plateforme de l'immobilier en Suisse.</t>
  </si>
  <si>
    <t>https://www.immoscout24.ch/fr/appartement/louer/lieu-ruettenen</t>
  </si>
  <si>
    <t>Louer appartement Rüttenen: Trouvez le bien immobilier qui correspond idéalement à vos désirs sur ImmoScout24 - La plateforme de l'immobilier en Suisse.</t>
  </si>
  <si>
    <t>https://www.immoscout24.ch/fr/maison/louer/lieu-schlierbach</t>
  </si>
  <si>
    <t>Louer maison Schlierbach: Trouvez le bien immobilier qui correspond idéalement à vos désirs sur ImmoScout24 - La plateforme de l'immobilier en Suisse.</t>
  </si>
  <si>
    <t>https://www.immoscout24.ch/fr/maison/acheter/lieu-aven</t>
  </si>
  <si>
    <t>Vendre maison Aven: Trouvez le bien immobilier qui correspond idéalement à vos désirs sur ImmoScout24 - La plateforme de l'immobilier en Suisse.</t>
  </si>
  <si>
    <t>https://www.immoscout24.ch/fr/maison/louer/lieu-basel</t>
  </si>
  <si>
    <t>Louer maison Basel: Trouvez le bien immobilier qui correspond idéalement à vos désirs sur ImmoScout24 - La plateforme de l'immobilier en Suisse.</t>
  </si>
  <si>
    <t>https://www.immoscout24.ch/fr/appartement/louer/pays-norvege</t>
  </si>
  <si>
    <t>Louer appartement Norvège: Trouvez le bien immobilier qui correspond idéalement à vos désirs sur ImmoScout24 - La plateforme de l'immobilier en Suisse.</t>
  </si>
  <si>
    <t>https://www.immoscout24.ch/fr/appartement/acheter/lieu-collex</t>
  </si>
  <si>
    <t>Vendre appartement Collex: Trouvez le bien immobilier qui correspond idéalement à vos désirs sur ImmoScout24 - La plateforme de l'immobilier en Suisse.</t>
  </si>
  <si>
    <t>https://www.immoscout24.ch/fr/appartement/louer/lieu-dielsdorf</t>
  </si>
  <si>
    <t>Louer appartement Dielsdorf: Trouvez le bien immobilier qui correspond idéalement à vos désirs sur ImmoScout24 - La plateforme de l'immobilier en Suisse.</t>
  </si>
  <si>
    <t>https://www.immoscout24.ch/fr/maison/louer/lieu-bernex</t>
  </si>
  <si>
    <t>Louer maison Bernex: Trouvez le bien immobilier qui correspond idéalement à vos désirs sur ImmoScout24 - La plateforme de l'immobilier en Suisse.</t>
  </si>
  <si>
    <t>https://www.immoscout24.ch/fr/maison/acheter/lieu-prilly</t>
  </si>
  <si>
    <t>Vendre maison Prilly: Trouvez le bien immobilier qui correspond idéalement à vos désirs sur ImmoScout24 - La plateforme de l'immobilier en Suisse.</t>
  </si>
  <si>
    <t>https://www.immoscout24.ch/fr/maison/acheter/lieu-biel-bienne</t>
  </si>
  <si>
    <t>Vendre maison Biel/Bienne: Trouvez le bien immobilier qui correspond idéalement à vos désirs sur ImmoScout24 - La plateforme de l'immobilier en Suisse.</t>
  </si>
  <si>
    <t>https://www.immoscout24.ch/fr/maison/louer/region-jura-vaudois</t>
  </si>
  <si>
    <t>Louer maison Jura Vaudois: Trouvez le bien immobilier qui correspond idéalement à vos désirs sur ImmoScout24 - La plateforme de l'immobilier en Suisse.</t>
  </si>
  <si>
    <t>https://www.immoscout24.ch/fr/maison/louer/lieu-sattel</t>
  </si>
  <si>
    <t>Louer maison Sattel: Trouvez le bien immobilier qui correspond idéalement à vos désirs sur ImmoScout24 - La plateforme de l'immobilier en Suisse.</t>
  </si>
  <si>
    <t>https://www.immoscout24.ch/fr/maison/acheter/lieu-choex</t>
  </si>
  <si>
    <t>Vendre maison Choëx: Trouvez le bien immobilier qui correspond idéalement à vos désirs sur ImmoScout24 - La plateforme de l'immobilier en Suisse.</t>
  </si>
  <si>
    <t>https://www.immoscout24.ch/fr/maison/louer/lieu-st-gallen</t>
  </si>
  <si>
    <t>Louer maison St. Gallen: Trouvez le bien immobilier qui correspond idéalement à vos désirs sur ImmoScout24 - La plateforme de l'immobilier en Suisse.</t>
  </si>
  <si>
    <t>https://www.immoscout24.ch/fr/maison/acheter/lieu-goumois</t>
  </si>
  <si>
    <t>Vendre maison Goumois: Trouvez le bien immobilier qui correspond idéalement à vos désirs sur ImmoScout24 - La plateforme de l'immobilier en Suisse.</t>
  </si>
  <si>
    <t>https://www.immoscout24.ch/fr/maison/acheter/lieu-trey</t>
  </si>
  <si>
    <t>Vendre maison Trey: Trouvez le bien immobilier qui correspond idéalement à vos désirs sur ImmoScout24 - La plateforme de l'immobilier en Suisse.</t>
  </si>
  <si>
    <t>https://www.immoscout24.ch/fr/maison/acheter/lieu-balerna</t>
  </si>
  <si>
    <t>Vendre maison Balerna: Trouvez le bien immobilier qui correspond idéalement à vos désirs sur ImmoScout24 - La plateforme de l'immobilier en Suisse.</t>
  </si>
  <si>
    <t>https://www.immoscout24.ch/fr/appartement/acheter/lieu-versoix</t>
  </si>
  <si>
    <t>Vendre appartement Versoix: Trouvez le bien immobilier qui correspond idéalement à vos désirs sur ImmoScout24 - La plateforme de l'immobilier en Suisse.</t>
  </si>
  <si>
    <t>https://www.immoscout24.ch/fr/appartement/acheter/canton-grisons</t>
  </si>
  <si>
    <t>Vendre appartement Canton des Grisons: Trouvez le bien immobilier qui correspond idéalement à vos désirs sur ImmoScout24 - La plateforme de l'immobilier en Suisse.</t>
  </si>
  <si>
    <t>https://www.immoscout24.ch/fr/appartement/acheter/lieu-steckborn</t>
  </si>
  <si>
    <t>Vendre appartement Steckborn: Trouvez le bien immobilier qui correspond idéalement à vos désirs sur ImmoScout24 - La plateforme de l'immobilier en Suisse.</t>
  </si>
  <si>
    <t>https://www.immoscout24.ch/fr/appartement/louer/lieu-bibern-so</t>
  </si>
  <si>
    <t>Louer appartement Bibern SO: Trouvez le bien immobilier qui correspond idéalement à vos désirs sur ImmoScout24 - La plateforme de l'immobilier en Suisse.</t>
  </si>
  <si>
    <t>https://www.immoscout24.ch/fr/maison/acheter/lieu-epalinges</t>
  </si>
  <si>
    <t>Vendre maison Epalinges: Trouvez le bien immobilier qui correspond idéalement à vos désirs sur ImmoScout24 - La plateforme de l'immobilier en Suisse.</t>
  </si>
  <si>
    <t>https://www.immoscout24.ch/fr/maison/acheter/lieu-cadro</t>
  </si>
  <si>
    <t>Vendre maison Cadro: Trouvez le bien immobilier qui correspond idéalement à vos désirs sur ImmoScout24 - La plateforme de l'immobilier en Suisse.</t>
  </si>
  <si>
    <t>https://www.immoscout24.ch/fr/maison/acheter/region-lugano-e-dintorni</t>
  </si>
  <si>
    <t>Vendre maison Lugano e dintorni: Trouvez le bien immobilier qui correspond idéalement à vos désirs sur ImmoScout24 - La plateforme de l'immobilier en Suisse.</t>
  </si>
  <si>
    <t>https://www.immoscout24.ch/fr/maison/louer/lieu-les-marecottes</t>
  </si>
  <si>
    <t>Louer maison Les Marécottes: Trouvez le bien immobilier qui correspond idéalement à vos désirs sur ImmoScout24 - La plateforme de l'immobilier en Suisse.</t>
  </si>
  <si>
    <t>https://www.immoscout24.ch/fr/maison/louer/lieu-salvenach</t>
  </si>
  <si>
    <t>Louer maison Salvenach: Trouvez le bien immobilier qui correspond idéalement à vos désirs sur ImmoScout24 - La plateforme de l'immobilier en Suisse.</t>
  </si>
  <si>
    <t>https://www.immoscout24.ch/fr/maison/acheter/lieu-chandolin</t>
  </si>
  <si>
    <t>Vendre maison Chandolin: Trouvez le bien immobilier qui correspond idéalement à vos désirs sur ImmoScout24 - La plateforme de l'immobilier en Suisse.</t>
  </si>
  <si>
    <t>https://www.immoscout24.ch/fr/appartement/louer/lieu-saicourt</t>
  </si>
  <si>
    <t>Louer appartement Saicourt: Trouvez le bien immobilier qui correspond idéalement à vos désirs sur ImmoScout24 - La plateforme de l'immobilier en Suisse.</t>
  </si>
  <si>
    <t>https://www.immoscout24.ch/fr/appartement/louer/lieu-rudolfstetten</t>
  </si>
  <si>
    <t>Louer appartement Rudolfstetten: Trouvez le bien immobilier qui correspond idéalement à vos désirs sur ImmoScout24 - La plateforme de l'immobilier en Suisse.</t>
  </si>
  <si>
    <t>https://www.immoscout24.ch/fr/appartement/acheter/lieu-belmont-sur-yverdon</t>
  </si>
  <si>
    <t>Vendre appartement Belmont-sur-Yverdon: Trouvez le bien immobilier qui correspond idéalement à vos désirs sur ImmoScout24 - La plateforme de l'immobilier en Suisse.</t>
  </si>
  <si>
    <t>https://www.immoscout24.ch/fr/maison/acheter/region-frauenfeld-muenchwilen</t>
  </si>
  <si>
    <t>Vendre maison Frauenfeld - Münchwilen: Trouvez le bien immobilier qui correspond idéalement à vos désirs sur ImmoScout24 - La plateforme de l'immobilier en Suisse.</t>
  </si>
  <si>
    <t>https://www.immoscout24.ch/fr/maison/acheter/lieu-villars-sous-mont</t>
  </si>
  <si>
    <t>Vendre maison Villars-sous-Mont: Trouvez le bien immobilier qui correspond idéalement à vos désirs sur ImmoScout24 - La plateforme de l'immobilier en Suisse.</t>
  </si>
  <si>
    <t>https://www.immoscout24.ch/fr/maison/acheter/region-thoune-lac-de-thoune-nord</t>
  </si>
  <si>
    <t>Vendre maison Thoune - Lac de Thoune nord: Trouvez le bien immobilier qui correspond idéalement à vos désirs sur ImmoScout24 - La plateforme de l'immobilier en Suisse.</t>
  </si>
  <si>
    <t>https://www.immoscout24.ch/fr/appartement/louer/lieu-grandvaux</t>
  </si>
  <si>
    <t>Louer appartement Grandvaux: Trouvez le bien immobilier qui correspond idéalement à vos désirs sur ImmoScout24 - La plateforme de l'immobilier en Suisse.</t>
  </si>
  <si>
    <t>https://www.immoscout24.ch/fr/maison/acheter/lieu-ferlens-vd</t>
  </si>
  <si>
    <t>Vendre maison Ferlens VD: Trouvez le bien immobilier qui correspond idéalement à vos désirs sur ImmoScout24 - La plateforme de l'immobilier en Suisse.</t>
  </si>
  <si>
    <t>https://www.immoscout24.ch/fr/maison/louer/lieu-wollerau</t>
  </si>
  <si>
    <t>Louer maison Wollerau: Trouvez le bien immobilier qui correspond idéalement à vos désirs sur ImmoScout24 - La plateforme de l'immobilier en Suisse.</t>
  </si>
  <si>
    <t>https://www.immoscout24.ch/fr/maison/acheter/lieu-montmagny</t>
  </si>
  <si>
    <t>Vendre maison Montmagny: Trouvez le bien immobilier qui correspond idéalement à vos désirs sur ImmoScout24 - La plateforme de l'immobilier en Suisse.</t>
  </si>
  <si>
    <t>https://www.immoscout24.ch/fr/appartement/acheter/lieu-les-evouettes</t>
  </si>
  <si>
    <t>Vendre appartement Les Evouettes: Trouvez le bien immobilier qui correspond idéalement à vos désirs sur ImmoScout24 - La plateforme de l'immobilier en Suisse.</t>
  </si>
  <si>
    <t>https://www.immoscout24.ch/fr/appartement/acheter/lieu-ambri</t>
  </si>
  <si>
    <t>Vendre appartement Ambrì: Trouvez le bien immobilier qui correspond idéalement à vos désirs sur ImmoScout24 - La plateforme de l'immobilier en Suisse.</t>
  </si>
  <si>
    <t>https://www.immoscout24.ch/fr/appartement/louer/quartier-serrieres-neuchatel</t>
  </si>
  <si>
    <t>Louer appartement Serrières (Neuchâtel): Trouvez le bien immobilier qui correspond idéalement à vos désirs sur ImmoScout24 - La plateforme de l'immobilier en Suisse.</t>
  </si>
  <si>
    <t>https://www.immoscout24.ch/fr/appartement/louer/lieu-champoussin</t>
  </si>
  <si>
    <t>Louer appartement Champoussin: Trouvez le bien immobilier qui correspond idéalement à vos désirs sur ImmoScout24 - La plateforme de l'immobilier en Suisse.</t>
  </si>
  <si>
    <t>https://www.immoscout24.ch/fr/maison/acheter/lieu-carrouge-vd</t>
  </si>
  <si>
    <t>Vendre maison Carrouge VD: Trouvez le bien immobilier qui correspond idéalement à vos désirs sur ImmoScout24 - La plateforme de l'immobilier en Suisse.</t>
  </si>
  <si>
    <t>https://www.immoscout24.ch/fr/appartement/louer/lieu-le-sepey</t>
  </si>
  <si>
    <t>Louer appartement Le Sépey: Trouvez le bien immobilier qui correspond idéalement à vos désirs sur ImmoScout24 - La plateforme de l'immobilier en Suisse.</t>
  </si>
  <si>
    <t>https://www.immoscout24.ch/fr/maison/louer/lieu-vaulruz</t>
  </si>
  <si>
    <t>Louer maison Vaulruz: Trouvez le bien immobilier qui correspond idéalement à vos désirs sur ImmoScout24 - La plateforme de l'immobilier en Suisse.</t>
  </si>
  <si>
    <t>https://www.immoscout24.ch/fr/maison/acheter/lieu-herisau</t>
  </si>
  <si>
    <t>Vendre maison Herisau: Trouvez le bien immobilier qui correspond idéalement à vos désirs sur ImmoScout24 - La plateforme de l'immobilier en Suisse.</t>
  </si>
  <si>
    <t>https://www.immoscout24.ch/fr/appartement/acheter/lieu-oberbipp</t>
  </si>
  <si>
    <t>Vendre appartement Oberbipp: Trouvez le bien immobilier qui correspond idéalement à vos désirs sur ImmoScout24 - La plateforme de l'immobilier en Suisse.</t>
  </si>
  <si>
    <t>https://www.immoscout24.ch/fr/appartement/louer/lieu-les-bayards</t>
  </si>
  <si>
    <t>Louer appartement Les Bayards: Trouvez le bien immobilier qui correspond idéalement à vos désirs sur ImmoScout24 - La plateforme de l'immobilier en Suisse.</t>
  </si>
  <si>
    <t>https://www.immoscout24.ch/fr/appartement/louer/lieu-wangs</t>
  </si>
  <si>
    <t>Louer appartement Wangs: Trouvez le bien immobilier qui correspond idéalement à vos désirs sur ImmoScout24 - La plateforme de l'immobilier en Suisse.</t>
  </si>
  <si>
    <t>https://www.immoscout24.ch/fr/appartement/louer/lieu-salavaux</t>
  </si>
  <si>
    <t>Louer appartement Salavaux: Trouvez le bien immobilier qui correspond idéalement à vos désirs sur ImmoScout24 - La plateforme de l'immobilier en Suisse.</t>
  </si>
  <si>
    <t>https://www.immoscout24.ch/fr/maison/acheter/lieu-st-maurice</t>
  </si>
  <si>
    <t>Vendre maison St-Maurice: Trouvez le bien immobilier qui correspond idéalement à vos désirs sur ImmoScout24 - La plateforme de l'immobilier en Suisse.</t>
  </si>
  <si>
    <t>https://www.immoscout24.ch/fr/appartement/louer/lieu-sorens</t>
  </si>
  <si>
    <t>Louer appartement Sorens: Trouvez le bien immobilier qui correspond idéalement à vos désirs sur ImmoScout24 - La plateforme de l'immobilier en Suisse.</t>
  </si>
  <si>
    <t>https://www.immoscout24.ch/fr/appartement/louer/lieu-hallwil</t>
  </si>
  <si>
    <t>Louer appartement Hallwil: Trouvez le bien immobilier qui correspond idéalement à vos désirs sur ImmoScout24 - La plateforme de l'immobilier en Suisse.</t>
  </si>
  <si>
    <t>https://www.immoscout24.ch/fr/maison/louer/lieu-chaumont</t>
  </si>
  <si>
    <t>Louer maison Chaumont: Trouvez le bien immobilier qui correspond idéalement à vos désirs sur ImmoScout24 - La plateforme de l'immobilier en Suisse.</t>
  </si>
  <si>
    <t>https://www.immoscout24.ch/fr/appartement/louer/quartier-koeniz-koeniz</t>
  </si>
  <si>
    <t>Louer appartement Köniz (Köniz): Trouvez le bien immobilier qui correspond idéalement à vos désirs sur ImmoScout24 - La plateforme de l'immobilier en Suisse.</t>
  </si>
  <si>
    <t>https://www.immoscout24.ch/fr/appartement/louer/lieu-bellach</t>
  </si>
  <si>
    <t>Louer appartement Bellach: Trouvez le bien immobilier qui correspond idéalement à vos désirs sur ImmoScout24 - La plateforme de l'immobilier en Suisse.</t>
  </si>
  <si>
    <t>https://www.immoscout24.ch/fr/maison/louer/region-avenches-payerne</t>
  </si>
  <si>
    <t>Louer maison Avenches - Payerne: Trouvez le bien immobilier qui correspond idéalement à vos désirs sur ImmoScout24 - La plateforme de l'immobilier en Suisse.</t>
  </si>
  <si>
    <t>https://www.immoscout24.ch/fr/maison/acheter/lieu-st-saphorin-lavaux</t>
  </si>
  <si>
    <t>Vendre maison St-Saphorin (Lavaux): Trouvez le bien immobilier qui correspond idéalement à vos désirs sur ImmoScout24 - La plateforme de l'immobilier en Suisse.</t>
  </si>
  <si>
    <t>https://www.immoscout24.ch/fr/appartement/acheter/lieu-la-tour-de-peilz</t>
  </si>
  <si>
    <t>Vendre appartement La Tour-de-Peilz: Trouvez le bien immobilier qui correspond idéalement à vos désirs sur ImmoScout24 - La plateforme de l'immobilier en Suisse.</t>
  </si>
  <si>
    <t>https://www.immoscout24.ch/fr/maison/louer/lieu-montpreveyres</t>
  </si>
  <si>
    <t>Louer maison Montpreveyres: Trouvez le bien immobilier qui correspond idéalement à vos désirs sur ImmoScout24 - La plateforme de l'immobilier en Suisse.</t>
  </si>
  <si>
    <t>https://www.immoscout24.ch/fr/appartement/louer/lieu-attalens</t>
  </si>
  <si>
    <t>Louer appartement Attalens: Trouvez le bien immobilier qui correspond idéalement à vos désirs sur ImmoScout24 - La plateforme de l'immobilier en Suisse.</t>
  </si>
  <si>
    <t>https://www.immoscout24.ch/fr/appartement/louer/lieu-orbe</t>
  </si>
  <si>
    <t>Louer appartement Orbe: Trouvez le bien immobilier qui correspond idéalement à vos désirs sur ImmoScout24 - La plateforme de l'immobilier en Suisse.</t>
  </si>
  <si>
    <t>https://www.immoscout24.ch/fr/appartement/louer/quartier-madretsch-sued-biel-bienne</t>
  </si>
  <si>
    <t>Louer appartement Madretsch Süd (Biel/Bienne): Trouvez le bien immobilier qui correspond idéalement à vos désirs sur ImmoScout24 - La plateforme de l'immobilier en Suisse.</t>
  </si>
  <si>
    <t>https://www.immoscout24.ch/fr/appartement/louer/lieu-buehl-b-aarberg</t>
  </si>
  <si>
    <t>Louer appartement Bühl b. Aarberg: Trouvez le bien immobilier qui correspond idéalement à vos désirs sur ImmoScout24 - La plateforme de l'immobilier en Suisse.</t>
  </si>
  <si>
    <t>https://www.immoscout24.ch/fr/maison/acheter/lieu-bowil</t>
  </si>
  <si>
    <t>Vendre maison Bowil: Trouvez le bien immobilier qui correspond idéalement à vos désirs sur ImmoScout24 - La plateforme de l'immobilier en Suisse.</t>
  </si>
  <si>
    <t>https://www.immoscout24.ch/fr/appartement/louer/lieu-collonges</t>
  </si>
  <si>
    <t>Louer appartement Collonges: Trouvez le bien immobilier qui correspond idéalement à vos désirs sur ImmoScout24 - La plateforme de l'immobilier en Suisse.</t>
  </si>
  <si>
    <t>https://www.immoscout24.ch/fr/maison/acheter/lieu-hedingen</t>
  </si>
  <si>
    <t>Vendre maison Hedingen: Trouvez le bien immobilier qui correspond idéalement à vos désirs sur ImmoScout24 - La plateforme de l'immobilier en Suisse.</t>
  </si>
  <si>
    <t>https://www.immoscout24.ch/fr/maison/acheter/region-appenzell-et-environs</t>
  </si>
  <si>
    <t>Vendre maison Appenzell et environs: Trouvez le bien immobilier qui correspond idéalement à vos désirs sur ImmoScout24 - La plateforme de l'immobilier en Suisse.</t>
  </si>
  <si>
    <t>https://www.immoscout24.ch/fr/appartement/acheter/lieu-ponte-tresa</t>
  </si>
  <si>
    <t>Vendre appartement Ponte Tresa: Trouvez le bien immobilier qui correspond idéalement à vos désirs sur ImmoScout24 - La plateforme de l'immobilier en Suisse.</t>
  </si>
  <si>
    <t>https://www.immoscout24.ch/fr/appartement/acheter/lieu-cries-volleges</t>
  </si>
  <si>
    <t>Vendre appartement Cries (Vollèges): Trouvez le bien immobilier qui correspond idéalement à vos désirs sur ImmoScout24 - La plateforme de l'immobilier en Suisse.</t>
  </si>
  <si>
    <t>https://www.immoscout24.ch/fr/maison/acheter/lieu-rheinau</t>
  </si>
  <si>
    <t>Vendre maison Rheinau: Trouvez le bien immobilier qui correspond idéalement à vos désirs sur ImmoScout24 - La plateforme de l'immobilier en Suisse.</t>
  </si>
  <si>
    <t>https://www.immoscout24.ch/fr/appartement/louer/lieu-la-rippe</t>
  </si>
  <si>
    <t>Louer appartement La Rippe: Trouvez le bien immobilier qui correspond idéalement à vos désirs sur ImmoScout24 - La plateforme de l'immobilier en Suisse.</t>
  </si>
  <si>
    <t>https://www.immoscout24.ch/fr/appartement/louer/lieu-orges</t>
  </si>
  <si>
    <t>Louer appartement Orges: Trouvez le bien immobilier qui correspond idéalement à vos désirs sur ImmoScout24 - La plateforme de l'immobilier en Suisse.</t>
  </si>
  <si>
    <t>https://www.immoscout24.ch/fr/maison/louer/lieu-wohlenschwil</t>
  </si>
  <si>
    <t>Louer maison Wohlenschwil: Trouvez le bien immobilier qui correspond idéalement à vos désirs sur ImmoScout24 - La plateforme de l'immobilier en Suisse.</t>
  </si>
  <si>
    <t>https://www.immoscout24.ch/fr/maison/acheter/lieu-pleigne</t>
  </si>
  <si>
    <t>Vendre maison Pleigne: Trouvez le bien immobilier qui correspond idéalement à vos désirs sur ImmoScout24 - La plateforme de l'immobilier en Suisse.</t>
  </si>
  <si>
    <t>https://www.immoscout24.ch/fr/appartement/louer/lieu-birmensdorf-zh</t>
  </si>
  <si>
    <t>Louer appartement Birmensdorf ZH: Trouvez le bien immobilier qui correspond idéalement à vos désirs sur ImmoScout24 - La plateforme de l'immobilier en Suisse.</t>
  </si>
  <si>
    <t>https://www.immoscout24.ch/fr/maison/acheter/lieu-herbriggen</t>
  </si>
  <si>
    <t>Vendre maison Herbriggen: Trouvez le bien immobilier qui correspond idéalement à vos désirs sur ImmoScout24 - La plateforme de l'immobilier en Suisse.</t>
  </si>
  <si>
    <t>https://www.immoscout24.ch/fr/appartement/acheter/lieu-montagny-la-ville</t>
  </si>
  <si>
    <t>Vendre appartement Montagny-la-Ville: Trouvez le bien immobilier qui correspond idéalement à vos désirs sur ImmoScout24 - La plateforme de l'immobilier en Suisse.</t>
  </si>
  <si>
    <t>https://www.immoscout24.ch/fr/appartement/louer/lieu-la-heutte</t>
  </si>
  <si>
    <t>Louer appartement La Heutte: Trouvez le bien immobilier qui correspond idéalement à vos désirs sur ImmoScout24 - La plateforme de l'immobilier en Suisse.</t>
  </si>
  <si>
    <t>https://www.immoscout24.ch/fr/maison/acheter/lieu-zug</t>
  </si>
  <si>
    <t>Vendre maison Zug: Trouvez le bien immobilier qui correspond idéalement à vos désirs sur ImmoScout24 - La plateforme de l'immobilier en Suisse.</t>
  </si>
  <si>
    <t>https://www.immoscout24.ch/fr/appartement/acheter/lieu-delemont</t>
  </si>
  <si>
    <t>Vendre appartement Delémont: Trouvez le bien immobilier qui correspond idéalement à vos désirs sur ImmoScout24 - La plateforme de l'immobilier en Suisse.</t>
  </si>
  <si>
    <t>https://www.immoscout24.ch/fr/maison/acheter/lieu-lentigny</t>
  </si>
  <si>
    <t>Vendre maison Lentigny: Trouvez le bien immobilier qui correspond idéalement à vos désirs sur ImmoScout24 - La plateforme de l'immobilier en Suisse.</t>
  </si>
  <si>
    <t>https://www.immoscout24.ch/fr/maison/louer/lieu-mur-vully-vd</t>
  </si>
  <si>
    <t>Louer maison Mur (Vully) VD: Trouvez le bien immobilier qui correspond idéalement à vos désirs sur ImmoScout24 - La plateforme de l'immobilier en Suisse.</t>
  </si>
  <si>
    <t>https://www.immoscout24.ch/fr/maison/acheter/lieu-torre</t>
  </si>
  <si>
    <t>Vendre maison Torre: Trouvez le bien immobilier qui correspond idéalement à vos désirs sur ImmoScout24 - La plateforme de l'immobilier en Suisse.</t>
  </si>
  <si>
    <t>https://www.immoscout24.ch/fr/appartement/acheter/lieu-lenzerheide-lai</t>
  </si>
  <si>
    <t>Vendre appartement Lenzerheide/Lai: Trouvez le bien immobilier qui correspond idéalement à vos désirs sur ImmoScout24 - La plateforme de l'immobilier en Suisse.</t>
  </si>
  <si>
    <t>https://www.immoscout24.ch/fr/maison/louer/lieu-belfaux</t>
  </si>
  <si>
    <t>Louer maison Belfaux: Trouvez le bien immobilier qui correspond idéalement à vos désirs sur ImmoScout24 - La plateforme de l'immobilier en Suisse.</t>
  </si>
  <si>
    <t>https://www.immoscout24.ch/fr/maison/acheter/pays-kenya</t>
  </si>
  <si>
    <t>Vendre maison Kenya: Trouvez le bien immobilier qui correspond idéalement à vos désirs sur ImmoScout24 - La plateforme de l'immobilier en Suisse.</t>
  </si>
  <si>
    <t>https://www.immoscout24.ch/fr/appartement/acheter/lieu-eclepens</t>
  </si>
  <si>
    <t>Vendre appartement Eclépens: Trouvez le bien immobilier qui correspond idéalement à vos désirs sur ImmoScout24 - La plateforme de l'immobilier en Suisse.</t>
  </si>
  <si>
    <t>https://www.immoscout24.ch/fr/appartement/louer/lieu-dietwil</t>
  </si>
  <si>
    <t>Louer appartement Dietwil: Trouvez le bien immobilier qui correspond idéalement à vos désirs sur ImmoScout24 - La plateforme de l'immobilier en Suisse.</t>
  </si>
  <si>
    <t>https://www.immoscout24.ch/fr/appartement/louer/lieu-prahins</t>
  </si>
  <si>
    <t>Louer appartement Prahins: Trouvez le bien immobilier qui correspond idéalement à vos désirs sur ImmoScout24 - La plateforme de l'immobilier en Suisse.</t>
  </si>
  <si>
    <t>https://www.immoscout24.ch/fr/maison/acheter/lieu-niederscherli</t>
  </si>
  <si>
    <t>Vendre maison Niederscherli: Trouvez le bien immobilier qui correspond idéalement à vos désirs sur ImmoScout24 - La plateforme de l'immobilier en Suisse.</t>
  </si>
  <si>
    <t>https://www.immoscout24.ch/fr/appartement/acheter/lieu-spiez</t>
  </si>
  <si>
    <t>Vendre appartement Spiez: Trouvez le bien immobilier qui correspond idéalement à vos désirs sur ImmoScout24 - La plateforme de l'immobilier en Suisse.</t>
  </si>
  <si>
    <t>https://www.immoscout24.ch/fr/appartement/acheter/canton-schaffhouse</t>
  </si>
  <si>
    <t>Vendre appartement Canton de Schaffhouse: Trouvez le bien immobilier qui correspond idéalement à vos désirs sur ImmoScout24 - La plateforme de l'immobilier en Suisse.</t>
  </si>
  <si>
    <t>https://www.immoscout24.ch/fr/maison/acheter/lieu-muraz-collombey</t>
  </si>
  <si>
    <t>Vendre maison Muraz (Collombey): Trouvez le bien immobilier qui correspond idéalement à vos désirs sur ImmoScout24 - La plateforme de l'immobilier en Suisse.</t>
  </si>
  <si>
    <t>https://www.immoscout24.ch/fr/maison/acheter/lieu-tavanasa</t>
  </si>
  <si>
    <t>Vendre maison Tavanasa: Trouvez le bien immobilier qui correspond idéalement à vos désirs sur ImmoScout24 - La plateforme de l'immobilier en Suisse.</t>
  </si>
  <si>
    <t>https://www.immoscout24.ch/fr/appartement/acheter/lieu-st-ursanne</t>
  </si>
  <si>
    <t>Vendre appartement St-Ursanne: Trouvez le bien immobilier qui correspond idéalement à vos désirs sur ImmoScout24 - La plateforme de l'immobilier en Suisse.</t>
  </si>
  <si>
    <t>https://www.immoscout24.ch/fr/appartement/louer/lieu-villars-sous-yens</t>
  </si>
  <si>
    <t>Louer appartement Villars-sous-Yens: Trouvez le bien immobilier qui correspond idéalement à vos désirs sur ImmoScout24 - La plateforme de l'immobilier en Suisse.</t>
  </si>
  <si>
    <t>https://www.immoscout24.ch/fr/appartement/louer/lieu-guntershausen-b-aadorf</t>
  </si>
  <si>
    <t>Louer appartement Guntershausen b. Aadorf: Trouvez le bien immobilier qui correspond idéalement à vos désirs sur ImmoScout24 - La plateforme de l'immobilier en Suisse.</t>
  </si>
  <si>
    <t>https://www.immoscout24.ch/fr/appartement/louer/lieu-la-croix-lutry</t>
  </si>
  <si>
    <t>Louer appartement La Croix (Lutry): Trouvez le bien immobilier qui correspond idéalement à vos désirs sur ImmoScout24 - La plateforme de l'immobilier en Suisse.</t>
  </si>
  <si>
    <t>https://www.immoscout24.ch/fr/appartement/louer/lieu-bruettelen</t>
  </si>
  <si>
    <t>Louer appartement Brüttelen: Trouvez le bien immobilier qui correspond idéalement à vos désirs sur ImmoScout24 - La plateforme de l'immobilier en Suisse.</t>
  </si>
  <si>
    <t>https://www.immoscout24.ch/fr/maison/acheter/region-emmental</t>
  </si>
  <si>
    <t>Vendre maison Emmental: Trouvez le bien immobilier qui correspond idéalement à vos désirs sur ImmoScout24 - La plateforme de l'immobilier en Suisse.</t>
  </si>
  <si>
    <t>https://www.immoscout24.ch/fr/appartement/acheter/lieu-bavois</t>
  </si>
  <si>
    <t>Vendre appartement Bavois: Trouvez le bien immobilier qui correspond idéalement à vos désirs sur ImmoScout24 - La plateforme de l'immobilier en Suisse.</t>
  </si>
  <si>
    <t>https://www.immoscout24.ch/fr/maison/acheter/lieu-chamblon</t>
  </si>
  <si>
    <t>Vendre maison Chamblon: Trouvez le bien immobilier qui correspond idéalement à vos désirs sur ImmoScout24 - La plateforme de l'immobilier en Suisse.</t>
  </si>
  <si>
    <t>https://www.immoscout24.ch/fr/appartement/louer/region-olten-thal-gaeu-gosgen</t>
  </si>
  <si>
    <t>Louer appartement Olten - Thal - Gäu - Gösgen: Trouvez le bien immobilier qui correspond idéalement à vos désirs sur ImmoScout24 - La plateforme de l'immobilier en Suisse.</t>
  </si>
  <si>
    <t>https://www.immoscout24.ch/fr/appartement/louer/lieu-geuensee</t>
  </si>
  <si>
    <t>Louer appartement Geuensee: Trouvez le bien immobilier qui correspond idéalement à vos désirs sur ImmoScout24 - La plateforme de l'immobilier en Suisse.</t>
  </si>
  <si>
    <t>https://www.immoscout24.ch/fr/appartement/louer/lieu-cugy-vd</t>
  </si>
  <si>
    <t>Louer appartement Cugy VD: Trouvez le bien immobilier qui correspond idéalement à vos désirs sur ImmoScout24 - La plateforme de l'immobilier en Suisse.</t>
  </si>
  <si>
    <t>https://www.immoscout24.ch/fr/maison/acheter/lieu-gy</t>
  </si>
  <si>
    <t>Vendre maison Gy: Trouvez le bien immobilier qui correspond idéalement à vos désirs sur ImmoScout24 - La plateforme de l'immobilier en Suisse.</t>
  </si>
  <si>
    <t>https://www.immoscout24.ch/fr/appartement/louer/lieu-mellingen</t>
  </si>
  <si>
    <t>Louer appartement Mellingen: Trouvez le bien immobilier qui correspond idéalement à vos désirs sur ImmoScout24 - La plateforme de l'immobilier en Suisse.</t>
  </si>
  <si>
    <t>https://www.immoscout24.ch/fr/appartement/acheter/lieu-huenenberg</t>
  </si>
  <si>
    <t>Vendre appartement Hünenberg: Trouvez le bien immobilier qui correspond idéalement à vos désirs sur ImmoScout24 - La plateforme de l'immobilier en Suisse.</t>
  </si>
  <si>
    <t>https://www.immoscout24.ch/fr/maison/acheter/lieu-goldach</t>
  </si>
  <si>
    <t>Vendre maison Goldach: Trouvez le bien immobilier qui correspond idéalement à vos désirs sur ImmoScout24 - La plateforme de l'immobilier en Suisse.</t>
  </si>
  <si>
    <t>https://www.immoscout24.ch/fr/maison/acheter/lieu-st-martin-fr</t>
  </si>
  <si>
    <t>Vendre maison St-Martin FR: Trouvez le bien immobilier qui correspond idéalement à vos désirs sur ImmoScout24 - La plateforme de l'immobilier en Suisse.</t>
  </si>
  <si>
    <t>https://www.immoscout24.ch/fr/maison/louer/lieu-versegeres</t>
  </si>
  <si>
    <t>Louer maison Versegères: Trouvez le bien immobilier qui correspond idéalement à vos désirs sur ImmoScout24 - La plateforme de l'immobilier en Suisse.</t>
  </si>
  <si>
    <t>https://www.immoscout24.ch/fr/maison/acheter/lieu-reclere</t>
  </si>
  <si>
    <t>Vendre maison Réclère: Trouvez le bien immobilier qui correspond idéalement à vos désirs sur ImmoScout24 - La plateforme de l'immobilier en Suisse.</t>
  </si>
  <si>
    <t>https://www.immoscout24.ch/fr/appartement/acheter/lieu-susten</t>
  </si>
  <si>
    <t>Vendre appartement Susten: Trouvez le bien immobilier qui correspond idéalement à vos désirs sur ImmoScout24 - La plateforme de l'immobilier en Suisse.</t>
  </si>
  <si>
    <t>https://www.immoscout24.ch/fr/maison/louer/lieu-grolley</t>
  </si>
  <si>
    <t>Louer maison Grolley: Trouvez le bien immobilier qui correspond idéalement à vos désirs sur ImmoScout24 - La plateforme de l'immobilier en Suisse.</t>
  </si>
  <si>
    <t>https://www.immoscout24.ch/fr/appartement/louer/lieu-blonay</t>
  </si>
  <si>
    <t>Louer appartement Blonay: Trouvez le bien immobilier qui correspond idéalement à vos désirs sur ImmoScout24 - La plateforme de l'immobilier en Suisse.</t>
  </si>
  <si>
    <t>https://www.immoscout24.ch/fr/appartement/louer/lieu-chatelaine</t>
  </si>
  <si>
    <t>Louer appartement Châtelaine: Trouvez le bien immobilier qui correspond idéalement à vos désirs sur ImmoScout24 - La plateforme de l'immobilier en Suisse.</t>
  </si>
  <si>
    <t>https://www.immoscout24.ch/fr/appartement/louer/lieu-sornard-nendaz</t>
  </si>
  <si>
    <t>Louer appartement Sornard (Nendaz): Trouvez le bien immobilier qui correspond idéalement à vos désirs sur ImmoScout24 - La plateforme de l'immobilier en Suisse.</t>
  </si>
  <si>
    <t>https://www.immoscout24.ch/fr/appartement/acheter/lieu-prilly</t>
  </si>
  <si>
    <t>Vendre appartement Prilly: Trouvez le bien immobilier qui correspond idéalement à vos désirs sur ImmoScout24 - La plateforme de l'immobilier en Suisse.</t>
  </si>
  <si>
    <t>https://www.immoscout24.ch/fr/appartement/acheter/lieu-mont-soleil</t>
  </si>
  <si>
    <t>Vendre appartement Mont-Soleil: Trouvez le bien immobilier qui correspond idéalement à vos désirs sur ImmoScout24 - La plateforme de l'immobilier en Suisse.</t>
  </si>
  <si>
    <t>https://www.immoscout24.ch/fr/appartement/acheter/lieu-staad-sg</t>
  </si>
  <si>
    <t>Vendre appartement Staad SG: Trouvez le bien immobilier qui correspond idéalement à vos désirs sur ImmoScout24 - La plateforme de l'immobilier en Suisse.</t>
  </si>
  <si>
    <t>https://www.immoscout24.ch/fr/appartement/louer/region-zimmerberg-sihltal</t>
  </si>
  <si>
    <t>Louer appartement Zimmerberg - Sihltal: Trouvez le bien immobilier qui correspond idéalement à vos désirs sur ImmoScout24 - La plateforme de l'immobilier en Suisse.</t>
  </si>
  <si>
    <t>https://www.immoscout24.ch/fr/appartement/acheter/region-seeland</t>
  </si>
  <si>
    <t>Vendre appartement Seeland: Trouvez le bien immobilier qui correspond idéalement à vos désirs sur ImmoScout24 - La plateforme de l'immobilier en Suisse.</t>
  </si>
  <si>
    <t>https://www.immoscout24.ch/fr/appartement/acheter/lieu-bissone</t>
  </si>
  <si>
    <t>Vendre appartement Bissone: Trouvez le bien immobilier qui correspond idéalement à vos désirs sur ImmoScout24 - La plateforme de l'immobilier en Suisse.</t>
  </si>
  <si>
    <t>https://www.immoscout24.ch/fr/maison/louer/lieu-st-blaise</t>
  </si>
  <si>
    <t>Louer maison St-Blaise: Trouvez le bien immobilier qui correspond idéalement à vos désirs sur ImmoScout24 - La plateforme de l'immobilier en Suisse.</t>
  </si>
  <si>
    <t>https://www.immoscout24.ch/fr/maison/acheter/lieu-rueschegg-heubach</t>
  </si>
  <si>
    <t>Vendre maison Rüschegg Heubach: Trouvez le bien immobilier qui correspond idéalement à vos désirs sur ImmoScout24 - La plateforme de l'immobilier en Suisse.</t>
  </si>
  <si>
    <t>https://www.immoscout24.ch/fr/maison/louer/pays-allemagne</t>
  </si>
  <si>
    <t>Louer maison Allemagne: Trouvez le bien immobilier qui correspond idéalement à vos désirs sur ImmoScout24 - La plateforme de l'immobilier en Suisse.</t>
  </si>
  <si>
    <t>https://www.immoscout24.ch/fr/appartement/louer/lieu-lignerolle</t>
  </si>
  <si>
    <t>Louer appartement Lignerolle: Trouvez le bien immobilier qui correspond idéalement à vos désirs sur ImmoScout24 - La plateforme de l'immobilier en Suisse.</t>
  </si>
  <si>
    <t>https://www.immoscout24.ch/fr/maison/acheter/lieu-la-tzoumaz</t>
  </si>
  <si>
    <t>Vendre maison La Tzoumaz: Trouvez le bien immobilier qui correspond idéalement à vos désirs sur ImmoScout24 - La plateforme de l'immobilier en Suisse.</t>
  </si>
  <si>
    <t>https://www.immoscout24.ch/fr/appartement/louer/lieu-villeret</t>
  </si>
  <si>
    <t>Louer appartement Villeret: Trouvez le bien immobilier qui correspond idéalement à vos désirs sur ImmoScout24 - La plateforme de l'immobilier en Suisse.</t>
  </si>
  <si>
    <t>https://www.immoscout24.ch/fr/appartement/louer/region-knonaueramt</t>
  </si>
  <si>
    <t>Louer appartement Knonaueramt: Trouvez le bien immobilier qui correspond idéalement à vos désirs sur ImmoScout24 - La plateforme de l'immobilier en Suisse.</t>
  </si>
  <si>
    <t>https://www.immoscout24.ch/fr/appartement/louer/lieu-la-tour-de-treme</t>
  </si>
  <si>
    <t>Louer appartement La Tour-de-Trême: Trouvez le bien immobilier qui correspond idéalement à vos désirs sur ImmoScout24 - La plateforme de l'immobilier en Suisse.</t>
  </si>
  <si>
    <t>https://www.immoscout24.ch/fr/appartement/louer/lieu-chemin</t>
  </si>
  <si>
    <t>Louer appartement Chemin: Trouvez le bien immobilier qui correspond idéalement à vos désirs sur ImmoScout24 - La plateforme de l'immobilier en Suisse.</t>
  </si>
  <si>
    <t>https://www.immoscout24.ch/fr/appartement/acheter/lieu-les-valettes-bovernier</t>
  </si>
  <si>
    <t>Vendre appartement Les Valettes (Bovernier): Trouvez le bien immobilier qui correspond idéalement à vos désirs sur ImmoScout24 - La plateforme de l'immobilier en Suisse.</t>
  </si>
  <si>
    <t>https://www.immoscout24.ch/fr/maison/acheter/region-zuercher-oberland</t>
  </si>
  <si>
    <t>Vendre maison Zürcher Oberland: Trouvez le bien immobilier qui correspond idéalement à vos désirs sur ImmoScout24 - La plateforme de l'immobilier en Suisse.</t>
  </si>
  <si>
    <t>https://www.immoscout24.ch/fr/maison/acheter/lieu-sonvilier</t>
  </si>
  <si>
    <t>Vendre maison Sonvilier: Trouvez le bien immobilier qui correspond idéalement à vos désirs sur ImmoScout24 - La plateforme de l'immobilier en Suisse.</t>
  </si>
  <si>
    <t>https://www.immoscout24.ch/fr/maison/louer/lieu-vallamand</t>
  </si>
  <si>
    <t>Louer maison Vallamand: Trouvez le bien immobilier qui correspond idéalement à vos désirs sur ImmoScout24 - La plateforme de l'immobilier en Suisse.</t>
  </si>
  <si>
    <t>https://www.immoscout24.ch/fr/maison/louer/lieu-fribourg</t>
  </si>
  <si>
    <t>Louer maison Fribourg: Trouvez le bien immobilier qui correspond idéalement à vos désirs sur ImmoScout24 - La plateforme de l'immobilier en Suisse.</t>
  </si>
  <si>
    <t>https://www.immoscout24.ch/fr/maison/louer/lieu-botyre-ayent</t>
  </si>
  <si>
    <t>Louer maison Botyre (Ayent): Trouvez le bien immobilier qui correspond idéalement à vos désirs sur ImmoScout24 - La plateforme de l'immobilier en Suisse.</t>
  </si>
  <si>
    <t>https://www.immoscout24.ch/fr/maison/louer/canton-valais</t>
  </si>
  <si>
    <t>Louer maison Canton du Valais: Trouvez le bien immobilier qui correspond idéalement à vos désirs sur ImmoScout24 - La plateforme de l'immobilier en Suisse.</t>
  </si>
  <si>
    <t>https://www.immoscout24.ch/fr/appartement/louer/lieu-formangueires</t>
  </si>
  <si>
    <t>Louer appartement Formangueires: Trouvez le bien immobilier qui correspond idéalement à vos désirs sur ImmoScout24 - La plateforme de l'immobilier en Suisse.</t>
  </si>
  <si>
    <t>https://www.immoscout24.ch/fr/maison/acheter/lieu-soubey</t>
  </si>
  <si>
    <t>Vendre maison Soubey: Trouvez le bien immobilier qui correspond idéalement à vos désirs sur ImmoScout24 - La plateforme de l'immobilier en Suisse.</t>
  </si>
  <si>
    <t>https://www.immoscout24.ch/fr/appartement/louer/lieu-marin-epagnier</t>
  </si>
  <si>
    <t>Louer appartement Marin-Epagnier: Trouvez le bien immobilier qui correspond idéalement à vos désirs sur ImmoScout24 - La plateforme de l'immobilier en Suisse.</t>
  </si>
  <si>
    <t>https://www.immoscout24.ch/fr/maison/louer/lieu-therwil</t>
  </si>
  <si>
    <t>Louer maison Therwil: Trouvez le bien immobilier qui correspond idéalement à vos désirs sur ImmoScout24 - La plateforme de l'immobilier en Suisse.</t>
  </si>
  <si>
    <t>https://www.immoscout24.ch/fr/maison/louer/lieu-bulle</t>
  </si>
  <si>
    <t>Louer maison Bulle: Trouvez le bien immobilier qui correspond idéalement à vos désirs sur ImmoScout24 - La plateforme de l'immobilier en Suisse.</t>
  </si>
  <si>
    <t>https://www.immoscout24.ch/fr/maison/acheter/lieu-penthalaz</t>
  </si>
  <si>
    <t>Vendre maison Penthalaz: Trouvez le bien immobilier qui correspond idéalement à vos désirs sur ImmoScout24 - La plateforme de l'immobilier en Suisse.</t>
  </si>
  <si>
    <t>https://www.immoscout24.ch/fr/maison/louer/lieu-essertines-sur-yverdon</t>
  </si>
  <si>
    <t>Louer maison Essertines-sur-Yverdon: Trouvez le bien immobilier qui correspond idéalement à vos désirs sur ImmoScout24 - La plateforme de l'immobilier en Suisse.</t>
  </si>
  <si>
    <t>https://www.immoscout24.ch/fr/appartement/louer/lieu-combremont-le-petit</t>
  </si>
  <si>
    <t>Louer appartement Combremont-le-Petit: Trouvez le bien immobilier qui correspond idéalement à vos désirs sur ImmoScout24 - La plateforme de l'immobilier en Suisse.</t>
  </si>
  <si>
    <t>https://www.immoscout24.ch/fr/appartement/louer/lieu-belp</t>
  </si>
  <si>
    <t>Louer appartement Belp: Trouvez le bien immobilier qui correspond idéalement à vos désirs sur ImmoScout24 - La plateforme de l'immobilier en Suisse.</t>
  </si>
  <si>
    <t>https://www.immoscout24.ch/fr/appartement/louer/lieu-lugnorre</t>
  </si>
  <si>
    <t>Louer appartement Lugnorre: Trouvez le bien immobilier qui correspond idéalement à vos désirs sur ImmoScout24 - La plateforme de l'immobilier en Suisse.</t>
  </si>
  <si>
    <t>https://www.immoscout24.ch/fr/appartement/louer/lieu-hausen-ag</t>
  </si>
  <si>
    <t>Louer appartement Hausen AG: Trouvez le bien immobilier qui correspond idéalement à vos désirs sur ImmoScout24 - La plateforme de l'immobilier en Suisse.</t>
  </si>
  <si>
    <t>https://www.immoscout24.ch/fr/appartement/louer/lieu-starrkirch-wil</t>
  </si>
  <si>
    <t>Louer appartement Starrkirch-Wil: Trouvez le bien immobilier qui correspond idéalement à vos désirs sur ImmoScout24 - La plateforme de l'immobilier en Suisse.</t>
  </si>
  <si>
    <t>https://www.immoscout24.ch/fr/appartement/louer/lieu-vercorin</t>
  </si>
  <si>
    <t>Louer appartement Vercorin: Trouvez le bien immobilier qui correspond idéalement à vos désirs sur ImmoScout24 - La plateforme de l'immobilier en Suisse.</t>
  </si>
  <si>
    <t>https://www.immoscout24.ch/fr/maison/louer/region-yverdon-grandson</t>
  </si>
  <si>
    <t>Louer maison Yverdon - Grandson: Trouvez le bien immobilier qui correspond idéalement à vos désirs sur ImmoScout24 - La plateforme de l'immobilier en Suisse.</t>
  </si>
  <si>
    <t>https://www.immoscout24.ch/fr/maison/acheter/lieu-la-forclaz-vd</t>
  </si>
  <si>
    <t>Vendre maison La Forclaz VD: Trouvez le bien immobilier qui correspond idéalement à vos désirs sur ImmoScout24 - La plateforme de l'immobilier en Suisse.</t>
  </si>
  <si>
    <t>https://www.immoscout24.ch/fr/maison/acheter/lieu-chateau-d-oex</t>
  </si>
  <si>
    <t>Vendre maison Château-d'Oex: Trouvez le bien immobilier qui correspond idéalement à vos désirs sur ImmoScout24 - La plateforme de l'immobilier en Suisse.</t>
  </si>
  <si>
    <t>https://www.immoscout24.ch/fr/maison/acheter/lieu-donatyre</t>
  </si>
  <si>
    <t>Vendre maison Donatyre: Trouvez le bien immobilier qui correspond idéalement à vos désirs sur ImmoScout24 - La plateforme de l'immobilier en Suisse.</t>
  </si>
  <si>
    <t>https://www.immoscout24.ch/fr/appartement/louer/lieu-cortaillod</t>
  </si>
  <si>
    <t>Louer appartement Cortaillod: Trouvez le bien immobilier qui correspond idéalement à vos désirs sur ImmoScout24 - La plateforme de l'immobilier en Suisse.</t>
  </si>
  <si>
    <t>https://www.immoscout24.ch/fr/appartement/louer/lieu-grone</t>
  </si>
  <si>
    <t>Louer appartement Grône: Trouvez le bien immobilier qui correspond idéalement à vos désirs sur ImmoScout24 - La plateforme de l'immobilier en Suisse.</t>
  </si>
  <si>
    <t>https://www.immoscout24.ch/fr/appartement/acheter/lieu-le-locle</t>
  </si>
  <si>
    <t>Vendre appartement Le Locle: Trouvez le bien immobilier qui correspond idéalement à vos désirs sur ImmoScout24 - La plateforme de l'immobilier en Suisse.</t>
  </si>
  <si>
    <t>https://www.immoscout24.ch/fr/maison/louer/lieu-courtepin</t>
  </si>
  <si>
    <t>Louer maison Courtepin: Trouvez le bien immobilier qui correspond idéalement à vos désirs sur ImmoScout24 - La plateforme de l'immobilier en Suisse.</t>
  </si>
  <si>
    <t>https://www.immoscout24.ch/fr/maison/acheter/lieu-rivera</t>
  </si>
  <si>
    <t>Vendre maison Rivera: Trouvez le bien immobilier qui correspond idéalement à vos désirs sur ImmoScout24 - La plateforme de l'immobilier en Suisse.</t>
  </si>
  <si>
    <t>https://www.immoscout24.ch/fr/appartement/acheter/lieu-kesswil</t>
  </si>
  <si>
    <t>Vendre appartement Kesswil: Trouvez le bien immobilier qui correspond idéalement à vos désirs sur ImmoScout24 - La plateforme de l'immobilier en Suisse.</t>
  </si>
  <si>
    <t>https://www.immoscout24.ch/fr/appartement/louer/lieu-collex</t>
  </si>
  <si>
    <t>Louer appartement Collex: Trouvez le bien immobilier qui correspond idéalement à vos désirs sur ImmoScout24 - La plateforme de l'immobilier en Suisse.</t>
  </si>
  <si>
    <t>https://www.immoscout24.ch/fr/appartement/louer/lieu-gysenstein</t>
  </si>
  <si>
    <t>Louer appartement Gysenstein: Trouvez le bien immobilier qui correspond idéalement à vos désirs sur ImmoScout24 - La plateforme de l'immobilier en Suisse.</t>
  </si>
  <si>
    <t>https://www.immoscout24.ch/fr/maison/acheter/lieu-apples</t>
  </si>
  <si>
    <t>Vendre maison Apples: Trouvez le bien immobilier qui correspond idéalement à vos désirs sur ImmoScout24 - La plateforme de l'immobilier en Suisse.</t>
  </si>
  <si>
    <t>https://www.immoscout24.ch/fr/appartement/louer/lieu-sax</t>
  </si>
  <si>
    <t>Louer appartement Sax: Trouvez le bien immobilier qui correspond idéalement à vos désirs sur ImmoScout24 - La plateforme de l'immobilier en Suisse.</t>
  </si>
  <si>
    <t>https://www.immoscout24.ch/fr/maison/louer/lieu-veyrier</t>
  </si>
  <si>
    <t>Louer maison Veyrier: Trouvez le bien immobilier qui correspond idéalement à vos désirs sur ImmoScout24 - La plateforme de l'immobilier en Suisse.</t>
  </si>
  <si>
    <t>https://www.immoscout24.ch/fr/appartement/acheter/lieu-nyon</t>
  </si>
  <si>
    <t>Vendre appartement Nyon: Trouvez le bien immobilier qui correspond idéalement à vos désirs sur ImmoScout24 - La plateforme de l'immobilier en Suisse.</t>
  </si>
  <si>
    <t>https://www.immoscout24.ch/fr/maison/louer/lieu-vuibroye</t>
  </si>
  <si>
    <t>Louer maison Vuibroye: Trouvez le bien immobilier qui correspond idéalement à vos désirs sur ImmoScout24 - La plateforme de l'immobilier en Suisse.</t>
  </si>
  <si>
    <t>https://www.immoscout24.ch/fr/maison/acheter/lieu-cossonay-ville</t>
  </si>
  <si>
    <t>Vendre maison Cossonay-Ville: Trouvez le bien immobilier qui correspond idéalement à vos désirs sur ImmoScout24 - La plateforme de l'immobilier en Suisse.</t>
  </si>
  <si>
    <t>https://www.immoscout24.ch/fr/appartement/acheter/lieu-attalens</t>
  </si>
  <si>
    <t>Vendre appartement Attalens: Trouvez le bien immobilier qui correspond idéalement à vos désirs sur ImmoScout24 - La plateforme de l'immobilier en Suisse.</t>
  </si>
  <si>
    <t>https://www.immoscout24.ch/fr/appartement/louer/lieu-madiswil</t>
  </si>
  <si>
    <t>Louer appartement Madiswil: Trouvez le bien immobilier qui correspond idéalement à vos désirs sur ImmoScout24 - La plateforme de l'immobilier en Suisse.</t>
  </si>
  <si>
    <t>https://www.immoscout24.ch/fr/maison/acheter/pays-luxembourg</t>
  </si>
  <si>
    <t>Vendre maison Luxembourg: Trouvez le bien immobilier qui correspond idéalement à vos désirs sur ImmoScout24 - La plateforme de l'immobilier en Suisse.</t>
  </si>
  <si>
    <t>https://www.immoscout24.ch/fr/maison/acheter/lieu-develier</t>
  </si>
  <si>
    <t>Vendre maison Develier: Trouvez le bien immobilier qui correspond idéalement à vos désirs sur ImmoScout24 - La plateforme de l'immobilier en Suisse.</t>
  </si>
  <si>
    <t>https://www.immoscout24.ch/fr/maison/acheter/lieu-bolligen</t>
  </si>
  <si>
    <t>Vendre maison Bolligen: Trouvez le bien immobilier qui correspond idéalement à vos désirs sur ImmoScout24 - La plateforme de l'immobilier en Suisse.</t>
  </si>
  <si>
    <t>https://www.immoscout24.ch/fr/appartement/louer/lieu-saanenmoeser</t>
  </si>
  <si>
    <t>Louer appartement Saanenmöser: Trouvez le bien immobilier qui correspond idéalement à vos désirs sur ImmoScout24 - La plateforme de l'immobilier en Suisse.</t>
  </si>
  <si>
    <t>https://www.immoscout24.ch/fr/maison/acheter/lieu-chatel-sur-montsalvens</t>
  </si>
  <si>
    <t>Vendre maison Châtel-sur-Montsalvens: Trouvez le bien immobilier qui correspond idéalement à vos désirs sur ImmoScout24 - La plateforme de l'immobilier en Suisse.</t>
  </si>
  <si>
    <t>https://www.immoscout24.ch/fr/maison/acheter/lieu-wohlen-ag</t>
  </si>
  <si>
    <t>Vendre maison Wohlen AG: Trouvez le bien immobilier qui correspond idéalement à vos désirs sur ImmoScout24 - La plateforme de l'immobilier en Suisse.</t>
  </si>
  <si>
    <t>https://www.immoscout24.ch/fr/appartement/louer/lieu-samstagern</t>
  </si>
  <si>
    <t>Louer appartement Samstagern: Trouvez le bien immobilier qui correspond idéalement à vos désirs sur ImmoScout24 - La plateforme de l'immobilier en Suisse.</t>
  </si>
  <si>
    <t>https://www.immoscout24.ch/fr/appartement/acheter/lieu-le-paquier-montbarry</t>
  </si>
  <si>
    <t>Vendre appartement Le Pâquier-Montbarry: Trouvez le bien immobilier qui correspond idéalement à vos désirs sur ImmoScout24 - La plateforme de l'immobilier en Suisse.</t>
  </si>
  <si>
    <t>https://www.immoscout24.ch/fr/appartement/louer/lieu-belfaux</t>
  </si>
  <si>
    <t>Louer appartement Belfaux: Trouvez le bien immobilier qui correspond idéalement à vos désirs sur ImmoScout24 - La plateforme de l'immobilier en Suisse.</t>
  </si>
  <si>
    <t>https://www.immoscout24.ch/fr/appartement/louer/lieu-naters</t>
  </si>
  <si>
    <t>Louer appartement Naters: Trouvez le bien immobilier qui correspond idéalement à vos désirs sur ImmoScout24 - La plateforme de l'immobilier en Suisse.</t>
  </si>
  <si>
    <t>https://www.immoscout24.ch/fr/appartement/louer/region-delemont</t>
  </si>
  <si>
    <t>https://www.immoscout24.ch/fr/appartement/acheter/region-soleure</t>
  </si>
  <si>
    <t>Vendre appartement Soleure: Trouvez le bien immobilier qui correspond idéalement à vos désirs sur ImmoScout24 - La plateforme de l'immobilier en Suisse.</t>
  </si>
  <si>
    <t>https://www.immoscout24.ch/fr/maison/acheter/lieu-matran</t>
  </si>
  <si>
    <t>Vendre maison Matran: Trouvez le bien immobilier qui correspond idéalement à vos désirs sur ImmoScout24 - La plateforme de l'immobilier en Suisse.</t>
  </si>
  <si>
    <t>https://www.immoscout24.ch/fr/appartement/acheter/lieu-thyon</t>
  </si>
  <si>
    <t>Vendre appartement Thyon: Trouvez le bien immobilier qui correspond idéalement à vos désirs sur ImmoScout24 - La plateforme de l'immobilier en Suisse.</t>
  </si>
  <si>
    <t>https://www.immoscout24.ch/fr/maison/acheter/lieu-arvillard-salins</t>
  </si>
  <si>
    <t>Vendre maison Arvillard (Salins): Trouvez le bien immobilier qui correspond idéalement à vos désirs sur ImmoScout24 - La plateforme de l'immobilier en Suisse.</t>
  </si>
  <si>
    <t>https://www.immoscout24.ch/fr/appartement/louer/lieu-mauborget</t>
  </si>
  <si>
    <t>Louer appartement Mauborget: Trouvez le bien immobilier qui correspond idéalement à vos désirs sur ImmoScout24 - La plateforme de l'immobilier en Suisse.</t>
  </si>
  <si>
    <t>https://www.immoscout24.ch/fr/appartement/louer/lieu-tann</t>
  </si>
  <si>
    <t>Louer appartement Tann: Trouvez le bien immobilier qui correspond idéalement à vos désirs sur ImmoScout24 - La plateforme de l'immobilier en Suisse.</t>
  </si>
  <si>
    <t>https://www.immoscout24.ch/fr/maison/acheter/lieu-aarburg</t>
  </si>
  <si>
    <t>Vendre maison Aarburg: Trouvez le bien immobilier qui correspond idéalement à vos désirs sur ImmoScout24 - La plateforme de l'immobilier en Suisse.</t>
  </si>
  <si>
    <t>https://www.immoscout24.ch/fr/maison/acheter/lieu-arnex-sur-nyon</t>
  </si>
  <si>
    <t>Vendre maison Arnex-sur-Nyon: Trouvez le bien immobilier qui correspond idéalement à vos désirs sur ImmoScout24 - La plateforme de l'immobilier en Suisse.</t>
  </si>
  <si>
    <t>https://www.immoscout24.ch/fr/appartement/louer/lieu-monnaz</t>
  </si>
  <si>
    <t>Louer appartement Monnaz: Trouvez le bien immobilier qui correspond idéalement à vos désirs sur ImmoScout24 - La plateforme de l'immobilier en Suisse.</t>
  </si>
  <si>
    <t>https://www.immoscout24.ch/fr/maison/acheter/lieu-uitikon-waldegg</t>
  </si>
  <si>
    <t>Vendre maison Uitikon Waldegg: Trouvez le bien immobilier qui correspond idéalement à vos désirs sur ImmoScout24 - La plateforme de l'immobilier en Suisse.</t>
  </si>
  <si>
    <t>https://www.immoscout24.ch/fr/maison/louer/lieu-grandval</t>
  </si>
  <si>
    <t>Louer maison Grandval: Trouvez le bien immobilier qui correspond idéalement à vos désirs sur ImmoScout24 - La plateforme de l'immobilier en Suisse.</t>
  </si>
  <si>
    <t>https://www.immoscout24.ch/fr/maison/acheter/lieu-gals</t>
  </si>
  <si>
    <t>Vendre maison Gals: Trouvez le bien immobilier qui correspond idéalement à vos désirs sur ImmoScout24 - La plateforme de l'immobilier en Suisse.</t>
  </si>
  <si>
    <t>https://www.immoscout24.ch/fr/appartement/louer/lieu-studen-be</t>
  </si>
  <si>
    <t>Louer appartement Studen BE: Trouvez le bien immobilier qui correspond idéalement à vos désirs sur ImmoScout24 - La plateforme de l'immobilier en Suisse.</t>
  </si>
  <si>
    <t>https://www.immoscout24.ch/fr/maison/louer/lieu-lyss</t>
  </si>
  <si>
    <t>Louer maison Lyss: Trouvez le bien immobilier qui correspond idéalement à vos désirs sur ImmoScout24 - La plateforme de l'immobilier en Suisse.</t>
  </si>
  <si>
    <t>https://www.immoscout24.ch/fr/appartement/acheter/lieu-vercorin</t>
  </si>
  <si>
    <t>Vendre appartement Vercorin: Trouvez le bien immobilier qui correspond idéalement à vos désirs sur ImmoScout24 - La plateforme de l'immobilier en Suisse.</t>
  </si>
  <si>
    <t>https://www.immoscout24.ch/fr/maison/acheter/lieu-sommentier</t>
  </si>
  <si>
    <t>Vendre maison Sommentier: Trouvez le bien immobilier qui correspond idéalement à vos désirs sur ImmoScout24 - La plateforme de l'immobilier en Suisse.</t>
  </si>
  <si>
    <t>https://www.immoscout24.ch/fr/maison/acheter/lieu-cousset</t>
  </si>
  <si>
    <t>Vendre maison Cousset: Trouvez le bien immobilier qui correspond idéalement à vos désirs sur ImmoScout24 - La plateforme de l'immobilier en Suisse.</t>
  </si>
  <si>
    <t>https://www.immoscout24.ch/fr/maison/acheter/lieu-ste-croix</t>
  </si>
  <si>
    <t>Vendre maison Ste-Croix: Trouvez le bien immobilier qui correspond idéalement à vos désirs sur ImmoScout24 - La plateforme de l'immobilier en Suisse.</t>
  </si>
  <si>
    <t>https://www.immoscout24.ch/fr/maison/louer/lieu-nemiaz-chamoson</t>
  </si>
  <si>
    <t>Louer maison Némiaz (Chamoson): Trouvez le bien immobilier qui correspond idéalement à vos désirs sur ImmoScout24 - La plateforme de l'immobilier en Suisse.</t>
  </si>
  <si>
    <t>https://www.immoscout24.ch/fr/maison/acheter/lieu-geneve</t>
  </si>
  <si>
    <t>Vendre maison Genève: Trouvez le bien immobilier qui correspond idéalement à vos désirs sur ImmoScout24 - La plateforme de l'immobilier en Suisse.</t>
  </si>
  <si>
    <t>https://www.immoscout24.ch/fr/maison/acheter/lieu-kriegstetten</t>
  </si>
  <si>
    <t>Vendre maison Kriegstetten: Trouvez le bien immobilier qui correspond idéalement à vos désirs sur ImmoScout24 - La plateforme de l'immobilier en Suisse.</t>
  </si>
  <si>
    <t>https://www.immoscout24.ch/fr/appartement/louer/lieu-hauterive-ne</t>
  </si>
  <si>
    <t>Louer appartement Hauterive NE: Trouvez le bien immobilier qui correspond idéalement à vos désirs sur ImmoScout24 - La plateforme de l'immobilier en Suisse.</t>
  </si>
  <si>
    <t>https://www.immoscout24.ch/fr/appartement/louer/lieu-flims-dorf</t>
  </si>
  <si>
    <t>Louer appartement Flims Dorf: Trouvez le bien immobilier qui correspond idéalement à vos désirs sur ImmoScout24 - La plateforme de l'immobilier en Suisse.</t>
  </si>
  <si>
    <t>https://www.immoscout24.ch/fr/maison/acheter/pays-irlande</t>
  </si>
  <si>
    <t>Vendre maison Irlande: Trouvez le bien immobilier qui correspond idéalement à vos désirs sur ImmoScout24 - La plateforme de l'immobilier en Suisse.</t>
  </si>
  <si>
    <t>https://www.immoscout24.ch/fr/appartement/louer/lieu-stalden-vs</t>
  </si>
  <si>
    <t>Louer appartement Stalden VS: Trouvez le bien immobilier qui correspond idéalement à vos désirs sur ImmoScout24 - La plateforme de l'immobilier en Suisse.</t>
  </si>
  <si>
    <t>https://www.immoscout24.ch/fr/appartement/acheter/lieu-villars-le-terroir</t>
  </si>
  <si>
    <t>Vendre appartement Villars-le-Terroir: Trouvez le bien immobilier qui correspond idéalement à vos désirs sur ImmoScout24 - La plateforme de l'immobilier en Suisse.</t>
  </si>
  <si>
    <t>https://www.immoscout24.ch/fr/appartement/acheter/lieu-arbedo</t>
  </si>
  <si>
    <t>Vendre appartement Arbedo: Trouvez le bien immobilier qui correspond idéalement à vos désirs sur ImmoScout24 - La plateforme de l'immobilier en Suisse.</t>
  </si>
  <si>
    <t>https://www.immoscout24.ch/fr/appartement/acheter/region-soleure-et-environs</t>
  </si>
  <si>
    <t>Vendre appartement Soleure et environs: Trouvez le bien immobilier qui correspond idéalement à vos désirs sur ImmoScout24 - La plateforme de l'immobilier en Suisse.</t>
  </si>
  <si>
    <t>https://www.immoscout24.ch/fr/maison/acheter/lieu-agarn</t>
  </si>
  <si>
    <t>Vendre maison Agarn: Trouvez le bien immobilier qui correspond idéalement à vos désirs sur ImmoScout24 - La plateforme de l'immobilier en Suisse.</t>
  </si>
  <si>
    <t>https://www.immoscout24.ch/fr/maison/acheter/lieu-forch</t>
  </si>
  <si>
    <t>Vendre maison Forch: Trouvez le bien immobilier qui correspond idéalement à vos désirs sur ImmoScout24 - La plateforme de l'immobilier en Suisse.</t>
  </si>
  <si>
    <t>https://www.immoscout24.ch/fr/maison/acheter/lieu-daettwil-ag</t>
  </si>
  <si>
    <t>Vendre maison Dättwil AG: Trouvez le bien immobilier qui correspond idéalement à vos désirs sur ImmoScout24 - La plateforme de l'immobilier en Suisse.</t>
  </si>
  <si>
    <t>https://www.immoscout24.ch/fr/maison/louer/lieu-conches</t>
  </si>
  <si>
    <t>Louer maison Conches: Trouvez le bien immobilier qui correspond idéalement à vos désirs sur ImmoScout24 - La plateforme de l'immobilier en Suisse.</t>
  </si>
  <si>
    <t>https://www.immoscout24.ch/fr/maison/acheter/lieu-guemligen</t>
  </si>
  <si>
    <t>Vendre maison Gümligen: Trouvez le bien immobilier qui correspond idéalement à vos désirs sur ImmoScout24 - La plateforme de l'immobilier en Suisse.</t>
  </si>
  <si>
    <t>https://www.immoscout24.ch/fr/maison/louer/quartier-bourg-fribourg</t>
  </si>
  <si>
    <t>Louer maison Bourg (Fribourg): Trouvez le bien immobilier qui correspond idéalement à vos désirs sur ImmoScout24 - La plateforme de l'immobilier en Suisse.</t>
  </si>
  <si>
    <t>https://www.immoscout24.ch/fr/appartement/acheter/lieu-lausanne</t>
  </si>
  <si>
    <t>Vendre appartement Lausanne: Trouvez le bien immobilier qui correspond idéalement à vos désirs sur ImmoScout24 - La plateforme de l'immobilier en Suisse.</t>
  </si>
  <si>
    <t>https://www.immoscout24.ch/fr/maison/acheter/lieu-sursee</t>
  </si>
  <si>
    <t>Vendre maison Sursee: Trouvez le bien immobilier qui correspond idéalement à vos désirs sur ImmoScout24 - La plateforme de l'immobilier en Suisse.</t>
  </si>
  <si>
    <t>https://www.immoscout24.ch/fr/appartement/louer/lieu-arnex-sur-nyon</t>
  </si>
  <si>
    <t>Louer appartement Arnex-sur-Nyon: Trouvez le bien immobilier qui correspond idéalement à vos désirs sur ImmoScout24 - La plateforme de l'immobilier en Suisse.</t>
  </si>
  <si>
    <t>https://www.immoscout24.ch/fr/appartement/acheter/quartier-sonvico-lugano</t>
  </si>
  <si>
    <t>Vendre appartement Sonvico (Lugano): Trouvez le bien immobilier qui correspond idéalement à vos désirs sur ImmoScout24 - La plateforme de l'immobilier en Suisse.</t>
  </si>
  <si>
    <t>https://www.immoscout24.ch/fr/appartement/acheter/lieu-champex-lac</t>
  </si>
  <si>
    <t>Vendre appartement Champex-Lac: Trouvez le bien immobilier qui correspond idéalement à vos désirs sur ImmoScout24 - La plateforme de l'immobilier en Suisse.</t>
  </si>
  <si>
    <t>https://www.immoscout24.ch/fr/appartement/louer/lieu-buchs-sg</t>
  </si>
  <si>
    <t>Louer appartement Buchs SG: Trouvez le bien immobilier qui correspond idéalement à vos désirs sur ImmoScout24 - La plateforme de l'immobilier en Suisse.</t>
  </si>
  <si>
    <t>https://www.immoscout24.ch/fr/appartement/louer/lieu-muraz-collombey</t>
  </si>
  <si>
    <t>Louer appartement Muraz (Collombey): Trouvez le bien immobilier qui correspond idéalement à vos désirs sur ImmoScout24 - La plateforme de l'immobilier en Suisse.</t>
  </si>
  <si>
    <t>https://www.immoscout24.ch/fr/maison/acheter/lieu-susch</t>
  </si>
  <si>
    <t>Vendre maison Susch: Trouvez le bien immobilier qui correspond idéalement à vos désirs sur ImmoScout24 - La plateforme de l'immobilier en Suisse.</t>
  </si>
  <si>
    <t>https://www.immoscout24.ch/fr/maison/acheter/lieu-campione-d-italia</t>
  </si>
  <si>
    <t>Vendre maison Campione d'Italia: Trouvez le bien immobilier qui correspond idéalement à vos désirs sur ImmoScout24 - La plateforme de l'immobilier en Suisse.</t>
  </si>
  <si>
    <t>https://www.immoscout24.ch/fr/maison/acheter/lieu-versoix</t>
  </si>
  <si>
    <t>Vendre maison Versoix: Trouvez le bien immobilier qui correspond idéalement à vos désirs sur ImmoScout24 - La plateforme de l'immobilier en Suisse.</t>
  </si>
  <si>
    <t>https://www.immoscout24.ch/fr/maison/acheter/lieu-boesingen</t>
  </si>
  <si>
    <t>Vendre maison Bösingen: Trouvez le bien immobilier qui correspond idéalement à vos désirs sur ImmoScout24 - La plateforme de l'immobilier en Suisse.</t>
  </si>
  <si>
    <t>https://www.immoscout24.ch/fr/maison/acheter/lieu-corippo</t>
  </si>
  <si>
    <t>Vendre maison Corippo: Trouvez le bien immobilier qui correspond idéalement à vos désirs sur ImmoScout24 - La plateforme de l'immobilier en Suisse.</t>
  </si>
  <si>
    <t>https://www.immoscout24.ch/fr/appartement/louer/lieu-cottens-vd</t>
  </si>
  <si>
    <t>Louer appartement Cottens VD: Trouvez le bien immobilier qui correspond idéalement à vos désirs sur ImmoScout24 - La plateforme de l'immobilier en Suisse.</t>
  </si>
  <si>
    <t>https://www.immoscout24.ch/fr/appartement/louer/quartier-breite-bale</t>
  </si>
  <si>
    <t>Louer appartement Breite (Bâle): Trouvez le bien immobilier qui correspond idéalement à vos désirs sur ImmoScout24 - La plateforme de l'immobilier en Suisse.</t>
  </si>
  <si>
    <t>https://www.immoscout24.ch/fr/maison/acheter/lieu-courfaivre</t>
  </si>
  <si>
    <t>Vendre maison Courfaivre: Trouvez le bien immobilier qui correspond idéalement à vos désirs sur ImmoScout24 - La plateforme de l'immobilier en Suisse.</t>
  </si>
  <si>
    <t>https://www.immoscout24.ch/fr/appartement/acheter/lieu-adligenswil</t>
  </si>
  <si>
    <t>Vendre appartement Adligenswil: Trouvez le bien immobilier qui correspond idéalement à vos désirs sur ImmoScout24 - La plateforme de l'immobilier en Suisse.</t>
  </si>
  <si>
    <t>https://www.immoscout24.ch/fr/appartement/louer/lieu-moleson-sur-gruyeres</t>
  </si>
  <si>
    <t>Louer appartement Moléson-sur-Gruyères: Trouvez le bien immobilier qui correspond idéalement à vos désirs sur ImmoScout24 - La plateforme de l'immobilier en Suisse.</t>
  </si>
  <si>
    <t>https://www.immoscout24.ch/fr/appartement/louer/region-sargans-et-environs</t>
  </si>
  <si>
    <t>Louer appartement Sargans et environs: Trouvez le bien immobilier qui correspond idéalement à vos désirs sur ImmoScout24 - La plateforme de l'immobilier en Suisse.</t>
  </si>
  <si>
    <t>https://www.immoscout24.ch/fr/appartement/louer/lieu-cheiry</t>
  </si>
  <si>
    <t>Louer appartement Cheiry: Trouvez le bien immobilier qui correspond idéalement à vos désirs sur ImmoScout24 - La plateforme de l'immobilier en Suisse.</t>
  </si>
  <si>
    <t>https://www.immoscout24.ch/fr/appartement/louer/quartier-maladiere-mail-neuchatel</t>
  </si>
  <si>
    <t>Louer appartement Maladière - Mail (Neuchâtel): Trouvez le bien immobilier qui correspond idéalement à vos désirs sur ImmoScout24 - La plateforme de l'immobilier en Suisse.</t>
  </si>
  <si>
    <t>https://www.immoscout24.ch/fr/maison/acheter/quartier-la-coudre-neuchatel</t>
  </si>
  <si>
    <t>Vendre maison La Coudre (Neuchâtel): Trouvez le bien immobilier qui correspond idéalement à vos désirs sur ImmoScout24 - La plateforme de l'immobilier en Suisse.</t>
  </si>
  <si>
    <t>https://www.immoscout24.ch/fr/appartement/louer/quartier-loreto-lugano</t>
  </si>
  <si>
    <t>Louer appartement Loreto (Lugano): Trouvez le bien immobilier qui correspond idéalement à vos désirs sur ImmoScout24 - La plateforme de l'immobilier en Suisse.</t>
  </si>
  <si>
    <t>https://www.immoscout24.ch/fr/appartement/louer/lieu-dully</t>
  </si>
  <si>
    <t>Louer appartement Dully: Trouvez le bien immobilier qui correspond idéalement à vos désirs sur ImmoScout24 - La plateforme de l'immobilier en Suisse.</t>
  </si>
  <si>
    <t>https://www.immoscout24.ch/fr/appartement/louer/lieu-triengen</t>
  </si>
  <si>
    <t>Louer appartement Triengen: Trouvez le bien immobilier qui correspond idéalement à vos désirs sur ImmoScout24 - La plateforme de l'immobilier en Suisse.</t>
  </si>
  <si>
    <t>https://www.immoscout24.ch/fr/maison/acheter/quartier-gasel-koeniz</t>
  </si>
  <si>
    <t>Vendre maison Gasel (Köniz): Trouvez le bien immobilier qui correspond idéalement à vos désirs sur ImmoScout24 - La plateforme de l'immobilier en Suisse.</t>
  </si>
  <si>
    <t>https://www.immoscout24.ch/fr/appartement/louer/lieu-nunningen</t>
  </si>
  <si>
    <t>Louer appartement Nunningen: Trouvez le bien immobilier qui correspond idéalement à vos désirs sur ImmoScout24 - La plateforme de l'immobilier en Suisse.</t>
  </si>
  <si>
    <t>https://www.immoscout24.ch/fr/appartement/louer/lieu-elsau</t>
  </si>
  <si>
    <t>Louer appartement Elsau: Trouvez le bien immobilier qui correspond idéalement à vos désirs sur ImmoScout24 - La plateforme de l'immobilier en Suisse.</t>
  </si>
  <si>
    <t>https://www.immoscout24.ch/fr/appartement/louer/lieu-cologny</t>
  </si>
  <si>
    <t>Louer appartement Cologny: Trouvez le bien immobilier qui correspond idéalement à vos désirs sur ImmoScout24 - La plateforme de l'immobilier en Suisse.</t>
  </si>
  <si>
    <t>https://www.immoscout24.ch/fr/appartement/acheter/lieu-galgenen</t>
  </si>
  <si>
    <t>Vendre appartement Galgenen: Trouvez le bien immobilier qui correspond idéalement à vos désirs sur ImmoScout24 - La plateforme de l'immobilier en Suisse.</t>
  </si>
  <si>
    <t>https://www.immoscout24.ch/fr/maison/acheter/lieu-orpund</t>
  </si>
  <si>
    <t>Vendre maison Orpund: Trouvez le bien immobilier qui correspond idéalement à vos désirs sur ImmoScout24 - La plateforme de l'immobilier en Suisse.</t>
  </si>
  <si>
    <t>https://www.immoscout24.ch/fr/maison/louer/lieu-semione</t>
  </si>
  <si>
    <t>Louer maison Semione: Trouvez le bien immobilier qui correspond idéalement à vos désirs sur ImmoScout24 - La plateforme de l'immobilier en Suisse.</t>
  </si>
  <si>
    <t>https://www.immoscout24.ch/fr/maison/acheter/lieu-mex-vs</t>
  </si>
  <si>
    <t>Vendre maison Mex VS: Trouvez le bien immobilier qui correspond idéalement à vos désirs sur ImmoScout24 - La plateforme de l'immobilier en Suisse.</t>
  </si>
  <si>
    <t>https://www.immoscout24.ch/fr/appartement/louer/lieu-courtion</t>
  </si>
  <si>
    <t>Louer appartement Courtion: Trouvez le bien immobilier qui correspond idéalement à vos désirs sur ImmoScout24 - La plateforme de l'immobilier en Suisse.</t>
  </si>
  <si>
    <t>https://www.immoscout24.ch/fr/appartement/louer/lieu-mont-la-ville</t>
  </si>
  <si>
    <t>Louer appartement Mont-la-Ville: Trouvez le bien immobilier qui correspond idéalement à vos désirs sur ImmoScout24 - La plateforme de l'immobilier en Suisse.</t>
  </si>
  <si>
    <t>https://www.immoscout24.ch/fr/maison/acheter/lieu-albeuve</t>
  </si>
  <si>
    <t>Vendre maison Albeuve: Trouvez le bien immobilier qui correspond idéalement à vos désirs sur ImmoScout24 - La plateforme de l'immobilier en Suisse.</t>
  </si>
  <si>
    <t>https://www.immoscout24.ch/fr/maison/acheter/lieu-vaduz</t>
  </si>
  <si>
    <t>Vendre maison Vaduz: Trouvez le bien immobilier qui correspond idéalement à vos désirs sur ImmoScout24 - La plateforme de l'immobilier en Suisse.</t>
  </si>
  <si>
    <t>https://www.immoscout24.ch/fr/maison/acheter/lieu-campello</t>
  </si>
  <si>
    <t>Vendre maison Campello: Trouvez le bien immobilier qui correspond idéalement à vos désirs sur ImmoScout24 - La plateforme de l'immobilier en Suisse.</t>
  </si>
  <si>
    <t>https://www.immoscout24.ch/fr/maison/acheter/lieu-st-niklaus-vs</t>
  </si>
  <si>
    <t>Vendre maison St. Niklaus VS: Trouvez le bien immobilier qui correspond idéalement à vos désirs sur ImmoScout24 - La plateforme de l'immobilier en Suisse.</t>
  </si>
  <si>
    <t>https://www.immoscout24.ch/fr/appartement/acheter/lieu-veytaux</t>
  </si>
  <si>
    <t>Vendre appartement Veytaux: Trouvez le bien immobilier qui correspond idéalement à vos désirs sur ImmoScout24 - La plateforme de l'immobilier en Suisse.</t>
  </si>
  <si>
    <t>https://www.immoscout24.ch/fr/maison/acheter/lieu-tannay</t>
  </si>
  <si>
    <t>Vendre maison Tannay: Trouvez le bien immobilier qui correspond idéalement à vos désirs sur ImmoScout24 - La plateforme de l'immobilier en Suisse.</t>
  </si>
  <si>
    <t>https://www.immoscout24.ch/fr/maison/louer/lieu-bellelay</t>
  </si>
  <si>
    <t>Louer maison Bellelay: Trouvez le bien immobilier qui correspond idéalement à vos désirs sur ImmoScout24 - La plateforme de l'immobilier en Suisse.</t>
  </si>
  <si>
    <t>https://www.immoscout24.ch/fr/appartement/acheter/canton-berne</t>
  </si>
  <si>
    <t>Vendre appartement Canton de Berne: Trouvez le bien immobilier qui correspond idéalement à vos désirs sur ImmoScout24 - La plateforme de l'immobilier en Suisse.</t>
  </si>
  <si>
    <t>https://www.immoscout24.ch/fr/appartement/louer/lieu-l-abergement</t>
  </si>
  <si>
    <t>Louer appartement L'Abergement: Trouvez le bien immobilier qui correspond idéalement à vos désirs sur ImmoScout24 - La plateforme de l'immobilier en Suisse.</t>
  </si>
  <si>
    <t>https://www.immoscout24.ch/fr/appartement/acheter/lieu-niederoenz</t>
  </si>
  <si>
    <t>Vendre appartement Niederönz: Trouvez le bien immobilier qui correspond idéalement à vos désirs sur ImmoScout24 - La plateforme de l'immobilier en Suisse.</t>
  </si>
  <si>
    <t>https://www.immoscout24.ch/fr/appartement/louer/lieu-bonaduz</t>
  </si>
  <si>
    <t>Louer appartement Bonaduz: Trouvez le bien immobilier qui correspond idéalement à vos désirs sur ImmoScout24 - La plateforme de l'immobilier en Suisse.</t>
  </si>
  <si>
    <t>https://www.immoscout24.ch/fr/appartement/louer/lieu-agiez</t>
  </si>
  <si>
    <t>Louer appartement Agiez: Trouvez le bien immobilier qui correspond idéalement à vos désirs sur ImmoScout24 - La plateforme de l'immobilier en Suisse.</t>
  </si>
  <si>
    <t>https://www.immoscout24.ch/fr/maison/acheter/lieu-jouxtens-mezery</t>
  </si>
  <si>
    <t>Vendre maison Jouxtens-Mézery: Trouvez le bien immobilier qui correspond idéalement à vos désirs sur ImmoScout24 - La plateforme de l'immobilier en Suisse.</t>
  </si>
  <si>
    <t>https://www.immoscout24.ch/fr/appartement/louer/lieu-provence</t>
  </si>
  <si>
    <t>Louer appartement Provence: Trouvez le bien immobilier qui correspond idéalement à vos désirs sur ImmoScout24 - La plateforme de l'immobilier en Suisse.</t>
  </si>
  <si>
    <t>https://www.immoscout24.ch/fr/appartement/louer/lieu-avenches</t>
  </si>
  <si>
    <t>Louer appartement Avenches: Trouvez le bien immobilier qui correspond idéalement à vos désirs sur ImmoScout24 - La plateforme de l'immobilier en Suisse.</t>
  </si>
  <si>
    <t>https://www.immoscout24.ch/fr/maison/louer/region-bellinzone</t>
  </si>
  <si>
    <t>Louer maison Bellinzone: Trouvez le bien immobilier qui correspond idéalement à vos désirs sur ImmoScout24 - La plateforme de l'immobilier en Suisse.</t>
  </si>
  <si>
    <t>https://www.immoscout24.ch/fr/appartement/louer/lieu-chessel</t>
  </si>
  <si>
    <t>Louer appartement Chessel: Trouvez le bien immobilier qui correspond idéalement à vos désirs sur ImmoScout24 - La plateforme de l'immobilier en Suisse.</t>
  </si>
  <si>
    <t>https://www.immoscout24.ch/fr/appartement/louer/quartier-cimadera-lugano</t>
  </si>
  <si>
    <t>Louer appartement Cimadera (Lugano): Trouvez le bien immobilier qui correspond idéalement à vos désirs sur ImmoScout24 - La plateforme de l'immobilier en Suisse.</t>
  </si>
  <si>
    <t>https://www.immoscout24.ch/fr/appartement/louer/lieu-rapperswil-sg</t>
  </si>
  <si>
    <t>Louer appartement Rapperswil SG: Trouvez le bien immobilier qui correspond idéalement à vos désirs sur ImmoScout24 - La plateforme de l'immobilier en Suisse.</t>
  </si>
  <si>
    <t>https://www.immoscout24.ch/fr/appartement/acheter/pays-liechtenstein</t>
  </si>
  <si>
    <t>Vendre appartement Liechtenstein: Trouvez le bien immobilier qui correspond idéalement à vos désirs sur ImmoScout24 - La plateforme de l'immobilier en Suisse.</t>
  </si>
  <si>
    <t>https://www.immoscout24.ch/fr/appartement/louer/lieu-kiental</t>
  </si>
  <si>
    <t>Louer appartement Kiental: Trouvez le bien immobilier qui correspond idéalement à vos désirs sur ImmoScout24 - La plateforme de l'immobilier en Suisse.</t>
  </si>
  <si>
    <t>https://www.immoscout24.ch/fr/appartement/louer/quartier-eplatures-cret-du-locle-la-chaux-de-fonds</t>
  </si>
  <si>
    <t>Louer appartement Eplatures-Crêt du Locle (La Chaux-de-Fonds): Trouvez le bien immobilier qui correspond idéalement à vos désirs sur ImmoScout24 - La plateforme de l'immobilier en Suisse.</t>
  </si>
  <si>
    <t>https://www.immoscout24.ch/fr/appartement/acheter/lieu-roggwil-be</t>
  </si>
  <si>
    <t>Vendre appartement Roggwil BE: Trouvez le bien immobilier qui correspond idéalement à vos désirs sur ImmoScout24 - La plateforme de l'immobilier en Suisse.</t>
  </si>
  <si>
    <t>https://www.immoscout24.ch/fr/appartement/louer/lieu-herrenschwanden</t>
  </si>
  <si>
    <t>Louer appartement Herrenschwanden: Trouvez le bien immobilier qui correspond idéalement à vos désirs sur ImmoScout24 - La plateforme de l'immobilier en Suisse.</t>
  </si>
  <si>
    <t>https://www.immoscout24.ch/fr/appartement/louer/lieu-pampigny</t>
  </si>
  <si>
    <t>Louer appartement Pampigny: Trouvez le bien immobilier qui correspond idéalement à vos désirs sur ImmoScout24 - La plateforme de l'immobilier en Suisse.</t>
  </si>
  <si>
    <t>https://www.immoscout24.ch/fr/appartement/louer/lieu-gollion</t>
  </si>
  <si>
    <t>Louer appartement Gollion: Trouvez le bien immobilier qui correspond idéalement à vos désirs sur ImmoScout24 - La plateforme de l'immobilier en Suisse.</t>
  </si>
  <si>
    <t>https://www.immoscout24.ch/fr/appartement/louer/quartier-champel-roseraie-geneve</t>
  </si>
  <si>
    <t>Louer appartement Champel - Roseraie (Genève): Trouvez le bien immobilier qui correspond idéalement à vos désirs sur ImmoScout24 - La plateforme de l'immobilier en Suisse.</t>
  </si>
  <si>
    <t>https://www.immoscout24.ch/fr/maison/acheter/lieu-zullwil</t>
  </si>
  <si>
    <t>Vendre maison Zullwil: Trouvez le bien immobilier qui correspond idéalement à vos désirs sur ImmoScout24 - La plateforme de l'immobilier en Suisse.</t>
  </si>
  <si>
    <t>https://www.immoscout24.ch/fr/appartement/louer/lieu-affoltern-am-albis</t>
  </si>
  <si>
    <t>Louer appartement Affoltern am Albis: Trouvez le bien immobilier qui correspond idéalement à vos désirs sur ImmoScout24 - La plateforme de l'immobilier en Suisse.</t>
  </si>
  <si>
    <t>https://www.immoscout24.ch/fr/appartement/louer/lieu-courgevaux</t>
  </si>
  <si>
    <t>Louer appartement Courgevaux: Trouvez le bien immobilier qui correspond idéalement à vos désirs sur ImmoScout24 - La plateforme de l'immobilier en Suisse.</t>
  </si>
  <si>
    <t>https://www.immoscout24.ch/fr/maison/acheter/lieu-cuarny</t>
  </si>
  <si>
    <t>Vendre maison Cuarny: Trouvez le bien immobilier qui correspond idéalement à vos désirs sur ImmoScout24 - La plateforme de l'immobilier en Suisse.</t>
  </si>
  <si>
    <t>https://www.immoscout24.ch/fr/appartement/louer/lieu-grandval</t>
  </si>
  <si>
    <t>Louer appartement Grandval: Trouvez le bien immobilier qui correspond idéalement à vos désirs sur ImmoScout24 - La plateforme de l'immobilier en Suisse.</t>
  </si>
  <si>
    <t>https://www.immoscout24.ch/fr/maison/acheter/lieu-moenchaltorf</t>
  </si>
  <si>
    <t>Vendre maison Mönchaltorf: Trouvez le bien immobilier qui correspond idéalement à vos désirs sur ImmoScout24 - La plateforme de l'immobilier en Suisse.</t>
  </si>
  <si>
    <t>https://www.immoscout24.ch/fr/maison/louer/lieu-saclentse</t>
  </si>
  <si>
    <t>Louer maison Saclentse: Trouvez le bien immobilier qui correspond idéalement à vos désirs sur ImmoScout24 - La plateforme de l'immobilier en Suisse.</t>
  </si>
  <si>
    <t>https://www.immoscout24.ch/fr/appartement/acheter/lieu-avenches</t>
  </si>
  <si>
    <t>Vendre appartement Avenches: Trouvez le bien immobilier qui correspond idéalement à vos désirs sur ImmoScout24 - La plateforme de l'immobilier en Suisse.</t>
  </si>
  <si>
    <t>https://www.immoscout24.ch/fr/appartement/louer/lieu-golaten</t>
  </si>
  <si>
    <t>Louer appartement Golaten: Trouvez le bien immobilier qui correspond idéalement à vos désirs sur ImmoScout24 - La plateforme de l'immobilier en Suisse.</t>
  </si>
  <si>
    <t>https://www.immoscout24.ch/fr/maison/acheter/lieu-estavayer-le-gibloux</t>
  </si>
  <si>
    <t>Vendre maison Estavayer-le-Gibloux: Trouvez le bien immobilier qui correspond idéalement à vos désirs sur ImmoScout24 - La plateforme de l'immobilier en Suisse.</t>
  </si>
  <si>
    <t>https://www.immoscout24.ch/fr/appartement/louer/lieu-carrouge-vd</t>
  </si>
  <si>
    <t>Louer appartement Carrouge VD: Trouvez le bien immobilier qui correspond idéalement à vos désirs sur ImmoScout24 - La plateforme de l'immobilier en Suisse.</t>
  </si>
  <si>
    <t>https://www.immoscout24.ch/fr/appartement/acheter/lieu-ganterschwil</t>
  </si>
  <si>
    <t>Vendre appartement Ganterschwil: Trouvez le bien immobilier qui correspond idéalement à vos désirs sur ImmoScout24 - La plateforme de l'immobilier en Suisse.</t>
  </si>
  <si>
    <t>https://www.immoscout24.ch/fr/appartement/acheter/lieu-val-d-illiez</t>
  </si>
  <si>
    <t>Vendre appartement Val-d'Illiez: Trouvez le bien immobilier qui correspond idéalement à vos désirs sur ImmoScout24 - La plateforme de l'immobilier en Suisse.</t>
  </si>
  <si>
    <t>https://www.immoscout24.ch/fr/maison/acheter/lieu-lenzburg</t>
  </si>
  <si>
    <t>Vendre maison Lenzburg: Trouvez le bien immobilier qui correspond idéalement à vos désirs sur ImmoScout24 - La plateforme de l'immobilier en Suisse.</t>
  </si>
  <si>
    <t>https://www.immoscout24.ch/fr/appartement/acheter/lieu-merlischachen</t>
  </si>
  <si>
    <t>Vendre appartement Merlischachen: Trouvez le bien immobilier qui correspond idéalement à vos désirs sur ImmoScout24 - La plateforme de l'immobilier en Suisse.</t>
  </si>
  <si>
    <t>https://www.immoscout24.ch/fr/maison/acheter/lieu-rueschlikon</t>
  </si>
  <si>
    <t>Vendre maison Rüschlikon: Trouvez le bien immobilier qui correspond idéalement à vos désirs sur ImmoScout24 - La plateforme de l'immobilier en Suisse.</t>
  </si>
  <si>
    <t>https://www.immoscout24.ch/fr/maison/louer/lieu-aubonne</t>
  </si>
  <si>
    <t>Louer maison Aubonne: Trouvez le bien immobilier qui correspond idéalement à vos désirs sur ImmoScout24 - La plateforme de l'immobilier en Suisse.</t>
  </si>
  <si>
    <t>https://www.immoscout24.ch/fr/appartement/louer/lieu-bellinzona</t>
  </si>
  <si>
    <t>Louer appartement Bellinzona: Trouvez le bien immobilier qui correspond idéalement à vos désirs sur ImmoScout24 - La plateforme de l'immobilier en Suisse.</t>
  </si>
  <si>
    <t>https://www.immoscout24.ch/fr/maison/louer/quartier-eplatures-cret-du-locle-la-chaux-de-fonds</t>
  </si>
  <si>
    <t>Louer maison Eplatures-Crêt du Locle (La Chaux-de-Fonds): Trouvez le bien immobilier qui correspond idéalement à vos désirs sur ImmoScout24 - La plateforme de l'immobilier en Suisse.</t>
  </si>
  <si>
    <t>https://www.immoscout24.ch/fr/appartement/acheter/quartier-jonction-plainpalais-geneve</t>
  </si>
  <si>
    <t>Vendre appartement Jonction - Plainpalais (Genève): Trouvez le bien immobilier qui correspond idéalement à vos désirs sur ImmoScout24 - La plateforme de l'immobilier en Suisse.</t>
  </si>
  <si>
    <t>https://www.immoscout24.ch/fr/maison/acheter/lieu-rochefort</t>
  </si>
  <si>
    <t>Vendre maison Rochefort: Trouvez le bien immobilier qui correspond idéalement à vos désirs sur ImmoScout24 - La plateforme de l'immobilier en Suisse.</t>
  </si>
  <si>
    <t>https://www.immoscout24.ch/fr/appartement/acheter/lieu-gstaad</t>
  </si>
  <si>
    <t>Vendre appartement Gstaad: Trouvez le bien immobilier qui correspond idéalement à vos désirs sur ImmoScout24 - La plateforme de l'immobilier en Suisse.</t>
  </si>
  <si>
    <t>https://www.immoscout24.ch/fr/maison/louer/lieu-domdidier</t>
  </si>
  <si>
    <t>Louer maison Domdidier: Trouvez le bien immobilier qui correspond idéalement à vos désirs sur ImmoScout24 - La plateforme de l'immobilier en Suisse.</t>
  </si>
  <si>
    <t>https://www.immoscout24.ch/fr/appartement/louer/lieu-rivera</t>
  </si>
  <si>
    <t>Louer appartement Rivera: Trouvez le bien immobilier qui correspond idéalement à vos désirs sur ImmoScout24 - La plateforme de l'immobilier en Suisse.</t>
  </si>
  <si>
    <t>https://www.immoscout24.ch/fr/maison/acheter/lieu-fislisbach</t>
  </si>
  <si>
    <t>Vendre maison Fislisbach: Trouvez le bien immobilier qui correspond idéalement à vos désirs sur ImmoScout24 - La plateforme de l'immobilier en Suisse.</t>
  </si>
  <si>
    <t>https://www.immoscout24.ch/fr/maison/acheter/lieu-sullens</t>
  </si>
  <si>
    <t>Vendre maison Sullens: Trouvez le bien immobilier qui correspond idéalement à vos désirs sur ImmoScout24 - La plateforme de l'immobilier en Suisse.</t>
  </si>
  <si>
    <t>https://www.immoscout24.ch/fr/appartement/acheter/lieu-tavannes</t>
  </si>
  <si>
    <t>Vendre appartement Tavannes: Trouvez le bien immobilier qui correspond idéalement à vos désirs sur ImmoScout24 - La plateforme de l'immobilier en Suisse.</t>
  </si>
  <si>
    <t>https://www.immoscout24.ch/fr/appartement/louer/lieu-les-granges-salvan</t>
  </si>
  <si>
    <t>Louer appartement Les Granges (Salvan): Trouvez le bien immobilier qui correspond idéalement à vos désirs sur ImmoScout24 - La plateforme de l'immobilier en Suisse.</t>
  </si>
  <si>
    <t>https://www.immoscout24.ch/fr/appartement/louer/lieu-nuerensdorf</t>
  </si>
  <si>
    <t>Louer appartement Nürensdorf: Trouvez le bien immobilier qui correspond idéalement à vos désirs sur ImmoScout24 - La plateforme de l'immobilier en Suisse.</t>
  </si>
  <si>
    <t>https://www.immoscout24.ch/fr/appartement/louer/lieu-corsier-sur-vevey</t>
  </si>
  <si>
    <t>Louer appartement Corsier-sur-Vevey: Trouvez le bien immobilier qui correspond idéalement à vos désirs sur ImmoScout24 - La plateforme de l'immobilier en Suisse.</t>
  </si>
  <si>
    <t>https://www.immoscout24.ch/fr/appartement/louer/lieu-corcelles-pres-concise</t>
  </si>
  <si>
    <t>Louer appartement Corcelles-près-Concise: Trouvez le bien immobilier qui correspond idéalement à vos désirs sur ImmoScout24 - La plateforme de l'immobilier en Suisse.</t>
  </si>
  <si>
    <t>https://www.immoscout24.ch/fr/maison/acheter/lieu-st-george</t>
  </si>
  <si>
    <t>Vendre maison St-George: Trouvez le bien immobilier qui correspond idéalement à vos désirs sur ImmoScout24 - La plateforme de l'immobilier en Suisse.</t>
  </si>
  <si>
    <t>https://www.immoscout24.ch/fr/appartement/acheter/lieu-silvaplana</t>
  </si>
  <si>
    <t>Vendre appartement Silvaplana: Trouvez le bien immobilier qui correspond idéalement à vos désirs sur ImmoScout24 - La plateforme de l'immobilier en Suisse.</t>
  </si>
  <si>
    <t>https://www.immoscout24.ch/fr/appartement/louer/quartier-breganzona-lugano</t>
  </si>
  <si>
    <t>Louer appartement Breganzona (Lugano): Trouvez le bien immobilier qui correspond idéalement à vos désirs sur ImmoScout24 - La plateforme de l'immobilier en Suisse.</t>
  </si>
  <si>
    <t>https://www.immoscout24.ch/fr/maison/acheter/lieu-chardonne</t>
  </si>
  <si>
    <t>Vendre maison Chardonne: Trouvez le bien immobilier qui correspond idéalement à vos désirs sur ImmoScout24 - La plateforme de l'immobilier en Suisse.</t>
  </si>
  <si>
    <t>https://www.immoscout24.ch/fr/appartement/acheter/lieu-agno</t>
  </si>
  <si>
    <t>Vendre appartement Agno: Trouvez le bien immobilier qui correspond idéalement à vos désirs sur ImmoScout24 - La plateforme de l'immobilier en Suisse.</t>
  </si>
  <si>
    <t>https://www.immoscout24.ch/fr/appartement/louer/lieu-les-acacias</t>
  </si>
  <si>
    <t>Louer appartement Les Acacias: Trouvez le bien immobilier qui correspond idéalement à vos désirs sur ImmoScout24 - La plateforme de l'immobilier en Suisse.</t>
  </si>
  <si>
    <t>https://www.immoscout24.ch/fr/maison/acheter/lieu-comologno</t>
  </si>
  <si>
    <t>Vendre maison Comologno: Trouvez le bien immobilier qui correspond idéalement à vos désirs sur ImmoScout24 - La plateforme de l'immobilier en Suisse.</t>
  </si>
  <si>
    <t>https://www.immoscout24.ch/fr/maison/acheter/lieu-rances</t>
  </si>
  <si>
    <t>Vendre maison Rances: Trouvez le bien immobilier qui correspond idéalement à vos désirs sur ImmoScout24 - La plateforme de l'immobilier en Suisse.</t>
  </si>
  <si>
    <t>https://www.immoscout24.ch/fr/maison/louer/lieu-fetigny</t>
  </si>
  <si>
    <t>Louer maison Fétigny: Trouvez le bien immobilier qui correspond idéalement à vos désirs sur ImmoScout24 - La plateforme de l'immobilier en Suisse.</t>
  </si>
  <si>
    <t>https://www.immoscout24.ch/fr/appartement/louer/lieu-torny-le-grand</t>
  </si>
  <si>
    <t>Louer appartement Torny-le-Grand: Trouvez le bien immobilier qui correspond idéalement à vos désirs sur ImmoScout24 - La plateforme de l'immobilier en Suisse.</t>
  </si>
  <si>
    <t>https://www.immoscout24.ch/fr/appartement/louer/lieu-st-romain-ayent</t>
  </si>
  <si>
    <t>Louer appartement St-Romain (Ayent): Trouvez le bien immobilier qui correspond idéalement à vos désirs sur ImmoScout24 - La plateforme de l'immobilier en Suisse.</t>
  </si>
  <si>
    <t>https://www.immoscout24.ch/fr/appartement/louer/lieu-oberengstringen</t>
  </si>
  <si>
    <t>Louer appartement Oberengstringen: Trouvez le bien immobilier qui correspond idéalement à vos désirs sur ImmoScout24 - La plateforme de l'immobilier en Suisse.</t>
  </si>
  <si>
    <t>https://www.immoscout24.ch/fr/maison/acheter/lieu-moleson-sur-gruyeres</t>
  </si>
  <si>
    <t>Vendre maison Moléson-sur-Gruyères: Trouvez le bien immobilier qui correspond idéalement à vos désirs sur ImmoScout24 - La plateforme de l'immobilier en Suisse.</t>
  </si>
  <si>
    <t>https://www.immoscout24.ch/fr/appartement/louer/lieu-vuisternens-devant-romont</t>
  </si>
  <si>
    <t>Louer appartement Vuisternens-devant-Romont: Trouvez le bien immobilier qui correspond idéalement à vos désirs sur ImmoScout24 - La plateforme de l'immobilier en Suisse.</t>
  </si>
  <si>
    <t>https://www.immoscout24.ch/fr/appartement/louer/lieu-buehler</t>
  </si>
  <si>
    <t>Louer appartement Bühler: Trouvez le bien immobilier qui correspond idéalement à vos désirs sur ImmoScout24 - La plateforme de l'immobilier en Suisse.</t>
  </si>
  <si>
    <t>https://www.immoscout24.ch/fr/appartement/louer/lieu-aristau</t>
  </si>
  <si>
    <t>Louer appartement Aristau: Trouvez le bien immobilier qui correspond idéalement à vos désirs sur ImmoScout24 - La plateforme de l'immobilier en Suisse.</t>
  </si>
  <si>
    <t>https://www.immoscout24.ch/fr/appartement/acheter/lieu-marly</t>
  </si>
  <si>
    <t>Vendre appartement Marly: Trouvez le bien immobilier qui correspond idéalement à vos désirs sur ImmoScout24 - La plateforme de l'immobilier en Suisse.</t>
  </si>
  <si>
    <t>https://www.immoscout24.ch/fr/appartement/louer/lieu-thonex</t>
  </si>
  <si>
    <t>Louer appartement Thônex: Trouvez le bien immobilier qui correspond idéalement à vos désirs sur ImmoScout24 - La plateforme de l'immobilier en Suisse.</t>
  </si>
  <si>
    <t>https://www.immoscout24.ch/fr/maison/acheter/lieu-chene-bourg</t>
  </si>
  <si>
    <t>Vendre maison Chêne-Bourg: Trouvez le bien immobilier qui correspond idéalement à vos désirs sur ImmoScout24 - La plateforme de l'immobilier en Suisse.</t>
  </si>
  <si>
    <t>https://www.immoscout24.ch/fr/maison/acheter/quartier-wettstein-bale</t>
  </si>
  <si>
    <t>Vendre maison Wettstein (Bâle): Trouvez le bien immobilier qui correspond idéalement à vos désirs sur ImmoScout24 - La plateforme de l'immobilier en Suisse.</t>
  </si>
  <si>
    <t>https://www.immoscout24.ch/fr/maison/acheter/lieu-gampelen</t>
  </si>
  <si>
    <t>Vendre maison Gampelen: Trouvez le bien immobilier qui correspond idéalement à vos désirs sur ImmoScout24 - La plateforme de l'immobilier en Suisse.</t>
  </si>
  <si>
    <t>https://www.immoscout24.ch/fr/maison/acheter/lieu-cormagens</t>
  </si>
  <si>
    <t>Vendre maison Cormagens: Trouvez le bien immobilier qui correspond idéalement à vos désirs sur ImmoScout24 - La plateforme de l'immobilier en Suisse.</t>
  </si>
  <si>
    <t>https://www.immoscout24.ch/fr/maison/acheter/lieu-boncourt</t>
  </si>
  <si>
    <t>Vendre maison Boncourt: Trouvez le bien immobilier qui correspond idéalement à vos désirs sur ImmoScout24 - La plateforme de l'immobilier en Suisse.</t>
  </si>
  <si>
    <t>https://www.immoscout24.ch/fr/appartement/louer/lieu-bussy-chardonney</t>
  </si>
  <si>
    <t>Louer appartement Bussy-Chardonney: Trouvez le bien immobilier qui correspond idéalement à vos désirs sur ImmoScout24 - La plateforme de l'immobilier en Suisse.</t>
  </si>
  <si>
    <t>https://www.immoscout24.ch/fr/maison/acheter/pays-liechtenstein</t>
  </si>
  <si>
    <t>Vendre maison Liechtenstein: Trouvez le bien immobilier qui correspond idéalement à vos désirs sur ImmoScout24 - La plateforme de l'immobilier en Suisse.</t>
  </si>
  <si>
    <t>https://www.immoscout24.ch/fr/appartement/louer/lieu-romainmotier</t>
  </si>
  <si>
    <t>Louer appartement Romainmôtier: Trouvez le bien immobilier qui correspond idéalement à vos désirs sur ImmoScout24 - La plateforme de l'immobilier en Suisse.</t>
  </si>
  <si>
    <t>https://www.immoscout24.ch/fr/maison/acheter/lieu-muri-b-bern</t>
  </si>
  <si>
    <t>Vendre maison Muri b. Bern: Trouvez le bien immobilier qui correspond idéalement à vos désirs sur ImmoScout24 - La plateforme de l'immobilier en Suisse.</t>
  </si>
  <si>
    <t>https://www.immoscout24.ch/fr/appartement/acheter/lieu-bulle</t>
  </si>
  <si>
    <t>Vendre appartement Bulle: Trouvez le bien immobilier qui correspond idéalement à vos désirs sur ImmoScout24 - La plateforme de l'immobilier en Suisse.</t>
  </si>
  <si>
    <t>https://www.immoscout24.ch/fr/appartement/acheter/pays-hongrie</t>
  </si>
  <si>
    <t>Vendre appartement Hongrie: Trouvez le bien immobilier qui correspond idéalement à vos désirs sur ImmoScout24 - La plateforme de l'immobilier en Suisse.</t>
  </si>
  <si>
    <t>https://www.immoscout24.ch/fr/maison/acheter/lieu-liestal</t>
  </si>
  <si>
    <t>Vendre maison Liestal: Trouvez le bien immobilier qui correspond idéalement à vos désirs sur ImmoScout24 - La plateforme de l'immobilier en Suisse.</t>
  </si>
  <si>
    <t>https://www.immoscout24.ch/fr/appartement/acheter/lieu-schlieren</t>
  </si>
  <si>
    <t>Vendre appartement Schlieren: Trouvez le bien immobilier qui correspond idéalement à vos désirs sur ImmoScout24 - La plateforme de l'immobilier en Suisse.</t>
  </si>
  <si>
    <t>https://www.immoscout24.ch/fr/appartement/acheter/lieu-st-moritz</t>
  </si>
  <si>
    <t>Vendre appartement St. Moritz: Trouvez le bien immobilier qui correspond idéalement à vos désirs sur ImmoScout24 - La plateforme de l'immobilier en Suisse.</t>
  </si>
  <si>
    <t>https://www.immoscout24.ch/fr/appartement/louer/lieu-hunzenschwil</t>
  </si>
  <si>
    <t>Louer appartement Hunzenschwil: Trouvez le bien immobilier qui correspond idéalement à vos désirs sur ImmoScout24 - La plateforme de l'immobilier en Suisse.</t>
  </si>
  <si>
    <t>https://www.immoscout24.ch/fr/appartement/louer/lieu-val-d-illiez</t>
  </si>
  <si>
    <t>Louer appartement Val-d'Illiez: Trouvez le bien immobilier qui correspond idéalement à vos désirs sur ImmoScout24 - La plateforme de l'immobilier en Suisse.</t>
  </si>
  <si>
    <t>https://www.immoscout24.ch/fr/appartement/louer/lieu-buetzberg</t>
  </si>
  <si>
    <t>Louer appartement Bützberg: Trouvez le bien immobilier qui correspond idéalement à vos désirs sur ImmoScout24 - La plateforme de l'immobilier en Suisse.</t>
  </si>
  <si>
    <t>https://www.immoscout24.ch/fr/maison/acheter/lieu-ferreyres</t>
  </si>
  <si>
    <t>Vendre maison Ferreyres: Trouvez le bien immobilier qui correspond idéalement à vos désirs sur ImmoScout24 - La plateforme de l'immobilier en Suisse.</t>
  </si>
  <si>
    <t>https://www.immoscout24.ch/fr/appartement/louer/lieu-tenero</t>
  </si>
  <si>
    <t>Louer appartement Tenero: Trouvez le bien immobilier qui correspond idéalement à vos désirs sur ImmoScout24 - La plateforme de l'immobilier en Suisse.</t>
  </si>
  <si>
    <t>https://www.immoscout24.ch/fr/maison/acheter/lieu-formangueires</t>
  </si>
  <si>
    <t>Vendre maison Formangueires: Trouvez le bien immobilier qui correspond idéalement à vos désirs sur ImmoScout24 - La plateforme de l'immobilier en Suisse.</t>
  </si>
  <si>
    <t>https://www.immoscout24.ch/fr/appartement/louer/lieu-bretonnieres</t>
  </si>
  <si>
    <t>Louer appartement Bretonnières: Trouvez le bien immobilier qui correspond idéalement à vos désirs sur ImmoScout24 - La plateforme de l'immobilier en Suisse.</t>
  </si>
  <si>
    <t>https://www.immoscout24.ch/fr/maison/louer/quartier-schonberg-fribourg</t>
  </si>
  <si>
    <t>Louer maison Schoenberg (Fribourg): Trouvez le bien immobilier qui correspond idéalement à vos désirs sur ImmoScout24 - La plateforme de l'immobilier en Suisse.</t>
  </si>
  <si>
    <t>https://www.immoscout24.ch/fr/maison/acheter/lieu-neyruz-fr</t>
  </si>
  <si>
    <t>Vendre maison Neyruz FR: Trouvez le bien immobilier qui correspond idéalement à vos désirs sur ImmoScout24 - La plateforme de l'immobilier en Suisse.</t>
  </si>
  <si>
    <t>https://www.immoscout24.ch/fr/appartement/louer/lieu-cormondreche</t>
  </si>
  <si>
    <t>Louer appartement Cormondrèche: Trouvez le bien immobilier qui correspond idéalement à vos désirs sur ImmoScout24 - La plateforme de l'immobilier en Suisse.</t>
  </si>
  <si>
    <t>https://www.immoscout24.ch/fr/appartement/acheter/lieu-la-rippe</t>
  </si>
  <si>
    <t>Vendre appartement La Rippe: Trouvez le bien immobilier qui correspond idéalement à vos désirs sur ImmoScout24 - La plateforme de l'immobilier en Suisse.</t>
  </si>
  <si>
    <t>https://www.immoscout24.ch/fr/maison/acheter/lieu-guschelmuth</t>
  </si>
  <si>
    <t>Vendre maison Guschelmuth: Trouvez le bien immobilier qui correspond idéalement à vos désirs sur ImmoScout24 - La plateforme de l'immobilier en Suisse.</t>
  </si>
  <si>
    <t>https://www.immoscout24.ch/fr/maison/acheter/region-bern-et-environs</t>
  </si>
  <si>
    <t>Vendre maison Bern et environs: Trouvez le bien immobilier qui correspond idéalement à vos désirs sur ImmoScout24 - La plateforme de l'immobilier en Suisse.</t>
  </si>
  <si>
    <t>https://www.immoscout24.ch/fr/maison/louer/region-lucerne-hinterland</t>
  </si>
  <si>
    <t>Louer maison Lucerne Hinterland: Trouvez le bien immobilier qui correspond idéalement à vos désirs sur ImmoScout24 - La plateforme de l'immobilier en Suisse.</t>
  </si>
  <si>
    <t>https://www.immoscout24.ch/fr/appartement/louer/lieu-vesin</t>
  </si>
  <si>
    <t>Louer appartement Vesin: Trouvez le bien immobilier qui correspond idéalement à vos désirs sur ImmoScout24 - La plateforme de l'immobilier en Suisse.</t>
  </si>
  <si>
    <t>https://www.immoscout24.ch/fr/appartement/louer/lieu-maracon</t>
  </si>
  <si>
    <t>Louer appartement Maracon: Trouvez le bien immobilier qui correspond idéalement à vos désirs sur ImmoScout24 - La plateforme de l'immobilier en Suisse.</t>
  </si>
  <si>
    <t>https://www.immoscout24.ch/fr/appartement/louer/lieu-villarsel-le-gibloux</t>
  </si>
  <si>
    <t>Louer appartement Villarsel-le-Gibloux: Trouvez le bien immobilier qui correspond idéalement à vos désirs sur ImmoScout24 - La plateforme de l'immobilier en Suisse.</t>
  </si>
  <si>
    <t>https://www.immoscout24.ch/fr/maison/louer/lieu-plaffeien</t>
  </si>
  <si>
    <t>Louer maison Plaffeien: Trouvez le bien immobilier qui correspond idéalement à vos désirs sur ImmoScout24 - La plateforme de l'immobilier en Suisse.</t>
  </si>
  <si>
    <t>https://www.immoscout24.ch/fr/appartement/louer/lieu-rossemaison</t>
  </si>
  <si>
    <t>Louer appartement Rossemaison: Trouvez le bien immobilier qui correspond idéalement à vos désirs sur ImmoScout24 - La plateforme de l'immobilier en Suisse.</t>
  </si>
  <si>
    <t>https://www.immoscout24.ch/fr/appartement/acheter/lieu-moerigen</t>
  </si>
  <si>
    <t>Vendre appartement Mörigen: Trouvez le bien immobilier qui correspond idéalement à vos désirs sur ImmoScout24 - La plateforme de l'immobilier en Suisse.</t>
  </si>
  <si>
    <t>https://www.immoscout24.ch/fr/appartement/louer/lieu-saules</t>
  </si>
  <si>
    <t>Louer appartement Saules: Trouvez le bien immobilier qui correspond idéalement à vos désirs sur ImmoScout24 - La plateforme de l'immobilier en Suisse.</t>
  </si>
  <si>
    <t>https://www.immoscout24.ch/fr/maison/acheter/lieu-brot-dessous</t>
  </si>
  <si>
    <t>Vendre maison Brot-Dessous: Trouvez le bien immobilier qui correspond idéalement à vos désirs sur ImmoScout24 - La plateforme de l'immobilier en Suisse.</t>
  </si>
  <si>
    <t>https://www.immoscout24.ch/fr/maison/acheter/lieu-bussy-sur-moudon</t>
  </si>
  <si>
    <t>Vendre maison Bussy-sur-Moudon: Trouvez le bien immobilier qui correspond idéalement à vos désirs sur ImmoScout24 - La plateforme de l'immobilier en Suisse.</t>
  </si>
  <si>
    <t>https://www.immoscout24.ch/fr/maison/acheter/lieu-reverolle</t>
  </si>
  <si>
    <t>Vendre maison Reverolle: Trouvez le bien immobilier qui correspond idéalement à vos désirs sur ImmoScout24 - La plateforme de l'immobilier en Suisse.</t>
  </si>
  <si>
    <t>https://www.immoscout24.ch/fr/maison/acheter/lieu-muentschemier</t>
  </si>
  <si>
    <t>Vendre maison Müntschemier: Trouvez le bien immobilier qui correspond idéalement à vos désirs sur ImmoScout24 - La plateforme de l'immobilier en Suisse.</t>
  </si>
  <si>
    <t>https://www.immoscout24.ch/fr/appartement/acheter/lieu-thayngen</t>
  </si>
  <si>
    <t>Vendre appartement Thayngen: Trouvez le bien immobilier qui correspond idéalement à vos désirs sur ImmoScout24 - La plateforme de l'immobilier en Suisse.</t>
  </si>
  <si>
    <t>https://www.immoscout24.ch/fr/appartement/louer/lieu-worben</t>
  </si>
  <si>
    <t>Louer appartement Worben: Trouvez le bien immobilier qui correspond idéalement à vos désirs sur ImmoScout24 - La plateforme de l'immobilier en Suisse.</t>
  </si>
  <si>
    <t>https://www.immoscout24.ch/fr/maison/acheter/lieu-roveredo-ti</t>
  </si>
  <si>
    <t>Vendre maison Roveredo TI: Trouvez le bien immobilier qui correspond idéalement à vos désirs sur ImmoScout24 - La plateforme de l'immobilier en Suisse.</t>
  </si>
  <si>
    <t>https://www.immoscout24.ch/fr/maison/acheter/lieu-vuippens</t>
  </si>
  <si>
    <t>Vendre maison Vuippens: Trouvez le bien immobilier qui correspond idéalement à vos désirs sur ImmoScout24 - La plateforme de l'immobilier en Suisse.</t>
  </si>
  <si>
    <t>https://www.immoscout24.ch/fr/appartement/acheter/lieu-eiken</t>
  </si>
  <si>
    <t>Vendre appartement Eiken: Trouvez le bien immobilier qui correspond idéalement à vos désirs sur ImmoScout24 - La plateforme de l'immobilier en Suisse.</t>
  </si>
  <si>
    <t>https://www.immoscout24.ch/fr/maison/acheter/lieu-colombier-vd</t>
  </si>
  <si>
    <t>Vendre maison Colombier VD: Trouvez le bien immobilier qui correspond idéalement à vos désirs sur ImmoScout24 - La plateforme de l'immobilier en Suisse.</t>
  </si>
  <si>
    <t>https://www.immoscout24.ch/fr/maison/louer/lieu-chavornay</t>
  </si>
  <si>
    <t>Louer maison Chavornay: Trouvez le bien immobilier qui correspond idéalement à vos désirs sur ImmoScout24 - La plateforme de l'immobilier en Suisse.</t>
  </si>
  <si>
    <t>https://www.immoscout24.ch/fr/appartement/louer/lieu-giffers</t>
  </si>
  <si>
    <t>Louer appartement Giffers: Trouvez le bien immobilier qui correspond idéalement à vos désirs sur ImmoScout24 - La plateforme de l'immobilier en Suisse.</t>
  </si>
  <si>
    <t>https://www.immoscout24.ch/fr/maison/acheter/lieu-broc</t>
  </si>
  <si>
    <t>Vendre maison Broc: Trouvez le bien immobilier qui correspond idéalement à vos désirs sur ImmoScout24 - La plateforme de l'immobilier en Suisse.</t>
  </si>
  <si>
    <t>https://www.immoscout24.ch/fr/maison/acheter/lieu-hasle-b-burgdorf</t>
  </si>
  <si>
    <t>Vendre maison Hasle b. Burgdorf: Trouvez le bien immobilier qui correspond idéalement à vos désirs sur ImmoScout24 - La plateforme de l'immobilier en Suisse.</t>
  </si>
  <si>
    <t>https://www.immoscout24.ch/fr/maison/acheter/lieu-bonnefontaine</t>
  </si>
  <si>
    <t>Vendre maison Bonnefontaine: Trouvez le bien immobilier qui correspond idéalement à vos désirs sur ImmoScout24 - La plateforme de l'immobilier en Suisse.</t>
  </si>
  <si>
    <t>https://www.immoscout24.ch/fr/appartement/louer/lieu-castagnola</t>
  </si>
  <si>
    <t>Louer appartement Castagnola: Trouvez le bien immobilier qui correspond idéalement à vos désirs sur ImmoScout24 - La plateforme de l'immobilier en Suisse.</t>
  </si>
  <si>
    <t>https://www.immoscout24.ch/fr/appartement/louer/lieu-villarsiviriaux</t>
  </si>
  <si>
    <t>Louer appartement Villarsiviriaux: Trouvez le bien immobilier qui correspond idéalement à vos désirs sur ImmoScout24 - La plateforme de l'immobilier en Suisse.</t>
  </si>
  <si>
    <t>https://www.immoscout24.ch/fr/maison/louer/lieu-la-tanne</t>
  </si>
  <si>
    <t>Louer maison La Tanne: Trouvez le bien immobilier qui correspond idéalement à vos désirs sur ImmoScout24 - La plateforme de l'immobilier en Suisse.</t>
  </si>
  <si>
    <t>https://www.immoscout24.ch/fr/appartement/acheter/lieu-bournens</t>
  </si>
  <si>
    <t>Vendre appartement Bournens: Trouvez le bien immobilier qui correspond idéalement à vos désirs sur ImmoScout24 - La plateforme de l'immobilier en Suisse.</t>
  </si>
  <si>
    <t>https://www.immoscout24.ch/fr/maison/acheter/lieu-huettwilen</t>
  </si>
  <si>
    <t>Vendre maison Hüttwilen: Trouvez le bien immobilier qui correspond idéalement à vos désirs sur ImmoScout24 - La plateforme de l'immobilier en Suisse.</t>
  </si>
  <si>
    <t>https://www.immoscout24.ch/fr/appartement/louer/lieu-flums</t>
  </si>
  <si>
    <t>Louer appartement Flums: Trouvez le bien immobilier qui correspond idéalement à vos désirs sur ImmoScout24 - La plateforme de l'immobilier en Suisse.</t>
  </si>
  <si>
    <t>https://www.immoscout24.ch/fr/maison/acheter/lieu-ruvigliana</t>
  </si>
  <si>
    <t>Vendre maison Ruvigliana: Trouvez le bien immobilier qui correspond idéalement à vos désirs sur ImmoScout24 - La plateforme de l'immobilier en Suisse.</t>
  </si>
  <si>
    <t>https://www.immoscout24.ch/fr/maison/acheter/lieu-pratteln</t>
  </si>
  <si>
    <t>Vendre maison Pratteln: Trouvez le bien immobilier qui correspond idéalement à vos désirs sur ImmoScout24 - La plateforme de l'immobilier en Suisse.</t>
  </si>
  <si>
    <t>https://www.immoscout24.ch/fr/appartement/louer/quartier-muesmatt-berne</t>
  </si>
  <si>
    <t>Louer appartement Muesmatt (Berne): Trouvez le bien immobilier qui correspond idéalement à vos désirs sur ImmoScout24 - La plateforme de l'immobilier en Suisse.</t>
  </si>
  <si>
    <t>https://www.immoscout24.ch/fr/maison/acheter/lieu-embrach</t>
  </si>
  <si>
    <t>Vendre maison Embrach: Trouvez le bien immobilier qui correspond idéalement à vos désirs sur ImmoScout24 - La plateforme de l'immobilier en Suisse.</t>
  </si>
  <si>
    <t>https://www.immoscout24.ch/fr/maison/louer/lieu-pont-la-ville</t>
  </si>
  <si>
    <t>Louer maison Pont-la-Ville: Trouvez le bien immobilier qui correspond idéalement à vos désirs sur ImmoScout24 - La plateforme de l'immobilier en Suisse.</t>
  </si>
  <si>
    <t>https://www.immoscout24.ch/fr/maison/acheter/quartier-beundenfeld-berne</t>
  </si>
  <si>
    <t>Vendre maison Beundenfeld (Berne): Trouvez le bien immobilier qui correspond idéalement à vos désirs sur ImmoScout24 - La plateforme de l'immobilier en Suisse.</t>
  </si>
  <si>
    <t>https://www.immoscout24.ch/fr/maison/louer/lieu-vuisternens-en-ogoz</t>
  </si>
  <si>
    <t>Louer maison Vuisternens-en-Ogoz: Trouvez le bien immobilier qui correspond idéalement à vos désirs sur ImmoScout24 - La plateforme de l'immobilier en Suisse.</t>
  </si>
  <si>
    <t>https://www.immoscout24.ch/fr/appartement/acheter/lieu-dully</t>
  </si>
  <si>
    <t>Vendre appartement Dully: Trouvez le bien immobilier qui correspond idéalement à vos désirs sur ImmoScout24 - La plateforme de l'immobilier en Suisse.</t>
  </si>
  <si>
    <t>https://www.immoscout24.ch/fr/maison/acheter/lieu-chessel</t>
  </si>
  <si>
    <t>Vendre maison Chessel: Trouvez le bien immobilier qui correspond idéalement à vos désirs sur ImmoScout24 - La plateforme de l'immobilier en Suisse.</t>
  </si>
  <si>
    <t>https://www.immoscout24.ch/fr/appartement/louer/quartier-forges-endroits-la-chaux-de-fonds</t>
  </si>
  <si>
    <t>Louer appartement Forges-Endroits (La Chaux-de-Fonds): Trouvez le bien immobilier qui correspond idéalement à vos désirs sur ImmoScout24 - La plateforme de l'immobilier en Suisse.</t>
  </si>
  <si>
    <t>https://www.immoscout24.ch/fr/appartement/acheter/lieu-lausanne-26</t>
  </si>
  <si>
    <t>Vendre appartement Lausanne 26: Trouvez le bien immobilier qui correspond idéalement à vos désirs sur ImmoScout24 - La plateforme de l'immobilier en Suisse.</t>
  </si>
  <si>
    <t>https://www.immoscout24.ch/fr/maison/louer/lieu-chatelaine</t>
  </si>
  <si>
    <t>Louer maison Châtelaine: Trouvez le bien immobilier qui correspond idéalement à vos désirs sur ImmoScout24 - La plateforme de l'immobilier en Suisse.</t>
  </si>
  <si>
    <t>https://www.immoscout24.ch/fr/maison/louer/quartier-croix-federale-la-chaux-de-fonds</t>
  </si>
  <si>
    <t>Louer maison Croix-Fédérale (La Chaux-de-Fonds): Trouvez le bien immobilier qui correspond idéalement à vos désirs sur ImmoScout24 - La plateforme de l'immobilier en Suisse.</t>
  </si>
  <si>
    <t>https://www.immoscout24.ch/fr/maison/louer/lieu-corcelles-ne</t>
  </si>
  <si>
    <t>Louer maison Corcelles NE: Trouvez le bien immobilier qui correspond idéalement à vos désirs sur ImmoScout24 - La plateforme de l'immobilier en Suisse.</t>
  </si>
  <si>
    <t>https://www.immoscout24.ch/fr/maison/acheter/lieu-bavois</t>
  </si>
  <si>
    <t>Vendre maison Bavois: Trouvez le bien immobilier qui correspond idéalement à vos désirs sur ImmoScout24 - La plateforme de l'immobilier en Suisse.</t>
  </si>
  <si>
    <t>https://www.immoscout24.ch/fr/appartement/louer/lieu-sugnens</t>
  </si>
  <si>
    <t>Louer appartement Sugnens: Trouvez le bien immobilier qui correspond idéalement à vos désirs sur ImmoScout24 - La plateforme de l'immobilier en Suisse.</t>
  </si>
  <si>
    <t>https://www.immoscout24.ch/fr/appartement/acheter/lieu-balerna</t>
  </si>
  <si>
    <t>Vendre appartement Balerna: Trouvez le bien immobilier qui correspond idéalement à vos désirs sur ImmoScout24 - La plateforme de l'immobilier en Suisse.</t>
  </si>
  <si>
    <t>https://www.immoscout24.ch/fr/maison/acheter/lieu-chaumont</t>
  </si>
  <si>
    <t>Vendre maison Chaumont: Trouvez le bien immobilier qui correspond idéalement à vos désirs sur ImmoScout24 - La plateforme de l'immobilier en Suisse.</t>
  </si>
  <si>
    <t>https://www.immoscout24.ch/fr/appartement/louer/lieu-vermes</t>
  </si>
  <si>
    <t>Louer appartement Vermes: Trouvez le bien immobilier qui correspond idéalement à vos désirs sur ImmoScout24 - La plateforme de l'immobilier en Suisse.</t>
  </si>
  <si>
    <t>https://www.immoscout24.ch/fr/maison/acheter/lieu-montreux</t>
  </si>
  <si>
    <t>Vendre maison Montreux: Trouvez le bien immobilier qui correspond idéalement à vos désirs sur ImmoScout24 - La plateforme de l'immobilier en Suisse.</t>
  </si>
  <si>
    <t>https://www.immoscout24.ch/fr/appartement/louer/lieu-ebnat-kappel</t>
  </si>
  <si>
    <t>Louer appartement Ebnat-Kappel: Trouvez le bien immobilier qui correspond idéalement à vos désirs sur ImmoScout24 - La plateforme de l'immobilier en Suisse.</t>
  </si>
  <si>
    <t>https://www.immoscout24.ch/fr/appartement/louer/lieu-ernen</t>
  </si>
  <si>
    <t>Louer appartement Ernen: Trouvez le bien immobilier qui correspond idéalement à vos désirs sur ImmoScout24 - La plateforme de l'immobilier en Suisse.</t>
  </si>
  <si>
    <t>https://www.immoscout24.ch/fr/appartement/louer/lieu-essert-sous-champvent</t>
  </si>
  <si>
    <t>Louer appartement Essert-sous-Champvent: Trouvez le bien immobilier qui correspond idéalement à vos désirs sur ImmoScout24 - La plateforme de l'immobilier en Suisse.</t>
  </si>
  <si>
    <t>https://www.immoscout24.ch/fr/appartement/acheter/lieu-luescherz</t>
  </si>
  <si>
    <t>Vendre appartement Lüscherz: Trouvez le bien immobilier qui correspond idéalement à vos désirs sur ImmoScout24 - La plateforme de l'immobilier en Suisse.</t>
  </si>
  <si>
    <t>https://www.immoscout24.ch/fr/appartement/louer/lieu-otelfingen</t>
  </si>
  <si>
    <t>Louer appartement Otelfingen: Trouvez le bien immobilier qui correspond idéalement à vos désirs sur ImmoScout24 - La plateforme de l'immobilier en Suisse.</t>
  </si>
  <si>
    <t>https://www.immoscout24.ch/fr/maison/acheter/lieu-aurigeno</t>
  </si>
  <si>
    <t>Vendre maison Aurigeno: Trouvez le bien immobilier qui correspond idéalement à vos désirs sur ImmoScout24 - La plateforme de l'immobilier en Suisse.</t>
  </si>
  <si>
    <t>https://www.immoscout24.ch/fr/appartement/louer/quartier-cluse-philosophes-geneve</t>
  </si>
  <si>
    <t>Louer appartement Cluse - Philosophes (Genève): Trouvez le bien immobilier qui correspond idéalement à vos désirs sur ImmoScout24 - La plateforme de l'immobilier en Suisse.</t>
  </si>
  <si>
    <t>https://www.immoscout24.ch/fr/maison/acheter/lieu-constantine</t>
  </si>
  <si>
    <t>Vendre maison Constantine: Trouvez le bien immobilier qui correspond idéalement à vos désirs sur ImmoScout24 - La plateforme de l'immobilier en Suisse.</t>
  </si>
  <si>
    <t>https://www.immoscout24.ch/fr/appartement/acheter/lieu-st-saphorin-sur-morges</t>
  </si>
  <si>
    <t>Vendre appartement St-Saphorin-sur-Morges: Trouvez le bien immobilier qui correspond idéalement à vos désirs sur ImmoScout24 - La plateforme de l'immobilier en Suisse.</t>
  </si>
  <si>
    <t>https://www.immoscout24.ch/fr/maison/louer/lieu-rasa</t>
  </si>
  <si>
    <t>Louer maison Rasa: Trouvez le bien immobilier qui correspond idéalement à vos désirs sur ImmoScout24 - La plateforme de l'immobilier en Suisse.</t>
  </si>
  <si>
    <t>https://www.immoscout24.ch/fr/appartement/acheter/lieu-morschach</t>
  </si>
  <si>
    <t>Vendre appartement Morschach: Trouvez le bien immobilier qui correspond idéalement à vos désirs sur ImmoScout24 - La plateforme de l'immobilier en Suisse.</t>
  </si>
  <si>
    <t>https://www.immoscout24.ch/fr/maison/acheter/lieu-chavannes-sous-orsonnens</t>
  </si>
  <si>
    <t>Vendre maison Chavannes-sous-Orsonnens: Trouvez le bien immobilier qui correspond idéalement à vos désirs sur ImmoScout24 - La plateforme de l'immobilier en Suisse.</t>
  </si>
  <si>
    <t>https://www.immoscout24.ch/fr/maison/acheter/lieu-solothurn</t>
  </si>
  <si>
    <t>Vendre maison Solothurn: Trouvez le bien immobilier qui correspond idéalement à vos désirs sur ImmoScout24 - La plateforme de l'immobilier en Suisse.</t>
  </si>
  <si>
    <t>https://www.immoscout24.ch/fr/maison/acheter/lieu-spiez</t>
  </si>
  <si>
    <t>Vendre maison Spiez: Trouvez le bien immobilier qui correspond idéalement à vos désirs sur ImmoScout24 - La plateforme de l'immobilier en Suisse.</t>
  </si>
  <si>
    <t>https://www.immoscout24.ch/fr/appartement/louer/lieu-wanzwil</t>
  </si>
  <si>
    <t>Louer appartement Wanzwil: Trouvez le bien immobilier qui correspond idéalement à vos désirs sur ImmoScout24 - La plateforme de l'immobilier en Suisse.</t>
  </si>
  <si>
    <t>https://www.immoscout24.ch/fr/maison/acheter/lieu-farvagny</t>
  </si>
  <si>
    <t>Vendre maison Farvagny-le-Grand: Trouvez le bien immobilier qui correspond idéalement à vos désirs sur ImmoScout24 - La plateforme de l'immobilier en Suisse.</t>
  </si>
  <si>
    <t>https://www.immoscout24.ch/fr/maison/acheter/lieu-hausen-am-albis</t>
  </si>
  <si>
    <t>Vendre maison Hausen am Albis: Trouvez le bien immobilier qui correspond idéalement à vos désirs sur ImmoScout24 - La plateforme de l'immobilier en Suisse.</t>
  </si>
  <si>
    <t>https://www.immoscout24.ch/fr/maison/louer/lieu-ardon</t>
  </si>
  <si>
    <t>Louer maison Ardon: Trouvez le bien immobilier qui correspond idéalement à vos désirs sur ImmoScout24 - La plateforme de l'immobilier en Suisse.</t>
  </si>
  <si>
    <t>https://www.immoscout24.ch/fr/maison/acheter/lieu-le-cerneux-pequignot</t>
  </si>
  <si>
    <t>Vendre maison Le Cerneux-Péquignot: Trouvez le bien immobilier qui correspond idéalement à vos désirs sur ImmoScout24 - La plateforme de l'immobilier en Suisse.</t>
  </si>
  <si>
    <t>https://www.immoscout24.ch/fr/maison/louer/lieu-seigneux</t>
  </si>
  <si>
    <t>Louer maison Seigneux: Trouvez le bien immobilier qui correspond idéalement à vos désirs sur ImmoScout24 - La plateforme de l'immobilier en Suisse.</t>
  </si>
  <si>
    <t>https://www.immoscout24.ch/fr/maison/louer/lieu-couvet</t>
  </si>
  <si>
    <t>Louer maison Couvet: Trouvez le bien immobilier qui correspond idéalement à vos désirs sur ImmoScout24 - La plateforme de l'immobilier en Suisse.</t>
  </si>
  <si>
    <t>https://www.immoscout24.ch/fr/maison/acheter/lieu-ollon-vd</t>
  </si>
  <si>
    <t>Vendre maison Ollon VD: Trouvez le bien immobilier qui correspond idéalement à vos désirs sur ImmoScout24 - La plateforme de l'immobilier en Suisse.</t>
  </si>
  <si>
    <t>https://www.immoscout24.ch/fr/appartement/louer/lieu-gletterens</t>
  </si>
  <si>
    <t>Louer appartement Gletterens: Trouvez le bien immobilier qui correspond idéalement à vos désirs sur ImmoScout24 - La plateforme de l'immobilier en Suisse.</t>
  </si>
  <si>
    <t>https://www.immoscout24.ch/fr/appartement/louer/lieu-saxon</t>
  </si>
  <si>
    <t>Louer appartement Saxon: Trouvez le bien immobilier qui correspond idéalement à vos désirs sur ImmoScout24 - La plateforme de l'immobilier en Suisse.</t>
  </si>
  <si>
    <t>https://www.immoscout24.ch/fr/maison/acheter/lieu-euseigne</t>
  </si>
  <si>
    <t>Vendre maison Euseigne: Trouvez le bien immobilier qui correspond idéalement à vos désirs sur ImmoScout24 - La plateforme de l'immobilier en Suisse.</t>
  </si>
  <si>
    <t>https://www.immoscout24.ch/fr/appartement/louer/lieu-seseglio</t>
  </si>
  <si>
    <t>Louer appartement Seseglio: Trouvez le bien immobilier qui correspond idéalement à vos désirs sur ImmoScout24 - La plateforme de l'immobilier en Suisse.</t>
  </si>
  <si>
    <t>https://www.immoscout24.ch/fr/maison/acheter/lieu-langnau-im-emmental</t>
  </si>
  <si>
    <t>Vendre maison Langnau im Emmental: Trouvez le bien immobilier qui correspond idéalement à vos désirs sur ImmoScout24 - La plateforme de l'immobilier en Suisse.</t>
  </si>
  <si>
    <t>https://www.immoscout24.ch/fr/appartement/louer/lieu-st-antoni</t>
  </si>
  <si>
    <t>Louer appartement St. Antoni: Trouvez le bien immobilier qui correspond idéalement à vos désirs sur ImmoScout24 - La plateforme de l'immobilier en Suisse.</t>
  </si>
  <si>
    <t>https://www.immoscout24.ch/fr/maison/acheter/lieu-staufen</t>
  </si>
  <si>
    <t>Vendre maison Staufen: Trouvez le bien immobilier qui correspond idéalement à vos désirs sur ImmoScout24 - La plateforme de l'immobilier en Suisse.</t>
  </si>
  <si>
    <t>https://www.immoscout24.ch/fr/maison/acheter/lieu-souboz</t>
  </si>
  <si>
    <t>Vendre maison Souboz: Trouvez le bien immobilier qui correspond idéalement à vos désirs sur ImmoScout24 - La plateforme de l'immobilier en Suisse.</t>
  </si>
  <si>
    <t>https://www.immoscout24.ch/fr/maison/acheter/lieu-olten</t>
  </si>
  <si>
    <t>Vendre maison Olten: Trouvez le bien immobilier qui correspond idéalement à vos désirs sur ImmoScout24 - La plateforme de l'immobilier en Suisse.</t>
  </si>
  <si>
    <t>https://www.immoscout24.ch/fr/maison/acheter/lieu-les-cullayes</t>
  </si>
  <si>
    <t>Vendre maison Les Cullayes: Trouvez le bien immobilier qui correspond idéalement à vos désirs sur ImmoScout24 - La plateforme de l'immobilier en Suisse.</t>
  </si>
  <si>
    <t>https://www.immoscout24.ch/fr/maison/acheter/lieu-courtelary</t>
  </si>
  <si>
    <t>Vendre maison Courtelary: Trouvez le bien immobilier qui correspond idéalement à vos désirs sur ImmoScout24 - La plateforme de l'immobilier en Suisse.</t>
  </si>
  <si>
    <t>https://www.immoscout24.ch/fr/appartement/acheter/lieu-tafers</t>
  </si>
  <si>
    <t>Vendre appartement Tafers: Trouvez le bien immobilier qui correspond idéalement à vos désirs sur ImmoScout24 - La plateforme de l'immobilier en Suisse.</t>
  </si>
  <si>
    <t>https://www.immoscout24.ch/fr/appartement/louer/lieu-ollon-vd</t>
  </si>
  <si>
    <t>Louer appartement Ollon VD: Trouvez le bien immobilier qui correspond idéalement à vos désirs sur ImmoScout24 - La plateforme de l'immobilier en Suisse.</t>
  </si>
  <si>
    <t>https://www.immoscout24.ch/fr/appartement/louer/quartier-holligen-berne</t>
  </si>
  <si>
    <t>Louer appartement Holligen (Berne): Trouvez le bien immobilier qui correspond idéalement à vos désirs sur ImmoScout24 - La plateforme de l'immobilier en Suisse.</t>
  </si>
  <si>
    <t>https://www.immoscout24.ch/fr/maison/acheter/lieu-giez</t>
  </si>
  <si>
    <t>Vendre maison Giez: Trouvez le bien immobilier qui correspond idéalement à vos désirs sur ImmoScout24 - La plateforme de l'immobilier en Suisse.</t>
  </si>
  <si>
    <t>https://www.immoscout24.ch/fr/appartement/acheter/quartier-borde-bellevaux-lausanne</t>
  </si>
  <si>
    <t>Vendre appartement Borde - Bellevaux (Lausanne): Trouvez le bien immobilier qui correspond idéalement à vos désirs sur ImmoScout24 - La plateforme de l'immobilier en Suisse.</t>
  </si>
  <si>
    <t>https://www.immoscout24.ch/fr/appartement/louer/lieu-vers-chez-perrin</t>
  </si>
  <si>
    <t>Louer appartement Vers-chez-Perrin: Trouvez le bien immobilier qui correspond idéalement à vos désirs sur ImmoScout24 - La plateforme de l'immobilier en Suisse.</t>
  </si>
  <si>
    <t>https://www.immoscout24.ch/fr/appartement/acheter/lieu-penthereaz</t>
  </si>
  <si>
    <t>Vendre appartement Penthéréaz: Trouvez le bien immobilier qui correspond idéalement à vos désirs sur ImmoScout24 - La plateforme de l'immobilier en Suisse.</t>
  </si>
  <si>
    <t>https://www.immoscout24.ch/fr/appartement/louer/quartier-olives-crosettes-la-chaux-de-fonds</t>
  </si>
  <si>
    <t>Louer appartement Olives - Crosettes (La Chaux-de-Fonds): Trouvez le bien immobilier qui correspond idéalement à vos désirs sur ImmoScout24 - La plateforme de l'immobilier en Suisse.</t>
  </si>
  <si>
    <t>https://www.immoscout24.ch/fr/maison/acheter/lieu-mur-vully-fr</t>
  </si>
  <si>
    <t>Vendre maison Mur (Vully) FR: Trouvez le bien immobilier qui correspond idéalement à vos désirs sur ImmoScout24 - La plateforme de l'immobilier en Suisse.</t>
  </si>
  <si>
    <t>https://www.immoscout24.ch/fr/maison/louer/lieu-gilly</t>
  </si>
  <si>
    <t>Louer maison Gilly: Trouvez le bien immobilier qui correspond idéalement à vos désirs sur ImmoScout24 - La plateforme de l'immobilier en Suisse.</t>
  </si>
  <si>
    <t>https://www.immoscout24.ch/fr/appartement/louer/lieu-luc-ayent</t>
  </si>
  <si>
    <t>Louer appartement Luc (Ayent): Trouvez le bien immobilier qui correspond idéalement à vos désirs sur ImmoScout24 - La plateforme de l'immobilier en Suisse.</t>
  </si>
  <si>
    <t>https://www.immoscout24.ch/fr/appartement/louer/quartier-am-ring-bale</t>
  </si>
  <si>
    <t>Louer appartement Am Ring (Bâle): Trouvez le bien immobilier qui correspond idéalement à vos désirs sur ImmoScout24 - La plateforme de l'immobilier en Suisse.</t>
  </si>
  <si>
    <t>https://www.immoscout24.ch/fr/maison/acheter/lieu-mels</t>
  </si>
  <si>
    <t>Vendre maison Mels: Trouvez le bien immobilier qui correspond idéalement à vos désirs sur ImmoScout24 - La plateforme de l'immobilier en Suisse.</t>
  </si>
  <si>
    <t>https://www.immoscout24.ch/fr/appartement/louer/lieu-st-gallen</t>
  </si>
  <si>
    <t>Louer appartement St. Gallen: Trouvez le bien immobilier qui correspond idéalement à vos désirs sur ImmoScout24 - La plateforme de l'immobilier en Suisse.</t>
  </si>
  <si>
    <t>https://www.immoscout24.ch/fr/appartement/louer/lieu-grub-ar</t>
  </si>
  <si>
    <t>Louer appartement Grub AR: Trouvez le bien immobilier qui correspond idéalement à vos désirs sur ImmoScout24 - La plateforme de l'immobilier en Suisse.</t>
  </si>
  <si>
    <t>https://www.immoscout24.ch/fr/appartement/louer/lieu-teufen-ar</t>
  </si>
  <si>
    <t>Louer appartement Teufen AR: Trouvez le bien immobilier qui correspond idéalement à vos désirs sur ImmoScout24 - La plateforme de l'immobilier en Suisse.</t>
  </si>
  <si>
    <t>https://www.immoscout24.ch/fr/appartement/louer/lieu-mutrux</t>
  </si>
  <si>
    <t>Louer appartement Mutrux: Trouvez le bien immobilier qui correspond idéalement à vos désirs sur ImmoScout24 - La plateforme de l'immobilier en Suisse.</t>
  </si>
  <si>
    <t>https://www.immoscout24.ch/fr/maison/acheter/lieu-rupperswil</t>
  </si>
  <si>
    <t>Vendre maison Rupperswil: Trouvez le bien immobilier qui correspond idéalement à vos désirs sur ImmoScout24 - La plateforme de l'immobilier en Suisse.</t>
  </si>
  <si>
    <t>https://www.immoscout24.ch/fr/appartement/louer/quartier-lachen-st-gall</t>
  </si>
  <si>
    <t>Louer appartement Lachen (St-Gall): Trouvez le bien immobilier qui correspond idéalement à vos désirs sur ImmoScout24 - La plateforme de l'immobilier en Suisse.</t>
  </si>
  <si>
    <t>https://www.immoscout24.ch/fr/appartement/louer/lieu-gentilino</t>
  </si>
  <si>
    <t>Louer appartement Gentilino: Trouvez le bien immobilier qui correspond idéalement à vos désirs sur ImmoScout24 - La plateforme de l'immobilier en Suisse.</t>
  </si>
  <si>
    <t>https://www.immoscout24.ch/fr/maison/acheter/lieu-collombey</t>
  </si>
  <si>
    <t>Vendre maison Collombey: Trouvez le bien immobilier qui correspond idéalement à vos désirs sur ImmoScout24 - La plateforme de l'immobilier en Suisse.</t>
  </si>
  <si>
    <t>https://www.immoscout24.ch/fr/maison/louer/lieu-salenstein</t>
  </si>
  <si>
    <t>Louer maison Salenstein: Trouvez le bien immobilier qui correspond idéalement à vos désirs sur ImmoScout24 - La plateforme de l'immobilier en Suisse.</t>
  </si>
  <si>
    <t>https://www.immoscout24.ch/fr/appartement/acheter/lieu-manno</t>
  </si>
  <si>
    <t>Vendre appartement Manno: Trouvez le bien immobilier qui correspond idéalement à vos désirs sur ImmoScout24 - La plateforme de l'immobilier en Suisse.</t>
  </si>
  <si>
    <t>https://www.immoscout24.ch/fr/appartement/louer/lieu-cinuos-chel</t>
  </si>
  <si>
    <t>Louer appartement Cinuos-chel: Trouvez le bien immobilier qui correspond idéalement à vos désirs sur ImmoScout24 - La plateforme de l'immobilier en Suisse.</t>
  </si>
  <si>
    <t>https://www.immoscout24.ch/fr/maison/acheter/lieu-suen-st-martin</t>
  </si>
  <si>
    <t>Vendre maison Suen (St-Martin): Trouvez le bien immobilier qui correspond idéalement à vos désirs sur ImmoScout24 - La plateforme de l'immobilier en Suisse.</t>
  </si>
  <si>
    <t>https://www.immoscout24.ch/fr/appartement/acheter/lieu-oberdorf-bl</t>
  </si>
  <si>
    <t>Vendre appartement Oberdorf BL: Trouvez le bien immobilier qui correspond idéalement à vos désirs sur ImmoScout24 - La plateforme de l'immobilier en Suisse.</t>
  </si>
  <si>
    <t>https://www.immoscout24.ch/fr/appartement/louer/lieu-reiden</t>
  </si>
  <si>
    <t>Louer appartement Reiden: Trouvez le bien immobilier qui correspond idéalement à vos désirs sur ImmoScout24 - La plateforme de l'immobilier en Suisse.</t>
  </si>
  <si>
    <t>https://www.immoscout24.ch/fr/maison/acheter/lieu-salgesch</t>
  </si>
  <si>
    <t>Vendre maison Salgesch: Trouvez le bien immobilier qui correspond idéalement à vos désirs sur ImmoScout24 - La plateforme de l'immobilier en Suisse.</t>
  </si>
  <si>
    <t>https://www.immoscout24.ch/fr/maison/acheter/lieu-siviriez</t>
  </si>
  <si>
    <t>Vendre maison Siviriez: Trouvez le bien immobilier qui correspond idéalement à vos désirs sur ImmoScout24 - La plateforme de l'immobilier en Suisse.</t>
  </si>
  <si>
    <t>https://www.immoscout24.ch/fr/appartement/louer/canton-argovie</t>
  </si>
  <si>
    <t>Louer appartement Canton d'Argovie: Trouvez le bien immobilier qui correspond idéalement à vos désirs sur ImmoScout24 - La plateforme de l'immobilier en Suisse.</t>
  </si>
  <si>
    <t>https://www.immoscout24.ch/fr/appartement/louer/lieu-la-chaux-cossonay</t>
  </si>
  <si>
    <t>Louer appartement La Chaux (Cossonay): Trouvez le bien immobilier qui correspond idéalement à vos désirs sur ImmoScout24 - La plateforme de l'immobilier en Suisse.</t>
  </si>
  <si>
    <t>https://www.immoscout24.ch/fr/appartement/louer/lieu-maegenwil</t>
  </si>
  <si>
    <t>Louer appartement Mägenwil: Trouvez le bien immobilier qui correspond idéalement à vos désirs sur ImmoScout24 - La plateforme de l'immobilier en Suisse.</t>
  </si>
  <si>
    <t>https://www.immoscout24.ch/fr/appartement/acheter/quartier-sebeillon-malley-lausanne</t>
  </si>
  <si>
    <t>Vendre appartement Sébeillon - Malley (Lausanne): Trouvez le bien immobilier qui correspond idéalement à vos désirs sur ImmoScout24 - La plateforme de l'immobilier en Suisse.</t>
  </si>
  <si>
    <t>https://www.immoscout24.ch/fr/maison/acheter/lieu-liebistorf</t>
  </si>
  <si>
    <t>Vendre maison Liebistorf: Trouvez le bien immobilier qui correspond idéalement à vos désirs sur ImmoScout24 - La plateforme de l'immobilier en Suisse.</t>
  </si>
  <si>
    <t>https://www.immoscout24.ch/fr/maison/acheter/lieu-sonceboz-sombeval</t>
  </si>
  <si>
    <t>Vendre maison Sonceboz-Sombeval: Trouvez le bien immobilier qui correspond idéalement à vos désirs sur ImmoScout24 - La plateforme de l'immobilier en Suisse.</t>
  </si>
  <si>
    <t>https://www.immoscout24.ch/fr/appartement/louer/lieu-lichtensteig</t>
  </si>
  <si>
    <t>Louer appartement Lichtensteig: Trouvez le bien immobilier qui correspond idéalement à vos désirs sur ImmoScout24 - La plateforme de l'immobilier en Suisse.</t>
  </si>
  <si>
    <t>https://www.immoscout24.ch/fr/appartement/acheter/region-thoune-lac-de-thoune-nord</t>
  </si>
  <si>
    <t>Vendre appartement Thoune - Lac de Thoune nord: Trouvez le bien immobilier qui correspond idéalement à vos désirs sur ImmoScout24 - La plateforme de l'immobilier en Suisse.</t>
  </si>
  <si>
    <t>https://www.immoscout24.ch/fr/appartement/acheter/lieu-vouvry</t>
  </si>
  <si>
    <t>Vendre appartement Vouvry: Trouvez le bien immobilier qui correspond idéalement à vos désirs sur ImmoScout24 - La plateforme de l'immobilier en Suisse.</t>
  </si>
  <si>
    <t>https://www.immoscout24.ch/fr/appartement/louer/lieu-bioggio</t>
  </si>
  <si>
    <t>Louer appartement Bioggio: Trouvez le bien immobilier qui correspond idéalement à vos désirs sur ImmoScout24 - La plateforme de l'immobilier en Suisse.</t>
  </si>
  <si>
    <t>https://www.immoscout24.ch/fr/appartement/louer/lieu-lumino</t>
  </si>
  <si>
    <t>Louer appartement Lumino: Trouvez le bien immobilier qui correspond idéalement à vos désirs sur ImmoScout24 - La plateforme de l'immobilier en Suisse.</t>
  </si>
  <si>
    <t>https://www.immoscout24.ch/fr/appartement/louer/quartier-bourguillon-fribourg</t>
  </si>
  <si>
    <t>Louer appartement Bourguillon (Fribourg): Trouvez le bien immobilier qui correspond idéalement à vos désirs sur ImmoScout24 - La plateforme de l'immobilier en Suisse.</t>
  </si>
  <si>
    <t>https://www.immoscout24.ch/fr/maison/acheter/lieu-collonges</t>
  </si>
  <si>
    <t>Vendre maison Collonges: Trouvez le bien immobilier qui correspond idéalement à vos désirs sur ImmoScout24 - La plateforme de l'immobilier en Suisse.</t>
  </si>
  <si>
    <t>https://www.immoscout24.ch/fr/maison/louer/quartier-onu-rigot-geneve</t>
  </si>
  <si>
    <t>Louer maison ONU - Rigot (Genève): Trouvez le bien immobilier qui correspond idéalement à vos désirs sur ImmoScout24 - La plateforme de l'immobilier en Suisse.</t>
  </si>
  <si>
    <t>https://www.immoscout24.ch/fr/appartement/acheter/lieu-ardez</t>
  </si>
  <si>
    <t>Vendre appartement Ardez: Trouvez le bien immobilier qui correspond idéalement à vos désirs sur ImmoScout24 - La plateforme de l'immobilier en Suisse.</t>
  </si>
  <si>
    <t>https://www.immoscout24.ch/fr/appartement/acheter/lieu-sissach</t>
  </si>
  <si>
    <t>Vendre appartement Sissach: Trouvez le bien immobilier qui correspond idéalement à vos désirs sur ImmoScout24 - La plateforme de l'immobilier en Suisse.</t>
  </si>
  <si>
    <t>https://www.immoscout24.ch/fr/appartement/louer/lieu-gressy</t>
  </si>
  <si>
    <t>Louer appartement Gressy: Trouvez le bien immobilier qui correspond idéalement à vos désirs sur ImmoScout24 - La plateforme de l'immobilier en Suisse.</t>
  </si>
  <si>
    <t>https://www.immoscout24.ch/fr/appartement/louer/lieu-founex</t>
  </si>
  <si>
    <t>Louer appartement Founex: Trouvez le bien immobilier qui correspond idéalement à vos désirs sur ImmoScout24 - La plateforme de l'immobilier en Suisse.</t>
  </si>
  <si>
    <t>https://www.immoscout24.ch/fr/appartement/louer/quartier-altstadt-wey-lucerne</t>
  </si>
  <si>
    <t>Louer appartement Altstadt - Wey (Lucerne): Trouvez le bien immobilier qui correspond idéalement à vos désirs sur ImmoScout24 - La plateforme de l'immobilier en Suisse.</t>
  </si>
  <si>
    <t>https://www.immoscout24.ch/fr/maison/louer/lieu-neuenkirch</t>
  </si>
  <si>
    <t>Louer maison Neuenkirch: Trouvez le bien immobilier qui correspond idéalement à vos désirs sur ImmoScout24 - La plateforme de l'immobilier en Suisse.</t>
  </si>
  <si>
    <t>https://www.immoscout24.ch/fr/maison/acheter/lieu-purasca</t>
  </si>
  <si>
    <t>Vendre maison Purasca: Trouvez le bien immobilier qui correspond idéalement à vos désirs sur ImmoScout24 - La plateforme de l'immobilier en Suisse.</t>
  </si>
  <si>
    <t>https://www.immoscout24.ch/fr/appartement/acheter/lieu-pery</t>
  </si>
  <si>
    <t>Vendre appartement Péry: Trouvez le bien immobilier qui correspond idéalement à vos désirs sur ImmoScout24 - La plateforme de l'immobilier en Suisse.</t>
  </si>
  <si>
    <t>https://www.immoscout24.ch/fr/appartement/louer/lieu-feldbrunnen</t>
  </si>
  <si>
    <t>Louer appartement Feldbrunnen: Trouvez le bien immobilier qui correspond idéalement à vos désirs sur ImmoScout24 - La plateforme de l'immobilier en Suisse.</t>
  </si>
  <si>
    <t>https://www.immoscout24.ch/fr/appartement/louer/lieu-courtemaiche</t>
  </si>
  <si>
    <t>Louer appartement Courtemaîche: Trouvez le bien immobilier qui correspond idéalement à vos désirs sur ImmoScout24 - La plateforme de l'immobilier en Suisse.</t>
  </si>
  <si>
    <t>https://www.immoscout24.ch/fr/maison/acheter/lieu-nyon</t>
  </si>
  <si>
    <t>Vendre maison Nyon: Trouvez le bien immobilier qui correspond idéalement à vos désirs sur ImmoScout24 - La plateforme de l'immobilier en Suisse.</t>
  </si>
  <si>
    <t>https://www.immoscout24.ch/fr/appartement/louer/quartier-breitfeld-berne</t>
  </si>
  <si>
    <t>Louer appartement Breitfeld (Berne): Trouvez le bien immobilier qui correspond idéalement à vos désirs sur ImmoScout24 - La plateforme de l'immobilier en Suisse.</t>
  </si>
  <si>
    <t>https://www.immoscout24.ch/fr/maison/acheter/lieu-gollion</t>
  </si>
  <si>
    <t>Vendre maison Gollion: Trouvez le bien immobilier qui correspond idéalement à vos désirs sur ImmoScout24 - La plateforme de l'immobilier en Suisse.</t>
  </si>
  <si>
    <t>https://www.immoscout24.ch/fr/appartement/louer/lieu-zunzgen</t>
  </si>
  <si>
    <t>Louer appartement Zunzgen: Trouvez le bien immobilier qui correspond idéalement à vos désirs sur ImmoScout24 - La plateforme de l'immobilier en Suisse.</t>
  </si>
  <si>
    <t>https://www.immoscout24.ch/fr/maison/acheter/lieu-yverdon-les-bains</t>
  </si>
  <si>
    <t>Vendre maison Yverdon-les-Bains: Trouvez le bien immobilier qui correspond idéalement à vos désirs sur ImmoScout24 - La plateforme de l'immobilier en Suisse.</t>
  </si>
  <si>
    <t>https://www.immoscout24.ch/fr/maison/acheter/lieu-chavannes-sur-moudon</t>
  </si>
  <si>
    <t>Vendre maison Chavannes-sur-Moudon: Trouvez le bien immobilier qui correspond idéalement à vos désirs sur ImmoScout24 - La plateforme de l'immobilier en Suisse.</t>
  </si>
  <si>
    <t>https://www.immoscout24.ch/fr/appartement/louer/lieu-cugnasco</t>
  </si>
  <si>
    <t>Louer appartement Cugnasco: Trouvez le bien immobilier qui correspond idéalement à vos désirs sur ImmoScout24 - La plateforme de l'immobilier en Suisse.</t>
  </si>
  <si>
    <t>https://www.immoscout24.ch/fr/maison/acheter/lieu-sins</t>
  </si>
  <si>
    <t>Vendre maison Sins: Trouvez le bien immobilier qui correspond idéalement à vos désirs sur ImmoScout24 - La plateforme de l'immobilier en Suisse.</t>
  </si>
  <si>
    <t>https://www.immoscout24.ch/fr/appartement/louer/lieu-kerzers</t>
  </si>
  <si>
    <t>Louer appartement Kerzers: Trouvez le bien immobilier qui correspond idéalement à vos désirs sur ImmoScout24 - La plateforme de l'immobilier en Suisse.</t>
  </si>
  <si>
    <t>https://www.immoscout24.ch/fr/maison/acheter/lieu-saas-im-praettigau</t>
  </si>
  <si>
    <t>Vendre maison Saas im Prättigau: Trouvez le bien immobilier qui correspond idéalement à vos désirs sur ImmoScout24 - La plateforme de l'immobilier en Suisse.</t>
  </si>
  <si>
    <t>https://www.immoscout24.ch/fr/maison/acheter/lieu-zweisimmen</t>
  </si>
  <si>
    <t>Vendre maison Zweisimmen: Trouvez le bien immobilier qui correspond idéalement à vos désirs sur ImmoScout24 - La plateforme de l'immobilier en Suisse.</t>
  </si>
  <si>
    <t>https://www.immoscout24.ch/fr/maison/louer/lieu-losone</t>
  </si>
  <si>
    <t>Louer maison Losone: Trouvez le bien immobilier qui correspond idéalement à vos désirs sur ImmoScout24 - La plateforme de l'immobilier en Suisse.</t>
  </si>
  <si>
    <t>https://www.immoscout24.ch/fr/maison/acheter/lieu-novaggio</t>
  </si>
  <si>
    <t>Vendre maison Novaggio: Trouvez le bien immobilier qui correspond idéalement à vos désirs sur ImmoScout24 - La plateforme de l'immobilier en Suisse.</t>
  </si>
  <si>
    <t>https://www.immoscout24.ch/fr/appartement/louer/lieu-essert-pittet</t>
  </si>
  <si>
    <t>Louer appartement Essert-Pittet: Trouvez le bien immobilier qui correspond idéalement à vos désirs sur ImmoScout24 - La plateforme de l'immobilier en Suisse.</t>
  </si>
  <si>
    <t>https://www.immoscout24.ch/fr/appartement/louer/lieu-courchavon</t>
  </si>
  <si>
    <t>Louer appartement Courchavon: Trouvez le bien immobilier qui correspond idéalement à vos désirs sur ImmoScout24 - La plateforme de l'immobilier en Suisse.</t>
  </si>
  <si>
    <t>https://www.immoscout24.ch/fr/appartement/louer/lieu-buchs-zh</t>
  </si>
  <si>
    <t>Louer appartement Buchs ZH: Trouvez le bien immobilier qui correspond idéalement à vos désirs sur ImmoScout24 - La plateforme de l'immobilier en Suisse.</t>
  </si>
  <si>
    <t>https://www.immoscout24.ch/fr/maison/acheter/lieu-essertines-sur-yverdon</t>
  </si>
  <si>
    <t>Vendre maison Essertines-sur-Yverdon: Trouvez le bien immobilier qui correspond idéalement à vos désirs sur ImmoScout24 - La plateforme de l'immobilier en Suisse.</t>
  </si>
  <si>
    <t>https://www.immoscout24.ch/fr/appartement/acheter/lieu-andermatt</t>
  </si>
  <si>
    <t>Vendre appartement Andermatt: Trouvez le bien immobilier qui correspond idéalement à vos désirs sur ImmoScout24 - La plateforme de l'immobilier en Suisse.</t>
  </si>
  <si>
    <t>https://www.immoscout24.ch/fr/maison/louer/lieu-genthod</t>
  </si>
  <si>
    <t>Louer maison Genthod: Trouvez le bien immobilier qui correspond idéalement à vos désirs sur ImmoScout24 - La plateforme de l'immobilier en Suisse.</t>
  </si>
  <si>
    <t>https://www.immoscout24.ch/fr/appartement/acheter/lieu-yvonand</t>
  </si>
  <si>
    <t>Vendre appartement Yvonand: Trouvez le bien immobilier qui correspond idéalement à vos désirs sur ImmoScout24 - La plateforme de l'immobilier en Suisse.</t>
  </si>
  <si>
    <t>https://www.immoscout24.ch/fr/appartement/louer/lieu-st-legier-la-chiesaz</t>
  </si>
  <si>
    <t>Louer appartement St-Légier-La Chiésaz: Trouvez le bien immobilier qui correspond idéalement à vos désirs sur ImmoScout24 - La plateforme de l'immobilier en Suisse.</t>
  </si>
  <si>
    <t>https://www.immoscout24.ch/fr/maison/acheter/lieu-rueyres</t>
  </si>
  <si>
    <t>Vendre maison Rueyres: Trouvez le bien immobilier qui correspond idéalement à vos désirs sur ImmoScout24 - La plateforme de l'immobilier en Suisse.</t>
  </si>
  <si>
    <t>https://www.immoscout24.ch/fr/maison/acheter/lieu-bidogno</t>
  </si>
  <si>
    <t>Vendre maison Bidogno: Trouvez le bien immobilier qui correspond idéalement à vos désirs sur ImmoScout24 - La plateforme de l'immobilier en Suisse.</t>
  </si>
  <si>
    <t>https://www.immoscout24.ch/fr/appartement/acheter/canton-zoug</t>
  </si>
  <si>
    <t>Vendre appartement Canton de Zoug: Trouvez le bien immobilier qui correspond idéalement à vos désirs sur ImmoScout24 - La plateforme de l'immobilier en Suisse.</t>
  </si>
  <si>
    <t>https://www.immoscout24.ch/fr/appartement/louer/lieu-pringy</t>
  </si>
  <si>
    <t>Louer appartement Pringy: Trouvez le bien immobilier qui correspond idéalement à vos désirs sur ImmoScout24 - La plateforme de l'immobilier en Suisse.</t>
  </si>
  <si>
    <t>https://www.immoscout24.ch/fr/appartement/louer/lieu-senedes</t>
  </si>
  <si>
    <t>Louer appartement Senèdes: Trouvez le bien immobilier qui correspond idéalement à vos désirs sur ImmoScout24 - La plateforme de l'immobilier en Suisse.</t>
  </si>
  <si>
    <t>https://www.immoscout24.ch/fr/appartement/acheter/lieu-bilten</t>
  </si>
  <si>
    <t>Vendre appartement Bilten: Trouvez le bien immobilier qui correspond idéalement à vos désirs sur ImmoScout24 - La plateforme de l'immobilier en Suisse.</t>
  </si>
  <si>
    <t>https://www.immoscout24.ch/fr/maison/acheter/lieu-orselina</t>
  </si>
  <si>
    <t>Vendre maison Orselina: Trouvez le bien immobilier qui correspond idéalement à vos désirs sur ImmoScout24 - La plateforme de l'immobilier en Suisse.</t>
  </si>
  <si>
    <t>https://www.immoscout24.ch/fr/maison/acheter/lieu-dully</t>
  </si>
  <si>
    <t>Vendre maison Dully: Trouvez le bien immobilier qui correspond idéalement à vos désirs sur ImmoScout24 - La plateforme de l'immobilier en Suisse.</t>
  </si>
  <si>
    <t>https://www.immoscout24.ch/fr/appartement/louer/lieu-romanel-sur-morges</t>
  </si>
  <si>
    <t>Louer appartement Romanel-sur-Morges: Trouvez le bien immobilier qui correspond idéalement à vos désirs sur ImmoScout24 - La plateforme de l'immobilier en Suisse.</t>
  </si>
  <si>
    <t>https://www.immoscout24.ch/fr/appartement/louer/lieu-la-verrerie</t>
  </si>
  <si>
    <t>Louer appartement La Verrerie: Trouvez le bien immobilier qui correspond idéalement à vos désirs sur ImmoScout24 - La plateforme de l'immobilier en Suisse.</t>
  </si>
  <si>
    <t>https://www.immoscout24.ch/fr/appartement/louer/quartier-weisses-quartier-berne</t>
  </si>
  <si>
    <t>Louer appartement Weisses Quartier (Berne): Trouvez le bien immobilier qui correspond idéalement à vos désirs sur ImmoScout24 - La plateforme de l'immobilier en Suisse.</t>
  </si>
  <si>
    <t>https://www.immoscout24.ch/fr/maison/acheter/lieu-indemini</t>
  </si>
  <si>
    <t>Vendre maison Indemini: Trouvez le bien immobilier qui correspond idéalement à vos désirs sur ImmoScout24 - La plateforme de l'immobilier en Suisse.</t>
  </si>
  <si>
    <t>https://www.immoscout24.ch/fr/appartement/louer/lieu-erlach</t>
  </si>
  <si>
    <t>Louer appartement Erlach: Trouvez le bien immobilier qui correspond idéalement à vos désirs sur ImmoScout24 - La plateforme de l'immobilier en Suisse.</t>
  </si>
  <si>
    <t>https://www.immoscout24.ch/fr/appartement/acheter/lieu-biel-benken-bl</t>
  </si>
  <si>
    <t>Vendre appartement Biel-Benken BL: Trouvez le bien immobilier qui correspond idéalement à vos désirs sur ImmoScout24 - La plateforme de l'immobilier en Suisse.</t>
  </si>
  <si>
    <t>https://www.immoscout24.ch/fr/appartement/louer/lieu-etzelkofen</t>
  </si>
  <si>
    <t>Louer appartement Etzelkofen: Trouvez le bien immobilier qui correspond idéalement à vos désirs sur ImmoScout24 - La plateforme de l'immobilier en Suisse.</t>
  </si>
  <si>
    <t>https://www.immoscout24.ch/fr/appartement/louer/lieu-paradiso</t>
  </si>
  <si>
    <t>Louer appartement Paradiso: Trouvez le bien immobilier qui correspond idéalement à vos désirs sur ImmoScout24 - La plateforme de l'immobilier en Suisse.</t>
  </si>
  <si>
    <t>https://www.immoscout24.ch/fr/maison/acheter/lieu-avry-sur-matran</t>
  </si>
  <si>
    <t>Vendre maison Avry-sur-Matran: Trouvez le bien immobilier qui correspond idéalement à vos désirs sur ImmoScout24 - La plateforme de l'immobilier en Suisse.</t>
  </si>
  <si>
    <t>https://www.immoscout24.ch/fr/maison/louer/lieu-herisau</t>
  </si>
  <si>
    <t>Louer maison Herisau: Trouvez le bien immobilier qui correspond idéalement à vos désirs sur ImmoScout24 - La plateforme de l'immobilier en Suisse.</t>
  </si>
  <si>
    <t>https://www.immoscout24.ch/fr/appartement/louer/quartier-pierre-a-bot-acacias-neuchatel</t>
  </si>
  <si>
    <t>Louer appartement Pierre-à-Bot - Acacias (Neuchâtel): Trouvez le bien immobilier qui correspond idéalement à vos désirs sur ImmoScout24 - La plateforme de l'immobilier en Suisse.</t>
  </si>
  <si>
    <t>https://www.immoscout24.ch/fr/maison/acheter/lieu-echallens</t>
  </si>
  <si>
    <t>Vendre maison Echallens: Trouvez le bien immobilier qui correspond idéalement à vos désirs sur ImmoScout24 - La plateforme de l'immobilier en Suisse.</t>
  </si>
  <si>
    <t>https://www.immoscout24.ch/fr/maison/acheter/region-zuercher-unterland</t>
  </si>
  <si>
    <t>Vendre maison Zürcher Unterland: Trouvez le bien immobilier qui correspond idéalement à vos désirs sur ImmoScout24 - La plateforme de l'immobilier en Suisse.</t>
  </si>
  <si>
    <t>https://www.immoscout24.ch/fr/appartement/louer/lieu-dotzigen</t>
  </si>
  <si>
    <t>Louer appartement Dotzigen: Trouvez le bien immobilier qui correspond idéalement à vos désirs sur ImmoScout24 - La plateforme de l'immobilier en Suisse.</t>
  </si>
  <si>
    <t>https://www.immoscout24.ch/fr/maison/acheter/lieu-evolene</t>
  </si>
  <si>
    <t>Vendre maison Evolène: Trouvez le bien immobilier qui correspond idéalement à vos désirs sur ImmoScout24 - La plateforme de l'immobilier en Suisse.</t>
  </si>
  <si>
    <t>https://www.immoscout24.ch/fr/appartement/louer/lieu-therwil</t>
  </si>
  <si>
    <t>Louer appartement Therwil: Trouvez le bien immobilier qui correspond idéalement à vos désirs sur ImmoScout24 - La plateforme de l'immobilier en Suisse.</t>
  </si>
  <si>
    <t>https://www.immoscout24.ch/fr/appartement/louer/lieu-vich</t>
  </si>
  <si>
    <t>Louer appartement Vich: Trouvez le bien immobilier qui correspond idéalement à vos désirs sur ImmoScout24 - La plateforme de l'immobilier en Suisse.</t>
  </si>
  <si>
    <t>https://www.immoscout24.ch/fr/maison/acheter/region-la-cote-nyon</t>
  </si>
  <si>
    <t>Vendre maison La Côte - Nyon: Trouvez le bien immobilier qui correspond idéalement à vos désirs sur ImmoScout24 - La plateforme de l'immobilier en Suisse.</t>
  </si>
  <si>
    <t>https://www.immoscout24.ch/fr/appartement/louer/lieu-utzenstorf</t>
  </si>
  <si>
    <t>Louer appartement Utzenstorf: Trouvez le bien immobilier qui correspond idéalement à vos désirs sur ImmoScout24 - La plateforme de l'immobilier en Suisse.</t>
  </si>
  <si>
    <t>https://www.immoscout24.ch/fr/maison/louer/lieu-villarvolard</t>
  </si>
  <si>
    <t>Louer maison Villarvolard: Trouvez le bien immobilier qui correspond idéalement à vos désirs sur ImmoScout24 - La plateforme de l'immobilier en Suisse.</t>
  </si>
  <si>
    <t>https://www.immoscout24.ch/fr/appartement/louer/lieu-denezy</t>
  </si>
  <si>
    <t>Louer appartement Denezy: Trouvez le bien immobilier qui correspond idéalement à vos désirs sur ImmoScout24 - La plateforme de l'immobilier en Suisse.</t>
  </si>
  <si>
    <t>https://www.immoscout24.ch/fr/maison/louer/quartier-sebeillon-malley-lausanne</t>
  </si>
  <si>
    <t>Louer maison Sébeillon - Malley (Lausanne): Trouvez le bien immobilier qui correspond idéalement à vos désirs sur ImmoScout24 - La plateforme de l'immobilier en Suisse.</t>
  </si>
  <si>
    <t>https://www.immoscout24.ch/fr/maison/acheter/lieu-mutrux</t>
  </si>
  <si>
    <t>Vendre maison Mutrux: Trouvez le bien immobilier qui correspond idéalement à vos désirs sur ImmoScout24 - La plateforme de l'immobilier en Suisse.</t>
  </si>
  <si>
    <t>https://www.immoscout24.ch/fr/maison/acheter/lieu-le-paquier-montbarry</t>
  </si>
  <si>
    <t>Vendre maison Le Pâquier-Montbarry: Trouvez le bien immobilier qui correspond idéalement à vos désirs sur ImmoScout24 - La plateforme de l'immobilier en Suisse.</t>
  </si>
  <si>
    <t>https://www.immoscout24.ch/fr/appartement/acheter/lieu-mezieres-fr</t>
  </si>
  <si>
    <t>Vendre appartement Mézières FR: Trouvez le bien immobilier qui correspond idéalement à vos désirs sur ImmoScout24 - La plateforme de l'immobilier en Suisse.</t>
  </si>
  <si>
    <t>https://www.immoscout24.ch/fr/appartement/louer/lieu-schwanden-im-emmental</t>
  </si>
  <si>
    <t>Louer appartement Schwanden im Emmental: Trouvez le bien immobilier qui correspond idéalement à vos désirs sur ImmoScout24 - La plateforme de l'immobilier en Suisse.</t>
  </si>
  <si>
    <t>https://www.immoscout24.ch/fr/maison/louer/lieu-les-bois</t>
  </si>
  <si>
    <t>Louer maison Les Bois: Trouvez le bien immobilier qui correspond idéalement à vos désirs sur ImmoScout24 - La plateforme de l'immobilier en Suisse.</t>
  </si>
  <si>
    <t>https://www.immoscout24.ch/fr/maison/acheter/lieu-canobbio</t>
  </si>
  <si>
    <t>Vendre maison Canobbio: Trouvez le bien immobilier qui correspond idéalement à vos désirs sur ImmoScout24 - La plateforme de l'immobilier en Suisse.</t>
  </si>
  <si>
    <t>https://www.immoscout24.ch/fr/maison/acheter/lieu-ennetbaden</t>
  </si>
  <si>
    <t>Vendre maison Ennetbaden: Trouvez le bien immobilier qui correspond idéalement à vos désirs sur ImmoScout24 - La plateforme de l'immobilier en Suisse.</t>
  </si>
  <si>
    <t>https://www.immoscout24.ch/fr/maison/louer/lieu-chabrey</t>
  </si>
  <si>
    <t>Louer maison Chabrey: Trouvez le bien immobilier qui correspond idéalement à vos désirs sur ImmoScout24 - La plateforme de l'immobilier en Suisse.</t>
  </si>
  <si>
    <t>https://www.immoscout24.ch/fr/appartement/louer/lieu-coffrane</t>
  </si>
  <si>
    <t>Louer appartement Coffrane: Trouvez le bien immobilier qui correspond idéalement à vos désirs sur ImmoScout24 - La plateforme de l'immobilier en Suisse.</t>
  </si>
  <si>
    <t>https://www.immoscout24.ch/fr/maison/acheter/lieu-meyriez</t>
  </si>
  <si>
    <t>Vendre maison Meyriez: Trouvez le bien immobilier qui correspond idéalement à vos désirs sur ImmoScout24 - La plateforme de l'immobilier en Suisse.</t>
  </si>
  <si>
    <t>https://www.immoscout24.ch/fr/maison/louer/lieu-kilchberg-zh</t>
  </si>
  <si>
    <t>Louer maison Kilchberg ZH: Trouvez le bien immobilier qui correspond idéalement à vos désirs sur ImmoScout24 - La plateforme de l'immobilier en Suisse.</t>
  </si>
  <si>
    <t>https://www.immoscout24.ch/fr/maison/acheter/pays-slovaquie</t>
  </si>
  <si>
    <t>Vendre maison Slovaquie: Trouvez le bien immobilier qui correspond idéalement à vos désirs sur ImmoScout24 - La plateforme de l'immobilier en Suisse.</t>
  </si>
  <si>
    <t>https://www.immoscout24.ch/fr/appartement/louer/lieu-st-barthelemy-vd</t>
  </si>
  <si>
    <t>Louer appartement St-Barthélemy VD: Trouvez le bien immobilier qui correspond idéalement à vos désirs sur ImmoScout24 - La plateforme de l'immobilier en Suisse.</t>
  </si>
  <si>
    <t>https://www.immoscout24.ch/fr/maison/louer/region-aarau-et-environs</t>
  </si>
  <si>
    <t>Louer maison Aarau et environs: Trouvez le bien immobilier qui correspond idéalement à vos désirs sur ImmoScout24 - La plateforme de l'immobilier en Suisse.</t>
  </si>
  <si>
    <t>https://www.immoscout24.ch/fr/maison/acheter/lieu-lucelle</t>
  </si>
  <si>
    <t>Vendre maison Lucelle: Trouvez le bien immobilier qui correspond idéalement à vos désirs sur ImmoScout24 - La plateforme de l'immobilier en Suisse.</t>
  </si>
  <si>
    <t>https://www.immoscout24.ch/fr/maison/acheter/lieu-les-marecottes</t>
  </si>
  <si>
    <t>Vendre maison Les Marécottes: Trouvez le bien immobilier qui correspond idéalement à vos désirs sur ImmoScout24 - La plateforme de l'immobilier en Suisse.</t>
  </si>
  <si>
    <t>https://www.immoscout24.ch/fr/maison/louer/lieu-chalais</t>
  </si>
  <si>
    <t>Louer maison Chalais: Trouvez le bien immobilier qui correspond idéalement à vos désirs sur ImmoScout24 - La plateforme de l'immobilier en Suisse.</t>
  </si>
  <si>
    <t>https://www.immoscout24.ch/fr/maison/acheter/lieu-zollikofen</t>
  </si>
  <si>
    <t>Vendre maison Zollikofen: Trouvez le bien immobilier qui correspond idéalement à vos désirs sur ImmoScout24 - La plateforme de l'immobilier en Suisse.</t>
  </si>
  <si>
    <t>https://www.immoscout24.ch/fr/appartement/acheter/quartier-florissant-malagnou-geneve</t>
  </si>
  <si>
    <t>Vendre appartement Florissant - Malagnou (Genève): Trouvez le bien immobilier qui correspond idéalement à vos désirs sur ImmoScout24 - La plateforme de l'immobilier en Suisse.</t>
  </si>
  <si>
    <t>https://www.immoscout24.ch/fr/maison/acheter/lieu-guemmenen</t>
  </si>
  <si>
    <t>Vendre maison Gümmenen: Trouvez le bien immobilier qui correspond idéalement à vos désirs sur ImmoScout24 - La plateforme de l'immobilier en Suisse.</t>
  </si>
  <si>
    <t>https://www.immoscout24.ch/fr/maison/acheter/lieu-corcelles-ne</t>
  </si>
  <si>
    <t>Vendre maison Corcelles NE: Trouvez le bien immobilier qui correspond idéalement à vos désirs sur ImmoScout24 - La plateforme de l'immobilier en Suisse.</t>
  </si>
  <si>
    <t>https://www.immoscout24.ch/fr/appartement/louer/lieu-la-chaux-de-fonds</t>
  </si>
  <si>
    <t>Louer appartement La Chaux-de-Fonds: Trouvez le bien immobilier qui correspond idéalement à vos désirs sur ImmoScout24 - La plateforme de l'immobilier en Suisse.</t>
  </si>
  <si>
    <t>https://www.immoscout24.ch/fr/appartement/acheter/lieu-embrach</t>
  </si>
  <si>
    <t>Vendre appartement Embrach: Trouvez le bien immobilier qui correspond idéalement à vos désirs sur ImmoScout24 - La plateforme de l'immobilier en Suisse.</t>
  </si>
  <si>
    <t>https://www.immoscout24.ch/fr/appartement/acheter/lieu-chailly-montreux</t>
  </si>
  <si>
    <t>Vendre appartement Chailly-Montreux: Trouvez le bien immobilier qui correspond idéalement à vos désirs sur ImmoScout24 - La plateforme de l'immobilier en Suisse.</t>
  </si>
  <si>
    <t>https://www.immoscout24.ch/fr/maison/louer/lieu-nyon</t>
  </si>
  <si>
    <t>Louer maison Nyon: Trouvez le bien immobilier qui correspond idéalement à vos désirs sur ImmoScout24 - La plateforme de l'immobilier en Suisse.</t>
  </si>
  <si>
    <t>https://www.immoscout24.ch/fr/appartement/acheter/lieu-silvaplana-surlej</t>
  </si>
  <si>
    <t>Vendre appartement Silvaplana-Surlej: Trouvez le bien immobilier qui correspond idéalement à vos désirs sur ImmoScout24 - La plateforme de l'immobilier en Suisse.</t>
  </si>
  <si>
    <t>https://www.immoscout24.ch/fr/appartement/louer/lieu-grandvillard</t>
  </si>
  <si>
    <t>Louer appartement Grandvillard: Trouvez le bien immobilier qui correspond idéalement à vos désirs sur ImmoScout24 - La plateforme de l'immobilier en Suisse.</t>
  </si>
  <si>
    <t>https://www.immoscout24.ch/fr/appartement/acheter/quartier-loreto-lugano</t>
  </si>
  <si>
    <t>Vendre appartement Loreto (Lugano): Trouvez le bien immobilier qui correspond idéalement à vos désirs sur ImmoScout24 - La plateforme de l'immobilier en Suisse.</t>
  </si>
  <si>
    <t>https://www.immoscout24.ch/fr/maison/acheter/lieu-maur</t>
  </si>
  <si>
    <t>Vendre maison Maur: Trouvez le bien immobilier qui correspond idéalement à vos désirs sur ImmoScout24 - La plateforme de l'immobilier en Suisse.</t>
  </si>
  <si>
    <t>https://www.immoscout24.ch/fr/appartement/acheter/lieu-sion</t>
  </si>
  <si>
    <t>Vendre appartement Sion: Trouvez le bien immobilier qui correspond idéalement à vos désirs sur ImmoScout24 - La plateforme de l'immobilier en Suisse.</t>
  </si>
  <si>
    <t>https://www.immoscout24.ch/fr/maison/acheter/lieu-les-thioleyres</t>
  </si>
  <si>
    <t>Vendre maison Les Thioleyres: Trouvez le bien immobilier qui correspond idéalement à vos désirs sur ImmoScout24 - La plateforme de l'immobilier en Suisse.</t>
  </si>
  <si>
    <t>https://www.immoscout24.ch/fr/maison/acheter/lieu-zollikon</t>
  </si>
  <si>
    <t>Vendre maison Zollikon: Trouvez le bien immobilier qui correspond idéalement à vos désirs sur ImmoScout24 - La plateforme de l'immobilier en Suisse.</t>
  </si>
  <si>
    <t>https://www.immoscout24.ch/fr/appartement/acheter/lieu-samstagern</t>
  </si>
  <si>
    <t>Vendre appartement Samstagern: Trouvez le bien immobilier qui correspond idéalement à vos désirs sur ImmoScout24 - La plateforme de l'immobilier en Suisse.</t>
  </si>
  <si>
    <t>https://www.immoscout24.ch/fr/appartement/louer/lieu-les-bois</t>
  </si>
  <si>
    <t>Louer appartement Les Bois: Trouvez le bien immobilier qui correspond idéalement à vos désirs sur ImmoScout24 - La plateforme de l'immobilier en Suisse.</t>
  </si>
  <si>
    <t>https://www.immoscout24.ch/fr/appartement/louer/lieu-oberwil-lieli</t>
  </si>
  <si>
    <t>Louer appartement Oberwil-Lieli: Trouvez le bien immobilier qui correspond idéalement à vos désirs sur ImmoScout24 - La plateforme de l'immobilier en Suisse.</t>
  </si>
  <si>
    <t>https://www.immoscout24.ch/fr/maison/acheter/lieu-kirchdorf-be</t>
  </si>
  <si>
    <t>Vendre maison Kirchdorf BE: Trouvez le bien immobilier qui correspond idéalement à vos désirs sur ImmoScout24 - La plateforme de l'immobilier en Suisse.</t>
  </si>
  <si>
    <t>https://www.immoscout24.ch/fr/appartement/louer/lieu-welschenrohr</t>
  </si>
  <si>
    <t>Louer appartement Welschenrohr: Trouvez le bien immobilier qui correspond idéalement à vos désirs sur ImmoScout24 - La plateforme de l'immobilier en Suisse.</t>
  </si>
  <si>
    <t>https://www.immoscout24.ch/fr/appartement/louer/lieu-rue</t>
  </si>
  <si>
    <t>Louer appartement Rue: Trouvez le bien immobilier qui correspond idéalement à vos désirs sur ImmoScout24 - La plateforme de l'immobilier en Suisse.</t>
  </si>
  <si>
    <t>https://www.immoscout24.ch/fr/appartement/louer/lieu-billens</t>
  </si>
  <si>
    <t>Louer appartement Billens: Trouvez le bien immobilier qui correspond idéalement à vos désirs sur ImmoScout24 - La plateforme de l'immobilier en Suisse.</t>
  </si>
  <si>
    <t>https://www.immoscout24.ch/fr/maison/louer/lieu-clarens</t>
  </si>
  <si>
    <t>Louer maison Clarens: Trouvez le bien immobilier qui correspond idéalement à vos désirs sur ImmoScout24 - La plateforme de l'immobilier en Suisse.</t>
  </si>
  <si>
    <t>https://www.immoscout24.ch/fr/maison/acheter/lieu-belalp</t>
  </si>
  <si>
    <t>Vendre maison Belalp: Trouvez le bien immobilier qui correspond idéalement à vos désirs sur ImmoScout24 - La plateforme de l'immobilier en Suisse.</t>
  </si>
  <si>
    <t>https://www.immoscout24.ch/fr/maison/acheter/lieu-immensee</t>
  </si>
  <si>
    <t>Vendre maison Immensee: Trouvez le bien immobilier qui correspond idéalement à vos désirs sur ImmoScout24 - La plateforme de l'immobilier en Suisse.</t>
  </si>
  <si>
    <t>https://www.immoscout24.ch/fr/appartement/louer/lieu-thielle</t>
  </si>
  <si>
    <t>Louer appartement Thielle: Trouvez le bien immobilier qui correspond idéalement à vos désirs sur ImmoScout24 - La plateforme de l'immobilier en Suisse.</t>
  </si>
  <si>
    <t>https://www.immoscout24.ch/fr/maison/acheter/lieu-cournillens</t>
  </si>
  <si>
    <t>Vendre maison Cournillens: Trouvez le bien immobilier qui correspond idéalement à vos désirs sur ImmoScout24 - La plateforme de l'immobilier en Suisse.</t>
  </si>
  <si>
    <t>https://www.immoscout24.ch/fr/maison/acheter/lieu-peney-le-jorat</t>
  </si>
  <si>
    <t>Vendre maison Peney-le-Jorat: Trouvez le bien immobilier qui correspond idéalement à vos désirs sur ImmoScout24 - La plateforme de l'immobilier en Suisse.</t>
  </si>
  <si>
    <t>https://www.immoscout24.ch/fr/maison/louer/lieu-moleson-sur-gruyeres</t>
  </si>
  <si>
    <t>Louer maison Moléson-sur-Gruyères: Trouvez le bien immobilier qui correspond idéalement à vos désirs sur ImmoScout24 - La plateforme de l'immobilier en Suisse.</t>
  </si>
  <si>
    <t>https://www.immoscout24.ch/fr/maison/acheter/pays-finlande</t>
  </si>
  <si>
    <t>Vendre maison Finlande: Trouvez le bien immobilier qui correspond idéalement à vos désirs sur ImmoScout24 - La plateforme de l'immobilier en Suisse.</t>
  </si>
  <si>
    <t>https://www.immoscout24.ch/fr/appartement/acheter/region-lavaux-vevey</t>
  </si>
  <si>
    <t>Vendre appartement Lavaux - Vevey: Trouvez le bien immobilier qui correspond idéalement à vos désirs sur ImmoScout24 - La plateforme de l'immobilier en Suisse.</t>
  </si>
  <si>
    <t>https://www.immoscout24.ch/fr/appartement/louer/lieu-zwingen</t>
  </si>
  <si>
    <t>Louer appartement Zwingen: Trouvez le bien immobilier qui correspond idéalement à vos désirs sur ImmoScout24 - La plateforme de l'immobilier en Suisse.</t>
  </si>
  <si>
    <t>https://www.immoscout24.ch/fr/maison/acheter/lieu-emmenbruecke</t>
  </si>
  <si>
    <t>Vendre maison Emmenbrücke: Trouvez le bien immobilier qui correspond idéalement à vos désirs sur ImmoScout24 - La plateforme de l'immobilier en Suisse.</t>
  </si>
  <si>
    <t>https://www.immoscout24.ch/fr/appartement/acheter/lieu-matran</t>
  </si>
  <si>
    <t>Vendre appartement Matran: Trouvez le bien immobilier qui correspond idéalement à vos désirs sur ImmoScout24 - La plateforme de l'immobilier en Suisse.</t>
  </si>
  <si>
    <t>https://www.immoscout24.ch/fr/appartement/louer/lieu-lovens</t>
  </si>
  <si>
    <t>Louer appartement Lovens: Trouvez le bien immobilier qui correspond idéalement à vos désirs sur ImmoScout24 - La plateforme de l'immobilier en Suisse.</t>
  </si>
  <si>
    <t>https://www.immoscout24.ch/fr/appartement/louer/lieu-umiken</t>
  </si>
  <si>
    <t>Louer appartement Umiken: Trouvez le bien immobilier qui correspond idéalement à vos désirs sur ImmoScout24 - La plateforme de l'immobilier en Suisse.</t>
  </si>
  <si>
    <t>https://www.immoscout24.ch/fr/appartement/louer/lieu-langendorf</t>
  </si>
  <si>
    <t>Louer appartement Langendorf: Trouvez le bien immobilier qui correspond idéalement à vos désirs sur ImmoScout24 - La plateforme de l'immobilier en Suisse.</t>
  </si>
  <si>
    <t>https://www.immoscout24.ch/fr/appartement/louer/lieu-guarda</t>
  </si>
  <si>
    <t>Louer appartement Guarda: Trouvez le bien immobilier qui correspond idéalement à vos désirs sur ImmoScout24 - La plateforme de l'immobilier en Suisse.</t>
  </si>
  <si>
    <t>https://www.immoscout24.ch/fr/maison/louer/lieu-chernex</t>
  </si>
  <si>
    <t>Louer maison Chernex: Trouvez le bien immobilier qui correspond idéalement à vos désirs sur ImmoScout24 - La plateforme de l'immobilier en Suisse.</t>
  </si>
  <si>
    <t>https://www.immoscout24.ch/fr/appartement/louer/lieu-murten</t>
  </si>
  <si>
    <t>Louer appartement Murten: Trouvez le bien immobilier qui correspond idéalement à vos désirs sur ImmoScout24 - La plateforme de l'immobilier en Suisse.</t>
  </si>
  <si>
    <t>https://www.immoscout24.ch/fr/appartement/louer/lieu-froideville</t>
  </si>
  <si>
    <t>Louer appartement Froideville: Trouvez le bien immobilier qui correspond idéalement à vos désirs sur ImmoScout24 - La plateforme de l'immobilier en Suisse.</t>
  </si>
  <si>
    <t>https://www.immoscout24.ch/fr/appartement/louer/lieu-les-monts-de-pully</t>
  </si>
  <si>
    <t>Louer appartement Les Monts-de-Pully: Trouvez le bien immobilier qui correspond idéalement à vos désirs sur ImmoScout24 - La plateforme de l'immobilier en Suisse.</t>
  </si>
  <si>
    <t>https://www.immoscout24.ch/fr/maison/acheter/lieu-ependes-fr</t>
  </si>
  <si>
    <t>Vendre maison Ependes FR: Trouvez le bien immobilier qui correspond idéalement à vos désirs sur ImmoScout24 - La plateforme de l'immobilier en Suisse.</t>
  </si>
  <si>
    <t>https://www.immoscout24.ch/fr/maison/acheter/lieu-gordola</t>
  </si>
  <si>
    <t>Vendre maison Gordola: Trouvez le bien immobilier qui correspond idéalement à vos désirs sur ImmoScout24 - La plateforme de l'immobilier en Suisse.</t>
  </si>
  <si>
    <t>https://www.immoscout24.ch/fr/maison/acheter/lieu-fribourg</t>
  </si>
  <si>
    <t>Vendre maison Fribourg: Trouvez le bien immobilier qui correspond idéalement à vos désirs sur ImmoScout24 - La plateforme de l'immobilier en Suisse.</t>
  </si>
  <si>
    <t>https://www.immoscout24.ch/fr/appartement/acheter/lieu-estavayer-le-lac</t>
  </si>
  <si>
    <t>Vendre appartement Estavayer-le-Lac: Trouvez le bien immobilier qui correspond idéalement à vos désirs sur ImmoScout24 - La plateforme de l'immobilier en Suisse.</t>
  </si>
  <si>
    <t>https://www.immoscout24.ch/fr/maison/louer/lieu-diesse</t>
  </si>
  <si>
    <t>Louer maison Diesse: Trouvez le bien immobilier qui correspond idéalement à vos désirs sur ImmoScout24 - La plateforme de l'immobilier en Suisse.</t>
  </si>
  <si>
    <t>https://www.immoscout24.ch/fr/maison/acheter/lieu-damvant</t>
  </si>
  <si>
    <t>Vendre maison Damvant: Trouvez le bien immobilier qui correspond idéalement à vos désirs sur ImmoScout24 - La plateforme de l'immobilier en Suisse.</t>
  </si>
  <si>
    <t>https://www.immoscout24.ch/fr/maison/acheter/lieu-erlinsbach</t>
  </si>
  <si>
    <t>Vendre maison Erlinsbach: Trouvez le bien immobilier qui correspond idéalement à vos désirs sur ImmoScout24 - La plateforme de l'immobilier en Suisse.</t>
  </si>
  <si>
    <t>https://www.immoscout24.ch/fr/maison/acheter/lieu-chevenez</t>
  </si>
  <si>
    <t>Vendre maison Chevenez: Trouvez le bien immobilier qui correspond idéalement à vos désirs sur ImmoScout24 - La plateforme de l'immobilier en Suisse.</t>
  </si>
  <si>
    <t>https://www.immoscout24.ch/fr/appartement/acheter/lieu-vernier</t>
  </si>
  <si>
    <t>Vendre appartement Vernier: Trouvez le bien immobilier qui correspond idéalement à vos désirs sur ImmoScout24 - La plateforme de l'immobilier en Suisse.</t>
  </si>
  <si>
    <t>https://www.immoscout24.ch/fr/appartement/louer/quartier-pambio-noranco-lugano</t>
  </si>
  <si>
    <t>Louer appartement Pambio-Noranco (Lugano): Trouvez le bien immobilier qui correspond idéalement à vos désirs sur ImmoScout24 - La plateforme de l'immobilier en Suisse.</t>
  </si>
  <si>
    <t>https://www.immoscout24.ch/fr/maison/acheter/lieu-villard-sur-chamby</t>
  </si>
  <si>
    <t>Vendre maison Villard-sur-Chamby: Trouvez le bien immobilier qui correspond idéalement à vos désirs sur ImmoScout24 - La plateforme de l'immobilier en Suisse.</t>
  </si>
  <si>
    <t>https://www.immoscout24.ch/fr/appartement/louer/lieu-zeiningen</t>
  </si>
  <si>
    <t>Louer appartement Zeiningen: Trouvez le bien immobilier qui correspond idéalement à vos désirs sur ImmoScout24 - La plateforme de l'immobilier en Suisse.</t>
  </si>
  <si>
    <t>https://www.immoscout24.ch/fr/appartement/acheter/lieu-rovio</t>
  </si>
  <si>
    <t>Vendre appartement Rovio: Trouvez le bien immobilier qui correspond idéalement à vos désirs sur ImmoScout24 - La plateforme de l'immobilier en Suisse.</t>
  </si>
  <si>
    <t>https://www.immoscout24.ch/fr/appartement/louer/lieu-orient</t>
  </si>
  <si>
    <t>Louer appartement Orient: Trouvez le bien immobilier qui correspond idéalement à vos désirs sur ImmoScout24 - La plateforme de l'immobilier en Suisse.</t>
  </si>
  <si>
    <t>https://www.immoscout24.ch/fr/appartement/louer/lieu-ogens</t>
  </si>
  <si>
    <t>Louer appartement Ogens: Trouvez le bien immobilier qui correspond idéalement à vos désirs sur ImmoScout24 - La plateforme de l'immobilier en Suisse.</t>
  </si>
  <si>
    <t>https://www.immoscout24.ch/fr/appartement/louer/lieu-montalchez</t>
  </si>
  <si>
    <t>Louer appartement Montalchez: Trouvez le bien immobilier qui correspond idéalement à vos désirs sur ImmoScout24 - La plateforme de l'immobilier en Suisse.</t>
  </si>
  <si>
    <t>https://www.immoscout24.ch/fr/appartement/louer/canton-geneve</t>
  </si>
  <si>
    <t>Louer appartement Canton de Genève: Trouvez le bien immobilier qui correspond idéalement à vos désirs sur ImmoScout24 - La plateforme de l'immobilier en Suisse.</t>
  </si>
  <si>
    <t>https://www.immoscout24.ch/fr/appartement/louer/lieu-les-clees</t>
  </si>
  <si>
    <t>Louer appartement Les Clées: Trouvez le bien immobilier qui correspond idéalement à vos désirs sur ImmoScout24 - La plateforme de l'immobilier en Suisse.</t>
  </si>
  <si>
    <t>https://www.immoscout24.ch/fr/maison/acheter/lieu-rossiniere</t>
  </si>
  <si>
    <t>Vendre maison Rossinière: Trouvez le bien immobilier qui correspond idéalement à vos désirs sur ImmoScout24 - La plateforme de l'immobilier en Suisse.</t>
  </si>
  <si>
    <t>https://www.immoscout24.ch/fr/maison/acheter/lieu-mannens</t>
  </si>
  <si>
    <t>Vendre maison Mannens: Trouvez le bien immobilier qui correspond idéalement à vos désirs sur ImmoScout24 - La plateforme de l'immobilier en Suisse.</t>
  </si>
  <si>
    <t>https://www.immoscout24.ch/fr/appartement/acheter/region-bas-valais</t>
  </si>
  <si>
    <t>Vendre appartement Bas Valais: Trouvez le bien immobilier qui correspond idéalement à vos désirs sur ImmoScout24 - La plateforme de l'immobilier en Suisse.</t>
  </si>
  <si>
    <t>https://www.immoscout24.ch/fr/appartement/louer/lieu-liesberg-dorf</t>
  </si>
  <si>
    <t>Louer appartement Liesberg Dorf: Trouvez le bien immobilier qui correspond idéalement à vos désirs sur ImmoScout24 - La plateforme de l'immobilier en Suisse.</t>
  </si>
  <si>
    <t>https://www.immoscout24.ch/fr/appartement/acheter/lieu-troinex</t>
  </si>
  <si>
    <t>Vendre appartement Troinex: Trouvez le bien immobilier qui correspond idéalement à vos désirs sur ImmoScout24 - La plateforme de l'immobilier en Suisse.</t>
  </si>
  <si>
    <t>https://www.immoscout24.ch/fr/appartement/louer/lieu-graechen</t>
  </si>
  <si>
    <t>Louer appartement Grächen: Trouvez le bien immobilier qui correspond idéalement à vos désirs sur ImmoScout24 - La plateforme de l'immobilier en Suisse.</t>
  </si>
  <si>
    <t>https://www.immoscout24.ch/fr/maison/acheter/quartier-schonberg-fribourg</t>
  </si>
  <si>
    <t>Vendre maison Schoenberg (Fribourg): Trouvez le bien immobilier qui correspond idéalement à vos désirs sur ImmoScout24 - La plateforme de l'immobilier en Suisse.</t>
  </si>
  <si>
    <t>https://www.immoscout24.ch/fr/appartement/louer/lieu-movelier</t>
  </si>
  <si>
    <t>Louer appartement Movelier: Trouvez le bien immobilier qui correspond idéalement à vos désirs sur ImmoScout24 - La plateforme de l'immobilier en Suisse.</t>
  </si>
  <si>
    <t>https://www.immoscout24.ch/fr/maison/acheter/quartier-ville-ancienne-la-chaux-de-fonds</t>
  </si>
  <si>
    <t>Vendre maison Ville Ancienne (La Chaux-de-Fonds): Trouvez le bien immobilier qui correspond idéalement à vos désirs sur ImmoScout24 - La plateforme de l'immobilier en Suisse.</t>
  </si>
  <si>
    <t>https://www.immoscout24.ch/fr/maison/louer/lieu-erlach</t>
  </si>
  <si>
    <t>Louer maison Erlach: Trouvez le bien immobilier qui correspond idéalement à vos désirs sur ImmoScout24 - La plateforme de l'immobilier en Suisse.</t>
  </si>
  <si>
    <t>https://www.immoscout24.ch/fr/maison/acheter/lieu-seiry</t>
  </si>
  <si>
    <t>Vendre maison Seiry: Trouvez le bien immobilier qui correspond idéalement à vos désirs sur ImmoScout24 - La plateforme de l'immobilier en Suisse.</t>
  </si>
  <si>
    <t>https://www.immoscout24.ch/fr/appartement/acheter/lieu-belalp</t>
  </si>
  <si>
    <t>Vendre appartement Belalp: Trouvez le bien immobilier qui correspond idéalement à vos désirs sur ImmoScout24 - La plateforme de l'immobilier en Suisse.</t>
  </si>
  <si>
    <t>https://www.immoscout24.ch/fr/appartement/louer/region-jura-bernois</t>
  </si>
  <si>
    <t>Louer appartement Jura Bernois: Trouvez le bien immobilier qui correspond idéalement à vos désirs sur ImmoScout24 - La plateforme de l'immobilier en Suisse.</t>
  </si>
  <si>
    <t>https://www.immoscout24.ch/fr/appartement/louer/lieu-remaufens</t>
  </si>
  <si>
    <t>Louer appartement Remaufens: Trouvez le bien immobilier qui correspond idéalement à vos désirs sur ImmoScout24 - La plateforme de l'immobilier en Suisse.</t>
  </si>
  <si>
    <t>https://www.immoscout24.ch/fr/maison/acheter/lieu-aarau</t>
  </si>
  <si>
    <t>Vendre maison Aarau: Trouvez le bien immobilier qui correspond idéalement à vos désirs sur ImmoScout24 - La plateforme de l'immobilier en Suisse.</t>
  </si>
  <si>
    <t>https://www.immoscout24.ch/fr/appartement/louer/lieu-boesingen</t>
  </si>
  <si>
    <t>Louer appartement Bösingen: Trouvez le bien immobilier qui correspond idéalement à vos désirs sur ImmoScout24 - La plateforme de l'immobilier en Suisse.</t>
  </si>
  <si>
    <t>https://www.immoscout24.ch/fr/appartement/acheter/lieu-le-vaud</t>
  </si>
  <si>
    <t>Vendre appartement Le Vaud: Trouvez le bien immobilier qui correspond idéalement à vos désirs sur ImmoScout24 - La plateforme de l'immobilier en Suisse.</t>
  </si>
  <si>
    <t>https://www.immoscout24.ch/fr/appartement/acheter/lieu-taesch</t>
  </si>
  <si>
    <t>Vendre appartement Täsch: Trouvez le bien immobilier qui correspond idéalement à vos désirs sur ImmoScout24 - La plateforme de l'immobilier en Suisse.</t>
  </si>
  <si>
    <t>https://www.immoscout24.ch/fr/maison/acheter/lieu-st-legier-la-chiesaz</t>
  </si>
  <si>
    <t>Vendre maison St-Légier-La Chiésaz: Trouvez le bien immobilier qui correspond idéalement à vos désirs sur ImmoScout24 - La plateforme de l'immobilier en Suisse.</t>
  </si>
  <si>
    <t>https://www.immoscout24.ch/fr/maison/acheter/lieu-corcelles-pres-concise</t>
  </si>
  <si>
    <t>Vendre maison Corcelles-près-Concise: Trouvez le bien immobilier qui correspond idéalement à vos désirs sur ImmoScout24 - La plateforme de l'immobilier en Suisse.</t>
  </si>
  <si>
    <t>https://www.immoscout24.ch/fr/appartement/louer/lieu-corpataux-magnedens</t>
  </si>
  <si>
    <t>Louer appartement Corpataux: Trouvez le bien immobilier qui correspond idéalement à vos désirs sur ImmoScout24 - La plateforme de l'immobilier en Suisse.</t>
  </si>
  <si>
    <t>https://www.immoscout24.ch/fr/maison/acheter/lieu-mairengo</t>
  </si>
  <si>
    <t>Vendre maison Mairengo: Trouvez le bien immobilier qui correspond idéalement à vos désirs sur ImmoScout24 - La plateforme de l'immobilier en Suisse.</t>
  </si>
  <si>
    <t>https://www.immoscout24.ch/fr/maison/acheter/quartier-sebeillon-malley-lausanne</t>
  </si>
  <si>
    <t>Vendre maison Sébeillon - Malley (Lausanne): Trouvez le bien immobilier qui correspond idéalement à vos désirs sur ImmoScout24 - La plateforme de l'immobilier en Suisse.</t>
  </si>
  <si>
    <t>https://www.immoscout24.ch/fr/appartement/louer/region-porrentruy</t>
  </si>
  <si>
    <t>https://www.immoscout24.ch/fr/maison/louer/region-oberaargau</t>
  </si>
  <si>
    <t>Louer maison Oberaargau: Trouvez le bien immobilier qui correspond idéalement à vos désirs sur ImmoScout24 - La plateforme de l'immobilier en Suisse.</t>
  </si>
  <si>
    <t>https://www.immoscout24.ch/fr/appartement/louer/lieu-rolle</t>
  </si>
  <si>
    <t>Louer appartement Rolle: Trouvez le bien immobilier qui correspond idéalement à vos désirs sur ImmoScout24 - La plateforme de l'immobilier en Suisse.</t>
  </si>
  <si>
    <t>https://www.immoscout24.ch/fr/maison/acheter/lieu-mossel</t>
  </si>
  <si>
    <t>Vendre maison Mossel: Trouvez le bien immobilier qui correspond idéalement à vos désirs sur ImmoScout24 - La plateforme de l'immobilier en Suisse.</t>
  </si>
  <si>
    <t>https://www.immoscout24.ch/fr/appartement/louer/lieu-le-paquier-montbarry</t>
  </si>
  <si>
    <t>Louer appartement Le Pâquier-Montbarry: Trouvez le bien immobilier qui correspond idéalement à vos désirs sur ImmoScout24 - La plateforme de l'immobilier en Suisse.</t>
  </si>
  <si>
    <t>https://www.immoscout24.ch/fr/maison/acheter/lieu-schoenenwerd</t>
  </si>
  <si>
    <t>Vendre maison Schönenwerd: Trouvez le bien immobilier qui correspond idéalement à vos désirs sur ImmoScout24 - La plateforme de l'immobilier en Suisse.</t>
  </si>
  <si>
    <t>https://www.immoscout24.ch/fr/appartement/louer/lieu-cries-volleges</t>
  </si>
  <si>
    <t>Louer appartement Cries (Vollèges): Trouvez le bien immobilier qui correspond idéalement à vos désirs sur ImmoScout24 - La plateforme de l'immobilier en Suisse.</t>
  </si>
  <si>
    <t>https://www.immoscout24.ch/fr/appartement/acheter/lieu-lens</t>
  </si>
  <si>
    <t>Vendre appartement Lens: Trouvez le bien immobilier qui correspond idéalement à vos désirs sur ImmoScout24 - La plateforme de l'immobilier en Suisse.</t>
  </si>
  <si>
    <t>https://www.immoscout24.ch/fr/appartement/louer/lieu-roggenburg</t>
  </si>
  <si>
    <t>Louer appartement Roggenburg: Trouvez le bien immobilier qui correspond idéalement à vos désirs sur ImmoScout24 - La plateforme de l'immobilier en Suisse.</t>
  </si>
  <si>
    <t>https://www.immoscout24.ch/fr/appartement/louer/lieu-les-vieux-pres</t>
  </si>
  <si>
    <t>Louer appartement Les Vieux-Prés: Trouvez le bien immobilier qui correspond idéalement à vos désirs sur ImmoScout24 - La plateforme de l'immobilier en Suisse.</t>
  </si>
  <si>
    <t>https://www.immoscout24.ch/fr/maison/acheter/lieu-cordast</t>
  </si>
  <si>
    <t>Vendre maison Cordast: Trouvez le bien immobilier qui correspond idéalement à vos désirs sur ImmoScout24 - La plateforme de l'immobilier en Suisse.</t>
  </si>
  <si>
    <t>https://www.immoscout24.ch/fr/appartement/louer/lieu-courgenay</t>
  </si>
  <si>
    <t>Louer appartement Courgenay: Trouvez le bien immobilier qui correspond idéalement à vos désirs sur ImmoScout24 - La plateforme de l'immobilier en Suisse.</t>
  </si>
  <si>
    <t>https://www.immoscout24.ch/fr/appartement/acheter/lieu-leytron</t>
  </si>
  <si>
    <t>Vendre appartement Leytron: Trouvez le bien immobilier qui correspond idéalement à vos désirs sur ImmoScout24 - La plateforme de l'immobilier en Suisse.</t>
  </si>
  <si>
    <t>https://www.immoscout24.ch/fr/appartement/louer/lieu-muenchenstein</t>
  </si>
  <si>
    <t>Louer appartement Münchenstein: Trouvez le bien immobilier qui correspond idéalement à vos désirs sur ImmoScout24 - La plateforme de l'immobilier en Suisse.</t>
  </si>
  <si>
    <t>https://www.immoscout24.ch/fr/appartement/louer/lieu-mollens-vs</t>
  </si>
  <si>
    <t>Louer appartement Mollens VS: Trouvez le bien immobilier qui correspond idéalement à vos désirs sur ImmoScout24 - La plateforme de l'immobilier en Suisse.</t>
  </si>
  <si>
    <t>https://www.immoscout24.ch/fr/appartement/louer/lieu-onnens-vd</t>
  </si>
  <si>
    <t>Louer appartement Onnens VD: Trouvez le bien immobilier qui correspond idéalement à vos désirs sur ImmoScout24 - La plateforme de l'immobilier en Suisse.</t>
  </si>
  <si>
    <t>https://www.immoscout24.ch/fr/appartement/louer/region-campagne-rive-droite</t>
  </si>
  <si>
    <t>Louer appartement Campagne - Rive droite: Trouvez le bien immobilier qui correspond idéalement à vos désirs sur ImmoScout24 - La plateforme de l'immobilier en Suisse.</t>
  </si>
  <si>
    <t>https://www.immoscout24.ch/fr/maison/acheter/lieu-bruettelen</t>
  </si>
  <si>
    <t>Vendre maison Brüttelen: Trouvez le bien immobilier qui correspond idéalement à vos désirs sur ImmoScout24 - La plateforme de l'immobilier en Suisse.</t>
  </si>
  <si>
    <t>https://www.immoscout24.ch/fr/maison/acheter/lieu-cormoret</t>
  </si>
  <si>
    <t>Vendre maison Cormoret: Trouvez le bien immobilier qui correspond idéalement à vos désirs sur ImmoScout24 - La plateforme de l'immobilier en Suisse.</t>
  </si>
  <si>
    <t>https://www.immoscout24.ch/fr/appartement/louer/lieu-schindellegi</t>
  </si>
  <si>
    <t>Louer appartement Schindellegi: Trouvez le bien immobilier qui correspond idéalement à vos désirs sur ImmoScout24 - La plateforme de l'immobilier en Suisse.</t>
  </si>
  <si>
    <t>https://www.immoscout24.ch/fr/appartement/louer/lieu-monible</t>
  </si>
  <si>
    <t>Louer appartement Monible: Trouvez le bien immobilier qui correspond idéalement à vos désirs sur ImmoScout24 - La plateforme de l'immobilier en Suisse.</t>
  </si>
  <si>
    <t>https://www.immoscout24.ch/fr/maison/louer/lieu-chancy</t>
  </si>
  <si>
    <t>Louer maison Chancy: Trouvez le bien immobilier qui correspond idéalement à vos désirs sur ImmoScout24 - La plateforme de l'immobilier en Suisse.</t>
  </si>
  <si>
    <t>https://www.immoscout24.ch/fr/appartement/louer/lieu-romanshorn</t>
  </si>
  <si>
    <t>Louer appartement Romanshorn: Trouvez le bien immobilier qui correspond idéalement à vos désirs sur ImmoScout24 - La plateforme de l'immobilier en Suisse.</t>
  </si>
  <si>
    <t>https://www.immoscout24.ch/fr/appartement/louer/lieu-s-nazzaro</t>
  </si>
  <si>
    <t>Louer appartement S. Nazzaro: Trouvez le bien immobilier qui correspond idéalement à vos désirs sur ImmoScout24 - La plateforme de l'immobilier en Suisse.</t>
  </si>
  <si>
    <t>https://www.immoscout24.ch/fr/appartement/louer/lieu-salvenach</t>
  </si>
  <si>
    <t>Louer appartement Salvenach: Trouvez le bien immobilier qui correspond idéalement à vos désirs sur ImmoScout24 - La plateforme de l'immobilier en Suisse.</t>
  </si>
  <si>
    <t>https://www.immoscout24.ch/fr/maison/acheter/lieu-chavannes-des-bois</t>
  </si>
  <si>
    <t>Vendre maison Chavannes-des-Bois: Trouvez le bien immobilier qui correspond idéalement à vos désirs sur ImmoScout24 - La plateforme de l'immobilier en Suisse.</t>
  </si>
  <si>
    <t>https://www.immoscout24.ch/fr/appartement/acheter/lieu-aproz-nendaz</t>
  </si>
  <si>
    <t>Vendre appartement Aproz (Nendaz): Trouvez le bien immobilier qui correspond idéalement à vos désirs sur ImmoScout24 - La plateforme de l'immobilier en Suisse.</t>
  </si>
  <si>
    <t>https://www.immoscout24.ch/fr/appartement/louer/lieu-buelach</t>
  </si>
  <si>
    <t>Louer appartement Bülach: Trouvez le bien immobilier qui correspond idéalement à vos désirs sur ImmoScout24 - La plateforme de l'immobilier en Suisse.</t>
  </si>
  <si>
    <t>https://www.immoscout24.ch/fr/appartement/louer/canton-bale-ville</t>
  </si>
  <si>
    <t>Louer appartement Canton de Bâle-Ville: Trouvez le bien immobilier qui correspond idéalement à vos désirs sur ImmoScout24 - La plateforme de l'immobilier en Suisse.</t>
  </si>
  <si>
    <t>https://www.immoscout24.ch/fr/appartement/acheter/lieu-goumoens-la-ville</t>
  </si>
  <si>
    <t>Vendre appartement Goumoens-la-Ville: Trouvez le bien immobilier qui correspond idéalement à vos désirs sur ImmoScout24 - La plateforme de l'immobilier en Suisse.</t>
  </si>
  <si>
    <t>https://www.immoscout24.ch/fr/maison/louer/lieu-buix</t>
  </si>
  <si>
    <t>Louer maison Buix: Trouvez le bien immobilier qui correspond idéalement à vos désirs sur ImmoScout24 - La plateforme de l'immobilier en Suisse.</t>
  </si>
  <si>
    <t>https://www.immoscout24.ch/fr/appartement/louer/lieu-rigi-kaltbad</t>
  </si>
  <si>
    <t>Louer appartement Rigi Kaltbad: Trouvez le bien immobilier qui correspond idéalement à vos désirs sur ImmoScout24 - La plateforme de l'immobilier en Suisse.</t>
  </si>
  <si>
    <t>https://www.immoscout24.ch/fr/maison/acheter/lieu-pompaples</t>
  </si>
  <si>
    <t>Vendre maison Pompaples: Trouvez le bien immobilier qui correspond idéalement à vos désirs sur ImmoScout24 - La plateforme de l'immobilier en Suisse.</t>
  </si>
  <si>
    <t>https://www.immoscout24.ch/fr/appartement/louer/quartier-bre-lugano</t>
  </si>
  <si>
    <t>Louer appartement Brè (Lugano): Trouvez le bien immobilier qui correspond idéalement à vos désirs sur ImmoScout24 - La plateforme de l'immobilier en Suisse.</t>
  </si>
  <si>
    <t>https://www.immoscout24.ch/fr/maison/acheter/lieu-luthern</t>
  </si>
  <si>
    <t>Vendre maison Luthern: Trouvez le bien immobilier qui correspond idéalement à vos désirs sur ImmoScout24 - La plateforme de l'immobilier en Suisse.</t>
  </si>
  <si>
    <t>https://www.immoscout24.ch/fr/appartement/louer/region-ayent</t>
  </si>
  <si>
    <t>Louer appartement Ayent: Trouvez le bien immobilier qui correspond idéalement à vos désirs sur ImmoScout24 - La plateforme de l'immobilier en Suisse.</t>
  </si>
  <si>
    <t>https://www.immoscout24.ch/fr/appartement/louer/lieu-commugny</t>
  </si>
  <si>
    <t>Louer appartement Commugny: Trouvez le bien immobilier qui correspond idéalement à vos désirs sur ImmoScout24 - La plateforme de l'immobilier en Suisse.</t>
  </si>
  <si>
    <t>https://www.immoscout24.ch/fr/appartement/louer/lieu-seiry</t>
  </si>
  <si>
    <t>Louer appartement Seiry: Trouvez le bien immobilier qui correspond idéalement à vos désirs sur ImmoScout24 - La plateforme de l'immobilier en Suisse.</t>
  </si>
  <si>
    <t>https://www.immoscout24.ch/fr/appartement/louer/lieu-iserables</t>
  </si>
  <si>
    <t>Louer appartement Isérables: Trouvez le bien immobilier qui correspond idéalement à vos désirs sur ImmoScout24 - La plateforme de l'immobilier en Suisse.</t>
  </si>
  <si>
    <t>https://www.immoscout24.ch/fr/appartement/louer/quartier-liebefeld-koeniz</t>
  </si>
  <si>
    <t>Louer appartement Liebefeld (Köniz): Trouvez le bien immobilier qui correspond idéalement à vos désirs sur ImmoScout24 - La plateforme de l'immobilier en Suisse.</t>
  </si>
  <si>
    <t>https://www.immoscout24.ch/fr/maison/louer/lieu-cudrefin</t>
  </si>
  <si>
    <t>Louer maison Cudrefin: Trouvez le bien immobilier qui correspond idéalement à vos désirs sur ImmoScout24 - La plateforme de l'immobilier en Suisse.</t>
  </si>
  <si>
    <t>https://www.immoscout24.ch/fr/maison/louer/lieu-travers</t>
  </si>
  <si>
    <t>Louer maison Travers: Trouvez le bien immobilier qui correspond idéalement à vos désirs sur ImmoScout24 - La plateforme de l'immobilier en Suisse.</t>
  </si>
  <si>
    <t>https://www.immoscout24.ch/fr/maison/louer/lieu-montana</t>
  </si>
  <si>
    <t>Louer maison Montana: Trouvez le bien immobilier qui correspond idéalement à vos désirs sur ImmoScout24 - La plateforme de l'immobilier en Suisse.</t>
  </si>
  <si>
    <t>https://www.immoscout24.ch/fr/maison/louer/lieu-echandens</t>
  </si>
  <si>
    <t>Louer maison Echandens: Trouvez le bien immobilier qui correspond idéalement à vos désirs sur ImmoScout24 - La plateforme de l'immobilier en Suisse.</t>
  </si>
  <si>
    <t>https://www.immoscout24.ch/fr/appartement/louer/quartier-montriond-cour-lausanne</t>
  </si>
  <si>
    <t>Louer appartement Montriond - Cour (Lausanne): Trouvez le bien immobilier qui correspond idéalement à vos désirs sur ImmoScout24 - La plateforme de l'immobilier en Suisse.</t>
  </si>
  <si>
    <t>https://www.immoscout24.ch/fr/appartement/louer/lieu-chaneaz</t>
  </si>
  <si>
    <t>Louer appartement Chanéaz: Trouvez le bien immobilier qui correspond idéalement à vos désirs sur ImmoScout24 - La plateforme de l'immobilier en Suisse.</t>
  </si>
  <si>
    <t>https://www.immoscout24.ch/fr/appartement/louer/lieu-beromuenster</t>
  </si>
  <si>
    <t>Louer appartement Beromünster: Trouvez le bien immobilier qui correspond idéalement à vos désirs sur ImmoScout24 - La plateforme de l'immobilier en Suisse.</t>
  </si>
  <si>
    <t>https://www.immoscout24.ch/fr/appartement/acheter/quartier-vinet-pontaise-lausanne</t>
  </si>
  <si>
    <t>Vendre appartement Vinet - Pontaise (Lausanne): Trouvez le bien immobilier qui correspond idéalement à vos désirs sur ImmoScout24 - La plateforme de l'immobilier en Suisse.</t>
  </si>
  <si>
    <t>https://www.immoscout24.ch/fr/appartement/louer/lieu-grolley</t>
  </si>
  <si>
    <t>Louer appartement Grolley: Trouvez le bien immobilier qui correspond idéalement à vos désirs sur ImmoScout24 - La plateforme de l'immobilier en Suisse.</t>
  </si>
  <si>
    <t>https://www.immoscout24.ch/fr/appartement/acheter/lieu-crans-pres-celigny</t>
  </si>
  <si>
    <t>Vendre appartement Crans-près-Céligny: Trouvez le bien immobilier qui correspond idéalement à vos désirs sur ImmoScout24 - La plateforme de l'immobilier en Suisse.</t>
  </si>
  <si>
    <t>https://www.immoscout24.ch/fr/maison/acheter/lieu-chermignon-d-en-bas</t>
  </si>
  <si>
    <t>Vendre maison Chermignon-d'en-Bas: Trouvez le bien immobilier qui correspond idéalement à vos désirs sur ImmoScout24 - La plateforme de l'immobilier en Suisse.</t>
  </si>
  <si>
    <t>https://www.immoscout24.ch/fr/maison/louer/lieu-fully</t>
  </si>
  <si>
    <t>Louer maison Fully: Trouvez le bien immobilier qui correspond idéalement à vos désirs sur ImmoScout24 - La plateforme de l'immobilier en Suisse.</t>
  </si>
  <si>
    <t>https://www.immoscout24.ch/fr/appartement/louer/quartier-draizes-vauseyon-neuchatel</t>
  </si>
  <si>
    <t>Louer appartement Draizes - Vauseyon (Neuchâtel): Trouvez le bien immobilier qui correspond idéalement à vos désirs sur ImmoScout24 - La plateforme de l'immobilier en Suisse.</t>
  </si>
  <si>
    <t>https://www.immoscout24.ch/fr/appartement/acheter/lieu-chavannes-sous-orsonnens</t>
  </si>
  <si>
    <t>Vendre appartement Chavannes-sous-Orsonnens: Trouvez le bien immobilier qui correspond idéalement à vos désirs sur ImmoScout24 - La plateforme de l'immobilier en Suisse.</t>
  </si>
  <si>
    <t>https://www.immoscout24.ch/fr/maison/louer/region-laupen-sense</t>
  </si>
  <si>
    <t>Louer maison Laupen - Sense: Trouvez le bien immobilier qui correspond idéalement à vos désirs sur ImmoScout24 - La plateforme de l'immobilier en Suisse.</t>
  </si>
  <si>
    <t>https://www.immoscout24.ch/fr/appartement/louer/region-nidwald</t>
  </si>
  <si>
    <t>Louer appartement Nidwald: Trouvez le bien immobilier qui correspond idéalement à vos désirs sur ImmoScout24 - La plateforme de l'immobilier en Suisse.</t>
  </si>
  <si>
    <t>https://www.immoscout24.ch/fr/maison/acheter/canton-nidwald</t>
  </si>
  <si>
    <t>Vendre maison Canton de Nidwald: Trouvez le bien immobilier qui correspond idéalement à vos désirs sur ImmoScout24 - La plateforme de l'immobilier en Suisse.</t>
  </si>
  <si>
    <t>https://www.immoscout24.ch/fr/appartement/louer/lieu-riveo</t>
  </si>
  <si>
    <t>Louer appartement Riveo: Trouvez le bien immobilier qui correspond idéalement à vos désirs sur ImmoScout24 - La plateforme de l'immobilier en Suisse.</t>
  </si>
  <si>
    <t>https://www.immoscout24.ch/fr/maison/acheter/lieu-icogne</t>
  </si>
  <si>
    <t>Vendre maison Icogne: Trouvez le bien immobilier qui correspond idéalement à vos désirs sur ImmoScout24 - La plateforme de l'immobilier en Suisse.</t>
  </si>
  <si>
    <t>https://www.immoscout24.ch/fr/appartement/louer/lieu-chezard-st-martin</t>
  </si>
  <si>
    <t>Louer appartement Chézard-St-Martin: Trouvez le bien immobilier qui correspond idéalement à vos désirs sur ImmoScout24 - La plateforme de l'immobilier en Suisse.</t>
  </si>
  <si>
    <t>https://www.immoscout24.ch/fr/appartement/acheter/lieu-st-pierre-de-clages</t>
  </si>
  <si>
    <t>Vendre appartement St-Pierre-de-Clages: Trouvez le bien immobilier qui correspond idéalement à vos désirs sur ImmoScout24 - La plateforme de l'immobilier en Suisse.</t>
  </si>
  <si>
    <t>https://www.immoscout24.ch/fr/maison/acheter/lieu-ernen</t>
  </si>
  <si>
    <t>Vendre maison Ernen: Trouvez le bien immobilier qui correspond idéalement à vos désirs sur ImmoScout24 - La plateforme de l'immobilier en Suisse.</t>
  </si>
  <si>
    <t>https://www.immoscout24.ch/fr/appartement/acheter/lieu-villarbeney</t>
  </si>
  <si>
    <t>Vendre appartement Villarbeney: Trouvez le bien immobilier qui correspond idéalement à vos désirs sur ImmoScout24 - La plateforme de l'immobilier en Suisse.</t>
  </si>
  <si>
    <t>https://www.immoscout24.ch/fr/maison/acheter/quartier-liebefeld-koeniz</t>
  </si>
  <si>
    <t>Vendre maison Liebefeld (Köniz): Trouvez le bien immobilier qui correspond idéalement à vos désirs sur ImmoScout24 - La plateforme de l'immobilier en Suisse.</t>
  </si>
  <si>
    <t>https://www.immoscout24.ch/fr/appartement/louer/quartier-montoie-bourdonette-lausanne</t>
  </si>
  <si>
    <t>Louer appartement Montoie - Bourdonette (Lausanne): Trouvez le bien immobilier qui correspond idéalement à vos désirs sur ImmoScout24 - La plateforme de l'immobilier en Suisse.</t>
  </si>
  <si>
    <t>https://www.immoscout24.ch/fr/appartement/louer/lieu-ferlens-vd</t>
  </si>
  <si>
    <t>Louer appartement Ferlens VD: Trouvez le bien immobilier qui correspond idéalement à vos désirs sur ImmoScout24 - La plateforme de l'immobilier en Suisse.</t>
  </si>
  <si>
    <t>https://www.immoscout24.ch/fr/maison/acheter/lieu-ecublens-vd</t>
  </si>
  <si>
    <t>Vendre maison Ecublens VD: Trouvez le bien immobilier qui correspond idéalement à vos désirs sur ImmoScout24 - La plateforme de l'immobilier en Suisse.</t>
  </si>
  <si>
    <t>https://www.immoscout24.ch/fr/maison/louer/quartier-sous-gare-ouchy-lausanne</t>
  </si>
  <si>
    <t>Louer maison Sous-Gare - Ouchy (Lausanne): Trouvez le bien immobilier qui correspond idéalement à vos désirs sur ImmoScout24 - La plateforme de l'immobilier en Suisse.</t>
  </si>
  <si>
    <t>https://www.immoscout24.ch/fr/appartement/acheter/lieu-chancy</t>
  </si>
  <si>
    <t>Vendre appartement Chancy: Trouvez le bien immobilier qui correspond idéalement à vos désirs sur ImmoScout24 - La plateforme de l'immobilier en Suisse.</t>
  </si>
  <si>
    <t>https://www.immoscout24.ch/fr/appartement/louer/lieu-montet-glane</t>
  </si>
  <si>
    <t>Louer appartement Montet (Glâne): Trouvez le bien immobilier qui correspond idéalement à vos désirs sur ImmoScout24 - La plateforme de l'immobilier en Suisse.</t>
  </si>
  <si>
    <t>https://www.immoscout24.ch/fr/appartement/louer/lieu-bole</t>
  </si>
  <si>
    <t>Louer appartement Bôle: Trouvez le bien immobilier qui correspond idéalement à vos désirs sur ImmoScout24 - La plateforme de l'immobilier en Suisse.</t>
  </si>
  <si>
    <t>https://www.immoscout24.ch/fr/appartement/louer/lieu-oftringen</t>
  </si>
  <si>
    <t>Louer appartement Oftringen: Trouvez le bien immobilier qui correspond idéalement à vos désirs sur ImmoScout24 - La plateforme de l'immobilier en Suisse.</t>
  </si>
  <si>
    <t>https://www.immoscout24.ch/fr/appartement/louer/lieu-vuissens</t>
  </si>
  <si>
    <t>Louer appartement Vuissens: Trouvez le bien immobilier qui correspond idéalement à vos désirs sur ImmoScout24 - La plateforme de l'immobilier en Suisse.</t>
  </si>
  <si>
    <t>https://www.immoscout24.ch/fr/appartement/louer/lieu-lauterbrunnen</t>
  </si>
  <si>
    <t>Louer appartement Lauterbrunnen: Trouvez le bien immobilier qui correspond idéalement à vos désirs sur ImmoScout24 - La plateforme de l'immobilier en Suisse.</t>
  </si>
  <si>
    <t>https://www.immoscout24.ch/fr/appartement/louer/lieu-thayngen</t>
  </si>
  <si>
    <t>Louer appartement Thayngen: Trouvez le bien immobilier qui correspond idéalement à vos désirs sur ImmoScout24 - La plateforme de l'immobilier en Suisse.</t>
  </si>
  <si>
    <t>https://www.immoscout24.ch/fr/appartement/louer/lieu-st-brais</t>
  </si>
  <si>
    <t>Louer appartement St-Brais: Trouvez le bien immobilier qui correspond idéalement à vos désirs sur ImmoScout24 - La plateforme de l'immobilier en Suisse.</t>
  </si>
  <si>
    <t>https://www.immoscout24.ch/fr/appartement/louer/lieu-pery</t>
  </si>
  <si>
    <t>Louer appartement Péry: Trouvez le bien immobilier qui correspond idéalement à vos désirs sur ImmoScout24 - La plateforme de l'immobilier en Suisse.</t>
  </si>
  <si>
    <t>https://www.immoscout24.ch/fr/appartement/louer/lieu-neuhausen-am-rheinfall</t>
  </si>
  <si>
    <t>Louer appartement Neuhausen am Rheinfall: Trouvez le bien immobilier qui correspond idéalement à vos désirs sur ImmoScout24 - La plateforme de l'immobilier en Suisse.</t>
  </si>
  <si>
    <t>https://www.immoscout24.ch/fr/maison/louer/lieu-saillon</t>
  </si>
  <si>
    <t>Louer maison Saillon: Trouvez le bien immobilier qui correspond idéalement à vos désirs sur ImmoScout24 - La plateforme de l'immobilier en Suisse.</t>
  </si>
  <si>
    <t>https://www.immoscout24.ch/fr/maison/acheter/lieu-oulens-sous-echallens</t>
  </si>
  <si>
    <t>Vendre maison Oulens-sous-Echallens: Trouvez le bien immobilier qui correspond idéalement à vos désirs sur ImmoScout24 - La plateforme de l'immobilier en Suisse.</t>
  </si>
  <si>
    <t>https://www.immoscout24.ch/fr/appartement/louer/lieu-kuettigen</t>
  </si>
  <si>
    <t>Louer appartement Küttigen: Trouvez le bien immobilier qui correspond idéalement à vos désirs sur ImmoScout24 - La plateforme de l'immobilier en Suisse.</t>
  </si>
  <si>
    <t>https://www.immoscout24.ch/fr/maison/louer/lieu-carabietta</t>
  </si>
  <si>
    <t>Louer maison Carabietta: Trouvez le bien immobilier qui correspond idéalement à vos désirs sur ImmoScout24 - La plateforme de l'immobilier en Suisse.</t>
  </si>
  <si>
    <t>https://www.immoscout24.ch/fr/appartement/louer/lieu-heiligenschwendi</t>
  </si>
  <si>
    <t>Louer appartement Heiligenschwendi: Trouvez le bien immobilier qui correspond idéalement à vos désirs sur ImmoScout24 - La plateforme de l'immobilier en Suisse.</t>
  </si>
  <si>
    <t>https://www.immoscout24.ch/fr/maison/acheter/lieu-niederhasli</t>
  </si>
  <si>
    <t>Vendre maison Niederhasli: Trouvez le bien immobilier qui correspond idéalement à vos désirs sur ImmoScout24 - La plateforme de l'immobilier en Suisse.</t>
  </si>
  <si>
    <t>https://www.immoscout24.ch/fr/maison/acheter/lieu-penthaz</t>
  </si>
  <si>
    <t>Vendre maison Penthaz: Trouvez le bien immobilier qui correspond idéalement à vos désirs sur ImmoScout24 - La plateforme de l'immobilier en Suisse.</t>
  </si>
  <si>
    <t>https://www.immoscout24.ch/fr/appartement/louer/lieu-hellikon</t>
  </si>
  <si>
    <t>Louer appartement Hellikon: Trouvez le bien immobilier qui correspond idéalement à vos désirs sur ImmoScout24 - La plateforme de l'immobilier en Suisse.</t>
  </si>
  <si>
    <t>https://www.immoscout24.ch/fr/appartement/louer/quartier-pazzallo-lugano</t>
  </si>
  <si>
    <t>Louer appartement Pazzallo (Lugano): Trouvez le bien immobilier qui correspond idéalement à vos désirs sur ImmoScout24 - La plateforme de l'immobilier en Suisse.</t>
  </si>
  <si>
    <t>https://www.immoscout24.ch/fr/appartement/louer/lieu-lavey-village</t>
  </si>
  <si>
    <t>Louer appartement Lavey-Village: Trouvez le bien immobilier qui correspond idéalement à vos désirs sur ImmoScout24 - La plateforme de l'immobilier en Suisse.</t>
  </si>
  <si>
    <t>https://www.immoscout24.ch/fr/maison/louer/lieu-vich</t>
  </si>
  <si>
    <t>Louer maison Vich: Trouvez le bien immobilier qui correspond idéalement à vos désirs sur ImmoScout24 - La plateforme de l'immobilier en Suisse.</t>
  </si>
  <si>
    <t>https://www.immoscout24.ch/fr/appartement/louer/lieu-schenkon</t>
  </si>
  <si>
    <t>Louer appartement Schenkon: Trouvez le bien immobilier qui correspond idéalement à vos désirs sur ImmoScout24 - La plateforme de l'immobilier en Suisse.</t>
  </si>
  <si>
    <t>https://www.immoscout24.ch/fr/maison/acheter/lieu-rudolfstetten</t>
  </si>
  <si>
    <t>Vendre maison Rudolfstetten: Trouvez le bien immobilier qui correspond idéalement à vos désirs sur ImmoScout24 - La plateforme de l'immobilier en Suisse.</t>
  </si>
  <si>
    <t>https://www.immoscout24.ch/fr/maison/acheter/lieu-pigniu</t>
  </si>
  <si>
    <t>Vendre maison Pigniu: Trouvez le bien immobilier qui correspond idéalement à vos désirs sur ImmoScout24 - La plateforme de l'immobilier en Suisse.</t>
  </si>
  <si>
    <t>https://www.immoscout24.ch/fr/maison/louer/lieu-twann</t>
  </si>
  <si>
    <t>Louer maison Twann: Trouvez le bien immobilier qui correspond idéalement à vos désirs sur ImmoScout24 - La plateforme de l'immobilier en Suisse.</t>
  </si>
  <si>
    <t>https://www.immoscout24.ch/fr/maison/acheter/lieu-bachenbuelach</t>
  </si>
  <si>
    <t>Vendre maison Bachenbülach: Trouvez le bien immobilier qui correspond idéalement à vos désirs sur ImmoScout24 - La plateforme de l'immobilier en Suisse.</t>
  </si>
  <si>
    <t>https://www.immoscout24.ch/fr/appartement/acheter/lieu-basel</t>
  </si>
  <si>
    <t>Vendre appartement Basel: Trouvez le bien immobilier qui correspond idéalement à vos désirs sur ImmoScout24 - La plateforme de l'immobilier en Suisse.</t>
  </si>
  <si>
    <t>https://www.immoscout24.ch/fr/appartement/acheter/quartier-murifeld-berne</t>
  </si>
  <si>
    <t>Vendre appartement Murifeld (Berne): Trouvez le bien immobilier qui correspond idéalement à vos désirs sur ImmoScout24 - La plateforme de l'immobilier en Suisse.</t>
  </si>
  <si>
    <t>https://www.immoscout24.ch/fr/appartement/louer/region-obwalden</t>
  </si>
  <si>
    <t>Louer appartement Obwalden: Trouvez le bien immobilier qui correspond idéalement à vos désirs sur ImmoScout24 - La plateforme de l'immobilier en Suisse.</t>
  </si>
  <si>
    <t>https://www.immoscout24.ch/fr/maison/acheter/canton-fribourg</t>
  </si>
  <si>
    <t>Vendre maison Canton de Fribourg: Trouvez le bien immobilier qui correspond idéalement à vos désirs sur ImmoScout24 - La plateforme de l'immobilier en Suisse.</t>
  </si>
  <si>
    <t>https://www.immoscout24.ch/fr/appartement/louer/lieu-gurmels</t>
  </si>
  <si>
    <t>Louer appartement Gurmels: Trouvez le bien immobilier qui correspond idéalement à vos désirs sur ImmoScout24 - La plateforme de l'immobilier en Suisse.</t>
  </si>
  <si>
    <t>https://www.immoscout24.ch/fr/maison/louer/lieu-chexbres</t>
  </si>
  <si>
    <t>Louer maison Chexbres: Trouvez le bien immobilier qui correspond idéalement à vos désirs sur ImmoScout24 - La plateforme de l'immobilier en Suisse.</t>
  </si>
  <si>
    <t>https://www.immoscout24.ch/fr/maison/acheter/lieu-murten</t>
  </si>
  <si>
    <t>Vendre maison Murten: Trouvez le bien immobilier qui correspond idéalement à vos désirs sur ImmoScout24 - La plateforme de l'immobilier en Suisse.</t>
  </si>
  <si>
    <t>https://www.immoscout24.ch/fr/appartement/acheter/lieu-oberhofen-am-thunersee</t>
  </si>
  <si>
    <t>Vendre appartement Oberhofen am Thunersee: Trouvez le bien immobilier qui correspond idéalement à vos désirs sur ImmoScout24 - La plateforme de l'immobilier en Suisse.</t>
  </si>
  <si>
    <t>https://www.immoscout24.ch/fr/maison/acheter/lieu-morrens-vd</t>
  </si>
  <si>
    <t>Vendre maison Morrens VD: Trouvez le bien immobilier qui correspond idéalement à vos désirs sur ImmoScout24 - La plateforme de l'immobilier en Suisse.</t>
  </si>
  <si>
    <t>https://www.immoscout24.ch/fr/appartement/louer/lieu-cuarnens</t>
  </si>
  <si>
    <t>Louer appartement Cuarnens: Trouvez le bien immobilier qui correspond idéalement à vos désirs sur ImmoScout24 - La plateforme de l'immobilier en Suisse.</t>
  </si>
  <si>
    <t>https://www.immoscout24.ch/fr/appartement/louer/lieu-winterthur</t>
  </si>
  <si>
    <t>Louer appartement Winterthur: Trouvez le bien immobilier qui correspond idéalement à vos désirs sur ImmoScout24 - La plateforme de l'immobilier en Suisse.</t>
  </si>
  <si>
    <t>https://www.immoscout24.ch/fr/appartement/louer/lieu-turgi</t>
  </si>
  <si>
    <t>Louer appartement Turgi: Trouvez le bien immobilier qui correspond idéalement à vos désirs sur ImmoScout24 - La plateforme de l'immobilier en Suisse.</t>
  </si>
  <si>
    <t>https://www.immoscout24.ch/fr/appartement/acheter/lieu-greppen</t>
  </si>
  <si>
    <t>Vendre appartement Greppen: Trouvez le bien immobilier qui correspond idéalement à vos désirs sur ImmoScout24 - La plateforme de l'immobilier en Suisse.</t>
  </si>
  <si>
    <t>https://www.immoscout24.ch/fr/appartement/louer/lieu-st-saphorin-lavaux</t>
  </si>
  <si>
    <t>Louer appartement St-Saphorin (Lavaux): Trouvez le bien immobilier qui correspond idéalement à vos désirs sur ImmoScout24 - La plateforme de l'immobilier en Suisse.</t>
  </si>
  <si>
    <t>https://www.immoscout24.ch/fr/appartement/acheter/lieu-flims-dorf</t>
  </si>
  <si>
    <t>Vendre appartement Flims Dorf: Trouvez le bien immobilier qui correspond idéalement à vos désirs sur ImmoScout24 - La plateforme de l'immobilier en Suisse.</t>
  </si>
  <si>
    <t>https://www.immoscout24.ch/fr/maison/acheter/lieu-bouloz</t>
  </si>
  <si>
    <t>Vendre maison Bouloz: Trouvez le bien immobilier qui correspond idéalement à vos désirs sur ImmoScout24 - La plateforme de l'immobilier en Suisse.</t>
  </si>
  <si>
    <t>https://www.immoscout24.ch/fr/appartement/louer/lieu-rheineck</t>
  </si>
  <si>
    <t>Louer appartement Rheineck: Trouvez le bien immobilier qui correspond idéalement à vos désirs sur ImmoScout24 - La plateforme de l'immobilier en Suisse.</t>
  </si>
  <si>
    <t>https://www.immoscout24.ch/fr/appartement/louer/lieu-zuben</t>
  </si>
  <si>
    <t>Louer appartement Zuben: Trouvez le bien immobilier qui correspond idéalement à vos désirs sur ImmoScout24 - La plateforme de l'immobilier en Suisse.</t>
  </si>
  <si>
    <t>https://www.immoscout24.ch/fr/appartement/louer/lieu-le-brassus</t>
  </si>
  <si>
    <t>Louer appartement Le Brassus: Trouvez le bien immobilier qui correspond idéalement à vos désirs sur ImmoScout24 - La plateforme de l'immobilier en Suisse.</t>
  </si>
  <si>
    <t>https://www.immoscout24.ch/fr/appartement/acheter/canton-st-gall</t>
  </si>
  <si>
    <t>Vendre appartement Canton de St. Gall: Trouvez le bien immobilier qui correspond idéalement à vos désirs sur ImmoScout24 - La plateforme de l'immobilier en Suisse.</t>
  </si>
  <si>
    <t>https://www.immoscout24.ch/fr/maison/acheter/lieu-enney</t>
  </si>
  <si>
    <t>Vendre maison Enney: Trouvez le bien immobilier qui correspond idéalement à vos désirs sur ImmoScout24 - La plateforme de l'immobilier en Suisse.</t>
  </si>
  <si>
    <t>https://www.immoscout24.ch/fr/appartement/louer/lieu-courchapoix</t>
  </si>
  <si>
    <t>Louer appartement Courchapoix: Trouvez le bien immobilier qui correspond idéalement à vos désirs sur ImmoScout24 - La plateforme de l'immobilier en Suisse.</t>
  </si>
  <si>
    <t>https://www.immoscout24.ch/fr/appartement/louer/lieu-champvent</t>
  </si>
  <si>
    <t>Louer appartement Champvent: Trouvez le bien immobilier qui correspond idéalement à vos désirs sur ImmoScout24 - La plateforme de l'immobilier en Suisse.</t>
  </si>
  <si>
    <t>https://www.immoscout24.ch/fr/appartement/acheter/lieu-hinterkappelen</t>
  </si>
  <si>
    <t>Vendre appartement Hinterkappelen: Trouvez le bien immobilier qui correspond idéalement à vos désirs sur ImmoScout24 - La plateforme de l'immobilier en Suisse.</t>
  </si>
  <si>
    <t>https://www.immoscout24.ch/fr/maison/acheter/canton-tessin</t>
  </si>
  <si>
    <t>Vendre maison Canton du Tessin: Trouvez le bien immobilier qui correspond idéalement à vos désirs sur ImmoScout24 - La plateforme de l'immobilier en Suisse.</t>
  </si>
  <si>
    <t>https://www.immoscout24.ch/fr/appartement/louer/lieu-mezieres-vd</t>
  </si>
  <si>
    <t>Louer appartement Mézières VD: Trouvez le bien immobilier qui correspond idéalement à vos désirs sur ImmoScout24 - La plateforme de l'immobilier en Suisse.</t>
  </si>
  <si>
    <t>https://www.immoscout24.ch/fr/appartement/louer/pays-hongrie</t>
  </si>
  <si>
    <t>Louer appartement Hongrie: Trouvez le bien immobilier qui correspond idéalement à vos désirs sur ImmoScout24 - La plateforme de l'immobilier en Suisse.</t>
  </si>
  <si>
    <t>https://www.immoscout24.ch/fr/appartement/louer/lieu-arnegg</t>
  </si>
  <si>
    <t>Louer appartement Arnegg: Trouvez le bien immobilier qui correspond idéalement à vos désirs sur ImmoScout24 - La plateforme de l'immobilier en Suisse.</t>
  </si>
  <si>
    <t>https://www.immoscout24.ch/fr/appartement/louer/lieu-schmerikon</t>
  </si>
  <si>
    <t>Louer appartement Schmerikon: Trouvez le bien immobilier qui correspond idéalement à vos désirs sur ImmoScout24 - La plateforme de l'immobilier en Suisse.</t>
  </si>
  <si>
    <t>https://www.immoscout24.ch/fr/appartement/louer/lieu-chatillens</t>
  </si>
  <si>
    <t>Louer appartement Châtillens: Trouvez le bien immobilier qui correspond idéalement à vos désirs sur ImmoScout24 - La plateforme de l'immobilier en Suisse.</t>
  </si>
  <si>
    <t>https://www.immoscout24.ch/fr/appartement/louer/quartier-neustadt-voltastrasse-lucerne</t>
  </si>
  <si>
    <t>Louer appartement Neustadt - Voltastrasse (Lucerne): Trouvez le bien immobilier qui correspond idéalement à vos désirs sur ImmoScout24 - La plateforme de l'immobilier en Suisse.</t>
  </si>
  <si>
    <t>https://www.immoscout24.ch/fr/maison/acheter/lieu-hendschiken</t>
  </si>
  <si>
    <t>Vendre maison Hendschiken: Trouvez le bien immobilier qui correspond idéalement à vos désirs sur ImmoScout24 - La plateforme de l'immobilier en Suisse.</t>
  </si>
  <si>
    <t>https://www.immoscout24.ch/fr/appartement/acheter/lieu-arch</t>
  </si>
  <si>
    <t>Vendre appartement Arch: Trouvez le bien immobilier qui correspond idéalement à vos désirs sur ImmoScout24 - La plateforme de l'immobilier en Suisse.</t>
  </si>
  <si>
    <t>https://www.immoscout24.ch/fr/maison/acheter/lieu-champoussin</t>
  </si>
  <si>
    <t>Vendre maison Champoussin: Trouvez le bien immobilier qui correspond idéalement à vos désirs sur ImmoScout24 - La plateforme de l'immobilier en Suisse.</t>
  </si>
  <si>
    <t>https://www.immoscout24.ch/fr/appartement/louer/lieu-immensee</t>
  </si>
  <si>
    <t>Louer appartement Immensee: Trouvez le bien immobilier qui correspond idéalement à vos désirs sur ImmoScout24 - La plateforme de l'immobilier en Suisse.</t>
  </si>
  <si>
    <t>https://www.immoscout24.ch/fr/maison/louer/lieu-rechy</t>
  </si>
  <si>
    <t>Louer maison Réchy: Trouvez le bien immobilier qui correspond idéalement à vos désirs sur ImmoScout24 - La plateforme de l'immobilier en Suisse.</t>
  </si>
  <si>
    <t>https://www.immoscout24.ch/fr/maison/acheter/lieu-taverne</t>
  </si>
  <si>
    <t>Vendre maison Taverne: Trouvez le bien immobilier qui correspond idéalement à vos désirs sur ImmoScout24 - La plateforme de l'immobilier en Suisse.</t>
  </si>
  <si>
    <t>https://www.immoscout24.ch/fr/appartement/louer/lieu-lourtier</t>
  </si>
  <si>
    <t>Louer appartement Lourtier: Trouvez le bien immobilier qui correspond idéalement à vos désirs sur ImmoScout24 - La plateforme de l'immobilier en Suisse.</t>
  </si>
  <si>
    <t>https://www.immoscout24.ch/fr/appartement/louer/lieu-schaffhausen</t>
  </si>
  <si>
    <t>Louer appartement Schaffhausen: Trouvez le bien immobilier qui correspond idéalement à vos désirs sur ImmoScout24 - La plateforme de l'immobilier en Suisse.</t>
  </si>
  <si>
    <t>https://www.immoscout24.ch/fr/appartement/acheter/lieu-kandersteg</t>
  </si>
  <si>
    <t>Vendre appartement Kandersteg: Trouvez le bien immobilier qui correspond idéalement à vos désirs sur ImmoScout24 - La plateforme de l'immobilier en Suisse.</t>
  </si>
  <si>
    <t>https://www.immoscout24.ch/fr/appartement/louer/lieu-grandfontaine</t>
  </si>
  <si>
    <t>Louer appartement Grandfontaine: Trouvez le bien immobilier qui correspond idéalement à vos désirs sur ImmoScout24 - La plateforme de l'immobilier en Suisse.</t>
  </si>
  <si>
    <t>https://www.immoscout24.ch/fr/maison/louer/lieu-bourg-st-pierre</t>
  </si>
  <si>
    <t>Louer maison Bourg-St-Pierre: Trouvez le bien immobilier qui correspond idéalement à vos désirs sur ImmoScout24 - La plateforme de l'immobilier en Suisse.</t>
  </si>
  <si>
    <t>https://www.immoscout24.ch/fr/maison/acheter/lieu-colombier-ne</t>
  </si>
  <si>
    <t>Vendre maison Colombier NE: Trouvez le bien immobilier qui correspond idéalement à vos désirs sur ImmoScout24 - La plateforme de l'immobilier en Suisse.</t>
  </si>
  <si>
    <t>https://www.immoscout24.ch/fr/maison/louer/lieu-reconvilier</t>
  </si>
  <si>
    <t>Louer maison Reconvilier: Trouvez le bien immobilier qui correspond idéalement à vos désirs sur ImmoScout24 - La plateforme de l'immobilier en Suisse.</t>
  </si>
  <si>
    <t>https://www.immoscout24.ch/fr/maison/acheter/lieu-bueren-an-der-aare</t>
  </si>
  <si>
    <t>Vendre maison Büren an der Aare: Trouvez le bien immobilier qui correspond idéalement à vos désirs sur ImmoScout24 - La plateforme de l'immobilier en Suisse.</t>
  </si>
  <si>
    <t>https://www.immoscout24.ch/fr/maison/acheter/lieu-epesses</t>
  </si>
  <si>
    <t>Vendre maison Epesses: Trouvez le bien immobilier qui correspond idéalement à vos désirs sur ImmoScout24 - La plateforme de l'immobilier en Suisse.</t>
  </si>
  <si>
    <t>https://www.immoscout24.ch/fr/maison/acheter/lieu-yens</t>
  </si>
  <si>
    <t>Vendre maison Yens: Trouvez le bien immobilier qui correspond idéalement à vos désirs sur ImmoScout24 - La plateforme de l'immobilier en Suisse.</t>
  </si>
  <si>
    <t>https://www.immoscout24.ch/fr/appartement/acheter/lieu-wetzikon-zh</t>
  </si>
  <si>
    <t>Vendre appartement Wetzikon ZH: Trouvez le bien immobilier qui correspond idéalement à vos désirs sur ImmoScout24 - La plateforme de l'immobilier en Suisse.</t>
  </si>
  <si>
    <t>https://www.immoscout24.ch/fr/maison/louer/canton-soleure</t>
  </si>
  <si>
    <t>Louer maison Canton de Soleure: Trouvez le bien immobilier qui correspond idéalement à vos désirs sur ImmoScout24 - La plateforme de l'immobilier en Suisse.</t>
  </si>
  <si>
    <t>https://www.immoscout24.ch/fr/maison/louer/lieu-courroux</t>
  </si>
  <si>
    <t>Louer maison Courroux: Trouvez le bien immobilier qui correspond idéalement à vos désirs sur ImmoScout24 - La plateforme de l'immobilier en Suisse.</t>
  </si>
  <si>
    <t>https://www.immoscout24.ch/fr/appartement/louer/quartier-wabern-koeniz</t>
  </si>
  <si>
    <t>Louer appartement Wabern (Köniz): Trouvez le bien immobilier qui correspond idéalement à vos désirs sur ImmoScout24 - La plateforme de l'immobilier en Suisse.</t>
  </si>
  <si>
    <t>https://www.immoscout24.ch/fr/appartement/acheter/lieu-flamatt</t>
  </si>
  <si>
    <t>Vendre appartement Flamatt: Trouvez le bien immobilier qui correspond idéalement à vos désirs sur ImmoScout24 - La plateforme de l'immobilier en Suisse.</t>
  </si>
  <si>
    <t>https://www.immoscout24.ch/fr/maison/acheter/lieu-bellerive-vd</t>
  </si>
  <si>
    <t>Vendre maison Bellerive VD: Trouvez le bien immobilier qui correspond idéalement à vos désirs sur ImmoScout24 - La plateforme de l'immobilier en Suisse.</t>
  </si>
  <si>
    <t>https://www.immoscout24.ch/fr/maison/louer/lieu-motier-vully</t>
  </si>
  <si>
    <t>Louer maison Môtier (Vully): Trouvez le bien immobilier qui correspond idéalement à vos désirs sur ImmoScout24 - La plateforme de l'immobilier en Suisse.</t>
  </si>
  <si>
    <t>https://www.immoscout24.ch/fr/appartement/louer/lieu-gillarens</t>
  </si>
  <si>
    <t>Louer appartement Gillarens: Trouvez le bien immobilier qui correspond idéalement à vos désirs sur ImmoScout24 - La plateforme de l'immobilier en Suisse.</t>
  </si>
  <si>
    <t>https://www.immoscout24.ch/fr/maison/louer/lieu-curio</t>
  </si>
  <si>
    <t>Louer maison Curio: Trouvez le bien immobilier qui correspond idéalement à vos désirs sur ImmoScout24 - La plateforme de l'immobilier en Suisse.</t>
  </si>
  <si>
    <t>https://www.immoscout24.ch/fr/maison/acheter/lieu-sugiez</t>
  </si>
  <si>
    <t>Vendre maison Sugiez: Trouvez le bien immobilier qui correspond idéalement à vos désirs sur ImmoScout24 - La plateforme de l'immobilier en Suisse.</t>
  </si>
  <si>
    <t>https://www.immoscout24.ch/fr/appartement/acheter/lieu-gland</t>
  </si>
  <si>
    <t>Vendre appartement Gland: Trouvez le bien immobilier qui correspond idéalement à vos désirs sur ImmoScout24 - La plateforme de l'immobilier en Suisse.</t>
  </si>
  <si>
    <t>https://www.immoscout24.ch/fr/appartement/acheter/lieu-oberembrach</t>
  </si>
  <si>
    <t>Vendre appartement Oberembrach: Trouvez le bien immobilier qui correspond idéalement à vos désirs sur ImmoScout24 - La plateforme de l'immobilier en Suisse.</t>
  </si>
  <si>
    <t>https://www.immoscout24.ch/fr/appartement/acheter/lieu-arlesheim</t>
  </si>
  <si>
    <t>Vendre appartement Arlesheim: Trouvez le bien immobilier qui correspond idéalement à vos désirs sur ImmoScout24 - La plateforme de l'immobilier en Suisse.</t>
  </si>
  <si>
    <t>https://www.immoscout24.ch/fr/appartement/louer/lieu-severy</t>
  </si>
  <si>
    <t>Louer appartement Sévery: Trouvez le bien immobilier qui correspond idéalement à vos désirs sur ImmoScout24 - La plateforme de l'immobilier en Suisse.</t>
  </si>
  <si>
    <t>https://www.immoscout24.ch/fr/maison/acheter/lieu-eclepens</t>
  </si>
  <si>
    <t>Vendre maison Eclépens: Trouvez le bien immobilier qui correspond idéalement à vos désirs sur ImmoScout24 - La plateforme de l'immobilier en Suisse.</t>
  </si>
  <si>
    <t>https://www.immoscout24.ch/fr/maison/acheter/lieu-fortunau-ayent</t>
  </si>
  <si>
    <t>Vendre maison Fortunau (Ayent): Trouvez le bien immobilier qui correspond idéalement à vos désirs sur ImmoScout24 - La plateforme de l'immobilier en Suisse.</t>
  </si>
  <si>
    <t>https://www.immoscout24.ch/fr/maison/acheter/lieu-sembrancher</t>
  </si>
  <si>
    <t>Vendre maison Sembrancher: Trouvez le bien immobilier qui correspond idéalement à vos désirs sur ImmoScout24 - La plateforme de l'immobilier en Suisse.</t>
  </si>
  <si>
    <t>https://www.immoscout24.ch/fr/appartement/louer/lieu-st-sulpice-vd</t>
  </si>
  <si>
    <t>Louer appartement St-Sulpice VD: Trouvez le bien immobilier qui correspond idéalement à vos désirs sur ImmoScout24 - La plateforme de l'immobilier en Suisse.</t>
  </si>
  <si>
    <t>https://www.immoscout24.ch/fr/appartement/louer/quartier-vigneules-biel-bienne</t>
  </si>
  <si>
    <t>Louer appartement Vigneules (Biel/Bienne): Trouvez le bien immobilier qui correspond idéalement à vos désirs sur ImmoScout24 - La plateforme de l'immobilier en Suisse.</t>
  </si>
  <si>
    <t>https://www.immoscout24.ch/fr/appartement/louer/lieu-haegendorf</t>
  </si>
  <si>
    <t>Louer appartement Hägendorf: Trouvez le bien immobilier qui correspond idéalement à vos désirs sur ImmoScout24 - La plateforme de l'immobilier en Suisse.</t>
  </si>
  <si>
    <t>https://www.immoscout24.ch/fr/appartement/acheter/lieu-bossonnens</t>
  </si>
  <si>
    <t>Vendre appartement Bossonnens: Trouvez le bien immobilier qui correspond idéalement à vos désirs sur ImmoScout24 - La plateforme de l'immobilier en Suisse.</t>
  </si>
  <si>
    <t>https://www.immoscout24.ch/fr/appartement/louer/quartier-maihof-rotsee-lucerne</t>
  </si>
  <si>
    <t>Louer appartement Maihof - Rotsee (Lucerne): Trouvez le bien immobilier qui correspond idéalement à vos désirs sur ImmoScout24 - La plateforme de l'immobilier en Suisse.</t>
  </si>
  <si>
    <t>https://www.immoscout24.ch/fr/maison/acheter/lieu-graenichen</t>
  </si>
  <si>
    <t>Vendre maison Gränichen: Trouvez le bien immobilier qui correspond idéalement à vos désirs sur ImmoScout24 - La plateforme de l'immobilier en Suisse.</t>
  </si>
  <si>
    <t>https://www.immoscout24.ch/fr/maison/louer/lieu-savigny</t>
  </si>
  <si>
    <t>Louer maison Savigny: Trouvez le bien immobilier qui correspond idéalement à vos désirs sur ImmoScout24 - La plateforme de l'immobilier en Suisse.</t>
  </si>
  <si>
    <t>https://www.immoscout24.ch/fr/appartement/louer/lieu-urdorf</t>
  </si>
  <si>
    <t>Louer appartement Urdorf: Trouvez le bien immobilier qui correspond idéalement à vos désirs sur ImmoScout24 - La plateforme de l'immobilier en Suisse.</t>
  </si>
  <si>
    <t>https://www.immoscout24.ch/fr/maison/acheter/lieu-cronay</t>
  </si>
  <si>
    <t>Vendre maison Cronay: Trouvez le bien immobilier qui correspond idéalement à vos désirs sur ImmoScout24 - La plateforme de l'immobilier en Suisse.</t>
  </si>
  <si>
    <t>https://www.immoscout24.ch/fr/maison/acheter/lieu-epagny</t>
  </si>
  <si>
    <t>Vendre maison Epagny: Trouvez le bien immobilier qui correspond idéalement à vos désirs sur ImmoScout24 - La plateforme de l'immobilier en Suisse.</t>
  </si>
  <si>
    <t>https://www.immoscout24.ch/fr/appartement/acheter/lieu-prez-vers-noreaz</t>
  </si>
  <si>
    <t>Vendre appartement Prez-vers-Noréaz: Trouvez le bien immobilier qui correspond idéalement à vos désirs sur ImmoScout24 - La plateforme de l'immobilier en Suisse.</t>
  </si>
  <si>
    <t>https://www.immoscout24.ch/fr/appartement/louer/lieu-meilen</t>
  </si>
  <si>
    <t>Louer appartement Meilen: Trouvez le bien immobilier qui correspond idéalement à vos désirs sur ImmoScout24 - La plateforme de l'immobilier en Suisse.</t>
  </si>
  <si>
    <t>https://www.immoscout24.ch/fr/appartement/louer/lieu-caslano</t>
  </si>
  <si>
    <t>Louer appartement Caslano: Trouvez le bien immobilier qui correspond idéalement à vos désirs sur ImmoScout24 - La plateforme de l'immobilier en Suisse.</t>
  </si>
  <si>
    <t>https://www.immoscout24.ch/fr/maison/acheter/lieu-champoz</t>
  </si>
  <si>
    <t>Vendre maison Champoz: Trouvez le bien immobilier qui correspond idéalement à vos désirs sur ImmoScout24 - La plateforme de l'immobilier en Suisse.</t>
  </si>
  <si>
    <t>https://www.immoscout24.ch/fr/maison/louer/lieu-sevaz</t>
  </si>
  <si>
    <t>Louer maison Sévaz: Trouvez le bien immobilier qui correspond idéalement à vos désirs sur ImmoScout24 - La plateforme de l'immobilier en Suisse.</t>
  </si>
  <si>
    <t>https://www.immoscout24.ch/fr/maison/louer/region-porrentruy</t>
  </si>
  <si>
    <t>Louer maison Porrentruy: Trouvez le bien immobilier qui correspond idéalement à vos désirs sur ImmoScout24 - La plateforme de l'immobilier en Suisse.</t>
  </si>
  <si>
    <t>https://www.immoscout24.ch/fr/maison/louer/lieu-sion</t>
  </si>
  <si>
    <t>Louer maison Sion: Trouvez le bien immobilier qui correspond idéalement à vos désirs sur ImmoScout24 - La plateforme de l'immobilier en Suisse.</t>
  </si>
  <si>
    <t>https://www.immoscout24.ch/fr/appartement/louer/lieu-dino</t>
  </si>
  <si>
    <t>Louer appartement Dino: Trouvez le bien immobilier qui correspond idéalement à vos désirs sur ImmoScout24 - La plateforme de l'immobilier en Suisse.</t>
  </si>
  <si>
    <t>https://www.immoscout24.ch/fr/appartement/louer/lieu-baltschieder</t>
  </si>
  <si>
    <t>Louer appartement Baltschieder: Trouvez le bien immobilier qui correspond idéalement à vos désirs sur ImmoScout24 - La plateforme de l'immobilier en Suisse.</t>
  </si>
  <si>
    <t>https://www.immoscout24.ch/fr/appartement/acheter/lieu-zug</t>
  </si>
  <si>
    <t>Vendre appartement Zug: Trouvez le bien immobilier qui correspond idéalement à vos désirs sur ImmoScout24 - La plateforme de l'immobilier en Suisse.</t>
  </si>
  <si>
    <t>https://www.immoscout24.ch/fr/maison/acheter/lieu-grangettes-pres-romont</t>
  </si>
  <si>
    <t>Vendre maison Grangettes-près-Romont: Trouvez le bien immobilier qui correspond idéalement à vos désirs sur ImmoScout24 - La plateforme de l'immobilier en Suisse.</t>
  </si>
  <si>
    <t>https://www.immoscout24.ch/fr/appartement/louer/lieu-wagen</t>
  </si>
  <si>
    <t>Louer appartement Wagen: Trouvez le bien immobilier qui correspond idéalement à vos désirs sur ImmoScout24 - La plateforme de l'immobilier en Suisse.</t>
  </si>
  <si>
    <t>https://www.immoscout24.ch/fr/maison/acheter/quartier-mousquines-bellevue-lausanne</t>
  </si>
  <si>
    <t>Vendre maison Mousquines - Bellevue (Lausanne): Trouvez le bien immobilier qui correspond idéalement à vos désirs sur ImmoScout24 - La plateforme de l'immobilier en Suisse.</t>
  </si>
  <si>
    <t>https://www.immoscout24.ch/fr/maison/louer/canton-grisons</t>
  </si>
  <si>
    <t>Louer maison Canton des Grisons: Trouvez le bien immobilier qui correspond idéalement à vos désirs sur ImmoScout24 - La plateforme de l'immobilier en Suisse.</t>
  </si>
  <si>
    <t>https://www.immoscout24.ch/fr/appartement/louer/lieu-signy</t>
  </si>
  <si>
    <t>Louer appartement Signy: Trouvez le bien immobilier qui correspond idéalement à vos désirs sur ImmoScout24 - La plateforme de l'immobilier en Suisse.</t>
  </si>
  <si>
    <t>https://www.immoscout24.ch/fr/appartement/louer/lieu-bachenbuelach</t>
  </si>
  <si>
    <t>Louer appartement Bachenbülach: Trouvez le bien immobilier qui correspond idéalement à vos désirs sur ImmoScout24 - La plateforme de l'immobilier en Suisse.</t>
  </si>
  <si>
    <t>https://www.immoscout24.ch/fr/maison/louer/lieu-aigle</t>
  </si>
  <si>
    <t>Louer maison Aigle: Trouvez le bien immobilier qui correspond idéalement à vos désirs sur ImmoScout24 - La plateforme de l'immobilier en Suisse.</t>
  </si>
  <si>
    <t>https://www.immoscout24.ch/fr/appartement/louer/lieu-hergiswil-nw</t>
  </si>
  <si>
    <t>Louer appartement Hergiswil NW: Trouvez le bien immobilier qui correspond idéalement à vos désirs sur ImmoScout24 - La plateforme de l'immobilier en Suisse.</t>
  </si>
  <si>
    <t>https://www.immoscout24.ch/fr/appartement/louer/lieu-crans-pres-celigny</t>
  </si>
  <si>
    <t>Louer appartement Crans-près-Céligny: Trouvez le bien immobilier qui correspond idéalement à vos désirs sur ImmoScout24 - La plateforme de l'immobilier en Suisse.</t>
  </si>
  <si>
    <t>https://www.immoscout24.ch/fr/maison/louer/lieu-oberburg</t>
  </si>
  <si>
    <t>Louer maison Oberburg: Trouvez le bien immobilier qui correspond idéalement à vos désirs sur ImmoScout24 - La plateforme de l'immobilier en Suisse.</t>
  </si>
  <si>
    <t>https://www.immoscout24.ch/fr/appartement/louer/region-la-cote-nyon</t>
  </si>
  <si>
    <t>Louer appartement La Côte - Nyon: Trouvez le bien immobilier qui correspond idéalement à vos désirs sur ImmoScout24 - La plateforme de l'immobilier en Suisse.</t>
  </si>
  <si>
    <t>https://www.immoscout24.ch/fr/maison/acheter/lieu-vuarrens</t>
  </si>
  <si>
    <t>Vendre maison Vuarrens: Trouvez le bien immobilier qui correspond idéalement à vos désirs sur ImmoScout24 - La plateforme de l'immobilier en Suisse.</t>
  </si>
  <si>
    <t>https://www.immoscout24.ch/fr/maison/acheter/lieu-besazio</t>
  </si>
  <si>
    <t>Vendre maison Besazio: Trouvez le bien immobilier qui correspond idéalement à vos désirs sur ImmoScout24 - La plateforme de l'immobilier en Suisse.</t>
  </si>
  <si>
    <t>https://www.immoscout24.ch/fr/appartement/acheter/region-lac-majeur</t>
  </si>
  <si>
    <t>Vendre appartement Lac Majeur: Trouvez le bien immobilier qui correspond idéalement à vos désirs sur ImmoScout24 - La plateforme de l'immobilier en Suisse.</t>
  </si>
  <si>
    <t>https://www.immoscout24.ch/fr/appartement/louer/lieu-villars-sur-fontenais</t>
  </si>
  <si>
    <t>Louer appartement Villars-sur-Fontenais: Trouvez le bien immobilier qui correspond idéalement à vos désirs sur ImmoScout24 - La plateforme de l'immobilier en Suisse.</t>
  </si>
  <si>
    <t>https://www.immoscout24.ch/fr/maison/acheter/region-bale-ville</t>
  </si>
  <si>
    <t>Vendre maison Bâle-Ville: Trouvez le bien immobilier qui correspond idéalement à vos désirs sur ImmoScout24 - La plateforme de l'immobilier en Suisse.</t>
  </si>
  <si>
    <t>https://www.immoscout24.ch/fr/maison/acheter/lieu-vinelz</t>
  </si>
  <si>
    <t>Vendre maison Vinelz: Trouvez le bien immobilier qui correspond idéalement à vos désirs sur ImmoScout24 - La plateforme de l'immobilier en Suisse.</t>
  </si>
  <si>
    <t>https://www.immoscout24.ch/fr/appartement/acheter/lieu-veyrier</t>
  </si>
  <si>
    <t>Vendre appartement Veyrier: Trouvez le bien immobilier qui correspond idéalement à vos désirs sur ImmoScout24 - La plateforme de l'immobilier en Suisse.</t>
  </si>
  <si>
    <t>https://www.immoscout24.ch/fr/appartement/louer/lieu-attiswil</t>
  </si>
  <si>
    <t>Louer appartement Attiswil: Trouvez le bien immobilier qui correspond idéalement à vos désirs sur ImmoScout24 - La plateforme de l'immobilier en Suisse.</t>
  </si>
  <si>
    <t>https://www.immoscout24.ch/fr/maison/acheter/canton-turgovie</t>
  </si>
  <si>
    <t>Vendre maison Canton de Turgovie: Trouvez le bien immobilier qui correspond idéalement à vos désirs sur ImmoScout24 - La plateforme de l'immobilier en Suisse.</t>
  </si>
  <si>
    <t>https://www.immoscout24.ch/fr/appartement/acheter/lieu-etoy</t>
  </si>
  <si>
    <t>Vendre appartement Etoy: Trouvez le bien immobilier qui correspond idéalement à vos désirs sur ImmoScout24 - La plateforme de l'immobilier en Suisse.</t>
  </si>
  <si>
    <t>https://www.immoscout24.ch/fr/appartement/louer/lieu-pleujouse</t>
  </si>
  <si>
    <t>Louer appartement Pleujouse: Trouvez le bien immobilier qui correspond idéalement à vos désirs sur ImmoScout24 - La plateforme de l'immobilier en Suisse.</t>
  </si>
  <si>
    <t>https://www.immoscout24.ch/fr/appartement/louer/region-lac-de-constance</t>
  </si>
  <si>
    <t>Louer appartement Lac de Constance: Trouvez le bien immobilier qui correspond idéalement à vos désirs sur ImmoScout24 - La plateforme de l'immobilier en Suisse.</t>
  </si>
  <si>
    <t>https://www.immoscout24.ch/fr/appartement/acheter/lieu-sempach-station</t>
  </si>
  <si>
    <t>Vendre appartement Sempach Station: Trouvez le bien immobilier qui correspond idéalement à vos désirs sur ImmoScout24 - La plateforme de l'immobilier en Suisse.</t>
  </si>
  <si>
    <t>https://www.immoscout24.ch/fr/appartement/louer/lieu-preverenges</t>
  </si>
  <si>
    <t>Louer appartement Préverenges: Trouvez le bien immobilier qui correspond idéalement à vos désirs sur ImmoScout24 - La plateforme de l'immobilier en Suisse.</t>
  </si>
  <si>
    <t>https://www.immoscout24.ch/fr/maison/acheter/lieu-corcelles-sur-chavornay</t>
  </si>
  <si>
    <t>Vendre maison Corcelles-sur-Chavornay: Trouvez le bien immobilier qui correspond idéalement à vos désirs sur ImmoScout24 - La plateforme de l'immobilier en Suisse.</t>
  </si>
  <si>
    <t>https://www.immoscout24.ch/fr/maison/acheter/lieu-ravoire</t>
  </si>
  <si>
    <t>Vendre maison Ravoire: Trouvez le bien immobilier qui correspond idéalement à vos désirs sur ImmoScout24 - La plateforme de l'immobilier en Suisse.</t>
  </si>
  <si>
    <t>https://www.immoscout24.ch/fr/appartement/louer/lieu-chez-le-bart</t>
  </si>
  <si>
    <t>Louer appartement Chez-le-Bart: Trouvez le bien immobilier qui correspond idéalement à vos désirs sur ImmoScout24 - La plateforme de l'immobilier en Suisse.</t>
  </si>
  <si>
    <t>https://www.immoscout24.ch/fr/appartement/louer/lieu-pieterlen</t>
  </si>
  <si>
    <t>Louer appartement Pieterlen: Trouvez le bien immobilier qui correspond idéalement à vos désirs sur ImmoScout24 - La plateforme de l'immobilier en Suisse.</t>
  </si>
  <si>
    <t>https://www.immoscout24.ch/fr/appartement/louer/quartier-bramberg-stkarli-lucerne</t>
  </si>
  <si>
    <t>Louer appartement Bramberg - St. Karli (Lucerne): Trouvez le bien immobilier qui correspond idéalement à vos désirs sur ImmoScout24 - La plateforme de l'immobilier en Suisse.</t>
  </si>
  <si>
    <t>https://www.immoscout24.ch/fr/maison/louer/lieu-lussy-sur-morges</t>
  </si>
  <si>
    <t>Louer maison Lussy-sur-Morges: Trouvez le bien immobilier qui correspond idéalement à vos désirs sur ImmoScout24 - La plateforme de l'immobilier en Suisse.</t>
  </si>
  <si>
    <t>https://www.immoscout24.ch/fr/appartement/acheter/lieu-reconvilier</t>
  </si>
  <si>
    <t>Vendre appartement Reconvilier: Trouvez le bien immobilier qui correspond idéalement à vos désirs sur ImmoScout24 - La plateforme de l'immobilier en Suisse.</t>
  </si>
  <si>
    <t>https://www.immoscout24.ch/fr/appartement/louer/quartier-charmilles-chatelaine-geneve</t>
  </si>
  <si>
    <t>Louer appartement Charmilles - Châtelaine (Genève): Trouvez le bien immobilier qui correspond idéalement à vos désirs sur ImmoScout24 - La plateforme de l'immobilier en Suisse.</t>
  </si>
  <si>
    <t>https://www.immoscout24.ch/fr/maison/louer/lieu-sedeilles</t>
  </si>
  <si>
    <t>Louer maison Sédeilles: Trouvez le bien immobilier qui correspond idéalement à vos désirs sur ImmoScout24 - La plateforme de l'immobilier en Suisse.</t>
  </si>
  <si>
    <t>https://www.immoscout24.ch/fr/maison/acheter/lieu-schwarzenburg</t>
  </si>
  <si>
    <t>Vendre maison Schwarzenburg: Trouvez le bien immobilier qui correspond idéalement à vos désirs sur ImmoScout24 - La plateforme de l'immobilier en Suisse.</t>
  </si>
  <si>
    <t>https://www.immoscout24.ch/fr/appartement/acheter/lieu-bruson</t>
  </si>
  <si>
    <t>Vendre appartement Bruson: Trouvez le bien immobilier qui correspond idéalement à vos désirs sur ImmoScout24 - La plateforme de l'immobilier en Suisse.</t>
  </si>
  <si>
    <t>https://www.immoscout24.ch/fr/appartement/acheter/lieu-coppet</t>
  </si>
  <si>
    <t>Vendre appartement Coppet: Trouvez le bien immobilier qui correspond idéalement à vos désirs sur ImmoScout24 - La plateforme de l'immobilier en Suisse.</t>
  </si>
  <si>
    <t>https://www.immoscout24.ch/fr/maison/acheter/lieu-champtauroz</t>
  </si>
  <si>
    <t>Vendre maison Champtauroz: Trouvez le bien immobilier qui correspond idéalement à vos désirs sur ImmoScout24 - La plateforme de l'immobilier en Suisse.</t>
  </si>
  <si>
    <t>https://www.immoscout24.ch/fr/maison/acheter/lieu-castagnola</t>
  </si>
  <si>
    <t>Vendre maison Castagnola: Trouvez le bien immobilier qui correspond idéalement à vos désirs sur ImmoScout24 - La plateforme de l'immobilier en Suisse.</t>
  </si>
  <si>
    <t>https://www.immoscout24.ch/fr/maison/louer/lieu-gruyeres</t>
  </si>
  <si>
    <t>Louer maison Gruyères: Trouvez le bien immobilier qui correspond idéalement à vos désirs sur ImmoScout24 - La plateforme de l'immobilier en Suisse.</t>
  </si>
  <si>
    <t>https://www.immoscout24.ch/fr/maison/acheter/lieu-glarus</t>
  </si>
  <si>
    <t>Vendre maison Glarus: Trouvez le bien immobilier qui correspond idéalement à vos désirs sur ImmoScout24 - La plateforme de l'immobilier en Suisse.</t>
  </si>
  <si>
    <t>https://www.immoscout24.ch/fr/maison/acheter/lieu-biberist</t>
  </si>
  <si>
    <t>Vendre maison Biberist: Trouvez le bien immobilier qui correspond idéalement à vos désirs sur ImmoScout24 - La plateforme de l'immobilier en Suisse.</t>
  </si>
  <si>
    <t>https://www.immoscout24.ch/fr/appartement/louer/lieu-villiers</t>
  </si>
  <si>
    <t>Louer appartement Villiers: Trouvez le bien immobilier qui correspond idéalement à vos désirs sur ImmoScout24 - La plateforme de l'immobilier en Suisse.</t>
  </si>
  <si>
    <t>https://www.immoscout24.ch/fr/appartement/acheter/lieu-le-bry</t>
  </si>
  <si>
    <t>Vendre appartement Le Bry: Trouvez le bien immobilier qui correspond idéalement à vos désirs sur ImmoScout24 - La plateforme de l'immobilier en Suisse.</t>
  </si>
  <si>
    <t>https://www.immoscout24.ch/fr/appartement/louer/lieu-tscheppach</t>
  </si>
  <si>
    <t>Louer appartement Tscheppach: Trouvez le bien immobilier qui correspond idéalement à vos désirs sur ImmoScout24 - La plateforme de l'immobilier en Suisse.</t>
  </si>
  <si>
    <t>https://www.immoscout24.ch/fr/maison/acheter/lieu-binn</t>
  </si>
  <si>
    <t>Vendre maison Binn: Trouvez le bien immobilier qui correspond idéalement à vos désirs sur ImmoScout24 - La plateforme de l'immobilier en Suisse.</t>
  </si>
  <si>
    <t>https://www.immoscout24.ch/fr/maison/acheter/lieu-salvenach</t>
  </si>
  <si>
    <t>Vendre maison Salvenach: Trouvez le bien immobilier qui correspond idéalement à vos désirs sur ImmoScout24 - La plateforme de l'immobilier en Suisse.</t>
  </si>
  <si>
    <t>https://www.immoscout24.ch/fr/appartement/louer/lieu-chene-paquier</t>
  </si>
  <si>
    <t>Louer appartement Chêne-Pâquier: Trouvez le bien immobilier qui correspond idéalement à vos désirs sur ImmoScout24 - La plateforme de l'immobilier en Suisse.</t>
  </si>
  <si>
    <t>https://www.immoscout24.ch/fr/appartement/acheter/region-montagnes-neuchateloises</t>
  </si>
  <si>
    <t>Vendre appartement Montagnes Neuchâteloises: Trouvez le bien immobilier qui correspond idéalement à vos désirs sur ImmoScout24 - La plateforme de l'immobilier en Suisse.</t>
  </si>
  <si>
    <t>https://www.immoscout24.ch/fr/appartement/louer/lieu-maules</t>
  </si>
  <si>
    <t>Louer appartement Maules: Trouvez le bien immobilier qui correspond idéalement à vos désirs sur ImmoScout24 - La plateforme de l'immobilier en Suisse.</t>
  </si>
  <si>
    <t>https://www.immoscout24.ch/fr/maison/acheter/region-rhone-arve</t>
  </si>
  <si>
    <t>Vendre maison Rhône-Arve: Trouvez le bien immobilier qui correspond idéalement à vos désirs sur ImmoScout24 - La plateforme de l'immobilier en Suisse.</t>
  </si>
  <si>
    <t>https://www.immoscout24.ch/fr/appartement/louer/region-lucerne-lac</t>
  </si>
  <si>
    <t>Louer appartement Lucerne - Lac: Trouvez le bien immobilier qui correspond idéalement à vos désirs sur ImmoScout24 - La plateforme de l'immobilier en Suisse.</t>
  </si>
  <si>
    <t>https://www.immoscout24.ch/fr/appartement/louer/lieu-laax-gr</t>
  </si>
  <si>
    <t>Louer appartement Laax GR: Trouvez le bien immobilier qui correspond idéalement à vos désirs sur ImmoScout24 - La plateforme de l'immobilier en Suisse.</t>
  </si>
  <si>
    <t>https://www.immoscout24.ch/fr/maison/acheter/lieu-turtmann</t>
  </si>
  <si>
    <t>Vendre maison Turtmann: Trouvez le bien immobilier qui correspond idéalement à vos désirs sur ImmoScout24 - La plateforme de l'immobilier en Suisse.</t>
  </si>
  <si>
    <t>https://www.immoscout24.ch/fr/maison/acheter/lieu-villaraboud</t>
  </si>
  <si>
    <t>Vendre maison Villaraboud: Trouvez le bien immobilier qui correspond idéalement à vos désirs sur ImmoScout24 - La plateforme de l'immobilier en Suisse.</t>
  </si>
  <si>
    <t>https://www.immoscout24.ch/fr/maison/acheter/lieu-bremgarten-b-bern</t>
  </si>
  <si>
    <t>Vendre maison Bremgarten b. Bern: Trouvez le bien immobilier qui correspond idéalement à vos désirs sur ImmoScout24 - La plateforme de l'immobilier en Suisse.</t>
  </si>
  <si>
    <t>https://www.immoscout24.ch/fr/maison/acheter/lieu-rueras</t>
  </si>
  <si>
    <t>Vendre maison Rueras: Trouvez le bien immobilier qui correspond idéalement à vos désirs sur ImmoScout24 - La plateforme de l'immobilier en Suisse.</t>
  </si>
  <si>
    <t>https://www.immoscout24.ch/fr/appartement/louer/lieu-gorgier</t>
  </si>
  <si>
    <t>Louer appartement Gorgier: Trouvez le bien immobilier qui correspond idéalement à vos désirs sur ImmoScout24 - La plateforme de l'immobilier en Suisse.</t>
  </si>
  <si>
    <t>https://www.immoscout24.ch/fr/appartement/louer/quartier-madretsch-nord-biel-bienne</t>
  </si>
  <si>
    <t>Louer appartement Madretsch Nord (Biel/Bienne): Trouvez le bien immobilier qui correspond idéalement à vos désirs sur ImmoScout24 - La plateforme de l'immobilier en Suisse.</t>
  </si>
  <si>
    <t>https://www.immoscout24.ch/fr/maison/acheter/lieu-nods</t>
  </si>
  <si>
    <t>Vendre maison Nods: Trouvez le bien immobilier qui correspond idéalement à vos désirs sur ImmoScout24 - La plateforme de l'immobilier en Suisse.</t>
  </si>
  <si>
    <t>https://www.immoscout24.ch/fr/maison/acheter/lieu-miege</t>
  </si>
  <si>
    <t>Vendre maison Miège: Trouvez le bien immobilier qui correspond idéalement à vos désirs sur ImmoScout24 - La plateforme de l'immobilier en Suisse.</t>
  </si>
  <si>
    <t>https://www.immoscout24.ch/fr/appartement/acheter/lieu-ermatingen</t>
  </si>
  <si>
    <t>Vendre appartement Ermatingen: Trouvez le bien immobilier qui correspond idéalement à vos désirs sur ImmoScout24 - La plateforme de l'immobilier en Suisse.</t>
  </si>
  <si>
    <t>https://www.immoscout24.ch/fr/appartement/acheter/lieu-hermance</t>
  </si>
  <si>
    <t>Vendre appartement Hermance: Trouvez le bien immobilier qui correspond idéalement à vos désirs sur ImmoScout24 - La plateforme de l'immobilier en Suisse.</t>
  </si>
  <si>
    <t>https://www.immoscout24.ch/fr/maison/acheter/lieu-beurnevesin</t>
  </si>
  <si>
    <t>Vendre maison Beurnevésin: Trouvez le bien immobilier qui correspond idéalement à vos désirs sur ImmoScout24 - La plateforme de l'immobilier en Suisse.</t>
  </si>
  <si>
    <t>https://www.immoscout24.ch/fr/appartement/louer/lieu-schoeftland</t>
  </si>
  <si>
    <t>Louer appartement Schöftland: Trouvez le bien immobilier qui correspond idéalement à vos désirs sur ImmoScout24 - La plateforme de l'immobilier en Suisse.</t>
  </si>
  <si>
    <t>https://www.immoscout24.ch/fr/appartement/louer/lieu-beinwil-freiamt</t>
  </si>
  <si>
    <t>Louer appartement Beinwil (Freiamt): Trouvez le bien immobilier qui correspond idéalement à vos désirs sur ImmoScout24 - La plateforme de l'immobilier en Suisse.</t>
  </si>
  <si>
    <t>https://www.immoscout24.ch/fr/appartement/acheter/lieu-vetroz</t>
  </si>
  <si>
    <t>Vendre appartement Vétroz: Trouvez le bien immobilier qui correspond idéalement à vos désirs sur ImmoScout24 - La plateforme de l'immobilier en Suisse.</t>
  </si>
  <si>
    <t>https://www.immoscout24.ch/fr/maison/acheter/lieu-randogne</t>
  </si>
  <si>
    <t>Vendre maison Randogne: Trouvez le bien immobilier qui correspond idéalement à vos désirs sur ImmoScout24 - La plateforme de l'immobilier en Suisse.</t>
  </si>
  <si>
    <t>https://www.immoscout24.ch/fr/maison/acheter/lieu-la-croix-lutry</t>
  </si>
  <si>
    <t>Vendre maison La Croix (Lutry): Trouvez le bien immobilier qui correspond idéalement à vos désirs sur ImmoScout24 - La plateforme de l'immobilier en Suisse.</t>
  </si>
  <si>
    <t>https://www.immoscout24.ch/fr/appartement/louer/lieu-ramsen</t>
  </si>
  <si>
    <t>Louer appartement Ramsen: Trouvez le bien immobilier qui correspond idéalement à vos désirs sur ImmoScout24 - La plateforme de l'immobilier en Suisse.</t>
  </si>
  <si>
    <t>https://www.immoscout24.ch/fr/appartement/louer/lieu-wettingen</t>
  </si>
  <si>
    <t>Louer appartement Wettingen: Trouvez le bien immobilier qui correspond idéalement à vos désirs sur ImmoScout24 - La plateforme de l'immobilier en Suisse.</t>
  </si>
  <si>
    <t>https://www.immoscout24.ch/fr/appartement/louer/quartier-klybeck-bale</t>
  </si>
  <si>
    <t>Louer appartement Klybeck (Bâle): Trouvez le bien immobilier qui correspond idéalement à vos désirs sur ImmoScout24 - La plateforme de l'immobilier en Suisse.</t>
  </si>
  <si>
    <t>https://www.immoscout24.ch/fr/appartement/louer/quartier-eaux-vives-lac-geneve</t>
  </si>
  <si>
    <t>Louer appartement Eaux-Vives - Lac (Genève): Trouvez le bien immobilier qui correspond idéalement à vos désirs sur ImmoScout24 - La plateforme de l'immobilier en Suisse.</t>
  </si>
  <si>
    <t>https://www.immoscout24.ch/fr/maison/louer/lieu-moudon</t>
  </si>
  <si>
    <t>Louer maison Moudon: Trouvez le bien immobilier qui correspond idéalement à vos désirs sur ImmoScout24 - La plateforme de l'immobilier en Suisse.</t>
  </si>
  <si>
    <t>https://www.immoscout24.ch/fr/appartement/louer/lieu-nussbaumen-ag</t>
  </si>
  <si>
    <t>Louer appartement Nussbaumen AG: Trouvez le bien immobilier qui correspond idéalement à vos désirs sur ImmoScout24 - La plateforme de l'immobilier en Suisse.</t>
  </si>
  <si>
    <t>https://www.immoscout24.ch/fr/appartement/louer/lieu-begnins</t>
  </si>
  <si>
    <t>Louer appartement Begnins: Trouvez le bien immobilier qui correspond idéalement à vos désirs sur ImmoScout24 - La plateforme de l'immobilier en Suisse.</t>
  </si>
  <si>
    <t>https://www.immoscout24.ch/fr/maison/acheter/lieu-vandoeuvres</t>
  </si>
  <si>
    <t>Vendre maison Vandoeuvres: Trouvez le bien immobilier qui correspond idéalement à vos désirs sur ImmoScout24 - La plateforme de l'immobilier en Suisse.</t>
  </si>
  <si>
    <t>https://www.immoscout24.ch/fr/appartement/acheter/lieu-la-croix-de-rozon</t>
  </si>
  <si>
    <t>Vendre appartement La Croix-de-Rozon: Trouvez le bien immobilier qui correspond idéalement à vos désirs sur ImmoScout24 - La plateforme de l'immobilier en Suisse.</t>
  </si>
  <si>
    <t>https://www.immoscout24.ch/fr/appartement/louer/lieu-les-mayens-de-sion</t>
  </si>
  <si>
    <t>Louer appartement Les Mayens-de-Sion: Trouvez le bien immobilier qui correspond idéalement à vos désirs sur ImmoScout24 - La plateforme de l'immobilier en Suisse.</t>
  </si>
  <si>
    <t>https://www.immoscout24.ch/fr/maison/acheter/lieu-le-chateau-de-ste-croix</t>
  </si>
  <si>
    <t>Vendre maison Le Château-de-Ste-Croix: Trouvez le bien immobilier qui correspond idéalement à vos désirs sur ImmoScout24 - La plateforme de l'immobilier en Suisse.</t>
  </si>
  <si>
    <t>https://www.immoscout24.ch/fr/maison/acheter/lieu-wettswil</t>
  </si>
  <si>
    <t>Vendre maison Wettswil: Trouvez le bien immobilier qui correspond idéalement à vos désirs sur ImmoScout24 - La plateforme de l'immobilier en Suisse.</t>
  </si>
  <si>
    <t>https://www.immoscout24.ch/fr/appartement/acheter/lieu-windisch</t>
  </si>
  <si>
    <t>Vendre appartement Windisch: Trouvez le bien immobilier qui correspond idéalement à vos désirs sur ImmoScout24 - La plateforme de l'immobilier en Suisse.</t>
  </si>
  <si>
    <t>https://www.immoscout24.ch/fr/maison/acheter/lieu-missy</t>
  </si>
  <si>
    <t>Vendre maison Missy: Trouvez le bien immobilier qui correspond idéalement à vos désirs sur ImmoScout24 - La plateforme de l'immobilier en Suisse.</t>
  </si>
  <si>
    <t>https://www.immoscout24.ch/fr/maison/acheter/lieu-le-locle</t>
  </si>
  <si>
    <t>Vendre maison Le Locle: Trouvez le bien immobilier qui correspond idéalement à vos désirs sur ImmoScout24 - La plateforme de l'immobilier en Suisse.</t>
  </si>
  <si>
    <t>https://www.immoscout24.ch/fr/maison/louer/lieu-nussbaumen-ag</t>
  </si>
  <si>
    <t>Louer maison Nussbaumen AG: Trouvez le bien immobilier qui correspond idéalement à vos désirs sur ImmoScout24 - La plateforme de l'immobilier en Suisse.</t>
  </si>
  <si>
    <t>https://www.immoscout24.ch/fr/appartement/acheter/lieu-saillon</t>
  </si>
  <si>
    <t>Vendre appartement Saillon: Trouvez le bien immobilier qui correspond idéalement à vos désirs sur ImmoScout24 - La plateforme de l'immobilier en Suisse.</t>
  </si>
  <si>
    <t>https://www.immoscout24.ch/fr/maison/acheter/lieu-triengen</t>
  </si>
  <si>
    <t>Vendre maison Triengen: Trouvez le bien immobilier qui correspond idéalement à vos désirs sur ImmoScout24 - La plateforme de l'immobilier en Suisse.</t>
  </si>
  <si>
    <t>https://www.immoscout24.ch/fr/maison/acheter/lieu-hittnau</t>
  </si>
  <si>
    <t>Vendre maison Hittnau: Trouvez le bien immobilier qui correspond idéalement à vos désirs sur ImmoScout24 - La plateforme de l'immobilier en Suisse.</t>
  </si>
  <si>
    <t>https://www.immoscout24.ch/fr/maison/acheter/lieu-condemines-nendaz</t>
  </si>
  <si>
    <t>Vendre maison Condémines (Nendaz): Trouvez le bien immobilier qui correspond idéalement à vos désirs sur ImmoScout24 - La plateforme de l'immobilier en Suisse.</t>
  </si>
  <si>
    <t>https://www.immoscout24.ch/fr/appartement/louer/lieu-saviese</t>
  </si>
  <si>
    <t>Louer appartement Savièse: Trouvez le bien immobilier qui correspond idéalement à vos désirs sur ImmoScout24 - La plateforme de l'immobilier en Suisse.</t>
  </si>
  <si>
    <t>https://www.immoscout24.ch/fr/appartement/acheter/lieu-muerren</t>
  </si>
  <si>
    <t>Vendre appartement Mürren: Trouvez le bien immobilier qui correspond idéalement à vos désirs sur ImmoScout24 - La plateforme de l'immobilier en Suisse.</t>
  </si>
  <si>
    <t>https://www.immoscout24.ch/fr/appartement/acheter/lieu-choulex</t>
  </si>
  <si>
    <t>Vendre appartement Choulex: Trouvez le bien immobilier qui correspond idéalement à vos désirs sur ImmoScout24 - La plateforme de l'immobilier en Suisse.</t>
  </si>
  <si>
    <t>https://www.immoscout24.ch/fr/maison/louer/lieu-collonge-bellerive</t>
  </si>
  <si>
    <t>Louer maison Collonge-Bellerive: Trouvez le bien immobilier qui correspond idéalement à vos désirs sur ImmoScout24 - La plateforme de l'immobilier en Suisse.</t>
  </si>
  <si>
    <t>https://www.immoscout24.ch/fr/appartement/louer/quartier-niederscherli-koeniz</t>
  </si>
  <si>
    <t>Louer appartement Niederscherli (Köniz): Trouvez le bien immobilier qui correspond idéalement à vos désirs sur ImmoScout24 - La plateforme de l'immobilier en Suisse.</t>
  </si>
  <si>
    <t>https://www.immoscout24.ch/fr/appartement/louer/lieu-weisslingen</t>
  </si>
  <si>
    <t>Louer appartement Weisslingen: Trouvez le bien immobilier qui correspond idéalement à vos désirs sur ImmoScout24 - La plateforme de l'immobilier en Suisse.</t>
  </si>
  <si>
    <t>https://www.immoscout24.ch/fr/maison/acheter/lieu-tatroz</t>
  </si>
  <si>
    <t>Vendre maison Tatroz: Trouvez le bien immobilier qui correspond idéalement à vos désirs sur ImmoScout24 - La plateforme de l'immobilier en Suisse.</t>
  </si>
  <si>
    <t>https://www.immoscout24.ch/fr/appartement/acheter/lieu-aire-la-ville</t>
  </si>
  <si>
    <t>Vendre appartement Aire-la-Ville: Trouvez le bien immobilier qui correspond idéalement à vos désirs sur ImmoScout24 - La plateforme de l'immobilier en Suisse.</t>
  </si>
  <si>
    <t>https://www.immoscout24.ch/fr/appartement/louer/lieu-salmsach</t>
  </si>
  <si>
    <t>Louer appartement Salmsach: Trouvez le bien immobilier qui correspond idéalement à vos désirs sur ImmoScout24 - La plateforme de l'immobilier en Suisse.</t>
  </si>
  <si>
    <t>https://www.immoscout24.ch/fr/appartement/louer/region-schaffouse-et-environs</t>
  </si>
  <si>
    <t>Louer appartement Schaffouse et environs: Trouvez le bien immobilier qui correspond idéalement à vos désirs sur ImmoScout24 - La plateforme de l'immobilier en Suisse.</t>
  </si>
  <si>
    <t>https://www.immoscout24.ch/fr/maison/louer/lieu-faoug</t>
  </si>
  <si>
    <t>Louer maison Faoug: Trouvez le bien immobilier qui correspond idéalement à vos désirs sur ImmoScout24 - La plateforme de l'immobilier en Suisse.</t>
  </si>
  <si>
    <t>https://www.immoscout24.ch/fr/appartement/louer/lieu-axalp</t>
  </si>
  <si>
    <t>Louer appartement Axalp: Trouvez le bien immobilier qui correspond idéalement à vos désirs sur ImmoScout24 - La plateforme de l'immobilier en Suisse.</t>
  </si>
  <si>
    <t>https://www.immoscout24.ch/fr/appartement/acheter/lieu-puidoux</t>
  </si>
  <si>
    <t>Vendre appartement Puidoux: Trouvez le bien immobilier qui correspond idéalement à vos désirs sur ImmoScout24 - La plateforme de l'immobilier en Suisse.</t>
  </si>
  <si>
    <t>https://www.immoscout24.ch/fr/appartement/louer/lieu-bettingen</t>
  </si>
  <si>
    <t>Louer appartement Bettingen: Trouvez le bien immobilier qui correspond idéalement à vos désirs sur ImmoScout24 - La plateforme de l'immobilier en Suisse.</t>
  </si>
  <si>
    <t>https://www.immoscout24.ch/fr/appartement/acheter/lieu-autigny</t>
  </si>
  <si>
    <t>Vendre appartement Autigny: Trouvez le bien immobilier qui correspond idéalement à vos désirs sur ImmoScout24 - La plateforme de l'immobilier en Suisse.</t>
  </si>
  <si>
    <t>https://www.immoscout24.ch/fr/appartement/acheter/lieu-ste-croix</t>
  </si>
  <si>
    <t>Vendre appartement Ste-Croix: Trouvez le bien immobilier qui correspond idéalement à vos désirs sur ImmoScout24 - La plateforme de l'immobilier en Suisse.</t>
  </si>
  <si>
    <t>https://www.immoscout24.ch/fr/appartement/acheter/lieu-essertines-sur-rolle</t>
  </si>
  <si>
    <t>Vendre appartement Essertines-sur-Rolle: Trouvez le bien immobilier qui correspond idéalement à vos désirs sur ImmoScout24 - La plateforme de l'immobilier en Suisse.</t>
  </si>
  <si>
    <t>https://www.immoscout24.ch/fr/appartement/acheter/lieu-grossaffoltern</t>
  </si>
  <si>
    <t>Vendre appartement Grossaffoltern: Trouvez le bien immobilier qui correspond idéalement à vos désirs sur ImmoScout24 - La plateforme de l'immobilier en Suisse.</t>
  </si>
  <si>
    <t>https://www.immoscout24.ch/fr/appartement/acheter/lieu-barbengo</t>
  </si>
  <si>
    <t>Vendre appartement Barbengo: Trouvez le bien immobilier qui correspond idéalement à vos désirs sur ImmoScout24 - La plateforme de l'immobilier en Suisse.</t>
  </si>
  <si>
    <t>https://www.immoscout24.ch/fr/maison/louer/lieu-chailly-montreux</t>
  </si>
  <si>
    <t>Louer maison Chailly-Montreux: Trouvez le bien immobilier qui correspond idéalement à vos désirs sur ImmoScout24 - La plateforme de l'immobilier en Suisse.</t>
  </si>
  <si>
    <t>https://www.immoscout24.ch/fr/maison/louer/lieu-apples</t>
  </si>
  <si>
    <t>Louer maison Apples: Trouvez le bien immobilier qui correspond idéalement à vos désirs sur ImmoScout24 - La plateforme de l'immobilier en Suisse.</t>
  </si>
  <si>
    <t>https://www.immoscout24.ch/fr/maison/acheter/lieu-porsel</t>
  </si>
  <si>
    <t>Vendre maison Porsel: Trouvez le bien immobilier qui correspond idéalement à vos désirs sur ImmoScout24 - La plateforme de l'immobilier en Suisse.</t>
  </si>
  <si>
    <t>https://www.immoscout24.ch/fr/maison/acheter/lieu-fully</t>
  </si>
  <si>
    <t>Vendre maison Fully: Trouvez le bien immobilier qui correspond idéalement à vos désirs sur ImmoScout24 - La plateforme de l'immobilier en Suisse.</t>
  </si>
  <si>
    <t>https://www.immoscout24.ch/fr/appartement/louer/lieu-marnand</t>
  </si>
  <si>
    <t>Louer appartement Marnand: Trouvez le bien immobilier qui correspond idéalement à vos désirs sur ImmoScout24 - La plateforme de l'immobilier en Suisse.</t>
  </si>
  <si>
    <t>https://www.immoscout24.ch/fr/maison/acheter/lieu-unterseen</t>
  </si>
  <si>
    <t>Vendre maison Unterseen: Trouvez le bien immobilier qui correspond idéalement à vos désirs sur ImmoScout24 - La plateforme de l'immobilier en Suisse.</t>
  </si>
  <si>
    <t>https://www.immoscout24.ch/fr/appartement/louer/lieu-meikirch</t>
  </si>
  <si>
    <t>Louer appartement Meikirch: Trouvez le bien immobilier qui correspond idéalement à vos désirs sur ImmoScout24 - La plateforme de l'immobilier en Suisse.</t>
  </si>
  <si>
    <t>https://www.immoscout24.ch/fr/maison/acheter/lieu-la-verrerie</t>
  </si>
  <si>
    <t>Vendre maison La Verrerie: Trouvez le bien immobilier qui correspond idéalement à vos désirs sur ImmoScout24 - La plateforme de l'immobilier en Suisse.</t>
  </si>
  <si>
    <t>https://www.immoscout24.ch/fr/appartement/acheter/quartier-montriond-cour-lausanne</t>
  </si>
  <si>
    <t>Vendre appartement Montriond - Cour (Lausanne): Trouvez le bien immobilier qui correspond idéalement à vos désirs sur ImmoScout24 - La plateforme de l'immobilier en Suisse.</t>
  </si>
  <si>
    <t>https://www.immoscout24.ch/fr/maison/acheter/lieu-meyrin</t>
  </si>
  <si>
    <t>Vendre maison Meyrin: Trouvez le bien immobilier qui correspond idéalement à vos désirs sur ImmoScout24 - La plateforme de l'immobilier en Suisse.</t>
  </si>
  <si>
    <t>https://www.immoscout24.ch/fr/maison/acheter/lieu-le-lieu</t>
  </si>
  <si>
    <t>Vendre maison Le Lieu: Trouvez le bien immobilier qui correspond idéalement à vos désirs sur ImmoScout24 - La plateforme de l'immobilier en Suisse.</t>
  </si>
  <si>
    <t>https://www.immoscout24.ch/fr/maison/acheter/lieu-oppens</t>
  </si>
  <si>
    <t>Vendre maison Oppens: Trouvez le bien immobilier qui correspond idéalement à vos désirs sur ImmoScout24 - La plateforme de l'immobilier en Suisse.</t>
  </si>
  <si>
    <t>https://www.immoscout24.ch/fr/appartement/acheter/canton-vaud</t>
  </si>
  <si>
    <t>Vendre appartement Canton de Vaud: Trouvez le bien immobilier qui correspond idéalement à vos désirs sur ImmoScout24 - La plateforme de l'immobilier en Suisse.</t>
  </si>
  <si>
    <t>https://www.immoscout24.ch/fr/appartement/louer/lieu-buttes</t>
  </si>
  <si>
    <t>Louer appartement Buttes: Trouvez le bien immobilier qui correspond idéalement à vos désirs sur ImmoScout24 - La plateforme de l'immobilier en Suisse.</t>
  </si>
  <si>
    <t>https://www.immoscout24.ch/fr/appartement/acheter/lieu-endingen</t>
  </si>
  <si>
    <t>Vendre appartement Endingen: Trouvez le bien immobilier qui correspond idéalement à vos désirs sur ImmoScout24 - La plateforme de l'immobilier en Suisse.</t>
  </si>
  <si>
    <t>https://www.immoscout24.ch/fr/maison/louer/lieu-les-geneveys-sur-coffrane</t>
  </si>
  <si>
    <t>Louer maison Les Geneveys-sur-Coffrane: Trouvez le bien immobilier qui correspond idéalement à vos désirs sur ImmoScout24 - La plateforme de l'immobilier en Suisse.</t>
  </si>
  <si>
    <t>https://www.immoscout24.ch/fr/appartement/louer/lieu-dornach</t>
  </si>
  <si>
    <t>Louer appartement Dornach: Trouvez le bien immobilier qui correspond idéalement à vos désirs sur ImmoScout24 - La plateforme de l'immobilier en Suisse.</t>
  </si>
  <si>
    <t>https://www.immoscout24.ch/fr/maison/louer/lieu-pensier</t>
  </si>
  <si>
    <t>Louer maison Pensier: Trouvez le bien immobilier qui correspond idéalement à vos désirs sur ImmoScout24 - La plateforme de l'immobilier en Suisse.</t>
  </si>
  <si>
    <t>https://www.immoscout24.ch/fr/appartement/louer/quartier-lorraine-berne</t>
  </si>
  <si>
    <t>Louer appartement Lorraine (Berne): Trouvez le bien immobilier qui correspond idéalement à vos désirs sur ImmoScout24 - La plateforme de l'immobilier en Suisse.</t>
  </si>
  <si>
    <t>https://www.immoscout24.ch/fr/maison/acheter/lieu-bassecourt</t>
  </si>
  <si>
    <t>Vendre maison Bassecourt: Trouvez le bien immobilier qui correspond idéalement à vos désirs sur ImmoScout24 - La plateforme de l'immobilier en Suisse.</t>
  </si>
  <si>
    <t>https://www.immoscout24.ch/fr/maison/acheter/lieu-lavigny</t>
  </si>
  <si>
    <t>Vendre maison Lavigny: Trouvez le bien immobilier qui correspond idéalement à vos désirs sur ImmoScout24 - La plateforme de l'immobilier en Suisse.</t>
  </si>
  <si>
    <t>https://www.immoscout24.ch/fr/appartement/louer/lieu-loc</t>
  </si>
  <si>
    <t>Louer appartement Loc: Trouvez le bien immobilier qui correspond idéalement à vos désirs sur ImmoScout24 - La plateforme de l'immobilier en Suisse.</t>
  </si>
  <si>
    <t>https://www.immoscout24.ch/fr/appartement/louer/lieu-muntelier</t>
  </si>
  <si>
    <t>Louer appartement Muntelier: Trouvez le bien immobilier qui correspond idéalement à vos désirs sur ImmoScout24 - La plateforme de l'immobilier en Suisse.</t>
  </si>
  <si>
    <t>https://www.immoscout24.ch/fr/maison/acheter/lieu-laufenburg</t>
  </si>
  <si>
    <t>Vendre maison Laufenburg: Trouvez le bien immobilier qui correspond idéalement à vos désirs sur ImmoScout24 - La plateforme de l'immobilier en Suisse.</t>
  </si>
  <si>
    <t>https://www.immoscout24.ch/fr/appartement/acheter/region-delemont</t>
  </si>
  <si>
    <t>https://www.immoscout24.ch/fr/appartement/louer/lieu-twann</t>
  </si>
  <si>
    <t>Louer appartement Twann: Trouvez le bien immobilier qui correspond idéalement à vos désirs sur ImmoScout24 - La plateforme de l'immobilier en Suisse.</t>
  </si>
  <si>
    <t>https://www.immoscout24.ch/fr/maison/acheter/lieu-payerne</t>
  </si>
  <si>
    <t>Vendre maison Payerne: Trouvez le bien immobilier qui correspond idéalement à vos désirs sur ImmoScout24 - La plateforme de l'immobilier en Suisse.</t>
  </si>
  <si>
    <t>https://www.immoscout24.ch/fr/appartement/louer/lieu-baden</t>
  </si>
  <si>
    <t>Louer appartement Baden: Trouvez le bien immobilier qui correspond idéalement à vos désirs sur ImmoScout24 - La plateforme de l'immobilier en Suisse.</t>
  </si>
  <si>
    <t>https://www.immoscout24.ch/fr/maison/acheter/lieu-saxon</t>
  </si>
  <si>
    <t>Vendre maison Saxon: Trouvez le bien immobilier qui correspond idéalement à vos désirs sur ImmoScout24 - La plateforme de l'immobilier en Suisse.</t>
  </si>
  <si>
    <t>https://www.immoscout24.ch/fr/appartement/louer/lieu-buchs-ag</t>
  </si>
  <si>
    <t>Louer appartement Buchs AG: Trouvez le bien immobilier qui correspond idéalement à vos désirs sur ImmoScout24 - La plateforme de l'immobilier en Suisse.</t>
  </si>
  <si>
    <t>https://www.immoscout24.ch/fr/appartement/louer/lieu-schoenenbuch</t>
  </si>
  <si>
    <t>Louer appartement Schönenbuch: Trouvez le bien immobilier qui correspond idéalement à vos désirs sur ImmoScout24 - La plateforme de l'immobilier en Suisse.</t>
  </si>
  <si>
    <t>https://www.immoscout24.ch/fr/appartement/louer/lieu-valangin</t>
  </si>
  <si>
    <t>Louer appartement Valangin: Trouvez le bien immobilier qui correspond idéalement à vos désirs sur ImmoScout24 - La plateforme de l'immobilier en Suisse.</t>
  </si>
  <si>
    <t>https://www.immoscout24.ch/fr/appartement/louer/lieu-rorschach</t>
  </si>
  <si>
    <t>Louer appartement Rorschach: Trouvez le bien immobilier qui correspond idéalement à vos désirs sur ImmoScout24 - La plateforme de l'immobilier en Suisse.</t>
  </si>
  <si>
    <t>https://www.immoscout24.ch/fr/maison/acheter/lieu-montmollin</t>
  </si>
  <si>
    <t>Vendre maison Montmollin: Trouvez le bien immobilier qui correspond idéalement à vos désirs sur ImmoScout24 - La plateforme de l'immobilier en Suisse.</t>
  </si>
  <si>
    <t>https://www.immoscout24.ch/fr/appartement/acheter/lieu-la-chaux-du-milieu</t>
  </si>
  <si>
    <t>Vendre appartement La Chaux-du-Milieu: Trouvez le bien immobilier qui correspond idéalement à vos désirs sur ImmoScout24 - La plateforme de l'immobilier en Suisse.</t>
  </si>
  <si>
    <t>https://www.immoscout24.ch/fr/appartement/acheter/quartier-chailly-rovereaz-lausanne</t>
  </si>
  <si>
    <t>Vendre appartement Chailly - Rovéréaz (Lausanne): Trouvez le bien immobilier qui correspond idéalement à vos désirs sur ImmoScout24 - La plateforme de l'immobilier en Suisse.</t>
  </si>
  <si>
    <t>https://www.immoscout24.ch/fr/appartement/acheter/lieu-buelach</t>
  </si>
  <si>
    <t>Vendre appartement Bülach: Trouvez le bien immobilier qui correspond idéalement à vos désirs sur ImmoScout24 - La plateforme de l'immobilier en Suisse.</t>
  </si>
  <si>
    <t>https://www.immoscout24.ch/fr/appartement/louer/lieu-gumefens</t>
  </si>
  <si>
    <t>Louer appartement Gumefens: Trouvez le bien immobilier qui correspond idéalement à vos désirs sur ImmoScout24 - La plateforme de l'immobilier en Suisse.</t>
  </si>
  <si>
    <t>https://www.immoscout24.ch/fr/maison/acheter/lieu-soral</t>
  </si>
  <si>
    <t>Vendre maison Soral: Trouvez le bien immobilier qui correspond idéalement à vos désirs sur ImmoScout24 - La plateforme de l'immobilier en Suisse.</t>
  </si>
  <si>
    <t>https://www.immoscout24.ch/fr/maison/acheter/lieu-muolen</t>
  </si>
  <si>
    <t>Vendre maison Muolen: Trouvez le bien immobilier qui correspond idéalement à vos désirs sur ImmoScout24 - La plateforme de l'immobilier en Suisse.</t>
  </si>
  <si>
    <t>https://www.immoscout24.ch/fr/appartement/acheter/lieu-richterswil</t>
  </si>
  <si>
    <t>Vendre appartement Richterswil: Trouvez le bien immobilier qui correspond idéalement à vos désirs sur ImmoScout24 - La plateforme de l'immobilier en Suisse.</t>
  </si>
  <si>
    <t>https://www.immoscout24.ch/fr/appartement/louer/lieu-oleyres</t>
  </si>
  <si>
    <t>Louer appartement Oleyres: Trouvez le bien immobilier qui correspond idéalement à vos désirs sur ImmoScout24 - La plateforme de l'immobilier en Suisse.</t>
  </si>
  <si>
    <t>https://www.immoscout24.ch/fr/maison/louer/lieu-syens</t>
  </si>
  <si>
    <t>Louer maison Syens: Trouvez le bien immobilier qui correspond idéalement à vos désirs sur ImmoScout24 - La plateforme de l'immobilier en Suisse.</t>
  </si>
  <si>
    <t>https://www.immoscout24.ch/fr/maison/acheter/lieu-mur-vully-vd</t>
  </si>
  <si>
    <t>Vendre maison Mur (Vully) VD: Trouvez le bien immobilier qui correspond idéalement à vos désirs sur ImmoScout24 - La plateforme de l'immobilier en Suisse.</t>
  </si>
  <si>
    <t>https://www.immoscout24.ch/fr/appartement/acheter/lieu-albinen</t>
  </si>
  <si>
    <t>Vendre appartement Albinen: Trouvez le bien immobilier qui correspond idéalement à vos désirs sur ImmoScout24 - La plateforme de l'immobilier en Suisse.</t>
  </si>
  <si>
    <t>https://www.immoscout24.ch/fr/appartement/louer/quartier-cadro-lugano</t>
  </si>
  <si>
    <t>Louer appartement Cadro (Lugano): Trouvez le bien immobilier qui correspond idéalement à vos désirs sur ImmoScout24 - La plateforme de l'immobilier en Suisse.</t>
  </si>
  <si>
    <t>https://www.immoscout24.ch/fr/maison/acheter/quartier-forges-endroits-la-chaux-de-fonds</t>
  </si>
  <si>
    <t>Vendre maison Forges-Endroits (La Chaux-de-Fonds): Trouvez le bien immobilier qui correspond idéalement à vos désirs sur ImmoScout24 - La plateforme de l'immobilier en Suisse.</t>
  </si>
  <si>
    <t>https://www.immoscout24.ch/fr/maison/acheter/lieu-binningen</t>
  </si>
  <si>
    <t>Vendre maison Binningen: Trouvez le bien immobilier qui correspond idéalement à vos désirs sur ImmoScout24 - La plateforme de l'immobilier en Suisse.</t>
  </si>
  <si>
    <t>https://www.immoscout24.ch/fr/appartement/louer/lieu-jaun</t>
  </si>
  <si>
    <t>Louer appartement Jaun: Trouvez le bien immobilier qui correspond idéalement à vos désirs sur ImmoScout24 - La plateforme de l'immobilier en Suisse.</t>
  </si>
  <si>
    <t>https://www.immoscout24.ch/fr/appartement/louer/lieu-niederuzwil</t>
  </si>
  <si>
    <t>Louer appartement Niederuzwil: Trouvez le bien immobilier qui correspond idéalement à vos désirs sur ImmoScout24 - La plateforme de l'immobilier en Suisse.</t>
  </si>
  <si>
    <t>https://www.immoscout24.ch/fr/appartement/acheter/lieu-gerra-gambarogno</t>
  </si>
  <si>
    <t>Vendre appartement Gerra (Gambarogno): Trouvez le bien immobilier qui correspond idéalement à vos désirs sur ImmoScout24 - La plateforme de l'immobilier en Suisse.</t>
  </si>
  <si>
    <t>https://www.immoscout24.ch/fr/maison/acheter/lieu-gerlafingen</t>
  </si>
  <si>
    <t>Vendre maison Gerlafingen: Trouvez le bien immobilier qui correspond idéalement à vos désirs sur ImmoScout24 - La plateforme de l'immobilier en Suisse.</t>
  </si>
  <si>
    <t>https://www.immoscout24.ch/fr/maison/acheter/lieu-val-d-illiez</t>
  </si>
  <si>
    <t>Vendre maison Val-d'Illiez: Trouvez le bien immobilier qui correspond idéalement à vos désirs sur ImmoScout24 - La plateforme de l'immobilier en Suisse.</t>
  </si>
  <si>
    <t>https://www.immoscout24.ch/fr/appartement/acheter/lieu-zuoz</t>
  </si>
  <si>
    <t>Vendre appartement Zuoz: Trouvez le bien immobilier qui correspond idéalement à vos désirs sur ImmoScout24 - La plateforme de l'immobilier en Suisse.</t>
  </si>
  <si>
    <t>https://www.immoscout24.ch/fr/appartement/acheter/lieu-schafisheim</t>
  </si>
  <si>
    <t>Vendre appartement Schafisheim: Trouvez le bien immobilier qui correspond idéalement à vos désirs sur ImmoScout24 - La plateforme de l'immobilier en Suisse.</t>
  </si>
  <si>
    <t>https://www.immoscout24.ch/fr/maison/louer/lieu-riedholz</t>
  </si>
  <si>
    <t>Louer maison Riedholz: Trouvez le bien immobilier qui correspond idéalement à vos désirs sur ImmoScout24 - La plateforme de l'immobilier en Suisse.</t>
  </si>
  <si>
    <t>https://www.immoscout24.ch/fr/maison/louer/lieu-martigny-croix</t>
  </si>
  <si>
    <t>Louer maison Martigny-Croix: Trouvez le bien immobilier qui correspond idéalement à vos désirs sur ImmoScout24 - La plateforme de l'immobilier en Suisse.</t>
  </si>
  <si>
    <t>https://www.immoscout24.ch/fr/appartement/louer/lieu-ittigen</t>
  </si>
  <si>
    <t>Louer appartement Ittigen: Trouvez le bien immobilier qui correspond idéalement à vos désirs sur ImmoScout24 - La plateforme de l'immobilier en Suisse.</t>
  </si>
  <si>
    <t>https://www.immoscout24.ch/fr/maison/louer/canton-obwald</t>
  </si>
  <si>
    <t>Louer maison Canton d'Obwald: Trouvez le bien immobilier qui correspond idéalement à vos désirs sur ImmoScout24 - La plateforme de l'immobilier en Suisse.</t>
  </si>
  <si>
    <t>https://www.immoscout24.ch/fr/appartement/louer/lieu-bioley-magnoux</t>
  </si>
  <si>
    <t>Louer appartement Bioley-Magnoux: Trouvez le bien immobilier qui correspond idéalement à vos désirs sur ImmoScout24 - La plateforme de l'immobilier en Suisse.</t>
  </si>
  <si>
    <t>https://www.immoscout24.ch/fr/appartement/louer/lieu-bettlach</t>
  </si>
  <si>
    <t>Louer appartement Bettlach: Trouvez le bien immobilier qui correspond idéalement à vos désirs sur ImmoScout24 - La plateforme de l'immobilier en Suisse.</t>
  </si>
  <si>
    <t>https://www.immoscout24.ch/fr/maison/acheter/region-bischofszell-weinfelden</t>
  </si>
  <si>
    <t>Vendre maison Bischofszell - Weinfelden: Trouvez le bien immobilier qui correspond idéalement à vos désirs sur ImmoScout24 - La plateforme de l'immobilier en Suisse.</t>
  </si>
  <si>
    <t>https://www.immoscout24.ch/fr/maison/acheter/lieu-crassier</t>
  </si>
  <si>
    <t>Vendre maison Crassier: Trouvez le bien immobilier qui correspond idéalement à vos désirs sur ImmoScout24 - La plateforme de l'immobilier en Suisse.</t>
  </si>
  <si>
    <t>https://www.immoscout24.ch/fr/maison/louer/lieu-langenthal</t>
  </si>
  <si>
    <t>Louer maison Langenthal: Trouvez le bien immobilier qui correspond idéalement à vos désirs sur ImmoScout24 - La plateforme de l'immobilier en Suisse.</t>
  </si>
  <si>
    <t>https://www.immoscout24.ch/fr/appartement/louer/quartier-wuerzenbach-schaedrueti-lucerne</t>
  </si>
  <si>
    <t>Louer appartement Würzenbach - Schädrüti (Lucerne): Trouvez le bien immobilier qui correspond idéalement à vos désirs sur ImmoScout24 - La plateforme de l'immobilier en Suisse.</t>
  </si>
  <si>
    <t>https://www.immoscout24.ch/fr/appartement/louer/lieu-oppens</t>
  </si>
  <si>
    <t>Louer appartement Oppens: Trouvez le bien immobilier qui correspond idéalement à vos désirs sur ImmoScout24 - La plateforme de l'immobilier en Suisse.</t>
  </si>
  <si>
    <t>https://www.immoscout24.ch/fr/appartement/louer/lieu-sachseln</t>
  </si>
  <si>
    <t>Louer appartement Sachseln: Trouvez le bien immobilier qui correspond idéalement à vos désirs sur ImmoScout24 - La plateforme de l'immobilier en Suisse.</t>
  </si>
  <si>
    <t>https://www.immoscout24.ch/fr/maison/acheter/lieu-massongex</t>
  </si>
  <si>
    <t>Vendre maison Massongex: Trouvez le bien immobilier qui correspond idéalement à vos désirs sur ImmoScout24 - La plateforme de l'immobilier en Suisse.</t>
  </si>
  <si>
    <t>https://www.immoscout24.ch/fr/appartement/louer/lieu-schoenried</t>
  </si>
  <si>
    <t>Louer appartement Schönried: Trouvez le bien immobilier qui correspond idéalement à vos désirs sur ImmoScout24 - La plateforme de l'immobilier en Suisse.</t>
  </si>
  <si>
    <t>https://www.immoscout24.ch/fr/appartement/louer/lieu-la-cure</t>
  </si>
  <si>
    <t>Louer appartement La Cure: Trouvez le bien immobilier qui correspond idéalement à vos désirs sur ImmoScout24 - La plateforme de l'immobilier en Suisse.</t>
  </si>
  <si>
    <t>https://www.immoscout24.ch/fr/appartement/louer/lieu-aumont</t>
  </si>
  <si>
    <t>Louer appartement Aumont: Trouvez le bien immobilier qui correspond idéalement à vos désirs sur ImmoScout24 - La plateforme de l'immobilier en Suisse.</t>
  </si>
  <si>
    <t>https://www.immoscout24.ch/fr/maison/acheter/lieu-magglingen-macolin</t>
  </si>
  <si>
    <t>Vendre maison Magglingen/Macolin: Trouvez le bien immobilier qui correspond idéalement à vos désirs sur ImmoScout24 - La plateforme de l'immobilier en Suisse.</t>
  </si>
  <si>
    <t>https://www.immoscout24.ch/fr/appartement/acheter/quartier-croix-federale-la-chaux-de-fonds</t>
  </si>
  <si>
    <t>Vendre appartement Croix-Fédérale (La Chaux-de-Fonds): Trouvez le bien immobilier qui correspond idéalement à vos désirs sur ImmoScout24 - La plateforme de l'immobilier en Suisse.</t>
  </si>
  <si>
    <t>https://www.immoscout24.ch/fr/appartement/acheter/lieu-caslano</t>
  </si>
  <si>
    <t>Vendre appartement Caslano: Trouvez le bien immobilier qui correspond idéalement à vos désirs sur ImmoScout24 - La plateforme de l'immobilier en Suisse.</t>
  </si>
  <si>
    <t>https://www.immoscout24.ch/fr/appartement/acheter/lieu-torny-le-grand</t>
  </si>
  <si>
    <t>Vendre appartement Torny-le-Grand: Trouvez le bien immobilier qui correspond idéalement à vos désirs sur ImmoScout24 - La plateforme de l'immobilier en Suisse.</t>
  </si>
  <si>
    <t>https://www.immoscout24.ch/fr/appartement/louer/lieu-yvorne</t>
  </si>
  <si>
    <t>Louer appartement Yvorne: Trouvez le bien immobilier qui correspond idéalement à vos désirs sur ImmoScout24 - La plateforme de l'immobilier en Suisse.</t>
  </si>
  <si>
    <t>https://www.immoscout24.ch/fr/maison/acheter/lieu-cugy-vd</t>
  </si>
  <si>
    <t>Vendre maison Cugy VD: Trouvez le bien immobilier qui correspond idéalement à vos désirs sur ImmoScout24 - La plateforme de l'immobilier en Suisse.</t>
  </si>
  <si>
    <t>https://www.immoscout24.ch/fr/maison/acheter/lieu-bofflens</t>
  </si>
  <si>
    <t>Vendre maison Bofflens: Trouvez le bien immobilier qui correspond idéalement à vos désirs sur ImmoScout24 - La plateforme de l'immobilier en Suisse.</t>
  </si>
  <si>
    <t>https://www.immoscout24.ch/fr/maison/acheter/lieu-vetroz</t>
  </si>
  <si>
    <t>Vendre maison Vétroz: Trouvez le bien immobilier qui correspond idéalement à vos désirs sur ImmoScout24 - La plateforme de l'immobilier en Suisse.</t>
  </si>
  <si>
    <t>https://www.immoscout24.ch/fr/appartement/acheter/lieu-menziken</t>
  </si>
  <si>
    <t>Vendre appartement Menziken: Trouvez le bien immobilier qui correspond idéalement à vos désirs sur ImmoScout24 - La plateforme de l'immobilier en Suisse.</t>
  </si>
  <si>
    <t>https://www.immoscout24.ch/fr/maison/acheter/lieu-neuenegg</t>
  </si>
  <si>
    <t>Vendre maison Neuenegg: Trouvez le bien immobilier qui correspond idéalement à vos désirs sur ImmoScout24 - La plateforme de l'immobilier en Suisse.</t>
  </si>
  <si>
    <t>https://www.immoscout24.ch/fr/appartement/acheter/lieu-les-avanchets</t>
  </si>
  <si>
    <t>Vendre appartement Les Avanchets: Trouvez le bien immobilier qui correspond idéalement à vos désirs sur ImmoScout24 - La plateforme de l'immobilier en Suisse.</t>
  </si>
  <si>
    <t>https://www.immoscout24.ch/fr/maison/acheter/lieu-lavertezzo</t>
  </si>
  <si>
    <t>Vendre maison Lavertezzo: Trouvez le bien immobilier qui correspond idéalement à vos désirs sur ImmoScout24 - La plateforme de l'immobilier en Suisse.</t>
  </si>
  <si>
    <t>https://www.immoscout24.ch/fr/appartement/louer/region-entlebuch</t>
  </si>
  <si>
    <t>Louer appartement Entlebuch: Trouvez le bien immobilier qui correspond idéalement à vos désirs sur ImmoScout24 - La plateforme de l'immobilier en Suisse.</t>
  </si>
  <si>
    <t>https://www.immoscout24.ch/fr/maison/acheter/region-haut-valais</t>
  </si>
  <si>
    <t>Vendre maison Haut-Valais: Trouvez le bien immobilier qui correspond idéalement à vos désirs sur ImmoScout24 - La plateforme de l'immobilier en Suisse.</t>
  </si>
  <si>
    <t>https://www.immoscout24.ch/fr/maison/acheter/lieu-chenens</t>
  </si>
  <si>
    <t>Vendre maison Chénens: Trouvez le bien immobilier qui correspond idéalement à vos désirs sur ImmoScout24 - La plateforme de l'immobilier en Suisse.</t>
  </si>
  <si>
    <t>https://www.immoscout24.ch/fr/maison/acheter/lieu-gordevio</t>
  </si>
  <si>
    <t>Vendre maison Gordevio: Trouvez le bien immobilier qui correspond idéalement à vos désirs sur ImmoScout24 - La plateforme de l'immobilier en Suisse.</t>
  </si>
  <si>
    <t>https://www.immoscout24.ch/fr/appartement/acheter/lieu-immensee</t>
  </si>
  <si>
    <t>Vendre appartement Immensee: Trouvez le bien immobilier qui correspond idéalement à vos désirs sur ImmoScout24 - La plateforme de l'immobilier en Suisse.</t>
  </si>
  <si>
    <t>https://www.immoscout24.ch/fr/maison/acheter/lieu-chapelle-broye</t>
  </si>
  <si>
    <t>Vendre maison Chapelle (Broye): Trouvez le bien immobilier qui correspond idéalement à vos désirs sur ImmoScout24 - La plateforme de l'immobilier en Suisse.</t>
  </si>
  <si>
    <t>https://www.immoscout24.ch/fr/appartement/acheter/pays-suisse-fl</t>
  </si>
  <si>
    <t>Vendre appartement Suisse + FL: Trouvez le bien immobilier qui correspond idéalement à vos désirs sur ImmoScout24 - La plateforme de l'immobilier en Suisse.</t>
  </si>
  <si>
    <t>https://www.immoscout24.ch/fr/appartement/louer/lieu-turin-salins</t>
  </si>
  <si>
    <t>Louer appartement Turin (Salins): Trouvez le bien immobilier qui correspond idéalement à vos désirs sur ImmoScout24 - La plateforme de l'immobilier en Suisse.</t>
  </si>
  <si>
    <t>https://www.immoscout24.ch/fr/maison/acheter/region-yverdon-grandson</t>
  </si>
  <si>
    <t>Vendre maison Yverdon - Grandson: Trouvez le bien immobilier qui correspond idéalement à vos désirs sur ImmoScout24 - La plateforme de l'immobilier en Suisse.</t>
  </si>
  <si>
    <t>https://www.immoscout24.ch/fr/appartement/acheter/lieu-cressier-ne</t>
  </si>
  <si>
    <t>Vendre appartement Cressier NE: Trouvez le bien immobilier qui correspond idéalement à vos désirs sur ImmoScout24 - La plateforme de l'immobilier en Suisse.</t>
  </si>
  <si>
    <t>https://www.immoscout24.ch/fr/appartement/louer/lieu-bueron</t>
  </si>
  <si>
    <t>Louer appartement Büron: Trouvez le bien immobilier qui correspond idéalement à vos désirs sur ImmoScout24 - La plateforme de l'immobilier en Suisse.</t>
  </si>
  <si>
    <t>https://www.immoscout24.ch/fr/maison/acheter/lieu-muehleberg</t>
  </si>
  <si>
    <t>Vendre maison Mühleberg: Trouvez le bien immobilier qui correspond idéalement à vos désirs sur ImmoScout24 - La plateforme de l'immobilier en Suisse.</t>
  </si>
  <si>
    <t>https://www.immoscout24.ch/fr/appartement/louer/lieu-givisiez</t>
  </si>
  <si>
    <t>Louer appartement Givisiez: Trouvez le bien immobilier qui correspond idéalement à vos désirs sur ImmoScout24 - La plateforme de l'immobilier en Suisse.</t>
  </si>
  <si>
    <t>https://www.immoscout24.ch/fr/appartement/acheter/lieu-court</t>
  </si>
  <si>
    <t>Vendre appartement Court: Trouvez le bien immobilier qui correspond idéalement à vos désirs sur ImmoScout24 - La plateforme de l'immobilier en Suisse.</t>
  </si>
  <si>
    <t>https://www.immoscout24.ch/fr/maison/louer/lieu-widnau</t>
  </si>
  <si>
    <t>Louer maison Widnau: Trouvez le bien immobilier qui correspond idéalement à vos désirs sur ImmoScout24 - La plateforme de l'immobilier en Suisse.</t>
  </si>
  <si>
    <t>https://www.immoscout24.ch/fr/appartement/louer/lieu-arolla</t>
  </si>
  <si>
    <t>Louer appartement Arolla: Trouvez le bien immobilier qui correspond idéalement à vos désirs sur ImmoScout24 - La plateforme de l'immobilier en Suisse.</t>
  </si>
  <si>
    <t>https://www.immoscout24.ch/fr/maison/acheter/lieu-combremont-le-petit</t>
  </si>
  <si>
    <t>Vendre maison Combremont-le-Petit: Trouvez le bien immobilier qui correspond idéalement à vos désirs sur ImmoScout24 - La plateforme de l'immobilier en Suisse.</t>
  </si>
  <si>
    <t>https://www.immoscout24.ch/fr/appartement/louer/lieu-chur</t>
  </si>
  <si>
    <t>Louer appartement Chur: Trouvez le bien immobilier qui correspond idéalement à vos désirs sur ImmoScout24 - La plateforme de l'immobilier en Suisse.</t>
  </si>
  <si>
    <t>https://www.immoscout24.ch/fr/appartement/acheter/pays-grece</t>
  </si>
  <si>
    <t>Vendre appartement Grèce: Trouvez le bien immobilier qui correspond idéalement à vos désirs sur ImmoScout24 - La plateforme de l'immobilier en Suisse.</t>
  </si>
  <si>
    <t>https://www.immoscout24.ch/fr/appartement/acheter/lieu-ependes-fr</t>
  </si>
  <si>
    <t>Vendre appartement Ependes FR: Trouvez le bien immobilier qui correspond idéalement à vos désirs sur ImmoScout24 - La plateforme de l'immobilier en Suisse.</t>
  </si>
  <si>
    <t>https://www.immoscout24.ch/fr/maison/louer/lieu-palezieux</t>
  </si>
  <si>
    <t>Louer maison Palézieux: Trouvez le bien immobilier qui correspond idéalement à vos désirs sur ImmoScout24 - La plateforme de l'immobilier en Suisse.</t>
  </si>
  <si>
    <t>https://www.immoscout24.ch/fr/maison/acheter/canton-st-gall</t>
  </si>
  <si>
    <t>Vendre maison Canton de St. Gall: Trouvez le bien immobilier qui correspond idéalement à vos désirs sur ImmoScout24 - La plateforme de l'immobilier en Suisse.</t>
  </si>
  <si>
    <t>https://www.immoscout24.ch/fr/appartement/louer/lieu-duedingen</t>
  </si>
  <si>
    <t>Louer appartement Düdingen: Trouvez le bien immobilier qui correspond idéalement à vos désirs sur ImmoScout24 - La plateforme de l'immobilier en Suisse.</t>
  </si>
  <si>
    <t>https://www.immoscout24.ch/fr/appartement/acheter/lieu-les-paccots</t>
  </si>
  <si>
    <t>Vendre appartement Les Paccots: Trouvez le bien immobilier qui correspond idéalement à vos désirs sur ImmoScout24 - La plateforme de l'immobilier en Suisse.</t>
  </si>
  <si>
    <t>https://www.immoscout24.ch/fr/appartement/louer/quartier-castagnola-lugano</t>
  </si>
  <si>
    <t>Louer appartement Castagnola (Lugano): Trouvez le bien immobilier qui correspond idéalement à vos désirs sur ImmoScout24 - La plateforme de l'immobilier en Suisse.</t>
  </si>
  <si>
    <t>https://www.immoscout24.ch/fr/appartement/louer/lieu-aminona</t>
  </si>
  <si>
    <t>Louer appartement Aminona: Trouvez le bien immobilier qui correspond idéalement à vos désirs sur ImmoScout24 - La plateforme de l'immobilier en Suisse.</t>
  </si>
  <si>
    <t>https://www.immoscout24.ch/fr/appartement/louer/lieu-langnau-im-emmental</t>
  </si>
  <si>
    <t>Louer appartement Langnau im Emmental: Trouvez le bien immobilier qui correspond idéalement à vos désirs sur ImmoScout24 - La plateforme de l'immobilier en Suisse.</t>
  </si>
  <si>
    <t>https://www.immoscout24.ch/fr/appartement/acheter/lieu-engelberg</t>
  </si>
  <si>
    <t>Vendre appartement Engelberg: Trouvez le bien immobilier qui correspond idéalement à vos désirs sur ImmoScout24 - La plateforme de l'immobilier en Suisse.</t>
  </si>
  <si>
    <t>https://www.immoscout24.ch/fr/appartement/louer/lieu-bruson</t>
  </si>
  <si>
    <t>Louer appartement Bruson: Trouvez le bien immobilier qui correspond idéalement à vos désirs sur ImmoScout24 - La plateforme de l'immobilier en Suisse.</t>
  </si>
  <si>
    <t>https://www.immoscout24.ch/fr/appartement/louer/lieu-bassins</t>
  </si>
  <si>
    <t>Louer appartement Bassins: Trouvez le bien immobilier qui correspond idéalement à vos désirs sur ImmoScout24 - La plateforme de l'immobilier en Suisse.</t>
  </si>
  <si>
    <t>https://www.immoscout24.ch/fr/appartement/acheter/lieu-fleurier</t>
  </si>
  <si>
    <t>Vendre appartement Fleurier: Trouvez le bien immobilier qui correspond idéalement à vos désirs sur ImmoScout24 - La plateforme de l'immobilier en Suisse.</t>
  </si>
  <si>
    <t>https://www.immoscout24.ch/fr/appartement/louer/lieu-chigny</t>
  </si>
  <si>
    <t>Louer appartement Chigny: Trouvez le bien immobilier qui correspond idéalement à vos désirs sur ImmoScout24 - La plateforme de l'immobilier en Suisse.</t>
  </si>
  <si>
    <t>https://www.immoscout24.ch/fr/appartement/acheter/pays-namibie</t>
  </si>
  <si>
    <t>Vendre appartement Namibie: Trouvez le bien immobilier qui correspond idéalement à vos désirs sur ImmoScout24 - La plateforme de l'immobilier en Suisse.</t>
  </si>
  <si>
    <t>https://www.immoscout24.ch/fr/appartement/acheter/region-lugano-e-dintorni</t>
  </si>
  <si>
    <t>Vendre appartement Lugano e dintorni: Trouvez le bien immobilier qui correspond idéalement à vos désirs sur ImmoScout24 - La plateforme de l'immobilier en Suisse.</t>
  </si>
  <si>
    <t>https://www.immoscout24.ch/fr/maison/acheter/lieu-gondo</t>
  </si>
  <si>
    <t>Vendre maison Gondo: Trouvez le bien immobilier qui correspond idéalement à vos désirs sur ImmoScout24 - La plateforme de l'immobilier en Suisse.</t>
  </si>
  <si>
    <t>https://www.immoscout24.ch/fr/maison/acheter/lieu-wolfwil</t>
  </si>
  <si>
    <t>Vendre maison Wolfwil: Trouvez le bien immobilier qui correspond idéalement à vos désirs sur ImmoScout24 - La plateforme de l'immobilier en Suisse.</t>
  </si>
  <si>
    <t>https://www.immoscout24.ch/fr/appartement/louer/lieu-grandevent</t>
  </si>
  <si>
    <t>Louer appartement Grandevent: Trouvez le bien immobilier qui correspond idéalement à vos désirs sur ImmoScout24 - La plateforme de l'immobilier en Suisse.</t>
  </si>
  <si>
    <t>https://www.immoscout24.ch/fr/maison/louer/lieu-meisterschwanden</t>
  </si>
  <si>
    <t>Louer maison Meisterschwanden: Trouvez le bien immobilier qui correspond idéalement à vos désirs sur ImmoScout24 - La plateforme de l'immobilier en Suisse.</t>
  </si>
  <si>
    <t>https://www.immoscout24.ch/fr/appartement/louer/lieu-mannens</t>
  </si>
  <si>
    <t>Louer appartement Mannens: Trouvez le bien immobilier qui correspond idéalement à vos désirs sur ImmoScout24 - La plateforme de l'immobilier en Suisse.</t>
  </si>
  <si>
    <t>https://www.immoscout24.ch/fr/appartement/acheter/lieu-birrwil</t>
  </si>
  <si>
    <t>Vendre appartement Birrwil: Trouvez le bien immobilier qui correspond idéalement à vos désirs sur ImmoScout24 - La plateforme de l'immobilier en Suisse.</t>
  </si>
  <si>
    <t>https://www.immoscout24.ch/fr/maison/acheter/lieu-les-charbonnieres</t>
  </si>
  <si>
    <t>Vendre maison Les Charbonnières: Trouvez le bien immobilier qui correspond idéalement à vos désirs sur ImmoScout24 - La plateforme de l'immobilier en Suisse.</t>
  </si>
  <si>
    <t>https://www.immoscout24.ch/fr/appartement/louer/lieu-villars-bramard</t>
  </si>
  <si>
    <t>Louer appartement Villars-Bramard: Trouvez le bien immobilier qui correspond idéalement à vos désirs sur ImmoScout24 - La plateforme de l'immobilier en Suisse.</t>
  </si>
  <si>
    <t>https://www.immoscout24.ch/fr/appartement/acheter/lieu-schwarzenburg</t>
  </si>
  <si>
    <t>Vendre appartement Schwarzenburg: Trouvez le bien immobilier qui correspond idéalement à vos désirs sur ImmoScout24 - La plateforme de l'immobilier en Suisse.</t>
  </si>
  <si>
    <t>https://www.immoscout24.ch/fr/appartement/acheter/lieu-le-landeron</t>
  </si>
  <si>
    <t>Vendre appartement Le Landeron: Trouvez le bien immobilier qui correspond idéalement à vos désirs sur ImmoScout24 - La plateforme de l'immobilier en Suisse.</t>
  </si>
  <si>
    <t>https://www.immoscout24.ch/fr/appartement/acheter/lieu-treycovagnes</t>
  </si>
  <si>
    <t>Vendre appartement Treycovagnes: Trouvez le bien immobilier qui correspond idéalement à vos désirs sur ImmoScout24 - La plateforme de l'immobilier en Suisse.</t>
  </si>
  <si>
    <t>https://www.immoscout24.ch/fr/maison/acheter/lieu-baetterkinden</t>
  </si>
  <si>
    <t>Vendre maison Bätterkinden: Trouvez le bien immobilier qui correspond idéalement à vos désirs sur ImmoScout24 - La plateforme de l'immobilier en Suisse.</t>
  </si>
  <si>
    <t>https://www.immoscout24.ch/fr/appartement/louer/lieu-courlevon</t>
  </si>
  <si>
    <t>Louer appartement Courlevon: Trouvez le bien immobilier qui correspond idéalement à vos désirs sur ImmoScout24 - La plateforme de l'immobilier en Suisse.</t>
  </si>
  <si>
    <t>https://www.immoscout24.ch/fr/appartement/acheter/lieu-granges-vs</t>
  </si>
  <si>
    <t>Vendre appartement Granges VS: Trouvez le bien immobilier qui correspond idéalement à vos désirs sur ImmoScout24 - La plateforme de l'immobilier en Suisse.</t>
  </si>
  <si>
    <t>https://www.immoscout24.ch/fr/appartement/acheter/lieu-brent</t>
  </si>
  <si>
    <t>Vendre appartement Brent: Trouvez le bien immobilier qui correspond idéalement à vos désirs sur ImmoScout24 - La plateforme de l'immobilier en Suisse.</t>
  </si>
  <si>
    <t>https://www.immoscout24.ch/fr/appartement/louer/quartier-beaux-arts-neuchatel</t>
  </si>
  <si>
    <t>Louer appartement Beaux-Arts (Neuchâtel): Trouvez le bien immobilier qui correspond idéalement à vos désirs sur ImmoScout24 - La plateforme de l'immobilier en Suisse.</t>
  </si>
  <si>
    <t>https://www.immoscout24.ch/fr/appartement/louer/lieu-wallenbuch</t>
  </si>
  <si>
    <t>Louer appartement Wallenbuch: Trouvez le bien immobilier qui correspond idéalement à vos désirs sur ImmoScout24 - La plateforme de l'immobilier en Suisse.</t>
  </si>
  <si>
    <t>https://www.immoscout24.ch/fr/appartement/louer/lieu-conches</t>
  </si>
  <si>
    <t>Louer appartement Conches: Trouvez le bien immobilier qui correspond idéalement à vos désirs sur ImmoScout24 - La plateforme de l'immobilier en Suisse.</t>
  </si>
  <si>
    <t>https://www.immoscout24.ch/fr/maison/louer/lieu-les-plans-sur-bex</t>
  </si>
  <si>
    <t>Louer maison Les Plans-sur-Bex: Trouvez le bien immobilier qui correspond idéalement à vos désirs sur ImmoScout24 - La plateforme de l'immobilier en Suisse.</t>
  </si>
  <si>
    <t>https://www.immoscout24.ch/fr/appartement/louer/lieu-obfelden</t>
  </si>
  <si>
    <t>Louer appartement Obfelden: Trouvez le bien immobilier qui correspond idéalement à vos désirs sur ImmoScout24 - La plateforme de l'immobilier en Suisse.</t>
  </si>
  <si>
    <t>https://www.immoscout24.ch/fr/maison/acheter/lieu-le-chable-vs</t>
  </si>
  <si>
    <t>Vendre maison Le Châble VS: Trouvez le bien immobilier qui correspond idéalement à vos désirs sur ImmoScout24 - La plateforme de l'immobilier en Suisse.</t>
  </si>
  <si>
    <t>https://www.immoscout24.ch/fr/maison/louer/lieu-menieres</t>
  </si>
  <si>
    <t>Louer maison Ménières: Trouvez le bien immobilier qui correspond idéalement à vos désirs sur ImmoScout24 - La plateforme de l'immobilier en Suisse.</t>
  </si>
  <si>
    <t>https://www.immoscout24.ch/fr/appartement/louer/lieu-frutigen</t>
  </si>
  <si>
    <t>Louer appartement Frutigen: Trouvez le bien immobilier qui correspond idéalement à vos désirs sur ImmoScout24 - La plateforme de l'immobilier en Suisse.</t>
  </si>
  <si>
    <t>https://www.immoscout24.ch/fr/appartement/acheter/lieu-posat</t>
  </si>
  <si>
    <t>Vendre appartement Posat: Trouvez le bien immobilier qui correspond idéalement à vos désirs sur ImmoScout24 - La plateforme de l'immobilier en Suisse.</t>
  </si>
  <si>
    <t>https://www.immoscout24.ch/fr/maison/acheter/lieu-caux</t>
  </si>
  <si>
    <t>Vendre maison Caux: Trouvez le bien immobilier qui correspond idéalement à vos désirs sur ImmoScout24 - La plateforme de l'immobilier en Suisse.</t>
  </si>
  <si>
    <t>https://www.immoscout24.ch/fr/appartement/acheter/lieu-toffen</t>
  </si>
  <si>
    <t>Vendre appartement Toffen: Trouvez le bien immobilier qui correspond idéalement à vos désirs sur ImmoScout24 - La plateforme de l'immobilier en Suisse.</t>
  </si>
  <si>
    <t>https://www.immoscout24.ch/fr/maison/acheter/lieu-seedorf-be</t>
  </si>
  <si>
    <t>Vendre maison Seedorf BE: Trouvez le bien immobilier qui correspond idéalement à vos désirs sur ImmoScout24 - La plateforme de l'immobilier en Suisse.</t>
  </si>
  <si>
    <t>https://www.immoscout24.ch/fr/maison/louer/lieu-wallisellen</t>
  </si>
  <si>
    <t>Louer maison Wallisellen: Trouvez le bien immobilier qui correspond idéalement à vos désirs sur ImmoScout24 - La plateforme de l'immobilier en Suisse.</t>
  </si>
  <si>
    <t>https://www.immoscout24.ch/fr/appartement/louer/lieu-develier</t>
  </si>
  <si>
    <t>Louer appartement Develier: Trouvez le bien immobilier qui correspond idéalement à vos désirs sur ImmoScout24 - La plateforme de l'immobilier en Suisse.</t>
  </si>
  <si>
    <t>https://www.immoscout24.ch/fr/appartement/acheter/lieu-courfaivre</t>
  </si>
  <si>
    <t>Vendre appartement Courfaivre: Trouvez le bien immobilier qui correspond idéalement à vos désirs sur ImmoScout24 - La plateforme de l'immobilier en Suisse.</t>
  </si>
  <si>
    <t>https://www.immoscout24.ch/fr/maison/acheter/lieu-blatten-b-naters</t>
  </si>
  <si>
    <t>Vendre maison Blatten b. Naters: Trouvez le bien immobilier qui correspond idéalement à vos désirs sur ImmoScout24 - La plateforme de l'immobilier en Suisse.</t>
  </si>
  <si>
    <t>https://www.immoscout24.ch/fr/appartement/louer/lieu-progens</t>
  </si>
  <si>
    <t>Louer appartement Progens: Trouvez le bien immobilier qui correspond idéalement à vos désirs sur ImmoScout24 - La plateforme de l'immobilier en Suisse.</t>
  </si>
  <si>
    <t>https://www.immoscout24.ch/fr/appartement/louer/lieu-onex</t>
  </si>
  <si>
    <t>Louer appartement Onex: Trouvez le bien immobilier qui correspond idéalement à vos désirs sur ImmoScout24 - La plateforme de l'immobilier en Suisse.</t>
  </si>
  <si>
    <t>https://www.immoscout24.ch/fr/maison/louer/lieu-st-margrethen-sg</t>
  </si>
  <si>
    <t>Louer maison St. Margrethen SG: Trouvez le bien immobilier qui correspond idéalement à vos désirs sur ImmoScout24 - La plateforme de l'immobilier en Suisse.</t>
  </si>
  <si>
    <t>https://www.immoscout24.ch/fr/appartement/louer/lieu-argnou-ayent</t>
  </si>
  <si>
    <t>Louer appartement Argnou (Ayent): Trouvez le bien immobilier qui correspond idéalement à vos désirs sur ImmoScout24 - La plateforme de l'immobilier en Suisse.</t>
  </si>
  <si>
    <t>https://www.immoscout24.ch/fr/appartement/acheter/lieu-grenilles</t>
  </si>
  <si>
    <t>Vendre appartement Grenilles: Trouvez le bien immobilier qui correspond idéalement à vos désirs sur ImmoScout24 - La plateforme de l'immobilier en Suisse.</t>
  </si>
  <si>
    <t>https://www.immoscout24.ch/fr/appartement/louer/lieu-forel-lavaux</t>
  </si>
  <si>
    <t>Louer appartement Forel (Lavaux): Trouvez le bien immobilier qui correspond idéalement à vos désirs sur ImmoScout24 - La plateforme de l'immobilier en Suisse.</t>
  </si>
  <si>
    <t>https://www.immoscout24.ch/fr/maison/louer/lieu-la-comballaz</t>
  </si>
  <si>
    <t>Louer maison La Comballaz: Trouvez le bien immobilier qui correspond idéalement à vos désirs sur ImmoScout24 - La plateforme de l'immobilier en Suisse.</t>
  </si>
  <si>
    <t>https://www.immoscout24.ch/fr/appartement/louer/lieu-jongny</t>
  </si>
  <si>
    <t>Louer appartement Jongny: Trouvez le bien immobilier qui correspond idéalement à vos désirs sur ImmoScout24 - La plateforme de l'immobilier en Suisse.</t>
  </si>
  <si>
    <t>https://www.immoscout24.ch/fr/maison/acheter/lieu-figino</t>
  </si>
  <si>
    <t>Vendre maison Figino: Trouvez le bien immobilier qui correspond idéalement à vos désirs sur ImmoScout24 - La plateforme de l'immobilier en Suisse.</t>
  </si>
  <si>
    <t>https://www.immoscout24.ch/fr/appartement/louer/lieu-perly</t>
  </si>
  <si>
    <t>Louer appartement Perly: Trouvez le bien immobilier qui correspond idéalement à vos désirs sur ImmoScout24 - La plateforme de l'immobilier en Suisse.</t>
  </si>
  <si>
    <t>https://www.immoscout24.ch/fr/maison/acheter/lieu-wohlen-b-bern</t>
  </si>
  <si>
    <t>Vendre maison Wohlen b. Bern: Trouvez le bien immobilier qui correspond idéalement à vos désirs sur ImmoScout24 - La plateforme de l'immobilier en Suisse.</t>
  </si>
  <si>
    <t>https://www.immoscout24.ch/fr/maison/louer/lieu-treyvaux</t>
  </si>
  <si>
    <t>Louer maison Treyvaux: Trouvez le bien immobilier qui correspond idéalement à vos désirs sur ImmoScout24 - La plateforme de l'immobilier en Suisse.</t>
  </si>
  <si>
    <t>https://www.immoscout24.ch/fr/appartement/louer/lieu-tolochenaz</t>
  </si>
  <si>
    <t>Louer appartement Tolochenaz: Trouvez le bien immobilier qui correspond idéalement à vos désirs sur ImmoScout24 - La plateforme de l'immobilier en Suisse.</t>
  </si>
  <si>
    <t>https://www.immoscout24.ch/fr/maison/acheter/lieu-ermatingen</t>
  </si>
  <si>
    <t>Vendre maison Ermatingen: Trouvez le bien immobilier qui correspond idéalement à vos désirs sur ImmoScout24 - La plateforme de l'immobilier en Suisse.</t>
  </si>
  <si>
    <t>https://www.immoscout24.ch/fr/maison/louer/quartier-bossons-blecherette-lausanne</t>
  </si>
  <si>
    <t>Louer maison Bossons - Blécherette (Lausanne): Trouvez le bien immobilier qui correspond idéalement à vos désirs sur ImmoScout24 - La plateforme de l'immobilier en Suisse.</t>
  </si>
  <si>
    <t>https://www.immoscout24.ch/fr/maison/acheter/lieu-oberbipp</t>
  </si>
  <si>
    <t>Vendre maison Oberbipp: Trouvez le bien immobilier qui correspond idéalement à vos désirs sur ImmoScout24 - La plateforme de l'immobilier en Suisse.</t>
  </si>
  <si>
    <t>https://www.immoscout24.ch/fr/appartement/louer/region-zurich-ville</t>
  </si>
  <si>
    <t>Louer appartement Zurich ville: Trouvez le bien immobilier qui correspond idéalement à vos désirs sur ImmoScout24 - La plateforme de l'immobilier en Suisse.</t>
  </si>
  <si>
    <t>https://www.immoscout24.ch/fr/appartement/louer/lieu-muri-b-bern</t>
  </si>
  <si>
    <t>Louer appartement Muri b. Bern: Trouvez le bien immobilier qui correspond idéalement à vos désirs sur ImmoScout24 - La plateforme de l'immobilier en Suisse.</t>
  </si>
  <si>
    <t>https://www.immoscout24.ch/fr/maison/acheter/lieu-arosa</t>
  </si>
  <si>
    <t>Vendre maison Arosa: Trouvez le bien immobilier qui correspond idéalement à vos désirs sur ImmoScout24 - La plateforme de l'immobilier en Suisse.</t>
  </si>
  <si>
    <t>https://www.immoscout24.ch/fr/appartement/louer/lieu-taegerwilen</t>
  </si>
  <si>
    <t>Louer appartement Tägerwilen: Trouvez le bien immobilier qui correspond idéalement à vos désirs sur ImmoScout24 - La plateforme de l'immobilier en Suisse.</t>
  </si>
  <si>
    <t>https://www.immoscout24.ch/fr/maison/louer/lieu-buelach</t>
  </si>
  <si>
    <t>Louer maison Bülach: Trouvez le bien immobilier qui correspond idéalement à vos désirs sur ImmoScout24 - La plateforme de l'immobilier en Suisse.</t>
  </si>
  <si>
    <t>https://www.immoscout24.ch/fr/appartement/louer/lieu-luins</t>
  </si>
  <si>
    <t>Louer appartement Luins: Trouvez le bien immobilier qui correspond idéalement à vos désirs sur ImmoScout24 - La plateforme de l'immobilier en Suisse.</t>
  </si>
  <si>
    <t>https://www.immoscout24.ch/fr/maison/acheter/quartier-eplatures-cret-du-locle-la-chaux-de-fonds</t>
  </si>
  <si>
    <t>Vendre maison Eplatures-Crêt du Locle (La Chaux-de-Fonds): Trouvez le bien immobilier qui correspond idéalement à vos désirs sur ImmoScout24 - La plateforme de l'immobilier en Suisse.</t>
  </si>
  <si>
    <t>https://www.immoscout24.ch/fr/maison/louer/lieu-cournillens</t>
  </si>
  <si>
    <t>Louer maison Cournillens: Trouvez le bien immobilier qui correspond idéalement à vos désirs sur ImmoScout24 - La plateforme de l'immobilier en Suisse.</t>
  </si>
  <si>
    <t>https://www.immoscout24.ch/fr/appartement/acheter/lieu-schoenried</t>
  </si>
  <si>
    <t>Vendre appartement Schönried: Trouvez le bien immobilier qui correspond idéalement à vos désirs sur ImmoScout24 - La plateforme de l'immobilier en Suisse.</t>
  </si>
  <si>
    <t>https://www.immoscout24.ch/fr/maison/acheter/region-ayent</t>
  </si>
  <si>
    <t>Vendre maison Ayent: Trouvez le bien immobilier qui correspond idéalement à vos désirs sur ImmoScout24 - La plateforme de l'immobilier en Suisse.</t>
  </si>
  <si>
    <t>https://www.immoscout24.ch/fr/maison/louer/lieu-choex</t>
  </si>
  <si>
    <t>Louer maison Choëx: Trouvez le bien immobilier qui correspond idéalement à vos désirs sur ImmoScout24 - La plateforme de l'immobilier en Suisse.</t>
  </si>
  <si>
    <t>https://www.immoscout24.ch/fr/appartement/acheter/lieu-ballaigues</t>
  </si>
  <si>
    <t>Vendre appartement Ballaigues: Trouvez le bien immobilier qui correspond idéalement à vos désirs sur ImmoScout24 - La plateforme de l'immobilier en Suisse.</t>
  </si>
  <si>
    <t>https://www.immoscout24.ch/fr/appartement/louer/lieu-lentigny</t>
  </si>
  <si>
    <t>Louer appartement Lentigny: Trouvez le bien immobilier qui correspond idéalement à vos désirs sur ImmoScout24 - La plateforme de l'immobilier en Suisse.</t>
  </si>
  <si>
    <t>https://www.immoscout24.ch/fr/maison/louer/lieu-bueren-an-der-aare</t>
  </si>
  <si>
    <t>Louer maison Büren an der Aare: Trouvez le bien immobilier qui correspond idéalement à vos désirs sur ImmoScout24 - La plateforme de l'immobilier en Suisse.</t>
  </si>
  <si>
    <t>https://www.immoscout24.ch/fr/appartement/acheter/lieu-bole</t>
  </si>
  <si>
    <t>Vendre appartement Bôle: Trouvez le bien immobilier qui correspond idéalement à vos désirs sur ImmoScout24 - La plateforme de l'immobilier en Suisse.</t>
  </si>
  <si>
    <t>https://www.immoscout24.ch/fr/maison/acheter/lieu-courtetelle</t>
  </si>
  <si>
    <t>Vendre maison Courtételle: Trouvez le bien immobilier qui correspond idéalement à vos désirs sur ImmoScout24 - La plateforme de l'immobilier en Suisse.</t>
  </si>
  <si>
    <t>https://www.immoscout24.ch/fr/maison/acheter/lieu-barbereche</t>
  </si>
  <si>
    <t>Vendre maison Barberêche: Trouvez le bien immobilier qui correspond idéalement à vos désirs sur ImmoScout24 - La plateforme de l'immobilier en Suisse.</t>
  </si>
  <si>
    <t>https://www.immoscout24.ch/fr/maison/acheter/lieu-endingen</t>
  </si>
  <si>
    <t>Vendre maison Endingen: Trouvez le bien immobilier qui correspond idéalement à vos désirs sur ImmoScout24 - La plateforme de l'immobilier en Suisse.</t>
  </si>
  <si>
    <t>https://www.immoscout24.ch/fr/appartement/acheter/quartier-witikon-zurich</t>
  </si>
  <si>
    <t>Vendre appartement Witikon (Zurich): Trouvez le bien immobilier qui correspond idéalement à vos désirs sur ImmoScout24 - La plateforme de l'immobilier en Suisse.</t>
  </si>
  <si>
    <t>https://www.immoscout24.ch/fr/maison/louer/lieu-vallon</t>
  </si>
  <si>
    <t>Louer maison Vallon: Trouvez le bien immobilier qui correspond idéalement à vos désirs sur ImmoScout24 - La plateforme de l'immobilier en Suisse.</t>
  </si>
  <si>
    <t>https://www.immoscout24.ch/fr/maison/acheter/lieu-lovatens</t>
  </si>
  <si>
    <t>Vendre maison Lovatens: Trouvez le bien immobilier qui correspond idéalement à vos désirs sur ImmoScout24 - La plateforme de l'immobilier en Suisse.</t>
  </si>
  <si>
    <t>https://www.immoscout24.ch/fr/appartement/acheter/lieu-collombey</t>
  </si>
  <si>
    <t>Vendre appartement Collombey: Trouvez le bien immobilier qui correspond idéalement à vos désirs sur ImmoScout24 - La plateforme de l'immobilier en Suisse.</t>
  </si>
  <si>
    <t>https://www.immoscout24.ch/fr/appartement/louer/lieu-echarlens</t>
  </si>
  <si>
    <t>Louer appartement Echarlens: Trouvez le bien immobilier qui correspond idéalement à vos désirs sur ImmoScout24 - La plateforme de l'immobilier en Suisse.</t>
  </si>
  <si>
    <t>https://www.immoscout24.ch/fr/appartement/louer/quartier-carona-lugano</t>
  </si>
  <si>
    <t>Louer appartement Carona (Lugano): Trouvez le bien immobilier qui correspond idéalement à vos désirs sur ImmoScout24 - La plateforme de l'immobilier en Suisse.</t>
  </si>
  <si>
    <t>https://www.immoscout24.ch/fr/maison/acheter/lieu-ursins</t>
  </si>
  <si>
    <t>Vendre maison Ursins: Trouvez le bien immobilier qui correspond idéalement à vos désirs sur ImmoScout24 - La plateforme de l'immobilier en Suisse.</t>
  </si>
  <si>
    <t>https://www.immoscout24.ch/fr/appartement/acheter/lieu-vullierens</t>
  </si>
  <si>
    <t>Vendre appartement Vullierens: Trouvez le bien immobilier qui correspond idéalement à vos désirs sur ImmoScout24 - La plateforme de l'immobilier en Suisse.</t>
  </si>
  <si>
    <t>https://www.immoscout24.ch/fr/maison/louer/lieu-porrentruy</t>
  </si>
  <si>
    <t>https://www.immoscout24.ch/fr/maison/louer/lieu-etagnieres</t>
  </si>
  <si>
    <t>Louer maison Etagnières: Trouvez le bien immobilier qui correspond idéalement à vos désirs sur ImmoScout24 - La plateforme de l'immobilier en Suisse.</t>
  </si>
  <si>
    <t>https://www.immoscout24.ch/fr/appartement/acheter/lieu-crassier</t>
  </si>
  <si>
    <t>Vendre appartement Crassier: Trouvez le bien immobilier qui correspond idéalement à vos désirs sur ImmoScout24 - La plateforme de l'immobilier en Suisse.</t>
  </si>
  <si>
    <t>https://www.immoscout24.ch/fr/appartement/louer/lieu-la-croix-de-rozon</t>
  </si>
  <si>
    <t>Louer appartement La Croix-de-Rozon: Trouvez le bien immobilier qui correspond idéalement à vos désirs sur ImmoScout24 - La plateforme de l'immobilier en Suisse.</t>
  </si>
  <si>
    <t>https://www.immoscout24.ch/fr/maison/louer/lieu-marin-epagnier</t>
  </si>
  <si>
    <t>Louer maison Marin-Epagnier: Trouvez le bien immobilier qui correspond idéalement à vos désirs sur ImmoScout24 - La plateforme de l'immobilier en Suisse.</t>
  </si>
  <si>
    <t>https://www.immoscout24.ch/fr/appartement/louer/lieu-allschwil</t>
  </si>
  <si>
    <t>Louer appartement Allschwil: Trouvez le bien immobilier qui correspond idéalement à vos désirs sur ImmoScout24 - La plateforme de l'immobilier en Suisse.</t>
  </si>
  <si>
    <t>https://www.immoscout24.ch/fr/maison/acheter/lieu-montezillon</t>
  </si>
  <si>
    <t>Vendre maison Montezillon: Trouvez le bien immobilier qui correspond idéalement à vos désirs sur ImmoScout24 - La plateforme de l'immobilier en Suisse.</t>
  </si>
  <si>
    <t>https://www.immoscout24.ch/fr/appartement/louer/lieu-pleigne</t>
  </si>
  <si>
    <t>Louer appartement Pleigne: Trouvez le bien immobilier qui correspond idéalement à vos désirs sur ImmoScout24 - La plateforme de l'immobilier en Suisse.</t>
  </si>
  <si>
    <t>https://www.immoscout24.ch/fr/appartement/louer/lieu-jeuss</t>
  </si>
  <si>
    <t>Louer appartement Jeuss: Trouvez le bien immobilier qui correspond idéalement à vos désirs sur ImmoScout24 - La plateforme de l'immobilier en Suisse.</t>
  </si>
  <si>
    <t>https://www.immoscout24.ch/fr/maison/acheter/lieu-winkel</t>
  </si>
  <si>
    <t>Vendre maison Winkel: Trouvez le bien immobilier qui correspond idéalement à vos désirs sur ImmoScout24 - La plateforme de l'immobilier en Suisse.</t>
  </si>
  <si>
    <t>https://www.immoscout24.ch/fr/appartement/louer/lieu-pfungen</t>
  </si>
  <si>
    <t>Louer appartement Pfungen: Trouvez le bien immobilier qui correspond idéalement à vos désirs sur ImmoScout24 - La plateforme de l'immobilier en Suisse.</t>
  </si>
  <si>
    <t>https://www.immoscout24.ch/fr/maison/acheter/lieu-chamby</t>
  </si>
  <si>
    <t>Vendre maison Chamby: Trouvez le bien immobilier qui correspond idéalement à vos désirs sur ImmoScout24 - La plateforme de l'immobilier en Suisse.</t>
  </si>
  <si>
    <t>https://www.immoscout24.ch/fr/maison/acheter/lieu-gebenstorf</t>
  </si>
  <si>
    <t>Vendre maison Gebenstorf: Trouvez le bien immobilier qui correspond idéalement à vos désirs sur ImmoScout24 - La plateforme de l'immobilier en Suisse.</t>
  </si>
  <si>
    <t>https://www.immoscout24.ch/fr/maison/louer/pays-suisse-fl</t>
  </si>
  <si>
    <t>Louer maison Suisse + FL: Trouvez le bien immobilier qui correspond idéalement à vos désirs sur ImmoScout24 - La plateforme de l'immobilier en Suisse.</t>
  </si>
  <si>
    <t>https://www.immoscout24.ch/fr/appartement/louer/lieu-vaulion</t>
  </si>
  <si>
    <t>Louer appartement Vaulion: Trouvez le bien immobilier qui correspond idéalement à vos désirs sur ImmoScout24 - La plateforme de l'immobilier en Suisse.</t>
  </si>
  <si>
    <t>https://www.immoscout24.ch/fr/maison/louer/lieu-l-abergement</t>
  </si>
  <si>
    <t>Louer maison L'Abergement: Trouvez le bien immobilier qui correspond idéalement à vos désirs sur ImmoScout24 - La plateforme de l'immobilier en Suisse.</t>
  </si>
  <si>
    <t>https://www.immoscout24.ch/fr/appartement/louer/lieu-unterentfelden</t>
  </si>
  <si>
    <t>Louer appartement Unterentfelden: Trouvez le bien immobilier qui correspond idéalement à vos désirs sur ImmoScout24 - La plateforme de l'immobilier en Suisse.</t>
  </si>
  <si>
    <t>https://www.immoscout24.ch/fr/maison/louer/lieu-perroy</t>
  </si>
  <si>
    <t>Louer maison Perroy: Trouvez le bien immobilier qui correspond idéalement à vos désirs sur ImmoScout24 - La plateforme de l'immobilier en Suisse.</t>
  </si>
  <si>
    <t>https://www.immoscout24.ch/fr/maison/acheter/lieu-berikon</t>
  </si>
  <si>
    <t>Vendre maison Berikon: Trouvez le bien immobilier qui correspond idéalement à vos désirs sur ImmoScout24 - La plateforme de l'immobilier en Suisse.</t>
  </si>
  <si>
    <t>https://www.immoscout24.ch/fr/maison/louer/lieu-le-sentier</t>
  </si>
  <si>
    <t>Louer maison Le Sentier: Trouvez le bien immobilier qui correspond idéalement à vos désirs sur ImmoScout24 - La plateforme de l'immobilier en Suisse.</t>
  </si>
  <si>
    <t>https://www.immoscout24.ch/fr/appartement/acheter/lieu-speicher</t>
  </si>
  <si>
    <t>Vendre appartement Speicher: Trouvez le bien immobilier qui correspond idéalement à vos désirs sur ImmoScout24 - La plateforme de l'immobilier en Suisse.</t>
  </si>
  <si>
    <t>https://www.immoscout24.ch/fr/maison/louer/lieu-massongex</t>
  </si>
  <si>
    <t>Louer maison Massongex: Trouvez le bien immobilier qui correspond idéalement à vos désirs sur ImmoScout24 - La plateforme de l'immobilier en Suisse.</t>
  </si>
  <si>
    <t>https://www.immoscout24.ch/fr/appartement/acheter/lieu-suhr</t>
  </si>
  <si>
    <t>Vendre appartement Suhr: Trouvez le bien immobilier qui correspond idéalement à vos désirs sur ImmoScout24 - La plateforme de l'immobilier en Suisse.</t>
  </si>
  <si>
    <t>https://www.immoscout24.ch/fr/maison/acheter/lieu-lonay</t>
  </si>
  <si>
    <t>Vendre maison Lonay: Trouvez le bien immobilier qui correspond idéalement à vos désirs sur ImmoScout24 - La plateforme de l'immobilier en Suisse.</t>
  </si>
  <si>
    <t>https://www.immoscout24.ch/fr/appartement/acheter/region-sion-sierre-et-environs</t>
  </si>
  <si>
    <t>Vendre appartement Sion - Sierre et environs: Trouvez le bien immobilier qui correspond idéalement à vos désirs sur ImmoScout24 - La plateforme de l'immobilier en Suisse.</t>
  </si>
  <si>
    <t>https://www.immoscout24.ch/fr/appartement/louer/quartier-riethuesli-st-gall</t>
  </si>
  <si>
    <t>Louer appartement Riethüsli (St-Gall): Trouvez le bien immobilier qui correspond idéalement à vos désirs sur ImmoScout24 - La plateforme de l'immobilier en Suisse.</t>
  </si>
  <si>
    <t>https://www.immoscout24.ch/fr/maison/louer/lieu-bouloz</t>
  </si>
  <si>
    <t>Louer maison Bouloz: Trouvez le bien immobilier qui correspond idéalement à vos désirs sur ImmoScout24 - La plateforme de l'immobilier en Suisse.</t>
  </si>
  <si>
    <t>https://www.immoscout24.ch/fr/maison/acheter/lieu-gentilino</t>
  </si>
  <si>
    <t>Vendre maison Gentilino: Trouvez le bien immobilier qui correspond idéalement à vos désirs sur ImmoScout24 - La plateforme de l'immobilier en Suisse.</t>
  </si>
  <si>
    <t>https://www.immoscout24.ch/fr/maison/acheter/lieu-fahrwangen</t>
  </si>
  <si>
    <t>Vendre maison Fahrwangen: Trouvez le bien immobilier qui correspond idéalement à vos désirs sur ImmoScout24 - La plateforme de l'immobilier en Suisse.</t>
  </si>
  <si>
    <t>https://www.immoscout24.ch/fr/appartement/louer/lieu-mathod</t>
  </si>
  <si>
    <t>Louer appartement Mathod: Trouvez le bien immobilier qui correspond idéalement à vos désirs sur ImmoScout24 - La plateforme de l'immobilier en Suisse.</t>
  </si>
  <si>
    <t>https://www.immoscout24.ch/fr/appartement/acheter/lieu-chermignon</t>
  </si>
  <si>
    <t>Vendre appartement Chermignon: Trouvez le bien immobilier qui correspond idéalement à vos désirs sur ImmoScout24 - La plateforme de l'immobilier en Suisse.</t>
  </si>
  <si>
    <t>https://www.immoscout24.ch/fr/maison/acheter/lieu-konolfingen</t>
  </si>
  <si>
    <t>Vendre maison Konolfingen: Trouvez le bien immobilier qui correspond idéalement à vos désirs sur ImmoScout24 - La plateforme de l'immobilier en Suisse.</t>
  </si>
  <si>
    <t>https://www.immoscout24.ch/fr/appartement/louer/lieu-zollbrueck</t>
  </si>
  <si>
    <t>Louer appartement Zollbrück: Trouvez le bien immobilier qui correspond idéalement à vos désirs sur ImmoScout24 - La plateforme de l'immobilier en Suisse.</t>
  </si>
  <si>
    <t>https://www.immoscout24.ch/fr/maison/louer/lieu-mollie-margot</t>
  </si>
  <si>
    <t>Louer maison Mollie-Margot: Trouvez le bien immobilier qui correspond idéalement à vos désirs sur ImmoScout24 - La plateforme de l'immobilier en Suisse.</t>
  </si>
  <si>
    <t>https://www.immoscout24.ch/fr/appartement/acheter/lieu-castagnola</t>
  </si>
  <si>
    <t>Vendre appartement Castagnola: Trouvez le bien immobilier qui correspond idéalement à vos désirs sur ImmoScout24 - La plateforme de l'immobilier en Suisse.</t>
  </si>
  <si>
    <t>https://www.immoscout24.ch/fr/appartement/acheter/lieu-surpierre</t>
  </si>
  <si>
    <t>Vendre appartement Surpierre: Trouvez le bien immobilier qui correspond idéalement à vos désirs sur ImmoScout24 - La plateforme de l'immobilier en Suisse.</t>
  </si>
  <si>
    <t>https://www.immoscout24.ch/fr/maison/acheter/lieu-aranno</t>
  </si>
  <si>
    <t>Vendre maison Aranno: Trouvez le bien immobilier qui correspond idéalement à vos désirs sur ImmoScout24 - La plateforme de l'immobilier en Suisse.</t>
  </si>
  <si>
    <t>https://www.immoscout24.ch/fr/appartement/acheter/lieu-dizy</t>
  </si>
  <si>
    <t>Vendre appartement Dizy: Trouvez le bien immobilier qui correspond idéalement à vos désirs sur ImmoScout24 - La plateforme de l'immobilier en Suisse.</t>
  </si>
  <si>
    <t>https://www.immoscout24.ch/fr/appartement/louer/lieu-grosshoechstetten</t>
  </si>
  <si>
    <t>Louer appartement Grosshöchstetten: Trouvez le bien immobilier qui correspond idéalement à vos désirs sur ImmoScout24 - La plateforme de l'immobilier en Suisse.</t>
  </si>
  <si>
    <t>https://www.immoscout24.ch/fr/appartement/acheter/lieu-conthey</t>
  </si>
  <si>
    <t>Vendre appartement Conthey: Trouvez le bien immobilier qui correspond idéalement à vos désirs sur ImmoScout24 - La plateforme de l'immobilier en Suisse.</t>
  </si>
  <si>
    <t>https://www.immoscout24.ch/fr/maison/acheter/region-obwalden</t>
  </si>
  <si>
    <t>Vendre maison Obwalden: Trouvez le bien immobilier qui correspond idéalement à vos désirs sur ImmoScout24 - La plateforme de l'immobilier en Suisse.</t>
  </si>
  <si>
    <t>https://www.immoscout24.ch/fr/maison/acheter/quartier-witikon-zurich</t>
  </si>
  <si>
    <t>Vendre maison Witikon (Zurich): Trouvez le bien immobilier qui correspond idéalement à vos désirs sur ImmoScout24 - La plateforme de l'immobilier en Suisse.</t>
  </si>
  <si>
    <t>https://www.immoscout24.ch/fr/appartement/acheter/lieu-stein-ag</t>
  </si>
  <si>
    <t>Vendre appartement Stein AG: Trouvez le bien immobilier qui correspond idéalement à vos désirs sur ImmoScout24 - La plateforme de l'immobilier en Suisse.</t>
  </si>
  <si>
    <t>https://www.immoscout24.ch/fr/maison/acheter/lieu-morgins</t>
  </si>
  <si>
    <t>Vendre maison Morgins: Trouvez le bien immobilier qui correspond idéalement à vos désirs sur ImmoScout24 - La plateforme de l'immobilier en Suisse.</t>
  </si>
  <si>
    <t>https://www.immoscout24.ch/fr/maison/acheter/region-sion-sierre-et-environs</t>
  </si>
  <si>
    <t>Vendre maison Sion - Sierre et environs: Trouvez le bien immobilier qui correspond idéalement à vos désirs sur ImmoScout24 - La plateforme de l'immobilier en Suisse.</t>
  </si>
  <si>
    <t>https://www.immoscout24.ch/fr/appartement/acheter/quartier-bouchet-moillebeau-geneve</t>
  </si>
  <si>
    <t>Vendre appartement Bouchet - Moillebeau (Genève): Trouvez le bien immobilier qui correspond idéalement à vos désirs sur ImmoScout24 - La plateforme de l'immobilier en Suisse.</t>
  </si>
  <si>
    <t>https://www.immoscout24.ch/fr/maison/acheter/lieu-cortebert</t>
  </si>
  <si>
    <t>Vendre maison Cortébert: Trouvez le bien immobilier qui correspond idéalement à vos désirs sur ImmoScout24 - La plateforme de l'immobilier en Suisse.</t>
  </si>
  <si>
    <t>https://www.immoscout24.ch/fr/maison/acheter/lieu-menzonio</t>
  </si>
  <si>
    <t>Vendre maison Menzonio: Trouvez le bien immobilier qui correspond idéalement à vos désirs sur ImmoScout24 - La plateforme de l'immobilier en Suisse.</t>
  </si>
  <si>
    <t>https://www.immoscout24.ch/fr/appartement/acheter/lieu-anzere</t>
  </si>
  <si>
    <t>Vendre appartement Anzère: Trouvez le bien immobilier qui correspond idéalement à vos désirs sur ImmoScout24 - La plateforme de l'immobilier en Suisse.</t>
  </si>
  <si>
    <t>https://www.immoscout24.ch/fr/maison/louer/lieu-savagnier</t>
  </si>
  <si>
    <t>Louer maison Savagnier: Trouvez le bien immobilier qui correspond idéalement à vos désirs sur ImmoScout24 - La plateforme de l'immobilier en Suisse.</t>
  </si>
  <si>
    <t>https://www.immoscout24.ch/fr/maison/acheter/lieu-versam</t>
  </si>
  <si>
    <t>Vendre maison Versam: Trouvez le bien immobilier qui correspond idéalement à vos désirs sur ImmoScout24 - La plateforme de l'immobilier en Suisse.</t>
  </si>
  <si>
    <t>https://www.immoscout24.ch/fr/maison/louer/lieu-forel-fr</t>
  </si>
  <si>
    <t>Louer maison Forel FR: Trouvez le bien immobilier qui correspond idéalement à vos désirs sur ImmoScout24 - La plateforme de l'immobilier en Suisse.</t>
  </si>
  <si>
    <t>https://www.immoscout24.ch/fr/appartement/acheter/lieu-oberburg</t>
  </si>
  <si>
    <t>Vendre appartement Oberburg: Trouvez le bien immobilier qui correspond idéalement à vos désirs sur ImmoScout24 - La plateforme de l'immobilier en Suisse.</t>
  </si>
  <si>
    <t>https://www.immoscout24.ch/fr/appartement/louer/quartier-stgeorgen-st-gall</t>
  </si>
  <si>
    <t>Louer appartement St. Georgen (St-Gall): Trouvez le bien immobilier qui correspond idéalement à vos désirs sur ImmoScout24 - La plateforme de l'immobilier en Suisse.</t>
  </si>
  <si>
    <t>https://www.immoscout24.ch/fr/maison/louer/lieu-riaz</t>
  </si>
  <si>
    <t>Louer maison Riaz: Trouvez le bien immobilier qui correspond idéalement à vos désirs sur ImmoScout24 - La plateforme de l'immobilier en Suisse.</t>
  </si>
  <si>
    <t>https://www.immoscout24.ch/fr/maison/acheter/lieu-cerniaz-vd</t>
  </si>
  <si>
    <t>Vendre maison Cerniaz VD: Trouvez le bien immobilier qui correspond idéalement à vos désirs sur ImmoScout24 - La plateforme de l'immobilier en Suisse.</t>
  </si>
  <si>
    <t>https://www.immoscout24.ch/fr/appartement/louer/lieu-ovronnaz</t>
  </si>
  <si>
    <t>Louer appartement Ovronnaz: Trouvez le bien immobilier qui correspond idéalement à vos désirs sur ImmoScout24 - La plateforme de l'immobilier en Suisse.</t>
  </si>
  <si>
    <t>https://www.immoscout24.ch/fr/maison/acheter/lieu-chamoson</t>
  </si>
  <si>
    <t>Vendre maison Chamoson: Trouvez le bien immobilier qui correspond idéalement à vos désirs sur ImmoScout24 - La plateforme de l'immobilier en Suisse.</t>
  </si>
  <si>
    <t>https://www.immoscout24.ch/fr/maison/acheter/quartier-eaux-vives-lac-geneve</t>
  </si>
  <si>
    <t>Vendre maison Eaux-Vives - Lac (Genève): Trouvez le bien immobilier qui correspond idéalement à vos désirs sur ImmoScout24 - La plateforme de l'immobilier en Suisse.</t>
  </si>
  <si>
    <t>https://www.immoscout24.ch/fr/appartement/louer/lieu-seuzach</t>
  </si>
  <si>
    <t>Louer appartement Seuzach: Trouvez le bien immobilier qui correspond idéalement à vos désirs sur ImmoScout24 - La plateforme de l'immobilier en Suisse.</t>
  </si>
  <si>
    <t>https://www.immoscout24.ch/fr/maison/acheter/lieu-vesenaz</t>
  </si>
  <si>
    <t>Vendre maison Vésenaz: Trouvez le bien immobilier qui correspond idéalement à vos désirs sur ImmoScout24 - La plateforme de l'immobilier en Suisse.</t>
  </si>
  <si>
    <t>https://www.immoscout24.ch/fr/appartement/louer/lieu-derendingen</t>
  </si>
  <si>
    <t>Louer appartement Derendingen: Trouvez le bien immobilier qui correspond idéalement à vos désirs sur ImmoScout24 - La plateforme de l'immobilier en Suisse.</t>
  </si>
  <si>
    <t>https://www.immoscout24.ch/fr/maison/louer/lieu-hauterive-ne</t>
  </si>
  <si>
    <t>Louer maison Hauterive NE: Trouvez le bien immobilier qui correspond idéalement à vos désirs sur ImmoScout24 - La plateforme de l'immobilier en Suisse.</t>
  </si>
  <si>
    <t>https://www.immoscout24.ch/fr/appartement/acheter/pays-costa-rica</t>
  </si>
  <si>
    <t>Vendre appartement Costa Rica: Trouvez le bien immobilier qui correspond idéalement à vos désirs sur ImmoScout24 - La plateforme de l'immobilier en Suisse.</t>
  </si>
  <si>
    <t>https://www.immoscout24.ch/fr/appartement/louer/lieu-cugy-fr</t>
  </si>
  <si>
    <t>Louer appartement Cugy FR: Trouvez le bien immobilier qui correspond idéalement à vos désirs sur ImmoScout24 - La plateforme de l'immobilier en Suisse.</t>
  </si>
  <si>
    <t>https://www.immoscout24.ch/fr/appartement/acheter/lieu-arosa</t>
  </si>
  <si>
    <t>Vendre appartement Arosa: Trouvez le bien immobilier qui correspond idéalement à vos désirs sur ImmoScout24 - La plateforme de l'immobilier en Suisse.</t>
  </si>
  <si>
    <t>https://www.immoscout24.ch/fr/appartement/louer/quartier-innenstadt-st-gall</t>
  </si>
  <si>
    <t>Louer appartement Innenstadt (St-Gall): Trouvez le bien immobilier qui correspond idéalement à vos désirs sur ImmoScout24 - La plateforme de l'immobilier en Suisse.</t>
  </si>
  <si>
    <t>https://www.immoscout24.ch/fr/maison/acheter/lieu-chesalles-sur-oron</t>
  </si>
  <si>
    <t>Vendre maison Chesalles-sur-Oron: Trouvez le bien immobilier qui correspond idéalement à vos désirs sur ImmoScout24 - La plateforme de l'immobilier en Suisse.</t>
  </si>
  <si>
    <t>https://www.immoscout24.ch/fr/appartement/acheter/lieu-dierikon</t>
  </si>
  <si>
    <t>Vendre appartement Dierikon: Trouvez le bien immobilier qui correspond idéalement à vos désirs sur ImmoScout24 - La plateforme de l'immobilier en Suisse.</t>
  </si>
  <si>
    <t>https://www.immoscout24.ch/fr/maison/acheter/lieu-erde</t>
  </si>
  <si>
    <t>Vendre maison Erde: Trouvez le bien immobilier qui correspond idéalement à vos désirs sur ImmoScout24 - La plateforme de l'immobilier en Suisse.</t>
  </si>
  <si>
    <t>https://www.immoscout24.ch/fr/maison/acheter/lieu-engollon</t>
  </si>
  <si>
    <t>Vendre maison Engollon: Trouvez le bien immobilier qui correspond idéalement à vos désirs sur ImmoScout24 - La plateforme de l'immobilier en Suisse.</t>
  </si>
  <si>
    <t>https://www.immoscout24.ch/fr/maison/acheter/lieu-claro</t>
  </si>
  <si>
    <t>Vendre maison Claro: Trouvez le bien immobilier qui correspond idéalement à vos désirs sur ImmoScout24 - La plateforme de l'immobilier en Suisse.</t>
  </si>
  <si>
    <t>https://www.immoscout24.ch/fr/appartement/louer/lieu-echallens</t>
  </si>
  <si>
    <t>Louer appartement Echallens: Trouvez le bien immobilier qui correspond idéalement à vos désirs sur ImmoScout24 - La plateforme de l'immobilier en Suisse.</t>
  </si>
  <si>
    <t>https://www.immoscout24.ch/fr/maison/acheter/lieu-pianezzo</t>
  </si>
  <si>
    <t>Vendre maison Pianezzo: Trouvez le bien immobilier qui correspond idéalement à vos désirs sur ImmoScout24 - La plateforme de l'immobilier en Suisse.</t>
  </si>
  <si>
    <t>https://www.immoscout24.ch/fr/maison/acheter/lieu-lugnez</t>
  </si>
  <si>
    <t>Vendre maison Lugnez: Trouvez le bien immobilier qui correspond idéalement à vos désirs sur ImmoScout24 - La plateforme de l'immobilier en Suisse.</t>
  </si>
  <si>
    <t>https://www.immoscout24.ch/fr/appartement/louer/quartier-florissant-malagnou-geneve</t>
  </si>
  <si>
    <t>Louer appartement Florissant - Malagnou (Genève): Trouvez le bien immobilier qui correspond idéalement à vos désirs sur ImmoScout24 - La plateforme de l'immobilier en Suisse.</t>
  </si>
  <si>
    <t>https://www.immoscout24.ch/fr/appartement/acheter/region-nidwald</t>
  </si>
  <si>
    <t>Vendre appartement Nidwald: Trouvez le bien immobilier qui correspond idéalement à vos désirs sur ImmoScout24 - La plateforme de l'immobilier en Suisse.</t>
  </si>
  <si>
    <t>https://www.immoscout24.ch/fr/maison/acheter/lieu-etziken</t>
  </si>
  <si>
    <t>Vendre maison Etziken: Trouvez le bien immobilier qui correspond idéalement à vos désirs sur ImmoScout24 - La plateforme de l'immobilier en Suisse.</t>
  </si>
  <si>
    <t>https://www.immoscout24.ch/fr/maison/louer/quartier-vers-chez-les-blanc-lausanne</t>
  </si>
  <si>
    <t>Louer maison Vers-chez-les-Blanc (Lausanne): Trouvez le bien immobilier qui correspond idéalement à vos désirs sur ImmoScout24 - La plateforme de l'immobilier en Suisse.</t>
  </si>
  <si>
    <t>https://www.immoscout24.ch/fr/appartement/louer/region-st-gall-ville</t>
  </si>
  <si>
    <t>Louer appartement St. Gall ville: Trouvez le bien immobilier qui correspond idéalement à vos désirs sur ImmoScout24 - La plateforme de l'immobilier en Suisse.</t>
  </si>
  <si>
    <t>https://www.immoscout24.ch/fr/maison/acheter/lieu-vico-morcote</t>
  </si>
  <si>
    <t>Vendre maison Vico Morcote: Trouvez le bien immobilier qui correspond idéalement à vos désirs sur ImmoScout24 - La plateforme de l'immobilier en Suisse.</t>
  </si>
  <si>
    <t>https://www.immoscout24.ch/fr/maison/acheter/lieu-dorenaz</t>
  </si>
  <si>
    <t>Vendre maison Dorénaz: Trouvez le bien immobilier qui correspond idéalement à vos désirs sur ImmoScout24 - La plateforme de l'immobilier en Suisse.</t>
  </si>
  <si>
    <t>https://www.immoscout24.ch/fr/appartement/louer/lieu-pont-la-ville</t>
  </si>
  <si>
    <t>Louer appartement Pont-la-Ville: Trouvez le bien immobilier qui correspond idéalement à vos désirs sur ImmoScout24 - La plateforme de l'immobilier en Suisse.</t>
  </si>
  <si>
    <t>https://www.immoscout24.ch/fr/maison/acheter/lieu-leukerbad</t>
  </si>
  <si>
    <t>Vendre maison Leukerbad: Trouvez le bien immobilier qui correspond idéalement à vos désirs sur ImmoScout24 - La plateforme de l'immobilier en Suisse.</t>
  </si>
  <si>
    <t>https://www.immoscout24.ch/fr/appartement/louer/lieu-palezieux-village</t>
  </si>
  <si>
    <t>Louer appartement Palézieux-Village: Trouvez le bien immobilier qui correspond idéalement à vos désirs sur ImmoScout24 - La plateforme de l'immobilier en Suisse.</t>
  </si>
  <si>
    <t>https://www.immoscout24.ch/fr/maison/acheter/lieu-clarmont</t>
  </si>
  <si>
    <t>Vendre maison Clarmont: Trouvez le bien immobilier qui correspond idéalement à vos désirs sur ImmoScout24 - La plateforme de l'immobilier en Suisse.</t>
  </si>
  <si>
    <t>https://www.immoscout24.ch/fr/appartement/acheter/lieu-buch-am-irchel</t>
  </si>
  <si>
    <t>Vendre appartement Buch am Irchel: Trouvez le bien immobilier qui correspond idéalement à vos désirs sur ImmoScout24 - La plateforme de l'immobilier en Suisse.</t>
  </si>
  <si>
    <t>https://www.immoscout24.ch/fr/maison/louer/lieu-romanshorn</t>
  </si>
  <si>
    <t>Louer maison Romanshorn: Trouvez le bien immobilier qui correspond idéalement à vos désirs sur ImmoScout24 - La plateforme de l'immobilier en Suisse.</t>
  </si>
  <si>
    <t>https://www.immoscout24.ch/fr/appartement/acheter/lieu-moleson-sur-gruyeres</t>
  </si>
  <si>
    <t>Vendre appartement Moléson-sur-Gruyères: Trouvez le bien immobilier qui correspond idéalement à vos désirs sur ImmoScout24 - La plateforme de l'immobilier en Suisse.</t>
  </si>
  <si>
    <t>https://www.immoscout24.ch/fr/appartement/acheter/lieu-aclens</t>
  </si>
  <si>
    <t>Vendre appartement Aclens: Trouvez le bien immobilier qui correspond idéalement à vos désirs sur ImmoScout24 - La plateforme de l'immobilier en Suisse.</t>
  </si>
  <si>
    <t>https://www.immoscout24.ch/fr/appartement/acheter/canton-schwyz</t>
  </si>
  <si>
    <t>Vendre appartement Canton de Schwyz: Trouvez le bien immobilier qui correspond idéalement à vos désirs sur ImmoScout24 - La plateforme de l'immobilier en Suisse.</t>
  </si>
  <si>
    <t>https://www.immoscout24.ch/fr/maison/louer/lieu-laconnex</t>
  </si>
  <si>
    <t>Louer maison Laconnex: Trouvez le bien immobilier qui correspond idéalement à vos désirs sur ImmoScout24 - La plateforme de l'immobilier en Suisse.</t>
  </si>
  <si>
    <t>https://www.immoscout24.ch/fr/maison/acheter/canton-grisons</t>
  </si>
  <si>
    <t>Vendre maison Canton des Grisons: Trouvez le bien immobilier qui correspond idéalement à vos désirs sur ImmoScout24 - La plateforme de l'immobilier en Suisse.</t>
  </si>
  <si>
    <t>https://www.immoscout24.ch/fr/maison/louer/lieu-semsales</t>
  </si>
  <si>
    <t>Louer maison Semsales: Trouvez le bien immobilier qui correspond idéalement à vos désirs sur ImmoScout24 - La plateforme de l'immobilier en Suisse.</t>
  </si>
  <si>
    <t>https://www.immoscout24.ch/fr/appartement/louer/region-haut-valais</t>
  </si>
  <si>
    <t>Louer appartement Haut-Valais: Trouvez le bien immobilier qui correspond idéalement à vos désirs sur ImmoScout24 - La plateforme de l'immobilier en Suisse.</t>
  </si>
  <si>
    <t>https://www.immoscout24.ch/fr/maison/louer/canton-turgovie</t>
  </si>
  <si>
    <t>Louer maison Canton de Turgovie: Trouvez le bien immobilier qui correspond idéalement à vos désirs sur ImmoScout24 - La plateforme de l'immobilier en Suisse.</t>
  </si>
  <si>
    <t>https://www.immoscout24.ch/fr/appartement/louer/lieu-rueti-b-bueren</t>
  </si>
  <si>
    <t>Louer appartement Rüti b. Büren: Trouvez le bien immobilier qui correspond idéalement à vos désirs sur ImmoScout24 - La plateforme de l'immobilier en Suisse.</t>
  </si>
  <si>
    <t>https://www.immoscout24.ch/fr/maison/acheter/lieu-lanzenhaeusern</t>
  </si>
  <si>
    <t>Vendre maison Lanzenhäusern: Trouvez le bien immobilier qui correspond idéalement à vos désirs sur ImmoScout24 - La plateforme de l'immobilier en Suisse.</t>
  </si>
  <si>
    <t>https://www.immoscout24.ch/fr/appartement/louer/lieu-erlen</t>
  </si>
  <si>
    <t>Louer appartement Erlen: Trouvez le bien immobilier qui correspond idéalement à vos désirs sur ImmoScout24 - La plateforme de l'immobilier en Suisse.</t>
  </si>
  <si>
    <t>https://www.immoscout24.ch/fr/appartement/louer/lieu-grimentz</t>
  </si>
  <si>
    <t>Louer appartement Grimentz: Trouvez le bien immobilier qui correspond idéalement à vos désirs sur ImmoScout24 - La plateforme de l'immobilier en Suisse.</t>
  </si>
  <si>
    <t>https://www.immoscout24.ch/fr/appartement/louer/quartier-spiegel-koeniz</t>
  </si>
  <si>
    <t>Louer appartement Spiegel (Köniz): Trouvez le bien immobilier qui correspond idéalement à vos désirs sur ImmoScout24 - La plateforme de l'immobilier en Suisse.</t>
  </si>
  <si>
    <t>https://www.immoscout24.ch/fr/appartement/louer/lieu-le-lieu</t>
  </si>
  <si>
    <t>Louer appartement Le Lieu: Trouvez le bien immobilier qui correspond idéalement à vos désirs sur ImmoScout24 - La plateforme de l'immobilier en Suisse.</t>
  </si>
  <si>
    <t>https://www.immoscout24.ch/fr/appartement/acheter/canton-soleure</t>
  </si>
  <si>
    <t>Vendre appartement Canton de Soleure: Trouvez le bien immobilier qui correspond idéalement à vos désirs sur ImmoScout24 - La plateforme de l'immobilier en Suisse.</t>
  </si>
  <si>
    <t>https://www.immoscout24.ch/fr/maison/acheter/lieu-la-magne</t>
  </si>
  <si>
    <t>Vendre maison La Magne: Trouvez le bien immobilier qui correspond idéalement à vos désirs sur ImmoScout24 - La plateforme de l'immobilier en Suisse.</t>
  </si>
  <si>
    <t>https://www.immoscout24.ch/fr/maison/acheter/quartier-boujean-biel-bienne</t>
  </si>
  <si>
    <t>Vendre maison Boujean (Biel/Bienne): Trouvez le bien immobilier qui correspond idéalement à vos désirs sur ImmoScout24 - La plateforme de l'immobilier en Suisse.</t>
  </si>
  <si>
    <t>https://www.immoscout24.ch/fr/maison/acheter/lieu-marsens</t>
  </si>
  <si>
    <t>Vendre maison Marsens: Trouvez le bien immobilier qui correspond idéalement à vos désirs sur ImmoScout24 - La plateforme de l'immobilier en Suisse.</t>
  </si>
  <si>
    <t>https://www.immoscout24.ch/fr/maison/acheter/lieu-raron</t>
  </si>
  <si>
    <t>Vendre maison Raron: Trouvez le bien immobilier qui correspond idéalement à vos désirs sur ImmoScout24 - La plateforme de l'immobilier en Suisse.</t>
  </si>
  <si>
    <t>https://www.immoscout24.ch/fr/appartement/louer/lieu-la-forclaz-vd</t>
  </si>
  <si>
    <t>Louer appartement La Forclaz VD: Trouvez le bien immobilier qui correspond idéalement à vos désirs sur ImmoScout24 - La plateforme de l'immobilier en Suisse.</t>
  </si>
  <si>
    <t>https://www.immoscout24.ch/fr/appartement/acheter/lieu-schmitten-fr</t>
  </si>
  <si>
    <t>Vendre appartement Schmitten FR: Trouvez le bien immobilier qui correspond idéalement à vos désirs sur ImmoScout24 - La plateforme de l'immobilier en Suisse.</t>
  </si>
  <si>
    <t>https://www.immoscout24.ch/fr/appartement/louer/lieu-promasens</t>
  </si>
  <si>
    <t>Louer appartement Promasens: Trouvez le bien immobilier qui correspond idéalement à vos désirs sur ImmoScout24 - La plateforme de l'immobilier en Suisse.</t>
  </si>
  <si>
    <t>https://www.immoscout24.ch/fr/appartement/louer/lieu-chailly-montreux</t>
  </si>
  <si>
    <t>Louer appartement Chailly-Montreux: Trouvez le bien immobilier qui correspond idéalement à vos désirs sur ImmoScout24 - La plateforme de l'immobilier en Suisse.</t>
  </si>
  <si>
    <t>https://www.immoscout24.ch/fr/maison/acheter/lieu-aumont</t>
  </si>
  <si>
    <t>Vendre maison Aumont: Trouvez le bien immobilier qui correspond idéalement à vos désirs sur ImmoScout24 - La plateforme de l'immobilier en Suisse.</t>
  </si>
  <si>
    <t>https://www.immoscout24.ch/fr/maison/louer/lieu-steinhausen</t>
  </si>
  <si>
    <t>Louer maison Steinhausen: Trouvez le bien immobilier qui correspond idéalement à vos désirs sur ImmoScout24 - La plateforme de l'immobilier en Suisse.</t>
  </si>
  <si>
    <t>https://www.immoscout24.ch/fr/appartement/louer/lieu-caux</t>
  </si>
  <si>
    <t>Louer appartement Caux: Trouvez le bien immobilier qui correspond idéalement à vos désirs sur ImmoScout24 - La plateforme de l'immobilier en Suisse.</t>
  </si>
  <si>
    <t>https://www.immoscout24.ch/fr/maison/acheter/lieu-grenilles</t>
  </si>
  <si>
    <t>Vendre maison Grenilles: Trouvez le bien immobilier qui correspond idéalement à vos désirs sur ImmoScout24 - La plateforme de l'immobilier en Suisse.</t>
  </si>
  <si>
    <t>https://www.immoscout24.ch/fr/appartement/acheter/lieu-gumefens</t>
  </si>
  <si>
    <t>Vendre appartement Gumefens: Trouvez le bien immobilier qui correspond idéalement à vos désirs sur ImmoScout24 - La plateforme de l'immobilier en Suisse.</t>
  </si>
  <si>
    <t>https://www.immoscout24.ch/fr/appartement/louer/quartier-baselstrasse-bernstrasse-lucerne</t>
  </si>
  <si>
    <t>Louer appartement Baselstrasse - Bernstrasse (Lucerne): Trouvez le bien immobilier qui correspond idéalement à vos désirs sur ImmoScout24 - La plateforme de l'immobilier en Suisse.</t>
  </si>
  <si>
    <t>https://www.immoscout24.ch/fr/appartement/louer/lieu-origlio</t>
  </si>
  <si>
    <t>Louer appartement Origlio: Trouvez le bien immobilier qui correspond idéalement à vos désirs sur ImmoScout24 - La plateforme de l'immobilier en Suisse.</t>
  </si>
  <si>
    <t>https://www.immoscout24.ch/fr/maison/acheter/lieu-ins</t>
  </si>
  <si>
    <t>Vendre maison Ins: Trouvez le bien immobilier qui correspond idéalement à vos désirs sur ImmoScout24 - La plateforme de l'immobilier en Suisse.</t>
  </si>
  <si>
    <t>https://www.immoscout24.ch/fr/maison/louer/lieu-matran</t>
  </si>
  <si>
    <t>Louer maison Matran: Trouvez le bien immobilier qui correspond idéalement à vos désirs sur ImmoScout24 - La plateforme de l'immobilier en Suisse.</t>
  </si>
  <si>
    <t>https://www.immoscout24.ch/fr/appartement/acheter/lieu-ruvigliana</t>
  </si>
  <si>
    <t>Vendre appartement Ruvigliana: Trouvez le bien immobilier qui correspond idéalement à vos désirs sur ImmoScout24 - La plateforme de l'immobilier en Suisse.</t>
  </si>
  <si>
    <t>https://www.immoscout24.ch/fr/appartement/louer/lieu-biel-bienne</t>
  </si>
  <si>
    <t>Louer appartement Biel/Bienne: Trouvez le bien immobilier qui correspond idéalement à vos désirs sur ImmoScout24 - La plateforme de l'immobilier en Suisse.</t>
  </si>
  <si>
    <t>https://www.immoscout24.ch/fr/maison/louer/lieu-muenchenstein</t>
  </si>
  <si>
    <t>Louer maison Münchenstein: Trouvez le bien immobilier qui correspond idéalement à vos désirs sur ImmoScout24 - La plateforme de l'immobilier en Suisse.</t>
  </si>
  <si>
    <t>https://www.immoscout24.ch/fr/appartement/louer/lieu-magnedens</t>
  </si>
  <si>
    <t>Louer appartement Magnedens: Trouvez le bien immobilier qui correspond idéalement à vos désirs sur ImmoScout24 - La plateforme de l'immobilier en Suisse.</t>
  </si>
  <si>
    <t>https://www.immoscout24.ch/fr/maison/acheter/lieu-estavannens</t>
  </si>
  <si>
    <t>Vendre maison Estavannens: Trouvez le bien immobilier qui correspond idéalement à vos désirs sur ImmoScout24 - La plateforme de l'immobilier en Suisse.</t>
  </si>
  <si>
    <t>https://www.immoscout24.ch/fr/appartement/louer/lieu-bofflens</t>
  </si>
  <si>
    <t>Louer appartement Bofflens: Trouvez le bien immobilier qui correspond idéalement à vos désirs sur ImmoScout24 - La plateforme de l'immobilier en Suisse.</t>
  </si>
  <si>
    <t>https://www.immoscout24.ch/fr/maison/louer/lieu-suchy</t>
  </si>
  <si>
    <t>Louer maison Suchy: Trouvez le bien immobilier qui correspond idéalement à vos désirs sur ImmoScout24 - La plateforme de l'immobilier en Suisse.</t>
  </si>
  <si>
    <t>https://www.immoscout24.ch/fr/maison/acheter/lieu-les-pres-d-orvin</t>
  </si>
  <si>
    <t>Vendre maison Les Prés-d'Orvin: Trouvez le bien immobilier qui correspond idéalement à vos désirs sur ImmoScout24 - La plateforme de l'immobilier en Suisse.</t>
  </si>
  <si>
    <t>https://www.immoscout24.ch/fr/appartement/louer/lieu-menziken</t>
  </si>
  <si>
    <t>Louer appartement Menziken: Trouvez le bien immobilier qui correspond idéalement à vos désirs sur ImmoScout24 - La plateforme de l'immobilier en Suisse.</t>
  </si>
  <si>
    <t>https://www.immoscout24.ch/fr/appartement/acheter/region-schaffouse-et-environs</t>
  </si>
  <si>
    <t>Vendre appartement Schaffouse et environs: Trouvez le bien immobilier qui correspond idéalement à vos désirs sur ImmoScout24 - La plateforme de l'immobilier en Suisse.</t>
  </si>
  <si>
    <t>https://www.immoscout24.ch/fr/maison/acheter/lieu-vinzel</t>
  </si>
  <si>
    <t>Vendre maison Vinzel: Trouvez le bien immobilier qui correspond idéalement à vos désirs sur ImmoScout24 - La plateforme de l'immobilier en Suisse.</t>
  </si>
  <si>
    <t>https://www.immoscout24.ch/fr/maison/louer/lieu-uzwil</t>
  </si>
  <si>
    <t>Louer maison Uzwil: Trouvez le bien immobilier qui correspond idéalement à vos désirs sur ImmoScout24 - La plateforme de l'immobilier en Suisse.</t>
  </si>
  <si>
    <t>https://www.immoscout24.ch/fr/appartement/louer/lieu-sornetan</t>
  </si>
  <si>
    <t>Louer appartement Sornetan: Trouvez le bien immobilier qui correspond idéalement à vos désirs sur ImmoScout24 - La plateforme de l'immobilier en Suisse.</t>
  </si>
  <si>
    <t>https://www.immoscout24.ch/fr/maison/acheter/lieu-huemoz</t>
  </si>
  <si>
    <t>Vendre maison Huémoz: Trouvez le bien immobilier qui correspond idéalement à vos désirs sur ImmoScout24 - La plateforme de l'immobilier en Suisse.</t>
  </si>
  <si>
    <t>https://www.immoscout24.ch/fr/appartement/louer/lieu-emmetten</t>
  </si>
  <si>
    <t>Louer appartement Emmetten: Trouvez le bien immobilier qui correspond idéalement à vos désirs sur ImmoScout24 - La plateforme de l'immobilier en Suisse.</t>
  </si>
  <si>
    <t>https://www.immoscout24.ch/fr/maison/louer/canton-jura</t>
  </si>
  <si>
    <t>Louer maison Canton du Jura: Trouvez le bien immobilier qui correspond idéalement à vos désirs sur ImmoScout24 - La plateforme de l'immobilier en Suisse.</t>
  </si>
  <si>
    <t>https://www.immoscout24.ch/fr/maison/louer/lieu-portalban</t>
  </si>
  <si>
    <t>Louer maison Portalban: Trouvez le bien immobilier qui correspond idéalement à vos désirs sur ImmoScout24 - La plateforme de l'immobilier en Suisse.</t>
  </si>
  <si>
    <t>https://www.immoscout24.ch/fr/maison/acheter/lieu-geroldswil</t>
  </si>
  <si>
    <t>Vendre maison Geroldswil: Trouvez le bien immobilier qui correspond idéalement à vos désirs sur ImmoScout24 - La plateforme de l'immobilier en Suisse.</t>
  </si>
  <si>
    <t>https://www.immoscout24.ch/fr/maison/acheter/region-davos-praettigau</t>
  </si>
  <si>
    <t>Vendre maison Davos - Prättigau: Trouvez le bien immobilier qui correspond idéalement à vos désirs sur ImmoScout24 - La plateforme de l'immobilier en Suisse.</t>
  </si>
  <si>
    <t>https://www.immoscout24.ch/fr/maison/acheter/lieu-rougemont</t>
  </si>
  <si>
    <t>Vendre maison Rougemont: Trouvez le bien immobilier qui correspond idéalement à vos désirs sur ImmoScout24 - La plateforme de l'immobilier en Suisse.</t>
  </si>
  <si>
    <t>https://www.immoscout24.ch/fr/maison/acheter/lieu-corjolens</t>
  </si>
  <si>
    <t>Vendre maison Corjolens: Trouvez le bien immobilier qui correspond idéalement à vos désirs sur ImmoScout24 - La plateforme de l'immobilier en Suisse.</t>
  </si>
  <si>
    <t>https://www.immoscout24.ch/fr/appartement/acheter/lieu-bellerive-vd</t>
  </si>
  <si>
    <t>Vendre appartement Bellerive VD: Trouvez le bien immobilier qui correspond idéalement à vos désirs sur ImmoScout24 - La plateforme de l'immobilier en Suisse.</t>
  </si>
  <si>
    <t>https://www.immoscout24.ch/fr/appartement/acheter/lieu-icogne</t>
  </si>
  <si>
    <t>Vendre appartement Icogne: Trouvez le bien immobilier qui correspond idéalement à vos désirs sur ImmoScout24 - La plateforme de l'immobilier en Suisse.</t>
  </si>
  <si>
    <t>https://www.immoscout24.ch/fr/maison/louer/lieu-font</t>
  </si>
  <si>
    <t>Louer maison Font: Trouvez le bien immobilier qui correspond idéalement à vos désirs sur ImmoScout24 - La plateforme de l'immobilier en Suisse.</t>
  </si>
  <si>
    <t>https://www.immoscout24.ch/fr/maison/acheter/lieu-athenaz-avusy</t>
  </si>
  <si>
    <t>Vendre maison Athenaz (Avusy): Trouvez le bien immobilier qui correspond idéalement à vos désirs sur ImmoScout24 - La plateforme de l'immobilier en Suisse.</t>
  </si>
  <si>
    <t>https://www.immoscout24.ch/fr/maison/acheter/lieu-cerentino</t>
  </si>
  <si>
    <t>Vendre maison Cerentino: Trouvez le bien immobilier qui correspond idéalement à vos désirs sur ImmoScout24 - La plateforme de l'immobilier en Suisse.</t>
  </si>
  <si>
    <t>https://www.immoscout24.ch/fr/appartement/louer/lieu-sugiez</t>
  </si>
  <si>
    <t>Louer appartement Sugiez: Trouvez le bien immobilier qui correspond idéalement à vos désirs sur ImmoScout24 - La plateforme de l'immobilier en Suisse.</t>
  </si>
  <si>
    <t>https://www.immoscout24.ch/fr/maison/louer/lieu-st-saphorin-lavaux</t>
  </si>
  <si>
    <t>Louer maison St-Saphorin (Lavaux): Trouvez le bien immobilier qui correspond idéalement à vos désirs sur ImmoScout24 - La plateforme de l'immobilier en Suisse.</t>
  </si>
  <si>
    <t>https://www.immoscout24.ch/fr/maison/acheter/lieu-courrendlin</t>
  </si>
  <si>
    <t>Vendre maison Courrendlin: Trouvez le bien immobilier qui correspond idéalement à vos désirs sur ImmoScout24 - La plateforme de l'immobilier en Suisse.</t>
  </si>
  <si>
    <t>https://www.immoscout24.ch/fr/appartement/louer/lieu-agriswil</t>
  </si>
  <si>
    <t>Louer appartement Agriswil: Trouvez le bien immobilier qui correspond idéalement à vos désirs sur ImmoScout24 - La plateforme de l'immobilier en Suisse.</t>
  </si>
  <si>
    <t>https://www.immoscout24.ch/fr/appartement/louer/lieu-courtaman</t>
  </si>
  <si>
    <t>Louer appartement Courtaman: Trouvez le bien immobilier qui correspond idéalement à vos désirs sur ImmoScout24 - La plateforme de l'immobilier en Suisse.</t>
  </si>
  <si>
    <t>https://www.immoscout24.ch/fr/appartement/louer/lieu-mont-sur-rolle</t>
  </si>
  <si>
    <t>Louer appartement Mont-sur-Rolle: Trouvez le bien immobilier qui correspond idéalement à vos désirs sur ImmoScout24 - La plateforme de l'immobilier en Suisse.</t>
  </si>
  <si>
    <t>https://www.immoscout24.ch/fr/appartement/louer/lieu-vissoie</t>
  </si>
  <si>
    <t>Louer appartement Vissoie: Trouvez le bien immobilier qui correspond idéalement à vos désirs sur ImmoScout24 - La plateforme de l'immobilier en Suisse.</t>
  </si>
  <si>
    <t>https://www.immoscout24.ch/fr/appartement/acheter/quartier-cassarate-lugano</t>
  </si>
  <si>
    <t>Vendre appartement Cassarate (Lugano): Trouvez le bien immobilier qui correspond idéalement à vos désirs sur ImmoScout24 - La plateforme de l'immobilier en Suisse.</t>
  </si>
  <si>
    <t>https://www.immoscout24.ch/fr/appartement/louer/lieu-lostorf</t>
  </si>
  <si>
    <t>Louer appartement Lostorf: Trouvez le bien immobilier qui correspond idéalement à vos désirs sur ImmoScout24 - La plateforme de l'immobilier en Suisse.</t>
  </si>
  <si>
    <t>https://www.immoscout24.ch/fr/maison/acheter/lieu-arogno</t>
  </si>
  <si>
    <t>Vendre maison Arogno: Trouvez le bien immobilier qui correspond idéalement à vos désirs sur ImmoScout24 - La plateforme de l'immobilier en Suisse.</t>
  </si>
  <si>
    <t>https://www.immoscout24.ch/fr/maison/acheter/lieu-intragna</t>
  </si>
  <si>
    <t>Vendre maison Intragna: Trouvez le bien immobilier qui correspond idéalement à vos désirs sur ImmoScout24 - La plateforme de l'immobilier en Suisse.</t>
  </si>
  <si>
    <t>https://www.immoscout24.ch/fr/appartement/louer/lieu-misery</t>
  </si>
  <si>
    <t>Louer appartement Misery: Trouvez le bien immobilier qui correspond idéalement à vos désirs sur ImmoScout24 - La plateforme de l'immobilier en Suisse.</t>
  </si>
  <si>
    <t>https://www.immoscout24.ch/fr/maison/acheter/quartier-bruderholz-bale</t>
  </si>
  <si>
    <t>Vendre maison Bruderholz (Bâle): Trouvez le bien immobilier qui correspond idéalement à vos désirs sur ImmoScout24 - La plateforme de l'immobilier en Suisse.</t>
  </si>
  <si>
    <t>https://www.immoscout24.ch/fr/appartement/acheter/lieu-bubikon</t>
  </si>
  <si>
    <t>Vendre appartement Bubikon: Trouvez le bien immobilier qui correspond idéalement à vos désirs sur ImmoScout24 - La plateforme de l'immobilier en Suisse.</t>
  </si>
  <si>
    <t>https://www.immoscout24.ch/fr/maison/acheter/lieu-preverenges</t>
  </si>
  <si>
    <t>Vendre maison Préverenges: Trouvez le bien immobilier qui correspond idéalement à vos désirs sur ImmoScout24 - La plateforme de l'immobilier en Suisse.</t>
  </si>
  <si>
    <t>https://www.immoscout24.ch/fr/maison/louer/lieu-chateau-d-oex</t>
  </si>
  <si>
    <t>Louer maison Château-d'Oex: Trouvez le bien immobilier qui correspond idéalement à vos désirs sur ImmoScout24 - La plateforme de l'immobilier en Suisse.</t>
  </si>
  <si>
    <t>https://www.immoscout24.ch/fr/appartement/louer/lieu-grandsivaz</t>
  </si>
  <si>
    <t>Louer appartement Grandsivaz: Trouvez le bien immobilier qui correspond idéalement à vos désirs sur ImmoScout24 - La plateforme de l'immobilier en Suisse.</t>
  </si>
  <si>
    <t>https://www.immoscout24.ch/fr/maison/acheter/lieu-breitenbach</t>
  </si>
  <si>
    <t>Vendre maison Breitenbach: Trouvez le bien immobilier qui correspond idéalement à vos désirs sur ImmoScout24 - La plateforme de l'immobilier en Suisse.</t>
  </si>
  <si>
    <t>https://www.immoscout24.ch/fr/appartement/louer/lieu-sumiswald</t>
  </si>
  <si>
    <t>Louer appartement Sumiswald: Trouvez le bien immobilier qui correspond idéalement à vos désirs sur ImmoScout24 - La plateforme de l'immobilier en Suisse.</t>
  </si>
  <si>
    <t>https://www.immoscout24.ch/fr/maison/acheter/lieu-charrat</t>
  </si>
  <si>
    <t>Vendre maison Charrat: Trouvez le bien immobilier qui correspond idéalement à vos désirs sur ImmoScout24 - La plateforme de l'immobilier en Suisse.</t>
  </si>
  <si>
    <t>https://www.immoscout24.ch/fr/maison/acheter/lieu-posat</t>
  </si>
  <si>
    <t>Vendre maison Posat: Trouvez le bien immobilier qui correspond idéalement à vos désirs sur ImmoScout24 - La plateforme de l'immobilier en Suisse.</t>
  </si>
  <si>
    <t>https://www.immoscout24.ch/fr/appartement/louer/lieu-oberdorf-bl</t>
  </si>
  <si>
    <t>Louer appartement Oberdorf BL: Trouvez le bien immobilier qui correspond idéalement à vos désirs sur ImmoScout24 - La plateforme de l'immobilier en Suisse.</t>
  </si>
  <si>
    <t>https://www.immoscout24.ch/fr/maison/acheter/lieu-frenieres-sur-bex</t>
  </si>
  <si>
    <t>Vendre maison Frenières-sur-Bex: Trouvez le bien immobilier qui correspond idéalement à vos désirs sur ImmoScout24 - La plateforme de l'immobilier en Suisse.</t>
  </si>
  <si>
    <t>https://www.immoscout24.ch/fr/maison/acheter/lieu-epautheyres</t>
  </si>
  <si>
    <t>Vendre maison Epautheyres: Trouvez le bien immobilier qui correspond idéalement à vos désirs sur ImmoScout24 - La plateforme de l'immobilier en Suisse.</t>
  </si>
  <si>
    <t>https://www.immoscout24.ch/fr/maison/acheter/lieu-oberems</t>
  </si>
  <si>
    <t>Vendre maison Oberems: Trouvez le bien immobilier qui correspond idéalement à vos désirs sur ImmoScout24 - La plateforme de l'immobilier en Suisse.</t>
  </si>
  <si>
    <t>https://www.immoscout24.ch/fr/maison/acheter/lieu-arconciel</t>
  </si>
  <si>
    <t>Vendre maison Arconciel: Trouvez le bien immobilier qui correspond idéalement à vos désirs sur ImmoScout24 - La plateforme de l'immobilier en Suisse.</t>
  </si>
  <si>
    <t>https://www.immoscout24.ch/fr/appartement/louer/lieu-cheseaux-noreaz</t>
  </si>
  <si>
    <t>Louer appartement Cheseaux-Noréaz: Trouvez le bien immobilier qui correspond idéalement à vos désirs sur ImmoScout24 - La plateforme de l'immobilier en Suisse.</t>
  </si>
  <si>
    <t>https://www.immoscout24.ch/fr/appartement/acheter/lieu-zollikon</t>
  </si>
  <si>
    <t>Vendre appartement Zollikon: Trouvez le bien immobilier qui correspond idéalement à vos désirs sur ImmoScout24 - La plateforme de l'immobilier en Suisse.</t>
  </si>
  <si>
    <t>https://www.immoscout24.ch/fr/maison/louer/lieu-port</t>
  </si>
  <si>
    <t>Louer maison Port: Trouvez le bien immobilier qui correspond idéalement à vos désirs sur ImmoScout24 - La plateforme de l'immobilier en Suisse.</t>
  </si>
  <si>
    <t>https://www.immoscout24.ch/fr/appartement/acheter/lieu-bellach</t>
  </si>
  <si>
    <t>Vendre appartement Bellach: Trouvez le bien immobilier qui correspond idéalement à vos désirs sur ImmoScout24 - La plateforme de l'immobilier en Suisse.</t>
  </si>
  <si>
    <t>https://www.immoscout24.ch/fr/appartement/louer/lieu-meisterschwanden</t>
  </si>
  <si>
    <t>Louer appartement Meisterschwanden: Trouvez le bien immobilier qui correspond idéalement à vos désirs sur ImmoScout24 - La plateforme de l'immobilier en Suisse.</t>
  </si>
  <si>
    <t>https://www.immoscout24.ch/fr/appartement/louer/quartier-st-jean-aire-geneve</t>
  </si>
  <si>
    <t>Louer appartement St-Jean - Aire (Genève): Trouvez le bien immobilier qui correspond idéalement à vos désirs sur ImmoScout24 - La plateforme de l'immobilier en Suisse.</t>
  </si>
  <si>
    <t>https://www.immoscout24.ch/fr/appartement/louer/lieu-frauenkappelen</t>
  </si>
  <si>
    <t>Louer appartement Frauenkappelen: Trouvez le bien immobilier qui correspond idéalement à vos désirs sur ImmoScout24 - La plateforme de l'immobilier en Suisse.</t>
  </si>
  <si>
    <t>https://www.immoscout24.ch/fr/appartement/acheter/lieu-s-bernardino</t>
  </si>
  <si>
    <t>Vendre appartement S. Bernardino: Trouvez le bien immobilier qui correspond idéalement à vos désirs sur ImmoScout24 - La plateforme de l'immobilier en Suisse.</t>
  </si>
  <si>
    <t>https://www.immoscout24.ch/fr/appartement/louer/lieu-wolfenschiessen</t>
  </si>
  <si>
    <t>Louer appartement Wolfenschiessen: Trouvez le bien immobilier qui correspond idéalement à vos désirs sur ImmoScout24 - La plateforme de l'immobilier en Suisse.</t>
  </si>
  <si>
    <t>https://www.immoscout24.ch/fr/maison/acheter/lieu-suscevaz</t>
  </si>
  <si>
    <t>Vendre maison Suscévaz: Trouvez le bien immobilier qui correspond idéalement à vos désirs sur ImmoScout24 - La plateforme de l'immobilier en Suisse.</t>
  </si>
  <si>
    <t>https://www.immoscout24.ch/fr/maison/acheter/lieu-buix</t>
  </si>
  <si>
    <t>Vendre maison Buix: Trouvez le bien immobilier qui correspond idéalement à vos désirs sur ImmoScout24 - La plateforme de l'immobilier en Suisse.</t>
  </si>
  <si>
    <t>https://www.immoscout24.ch/fr/maison/acheter/lieu-giubiasco</t>
  </si>
  <si>
    <t>Vendre maison Giubiasco: Trouvez le bien immobilier qui correspond idéalement à vos désirs sur ImmoScout24 - La plateforme de l'immobilier en Suisse.</t>
  </si>
  <si>
    <t>https://www.immoscout24.ch/fr/maison/acheter/lieu-zinal</t>
  </si>
  <si>
    <t>Vendre maison Zinal: Trouvez le bien immobilier qui correspond idéalement à vos désirs sur ImmoScout24 - La plateforme de l'immobilier en Suisse.</t>
  </si>
  <si>
    <t>https://www.immoscout24.ch/fr/maison/louer/lieu-montfaucon</t>
  </si>
  <si>
    <t>Louer maison Montfaucon: Trouvez le bien immobilier qui correspond idéalement à vos désirs sur ImmoScout24 - La plateforme de l'immobilier en Suisse.</t>
  </si>
  <si>
    <t>https://www.immoscout24.ch/fr/maison/acheter/lieu-dommartin</t>
  </si>
  <si>
    <t>Vendre maison Dommartin: Trouvez le bien immobilier qui correspond idéalement à vos désirs sur ImmoScout24 - La plateforme de l'immobilier en Suisse.</t>
  </si>
  <si>
    <t>https://www.immoscout24.ch/fr/appartement/acheter/lieu-chardonne</t>
  </si>
  <si>
    <t>Vendre appartement Chardonne: Trouvez le bien immobilier qui correspond idéalement à vos désirs sur ImmoScout24 - La plateforme de l'immobilier en Suisse.</t>
  </si>
  <si>
    <t>https://www.immoscout24.ch/fr/maison/acheter/lieu-bennwil</t>
  </si>
  <si>
    <t>Vendre maison Bennwil: Trouvez le bien immobilier qui correspond idéalement à vos désirs sur ImmoScout24 - La plateforme de l'immobilier en Suisse.</t>
  </si>
  <si>
    <t>https://www.immoscout24.ch/fr/maison/acheter/lieu-la-tour-de-treme</t>
  </si>
  <si>
    <t>Vendre maison La Tour-de-Trême: Trouvez le bien immobilier qui correspond idéalement à vos désirs sur ImmoScout24 - La plateforme de l'immobilier en Suisse.</t>
  </si>
  <si>
    <t>https://www.immoscout24.ch/fr/appartement/louer/lieu-kappelen</t>
  </si>
  <si>
    <t>Louer appartement Kappelen: Trouvez le bien immobilier qui correspond idéalement à vos désirs sur ImmoScout24 - La plateforme de l'immobilier en Suisse.</t>
  </si>
  <si>
    <t>https://www.immoscout24.ch/fr/appartement/louer/lieu-corbieres</t>
  </si>
  <si>
    <t>Louer appartement Corbières: Trouvez le bien immobilier qui correspond idéalement à vos désirs sur ImmoScout24 - La plateforme de l'immobilier en Suisse.</t>
  </si>
  <si>
    <t>https://www.immoscout24.ch/fr/appartement/louer/lieu-praz-vully</t>
  </si>
  <si>
    <t>Louer appartement Praz (Vully): Trouvez le bien immobilier qui correspond idéalement à vos désirs sur ImmoScout24 - La plateforme de l'immobilier en Suisse.</t>
  </si>
  <si>
    <t>https://www.immoscout24.ch/fr/appartement/louer/quartier-alpes-neuchatel</t>
  </si>
  <si>
    <t>Louer appartement Alpes (Neuchâtel): Trouvez le bien immobilier qui correspond idéalement à vos désirs sur ImmoScout24 - La plateforme de l'immobilier en Suisse.</t>
  </si>
  <si>
    <t>https://www.immoscout24.ch/fr/appartement/louer/lieu-burgistein</t>
  </si>
  <si>
    <t>Louer appartement Burgistein: Trouvez le bien immobilier qui correspond idéalement à vos désirs sur ImmoScout24 - La plateforme de l'immobilier en Suisse.</t>
  </si>
  <si>
    <t>https://www.immoscout24.ch/fr/maison/acheter/lieu-uster</t>
  </si>
  <si>
    <t>Vendre maison Uster: Trouvez le bien immobilier qui correspond idéalement à vos désirs sur ImmoScout24 - La plateforme de l'immobilier en Suisse.</t>
  </si>
  <si>
    <t>https://www.immoscout24.ch/fr/maison/acheter/region-thayngen-stein</t>
  </si>
  <si>
    <t>Vendre maison Thayngen - Stein: Trouvez le bien immobilier qui correspond idéalement à vos désirs sur ImmoScout24 - La plateforme de l'immobilier en Suisse.</t>
  </si>
  <si>
    <t>https://www.immoscout24.ch/fr/appartement/acheter/pays-autriche</t>
  </si>
  <si>
    <t>Vendre appartement Autriche: Trouvez le bien immobilier qui correspond idéalement à vos désirs sur ImmoScout24 - La plateforme de l'immobilier en Suisse.</t>
  </si>
  <si>
    <t>https://www.immoscout24.ch/fr/maison/acheter/lieu-taegerwilen</t>
  </si>
  <si>
    <t>Vendre maison Tägerwilen: Trouvez le bien immobilier qui correspond idéalement à vos désirs sur ImmoScout24 - La plateforme de l'immobilier en Suisse.</t>
  </si>
  <si>
    <t>https://www.immoscout24.ch/fr/maison/acheter/pays-chine</t>
  </si>
  <si>
    <t>Vendre maison Chine: Trouvez le bien immobilier qui correspond idéalement à vos désirs sur ImmoScout24 - La plateforme de l'immobilier en Suisse.</t>
  </si>
  <si>
    <t>https://www.immoscout24.ch/fr/maison/acheter/lieu-morens-fr</t>
  </si>
  <si>
    <t>Vendre maison Morens FR: Trouvez le bien immobilier qui correspond idéalement à vos désirs sur ImmoScout24 - La plateforme de l'immobilier en Suisse.</t>
  </si>
  <si>
    <t>https://www.immoscout24.ch/fr/maison/acheter/region-franches-montagnes</t>
  </si>
  <si>
    <t>Vendre maison Franches-Montagnes: Trouvez le bien immobilier qui correspond idéalement à vos désirs sur ImmoScout24 - La plateforme de l'immobilier en Suisse.</t>
  </si>
  <si>
    <t>https://www.immoscout24.ch/fr/appartement/acheter/lieu-wangen-sz</t>
  </si>
  <si>
    <t>Vendre appartement Wangen SZ: Trouvez le bien immobilier qui correspond idéalement à vos désirs sur ImmoScout24 - La plateforme de l'immobilier en Suisse.</t>
  </si>
  <si>
    <t>https://www.immoscout24.ch/fr/appartement/acheter/lieu-botterens</t>
  </si>
  <si>
    <t>Vendre appartement Botterens: Trouvez le bien immobilier qui correspond idéalement à vos désirs sur ImmoScout24 - La plateforme de l'immobilier en Suisse.</t>
  </si>
  <si>
    <t>https://www.immoscout24.ch/fr/maison/acheter/lieu-montavon</t>
  </si>
  <si>
    <t>Vendre maison Montavon: Trouvez le bien immobilier qui correspond idéalement à vos désirs sur ImmoScout24 - La plateforme de l'immobilier en Suisse.</t>
  </si>
  <si>
    <t>https://www.immoscout24.ch/fr/appartement/acheter/quartier-rosenberg-st-gall</t>
  </si>
  <si>
    <t>Vendre appartement Rosenberg (St-Gall): Trouvez le bien immobilier qui correspond idéalement à vos désirs sur ImmoScout24 - La plateforme de l'immobilier en Suisse.</t>
  </si>
  <si>
    <t>https://www.immoscout24.ch/fr/appartement/louer/lieu-donatyre</t>
  </si>
  <si>
    <t>Louer appartement Donatyre: Trouvez le bien immobilier qui correspond idéalement à vos désirs sur ImmoScout24 - La plateforme de l'immobilier en Suisse.</t>
  </si>
  <si>
    <t>https://www.immoscout24.ch/fr/appartement/louer/region-oberland-est</t>
  </si>
  <si>
    <t>Louer appartement Oberland Est: Trouvez le bien immobilier qui correspond idéalement à vos désirs sur ImmoScout24 - La plateforme de l'immobilier en Suisse.</t>
  </si>
  <si>
    <t>https://www.immoscout24.ch/fr/appartement/louer/lieu-sulz-ag</t>
  </si>
  <si>
    <t>Louer appartement Sulz AG: Trouvez le bien immobilier qui correspond idéalement à vos désirs sur ImmoScout24 - La plateforme de l'immobilier en Suisse.</t>
  </si>
  <si>
    <t>https://www.immoscout24.ch/fr/maison/louer/lieu-volleges</t>
  </si>
  <si>
    <t>Louer maison Vollèges: Trouvez le bien immobilier qui correspond idéalement à vos désirs sur ImmoScout24 - La plateforme de l'immobilier en Suisse.</t>
  </si>
  <si>
    <t>https://www.immoscout24.ch/fr/maison/louer/lieu-geneve</t>
  </si>
  <si>
    <t>Louer maison Genève: Trouvez le bien immobilier qui correspond idéalement à vos désirs sur ImmoScout24 - La plateforme de l'immobilier en Suisse.</t>
  </si>
  <si>
    <t>https://www.immoscout24.ch/fr/appartement/louer/lieu-sales-gruyere</t>
  </si>
  <si>
    <t>Louer appartement Sâles (Gruyère): Trouvez le bien immobilier qui correspond idéalement à vos désirs sur ImmoScout24 - La plateforme de l'immobilier en Suisse.</t>
  </si>
  <si>
    <t>https://www.immoscout24.ch/fr/maison/acheter/lieu-onex</t>
  </si>
  <si>
    <t>Vendre maison Onex: Trouvez le bien immobilier qui correspond idéalement à vos désirs sur ImmoScout24 - La plateforme de l'immobilier en Suisse.</t>
  </si>
  <si>
    <t>https://www.immoscout24.ch/fr/appartement/louer/quartier-onu-rigot-geneve</t>
  </si>
  <si>
    <t>Louer appartement ONU - Rigot (Genève): Trouvez le bien immobilier qui correspond idéalement à vos désirs sur ImmoScout24 - La plateforme de l'immobilier en Suisse.</t>
  </si>
  <si>
    <t>https://www.immoscout24.ch/fr/maison/acheter/lieu-kiental</t>
  </si>
  <si>
    <t>Vendre maison Kiental: Trouvez le bien immobilier qui correspond idéalement à vos désirs sur ImmoScout24 - La plateforme de l'immobilier en Suisse.</t>
  </si>
  <si>
    <t>https://www.immoscout24.ch/fr/maison/acheter/lieu-menznau</t>
  </si>
  <si>
    <t>Vendre maison Menznau: Trouvez le bien immobilier qui correspond idéalement à vos désirs sur ImmoScout24 - La plateforme de l'immobilier en Suisse.</t>
  </si>
  <si>
    <t>https://www.immoscout24.ch/fr/maison/acheter/lieu-chavannes-pres-renens</t>
  </si>
  <si>
    <t>Vendre maison Chavannes-près-Renens: Trouvez le bien immobilier qui correspond idéalement à vos désirs sur ImmoScout24 - La plateforme de l'immobilier en Suisse.</t>
  </si>
  <si>
    <t>https://www.immoscout24.ch/fr/appartement/louer/lieu-clarmont</t>
  </si>
  <si>
    <t>Louer appartement Clarmont: Trouvez le bien immobilier qui correspond idéalement à vos désirs sur ImmoScout24 - La plateforme de l'immobilier en Suisse.</t>
  </si>
  <si>
    <t>https://www.immoscout24.ch/fr/maison/acheter/lieu-montagny-la-ville</t>
  </si>
  <si>
    <t>Vendre maison Montagny-la-Ville: Trouvez le bien immobilier qui correspond idéalement à vos désirs sur ImmoScout24 - La plateforme de l'immobilier en Suisse.</t>
  </si>
  <si>
    <t>https://www.immoscout24.ch/fr/maison/louer/lieu-mase</t>
  </si>
  <si>
    <t>Louer maison Mase: Trouvez le bien immobilier qui correspond idéalement à vos désirs sur ImmoScout24 - La plateforme de l'immobilier en Suisse.</t>
  </si>
  <si>
    <t>https://www.immoscout24.ch/fr/maison/acheter/lieu-cointrin</t>
  </si>
  <si>
    <t>Vendre maison Cointrin: Trouvez le bien immobilier qui correspond idéalement à vos désirs sur ImmoScout24 - La plateforme de l'immobilier en Suisse.</t>
  </si>
  <si>
    <t>https://www.immoscout24.ch/fr/appartement/acheter/lieu-vex</t>
  </si>
  <si>
    <t>Vendre appartement Vex: Trouvez le bien immobilier qui correspond idéalement à vos désirs sur ImmoScout24 - La plateforme de l'immobilier en Suisse.</t>
  </si>
  <si>
    <t>https://www.immoscout24.ch/fr/maison/louer/lieu-iserables</t>
  </si>
  <si>
    <t>Louer maison Isérables: Trouvez le bien immobilier qui correspond idéalement à vos désirs sur ImmoScout24 - La plateforme de l'immobilier en Suisse.</t>
  </si>
  <si>
    <t>https://www.immoscout24.ch/fr/maison/louer/region-bas-valais</t>
  </si>
  <si>
    <t>Louer maison Bas Valais: Trouvez le bien immobilier qui correspond idéalement à vos désirs sur ImmoScout24 - La plateforme de l'immobilier en Suisse.</t>
  </si>
  <si>
    <t>https://www.immoscout24.ch/fr/appartement/acheter/lieu-les-monts-de-corsier</t>
  </si>
  <si>
    <t>Vendre appartement Les Monts-de-Corsier: Trouvez le bien immobilier qui correspond idéalement à vos désirs sur ImmoScout24 - La plateforme de l'immobilier en Suisse.</t>
  </si>
  <si>
    <t>https://www.immoscout24.ch/fr/maison/acheter/lieu-romanel-sur-morges</t>
  </si>
  <si>
    <t>Vendre maison Romanel-sur-Morges: Trouvez le bien immobilier qui correspond idéalement à vos désirs sur ImmoScout24 - La plateforme de l'immobilier en Suisse.</t>
  </si>
  <si>
    <t>https://www.immoscout24.ch/fr/appartement/louer/lieu-sementina</t>
  </si>
  <si>
    <t>Louer appartement Sementina: Trouvez le bien immobilier qui correspond idéalement à vos désirs sur ImmoScout24 - La plateforme de l'immobilier en Suisse.</t>
  </si>
  <si>
    <t>https://www.immoscout24.ch/fr/maison/acheter/lieu-bussigny-sur-oron</t>
  </si>
  <si>
    <t>Vendre maison Bussigny-sur-Oron: Trouvez le bien immobilier qui correspond idéalement à vos désirs sur ImmoScout24 - La plateforme de l'immobilier en Suisse.</t>
  </si>
  <si>
    <t>https://www.immoscout24.ch/fr/appartement/acheter/lieu-ecublens-vd</t>
  </si>
  <si>
    <t>Vendre appartement Ecublens VD: Trouvez le bien immobilier qui correspond idéalement à vos désirs sur ImmoScout24 - La plateforme de l'immobilier en Suisse.</t>
  </si>
  <si>
    <t>https://www.immoscout24.ch/fr/appartement/louer/lieu-lignieres</t>
  </si>
  <si>
    <t>Louer appartement Lignières: Trouvez le bien immobilier qui correspond idéalement à vos désirs sur ImmoScout24 - La plateforme de l'immobilier en Suisse.</t>
  </si>
  <si>
    <t>https://www.immoscout24.ch/fr/maison/acheter/lieu-surpierre</t>
  </si>
  <si>
    <t>Vendre maison Surpierre: Trouvez le bien immobilier qui correspond idéalement à vos désirs sur ImmoScout24 - La plateforme de l'immobilier en Suisse.</t>
  </si>
  <si>
    <t>https://www.immoscout24.ch/fr/maison/acheter/lieu-rechy</t>
  </si>
  <si>
    <t>Vendre maison Réchy: Trouvez le bien immobilier qui correspond idéalement à vos désirs sur ImmoScout24 - La plateforme de l'immobilier en Suisse.</t>
  </si>
  <si>
    <t>https://www.immoscout24.ch/fr/appartement/louer/lieu-blumenstein</t>
  </si>
  <si>
    <t>Louer appartement Blumenstein: Trouvez le bien immobilier qui correspond idéalement à vos désirs sur ImmoScout24 - La plateforme de l'immobilier en Suisse.</t>
  </si>
  <si>
    <t>https://www.immoscout24.ch/fr/maison/louer/quartier-eaux-vives-lac-geneve</t>
  </si>
  <si>
    <t>Louer maison Eaux-Vives - Lac (Genève): Trouvez le bien immobilier qui correspond idéalement à vos désirs sur ImmoScout24 - La plateforme de l'immobilier en Suisse.</t>
  </si>
  <si>
    <t>https://www.immoscout24.ch/fr/appartement/louer/lieu-seigneux</t>
  </si>
  <si>
    <t>Louer appartement Seigneux: Trouvez le bien immobilier qui correspond idéalement à vos désirs sur ImmoScout24 - La plateforme de l'immobilier en Suisse.</t>
  </si>
  <si>
    <t>https://www.immoscout24.ch/fr/maison/louer/lieu-pully</t>
  </si>
  <si>
    <t>Louer maison Pully: Trouvez le bien immobilier qui correspond idéalement à vos désirs sur ImmoScout24 - La plateforme de l'immobilier en Suisse.</t>
  </si>
  <si>
    <t>https://www.immoscout24.ch/fr/appartement/louer/lieu-neirivue</t>
  </si>
  <si>
    <t>Louer appartement Neirivue: Trouvez le bien immobilier qui correspond idéalement à vos désirs sur ImmoScout24 - La plateforme de l'immobilier en Suisse.</t>
  </si>
  <si>
    <t>https://www.immoscout24.ch/fr/maison/acheter/lieu-stein-am-rhein</t>
  </si>
  <si>
    <t>Vendre maison Stein am Rhein: Trouvez le bien immobilier qui correspond idéalement à vos désirs sur ImmoScout24 - La plateforme de l'immobilier en Suisse.</t>
  </si>
  <si>
    <t>https://www.immoscout24.ch/fr/appartement/louer/quartier-chaumont-neuchatel</t>
  </si>
  <si>
    <t>Louer appartement Chaumont (Neuchâtel): Trouvez le bien immobilier qui correspond idéalement à vos désirs sur ImmoScout24 - La plateforme de l'immobilier en Suisse.</t>
  </si>
  <si>
    <t>https://www.immoscout24.ch/fr/maison/louer/lieu-gorgier</t>
  </si>
  <si>
    <t>Louer maison Gorgier: Trouvez le bien immobilier qui correspond idéalement à vos désirs sur ImmoScout24 - La plateforme de l'immobilier en Suisse.</t>
  </si>
  <si>
    <t>https://www.immoscout24.ch/fr/maison/acheter/lieu-ried-moerel</t>
  </si>
  <si>
    <t>Vendre maison Ried-Mörel: Trouvez le bien immobilier qui correspond idéalement à vos désirs sur ImmoScout24 - La plateforme de l'immobilier en Suisse.</t>
  </si>
  <si>
    <t>https://www.immoscout24.ch/fr/maison/louer/lieu-villars-le-grand</t>
  </si>
  <si>
    <t>Louer maison Villars-le-Grand: Trouvez le bien immobilier qui correspond idéalement à vos désirs sur ImmoScout24 - La plateforme de l'immobilier en Suisse.</t>
  </si>
  <si>
    <t>https://www.immoscout24.ch/fr/maison/acheter/lieu-cimalmotto</t>
  </si>
  <si>
    <t>Vendre maison Cimalmotto: Trouvez le bien immobilier qui correspond idéalement à vos désirs sur ImmoScout24 - La plateforme de l'immobilier en Suisse.</t>
  </si>
  <si>
    <t>https://www.immoscout24.ch/fr/appartement/louer/lieu-peyres-possens</t>
  </si>
  <si>
    <t>Louer appartement Peyres-Possens: Trouvez le bien immobilier qui correspond idéalement à vos désirs sur ImmoScout24 - La plateforme de l'immobilier en Suisse.</t>
  </si>
  <si>
    <t>https://www.immoscout24.ch/fr/maison/acheter/lieu-oberdorf-so</t>
  </si>
  <si>
    <t>Vendre maison Oberdorf SO: Trouvez le bien immobilier qui correspond idéalement à vos désirs sur ImmoScout24 - La plateforme de l'immobilier en Suisse.</t>
  </si>
  <si>
    <t>https://www.immoscout24.ch/fr/maison/acheter/quartier-altstadt-coire</t>
  </si>
  <si>
    <t>Vendre maison Altstadt (Coire): Trouvez le bien immobilier qui correspond idéalement à vos désirs sur ImmoScout24 - La plateforme de l'immobilier en Suisse.</t>
  </si>
  <si>
    <t>https://www.immoscout24.ch/fr/appartement/louer/lieu-gossens</t>
  </si>
  <si>
    <t>Louer appartement Gossens: Trouvez le bien immobilier qui correspond idéalement à vos désirs sur ImmoScout24 - La plateforme de l'immobilier en Suisse.</t>
  </si>
  <si>
    <t>https://www.immoscout24.ch/fr/maison/louer/lieu-verbier</t>
  </si>
  <si>
    <t>Louer maison Verbier: Trouvez le bien immobilier qui correspond idéalement à vos désirs sur ImmoScout24 - La plateforme de l'immobilier en Suisse.</t>
  </si>
  <si>
    <t>https://www.immoscout24.ch/fr/maison/acheter/lieu-le-mont-pelerin</t>
  </si>
  <si>
    <t>Vendre maison Le Mont-Pèlerin: Trouvez le bien immobilier qui correspond idéalement à vos désirs sur ImmoScout24 - La plateforme de l'immobilier en Suisse.</t>
  </si>
  <si>
    <t>https://www.immoscout24.ch/fr/appartement/louer/lieu-villarbeney</t>
  </si>
  <si>
    <t>Louer appartement Villarbeney: Trouvez le bien immobilier qui correspond idéalement à vos désirs sur ImmoScout24 - La plateforme de l'immobilier en Suisse.</t>
  </si>
  <si>
    <t>https://www.immoscout24.ch/fr/maison/acheter/lieu-ablaendschen</t>
  </si>
  <si>
    <t>Vendre maison Abländschen: Trouvez le bien immobilier qui correspond idéalement à vos désirs sur ImmoScout24 - La plateforme de l'immobilier en Suisse.</t>
  </si>
  <si>
    <t>https://www.immoscout24.ch/fr/appartement/louer/lieu-steinhausen</t>
  </si>
  <si>
    <t>Louer appartement Steinhausen: Trouvez le bien immobilier qui correspond idéalement à vos désirs sur ImmoScout24 - La plateforme de l'immobilier en Suisse.</t>
  </si>
  <si>
    <t>https://www.immoscout24.ch/fr/maison/acheter/lieu-busswil-be</t>
  </si>
  <si>
    <t>Vendre maison Busswil BE: Trouvez le bien immobilier qui correspond idéalement à vos désirs sur ImmoScout24 - La plateforme de l'immobilier en Suisse.</t>
  </si>
  <si>
    <t>https://www.immoscout24.ch/fr/maison/louer/lieu-ayer</t>
  </si>
  <si>
    <t>Louer maison Ayer: Trouvez le bien immobilier qui correspond idéalement à vos désirs sur ImmoScout24 - La plateforme de l'immobilier en Suisse.</t>
  </si>
  <si>
    <t>https://www.immoscout24.ch/fr/appartement/louer/lieu-morgins</t>
  </si>
  <si>
    <t>Louer appartement Morgins: Trouvez le bien immobilier qui correspond idéalement à vos désirs sur ImmoScout24 - La plateforme de l'immobilier en Suisse.</t>
  </si>
  <si>
    <t>https://www.immoscout24.ch/fr/maison/acheter/lieu-bedigliora</t>
  </si>
  <si>
    <t>Vendre maison Bedigliora: Trouvez le bien immobilier qui correspond idéalement à vos désirs sur ImmoScout24 - La plateforme de l'immobilier en Suisse.</t>
  </si>
  <si>
    <t>https://www.immoscout24.ch/fr/maison/acheter/lieu-andelfingen</t>
  </si>
  <si>
    <t>Vendre maison Andelfingen: Trouvez le bien immobilier qui correspond idéalement à vos désirs sur ImmoScout24 - La plateforme de l'immobilier en Suisse.</t>
  </si>
  <si>
    <t>https://www.immoscout24.ch/fr/appartement/louer/lieu-hosenruck</t>
  </si>
  <si>
    <t>Louer appartement Hosenruck: Trouvez le bien immobilier qui correspond idéalement à vos désirs sur ImmoScout24 - La plateforme de l'immobilier en Suisse.</t>
  </si>
  <si>
    <t>https://www.immoscout24.ch/fr/maison/acheter/lieu-olivone</t>
  </si>
  <si>
    <t>Vendre maison Olivone: Trouvez le bien immobilier qui correspond idéalement à vos désirs sur ImmoScout24 - La plateforme de l'immobilier en Suisse.</t>
  </si>
  <si>
    <t>https://www.immoscout24.ch/fr/appartement/louer/lieu-wengen</t>
  </si>
  <si>
    <t>Louer appartement Wengen: Trouvez le bien immobilier qui correspond idéalement à vos désirs sur ImmoScout24 - La plateforme de l'immobilier en Suisse.</t>
  </si>
  <si>
    <t>https://www.immoscout24.ch/fr/appartement/louer/lieu-birr</t>
  </si>
  <si>
    <t>Louer appartement Birr: Trouvez le bien immobilier qui correspond idéalement à vos désirs sur ImmoScout24 - La plateforme de l'immobilier en Suisse.</t>
  </si>
  <si>
    <t>https://www.immoscout24.ch/fr/appartement/louer/lieu-meiringen</t>
  </si>
  <si>
    <t>Louer appartement Meiringen: Trouvez le bien immobilier qui correspond idéalement à vos désirs sur ImmoScout24 - La plateforme de l'immobilier en Suisse.</t>
  </si>
  <si>
    <t>https://www.immoscout24.ch/fr/appartement/acheter/lieu-neukirch-egnach</t>
  </si>
  <si>
    <t>Vendre appartement Neukirch (Egnach): Trouvez le bien immobilier qui correspond idéalement à vos désirs sur ImmoScout24 - La plateforme de l'immobilier en Suisse.</t>
  </si>
  <si>
    <t>https://www.immoscout24.ch/fr/maison/louer/lieu-langnau-im-emmental</t>
  </si>
  <si>
    <t>Louer maison Langnau im Emmental: Trouvez le bien immobilier qui correspond idéalement à vos désirs sur ImmoScout24 - La plateforme de l'immobilier en Suisse.</t>
  </si>
  <si>
    <t>https://www.immoscout24.ch/fr/maison/acheter/lieu-ardez</t>
  </si>
  <si>
    <t>Vendre maison Ardez: Trouvez le bien immobilier qui correspond idéalement à vos désirs sur ImmoScout24 - La plateforme de l'immobilier en Suisse.</t>
  </si>
  <si>
    <t>https://www.immoscout24.ch/fr/maison/acheter/lieu-villeret</t>
  </si>
  <si>
    <t>Vendre maison Villeret: Trouvez le bien immobilier qui correspond idéalement à vos désirs sur ImmoScout24 - La plateforme de l'immobilier en Suisse.</t>
  </si>
  <si>
    <t>https://www.immoscout24.ch/fr/appartement/acheter/lieu-lourtier</t>
  </si>
  <si>
    <t>Vendre appartement Lourtier: Trouvez le bien immobilier qui correspond idéalement à vos désirs sur ImmoScout24 - La plateforme de l'immobilier en Suisse.</t>
  </si>
  <si>
    <t>https://www.immoscout24.ch/fr/maison/acheter/lieu-curtilles</t>
  </si>
  <si>
    <t>Vendre maison Curtilles: Trouvez le bien immobilier qui correspond idéalement à vos désirs sur ImmoScout24 - La plateforme de l'immobilier en Suisse.</t>
  </si>
  <si>
    <t>https://www.immoscout24.ch/fr/appartement/louer/lieu-celerina-schlarigna</t>
  </si>
  <si>
    <t>Louer appartement Celerina/Schlarigna: Trouvez le bien immobilier qui correspond idéalement à vos désirs sur ImmoScout24 - La plateforme de l'immobilier en Suisse.</t>
  </si>
  <si>
    <t>https://www.immoscout24.ch/fr/appartement/louer/lieu-losone</t>
  </si>
  <si>
    <t>Louer appartement Losone: Trouvez le bien immobilier qui correspond idéalement à vos désirs sur ImmoScout24 - La plateforme de l'immobilier en Suisse.</t>
  </si>
  <si>
    <t>https://www.immoscout24.ch/fr/maison/louer/lieu-lovens</t>
  </si>
  <si>
    <t>Louer maison Lovens: Trouvez le bien immobilier qui correspond idéalement à vos désirs sur ImmoScout24 - La plateforme de l'immobilier en Suisse.</t>
  </si>
  <si>
    <t>https://www.immoscout24.ch/fr/maison/louer/lieu-essert-pittet</t>
  </si>
  <si>
    <t>Louer maison Essert-Pittet: Trouvez le bien immobilier qui correspond idéalement à vos désirs sur ImmoScout24 - La plateforme de l'immobilier en Suisse.</t>
  </si>
  <si>
    <t>https://www.immoscout24.ch/fr/maison/louer/lieu-soral</t>
  </si>
  <si>
    <t>Louer maison Soral: Trouvez le bien immobilier qui correspond idéalement à vos désirs sur ImmoScout24 - La plateforme de l'immobilier en Suisse.</t>
  </si>
  <si>
    <t>https://www.immoscout24.ch/fr/appartement/acheter/lieu-rossens-fr</t>
  </si>
  <si>
    <t>Vendre appartement Rossens FR: Trouvez le bien immobilier qui correspond idéalement à vos désirs sur ImmoScout24 - La plateforme de l'immobilier en Suisse.</t>
  </si>
  <si>
    <t>https://www.immoscout24.ch/fr/maison/acheter/lieu-ergisch</t>
  </si>
  <si>
    <t>Vendre maison Ergisch: Trouvez le bien immobilier qui correspond idéalement à vos désirs sur ImmoScout24 - La plateforme de l'immobilier en Suisse.</t>
  </si>
  <si>
    <t>https://www.immoscout24.ch/fr/appartement/louer/lieu-villarsel-sur-marly</t>
  </si>
  <si>
    <t>Louer appartement Villarsel-sur-Marly: Trouvez le bien immobilier qui correspond idéalement à vos désirs sur ImmoScout24 - La plateforme de l'immobilier en Suisse.</t>
  </si>
  <si>
    <t>https://www.immoscout24.ch/fr/appartement/louer/lieu-glovelier</t>
  </si>
  <si>
    <t>Louer appartement Glovelier: Trouvez le bien immobilier qui correspond idéalement à vos désirs sur ImmoScout24 - La plateforme de l'immobilier en Suisse.</t>
  </si>
  <si>
    <t>https://www.immoscout24.ch/fr/appartement/louer/lieu-interlaken</t>
  </si>
  <si>
    <t>Louer appartement Interlaken: Trouvez le bien immobilier qui correspond idéalement à vos désirs sur ImmoScout24 - La plateforme de l'immobilier en Suisse.</t>
  </si>
  <si>
    <t>https://www.immoscout24.ch/fr/maison/acheter/canton-bale-ville</t>
  </si>
  <si>
    <t>Vendre maison Canton de Bâle-Ville: Trouvez le bien immobilier qui correspond idéalement à vos désirs sur ImmoScout24 - La plateforme de l'immobilier en Suisse.</t>
  </si>
  <si>
    <t>https://www.immoscout24.ch/fr/maison/louer/lieu-eison-st-martin</t>
  </si>
  <si>
    <t>Louer maison Eison (St-Martin): Trouvez le bien immobilier qui correspond idéalement à vos désirs sur ImmoScout24 - La plateforme de l'immobilier en Suisse.</t>
  </si>
  <si>
    <t>https://www.immoscout24.ch/fr/appartement/louer/lieu-liestal</t>
  </si>
  <si>
    <t>Louer appartement Liestal: Trouvez le bien immobilier qui correspond idéalement à vos désirs sur ImmoScout24 - La plateforme de l'immobilier en Suisse.</t>
  </si>
  <si>
    <t>https://www.immoscout24.ch/fr/appartement/louer/lieu-arveyes</t>
  </si>
  <si>
    <t>Louer appartement Arveyes: Trouvez le bien immobilier qui correspond idéalement à vos désirs sur ImmoScout24 - La plateforme de l'immobilier en Suisse.</t>
  </si>
  <si>
    <t>https://www.immoscout24.ch/fr/appartement/louer/lieu-etoy</t>
  </si>
  <si>
    <t>Louer appartement Etoy: Trouvez le bien immobilier qui correspond idéalement à vos désirs sur ImmoScout24 - La plateforme de l'immobilier en Suisse.</t>
  </si>
  <si>
    <t>https://www.immoscout24.ch/fr/appartement/louer/lieu-gasel</t>
  </si>
  <si>
    <t>Louer appartement Gasel: Trouvez le bien immobilier qui correspond idéalement à vos désirs sur ImmoScout24 - La plateforme de l'immobilier en Suisse.</t>
  </si>
  <si>
    <t>https://www.immoscout24.ch/fr/appartement/louer/lieu-ligerz</t>
  </si>
  <si>
    <t>Louer appartement Ligerz: Trouvez le bien immobilier qui correspond idéalement à vos désirs sur ImmoScout24 - La plateforme de l'immobilier en Suisse.</t>
  </si>
  <si>
    <t>https://www.immoscout24.ch/fr/maison/acheter/lieu-montagnon-leytron</t>
  </si>
  <si>
    <t>Vendre maison Montagnon (Leytron): Trouvez le bien immobilier qui correspond idéalement à vos désirs sur ImmoScout24 - La plateforme de l'immobilier en Suisse.</t>
  </si>
  <si>
    <t>https://www.immoscout24.ch/fr/maison/acheter/lieu-pomy</t>
  </si>
  <si>
    <t>Vendre maison Pomy: Trouvez le bien immobilier qui correspond idéalement à vos désirs sur ImmoScout24 - La plateforme de l'immobilier en Suisse.</t>
  </si>
  <si>
    <t>https://www.immoscout24.ch/fr/appartement/acheter/lieu-torgon</t>
  </si>
  <si>
    <t>Vendre appartement Torgon: Trouvez le bien immobilier qui correspond idéalement à vos désirs sur ImmoScout24 - La plateforme de l'immobilier en Suisse.</t>
  </si>
  <si>
    <t>https://www.immoscout24.ch/fr/appartement/acheter/lieu-aigle</t>
  </si>
  <si>
    <t>Vendre appartement Aigle: Trouvez le bien immobilier qui correspond idéalement à vos désirs sur ImmoScout24 - La plateforme de l'immobilier en Suisse.</t>
  </si>
  <si>
    <t>https://www.immoscout24.ch/fr/appartement/acheter/lieu-liebefeld</t>
  </si>
  <si>
    <t>Vendre appartement Liebefeld: Trouvez le bien immobilier qui correspond idéalement à vos désirs sur ImmoScout24 - La plateforme de l'immobilier en Suisse.</t>
  </si>
  <si>
    <t>https://www.immoscout24.ch/fr/appartement/acheter/lieu-renens-vd</t>
  </si>
  <si>
    <t>Vendre appartement Renens VD: Trouvez le bien immobilier qui correspond idéalement à vos désirs sur ImmoScout24 - La plateforme de l'immobilier en Suisse.</t>
  </si>
  <si>
    <t>https://www.immoscout24.ch/fr/appartement/louer/lieu-les-valettes-bovernier</t>
  </si>
  <si>
    <t>Louer appartement Les Valettes (Bovernier): Trouvez le bien immobilier qui correspond idéalement à vos désirs sur ImmoScout24 - La plateforme de l'immobilier en Suisse.</t>
  </si>
  <si>
    <t>https://www.immoscout24.ch/fr/appartement/acheter/lieu-zuerich</t>
  </si>
  <si>
    <t>Vendre appartement Zürich: Trouvez le bien immobilier qui correspond idéalement à vos désirs sur ImmoScout24 - La plateforme de l'immobilier en Suisse.</t>
  </si>
  <si>
    <t>https://www.immoscout24.ch/fr/appartement/louer/lieu-choulex</t>
  </si>
  <si>
    <t>Louer appartement Choulex: Trouvez le bien immobilier qui correspond idéalement à vos désirs sur ImmoScout24 - La plateforme de l'immobilier en Suisse.</t>
  </si>
  <si>
    <t>https://www.immoscout24.ch/fr/maison/acheter/quartier-vers-chez-les-blanc-lausanne</t>
  </si>
  <si>
    <t>Vendre maison Vers-chez-les-Blanc (Lausanne): Trouvez le bien immobilier qui correspond idéalement à vos désirs sur ImmoScout24 - La plateforme de l'immobilier en Suisse.</t>
  </si>
  <si>
    <t>https://www.immoscout24.ch/fr/maison/acheter/lieu-emmen</t>
  </si>
  <si>
    <t>Vendre maison Emmen: Trouvez le bien immobilier qui correspond idéalement à vos désirs sur ImmoScout24 - La plateforme de l'immobilier en Suisse.</t>
  </si>
  <si>
    <t>https://www.immoscout24.ch/fr/maison/louer/lieu-yens</t>
  </si>
  <si>
    <t>Louer maison Yens: Trouvez le bien immobilier qui correspond idéalement à vos désirs sur ImmoScout24 - La plateforme de l'immobilier en Suisse.</t>
  </si>
  <si>
    <t>https://www.immoscout24.ch/fr/maison/louer/lieu-renan-be</t>
  </si>
  <si>
    <t>Louer maison Renan BE: Trouvez le bien immobilier qui correspond idéalement à vos désirs sur ImmoScout24 - La plateforme de l'immobilier en Suisse.</t>
  </si>
  <si>
    <t>https://www.immoscout24.ch/fr/maison/acheter/region-porrentruy</t>
  </si>
  <si>
    <t>https://www.immoscout24.ch/fr/maison/acheter/lieu-oberwangen-b-bern</t>
  </si>
  <si>
    <t>Vendre maison Oberwangen b. Bern: Trouvez le bien immobilier qui correspond idéalement à vos désirs sur ImmoScout24 - La plateforme de l'immobilier en Suisse.</t>
  </si>
  <si>
    <t>https://www.immoscout24.ch/fr/maison/acheter/lieu-vuiteboeuf</t>
  </si>
  <si>
    <t>Vendre maison Vuiteboeuf: Trouvez le bien immobilier qui correspond idéalement à vos désirs sur ImmoScout24 - La plateforme de l'immobilier en Suisse.</t>
  </si>
  <si>
    <t>https://www.immoscout24.ch/fr/maison/acheter/lieu-denens</t>
  </si>
  <si>
    <t>Vendre maison Denens: Trouvez le bien immobilier qui correspond idéalement à vos désirs sur ImmoScout24 - La plateforme de l'immobilier en Suisse.</t>
  </si>
  <si>
    <t>https://www.immoscout24.ch/fr/maison/acheter/lieu-premier</t>
  </si>
  <si>
    <t>Vendre maison Premier: Trouvez le bien immobilier qui correspond idéalement à vos désirs sur ImmoScout24 - La plateforme de l'immobilier en Suisse.</t>
  </si>
  <si>
    <t>https://www.immoscout24.ch/fr/appartement/louer/lieu-ludiano</t>
  </si>
  <si>
    <t>Louer appartement Ludiano: Trouvez le bien immobilier qui correspond idéalement à vos désirs sur ImmoScout24 - La plateforme de l'immobilier en Suisse.</t>
  </si>
  <si>
    <t>https://www.immoscout24.ch/fr/appartement/acheter/lieu-nuerensdorf</t>
  </si>
  <si>
    <t>Vendre appartement Nürensdorf: Trouvez le bien immobilier qui correspond idéalement à vos désirs sur ImmoScout24 - La plateforme de l'immobilier en Suisse.</t>
  </si>
  <si>
    <t>https://www.immoscout24.ch/fr/maison/louer/lieu-coppet</t>
  </si>
  <si>
    <t>Louer maison Coppet: Trouvez le bien immobilier qui correspond idéalement à vos désirs sur ImmoScout24 - La plateforme de l'immobilier en Suisse.</t>
  </si>
  <si>
    <t>https://www.immoscout24.ch/fr/maison/acheter/lieu-l-auberson</t>
  </si>
  <si>
    <t>Vendre maison L'Auberson: Trouvez le bien immobilier qui correspond idéalement à vos désirs sur ImmoScout24 - La plateforme de l'immobilier en Suisse.</t>
  </si>
  <si>
    <t>https://www.immoscout24.ch/fr/maison/acheter/lieu-siviez-nendaz</t>
  </si>
  <si>
    <t>Vendre maison Siviez (Nendaz): Trouvez le bien immobilier qui correspond idéalement à vos désirs sur ImmoScout24 - La plateforme de l'immobilier en Suisse.</t>
  </si>
  <si>
    <t>https://www.immoscout24.ch/fr/appartement/louer/lieu-st-oyens</t>
  </si>
  <si>
    <t>Louer appartement St-Oyens: Trouvez le bien immobilier qui correspond idéalement à vos désirs sur ImmoScout24 - La plateforme de l'immobilier en Suisse.</t>
  </si>
  <si>
    <t>https://www.immoscout24.ch/fr/appartement/louer/lieu-auvernier</t>
  </si>
  <si>
    <t>Louer appartement Auvernier: Trouvez le bien immobilier qui correspond idéalement à vos désirs sur ImmoScout24 - La plateforme de l'immobilier en Suisse.</t>
  </si>
  <si>
    <t>https://www.immoscout24.ch/fr/appartement/acheter/lieu-langnau-im-emmental</t>
  </si>
  <si>
    <t>Vendre appartement Langnau im Emmental: Trouvez le bien immobilier qui correspond idéalement à vos désirs sur ImmoScout24 - La plateforme de l'immobilier en Suisse.</t>
  </si>
  <si>
    <t>https://www.immoscout24.ch/fr/maison/acheter/lieu-gruyeres</t>
  </si>
  <si>
    <t>Vendre maison Gruyères: Trouvez le bien immobilier qui correspond idéalement à vos désirs sur ImmoScout24 - La plateforme de l'immobilier en Suisse.</t>
  </si>
  <si>
    <t>https://www.immoscout24.ch/fr/maison/acheter/lieu-vernamiege</t>
  </si>
  <si>
    <t>Vendre maison Vernamiège: Trouvez le bien immobilier qui correspond idéalement à vos désirs sur ImmoScout24 - La plateforme de l'immobilier en Suisse.</t>
  </si>
  <si>
    <t>https://www.immoscout24.ch/fr/appartement/louer/lieu-sarzens</t>
  </si>
  <si>
    <t>Louer appartement Sarzens: Trouvez le bien immobilier qui correspond idéalement à vos désirs sur ImmoScout24 - La plateforme de l'immobilier en Suisse.</t>
  </si>
  <si>
    <t>https://www.immoscout24.ch/fr/maison/acheter/lieu-sornard-nendaz</t>
  </si>
  <si>
    <t>Vendre maison Sornard (Nendaz): Trouvez le bien immobilier qui correspond idéalement à vos désirs sur ImmoScout24 - La plateforme de l'immobilier en Suisse.</t>
  </si>
  <si>
    <t>https://www.immoscout24.ch/fr/appartement/acheter/lieu-chateau-d-oex</t>
  </si>
  <si>
    <t>Vendre appartement Château-d'Oex: Trouvez le bien immobilier qui correspond idéalement à vos désirs sur ImmoScout24 - La plateforme de l'immobilier en Suisse.</t>
  </si>
  <si>
    <t>https://www.immoscout24.ch/fr/appartement/louer/quartier-beaulieu-grey-boisy-lausanne</t>
  </si>
  <si>
    <t>Louer appartement Beaulieu - Grey - Boisy (Lausanne): Trouvez le bien immobilier qui correspond idéalement à vos désirs sur ImmoScout24 - La plateforme de l'immobilier en Suisse.</t>
  </si>
  <si>
    <t>https://www.immoscout24.ch/fr/maison/acheter/lieu-oberbuchsiten</t>
  </si>
  <si>
    <t>Vendre maison Oberbuchsiten: Trouvez le bien immobilier qui correspond idéalement à vos désirs sur ImmoScout24 - La plateforme de l'immobilier en Suisse.</t>
  </si>
  <si>
    <t>https://www.immoscout24.ch/fr/appartement/louer/quartier-aldesago-lugano</t>
  </si>
  <si>
    <t>Louer appartement Aldesago (Lugano): Trouvez le bien immobilier qui correspond idéalement à vos désirs sur ImmoScout24 - La plateforme de l'immobilier en Suisse.</t>
  </si>
  <si>
    <t>https://www.immoscout24.ch/fr/appartement/louer/lieu-baulmes</t>
  </si>
  <si>
    <t>Louer appartement Baulmes: Trouvez le bien immobilier qui correspond idéalement à vos désirs sur ImmoScout24 - La plateforme de l'immobilier en Suisse.</t>
  </si>
  <si>
    <t>https://www.immoscout24.ch/fr/appartement/louer/region-glattal</t>
  </si>
  <si>
    <t>Louer appartement Glattal: Trouvez le bien immobilier qui correspond idéalement à vos désirs sur ImmoScout24 - La plateforme de l'immobilier en Suisse.</t>
  </si>
  <si>
    <t>https://www.immoscout24.ch/fr/appartement/acheter/lieu-gollion</t>
  </si>
  <si>
    <t>Vendre appartement Gollion: Trouvez le bien immobilier qui correspond idéalement à vos désirs sur ImmoScout24 - La plateforme de l'immobilier en Suisse.</t>
  </si>
  <si>
    <t>https://www.immoscout24.ch/fr/maison/acheter/pays-belgique</t>
  </si>
  <si>
    <t>Vendre maison Belgique: Trouvez le bien immobilier qui correspond idéalement à vos désirs sur ImmoScout24 - La plateforme de l'immobilier en Suisse.</t>
  </si>
  <si>
    <t>https://www.immoscout24.ch/fr/appartement/louer/lieu-lopagno</t>
  </si>
  <si>
    <t>Louer appartement Lopagno: Trouvez le bien immobilier qui correspond idéalement à vos désirs sur ImmoScout24 - La plateforme de l'immobilier en Suisse.</t>
  </si>
  <si>
    <t>https://www.immoscout24.ch/fr/appartement/louer/region-wil-gossau</t>
  </si>
  <si>
    <t>Louer appartement Wil - Gossau: Trouvez le bien immobilier qui correspond idéalement à vos désirs sur ImmoScout24 - La plateforme de l'immobilier en Suisse.</t>
  </si>
  <si>
    <t>https://www.immoscout24.ch/fr/appartement/acheter/lieu-bettens</t>
  </si>
  <si>
    <t>Vendre appartement Bettens: Trouvez le bien immobilier qui correspond idéalement à vos désirs sur ImmoScout24 - La plateforme de l'immobilier en Suisse.</t>
  </si>
  <si>
    <t>https://www.immoscout24.ch/fr/maison/acheter/lieu-asuel</t>
  </si>
  <si>
    <t>Vendre maison Asuel: Trouvez le bien immobilier qui correspond idéalement à vos désirs sur ImmoScout24 - La plateforme de l'immobilier en Suisse.</t>
  </si>
  <si>
    <t>https://www.immoscout24.ch/fr/appartement/louer/lieu-areuse</t>
  </si>
  <si>
    <t>Louer appartement Areuse: Trouvez le bien immobilier qui correspond idéalement à vos désirs sur ImmoScout24 - La plateforme de l'immobilier en Suisse.</t>
  </si>
  <si>
    <t>https://www.immoscout24.ch/fr/maison/louer/lieu-ilanz</t>
  </si>
  <si>
    <t>Louer maison Ilanz: Trouvez le bien immobilier qui correspond idéalement à vos désirs sur ImmoScout24 - La plateforme de l'immobilier en Suisse.</t>
  </si>
  <si>
    <t>https://www.immoscout24.ch/fr/maison/louer/lieu-gimel</t>
  </si>
  <si>
    <t>Louer maison Gimel: Trouvez le bien immobilier qui correspond idéalement à vos désirs sur ImmoScout24 - La plateforme de l'immobilier en Suisse.</t>
  </si>
  <si>
    <t>https://www.immoscout24.ch/fr/maison/acheter/lieu-wettingen</t>
  </si>
  <si>
    <t>Vendre maison Wettingen: Trouvez le bien immobilier qui correspond idéalement à vos désirs sur ImmoScout24 - La plateforme de l'immobilier en Suisse.</t>
  </si>
  <si>
    <t>https://www.immoscout24.ch/fr/appartement/louer/lieu-unterbach-be</t>
  </si>
  <si>
    <t>Louer appartement Unterbach BE: Trouvez le bien immobilier qui correspond idéalement à vos désirs sur ImmoScout24 - La plateforme de l'immobilier en Suisse.</t>
  </si>
  <si>
    <t>https://www.immoscout24.ch/fr/appartement/louer/lieu-leissigen</t>
  </si>
  <si>
    <t>Louer appartement Leissigen: Trouvez le bien immobilier qui correspond idéalement à vos désirs sur ImmoScout24 - La plateforme de l'immobilier en Suisse.</t>
  </si>
  <si>
    <t>https://www.immoscout24.ch/fr/maison/acheter/lieu-prevonloup</t>
  </si>
  <si>
    <t>Vendre maison Prévonloup: Trouvez le bien immobilier qui correspond idéalement à vos désirs sur ImmoScout24 - La plateforme de l'immobilier en Suisse.</t>
  </si>
  <si>
    <t>https://www.immoscout24.ch/fr/maison/acheter/lieu-st-martin-vs</t>
  </si>
  <si>
    <t>Vendre maison St-Martin VS: Trouvez le bien immobilier qui correspond idéalement à vos désirs sur ImmoScout24 - La plateforme de l'immobilier en Suisse.</t>
  </si>
  <si>
    <t>https://www.immoscout24.ch/fr/maison/acheter/lieu-la-neuveville</t>
  </si>
  <si>
    <t>Vendre maison La Neuveville: Trouvez le bien immobilier qui correspond idéalement à vos désirs sur ImmoScout24 - La plateforme de l'immobilier en Suisse.</t>
  </si>
  <si>
    <t>https://www.immoscout24.ch/fr/appartement/acheter/lieu-biel-bienne</t>
  </si>
  <si>
    <t>Vendre appartement Biel/Bienne: Trouvez le bien immobilier qui correspond idéalement à vos désirs sur ImmoScout24 - La plateforme de l'immobilier en Suisse.</t>
  </si>
  <si>
    <t>https://www.immoscout24.ch/fr/appartement/louer/lieu-geneve</t>
  </si>
  <si>
    <t>Louer appartement Genève: Trouvez le bien immobilier qui correspond idéalement à vos désirs sur ImmoScout24 - La plateforme de l'immobilier en Suisse.</t>
  </si>
  <si>
    <t>https://www.immoscout24.ch/fr/appartement/louer/lieu-stabio</t>
  </si>
  <si>
    <t>Louer appartement Stabio: Trouvez le bien immobilier qui correspond idéalement à vos désirs sur ImmoScout24 - La plateforme de l'immobilier en Suisse.</t>
  </si>
  <si>
    <t>https://www.immoscout24.ch/fr/maison/acheter/lieu-sumvitg</t>
  </si>
  <si>
    <t>Vendre maison Sumvitg: Trouvez le bien immobilier qui correspond idéalement à vos désirs sur ImmoScout24 - La plateforme de l'immobilier en Suisse.</t>
  </si>
  <si>
    <t>https://www.immoscout24.ch/fr/appartement/acheter/lieu-chavannes-des-bois</t>
  </si>
  <si>
    <t>Vendre appartement Chavannes-des-Bois: Trouvez le bien immobilier qui correspond idéalement à vos désirs sur ImmoScout24 - La plateforme de l'immobilier en Suisse.</t>
  </si>
  <si>
    <t>https://www.immoscout24.ch/fr/appartement/louer/lieu-gelfingen</t>
  </si>
  <si>
    <t>Louer appartement Gelfingen: Trouvez le bien immobilier qui correspond idéalement à vos désirs sur ImmoScout24 - La plateforme de l'immobilier en Suisse.</t>
  </si>
  <si>
    <t>https://www.immoscout24.ch/fr/maison/louer/lieu-develier</t>
  </si>
  <si>
    <t>Louer maison Develier: Trouvez le bien immobilier qui correspond idéalement à vos désirs sur ImmoScout24 - La plateforme de l'immobilier en Suisse.</t>
  </si>
  <si>
    <t>https://www.immoscout24.ch/fr/appartement/louer/region-fribourg-glane</t>
  </si>
  <si>
    <t>Louer appartement Fribourg Glane: Trouvez le bien immobilier qui correspond idéalement à vos désirs sur ImmoScout24 - La plateforme de l'immobilier en Suisse.</t>
  </si>
  <si>
    <t>https://www.immoscout24.ch/fr/maison/acheter/lieu-gingins</t>
  </si>
  <si>
    <t>Vendre maison Gingins: Trouvez le bien immobilier qui correspond idéalement à vos désirs sur ImmoScout24 - La plateforme de l'immobilier en Suisse.</t>
  </si>
  <si>
    <t>https://www.immoscout24.ch/fr/maison/louer/lieu-corcelles-pres-payerne</t>
  </si>
  <si>
    <t>Louer maison Corcelles-près-Payerne: Trouvez le bien immobilier qui correspond idéalement à vos désirs sur ImmoScout24 - La plateforme de l'immobilier en Suisse.</t>
  </si>
  <si>
    <t>https://www.immoscout24.ch/fr/appartement/acheter/lieu-glion</t>
  </si>
  <si>
    <t>Vendre appartement Glion: Trouvez le bien immobilier qui correspond idéalement à vos désirs sur ImmoScout24 - La plateforme de l'immobilier en Suisse.</t>
  </si>
  <si>
    <t>https://www.immoscout24.ch/fr/maison/louer/lieu-sornard-nendaz</t>
  </si>
  <si>
    <t>Louer maison Sornard (Nendaz): Trouvez le bien immobilier qui correspond idéalement à vos désirs sur ImmoScout24 - La plateforme de l'immobilier en Suisse.</t>
  </si>
  <si>
    <t>https://www.immoscout24.ch/fr/appartement/louer/lieu-epagny</t>
  </si>
  <si>
    <t>Louer appartement Epagny: Trouvez le bien immobilier qui correspond idéalement à vos désirs sur ImmoScout24 - La plateforme de l'immobilier en Suisse.</t>
  </si>
  <si>
    <t>https://www.immoscout24.ch/fr/appartement/louer/lieu-chenaux</t>
  </si>
  <si>
    <t>Louer appartement Chenaux: Trouvez le bien immobilier qui correspond idéalement à vos désirs sur ImmoScout24 - La plateforme de l'immobilier en Suisse.</t>
  </si>
  <si>
    <t>https://www.immoscout24.ch/fr/maison/acheter/lieu-casima</t>
  </si>
  <si>
    <t>Vendre maison Casima: Trouvez le bien immobilier qui correspond idéalement à vos désirs sur ImmoScout24 - La plateforme de l'immobilier en Suisse.</t>
  </si>
  <si>
    <t>https://www.immoscout24.ch/fr/maison/acheter/lieu-corbieres</t>
  </si>
  <si>
    <t>Vendre maison Corbières: Trouvez le bien immobilier qui correspond idéalement à vos désirs sur ImmoScout24 - La plateforme de l'immobilier en Suisse.</t>
  </si>
  <si>
    <t>https://www.immoscout24.ch/fr/maison/acheter/lieu-orbe</t>
  </si>
  <si>
    <t>Vendre maison Orbe: Trouvez le bien immobilier qui correspond idéalement à vos désirs sur ImmoScout24 - La plateforme de l'immobilier en Suisse.</t>
  </si>
  <si>
    <t>https://www.immoscout24.ch/fr/appartement/louer/lieu-soral</t>
  </si>
  <si>
    <t>Louer appartement Soral: Trouvez le bien immobilier qui correspond idéalement à vos désirs sur ImmoScout24 - La plateforme de l'immobilier en Suisse.</t>
  </si>
  <si>
    <t>https://www.immoscout24.ch/fr/maison/acheter/lieu-corgemont</t>
  </si>
  <si>
    <t>Vendre maison Corgémont: Trouvez le bien immobilier qui correspond idéalement à vos désirs sur ImmoScout24 - La plateforme de l'immobilier en Suisse.</t>
  </si>
  <si>
    <t>https://www.immoscout24.ch/fr/appartement/louer/lieu-diessbach-b-bueren</t>
  </si>
  <si>
    <t>Louer appartement Diessbach b. Büren: Trouvez le bien immobilier qui correspond idéalement à vos désirs sur ImmoScout24 - La plateforme de l'immobilier en Suisse.</t>
  </si>
  <si>
    <t>https://www.immoscout24.ch/fr/appartement/louer/lieu-ecublens-fr</t>
  </si>
  <si>
    <t>Louer appartement Ecublens FR: Trouvez le bien immobilier qui correspond idéalement à vos désirs sur ImmoScout24 - La plateforme de l'immobilier en Suisse.</t>
  </si>
  <si>
    <t>https://www.immoscout24.ch/fr/appartement/louer/lieu-horw</t>
  </si>
  <si>
    <t>Louer appartement Horw: Trouvez le bien immobilier qui correspond idéalement à vos désirs sur ImmoScout24 - La plateforme de l'immobilier en Suisse.</t>
  </si>
  <si>
    <t>https://www.immoscout24.ch/fr/maison/acheter/canton-lucerne</t>
  </si>
  <si>
    <t>Vendre maison Canton de Lucerne: Trouvez le bien immobilier qui correspond idéalement à vos désirs sur ImmoScout24 - La plateforme de l'immobilier en Suisse.</t>
  </si>
  <si>
    <t>https://www.immoscout24.ch/fr/appartement/acheter/quartier-forges-endroits-la-chaux-de-fonds</t>
  </si>
  <si>
    <t>Vendre appartement Forges-Endroits (La Chaux-de-Fonds): Trouvez le bien immobilier qui correspond idéalement à vos désirs sur ImmoScout24 - La plateforme de l'immobilier en Suisse.</t>
  </si>
  <si>
    <t>https://www.immoscout24.ch/fr/appartement/louer/lieu-les-marecottes</t>
  </si>
  <si>
    <t>Louer appartement Les Marécottes: Trouvez le bien immobilier qui correspond idéalement à vos désirs sur ImmoScout24 - La plateforme de l'immobilier en Suisse.</t>
  </si>
  <si>
    <t>https://www.immoscout24.ch/fr/appartement/louer/lieu-klosters-dorf</t>
  </si>
  <si>
    <t>Louer appartement Klosters Dorf: Trouvez le bien immobilier qui correspond idéalement à vos désirs sur ImmoScout24 - La plateforme de l'immobilier en Suisse.</t>
  </si>
  <si>
    <t>https://www.immoscout24.ch/fr/maison/acheter/region-seeland</t>
  </si>
  <si>
    <t>Vendre maison Seeland: Trouvez le bien immobilier qui correspond idéalement à vos désirs sur ImmoScout24 - La plateforme de l'immobilier en Suisse.</t>
  </si>
  <si>
    <t>https://www.immoscout24.ch/fr/maison/acheter/lieu-vex</t>
  </si>
  <si>
    <t>Vendre maison Vex: Trouvez le bien immobilier qui correspond idéalement à vos désirs sur ImmoScout24 - La plateforme de l'immobilier en Suisse.</t>
  </si>
  <si>
    <t>https://www.immoscout24.ch/fr/appartement/acheter/lieu-moudon</t>
  </si>
  <si>
    <t>Vendre appartement Moudon: Trouvez le bien immobilier qui correspond idéalement à vos désirs sur ImmoScout24 - La plateforme de l'immobilier en Suisse.</t>
  </si>
  <si>
    <t>https://www.immoscout24.ch/fr/maison/acheter/lieu-mex-vd</t>
  </si>
  <si>
    <t>Vendre maison Mex VD: Trouvez le bien immobilier qui correspond idéalement à vos désirs sur ImmoScout24 - La plateforme de l'immobilier en Suisse.</t>
  </si>
  <si>
    <t>https://www.immoscout24.ch/fr/appartement/acheter/lieu-commugny</t>
  </si>
  <si>
    <t>Vendre appartement Commugny: Trouvez le bien immobilier qui correspond idéalement à vos désirs sur ImmoScout24 - La plateforme de l'immobilier en Suisse.</t>
  </si>
  <si>
    <t>https://www.immoscout24.ch/fr/maison/acheter/lieu-pfeffingen</t>
  </si>
  <si>
    <t>Vendre maison Pfeffingen: Trouvez le bien immobilier qui correspond idéalement à vos désirs sur ImmoScout24 - La plateforme de l'immobilier en Suisse.</t>
  </si>
  <si>
    <t>https://www.immoscout24.ch/fr/maison/acheter/lieu-tesserete</t>
  </si>
  <si>
    <t>Vendre maison Tesserete: Trouvez le bien immobilier qui correspond idéalement à vos désirs sur ImmoScout24 - La plateforme de l'immobilier en Suisse.</t>
  </si>
  <si>
    <t>https://www.immoscout24.ch/fr/appartement/louer/region-zoug-lac-de-zoug</t>
  </si>
  <si>
    <t>Louer appartement Zoug - Lac de Zoug: Trouvez le bien immobilier qui correspond idéalement à vos désirs sur ImmoScout24 - La plateforme de l'immobilier en Suisse.</t>
  </si>
  <si>
    <t>https://www.immoscout24.ch/fr/maison/acheter/pays-tunisie</t>
  </si>
  <si>
    <t>Vendre maison Tunisie: Trouvez le bien immobilier qui correspond idéalement à vos désirs sur ImmoScout24 - La plateforme de l'immobilier en Suisse.</t>
  </si>
  <si>
    <t>https://www.immoscout24.ch/fr/appartement/louer/lieu-meinisberg</t>
  </si>
  <si>
    <t>Louer appartement Meinisberg: Trouvez le bien immobilier qui correspond idéalement à vos désirs sur ImmoScout24 - La plateforme de l'immobilier en Suisse.</t>
  </si>
  <si>
    <t>https://www.immoscout24.ch/fr/appartement/louer/lieu-montagnon-leytron</t>
  </si>
  <si>
    <t>Louer appartement Montagnon (Leytron): Trouvez le bien immobilier qui correspond idéalement à vos désirs sur ImmoScout24 - La plateforme de l'immobilier en Suisse.</t>
  </si>
  <si>
    <t>https://www.immoscout24.ch/fr/maison/louer/lieu-gland</t>
  </si>
  <si>
    <t>Louer maison Gland: Trouvez le bien immobilier qui correspond idéalement à vos désirs sur ImmoScout24 - La plateforme de l'immobilier en Suisse.</t>
  </si>
  <si>
    <t>https://www.immoscout24.ch/fr/appartement/acheter/lieu-turin-salins</t>
  </si>
  <si>
    <t>Vendre appartement Turin (Salins): Trouvez le bien immobilier qui correspond idéalement à vos désirs sur ImmoScout24 - La plateforme de l'immobilier en Suisse.</t>
  </si>
  <si>
    <t>https://www.immoscout24.ch/fr/appartement/louer/lieu-lutry</t>
  </si>
  <si>
    <t>Louer appartement Lutry: Trouvez le bien immobilier qui correspond idéalement à vos désirs sur ImmoScout24 - La plateforme de l'immobilier en Suisse.</t>
  </si>
  <si>
    <t>https://www.immoscout24.ch/fr/appartement/acheter/lieu-gsteig-b-gstaad</t>
  </si>
  <si>
    <t>Vendre appartement Gsteig b. Gstaad: Trouvez le bien immobilier qui correspond idéalement à vos désirs sur ImmoScout24 - La plateforme de l'immobilier en Suisse.</t>
  </si>
  <si>
    <t>https://www.immoscout24.ch/fr/appartement/louer/lieu-vufflens-la-ville</t>
  </si>
  <si>
    <t>Louer appartement Vufflens-la-Ville: Trouvez le bien immobilier qui correspond idéalement à vos désirs sur ImmoScout24 - La plateforme de l'immobilier en Suisse.</t>
  </si>
  <si>
    <t>https://www.immoscout24.ch/fr/appartement/louer/lieu-kriens</t>
  </si>
  <si>
    <t>Louer appartement Kriens: Trouvez le bien immobilier qui correspond idéalement à vos désirs sur ImmoScout24 - La plateforme de l'immobilier en Suisse.</t>
  </si>
  <si>
    <t>https://www.immoscout24.ch/fr/maison/acheter/lieu-niouc</t>
  </si>
  <si>
    <t>Vendre maison Niouc: Trouvez le bien immobilier qui correspond idéalement à vos désirs sur ImmoScout24 - La plateforme de l'immobilier en Suisse.</t>
  </si>
  <si>
    <t>https://www.immoscout24.ch/fr/appartement/louer/lieu-oron-la-ville</t>
  </si>
  <si>
    <t>Louer appartement Oron-la-Ville: Trouvez le bien immobilier qui correspond idéalement à vos désirs sur ImmoScout24 - La plateforme de l'immobilier en Suisse.</t>
  </si>
  <si>
    <t>https://www.immoscout24.ch/fr/maison/acheter/lieu-windisch</t>
  </si>
  <si>
    <t>Vendre maison Windisch: Trouvez le bien immobilier qui correspond idéalement à vos désirs sur ImmoScout24 - La plateforme de l'immobilier en Suisse.</t>
  </si>
  <si>
    <t>https://www.immoscout24.ch/fr/appartement/acheter/quartier-ruche-la-chaux-de-fonds</t>
  </si>
  <si>
    <t>Vendre appartement Ruche (La Chaux-de-Fonds): Trouvez le bien immobilier qui correspond idéalement à vos désirs sur ImmoScout24 - La plateforme de l'immobilier en Suisse.</t>
  </si>
  <si>
    <t>https://www.immoscout24.ch/fr/appartement/louer/lieu-kaiseraugst</t>
  </si>
  <si>
    <t>Louer appartement Kaiseraugst: Trouvez le bien immobilier qui correspond idéalement à vos désirs sur ImmoScout24 - La plateforme de l'immobilier en Suisse.</t>
  </si>
  <si>
    <t>https://www.immoscout24.ch/fr/maison/louer/lieu-neyruz-fr</t>
  </si>
  <si>
    <t>Louer maison Neyruz FR: Trouvez le bien immobilier qui correspond idéalement à vos désirs sur ImmoScout24 - La plateforme de l'immobilier en Suisse.</t>
  </si>
  <si>
    <t>https://www.immoscout24.ch/fr/maison/acheter/lieu-estavayer-le-lac</t>
  </si>
  <si>
    <t>Vendre maison Estavayer-le-Lac: Trouvez le bien immobilier qui correspond idéalement à vos désirs sur ImmoScout24 - La plateforme de l'immobilier en Suisse.</t>
  </si>
  <si>
    <t>https://www.immoscout24.ch/fr/appartement/acheter/lieu-vionnaz</t>
  </si>
  <si>
    <t>Vendre appartement Vionnaz: Trouvez le bien immobilier qui correspond idéalement à vos désirs sur ImmoScout24 - La plateforme de l'immobilier en Suisse.</t>
  </si>
  <si>
    <t>https://www.immoscout24.ch/fr/maison/acheter/lieu-sobrio</t>
  </si>
  <si>
    <t>Vendre maison Sobrio: Trouvez le bien immobilier qui correspond idéalement à vos désirs sur ImmoScout24 - La plateforme de l'immobilier en Suisse.</t>
  </si>
  <si>
    <t>https://www.immoscout24.ch/fr/maison/acheter/lieu-baden</t>
  </si>
  <si>
    <t>Vendre maison Baden: Trouvez le bien immobilier qui correspond idéalement à vos désirs sur ImmoScout24 - La plateforme de l'immobilier en Suisse.</t>
  </si>
  <si>
    <t>https://www.immoscout24.ch/fr/appartement/acheter/lieu-grandevent</t>
  </si>
  <si>
    <t>Vendre appartement Grandevent: Trouvez le bien immobilier qui correspond idéalement à vos désirs sur ImmoScout24 - La plateforme de l'immobilier en Suisse.</t>
  </si>
  <si>
    <t>https://www.immoscout24.ch/fr/appartement/acheter/lieu-les-monts-de-pully</t>
  </si>
  <si>
    <t>Vendre appartement Les Monts-de-Pully: Trouvez le bien immobilier qui correspond idéalement à vos désirs sur ImmoScout24 - La plateforme de l'immobilier en Suisse.</t>
  </si>
  <si>
    <t>https://www.immoscout24.ch/fr/appartement/louer/lieu-molondin</t>
  </si>
  <si>
    <t>Louer appartement Molondin: Trouvez le bien immobilier qui correspond idéalement à vos désirs sur ImmoScout24 - La plateforme de l'immobilier en Suisse.</t>
  </si>
  <si>
    <t>https://www.immoscout24.ch/fr/appartement/acheter/lieu-wollerau</t>
  </si>
  <si>
    <t>Vendre appartement Wollerau: Trouvez le bien immobilier qui correspond idéalement à vos désirs sur ImmoScout24 - La plateforme de l'immobilier en Suisse.</t>
  </si>
  <si>
    <t>https://www.immoscout24.ch/fr/appartement/louer/quartier-monbijou-berne</t>
  </si>
  <si>
    <t>Louer appartement Monbijou (Berne): Trouvez le bien immobilier qui correspond idéalement à vos désirs sur ImmoScout24 - La plateforme de l'immobilier en Suisse.</t>
  </si>
  <si>
    <t>https://www.immoscout24.ch/fr/maison/louer/lieu-marsens</t>
  </si>
  <si>
    <t>Louer maison Marsens: Trouvez le bien immobilier qui correspond idéalement à vos désirs sur ImmoScout24 - La plateforme de l'immobilier en Suisse.</t>
  </si>
  <si>
    <t>https://www.immoscout24.ch/fr/appartement/louer/lieu-bourguillon</t>
  </si>
  <si>
    <t>Louer appartement Bourguillon: Trouvez le bien immobilier qui correspond idéalement à vos désirs sur ImmoScout24 - La plateforme de l'immobilier en Suisse.</t>
  </si>
  <si>
    <t>https://www.immoscout24.ch/fr/appartement/louer/lieu-urtenen-schoenbuehl</t>
  </si>
  <si>
    <t>Louer appartement Urtenen-Schönbühl: Trouvez le bien immobilier qui correspond idéalement à vos désirs sur ImmoScout24 - La plateforme de l'immobilier en Suisse.</t>
  </si>
  <si>
    <t>https://www.immoscout24.ch/fr/appartement/louer/lieu-evolene</t>
  </si>
  <si>
    <t>Louer appartement Evolène: Trouvez le bien immobilier qui correspond idéalement à vos désirs sur ImmoScout24 - La plateforme de l'immobilier en Suisse.</t>
  </si>
  <si>
    <t>https://www.immoscout24.ch/fr/maison/acheter/lieu-aclens</t>
  </si>
  <si>
    <t>Vendre maison Aclens: Trouvez le bien immobilier qui correspond idéalement à vos désirs sur ImmoScout24 - La plateforme de l'immobilier en Suisse.</t>
  </si>
  <si>
    <t>https://www.immoscout24.ch/fr/maison/acheter/lieu-st-antoenien</t>
  </si>
  <si>
    <t>Vendre maison St. Antönien: Trouvez le bien immobilier qui correspond idéalement à vos désirs sur ImmoScout24 - La plateforme de l'immobilier en Suisse.</t>
  </si>
  <si>
    <t>https://www.immoscout24.ch/fr/maison/louer/lieu-genolier</t>
  </si>
  <si>
    <t>Louer maison Genolier: Trouvez le bien immobilier qui correspond idéalement à vos désirs sur ImmoScout24 - La plateforme de l'immobilier en Suisse.</t>
  </si>
  <si>
    <t>https://www.immoscout24.ch/fr/maison/acheter/lieu-chesieres</t>
  </si>
  <si>
    <t>Vendre maison Chesières: Trouvez le bien immobilier qui correspond idéalement à vos désirs sur ImmoScout24 - La plateforme de l'immobilier en Suisse.</t>
  </si>
  <si>
    <t>https://www.immoscout24.ch/fr/maison/acheter/lieu-chandonne-liddes</t>
  </si>
  <si>
    <t>Vendre maison Chandonne (Liddes): Trouvez le bien immobilier qui correspond idéalement à vos désirs sur ImmoScout24 - La plateforme de l'immobilier en Suisse.</t>
  </si>
  <si>
    <t>https://www.immoscout24.ch/fr/appartement/louer/lieu-courtelary</t>
  </si>
  <si>
    <t>Louer appartement Courtelary: Trouvez le bien immobilier qui correspond idéalement à vos désirs sur ImmoScout24 - La plateforme de l'immobilier en Suisse.</t>
  </si>
  <si>
    <t>https://www.immoscout24.ch/fr/appartement/acheter/region-rive-droite</t>
  </si>
  <si>
    <t>Vendre appartement Rive Droite: Trouvez le bien immobilier qui correspond idéalement à vos désirs sur ImmoScout24 - La plateforme de l'immobilier en Suisse.</t>
  </si>
  <si>
    <t>https://www.immoscout24.ch/fr/appartement/louer/region-toggenburg</t>
  </si>
  <si>
    <t>Louer appartement Toggenburg: Trouvez le bien immobilier qui correspond idéalement à vos désirs sur ImmoScout24 - La plateforme de l'immobilier en Suisse.</t>
  </si>
  <si>
    <t>https://www.immoscout24.ch/fr/maison/acheter/lieu-grossaffoltern</t>
  </si>
  <si>
    <t>Vendre maison Grossaffoltern: Trouvez le bien immobilier qui correspond idéalement à vos désirs sur ImmoScout24 - La plateforme de l'immobilier en Suisse.</t>
  </si>
  <si>
    <t>https://www.immoscout24.ch/fr/appartement/acheter/lieu-clarens</t>
  </si>
  <si>
    <t>Vendre appartement Clarens: Trouvez le bien immobilier qui correspond idéalement à vos désirs sur ImmoScout24 - La plateforme de l'immobilier en Suisse.</t>
  </si>
  <si>
    <t>https://www.immoscout24.ch/fr/appartement/louer/lieu-uvrier</t>
  </si>
  <si>
    <t>Louer appartement Uvrier: Trouvez le bien immobilier qui correspond idéalement à vos désirs sur ImmoScout24 - La plateforme de l'immobilier en Suisse.</t>
  </si>
  <si>
    <t>https://www.immoscout24.ch/fr/appartement/louer/lieu-la-sagne-ste-croix</t>
  </si>
  <si>
    <t>Louer appartement La Sagne (Ste-Croix): Trouvez le bien immobilier qui correspond idéalement à vos désirs sur ImmoScout24 - La plateforme de l'immobilier en Suisse.</t>
  </si>
  <si>
    <t>https://www.immoscout24.ch/fr/appartement/louer/region-bale-campagne-est</t>
  </si>
  <si>
    <t>Louer appartement Bâle Campagne Est: Trouvez le bien immobilier qui correspond idéalement à vos désirs sur ImmoScout24 - La plateforme de l'immobilier en Suisse.</t>
  </si>
  <si>
    <t>https://www.immoscout24.ch/fr/maison/acheter/lieu-sementina</t>
  </si>
  <si>
    <t>Vendre maison Sementina: Trouvez le bien immobilier qui correspond idéalement à vos désirs sur ImmoScout24 - La plateforme de l'immobilier en Suisse.</t>
  </si>
  <si>
    <t>https://www.immoscout24.ch/fr/maison/acheter/lieu-vendlincourt</t>
  </si>
  <si>
    <t>Vendre maison Vendlincourt: Trouvez le bien immobilier qui correspond idéalement à vos désirs sur ImmoScout24 - La plateforme de l'immobilier en Suisse.</t>
  </si>
  <si>
    <t>https://www.immoscout24.ch/fr/maison/acheter/lieu-l-isle</t>
  </si>
  <si>
    <t>Vendre maison L'Isle: Trouvez le bien immobilier qui correspond idéalement à vos désirs sur ImmoScout24 - La plateforme de l'immobilier en Suisse.</t>
  </si>
  <si>
    <t>https://www.immoscout24.ch/fr/appartement/louer/lieu-posieux</t>
  </si>
  <si>
    <t>Louer appartement Posieux: Trouvez le bien immobilier qui correspond idéalement à vos désirs sur ImmoScout24 - La plateforme de l'immobilier en Suisse.</t>
  </si>
  <si>
    <t>https://www.immoscout24.ch/fr/maison/acheter/lieu-rotkreuz</t>
  </si>
  <si>
    <t>Vendre maison Rotkreuz: Trouvez le bien immobilier qui correspond idéalement à vos désirs sur ImmoScout24 - La plateforme de l'immobilier en Suisse.</t>
  </si>
  <si>
    <t>https://www.immoscout24.ch/fr/appartement/louer/lieu-chernex</t>
  </si>
  <si>
    <t>Louer appartement Chernex: Trouvez le bien immobilier qui correspond idéalement à vos désirs sur ImmoScout24 - La plateforme de l'immobilier en Suisse.</t>
  </si>
  <si>
    <t>https://www.immoscout24.ch/fr/maison/acheter/lieu-vuarmarens</t>
  </si>
  <si>
    <t>Vendre maison Vuarmarens: Trouvez le bien immobilier qui correspond idéalement à vos désirs sur ImmoScout24 - La plateforme de l'immobilier en Suisse.</t>
  </si>
  <si>
    <t>https://www.immoscout24.ch/fr/maison/louer/lieu-biel-bienne</t>
  </si>
  <si>
    <t>Louer maison Biel/Bienne: Trouvez le bien immobilier qui correspond idéalement à vos désirs sur ImmoScout24 - La plateforme de l'immobilier en Suisse.</t>
  </si>
  <si>
    <t>https://www.immoscout24.ch/fr/appartement/louer/lieu-vevey</t>
  </si>
  <si>
    <t>Louer appartement Vevey: Trouvez le bien immobilier qui correspond idéalement à vos désirs sur ImmoScout24 - La plateforme de l'immobilier en Suisse.</t>
  </si>
  <si>
    <t>https://www.immoscout24.ch/fr/appartement/louer/lieu-plaffeien</t>
  </si>
  <si>
    <t>Louer appartement Plaffeien: Trouvez le bien immobilier qui correspond idéalement à vos désirs sur ImmoScout24 - La plateforme de l'immobilier en Suisse.</t>
  </si>
  <si>
    <t>https://www.immoscout24.ch/fr/maison/acheter/lieu-cheyres</t>
  </si>
  <si>
    <t>Vendre maison Cheyres: Trouvez le bien immobilier qui correspond idéalement à vos désirs sur ImmoScout24 - La plateforme de l'immobilier en Suisse.</t>
  </si>
  <si>
    <t>https://www.immoscout24.ch/fr/appartement/louer/lieu-soerenberg</t>
  </si>
  <si>
    <t>Louer appartement Sörenberg: Trouvez le bien immobilier qui correspond idéalement à vos désirs sur ImmoScout24 - La plateforme de l'immobilier en Suisse.</t>
  </si>
  <si>
    <t>https://www.immoscout24.ch/fr/appartement/louer/lieu-epautheyres</t>
  </si>
  <si>
    <t>Louer appartement Epautheyres: Trouvez le bien immobilier qui correspond idéalement à vos désirs sur ImmoScout24 - La plateforme de l'immobilier en Suisse.</t>
  </si>
  <si>
    <t>https://www.immoscout24.ch/fr/appartement/acheter/lieu-provence</t>
  </si>
  <si>
    <t>Vendre appartement Provence: Trouvez le bien immobilier qui correspond idéalement à vos désirs sur ImmoScout24 - La plateforme de l'immobilier en Suisse.</t>
  </si>
  <si>
    <t>https://www.immoscout24.ch/fr/appartement/acheter/lieu-leysin</t>
  </si>
  <si>
    <t>Vendre appartement Leysin: Trouvez le bien immobilier qui correspond idéalement à vos désirs sur ImmoScout24 - La plateforme de l'immobilier en Suisse.</t>
  </si>
  <si>
    <t>https://www.immoscout24.ch/fr/appartement/louer/quartier-paquis-navigation-geneve</t>
  </si>
  <si>
    <t>Louer appartement Pâquis - Navigation (Genève): Trouvez le bien immobilier qui correspond idéalement à vos désirs sur ImmoScout24 - La plateforme de l'immobilier en Suisse.</t>
  </si>
  <si>
    <t>https://www.immoscout24.ch/fr/maison/acheter/lieu-fornex-liddes</t>
  </si>
  <si>
    <t>Vendre maison Fornex (Liddes): Trouvez le bien immobilier qui correspond idéalement à vos désirs sur ImmoScout24 - La plateforme de l'immobilier en Suisse.</t>
  </si>
  <si>
    <t>https://www.immoscout24.ch/fr/appartement/acheter/region-ayent</t>
  </si>
  <si>
    <t>Vendre appartement Ayent: Trouvez le bien immobilier qui correspond idéalement à vos désirs sur ImmoScout24 - La plateforme de l'immobilier en Suisse.</t>
  </si>
  <si>
    <t>https://www.immoscout24.ch/fr/appartement/louer/lieu-saas-grund</t>
  </si>
  <si>
    <t>Louer appartement Saas-Grund: Trouvez le bien immobilier qui correspond idéalement à vos désirs sur ImmoScout24 - La plateforme de l'immobilier en Suisse.</t>
  </si>
  <si>
    <t>https://www.immoscout24.ch/fr/appartement/louer/lieu-balsthal</t>
  </si>
  <si>
    <t>Louer appartement Balsthal: Trouvez le bien immobilier qui correspond idéalement à vos désirs sur ImmoScout24 - La plateforme de l'immobilier en Suisse.</t>
  </si>
  <si>
    <t>https://www.immoscout24.ch/fr/appartement/louer/lieu-concise</t>
  </si>
  <si>
    <t>Louer appartement Concise: Trouvez le bien immobilier qui correspond idéalement à vos désirs sur ImmoScout24 - La plateforme de l'immobilier en Suisse.</t>
  </si>
  <si>
    <t>https://www.immoscout24.ch/fr/appartement/louer/lieu-vendlincourt</t>
  </si>
  <si>
    <t>Louer appartement Vendlincourt: Trouvez le bien immobilier qui correspond idéalement à vos désirs sur ImmoScout24 - La plateforme de l'immobilier en Suisse.</t>
  </si>
  <si>
    <t>https://www.immoscout24.ch/fr/maison/acheter/region-glattal</t>
  </si>
  <si>
    <t>Vendre maison Glattal: Trouvez le bien immobilier qui correspond idéalement à vos désirs sur ImmoScout24 - La plateforme de l'immobilier en Suisse.</t>
  </si>
  <si>
    <t>https://www.immoscout24.ch/fr/appartement/louer/lieu-bursinel</t>
  </si>
  <si>
    <t>Louer appartement Bursinel: Trouvez le bien immobilier qui correspond idéalement à vos désirs sur ImmoScout24 - La plateforme de l'immobilier en Suisse.</t>
  </si>
  <si>
    <t>https://www.immoscout24.ch/fr/appartement/louer/lieu-champoz</t>
  </si>
  <si>
    <t>Louer appartement Champoz: Trouvez le bien immobilier qui correspond idéalement à vos désirs sur ImmoScout24 - La plateforme de l'immobilier en Suisse.</t>
  </si>
  <si>
    <t>https://www.immoscout24.ch/fr/appartement/louer/lieu-gempenach</t>
  </si>
  <si>
    <t>Louer appartement Gempenach: Trouvez le bien immobilier qui correspond idéalement à vos désirs sur ImmoScout24 - La plateforme de l'immobilier en Suisse.</t>
  </si>
  <si>
    <t>https://www.immoscout24.ch/fr/appartement/louer/lieu-schwanden-gl</t>
  </si>
  <si>
    <t>Louer appartement Schwanden GL: Trouvez le bien immobilier qui correspond idéalement à vos désirs sur ImmoScout24 - La plateforme de l'immobilier en Suisse.</t>
  </si>
  <si>
    <t>https://www.immoscout24.ch/fr/maison/acheter/lieu-bassins</t>
  </si>
  <si>
    <t>Vendre maison Bassins: Trouvez le bien immobilier qui correspond idéalement à vos désirs sur ImmoScout24 - La plateforme de l'immobilier en Suisse.</t>
  </si>
  <si>
    <t>https://www.immoscout24.ch/fr/maison/acheter/lieu-schoenenbuch</t>
  </si>
  <si>
    <t>Vendre maison Schönenbuch: Trouvez le bien immobilier qui correspond idéalement à vos désirs sur ImmoScout24 - La plateforme de l'immobilier en Suisse.</t>
  </si>
  <si>
    <t>https://www.immoscout24.ch/fr/maison/acheter/lieu-agra</t>
  </si>
  <si>
    <t>Vendre maison Agra: Trouvez le bien immobilier qui correspond idéalement à vos désirs sur ImmoScout24 - La plateforme de l'immobilier en Suisse.</t>
  </si>
  <si>
    <t>https://www.immoscout24.ch/fr/maison/louer/lieu-delemont</t>
  </si>
  <si>
    <t>Louer maison Delémont: Trouvez le bien immobilier qui correspond idéalement à vos désirs sur ImmoScout24 - La plateforme de l'immobilier en Suisse.</t>
  </si>
  <si>
    <t>https://www.immoscout24.ch/fr/maison/acheter/lieu-allschwil</t>
  </si>
  <si>
    <t>Vendre maison Allschwil: Trouvez le bien immobilier qui correspond idéalement à vos désirs sur ImmoScout24 - La plateforme de l'immobilier en Suisse.</t>
  </si>
  <si>
    <t>https://www.immoscout24.ch/fr/maison/acheter/lieu-chemin</t>
  </si>
  <si>
    <t>Vendre maison Chemin: Trouvez le bien immobilier qui correspond idéalement à vos désirs sur ImmoScout24 - La plateforme de l'immobilier en Suisse.</t>
  </si>
  <si>
    <t>https://www.immoscout24.ch/fr/appartement/louer/lieu-la-tzoumaz</t>
  </si>
  <si>
    <t>Louer appartement La Tzoumaz: Trouvez le bien immobilier qui correspond idéalement à vos désirs sur ImmoScout24 - La plateforme de l'immobilier en Suisse.</t>
  </si>
  <si>
    <t>https://www.immoscout24.ch/fr/maison/acheter/lieu-bilten</t>
  </si>
  <si>
    <t>Vendre maison Bilten: Trouvez le bien immobilier qui correspond idéalement à vos désirs sur ImmoScout24 - La plateforme de l'immobilier en Suisse.</t>
  </si>
  <si>
    <t>https://www.immoscout24.ch/fr/maison/acheter/lieu-mezieres-fr</t>
  </si>
  <si>
    <t>Vendre maison Mézières FR: Trouvez le bien immobilier qui correspond idéalement à vos désirs sur ImmoScout24 - La plateforme de l'immobilier en Suisse.</t>
  </si>
  <si>
    <t>https://www.immoscout24.ch/fr/appartement/louer/lieu-boll</t>
  </si>
  <si>
    <t>Louer appartement Boll: Trouvez le bien immobilier qui correspond idéalement à vos désirs sur ImmoScout24 - La plateforme de l'immobilier en Suisse.</t>
  </si>
  <si>
    <t>https://www.immoscout24.ch/fr/maison/acheter/lieu-wichtrach</t>
  </si>
  <si>
    <t>Vendre maison Wichtrach: Trouvez le bien immobilier qui correspond idéalement à vos désirs sur ImmoScout24 - La plateforme de l'immobilier en Suisse.</t>
  </si>
  <si>
    <t>https://www.immoscout24.ch/fr/appartement/louer/region-montagnes-neuchateloises</t>
  </si>
  <si>
    <t>Louer appartement Montagnes Neuchâteloises: Trouvez le bien immobilier qui correspond idéalement à vos désirs sur ImmoScout24 - La plateforme de l'immobilier en Suisse.</t>
  </si>
  <si>
    <t>https://www.immoscout24.ch/fr/appartement/acheter/lieu-lenk-im-simmental</t>
  </si>
  <si>
    <t>Vendre appartement Lenk im Simmental: Trouvez le bien immobilier qui correspond idéalement à vos désirs sur ImmoScout24 - La plateforme de l'immobilier en Suisse.</t>
  </si>
  <si>
    <t>https://www.immoscout24.ch/fr/maison/acheter/lieu-grafenried</t>
  </si>
  <si>
    <t>Vendre maison Grafenried: Trouvez le bien immobilier qui correspond idéalement à vos désirs sur ImmoScout24 - La plateforme de l'immobilier en Suisse.</t>
  </si>
  <si>
    <t>https://www.immoscout24.ch/fr/appartement/acheter/lieu-oberaegeri</t>
  </si>
  <si>
    <t>Vendre appartement Oberägeri: Trouvez le bien immobilier qui correspond idéalement à vos désirs sur ImmoScout24 - La plateforme de l'immobilier en Suisse.</t>
  </si>
  <si>
    <t>https://www.immoscout24.ch/fr/maison/acheter/lieu-thoerishaus</t>
  </si>
  <si>
    <t>Vendre maison Thörishaus: Trouvez le bien immobilier qui correspond idéalement à vos désirs sur ImmoScout24 - La plateforme de l'immobilier en Suisse.</t>
  </si>
  <si>
    <t>https://www.immoscout24.ch/fr/maison/acheter/lieu-lungern</t>
  </si>
  <si>
    <t>Vendre maison Lungern: Trouvez le bien immobilier qui correspond idéalement à vos désirs sur ImmoScout24 - La plateforme de l'immobilier en Suisse.</t>
  </si>
  <si>
    <t>https://www.immoscout24.ch/fr/maison/acheter/lieu-ebmatingen</t>
  </si>
  <si>
    <t>Vendre maison Ebmatingen: Trouvez le bien immobilier qui correspond idéalement à vos désirs sur ImmoScout24 - La plateforme de l'immobilier en Suisse.</t>
  </si>
  <si>
    <t>https://www.immoscout24.ch/fr/maison/louer/lieu-trey</t>
  </si>
  <si>
    <t>Louer maison Trey: Trouvez le bien immobilier qui correspond idéalement à vos désirs sur ImmoScout24 - La plateforme de l'immobilier en Suisse.</t>
  </si>
  <si>
    <t>https://www.immoscout24.ch/fr/maison/acheter/lieu-champery</t>
  </si>
  <si>
    <t>Vendre maison Champéry: Trouvez le bien immobilier qui correspond idéalement à vos désirs sur ImmoScout24 - La plateforme de l'immobilier en Suisse.</t>
  </si>
  <si>
    <t>https://www.immoscout24.ch/fr/appartement/louer/lieu-aefligen</t>
  </si>
  <si>
    <t>Louer appartement Aefligen: Trouvez le bien immobilier qui correspond idéalement à vos désirs sur ImmoScout24 - La plateforme de l'immobilier en Suisse.</t>
  </si>
  <si>
    <t>https://www.immoscout24.ch/fr/appartement/acheter/secteur-kreis-7</t>
  </si>
  <si>
    <t>Vendre appartement Kreis 7: Trouvez le bien immobilier qui correspond idéalement à vos désirs sur ImmoScout24 - La plateforme de l'immobilier en Suisse.</t>
  </si>
  <si>
    <t>https://www.immoscout24.ch/fr/appartement/acheter/lieu-graechen</t>
  </si>
  <si>
    <t>Vendre appartement Grächen: Trouvez le bien immobilier qui correspond idéalement à vos désirs sur ImmoScout24 - La plateforme de l'immobilier en Suisse.</t>
  </si>
  <si>
    <t>https://www.immoscout24.ch/fr/appartement/acheter/lieu-bassecourt</t>
  </si>
  <si>
    <t>Vendre appartement Bassecourt: Trouvez le bien immobilier qui correspond idéalement à vos désirs sur ImmoScout24 - La plateforme de l'immobilier en Suisse.</t>
  </si>
  <si>
    <t>https://www.immoscout24.ch/fr/appartement/acheter/lieu-tenero</t>
  </si>
  <si>
    <t>Vendre appartement Tenero: Trouvez le bien immobilier qui correspond idéalement à vos désirs sur ImmoScout24 - La plateforme de l'immobilier en Suisse.</t>
  </si>
  <si>
    <t>https://www.immoscout24.ch/fr/maison/acheter/pays-hongrie</t>
  </si>
  <si>
    <t>Vendre maison Hongrie: Trouvez le bien immobilier qui correspond idéalement à vos désirs sur ImmoScout24 - La plateforme de l'immobilier en Suisse.</t>
  </si>
  <si>
    <t>https://www.immoscout24.ch/fr/appartement/louer/lieu-sorvilier</t>
  </si>
  <si>
    <t>Louer appartement Sorvilier: Trouvez le bien immobilier qui correspond idéalement à vos désirs sur ImmoScout24 - La plateforme de l'immobilier en Suisse.</t>
  </si>
  <si>
    <t>https://www.immoscout24.ch/fr/appartement/louer/lieu-randogne</t>
  </si>
  <si>
    <t>Louer appartement Randogne: Trouvez le bien immobilier qui correspond idéalement à vos désirs sur ImmoScout24 - La plateforme de l'immobilier en Suisse.</t>
  </si>
  <si>
    <t>https://www.immoscout24.ch/fr/appartement/louer/lieu-yens</t>
  </si>
  <si>
    <t>Louer appartement Yens: Trouvez le bien immobilier qui correspond idéalement à vos désirs sur ImmoScout24 - La plateforme de l'immobilier en Suisse.</t>
  </si>
  <si>
    <t>https://www.immoscout24.ch/fr/appartement/louer/lieu-muehleberg</t>
  </si>
  <si>
    <t>Louer appartement Mühleberg: Trouvez le bien immobilier qui correspond idéalement à vos désirs sur ImmoScout24 - La plateforme de l'immobilier en Suisse.</t>
  </si>
  <si>
    <t>https://www.immoscout24.ch/fr/appartement/acheter/lieu-champfer</t>
  </si>
  <si>
    <t>Vendre appartement Champfèr: Trouvez le bien immobilier qui correspond idéalement à vos désirs sur ImmoScout24 - La plateforme de l'immobilier en Suisse.</t>
  </si>
  <si>
    <t>https://www.immoscout24.ch/fr/maison/acheter/lieu-bretonnieres</t>
  </si>
  <si>
    <t>Vendre maison Bretonnières: Trouvez le bien immobilier qui correspond idéalement à vos désirs sur ImmoScout24 - La plateforme de l'immobilier en Suisse.</t>
  </si>
  <si>
    <t>https://www.immoscout24.ch/fr/appartement/acheter/lieu-crans-montana</t>
  </si>
  <si>
    <t>Vendre appartement Crans-Montana: Trouvez le bien immobilier qui correspond idéalement à vos désirs sur ImmoScout24 - La plateforme de l'immobilier en Suisse.</t>
  </si>
  <si>
    <t>https://www.immoscout24.ch/fr/appartement/louer/quartier-brunnadern-berne</t>
  </si>
  <si>
    <t>Louer appartement Brunnadern (Berne): Trouvez le bien immobilier qui correspond idéalement à vos désirs sur ImmoScout24 - La plateforme de l'immobilier en Suisse.</t>
  </si>
  <si>
    <t>https://www.immoscout24.ch/fr/appartement/louer/quartier-molino-nuovo-lugano</t>
  </si>
  <si>
    <t>Louer appartement Molino Nuovo (Lugano): Trouvez le bien immobilier qui correspond idéalement à vos désirs sur ImmoScout24 - La plateforme de l'immobilier en Suisse.</t>
  </si>
  <si>
    <t>https://www.immoscout24.ch/fr/maison/acheter/lieu-schwarzenberg-lu</t>
  </si>
  <si>
    <t>Vendre maison Schwarzenberg LU: Trouvez le bien immobilier qui correspond idéalement à vos désirs sur ImmoScout24 - La plateforme de l'immobilier en Suisse.</t>
  </si>
  <si>
    <t>https://www.immoscout24.ch/fr/maison/acheter/lieu-neunkirch</t>
  </si>
  <si>
    <t>Vendre maison Neunkirch: Trouvez le bien immobilier qui correspond idéalement à vos désirs sur ImmoScout24 - La plateforme de l'immobilier en Suisse.</t>
  </si>
  <si>
    <t>https://www.immoscout24.ch/fr/maison/acheter/lieu-pailly</t>
  </si>
  <si>
    <t>Vendre maison Pailly: Trouvez le bien immobilier qui correspond idéalement à vos désirs sur ImmoScout24 - La plateforme de l'immobilier en Suisse.</t>
  </si>
  <si>
    <t>https://www.immoscout24.ch/fr/maison/acheter/lieu-grasswil</t>
  </si>
  <si>
    <t>Vendre maison Grasswil: Trouvez le bien immobilier qui correspond idéalement à vos désirs sur ImmoScout24 - La plateforme de l'immobilier en Suisse.</t>
  </si>
  <si>
    <t>https://www.immoscout24.ch/fr/maison/acheter/lieu-courtepin</t>
  </si>
  <si>
    <t>Vendre maison Courtepin: Trouvez le bien immobilier qui correspond idéalement à vos désirs sur ImmoScout24 - La plateforme de l'immobilier en Suisse.</t>
  </si>
  <si>
    <t>https://www.immoscout24.ch/fr/maison/acheter/lieu-cheseaux-noreaz</t>
  </si>
  <si>
    <t>Vendre maison Cheseaux-Noréaz: Trouvez le bien immobilier qui correspond idéalement à vos désirs sur ImmoScout24 - La plateforme de l'immobilier en Suisse.</t>
  </si>
  <si>
    <t>https://www.immoscout24.ch/fr/maison/acheter/lieu-stechelberg</t>
  </si>
  <si>
    <t>Vendre maison Stechelberg: Trouvez le bien immobilier qui correspond idéalement à vos désirs sur ImmoScout24 - La plateforme de l'immobilier en Suisse.</t>
  </si>
  <si>
    <t>https://www.immoscout24.ch/fr/maison/acheter/lieu-waltenschwil</t>
  </si>
  <si>
    <t>Vendre maison Waltenschwil: Trouvez le bien immobilier qui correspond idéalement à vos désirs sur ImmoScout24 - La plateforme de l'immobilier en Suisse.</t>
  </si>
  <si>
    <t>https://www.immoscout24.ch/fr/appartement/louer/lieu-zweisimmen</t>
  </si>
  <si>
    <t>Louer appartement Zweisimmen: Trouvez le bien immobilier qui correspond idéalement à vos désirs sur ImmoScout24 - La plateforme de l'immobilier en Suisse.</t>
  </si>
  <si>
    <t>https://www.immoscout24.ch/fr/appartement/louer/lieu-grand-lancy</t>
  </si>
  <si>
    <t>Louer appartement Grand-Lancy: Trouvez le bien immobilier qui correspond idéalement à vos désirs sur ImmoScout24 - La plateforme de l'immobilier en Suisse.</t>
  </si>
  <si>
    <t>https://www.immoscout24.ch/fr/appartement/louer/lieu-greng</t>
  </si>
  <si>
    <t>Louer appartement Greng: Trouvez le bien immobilier qui correspond idéalement à vos désirs sur ImmoScout24 - La plateforme de l'immobilier en Suisse.</t>
  </si>
  <si>
    <t>https://www.immoscout24.ch/fr/appartement/acheter/lieu-sursee</t>
  </si>
  <si>
    <t>Vendre appartement Sursee: Trouvez le bien immobilier qui correspond idéalement à vos désirs sur ImmoScout24 - La plateforme de l'immobilier en Suisse.</t>
  </si>
  <si>
    <t>https://www.immoscout24.ch/fr/appartement/acheter/quartier-monruz-neuchatel</t>
  </si>
  <si>
    <t>Vendre appartement Monruz (Neuchâtel): Trouvez le bien immobilier qui correspond idéalement à vos désirs sur ImmoScout24 - La plateforme de l'immobilier en Suisse.</t>
  </si>
  <si>
    <t>https://www.immoscout24.ch/fr/appartement/louer/lieu-schuepfen</t>
  </si>
  <si>
    <t>Louer appartement Schüpfen: Trouvez le bien immobilier qui correspond idéalement à vos désirs sur ImmoScout24 - La plateforme de l'immobilier en Suisse.</t>
  </si>
  <si>
    <t>https://www.immoscout24.ch/fr/appartement/acheter/lieu-cortaillod</t>
  </si>
  <si>
    <t>Vendre appartement Cortaillod: Trouvez le bien immobilier qui correspond idéalement à vos désirs sur ImmoScout24 - La plateforme de l'immobilier en Suisse.</t>
  </si>
  <si>
    <t>https://www.immoscout24.ch/fr/maison/louer/lieu-giffers</t>
  </si>
  <si>
    <t>Louer maison Giffers: Trouvez le bien immobilier qui correspond idéalement à vos désirs sur ImmoScout24 - La plateforme de l'immobilier en Suisse.</t>
  </si>
  <si>
    <t>https://www.immoscout24.ch/fr/maison/acheter/lieu-la-ferriere</t>
  </si>
  <si>
    <t>Vendre maison La Ferrière: Trouvez le bien immobilier qui correspond idéalement à vos désirs sur ImmoScout24 - La plateforme de l'immobilier en Suisse.</t>
  </si>
  <si>
    <t>https://www.immoscout24.ch/fr/appartement/acheter/lieu-marin-epagnier</t>
  </si>
  <si>
    <t>Vendre appartement Marin-Epagnier: Trouvez le bien immobilier qui correspond idéalement à vos désirs sur ImmoScout24 - La plateforme de l'immobilier en Suisse.</t>
  </si>
  <si>
    <t>https://www.immoscout24.ch/fr/maison/acheter/lieu-muenster-vs</t>
  </si>
  <si>
    <t>Vendre maison Münster VS: Trouvez le bien immobilier qui correspond idéalement à vos désirs sur ImmoScout24 - La plateforme de l'immobilier en Suisse.</t>
  </si>
  <si>
    <t>https://www.immoscout24.ch/fr/maison/acheter/lieu-ramsen</t>
  </si>
  <si>
    <t>Vendre maison Ramsen: Trouvez le bien immobilier qui correspond idéalement à vos désirs sur ImmoScout24 - La plateforme de l'immobilier en Suisse.</t>
  </si>
  <si>
    <t>https://www.immoscout24.ch/fr/maison/acheter/lieu-maglio-di-colla</t>
  </si>
  <si>
    <t>Vendre maison Maglio di Colla: Trouvez le bien immobilier qui correspond idéalement à vos désirs sur ImmoScout24 - La plateforme de l'immobilier en Suisse.</t>
  </si>
  <si>
    <t>https://www.immoscout24.ch/fr/appartement/louer/lieu-leuggern</t>
  </si>
  <si>
    <t>Louer appartement Leuggern: Trouvez le bien immobilier qui correspond idéalement à vos désirs sur ImmoScout24 - La plateforme de l'immobilier en Suisse.</t>
  </si>
  <si>
    <t>https://www.immoscout24.ch/fr/appartement/louer/quartier-beauregard-fribourg</t>
  </si>
  <si>
    <t>Louer appartement Beauregard (Fribourg): Trouvez le bien immobilier qui correspond idéalement à vos désirs sur ImmoScout24 - La plateforme de l'immobilier en Suisse.</t>
  </si>
  <si>
    <t>https://www.immoscout24.ch/fr/maison/louer/lieu-champex-lac</t>
  </si>
  <si>
    <t>Louer maison Champex-Lac: Trouvez le bien immobilier qui correspond idéalement à vos désirs sur ImmoScout24 - La plateforme de l'immobilier en Suisse.</t>
  </si>
  <si>
    <t>https://www.immoscout24.ch/fr/maison/acheter/lieu-zernez</t>
  </si>
  <si>
    <t>Vendre maison Zernez: Trouvez le bien immobilier qui correspond idéalement à vos désirs sur ImmoScout24 - La plateforme de l'immobilier en Suisse.</t>
  </si>
  <si>
    <t>https://www.immoscout24.ch/fr/appartement/louer/lieu-moosseedorf</t>
  </si>
  <si>
    <t>Louer appartement Moosseedorf: Trouvez le bien immobilier qui correspond idéalement à vos désirs sur ImmoScout24 - La plateforme de l'immobilier en Suisse.</t>
  </si>
  <si>
    <t>https://www.immoscout24.ch/fr/maison/acheter/lieu-la-tour-de-peilz</t>
  </si>
  <si>
    <t>Vendre maison La Tour-de-Peilz: Trouvez le bien immobilier qui correspond idéalement à vos désirs sur ImmoScout24 - La plateforme de l'immobilier en Suisse.</t>
  </si>
  <si>
    <t>https://www.immoscout24.ch/fr/appartement/louer/quartier-mache-biel-bienne</t>
  </si>
  <si>
    <t>Louer appartement Mâche (Biel/Bienne): Trouvez le bien immobilier qui correspond idéalement à vos désirs sur ImmoScout24 - La plateforme de l'immobilier en Suisse.</t>
  </si>
  <si>
    <t>https://www.immoscout24.ch/fr/appartement/louer/lieu-ibach</t>
  </si>
  <si>
    <t>Louer appartement Ibach: Trouvez le bien immobilier qui correspond idéalement à vos désirs sur ImmoScout24 - La plateforme de l'immobilier en Suisse.</t>
  </si>
  <si>
    <t>https://www.immoscout24.ch/fr/maison/louer/lieu-oron-la-ville</t>
  </si>
  <si>
    <t>Louer maison Oron-la-Ville: Trouvez le bien immobilier qui correspond idéalement à vos désirs sur ImmoScout24 - La plateforme de l'immobilier en Suisse.</t>
  </si>
  <si>
    <t>https://www.immoscout24.ch/fr/appartement/acheter/lieu-konolfingen</t>
  </si>
  <si>
    <t>Vendre appartement Konolfingen: Trouvez le bien immobilier qui correspond idéalement à vos désirs sur ImmoScout24 - La plateforme de l'immobilier en Suisse.</t>
  </si>
  <si>
    <t>https://www.immoscout24.ch/fr/appartement/louer/lieu-lauenen-b-gstaad</t>
  </si>
  <si>
    <t>Louer appartement Lauenen b. Gstaad: Trouvez le bien immobilier qui correspond idéalement à vos désirs sur ImmoScout24 - La plateforme de l'immobilier en Suisse.</t>
  </si>
  <si>
    <t>https://www.immoscout24.ch/fr/maison/acheter/lieu-plan-les-ouates</t>
  </si>
  <si>
    <t>Vendre maison Plan-les-Ouates: Trouvez le bien immobilier qui correspond idéalement à vos désirs sur ImmoScout24 - La plateforme de l'immobilier en Suisse.</t>
  </si>
  <si>
    <t>https://www.immoscout24.ch/fr/maison/acheter/lieu-arni-ag</t>
  </si>
  <si>
    <t>Vendre maison Arni AG: Trouvez le bien immobilier qui correspond idéalement à vos désirs sur ImmoScout24 - La plateforme de l'immobilier en Suisse.</t>
  </si>
  <si>
    <t>https://www.immoscout24.ch/fr/maison/acheter/region-montagnes-neuchateloises</t>
  </si>
  <si>
    <t>Vendre maison Montagnes Neuchâteloises: Trouvez le bien immobilier qui correspond idéalement à vos désirs sur ImmoScout24 - La plateforme de l'immobilier en Suisse.</t>
  </si>
  <si>
    <t>https://www.immoscout24.ch/fr/maison/acheter/lieu-chur</t>
  </si>
  <si>
    <t>Vendre maison Chur: Trouvez le bien immobilier qui correspond idéalement à vos désirs sur ImmoScout24 - La plateforme de l'immobilier en Suisse.</t>
  </si>
  <si>
    <t>https://www.immoscout24.ch/fr/maison/acheter/lieu-seigneux</t>
  </si>
  <si>
    <t>Vendre maison Seigneux: Trouvez le bien immobilier qui correspond idéalement à vos désirs sur ImmoScout24 - La plateforme de l'immobilier en Suisse.</t>
  </si>
  <si>
    <t>https://www.immoscout24.ch/fr/appartement/acheter/lieu-gimmelwald</t>
  </si>
  <si>
    <t>Vendre appartement Gimmelwald: Trouvez le bien immobilier qui correspond idéalement à vos désirs sur ImmoScout24 - La plateforme de l'immobilier en Suisse.</t>
  </si>
  <si>
    <t>https://www.immoscout24.ch/fr/maison/acheter/lieu-aegerten</t>
  </si>
  <si>
    <t>Vendre maison Aegerten: Trouvez le bien immobilier qui correspond idéalement à vos désirs sur ImmoScout24 - La plateforme de l'immobilier en Suisse.</t>
  </si>
  <si>
    <t>https://www.immoscout24.ch/fr/maison/acheter/lieu-rossens-fr</t>
  </si>
  <si>
    <t>Vendre maison Rossens FR: Trouvez le bien immobilier qui correspond idéalement à vos désirs sur ImmoScout24 - La plateforme de l'immobilier en Suisse.</t>
  </si>
  <si>
    <t>https://www.immoscout24.ch/fr/maison/louer/region-la-cote-nyon</t>
  </si>
  <si>
    <t>Louer maison La Côte - Nyon: Trouvez le bien immobilier qui correspond idéalement à vos désirs sur ImmoScout24 - La plateforme de l'immobilier en Suisse.</t>
  </si>
  <si>
    <t>https://www.immoscout24.ch/fr/appartement/acheter/region-porrentruy</t>
  </si>
  <si>
    <t>https://www.immoscout24.ch/fr/appartement/louer/lieu-le-grand-saconnex</t>
  </si>
  <si>
    <t>Louer appartement Le Grand-Saconnex: Trouvez le bien immobilier qui correspond idéalement à vos désirs sur ImmoScout24 - La plateforme de l'immobilier en Suisse.</t>
  </si>
  <si>
    <t>https://www.immoscout24.ch/fr/appartement/acheter/lieu-urdorf</t>
  </si>
  <si>
    <t>Vendre appartement Urdorf: Trouvez le bien immobilier qui correspond idéalement à vos désirs sur ImmoScout24 - La plateforme de l'immobilier en Suisse.</t>
  </si>
  <si>
    <t>https://www.immoscout24.ch/fr/appartement/louer/lieu-aarwangen</t>
  </si>
  <si>
    <t>Louer appartement Aarwangen: Trouvez le bien immobilier qui correspond idéalement à vos désirs sur ImmoScout24 - La plateforme de l'immobilier en Suisse.</t>
  </si>
  <si>
    <t>https://www.immoscout24.ch/fr/appartement/louer/lieu-vuadens</t>
  </si>
  <si>
    <t>Louer appartement Vuadens: Trouvez le bien immobilier qui correspond idéalement à vos désirs sur ImmoScout24 - La plateforme de l'immobilier en Suisse.</t>
  </si>
  <si>
    <t>https://www.immoscout24.ch/fr/maison/acheter/pays-argentine</t>
  </si>
  <si>
    <t>Vendre maison Argentine: Trouvez le bien immobilier qui correspond idéalement à vos désirs sur ImmoScout24 - La plateforme de l'immobilier en Suisse.</t>
  </si>
  <si>
    <t>https://www.immoscout24.ch/fr/appartement/louer/lieu-fraeschels</t>
  </si>
  <si>
    <t>Louer appartement Fräschels: Trouvez le bien immobilier qui correspond idéalement à vos désirs sur ImmoScout24 - La plateforme de l'immobilier en Suisse.</t>
  </si>
  <si>
    <t>https://www.immoscout24.ch/fr/appartement/louer/lieu-les-mosses</t>
  </si>
  <si>
    <t>Louer appartement Les Mosses: Trouvez le bien immobilier qui correspond idéalement à vos désirs sur ImmoScout24 - La plateforme de l'immobilier en Suisse.</t>
  </si>
  <si>
    <t>https://www.immoscout24.ch/fr/appartement/louer/lieu-steinach</t>
  </si>
  <si>
    <t>Louer appartement Steinach: Trouvez le bien immobilier qui correspond idéalement à vos désirs sur ImmoScout24 - La plateforme de l'immobilier en Suisse.</t>
  </si>
  <si>
    <t>https://www.immoscout24.ch/fr/appartement/louer/lieu-embrach</t>
  </si>
  <si>
    <t>Louer appartement Embrach: Trouvez le bien immobilier qui correspond idéalement à vos désirs sur ImmoScout24 - La plateforme de l'immobilier en Suisse.</t>
  </si>
  <si>
    <t>https://www.immoscout24.ch/fr/appartement/louer/lieu-plasselb</t>
  </si>
  <si>
    <t>Louer appartement Plasselb: Trouvez le bien immobilier qui correspond idéalement à vos désirs sur ImmoScout24 - La plateforme de l'immobilier en Suisse.</t>
  </si>
  <si>
    <t>https://www.immoscout24.ch/fr/appartement/louer/lieu-siviez-nendaz</t>
  </si>
  <si>
    <t>Louer appartement Siviez (Nendaz): Trouvez le bien immobilier qui correspond idéalement à vos désirs sur ImmoScout24 - La plateforme de l'immobilier en Suisse.</t>
  </si>
  <si>
    <t>https://www.immoscout24.ch/fr/appartement/acheter/region-rive-gauche</t>
  </si>
  <si>
    <t>Vendre appartement Rive Gauche: Trouvez le bien immobilier qui correspond idéalement à vos désirs sur ImmoScout24 - La plateforme de l'immobilier en Suisse.</t>
  </si>
  <si>
    <t>https://www.immoscout24.ch/fr/appartement/acheter/lieu-kriens</t>
  </si>
  <si>
    <t>Vendre appartement Kriens: Trouvez le bien immobilier qui correspond idéalement à vos désirs sur ImmoScout24 - La plateforme de l'immobilier en Suisse.</t>
  </si>
  <si>
    <t>https://www.immoscout24.ch/fr/appartement/louer/lieu-blignou-ayent</t>
  </si>
  <si>
    <t>Louer appartement Blignou (Ayent): Trouvez le bien immobilier qui correspond idéalement à vos désirs sur ImmoScout24 - La plateforme de l'immobilier en Suisse.</t>
  </si>
  <si>
    <t>https://www.immoscout24.ch/fr/maison/acheter/lieu-sales-gruyere</t>
  </si>
  <si>
    <t>Vendre maison Sâles (Gruyère): Trouvez le bien immobilier qui correspond idéalement à vos désirs sur ImmoScout24 - La plateforme de l'immobilier en Suisse.</t>
  </si>
  <si>
    <t>https://www.immoscout24.ch/fr/appartement/louer/lieu-pontenet</t>
  </si>
  <si>
    <t>Louer appartement Pontenet: Trouvez le bien immobilier qui correspond idéalement à vos désirs sur ImmoScout24 - La plateforme de l'immobilier en Suisse.</t>
  </si>
  <si>
    <t>https://www.immoscout24.ch/fr/appartement/louer/lieu-cornol</t>
  </si>
  <si>
    <t>Louer appartement Cornol: Trouvez le bien immobilier qui correspond idéalement à vos désirs sur ImmoScout24 - La plateforme de l'immobilier en Suisse.</t>
  </si>
  <si>
    <t>https://www.immoscout24.ch/fr/appartement/louer/lieu-diepoldsau</t>
  </si>
  <si>
    <t>Louer appartement Diepoldsau: Trouvez le bien immobilier qui correspond idéalement à vos désirs sur ImmoScout24 - La plateforme de l'immobilier en Suisse.</t>
  </si>
  <si>
    <t>https://www.immoscout24.ch/fr/maison/acheter/lieu-remaufens</t>
  </si>
  <si>
    <t>Vendre maison Remaufens: Trouvez le bien immobilier qui correspond idéalement à vos désirs sur ImmoScout24 - La plateforme de l'immobilier en Suisse.</t>
  </si>
  <si>
    <t>https://www.immoscout24.ch/fr/maison/louer/lieu-chatillens</t>
  </si>
  <si>
    <t>Louer maison Châtillens: Trouvez le bien immobilier qui correspond idéalement à vos désirs sur ImmoScout24 - La plateforme de l'immobilier en Suisse.</t>
  </si>
  <si>
    <t>https://www.immoscout24.ch/fr/maison/acheter/lieu-st-romain-ayent</t>
  </si>
  <si>
    <t>Vendre maison St-Romain (Ayent): Trouvez le bien immobilier qui correspond idéalement à vos désirs sur ImmoScout24 - La plateforme de l'immobilier en Suisse.</t>
  </si>
  <si>
    <t>https://www.immoscout24.ch/fr/appartement/acheter/lieu-eich</t>
  </si>
  <si>
    <t>Vendre appartement Eich: Trouvez le bien immobilier qui correspond idéalement à vos désirs sur ImmoScout24 - La plateforme de l'immobilier en Suisse.</t>
  </si>
  <si>
    <t>https://www.immoscout24.ch/fr/appartement/louer/lieu-anieres</t>
  </si>
  <si>
    <t>Louer appartement Anières: Trouvez le bien immobilier qui correspond idéalement à vos désirs sur ImmoScout24 - La plateforme de l'immobilier en Suisse.</t>
  </si>
  <si>
    <t>https://www.immoscout24.ch/fr/appartement/acheter/lieu-orsieres</t>
  </si>
  <si>
    <t>Vendre appartement Orsières: Trouvez le bien immobilier qui correspond idéalement à vos désirs sur ImmoScout24 - La plateforme de l'immobilier en Suisse.</t>
  </si>
  <si>
    <t>https://www.immoscout24.ch/fr/maison/acheter/lieu-jens</t>
  </si>
  <si>
    <t>Vendre maison Jens: Trouvez le bien immobilier qui correspond idéalement à vos désirs sur ImmoScout24 - La plateforme de l'immobilier en Suisse.</t>
  </si>
  <si>
    <t>https://www.immoscout24.ch/fr/appartement/acheter/lieu-gilly</t>
  </si>
  <si>
    <t>Vendre appartement Gilly: Trouvez le bien immobilier qui correspond idéalement à vos désirs sur ImmoScout24 - La plateforme de l'immobilier en Suisse.</t>
  </si>
  <si>
    <t>https://www.immoscout24.ch/fr/appartement/louer/lieu-mont-tramelan</t>
  </si>
  <si>
    <t>Louer appartement Mont-Tramelan: Trouvez le bien immobilier qui correspond idéalement à vos désirs sur ImmoScout24 - La plateforme de l'immobilier en Suisse.</t>
  </si>
  <si>
    <t>https://www.immoscout24.ch/fr/maison/acheter/lieu-panex</t>
  </si>
  <si>
    <t>Vendre maison Panex: Trouvez le bien immobilier qui correspond idéalement à vos désirs sur ImmoScout24 - La plateforme de l'immobilier en Suisse.</t>
  </si>
  <si>
    <t>https://www.immoscout24.ch/fr/maison/acheter/lieu-epauvillers</t>
  </si>
  <si>
    <t>Vendre maison Epauvillers: Trouvez le bien immobilier qui correspond idéalement à vos désirs sur ImmoScout24 - La plateforme de l'immobilier en Suisse.</t>
  </si>
  <si>
    <t>https://www.immoscout24.ch/fr/maison/acheter/lieu-schaffhausen</t>
  </si>
  <si>
    <t>Vendre maison Schaffhausen: Trouvez le bien immobilier qui correspond idéalement à vos désirs sur ImmoScout24 - La plateforme de l'immobilier en Suisse.</t>
  </si>
  <si>
    <t>https://www.immoscout24.ch/fr/maison/louer/lieu-la-cure</t>
  </si>
  <si>
    <t>Louer maison La Cure: Trouvez le bien immobilier qui correspond idéalement à vos désirs sur ImmoScout24 - La plateforme de l'immobilier en Suisse.</t>
  </si>
  <si>
    <t>https://www.immoscout24.ch/fr/appartement/louer/lieu-andermatt</t>
  </si>
  <si>
    <t>Louer appartement Andermatt: Trouvez le bien immobilier qui correspond idéalement à vos désirs sur ImmoScout24 - La plateforme de l'immobilier en Suisse.</t>
  </si>
  <si>
    <t>https://www.immoscout24.ch/fr/appartement/acheter/lieu-pfaeffikon-sz</t>
  </si>
  <si>
    <t>Vendre appartement Pfäffikon SZ: Trouvez le bien immobilier qui correspond idéalement à vos désirs sur ImmoScout24 - La plateforme de l'immobilier en Suisse.</t>
  </si>
  <si>
    <t>https://www.immoscout24.ch/fr/maison/acheter/lieu-cureglia</t>
  </si>
  <si>
    <t>Vendre maison Cureglia: Trouvez le bien immobilier qui correspond idéalement à vos désirs sur ImmoScout24 - La plateforme de l'immobilier en Suisse.</t>
  </si>
  <si>
    <t>https://www.immoscout24.ch/fr/maison/acheter/lieu-laconnex</t>
  </si>
  <si>
    <t>Vendre maison Laconnex: Trouvez le bien immobilier qui correspond idéalement à vos désirs sur ImmoScout24 - La plateforme de l'immobilier en Suisse.</t>
  </si>
  <si>
    <t>https://www.immoscout24.ch/fr/maison/acheter/lieu-signy</t>
  </si>
  <si>
    <t>Vendre maison Signy: Trouvez le bien immobilier qui correspond idéalement à vos désirs sur ImmoScout24 - La plateforme de l'immobilier en Suisse.</t>
  </si>
  <si>
    <t>https://www.immoscout24.ch/fr/appartement/louer/lieu-rovray</t>
  </si>
  <si>
    <t>Louer appartement Rovray: Trouvez le bien immobilier qui correspond idéalement à vos désirs sur ImmoScout24 - La plateforme de l'immobilier en Suisse.</t>
  </si>
  <si>
    <t>https://www.immoscout24.ch/fr/maison/acheter/lieu-ranzo</t>
  </si>
  <si>
    <t>Vendre maison Ranzo: Trouvez le bien immobilier qui correspond idéalement à vos désirs sur ImmoScout24 - La plateforme de l'immobilier en Suisse.</t>
  </si>
  <si>
    <t>https://www.immoscout24.ch/fr/maison/acheter/lieu-bitsch</t>
  </si>
  <si>
    <t>Vendre maison Bitsch: Trouvez le bien immobilier qui correspond idéalement à vos désirs sur ImmoScout24 - La plateforme de l'immobilier en Suisse.</t>
  </si>
  <si>
    <t>https://www.immoscout24.ch/fr/maison/acheter/lieu-les-geneveys-sur-coffrane</t>
  </si>
  <si>
    <t>Vendre maison Les Geneveys-sur-Coffrane: Trouvez le bien immobilier qui correspond idéalement à vos désirs sur ImmoScout24 - La plateforme de l'immobilier en Suisse.</t>
  </si>
  <si>
    <t>https://www.immoscout24.ch/fr/appartement/louer/lieu-rivaz</t>
  </si>
  <si>
    <t>Louer appartement Rivaz: Trouvez le bien immobilier qui correspond idéalement à vos désirs sur ImmoScout24 - La plateforme de l'immobilier en Suisse.</t>
  </si>
  <si>
    <t>https://www.immoscout24.ch/fr/appartement/louer/lieu-huenibach</t>
  </si>
  <si>
    <t>Louer appartement Hünibach: Trouvez le bien immobilier qui correspond idéalement à vos désirs sur ImmoScout24 - La plateforme de l'immobilier en Suisse.</t>
  </si>
  <si>
    <t>https://www.immoscout24.ch/fr/appartement/acheter/lieu-mies</t>
  </si>
  <si>
    <t>Vendre appartement Mies: Trouvez le bien immobilier qui correspond idéalement à vos désirs sur ImmoScout24 - La plateforme de l'immobilier en Suisse.</t>
  </si>
  <si>
    <t>https://www.immoscout24.ch/fr/maison/acheter/lieu-la-vue-des-alpes</t>
  </si>
  <si>
    <t>Vendre maison La Vue-des-Alpes: Trouvez le bien immobilier qui correspond idéalement à vos désirs sur ImmoScout24 - La plateforme de l'immobilier en Suisse.</t>
  </si>
  <si>
    <t>https://www.immoscout24.ch/fr/maison/acheter/lieu-maules</t>
  </si>
  <si>
    <t>Vendre maison Maules: Trouvez le bien immobilier qui correspond idéalement à vos désirs sur ImmoScout24 - La plateforme de l'immobilier en Suisse.</t>
  </si>
  <si>
    <t>https://www.immoscout24.ch/fr/maison/acheter/lieu-arveyes</t>
  </si>
  <si>
    <t>Vendre maison Arveyes: Trouvez le bien immobilier qui correspond idéalement à vos désirs sur ImmoScout24 - La plateforme de l'immobilier en Suisse.</t>
  </si>
  <si>
    <t>https://www.immoscout24.ch/fr/maison/louer/lieu-monte-carasso</t>
  </si>
  <si>
    <t>Louer maison Monte Carasso: Trouvez le bien immobilier qui correspond idéalement à vos désirs sur ImmoScout24 - La plateforme de l'immobilier en Suisse.</t>
  </si>
  <si>
    <t>https://www.immoscout24.ch/fr/appartement/louer/lieu-langenthal</t>
  </si>
  <si>
    <t>Louer appartement Langenthal: Trouvez le bien immobilier qui correspond idéalement à vos désirs sur ImmoScout24 - La plateforme de l'immobilier en Suisse.</t>
  </si>
  <si>
    <t>https://www.immoscout24.ch/fr/maison/acheter/lieu-carabbia</t>
  </si>
  <si>
    <t>Vendre maison Carabbia: Trouvez le bien immobilier qui correspond idéalement à vos désirs sur ImmoScout24 - La plateforme de l'immobilier en Suisse.</t>
  </si>
  <si>
    <t>https://www.immoscout24.ch/fr/appartement/louer/lieu-penthereaz</t>
  </si>
  <si>
    <t>Louer appartement Penthéréaz: Trouvez le bien immobilier qui correspond idéalement à vos désirs sur ImmoScout24 - La plateforme de l'immobilier en Suisse.</t>
  </si>
  <si>
    <t>https://www.immoscout24.ch/fr/appartement/louer/lieu-eclagnens</t>
  </si>
  <si>
    <t>Louer appartement Eclagnens: Trouvez le bien immobilier qui correspond idéalement à vos désirs sur ImmoScout24 - La plateforme de l'immobilier en Suisse.</t>
  </si>
  <si>
    <t>https://www.immoscout24.ch/fr/maison/acheter/lieu-grandevent</t>
  </si>
  <si>
    <t>Vendre maison Grandevent: Trouvez le bien immobilier qui correspond idéalement à vos désirs sur ImmoScout24 - La plateforme de l'immobilier en Suisse.</t>
  </si>
  <si>
    <t>https://www.immoscout24.ch/fr/maison/acheter/lieu-seelisberg</t>
  </si>
  <si>
    <t>Vendre maison Seelisberg: Trouvez le bien immobilier qui correspond idéalement à vos désirs sur ImmoScout24 - La plateforme de l'immobilier en Suisse.</t>
  </si>
  <si>
    <t>https://www.immoscout24.ch/fr/appartement/louer/lieu-corcelles-sur-chavornay</t>
  </si>
  <si>
    <t>Louer appartement Corcelles-sur-Chavornay: Trouvez le bien immobilier qui correspond idéalement à vos désirs sur ImmoScout24 - La plateforme de l'immobilier en Suisse.</t>
  </si>
  <si>
    <t>https://www.immoscout24.ch/fr/appartement/louer/lieu-savagnier</t>
  </si>
  <si>
    <t>Louer appartement Savagnier: Trouvez le bien immobilier qui correspond idéalement à vos désirs sur ImmoScout24 - La plateforme de l'immobilier en Suisse.</t>
  </si>
  <si>
    <t>https://www.immoscout24.ch/fr/maison/acheter/lieu-dicken</t>
  </si>
  <si>
    <t>Vendre maison Dicken: Trouvez le bien immobilier qui correspond idéalement à vos désirs sur ImmoScout24 - La plateforme de l'immobilier en Suisse.</t>
  </si>
  <si>
    <t>https://www.immoscout24.ch/fr/maison/acheter/lieu-baar-nendaz</t>
  </si>
  <si>
    <t>Vendre maison Baar (Nendaz): Trouvez le bien immobilier qui correspond idéalement à vos désirs sur ImmoScout24 - La plateforme de l'immobilier en Suisse.</t>
  </si>
  <si>
    <t>https://www.immoscout24.ch/fr/appartement/louer/lieu-suhr</t>
  </si>
  <si>
    <t>Louer appartement Suhr: Trouvez le bien immobilier qui correspond idéalement à vos désirs sur ImmoScout24 - La plateforme de l'immobilier en Suisse.</t>
  </si>
  <si>
    <t>https://www.immoscout24.ch/fr/maison/acheter/lieu-le-vaud</t>
  </si>
  <si>
    <t>Vendre maison Le Vaud: Trouvez le bien immobilier qui correspond idéalement à vos désirs sur ImmoScout24 - La plateforme de l'immobilier en Suisse.</t>
  </si>
  <si>
    <t>https://www.immoscout24.ch/fr/maison/louer/lieu-pratteln</t>
  </si>
  <si>
    <t>Louer maison Pratteln: Trouvez le bien immobilier qui correspond idéalement à vos désirs sur ImmoScout24 - La plateforme de l'immobilier en Suisse.</t>
  </si>
  <si>
    <t>https://www.immoscout24.ch/fr/maison/louer/region-toggenburg</t>
  </si>
  <si>
    <t>Louer maison Toggenburg: Trouvez le bien immobilier qui correspond idéalement à vos désirs sur ImmoScout24 - La plateforme de l'immobilier en Suisse.</t>
  </si>
  <si>
    <t>https://www.immoscout24.ch/fr/maison/acheter/lieu-botterens</t>
  </si>
  <si>
    <t>Vendre maison Botterens: Trouvez le bien immobilier qui correspond idéalement à vos désirs sur ImmoScout24 - La plateforme de l'immobilier en Suisse.</t>
  </si>
  <si>
    <t>https://www.immoscout24.ch/fr/appartement/acheter/lieu-brione-sopra-minusio</t>
  </si>
  <si>
    <t>Vendre appartement Brione sopra Minusio: Trouvez le bien immobilier qui correspond idéalement à vos désirs sur ImmoScout24 - La plateforme de l'immobilier en Suisse.</t>
  </si>
  <si>
    <t>https://www.immoscout24.ch/fr/maison/acheter/lieu-gwatt-thun</t>
  </si>
  <si>
    <t>Vendre maison Gwatt (Thun): Trouvez le bien immobilier qui correspond idéalement à vos désirs sur ImmoScout24 - La plateforme de l'immobilier en Suisse.</t>
  </si>
  <si>
    <t>https://www.immoscout24.ch/fr/maison/acheter/lieu-roche-vd</t>
  </si>
  <si>
    <t>Vendre maison Roche VD: Trouvez le bien immobilier qui correspond idéalement à vos désirs sur ImmoScout24 - La plateforme de l'immobilier en Suisse.</t>
  </si>
  <si>
    <t>https://www.immoscout24.ch/fr/appartement/acheter/lieu-schmitten-albula</t>
  </si>
  <si>
    <t>Vendre appartement Schmitten (Albula): Trouvez le bien immobilier qui correspond idéalement à vos désirs sur ImmoScout24 - La plateforme de l'immobilier en Suisse.</t>
  </si>
  <si>
    <t>https://www.immoscout24.ch/fr/maison/acheter/lieu-burgistein</t>
  </si>
  <si>
    <t>Vendre maison Burgistein: Trouvez le bien immobilier qui correspond idéalement à vos désirs sur ImmoScout24 - La plateforme de l'immobilier en Suisse.</t>
  </si>
  <si>
    <t>https://www.immoscout24.ch/fr/appartement/louer/lieu-castrisch</t>
  </si>
  <si>
    <t>Louer appartement Castrisch: Trouvez le bien immobilier qui correspond idéalement à vos désirs sur ImmoScout24 - La plateforme de l'immobilier en Suisse.</t>
  </si>
  <si>
    <t>https://www.immoscout24.ch/fr/maison/acheter/lieu-chailly-montreux</t>
  </si>
  <si>
    <t>Vendre maison Chailly-Montreux: Trouvez le bien immobilier qui correspond idéalement à vos désirs sur ImmoScout24 - La plateforme de l'immobilier en Suisse.</t>
  </si>
  <si>
    <t>https://www.immoscout24.ch/fr/appartement/louer/lieu-montmollin</t>
  </si>
  <si>
    <t>Louer appartement Montmollin: Trouvez le bien immobilier qui correspond idéalement à vos désirs sur ImmoScout24 - La plateforme de l'immobilier en Suisse.</t>
  </si>
  <si>
    <t>https://www.immoscout24.ch/fr/maison/acheter/lieu-wynigen</t>
  </si>
  <si>
    <t>Vendre maison Wynigen: Trouvez le bien immobilier qui correspond idéalement à vos désirs sur ImmoScout24 - La plateforme de l'immobilier en Suisse.</t>
  </si>
  <si>
    <t>https://www.immoscout24.ch/fr/maison/louer/lieu-siviriez</t>
  </si>
  <si>
    <t>Louer maison Siviriez: Trouvez le bien immobilier qui correspond idéalement à vos désirs sur ImmoScout24 - La plateforme de l'immobilier en Suisse.</t>
  </si>
  <si>
    <t>https://www.immoscout24.ch/fr/appartement/louer/lieu-flawil</t>
  </si>
  <si>
    <t>Louer appartement Flawil: Trouvez le bien immobilier qui correspond idéalement à vos désirs sur ImmoScout24 - La plateforme de l'immobilier en Suisse.</t>
  </si>
  <si>
    <t>https://www.immoscout24.ch/fr/appartement/louer/lieu-hendschiken</t>
  </si>
  <si>
    <t>Louer appartement Hendschiken: Trouvez le bien immobilier qui correspond idéalement à vos désirs sur ImmoScout24 - La plateforme de l'immobilier en Suisse.</t>
  </si>
  <si>
    <t>https://www.immoscout24.ch/fr/appartement/louer/lieu-safnern</t>
  </si>
  <si>
    <t>Louer appartement Safnern: Trouvez le bien immobilier qui correspond idéalement à vos désirs sur ImmoScout24 - La plateforme de l'immobilier en Suisse.</t>
  </si>
  <si>
    <t>https://www.immoscout24.ch/fr/maison/louer/lieu-wassen-ur</t>
  </si>
  <si>
    <t>Louer maison Wassen UR: Trouvez le bien immobilier qui correspond idéalement à vos désirs sur ImmoScout24 - La plateforme de l'immobilier en Suisse.</t>
  </si>
  <si>
    <t>https://www.immoscout24.ch/fr/maison/louer/lieu-penthalaz</t>
  </si>
  <si>
    <t>Louer maison Penthalaz: Trouvez le bien immobilier qui correspond idéalement à vos désirs sur ImmoScout24 - La plateforme de l'immobilier en Suisse.</t>
  </si>
  <si>
    <t>https://www.immoscout24.ch/fr/maison/acheter/lieu-bissone</t>
  </si>
  <si>
    <t>Vendre maison Bissone: Trouvez le bien immobilier qui correspond idéalement à vos désirs sur ImmoScout24 - La plateforme de l'immobilier en Suisse.</t>
  </si>
  <si>
    <t>https://www.immoscout24.ch/fr/maison/acheter/lieu-les-genevez-ju</t>
  </si>
  <si>
    <t>Vendre maison Les Genevez JU: Trouvez le bien immobilier qui correspond idéalement à vos désirs sur ImmoScout24 - La plateforme de l'immobilier en Suisse.</t>
  </si>
  <si>
    <t>https://www.immoscout24.ch/fr/maison/acheter/lieu-meinisberg</t>
  </si>
  <si>
    <t>Vendre maison Meinisberg: Trouvez le bien immobilier qui correspond idéalement à vos désirs sur ImmoScout24 - La plateforme de l'immobilier en Suisse.</t>
  </si>
  <si>
    <t>https://www.immoscout24.ch/fr/maison/louer/lieu-frasses</t>
  </si>
  <si>
    <t>Louer maison Frasses: Trouvez le bien immobilier qui correspond idéalement à vos désirs sur ImmoScout24 - La plateforme de l'immobilier en Suisse.</t>
  </si>
  <si>
    <t>https://www.immoscout24.ch/fr/maison/acheter/lieu-fresens</t>
  </si>
  <si>
    <t>Vendre maison Fresens: Trouvez le bien immobilier qui correspond idéalement à vos désirs sur ImmoScout24 - La plateforme de l'immobilier en Suisse.</t>
  </si>
  <si>
    <t>https://www.immoscout24.ch/fr/maison/acheter/lieu-montana</t>
  </si>
  <si>
    <t>Vendre maison Montana: Trouvez le bien immobilier qui correspond idéalement à vos désirs sur ImmoScout24 - La plateforme de l'immobilier en Suisse.</t>
  </si>
  <si>
    <t>https://www.immoscout24.ch/fr/maison/louer/lieu-blatten-b-naters</t>
  </si>
  <si>
    <t>Louer maison Blatten b. Naters: Trouvez le bien immobilier qui correspond idéalement à vos désirs sur ImmoScout24 - La plateforme de l'immobilier en Suisse.</t>
  </si>
  <si>
    <t>https://www.immoscout24.ch/fr/appartement/louer/pays-allemagne</t>
  </si>
  <si>
    <t>Louer appartement Allemagne: Trouvez le bien immobilier qui correspond idéalement à vos désirs sur ImmoScout24 - La plateforme de l'immobilier en Suisse.</t>
  </si>
  <si>
    <t>https://www.immoscout24.ch/fr/maison/acheter/lieu-chavannes-de-bogis</t>
  </si>
  <si>
    <t>Vendre maison Chavannes-de-Bogis: Trouvez le bien immobilier qui correspond idéalement à vos désirs sur ImmoScout24 - La plateforme de l'immobilier en Suisse.</t>
  </si>
  <si>
    <t>https://www.immoscout24.ch/fr/maison/acheter/lieu-st-triphon</t>
  </si>
  <si>
    <t>Vendre maison St-Triphon: Trouvez le bien immobilier qui correspond idéalement à vos désirs sur ImmoScout24 - La plateforme de l'immobilier en Suisse.</t>
  </si>
  <si>
    <t>https://www.immoscout24.ch/fr/appartement/acheter/lieu-st-blaise</t>
  </si>
  <si>
    <t>Vendre appartement St-Blaise: Trouvez le bien immobilier qui correspond idéalement à vos désirs sur ImmoScout24 - La plateforme de l'immobilier en Suisse.</t>
  </si>
  <si>
    <t>https://www.immoscout24.ch/fr/appartement/louer/lieu-st-sulpice-ne</t>
  </si>
  <si>
    <t>Louer appartement St-Sulpice NE: Trouvez le bien immobilier qui correspond idéalement à vos désirs sur ImmoScout24 - La plateforme de l'immobilier en Suisse.</t>
  </si>
  <si>
    <t>https://www.immoscout24.ch/fr/appartement/acheter/lieu-etagnieres</t>
  </si>
  <si>
    <t>Vendre appartement Etagnières: Trouvez le bien immobilier qui correspond idéalement à vos désirs sur ImmoScout24 - La plateforme de l'immobilier en Suisse.</t>
  </si>
  <si>
    <t>https://www.immoscout24.ch/fr/maison/acheter/lieu-courtemaiche</t>
  </si>
  <si>
    <t>Vendre maison Courtemaîche: Trouvez le bien immobilier qui correspond idéalement à vos désirs sur ImmoScout24 - La plateforme de l'immobilier en Suisse.</t>
  </si>
  <si>
    <t>https://www.immoscout24.ch/fr/maison/louer/lieu-vesenaz</t>
  </si>
  <si>
    <t>Louer maison Vésenaz: Trouvez le bien immobilier qui correspond idéalement à vos désirs sur ImmoScout24 - La plateforme de l'immobilier en Suisse.</t>
  </si>
  <si>
    <t>https://www.immoscout24.ch/fr/maison/louer/lieu-oberegg</t>
  </si>
  <si>
    <t>Louer maison Oberegg: Trouvez le bien immobilier qui correspond idéalement à vos désirs sur ImmoScout24 - La plateforme de l'immobilier en Suisse.</t>
  </si>
  <si>
    <t>https://www.immoscout24.ch/fr/maison/acheter/lieu-buetzberg</t>
  </si>
  <si>
    <t>Vendre maison Bützberg: Trouvez le bien immobilier qui correspond idéalement à vos désirs sur ImmoScout24 - La plateforme de l'immobilier en Suisse.</t>
  </si>
  <si>
    <t>https://www.immoscout24.ch/fr/appartement/louer/lieu-aven</t>
  </si>
  <si>
    <t>Louer appartement Aven: Trouvez le bien immobilier qui correspond idéalement à vos désirs sur ImmoScout24 - La plateforme de l'immobilier en Suisse.</t>
  </si>
  <si>
    <t>https://www.immoscout24.ch/fr/maison/acheter/quartier-chaumont-neuchatel</t>
  </si>
  <si>
    <t>Vendre maison Chaumont (Neuchâtel): Trouvez le bien immobilier qui correspond idéalement à vos désirs sur ImmoScout24 - La plateforme de l'immobilier en Suisse.</t>
  </si>
  <si>
    <t>https://www.immoscout24.ch/fr/maison/acheter/lieu-boniswil</t>
  </si>
  <si>
    <t>Vendre maison Boniswil: Trouvez le bien immobilier qui correspond idéalement à vos désirs sur ImmoScout24 - La plateforme de l'immobilier en Suisse.</t>
  </si>
  <si>
    <t>https://www.immoscout24.ch/fr/maison/acheter/lieu-cresciano</t>
  </si>
  <si>
    <t>Vendre maison Cresciano: Trouvez le bien immobilier qui correspond idéalement à vos désirs sur ImmoScout24 - La plateforme de l'immobilier en Suisse.</t>
  </si>
  <si>
    <t>https://www.immoscout24.ch/fr/maison/acheter/lieu-rapperswil-be</t>
  </si>
  <si>
    <t>Vendre maison Rapperswil BE: Trouvez le bien immobilier qui correspond idéalement à vos désirs sur ImmoScout24 - La plateforme de l'immobilier en Suisse.</t>
  </si>
  <si>
    <t>https://www.immoscout24.ch/fr/maison/acheter/lieu-st-antoni</t>
  </si>
  <si>
    <t>Vendre maison St. Antoni: Trouvez le bien immobilier qui correspond idéalement à vos désirs sur ImmoScout24 - La plateforme de l'immobilier en Suisse.</t>
  </si>
  <si>
    <t>https://www.immoscout24.ch/fr/appartement/acheter/quartier-affoltern-zurich</t>
  </si>
  <si>
    <t>Vendre appartement Affoltern (Zurich): Trouvez le bien immobilier qui correspond idéalement à vos désirs sur ImmoScout24 - La plateforme de l'immobilier en Suisse.</t>
  </si>
  <si>
    <t>https://www.immoscout24.ch/fr/maison/acheter/lieu-corban</t>
  </si>
  <si>
    <t>Vendre maison Corban: Trouvez le bien immobilier qui correspond idéalement à vos désirs sur ImmoScout24 - La plateforme de l'immobilier en Suisse.</t>
  </si>
  <si>
    <t>https://www.immoscout24.ch/fr/maison/louer/lieu-cordast</t>
  </si>
  <si>
    <t>Louer maison Cordast: Trouvez le bien immobilier qui correspond idéalement à vos désirs sur ImmoScout24 - La plateforme de l'immobilier en Suisse.</t>
  </si>
  <si>
    <t>https://www.immoscout24.ch/fr/maison/acheter/lieu-fretereules</t>
  </si>
  <si>
    <t>Vendre maison Fretereules: Trouvez le bien immobilier qui correspond idéalement à vos désirs sur ImmoScout24 - La plateforme de l'immobilier en Suisse.</t>
  </si>
  <si>
    <t>https://www.immoscout24.ch/fr/maison/louer/lieu-sirnach</t>
  </si>
  <si>
    <t>Louer maison Sirnach: Trouvez le bien immobilier qui correspond idéalement à vos désirs sur ImmoScout24 - La plateforme de l'immobilier en Suisse.</t>
  </si>
  <si>
    <t>https://www.immoscout24.ch/fr/appartement/louer/lieu-la-magne</t>
  </si>
  <si>
    <t>Louer appartement La Magne: Trouvez le bien immobilier qui correspond idéalement à vos désirs sur ImmoScout24 - La plateforme de l'immobilier en Suisse.</t>
  </si>
  <si>
    <t>https://www.immoscout24.ch/fr/appartement/louer/lieu-motier-vully</t>
  </si>
  <si>
    <t>Louer appartement Môtier (Vully): Trouvez le bien immobilier qui correspond idéalement à vos désirs sur ImmoScout24 - La plateforme de l'immobilier en Suisse.</t>
  </si>
  <si>
    <t>https://www.immoscout24.ch/fr/appartement/louer/lieu-oberwil-bl</t>
  </si>
  <si>
    <t>Louer appartement Oberwil BL: Trouvez le bien immobilier qui correspond idéalement à vos désirs sur ImmoScout24 - La plateforme de l'immobilier en Suisse.</t>
  </si>
  <si>
    <t>https://www.immoscout24.ch/fr/maison/louer/lieu-conthey</t>
  </si>
  <si>
    <t>Louer maison Conthey: Trouvez le bien immobilier qui correspond idéalement à vos désirs sur ImmoScout24 - La plateforme de l'immobilier en Suisse.</t>
  </si>
  <si>
    <t>https://www.immoscout24.ch/fr/appartement/louer/lieu-susten</t>
  </si>
  <si>
    <t>Louer appartement Susten: Trouvez le bien immobilier qui correspond idéalement à vos désirs sur ImmoScout24 - La plateforme de l'immobilier en Suisse.</t>
  </si>
  <si>
    <t>https://www.immoscout24.ch/fr/appartement/acheter/lieu-sessa</t>
  </si>
  <si>
    <t>Vendre appartement Sessa: Trouvez le bien immobilier qui correspond idéalement à vos désirs sur ImmoScout24 - La plateforme de l'immobilier en Suisse.</t>
  </si>
  <si>
    <t>https://www.immoscout24.ch/fr/appartement/louer/quartier-clara-bale</t>
  </si>
  <si>
    <t>Louer appartement Clara (Bâle): Trouvez le bien immobilier qui correspond idéalement à vos désirs sur ImmoScout24 - La plateforme de l'immobilier en Suisse.</t>
  </si>
  <si>
    <t>https://www.immoscout24.ch/fr/maison/acheter/lieu-semsales</t>
  </si>
  <si>
    <t>Vendre maison Semsales: Trouvez le bien immobilier qui correspond idéalement à vos désirs sur ImmoScout24 - La plateforme de l'immobilier en Suisse.</t>
  </si>
  <si>
    <t>https://www.immoscout24.ch/fr/maison/louer/lieu-cointrin</t>
  </si>
  <si>
    <t>Louer maison Cointrin: Trouvez le bien immobilier qui correspond idéalement à vos désirs sur ImmoScout24 - La plateforme de l'immobilier en Suisse.</t>
  </si>
  <si>
    <t>https://www.immoscout24.ch/fr/appartement/louer/lieu-prilly</t>
  </si>
  <si>
    <t>Louer appartement Prilly: Trouvez le bien immobilier qui correspond idéalement à vos désirs sur ImmoScout24 - La plateforme de l'immobilier en Suisse.</t>
  </si>
  <si>
    <t>https://www.immoscout24.ch/fr/appartement/acheter/lieu-horgen</t>
  </si>
  <si>
    <t>Vendre appartement Horgen: Trouvez le bien immobilier qui correspond idéalement à vos désirs sur ImmoScout24 - La plateforme de l'immobilier en Suisse.</t>
  </si>
  <si>
    <t>https://www.immoscout24.ch/fr/maison/acheter/region-oberengadin-puschlav-bergell</t>
  </si>
  <si>
    <t>Vendre maison Oberengadin - Puschlav - Bergell: Trouvez le bien immobilier qui correspond idéalement à vos désirs sur ImmoScout24 - La plateforme de l'immobilier en Suisse.</t>
  </si>
  <si>
    <t>https://www.immoscout24.ch/fr/maison/louer/lieu-belmont-sur-lausanne</t>
  </si>
  <si>
    <t>Louer maison Belmont-sur-Lausanne: Trouvez le bien immobilier qui correspond idéalement à vos désirs sur ImmoScout24 - La plateforme de l'immobilier en Suisse.</t>
  </si>
  <si>
    <t>https://www.immoscout24.ch/fr/maison/acheter/pays-pologne</t>
  </si>
  <si>
    <t>Vendre maison Pologne: Trouvez le bien immobilier qui correspond idéalement à vos désirs sur ImmoScout24 - La plateforme de l'immobilier en Suisse.</t>
  </si>
  <si>
    <t>https://www.immoscout24.ch/fr/appartement/louer/lieu-villariaz</t>
  </si>
  <si>
    <t>Louer appartement Villariaz: Trouvez le bien immobilier qui correspond idéalement à vos désirs sur ImmoScout24 - La plateforme de l'immobilier en Suisse.</t>
  </si>
  <si>
    <t>https://www.immoscout24.ch/fr/maison/louer/lieu-haegglingen</t>
  </si>
  <si>
    <t>Louer maison Hägglingen: Trouvez le bien immobilier qui correspond idéalement à vos désirs sur ImmoScout24 - La plateforme de l'immobilier en Suisse.</t>
  </si>
  <si>
    <t>https://www.immoscout24.ch/fr/maison/acheter/lieu-richterswil</t>
  </si>
  <si>
    <t>Vendre maison Richterswil: Trouvez le bien immobilier qui correspond idéalement à vos désirs sur ImmoScout24 - La plateforme de l'immobilier en Suisse.</t>
  </si>
  <si>
    <t>https://www.immoscout24.ch/fr/maison/acheter/lieu-bad-ragaz</t>
  </si>
  <si>
    <t>Vendre maison Bad Ragaz: Trouvez le bien immobilier qui correspond idéalement à vos désirs sur ImmoScout24 - La plateforme de l'immobilier en Suisse.</t>
  </si>
  <si>
    <t>https://www.immoscout24.ch/fr/maison/acheter/lieu-ausserberg</t>
  </si>
  <si>
    <t>Vendre maison Ausserberg: Trouvez le bien immobilier qui correspond idéalement à vos désirs sur ImmoScout24 - La plateforme de l'immobilier en Suisse.</t>
  </si>
  <si>
    <t>https://www.immoscout24.ch/fr/maison/acheter/lieu-cries-volleges</t>
  </si>
  <si>
    <t>Vendre maison Cries (Vollèges): Trouvez le bien immobilier qui correspond idéalement à vos désirs sur ImmoScout24 - La plateforme de l'immobilier en Suisse.</t>
  </si>
  <si>
    <t>https://www.immoscout24.ch/fr/maison/acheter/quartier-beauregard-fribourg</t>
  </si>
  <si>
    <t>Vendre maison Beauregard (Fribourg): Trouvez le bien immobilier qui correspond idéalement à vos désirs sur ImmoScout24 - La plateforme de l'immobilier en Suisse.</t>
  </si>
  <si>
    <t>https://www.immoscout24.ch/fr/appartement/louer/region-unterengadin-val-mustair</t>
  </si>
  <si>
    <t>Louer appartement Unterengadin - Val Mustair: Trouvez le bien immobilier qui correspond idéalement à vos désirs sur ImmoScout24 - La plateforme de l'immobilier en Suisse.</t>
  </si>
  <si>
    <t>https://www.immoscout24.ch/fr/appartement/louer/lieu-montbovon</t>
  </si>
  <si>
    <t>Louer appartement Montbovon: Trouvez le bien immobilier qui correspond idéalement à vos désirs sur ImmoScout24 - La plateforme de l'immobilier en Suisse.</t>
  </si>
  <si>
    <t>https://www.immoscout24.ch/fr/appartement/louer/lieu-zollikerberg</t>
  </si>
  <si>
    <t>Louer appartement Zollikerberg: Trouvez le bien immobilier qui correspond idéalement à vos désirs sur ImmoScout24 - La plateforme de l'immobilier en Suisse.</t>
  </si>
  <si>
    <t>https://www.immoscout24.ch/fr/appartement/acheter/lieu-ins</t>
  </si>
  <si>
    <t>Vendre appartement Ins: Trouvez le bien immobilier qui correspond idéalement à vos désirs sur ImmoScout24 - La plateforme de l'immobilier en Suisse.</t>
  </si>
  <si>
    <t>https://www.immoscout24.ch/fr/maison/acheter/lieu-kyburg-buchegg</t>
  </si>
  <si>
    <t>Vendre maison Kyburg-Buchegg: Trouvez le bien immobilier qui correspond idéalement à vos désirs sur ImmoScout24 - La plateforme de l'immobilier en Suisse.</t>
  </si>
  <si>
    <t>https://www.immoscout24.ch/fr/maison/acheter/lieu-vuisternens-en-ogoz</t>
  </si>
  <si>
    <t>Vendre maison Vuisternens-en-Ogoz: Trouvez le bien immobilier qui correspond idéalement à vos désirs sur ImmoScout24 - La plateforme de l'immobilier en Suisse.</t>
  </si>
  <si>
    <t>https://www.immoscout24.ch/fr/appartement/louer/lieu-hauteville</t>
  </si>
  <si>
    <t>Louer appartement Hauteville: Trouvez le bien immobilier qui correspond idéalement à vos désirs sur ImmoScout24 - La plateforme de l'immobilier en Suisse.</t>
  </si>
  <si>
    <t>https://www.immoscout24.ch/fr/appartement/acheter/lieu-vuisternens-en-ogoz</t>
  </si>
  <si>
    <t>Vendre appartement Vuisternens-en-Ogoz: Trouvez le bien immobilier qui correspond idéalement à vos désirs sur ImmoScout24 - La plateforme de l'immobilier en Suisse.</t>
  </si>
  <si>
    <t>https://www.immoscout24.ch/fr/appartement/louer/lieu-chavannes-les-forts</t>
  </si>
  <si>
    <t>Louer appartement Chavannes-les-Forts: Trouvez le bien immobilier qui correspond idéalement à vos désirs sur ImmoScout24 - La plateforme de l'immobilier en Suisse.</t>
  </si>
  <si>
    <t>https://www.immoscout24.ch/fr/maison/louer/region-rive-gauche</t>
  </si>
  <si>
    <t>Louer maison Rive Gauche: Trouvez le bien immobilier qui correspond idéalement à vos désirs sur ImmoScout24 - La plateforme de l'immobilier en Suisse.</t>
  </si>
  <si>
    <t>https://www.immoscout24.ch/fr/appartement/louer/lieu-juriens</t>
  </si>
  <si>
    <t>Louer appartement Juriens: Trouvez le bien immobilier qui correspond idéalement à vos désirs sur ImmoScout24 - La plateforme de l'immobilier en Suisse.</t>
  </si>
  <si>
    <t>https://www.immoscout24.ch/fr/maison/acheter/lieu-villarepos</t>
  </si>
  <si>
    <t>Vendre maison Villarepos: Trouvez le bien immobilier qui correspond idéalement à vos désirs sur ImmoScout24 - La plateforme de l'immobilier en Suisse.</t>
  </si>
  <si>
    <t>https://www.immoscout24.ch/fr/maison/acheter/lieu-jussy</t>
  </si>
  <si>
    <t>Vendre maison Jussy: Trouvez le bien immobilier qui correspond idéalement à vos désirs sur ImmoScout24 - La plateforme de l'immobilier en Suisse.</t>
  </si>
  <si>
    <t>https://www.immoscout24.ch/fr/appartement/louer/canton-neuchatel</t>
  </si>
  <si>
    <t>Louer appartement Canton de Neuchâtel: Trouvez le bien immobilier qui correspond idéalement à vos désirs sur ImmoScout24 - La plateforme de l'immobilier en Suisse.</t>
  </si>
  <si>
    <t>https://www.immoscout24.ch/fr/maison/louer/lieu-birmensdorf-zh</t>
  </si>
  <si>
    <t>Louer maison Birmensdorf ZH: Trouvez le bien immobilier qui correspond idéalement à vos désirs sur ImmoScout24 - La plateforme de l'immobilier en Suisse.</t>
  </si>
  <si>
    <t>https://www.immoscout24.ch/fr/appartement/louer/lieu-fortunau-ayent</t>
  </si>
  <si>
    <t>Louer appartement Fortunau (Ayent): Trouvez le bien immobilier qui correspond idéalement à vos désirs sur ImmoScout24 - La plateforme de l'immobilier en Suisse.</t>
  </si>
  <si>
    <t>https://www.immoscout24.ch/fr/maison/louer/lieu-ovronnaz</t>
  </si>
  <si>
    <t>Louer maison Ovronnaz: Trouvez le bien immobilier qui correspond idéalement à vos désirs sur ImmoScout24 - La plateforme de l'immobilier en Suisse.</t>
  </si>
  <si>
    <t>https://www.immoscout24.ch/fr/maison/louer/lieu-grand-lancy</t>
  </si>
  <si>
    <t>Louer maison Grand-Lancy: Trouvez le bien immobilier qui correspond idéalement à vos désirs sur ImmoScout24 - La plateforme de l'immobilier en Suisse.</t>
  </si>
  <si>
    <t>https://www.immoscout24.ch/fr/maison/acheter/region-geneve-ville</t>
  </si>
  <si>
    <t>Vendre maison Genève-ville: Trouvez le bien immobilier qui correspond idéalement à vos désirs sur ImmoScout24 - La plateforme de l'immobilier en Suisse.</t>
  </si>
  <si>
    <t>https://www.immoscout24.ch/fr/appartement/louer/quartier-vieille-ville-biel-bienne</t>
  </si>
  <si>
    <t>Louer appartement Vieille ville (Biel/Bienne): Trouvez le bien immobilier qui correspond idéalement à vos désirs sur ImmoScout24 - La plateforme de l'immobilier en Suisse.</t>
  </si>
  <si>
    <t>https://www.immoscout24.ch/fr/appartement/louer/lieu-tartegnin</t>
  </si>
  <si>
    <t>Louer appartement Tartegnin: Trouvez le bien immobilier qui correspond idéalement à vos désirs sur ImmoScout24 - La plateforme de l'immobilier en Suisse.</t>
  </si>
  <si>
    <t>https://www.immoscout24.ch/fr/maison/acheter/lieu-pampigny</t>
  </si>
  <si>
    <t>Vendre maison Pampigny: Trouvez le bien immobilier qui correspond idéalement à vos désirs sur ImmoScout24 - La plateforme de l'immobilier en Suisse.</t>
  </si>
  <si>
    <t>https://www.immoscout24.ch/fr/maison/acheter/lieu-villariaz</t>
  </si>
  <si>
    <t>Vendre maison Villariaz: Trouvez le bien immobilier qui correspond idéalement à vos désirs sur ImmoScout24 - La plateforme de l'immobilier en Suisse.</t>
  </si>
  <si>
    <t>https://www.immoscout24.ch/fr/maison/louer/lieu-leuzigen</t>
  </si>
  <si>
    <t>Louer maison Leuzigen: Trouvez le bien immobilier qui correspond idéalement à vos désirs sur ImmoScout24 - La plateforme de l'immobilier en Suisse.</t>
  </si>
  <si>
    <t>https://www.immoscout24.ch/fr/appartement/acheter/lieu-muraz-sierre</t>
  </si>
  <si>
    <t>Vendre appartement Muraz (Sierre): Trouvez le bien immobilier qui correspond idéalement à vos désirs sur ImmoScout24 - La plateforme de l'immobilier en Suisse.</t>
  </si>
  <si>
    <t>https://www.immoscout24.ch/fr/appartement/louer/lieu-bournens</t>
  </si>
  <si>
    <t>Louer appartement Bournens: Trouvez le bien immobilier qui correspond idéalement à vos désirs sur ImmoScout24 - La plateforme de l'immobilier en Suisse.</t>
  </si>
  <si>
    <t>https://www.immoscout24.ch/fr/maison/louer/lieu-lucens</t>
  </si>
  <si>
    <t>Louer maison Lucens: Trouvez le bien immobilier qui correspond idéalement à vos désirs sur ImmoScout24 - La plateforme de l'immobilier en Suisse.</t>
  </si>
  <si>
    <t>https://www.immoscout24.ch/fr/appartement/louer/lieu-silvaplana-surlej</t>
  </si>
  <si>
    <t>Louer appartement Silvaplana-Surlej: Trouvez le bien immobilier qui correspond idéalement à vos désirs sur ImmoScout24 - La plateforme de l'immobilier en Suisse.</t>
  </si>
  <si>
    <t>https://www.immoscout24.ch/fr/maison/acheter/lieu-chernex</t>
  </si>
  <si>
    <t>Vendre maison Chernex: Trouvez le bien immobilier qui correspond idéalement à vos désirs sur ImmoScout24 - La plateforme de l'immobilier en Suisse.</t>
  </si>
  <si>
    <t>https://www.immoscout24.ch/fr/maison/acheter/lieu-nunningen</t>
  </si>
  <si>
    <t>Vendre maison Nunningen: Trouvez le bien immobilier qui correspond idéalement à vos désirs sur ImmoScout24 - La plateforme de l'immobilier en Suisse.</t>
  </si>
  <si>
    <t>https://www.immoscout24.ch/fr/maison/acheter/lieu-moutier</t>
  </si>
  <si>
    <t>Vendre maison Moutier: Trouvez le bien immobilier qui correspond idéalement à vos désirs sur ImmoScout24 - La plateforme de l'immobilier en Suisse.</t>
  </si>
  <si>
    <t>https://www.immoscout24.ch/fr/appartement/louer/lieu-roche-vd</t>
  </si>
  <si>
    <t>Louer appartement Roche VD: Trouvez le bien immobilier qui correspond idéalement à vos désirs sur ImmoScout24 - La plateforme de l'immobilier en Suisse.</t>
  </si>
  <si>
    <t>https://www.immoscout24.ch/fr/appartement/louer/lieu-nyon</t>
  </si>
  <si>
    <t>Louer appartement Nyon: Trouvez le bien immobilier qui correspond idéalement à vos désirs sur ImmoScout24 - La plateforme de l'immobilier en Suisse.</t>
  </si>
  <si>
    <t>https://www.immoscout24.ch/fr/appartement/acheter/lieu-st-luc</t>
  </si>
  <si>
    <t>Vendre appartement St-Luc: Trouvez le bien immobilier qui correspond idéalement à vos désirs sur ImmoScout24 - La plateforme de l'immobilier en Suisse.</t>
  </si>
  <si>
    <t>https://www.immoscout24.ch/fr/maison/louer/lieu-mur-vully-fr</t>
  </si>
  <si>
    <t>Louer maison Mur (Vully) FR: Trouvez le bien immobilier qui correspond idéalement à vos désirs sur ImmoScout24 - La plateforme de l'immobilier en Suisse.</t>
  </si>
  <si>
    <t>https://www.immoscout24.ch/fr/appartement/louer/lieu-lamone</t>
  </si>
  <si>
    <t>Louer appartement Lamone: Trouvez le bien immobilier qui correspond idéalement à vos désirs sur ImmoScout24 - La plateforme de l'immobilier en Suisse.</t>
  </si>
  <si>
    <t>https://www.immoscout24.ch/fr/appartement/acheter/lieu-porsel</t>
  </si>
  <si>
    <t>Vendre appartement Porsel: Trouvez le bien immobilier qui correspond idéalement à vos désirs sur ImmoScout24 - La plateforme de l'immobilier en Suisse.</t>
  </si>
  <si>
    <t>https://www.immoscout24.ch/fr/appartement/acheter/lieu-chene-bourg</t>
  </si>
  <si>
    <t>Vendre appartement Chêne-Bourg: Trouvez le bien immobilier qui correspond idéalement à vos désirs sur ImmoScout24 - La plateforme de l'immobilier en Suisse.</t>
  </si>
  <si>
    <t>https://www.immoscout24.ch/fr/appartement/louer/quartier-barbengo-lugano</t>
  </si>
  <si>
    <t>Louer appartement Barbengo (Lugano): Trouvez le bien immobilier qui correspond idéalement à vos désirs sur ImmoScout24 - La plateforme de l'immobilier en Suisse.</t>
  </si>
  <si>
    <t>https://www.immoscout24.ch/fr/maison/acheter/quartier-sallaz-vennes-sechaud-lausanne</t>
  </si>
  <si>
    <t>Vendre maison Sallaz - Vennes - Séchaud (Lausanne): Trouvez le bien immobilier qui correspond idéalement à vos désirs sur ImmoScout24 - La plateforme de l'immobilier en Suisse.</t>
  </si>
  <si>
    <t>https://www.immoscout24.ch/fr/maison/louer/region-haut-valais</t>
  </si>
  <si>
    <t>Louer maison Haut-Valais: Trouvez le bien immobilier qui correspond idéalement à vos désirs sur ImmoScout24 - La plateforme de l'immobilier en Suisse.</t>
  </si>
  <si>
    <t>https://www.immoscout24.ch/fr/maison/acheter/lieu-montbovon</t>
  </si>
  <si>
    <t>Vendre maison Montbovon: Trouvez le bien immobilier qui correspond idéalement à vos désirs sur ImmoScout24 - La plateforme de l'immobilier en Suisse.</t>
  </si>
  <si>
    <t>https://www.immoscout24.ch/fr/appartement/acheter/pays-thailand</t>
  </si>
  <si>
    <t>Vendre appartement Thaïland: Trouvez le bien immobilier qui correspond idéalement à vos désirs sur ImmoScout24 - La plateforme de l'immobilier en Suisse.</t>
  </si>
  <si>
    <t>https://www.immoscout24.ch/fr/maison/acheter/lieu-niva-vallemaggia</t>
  </si>
  <si>
    <t>Vendre maison Niva (Vallemaggia): Trouvez le bien immobilier qui correspond idéalement à vos désirs sur ImmoScout24 - La plateforme de l'immobilier en Suisse.</t>
  </si>
  <si>
    <t>https://www.immoscout24.ch/fr/appartement/louer/lieu-leysin</t>
  </si>
  <si>
    <t>Louer appartement Leysin: Trouvez le bien immobilier qui correspond idéalement à vos désirs sur ImmoScout24 - La plateforme de l'immobilier en Suisse.</t>
  </si>
  <si>
    <t>https://www.immoscout24.ch/fr/appartement/acheter/lieu-la-chaux-de-fonds</t>
  </si>
  <si>
    <t>Vendre appartement La Chaux-de-Fonds: Trouvez le bien immobilier qui correspond idéalement à vos désirs sur ImmoScout24 - La plateforme de l'immobilier en Suisse.</t>
  </si>
  <si>
    <t>https://www.immoscout24.ch/fr/appartement/louer/region-lavaux-vevey</t>
  </si>
  <si>
    <t>Louer appartement Lavaux - Vevey: Trouvez le bien immobilier qui correspond idéalement à vos désirs sur ImmoScout24 - La plateforme de l'immobilier en Suisse.</t>
  </si>
  <si>
    <t>https://www.immoscout24.ch/fr/maison/acheter/lieu-niederwangen-b-bern</t>
  </si>
  <si>
    <t>Vendre maison Niederwangen b. Bern: Trouvez le bien immobilier qui correspond idéalement à vos désirs sur ImmoScout24 - La plateforme de l'immobilier en Suisse.</t>
  </si>
  <si>
    <t>https://www.immoscout24.ch/fr/appartement/louer/canton-tessin</t>
  </si>
  <si>
    <t>Louer appartement Canton du Tessin: Trouvez le bien immobilier qui correspond idéalement à vos désirs sur ImmoScout24 - La plateforme de l'immobilier en Suisse.</t>
  </si>
  <si>
    <t>https://www.immoscout24.ch/fr/appartement/acheter/lieu-sarnen</t>
  </si>
  <si>
    <t>Vendre appartement Sarnen: Trouvez le bien immobilier qui correspond idéalement à vos désirs sur ImmoScout24 - La plateforme de l'immobilier en Suisse.</t>
  </si>
  <si>
    <t>https://www.immoscout24.ch/fr/appartement/acheter/lieu-prangins</t>
  </si>
  <si>
    <t>Vendre appartement Prangins: Trouvez le bien immobilier qui correspond idéalement à vos désirs sur ImmoScout24 - La plateforme de l'immobilier en Suisse.</t>
  </si>
  <si>
    <t>https://www.immoscout24.ch/fr/appartement/louer/lieu-vaz-obervaz</t>
  </si>
  <si>
    <t>Louer appartement Vaz/Obervaz: Trouvez le bien immobilier qui correspond idéalement à vos désirs sur ImmoScout24 - La plateforme de l'immobilier en Suisse.</t>
  </si>
  <si>
    <t>https://www.immoscout24.ch/fr/appartement/acheter/lieu-le-pont</t>
  </si>
  <si>
    <t>Vendre appartement Le Pont: Trouvez le bien immobilier qui correspond idéalement à vos désirs sur ImmoScout24 - La plateforme de l'immobilier en Suisse.</t>
  </si>
  <si>
    <t>https://www.immoscout24.ch/fr/maison/acheter/lieu-gunzwil</t>
  </si>
  <si>
    <t>Vendre maison Gunzwil: Trouvez le bien immobilier qui correspond idéalement à vos désirs sur ImmoScout24 - La plateforme de l'immobilier en Suisse.</t>
  </si>
  <si>
    <t>https://www.immoscout24.ch/fr/maison/acheter/lieu-st-severin</t>
  </si>
  <si>
    <t>Vendre maison St-Séverin: Trouvez le bien immobilier qui correspond idéalement à vos désirs sur ImmoScout24 - La plateforme de l'immobilier en Suisse.</t>
  </si>
  <si>
    <t>https://www.immoscout24.ch/fr/appartement/louer/lieu-forel-fr</t>
  </si>
  <si>
    <t>Louer appartement Forel FR: Trouvez le bien immobilier qui correspond idéalement à vos désirs sur ImmoScout24 - La plateforme de l'immobilier en Suisse.</t>
  </si>
  <si>
    <t>https://www.immoscout24.ch/fr/maison/acheter/lieu-noville</t>
  </si>
  <si>
    <t>Vendre maison Noville: Trouvez le bien immobilier qui correspond idéalement à vos désirs sur ImmoScout24 - La plateforme de l'immobilier en Suisse.</t>
  </si>
  <si>
    <t>https://www.immoscout24.ch/fr/appartement/louer/lieu-altdorf-ur</t>
  </si>
  <si>
    <t>Louer appartement Altdorf UR: Trouvez le bien immobilier qui correspond idéalement à vos désirs sur ImmoScout24 - La plateforme de l'immobilier en Suisse.</t>
  </si>
  <si>
    <t>https://www.immoscout24.ch/fr/maison/acheter/lieu-la-chaux-des-breuleux</t>
  </si>
  <si>
    <t>Vendre maison La Chaux-des-Breuleux: Trouvez le bien immobilier qui correspond idéalement à vos désirs sur ImmoScout24 - La plateforme de l'immobilier en Suisse.</t>
  </si>
  <si>
    <t>https://www.immoscout24.ch/fr/maison/acheter/lieu-les-enfers</t>
  </si>
  <si>
    <t>Vendre maison Les Enfers: Trouvez le bien immobilier qui correspond idéalement à vos désirs sur ImmoScout24 - La plateforme de l'immobilier en Suisse.</t>
  </si>
  <si>
    <t>https://www.immoscout24.ch/fr/appartement/louer/lieu-roches-be</t>
  </si>
  <si>
    <t>Louer appartement Roches BE: Trouvez le bien immobilier qui correspond idéalement à vos désirs sur ImmoScout24 - La plateforme de l'immobilier en Suisse.</t>
  </si>
  <si>
    <t>https://www.immoscout24.ch/fr/maison/acheter/lieu-agiez</t>
  </si>
  <si>
    <t>Vendre maison Agiez: Trouvez le bien immobilier qui correspond idéalement à vos désirs sur ImmoScout24 - La plateforme de l'immobilier en Suisse.</t>
  </si>
  <si>
    <t>https://www.immoscout24.ch/fr/maison/acheter/lieu-preonzo</t>
  </si>
  <si>
    <t>Vendre maison Preonzo: Trouvez le bien immobilier qui correspond idéalement à vos désirs sur ImmoScout24 - La plateforme de l'immobilier en Suisse.</t>
  </si>
  <si>
    <t>https://www.immoscout24.ch/fr/maison/acheter/lieu-bellwald</t>
  </si>
  <si>
    <t>Vendre maison Bellwald: Trouvez le bien immobilier qui correspond idéalement à vos désirs sur ImmoScout24 - La plateforme de l'immobilier en Suisse.</t>
  </si>
  <si>
    <t>https://www.immoscout24.ch/fr/maison/acheter/lieu-evionnaz</t>
  </si>
  <si>
    <t>Vendre maison Evionnaz: Trouvez le bien immobilier qui correspond idéalement à vos désirs sur ImmoScout24 - La plateforme de l'immobilier en Suisse.</t>
  </si>
  <si>
    <t>https://www.immoscout24.ch/fr/maison/acheter/lieu-bure</t>
  </si>
  <si>
    <t>Vendre maison Bure: Trouvez le bien immobilier qui correspond idéalement à vos désirs sur ImmoScout24 - La plateforme de l'immobilier en Suisse.</t>
  </si>
  <si>
    <t>https://www.immoscout24.ch/fr/maison/acheter/quartier-cretets-la-chaux-de-fonds</t>
  </si>
  <si>
    <t>Vendre maison Crêtets (La Chaux-de-Fonds): Trouvez le bien immobilier qui correspond idéalement à vos désirs sur ImmoScout24 - La plateforme de l'immobilier en Suisse.</t>
  </si>
  <si>
    <t>https://www.immoscout24.ch/fr/appartement/louer/quartier-spitalacker-berne</t>
  </si>
  <si>
    <t>Louer appartement Spitalacker (Berne): Trouvez le bien immobilier qui correspond idéalement à vos désirs sur ImmoScout24 - La plateforme de l'immobilier en Suisse.</t>
  </si>
  <si>
    <t>https://www.immoscout24.ch/fr/maison/acheter/lieu-riederalp</t>
  </si>
  <si>
    <t>Vendre maison Riederalp: Trouvez le bien immobilier qui correspond idéalement à vos désirs sur ImmoScout24 - La plateforme de l'immobilier en Suisse.</t>
  </si>
  <si>
    <t>https://www.immoscout24.ch/fr/maison/louer/lieu-kestenholz</t>
  </si>
  <si>
    <t>Louer maison Kestenholz: Trouvez le bien immobilier qui correspond idéalement à vos désirs sur ImmoScout24 - La plateforme de l'immobilier en Suisse.</t>
  </si>
  <si>
    <t>https://www.immoscout24.ch/fr/maison/louer/region-delemont</t>
  </si>
  <si>
    <t>https://www.immoscout24.ch/fr/appartement/acheter/quartier-charmilles-chatelaine-geneve</t>
  </si>
  <si>
    <t>Vendre appartement Charmilles - Châtelaine (Genève): Trouvez le bien immobilier qui correspond idéalement à vos désirs sur ImmoScout24 - La plateforme de l'immobilier en Suisse.</t>
  </si>
  <si>
    <t>https://www.immoscout24.ch/fr/appartement/louer/lieu-undervelier</t>
  </si>
  <si>
    <t>Louer appartement Undervelier: Trouvez le bien immobilier qui correspond idéalement à vos désirs sur ImmoScout24 - La plateforme de l'immobilier en Suisse.</t>
  </si>
  <si>
    <t>https://www.immoscout24.ch/fr/appartement/acheter/lieu-paudex</t>
  </si>
  <si>
    <t>Vendre appartement Paudex: Trouvez le bien immobilier qui correspond idéalement à vos désirs sur ImmoScout24 - La plateforme de l'immobilier en Suisse.</t>
  </si>
  <si>
    <t>https://www.immoscout24.ch/fr/maison/acheter/lieu-les-rasses</t>
  </si>
  <si>
    <t>Vendre maison Les Rasses: Trouvez le bien immobilier qui correspond idéalement à vos désirs sur ImmoScout24 - La plateforme de l'immobilier en Suisse.</t>
  </si>
  <si>
    <t>https://www.immoscout24.ch/fr/appartement/louer/lieu-broc</t>
  </si>
  <si>
    <t>Louer appartement Broc: Trouvez le bien immobilier qui correspond idéalement à vos désirs sur ImmoScout24 - La plateforme de l'immobilier en Suisse.</t>
  </si>
  <si>
    <t>https://www.immoscout24.ch/fr/appartement/acheter/region-littoral-neuchatelois</t>
  </si>
  <si>
    <t>Vendre appartement Littoral Neuchâtelois: Trouvez le bien immobilier qui correspond idéalement à vos désirs sur ImmoScout24 - La plateforme de l'immobilier en Suisse.</t>
  </si>
  <si>
    <t>https://www.immoscout24.ch/fr/appartement/louer/lieu-frick</t>
  </si>
  <si>
    <t>Louer appartement Frick: Trouvez le bien immobilier qui correspond idéalement à vos désirs sur ImmoScout24 - La plateforme de l'immobilier en Suisse.</t>
  </si>
  <si>
    <t>https://www.immoscout24.ch/fr/maison/acheter/lieu-boveresse</t>
  </si>
  <si>
    <t>Vendre maison Boveresse: Trouvez le bien immobilier qui correspond idéalement à vos désirs sur ImmoScout24 - La plateforme de l'immobilier en Suisse.</t>
  </si>
  <si>
    <t>https://www.immoscout24.ch/fr/appartement/louer/lieu-st-leonard</t>
  </si>
  <si>
    <t>Louer appartement St-Léonard: Trouvez le bien immobilier qui correspond idéalement à vos désirs sur ImmoScout24 - La plateforme de l'immobilier en Suisse.</t>
  </si>
  <si>
    <t>https://www.immoscout24.ch/fr/maison/acheter/lieu-villars-sur-ollon</t>
  </si>
  <si>
    <t>Vendre maison Villars-sur-Ollon: Trouvez le bien immobilier qui correspond idéalement à vos désirs sur ImmoScout24 - La plateforme de l'immobilier en Suisse.</t>
  </si>
  <si>
    <t>https://www.immoscout24.ch/fr/appartement/louer/quartier-rosenberg-st-gall</t>
  </si>
  <si>
    <t>Louer appartement Rosenberg (St-Gall): Trouvez le bien immobilier qui correspond idéalement à vos désirs sur ImmoScout24 - La plateforme de l'immobilier en Suisse.</t>
  </si>
  <si>
    <t>https://www.immoscout24.ch/fr/maison/acheter/lieu-st-oyens</t>
  </si>
  <si>
    <t>Vendre maison St-Oyens: Trouvez le bien immobilier qui correspond idéalement à vos désirs sur ImmoScout24 - La plateforme de l'immobilier en Suisse.</t>
  </si>
  <si>
    <t>https://www.immoscout24.ch/fr/appartement/louer/lieu-laupen-be</t>
  </si>
  <si>
    <t>Louer appartement Laupen BE: Trouvez le bien immobilier qui correspond idéalement à vos désirs sur ImmoScout24 - La plateforme de l'immobilier en Suisse.</t>
  </si>
  <si>
    <t>https://www.immoscout24.ch/fr/maison/louer/lieu-aadorf</t>
  </si>
  <si>
    <t>Louer maison Aadorf: Trouvez le bien immobilier qui correspond idéalement à vos désirs sur ImmoScout24 - La plateforme de l'immobilier en Suisse.</t>
  </si>
  <si>
    <t>https://www.immoscout24.ch/fr/maison/acheter/lieu-grono</t>
  </si>
  <si>
    <t>Vendre maison Grono: Trouvez le bien immobilier qui correspond idéalement à vos désirs sur ImmoScout24 - La plateforme de l'immobilier en Suisse.</t>
  </si>
  <si>
    <t>https://www.immoscout24.ch/fr/maison/acheter/canton-appenzell-re</t>
  </si>
  <si>
    <t>Vendre maison Canton d'Appenzell RE: Trouvez le bien immobilier qui correspond idéalement à vos désirs sur ImmoScout24 - La plateforme de l'immobilier en Suisse.</t>
  </si>
  <si>
    <t>https://www.immoscout24.ch/fr/maison/acheter/lieu-martigny</t>
  </si>
  <si>
    <t>Vendre maison Martigny: Trouvez le bien immobilier qui correspond idéalement à vos désirs sur ImmoScout24 - La plateforme de l'immobilier en Suisse.</t>
  </si>
  <si>
    <t>https://www.immoscout24.ch/fr/maison/acheter/lieu-luterbach</t>
  </si>
  <si>
    <t>Vendre maison Luterbach: Trouvez le bien immobilier qui correspond idéalement à vos désirs sur ImmoScout24 - La plateforme de l'immobilier en Suisse.</t>
  </si>
  <si>
    <t>https://www.immoscout24.ch/fr/maison/louer/lieu-baden</t>
  </si>
  <si>
    <t>Louer maison Baden: Trouvez le bien immobilier qui correspond idéalement à vos désirs sur ImmoScout24 - La plateforme de l'immobilier en Suisse.</t>
  </si>
  <si>
    <t>https://www.immoscout24.ch/fr/appartement/louer/lieu-lavey-les-bains</t>
  </si>
  <si>
    <t>Louer appartement Lavey-les-Bains: Trouvez le bien immobilier qui correspond idéalement à vos désirs sur ImmoScout24 - La plateforme de l'immobilier en Suisse.</t>
  </si>
  <si>
    <t>https://www.immoscout24.ch/fr/maison/acheter/lieu-therwil</t>
  </si>
  <si>
    <t>Vendre maison Therwil: Trouvez le bien immobilier qui correspond idéalement à vos désirs sur ImmoScout24 - La plateforme de l'immobilier en Suisse.</t>
  </si>
  <si>
    <t>https://www.immoscout24.ch/fr/appartement/louer/quartier-bourg-fribourg</t>
  </si>
  <si>
    <t>Louer appartement Bourg (Fribourg): Trouvez le bien immobilier qui correspond idéalement à vos désirs sur ImmoScout24 - La plateforme de l'immobilier en Suisse.</t>
  </si>
  <si>
    <t>https://www.immoscout24.ch/fr/appartement/acheter/lieu-bussigny</t>
  </si>
  <si>
    <t>Vendre appartement Bussigny: Trouvez le bien immobilier qui correspond idéalement à vos désirs sur ImmoScout24 - La plateforme de l'immobilier en Suisse.</t>
  </si>
  <si>
    <t>https://www.immoscout24.ch/fr/appartement/louer/lieu-niederglatt-zh</t>
  </si>
  <si>
    <t>Louer appartement Niederglatt ZH: Trouvez le bien immobilier qui correspond idéalement à vos désirs sur ImmoScout24 - La plateforme de l'immobilier en Suisse.</t>
  </si>
  <si>
    <t>https://www.immoscout24.ch/fr/appartement/louer/lieu-oberwald</t>
  </si>
  <si>
    <t>Louer appartement Oberwald: Trouvez le bien immobilier qui correspond idéalement à vos désirs sur ImmoScout24 - La plateforme de l'immobilier en Suisse.</t>
  </si>
  <si>
    <t>https://www.immoscout24.ch/fr/maison/acheter/lieu-muellheim-dorf</t>
  </si>
  <si>
    <t>Vendre maison Müllheim Dorf: Trouvez le bien immobilier qui correspond idéalement à vos désirs sur ImmoScout24 - La plateforme de l'immobilier en Suisse.</t>
  </si>
  <si>
    <t>https://www.immoscout24.ch/fr/maison/acheter/lieu-st-aubin-sauges</t>
  </si>
  <si>
    <t>Vendre maison St-Aubin-Sauges: Trouvez le bien immobilier qui correspond idéalement à vos désirs sur ImmoScout24 - La plateforme de l'immobilier en Suisse.</t>
  </si>
  <si>
    <t>https://www.immoscout24.ch/fr/maison/louer/lieu-matzingen</t>
  </si>
  <si>
    <t>Louer maison Matzingen: Trouvez le bien immobilier qui correspond idéalement à vos désirs sur ImmoScout24 - La plateforme de l'immobilier en Suisse.</t>
  </si>
  <si>
    <t>https://www.immoscout24.ch/fr/appartement/acheter/quartier-draizes-vauseyon-neuchatel</t>
  </si>
  <si>
    <t>Vendre appartement Draizes - Vauseyon (Neuchâtel): Trouvez le bien immobilier qui correspond idéalement à vos désirs sur ImmoScout24 - La plateforme de l'immobilier en Suisse.</t>
  </si>
  <si>
    <t>https://www.immoscout24.ch/fr/appartement/acheter/lieu-semsales</t>
  </si>
  <si>
    <t>Vendre appartement Semsales: Trouvez le bien immobilier qui correspond idéalement à vos désirs sur ImmoScout24 - La plateforme de l'immobilier en Suisse.</t>
  </si>
  <si>
    <t>https://www.immoscout24.ch/fr/maison/acheter/lieu-ramlinsburg</t>
  </si>
  <si>
    <t>Vendre maison Ramlinsburg: Trouvez le bien immobilier qui correspond idéalement à vos désirs sur ImmoScout24 - La plateforme de l'immobilier en Suisse.</t>
  </si>
  <si>
    <t>https://www.immoscout24.ch/fr/appartement/louer/lieu-champery</t>
  </si>
  <si>
    <t>Louer appartement Champéry: Trouvez le bien immobilier qui correspond idéalement à vos désirs sur ImmoScout24 - La plateforme de l'immobilier en Suisse.</t>
  </si>
  <si>
    <t>https://www.immoscout24.ch/fr/maison/acheter/lieu-aristau</t>
  </si>
  <si>
    <t>Vendre maison Aristau: Trouvez le bien immobilier qui correspond idéalement à vos désirs sur ImmoScout24 - La plateforme de l'immobilier en Suisse.</t>
  </si>
  <si>
    <t>https://www.immoscout24.ch/fr/appartement/acheter/lieu-lichtensteig</t>
  </si>
  <si>
    <t>Vendre appartement Lichtensteig: Trouvez le bien immobilier qui correspond idéalement à vos désirs sur ImmoScout24 - La plateforme de l'immobilier en Suisse.</t>
  </si>
  <si>
    <t>https://www.immoscout24.ch/fr/maison/louer/lieu-cugy-vd</t>
  </si>
  <si>
    <t>Louer maison Cugy VD: Trouvez le bien immobilier qui correspond idéalement à vos désirs sur ImmoScout24 - La plateforme de l'immobilier en Suisse.</t>
  </si>
  <si>
    <t>https://www.immoscout24.ch/fr/appartement/louer/lieu-amriswil</t>
  </si>
  <si>
    <t>Louer appartement Amriswil: Trouvez le bien immobilier qui correspond idéalement à vos désirs sur ImmoScout24 - La plateforme de l'immobilier en Suisse.</t>
  </si>
  <si>
    <t>https://www.immoscout24.ch/fr/maison/acheter/lieu-autigny</t>
  </si>
  <si>
    <t>Vendre maison Autigny: Trouvez le bien immobilier qui correspond idéalement à vos désirs sur ImmoScout24 - La plateforme de l'immobilier en Suisse.</t>
  </si>
  <si>
    <t>https://www.immoscout24.ch/fr/appartement/louer/lieu-rueyres-les-pres</t>
  </si>
  <si>
    <t>Louer appartement Rueyres-les-Prés: Trouvez le bien immobilier qui correspond idéalement à vos désirs sur ImmoScout24 - La plateforme de l'immobilier en Suisse.</t>
  </si>
  <si>
    <t>https://www.immoscout24.ch/fr/maison/acheter/lieu-rosshaeusern</t>
  </si>
  <si>
    <t>Vendre maison Rosshäusern: Trouvez le bien immobilier qui correspond idéalement à vos désirs sur ImmoScout24 - La plateforme de l'immobilier en Suisse.</t>
  </si>
  <si>
    <t>https://www.immoscout24.ch/fr/maison/louer/lieu-wettingen</t>
  </si>
  <si>
    <t>Louer maison Wettingen: Trouvez le bien immobilier qui correspond idéalement à vos désirs sur ImmoScout24 - La plateforme de l'immobilier en Suisse.</t>
  </si>
  <si>
    <t>https://www.immoscout24.ch/fr/appartement/acheter/lieu-poliez-le-grand</t>
  </si>
  <si>
    <t>Vendre appartement Poliez-le-Grand: Trouvez le bien immobilier qui correspond idéalement à vos désirs sur ImmoScout24 - La plateforme de l'immobilier en Suisse.</t>
  </si>
  <si>
    <t>https://www.immoscout24.ch/fr/maison/acheter/lieu-enges</t>
  </si>
  <si>
    <t>Vendre maison Enges: Trouvez le bien immobilier qui correspond idéalement à vos désirs sur ImmoScout24 - La plateforme de l'immobilier en Suisse.</t>
  </si>
  <si>
    <t>https://www.immoscout24.ch/fr/appartement/acheter/lieu-gruyeres</t>
  </si>
  <si>
    <t>Vendre appartement Gruyères: Trouvez le bien immobilier qui correspond idéalement à vos désirs sur ImmoScout24 - La plateforme de l'immobilier en Suisse.</t>
  </si>
  <si>
    <t>https://www.immoscout24.ch/fr/maison/louer/lieu-cornaux-ne</t>
  </si>
  <si>
    <t>Louer maison Cornaux NE: Trouvez le bien immobilier qui correspond idéalement à vos désirs sur ImmoScout24 - La plateforme de l'immobilier en Suisse.</t>
  </si>
  <si>
    <t>https://www.immoscout24.ch/fr/maison/acheter/lieu-locarno</t>
  </si>
  <si>
    <t>Vendre maison Locarno: Trouvez le bien immobilier qui correspond idéalement à vos désirs sur ImmoScout24 - La plateforme de l'immobilier en Suisse.</t>
  </si>
  <si>
    <t>https://www.immoscout24.ch/fr/maison/acheter/lieu-villarimboud</t>
  </si>
  <si>
    <t>Vendre maison Villarimboud: Trouvez le bien immobilier qui correspond idéalement à vos désirs sur ImmoScout24 - La plateforme de l'immobilier en Suisse.</t>
  </si>
  <si>
    <t>https://www.immoscout24.ch/fr/appartement/louer/lieu-zollikofen</t>
  </si>
  <si>
    <t>Louer appartement Zollikofen: Trouvez le bien immobilier qui correspond idéalement à vos désirs sur ImmoScout24 - La plateforme de l'immobilier en Suisse.</t>
  </si>
  <si>
    <t>https://www.immoscout24.ch/fr/appartement/louer/lieu-chatillon-ju</t>
  </si>
  <si>
    <t>Louer appartement Châtillon JU: Trouvez le bien immobilier qui correspond idéalement à vos désirs sur ImmoScout24 - La plateforme de l'immobilier en Suisse.</t>
  </si>
  <si>
    <t>https://www.immoscout24.ch/fr/maison/acheter/region-bale-campagne-ouest</t>
  </si>
  <si>
    <t>Vendre maison Bâle Campagne Ouest: Trouvez le bien immobilier qui correspond idéalement à vos désirs sur ImmoScout24 - La plateforme de l'immobilier en Suisse.</t>
  </si>
  <si>
    <t>https://www.immoscout24.ch/fr/appartement/louer/lieu-carouge-ge</t>
  </si>
  <si>
    <t>Louer appartement Carouge GE: Trouvez le bien immobilier qui correspond idéalement à vos désirs sur ImmoScout24 - La plateforme de l'immobilier en Suisse.</t>
  </si>
  <si>
    <t>https://www.immoscout24.ch/fr/appartement/louer/lieu-glattbrugg</t>
  </si>
  <si>
    <t>Louer appartement Glattbrugg: Trouvez le bien immobilier qui correspond idéalement à vos désirs sur ImmoScout24 - La plateforme de l'immobilier en Suisse.</t>
  </si>
  <si>
    <t>https://www.immoscout24.ch/fr/maison/acheter/lieu-porza</t>
  </si>
  <si>
    <t>Vendre maison Porza: Trouvez le bien immobilier qui correspond idéalement à vos désirs sur ImmoScout24 - La plateforme de l'immobilier en Suisse.</t>
  </si>
  <si>
    <t>https://www.immoscout24.ch/fr/appartement/acheter/lieu-rechy</t>
  </si>
  <si>
    <t>Vendre appartement Réchy: Trouvez le bien immobilier qui correspond idéalement à vos désirs sur ImmoScout24 - La plateforme de l'immobilier en Suisse.</t>
  </si>
  <si>
    <t>https://www.immoscout24.ch/fr/maison/acheter/lieu-ayer</t>
  </si>
  <si>
    <t>Vendre maison Ayer: Trouvez le bien immobilier qui correspond idéalement à vos désirs sur ImmoScout24 - La plateforme de l'immobilier en Suisse.</t>
  </si>
  <si>
    <t>https://www.immoscout24.ch/fr/appartement/acheter/lieu-villargiroud</t>
  </si>
  <si>
    <t>Vendre appartement Villargiroud: Trouvez le bien immobilier qui correspond idéalement à vos désirs sur ImmoScout24 - La plateforme de l'immobilier en Suisse.</t>
  </si>
  <si>
    <t>https://www.immoscout24.ch/fr/maison/acheter/lieu-flums</t>
  </si>
  <si>
    <t>Vendre maison Flums: Trouvez le bien immobilier qui correspond idéalement à vos désirs sur ImmoScout24 - La plateforme de l'immobilier en Suisse.</t>
  </si>
  <si>
    <t>https://www.immoscout24.ch/fr/appartement/acheter/lieu-malters</t>
  </si>
  <si>
    <t>Vendre appartement Malters: Trouvez le bien immobilier qui correspond idéalement à vos désirs sur ImmoScout24 - La plateforme de l'immobilier en Suisse.</t>
  </si>
  <si>
    <t>https://www.immoscout24.ch/fr/maison/acheter/lieu-berlens</t>
  </si>
  <si>
    <t>Vendre maison Berlens: Trouvez le bien immobilier qui correspond idéalement à vos désirs sur ImmoScout24 - La plateforme de l'immobilier en Suisse.</t>
  </si>
  <si>
    <t>https://www.immoscout24.ch/fr/appartement/louer/lieu-la-praz</t>
  </si>
  <si>
    <t>Louer appartement La Praz: Trouvez le bien immobilier qui correspond idéalement à vos désirs sur ImmoScout24 - La plateforme de l'immobilier en Suisse.</t>
  </si>
  <si>
    <t>https://www.immoscout24.ch/fr/appartement/louer/lieu-busswil-be</t>
  </si>
  <si>
    <t>Louer appartement Busswil BE: Trouvez le bien immobilier qui correspond idéalement à vos désirs sur ImmoScout24 - La plateforme de l'immobilier en Suisse.</t>
  </si>
  <si>
    <t>https://www.immoscout24.ch/fr/maison/louer/lieu-dorenaz</t>
  </si>
  <si>
    <t>Louer maison Dorénaz: Trouvez le bien immobilier qui correspond idéalement à vos désirs sur ImmoScout24 - La plateforme de l'immobilier en Suisse.</t>
  </si>
  <si>
    <t>https://www.immoscout24.ch/fr/appartement/louer/lieu-villarlod</t>
  </si>
  <si>
    <t>Louer appartement Villarlod: Trouvez le bien immobilier qui correspond idéalement à vos désirs sur ImmoScout24 - La plateforme de l'immobilier en Suisse.</t>
  </si>
  <si>
    <t>https://www.immoscout24.ch/fr/maison/acheter/lieu-romont-be</t>
  </si>
  <si>
    <t>Vendre maison Romont BE: Trouvez le bien immobilier qui correspond idéalement à vos désirs sur ImmoScout24 - La plateforme de l'immobilier en Suisse.</t>
  </si>
  <si>
    <t>https://www.immoscout24.ch/fr/appartement/louer/lieu-kollbrunn</t>
  </si>
  <si>
    <t>Louer appartement Kollbrunn: Trouvez le bien immobilier qui correspond idéalement à vos désirs sur ImmoScout24 - La plateforme de l'immobilier en Suisse.</t>
  </si>
  <si>
    <t>https://www.immoscout24.ch/fr/appartement/louer/lieu-kreuzlingen</t>
  </si>
  <si>
    <t>Louer appartement Kreuzlingen: Trouvez le bien immobilier qui correspond idéalement à vos désirs sur ImmoScout24 - La plateforme de l'immobilier en Suisse.</t>
  </si>
  <si>
    <t>https://www.immoscout24.ch/fr/appartement/louer/lieu-belmont-sur-yverdon</t>
  </si>
  <si>
    <t>Louer appartement Belmont-sur-Yverdon: Trouvez le bien immobilier qui correspond idéalement à vos désirs sur ImmoScout24 - La plateforme de l'immobilier en Suisse.</t>
  </si>
  <si>
    <t>https://www.immoscout24.ch/fr/appartement/acheter/lieu-cugy-vd</t>
  </si>
  <si>
    <t>Vendre appartement Cugy VD: Trouvez le bien immobilier qui correspond idéalement à vos désirs sur ImmoScout24 - La plateforme de l'immobilier en Suisse.</t>
  </si>
  <si>
    <t>https://www.immoscout24.ch/fr/maison/acheter/lieu-vogorno</t>
  </si>
  <si>
    <t>Vendre maison Vogorno: Trouvez le bien immobilier qui correspond idéalement à vos désirs sur ImmoScout24 - La plateforme de l'immobilier en Suisse.</t>
  </si>
  <si>
    <t>https://www.immoscout24.ch/fr/maison/acheter/lieu-s-antonino</t>
  </si>
  <si>
    <t>Vendre maison S. Antonino: Trouvez le bien immobilier qui correspond idéalement à vos désirs sur ImmoScout24 - La plateforme de l'immobilier en Suisse.</t>
  </si>
  <si>
    <t>https://www.immoscout24.ch/fr/maison/acheter/lieu-villars-sur-glane</t>
  </si>
  <si>
    <t>Vendre maison Villars-sur-Glâne: Trouvez le bien immobilier qui correspond idéalement à vos désirs sur ImmoScout24 - La plateforme de l'immobilier en Suisse.</t>
  </si>
  <si>
    <t>https://www.immoscout24.ch/fr/appartement/louer/lieu-villigen</t>
  </si>
  <si>
    <t>Louer appartement Villigen: Trouvez le bien immobilier qui correspond idéalement à vos désirs sur ImmoScout24 - La plateforme de l'immobilier en Suisse.</t>
  </si>
  <si>
    <t>https://www.immoscout24.ch/fr/appartement/acheter/lieu-brignon-nendaz</t>
  </si>
  <si>
    <t>Vendre appartement Brignon (Nendaz): Trouvez le bien immobilier qui correspond idéalement à vos désirs sur ImmoScout24 - La plateforme de l'immobilier en Suisse.</t>
  </si>
  <si>
    <t>https://www.immoscout24.ch/fr/appartement/louer/lieu-uster</t>
  </si>
  <si>
    <t>Louer appartement Uster: Trouvez le bien immobilier qui correspond idéalement à vos désirs sur ImmoScout24 - La plateforme de l'immobilier en Suisse.</t>
  </si>
  <si>
    <t>https://www.immoscout24.ch/fr/appartement/louer/lieu-weiach</t>
  </si>
  <si>
    <t>Louer appartement Weiach: Trouvez le bien immobilier qui correspond idéalement à vos désirs sur ImmoScout24 - La plateforme de l'immobilier en Suisse.</t>
  </si>
  <si>
    <t>https://www.immoscout24.ch/fr/appartement/louer/lieu-subingen</t>
  </si>
  <si>
    <t>Louer appartement Subingen: Trouvez le bien immobilier qui correspond idéalement à vos désirs sur ImmoScout24 - La plateforme de l'immobilier en Suisse.</t>
  </si>
  <si>
    <t>https://www.immoscout24.ch/fr/appartement/louer/lieu-wattenwil</t>
  </si>
  <si>
    <t>Louer appartement Wattenwil: Trouvez le bien immobilier qui correspond idéalement à vos désirs sur ImmoScout24 - La plateforme de l'immobilier en Suisse.</t>
  </si>
  <si>
    <t>https://www.immoscout24.ch/fr/appartement/louer/lieu-boswil</t>
  </si>
  <si>
    <t>Louer appartement Boswil: Trouvez le bien immobilier qui correspond idéalement à vos désirs sur ImmoScout24 - La plateforme de l'immobilier en Suisse.</t>
  </si>
  <si>
    <t>https://www.immoscout24.ch/fr/appartement/louer/canton-fribourg</t>
  </si>
  <si>
    <t>Louer appartement Canton de Fribourg: Trouvez le bien immobilier qui correspond idéalement à vos désirs sur ImmoScout24 - La plateforme de l'immobilier en Suisse.</t>
  </si>
  <si>
    <t>https://www.immoscout24.ch/fr/maison/louer/lieu-commugny</t>
  </si>
  <si>
    <t>Louer maison Commugny: Trouvez le bien immobilier qui correspond idéalement à vos désirs sur ImmoScout24 - La plateforme de l'immobilier en Suisse.</t>
  </si>
  <si>
    <t>https://www.immoscout24.ch/fr/maison/acheter/lieu-scheuren</t>
  </si>
  <si>
    <t>Vendre maison Scheuren: Trouvez le bien immobilier qui correspond idéalement à vos désirs sur ImmoScout24 - La plateforme de l'immobilier en Suisse.</t>
  </si>
  <si>
    <t>https://www.immoscout24.ch/fr/maison/acheter/lieu-maggia</t>
  </si>
  <si>
    <t>Vendre maison Maggia: Trouvez le bien immobilier qui correspond idéalement à vos désirs sur ImmoScout24 - La plateforme de l'immobilier en Suisse.</t>
  </si>
  <si>
    <t>https://www.immoscout24.ch/fr/maison/acheter/lieu-emmetten</t>
  </si>
  <si>
    <t>Vendre maison Emmetten: Trouvez le bien immobilier qui correspond idéalement à vos désirs sur ImmoScout24 - La plateforme de l'immobilier en Suisse.</t>
  </si>
  <si>
    <t>https://www.immoscout24.ch/fr/maison/louer/lieu-marchissy</t>
  </si>
  <si>
    <t>Louer maison Marchissy: Trouvez le bien immobilier qui correspond idéalement à vos désirs sur ImmoScout24 - La plateforme de l'immobilier en Suisse.</t>
  </si>
  <si>
    <t>https://www.immoscout24.ch/fr/maison/acheter/region-zoug-lac-de-zoug</t>
  </si>
  <si>
    <t>Vendre maison Zoug - Lac de Zoug: Trouvez le bien immobilier qui correspond idéalement à vos désirs sur ImmoScout24 - La plateforme de l'immobilier en Suisse.</t>
  </si>
  <si>
    <t>https://www.immoscout24.ch/fr/appartement/louer/lieu-brugg-ag</t>
  </si>
  <si>
    <t>Louer appartement Brugg AG: Trouvez le bien immobilier qui correspond idéalement à vos désirs sur ImmoScout24 - La plateforme de l'immobilier en Suisse.</t>
  </si>
  <si>
    <t>https://www.immoscout24.ch/fr/appartement/louer/lieu-cuarny</t>
  </si>
  <si>
    <t>Louer appartement Cuarny: Trouvez le bien immobilier qui correspond idéalement à vos désirs sur ImmoScout24 - La plateforme de l'immobilier en Suisse.</t>
  </si>
  <si>
    <t>https://www.immoscout24.ch/fr/appartement/louer/region-lac-de-thoune-sud</t>
  </si>
  <si>
    <t>Louer appartement Lac de Thoune sud: Trouvez le bien immobilier qui correspond idéalement à vos désirs sur ImmoScout24 - La plateforme de l'immobilier en Suisse.</t>
  </si>
  <si>
    <t>https://www.immoscout24.ch/fr/maison/acheter/lieu-bollion</t>
  </si>
  <si>
    <t>Vendre maison Bollion: Trouvez le bien immobilier qui correspond idéalement à vos désirs sur ImmoScout24 - La plateforme de l'immobilier en Suisse.</t>
  </si>
  <si>
    <t>https://www.immoscout24.ch/fr/maison/acheter/lieu-cottens-fr</t>
  </si>
  <si>
    <t>Vendre maison Cottens FR: Trouvez le bien immobilier qui correspond idéalement à vos désirs sur ImmoScout24 - La plateforme de l'immobilier en Suisse.</t>
  </si>
  <si>
    <t>https://www.immoscout24.ch/fr/appartement/acheter/lieu-rueti-zh</t>
  </si>
  <si>
    <t>Vendre appartement Rüti ZH: Trouvez le bien immobilier qui correspond idéalement à vos désirs sur ImmoScout24 - La plateforme de l'immobilier en Suisse.</t>
  </si>
  <si>
    <t>https://www.immoscout24.ch/fr/maison/acheter/lieu-st-sulpice-vd</t>
  </si>
  <si>
    <t>Vendre maison St-Sulpice VD: Trouvez le bien immobilier qui correspond idéalement à vos désirs sur ImmoScout24 - La plateforme de l'immobilier en Suisse.</t>
  </si>
  <si>
    <t>https://www.immoscout24.ch/fr/maison/acheter/lieu-bettlach</t>
  </si>
  <si>
    <t>Vendre maison Bettlach: Trouvez le bien immobilier qui correspond idéalement à vos désirs sur ImmoScout24 - La plateforme de l'immobilier en Suisse.</t>
  </si>
  <si>
    <t>https://www.immoscout24.ch/fr/maison/acheter/lieu-celigny</t>
  </si>
  <si>
    <t>Vendre maison Céligny: Trouvez le bien immobilier qui correspond idéalement à vos désirs sur ImmoScout24 - La plateforme de l'immobilier en Suisse.</t>
  </si>
  <si>
    <t>https://www.immoscout24.ch/fr/appartement/acheter/lieu-ruschein</t>
  </si>
  <si>
    <t>Vendre appartement Ruschein: Trouvez le bien immobilier qui correspond idéalement à vos désirs sur ImmoScout24 - La plateforme de l'immobilier en Suisse.</t>
  </si>
  <si>
    <t>https://www.immoscout24.ch/fr/appartement/louer/lieu-arzier-le-muids</t>
  </si>
  <si>
    <t>Louer appartement Arzier-Le Muids: Trouvez le bien immobilier qui correspond idéalement à vos désirs sur ImmoScout24 - La plateforme de l'immobilier en Suisse.</t>
  </si>
  <si>
    <t>https://www.immoscout24.ch/fr/maison/acheter/pays-suisse-fl</t>
  </si>
  <si>
    <t>Vendre maison Suisse + FL: Trouvez le bien immobilier qui correspond idéalement à vos désirs sur ImmoScout24 - La plateforme de l'immobilier en Suisse.</t>
  </si>
  <si>
    <t>https://www.immoscout24.ch/fr/maison/acheter/lieu-st-blaise</t>
  </si>
  <si>
    <t>Vendre maison St-Blaise: Trouvez le bien immobilier qui correspond idéalement à vos désirs sur ImmoScout24 - La plateforme de l'immobilier en Suisse.</t>
  </si>
  <si>
    <t>https://www.immoscout24.ch/fr/appartement/louer/lieu-niederwangen-b-bern</t>
  </si>
  <si>
    <t>Louer appartement Niederwangen b. Bern: Trouvez le bien immobilier qui correspond idéalement à vos désirs sur ImmoScout24 - La plateforme de l'immobilier en Suisse.</t>
  </si>
  <si>
    <t>https://www.immoscout24.ch/fr/maison/louer/lieu-studen-be</t>
  </si>
  <si>
    <t>Louer maison Studen BE: Trouvez le bien immobilier qui correspond idéalement à vos désirs sur ImmoScout24 - La plateforme de l'immobilier en Suisse.</t>
  </si>
  <si>
    <t>https://www.immoscout24.ch/fr/appartement/acheter/lieu-romanens</t>
  </si>
  <si>
    <t>Vendre appartement Romanens: Trouvez le bien immobilier qui correspond idéalement à vos désirs sur ImmoScout24 - La plateforme de l'immobilier en Suisse.</t>
  </si>
  <si>
    <t>https://www.immoscout24.ch/fr/appartement/louer/lieu-le-noirmont</t>
  </si>
  <si>
    <t>Louer appartement Le Noirmont: Trouvez le bien immobilier qui correspond idéalement à vos désirs sur ImmoScout24 - La plateforme de l'immobilier en Suisse.</t>
  </si>
  <si>
    <t>https://www.immoscout24.ch/fr/appartement/acheter/lieu-rombach</t>
  </si>
  <si>
    <t>Vendre appartement Rombach: Trouvez le bien immobilier qui correspond idéalement à vos désirs sur ImmoScout24 - La plateforme de l'immobilier en Suisse.</t>
  </si>
  <si>
    <t>https://www.immoscout24.ch/fr/appartement/acheter/quartier-buempliz-berne</t>
  </si>
  <si>
    <t>Vendre appartement Bümpliz (Berne): Trouvez le bien immobilier qui correspond idéalement à vos désirs sur ImmoScout24 - La plateforme de l'immobilier en Suisse.</t>
  </si>
  <si>
    <t>https://www.immoscout24.ch/fr/maison/acheter/lieu-mesocco</t>
  </si>
  <si>
    <t>Vendre maison Mesocco: Trouvez le bien immobilier qui correspond idéalement à vos désirs sur ImmoScout24 - La plateforme de l'immobilier en Suisse.</t>
  </si>
  <si>
    <t>https://www.immoscout24.ch/fr/maison/acheter/lieu-im-fang</t>
  </si>
  <si>
    <t>Vendre maison Im Fang: Trouvez le bien immobilier qui correspond idéalement à vos désirs sur ImmoScout24 - La plateforme de l'immobilier en Suisse.</t>
  </si>
  <si>
    <t>https://www.immoscout24.ch/fr/appartement/louer/lieu-les-avants</t>
  </si>
  <si>
    <t>Louer appartement Les Avants: Trouvez le bien immobilier qui correspond idéalement à vos désirs sur ImmoScout24 - La plateforme de l'immobilier en Suisse.</t>
  </si>
  <si>
    <t>https://www.immoscout24.ch/fr/appartement/louer/lieu-autigny</t>
  </si>
  <si>
    <t>Louer appartement Autigny: Trouvez le bien immobilier qui correspond idéalement à vos désirs sur ImmoScout24 - La plateforme de l'immobilier en Suisse.</t>
  </si>
  <si>
    <t>https://www.immoscout24.ch/fr/maison/acheter/lieu-veyras</t>
  </si>
  <si>
    <t>Vendre maison Veyras: Trouvez le bien immobilier qui correspond idéalement à vos désirs sur ImmoScout24 - La plateforme de l'immobilier en Suisse.</t>
  </si>
  <si>
    <t>https://www.immoscout24.ch/fr/maison/louer/lieu-muttenz</t>
  </si>
  <si>
    <t>Louer maison Muttenz: Trouvez le bien immobilier qui correspond idéalement à vos désirs sur ImmoScout24 - La plateforme de l'immobilier en Suisse.</t>
  </si>
  <si>
    <t>https://www.immoscout24.ch/fr/appartement/louer/lieu-dranse-liddes</t>
  </si>
  <si>
    <t>Louer appartement Dranse (Liddes): Trouvez le bien immobilier qui correspond idéalement à vos désirs sur ImmoScout24 - La plateforme de l'immobilier en Suisse.</t>
  </si>
  <si>
    <t>https://www.immoscout24.ch/fr/appartement/acheter/lieu-wallisellen</t>
  </si>
  <si>
    <t>Vendre appartement Wallisellen: Trouvez le bien immobilier qui correspond idéalement à vos désirs sur ImmoScout24 - La plateforme de l'immobilier en Suisse.</t>
  </si>
  <si>
    <t>https://www.immoscout24.ch/fr/maison/louer/lieu-courgenay</t>
  </si>
  <si>
    <t>Louer maison Courgenay: Trouvez le bien immobilier qui correspond idéalement à vos désirs sur ImmoScout24 - La plateforme de l'immobilier en Suisse.</t>
  </si>
  <si>
    <t>https://www.immoscout24.ch/fr/appartement/acheter/lieu-oberwil-bl</t>
  </si>
  <si>
    <t>Vendre appartement Oberwil BL: Trouvez le bien immobilier qui correspond idéalement à vos désirs sur ImmoScout24 - La plateforme de l'immobilier en Suisse.</t>
  </si>
  <si>
    <t>https://www.immoscout24.ch/fr/appartement/louer/lieu-rueyres-treyfayes</t>
  </si>
  <si>
    <t>Louer appartement Rueyres-Treyfayes: Trouvez le bien immobilier qui correspond idéalement à vos désirs sur ImmoScout24 - La plateforme de l'immobilier en Suisse.</t>
  </si>
  <si>
    <t>https://www.immoscout24.ch/fr/appartement/louer/lieu-solduno</t>
  </si>
  <si>
    <t>Louer appartement Solduno: Trouvez le bien immobilier qui correspond idéalement à vos désirs sur ImmoScout24 - La plateforme de l'immobilier en Suisse.</t>
  </si>
  <si>
    <t>https://www.immoscout24.ch/fr/maison/louer/lieu-montet-broye</t>
  </si>
  <si>
    <t>Louer maison Montet (Broye): Trouvez le bien immobilier qui correspond idéalement à vos désirs sur ImmoScout24 - La plateforme de l'immobilier en Suisse.</t>
  </si>
  <si>
    <t>https://www.immoscout24.ch/fr/maison/acheter/lieu-blitzingen</t>
  </si>
  <si>
    <t>Vendre maison Blitzingen: Trouvez le bien immobilier qui correspond idéalement à vos désirs sur ImmoScout24 - La plateforme de l'immobilier en Suisse.</t>
  </si>
  <si>
    <t>https://www.immoscout24.ch/fr/maison/louer/lieu-vella</t>
  </si>
  <si>
    <t>Louer maison Vella: Trouvez le bien immobilier qui correspond idéalement à vos désirs sur ImmoScout24 - La plateforme de l'immobilier en Suisse.</t>
  </si>
  <si>
    <t>https://www.immoscout24.ch/fr/appartement/louer/lieu-seewen-sz</t>
  </si>
  <si>
    <t>Louer appartement Seewen SZ: Trouvez le bien immobilier qui correspond idéalement à vos désirs sur ImmoScout24 - La plateforme de l'immobilier en Suisse.</t>
  </si>
  <si>
    <t>https://www.immoscout24.ch/fr/appartement/louer/lieu-bavois</t>
  </si>
  <si>
    <t>Louer appartement Bavois: Trouvez le bien immobilier qui correspond idéalement à vos désirs sur ImmoScout24 - La plateforme de l'immobilier en Suisse.</t>
  </si>
  <si>
    <t>https://www.immoscout24.ch/fr/maison/louer/lieu-mex-vs</t>
  </si>
  <si>
    <t>Louer maison Mex VS: Trouvez le bien immobilier qui correspond idéalement à vos désirs sur ImmoScout24 - La plateforme de l'immobilier en Suisse.</t>
  </si>
  <si>
    <t>https://www.immoscout24.ch/fr/maison/acheter/lieu-flumserberg-bergheim</t>
  </si>
  <si>
    <t>Vendre maison Flumserberg Bergheim: Trouvez le bien immobilier qui correspond idéalement à vos désirs sur ImmoScout24 - La plateforme de l'immobilier en Suisse.</t>
  </si>
  <si>
    <t>https://www.immoscout24.ch/fr/appartement/louer/lieu-les-friques</t>
  </si>
  <si>
    <t>Louer appartement Les Friques: Trouvez le bien immobilier qui correspond idéalement à vos désirs sur ImmoScout24 - La plateforme de l'immobilier en Suisse.</t>
  </si>
  <si>
    <t>https://www.immoscout24.ch/fr/appartement/louer/lieu-hennens</t>
  </si>
  <si>
    <t>Louer appartement Hennens: Trouvez le bien immobilier qui correspond idéalement à vos désirs sur ImmoScout24 - La plateforme de l'immobilier en Suisse.</t>
  </si>
  <si>
    <t>https://www.immoscout24.ch/fr/maison/acheter/lieu-tuescherz-alfermee</t>
  </si>
  <si>
    <t>Vendre maison Tüscherz-Alfermée: Trouvez le bien immobilier qui correspond idéalement à vos désirs sur ImmoScout24 - La plateforme de l'immobilier en Suisse.</t>
  </si>
  <si>
    <t>https://www.immoscout24.ch/fr/maison/acheter/lieu-niederbipp</t>
  </si>
  <si>
    <t>Vendre maison Niederbipp: Trouvez le bien immobilier qui correspond idéalement à vos désirs sur ImmoScout24 - La plateforme de l'immobilier en Suisse.</t>
  </si>
  <si>
    <t>https://www.immoscout24.ch/fr/maison/acheter/lieu-palagnedra</t>
  </si>
  <si>
    <t>Vendre maison Palagnedra: Trouvez le bien immobilier qui correspond idéalement à vos désirs sur ImmoScout24 - La plateforme de l'immobilier en Suisse.</t>
  </si>
  <si>
    <t>https://www.immoscout24.ch/fr/appartement/acheter/lieu-les-bois</t>
  </si>
  <si>
    <t>Vendre appartement Les Bois: Trouvez le bien immobilier qui correspond idéalement à vos désirs sur ImmoScout24 - La plateforme de l'immobilier en Suisse.</t>
  </si>
  <si>
    <t>https://www.immoscout24.ch/fr/maison/acheter/lieu-worb</t>
  </si>
  <si>
    <t>Vendre maison Worb: Trouvez le bien immobilier qui correspond idéalement à vos désirs sur ImmoScout24 - La plateforme de l'immobilier en Suisse.</t>
  </si>
  <si>
    <t>https://www.immoscout24.ch/fr/maison/acheter/lieu-la-brevine</t>
  </si>
  <si>
    <t>Vendre maison La Brévine: Trouvez le bien immobilier qui correspond idéalement à vos désirs sur ImmoScout24 - La plateforme de l'immobilier en Suisse.</t>
  </si>
  <si>
    <t>https://www.immoscout24.ch/fr/maison/acheter/lieu-le-grand-saconnex</t>
  </si>
  <si>
    <t>Vendre maison Le Grand-Saconnex: Trouvez le bien immobilier qui correspond idéalement à vos désirs sur ImmoScout24 - La plateforme de l'immobilier en Suisse.</t>
  </si>
  <si>
    <t>https://www.immoscout24.ch/fr/appartement/acheter/lieu-les-ponts-de-martel</t>
  </si>
  <si>
    <t>Vendre appartement Les Ponts-de-Martel: Trouvez le bien immobilier qui correspond idéalement à vos désirs sur ImmoScout24 - La plateforme de l'immobilier en Suisse.</t>
  </si>
  <si>
    <t>https://www.immoscout24.ch/fr/appartement/acheter/lieu-cugy-fr</t>
  </si>
  <si>
    <t>Vendre appartement Cugy FR: Trouvez le bien immobilier qui correspond idéalement à vos désirs sur ImmoScout24 - La plateforme de l'immobilier en Suisse.</t>
  </si>
  <si>
    <t>https://www.immoscout24.ch/fr/appartement/louer/lieu-hermance</t>
  </si>
  <si>
    <t>Louer appartement Hermance: Trouvez le bien immobilier qui correspond idéalement à vos désirs sur ImmoScout24 - La plateforme de l'immobilier en Suisse.</t>
  </si>
  <si>
    <t>https://www.immoscout24.ch/fr/maison/acheter/lieu-verscio</t>
  </si>
  <si>
    <t>Vendre maison Verscio: Trouvez le bien immobilier qui correspond idéalement à vos désirs sur ImmoScout24 - La plateforme de l'immobilier en Suisse.</t>
  </si>
  <si>
    <t>https://www.immoscout24.ch/fr/maison/louer/canton-bale-campagne</t>
  </si>
  <si>
    <t>Louer maison Canton de Bâle-Campagne: Trouvez le bien immobilier qui correspond idéalement à vos désirs sur ImmoScout24 - La plateforme de l'immobilier en Suisse.</t>
  </si>
  <si>
    <t>https://www.immoscout24.ch/fr/maison/louer/lieu-flanthey</t>
  </si>
  <si>
    <t>Louer maison Flanthey: Trouvez le bien immobilier qui correspond idéalement à vos désirs sur ImmoScout24 - La plateforme de l'immobilier en Suisse.</t>
  </si>
  <si>
    <t>https://www.immoscout24.ch/fr/maison/louer/lieu-st-gingolph</t>
  </si>
  <si>
    <t>Louer maison St-Gingolph: Trouvez le bien immobilier qui correspond idéalement à vos désirs sur ImmoScout24 - La plateforme de l'immobilier en Suisse.</t>
  </si>
  <si>
    <t>https://www.immoscout24.ch/fr/appartement/acheter/lieu-orpund</t>
  </si>
  <si>
    <t>Vendre appartement Orpund: Trouvez le bien immobilier qui correspond idéalement à vos désirs sur ImmoScout24 - La plateforme de l'immobilier en Suisse.</t>
  </si>
  <si>
    <t>https://www.immoscout24.ch/fr/maison/acheter/lieu-le-sentier</t>
  </si>
  <si>
    <t>Vendre maison Le Sentier: Trouvez le bien immobilier qui correspond idéalement à vos désirs sur ImmoScout24 - La plateforme de l'immobilier en Suisse.</t>
  </si>
  <si>
    <t>https://www.immoscout24.ch/fr/appartement/louer/lieu-montherod</t>
  </si>
  <si>
    <t>Louer appartement Montherod: Trouvez le bien immobilier qui correspond idéalement à vos désirs sur ImmoScout24 - La plateforme de l'immobilier en Suisse.</t>
  </si>
  <si>
    <t>https://www.immoscout24.ch/fr/appartement/louer/lieu-wimmis</t>
  </si>
  <si>
    <t>Louer appartement Wimmis: Trouvez le bien immobilier qui correspond idéalement à vos désirs sur ImmoScout24 - La plateforme de l'immobilier en Suisse.</t>
  </si>
  <si>
    <t>https://www.immoscout24.ch/fr/maison/acheter/lieu-villaz-st-pierre</t>
  </si>
  <si>
    <t>Vendre maison Villaz-St-Pierre: Trouvez le bien immobilier qui correspond idéalement à vos désirs sur ImmoScout24 - La plateforme de l'immobilier en Suisse.</t>
  </si>
  <si>
    <t>https://www.immoscout24.ch/fr/appartement/louer/lieu-forch</t>
  </si>
  <si>
    <t>Louer appartement Forch: Trouvez le bien immobilier qui correspond idéalement à vos désirs sur ImmoScout24 - La plateforme de l'immobilier en Suisse.</t>
  </si>
  <si>
    <t>https://www.immoscout24.ch/fr/maison/acheter/lieu-regensdorf</t>
  </si>
  <si>
    <t>Vendre maison Regensdorf: Trouvez le bien immobilier qui correspond idéalement à vos désirs sur ImmoScout24 - La plateforme de l'immobilier en Suisse.</t>
  </si>
  <si>
    <t>https://www.immoscout24.ch/fr/maison/acheter/region-olten-thal-gaeu-gosgen</t>
  </si>
  <si>
    <t>Vendre maison Olten - Thal - Gäu - Gösgen: Trouvez le bien immobilier qui correspond idéalement à vos désirs sur ImmoScout24 - La plateforme de l'immobilier en Suisse.</t>
  </si>
  <si>
    <t>https://www.immoscout24.ch/fr/appartement/louer/lieu-poliez-pittet</t>
  </si>
  <si>
    <t>Louer appartement Poliez-Pittet: Trouvez le bien immobilier qui correspond idéalement à vos désirs sur ImmoScout24 - La plateforme de l'immobilier en Suisse.</t>
  </si>
  <si>
    <t>https://www.immoscout24.ch/fr/appartement/acheter/lieu-uitikon-waldegg</t>
  </si>
  <si>
    <t>Vendre appartement Uitikon Waldegg: Trouvez le bien immobilier qui correspond idéalement à vos désirs sur ImmoScout24 - La plateforme de l'immobilier en Suisse.</t>
  </si>
  <si>
    <t>https://www.immoscout24.ch/fr/appartement/louer/lieu-boveresse</t>
  </si>
  <si>
    <t>Louer appartement Boveresse: Trouvez le bien immobilier qui correspond idéalement à vos désirs sur ImmoScout24 - La plateforme de l'immobilier en Suisse.</t>
  </si>
  <si>
    <t>https://www.immoscout24.ch/fr/appartement/acheter/lieu-herisau</t>
  </si>
  <si>
    <t>Vendre appartement Herisau: Trouvez le bien immobilier qui correspond idéalement à vos désirs sur ImmoScout24 - La plateforme de l'immobilier en Suisse.</t>
  </si>
  <si>
    <t>https://www.immoscout24.ch/fr/maison/louer/lieu-jaun</t>
  </si>
  <si>
    <t>Louer maison Jaun: Trouvez le bien immobilier qui correspond idéalement à vos désirs sur ImmoScout24 - La plateforme de l'immobilier en Suisse.</t>
  </si>
  <si>
    <t>https://www.immoscout24.ch/fr/maison/acheter/lieu-buus</t>
  </si>
  <si>
    <t>Vendre maison Buus: Trouvez le bien immobilier qui correspond idéalement à vos désirs sur ImmoScout24 - La plateforme de l'immobilier en Suisse.</t>
  </si>
  <si>
    <t>https://www.immoscout24.ch/fr/appartement/acheter/lieu-perly</t>
  </si>
  <si>
    <t>Vendre appartement Perly: Trouvez le bien immobilier qui correspond idéalement à vos désirs sur ImmoScout24 - La plateforme de l'immobilier en Suisse.</t>
  </si>
  <si>
    <t>https://www.immoscout24.ch/fr/appartement/louer/lieu-belprahon</t>
  </si>
  <si>
    <t>Louer appartement Belprahon: Trouvez le bien immobilier qui correspond idéalement à vos désirs sur ImmoScout24 - La plateforme de l'immobilier en Suisse.</t>
  </si>
  <si>
    <t>https://www.immoscout24.ch/fr/maison/acheter/pays-serbie</t>
  </si>
  <si>
    <t>Vendre maison Serbie: Trouvez le bien immobilier qui correspond idéalement à vos désirs sur ImmoScout24 - La plateforme de l'immobilier en Suisse.</t>
  </si>
  <si>
    <t>https://www.immoscout24.ch/fr/maison/acheter/lieu-fontaines-ne</t>
  </si>
  <si>
    <t>Vendre maison Fontaines NE: Trouvez le bien immobilier qui correspond idéalement à vos désirs sur ImmoScout24 - La plateforme de l'immobilier en Suisse.</t>
  </si>
  <si>
    <t>https://www.immoscout24.ch/fr/appartement/louer/lieu-mollie-margot</t>
  </si>
  <si>
    <t>Louer appartement Mollie-Margot: Trouvez le bien immobilier qui correspond idéalement à vos désirs sur ImmoScout24 - La plateforme de l'immobilier en Suisse.</t>
  </si>
  <si>
    <t>https://www.immoscout24.ch/fr/appartement/acheter/region-glarnerland</t>
  </si>
  <si>
    <t>Vendre appartement Glarnerland: Trouvez le bien immobilier qui correspond idéalement à vos désirs sur ImmoScout24 - La plateforme de l'immobilier en Suisse.</t>
  </si>
  <si>
    <t>https://www.immoscout24.ch/fr/appartement/acheter/lieu-meyrin</t>
  </si>
  <si>
    <t>Vendre appartement Meyrin: Trouvez le bien immobilier qui correspond idéalement à vos désirs sur ImmoScout24 - La plateforme de l'immobilier en Suisse.</t>
  </si>
  <si>
    <t>https://www.immoscout24.ch/fr/maison/acheter/lieu-grandson</t>
  </si>
  <si>
    <t>Vendre maison Grandson: Trouvez le bien immobilier qui correspond idéalement à vos désirs sur ImmoScout24 - La plateforme de l'immobilier en Suisse.</t>
  </si>
  <si>
    <t>https://www.immoscout24.ch/fr/appartement/louer/region-rheintal-werdenberg</t>
  </si>
  <si>
    <t>Louer appartement Rheintal - Werdenberg: Trouvez le bien immobilier qui correspond idéalement à vos désirs sur ImmoScout24 - La plateforme de l'immobilier en Suisse.</t>
  </si>
  <si>
    <t>https://www.immoscout24.ch/fr/appartement/acheter/lieu-veyras</t>
  </si>
  <si>
    <t>Vendre appartement Veyras: Trouvez le bien immobilier qui correspond idéalement à vos désirs sur ImmoScout24 - La plateforme de l'immobilier en Suisse.</t>
  </si>
  <si>
    <t>https://www.immoscout24.ch/fr/appartement/acheter/lieu-grenchen</t>
  </si>
  <si>
    <t>Vendre appartement Grenchen: Trouvez le bien immobilier qui correspond idéalement à vos désirs sur ImmoScout24 - La plateforme de l'immobilier en Suisse.</t>
  </si>
  <si>
    <t>https://www.immoscout24.ch/fr/appartement/louer/lieu-birsfelden</t>
  </si>
  <si>
    <t>Louer appartement Birsfelden: Trouvez le bien immobilier qui correspond idéalement à vos désirs sur ImmoScout24 - La plateforme de l'immobilier en Suisse.</t>
  </si>
  <si>
    <t>https://www.immoscout24.ch/fr/appartement/louer/lieu-adliswil</t>
  </si>
  <si>
    <t>Louer appartement Adliswil: Trouvez le bien immobilier qui correspond idéalement à vos désirs sur ImmoScout24 - La plateforme de l'immobilier en Suisse.</t>
  </si>
  <si>
    <t>https://www.immoscout24.ch/fr/appartement/acheter/lieu-bremblens</t>
  </si>
  <si>
    <t>Vendre appartement Bremblens: Trouvez le bien immobilier qui correspond idéalement à vos désirs sur ImmoScout24 - La plateforme de l'immobilier en Suisse.</t>
  </si>
  <si>
    <t>https://www.immoscout24.ch/fr/maison/acheter/lieu-tramelan</t>
  </si>
  <si>
    <t>Vendre maison Tramelan: Trouvez le bien immobilier qui correspond idéalement à vos désirs sur ImmoScout24 - La plateforme de l'immobilier en Suisse.</t>
  </si>
  <si>
    <t>https://www.immoscout24.ch/fr/appartement/louer/quartier-oberguetsch-unterguetsch-lucerne</t>
  </si>
  <si>
    <t>Louer appartement Obergütsch - Untergütsch (Lucerne): Trouvez le bien immobilier qui correspond idéalement à vos désirs sur ImmoScout24 - La plateforme de l'immobilier en Suisse.</t>
  </si>
  <si>
    <t>https://www.immoscout24.ch/fr/maison/louer/lieu-wetzikon-zh</t>
  </si>
  <si>
    <t>Louer maison Wetzikon ZH: Trouvez le bien immobilier qui correspond idéalement à vos désirs sur ImmoScout24 - La plateforme de l'immobilier en Suisse.</t>
  </si>
  <si>
    <t>https://www.immoscout24.ch/fr/appartement/louer/lieu-hoefen-b-thun</t>
  </si>
  <si>
    <t>Louer appartement Höfen b. Thun: Trouvez le bien immobilier qui correspond idéalement à vos désirs sur ImmoScout24 - La plateforme de l'immobilier en Suisse.</t>
  </si>
  <si>
    <t>https://www.immoscout24.ch/fr/maison/louer/lieu-wavre</t>
  </si>
  <si>
    <t>Louer maison Wavre: Trouvez le bien immobilier qui correspond idéalement à vos désirs sur ImmoScout24 - La plateforme de l'immobilier en Suisse.</t>
  </si>
  <si>
    <t>https://www.immoscout24.ch/fr/maison/acheter/region-val-de-ruz</t>
  </si>
  <si>
    <t>Vendre maison Val de Ruz: Trouvez le bien immobilier qui correspond idéalement à vos désirs sur ImmoScout24 - La plateforme de l'immobilier en Suisse.</t>
  </si>
  <si>
    <t>https://www.immoscout24.ch/fr/maison/louer/lieu-grenilles</t>
  </si>
  <si>
    <t>Louer maison Grenilles: Trouvez le bien immobilier qui correspond idéalement à vos désirs sur ImmoScout24 - La plateforme de l'immobilier en Suisse.</t>
  </si>
  <si>
    <t>https://www.immoscout24.ch/fr/appartement/louer/lieu-stein-ag</t>
  </si>
  <si>
    <t>Louer appartement Stein AG: Trouvez le bien immobilier qui correspond idéalement à vos désirs sur ImmoScout24 - La plateforme de l'immobilier en Suisse.</t>
  </si>
  <si>
    <t>https://www.immoscout24.ch/fr/maison/acheter/lieu-turin-salins</t>
  </si>
  <si>
    <t>Vendre maison Turin (Salins): Trouvez le bien immobilier qui correspond idéalement à vos désirs sur ImmoScout24 - La plateforme de l'immobilier en Suisse.</t>
  </si>
  <si>
    <t>https://www.immoscout24.ch/fr/maison/acheter/lieu-champex-lac</t>
  </si>
  <si>
    <t>Vendre maison Champex-Lac: Trouvez le bien immobilier qui correspond idéalement à vos désirs sur ImmoScout24 - La plateforme de l'immobilier en Suisse.</t>
  </si>
  <si>
    <t>https://www.immoscout24.ch/fr/appartement/acheter/lieu-riehen</t>
  </si>
  <si>
    <t>Vendre appartement Riehen: Trouvez le bien immobilier qui correspond idéalement à vos désirs sur ImmoScout24 - La plateforme de l'immobilier en Suisse.</t>
  </si>
  <si>
    <t>https://www.immoscout24.ch/fr/maison/acheter/lieu-embd</t>
  </si>
  <si>
    <t>Vendre maison Embd: Trouvez le bien immobilier qui correspond idéalement à vos désirs sur ImmoScout24 - La plateforme de l'immobilier en Suisse.</t>
  </si>
  <si>
    <t>https://www.immoscout24.ch/fr/appartement/louer/lieu-lommis</t>
  </si>
  <si>
    <t>Louer appartement Lommis: Trouvez le bien immobilier qui correspond idéalement à vos désirs sur ImmoScout24 - La plateforme de l'immobilier en Suisse.</t>
  </si>
  <si>
    <t>https://www.immoscout24.ch/fr/appartement/acheter/lieu-chippis</t>
  </si>
  <si>
    <t>Vendre appartement Chippis: Trouvez le bien immobilier qui correspond idéalement à vos désirs sur ImmoScout24 - La plateforme de l'immobilier en Suisse.</t>
  </si>
  <si>
    <t>https://www.immoscout24.ch/fr/appartement/louer/lieu-amden</t>
  </si>
  <si>
    <t>Louer appartement Amden: Trouvez le bien immobilier qui correspond idéalement à vos désirs sur ImmoScout24 - La plateforme de l'immobilier en Suisse.</t>
  </si>
  <si>
    <t>https://www.immoscout24.ch/fr/maison/acheter/quartier-centre-neuchatel</t>
  </si>
  <si>
    <t>Vendre maison Centre (Neuchâtel): Trouvez le bien immobilier qui correspond idéalement à vos désirs sur ImmoScout24 - La plateforme de l'immobilier en Suisse.</t>
  </si>
  <si>
    <t>https://www.immoscout24.ch/fr/maison/louer/lieu-les-giettes</t>
  </si>
  <si>
    <t>Louer maison Les Giettes: Trouvez le bien immobilier qui correspond idéalement à vos désirs sur ImmoScout24 - La plateforme de l'immobilier en Suisse.</t>
  </si>
  <si>
    <t>https://www.immoscout24.ch/fr/maison/acheter/lieu-lussery-villars</t>
  </si>
  <si>
    <t>Vendre maison Lussery-Villars: Trouvez le bien immobilier qui correspond idéalement à vos désirs sur ImmoScout24 - La plateforme de l'immobilier en Suisse.</t>
  </si>
  <si>
    <t>https://www.immoscout24.ch/fr/appartement/acheter/lieu-la-sagne-ne</t>
  </si>
  <si>
    <t>Vendre appartement La Sagne NE: Trouvez le bien immobilier qui correspond idéalement à vos désirs sur ImmoScout24 - La plateforme de l'immobilier en Suisse.</t>
  </si>
  <si>
    <t>https://www.immoscout24.ch/fr/appartement/acheter/lieu-givisiez</t>
  </si>
  <si>
    <t>Vendre appartement Givisiez: Trouvez le bien immobilier qui correspond idéalement à vos désirs sur ImmoScout24 - La plateforme de l'immobilier en Suisse.</t>
  </si>
  <si>
    <t>https://www.immoscout24.ch/fr/appartement/louer/canton-nidwald</t>
  </si>
  <si>
    <t>Louer appartement Canton de Nidwald: Trouvez le bien immobilier qui correspond idéalement à vos désirs sur ImmoScout24 - La plateforme de l'immobilier en Suisse.</t>
  </si>
  <si>
    <t>https://www.immoscout24.ch/fr/maison/louer/lieu-founex</t>
  </si>
  <si>
    <t>Louer maison Founex: Trouvez le bien immobilier qui correspond idéalement à vos désirs sur ImmoScout24 - La plateforme de l'immobilier en Suisse.</t>
  </si>
  <si>
    <t>https://www.immoscout24.ch/fr/appartement/acheter/lieu-ried-brig</t>
  </si>
  <si>
    <t>Vendre appartement Ried-Brig: Trouvez le bien immobilier qui correspond idéalement à vos désirs sur ImmoScout24 - La plateforme de l'immobilier en Suisse.</t>
  </si>
  <si>
    <t>https://www.immoscout24.ch/fr/appartement/louer/lieu-montbrelloz</t>
  </si>
  <si>
    <t>Louer appartement Montbrelloz: Trouvez le bien immobilier qui correspond idéalement à vos désirs sur ImmoScout24 - La plateforme de l'immobilier en Suisse.</t>
  </si>
  <si>
    <t>https://www.immoscout24.ch/fr/appartement/louer/lieu-zuerich</t>
  </si>
  <si>
    <t>Louer appartement Zürich: Trouvez le bien immobilier qui correspond idéalement à vos désirs sur ImmoScout24 - La plateforme de l'immobilier en Suisse.</t>
  </si>
  <si>
    <t>https://www.immoscout24.ch/fr/appartement/louer/lieu-adelboden</t>
  </si>
  <si>
    <t>Louer appartement Adelboden: Trouvez le bien immobilier qui correspond idéalement à vos désirs sur ImmoScout24 - La plateforme de l'immobilier en Suisse.</t>
  </si>
  <si>
    <t>https://www.immoscout24.ch/fr/appartement/acheter/lieu-chavornay</t>
  </si>
  <si>
    <t>Vendre appartement Chavornay: Trouvez le bien immobilier qui correspond idéalement à vos désirs sur ImmoScout24 - La plateforme de l'immobilier en Suisse.</t>
  </si>
  <si>
    <t>https://www.immoscout24.ch/fr/appartement/louer/lieu-pregassona</t>
  </si>
  <si>
    <t>Louer appartement Pregassona: Trouvez le bien immobilier qui correspond idéalement à vos désirs sur ImmoScout24 - La plateforme de l'immobilier en Suisse.</t>
  </si>
  <si>
    <t>https://www.immoscout24.ch/fr/maison/acheter/lieu-vulliens</t>
  </si>
  <si>
    <t>Vendre maison Vulliens: Trouvez le bien immobilier qui correspond idéalement à vos désirs sur ImmoScout24 - La plateforme de l'immobilier en Suisse.</t>
  </si>
  <si>
    <t>https://www.immoscout24.ch/fr/maison/acheter/lieu-verossaz</t>
  </si>
  <si>
    <t>Vendre maison Vérossaz: Trouvez le bien immobilier qui correspond idéalement à vos désirs sur ImmoScout24 - La plateforme de l'immobilier en Suisse.</t>
  </si>
  <si>
    <t>https://www.immoscout24.ch/fr/maison/acheter/lieu-vicheres-liddes</t>
  </si>
  <si>
    <t>Vendre maison Vichères (Liddes): Trouvez le bien immobilier qui correspond idéalement à vos désirs sur ImmoScout24 - La plateforme de l'immobilier en Suisse.</t>
  </si>
  <si>
    <t>https://www.immoscout24.ch/fr/maison/acheter/lieu-bourrignon</t>
  </si>
  <si>
    <t>Vendre maison Bourrignon: Trouvez le bien immobilier qui correspond idéalement à vos désirs sur ImmoScout24 - La plateforme de l'immobilier en Suisse.</t>
  </si>
  <si>
    <t>https://www.immoscout24.ch/fr/appartement/acheter/lieu-mex-vd</t>
  </si>
  <si>
    <t>Vendre appartement Mex VD: Trouvez le bien immobilier qui correspond idéalement à vos désirs sur ImmoScout24 - La plateforme de l'immobilier en Suisse.</t>
  </si>
  <si>
    <t>https://www.immoscout24.ch/fr/appartement/louer/region-fribourg-ville</t>
  </si>
  <si>
    <t>Louer appartement Fribourg ville: Trouvez le bien immobilier qui correspond idéalement à vos désirs sur ImmoScout24 - La plateforme de l'immobilier en Suisse.</t>
  </si>
  <si>
    <t>https://www.immoscout24.ch/fr/appartement/louer/lieu-haute-nendaz</t>
  </si>
  <si>
    <t>Louer appartement Haute-Nendaz: Trouvez le bien immobilier qui correspond idéalement à vos désirs sur ImmoScout24 - La plateforme de l'immobilier en Suisse.</t>
  </si>
  <si>
    <t>https://www.immoscout24.ch/fr/appartement/louer/lieu-montreux</t>
  </si>
  <si>
    <t>Louer appartement Montreux: Trouvez le bien immobilier qui correspond idéalement à vos désirs sur ImmoScout24 - La plateforme de l'immobilier en Suisse.</t>
  </si>
  <si>
    <t>https://www.immoscout24.ch/fr/appartement/acheter/quartier-nouvelle-ville-nord-biel-bienne</t>
  </si>
  <si>
    <t>Vendre appartement Nouvelle ville nord (Biel/Bienne): Trouvez le bien immobilier qui correspond idéalement à vos désirs sur ImmoScout24 - La plateforme de l'immobilier en Suisse.</t>
  </si>
  <si>
    <t>https://www.immoscout24.ch/fr/maison/acheter/canton-zoug</t>
  </si>
  <si>
    <t>Vendre maison Canton de Zoug: Trouvez le bien immobilier qui correspond idéalement à vos désirs sur ImmoScout24 - La plateforme de l'immobilier en Suisse.</t>
  </si>
  <si>
    <t>https://www.immoscout24.ch/fr/maison/acheter/lieu-cademario</t>
  </si>
  <si>
    <t>Vendre maison Cademario: Trouvez le bien immobilier qui correspond idéalement à vos désirs sur ImmoScout24 - La plateforme de l'immobilier en Suisse.</t>
  </si>
  <si>
    <t>https://www.immoscout24.ch/fr/maison/acheter/lieu-bullet</t>
  </si>
  <si>
    <t>Vendre maison Bullet: Trouvez le bien immobilier qui correspond idéalement à vos désirs sur ImmoScout24 - La plateforme de l'immobilier en Suisse.</t>
  </si>
  <si>
    <t>https://www.immoscout24.ch/fr/appartement/acheter/lieu-corcelles-ne</t>
  </si>
  <si>
    <t>Vendre appartement Corcelles NE: Trouvez le bien immobilier qui correspond idéalement à vos désirs sur ImmoScout24 - La plateforme de l'immobilier en Suisse.</t>
  </si>
  <si>
    <t>https://www.immoscout24.ch/fr/appartement/louer/lieu-rafz</t>
  </si>
  <si>
    <t>Louer appartement Rafz: Trouvez le bien immobilier qui correspond idéalement à vos désirs sur ImmoScout24 - La plateforme de l'immobilier en Suisse.</t>
  </si>
  <si>
    <t>https://www.immoscout24.ch/fr/maison/acheter/lieu-oberried-am-brienzersee</t>
  </si>
  <si>
    <t>Vendre maison Oberried am Brienzersee: Trouvez le bien immobilier qui correspond idéalement à vos désirs sur ImmoScout24 - La plateforme de l'immobilier en Suisse.</t>
  </si>
  <si>
    <t>https://www.immoscout24.ch/fr/maison/acheter/lieu-thun</t>
  </si>
  <si>
    <t>Vendre maison Thun: Trouvez le bien immobilier qui correspond idéalement à vos désirs sur ImmoScout24 - La plateforme de l'immobilier en Suisse.</t>
  </si>
  <si>
    <t>https://www.immoscout24.ch/fr/maison/louer/lieu-ollon-vd</t>
  </si>
  <si>
    <t>Louer maison Ollon VD: Trouvez le bien immobilier qui correspond idéalement à vos désirs sur ImmoScout24 - La plateforme de l'immobilier en Suisse.</t>
  </si>
  <si>
    <t>https://www.immoscout24.ch/fr/appartement/louer/quartier-sebeillon-malley-lausanne</t>
  </si>
  <si>
    <t>Louer appartement Sébeillon - Malley (Lausanne): Trouvez le bien immobilier qui correspond idéalement à vos désirs sur ImmoScout24 - La plateforme de l'immobilier en Suisse.</t>
  </si>
  <si>
    <t>https://www.immoscout24.ch/fr/maison/acheter/lieu-donneloye</t>
  </si>
  <si>
    <t>Vendre maison Donneloye: Trouvez le bien immobilier qui correspond idéalement à vos désirs sur ImmoScout24 - La plateforme de l'immobilier en Suisse.</t>
  </si>
  <si>
    <t>https://www.immoscout24.ch/fr/appartement/louer/lieu-giez</t>
  </si>
  <si>
    <t>Louer appartement Giez: Trouvez le bien immobilier qui correspond idéalement à vos désirs sur ImmoScout24 - La plateforme de l'immobilier en Suisse.</t>
  </si>
  <si>
    <t>https://www.immoscout24.ch/fr/appartement/acheter/lieu-domdidier</t>
  </si>
  <si>
    <t>Vendre appartement Domdidier: Trouvez le bien immobilier qui correspond idéalement à vos désirs sur ImmoScout24 - La plateforme de l'immobilier en Suisse.</t>
  </si>
  <si>
    <t>https://www.immoscout24.ch/fr/maison/louer/lieu-bottens</t>
  </si>
  <si>
    <t>Louer maison Bottens: Trouvez le bien immobilier qui correspond idéalement à vos désirs sur ImmoScout24 - La plateforme de l'immobilier en Suisse.</t>
  </si>
  <si>
    <t>https://www.immoscout24.ch/fr/appartement/louer/lieu-la-ferriere</t>
  </si>
  <si>
    <t>Louer appartement La Ferrière: Trouvez le bien immobilier qui correspond idéalement à vos désirs sur ImmoScout24 - La plateforme de l'immobilier en Suisse.</t>
  </si>
  <si>
    <t>https://www.immoscout24.ch/fr/maison/acheter/lieu-malleray</t>
  </si>
  <si>
    <t>Vendre maison Malleray: Trouvez le bien immobilier qui correspond idéalement à vos désirs sur ImmoScout24 - La plateforme de l'immobilier en Suisse.</t>
  </si>
  <si>
    <t>https://www.immoscout24.ch/fr/maison/acheter/lieu-gland</t>
  </si>
  <si>
    <t>Vendre maison Gland: Trouvez le bien immobilier qui correspond idéalement à vos désirs sur ImmoScout24 - La plateforme de l'immobilier en Suisse.</t>
  </si>
  <si>
    <t>https://www.immoscout24.ch/fr/maison/louer/lieu-giswil</t>
  </si>
  <si>
    <t>Louer maison Giswil: Trouvez le bien immobilier qui correspond idéalement à vos désirs sur ImmoScout24 - La plateforme de l'immobilier en Suisse.</t>
  </si>
  <si>
    <t>https://www.immoscout24.ch/fr/appartement/acheter/lieu-meggen</t>
  </si>
  <si>
    <t>Vendre appartement Meggen: Trouvez le bien immobilier qui correspond idéalement à vos désirs sur ImmoScout24 - La plateforme de l'immobilier en Suisse.</t>
  </si>
  <si>
    <t>https://www.immoscout24.ch/fr/appartement/louer/lieu-nax</t>
  </si>
  <si>
    <t>Louer appartement Nax: Trouvez le bien immobilier qui correspond idéalement à vos désirs sur ImmoScout24 - La plateforme de l'immobilier en Suisse.</t>
  </si>
  <si>
    <t>https://www.immoscout24.ch/fr/appartement/louer/pays-pologne</t>
  </si>
  <si>
    <t>Louer appartement Pologne: Trouvez le bien immobilier qui correspond idéalement à vos désirs sur ImmoScout24 - La plateforme de l'immobilier en Suisse.</t>
  </si>
  <si>
    <t>https://www.immoscout24.ch/fr/maison/acheter/region-lac-majeur</t>
  </si>
  <si>
    <t>Vendre maison Lac Majeur: Trouvez le bien immobilier qui correspond idéalement à vos désirs sur ImmoScout24 - La plateforme de l'immobilier en Suisse.</t>
  </si>
  <si>
    <t>https://www.immoscout24.ch/fr/appartement/acheter/quartier-champel-roseraie-geneve</t>
  </si>
  <si>
    <t>Vendre appartement Champel - Roseraie (Genève): Trouvez le bien immobilier qui correspond idéalement à vos désirs sur ImmoScout24 - La plateforme de l'immobilier en Suisse.</t>
  </si>
  <si>
    <t>https://www.immoscout24.ch/fr/maison/acheter/lieu-lugano</t>
  </si>
  <si>
    <t>Vendre maison Lugano: Trouvez le bien immobilier qui correspond idéalement à vos désirs sur ImmoScout24 - La plateforme de l'immobilier en Suisse.</t>
  </si>
  <si>
    <t>https://www.immoscout24.ch/fr/maison/louer/lieu-farvagny-le-petit</t>
  </si>
  <si>
    <t>Louer maison Farvagny-le-Petit: Trouvez le bien immobilier qui correspond idéalement à vos désirs sur ImmoScout24 - La plateforme de l'immobilier en Suisse.</t>
  </si>
  <si>
    <t>https://www.immoscout24.ch/fr/maison/louer/lieu-st-cergue</t>
  </si>
  <si>
    <t>Louer maison St-Cergue: Trouvez le bien immobilier qui correspond idéalement à vos désirs sur ImmoScout24 - La plateforme de l'immobilier en Suisse.</t>
  </si>
  <si>
    <t>https://www.immoscout24.ch/fr/maison/acheter/lieu-grolley</t>
  </si>
  <si>
    <t>Vendre maison Grolley: Trouvez le bien immobilier qui correspond idéalement à vos désirs sur ImmoScout24 - La plateforme de l'immobilier en Suisse.</t>
  </si>
  <si>
    <t>https://www.immoscout24.ch/fr/appartement/acheter/lieu-noville</t>
  </si>
  <si>
    <t>Vendre appartement Noville: Trouvez le bien immobilier qui correspond idéalement à vos désirs sur ImmoScout24 - La plateforme de l'immobilier en Suisse.</t>
  </si>
  <si>
    <t>https://www.immoscout24.ch/fr/maison/louer/quartier-bouchet-moillebeau-geneve</t>
  </si>
  <si>
    <t>Louer maison Bouchet - Moillebeau (Genève): Trouvez le bien immobilier qui correspond idéalement à vos désirs sur ImmoScout24 - La plateforme de l'immobilier en Suisse.</t>
  </si>
  <si>
    <t>https://www.immoscout24.ch/fr/appartement/louer/lieu-eggenwil</t>
  </si>
  <si>
    <t>Louer appartement Eggenwil: Trouvez le bien immobilier qui correspond idéalement à vos désirs sur ImmoScout24 - La plateforme de l'immobilier en Suisse.</t>
  </si>
  <si>
    <t>https://www.immoscout24.ch/fr/appartement/acheter/lieu-unterterzen</t>
  </si>
  <si>
    <t>Vendre appartement Unterterzen: Trouvez le bien immobilier qui correspond idéalement à vos désirs sur ImmoScout24 - La plateforme de l'immobilier en Suisse.</t>
  </si>
  <si>
    <t>https://www.immoscout24.ch/fr/appartement/acheter/lieu-pregassona</t>
  </si>
  <si>
    <t>Vendre appartement Pregassona: Trouvez le bien immobilier qui correspond idéalement à vos désirs sur ImmoScout24 - La plateforme de l'immobilier en Suisse.</t>
  </si>
  <si>
    <t>https://www.immoscout24.ch/fr/maison/acheter/lieu-avenches</t>
  </si>
  <si>
    <t>Vendre maison Avenches: Trouvez le bien immobilier qui correspond idéalement à vos désirs sur ImmoScout24 - La plateforme de l'immobilier en Suisse.</t>
  </si>
  <si>
    <t>https://www.immoscout24.ch/fr/maison/louer/lieu-muenchwilen-tg</t>
  </si>
  <si>
    <t>Louer maison Münchwilen TG: Trouvez le bien immobilier qui correspond idéalement à vos désirs sur ImmoScout24 - La plateforme de l'immobilier en Suisse.</t>
  </si>
  <si>
    <t>https://www.immoscout24.ch/fr/maison/acheter/lieu-les-clees</t>
  </si>
  <si>
    <t>Vendre maison Les Clées: Trouvez le bien immobilier qui correspond idéalement à vos désirs sur ImmoScout24 - La plateforme de l'immobilier en Suisse.</t>
  </si>
  <si>
    <t>https://www.immoscout24.ch/fr/appartement/louer/lieu-bossonnens</t>
  </si>
  <si>
    <t>Louer appartement Bossonnens: Trouvez le bien immobilier qui correspond idéalement à vos désirs sur ImmoScout24 - La plateforme de l'immobilier en Suisse.</t>
  </si>
  <si>
    <t>https://www.immoscout24.ch/fr/appartement/acheter/lieu-duebendorf</t>
  </si>
  <si>
    <t>Vendre appartement Dübendorf: Trouvez le bien immobilier qui correspond idéalement à vos désirs sur ImmoScout24 - La plateforme de l'immobilier en Suisse.</t>
  </si>
  <si>
    <t>https://www.immoscout24.ch/fr/maison/acheter/lieu-trogne-st-martin</t>
  </si>
  <si>
    <t>Vendre maison Trogne (St-Martin): Trouvez le bien immobilier qui correspond idéalement à vos désirs sur ImmoScout24 - La plateforme de l'immobilier en Suisse.</t>
  </si>
  <si>
    <t>https://www.immoscout24.ch/fr/appartement/louer/lieu-veyrier</t>
  </si>
  <si>
    <t>Louer appartement Veyrier: Trouvez le bien immobilier qui correspond idéalement à vos désirs sur ImmoScout24 - La plateforme de l'immobilier en Suisse.</t>
  </si>
  <si>
    <t>https://www.immoscout24.ch/fr/appartement/louer/lieu-meyrin</t>
  </si>
  <si>
    <t>Louer appartement Meyrin: Trouvez le bien immobilier qui correspond idéalement à vos désirs sur ImmoScout24 - La plateforme de l'immobilier en Suisse.</t>
  </si>
  <si>
    <t>https://www.immoscout24.ch/fr/maison/acheter/lieu-kloten</t>
  </si>
  <si>
    <t>Vendre maison Kloten: Trouvez le bien immobilier qui correspond idéalement à vos désirs sur ImmoScout24 - La plateforme de l'immobilier en Suisse.</t>
  </si>
  <si>
    <t>https://www.immoscout24.ch/fr/maison/acheter/region-winterthu-et-environs</t>
  </si>
  <si>
    <t>Vendre maison Winterthu et environs: Trouvez le bien immobilier qui correspond idéalement à vos désirs sur ImmoScout24 - La plateforme de l'immobilier en Suisse.</t>
  </si>
  <si>
    <t>https://www.immoscout24.ch/fr/appartement/acheter/lieu-saviese</t>
  </si>
  <si>
    <t>Vendre appartement Savièse: Trouvez le bien immobilier qui correspond idéalement à vos désirs sur ImmoScout24 - La plateforme de l'immobilier en Suisse.</t>
  </si>
  <si>
    <t>https://www.immoscout24.ch/fr/appartement/acheter/lieu-ebikon</t>
  </si>
  <si>
    <t>Vendre appartement Ebikon: Trouvez le bien immobilier qui correspond idéalement à vos désirs sur ImmoScout24 - La plateforme de l'immobilier en Suisse.</t>
  </si>
  <si>
    <t>https://www.immoscout24.ch/fr/appartement/acheter/lieu-grindelwald</t>
  </si>
  <si>
    <t>Vendre appartement Grindelwald: Trouvez le bien immobilier qui correspond idéalement à vos désirs sur ImmoScout24 - La plateforme de l'immobilier en Suisse.</t>
  </si>
  <si>
    <t>https://www.immoscout24.ch/fr/maison/acheter/lieu-widnau</t>
  </si>
  <si>
    <t>Vendre maison Widnau: Trouvez le bien immobilier qui correspond idéalement à vos désirs sur ImmoScout24 - La plateforme de l'immobilier en Suisse.</t>
  </si>
  <si>
    <t>https://www.immoscout24.ch/fr/appartement/louer/lieu-st-jean-vs</t>
  </si>
  <si>
    <t>Louer appartement St-Jean VS: Trouvez le bien immobilier qui correspond idéalement à vos désirs sur ImmoScout24 - La plateforme de l'immobilier en Suisse.</t>
  </si>
  <si>
    <t>https://www.immoscout24.ch/fr/appartement/louer/lieu-ursy</t>
  </si>
  <si>
    <t>Louer appartement Ursy: Trouvez le bien immobilier qui correspond idéalement à vos désirs sur ImmoScout24 - La plateforme de l'immobilier en Suisse.</t>
  </si>
  <si>
    <t>https://www.immoscout24.ch/fr/appartement/louer/lieu-les-posses-sur-bex</t>
  </si>
  <si>
    <t>Louer appartement Les Posses-sur-Bex: Trouvez le bien immobilier qui correspond idéalement à vos désirs sur ImmoScout24 - La plateforme de l'immobilier en Suisse.</t>
  </si>
  <si>
    <t>https://www.immoscout24.ch/fr/maison/acheter/lieu-hauterive-ne</t>
  </si>
  <si>
    <t>Vendre maison Hauterive NE: Trouvez le bien immobilier qui correspond idéalement à vos désirs sur ImmoScout24 - La plateforme de l'immobilier en Suisse.</t>
  </si>
  <si>
    <t>https://www.immoscout24.ch/fr/maison/acheter/lieu-uvrier</t>
  </si>
  <si>
    <t>Vendre maison Uvrier: Trouvez le bien immobilier qui correspond idéalement à vos désirs sur ImmoScout24 - La plateforme de l'immobilier en Suisse.</t>
  </si>
  <si>
    <t>https://www.immoscout24.ch/fr/appartement/louer/lieu-arisdorf</t>
  </si>
  <si>
    <t>Louer appartement Arisdorf: Trouvez le bien immobilier qui correspond idéalement à vos désirs sur ImmoScout24 - La plateforme de l'immobilier en Suisse.</t>
  </si>
  <si>
    <t>https://www.immoscout24.ch/fr/appartement/louer/quartier-trois-portes-neuchatel</t>
  </si>
  <si>
    <t>Louer appartement Trois-Portes (Neuchâtel): Trouvez le bien immobilier qui correspond idéalement à vos désirs sur ImmoScout24 - La plateforme de l'immobilier en Suisse.</t>
  </si>
  <si>
    <t>https://www.immoscout24.ch/fr/maison/louer/lieu-court</t>
  </si>
  <si>
    <t>Louer maison Court: Trouvez le bien immobilier qui correspond idéalement à vos désirs sur ImmoScout24 - La plateforme de l'immobilier en Suisse.</t>
  </si>
  <si>
    <t>https://www.immoscout24.ch/fr/maison/acheter/region-aigle-alpes-vaudoises</t>
  </si>
  <si>
    <t>Vendre maison Aigle - Alpes Vaudoises: Trouvez le bien immobilier qui correspond idéalement à vos désirs sur ImmoScout24 - La plateforme de l'immobilier en Suisse.</t>
  </si>
  <si>
    <t>https://www.immoscout24.ch/fr/maison/louer/lieu-mies</t>
  </si>
  <si>
    <t>Louer maison Mies: Trouvez le bien immobilier qui correspond idéalement à vos désirs sur ImmoScout24 - La plateforme de l'immobilier en Suisse.</t>
  </si>
  <si>
    <t>https://www.immoscout24.ch/fr/appartement/louer/lieu-agarn</t>
  </si>
  <si>
    <t>Louer appartement Agarn: Trouvez le bien immobilier qui correspond idéalement à vos désirs sur ImmoScout24 - La plateforme de l'immobilier en Suisse.</t>
  </si>
  <si>
    <t>https://www.immoscout24.ch/fr/appartement/louer/lieu-gy</t>
  </si>
  <si>
    <t>Louer appartement Gy: Trouvez le bien immobilier qui correspond idéalement à vos désirs sur ImmoScout24 - La plateforme de l'immobilier en Suisse.</t>
  </si>
  <si>
    <t>https://www.immoscout24.ch/fr/appartement/acheter/lieu-st-niklaus-vs</t>
  </si>
  <si>
    <t>Vendre appartement St. Niklaus VS: Trouvez le bien immobilier qui correspond idéalement à vos désirs sur ImmoScout24 - La plateforme de l'immobilier en Suisse.</t>
  </si>
  <si>
    <t>https://www.immoscout24.ch/fr/appartement/acheter/lieu-buerchen</t>
  </si>
  <si>
    <t>Vendre appartement Bürchen: Trouvez le bien immobilier qui correspond idéalement à vos désirs sur ImmoScout24 - La plateforme de l'immobilier en Suisse.</t>
  </si>
  <si>
    <t>https://www.immoscout24.ch/fr/appartement/louer/lieu-rothrist</t>
  </si>
  <si>
    <t>Louer appartement Rothrist: Trouvez le bien immobilier qui correspond idéalement à vos désirs sur ImmoScout24 - La plateforme de l'immobilier en Suisse.</t>
  </si>
  <si>
    <t>https://www.immoscout24.ch/fr/appartement/louer/lieu-les-sagnettes</t>
  </si>
  <si>
    <t>Louer appartement Les Sagnettes: Trouvez le bien immobilier qui correspond idéalement à vos désirs sur ImmoScout24 - La plateforme de l'immobilier en Suisse.</t>
  </si>
  <si>
    <t>https://www.immoscout24.ch/fr/maison/acheter/lieu-cerniat-fr</t>
  </si>
  <si>
    <t>Vendre maison Cerniat FR: Trouvez le bien immobilier qui correspond idéalement à vos désirs sur ImmoScout24 - La plateforme de l'immobilier en Suisse.</t>
  </si>
  <si>
    <t>https://www.immoscout24.ch/fr/appartement/louer/lieu-galgenen</t>
  </si>
  <si>
    <t>Louer appartement Galgenen: Trouvez le bien immobilier qui correspond idéalement à vos désirs sur ImmoScout24 - La plateforme de l'immobilier en Suisse.</t>
  </si>
  <si>
    <t>https://www.immoscout24.ch/fr/appartement/louer/lieu-buonas</t>
  </si>
  <si>
    <t>Louer appartement Buonas: Trouvez le bien immobilier qui correspond idéalement à vos désirs sur ImmoScout24 - La plateforme de l'immobilier en Suisse.</t>
  </si>
  <si>
    <t>https://www.immoscout24.ch/fr/maison/acheter/lieu-pazzallo</t>
  </si>
  <si>
    <t>Vendre maison Pazzallo: Trouvez le bien immobilier qui correspond idéalement à vos désirs sur ImmoScout24 - La plateforme de l'immobilier en Suisse.</t>
  </si>
  <si>
    <t>https://www.immoscout24.ch/fr/appartement/louer/lieu-orsieres</t>
  </si>
  <si>
    <t>Louer appartement Orsières: Trouvez le bien immobilier qui correspond idéalement à vos désirs sur ImmoScout24 - La plateforme de l'immobilier en Suisse.</t>
  </si>
  <si>
    <t>https://www.immoscout24.ch/fr/maison/louer/lieu-vuisternens-devant-romont</t>
  </si>
  <si>
    <t>Louer maison Vuisternens-devant-Romont: Trouvez le bien immobilier qui correspond idéalement à vos désirs sur ImmoScout24 - La plateforme de l'immobilier en Suisse.</t>
  </si>
  <si>
    <t>https://www.immoscout24.ch/fr/appartement/acheter/lieu-blankenburg</t>
  </si>
  <si>
    <t>Vendre appartement Blankenburg: Trouvez le bien immobilier qui correspond idéalement à vos désirs sur ImmoScout24 - La plateforme de l'immobilier en Suisse.</t>
  </si>
  <si>
    <t>https://www.immoscout24.ch/fr/appartement/louer/lieu-chalais</t>
  </si>
  <si>
    <t>Louer appartement Chalais: Trouvez le bien immobilier qui correspond idéalement à vos désirs sur ImmoScout24 - La plateforme de l'immobilier en Suisse.</t>
  </si>
  <si>
    <t>https://www.immoscout24.ch/fr/appartement/acheter/lieu-areuse</t>
  </si>
  <si>
    <t>Vendre appartement Areuse: Trouvez le bien immobilier qui correspond idéalement à vos désirs sur ImmoScout24 - La plateforme de l'immobilier en Suisse.</t>
  </si>
  <si>
    <t>https://www.immoscout24.ch/fr/appartement/acheter/quartier-bruderholz-bale</t>
  </si>
  <si>
    <t>Vendre appartement Bruderholz (Bâle): Trouvez le bien immobilier qui correspond idéalement à vos désirs sur ImmoScout24 - La plateforme de l'immobilier en Suisse.</t>
  </si>
  <si>
    <t>https://www.immoscout24.ch/fr/maison/acheter/lieu-le-mont-sur-lausanne</t>
  </si>
  <si>
    <t>Vendre maison Le Mont-sur-Lausanne: Trouvez le bien immobilier qui correspond idéalement à vos désirs sur ImmoScout24 - La plateforme de l'immobilier en Suisse.</t>
  </si>
  <si>
    <t>https://www.immoscout24.ch/fr/appartement/louer/lieu-vuippens</t>
  </si>
  <si>
    <t>Louer appartement Vuippens: Trouvez le bien immobilier qui correspond idéalement à vos désirs sur ImmoScout24 - La plateforme de l'immobilier en Suisse.</t>
  </si>
  <si>
    <t>https://www.immoscout24.ch/fr/maison/louer/lieu-crans-montana</t>
  </si>
  <si>
    <t>Louer maison Crans-Montana: Trouvez le bien immobilier qui correspond idéalement à vos désirs sur ImmoScout24 - La plateforme de l'immobilier en Suisse.</t>
  </si>
  <si>
    <t>https://www.immoscout24.ch/fr/appartement/louer/lieu-biberist</t>
  </si>
  <si>
    <t>Louer appartement Biberist: Trouvez le bien immobilier qui correspond idéalement à vos désirs sur ImmoScout24 - La plateforme de l'immobilier en Suisse.</t>
  </si>
  <si>
    <t>https://www.immoscout24.ch/fr/maison/acheter/pays-maldives</t>
  </si>
  <si>
    <t>Vendre maison Maldives: Trouvez le bien immobilier qui correspond idéalement à vos désirs sur ImmoScout24 - La plateforme de l'immobilier en Suisse.</t>
  </si>
  <si>
    <t>https://www.immoscout24.ch/fr/appartement/acheter/quartier-allmendingen-thun</t>
  </si>
  <si>
    <t>Vendre appartement Allmendingen (Thun): Trouvez le bien immobilier qui correspond idéalement à vos désirs sur ImmoScout24 - La plateforme de l'immobilier en Suisse.</t>
  </si>
  <si>
    <t>https://www.immoscout24.ch/fr/maison/acheter/lieu-gimmelwald</t>
  </si>
  <si>
    <t>Vendre maison Gimmelwald: Trouvez le bien immobilier qui correspond idéalement à vos désirs sur ImmoScout24 - La plateforme de l'immobilier en Suisse.</t>
  </si>
  <si>
    <t>https://www.immoscout24.ch/fr/maison/louer/lieu-rorschach</t>
  </si>
  <si>
    <t>Louer maison Rorschach: Trouvez le bien immobilier qui correspond idéalement à vos désirs sur ImmoScout24 - La plateforme de l'immobilier en Suisse.</t>
  </si>
  <si>
    <t>https://www.immoscout24.ch/fr/maison/acheter/lieu-gunten</t>
  </si>
  <si>
    <t>Vendre maison Gunten: Trouvez le bien immobilier qui correspond idéalement à vos désirs sur ImmoScout24 - La plateforme de l'immobilier en Suisse.</t>
  </si>
  <si>
    <t>https://www.immoscout24.ch/fr/appartement/acheter/lieu-genthod</t>
  </si>
  <si>
    <t>Vendre appartement Genthod: Trouvez le bien immobilier qui correspond idéalement à vos désirs sur ImmoScout24 - La plateforme de l'immobilier en Suisse.</t>
  </si>
  <si>
    <t>https://www.immoscout24.ch/fr/maison/louer/lieu-duebendorf</t>
  </si>
  <si>
    <t>Louer maison Dübendorf: Trouvez le bien immobilier qui correspond idéalement à vos désirs sur ImmoScout24 - La plateforme de l'immobilier en Suisse.</t>
  </si>
  <si>
    <t>https://www.immoscout24.ch/fr/maison/louer/lieu-orbe</t>
  </si>
  <si>
    <t>Louer maison Orbe: Trouvez le bien immobilier qui correspond idéalement à vos désirs sur ImmoScout24 - La plateforme de l'immobilier en Suisse.</t>
  </si>
  <si>
    <t>https://www.immoscout24.ch/fr/appartement/louer/lieu-landquart</t>
  </si>
  <si>
    <t>Louer appartement Landquart: Trouvez le bien immobilier qui correspond idéalement à vos désirs sur ImmoScout24 - La plateforme de l'immobilier en Suisse.</t>
  </si>
  <si>
    <t>https://www.immoscout24.ch/fr/appartement/louer/lieu-schwerzenbach</t>
  </si>
  <si>
    <t>Louer appartement Schwerzenbach: Trouvez le bien immobilier qui correspond idéalement à vos désirs sur ImmoScout24 - La plateforme de l'immobilier en Suisse.</t>
  </si>
  <si>
    <t>https://www.immoscout24.ch/fr/appartement/louer/lieu-melchsee-frutt</t>
  </si>
  <si>
    <t>Louer appartement Melchsee-Frutt: Trouvez le bien immobilier qui correspond idéalement à vos désirs sur ImmoScout24 - La plateforme de l'immobilier en Suisse.</t>
  </si>
  <si>
    <t>https://www.immoscout24.ch/fr/maison/acheter/lieu-montignez</t>
  </si>
  <si>
    <t>Vendre maison Montignez: Trouvez le bien immobilier qui correspond idéalement à vos désirs sur ImmoScout24 - La plateforme de l'immobilier en Suisse.</t>
  </si>
  <si>
    <t>https://www.immoscout24.ch/fr/maison/acheter/lieu-albinen</t>
  </si>
  <si>
    <t>Vendre maison Albinen: Trouvez le bien immobilier qui correspond idéalement à vos désirs sur ImmoScout24 - La plateforme de l'immobilier en Suisse.</t>
  </si>
  <si>
    <t>https://www.immoscout24.ch/fr/maison/louer/lieu-montagny-la-ville</t>
  </si>
  <si>
    <t>Louer maison Montagny-la-Ville: Trouvez le bien immobilier qui correspond idéalement à vos désirs sur ImmoScout24 - La plateforme de l'immobilier en Suisse.</t>
  </si>
  <si>
    <t>https://www.immoscout24.ch/fr/appartement/louer/lieu-cadenazzo</t>
  </si>
  <si>
    <t>Louer appartement Cadenazzo: Trouvez le bien immobilier qui correspond idéalement à vos désirs sur ImmoScout24 - La plateforme de l'immobilier en Suisse.</t>
  </si>
  <si>
    <t>https://www.immoscout24.ch/fr/maison/louer/region-frauenfeld-muenchwilen</t>
  </si>
  <si>
    <t>Louer maison Frauenfeld - Münchwilen: Trouvez le bien immobilier qui correspond idéalement à vos désirs sur ImmoScout24 - La plateforme de l'immobilier en Suisse.</t>
  </si>
  <si>
    <t>https://www.immoscout24.ch/fr/appartement/louer/lieu-ederswiler</t>
  </si>
  <si>
    <t>Louer appartement Ederswiler: Trouvez le bien immobilier qui correspond idéalement à vos désirs sur ImmoScout24 - La plateforme de l'immobilier en Suisse.</t>
  </si>
  <si>
    <t>https://www.immoscout24.ch/fr/appartement/acheter/canton-glaris</t>
  </si>
  <si>
    <t>Vendre appartement Canton de Glaris: Trouvez le bien immobilier qui correspond idéalement à vos désirs sur ImmoScout24 - La plateforme de l'immobilier en Suisse.</t>
  </si>
  <si>
    <t>https://www.immoscout24.ch/fr/appartement/acheter/quartier-vieille-ville-biel-bienne</t>
  </si>
  <si>
    <t>Vendre appartement Vieille ville (Biel/Bienne): Trouvez le bien immobilier qui correspond idéalement à vos désirs sur ImmoScout24 - La plateforme de l'immobilier en Suisse.</t>
  </si>
  <si>
    <t>https://www.immoscout24.ch/fr/maison/louer/canton-zurich</t>
  </si>
  <si>
    <t>Louer maison Canton de Zurich: Trouvez le bien immobilier qui correspond idéalement à vos désirs sur ImmoScout24 - La plateforme de l'immobilier en Suisse.</t>
  </si>
  <si>
    <t>https://www.immoscout24.ch/fr/maison/acheter/lieu-brione-sopra-minusio</t>
  </si>
  <si>
    <t>Vendre maison Brione sopra Minusio: Trouvez le bien immobilier qui correspond idéalement à vos désirs sur ImmoScout24 - La plateforme de l'immobilier en Suisse.</t>
  </si>
  <si>
    <t>https://www.immoscout24.ch/fr/appartement/louer/lieu-kloten</t>
  </si>
  <si>
    <t>Louer appartement Kloten: Trouvez le bien immobilier qui correspond idéalement à vos désirs sur ImmoScout24 - La plateforme de l'immobilier en Suisse.</t>
  </si>
  <si>
    <t>https://www.immoscout24.ch/fr/appartement/louer/lieu-trimbach</t>
  </si>
  <si>
    <t>Louer appartement Trimbach: Trouvez le bien immobilier qui correspond idéalement à vos désirs sur ImmoScout24 - La plateforme de l'immobilier en Suisse.</t>
  </si>
  <si>
    <t>https://www.immoscout24.ch/fr/appartement/louer/lieu-lussy-fr</t>
  </si>
  <si>
    <t>Louer appartement Lussy FR: Trouvez le bien immobilier qui correspond idéalement à vos désirs sur ImmoScout24 - La plateforme de l'immobilier en Suisse.</t>
  </si>
  <si>
    <t>https://www.immoscout24.ch/fr/maison/louer/region-oberland-ouest</t>
  </si>
  <si>
    <t>Louer maison Oberland Ouest: Trouvez le bien immobilier qui correspond idéalement à vos désirs sur ImmoScout24 - La plateforme de l'immobilier en Suisse.</t>
  </si>
  <si>
    <t>https://www.immoscout24.ch/fr/appartement/louer/lieu-vernate</t>
  </si>
  <si>
    <t>Louer appartement Vernate: Trouvez le bien immobilier qui correspond idéalement à vos désirs sur ImmoScout24 - La plateforme de l'immobilier en Suisse.</t>
  </si>
  <si>
    <t>https://www.immoscout24.ch/fr/maison/acheter/lieu-vens-sembrancher</t>
  </si>
  <si>
    <t>Vendre maison Vens (Sembrancher): Trouvez le bien immobilier qui correspond idéalement à vos désirs sur ImmoScout24 - La plateforme de l'immobilier en Suisse.</t>
  </si>
  <si>
    <t>https://www.immoscout24.ch/fr/maison/acheter/lieu-kirchberg-be</t>
  </si>
  <si>
    <t>Vendre maison Kirchberg BE: Trouvez le bien immobilier qui correspond idéalement à vos désirs sur ImmoScout24 - La plateforme de l'immobilier en Suisse.</t>
  </si>
  <si>
    <t>https://www.immoscout24.ch/fr/appartement/acheter/lieu-naters</t>
  </si>
  <si>
    <t>Vendre appartement Naters: Trouvez le bien immobilier qui correspond idéalement à vos désirs sur ImmoScout24 - La plateforme de l'immobilier en Suisse.</t>
  </si>
  <si>
    <t>https://www.immoscout24.ch/fr/maison/acheter/lieu-cham</t>
  </si>
  <si>
    <t>Vendre maison Cham: Trouvez le bien immobilier qui correspond idéalement à vos désirs sur ImmoScout24 - La plateforme de l'immobilier en Suisse.</t>
  </si>
  <si>
    <t>https://www.immoscout24.ch/fr/appartement/louer/lieu-montezillon</t>
  </si>
  <si>
    <t>Louer appartement Montezillon: Trouvez le bien immobilier qui correspond idéalement à vos désirs sur ImmoScout24 - La plateforme de l'immobilier en Suisse.</t>
  </si>
  <si>
    <t>https://www.immoscout24.ch/fr/maison/louer/lieu-praz-vully</t>
  </si>
  <si>
    <t>Louer maison Praz (Vully): Trouvez le bien immobilier qui correspond idéalement à vos désirs sur ImmoScout24 - La plateforme de l'immobilier en Suisse.</t>
  </si>
  <si>
    <t>https://www.immoscout24.ch/fr/appartement/louer/lieu-reichenbach-im-kandertal</t>
  </si>
  <si>
    <t>Louer appartement Reichenbach im Kandertal: Trouvez le bien immobilier qui correspond idéalement à vos désirs sur ImmoScout24 - La plateforme de l'immobilier en Suisse.</t>
  </si>
  <si>
    <t>https://www.immoscout24.ch/fr/maison/acheter/lieu-winden</t>
  </si>
  <si>
    <t>Vendre maison Winden: Trouvez le bien immobilier qui correspond idéalement à vos désirs sur ImmoScout24 - La plateforme de l'immobilier en Suisse.</t>
  </si>
  <si>
    <t>https://www.immoscout24.ch/fr/appartement/louer/lieu-villars-mendraz</t>
  </si>
  <si>
    <t>Louer appartement Villars-Mendraz: Trouvez le bien immobilier qui correspond idéalement à vos désirs sur ImmoScout24 - La plateforme de l'immobilier en Suisse.</t>
  </si>
  <si>
    <t>https://www.immoscout24.ch/fr/maison/acheter/lieu-guttannen</t>
  </si>
  <si>
    <t>Vendre maison Guttannen: Trouvez le bien immobilier qui correspond idéalement à vos désirs sur ImmoScout24 - La plateforme de l'immobilier en Suisse.</t>
  </si>
  <si>
    <t>https://www.immoscout24.ch/fr/maison/acheter/lieu-sessa</t>
  </si>
  <si>
    <t>Vendre maison Sessa: Trouvez le bien immobilier qui correspond idéalement à vos désirs sur ImmoScout24 - La plateforme de l'immobilier en Suisse.</t>
  </si>
  <si>
    <t>https://www.immoscout24.ch/fr/maison/louer/lieu-troistorrents</t>
  </si>
  <si>
    <t>Louer maison Troistorrents: Trouvez le bien immobilier qui correspond idéalement à vos désirs sur ImmoScout24 - La plateforme de l'immobilier en Suisse.</t>
  </si>
  <si>
    <t>https://www.immoscout24.ch/fr/appartement/louer/lieu-adlikon-b-regensdorf</t>
  </si>
  <si>
    <t>Louer appartement Adlikon b. Regensdorf: Trouvez le bien immobilier qui correspond idéalement à vos désirs sur ImmoScout24 - La plateforme de l'immobilier en Suisse.</t>
  </si>
  <si>
    <t>https://www.immoscout24.ch/fr/appartement/louer/lieu-pompaples</t>
  </si>
  <si>
    <t>Louer appartement Pompaples: Trouvez le bien immobilier qui correspond idéalement à vos désirs sur ImmoScout24 - La plateforme de l'immobilier en Suisse.</t>
  </si>
  <si>
    <t>https://www.immoscout24.ch/fr/appartement/louer/quartier-westquartier-thun</t>
  </si>
  <si>
    <t>Louer appartement Westquartier (Thun): Trouvez le bien immobilier qui correspond idéalement à vos désirs sur ImmoScout24 - La plateforme de l'immobilier en Suisse.</t>
  </si>
  <si>
    <t>https://www.immoscout24.ch/fr/appartement/acheter/lieu-la-chaux-cossonay</t>
  </si>
  <si>
    <t>Vendre appartement La Chaux (Cossonay): Trouvez le bien immobilier qui correspond idéalement à vos désirs sur ImmoScout24 - La plateforme de l'immobilier en Suisse.</t>
  </si>
  <si>
    <t>https://www.immoscout24.ch/fr/appartement/louer/lieu-freienbach</t>
  </si>
  <si>
    <t>Louer appartement Freienbach: Trouvez le bien immobilier qui correspond idéalement à vos désirs sur ImmoScout24 - La plateforme de l'immobilier en Suisse.</t>
  </si>
  <si>
    <t>https://www.immoscout24.ch/fr/appartement/acheter/lieu-rheinau</t>
  </si>
  <si>
    <t>Vendre appartement Rheinau: Trouvez le bien immobilier qui correspond idéalement à vos désirs sur ImmoScout24 - La plateforme de l'immobilier en Suisse.</t>
  </si>
  <si>
    <t>https://www.immoscout24.ch/fr/appartement/acheter/quartier-alpes-neuchatel</t>
  </si>
  <si>
    <t>Vendre appartement Alpes (Neuchâtel): Trouvez le bien immobilier qui correspond idéalement à vos désirs sur ImmoScout24 - La plateforme de l'immobilier en Suisse.</t>
  </si>
  <si>
    <t>https://www.immoscout24.ch/fr/maison/acheter/lieu-mezieres-vd</t>
  </si>
  <si>
    <t>Vendre maison Mézières VD: Trouvez le bien immobilier qui correspond idéalement à vos désirs sur ImmoScout24 - La plateforme de l'immobilier en Suisse.</t>
  </si>
  <si>
    <t>https://www.immoscout24.ch/fr/appartement/louer/lieu-seengen</t>
  </si>
  <si>
    <t>Louer appartement Seengen: Trouvez le bien immobilier qui correspond idéalement à vos désirs sur ImmoScout24 - La plateforme de l'immobilier en Suisse.</t>
  </si>
  <si>
    <t>https://www.immoscout24.ch/fr/maison/acheter/lieu-anzere</t>
  </si>
  <si>
    <t>Vendre maison Anzère: Trouvez le bien immobilier qui correspond idéalement à vos désirs sur ImmoScout24 - La plateforme de l'immobilier en Suisse.</t>
  </si>
  <si>
    <t>https://www.immoscout24.ch/fr/maison/acheter/lieu-ennetbuergen</t>
  </si>
  <si>
    <t>Vendre maison Ennetbürgen: Trouvez le bien immobilier qui correspond idéalement à vos désirs sur ImmoScout24 - La plateforme de l'immobilier en Suisse.</t>
  </si>
  <si>
    <t>https://www.immoscout24.ch/fr/appartement/louer/region-bale-campagne-ouest</t>
  </si>
  <si>
    <t>Louer appartement Bâle Campagne Ouest: Trouvez le bien immobilier qui correspond idéalement à vos désirs sur ImmoScout24 - La plateforme de l'immobilier en Suisse.</t>
  </si>
  <si>
    <t>https://www.immoscout24.ch/fr/maison/louer/lieu-champery</t>
  </si>
  <si>
    <t>Louer maison Champéry: Trouvez le bien immobilier qui correspond idéalement à vos désirs sur ImmoScout24 - La plateforme de l'immobilier en Suisse.</t>
  </si>
  <si>
    <t>https://www.immoscout24.ch/fr/appartement/acheter/lieu-rennaz</t>
  </si>
  <si>
    <t>Vendre appartement Rennaz: Trouvez le bien immobilier qui correspond idéalement à vos désirs sur ImmoScout24 - La plateforme de l'immobilier en Suisse.</t>
  </si>
  <si>
    <t>https://www.immoscout24.ch/fr/appartement/acheter/lieu-s-antonino</t>
  </si>
  <si>
    <t>Vendre appartement S. Antonino: Trouvez le bien immobilier qui correspond idéalement à vos désirs sur ImmoScout24 - La plateforme de l'immobilier en Suisse.</t>
  </si>
  <si>
    <t>https://www.immoscout24.ch/fr/maison/acheter/lieu-laupen-be</t>
  </si>
  <si>
    <t>Vendre maison Laupen BE: Trouvez le bien immobilier qui correspond idéalement à vos désirs sur ImmoScout24 - La plateforme de l'immobilier en Suisse.</t>
  </si>
  <si>
    <t>https://www.immoscout24.ch/fr/appartement/acheter/canton-lucerne</t>
  </si>
  <si>
    <t>Vendre appartement Canton de Lucerne: Trouvez le bien immobilier qui correspond idéalement à vos désirs sur ImmoScout24 - La plateforme de l'immobilier en Suisse.</t>
  </si>
  <si>
    <t>https://www.immoscout24.ch/fr/maison/acheter/lieu-campo-vallemaggia</t>
  </si>
  <si>
    <t>Vendre maison Campo (Vallemaggia): Trouvez le bien immobilier qui correspond idéalement à vos désirs sur ImmoScout24 - La plateforme de l'immobilier en Suisse.</t>
  </si>
  <si>
    <t>https://www.immoscout24.ch/fr/maison/louer/lieu-ependes-vd</t>
  </si>
  <si>
    <t>Louer maison Ependes VD: Trouvez le bien immobilier qui correspond idéalement à vos désirs sur ImmoScout24 - La plateforme de l'immobilier en Suisse.</t>
  </si>
  <si>
    <t>https://www.immoscout24.ch/fr/maison/acheter/lieu-fechy</t>
  </si>
  <si>
    <t>Vendre maison Féchy: Trouvez le bien immobilier qui correspond idéalement à vos désirs sur ImmoScout24 - La plateforme de l'immobilier en Suisse.</t>
  </si>
  <si>
    <t>https://www.immoscout24.ch/fr/appartement/acheter/lieu-collonge-bellerive</t>
  </si>
  <si>
    <t>Vendre appartement Collonge-Bellerive: Trouvez le bien immobilier qui correspond idéalement à vos désirs sur ImmoScout24 - La plateforme de l'immobilier en Suisse.</t>
  </si>
  <si>
    <t>https://www.immoscout24.ch/fr/maison/acheter/lieu-riddes</t>
  </si>
  <si>
    <t>Vendre maison Riddes: Trouvez le bien immobilier qui correspond idéalement à vos désirs sur ImmoScout24 - La plateforme de l'immobilier en Suisse.</t>
  </si>
  <si>
    <t>https://www.immoscout24.ch/fr/appartement/acheter/lieu-denges</t>
  </si>
  <si>
    <t>Vendre appartement Denges: Trouvez le bien immobilier qui correspond idéalement à vos désirs sur ImmoScout24 - La plateforme de l'immobilier en Suisse.</t>
  </si>
  <si>
    <t>https://www.immoscout24.ch/fr/appartement/louer/lieu-zug</t>
  </si>
  <si>
    <t>Louer appartement Zug: Trouvez le bien immobilier qui correspond idéalement à vos désirs sur ImmoScout24 - La plateforme de l'immobilier en Suisse.</t>
  </si>
  <si>
    <t>https://www.immoscout24.ch/fr/maison/louer/lieu-bussy-fr</t>
  </si>
  <si>
    <t>Louer maison Bussy FR: Trouvez le bien immobilier qui correspond idéalement à vos désirs sur ImmoScout24 - La plateforme de l'immobilier en Suisse.</t>
  </si>
  <si>
    <t>https://www.immoscout24.ch/fr/maison/louer/lieu-bassecourt</t>
  </si>
  <si>
    <t>Louer maison Bassecourt: Trouvez le bien immobilier qui correspond idéalement à vos désirs sur ImmoScout24 - La plateforme de l'immobilier en Suisse.</t>
  </si>
  <si>
    <t>https://www.immoscout24.ch/fr/appartement/louer/lieu-krummenau</t>
  </si>
  <si>
    <t>Louer appartement Krummenau: Trouvez le bien immobilier qui correspond idéalement à vos désirs sur ImmoScout24 - La plateforme de l'immobilier en Suisse.</t>
  </si>
  <si>
    <t>https://www.immoscout24.ch/fr/maison/louer/quartier-mousquines-bellevue-lausanne</t>
  </si>
  <si>
    <t>Louer maison Mousquines - Bellevue (Lausanne): Trouvez le bien immobilier qui correspond idéalement à vos désirs sur ImmoScout24 - La plateforme de l'immobilier en Suisse.</t>
  </si>
  <si>
    <t>https://www.immoscout24.ch/fr/appartement/louer/lieu-bellelay</t>
  </si>
  <si>
    <t>Louer appartement Bellelay: Trouvez le bien immobilier qui correspond idéalement à vos désirs sur ImmoScout24 - La plateforme de l'immobilier en Suisse.</t>
  </si>
  <si>
    <t>https://www.immoscout24.ch/fr/appartement/louer/lieu-champex-lac</t>
  </si>
  <si>
    <t>Louer appartement Champex-Lac: Trouvez le bien immobilier qui correspond idéalement à vos désirs sur ImmoScout24 - La plateforme de l'immobilier en Suisse.</t>
  </si>
  <si>
    <t>https://www.immoscout24.ch/fr/appartement/louer/lieu-chexbres</t>
  </si>
  <si>
    <t>Louer appartement Chexbres: Trouvez le bien immobilier qui correspond idéalement à vos désirs sur ImmoScout24 - La plateforme de l'immobilier en Suisse.</t>
  </si>
  <si>
    <t>https://www.immoscout24.ch/fr/appartement/acheter/lieu-schinznach-dorf</t>
  </si>
  <si>
    <t>Vendre appartement Schinznach Dorf: Trouvez le bien immobilier qui correspond idéalement à vos désirs sur ImmoScout24 - La plateforme de l'immobilier en Suisse.</t>
  </si>
  <si>
    <t>https://www.immoscout24.ch/fr/maison/acheter/lieu-villars-le-comte</t>
  </si>
  <si>
    <t>Vendre maison Villars-le-Comte: Trouvez le bien immobilier qui correspond idéalement à vos désirs sur ImmoScout24 - La plateforme de l'immobilier en Suisse.</t>
  </si>
  <si>
    <t>https://www.immoscout24.ch/fr/maison/louer/lieu-le-locle</t>
  </si>
  <si>
    <t>Louer maison Le Locle: Trouvez le bien immobilier qui correspond idéalement à vos désirs sur ImmoScout24 - La plateforme de l'immobilier en Suisse.</t>
  </si>
  <si>
    <t>https://www.immoscout24.ch/fr/appartement/louer/lieu-giornico</t>
  </si>
  <si>
    <t>Louer appartement Giornico: Trouvez le bien immobilier qui correspond idéalement à vos désirs sur ImmoScout24 - La plateforme de l'immobilier en Suisse.</t>
  </si>
  <si>
    <t>https://www.immoscout24.ch/fr/appartement/louer/lieu-praz-de-fort</t>
  </si>
  <si>
    <t>Louer appartement Praz-de-Fort: Trouvez le bien immobilier qui correspond idéalement à vos désirs sur ImmoScout24 - La plateforme de l'immobilier en Suisse.</t>
  </si>
  <si>
    <t>https://www.immoscout24.ch/fr/maison/acheter/lieu-farvagny-le-petit</t>
  </si>
  <si>
    <t>Vendre maison Farvagny-le-Petit: Trouvez le bien immobilier qui correspond idéalement à vos désirs sur ImmoScout24 - La plateforme de l'immobilier en Suisse.</t>
  </si>
  <si>
    <t>https://www.immoscout24.ch/fr/maison/acheter/lieu-balsthal</t>
  </si>
  <si>
    <t>Vendre maison Balsthal: Trouvez le bien immobilier qui correspond idéalement à vos désirs sur ImmoScout24 - La plateforme de l'immobilier en Suisse.</t>
  </si>
  <si>
    <t>https://www.immoscout24.ch/fr/appartement/louer/lieu-aarau-rohr</t>
  </si>
  <si>
    <t>Louer appartement Aarau Rohr: Trouvez le bien immobilier qui correspond idéalement à vos désirs sur ImmoScout24 - La plateforme de l'immobilier en Suisse.</t>
  </si>
  <si>
    <t>https://www.immoscout24.ch/fr/appartement/louer/lieu-ependes-fr</t>
  </si>
  <si>
    <t>Louer appartement Ependes FR: Trouvez le bien immobilier qui correspond idéalement à vos désirs sur ImmoScout24 - La plateforme de l'immobilier en Suisse.</t>
  </si>
  <si>
    <t>https://www.immoscout24.ch/fr/maison/acheter/lieu-les-sciernes-d-albeuve</t>
  </si>
  <si>
    <t>Vendre maison Les Sciernes-d'Albeuve: Trouvez le bien immobilier qui correspond idéalement à vos désirs sur ImmoScout24 - La plateforme de l'immobilier en Suisse.</t>
  </si>
  <si>
    <t>https://www.immoscout24.ch/fr/appartement/acheter/lieu-la-tzoumaz</t>
  </si>
  <si>
    <t>Vendre appartement La Tzoumaz: Trouvez le bien immobilier qui correspond idéalement à vos désirs sur ImmoScout24 - La plateforme de l'immobilier en Suisse.</t>
  </si>
  <si>
    <t>https://www.immoscout24.ch/fr/appartement/louer/lieu-wahlen-b-laufen</t>
  </si>
  <si>
    <t>Louer appartement Wahlen b. Laufen: Trouvez le bien immobilier qui correspond idéalement à vos désirs sur ImmoScout24 - La plateforme de l'immobilier en Suisse.</t>
  </si>
  <si>
    <t>https://www.immoscout24.ch/fr/maison/acheter/lieu-grimisuat</t>
  </si>
  <si>
    <t>Vendre maison Grimisuat: Trouvez le bien immobilier qui correspond idéalement à vos désirs sur ImmoScout24 - La plateforme de l'immobilier en Suisse.</t>
  </si>
  <si>
    <t>https://www.immoscout24.ch/fr/maison/louer/lieu-broc</t>
  </si>
  <si>
    <t>Louer maison Broc: Trouvez le bien immobilier qui correspond idéalement à vos désirs sur ImmoScout24 - La plateforme de l'immobilier en Suisse.</t>
  </si>
  <si>
    <t>https://www.immoscout24.ch/fr/appartement/louer/lieu-isone</t>
  </si>
  <si>
    <t>Louer appartement Isone: Trouvez le bien immobilier qui correspond idéalement à vos désirs sur ImmoScout24 - La plateforme de l'immobilier en Suisse.</t>
  </si>
  <si>
    <t>https://www.immoscout24.ch/fr/maison/acheter/lieu-bretigny-sur-morrens</t>
  </si>
  <si>
    <t>Vendre maison Bretigny-sur-Morrens: Trouvez le bien immobilier qui correspond idéalement à vos désirs sur ImmoScout24 - La plateforme de l'immobilier en Suisse.</t>
  </si>
  <si>
    <t>https://www.immoscout24.ch/fr/appartement/louer/lieu-susch</t>
  </si>
  <si>
    <t>Louer appartement Susch: Trouvez le bien immobilier qui correspond idéalement à vos désirs sur ImmoScout24 - La plateforme de l'immobilier en Suisse.</t>
  </si>
  <si>
    <t>https://www.immoscout24.ch/fr/maison/louer/lieu-villeneuve-fr</t>
  </si>
  <si>
    <t>Louer maison Villeneuve FR: Trouvez le bien immobilier qui correspond idéalement à vos désirs sur ImmoScout24 - La plateforme de l'immobilier en Suisse.</t>
  </si>
  <si>
    <t>https://www.immoscout24.ch/fr/maison/acheter/lieu-hallau</t>
  </si>
  <si>
    <t>Vendre maison Hallau: Trouvez le bien immobilier qui correspond idéalement à vos désirs sur ImmoScout24 - La plateforme de l'immobilier en Suisse.</t>
  </si>
  <si>
    <t>https://www.immoscout24.ch/fr/appartement/louer/lieu-plagne</t>
  </si>
  <si>
    <t>Louer appartement Plagne: Trouvez le bien immobilier qui correspond idéalement à vos désirs sur ImmoScout24 - La plateforme de l'immobilier en Suisse.</t>
  </si>
  <si>
    <t>https://www.immoscout24.ch/fr/appartement/acheter/region-lac-de-constance</t>
  </si>
  <si>
    <t>Vendre appartement Lac de Constance: Trouvez le bien immobilier qui correspond idéalement à vos désirs sur ImmoScout24 - La plateforme de l'immobilier en Suisse.</t>
  </si>
  <si>
    <t>https://www.immoscout24.ch/fr/maison/acheter/lieu-echarlens</t>
  </si>
  <si>
    <t>Vendre maison Echarlens: Trouvez le bien immobilier qui correspond idéalement à vos désirs sur ImmoScout24 - La plateforme de l'immobilier en Suisse.</t>
  </si>
  <si>
    <t>https://www.immoscout24.ch/fr/maison/acheter/lieu-rigi-kulm</t>
  </si>
  <si>
    <t>Vendre maison Rigi Kulm: Trouvez le bien immobilier qui correspond idéalement à vos désirs sur ImmoScout24 - La plateforme de l'immobilier en Suisse.</t>
  </si>
  <si>
    <t>https://www.immoscout24.ch/fr/maison/louer/lieu-les-rasses</t>
  </si>
  <si>
    <t>Louer maison Les Rasses: Trouvez le bien immobilier qui correspond idéalement à vos désirs sur ImmoScout24 - La plateforme de l'immobilier en Suisse.</t>
  </si>
  <si>
    <t>https://www.immoscout24.ch/fr/appartement/louer/lieu-henniez</t>
  </si>
  <si>
    <t>Louer appartement Henniez: Trouvez le bien immobilier qui correspond idéalement à vos désirs sur ImmoScout24 - La plateforme de l'immobilier en Suisse.</t>
  </si>
  <si>
    <t>https://www.immoscout24.ch/fr/appartement/acheter/lieu-chernex</t>
  </si>
  <si>
    <t>Vendre appartement Chernex: Trouvez le bien immobilier qui correspond idéalement à vos désirs sur ImmoScout24 - La plateforme de l'immobilier en Suisse.</t>
  </si>
  <si>
    <t>https://www.immoscout24.ch/fr/appartement/louer/lieu-hagneck</t>
  </si>
  <si>
    <t>Louer appartement Hagneck: Trouvez le bien immobilier qui correspond idéalement à vos désirs sur ImmoScout24 - La plateforme de l'immobilier en Suisse.</t>
  </si>
  <si>
    <t>https://www.immoscout24.ch/fr/maison/acheter/lieu-valangin</t>
  </si>
  <si>
    <t>Vendre maison Valangin: Trouvez le bien immobilier qui correspond idéalement à vos désirs sur ImmoScout24 - La plateforme de l'immobilier en Suisse.</t>
  </si>
  <si>
    <t>https://www.immoscout24.ch/fr/appartement/acheter/lieu-orges</t>
  </si>
  <si>
    <t>Vendre appartement Orges: Trouvez le bien immobilier qui correspond idéalement à vos désirs sur ImmoScout24 - La plateforme de l'immobilier en Suisse.</t>
  </si>
  <si>
    <t>https://www.immoscout24.ch/fr/appartement/louer/lieu-planken</t>
  </si>
  <si>
    <t>Louer appartement Planken: Trouvez le bien immobilier qui correspond idéalement à vos désirs sur ImmoScout24 - La plateforme de l'immobilier en Suisse.</t>
  </si>
  <si>
    <t>https://www.immoscout24.ch/fr/appartement/louer/lieu-bedano</t>
  </si>
  <si>
    <t>Louer appartement Bedano: Trouvez le bien immobilier qui correspond idéalement à vos désirs sur ImmoScout24 - La plateforme de l'immobilier en Suisse.</t>
  </si>
  <si>
    <t>https://www.immoscout24.ch/fr/appartement/louer/lieu-muenchenbuchsee</t>
  </si>
  <si>
    <t>Louer appartement Münchenbuchsee: Trouvez le bien immobilier qui correspond idéalement à vos désirs sur ImmoScout24 - La plateforme de l'immobilier en Suisse.</t>
  </si>
  <si>
    <t>https://www.immoscout24.ch/fr/maison/acheter/lieu-wiedlisbach</t>
  </si>
  <si>
    <t>Vendre maison Wiedlisbach: Trouvez le bien immobilier qui correspond idéalement à vos désirs sur ImmoScout24 - La plateforme de l'immobilier en Suisse.</t>
  </si>
  <si>
    <t>https://www.immoscout24.ch/fr/appartement/acheter/lieu-st-imier</t>
  </si>
  <si>
    <t>Vendre appartement St-Imier: Trouvez le bien immobilier qui correspond idéalement à vos désirs sur ImmoScout24 - La plateforme de l'immobilier en Suisse.</t>
  </si>
  <si>
    <t>https://www.immoscout24.ch/fr/appartement/acheter/lieu-conches</t>
  </si>
  <si>
    <t>Vendre appartement Conches: Trouvez le bien immobilier qui correspond idéalement à vos désirs sur ImmoScout24 - La plateforme de l'immobilier en Suisse.</t>
  </si>
  <si>
    <t>https://www.immoscout24.ch/fr/maison/acheter/lieu-massonnens</t>
  </si>
  <si>
    <t>Vendre maison Massonnens: Trouvez le bien immobilier qui correspond idéalement à vos désirs sur ImmoScout24 - La plateforme de l'immobilier en Suisse.</t>
  </si>
  <si>
    <t>https://www.immoscout24.ch/fr/maison/louer/lieu-roche-vd</t>
  </si>
  <si>
    <t>Louer maison Roche VD: Trouvez le bien immobilier qui correspond idéalement à vos désirs sur ImmoScout24 - La plateforme de l'immobilier en Suisse.</t>
  </si>
  <si>
    <t>https://www.immoscout24.ch/fr/appartement/louer/lieu-le-locle</t>
  </si>
  <si>
    <t>Louer appartement Le Locle: Trouvez le bien immobilier qui correspond idéalement à vos désirs sur ImmoScout24 - La plateforme de l'immobilier en Suisse.</t>
  </si>
  <si>
    <t>https://www.immoscout24.ch/fr/appartement/louer/lieu-gerlafingen</t>
  </si>
  <si>
    <t>Louer appartement Gerlafingen: Trouvez le bien immobilier qui correspond idéalement à vos désirs sur ImmoScout24 - La plateforme de l'immobilier en Suisse.</t>
  </si>
  <si>
    <t>https://www.immoscout24.ch/fr/maison/acheter/lieu-moiry-vd</t>
  </si>
  <si>
    <t>Vendre maison Moiry VD: Trouvez le bien immobilier qui correspond idéalement à vos désirs sur ImmoScout24 - La plateforme de l'immobilier en Suisse.</t>
  </si>
  <si>
    <t>https://www.immoscout24.ch/fr/appartement/louer/lieu-bauen</t>
  </si>
  <si>
    <t>Louer appartement Bauen: Trouvez le bien immobilier qui correspond idéalement à vos désirs sur ImmoScout24 - La plateforme de l'immobilier en Suisse.</t>
  </si>
  <si>
    <t>https://www.immoscout24.ch/fr/appartement/louer/region-oberengadin-puschlav-bergell</t>
  </si>
  <si>
    <t>Louer appartement Oberengadin - Puschlav - Bergell: Trouvez le bien immobilier qui correspond idéalement à vos désirs sur ImmoScout24 - La plateforme de l'immobilier en Suisse.</t>
  </si>
  <si>
    <t>https://www.immoscout24.ch/fr/appartement/louer/lieu-kriegstetten</t>
  </si>
  <si>
    <t>Louer appartement Kriegstetten: Trouvez le bien immobilier qui correspond idéalement à vos désirs sur ImmoScout24 - La plateforme de l'immobilier en Suisse.</t>
  </si>
  <si>
    <t>https://www.immoscout24.ch/fr/maison/louer/lieu-baech-sz</t>
  </si>
  <si>
    <t>Louer maison Bäch SZ: Trouvez le bien immobilier qui correspond idéalement à vos désirs sur ImmoScout24 - La plateforme de l'immobilier en Suisse.</t>
  </si>
  <si>
    <t>https://www.immoscout24.ch/fr/maison/acheter/quartier-secteur-forain-ouest-la-chaux-de-fonds</t>
  </si>
  <si>
    <t>Vendre maison Secteur forain ouest (La Chaux-de-Fonds): Trouvez le bien immobilier qui correspond idéalement à vos désirs sur ImmoScout24 - La plateforme de l'immobilier en Suisse.</t>
  </si>
  <si>
    <t>https://www.immoscout24.ch/fr/appartement/louer/lieu-aubonne</t>
  </si>
  <si>
    <t>Louer appartement Aubonne: Trouvez le bien immobilier qui correspond idéalement à vos désirs sur ImmoScout24 - La plateforme de l'immobilier en Suisse.</t>
  </si>
  <si>
    <t>https://www.immoscout24.ch/fr/maison/acheter/lieu-lausanne</t>
  </si>
  <si>
    <t>Vendre maison Lausanne: Trouvez le bien immobilier qui correspond idéalement à vos désirs sur ImmoScout24 - La plateforme de l'immobilier en Suisse.</t>
  </si>
  <si>
    <t>https://www.immoscout24.ch/fr/appartement/louer/lieu-burtigny</t>
  </si>
  <si>
    <t>Louer appartement Burtigny: Trouvez le bien immobilier qui correspond idéalement à vos désirs sur ImmoScout24 - La plateforme de l'immobilier en Suisse.</t>
  </si>
  <si>
    <t>https://www.immoscout24.ch/fr/appartement/louer/lieu-gonten</t>
  </si>
  <si>
    <t>Louer appartement Gonten: Trouvez le bien immobilier qui correspond idéalement à vos désirs sur ImmoScout24 - La plateforme de l'immobilier en Suisse.</t>
  </si>
  <si>
    <t>https://www.immoscout24.ch/fr/maison/acheter/lieu-suhr</t>
  </si>
  <si>
    <t>Vendre maison Suhr: Trouvez le bien immobilier qui correspond idéalement à vos désirs sur ImmoScout24 - La plateforme de l'immobilier en Suisse.</t>
  </si>
  <si>
    <t>https://www.immoscout24.ch/fr/appartement/louer/lieu-ecuvillens</t>
  </si>
  <si>
    <t>Louer appartement Ecuvillens: Trouvez le bien immobilier qui correspond idéalement à vos désirs sur ImmoScout24 - La plateforme de l'immobilier en Suisse.</t>
  </si>
  <si>
    <t>https://www.immoscout24.ch/fr/appartement/louer/lieu-heimberg</t>
  </si>
  <si>
    <t>Louer appartement Heimberg: Trouvez le bien immobilier qui correspond idéalement à vos désirs sur ImmoScout24 - La plateforme de l'immobilier en Suisse.</t>
  </si>
  <si>
    <t>https://www.immoscout24.ch/fr/appartement/louer/lieu-lajoux-ju</t>
  </si>
  <si>
    <t>Louer appartement Lajoux JU: Trouvez le bien immobilier qui correspond idéalement à vos désirs sur ImmoScout24 - La plateforme de l'immobilier en Suisse.</t>
  </si>
  <si>
    <t>https://www.immoscout24.ch/fr/maison/louer/lieu-frenieres-sur-bex</t>
  </si>
  <si>
    <t>Louer maison Frenières-sur-Bex: Trouvez le bien immobilier qui correspond idéalement à vos désirs sur ImmoScout24 - La plateforme de l'immobilier en Suisse.</t>
  </si>
  <si>
    <t>https://www.immoscout24.ch/fr/maison/acheter/lieu-giumaglio</t>
  </si>
  <si>
    <t>Vendre maison Giumaglio: Trouvez le bien immobilier qui correspond idéalement à vos désirs sur ImmoScout24 - La plateforme de l'immobilier en Suisse.</t>
  </si>
  <si>
    <t>https://www.immoscout24.ch/fr/maison/acheter/lieu-chavornay</t>
  </si>
  <si>
    <t>Vendre maison Chavornay: Trouvez le bien immobilier qui correspond idéalement à vos désirs sur ImmoScout24 - La plateforme de l'immobilier en Suisse.</t>
  </si>
  <si>
    <t>https://www.immoscout24.ch/fr/appartement/acheter/lieu-pontresina</t>
  </si>
  <si>
    <t>Vendre appartement Pontresina: Trouvez le bien immobilier qui correspond idéalement à vos désirs sur ImmoScout24 - La plateforme de l'immobilier en Suisse.</t>
  </si>
  <si>
    <t>https://www.immoscout24.ch/fr/appartement/acheter/lieu-flims-waldhaus</t>
  </si>
  <si>
    <t>Vendre appartement Flims Waldhaus: Trouvez le bien immobilier qui correspond idéalement à vos désirs sur ImmoScout24 - La plateforme de l'immobilier en Suisse.</t>
  </si>
  <si>
    <t>https://www.immoscout24.ch/fr/appartement/louer/lieu-muenster-vs</t>
  </si>
  <si>
    <t>Louer appartement Münster VS: Trouvez le bien immobilier qui correspond idéalement à vos désirs sur ImmoScout24 - La plateforme de l'immobilier en Suisse.</t>
  </si>
  <si>
    <t>https://www.immoscout24.ch/fr/appartement/louer/region-principaute-de-liechtenstein</t>
  </si>
  <si>
    <t>Louer appartement Principauté de Liechtenstein: Trouvez le bien immobilier qui correspond idéalement à vos désirs sur ImmoScout24 - La plateforme de l'immobilier en Suisse.</t>
  </si>
  <si>
    <t>https://www.immoscout24.ch/fr/maison/acheter/lieu-oberried-fr</t>
  </si>
  <si>
    <t>Vendre maison Oberried FR: Trouvez le bien immobilier qui correspond idéalement à vos désirs sur ImmoScout24 - La plateforme de l'immobilier en Suisse.</t>
  </si>
  <si>
    <t>https://www.immoscout24.ch/fr/maison/acheter/lieu-thielle</t>
  </si>
  <si>
    <t>Vendre maison Thielle: Trouvez le bien immobilier qui correspond idéalement à vos désirs sur ImmoScout24 - La plateforme de l'immobilier en Suisse.</t>
  </si>
  <si>
    <t>https://www.immoscout24.ch/fr/appartement/louer/lieu-scuol</t>
  </si>
  <si>
    <t>Louer appartement Scuol: Trouvez le bien immobilier qui correspond idéalement à vos désirs sur ImmoScout24 - La plateforme de l'immobilier en Suisse.</t>
  </si>
  <si>
    <t>https://www.immoscout24.ch/fr/maison/acheter/lieu-camignolo</t>
  </si>
  <si>
    <t>Vendre maison Camignolo: Trouvez le bien immobilier qui correspond idéalement à vos désirs sur ImmoScout24 - La plateforme de l'immobilier en Suisse.</t>
  </si>
  <si>
    <t>https://www.immoscout24.ch/fr/maison/acheter/quartier-oberbottigen-berne</t>
  </si>
  <si>
    <t>Vendre maison Oberbottigen (Berne): Trouvez le bien immobilier qui correspond idéalement à vos désirs sur ImmoScout24 - La plateforme de l'immobilier en Suisse.</t>
  </si>
  <si>
    <t>https://www.immoscout24.ch/fr/appartement/acheter/lieu-ronco-sopra-ascona</t>
  </si>
  <si>
    <t>Vendre appartement Ronco sopra Ascona: Trouvez le bien immobilier qui correspond idéalement à vos désirs sur ImmoScout24 - La plateforme de l'immobilier en Suisse.</t>
  </si>
  <si>
    <t>https://www.immoscout24.ch/fr/maison/acheter/lieu-leytron</t>
  </si>
  <si>
    <t>Vendre maison Leytron: Trouvez le bien immobilier qui correspond idéalement à vos désirs sur ImmoScout24 - La plateforme de l'immobilier en Suisse.</t>
  </si>
  <si>
    <t>https://www.immoscout24.ch/fr/maison/acheter/lieu-duedingen</t>
  </si>
  <si>
    <t>Vendre maison Düdingen: Trouvez le bien immobilier qui correspond idéalement à vos désirs sur ImmoScout24 - La plateforme de l'immobilier en Suisse.</t>
  </si>
  <si>
    <t>https://www.immoscout24.ch/fr/appartement/acheter/lieu-morlon</t>
  </si>
  <si>
    <t>Vendre appartement Morlon: Trouvez le bien immobilier qui correspond idéalement à vos désirs sur ImmoScout24 - La plateforme de l'immobilier en Suisse.</t>
  </si>
  <si>
    <t>https://www.immoscout24.ch/fr/appartement/louer/lieu-willerzell</t>
  </si>
  <si>
    <t>Louer appartement Willerzell: Trouvez le bien immobilier qui correspond idéalement à vos désirs sur ImmoScout24 - La plateforme de l'immobilier en Suisse.</t>
  </si>
  <si>
    <t>https://www.immoscout24.ch/fr/maison/acheter/lieu-le-mouret</t>
  </si>
  <si>
    <t>Vendre maison Le Mouret: Trouvez le bien immobilier qui correspond idéalement à vos désirs sur ImmoScout24 - La plateforme de l'immobilier en Suisse.</t>
  </si>
  <si>
    <t>https://www.immoscout24.ch/fr/appartement/acheter/lieu-la-neuveville</t>
  </si>
  <si>
    <t>Vendre appartement La Neuveville: Trouvez le bien immobilier qui correspond idéalement à vos désirs sur ImmoScout24 - La plateforme de l'immobilier en Suisse.</t>
  </si>
  <si>
    <t>https://www.immoscout24.ch/fr/maison/acheter/lieu-veyrier</t>
  </si>
  <si>
    <t>Vendre maison Veyrier: Trouvez le bien immobilier qui correspond idéalement à vos désirs sur ImmoScout24 - La plateforme de l'immobilier en Suisse.</t>
  </si>
  <si>
    <t>https://www.immoscout24.ch/fr/maison/acheter/canton-argovie</t>
  </si>
  <si>
    <t>Vendre maison Canton d'Argovie: Trouvez le bien immobilier qui correspond idéalement à vos désirs sur ImmoScout24 - La plateforme de l'immobilier en Suisse.</t>
  </si>
  <si>
    <t>https://www.immoscout24.ch/fr/maison/louer/lieu-arbaz</t>
  </si>
  <si>
    <t>Louer maison Arbaz: Trouvez le bien immobilier qui correspond idéalement à vos désirs sur ImmoScout24 - La plateforme de l'immobilier en Suisse.</t>
  </si>
  <si>
    <t>https://www.immoscout24.ch/fr/maison/acheter/lieu-villars-mendraz</t>
  </si>
  <si>
    <t>Vendre maison Villars-Mendraz: Trouvez le bien immobilier qui correspond idéalement à vos désirs sur ImmoScout24 - La plateforme de l'immobilier en Suisse.</t>
  </si>
  <si>
    <t>https://www.immoscout24.ch/fr/maison/louer/quartier-la-coudre-neuchatel</t>
  </si>
  <si>
    <t>Louer maison La Coudre (Neuchâtel): Trouvez le bien immobilier qui correspond idéalement à vos désirs sur ImmoScout24 - La plateforme de l'immobilier en Suisse.</t>
  </si>
  <si>
    <t>https://www.immoscout24.ch/fr/appartement/louer/lieu-aclens</t>
  </si>
  <si>
    <t>Louer appartement Aclens: Trouvez le bien immobilier qui correspond idéalement à vos désirs sur ImmoScout24 - La plateforme de l'immobilier en Suisse.</t>
  </si>
  <si>
    <t>https://www.immoscout24.ch/fr/maison/acheter/lieu-gandria</t>
  </si>
  <si>
    <t>Vendre maison Gandria: Trouvez le bien immobilier qui correspond idéalement à vos désirs sur ImmoScout24 - La plateforme de l'immobilier en Suisse.</t>
  </si>
  <si>
    <t>https://www.immoscout24.ch/fr/appartement/acheter/lieu-condemines-nendaz</t>
  </si>
  <si>
    <t>Vendre appartement Condémines (Nendaz): Trouvez le bien immobilier qui correspond idéalement à vos désirs sur ImmoScout24 - La plateforme de l'immobilier en Suisse.</t>
  </si>
  <si>
    <t>https://www.immoscout24.ch/fr/appartement/louer/lieu-wald-zh</t>
  </si>
  <si>
    <t>Louer appartement Wald ZH: Trouvez le bien immobilier qui correspond idéalement à vos désirs sur ImmoScout24 - La plateforme de l'immobilier en Suisse.</t>
  </si>
  <si>
    <t>https://www.immoscout24.ch/fr/appartement/louer/lieu-epesses</t>
  </si>
  <si>
    <t>Louer appartement Epesses: Trouvez le bien immobilier qui correspond idéalement à vos désirs sur ImmoScout24 - La plateforme de l'immobilier en Suisse.</t>
  </si>
  <si>
    <t>https://www.immoscout24.ch/fr/appartement/louer/lieu-brienz-be</t>
  </si>
  <si>
    <t>Louer appartement Brienz BE: Trouvez le bien immobilier qui correspond idéalement à vos désirs sur ImmoScout24 - La plateforme de l'immobilier en Suisse.</t>
  </si>
  <si>
    <t>https://www.immoscout24.ch/fr/appartement/acheter/lieu-cornaux-ne</t>
  </si>
  <si>
    <t>Vendre appartement Cornaux NE: Trouvez le bien immobilier qui correspond idéalement à vos désirs sur ImmoScout24 - La plateforme de l'immobilier en Suisse.</t>
  </si>
  <si>
    <t>https://www.immoscout24.ch/fr/appartement/louer/canton-vaud</t>
  </si>
  <si>
    <t>Louer appartement Canton de Vaud: Trouvez le bien immobilier qui correspond idéalement à vos désirs sur ImmoScout24 - La plateforme de l'immobilier en Suisse.</t>
  </si>
  <si>
    <t>https://www.immoscout24.ch/fr/appartement/louer/lieu-laufenburg</t>
  </si>
  <si>
    <t>Louer appartement Laufenburg: Trouvez le bien immobilier qui correspond idéalement à vos désirs sur ImmoScout24 - La plateforme de l'immobilier en Suisse.</t>
  </si>
  <si>
    <t>https://www.immoscout24.ch/fr/appartement/louer/lieu-le-mont-sur-lausanne</t>
  </si>
  <si>
    <t>Louer appartement Le Mont-sur-Lausanne: Trouvez le bien immobilier qui correspond idéalement à vos désirs sur ImmoScout24 - La plateforme de l'immobilier en Suisse.</t>
  </si>
  <si>
    <t>https://www.immoscout24.ch/fr/maison/louer/lieu-damphreux</t>
  </si>
  <si>
    <t>Louer maison Damphreux: Trouvez le bien immobilier qui correspond idéalement à vos désirs sur ImmoScout24 - La plateforme de l'immobilier en Suisse.</t>
  </si>
  <si>
    <t>https://www.immoscout24.ch/fr/appartement/acheter/lieu-epesses</t>
  </si>
  <si>
    <t>Vendre appartement Epesses: Trouvez le bien immobilier qui correspond idéalement à vos désirs sur ImmoScout24 - La plateforme de l'immobilier en Suisse.</t>
  </si>
  <si>
    <t>https://www.immoscout24.ch/fr/appartement/acheter/lieu-salvan</t>
  </si>
  <si>
    <t>Vendre appartement Salvan: Trouvez le bien immobilier qui correspond idéalement à vos désirs sur ImmoScout24 - La plateforme de l'immobilier en Suisse.</t>
  </si>
  <si>
    <t>https://www.immoscout24.ch/fr/maison/acheter/lieu-bevilard</t>
  </si>
  <si>
    <t>Vendre maison Bévilard: Trouvez le bien immobilier qui correspond idéalement à vos désirs sur ImmoScout24 - La plateforme de l'immobilier en Suisse.</t>
  </si>
  <si>
    <t>https://www.immoscout24.ch/fr/appartement/acheter/quartier-madretsch-sued-biel-bienne</t>
  </si>
  <si>
    <t>Vendre appartement Madretsch Süd (Biel/Bienne): Trouvez le bien immobilier qui correspond idéalement à vos désirs sur ImmoScout24 - La plateforme de l'immobilier en Suisse.</t>
  </si>
  <si>
    <t>https://www.immoscout24.ch/fr/appartement/louer/lieu-tentlingen</t>
  </si>
  <si>
    <t>Louer appartement Tentlingen: Trouvez le bien immobilier qui correspond idéalement à vos désirs sur ImmoScout24 - La plateforme de l'immobilier en Suisse.</t>
  </si>
  <si>
    <t>https://www.immoscout24.ch/fr/maison/louer/lieu-chapelle-glane</t>
  </si>
  <si>
    <t>Louer maison Chapelle (Glâne): Trouvez le bien immobilier qui correspond idéalement à vos désirs sur ImmoScout24 - La plateforme de l'immobilier en Suisse.</t>
  </si>
  <si>
    <t>https://www.immoscout24.ch/fr/appartement/louer/lieu-guggisberg</t>
  </si>
  <si>
    <t>Louer appartement Guggisberg: Trouvez le bien immobilier qui correspond idéalement à vos désirs sur ImmoScout24 - La plateforme de l'immobilier en Suisse.</t>
  </si>
  <si>
    <t>https://www.immoscout24.ch/fr/maison/louer/lieu-weingarten-kalthaeusern</t>
  </si>
  <si>
    <t>Louer maison Weingarten-Kalthäusern: Trouvez le bien immobilier qui correspond idéalement à vos désirs sur ImmoScout24 - La plateforme de l'immobilier en Suisse.</t>
  </si>
  <si>
    <t>https://www.immoscout24.ch/fr/maison/louer/lieu-troinex</t>
  </si>
  <si>
    <t>Louer maison Troinex: Trouvez le bien immobilier qui correspond idéalement à vos désirs sur ImmoScout24 - La plateforme de l'immobilier en Suisse.</t>
  </si>
  <si>
    <t>https://www.immoscout24.ch/fr/maison/louer/lieu-vercorin</t>
  </si>
  <si>
    <t>Louer maison Vercorin: Trouvez le bien immobilier qui correspond idéalement à vos désirs sur ImmoScout24 - La plateforme de l'immobilier en Suisse.</t>
  </si>
  <si>
    <t>https://www.immoscout24.ch/fr/appartement/louer/lieu-tafers</t>
  </si>
  <si>
    <t>Louer appartement Tafers: Trouvez le bien immobilier qui correspond idéalement à vos désirs sur ImmoScout24 - La plateforme de l'immobilier en Suisse.</t>
  </si>
  <si>
    <t>https://www.immoscout24.ch/fr/appartement/louer/lieu-moerel</t>
  </si>
  <si>
    <t>Louer appartement Mörel: Trouvez le bien immobilier qui correspond idéalement à vos désirs sur ImmoScout24 - La plateforme de l'immobilier en Suisse.</t>
  </si>
  <si>
    <t>https://www.immoscout24.ch/fr/appartement/louer/lieu-mettembert</t>
  </si>
  <si>
    <t>Louer appartement Mettembert: Trouvez le bien immobilier qui correspond idéalement à vos désirs sur ImmoScout24 - La plateforme de l'immobilier en Suisse.</t>
  </si>
  <si>
    <t>https://www.immoscout24.ch/fr/appartement/louer/lieu-belmont-sur-lausanne</t>
  </si>
  <si>
    <t>Louer appartement Belmont-sur-Lausanne: Trouvez le bien immobilier qui correspond idéalement à vos désirs sur ImmoScout24 - La plateforme de l'immobilier en Suisse.</t>
  </si>
  <si>
    <t>https://www.immoscout24.ch/fr/maison/louer/lieu-brot-plamboz</t>
  </si>
  <si>
    <t>Louer maison Brot-Plamboz: Trouvez le bien immobilier qui correspond idéalement à vos désirs sur ImmoScout24 - La plateforme de l'immobilier en Suisse.</t>
  </si>
  <si>
    <t>https://www.immoscout24.ch/fr/maison/acheter/lieu-font</t>
  </si>
  <si>
    <t>Vendre maison Font: Trouvez le bien immobilier qui correspond idéalement à vos désirs sur ImmoScout24 - La plateforme de l'immobilier en Suisse.</t>
  </si>
  <si>
    <t>https://www.immoscout24.ch/fr/maison/acheter/lieu-montet-broye</t>
  </si>
  <si>
    <t>Vendre maison Montet (Broye): Trouvez le bien immobilier qui correspond idéalement à vos désirs sur ImmoScout24 - La plateforme de l'immobilier en Suisse.</t>
  </si>
  <si>
    <t>https://www.immoscout24.ch/fr/maison/acheter/lieu-beinwil-freiamt</t>
  </si>
  <si>
    <t>Vendre maison Beinwil (Freiamt): Trouvez le bien immobilier qui correspond idéalement à vos désirs sur ImmoScout24 - La plateforme de l'immobilier en Suisse.</t>
  </si>
  <si>
    <t>https://www.immoscout24.ch/fr/appartement/acheter/region-aigle-alpes-vaudoises</t>
  </si>
  <si>
    <t>Vendre appartement Aigle - Alpes Vaudoises: Trouvez le bien immobilier qui correspond idéalement à vos désirs sur ImmoScout24 - La plateforme de l'immobilier en Suisse.</t>
  </si>
  <si>
    <t>https://www.immoscout24.ch/fr/maison/acheter/lieu-gryon</t>
  </si>
  <si>
    <t>Vendre maison Gryon: Trouvez le bien immobilier qui correspond idéalement à vos désirs sur ImmoScout24 - La plateforme de l'immobilier en Suisse.</t>
  </si>
  <si>
    <t>https://www.immoscout24.ch/fr/appartement/acheter/pays-portugal</t>
  </si>
  <si>
    <t>Vendre appartement Portugal: Trouvez le bien immobilier qui correspond idéalement à vos désirs sur ImmoScout24 - La plateforme de l'immobilier en Suisse.</t>
  </si>
  <si>
    <t>https://www.immoscout24.ch/fr/appartement/louer/lieu-choex</t>
  </si>
  <si>
    <t>Louer appartement Choëx: Trouvez le bien immobilier qui correspond idéalement à vos désirs sur ImmoScout24 - La plateforme de l'immobilier en Suisse.</t>
  </si>
  <si>
    <t>https://www.immoscout24.ch/fr/maison/acheter/lieu-poliez-pittet</t>
  </si>
  <si>
    <t>Vendre maison Poliez-Pittet: Trouvez le bien immobilier qui correspond idéalement à vos désirs sur ImmoScout24 - La plateforme de l'immobilier en Suisse.</t>
  </si>
  <si>
    <t>https://www.immoscout24.ch/fr/maison/acheter/lieu-quartino</t>
  </si>
  <si>
    <t>Vendre maison Quartino: Trouvez le bien immobilier qui correspond idéalement à vos désirs sur ImmoScout24 - La plateforme de l'immobilier en Suisse.</t>
  </si>
  <si>
    <t>https://www.immoscout24.ch/fr/maison/acheter/lieu-stalden-vs</t>
  </si>
  <si>
    <t>Vendre maison Stalden VS: Trouvez le bien immobilier qui correspond idéalement à vos désirs sur ImmoScout24 - La plateforme de l'immobilier en Suisse.</t>
  </si>
  <si>
    <t>https://www.immoscout24.ch/fr/maison/acheter/lieu-la-rippe</t>
  </si>
  <si>
    <t>Vendre maison La Rippe: Trouvez le bien immobilier qui correspond idéalement à vos désirs sur ImmoScout24 - La plateforme de l'immobilier en Suisse.</t>
  </si>
  <si>
    <t>https://www.immoscout24.ch/fr/maison/acheter/lieu-muenchenbuchsee</t>
  </si>
  <si>
    <t>Vendre maison Münchenbuchsee: Trouvez le bien immobilier qui correspond idéalement à vos désirs sur ImmoScout24 - La plateforme de l'immobilier en Suisse.</t>
  </si>
  <si>
    <t>https://www.immoscout24.ch/fr/maison/acheter/lieu-signese-ayent</t>
  </si>
  <si>
    <t>Vendre maison Signèse (Ayent): Trouvez le bien immobilier qui correspond idéalement à vos désirs sur ImmoScout24 - La plateforme de l'immobilier en Suisse.</t>
  </si>
  <si>
    <t>https://www.immoscout24.ch/fr/maison/acheter/lieu-lupsingen</t>
  </si>
  <si>
    <t>Vendre maison Lupsingen: Trouvez le bien immobilier qui correspond idéalement à vos désirs sur ImmoScout24 - La plateforme de l'immobilier en Suisse.</t>
  </si>
  <si>
    <t>https://www.immoscout24.ch/fr/appartement/louer/lieu-muhen</t>
  </si>
  <si>
    <t>Louer appartement Muhen: Trouvez le bien immobilier qui correspond idéalement à vos désirs sur ImmoScout24 - La plateforme de l'immobilier en Suisse.</t>
  </si>
  <si>
    <t>https://www.immoscout24.ch/fr/maison/acheter/lieu-salins</t>
  </si>
  <si>
    <t>Vendre maison Salins: Trouvez le bien immobilier qui correspond idéalement à vos désirs sur ImmoScout24 - La plateforme de l'immobilier en Suisse.</t>
  </si>
  <si>
    <t>https://www.immoscout24.ch/fr/appartement/louer/region-soleure</t>
  </si>
  <si>
    <t>Louer appartement Soleure: Trouvez le bien immobilier qui correspond idéalement à vos désirs sur ImmoScout24 - La plateforme de l'immobilier en Suisse.</t>
  </si>
  <si>
    <t>https://www.immoscout24.ch/fr/appartement/louer/lieu-beuson-nendaz</t>
  </si>
  <si>
    <t>Louer appartement Beuson (Nendaz): Trouvez le bien immobilier qui correspond idéalement à vos désirs sur ImmoScout24 - La plateforme de l'immobilier en Suisse.</t>
  </si>
  <si>
    <t>https://www.immoscout24.ch/fr/maison/louer/lieu-maules</t>
  </si>
  <si>
    <t>Louer maison Maules: Trouvez le bien immobilier qui correspond idéalement à vos désirs sur ImmoScout24 - La plateforme de l'immobilier en Suisse.</t>
  </si>
  <si>
    <t>https://www.immoscout24.ch/fr/appartement/louer/lieu-bonnefontaine</t>
  </si>
  <si>
    <t>Louer appartement Bonnefontaine: Trouvez le bien immobilier qui correspond idéalement à vos désirs sur ImmoScout24 - La plateforme de l'immobilier en Suisse.</t>
  </si>
  <si>
    <t>https://www.immoscout24.ch/fr/appartement/louer/lieu-paudex</t>
  </si>
  <si>
    <t>Louer appartement Paudex: Trouvez le bien immobilier qui correspond idéalement à vos désirs sur ImmoScout24 - La plateforme de l'immobilier en Suisse.</t>
  </si>
  <si>
    <t>https://www.immoscout24.ch/fr/maison/acheter/lieu-blonay</t>
  </si>
  <si>
    <t>Vendre maison Blonay: Trouvez le bien immobilier qui correspond idéalement à vos désirs sur ImmoScout24 - La plateforme de l'immobilier en Suisse.</t>
  </si>
  <si>
    <t>https://www.immoscout24.ch/fr/maison/acheter/lieu-essert-sous-champvent</t>
  </si>
  <si>
    <t>Vendre maison Essert-sous-Champvent: Trouvez le bien immobilier qui correspond idéalement à vos désirs sur ImmoScout24 - La plateforme de l'immobilier en Suisse.</t>
  </si>
  <si>
    <t>https://www.immoscout24.ch/fr/appartement/louer/lieu-sala-capriasca</t>
  </si>
  <si>
    <t>Louer appartement Sala Capriasca: Trouvez le bien immobilier qui correspond idéalement à vos désirs sur ImmoScout24 - La plateforme de l'immobilier en Suisse.</t>
  </si>
  <si>
    <t>https://www.immoscout24.ch/fr/appartement/acheter/lieu-birsfelden</t>
  </si>
  <si>
    <t>Vendre appartement Birsfelden: Trouvez le bien immobilier qui correspond idéalement à vos désirs sur ImmoScout24 - La plateforme de l'immobilier en Suisse.</t>
  </si>
  <si>
    <t>https://www.immoscout24.ch/fr/appartement/louer/lieu-sierre</t>
  </si>
  <si>
    <t>Louer appartement Sierre: Trouvez le bien immobilier qui correspond idéalement à vos désirs sur ImmoScout24 - La plateforme de l'immobilier en Suisse.</t>
  </si>
  <si>
    <t>https://www.immoscout24.ch/fr/appartement/acheter/lieu-watt</t>
  </si>
  <si>
    <t>Vendre appartement Watt: Trouvez le bien immobilier qui correspond idéalement à vos désirs sur ImmoScout24 - La plateforme de l'immobilier en Suisse.</t>
  </si>
  <si>
    <t>https://www.immoscout24.ch/fr/maison/acheter/lieu-roche-d-or</t>
  </si>
  <si>
    <t>Vendre maison Roche-d'Or: Trouvez le bien immobilier qui correspond idéalement à vos désirs sur ImmoScout24 - La plateforme de l'immobilier en Suisse.</t>
  </si>
  <si>
    <t>https://www.immoscout24.ch/fr/appartement/louer/lieu-fribourg</t>
  </si>
  <si>
    <t>Louer appartement Fribourg: Trouvez le bien immobilier qui correspond idéalement à vos désirs sur ImmoScout24 - La plateforme de l'immobilier en Suisse.</t>
  </si>
  <si>
    <t>https://www.immoscout24.ch/fr/appartement/louer/lieu-sennwald</t>
  </si>
  <si>
    <t>Louer appartement Sennwald: Trouvez le bien immobilier qui correspond idéalement à vos désirs sur ImmoScout24 - La plateforme de l'immobilier en Suisse.</t>
  </si>
  <si>
    <t>https://www.immoscout24.ch/fr/appartement/louer/region-limmattal</t>
  </si>
  <si>
    <t>Louer appartement Limmattal: Trouvez le bien immobilier qui correspond idéalement à vos désirs sur ImmoScout24 - La plateforme de l'immobilier en Suisse.</t>
  </si>
  <si>
    <t>https://www.immoscout24.ch/fr/maison/louer/lieu-marly</t>
  </si>
  <si>
    <t>Louer maison Marly: Trouvez le bien immobilier qui correspond idéalement à vos désirs sur ImmoScout24 - La plateforme de l'immobilier en Suisse.</t>
  </si>
  <si>
    <t>https://www.immoscout24.ch/fr/maison/louer/lieu-stadel-b-niederglatt</t>
  </si>
  <si>
    <t>Louer maison Stadel b. Niederglatt: Trouvez le bien immobilier qui correspond idéalement à vos désirs sur ImmoScout24 - La plateforme de l'immobilier en Suisse.</t>
  </si>
  <si>
    <t>https://www.immoscout24.ch/fr/appartement/acheter/lieu-bad-ragaz</t>
  </si>
  <si>
    <t>Vendre appartement Bad Ragaz: Trouvez le bien immobilier qui correspond idéalement à vos désirs sur ImmoScout24 - La plateforme de l'immobilier en Suisse.</t>
  </si>
  <si>
    <t>https://www.immoscout24.ch/fr/appartement/acheter/quartier-castagnola-lugano</t>
  </si>
  <si>
    <t>Vendre appartement Castagnola (Lugano): Trouvez le bien immobilier qui correspond idéalement à vos désirs sur ImmoScout24 - La plateforme de l'immobilier en Suisse.</t>
  </si>
  <si>
    <t>https://www.immoscout24.ch/fr/maison/acheter/lieu-vira-gambarogno</t>
  </si>
  <si>
    <t>Vendre maison Vira (Gambarogno): Trouvez le bien immobilier qui correspond idéalement à vos désirs sur ImmoScout24 - La plateforme de l'immobilier en Suisse.</t>
  </si>
  <si>
    <t>https://www.immoscout24.ch/fr/maison/acheter/lieu-riedholz</t>
  </si>
  <si>
    <t>Vendre maison Riedholz: Trouvez le bien immobilier qui correspond idéalement à vos désirs sur ImmoScout24 - La plateforme de l'immobilier en Suisse.</t>
  </si>
  <si>
    <t>https://www.immoscout24.ch/fr/appartement/acheter/lieu-basse-nendaz</t>
  </si>
  <si>
    <t>Vendre appartement Basse-Nendaz: Trouvez le bien immobilier qui correspond idéalement à vos désirs sur ImmoScout24 - La plateforme de l'immobilier en Suisse.</t>
  </si>
  <si>
    <t>https://www.immoscout24.ch/fr/appartement/louer/lieu-st-cierges</t>
  </si>
  <si>
    <t>Louer appartement St-Cierges: Trouvez le bien immobilier qui correspond idéalement à vos désirs sur ImmoScout24 - La plateforme de l'immobilier en Suisse.</t>
  </si>
  <si>
    <t>https://www.immoscout24.ch/fr/appartement/acheter/canton-zurich</t>
  </si>
  <si>
    <t>Vendre appartement Canton de Zurich: Trouvez le bien immobilier qui correspond idéalement à vos désirs sur ImmoScout24 - La plateforme de l'immobilier en Suisse.</t>
  </si>
  <si>
    <t>https://www.immoscout24.ch/fr/appartement/louer/quartier-stadtbach-berne</t>
  </si>
  <si>
    <t>Louer appartement Stadtbach (Berne): Trouvez le bien immobilier qui correspond idéalement à vos désirs sur ImmoScout24 - La plateforme de l'immobilier en Suisse.</t>
  </si>
  <si>
    <t>https://www.immoscout24.ch/fr/maison/acheter/lieu-villars-sur-fontenais</t>
  </si>
  <si>
    <t>Vendre maison Villars-sur-Fontenais: Trouvez le bien immobilier qui correspond idéalement à vos désirs sur ImmoScout24 - La plateforme de l'immobilier en Suisse.</t>
  </si>
  <si>
    <t>https://www.immoscout24.ch/fr/appartement/acheter/lieu-denezy</t>
  </si>
  <si>
    <t>Vendre appartement Denezy: Trouvez le bien immobilier qui correspond idéalement à vos désirs sur ImmoScout24 - La plateforme de l'immobilier en Suisse.</t>
  </si>
  <si>
    <t>https://www.immoscout24.ch/fr/maison/acheter/lieu-kastanienbaum</t>
  </si>
  <si>
    <t>Vendre maison Kastanienbaum: Trouvez le bien immobilier qui correspond idéalement à vos désirs sur ImmoScout24 - La plateforme de l'immobilier en Suisse.</t>
  </si>
  <si>
    <t>https://www.immoscout24.ch/fr/appartement/louer/lieu-rotkreuz</t>
  </si>
  <si>
    <t>Louer appartement Rotkreuz: Trouvez le bien immobilier qui correspond idéalement à vos désirs sur ImmoScout24 - La plateforme de l'immobilier en Suisse.</t>
  </si>
  <si>
    <t>https://www.immoscout24.ch/fr/appartement/louer/lieu-premier</t>
  </si>
  <si>
    <t>Louer appartement Premier: Trouvez le bien immobilier qui correspond idéalement à vos désirs sur ImmoScout24 - La plateforme de l'immobilier en Suisse.</t>
  </si>
  <si>
    <t>https://www.immoscout24.ch/fr/maison/acheter/lieu-auvernier</t>
  </si>
  <si>
    <t>Vendre maison Auvernier: Trouvez le bien immobilier qui correspond idéalement à vos désirs sur ImmoScout24 - La plateforme de l'immobilier en Suisse.</t>
  </si>
  <si>
    <t>https://www.immoscout24.ch/fr/appartement/louer/lieu-penthaz</t>
  </si>
  <si>
    <t>Louer appartement Penthaz: Trouvez le bien immobilier qui correspond idéalement à vos désirs sur ImmoScout24 - La plateforme de l'immobilier en Suisse.</t>
  </si>
  <si>
    <t>https://www.immoscout24.ch/fr/appartement/louer/canton-glaris</t>
  </si>
  <si>
    <t>Louer appartement Canton de Glaris: Trouvez le bien immobilier qui correspond idéalement à vos désirs sur ImmoScout24 - La plateforme de l'immobilier en Suisse.</t>
  </si>
  <si>
    <t>https://www.immoscout24.ch/fr/maison/acheter/quartier-bre-lugano</t>
  </si>
  <si>
    <t>Vendre maison Brè (Lugano): Trouvez le bien immobilier qui correspond idéalement à vos désirs sur ImmoScout24 - La plateforme de l'immobilier en Suisse.</t>
  </si>
  <si>
    <t>https://www.immoscout24.ch/fr/maison/acheter/lieu-zuchwil</t>
  </si>
  <si>
    <t>Vendre maison Zuchwil: Trouvez le bien immobilier qui correspond idéalement à vos désirs sur ImmoScout24 - La plateforme de l'immobilier en Suisse.</t>
  </si>
  <si>
    <t>https://www.immoscout24.ch/fr/appartement/louer/lieu-hinwil</t>
  </si>
  <si>
    <t>Louer appartement Hinwil: Trouvez le bien immobilier qui correspond idéalement à vos désirs sur ImmoScout24 - La plateforme de l'immobilier en Suisse.</t>
  </si>
  <si>
    <t>https://www.immoscout24.ch/fr/maison/louer/lieu-bellerive-vd</t>
  </si>
  <si>
    <t>Louer maison Bellerive VD: Trouvez le bien immobilier qui correspond idéalement à vos désirs sur ImmoScout24 - La plateforme de l'immobilier en Suisse.</t>
  </si>
  <si>
    <t>https://www.immoscout24.ch/fr/appartement/acheter/lieu-le-lignon</t>
  </si>
  <si>
    <t>Vendre appartement Le Lignon: Trouvez le bien immobilier qui correspond idéalement à vos désirs sur ImmoScout24 - La plateforme de l'immobilier en Suisse.</t>
  </si>
  <si>
    <t>https://www.immoscout24.ch/fr/appartement/louer/lieu-noes</t>
  </si>
  <si>
    <t>Louer appartement Noës: Trouvez le bien immobilier qui correspond idéalement à vos désirs sur ImmoScout24 - La plateforme de l'immobilier en Suisse.</t>
  </si>
  <si>
    <t>https://www.immoscout24.ch/fr/appartement/louer/quartier-auge-fribourg</t>
  </si>
  <si>
    <t>Louer appartement Auge (Fribourg): Trouvez le bien immobilier qui correspond idéalement à vos désirs sur ImmoScout24 - La plateforme de l'immobilier en Suisse.</t>
  </si>
  <si>
    <t>https://www.immoscout24.ch/fr/appartement/louer/lieu-wittenbach</t>
  </si>
  <si>
    <t>Louer appartement Wittenbach: Trouvez le bien immobilier qui correspond idéalement à vos désirs sur ImmoScout24 - La plateforme de l'immobilier en Suisse.</t>
  </si>
  <si>
    <t>https://www.immoscout24.ch/fr/appartement/louer/lieu-schwarzenburg</t>
  </si>
  <si>
    <t>Louer appartement Schwarzenburg: Trouvez le bien immobilier qui correspond idéalement à vos désirs sur ImmoScout24 - La plateforme de l'immobilier en Suisse.</t>
  </si>
  <si>
    <t>https://www.immoscout24.ch/fr/maison/acheter/lieu-corsier-sur-vevey</t>
  </si>
  <si>
    <t>Vendre maison Corsier-sur-Vevey: Trouvez le bien immobilier qui correspond idéalement à vos désirs sur ImmoScout24 - La plateforme de l'immobilier en Suisse.</t>
  </si>
  <si>
    <t>https://www.immoscout24.ch/fr/maison/louer/lieu-la-sarraz</t>
  </si>
  <si>
    <t>Louer maison La Sarraz: Trouvez le bien immobilier qui correspond idéalement à vos désirs sur ImmoScout24 - La plateforme de l'immobilier en Suisse.</t>
  </si>
  <si>
    <t>https://www.immoscout24.ch/fr/appartement/louer/lieu-winkel</t>
  </si>
  <si>
    <t>Louer appartement Winkel: Trouvez le bien immobilier qui correspond idéalement à vos désirs sur ImmoScout24 - La plateforme de l'immobilier en Suisse.</t>
  </si>
  <si>
    <t>https://www.immoscout24.ch/fr/maison/acheter/lieu-flueh</t>
  </si>
  <si>
    <t>Vendre maison Flüh: Trouvez le bien immobilier qui correspond idéalement à vos désirs sur ImmoScout24 - La plateforme de l'immobilier en Suisse.</t>
  </si>
  <si>
    <t>https://www.immoscout24.ch/fr/appartement/louer/lieu-produit-leytron</t>
  </si>
  <si>
    <t>Louer appartement Produit (Leytron): Trouvez le bien immobilier qui correspond idéalement à vos désirs sur ImmoScout24 - La plateforme de l'immobilier en Suisse.</t>
  </si>
  <si>
    <t>https://www.immoscout24.ch/fr/appartement/acheter/lieu-urtenen-schoenbuehl</t>
  </si>
  <si>
    <t>Vendre appartement Urtenen-Schönbühl: Trouvez le bien immobilier qui correspond idéalement à vos désirs sur ImmoScout24 - La plateforme de l'immobilier en Suisse.</t>
  </si>
  <si>
    <t>https://www.immoscout24.ch/fr/maison/acheter/lieu-progens</t>
  </si>
  <si>
    <t>Vendre maison Progens: Trouvez le bien immobilier qui correspond idéalement à vos désirs sur ImmoScout24 - La plateforme de l'immobilier en Suisse.</t>
  </si>
  <si>
    <t>https://www.immoscout24.ch/fr/appartement/louer/lieu-cimo</t>
  </si>
  <si>
    <t>Louer appartement Cimo: Trouvez le bien immobilier qui correspond idéalement à vos désirs sur ImmoScout24 - La plateforme de l'immobilier en Suisse.</t>
  </si>
  <si>
    <t>https://www.immoscout24.ch/fr/appartement/acheter/region-zurich-et-environs</t>
  </si>
  <si>
    <t>Vendre appartement Zurich et environs: Trouvez le bien immobilier qui correspond idéalement à vos désirs sur ImmoScout24 - La plateforme de l'immobilier en Suisse.</t>
  </si>
  <si>
    <t>https://www.immoscout24.ch/fr/maison/acheter/lieu-vauffelin</t>
  </si>
  <si>
    <t>Vendre maison Vauffelin: Trouvez le bien immobilier qui correspond idéalement à vos désirs sur ImmoScout24 - La plateforme de l'immobilier en Suisse.</t>
  </si>
  <si>
    <t>https://www.immoscout24.ch/fr/appartement/louer/lieu-cudrefin</t>
  </si>
  <si>
    <t>Louer appartement Cudrefin: Trouvez le bien immobilier qui correspond idéalement à vos désirs sur ImmoScout24 - La plateforme de l'immobilier en Suisse.</t>
  </si>
  <si>
    <t>https://www.immoscout24.ch/fr/appartement/louer/lieu-albligen</t>
  </si>
  <si>
    <t>Louer appartement Albligen: Trouvez le bien immobilier qui correspond idéalement à vos désirs sur ImmoScout24 - La plateforme de l'immobilier en Suisse.</t>
  </si>
  <si>
    <t>https://www.immoscout24.ch/fr/appartement/louer/lieu-lussery-villars</t>
  </si>
  <si>
    <t>Louer appartement Lussery-Villars: Trouvez le bien immobilier qui correspond idéalement à vos désirs sur ImmoScout24 - La plateforme de l'immobilier en Suisse.</t>
  </si>
  <si>
    <t>https://www.immoscout24.ch/fr/maison/acheter/lieu-puplinge</t>
  </si>
  <si>
    <t>Vendre maison Puplinge: Trouvez le bien immobilier qui correspond idéalement à vos désirs sur ImmoScout24 - La plateforme de l'immobilier en Suisse.</t>
  </si>
  <si>
    <t>https://www.immoscout24.ch/fr/appartement/louer/lieu-krauchthal</t>
  </si>
  <si>
    <t>Louer appartement Krauchthal: Trouvez le bien immobilier qui correspond idéalement à vos désirs sur ImmoScout24 - La plateforme de l'immobilier en Suisse.</t>
  </si>
  <si>
    <t>https://www.immoscout24.ch/fr/appartement/acheter/lieu-lavey-village</t>
  </si>
  <si>
    <t>Vendre appartement Lavey-Village: Trouvez le bien immobilier qui correspond idéalement à vos désirs sur ImmoScout24 - La plateforme de l'immobilier en Suisse.</t>
  </si>
  <si>
    <t>https://www.immoscout24.ch/fr/maison/louer/lieu-meyrin</t>
  </si>
  <si>
    <t>Louer maison Meyrin: Trouvez le bien immobilier qui correspond idéalement à vos désirs sur ImmoScout24 - La plateforme de l'immobilier en Suisse.</t>
  </si>
  <si>
    <t>https://www.immoscout24.ch/fr/maison/louer/lieu-montagnola</t>
  </si>
  <si>
    <t>Louer maison Montagnola: Trouvez le bien immobilier qui correspond idéalement à vos désirs sur ImmoScout24 - La plateforme de l'immobilier en Suisse.</t>
  </si>
  <si>
    <t>https://www.immoscout24.ch/fr/appartement/louer/lieu-ropraz</t>
  </si>
  <si>
    <t>Louer appartement Ropraz: Trouvez le bien immobilier qui correspond idéalement à vos désirs sur ImmoScout24 - La plateforme de l'immobilier en Suisse.</t>
  </si>
  <si>
    <t>https://www.immoscout24.ch/fr/appartement/louer/lieu-jouxtens-mezery</t>
  </si>
  <si>
    <t>Louer appartement Jouxtens-Mézery: Trouvez le bien immobilier qui correspond idéalement à vos désirs sur ImmoScout24 - La plateforme de l'immobilier en Suisse.</t>
  </si>
  <si>
    <t>https://www.immoscout24.ch/fr/appartement/louer/lieu-schaan</t>
  </si>
  <si>
    <t>Louer appartement Schaan: Trouvez le bien immobilier qui correspond idéalement à vos désirs sur ImmoScout24 - La plateforme de l'immobilier en Suisse.</t>
  </si>
  <si>
    <t>https://www.immoscout24.ch/fr/appartement/louer/lieu-ecublens-vd</t>
  </si>
  <si>
    <t>Louer appartement Ecublens VD: Trouvez le bien immobilier qui correspond idéalement à vos désirs sur ImmoScout24 - La plateforme de l'immobilier en Suisse.</t>
  </si>
  <si>
    <t>https://www.immoscout24.ch/fr/maison/louer/lieu-vessy</t>
  </si>
  <si>
    <t>Louer maison Vessy: Trouvez le bien immobilier qui correspond idéalement à vos désirs sur ImmoScout24 - La plateforme de l'immobilier en Suisse.</t>
  </si>
  <si>
    <t>https://www.immoscout24.ch/fr/maison/acheter/lieu-lieffrens</t>
  </si>
  <si>
    <t>Vendre maison Lieffrens: Trouvez le bien immobilier qui correspond idéalement à vos désirs sur ImmoScout24 - La plateforme de l'immobilier en Suisse.</t>
  </si>
  <si>
    <t>https://www.immoscout24.ch/fr/maison/acheter/lieu-gerra-gambarogno</t>
  </si>
  <si>
    <t>Vendre maison Gerra (Gambarogno): Trouvez le bien immobilier qui correspond idéalement à vos désirs sur ImmoScout24 - La plateforme de l'immobilier en Suisse.</t>
  </si>
  <si>
    <t>https://www.immoscout24.ch/fr/appartement/acheter/lieu-chiasso</t>
  </si>
  <si>
    <t>Vendre appartement Chiasso: Trouvez le bien immobilier qui correspond idéalement à vos désirs sur ImmoScout24 - La plateforme de l'immobilier en Suisse.</t>
  </si>
  <si>
    <t>https://www.immoscout24.ch/fr/appartement/louer/lieu-cernier</t>
  </si>
  <si>
    <t>Louer appartement Cernier: Trouvez le bien immobilier qui correspond idéalement à vos désirs sur ImmoScout24 - La plateforme de l'immobilier en Suisse.</t>
  </si>
  <si>
    <t>https://www.immoscout24.ch/fr/maison/louer/lieu-moutier</t>
  </si>
  <si>
    <t>Louer maison Moutier: Trouvez le bien immobilier qui correspond idéalement à vos désirs sur ImmoScout24 - La plateforme de l'immobilier en Suisse.</t>
  </si>
  <si>
    <t>https://www.immoscout24.ch/fr/appartement/louer/lieu-bottens</t>
  </si>
  <si>
    <t>Louer appartement Bottens: Trouvez le bien immobilier qui correspond idéalement à vos désirs sur ImmoScout24 - La plateforme de l'immobilier en Suisse.</t>
  </si>
  <si>
    <t>https://www.immoscout24.ch/fr/appartement/louer/lieu-savigny</t>
  </si>
  <si>
    <t>Louer appartement Savigny: Trouvez le bien immobilier qui correspond idéalement à vos désirs sur ImmoScout24 - La plateforme de l'immobilier en Suisse.</t>
  </si>
  <si>
    <t>https://www.immoscout24.ch/fr/maison/louer/lieu-le-chable-vs</t>
  </si>
  <si>
    <t>Louer maison Le Châble VS: Trouvez le bien immobilier qui correspond idéalement à vos désirs sur ImmoScout24 - La plateforme de l'immobilier en Suisse.</t>
  </si>
  <si>
    <t>https://www.immoscout24.ch/fr/appartement/louer/quartier-beauregard-la-chaux-de-fonds</t>
  </si>
  <si>
    <t>Louer appartement Beauregard (La Chaux-de-Fonds): Trouvez le bien immobilier qui correspond idéalement à vos désirs sur ImmoScout24 - La plateforme de l'immobilier en Suisse.</t>
  </si>
  <si>
    <t>https://www.immoscout24.ch/fr/appartement/louer/lieu-champsec</t>
  </si>
  <si>
    <t>Louer appartement Champsec: Trouvez le bien immobilier qui correspond idéalement à vos désirs sur ImmoScout24 - La plateforme de l'immobilier en Suisse.</t>
  </si>
  <si>
    <t>https://www.immoscout24.ch/fr/appartement/louer/canton-uri</t>
  </si>
  <si>
    <t>Louer appartement Canton d'Uri: Trouvez le bien immobilier qui correspond idéalement à vos désirs sur ImmoScout24 - La plateforme de l'immobilier en Suisse.</t>
  </si>
  <si>
    <t>https://www.immoscout24.ch/fr/maison/louer/lieu-goldau</t>
  </si>
  <si>
    <t>Louer maison Goldau: Trouvez le bien immobilier qui correspond idéalement à vos désirs sur ImmoScout24 - La plateforme de l'immobilier en Suisse.</t>
  </si>
  <si>
    <t>https://www.immoscout24.ch/fr/maison/acheter/lieu-sumiswald</t>
  </si>
  <si>
    <t>Vendre maison Sumiswald: Trouvez le bien immobilier qui correspond idéalement à vos désirs sur ImmoScout24 - La plateforme de l'immobilier en Suisse.</t>
  </si>
  <si>
    <t>https://www.immoscout24.ch/fr/maison/acheter/lieu-le-sechey</t>
  </si>
  <si>
    <t>Vendre maison Le Séchey: Trouvez le bien immobilier qui correspond idéalement à vos désirs sur ImmoScout24 - La plateforme de l'immobilier en Suisse.</t>
  </si>
  <si>
    <t>https://www.immoscout24.ch/fr/appartement/louer/lieu-ostermundigen</t>
  </si>
  <si>
    <t>Louer appartement Ostermundigen: Trouvez le bien immobilier qui correspond idéalement à vos désirs sur ImmoScout24 - La plateforme de l'immobilier en Suisse.</t>
  </si>
  <si>
    <t>https://www.immoscout24.ch/fr/appartement/louer/lieu-romont-be</t>
  </si>
  <si>
    <t>Louer appartement Romont BE: Trouvez le bien immobilier qui correspond idéalement à vos désirs sur ImmoScout24 - La plateforme de l'immobilier en Suisse.</t>
  </si>
  <si>
    <t>https://www.immoscout24.ch/fr/appartement/louer/lieu-lupfig</t>
  </si>
  <si>
    <t>Louer appartement Lupfig: Trouvez le bien immobilier qui correspond idéalement à vos désirs sur ImmoScout24 - La plateforme de l'immobilier en Suisse.</t>
  </si>
  <si>
    <t>https://www.immoscout24.ch/fr/appartement/acheter/lieu-riva-san-vitale</t>
  </si>
  <si>
    <t>Vendre appartement Riva San Vitale: Trouvez le bien immobilier qui correspond idéalement à vos désirs sur ImmoScout24 - La plateforme de l'immobilier en Suisse.</t>
  </si>
  <si>
    <t>https://www.immoscout24.ch/fr/appartement/louer/lieu-tuggen</t>
  </si>
  <si>
    <t>Louer appartement Tuggen: Trouvez le bien immobilier qui correspond idéalement à vos désirs sur ImmoScout24 - La plateforme de l'immobilier en Suisse.</t>
  </si>
  <si>
    <t>https://www.immoscout24.ch/fr/appartement/acheter/region-la-cote-nyon</t>
  </si>
  <si>
    <t>Vendre appartement La Côte - Nyon: Trouvez le bien immobilier qui correspond idéalement à vos désirs sur ImmoScout24 - La plateforme de l'immobilier en Suisse.</t>
  </si>
  <si>
    <t>https://www.immoscout24.ch/fr/appartement/acheter/lieu-concise</t>
  </si>
  <si>
    <t>Vendre appartement Concise: Trouvez le bien immobilier qui correspond idéalement à vos désirs sur ImmoScout24 - La plateforme de l'immobilier en Suisse.</t>
  </si>
  <si>
    <t>https://www.immoscout24.ch/fr/appartement/acheter/lieu-lutry</t>
  </si>
  <si>
    <t>Vendre appartement Lutry: Trouvez le bien immobilier qui correspond idéalement à vos désirs sur ImmoScout24 - La plateforme de l'immobilier en Suisse.</t>
  </si>
  <si>
    <t>https://www.immoscout24.ch/fr/maison/louer/pays-maroc</t>
  </si>
  <si>
    <t>Louer maison Maroc: Trouvez le bien immobilier qui correspond idéalement à vos désirs sur ImmoScout24 - La plateforme de l'immobilier en Suisse.</t>
  </si>
  <si>
    <t>https://www.immoscout24.ch/fr/maison/louer/lieu-icogne</t>
  </si>
  <si>
    <t>Louer maison Icogne: Trouvez le bien immobilier qui correspond idéalement à vos désirs sur ImmoScout24 - La plateforme de l'immobilier en Suisse.</t>
  </si>
  <si>
    <t>https://www.immoscout24.ch/fr/appartement/acheter/lieu-muhen</t>
  </si>
  <si>
    <t>Vendre appartement Muhen: Trouvez le bien immobilier qui correspond idéalement à vos désirs sur ImmoScout24 - La plateforme de l'immobilier en Suisse.</t>
  </si>
  <si>
    <t>https://www.immoscout24.ch/fr/maison/acheter/lieu-origlio</t>
  </si>
  <si>
    <t>Vendre maison Origlio: Trouvez le bien immobilier qui correspond idéalement à vos désirs sur ImmoScout24 - La plateforme de l'immobilier en Suisse.</t>
  </si>
  <si>
    <t>https://www.immoscout24.ch/fr/appartement/louer/lieu-chevenez</t>
  </si>
  <si>
    <t>Louer appartement Chevenez: Trouvez le bien immobilier qui correspond idéalement à vos désirs sur ImmoScout24 - La plateforme de l'immobilier en Suisse.</t>
  </si>
  <si>
    <t>https://www.immoscout24.ch/fr/maison/acheter/lieu-stabio</t>
  </si>
  <si>
    <t>Vendre maison Stabio: Trouvez le bien immobilier qui correspond idéalement à vos désirs sur ImmoScout24 - La plateforme de l'immobilier en Suisse.</t>
  </si>
  <si>
    <t>https://www.immoscout24.ch/fr/appartement/louer/lieu-granges-paccot</t>
  </si>
  <si>
    <t>Louer appartement Granges-Paccot: Trouvez le bien immobilier qui correspond idéalement à vos désirs sur ImmoScout24 - La plateforme de l'immobilier en Suisse.</t>
  </si>
  <si>
    <t>https://www.immoscout24.ch/fr/appartement/acheter/lieu-staefa</t>
  </si>
  <si>
    <t>Vendre appartement Stäfa: Trouvez le bien immobilier qui correspond idéalement à vos désirs sur ImmoScout24 - La plateforme de l'immobilier en Suisse.</t>
  </si>
  <si>
    <t>https://www.immoscout24.ch/fr/appartement/louer/lieu-samedan</t>
  </si>
  <si>
    <t>Louer appartement Samedan: Trouvez le bien immobilier qui correspond idéalement à vos désirs sur ImmoScout24 - La plateforme de l'immobilier en Suisse.</t>
  </si>
  <si>
    <t>https://www.immoscout24.ch/fr/maison/acheter/lieu-collex</t>
  </si>
  <si>
    <t>Vendre maison Collex: Trouvez le bien immobilier qui correspond idéalement à vos désirs sur ImmoScout24 - La plateforme de l'immobilier en Suisse.</t>
  </si>
  <si>
    <t>https://www.immoscout24.ch/fr/maison/acheter/lieu-oulens-sur-lucens</t>
  </si>
  <si>
    <t>Vendre maison Oulens-sur-Lucens: Trouvez le bien immobilier qui correspond idéalement à vos désirs sur ImmoScout24 - La plateforme de l'immobilier en Suisse.</t>
  </si>
  <si>
    <t>https://www.immoscout24.ch/fr/appartement/acheter/lieu-bettmeralp</t>
  </si>
  <si>
    <t>Vendre appartement Bettmeralp: Trouvez le bien immobilier qui correspond idéalement à vos désirs sur ImmoScout24 - La plateforme de l'immobilier en Suisse.</t>
  </si>
  <si>
    <t>https://www.immoscout24.ch/fr/maison/acheter/lieu-ludiano</t>
  </si>
  <si>
    <t>Vendre maison Ludiano: Trouvez le bien immobilier qui correspond idéalement à vos désirs sur ImmoScout24 - La plateforme de l'immobilier en Suisse.</t>
  </si>
  <si>
    <t>https://www.immoscout24.ch/fr/appartement/acheter/lieu-flueh</t>
  </si>
  <si>
    <t>Vendre appartement Flüh: Trouvez le bien immobilier qui correspond idéalement à vos désirs sur ImmoScout24 - La plateforme de l'immobilier en Suisse.</t>
  </si>
  <si>
    <t>https://www.immoscout24.ch/fr/maison/acheter/region-baden-brugg-zurzach</t>
  </si>
  <si>
    <t>Vendre maison Baden - Brugg - Zurzach: Trouvez le bien immobilier qui correspond idéalement à vos désirs sur ImmoScout24 - La plateforme de l'immobilier en Suisse.</t>
  </si>
  <si>
    <t>https://www.immoscout24.ch/fr/appartement/louer/quartier-chailly-rovereaz-lausanne</t>
  </si>
  <si>
    <t>Louer appartement Chailly - Rovéréaz (Lausanne): Trouvez le bien immobilier qui correspond idéalement à vos désirs sur ImmoScout24 - La plateforme de l'immobilier en Suisse.</t>
  </si>
  <si>
    <t>https://www.immoscout24.ch/fr/appartement/louer/lieu-morges</t>
  </si>
  <si>
    <t>Louer appartement Morges: Trouvez le bien immobilier qui correspond idéalement à vos désirs sur ImmoScout24 - La plateforme de l'immobilier en Suisse.</t>
  </si>
  <si>
    <t>https://www.immoscout24.ch/fr/maison/louer/lieu-ependes-fr</t>
  </si>
  <si>
    <t>Louer maison Ependes FR: Trouvez le bien immobilier qui correspond idéalement à vos désirs sur ImmoScout24 - La plateforme de l'immobilier en Suisse.</t>
  </si>
  <si>
    <t>https://www.immoscout24.ch/fr/appartement/acheter/quartier-delices-grottes-geneve</t>
  </si>
  <si>
    <t>Vendre appartement Délices - Grottes (Genève): Trouvez le bien immobilier qui correspond idéalement à vos désirs sur ImmoScout24 - La plateforme de l'immobilier en Suisse.</t>
  </si>
  <si>
    <t>https://www.immoscout24.ch/fr/appartement/louer/lieu-sonvilier</t>
  </si>
  <si>
    <t>Louer appartement Sonvilier: Trouvez le bien immobilier qui correspond idéalement à vos désirs sur ImmoScout24 - La plateforme de l'immobilier en Suisse.</t>
  </si>
  <si>
    <t>https://www.immoscout24.ch/fr/maison/acheter/lieu-bruenisried</t>
  </si>
  <si>
    <t>Vendre maison Brünisried: Trouvez le bien immobilier qui correspond idéalement à vos désirs sur ImmoScout24 - La plateforme de l'immobilier en Suisse.</t>
  </si>
  <si>
    <t>https://www.immoscout24.ch/fr/appartement/acheter/lieu-kehrsatz</t>
  </si>
  <si>
    <t>Vendre appartement Kehrsatz: Trouvez le bien immobilier qui correspond idéalement à vos désirs sur ImmoScout24 - La plateforme de l'immobilier en Suisse.</t>
  </si>
  <si>
    <t>https://www.immoscout24.ch/fr/appartement/acheter/lieu-langenthal</t>
  </si>
  <si>
    <t>Vendre appartement Langenthal: Trouvez le bien immobilier qui correspond idéalement à vos désirs sur ImmoScout24 - La plateforme de l'immobilier en Suisse.</t>
  </si>
  <si>
    <t>https://www.immoscout24.ch/fr/maison/acheter/lieu-kappelen</t>
  </si>
  <si>
    <t>Vendre maison Kappelen: Trouvez le bien immobilier qui correspond idéalement à vos désirs sur ImmoScout24 - La plateforme de l'immobilier en Suisse.</t>
  </si>
  <si>
    <t>https://www.immoscout24.ch/fr/appartement/louer/lieu-bussigny</t>
  </si>
  <si>
    <t>Louer appartement Bussigny: Trouvez le bien immobilier qui correspond idéalement à vos désirs sur ImmoScout24 - La plateforme de l'immobilier en Suisse.</t>
  </si>
  <si>
    <t>https://www.immoscout24.ch/fr/appartement/acheter/lieu-obergoesgen</t>
  </si>
  <si>
    <t>Vendre appartement Obergösgen: Trouvez le bien immobilier qui correspond idéalement à vos désirs sur ImmoScout24 - La plateforme de l'immobilier en Suisse.</t>
  </si>
  <si>
    <t>https://www.immoscout24.ch/fr/appartement/louer/lieu-estavayer-le-lac</t>
  </si>
  <si>
    <t>Louer appartement Estavayer-le-Lac: Trouvez le bien immobilier qui correspond idéalement à vos désirs sur ImmoScout24 - La plateforme de l'immobilier en Suisse.</t>
  </si>
  <si>
    <t>https://www.immoscout24.ch/fr/appartement/louer/lieu-yvonand</t>
  </si>
  <si>
    <t>Louer appartement Yvonand: Trouvez le bien immobilier qui correspond idéalement à vos désirs sur ImmoScout24 - La plateforme de l'immobilier en Suisse.</t>
  </si>
  <si>
    <t>https://www.immoscout24.ch/fr/appartement/louer/lieu-kehrsatz</t>
  </si>
  <si>
    <t>Louer appartement Kehrsatz: Trouvez le bien immobilier qui correspond idéalement à vos désirs sur ImmoScout24 - La plateforme de l'immobilier en Suisse.</t>
  </si>
  <si>
    <t>https://www.immoscout24.ch/fr/appartement/louer/lieu-prez-vers-noreaz</t>
  </si>
  <si>
    <t>Louer appartement Prez-vers-Noréaz: Trouvez le bien immobilier qui correspond idéalement à vos désirs sur ImmoScout24 - La plateforme de l'immobilier en Suisse.</t>
  </si>
  <si>
    <t>https://www.immoscout24.ch/fr/maison/louer/lieu-renens-vd</t>
  </si>
  <si>
    <t>Louer maison Renens VD: Trouvez le bien immobilier qui correspond idéalement à vos désirs sur ImmoScout24 - La plateforme de l'immobilier en Suisse.</t>
  </si>
  <si>
    <t>https://www.immoscout24.ch/fr/appartement/louer/lieu-zwillikon</t>
  </si>
  <si>
    <t>Louer appartement Zwillikon: Trouvez le bien immobilier qui correspond idéalement à vos désirs sur ImmoScout24 - La plateforme de l'immobilier en Suisse.</t>
  </si>
  <si>
    <t>https://www.immoscout24.ch/fr/appartement/acheter/canton-fribourg</t>
  </si>
  <si>
    <t>Vendre appartement Canton de Fribourg: Trouvez le bien immobilier qui correspond idéalement à vos désirs sur ImmoScout24 - La plateforme de l'immobilier en Suisse.</t>
  </si>
  <si>
    <t>https://www.immoscout24.ch/fr/appartement/louer/lieu-melchtal</t>
  </si>
  <si>
    <t>Louer appartement Melchtal: Trouvez le bien immobilier qui correspond idéalement à vos désirs sur ImmoScout24 - La plateforme de l'immobilier en Suisse.</t>
  </si>
  <si>
    <t>https://www.immoscout24.ch/fr/maison/louer/lieu-la-praz</t>
  </si>
  <si>
    <t>Louer maison La Praz: Trouvez le bien immobilier qui correspond idéalement à vos désirs sur ImmoScout24 - La plateforme de l'immobilier en Suisse.</t>
  </si>
  <si>
    <t>https://www.immoscout24.ch/fr/appartement/louer/lieu-intragna</t>
  </si>
  <si>
    <t>Louer appartement Intragna: Trouvez le bien immobilier qui correspond idéalement à vos désirs sur ImmoScout24 - La plateforme de l'immobilier en Suisse.</t>
  </si>
  <si>
    <t>https://www.immoscout24.ch/fr/appartement/louer/lieu-villaz-st-pierre</t>
  </si>
  <si>
    <t>Louer appartement Villaz-St-Pierre: Trouvez le bien immobilier qui correspond idéalement à vos désirs sur ImmoScout24 - La plateforme de l'immobilier en Suisse.</t>
  </si>
  <si>
    <t>https://www.immoscout24.ch/fr/appartement/louer/lieu-erlinsbach</t>
  </si>
  <si>
    <t>Louer appartement Erlinsbach: Trouvez le bien immobilier qui correspond idéalement à vos désirs sur ImmoScout24 - La plateforme de l'immobilier en Suisse.</t>
  </si>
  <si>
    <t>https://www.immoscout24.ch/fr/maison/acheter/lieu-rothwald</t>
  </si>
  <si>
    <t>Vendre maison Rothwald: Trouvez le bien immobilier qui correspond idéalement à vos désirs sur ImmoScout24 - La plateforme de l'immobilier en Suisse.</t>
  </si>
  <si>
    <t>https://www.immoscout24.ch/fr/maison/acheter/lieu-vaulruz</t>
  </si>
  <si>
    <t>Vendre maison Vaulruz: Trouvez le bien immobilier qui correspond idéalement à vos désirs sur ImmoScout24 - La plateforme de l'immobilier en Suisse.</t>
  </si>
  <si>
    <t>https://www.immoscout24.ch/fr/maison/louer/canton-appenzell-ri</t>
  </si>
  <si>
    <t>Louer maison Canton d'Appenzell RI: Trouvez le bien immobilier qui correspond idéalement à vos désirs sur ImmoScout24 - La plateforme de l'immobilier en Suisse.</t>
  </si>
  <si>
    <t>https://www.immoscout24.ch/fr/appartement/louer/lieu-ballaigues</t>
  </si>
  <si>
    <t>Louer appartement Ballaigues: Trouvez le bien immobilier qui correspond idéalement à vos désirs sur ImmoScout24 - La plateforme de l'immobilier en Suisse.</t>
  </si>
  <si>
    <t>https://www.immoscout24.ch/fr/appartement/louer/lieu-buchillon</t>
  </si>
  <si>
    <t>Louer appartement Buchillon: Trouvez le bien immobilier qui correspond idéalement à vos désirs sur ImmoScout24 - La plateforme de l'immobilier en Suisse.</t>
  </si>
  <si>
    <t>https://www.immoscout24.ch/fr/appartement/louer/lieu-worblaufen</t>
  </si>
  <si>
    <t>Louer appartement Worblaufen: Trouvez le bien immobilier qui correspond idéalement à vos désirs sur ImmoScout24 - La plateforme de l'immobilier en Suisse.</t>
  </si>
  <si>
    <t>https://www.immoscout24.ch/fr/maison/acheter/lieu-chenaux</t>
  </si>
  <si>
    <t>Vendre maison Chenaux: Trouvez le bien immobilier qui correspond idéalement à vos désirs sur ImmoScout24 - La plateforme de l'immobilier en Suisse.</t>
  </si>
  <si>
    <t>https://www.immoscout24.ch/fr/appartement/acheter/lieu-ovronnaz</t>
  </si>
  <si>
    <t>Vendre appartement Ovronnaz: Trouvez le bien immobilier qui correspond idéalement à vos désirs sur ImmoScout24 - La plateforme de l'immobilier en Suisse.</t>
  </si>
  <si>
    <t>https://www.immoscout24.ch/fr/maison/louer/lieu-aproz-nendaz</t>
  </si>
  <si>
    <t>Louer maison Aproz (Nendaz): Trouvez le bien immobilier qui correspond idéalement à vos désirs sur ImmoScout24 - La plateforme de l'immobilier en Suisse.</t>
  </si>
  <si>
    <t>https://www.immoscout24.ch/fr/maison/acheter/lieu-tavannes</t>
  </si>
  <si>
    <t>Vendre maison Tavannes: Trouvez le bien immobilier qui correspond idéalement à vos désirs sur ImmoScout24 - La plateforme de l'immobilier en Suisse.</t>
  </si>
  <si>
    <t>https://www.immoscout24.ch/fr/maison/acheter/lieu-disentis-muster</t>
  </si>
  <si>
    <t>Vendre maison Disentis/Mustér: Trouvez le bien immobilier qui correspond idéalement à vos désirs sur ImmoScout24 - La plateforme de l'immobilier en Suisse.</t>
  </si>
  <si>
    <t>https://www.immoscout24.ch/fr/appartement/louer/lieu-unterseen</t>
  </si>
  <si>
    <t>Louer appartement Unterseen: Trouvez le bien immobilier qui correspond idéalement à vos désirs sur ImmoScout24 - La plateforme de l'immobilier en Suisse.</t>
  </si>
  <si>
    <t>https://www.immoscout24.ch/fr/appartement/acheter/lieu-castel-san-pietro</t>
  </si>
  <si>
    <t>Vendre appartement Castel San Pietro: Trouvez le bien immobilier qui correspond idéalement à vos désirs sur ImmoScout24 - La plateforme de l'immobilier en Suisse.</t>
  </si>
  <si>
    <t>https://www.immoscout24.ch/fr/appartement/louer/lieu-grenilles</t>
  </si>
  <si>
    <t>Louer appartement Grenilles: Trouvez le bien immobilier qui correspond idéalement à vos désirs sur ImmoScout24 - La plateforme de l'immobilier en Suisse.</t>
  </si>
  <si>
    <t>https://www.immoscout24.ch/fr/appartement/louer/lieu-maroggia</t>
  </si>
  <si>
    <t>Louer appartement Maroggia: Trouvez le bien immobilier qui correspond idéalement à vos désirs sur ImmoScout24 - La plateforme de l'immobilier en Suisse.</t>
  </si>
  <si>
    <t>https://www.immoscout24.ch/fr/maison/acheter/lieu-oberaegeri</t>
  </si>
  <si>
    <t>Vendre maison Oberägeri: Trouvez le bien immobilier qui correspond idéalement à vos désirs sur ImmoScout24 - La plateforme de l'immobilier en Suisse.</t>
  </si>
  <si>
    <t>https://www.immoscout24.ch/fr/appartement/louer/lieu-st-pierre-de-clages</t>
  </si>
  <si>
    <t>Louer appartement St-Pierre-de-Clages: Trouvez le bien immobilier qui correspond idéalement à vos désirs sur ImmoScout24 - La plateforme de l'immobilier en Suisse.</t>
  </si>
  <si>
    <t>https://www.immoscout24.ch/fr/maison/acheter/lieu-wolfhausen</t>
  </si>
  <si>
    <t>Vendre maison Wolfhausen: Trouvez le bien immobilier qui correspond idéalement à vos désirs sur ImmoScout24 - La plateforme de l'immobilier en Suisse.</t>
  </si>
  <si>
    <t>https://www.immoscout24.ch/fr/maison/acheter/lieu-frenkendorf</t>
  </si>
  <si>
    <t>Vendre maison Frenkendorf: Trouvez le bien immobilier qui correspond idéalement à vos désirs sur ImmoScout24 - La plateforme de l'immobilier en Suisse.</t>
  </si>
  <si>
    <t>https://www.immoscout24.ch/fr/appartement/louer/lieu-saas-fee</t>
  </si>
  <si>
    <t>Louer appartement Saas-Fee: Trouvez le bien immobilier qui correspond idéalement à vos désirs sur ImmoScout24 - La plateforme de l'immobilier en Suisse.</t>
  </si>
  <si>
    <t>https://www.immoscout24.ch/fr/maison/acheter/lieu-semione</t>
  </si>
  <si>
    <t>Vendre maison Semione: Trouvez le bien immobilier qui correspond idéalement à vos désirs sur ImmoScout24 - La plateforme de l'immobilier en Suisse.</t>
  </si>
  <si>
    <t>https://www.immoscout24.ch/fr/appartement/louer/lieu-emmenbruecke</t>
  </si>
  <si>
    <t>Louer appartement Emmenbrücke: Trouvez le bien immobilier qui correspond idéalement à vos désirs sur ImmoScout24 - La plateforme de l'immobilier en Suisse.</t>
  </si>
  <si>
    <t>https://www.immoscout24.ch/fr/appartement/louer/lieu-amsoldingen</t>
  </si>
  <si>
    <t>Louer appartement Amsoldingen: Trouvez le bien immobilier qui correspond idéalement à vos désirs sur ImmoScout24 - La plateforme de l'immobilier en Suisse.</t>
  </si>
  <si>
    <t>https://www.immoscout24.ch/fr/appartement/louer/lieu-vucherens</t>
  </si>
  <si>
    <t>Louer appartement Vucherens: Trouvez le bien immobilier qui correspond idéalement à vos désirs sur ImmoScout24 - La plateforme de l'immobilier en Suisse.</t>
  </si>
  <si>
    <t>https://www.immoscout24.ch/fr/maison/acheter/lieu-villars-le-grand</t>
  </si>
  <si>
    <t>Vendre maison Villars-le-Grand: Trouvez le bien immobilier qui correspond idéalement à vos désirs sur ImmoScout24 - La plateforme de l'immobilier en Suisse.</t>
  </si>
  <si>
    <t>https://www.immoscout24.ch/fr/appartement/louer/lieu-rohrbach</t>
  </si>
  <si>
    <t>Louer appartement Rohrbach: Trouvez le bien immobilier qui correspond idéalement à vos désirs sur ImmoScout24 - La plateforme de l'immobilier en Suisse.</t>
  </si>
  <si>
    <t>https://www.immoscout24.ch/fr/appartement/acheter/lieu-marsens</t>
  </si>
  <si>
    <t>Vendre appartement Marsens: Trouvez le bien immobilier qui correspond idéalement à vos désirs sur ImmoScout24 - La plateforme de l'immobilier en Suisse.</t>
  </si>
  <si>
    <t>https://www.immoscout24.ch/fr/appartement/acheter/lieu-tagelswangen</t>
  </si>
  <si>
    <t>Vendre appartement Tagelswangen: Trouvez le bien immobilier qui correspond idéalement à vos désirs sur ImmoScout24 - La plateforme de l'immobilier en Suisse.</t>
  </si>
  <si>
    <t>https://www.immoscout24.ch/fr/appartement/acheter/lieu-chezard-st-martin</t>
  </si>
  <si>
    <t>Vendre appartement Chézard-St-Martin: Trouvez le bien immobilier qui correspond idéalement à vos désirs sur ImmoScout24 - La plateforme de l'immobilier en Suisse.</t>
  </si>
  <si>
    <t>https://www.immoscout24.ch/fr/appartement/louer/lieu-pont-de-la-morge-sion</t>
  </si>
  <si>
    <t>Louer appartement Pont-de-la-Morge (Sion): Trouvez le bien immobilier qui correspond idéalement à vos désirs sur ImmoScout24 - La plateforme de l'immobilier en Suisse.</t>
  </si>
  <si>
    <t>https://www.immoscout24.ch/fr/maison/acheter/lieu-agarone</t>
  </si>
  <si>
    <t>Vendre maison Agarone: Trouvez le bien immobilier qui correspond idéalement à vos désirs sur ImmoScout24 - La plateforme de l'immobilier en Suisse.</t>
  </si>
  <si>
    <t>https://www.immoscout24.ch/fr/maison/acheter/canton-appenzell-ri</t>
  </si>
  <si>
    <t>Vendre maison Canton d'Appenzell RI: Trouvez le bien immobilier qui correspond idéalement à vos désirs sur ImmoScout24 - La plateforme de l'immobilier en Suisse.</t>
  </si>
  <si>
    <t>https://www.immoscout24.ch/fr/appartement/louer/lieu-uetikon-am-see</t>
  </si>
  <si>
    <t>Louer appartement Uetikon am See: Trouvez le bien immobilier qui correspond idéalement à vos désirs sur ImmoScout24 - La plateforme de l'immobilier en Suisse.</t>
  </si>
  <si>
    <t>https://www.immoscout24.ch/fr/appartement/louer/lieu-la-tanne</t>
  </si>
  <si>
    <t>Louer appartement La Tanne: Trouvez le bien immobilier qui correspond idéalement à vos désirs sur ImmoScout24 - La plateforme de l'immobilier en Suisse.</t>
  </si>
  <si>
    <t>https://www.immoscout24.ch/fr/appartement/louer/lieu-st-prex</t>
  </si>
  <si>
    <t>Louer appartement St-Prex: Trouvez le bien immobilier qui correspond idéalement à vos désirs sur ImmoScout24 - La plateforme de l'immobilier en Suisse.</t>
  </si>
  <si>
    <t>https://www.immoscout24.ch/fr/maison/louer/lieu-lignieres</t>
  </si>
  <si>
    <t>Louer maison Lignières: Trouvez le bien immobilier qui correspond idéalement à vos désirs sur ImmoScout24 - La plateforme de l'immobilier en Suisse.</t>
  </si>
  <si>
    <t>https://www.immoscout24.ch/fr/appartement/louer/lieu-comano</t>
  </si>
  <si>
    <t>Louer appartement Comano: Trouvez le bien immobilier qui correspond idéalement à vos désirs sur ImmoScout24 - La plateforme de l'immobilier en Suisse.</t>
  </si>
  <si>
    <t>https://www.immoscout24.ch/fr/maison/acheter/lieu-gipf-oberfrick</t>
  </si>
  <si>
    <t>Vendre maison Gipf-Oberfrick: Trouvez le bien immobilier qui correspond idéalement à vos désirs sur ImmoScout24 - La plateforme de l'immobilier en Suisse.</t>
  </si>
  <si>
    <t>https://www.immoscout24.ch/fr/appartement/acheter/quartier-lerchenfeld-thun</t>
  </si>
  <si>
    <t>Vendre appartement Lerchenfeld (Thun): Trouvez le bien immobilier qui correspond idéalement à vos désirs sur ImmoScout24 - La plateforme de l'immobilier en Suisse.</t>
  </si>
  <si>
    <t>https://www.immoscout24.ch/fr/appartement/acheter/lieu-vinelz</t>
  </si>
  <si>
    <t>Vendre appartement Vinelz: Trouvez le bien immobilier qui correspond idéalement à vos désirs sur ImmoScout24 - La plateforme de l'immobilier en Suisse.</t>
  </si>
  <si>
    <t>https://www.immoscout24.ch/fr/maison/acheter/lieu-vicques</t>
  </si>
  <si>
    <t>Vendre maison Vicques: Trouvez le bien immobilier qui correspond idéalement à vos désirs sur ImmoScout24 - La plateforme de l'immobilier en Suisse.</t>
  </si>
  <si>
    <t>https://www.immoscout24.ch/fr/appartement/acheter/lieu-bretigny-sur-morrens</t>
  </si>
  <si>
    <t>Vendre appartement Bretigny-sur-Morrens: Trouvez le bien immobilier qui correspond idéalement à vos désirs sur ImmoScout24 - La plateforme de l'immobilier en Suisse.</t>
  </si>
  <si>
    <t>https://www.immoscout24.ch/fr/maison/acheter/lieu-susten</t>
  </si>
  <si>
    <t>Vendre maison Susten: Trouvez le bien immobilier qui correspond idéalement à vos désirs sur ImmoScout24 - La plateforme de l'immobilier en Suisse.</t>
  </si>
  <si>
    <t>https://www.immoscout24.ch/fr/maison/acheter/lieu-champagne</t>
  </si>
  <si>
    <t>Vendre maison Champagne: Trouvez le bien immobilier qui correspond idéalement à vos désirs sur ImmoScout24 - La plateforme de l'immobilier en Suisse.</t>
  </si>
  <si>
    <t>https://www.immoscout24.ch/fr/appartement/acheter/canton-argovie</t>
  </si>
  <si>
    <t>Vendre appartement Canton d'Argovie: Trouvez le bien immobilier qui correspond idéalement à vos désirs sur ImmoScout24 - La plateforme de l'immobilier en Suisse.</t>
  </si>
  <si>
    <t>https://www.immoscout24.ch/fr/appartement/acheter/quartier-altstetten-zurich</t>
  </si>
  <si>
    <t>Vendre appartement Altstetten (Zurich): Trouvez le bien immobilier qui correspond idéalement à vos désirs sur ImmoScout24 - La plateforme de l'immobilier en Suisse.</t>
  </si>
  <si>
    <t>https://www.immoscout24.ch/fr/appartement/louer/lieu-champagne</t>
  </si>
  <si>
    <t>Louer appartement Champagne: Trouvez le bien immobilier qui correspond idéalement à vos désirs sur ImmoScout24 - La plateforme de l'immobilier en Suisse.</t>
  </si>
  <si>
    <t>https://www.immoscout24.ch/fr/appartement/acheter/lieu-courrendlin</t>
  </si>
  <si>
    <t>Vendre appartement Courrendlin: Trouvez le bien immobilier qui correspond idéalement à vos désirs sur ImmoScout24 - La plateforme de l'immobilier en Suisse.</t>
  </si>
  <si>
    <t>https://www.immoscout24.ch/fr/appartement/louer/region-laufenburg-rheinfelden</t>
  </si>
  <si>
    <t>Louer appartement Laufenburg - Rheinfelden: Trouvez le bien immobilier qui correspond idéalement à vos désirs sur ImmoScout24 - La plateforme de l'immobilier en Suisse.</t>
  </si>
  <si>
    <t>https://www.immoscout24.ch/fr/appartement/louer/lieu-aarburg</t>
  </si>
  <si>
    <t>Louer appartement Aarburg: Trouvez le bien immobilier qui correspond idéalement à vos désirs sur ImmoScout24 - La plateforme de l'immobilier en Suisse.</t>
  </si>
  <si>
    <t>https://www.immoscout24.ch/fr/appartement/louer/lieu-arcegno</t>
  </si>
  <si>
    <t>Louer appartement Arcegno: Trouvez le bien immobilier qui correspond idéalement à vos désirs sur ImmoScout24 - La plateforme de l'immobilier en Suisse.</t>
  </si>
  <si>
    <t>https://www.immoscout24.ch/fr/appartement/acheter/lieu-autafond</t>
  </si>
  <si>
    <t>Vendre appartement Autafond: Trouvez le bien immobilier qui correspond idéalement à vos désirs sur ImmoScout24 - La plateforme de l'immobilier en Suisse.</t>
  </si>
  <si>
    <t>https://www.immoscout24.ch/fr/appartement/louer/lieu-regensdorf</t>
  </si>
  <si>
    <t>Louer appartement Regensdorf: Trouvez le bien immobilier qui correspond idéalement à vos désirs sur ImmoScout24 - La plateforme de l'immobilier en Suisse.</t>
  </si>
  <si>
    <t>https://www.immoscout24.ch/fr/appartement/louer/lieu-duernten</t>
  </si>
  <si>
    <t>Louer appartement Dürnten: Trouvez le bien immobilier qui correspond idéalement à vos désirs sur ImmoScout24 - La plateforme de l'immobilier en Suisse.</t>
  </si>
  <si>
    <t>https://www.immoscout24.ch/fr/maison/acheter/lieu-maisprach</t>
  </si>
  <si>
    <t>Vendre maison Maisprach: Trouvez le bien immobilier qui correspond idéalement à vos désirs sur ImmoScout24 - La plateforme de l'immobilier en Suisse.</t>
  </si>
  <si>
    <t>https://www.immoscout24.ch/fr/maison/acheter/lieu-bressaucourt</t>
  </si>
  <si>
    <t>Vendre maison Bressaucourt: Trouvez le bien immobilier qui correspond idéalement à vos désirs sur ImmoScout24 - La plateforme de l'immobilier en Suisse.</t>
  </si>
  <si>
    <t>https://www.immoscout24.ch/fr/maison/acheter/lieu-montagny-pres-yverdon</t>
  </si>
  <si>
    <t>Vendre maison Montagny-près-Yverdon: Trouvez le bien immobilier qui correspond idéalement à vos désirs sur ImmoScout24 - La plateforme de l'immobilier en Suisse.</t>
  </si>
  <si>
    <t>https://www.immoscout24.ch/fr/maison/acheter/lieu-chandon</t>
  </si>
  <si>
    <t>Vendre maison Chandon: Trouvez le bien immobilier qui correspond idéalement à vos désirs sur ImmoScout24 - La plateforme de l'immobilier en Suisse.</t>
  </si>
  <si>
    <t>https://www.immoscout24.ch/fr/maison/acheter/lieu-villars-ste-croix</t>
  </si>
  <si>
    <t>Vendre maison Villars-Ste-Croix: Trouvez le bien immobilier qui correspond idéalement à vos désirs sur ImmoScout24 - La plateforme de l'immobilier en Suisse.</t>
  </si>
  <si>
    <t>https://www.immoscout24.ch/fr/maison/louer/lieu-la-tour-de-peilz</t>
  </si>
  <si>
    <t>Louer maison La Tour-de-Peilz: Trouvez le bien immobilier qui correspond idéalement à vos désirs sur ImmoScout24 - La plateforme de l'immobilier en Suisse.</t>
  </si>
  <si>
    <t>https://www.immoscout24.ch/fr/appartement/louer/lieu-daillens</t>
  </si>
  <si>
    <t>Louer appartement Daillens: Trouvez le bien immobilier qui correspond idéalement à vos désirs sur ImmoScout24 - La plateforme de l'immobilier en Suisse.</t>
  </si>
  <si>
    <t>https://www.immoscout24.ch/fr/maison/louer/lieu-autafond</t>
  </si>
  <si>
    <t>Louer maison Autafond: Trouvez le bien immobilier qui correspond idéalement à vos désirs sur ImmoScout24 - La plateforme de l'immobilier en Suisse.</t>
  </si>
  <si>
    <t>https://www.immoscout24.ch/fr/appartement/acheter/lieu-schwadernau</t>
  </si>
  <si>
    <t>Vendre appartement Schwadernau: Trouvez le bien immobilier qui correspond idéalement à vos désirs sur ImmoScout24 - La plateforme de l'immobilier en Suisse.</t>
  </si>
  <si>
    <t>https://www.immoscout24.ch/fr/maison/louer/lieu-vetroz</t>
  </si>
  <si>
    <t>Louer maison Vétroz: Trouvez le bien immobilier qui correspond idéalement à vos désirs sur ImmoScout24 - La plateforme de l'immobilier en Suisse.</t>
  </si>
  <si>
    <t>https://www.immoscout24.ch/fr/maison/louer/quartier-bourguillon-fribourg</t>
  </si>
  <si>
    <t>Louer maison Bourguillon (Fribourg): Trouvez le bien immobilier qui correspond idéalement à vos désirs sur ImmoScout24 - La plateforme de l'immobilier en Suisse.</t>
  </si>
  <si>
    <t>https://www.immoscout24.ch/fr/appartement/louer/lieu-hochdorf</t>
  </si>
  <si>
    <t>Louer appartement Hochdorf: Trouvez le bien immobilier qui correspond idéalement à vos désirs sur ImmoScout24 - La plateforme de l'immobilier en Suisse.</t>
  </si>
  <si>
    <t>https://www.immoscout24.ch/fr/appartement/louer/quartier-altstadt-winterthur</t>
  </si>
  <si>
    <t>Louer appartement Altstadt (Winterthur): Trouvez le bien immobilier qui correspond idéalement à vos désirs sur ImmoScout24 - La plateforme de l'immobilier en Suisse.</t>
  </si>
  <si>
    <t>https://www.immoscout24.ch/fr/maison/acheter/lieu-luescherz</t>
  </si>
  <si>
    <t>Vendre maison Lüscherz: Trouvez le bien immobilier qui correspond idéalement à vos désirs sur ImmoScout24 - La plateforme de l'immobilier en Suisse.</t>
  </si>
  <si>
    <t>https://www.immoscout24.ch/fr/appartement/louer/region-zurich-et-environs</t>
  </si>
  <si>
    <t>Louer appartement Zurich et environs: Trouvez le bien immobilier qui correspond idéalement à vos désirs sur ImmoScout24 - La plateforme de l'immobilier en Suisse.</t>
  </si>
  <si>
    <t>https://www.immoscout24.ch/fr/appartement/louer/region-bale-ville</t>
  </si>
  <si>
    <t>Louer appartement Bâle-Ville: Trouvez le bien immobilier qui correspond idéalement à vos désirs sur ImmoScout24 - La plateforme de l'immobilier en Suisse.</t>
  </si>
  <si>
    <t>https://www.immoscout24.ch/fr/maison/acheter/lieu-bonfol</t>
  </si>
  <si>
    <t>Vendre maison Bonfol: Trouvez le bien immobilier qui correspond idéalement à vos désirs sur ImmoScout24 - La plateforme de l'immobilier en Suisse.</t>
  </si>
  <si>
    <t>https://www.immoscout24.ch/fr/appartement/louer/lieu-cheyres</t>
  </si>
  <si>
    <t>Louer appartement Cheyres: Trouvez le bien immobilier qui correspond idéalement à vos désirs sur ImmoScout24 - La plateforme de l'immobilier en Suisse.</t>
  </si>
  <si>
    <t>https://www.immoscout24.ch/fr/appartement/acheter/lieu-mur-vully-fr</t>
  </si>
  <si>
    <t>Vendre appartement Mur (Vully) FR: Trouvez le bien immobilier qui correspond idéalement à vos désirs sur ImmoScout24 - La plateforme de l'immobilier en Suisse.</t>
  </si>
  <si>
    <t>https://www.immoscout24.ch/fr/maison/acheter/lieu-bovernier</t>
  </si>
  <si>
    <t>Vendre maison Bovernier: Trouvez le bien immobilier qui correspond idéalement à vos désirs sur ImmoScout24 - La plateforme de l'immobilier en Suisse.</t>
  </si>
  <si>
    <t>https://www.immoscout24.ch/fr/appartement/acheter/region-lucerne-lac</t>
  </si>
  <si>
    <t>Vendre appartement Lucerne - Lac: Trouvez le bien immobilier qui correspond idéalement à vos désirs sur ImmoScout24 - La plateforme de l'immobilier en Suisse.</t>
  </si>
  <si>
    <t>https://www.immoscout24.ch/fr/appartement/acheter/lieu-martigny-croix</t>
  </si>
  <si>
    <t>Vendre appartement Martigny-Croix: Trouvez le bien immobilier qui correspond idéalement à vos désirs sur ImmoScout24 - La plateforme de l'immobilier en Suisse.</t>
  </si>
  <si>
    <t>https://www.immoscout24.ch/fr/maison/acheter/lieu-champsec</t>
  </si>
  <si>
    <t>Vendre maison Champsec: Trouvez le bien immobilier qui correspond idéalement à vos désirs sur ImmoScout24 - La plateforme de l'immobilier en Suisse.</t>
  </si>
  <si>
    <t>https://www.immoscout24.ch/fr/maison/acheter/lieu-ponte-tresa</t>
  </si>
  <si>
    <t>Vendre maison Ponte Tresa: Trouvez le bien immobilier qui correspond idéalement à vos désirs sur ImmoScout24 - La plateforme de l'immobilier en Suisse.</t>
  </si>
  <si>
    <t>https://www.immoscout24.ch/fr/appartement/acheter/lieu-regensdorf</t>
  </si>
  <si>
    <t>Vendre appartement Regensdorf: Trouvez le bien immobilier qui correspond idéalement à vos désirs sur ImmoScout24 - La plateforme de l'immobilier en Suisse.</t>
  </si>
  <si>
    <t>https://www.immoscout24.ch/fr/appartement/acheter/lieu-les-collons</t>
  </si>
  <si>
    <t>Vendre appartement Les Collons: Trouvez le bien immobilier qui correspond idéalement à vos désirs sur ImmoScout24 - La plateforme de l'immobilier en Suisse.</t>
  </si>
  <si>
    <t>https://www.immoscout24.ch/fr/maison/louer/lieu-jouxtens-mezery</t>
  </si>
  <si>
    <t>Louer maison Jouxtens-Mézery: Trouvez le bien immobilier qui correspond idéalement à vos désirs sur ImmoScout24 - La plateforme de l'immobilier en Suisse.</t>
  </si>
  <si>
    <t>https://www.immoscout24.ch/fr/appartement/louer/lieu-barbereche</t>
  </si>
  <si>
    <t>Louer appartement Barberêche: Trouvez le bien immobilier qui correspond idéalement à vos désirs sur ImmoScout24 - La plateforme de l'immobilier en Suisse.</t>
  </si>
  <si>
    <t>https://www.immoscout24.ch/fr/maison/acheter/lieu-courroux</t>
  </si>
  <si>
    <t>Vendre maison Courroux: Trouvez le bien immobilier qui correspond idéalement à vos désirs sur ImmoScout24 - La plateforme de l'immobilier en Suisse.</t>
  </si>
  <si>
    <t>https://www.immoscout24.ch/fr/appartement/louer/lieu-rueegsau</t>
  </si>
  <si>
    <t>Louer appartement Rüegsau: Trouvez le bien immobilier qui correspond idéalement à vos désirs sur ImmoScout24 - La plateforme de l'immobilier en Suisse.</t>
  </si>
  <si>
    <t>https://www.immoscout24.ch/fr/appartement/acheter/lieu-saignelegier</t>
  </si>
  <si>
    <t>Vendre appartement Saignelégier: Trouvez le bien immobilier qui correspond idéalement à vos désirs sur ImmoScout24 - La plateforme de l'immobilier en Suisse.</t>
  </si>
  <si>
    <t>https://www.immoscout24.ch/fr/maison/acheter/lieu-oensingen</t>
  </si>
  <si>
    <t>Vendre maison Oensingen: Trouvez le bien immobilier qui correspond idéalement à vos désirs sur ImmoScout24 - La plateforme de l'immobilier en Suisse.</t>
  </si>
  <si>
    <t>https://www.immoscout24.ch/fr/appartement/louer/lieu-chermignon-d-en-bas</t>
  </si>
  <si>
    <t>Louer appartement Chermignon-d'en-Bas: Trouvez le bien immobilier qui correspond idéalement à vos désirs sur ImmoScout24 - La plateforme de l'immobilier en Suisse.</t>
  </si>
  <si>
    <t>https://www.immoscout24.ch/fr/appartement/acheter/lieu-forel-lavaux</t>
  </si>
  <si>
    <t>Vendre appartement Forel (Lavaux): Trouvez le bien immobilier qui correspond idéalement à vos désirs sur ImmoScout24 - La plateforme de l'immobilier en Suisse.</t>
  </si>
  <si>
    <t>https://www.immoscout24.ch/fr/maison/acheter/lieu-st-saphorin-sur-morges</t>
  </si>
  <si>
    <t>Vendre maison St-Saphorin-sur-Morges: Trouvez le bien immobilier qui correspond idéalement à vos désirs sur ImmoScout24 - La plateforme de l'immobilier en Suisse.</t>
  </si>
  <si>
    <t>https://www.immoscout24.ch/fr/appartement/acheter/quartier-serrieres-neuchatel</t>
  </si>
  <si>
    <t>Vendre appartement Serrières (Neuchâtel): Trouvez le bien immobilier qui correspond idéalement à vos désirs sur ImmoScout24 - La plateforme de l'immobilier en Suisse.</t>
  </si>
  <si>
    <t>https://www.immoscout24.ch/fr/appartement/acheter/lieu-wil-sg</t>
  </si>
  <si>
    <t>Vendre appartement Wil SG: Trouvez le bien immobilier qui correspond idéalement à vos désirs sur ImmoScout24 - La plateforme de l'immobilier en Suisse.</t>
  </si>
  <si>
    <t>https://www.immoscout24.ch/fr/maison/louer/lieu-olten</t>
  </si>
  <si>
    <t>Louer maison Olten: Trouvez le bien immobilier qui correspond idéalement à vos désirs sur ImmoScout24 - La plateforme de l'immobilier en Suisse.</t>
  </si>
  <si>
    <t>https://www.immoscout24.ch/fr/maison/acheter/lieu-rolle</t>
  </si>
  <si>
    <t>Vendre maison Rolle: Trouvez le bien immobilier qui correspond idéalement à vos désirs sur ImmoScout24 - La plateforme de l'immobilier en Suisse.</t>
  </si>
  <si>
    <t>https://www.immoscout24.ch/fr/appartement/louer/lieu-bulle</t>
  </si>
  <si>
    <t>Louer appartement Bulle: Trouvez le bien immobilier qui correspond idéalement à vos désirs sur ImmoScout24 - La plateforme de l'immobilier en Suisse.</t>
  </si>
  <si>
    <t>https://www.immoscout24.ch/fr/appartement/acheter/lieu-payerne</t>
  </si>
  <si>
    <t>Vendre appartement Payerne: Trouvez le bien immobilier qui correspond idéalement à vos désirs sur ImmoScout24 - La plateforme de l'immobilier en Suisse.</t>
  </si>
  <si>
    <t>https://www.immoscout24.ch/fr/maison/acheter/quartier-breitfeld-berne</t>
  </si>
  <si>
    <t>Vendre maison Breitfeld (Berne): Trouvez le bien immobilier qui correspond idéalement à vos désirs sur ImmoScout24 - La plateforme de l'immobilier en Suisse.</t>
  </si>
  <si>
    <t>https://www.immoscout24.ch/fr/appartement/acheter/region-baden-brugg-zurzach</t>
  </si>
  <si>
    <t>Vendre appartement Baden - Brugg - Zurzach: Trouvez le bien immobilier qui correspond idéalement à vos désirs sur ImmoScout24 - La plateforme de l'immobilier en Suisse.</t>
  </si>
  <si>
    <t>https://www.immoscout24.ch/fr/maison/acheter/lieu-satigny</t>
  </si>
  <si>
    <t>Vendre maison Satigny: Trouvez le bien immobilier qui correspond idéalement à vos désirs sur ImmoScout24 - La plateforme de l'immobilier en Suisse.</t>
  </si>
  <si>
    <t>https://www.immoscout24.ch/fr/maison/acheter/lieu-noflen-be</t>
  </si>
  <si>
    <t>Vendre maison Noflen BE: Trouvez le bien immobilier qui correspond idéalement à vos désirs sur ImmoScout24 - La plateforme de l'immobilier en Suisse.</t>
  </si>
  <si>
    <t>https://www.immoscout24.ch/fr/appartement/acheter/lieu-murten</t>
  </si>
  <si>
    <t>Vendre appartement Murten: Trouvez le bien immobilier qui correspond idéalement à vos désirs sur ImmoScout24 - La plateforme de l'immobilier en Suisse.</t>
  </si>
  <si>
    <t>https://www.immoscout24.ch/fr/appartement/louer/lieu-taesch</t>
  </si>
  <si>
    <t>Louer appartement Täsch: Trouvez le bien immobilier qui correspond idéalement à vos désirs sur ImmoScout24 - La plateforme de l'immobilier en Suisse.</t>
  </si>
  <si>
    <t>https://www.immoscout24.ch/fr/maison/louer/lieu-grandevent</t>
  </si>
  <si>
    <t>Louer maison Grandevent: Trouvez le bien immobilier qui correspond idéalement à vos désirs sur ImmoScout24 - La plateforme de l'immobilier en Suisse.</t>
  </si>
  <si>
    <t>https://www.immoscout24.ch/fr/appartement/louer/lieu-schinznach-bad</t>
  </si>
  <si>
    <t>Louer appartement Schinznach Bad: Trouvez le bien immobilier qui correspond idéalement à vos désirs sur ImmoScout24 - La plateforme de l'immobilier en Suisse.</t>
  </si>
  <si>
    <t>https://www.immoscout24.ch/fr/appartement/louer/lieu-lessoc</t>
  </si>
  <si>
    <t>Louer appartement Lessoc: Trouvez le bien immobilier qui correspond idéalement à vos désirs sur ImmoScout24 - La plateforme de l'immobilier en Suisse.</t>
  </si>
  <si>
    <t>https://www.immoscout24.ch/fr/appartement/louer/region-winterthour-ville</t>
  </si>
  <si>
    <t>Louer appartement Winterthour ville: Trouvez le bien immobilier qui correspond idéalement à vos désirs sur ImmoScout24 - La plateforme de l'immobilier en Suisse.</t>
  </si>
  <si>
    <t>https://www.immoscout24.ch/fr/appartement/louer/lieu-konolfingen</t>
  </si>
  <si>
    <t>Louer appartement Konolfingen: Trouvez le bien immobilier qui correspond idéalement à vos désirs sur ImmoScout24 - La plateforme de l'immobilier en Suisse.</t>
  </si>
  <si>
    <t>https://www.immoscout24.ch/fr/appartement/louer/region-bern-et-environs</t>
  </si>
  <si>
    <t>Louer appartement Bern et environs: Trouvez le bien immobilier qui correspond idéalement à vos désirs sur ImmoScout24 - La plateforme de l'immobilier en Suisse.</t>
  </si>
  <si>
    <t>https://www.immoscout24.ch/fr/maison/acheter/pays-bresil</t>
  </si>
  <si>
    <t>Vendre maison Brésil: Trouvez le bien immobilier qui correspond idéalement à vos désirs sur ImmoScout24 - La plateforme de l'immobilier en Suisse.</t>
  </si>
  <si>
    <t>https://www.immoscout24.ch/fr/appartement/louer/lieu-villars-sur-ollon</t>
  </si>
  <si>
    <t>Louer appartement Villars-sur-Ollon: Trouvez le bien immobilier qui correspond idéalement à vos désirs sur ImmoScout24 - La plateforme de l'immobilier en Suisse.</t>
  </si>
  <si>
    <t>https://www.immoscout24.ch/fr/maison/acheter/lieu-bodio-ti</t>
  </si>
  <si>
    <t>Vendre maison Bodio TI: Trouvez le bien immobilier qui correspond idéalement à vos désirs sur ImmoScout24 - La plateforme de l'immobilier en Suisse.</t>
  </si>
  <si>
    <t>https://www.immoscout24.ch/fr/appartement/acheter/lieu-neyruz-fr</t>
  </si>
  <si>
    <t>Vendre appartement Neyruz FR: Trouvez le bien immobilier qui correspond idéalement à vos désirs sur ImmoScout24 - La plateforme de l'immobilier en Suisse.</t>
  </si>
  <si>
    <t>https://www.immoscout24.ch/fr/appartement/louer/lieu-grenchen</t>
  </si>
  <si>
    <t>Louer appartement Grenchen: Trouvez le bien immobilier qui correspond idéalement à vos désirs sur ImmoScout24 - La plateforme de l'immobilier en Suisse.</t>
  </si>
  <si>
    <t>https://www.immoscout24.ch/fr/maison/acheter/lieu-bivio</t>
  </si>
  <si>
    <t>Vendre maison Bivio: Trouvez le bien immobilier qui correspond idéalement à vos désirs sur ImmoScout24 - La plateforme de l'immobilier en Suisse.</t>
  </si>
  <si>
    <t>https://www.immoscout24.ch/fr/maison/louer/lieu-prilly</t>
  </si>
  <si>
    <t>Louer maison Prilly: Trouvez le bien immobilier qui correspond idéalement à vos désirs sur ImmoScout24 - La plateforme de l'immobilier en Suisse.</t>
  </si>
  <si>
    <t>https://www.immoscout24.ch/fr/appartement/louer/lieu-vitznau</t>
  </si>
  <si>
    <t>Louer appartement Vitznau: Trouvez le bien immobilier qui correspond idéalement à vos désirs sur ImmoScout24 - La plateforme de l'immobilier en Suisse.</t>
  </si>
  <si>
    <t>https://www.immoscout24.ch/fr/appartement/louer/lieu-binz</t>
  </si>
  <si>
    <t>Louer appartement Binz: Trouvez le bien immobilier qui correspond idéalement à vos désirs sur ImmoScout24 - La plateforme de l'immobilier en Suisse.</t>
  </si>
  <si>
    <t>https://www.immoscout24.ch/fr/maison/louer/lieu-epagny</t>
  </si>
  <si>
    <t>Louer maison Epagny: Trouvez le bien immobilier qui correspond idéalement à vos désirs sur ImmoScout24 - La plateforme de l'immobilier en Suisse.</t>
  </si>
  <si>
    <t>https://www.immoscout24.ch/fr/maison/louer/lieu-glovelier</t>
  </si>
  <si>
    <t>Louer maison Glovelier: Trouvez le bien immobilier qui correspond idéalement à vos désirs sur ImmoScout24 - La plateforme de l'immobilier en Suisse.</t>
  </si>
  <si>
    <t>https://www.immoscout24.ch/fr/appartement/acheter/quartier-vers-chez-les-blanc-lausanne</t>
  </si>
  <si>
    <t>Vendre appartement Vers-chez-les-Blanc (Lausanne): Trouvez le bien immobilier qui correspond idéalement à vos désirs sur ImmoScout24 - La plateforme de l'immobilier en Suisse.</t>
  </si>
  <si>
    <t>https://www.immoscout24.ch/fr/appartement/louer/lieu-gebenstorf</t>
  </si>
  <si>
    <t>Louer appartement Gebenstorf: Trouvez le bien immobilier qui correspond idéalement à vos désirs sur ImmoScout24 - La plateforme de l'immobilier en Suisse.</t>
  </si>
  <si>
    <t>https://www.immoscout24.ch/fr/appartement/louer/lieu-le-fuet</t>
  </si>
  <si>
    <t>Louer appartement Le Fuet: Trouvez le bien immobilier qui correspond idéalement à vos désirs sur ImmoScout24 - La plateforme de l'immobilier en Suisse.</t>
  </si>
  <si>
    <t>https://www.immoscout24.ch/fr/appartement/acheter/lieu-muri-b-bern</t>
  </si>
  <si>
    <t>Vendre appartement Muri b. Bern: Trouvez le bien immobilier qui correspond idéalement à vos désirs sur ImmoScout24 - La plateforme de l'immobilier en Suisse.</t>
  </si>
  <si>
    <t>https://www.immoscout24.ch/fr/appartement/louer/lieu-icogne</t>
  </si>
  <si>
    <t>Louer appartement Icogne: Trouvez le bien immobilier qui correspond idéalement à vos désirs sur ImmoScout24 - La plateforme de l'immobilier en Suisse.</t>
  </si>
  <si>
    <t>https://www.immoscout24.ch/fr/appartement/louer/region-bremgarten-lenzburg-muri-kulm</t>
  </si>
  <si>
    <t>Louer appartement Bremgarten - Lenzburg - Muri - Kulm: Trouvez le bien immobilier qui correspond idéalement à vos désirs sur ImmoScout24 - La plateforme de l'immobilier en Suisse.</t>
  </si>
  <si>
    <t>https://www.immoscout24.ch/fr/appartement/louer/lieu-dardagny</t>
  </si>
  <si>
    <t>Louer appartement Dardagny: Trouvez le bien immobilier qui correspond idéalement à vos désirs sur ImmoScout24 - La plateforme de l'immobilier en Suisse.</t>
  </si>
  <si>
    <t>https://www.immoscout24.ch/fr/appartement/acheter/lieu-montcherand</t>
  </si>
  <si>
    <t>Vendre appartement Montcherand: Trouvez le bien immobilier qui correspond idéalement à vos désirs sur ImmoScout24 - La plateforme de l'immobilier en Suisse.</t>
  </si>
  <si>
    <t>https://www.immoscout24.ch/fr/maison/louer/lieu-frick</t>
  </si>
  <si>
    <t>Louer maison Frick: Trouvez le bien immobilier qui correspond idéalement à vos désirs sur ImmoScout24 - La plateforme de l'immobilier en Suisse.</t>
  </si>
  <si>
    <t>https://www.immoscout24.ch/fr/maison/louer/lieu-presinge</t>
  </si>
  <si>
    <t>Louer maison Presinge: Trouvez le bien immobilier qui correspond idéalement à vos désirs sur ImmoScout24 - La plateforme de l'immobilier en Suisse.</t>
  </si>
  <si>
    <t>https://www.immoscout24.ch/fr/maison/louer/lieu-martigny</t>
  </si>
  <si>
    <t>Louer maison Martigny: Trouvez le bien immobilier qui correspond idéalement à vos désirs sur ImmoScout24 - La plateforme de l'immobilier en Suisse.</t>
  </si>
  <si>
    <t>https://www.immoscout24.ch/fr/maison/acheter/lieu-horgen</t>
  </si>
  <si>
    <t>Vendre maison Horgen: Trouvez le bien immobilier qui correspond idéalement à vos désirs sur ImmoScout24 - La plateforme de l'immobilier en Suisse.</t>
  </si>
  <si>
    <t>https://www.immoscout24.ch/fr/appartement/louer/lieu-mezieres-fr</t>
  </si>
  <si>
    <t>Louer appartement Mézières FR: Trouvez le bien immobilier qui correspond idéalement à vos désirs sur ImmoScout24 - La plateforme de l'immobilier en Suisse.</t>
  </si>
  <si>
    <t>https://www.immoscout24.ch/fr/maison/acheter/lieu-evilard</t>
  </si>
  <si>
    <t>Vendre maison Evilard: Trouvez le bien immobilier qui correspond idéalement à vos désirs sur ImmoScout24 - La plateforme de l'immobilier en Suisse.</t>
  </si>
  <si>
    <t>https://www.immoscout24.ch/fr/maison/louer/lieu-avegno</t>
  </si>
  <si>
    <t>Louer maison Avegno: Trouvez le bien immobilier qui correspond idéalement à vos désirs sur ImmoScout24 - La plateforme de l'immobilier en Suisse.</t>
  </si>
  <si>
    <t>https://www.immoscout24.ch/fr/maison/acheter/lieu-aubonne</t>
  </si>
  <si>
    <t>Vendre maison Aubonne: Trouvez le bien immobilier qui correspond idéalement à vos désirs sur ImmoScout24 - La plateforme de l'immobilier en Suisse.</t>
  </si>
  <si>
    <t>https://www.immoscout24.ch/fr/appartement/louer/lieu-opfikon</t>
  </si>
  <si>
    <t>Louer appartement Opfikon: Trouvez le bien immobilier qui correspond idéalement à vos désirs sur ImmoScout24 - La plateforme de l'immobilier en Suisse.</t>
  </si>
  <si>
    <t>https://www.immoscout24.ch/fr/appartement/louer/lieu-essertines-sur-rolle</t>
  </si>
  <si>
    <t>Louer appartement Essertines-sur-Rolle: Trouvez le bien immobilier qui correspond idéalement à vos désirs sur ImmoScout24 - La plateforme de l'immobilier en Suisse.</t>
  </si>
  <si>
    <t>https://www.immoscout24.ch/fr/appartement/louer/lieu-muensingen</t>
  </si>
  <si>
    <t>Louer appartement Münsingen: Trouvez le bien immobilier qui correspond idéalement à vos désirs sur ImmoScout24 - La plateforme de l'immobilier en Suisse.</t>
  </si>
  <si>
    <t>https://www.immoscout24.ch/fr/maison/acheter/lieu-ittigen</t>
  </si>
  <si>
    <t>Vendre maison Ittigen: Trouvez le bien immobilier qui correspond idéalement à vos désirs sur ImmoScout24 - La plateforme de l'immobilier en Suisse.</t>
  </si>
  <si>
    <t>https://www.immoscout24.ch/fr/appartement/louer/lieu-villars-sur-glane</t>
  </si>
  <si>
    <t>Louer appartement Villars-sur-Glâne: Trouvez le bien immobilier qui correspond idéalement à vos désirs sur ImmoScout24 - La plateforme de l'immobilier en Suisse.</t>
  </si>
  <si>
    <t>https://www.immoscout24.ch/fr/appartement/acheter/lieu-beromuenster</t>
  </si>
  <si>
    <t>Vendre appartement Beromünster: Trouvez le bien immobilier qui correspond idéalement à vos désirs sur ImmoScout24 - La plateforme de l'immobilier en Suisse.</t>
  </si>
  <si>
    <t>https://www.immoscout24.ch/fr/appartement/acheter/lieu-dietikon</t>
  </si>
  <si>
    <t>Vendre appartement Dietikon: Trouvez le bien immobilier qui correspond idéalement à vos désirs sur ImmoScout24 - La plateforme de l'immobilier en Suisse.</t>
  </si>
  <si>
    <t>https://www.immoscout24.ch/fr/appartement/louer/lieu-wildhaus</t>
  </si>
  <si>
    <t>Louer appartement Wildhaus: Trouvez le bien immobilier qui correspond idéalement à vos désirs sur ImmoScout24 - La plateforme de l'immobilier en Suisse.</t>
  </si>
  <si>
    <t>https://www.immoscout24.ch/fr/appartement/louer/lieu-cazis</t>
  </si>
  <si>
    <t>Louer appartement Cazis: Trouvez le bien immobilier qui correspond idéalement à vos désirs sur ImmoScout24 - La plateforme de l'immobilier en Suisse.</t>
  </si>
  <si>
    <t>https://www.immoscout24.ch/fr/maison/acheter/lieu-lovens</t>
  </si>
  <si>
    <t>Vendre maison Lovens: Trouvez le bien immobilier qui correspond idéalement à vos désirs sur ImmoScout24 - La plateforme de l'immobilier en Suisse.</t>
  </si>
  <si>
    <t>https://www.immoscout24.ch/fr/appartement/louer/lieu-aranno</t>
  </si>
  <si>
    <t>Louer appartement Aranno: Trouvez le bien immobilier qui correspond idéalement à vos désirs sur ImmoScout24 - La plateforme de l'immobilier en Suisse.</t>
  </si>
  <si>
    <t>https://www.immoscout24.ch/fr/appartement/louer/lieu-sutz</t>
  </si>
  <si>
    <t>Louer appartement Sutz: Trouvez le bien immobilier qui correspond idéalement à vos désirs sur ImmoScout24 - La plateforme de l'immobilier en Suisse.</t>
  </si>
  <si>
    <t>https://www.immoscout24.ch/fr/appartement/louer/lieu-ausserberg</t>
  </si>
  <si>
    <t>Louer appartement Ausserberg: Trouvez le bien immobilier qui correspond idéalement à vos désirs sur ImmoScout24 - La plateforme de l'immobilier en Suisse.</t>
  </si>
  <si>
    <t>https://www.immoscout24.ch/fr/maison/acheter/lieu-motier-vully</t>
  </si>
  <si>
    <t>Vendre maison Môtier (Vully): Trouvez le bien immobilier qui correspond idéalement à vos désirs sur ImmoScout24 - La plateforme de l'immobilier en Suisse.</t>
  </si>
  <si>
    <t>https://www.immoscout24.ch/fr/appartement/louer/lieu-le-cerneux-pequignot</t>
  </si>
  <si>
    <t>Louer appartement Le Cerneux-Péquignot: Trouvez le bien immobilier qui correspond idéalement à vos désirs sur ImmoScout24 - La plateforme de l'immobilier en Suisse.</t>
  </si>
  <si>
    <t>https://www.immoscout24.ch/fr/appartement/louer/lieu-crissier</t>
  </si>
  <si>
    <t>Louer appartement Crissier: Trouvez le bien immobilier qui correspond idéalement à vos désirs sur ImmoScout24 - La plateforme de l'immobilier en Suisse.</t>
  </si>
  <si>
    <t>https://www.immoscout24.ch/fr/maison/louer/lieu-les-mosses</t>
  </si>
  <si>
    <t>Louer maison Les Mosses: Trouvez le bien immobilier qui correspond idéalement à vos désirs sur ImmoScout24 - La plateforme de l'immobilier en Suisse.</t>
  </si>
  <si>
    <t>https://www.immoscout24.ch/fr/appartement/louer/lieu-leibstadt</t>
  </si>
  <si>
    <t>Louer appartement Leibstadt: Trouvez le bien immobilier qui correspond idéalement à vos désirs sur ImmoScout24 - La plateforme de l'immobilier en Suisse.</t>
  </si>
  <si>
    <t>https://www.immoscout24.ch/fr/maison/acheter/lieu-grellingen</t>
  </si>
  <si>
    <t>Vendre maison Grellingen: Trouvez le bien immobilier qui correspond idéalement à vos désirs sur ImmoScout24 - La plateforme de l'immobilier en Suisse.</t>
  </si>
  <si>
    <t>https://www.immoscout24.ch/fr/maison/louer/canton-appenzell-re</t>
  </si>
  <si>
    <t>Louer maison Canton d'Appenzell RE: Trouvez le bien immobilier qui correspond idéalement à vos désirs sur ImmoScout24 - La plateforme de l'immobilier en Suisse.</t>
  </si>
  <si>
    <t>https://www.immoscout24.ch/fr/appartement/acheter/lieu-auvernier</t>
  </si>
  <si>
    <t>Vendre appartement Auvernier: Trouvez le bien immobilier qui correspond idéalement à vos désirs sur ImmoScout24 - La plateforme de l'immobilier en Suisse.</t>
  </si>
  <si>
    <t>https://www.immoscout24.ch/fr/appartement/louer/quartier-lerchenfeld-thun</t>
  </si>
  <si>
    <t>Louer appartement Lerchenfeld (Thun): Trouvez le bien immobilier qui correspond idéalement à vos désirs sur ImmoScout24 - La plateforme de l'immobilier en Suisse.</t>
  </si>
  <si>
    <t>https://www.immoscout24.ch/fr/appartement/louer/lieu-gerra-gambarogno</t>
  </si>
  <si>
    <t>Louer appartement Gerra (Gambarogno): Trouvez le bien immobilier qui correspond idéalement à vos désirs sur ImmoScout24 - La plateforme de l'immobilier en Suisse.</t>
  </si>
  <si>
    <t>https://www.immoscout24.ch/fr/maison/acheter/lieu-la-praz</t>
  </si>
  <si>
    <t>Vendre maison La Praz: Trouvez le bien immobilier qui correspond idéalement à vos désirs sur ImmoScout24 - La plateforme de l'immobilier en Suisse.</t>
  </si>
  <si>
    <t>https://www.immoscout24.ch/fr/maison/acheter/lieu-thierrens</t>
  </si>
  <si>
    <t>Vendre maison Thierrens: Trouvez le bien immobilier qui correspond idéalement à vos désirs sur ImmoScout24 - La plateforme de l'immobilier en Suisse.</t>
  </si>
  <si>
    <t>https://www.immoscout24.ch/fr/appartement/acheter/lieu-poschiavo</t>
  </si>
  <si>
    <t>Vendre appartement Poschiavo: Trouvez le bien immobilier qui correspond idéalement à vos désirs sur ImmoScout24 - La plateforme de l'immobilier en Suisse.</t>
  </si>
  <si>
    <t>https://www.immoscout24.ch/fr/appartement/louer/lieu-la-fouly-vs</t>
  </si>
  <si>
    <t>Louer appartement La Fouly VS: Trouvez le bien immobilier qui correspond idéalement à vos désirs sur ImmoScout24 - La plateforme de l'immobilier en Suisse.</t>
  </si>
  <si>
    <t>https://www.immoscout24.ch/fr/maison/acheter/region-rive-droite</t>
  </si>
  <si>
    <t>Vendre maison Rive Droite: Trouvez le bien immobilier qui correspond idéalement à vos désirs sur ImmoScout24 - La plateforme de l'immobilier en Suisse.</t>
  </si>
  <si>
    <t>https://www.immoscout24.ch/fr/maison/acheter/lieu-grandvillard</t>
  </si>
  <si>
    <t>Vendre maison Grandvillard: Trouvez le bien immobilier qui correspond idéalement à vos désirs sur ImmoScout24 - La plateforme de l'immobilier en Suisse.</t>
  </si>
  <si>
    <t>https://www.immoscout24.ch/fr/appartement/acheter/quartier-schonberg-fribourg</t>
  </si>
  <si>
    <t>Vendre appartement Schoenberg (Fribourg): Trouvez le bien immobilier qui correspond idéalement à vos désirs sur ImmoScout24 - La plateforme de l'immobilier en Suisse.</t>
  </si>
  <si>
    <t>https://www.immoscout24.ch/fr/appartement/louer/lieu-saas-im-praettigau</t>
  </si>
  <si>
    <t>Louer appartement Saas im Prättigau: Trouvez le bien immobilier qui correspond idéalement à vos désirs sur ImmoScout24 - La plateforme de l'immobilier en Suisse.</t>
  </si>
  <si>
    <t>https://www.immoscout24.ch/fr/maison/acheter/lieu-sion</t>
  </si>
  <si>
    <t>Vendre maison Sion: Trouvez le bien immobilier qui correspond idéalement à vos désirs sur ImmoScout24 - La plateforme de l'immobilier en Suisse.</t>
  </si>
  <si>
    <t>https://www.immoscout24.ch/fr/maison/acheter/lieu-schindellegi</t>
  </si>
  <si>
    <t>Vendre maison Schindellegi: Trouvez le bien immobilier qui correspond idéalement à vos désirs sur ImmoScout24 - La plateforme de l'immobilier en Suisse.</t>
  </si>
  <si>
    <t>https://www.immoscout24.ch/fr/appartement/louer/lieu-lachen-sz</t>
  </si>
  <si>
    <t>Louer appartement Lachen SZ: Trouvez le bien immobilier qui correspond idéalement à vos désirs sur ImmoScout24 - La plateforme de l'immobilier en Suisse.</t>
  </si>
  <si>
    <t>https://www.immoscout24.ch/fr/appartement/louer/lieu-dietikon</t>
  </si>
  <si>
    <t>Louer appartement Dietikon: Trouvez le bien immobilier qui correspond idéalement à vos désirs sur ImmoScout24 - La plateforme de l'immobilier en Suisse.</t>
  </si>
  <si>
    <t>https://www.immoscout24.ch/fr/maison/acheter/pays-afghanistan</t>
  </si>
  <si>
    <t>Vendre maison Afghanistan: Trouvez le bien immobilier qui correspond idéalement à vos désirs sur ImmoScout24 - La plateforme de l'immobilier en Suisse.</t>
  </si>
  <si>
    <t>https://www.immoscout24.ch/fr/appartement/acheter/lieu-pringy</t>
  </si>
  <si>
    <t>Vendre appartement Pringy: Trouvez le bien immobilier qui correspond idéalement à vos désirs sur ImmoScout24 - La plateforme de l'immobilier en Suisse.</t>
  </si>
  <si>
    <t>https://www.immoscout24.ch/fr/appartement/louer/lieu-avully</t>
  </si>
  <si>
    <t>Louer appartement Avully: Trouvez le bien immobilier qui correspond idéalement à vos désirs sur ImmoScout24 - La plateforme de l'immobilier en Suisse.</t>
  </si>
  <si>
    <t>https://www.immoscout24.ch/fr/maison/acheter/lieu-aesch-bl</t>
  </si>
  <si>
    <t>Vendre maison Aesch BL: Trouvez le bien immobilier qui correspond idéalement à vos désirs sur ImmoScout24 - La plateforme de l'immobilier en Suisse.</t>
  </si>
  <si>
    <t>https://www.immoscout24.ch/fr/appartement/acheter/lieu-birmensdorf-zh</t>
  </si>
  <si>
    <t>Vendre appartement Birmensdorf ZH: Trouvez le bien immobilier qui correspond idéalement à vos désirs sur ImmoScout24 - La plateforme de l'immobilier en Suisse.</t>
  </si>
  <si>
    <t>https://www.immoscout24.ch/fr/maison/acheter/lieu-ligornetto</t>
  </si>
  <si>
    <t>Vendre maison Ligornetto: Trouvez le bien immobilier qui correspond idéalement à vos désirs sur ImmoScout24 - La plateforme de l'immobilier en Suisse.</t>
  </si>
  <si>
    <t>https://www.immoscout24.ch/fr/maison/acheter/lieu-filet</t>
  </si>
  <si>
    <t>Vendre maison Filet: Trouvez le bien immobilier qui correspond idéalement à vos désirs sur ImmoScout24 - La plateforme de l'immobilier en Suisse.</t>
  </si>
  <si>
    <t>https://www.immoscout24.ch/fr/appartement/louer/lieu-contra</t>
  </si>
  <si>
    <t>Louer appartement Contra: Trouvez le bien immobilier qui correspond idéalement à vos désirs sur ImmoScout24 - La plateforme de l'immobilier en Suisse.</t>
  </si>
  <si>
    <t>https://www.immoscout24.ch/fr/maison/louer/lieu-avry-sur-matran</t>
  </si>
  <si>
    <t>Louer maison Avry-sur-Matran: Trouvez le bien immobilier qui correspond idéalement à vos désirs sur ImmoScout24 - La plateforme de l'immobilier en Suisse.</t>
  </si>
  <si>
    <t>https://www.immoscout24.ch/fr/appartement/louer/lieu-eglisau</t>
  </si>
  <si>
    <t>Louer appartement Eglisau: Trouvez le bien immobilier qui correspond idéalement à vos désirs sur ImmoScout24 - La plateforme de l'immobilier en Suisse.</t>
  </si>
  <si>
    <t>https://www.immoscout24.ch/fr/appartement/acheter/lieu-saas-grund</t>
  </si>
  <si>
    <t>Vendre appartement Saas-Grund: Trouvez le bien immobilier qui correspond idéalement à vos désirs sur ImmoScout24 - La plateforme de l'immobilier en Suisse.</t>
  </si>
  <si>
    <t>https://www.immoscout24.ch/fr/maison/louer/lieu-rueti-b-bueren</t>
  </si>
  <si>
    <t>Louer maison Rüti b. Büren: Trouvez le bien immobilier qui correspond idéalement à vos désirs sur ImmoScout24 - La plateforme de l'immobilier en Suisse.</t>
  </si>
  <si>
    <t>https://www.immoscout24.ch/fr/maison/acheter/lieu-lussy-fr</t>
  </si>
  <si>
    <t>Vendre maison Lussy FR: Trouvez le bien immobilier qui correspond idéalement à vos désirs sur ImmoScout24 - La plateforme de l'immobilier en Suisse.</t>
  </si>
  <si>
    <t>https://www.immoscout24.ch/fr/appartement/louer/lieu-villars-le-grand</t>
  </si>
  <si>
    <t>Louer appartement Villars-le-Grand: Trouvez le bien immobilier qui correspond idéalement à vos désirs sur ImmoScout24 - La plateforme de l'immobilier en Suisse.</t>
  </si>
  <si>
    <t>https://www.immoscout24.ch/fr/appartement/louer/lieu-lenk-im-simmental</t>
  </si>
  <si>
    <t>Louer appartement Lenk im Simmental: Trouvez le bien immobilier qui correspond idéalement à vos désirs sur ImmoScout24 - La plateforme de l'immobilier en Suisse.</t>
  </si>
  <si>
    <t>https://www.immoscout24.ch/fr/appartement/louer/lieu-valeyres-sous-ursins</t>
  </si>
  <si>
    <t>Louer appartement Valeyres-sous-Ursins: Trouvez le bien immobilier qui correspond idéalement à vos désirs sur ImmoScout24 - La plateforme de l'immobilier en Suisse.</t>
  </si>
  <si>
    <t>https://www.immoscout24.ch/fr/appartement/louer/lieu-brent</t>
  </si>
  <si>
    <t>Louer appartement Brent: Trouvez le bien immobilier qui correspond idéalement à vos désirs sur ImmoScout24 - La plateforme de l'immobilier en Suisse.</t>
  </si>
  <si>
    <t>https://www.immoscout24.ch/fr/maison/acheter/lieu-torny-le-grand</t>
  </si>
  <si>
    <t>Vendre maison Torny-le-Grand: Trouvez le bien immobilier qui correspond idéalement à vos désirs sur ImmoScout24 - La plateforme de l'immobilier en Suisse.</t>
  </si>
  <si>
    <t>https://www.immoscout24.ch/fr/appartement/acheter/lieu-gunten</t>
  </si>
  <si>
    <t>Vendre appartement Gunten: Trouvez le bien immobilier qui correspond idéalement à vos désirs sur ImmoScout24 - La plateforme de l'immobilier en Suisse.</t>
  </si>
  <si>
    <t>https://www.immoscout24.ch/fr/appartement/louer/lieu-rizenbach</t>
  </si>
  <si>
    <t>Louer appartement Rizenbach: Trouvez le bien immobilier qui correspond idéalement à vos désirs sur ImmoScout24 - La plateforme de l'immobilier en Suisse.</t>
  </si>
  <si>
    <t>https://www.immoscout24.ch/fr/appartement/acheter/lieu-stansstad</t>
  </si>
  <si>
    <t>Vendre appartement Stansstad: Trouvez le bien immobilier qui correspond idéalement à vos désirs sur ImmoScout24 - La plateforme de l'immobilier en Suisse.</t>
  </si>
  <si>
    <t>https://www.immoscout24.ch/fr/maison/louer/lieu-biere</t>
  </si>
  <si>
    <t>Louer maison Bière: Trouvez le bien immobilier qui correspond idéalement à vos désirs sur ImmoScout24 - La plateforme de l'immobilier en Suisse.</t>
  </si>
  <si>
    <t>https://www.immoscout24.ch/fr/maison/louer/lieu-collombey</t>
  </si>
  <si>
    <t>Louer maison Collombey: Trouvez le bien immobilier qui correspond idéalement à vos désirs sur ImmoScout24 - La plateforme de l'immobilier en Suisse.</t>
  </si>
  <si>
    <t>https://www.immoscout24.ch/fr/appartement/louer/pays-suede</t>
  </si>
  <si>
    <t>Louer appartement Suède: Trouvez le bien immobilier qui correspond idéalement à vos désirs sur ImmoScout24 - La plateforme de l'immobilier en Suisse.</t>
  </si>
  <si>
    <t>https://www.immoscout24.ch/fr/maison/louer/lieu-tolochenaz</t>
  </si>
  <si>
    <t>Louer maison Tolochenaz: Trouvez le bien immobilier qui correspond idéalement à vos désirs sur ImmoScout24 - La plateforme de l'immobilier en Suisse.</t>
  </si>
  <si>
    <t>https://www.immoscout24.ch/fr/appartement/louer/lieu-montricher</t>
  </si>
  <si>
    <t>Louer appartement Montricher: Trouvez le bien immobilier qui correspond idéalement à vos désirs sur ImmoScout24 - La plateforme de l'immobilier en Suisse.</t>
  </si>
  <si>
    <t>https://www.immoscout24.ch/fr/appartement/acheter/lieu-satigny</t>
  </si>
  <si>
    <t>Vendre appartement Satigny: Trouvez le bien immobilier qui correspond idéalement à vos désirs sur ImmoScout24 - La plateforme de l'immobilier en Suisse.</t>
  </si>
  <si>
    <t>https://www.immoscout24.ch/fr/appartement/acheter/lieu-burgdorf</t>
  </si>
  <si>
    <t>Vendre appartement Burgdorf: Trouvez le bien immobilier qui correspond idéalement à vos désirs sur ImmoScout24 - La plateforme de l'immobilier en Suisse.</t>
  </si>
  <si>
    <t>https://www.immoscout24.ch/fr/appartement/louer/pays-argentine</t>
  </si>
  <si>
    <t>Louer appartement Argentine: Trouvez le bien immobilier qui correspond idéalement à vos désirs sur ImmoScout24 - La plateforme de l'immobilier en Suisse.</t>
  </si>
  <si>
    <t>https://www.immoscout24.ch/fr/appartement/louer/lieu-wallisellen</t>
  </si>
  <si>
    <t>Louer appartement Wallisellen: Trouvez le bien immobilier qui correspond idéalement à vos désirs sur ImmoScout24 - La plateforme de l'immobilier en Suisse.</t>
  </si>
  <si>
    <t>https://www.immoscout24.ch/fr/appartement/acheter/lieu-meyriez</t>
  </si>
  <si>
    <t>Vendre appartement Meyriez: Trouvez le bien immobilier qui correspond idéalement à vos désirs sur ImmoScout24 - La plateforme de l'immobilier en Suisse.</t>
  </si>
  <si>
    <t>https://www.immoscout24.ch/fr/appartement/acheter/lieu-clarmont</t>
  </si>
  <si>
    <t>Vendre appartement Clarmont: Trouvez le bien immobilier qui correspond idéalement à vos désirs sur ImmoScout24 - La plateforme de l'immobilier en Suisse.</t>
  </si>
  <si>
    <t>https://www.immoscout24.ch/fr/appartement/louer/quartier-duerrenast-thun</t>
  </si>
  <si>
    <t>Louer appartement Dürrenast (Thun): Trouvez le bien immobilier qui correspond idéalement à vos désirs sur ImmoScout24 - La plateforme de l'immobilier en Suisse.</t>
  </si>
  <si>
    <t>https://www.immoscout24.ch/fr/maison/acheter/lieu-prez-vers-noreaz</t>
  </si>
  <si>
    <t>Vendre maison Prez-vers-Noréaz: Trouvez le bien immobilier qui correspond idéalement à vos désirs sur ImmoScout24 - La plateforme de l'immobilier en Suisse.</t>
  </si>
  <si>
    <t>https://www.immoscout24.ch/fr/maison/acheter/lieu-gimel</t>
  </si>
  <si>
    <t>Vendre maison Gimel: Trouvez le bien immobilier qui correspond idéalement à vos désirs sur ImmoScout24 - La plateforme de l'immobilier en Suisse.</t>
  </si>
  <si>
    <t>https://www.immoscout24.ch/fr/appartement/acheter/region-fribourg-glane</t>
  </si>
  <si>
    <t>Vendre appartement Fribourg Glane: Trouvez le bien immobilier qui correspond idéalement à vos désirs sur ImmoScout24 - La plateforme de l'immobilier en Suisse.</t>
  </si>
  <si>
    <t>https://www.immoscout24.ch/fr/appartement/louer/lieu-worb</t>
  </si>
  <si>
    <t>Louer appartement Worb: Trouvez le bien immobilier qui correspond idéalement à vos désirs sur ImmoScout24 - La plateforme de l'immobilier en Suisse.</t>
  </si>
  <si>
    <t>https://www.immoscout24.ch/fr/maison/acheter/quartier-pouillerel-postiers-chevreuils-la-chaux-de-fonds</t>
  </si>
  <si>
    <t>Vendre maison Pouillerel-Postiers-Chevreuils (La Chaux-de-Fonds): Trouvez le bien immobilier qui correspond idéalement à vos désirs sur ImmoScout24 - La plateforme de l'immobilier en Suisse.</t>
  </si>
  <si>
    <t>https://www.immoscout24.ch/fr/appartement/louer/lieu-juf</t>
  </si>
  <si>
    <t>Louer appartement Juf: Trouvez le bien immobilier qui correspond idéalement à vos désirs sur ImmoScout24 - La plateforme de l'immobilier en Suisse.</t>
  </si>
  <si>
    <t>https://www.immoscout24.ch/fr/appartement/louer/lieu-graenichen</t>
  </si>
  <si>
    <t>Louer appartement Gränichen: Trouvez le bien immobilier qui correspond idéalement à vos désirs sur ImmoScout24 - La plateforme de l'immobilier en Suisse.</t>
  </si>
  <si>
    <t>https://www.immoscout24.ch/fr/maison/acheter/lieu-luesslingen</t>
  </si>
  <si>
    <t>Vendre maison Lüsslingen: Trouvez le bien immobilier qui correspond idéalement à vos désirs sur ImmoScout24 - La plateforme de l'immobilier en Suisse.</t>
  </si>
  <si>
    <t>https://www.immoscout24.ch/fr/appartement/louer/quartier-nouvelle-ville-sud-biel-bienne</t>
  </si>
  <si>
    <t>Louer appartement Nouvelle ville sud (Biel/Bienne): Trouvez le bien immobilier qui correspond idéalement à vos désirs sur ImmoScout24 - La plateforme de l'immobilier en Suisse.</t>
  </si>
  <si>
    <t>https://www.immoscout24.ch/fr/maison/acheter/lieu-la-vraconnaz</t>
  </si>
  <si>
    <t>Vendre maison La Vraconnaz: Trouvez le bien immobilier qui correspond idéalement à vos désirs sur ImmoScout24 - La plateforme de l'immobilier en Suisse.</t>
  </si>
  <si>
    <t>https://www.immoscout24.ch/fr/appartement/acheter/lieu-wattenwil</t>
  </si>
  <si>
    <t>Vendre appartement Wattenwil: Trouvez le bien immobilier qui correspond idéalement à vos désirs sur ImmoScout24 - La plateforme de l'immobilier en Suisse.</t>
  </si>
  <si>
    <t>https://www.immoscout24.ch/fr/maison/acheter/lieu-pont-de-la-morge-sion</t>
  </si>
  <si>
    <t>Vendre maison Pont-de-la-Morge (Sion): Trouvez le bien immobilier qui correspond idéalement à vos désirs sur ImmoScout24 - La plateforme de l'immobilier en Suisse.</t>
  </si>
  <si>
    <t>https://www.immoscout24.ch/fr/appartement/louer/region-campagne-gros-de-vaud</t>
  </si>
  <si>
    <t>Louer appartement Campagne - Gros de Vaud: Trouvez le bien immobilier qui correspond idéalement à vos désirs sur ImmoScout24 - La plateforme de l'immobilier en Suisse.</t>
  </si>
  <si>
    <t>https://www.immoscout24.ch/fr/appartement/louer/lieu-fahy</t>
  </si>
  <si>
    <t>Louer appartement Fahy: Trouvez le bien immobilier qui correspond idéalement à vos désirs sur ImmoScout24 - La plateforme de l'immobilier en Suisse.</t>
  </si>
  <si>
    <t>https://www.immoscout24.ch/fr/maison/louer/lieu-uvrier</t>
  </si>
  <si>
    <t>Louer maison Uvrier: Trouvez le bien immobilier qui correspond idéalement à vos désirs sur ImmoScout24 - La plateforme de l'immobilier en Suisse.</t>
  </si>
  <si>
    <t>https://www.immoscout24.ch/fr/appartement/louer/lieu-wynigen</t>
  </si>
  <si>
    <t>Louer appartement Wynigen: Trouvez le bien immobilier qui correspond idéalement à vos désirs sur ImmoScout24 - La plateforme de l'immobilier en Suisse.</t>
  </si>
  <si>
    <t>https://www.immoscout24.ch/fr/maison/acheter/lieu-cresuz</t>
  </si>
  <si>
    <t>Vendre maison Crésuz: Trouvez le bien immobilier qui correspond idéalement à vos désirs sur ImmoScout24 - La plateforme de l'immobilier en Suisse.</t>
  </si>
  <si>
    <t>https://www.immoscout24.ch/fr/maison/louer/lieu-lugano</t>
  </si>
  <si>
    <t>Louer maison Lugano: Trouvez le bien immobilier qui correspond idéalement à vos désirs sur ImmoScout24 - La plateforme de l'immobilier en Suisse.</t>
  </si>
  <si>
    <t>https://www.immoscout24.ch/fr/maison/louer/lieu-champlan-grimisuat</t>
  </si>
  <si>
    <t>Louer maison Champlan (Grimisuat): Trouvez le bien immobilier qui correspond idéalement à vos désirs sur ImmoScout24 - La plateforme de l'immobilier en Suisse.</t>
  </si>
  <si>
    <t>https://www.immoscout24.ch/fr/maison/acheter/lieu-granges-pres-marnand</t>
  </si>
  <si>
    <t>Vendre maison Granges-près-Marnand: Trouvez le bien immobilier qui correspond idéalement à vos désirs sur ImmoScout24 - La plateforme de l'immobilier en Suisse.</t>
  </si>
  <si>
    <t>https://www.immoscout24.ch/fr/appartement/louer/lieu-zuzwil-sg</t>
  </si>
  <si>
    <t>Louer appartement Zuzwil SG: Trouvez le bien immobilier qui correspond idéalement à vos désirs sur ImmoScout24 - La plateforme de l'immobilier en Suisse.</t>
  </si>
  <si>
    <t>https://www.immoscout24.ch/fr/maison/acheter/lieu-rorbas</t>
  </si>
  <si>
    <t>Vendre maison Rorbas: Trouvez le bien immobilier qui correspond idéalement à vos désirs sur ImmoScout24 - La plateforme de l'immobilier en Suisse.</t>
  </si>
  <si>
    <t>https://www.immoscout24.ch/fr/maison/acheter/lieu-sorvilier</t>
  </si>
  <si>
    <t>Vendre maison Sorvilier: Trouvez le bien immobilier qui correspond idéalement à vos désirs sur ImmoScout24 - La plateforme de l'immobilier en Suisse.</t>
  </si>
  <si>
    <t>https://www.immoscout24.ch/fr/appartement/acheter/lieu-vallon</t>
  </si>
  <si>
    <t>Vendre appartement Vallon: Trouvez le bien immobilier qui correspond idéalement à vos désirs sur ImmoScout24 - La plateforme de l'immobilier en Suisse.</t>
  </si>
  <si>
    <t>https://www.immoscout24.ch/fr/appartement/louer/lieu-bubendorf</t>
  </si>
  <si>
    <t>Louer appartement Bubendorf: Trouvez le bien immobilier qui correspond idéalement à vos désirs sur ImmoScout24 - La plateforme de l'immobilier en Suisse.</t>
  </si>
  <si>
    <t>https://www.immoscout24.ch/fr/maison/acheter/quartier-pierre-a-bot-acacias-neuchatel</t>
  </si>
  <si>
    <t>Vendre maison Pierre-à-Bot - Acacias (Neuchâtel): Trouvez le bien immobilier qui correspond idéalement à vos désirs sur ImmoScout24 - La plateforme de l'immobilier en Suisse.</t>
  </si>
  <si>
    <t>https://www.immoscout24.ch/fr/appartement/acheter/lieu-hochdorf</t>
  </si>
  <si>
    <t>Vendre appartement Hochdorf: Trouvez le bien immobilier qui correspond idéalement à vos désirs sur ImmoScout24 - La plateforme de l'immobilier en Suisse.</t>
  </si>
  <si>
    <t>https://www.immoscout24.ch/fr/maison/acheter/lieu-sangernboden</t>
  </si>
  <si>
    <t>Vendre maison Sangernboden: Trouvez le bien immobilier qui correspond idéalement à vos désirs sur ImmoScout24 - La plateforme de l'immobilier en Suisse.</t>
  </si>
  <si>
    <t>https://www.immoscout24.ch/fr/appartement/acheter/lieu-port</t>
  </si>
  <si>
    <t>Vendre appartement Port: Trouvez le bien immobilier qui correspond idéalement à vos désirs sur ImmoScout24 - La plateforme de l'immobilier en Suisse.</t>
  </si>
  <si>
    <t>https://www.immoscout24.ch/fr/maison/acheter/lieu-puidoux</t>
  </si>
  <si>
    <t>Vendre maison Puidoux: Trouvez le bien immobilier qui correspond idéalement à vos désirs sur ImmoScout24 - La plateforme de l'immobilier en Suisse.</t>
  </si>
  <si>
    <t>https://www.immoscout24.ch/fr/appartement/louer/lieu-trelex</t>
  </si>
  <si>
    <t>Louer appartement Trélex: Trouvez le bien immobilier qui correspond idéalement à vos désirs sur ImmoScout24 - La plateforme de l'immobilier en Suisse.</t>
  </si>
  <si>
    <t>https://www.immoscout24.ch/fr/appartement/louer/lieu-zumikon</t>
  </si>
  <si>
    <t>Louer appartement Zumikon: Trouvez le bien immobilier qui correspond idéalement à vos désirs sur ImmoScout24 - La plateforme de l'immobilier en Suisse.</t>
  </si>
  <si>
    <t>https://www.immoscout24.ch/fr/appartement/acheter/lieu-derendingen</t>
  </si>
  <si>
    <t>Vendre appartement Derendingen: Trouvez le bien immobilier qui correspond idéalement à vos désirs sur ImmoScout24 - La plateforme de l'immobilier en Suisse.</t>
  </si>
  <si>
    <t>https://www.immoscout24.ch/fr/appartement/acheter/lieu-martigny</t>
  </si>
  <si>
    <t>Vendre appartement Martigny: Trouvez le bien immobilier qui correspond idéalement à vos désirs sur ImmoScout24 - La plateforme de l'immobilier en Suisse.</t>
  </si>
  <si>
    <t>https://www.immoscout24.ch/fr/maison/acheter/lieu-finhaut</t>
  </si>
  <si>
    <t>Vendre maison Finhaut: Trouvez le bien immobilier qui correspond idéalement à vos désirs sur ImmoScout24 - La plateforme de l'immobilier en Suisse.</t>
  </si>
  <si>
    <t>https://www.immoscout24.ch/fr/appartement/louer/lieu-flamatt</t>
  </si>
  <si>
    <t>Louer appartement Flamatt: Trouvez le bien immobilier qui correspond idéalement à vos désirs sur ImmoScout24 - La plateforme de l'immobilier en Suisse.</t>
  </si>
  <si>
    <t>https://www.immoscout24.ch/fr/appartement/acheter/lieu-chesieres</t>
  </si>
  <si>
    <t>Vendre appartement Chesières: Trouvez le bien immobilier qui correspond idéalement à vos désirs sur ImmoScout24 - La plateforme de l'immobilier en Suisse.</t>
  </si>
  <si>
    <t>https://www.immoscout24.ch/fr/appartement/louer/lieu-wabern</t>
  </si>
  <si>
    <t>Louer appartement Wabern: Trouvez le bien immobilier qui correspond idéalement à vos désirs sur ImmoScout24 - La plateforme de l'immobilier en Suisse.</t>
  </si>
  <si>
    <t>https://www.immoscout24.ch/fr/appartement/louer/lieu-wetzikon-zh</t>
  </si>
  <si>
    <t>Louer appartement Wetzikon ZH: Trouvez le bien immobilier qui correspond idéalement à vos désirs sur ImmoScout24 - La plateforme de l'immobilier en Suisse.</t>
  </si>
  <si>
    <t>https://www.immoscout24.ch/fr/appartement/louer/lieu-walzenhausen</t>
  </si>
  <si>
    <t>Louer appartement Walzenhausen: Trouvez le bien immobilier qui correspond idéalement à vos désirs sur ImmoScout24 - La plateforme de l'immobilier en Suisse.</t>
  </si>
  <si>
    <t>https://www.immoscout24.ch/fr/maison/louer/lieu-collonges</t>
  </si>
  <si>
    <t>Louer maison Collonges: Trouvez le bien immobilier qui correspond idéalement à vos désirs sur ImmoScout24 - La plateforme de l'immobilier en Suisse.</t>
  </si>
  <si>
    <t>https://www.immoscout24.ch/fr/appartement/louer/lieu-chatonnaye</t>
  </si>
  <si>
    <t>Louer appartement Châtonnaye: Trouvez le bien immobilier qui correspond idéalement à vos désirs sur ImmoScout24 - La plateforme de l'immobilier en Suisse.</t>
  </si>
  <si>
    <t>https://www.immoscout24.ch/fr/maison/louer/lieu-villars-sur-glane</t>
  </si>
  <si>
    <t>Louer maison Villars-sur-Glâne: Trouvez le bien immobilier qui correspond idéalement à vos désirs sur ImmoScout24 - La plateforme de l'immobilier en Suisse.</t>
  </si>
  <si>
    <t>https://www.immoscout24.ch/fr/maison/acheter/lieu-grancy</t>
  </si>
  <si>
    <t>Vendre maison Grancy: Trouvez le bien immobilier qui correspond idéalement à vos désirs sur ImmoScout24 - La plateforme de l'immobilier en Suisse.</t>
  </si>
  <si>
    <t>https://www.immoscout24.ch/fr/appartement/acheter/lieu-grandson</t>
  </si>
  <si>
    <t>Vendre appartement Grandson: Trouvez le bien immobilier qui correspond idéalement à vos désirs sur ImmoScout24 - La plateforme de l'immobilier en Suisse.</t>
  </si>
  <si>
    <t>https://www.immoscout24.ch/fr/maison/acheter/lieu-alterswil-fr</t>
  </si>
  <si>
    <t>Vendre maison Alterswil FR: Trouvez le bien immobilier qui correspond idéalement à vos désirs sur ImmoScout24 - La plateforme de l'immobilier en Suisse.</t>
  </si>
  <si>
    <t>https://www.immoscout24.ch/fr/maison/louer/lieu-bettmeralp</t>
  </si>
  <si>
    <t>Louer maison Bettmeralp: Trouvez le bien immobilier qui correspond idéalement à vos désirs sur ImmoScout24 - La plateforme de l'immobilier en Suisse.</t>
  </si>
  <si>
    <t>https://www.immoscout24.ch/fr/appartement/louer/lieu-celigny</t>
  </si>
  <si>
    <t>Louer appartement Céligny: Trouvez le bien immobilier qui correspond idéalement à vos désirs sur ImmoScout24 - La plateforme de l'immobilier en Suisse.</t>
  </si>
  <si>
    <t>https://www.immoscout24.ch/fr/appartement/louer/lieu-fuellinsdorf</t>
  </si>
  <si>
    <t>Louer appartement Füllinsdorf: Trouvez le bien immobilier qui correspond idéalement à vos désirs sur ImmoScout24 - La plateforme de l'immobilier en Suisse.</t>
  </si>
  <si>
    <t>https://www.immoscout24.ch/fr/appartement/louer/lieu-schmiedrued</t>
  </si>
  <si>
    <t>Louer appartement Schmiedrued: Trouvez le bien immobilier qui correspond idéalement à vos désirs sur ImmoScout24 - La plateforme de l'immobilier en Suisse.</t>
  </si>
  <si>
    <t>https://www.immoscout24.ch/fr/maison/acheter/lieu-mollens-vs</t>
  </si>
  <si>
    <t>Vendre maison Mollens VS: Trouvez le bien immobilier qui correspond idéalement à vos désirs sur ImmoScout24 - La plateforme de l'immobilier en Suisse.</t>
  </si>
  <si>
    <t>https://www.immoscout24.ch/fr/maison/louer/lieu-bole</t>
  </si>
  <si>
    <t>Louer maison Bôle: Trouvez le bien immobilier qui correspond idéalement à vos désirs sur ImmoScout24 - La plateforme de l'immobilier en Suisse.</t>
  </si>
  <si>
    <t>https://www.immoscout24.ch/fr/appartement/louer/quartier-wesemlin-dreilinden-lucerne</t>
  </si>
  <si>
    <t>Louer appartement Wesemlin - Dreilinden (Lucerne): Trouvez le bien immobilier qui correspond idéalement à vos désirs sur ImmoScout24 - La plateforme de l'immobilier en Suisse.</t>
  </si>
  <si>
    <t>https://www.immoscout24.ch/fr/appartement/louer/lieu-saulcy</t>
  </si>
  <si>
    <t>Louer appartement Saulcy: Trouvez le bien immobilier qui correspond idéalement à vos désirs sur ImmoScout24 - La plateforme de l'immobilier en Suisse.</t>
  </si>
  <si>
    <t>https://www.immoscout24.ch/fr/appartement/louer/lieu-magadino</t>
  </si>
  <si>
    <t>Louer appartement Magadino: Trouvez le bien immobilier qui correspond idéalement à vos désirs sur ImmoScout24 - La plateforme de l'immobilier en Suisse.</t>
  </si>
  <si>
    <t>https://www.immoscout24.ch/fr/appartement/acheter/lieu-montana</t>
  </si>
  <si>
    <t>Vendre appartement Montana: Trouvez le bien immobilier qui correspond idéalement à vos désirs sur ImmoScout24 - La plateforme de l'immobilier en Suisse.</t>
  </si>
  <si>
    <t>https://www.immoscout24.ch/fr/appartement/louer/lieu-binningen</t>
  </si>
  <si>
    <t>Louer appartement Binningen: Trouvez le bien immobilier qui correspond idéalement à vos désirs sur ImmoScout24 - La plateforme de l'immobilier en Suisse.</t>
  </si>
  <si>
    <t>https://www.immoscout24.ch/fr/maison/acheter/lieu-ursy</t>
  </si>
  <si>
    <t>Vendre maison Ursy: Trouvez le bien immobilier qui correspond idéalement à vos désirs sur ImmoScout24 - La plateforme de l'immobilier en Suisse.</t>
  </si>
  <si>
    <t>Address</t>
  </si>
  <si>
    <t>Meta Description 1</t>
  </si>
  <si>
    <t>path</t>
  </si>
  <si>
    <t>control</t>
  </si>
  <si>
    <t>maison</t>
  </si>
  <si>
    <t>acheter</t>
  </si>
  <si>
    <t>lieu</t>
  </si>
  <si>
    <t>variant</t>
  </si>
  <si>
    <t>appartement</t>
  </si>
  <si>
    <t>🏘 Vendre appartement Canton d'Appenzell RI ✅ Trouvez le bien immobilier qui correspond idéalement à vos désirs sur ImmoScout24 - La plateforme de l'immobilier en Suisse.</t>
  </si>
  <si>
    <t>🏘  L’appartement de vos rêves se trouve sur ImmoScout24.ch ✅ Découvrez les dernières annonces de vente dans le canton d'Appenzell.</t>
  </si>
  <si>
    <t>🏘 Vendre maison Canton d'Appenzell ✅ Trouvez le bien immobilier qui correspond idéalement à vos désirs sur ImmoScout24 - La plateforme de l'immobilier en Suisse.</t>
  </si>
  <si>
    <t>🏘  Vous souhaitez acheter une maison dans le canton d'Appenzell? ✅ Jetez un œil aux dernières offres sur ImmoScout24.ch.</t>
  </si>
  <si>
    <t>🏘 Louer appartement Canton d'Argovie ✅ Trouvez le bien immobilier qui correspond idéalement à vos désirs sur ImmoScout24 - La plateforme de l'immobilier en Suisse.</t>
  </si>
  <si>
    <t>🏘  Vous cherchez un appartement à louer dans le canton d'Argovie? ✅ Les annonces les plus actuelles sont sur ImmoScout24.ch.</t>
  </si>
  <si>
    <t>🏘 Louer maison Canton de Berne ✅ Trouvez le bien immobilier qui correspond idéalement à vos désirs sur ImmoScout24 - La plateforme de l'immobilier en Suisse.</t>
  </si>
  <si>
    <t>🏘  Vous cherchez une maison à louer dans le canton de Berne? ✅ Découvrez nos nombreuses annonces sur ImmoScout24.ch.</t>
  </si>
  <si>
    <t>region</t>
  </si>
  <si>
    <t>louer</t>
  </si>
  <si>
    <t>quartier</t>
  </si>
  <si>
    <t>https://www.immoscout24.ch/fr/appartement/louer/quartier-alt-wiedikon-zurich</t>
  </si>
  <si>
    <t>Louer un appartement dans le quartier Zurich Alt-Wiedikon. Trouvez le bien immobilier de vos rêves sur ImmoScout24. Louer appartement à Zurich, tout simplement.</t>
  </si>
  <si>
    <t>https://www.immoscout24.ch/fr/appartement/acheter/pays-montenegro</t>
  </si>
  <si>
    <t>pays</t>
  </si>
  <si>
    <t>canton</t>
  </si>
  <si>
    <t>https://www.immoscout24.ch/fr/appartement/louer/lieu-la-muraz-saviese</t>
  </si>
  <si>
    <t>https://www.immoscout24.ch/fr/appartement/louer/quartier-hoengg-zurich</t>
  </si>
  <si>
    <t>Louer un appartement dans le quartier Zurich Hönng. Trouvez le bien immobilier de vos rêves sur ImmoScout24. Louer appartement à Zurich, tout simplement.</t>
  </si>
  <si>
    <t>https://www.immoscout24.ch/fr/appartement/louer/lieu-drone-saviese</t>
  </si>
  <si>
    <t>https://www.immoscout24.ch/fr/appartement/louer/quartier-hard-zurich</t>
  </si>
  <si>
    <t>Louer un appartement dans le quartier Zurich Hard. Trouvez le bien immobilier de vos rêves sur ImmoScout24. Louer appartement à Zurich, tout simplement.</t>
  </si>
  <si>
    <t>https://www.immoscout24.ch/fr/appartement/louer/lieu-granois-saviese</t>
  </si>
  <si>
    <t>https://www.immoscout24.ch/fr/appartement/louer/quartier-seebach-zurich</t>
  </si>
  <si>
    <t>Louer un appartement dans le quartier Zurich Seebach. Trouvez le bien immobilier de vos rêves sur ImmoScout24. Louer appartement à Zurich, tout simplement.</t>
  </si>
  <si>
    <t>https://www.immoscout24.ch/fr/appartement/louer/lieu-granges-pres-marnand</t>
  </si>
  <si>
    <t>https://www.immoscout24.ch/fr/appartement/louer/quartier-leimbach-zurich</t>
  </si>
  <si>
    <t>Louer un appartement dans le quartier Zurich Leimbach. Trouvez le bien immobilier de vos rêves sur ImmoScout24. Louer appartement à Zurich, tout simplement.</t>
  </si>
  <si>
    <t>https://www.immoscout24.ch/fr/appartement/louer/lieu-st-germain-saviese</t>
  </si>
  <si>
    <t>https://www.immoscout24.ch/fr/appartement/louer/quartier-wipkingen-zurich</t>
  </si>
  <si>
    <t>Louer un appartement dans le quartier Zurich Wipkingen. Trouvez le bien immobilier de vos rêves sur ImmoScout24. Louer appartement à Zurich, tout simplement.</t>
  </si>
  <si>
    <t>https://www.immoscout24.ch/fr/appartement/louer/quartier-witikon-zurich</t>
  </si>
  <si>
    <t>Louer un appartement dans le quartier Zurich Affoltern. Trouvez le bien immobilier de vos rêves sur ImmoScout24. Louer appartement à Zurich, tout simplement.</t>
  </si>
  <si>
    <t>https://www.immoscout24.ch/fr/appartement/louer/quartier-charriere-la-chaux-de-fonds</t>
  </si>
  <si>
    <t>Louer appartement Charrière (La Chaux-de-Fonds): Trouvez le bien immobilier qui correspond idéalement à vos désirs sur ImmoScout24 - La plateforme de l'immobilier en Suisse.</t>
  </si>
  <si>
    <t>https://www.immoscout24.ch/fr/appartement/louer/quartier-sihlfeld-zurich</t>
  </si>
  <si>
    <t>Louer un appartement dans le quartier Zurich Sihlfeld. Trouvez le bien immobilier de vos rêves sur ImmoScout24. Louer appartement à Zurich, tout simplement.</t>
  </si>
  <si>
    <t>https://www.immoscout24.ch/fr/appartement/louer/secteur-kreis-1</t>
  </si>
  <si>
    <t>Louer un appartement dans le secteur Kreis 1. Trouvez le bien immobilier de vos rêves sur ImmoScout24. Louer appartement à Zurich, tout simplement.</t>
  </si>
  <si>
    <t>secteur</t>
  </si>
  <si>
    <t>https://www.immoscout24.ch/fr/appartement/louer/region-zuercher-oberland</t>
  </si>
  <si>
    <t>Louer appartement Zürcher Oberland: Trouvez le bien immobilier qui correspond idéalement à vos désirs sur ImmoScout24 - La plateforme de l'immobilier en Suisse.</t>
  </si>
  <si>
    <t>https://www.immoscout24.ch/fr/appartement/louer/secteur-kreis-12</t>
  </si>
  <si>
    <t>Louer un appartement dans le secteur Kreis 12. Trouvez le bien immobilier de vos rêves sur ImmoScout24. Louer appartement à Zurich, tout simplement.</t>
  </si>
  <si>
    <t>https://www.immoscout24.ch/fr/appartement/louer/region-franches-montagnes</t>
  </si>
  <si>
    <t>Louer appartement Franches-Montagnes: Trouvez le bien immobilier qui correspond idéalement à vos désirs sur ImmoScout24 - La plateforme de l'immobilier en Suisse.</t>
  </si>
  <si>
    <t>https://www.immoscout24.ch/fr/appartement/louer/quartier-albisrieden-zurich</t>
  </si>
  <si>
    <t>Louer un appartement dans le quartier Zurich Albsirieden. Trouvez le bien immobilier de vos rêves sur ImmoScout24. Louer appartement à Zurich, tout simplement.</t>
  </si>
  <si>
    <t>https://www.immoscout24.ch/fr/appartement/louer/pays-thailand</t>
  </si>
  <si>
    <t>Louer appartement Thaïland: Trouvez le bien immobilier qui correspond idéalement à vos désirs sur ImmoScout24 - La plateforme de l'immobilier en Suisse.</t>
  </si>
  <si>
    <t>https://www.immoscout24.ch/fr/appartement/louer/quartier-schwamendingen-mitte-zurich</t>
  </si>
  <si>
    <t>Louer un appartement dans le quartier Zurich Schwamendingen Mitte. Trouvez le bien immobilier de vos rêves sur ImmoScout24. Louer appartement à Zurich, tout simplement.</t>
  </si>
  <si>
    <t>https://www.immoscout24.ch/fr/maison/acheter/lieu-grangettes-pres-romon</t>
  </si>
  <si>
    <t>https://www.immoscout24.ch/fr/appartement/louer/quartier-hirzenbach-zurich</t>
  </si>
  <si>
    <t>Louer un appartement dans le quartier Zurich Hirzenbach. Trouvez le bien immobilier de vos rêves sur ImmoScout24. Louer appartement à Zurich, tout simplement.</t>
  </si>
  <si>
    <t>https://www.immoscout24.ch/fr/maison/louer/region-bern-et-environs</t>
  </si>
  <si>
    <t>Louer maison Bern et environs: Trouvez le bien immobilier qui correspond idéalement à vos désirs sur ImmoScout24 - La plateforme de l'immobilier en Suisse.</t>
  </si>
  <si>
    <t>https://www.immoscout24.ch/fr/maison/acheter/pays-thailand</t>
  </si>
  <si>
    <t>Vendre maison Thaïland: Trouvez le bien immobilier qui correspond idéalement à vos désirs sur ImmoScout24 - La plateforme de l'immobilier en Suisse.</t>
  </si>
  <si>
    <t>https://www.immoscout24.ch/fr/appartement/acheter/vevey</t>
  </si>
  <si>
    <t>vevey</t>
  </si>
  <si>
    <t>https://www.immoscout24.ch/fr/appartement/acheter/quartier-charriere-la-chaux-de-fonds</t>
  </si>
  <si>
    <t>Vendre appartement Charrière (La Chaux-de-Fonds): Trouvez le bien immobilier qui correspond idéalement à vos désirs sur ImmoScout24 - La plateforme de l'immobilier en Suisse.</t>
  </si>
  <si>
    <t>https://www.immoscout24.ch/fr/appartement/louer/quartier-hottingen-zurich</t>
  </si>
  <si>
    <t>Louer un appartement dans le quartier Zurich Hottingen. Trouvez le bien immobilier de vos rêves sur ImmoScout24. Louer appartement à Zurich, tout simplement.</t>
  </si>
  <si>
    <t>https://www.immoscout24.ch/fr/appartement/louer/region-winterthu-et-environs</t>
  </si>
  <si>
    <t>Louer appartement Winterthu et environs: Trouvez le bien immobilier qui correspond idéalement à vos désirs sur ImmoScout24 - La plateforme de l'immobilier en Suisse.</t>
  </si>
  <si>
    <t>https://www.immoscout24.ch/fr/appartement/louer/secteur-kreis-6</t>
  </si>
  <si>
    <t>Louer un appartement dans le secteur Kreis 6. Trouvez le bien immobilier de vos rêves sur ImmoScout24. Louer appartement à Zurich, tout simplement.</t>
  </si>
  <si>
    <t>https://www.immoscout24.ch/fr/appartement/louer/secteur-kreis-7</t>
  </si>
  <si>
    <t>Louer un appartement dans le secteur Kreis 7. Trouvez le bien immobilier de vos rêves sur ImmoScout24. Louer appartement à Zurich, tout simplement.</t>
  </si>
  <si>
    <t>https://www.immoscout24.ch/fr/maison/louer/region-franches-montagnes</t>
  </si>
  <si>
    <t>Louer maison Franches-Montagnes: Trouvez le bien immobilier qui correspond idéalement à vos désirs sur ImmoScout24 - La plateforme de l'immobilier en Suisse.</t>
  </si>
  <si>
    <t>https://www.immoscout24.ch/fr/appartement/acheter/region-geneve-ville</t>
  </si>
  <si>
    <t>Vendre appartement Genève-ville: Trouvez le bien immobilier qui correspond idéalement à vos désirs sur ImmoScout24 - La plateforme de l'immobilier en Suisse.</t>
  </si>
  <si>
    <t>https://www.immoscout24.ch/fr/appartement/acheter/region-oberland-ouest</t>
  </si>
  <si>
    <t>Vendre appartement Oberland Ouest: Trouvez le bien immobilier qui correspond idéalement à vos désirs sur ImmoScout24 - La plateforme de l'immobilier en Suisse.</t>
  </si>
  <si>
    <t>https://www.immoscout24.ch/fr/appartement/louer/lieu-grone2%20pieces</t>
  </si>
  <si>
    <t>https://www.immoscout24.ch/fr/appartement/louer/quartier-escher-wyss-zurich</t>
  </si>
  <si>
    <t>Louer un appartement dans le quartier Zurich Escher-Wyss. Trouvez le bien immobilier de vos rêves sur ImmoScout24. Louer appartement à Zurich, tout simplement.</t>
  </si>
  <si>
    <t>https://www.immoscout24.ch/fr/appartement/louer/lieu-st-imier%20Puit%204</t>
  </si>
  <si>
    <t>https://www.immoscout24.ch/fr/maison/acheter/pays-la-slovenie</t>
  </si>
  <si>
    <t>Vendre maison La Slovénie: Trouvez le bien immobilier qui correspond idéalement à vos désirs sur ImmoScout24 - La plateforme de l'immobilier en Suisse.</t>
  </si>
  <si>
    <t>https://www.immoscout24.ch/fr/appartement/louer/quartier-oberstrass-zurich</t>
  </si>
  <si>
    <t>Louer un appartement dans le quartier Zurich Oberstrass. Trouvez le bien immobilier de vos rêves sur ImmoScout24. Louer appartement à Zurich, tout simplement.</t>
  </si>
  <si>
    <t>https://www.immoscout24.ch/fr/appartement/louer/quartier-muehlebach-zurich</t>
  </si>
  <si>
    <t>Louer un appartement dans le quartier Zurich Mühlebach. Trouvez le bien immobilier de vos rêves sur ImmoScout24. Louer appartement à Zurich, tout simplement.</t>
  </si>
  <si>
    <t>https://www.immoscout24.ch/fr/appartement/louer/quartier-secheron-geneve</t>
  </si>
  <si>
    <t>https://www.immoscout24.ch/fr/appartement/louer/region-geneve-ville</t>
  </si>
  <si>
    <t>Louer appartement Genève-ville: Trouvez le bien immobilier qui correspond idéalement à vos désirs sur ImmoScout24 - La plateforme de l'immobilier en Suisse.</t>
  </si>
  <si>
    <t>https://www.immoscout24.ch/fr/maison/louer/region-zuercher-oberland</t>
  </si>
  <si>
    <t>Louer maison Zürcher Oberland: Trouvez le bien immobilier qui correspond idéalement à vos désirs sur ImmoScout24 - La plateforme de l'immobilier en Suisse.</t>
  </si>
  <si>
    <t>https://www.immoscout24.ch/fr/maison/acheter/region-oberland-ouest</t>
  </si>
  <si>
    <t>Vendre maison Oberland Ouest: Trouvez le bien immobilier qui correspond idéalement à vos désirs sur ImmoScout24 - La plateforme de l'immobilier en Suisse.</t>
  </si>
  <si>
    <t>https://www.immoscout24.ch/fr/appartement/louer/secteur-kreis-11</t>
  </si>
  <si>
    <t>Louer un appartement dans le secteur Kreis 11. Trouvez le bien immobilier de vos rêves sur ImmoScout24. Louer appartement à Zurich, tout simplement.</t>
  </si>
  <si>
    <t>https://www.immoscout24.ch/fr/appartement/louer/quartier-hochschulen-zurich</t>
  </si>
  <si>
    <t>Louer un appartement dans le quartier Zurich Hochschulen. Trouvez le bien immobilier de vos rêves sur ImmoScout24. Louer appartement à Zurich, tout simplement.</t>
  </si>
  <si>
    <t>https://www.immoscout24.ch/fr/maison/acheter/quartier-charriere-la-chaux-de-fonds</t>
  </si>
  <si>
    <t>Vendre maison Charrière (La Chaux-de-Fonds): Trouvez le bien immobilier qui correspond idéalement à vos désirs sur ImmoScout24 - La plateforme de l'immobilier en Suisse.</t>
  </si>
  <si>
    <t>https://www.immoscout24.ch/fr/appartement/acheter/region-fribourg-ville</t>
  </si>
  <si>
    <t>Vendre appartement Fribourg ville: Trouvez le bien immobilier qui correspond idéalement à vos désirs sur ImmoScout24 - La plateforme de l'immobilier en Suisse.</t>
  </si>
  <si>
    <t>https://www.immoscout24.ch/fr/appartement/louer/quartier-la-cluse-geneve</t>
  </si>
  <si>
    <t>https://www.immoscout24.ch/fr/appartement/louer/pays-suisse-fl</t>
  </si>
  <si>
    <t>https://www.immoscout24.ch/fr/appartement/louer/quartier-wollishofen-zurich</t>
  </si>
  <si>
    <t>Louer un appartement dans le quartier Zurich Wollishofen. Trouvez le bien immobilier de vos rêves sur ImmoScout24. Louer appartement à Zurich, tout simplement.</t>
  </si>
  <si>
    <t>https://www.immoscout24.ch/fr/appartement/acheter/lieu-monteiller-saviese</t>
  </si>
  <si>
    <t>https://www.immoscout24.ch/fr/appartement/louer/lieu-roumaz-saviese</t>
  </si>
  <si>
    <t>https://www.immoscout24.ch/fr/maison/acheter/lieu-diolly-saviese</t>
  </si>
  <si>
    <t>https://www.immoscout24.ch/fr/maison/acheter/lieu-val-d'illiez</t>
  </si>
  <si>
    <t>https://www.immoscout24.ch/fr/appartement/louer/quartier-affoltern-zurich</t>
  </si>
  <si>
    <t>https://www.immoscout24.ch/fr/appartement/louer/quartier-paquis-geneve</t>
  </si>
  <si>
    <t>https://www.immoscout24.ch/fr/appartement/louer/secteur-kreis-10</t>
  </si>
  <si>
    <t>Louer un appartement dans le secteur Kreis 10. Trouvez le bien immobilier de vos rêves sur ImmoScout24. Louer appartement à Zurich, tout simplement.</t>
  </si>
  <si>
    <t>https://www.immoscout24.ch/fr/appartement/louer/quartier-enge-zurich</t>
  </si>
  <si>
    <t>Louer un appartement dans le quartier Zurich Enge. Trouvez le bien immobilier de vos rêves sur ImmoScout24. Louer appartement à Zurich, tout simplement.</t>
  </si>
  <si>
    <t>https://www.immoscout24.ch/fr/appartement/louer/quartier-seefeld-zurich</t>
  </si>
  <si>
    <t>Louer un appartement dans le quartier Zurich Seefeld. Trouvez le bien immobilier de vos rêves sur ImmoScout24. Louer appartement à Zurich, tout simplement.</t>
  </si>
  <si>
    <t>https://www.immoscout24.ch/fr/maison/louer/region-fribourg-ville</t>
  </si>
  <si>
    <t>Louer maison Fribourg ville: Trouvez le bien immobilier qui correspond idéalement à vos désirs sur ImmoScout24 - La plateforme de l'immobilier en Suisse.</t>
  </si>
  <si>
    <t>https://www.immoscout24.ch/fr/appartement/louer/secteur-kreis-9</t>
  </si>
  <si>
    <t>Louer un appartement dans le secteur Kreis 9. Trouvez le bien immobilier de vos rêves sur ImmoScout24. Louer appartement à Zurich, tout simplement.</t>
  </si>
  <si>
    <t>https://www.immoscout24.ch/fr/appartement/louer/quartier-lindenhof-zurich</t>
  </si>
  <si>
    <t>Louer un appartement dans le quartier Zurich Lindenhof. Trouvez le bien immobilier de vos rêves sur ImmoScout24. Louer appartement à Zurich, tout simplement.</t>
  </si>
  <si>
    <t>https://www.immoscout24.ch/fr/appartement/louer/quartier-gewerbeschule-zurich</t>
  </si>
  <si>
    <t>Louer un appartement dans le quartier Zurich Gewerbeschule. Trouvez le bien immobilier de vos rêves sur ImmoScout24. Louer appartement à Zurich, tout simplement.</t>
  </si>
  <si>
    <t>https://www.immoscout24.ch/fr/appartement/louer/quartier-oerlikon-zurich</t>
  </si>
  <si>
    <t>Louer un appartement dans le quartier Zurich Oerlikon. Trouvez le bien immobilier de vos rêves sur ImmoScout24. Louer appartement à Zurich, tout simplement.</t>
  </si>
  <si>
    <t>https://www.immoscout24.ch/fr/appartement/louer/quartier-langstrasse-zurich</t>
  </si>
  <si>
    <t>Louer un appartement dans le quartier Zurich Langstrasse. Trouvez le bien immobilier de vos rêves sur ImmoScout24. Louer appartement à Zurich, tout simplement.</t>
  </si>
  <si>
    <t>https://www.immoscout24.ch/fr/maison/acheter/region-ar-vorderland</t>
  </si>
  <si>
    <t>Vendre maison AR Vorderland: Trouvez le bien immobilier qui correspond idéalement à vos désirs sur ImmoScout24 - La plateforme de l'immobilier en Suisse.</t>
  </si>
  <si>
    <t>https://www.immoscout24.ch/fr/appartement/louer/quartier-weinegg-zurich</t>
  </si>
  <si>
    <t>Louer un appartement dans le quartier Zurich Weinegg. Trouvez le bien immobilier de vos rêves sur ImmoScout24. Louer appartement à Zurich, tout simplement.</t>
  </si>
  <si>
    <t>https://www.immoscout24.ch/fr/maison/acheter/region-lac-de-thoune-sud</t>
  </si>
  <si>
    <t>Vendre maison Lac de Thoune sud: Trouvez le bien immobilier qui correspond idéalement à vos désirs sur ImmoScout24 - La plateforme de l'immobilier en Suisse.</t>
  </si>
  <si>
    <t>https://www.immoscout24.ch/fr/appartement/louer/secteur-kreis-5</t>
  </si>
  <si>
    <t>Louer un appartement dans le secteur Kreis 5. Trouvez le bien immobilier de vos rêves sur ImmoScout24. Louer appartement à Zurich, tout simplement.</t>
  </si>
  <si>
    <t>https://www.immoscout24.ch/fr/appartement/louer/region-oberland-ouest</t>
  </si>
  <si>
    <t>Louer appartement Oberland Ouest: Trouvez le bien immobilier qui correspond idéalement à vos désirs sur ImmoScout24 - La plateforme de l'immobilier en Suisse.</t>
  </si>
  <si>
    <t>https://www.immoscout24.ch/fr/appartement/louer/quartier-unterstrass-zurich</t>
  </si>
  <si>
    <t>Louer un appartement dans le quartier Zurich Unterstrass. Trouvez le bien immobilier de vos rêves sur ImmoScout24. Louer appartement à Zurich, tout simplement.</t>
  </si>
  <si>
    <t>https://www.immoscout24.ch/fr/appartement/acheter/region-bern-et-environs</t>
  </si>
  <si>
    <t>Vendre appartement Bern et environs: Trouvez le bien immobilier qui correspond idéalement à vos désirs sur ImmoScout24 - La plateforme de l'immobilier en Suisse.</t>
  </si>
  <si>
    <t>https://www.immoscout24.ch/fr/maison/acheter/lieu-mayens-de-la-zour-saviese</t>
  </si>
  <si>
    <t>https://www.immoscout24.ch/fr/appartement/acheter/region-franches-montagnes</t>
  </si>
  <si>
    <t>Vendre appartement Franches-Montagnes: Trouvez le bien immobilier qui correspond idéalement à vos désirs sur ImmoScout24 - La plateforme de l'immobilier en Suisse.</t>
  </si>
  <si>
    <t>https://www.immoscout24.ch/fr/appartement/louer/lieu-ormone-saviese</t>
  </si>
  <si>
    <t>https://www.immoscout24.ch/fr/appartement/louer/quartier-champel-geneve</t>
  </si>
  <si>
    <t>https://www.immoscout24.ch/fr/maison/acheter/region-herisau-ville</t>
  </si>
  <si>
    <t>Vendre maison Herisau ville: Trouvez le bien immobilier qui correspond idéalement à vos désirs sur ImmoScout24 - La plateforme de l'immobilier en Suisse.</t>
  </si>
  <si>
    <t>https://www.immoscout24.ch/fr/appartement/louer/secteur-kreis-4</t>
  </si>
  <si>
    <t>Louer un appartement dans le secteur Kreis 4. Trouvez le bien immobilier de vos rêves sur ImmoScout24. Louer appartement à Zurich, tout simplemen</t>
  </si>
  <si>
    <t>https://www.immoscout24.ch/fr/maison/louer/region-geneve-ville</t>
  </si>
  <si>
    <t>Louer maison Genève-ville: Trouvez le bien immobilier qui correspond idéalement à vos désirs sur ImmoScout24 - La plateforme de l'immobilier en Suisse.</t>
  </si>
  <si>
    <t>https://www.immoscout24.ch/fr/appartement/louer/quartier-werd-zurich</t>
  </si>
  <si>
    <t>Louer un appartement dans le quartier Zurich Werd. Trouvez le bien immobilier de vos rêves sur ImmoScout24. Louer appartement à Zurich, tout simplement.</t>
  </si>
  <si>
    <t>https://www.immoscout24.ch/fr/appartement/louer/quartier-altstetten-zurich</t>
  </si>
  <si>
    <t>Louer un appartement dans le quartier Zurich Altstetten. Trouvez le bien immobilier de vos rêves sur ImmoScout24. Louer appartement à Zurich, tout simplement.</t>
  </si>
  <si>
    <t>https://www.immoscout24.ch/fr/appartement/louer/secteur-kreis-8</t>
  </si>
  <si>
    <t>Louer un appartement dans le secteur Kreis 8. Trouvez le bien immobilier de vos rêves sur ImmoScout24. Louer appartement à Zurich, tout simplement.</t>
  </si>
  <si>
    <t>https://www.immoscout24.ch/fr/appartement/louer/secteur-kreis-2</t>
  </si>
  <si>
    <t>Louer un appartement dans le secteur Kreis 2. Trouvez le bien immobilier de vos rêves sur ImmoScout24. Louer appartement à Zurich, tout simplement.</t>
  </si>
  <si>
    <t>https://www.immoscout24.ch/fr/maison/acheter/emplacement-actuel</t>
  </si>
  <si>
    <t>emplacement</t>
  </si>
  <si>
    <t>https://www.immoscout24.ch/fr/appartement/louer/secteur-kreis-3</t>
  </si>
  <si>
    <t>Louer un appartement dans le secteur Kreis 3. Trouvez le bien immobilier de vos rêves sur ImmoScout24. Louer appartement à Zurich, tout simplement.</t>
  </si>
  <si>
    <t>https://www.immoscout24.ch/fr/maison/acheter/region-lucerne-lac</t>
  </si>
  <si>
    <t>Vendre maison Lucerne - Lac: Trouvez le bien immobilier qui correspond idéalement à vos désirs sur ImmoScout24 - La plateforme de l'immobilier en Suisse.</t>
  </si>
  <si>
    <t>https://www.immoscout24.ch/fr/appartement/acheter/region-haut-valais</t>
  </si>
  <si>
    <t>Vendre appartement Haut-Valais: Trouvez le bien immobilier qui correspond idéalement à vos désirs sur ImmoScout24 - La plateforme de l'immobilier en Suisse.</t>
  </si>
  <si>
    <t>https://www.immoscout24.ch/fr/maison/louer/lieu-ormone-saviese</t>
  </si>
  <si>
    <t>https://www.immoscout24.ch/fr/appartement/louer/quartier-city-zurich</t>
  </si>
  <si>
    <t>Louer un appartement dans le quartier Zurich City. Trouvez le bien immobilier de vos rêves sur ImmoScout24. Louer appartement à Zurich, tout simplement.</t>
  </si>
  <si>
    <t>https://www.immoscout24.ch/fr/appartement/louer/quartier-friesenberg-zurich</t>
  </si>
  <si>
    <t>Louer un appartement dans le quartier Zurich Friesenberg. Trouvez le bien immobilier de vos rêves sur ImmoScout24. Louer appartement à Zurich, tout simplement.</t>
  </si>
  <si>
    <t>Example</t>
  </si>
  <si>
    <t>Template</t>
  </si>
  <si>
    <t>Template with example</t>
  </si>
  <si>
    <t>Louer</t>
  </si>
  <si>
    <t>🏘  Vous cherchez un appartement à louer dans le {{}}? ✅ Les annonces les plus actuelles sont sur ImmoScout24.ch.</t>
  </si>
  <si>
    <t>dans le canton des Grisons</t>
  </si>
  <si>
    <t>Vendre</t>
  </si>
  <si>
    <t>🏘  L’appartement de vos rêves se trouve sur ImmoScout24.ch ✅ Découvrez les dernières annonces de vente dans le {{}}.</t>
  </si>
  <si>
    <t>dans le canton d'Appenzell RI</t>
  </si>
  <si>
    <t>🏘  Vous cherchez une maison à louer dans le {{}}? ✅ Découvrez nos nombreuses annonces sur ImmoScout24.ch.</t>
  </si>
  <si>
    <t>dans le canton de Genève</t>
  </si>
  <si>
    <t>🏘  Vous souhaitez acheter une maison dans le {{}}? ✅ Jetez un œil aux dernières offres sur ImmoScout24.ch.</t>
  </si>
  <si>
    <t>dans le canton de Bâle-Campagne?</t>
  </si>
  <si>
    <t>🏘  Vous cherchez un appartement à louer à {{}}? ✅ Les annonces les plus actuelles sont sur ImmoScout24.ch.</t>
  </si>
  <si>
    <t>🏘  L’appartement de vos rêves se trouve sur ImmoScout24.ch ✅ Découvrez les dernières annonces de vente à {{}}.</t>
  </si>
  <si>
    <t>🏘  Vous cherchez une maison à louer à {{}}? ✅ Découvrez nos nombreuses annonces sur ImmoScout24.ch.</t>
  </si>
  <si>
    <t>🏘  Vous souhaitez acheter une maison à {{}}? ✅ Jetez un œil aux dernières offres sur ImmoScout24.ch.</t>
  </si>
  <si>
    <t>🏘  Vous cherchez un appartement à louer {{}}? ✅ Les annonces les plus actuelles sont sur ImmoScout24.ch.</t>
  </si>
  <si>
    <t>au Monténégro</t>
  </si>
  <si>
    <t>au Liechtenstein</t>
  </si>
  <si>
    <t>aux USA?</t>
  </si>
  <si>
    <t>dans le quartier de Vorstädte (Bâle)?</t>
  </si>
  <si>
    <t>🏘  L’appartement de vos rêves se trouve sur ImmoScout24.ch ✅ Découvrez les dernières annonces de vente {{}}.</t>
  </si>
  <si>
    <t>dans le quartier de Bethlehem (Berne).</t>
  </si>
  <si>
    <t>🏘  Vous cherchez une maison à louer {{}}? ✅ Découvrez nos nombreuses annonces sur ImmoScout24.ch.</t>
  </si>
  <si>
    <t>dans le quartier du Jura (Fribourg)?</t>
  </si>
  <si>
    <t>🏘  Vous souhaitez acheter une maison {{}}? ✅ Jetez un œil aux dernières offres sur ImmoScout24.ch.</t>
  </si>
  <si>
    <t>dans le quartier de l'Auge (Fribourg)?</t>
  </si>
  <si>
    <t>dans le Jura vaudois</t>
  </si>
  <si>
    <t>dans le Toggenburg?</t>
  </si>
  <si>
    <t>Preposition</t>
  </si>
  <si>
    <t>Input</t>
  </si>
  <si>
    <t>Alternative</t>
  </si>
  <si>
    <t>Abeilles-Numa Droz (La Chaux-de-Fonds)</t>
  </si>
  <si>
    <t xml:space="preserve">des </t>
  </si>
  <si>
    <t>Albisrieden (Zurich)</t>
  </si>
  <si>
    <t>d'</t>
  </si>
  <si>
    <t>Alpes (Neuchâtel)</t>
  </si>
  <si>
    <t>not a quartier but une avenue</t>
  </si>
  <si>
    <t>à l'avenue des Alpes (Neuchâtel)</t>
  </si>
  <si>
    <t>Alt-Wiedikon (Zurich)</t>
  </si>
  <si>
    <t>Auge (Fribourg)</t>
  </si>
  <si>
    <t>de l'</t>
  </si>
  <si>
    <t>Bâtie - Acacias (Genève)</t>
  </si>
  <si>
    <t xml:space="preserve">de </t>
  </si>
  <si>
    <t>Beauregard (Fribourg)</t>
  </si>
  <si>
    <t>Beaux-Arts (Neuchâtel)</t>
  </si>
  <si>
    <t>Bel-Air (La Chaux-de-Fonds)</t>
  </si>
  <si>
    <t>Bethlehem (Berne)</t>
  </si>
  <si>
    <t>Beundenfeld (Berne)</t>
  </si>
  <si>
    <t>Blumenau (Winterthur)</t>
  </si>
  <si>
    <t>Borde - Bellevaux (Lausanne)</t>
  </si>
  <si>
    <t>Bossons - Blécherette (Lausanne)</t>
  </si>
  <si>
    <t>Bouchet - Moillebeau (Genève)</t>
  </si>
  <si>
    <t>Boujean (Biel/Bienne)</t>
  </si>
  <si>
    <t>Bourg (Fribourg)</t>
  </si>
  <si>
    <t xml:space="preserve">du </t>
  </si>
  <si>
    <t>Brè (Lugano)</t>
  </si>
  <si>
    <t>Breitenrain (Berne)</t>
  </si>
  <si>
    <t>Bruderholz (Bâle)</t>
  </si>
  <si>
    <t>Bruggen (St-Gall)</t>
  </si>
  <si>
    <t>Buchthalen (Schaffhouse)</t>
  </si>
  <si>
    <t>Bümpliz (Berne)</t>
  </si>
  <si>
    <t>Carona (Lugano)</t>
  </si>
  <si>
    <t>Cassarate (Lugano)</t>
  </si>
  <si>
    <t>Castagnola (Lugano)</t>
  </si>
  <si>
    <t>Centre (La Chaux-de-Fonds)</t>
  </si>
  <si>
    <t>dans le</t>
  </si>
  <si>
    <t>Not a quartier</t>
  </si>
  <si>
    <t>not possible like that: dans le Centre de La Chaux-de-Fonds</t>
  </si>
  <si>
    <t>dans le Centre de La Chaux-de-Fonds</t>
  </si>
  <si>
    <t>Centre (Neuchâtel)</t>
  </si>
  <si>
    <t xml:space="preserve">dans le </t>
  </si>
  <si>
    <t>not possible like that: dans le Centre de Neuchâtel</t>
  </si>
  <si>
    <t>dans le Centre de Neuchâtel</t>
  </si>
  <si>
    <t>Centre-Ville (Lausanne)</t>
  </si>
  <si>
    <t>au Centre-Ville (Lausanne)</t>
  </si>
  <si>
    <t>Centro (Lugano)</t>
  </si>
  <si>
    <t xml:space="preserve">à </t>
  </si>
  <si>
    <t>not possible or make it in French: dans le centre de Lugano</t>
  </si>
  <si>
    <t>dans le centre de Lugano</t>
  </si>
  <si>
    <t>Chailly - Rovéréaz (Lausanne)</t>
  </si>
  <si>
    <t>Champagne (Biel/Bienne)</t>
  </si>
  <si>
    <t>Champel - Roseraie (Genève)</t>
  </si>
  <si>
    <t>La Charrière (La Chaux-de-Fonds)</t>
  </si>
  <si>
    <t>Chaumont (Neuchâtel)</t>
  </si>
  <si>
    <t>à Chaumont</t>
  </si>
  <si>
    <t>Cité - Centre (Genève)</t>
  </si>
  <si>
    <t>we find more on Google: Genève-Cité</t>
  </si>
  <si>
    <t>Crêtets (La Chaux-de-Fonds)</t>
  </si>
  <si>
    <t>Davesco-Soragno (Lugano)</t>
  </si>
  <si>
    <t>Délices - Grottes (Genève)</t>
  </si>
  <si>
    <t>Draizes - Vauseyon (Neuchâtel)</t>
  </si>
  <si>
    <t>Eaux-Vives - Lac (Genève)</t>
  </si>
  <si>
    <t>Engeried (Berne)</t>
  </si>
  <si>
    <t>Florimont - Chissiez (Lausanne)</t>
  </si>
  <si>
    <t>Florissant - Malagnou (Genève)</t>
  </si>
  <si>
    <t>Fluntern (Zurich)</t>
  </si>
  <si>
    <t>Forges-Endroits (La Chaux-de-Fonds)</t>
  </si>
  <si>
    <t>Gandria (Lugano)</t>
  </si>
  <si>
    <t>Gasel (Köniz)</t>
  </si>
  <si>
    <t>Gelbes Quartier (Berne)</t>
  </si>
  <si>
    <t>2x Quartier (German &amp; French) -&gt; dans le Gelbes Quartier</t>
  </si>
  <si>
    <t>dans le Gelbes Quartier</t>
  </si>
  <si>
    <t>Gotthelf (Bâle)</t>
  </si>
  <si>
    <t>Grand-Pré - Vermont (Genève)</t>
  </si>
  <si>
    <t>Grossbasel Altstadt (Bâle)</t>
  </si>
  <si>
    <t>Wrong: Alstadt Grossbasel (Bâle)</t>
  </si>
  <si>
    <t>Gruben (Schaffhouse)</t>
  </si>
  <si>
    <t>Grünes Quartier (Berne)</t>
  </si>
  <si>
    <t>2x Quartier (German &amp; French) -&gt;</t>
  </si>
  <si>
    <t>dans le Grünes Quartier</t>
  </si>
  <si>
    <t>Gryphenhübeli (Berne)</t>
  </si>
  <si>
    <t>Guggenbühl (Winterthur)</t>
  </si>
  <si>
    <t>Gundeldingen (Bâle)</t>
  </si>
  <si>
    <t>Gwatt (Thun)</t>
  </si>
  <si>
    <t>Should be Thoune</t>
  </si>
  <si>
    <t>dans le quartier de Gwatt (Thoune)</t>
  </si>
  <si>
    <t>Hegi (Winterthur)</t>
  </si>
  <si>
    <t>Hochstrasse (Schaffhouse)</t>
  </si>
  <si>
    <t>Iselin (Bâle)</t>
  </si>
  <si>
    <t>Jonction - Plainpalais (Genève)</t>
  </si>
  <si>
    <t xml:space="preserve">de la </t>
  </si>
  <si>
    <t>Jura (Fribourg)</t>
  </si>
  <si>
    <t>Kirchenfeld (Berne)</t>
  </si>
  <si>
    <t>Kleinhüningen (Bâle)</t>
  </si>
  <si>
    <t>La Coudre (Neuchâtel)</t>
  </si>
  <si>
    <t>Langensand - Matthof (Lucerne)</t>
  </si>
  <si>
    <t xml:space="preserve">Wrong: not a quartier -&gt; </t>
  </si>
  <si>
    <t>à Langensand - Matthof (Lucerne) or dans le quartier de Tribschen-Langensand (Lucerne)</t>
  </si>
  <si>
    <t>à Langensand - Matthof (Lucerne)</t>
  </si>
  <si>
    <t>Länggasse (Berne)</t>
  </si>
  <si>
    <t>Langstrasse (Zurich)</t>
  </si>
  <si>
    <t>Linsebühl - Dreilinden (St-Gall)</t>
  </si>
  <si>
    <t>Littau Dorf (Lucerne)</t>
  </si>
  <si>
    <t>Mâche (Biel/Bienne)</t>
  </si>
  <si>
    <t>Madretsch Nord (Biel/Bienne)</t>
  </si>
  <si>
    <t>Mattenhof (Berne)</t>
  </si>
  <si>
    <t>Maupas - Valency (Lausanne)</t>
  </si>
  <si>
    <t>Monbijou (Berne)</t>
  </si>
  <si>
    <t>Montchoisi (Lausanne)</t>
  </si>
  <si>
    <t>Montoie - Bourdonette (Lausanne)</t>
  </si>
  <si>
    <t>Mousquines - Bellevue (Lausanne)</t>
  </si>
  <si>
    <t>Neufeld (Berne)</t>
  </si>
  <si>
    <t>Neuveville (Fribourg)</t>
  </si>
  <si>
    <t>Neuwiesen (Winterthur)</t>
  </si>
  <si>
    <t>Niederwangen (Köniz)</t>
  </si>
  <si>
    <t>Nord (Neuchâtel)</t>
  </si>
  <si>
    <t>Nouvelle ville nord (Biel/Bienne)</t>
  </si>
  <si>
    <t>Nouvelle ville sud (Biel/Bienne)</t>
  </si>
  <si>
    <t>ONU - Rigot (Genève)</t>
  </si>
  <si>
    <t>Pâquis - Navigation (Genève)</t>
  </si>
  <si>
    <t>Pérolles (Fribourg)</t>
  </si>
  <si>
    <t>Places (Fribourg)</t>
  </si>
  <si>
    <t>Pouillerel-Postiers-Chevreuils (La Chaux-de-Fonds)</t>
  </si>
  <si>
    <t>Pregassona (Lugano)</t>
  </si>
  <si>
    <t>Rathaus (Zurich)</t>
  </si>
  <si>
    <t>Rosenberg (Winterthur)</t>
  </si>
  <si>
    <t>Rosental (Bâle)</t>
  </si>
  <si>
    <t>Rotes Quartier (Berne)</t>
  </si>
  <si>
    <t xml:space="preserve">2x Quartier (German &amp; French) -&gt; </t>
  </si>
  <si>
    <t>dans le Rotes Quartier</t>
  </si>
  <si>
    <t>Ruche (La Chaux-de-Fonds)</t>
  </si>
  <si>
    <t>Sallaz - Vennes - Séchaud (Lausanne)</t>
  </si>
  <si>
    <t>Sandrain (Berne)</t>
  </si>
  <si>
    <t>Sauvabelin (Lausanne)</t>
  </si>
  <si>
    <t>Schosshalde (Berne)</t>
  </si>
  <si>
    <t>Sécheron - Prieuré (Genève)</t>
  </si>
  <si>
    <t>Secteur forain est (La Chaux-de-Fonds)</t>
  </si>
  <si>
    <t>Not a quartier but a "Secteur" so: dans le Secteur forain est (La Chaux-de-Fonds)</t>
  </si>
  <si>
    <t>dans le Secteur forain est (La Chaux-de-Fonds)</t>
  </si>
  <si>
    <t>Secteur forain nord (La Chaux-de-Fonds)</t>
  </si>
  <si>
    <t>Not a quartier but a "Secteur" so: dans le Secteur forain nord (La Chaux-de-Fonds)</t>
  </si>
  <si>
    <t>dans le Secteur forain nord (La Chaux-de-Fonds)</t>
  </si>
  <si>
    <t>Seebach (Zurich)</t>
  </si>
  <si>
    <t>Sennhof (Winterthur)</t>
  </si>
  <si>
    <t>Serrières (Neuchâtel)</t>
  </si>
  <si>
    <t>Sous-Gare - Ouchy (Lausanne)</t>
  </si>
  <si>
    <t>St-Gervais - Chantepoulet (Genève)</t>
  </si>
  <si>
    <t>St. Alban (Bâle)</t>
  </si>
  <si>
    <t>St. Georgen (St-Gall)</t>
  </si>
  <si>
    <t>St. Jakob (St-Gall)</t>
  </si>
  <si>
    <t>St. Johann (Bâle)</t>
  </si>
  <si>
    <t>Succès (La Chaux-de-Fonds)</t>
  </si>
  <si>
    <t>Thörishaus (Köniz)</t>
  </si>
  <si>
    <t>à Thörishaus (Köniz)</t>
  </si>
  <si>
    <t>Unterstrass (Zurich)</t>
  </si>
  <si>
    <t>Valcolla (Lugano)</t>
  </si>
  <si>
    <t>Vallon - Béthusy (Lausanne)</t>
  </si>
  <si>
    <t>Vernand (Lausanne)</t>
  </si>
  <si>
    <t>Vers-chez-les-Blanc (Lausanne)</t>
  </si>
  <si>
    <t>à Vers-chez-les-Blanc (Lausanne)</t>
  </si>
  <si>
    <t>Viganello (Lugano)</t>
  </si>
  <si>
    <t>Vigneules (Biel/Bienne)</t>
  </si>
  <si>
    <t>Vignoble (Biel/Bienne)</t>
  </si>
  <si>
    <t>Ville Ancienne (La Chaux-de-Fonds)</t>
  </si>
  <si>
    <t>en</t>
  </si>
  <si>
    <t>Not a quartier and didn't find a information with this appellation</t>
  </si>
  <si>
    <t>en Ville Ancienne (La Chaux-de-Fonds)</t>
  </si>
  <si>
    <t>Vinet - Pontaise (Lausanne)</t>
  </si>
  <si>
    <t>Vorstädte (Bâle)</t>
  </si>
  <si>
    <t>Weissenbühl (Berne)</t>
  </si>
  <si>
    <t>Weissenstein (Berne)</t>
  </si>
  <si>
    <t>Wettstein (Bâle)</t>
  </si>
  <si>
    <t>Wipkingen (Zurich)</t>
  </si>
  <si>
    <t>Monténégro</t>
  </si>
  <si>
    <t>au</t>
  </si>
  <si>
    <t>Espagne</t>
  </si>
  <si>
    <t>Liechtenstein</t>
  </si>
  <si>
    <t>France</t>
  </si>
  <si>
    <t>USA</t>
  </si>
  <si>
    <t>aux</t>
  </si>
  <si>
    <t>Belgique</t>
  </si>
  <si>
    <t>Cameroun</t>
  </si>
  <si>
    <t>Italie</t>
  </si>
  <si>
    <t>Chine</t>
  </si>
  <si>
    <t>Pologne</t>
  </si>
  <si>
    <t>Thaïlande</t>
  </si>
  <si>
    <t>Grèce</t>
  </si>
  <si>
    <t>Tunisie</t>
  </si>
  <si>
    <t>Roumanie</t>
  </si>
  <si>
    <t>Suède</t>
  </si>
  <si>
    <t>Pérou</t>
  </si>
  <si>
    <t>Portugal</t>
  </si>
  <si>
    <t>Mexique</t>
  </si>
  <si>
    <t>Costa Rica</t>
  </si>
  <si>
    <t>Grande-Bretagne</t>
  </si>
  <si>
    <t>Slovénie</t>
  </si>
  <si>
    <t>Albanie</t>
  </si>
  <si>
    <t>Maroc</t>
  </si>
  <si>
    <t>Bosnie-Herzégovine</t>
  </si>
  <si>
    <t>Autriche</t>
  </si>
  <si>
    <t>Seychelles</t>
  </si>
  <si>
    <t>Algérie</t>
  </si>
  <si>
    <t>Turquie</t>
  </si>
  <si>
    <t>Uruguay</t>
  </si>
  <si>
    <t>Brésil</t>
  </si>
  <si>
    <t>Allemagne</t>
  </si>
  <si>
    <t>Prepositions</t>
  </si>
  <si>
    <t>Corrections</t>
  </si>
  <si>
    <t>Replacement</t>
  </si>
  <si>
    <t>Vous souhaitez acheter une maison à</t>
  </si>
  <si>
    <t>Olten - Thal - Gäu - Gösgen</t>
  </si>
  <si>
    <t>dans la région d'</t>
  </si>
  <si>
    <t>Jura Vaudois</t>
  </si>
  <si>
    <t>Should be: Jura vaudois</t>
  </si>
  <si>
    <t>Jura vaudois</t>
  </si>
  <si>
    <t>Bas Valais</t>
  </si>
  <si>
    <t>Should be: Bas-Valais</t>
  </si>
  <si>
    <t>Bas-Valais</t>
  </si>
  <si>
    <t>Toggenburg</t>
  </si>
  <si>
    <t xml:space="preserve">dans la région du </t>
  </si>
  <si>
    <t>Gürbetal - Voralpen</t>
  </si>
  <si>
    <t>à</t>
  </si>
  <si>
    <t>Rive droite</t>
  </si>
  <si>
    <t>Val de Travers</t>
  </si>
  <si>
    <t>Should be: Val-de-Travers</t>
  </si>
  <si>
    <t>Val-de-Travers</t>
  </si>
  <si>
    <t>Campagne - Gros de Vaud</t>
  </si>
  <si>
    <t>False: Should be Gros-de-Vaud</t>
  </si>
  <si>
    <t>Gros-de-Vaud</t>
  </si>
  <si>
    <t>Val de Ruz</t>
  </si>
  <si>
    <t>Should be: Val-de-Ruz</t>
  </si>
  <si>
    <t>Val-de-Ruz</t>
  </si>
  <si>
    <t>Laupen - Sense</t>
  </si>
  <si>
    <t>Laupen is a place and Sense is translated with Singine</t>
  </si>
  <si>
    <t>Laupen</t>
  </si>
  <si>
    <t>Glarnerland</t>
  </si>
  <si>
    <t>Tre Valli</t>
  </si>
  <si>
    <t xml:space="preserve">dans la région de </t>
  </si>
  <si>
    <t>Littoral Neuchâtelois</t>
  </si>
  <si>
    <t>sur le</t>
  </si>
  <si>
    <t>Should be: Littoral neuchâtelois</t>
  </si>
  <si>
    <t>Littoral neuchâtelois</t>
  </si>
  <si>
    <t>Avenches - Payerne</t>
  </si>
  <si>
    <t>Oberaargau</t>
  </si>
  <si>
    <t>Should be: en Haute-Argovie</t>
  </si>
  <si>
    <t>Haute-Argovie</t>
  </si>
  <si>
    <t>Seetal - Hochdorf</t>
  </si>
  <si>
    <t>better would be: dans le Seetal</t>
  </si>
  <si>
    <t>Seetal</t>
  </si>
  <si>
    <t>Rive gauche</t>
  </si>
  <si>
    <t>Soleure et environs</t>
  </si>
  <si>
    <t>dans le canton d'</t>
  </si>
  <si>
    <t>Jura Bernois</t>
  </si>
  <si>
    <t>Shoud be: Jura bernois</t>
  </si>
  <si>
    <t>Jura bernois</t>
  </si>
  <si>
    <t>Gruyère - La Broye - Lac - Veveyse</t>
  </si>
  <si>
    <t xml:space="preserve">dans les districts de </t>
  </si>
  <si>
    <t>Unterengadin - Val Mustair</t>
  </si>
  <si>
    <t xml:space="preserve">en </t>
  </si>
  <si>
    <t>Should be: en Basse-Engadine</t>
  </si>
  <si>
    <t>Basse-Engadine</t>
  </si>
  <si>
    <t>Appenzell et environs</t>
  </si>
  <si>
    <t>Lausanne et environs</t>
  </si>
  <si>
    <t>Oberland zurichois</t>
  </si>
  <si>
    <t>dans l'</t>
  </si>
  <si>
    <t>Franches Montagnes</t>
  </si>
  <si>
    <t>dans les</t>
  </si>
  <si>
    <t>Should be: Franches-Montagnes</t>
  </si>
  <si>
    <t>Franches-Montagnes</t>
  </si>
  <si>
    <t>Rheintal - Werdenberg</t>
  </si>
  <si>
    <t>Pfannenstiel</t>
  </si>
  <si>
    <t>Yverdon - Grandson</t>
  </si>
  <si>
    <t>Berne et environs</t>
  </si>
  <si>
    <t>Sion - Sierre et environs</t>
  </si>
  <si>
    <t>Singine - Sarine - Lac</t>
  </si>
  <si>
    <t>Bâle Campagne Est</t>
  </si>
  <si>
    <t>Should be: à Bâle-Campagne Est</t>
  </si>
  <si>
    <t>Bâle-Campagne Est</t>
  </si>
  <si>
    <t>Winterthur et environs</t>
  </si>
  <si>
    <t>Genève</t>
  </si>
  <si>
    <t>Valais Central</t>
  </si>
  <si>
    <t xml:space="preserve">en  </t>
  </si>
  <si>
    <t>Should be: Valais central</t>
  </si>
  <si>
    <t>Valais central</t>
  </si>
  <si>
    <t>Oberland-Ouest</t>
  </si>
  <si>
    <t>Emmental</t>
  </si>
  <si>
    <t>dans la région de l'</t>
  </si>
  <si>
    <t>Seeland</t>
  </si>
  <si>
    <t>Bremgarten - Lenzburg - Muri - Kulm</t>
  </si>
  <si>
    <t>Rhône-Arve</t>
  </si>
  <si>
    <t>dans la région de</t>
  </si>
  <si>
    <t>Mendrisiotto</t>
  </si>
  <si>
    <t>Campagne - Rive droite</t>
  </si>
  <si>
    <t>Aigle - Alpes vaudoises</t>
  </si>
  <si>
    <t>Laufenburg - Rheinfelden</t>
  </si>
  <si>
    <t>Sargans et environs</t>
  </si>
  <si>
    <t>Vallemaggia</t>
  </si>
  <si>
    <t>Lavaux - Vevey</t>
  </si>
  <si>
    <t>Rorschach - St. Gallen</t>
  </si>
  <si>
    <t>Should be: St-Gall</t>
  </si>
  <si>
    <t>St-Gall</t>
  </si>
  <si>
    <t>March - Höfe</t>
  </si>
  <si>
    <t>Thoune - Lac de Thoune nord</t>
  </si>
  <si>
    <t>près de</t>
  </si>
  <si>
    <t xml:space="preserve">Fribourg </t>
  </si>
  <si>
    <t>Einsiedeln</t>
  </si>
  <si>
    <t>Aarau et environs</t>
  </si>
  <si>
    <t>Ägerisee</t>
  </si>
  <si>
    <t>près du</t>
  </si>
  <si>
    <t>Should be: près du lac d'Ägeri</t>
  </si>
  <si>
    <t>lac d'Ägeri</t>
  </si>
  <si>
    <t>Lac Majeur</t>
  </si>
  <si>
    <t xml:space="preserve">près du </t>
  </si>
  <si>
    <t>Bellinzone</t>
  </si>
  <si>
    <t xml:space="preserve">(AR) Vorderland </t>
  </si>
  <si>
    <t xml:space="preserve">dans le district de </t>
  </si>
  <si>
    <t>Should be: dans le district de Vorderland (AR)</t>
  </si>
  <si>
    <t>Vorderland (AR)</t>
  </si>
  <si>
    <t>Limmattal</t>
  </si>
  <si>
    <t>dans la</t>
  </si>
  <si>
    <t>Should be: dans la vallée de la Limmat</t>
  </si>
  <si>
    <t>vallée de la Limmat</t>
  </si>
  <si>
    <t>Thoune - lac de Thoune sud</t>
  </si>
  <si>
    <t xml:space="preserve">près de </t>
  </si>
  <si>
    <t>Furttal</t>
  </si>
  <si>
    <t>Should be: dans la vallée de la Furt</t>
  </si>
  <si>
    <t>vallée de la Furt</t>
  </si>
  <si>
    <t>Moesa</t>
  </si>
  <si>
    <t>Delémont</t>
  </si>
  <si>
    <t>Lucerne Hinterland</t>
  </si>
  <si>
    <t>Bâle-Ville</t>
  </si>
  <si>
    <t xml:space="preserve">dans le canton de </t>
  </si>
  <si>
    <t>Fribourg Glane</t>
  </si>
  <si>
    <t>Should be: dans le district de la Glâne</t>
  </si>
  <si>
    <t>la Glâne</t>
  </si>
  <si>
    <t>Zürcher Unterland</t>
  </si>
  <si>
    <t>dans</t>
  </si>
  <si>
    <t>Should be: dans l'Unterland zurichois</t>
  </si>
  <si>
    <t>l'Unterland zurichois</t>
  </si>
  <si>
    <t>Frauenfeld - Münchwilen</t>
  </si>
  <si>
    <t xml:space="preserve">Herisau </t>
  </si>
  <si>
    <t>Glaris et environs</t>
  </si>
  <si>
    <t>Surselva</t>
  </si>
  <si>
    <t>Linthebene - See</t>
  </si>
  <si>
    <t>Should be: dans la vallée de la Linth</t>
  </si>
  <si>
    <t>vallée de la Linth</t>
  </si>
  <si>
    <t>Knonaueramt</t>
  </si>
  <si>
    <t>dans le district</t>
  </si>
  <si>
    <t>dans le district d'Affoltern</t>
  </si>
  <si>
    <t>d'Affoltern</t>
  </si>
  <si>
    <t>Zurich ville</t>
  </si>
  <si>
    <t>Lucerne Lac</t>
  </si>
  <si>
    <t>près du lac des</t>
  </si>
  <si>
    <t>Should be: près du lac des Quatre-Cantons</t>
  </si>
  <si>
    <t>Quatre-Cantons</t>
  </si>
  <si>
    <t>Haut Valais</t>
  </si>
  <si>
    <t>Should be: Haut-Valais</t>
  </si>
  <si>
    <t>Haut-Valais</t>
  </si>
  <si>
    <t>Soleure</t>
  </si>
  <si>
    <t>Nidwald</t>
  </si>
  <si>
    <t>dans le canton de</t>
  </si>
  <si>
    <t>lac de Constance</t>
  </si>
  <si>
    <t>Zurich et environs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</si>
</sst>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u/>
      <color rgb="FF1155CC"/>
    </font>
    <font>
      <u/>
      <color rgb="FF0000FF"/>
    </font>
    <font>
      <u/>
      <color rgb="FF0000FF"/>
    </font>
    <font>
      <u/>
      <color rgb="FF0000FF"/>
    </font>
    <font>
      <sz val="11.0"/>
      <color rgb="FF000000"/>
      <name val="Inconsolata"/>
    </font>
    <font>
      <color rgb="FF000000"/>
      <name val="Roboto"/>
    </font>
    <font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2" numFmtId="0" xfId="0" applyFont="1"/>
    <xf borderId="0" fillId="0" fontId="4" numFmtId="0" xfId="0" applyAlignment="1" applyFont="1">
      <alignment readingOrder="0"/>
    </xf>
    <xf borderId="0" fillId="2" fontId="5" numFmtId="0" xfId="0" applyAlignment="1" applyFill="1" applyFont="1">
      <alignment readingOrder="0"/>
    </xf>
    <xf borderId="0" fillId="2" fontId="2" numFmtId="0" xfId="0" applyAlignment="1" applyFont="1">
      <alignment readingOrder="0"/>
    </xf>
    <xf borderId="0" fillId="2" fontId="2" numFmtId="0" xfId="0" applyFont="1"/>
    <xf borderId="0" fillId="0" fontId="2" numFmtId="0" xfId="0" applyFont="1"/>
    <xf borderId="0" fillId="3" fontId="2" numFmtId="0" xfId="0" applyFill="1" applyFont="1"/>
    <xf borderId="0" fillId="3" fontId="6" numFmtId="0" xfId="0" applyAlignment="1" applyFont="1">
      <alignment readingOrder="0"/>
    </xf>
    <xf borderId="0" fillId="3" fontId="2" numFmtId="0" xfId="0" applyAlignment="1" applyFont="1">
      <alignment readingOrder="0"/>
    </xf>
    <xf borderId="0" fillId="3" fontId="2" numFmtId="0" xfId="0" applyFont="1"/>
    <xf borderId="0" fillId="0" fontId="1" numFmtId="0" xfId="0" applyFont="1"/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4" fontId="7" numFmtId="0" xfId="0" applyAlignment="1" applyFill="1" applyFont="1">
      <alignment readingOrder="0"/>
    </xf>
    <xf borderId="0" fillId="3" fontId="8" numFmtId="0" xfId="0" applyAlignment="1" applyFont="1">
      <alignment readingOrder="0"/>
    </xf>
    <xf borderId="0" fillId="4" fontId="2" numFmtId="0" xfId="0" applyAlignment="1" applyFont="1">
      <alignment readingOrder="0" shrinkToFit="0" wrapText="1"/>
    </xf>
    <xf borderId="0" fillId="4" fontId="2" numFmtId="0" xfId="0" applyAlignment="1" applyFont="1">
      <alignment vertical="bottom"/>
    </xf>
    <xf borderId="0" fillId="4" fontId="1" numFmtId="0" xfId="0" applyAlignment="1" applyFont="1">
      <alignment readingOrder="0"/>
    </xf>
    <xf borderId="0" fillId="4" fontId="2" numFmtId="0" xfId="0" applyFont="1"/>
    <xf borderId="0" fillId="2" fontId="2" numFmtId="0" xfId="0" applyAlignment="1" applyFont="1">
      <alignment readingOrder="0" shrinkToFit="0" wrapText="1"/>
    </xf>
    <xf borderId="0" fillId="2" fontId="2" numFmtId="0" xfId="0" applyAlignment="1" applyFont="1">
      <alignment vertical="bottom"/>
    </xf>
    <xf borderId="0" fillId="2" fontId="2" numFmtId="0" xfId="0" applyAlignment="1" applyFont="1">
      <alignment readingOrder="0" vertical="bottom"/>
    </xf>
    <xf borderId="0" fillId="2" fontId="9" numFmtId="0" xfId="0" applyAlignment="1" applyFont="1">
      <alignment horizontal="left" readingOrder="0"/>
    </xf>
    <xf borderId="0" fillId="2" fontId="8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180" Type="http://schemas.openxmlformats.org/officeDocument/2006/relationships/hyperlink" Target="https://www.immoscout24.ch/fr/appartement/louer/lieu-stein-am-rhein" TargetMode="External"/><Relationship Id="rId2181" Type="http://schemas.openxmlformats.org/officeDocument/2006/relationships/hyperlink" Target="https://www.immoscout24.ch/fr/maison/acheter/lieu-ascona" TargetMode="External"/><Relationship Id="rId2182" Type="http://schemas.openxmlformats.org/officeDocument/2006/relationships/hyperlink" Target="https://www.immoscout24.ch/fr/appartement/louer/lieu-boudevilliers" TargetMode="External"/><Relationship Id="rId2183" Type="http://schemas.openxmlformats.org/officeDocument/2006/relationships/hyperlink" Target="https://www.immoscout24.ch/fr/appartement/louer/lieu-gossau-zh" TargetMode="External"/><Relationship Id="rId2184" Type="http://schemas.openxmlformats.org/officeDocument/2006/relationships/hyperlink" Target="https://www.immoscout24.ch/fr/appartement/louer/quartier-wettstein-bale" TargetMode="External"/><Relationship Id="rId2185" Type="http://schemas.openxmlformats.org/officeDocument/2006/relationships/hyperlink" Target="https://www.immoscout24.ch/fr/appartement/acheter/lieu-massonnens" TargetMode="External"/><Relationship Id="rId2186" Type="http://schemas.openxmlformats.org/officeDocument/2006/relationships/hyperlink" Target="https://www.immoscout24.ch/fr/maison/acheter/lieu-la-cure" TargetMode="External"/><Relationship Id="rId2187" Type="http://schemas.openxmlformats.org/officeDocument/2006/relationships/hyperlink" Target="https://www.immoscout24.ch/fr/maison/acheter/lieu-grandvaux" TargetMode="External"/><Relationship Id="rId2188" Type="http://schemas.openxmlformats.org/officeDocument/2006/relationships/hyperlink" Target="https://www.immoscout24.ch/fr/maison/louer/lieu-le-landeron" TargetMode="External"/><Relationship Id="rId2189" Type="http://schemas.openxmlformats.org/officeDocument/2006/relationships/hyperlink" Target="https://www.immoscout24.ch/fr/appartement/louer/quartier-mattenhof-berne" TargetMode="External"/><Relationship Id="rId2170" Type="http://schemas.openxmlformats.org/officeDocument/2006/relationships/hyperlink" Target="https://www.immoscout24.ch/fr/appartement/acheter/lieu-gurmels" TargetMode="External"/><Relationship Id="rId2171" Type="http://schemas.openxmlformats.org/officeDocument/2006/relationships/hyperlink" Target="https://www.immoscout24.ch/fr/appartement/acheter/lieu-volleges" TargetMode="External"/><Relationship Id="rId2172" Type="http://schemas.openxmlformats.org/officeDocument/2006/relationships/hyperlink" Target="https://www.immoscout24.ch/fr/maison/louer/lieu-lausanne" TargetMode="External"/><Relationship Id="rId2173" Type="http://schemas.openxmlformats.org/officeDocument/2006/relationships/hyperlink" Target="https://www.immoscout24.ch/fr/maison/acheter/lieu-glion" TargetMode="External"/><Relationship Id="rId2174" Type="http://schemas.openxmlformats.org/officeDocument/2006/relationships/hyperlink" Target="https://www.immoscout24.ch/fr/appartement/louer/lieu-semsales" TargetMode="External"/><Relationship Id="rId2175" Type="http://schemas.openxmlformats.org/officeDocument/2006/relationships/hyperlink" Target="https://www.immoscout24.ch/fr/appartement/louer/lieu-ste-croix" TargetMode="External"/><Relationship Id="rId2176" Type="http://schemas.openxmlformats.org/officeDocument/2006/relationships/hyperlink" Target="https://www.immoscout24.ch/fr/appartement/louer/lieu-estavannens" TargetMode="External"/><Relationship Id="rId2177" Type="http://schemas.openxmlformats.org/officeDocument/2006/relationships/hyperlink" Target="https://www.immoscout24.ch/fr/appartement/louer/lieu-mettmenstetten" TargetMode="External"/><Relationship Id="rId2178" Type="http://schemas.openxmlformats.org/officeDocument/2006/relationships/hyperlink" Target="https://www.immoscout24.ch/fr/maison/acheter/pays-seychelles" TargetMode="External"/><Relationship Id="rId2179" Type="http://schemas.openxmlformats.org/officeDocument/2006/relationships/hyperlink" Target="https://www.immoscout24.ch/fr/maison/louer/lieu-surpierre" TargetMode="External"/><Relationship Id="rId2190" Type="http://schemas.openxmlformats.org/officeDocument/2006/relationships/hyperlink" Target="https://www.immoscout24.ch/fr/maison/acheter/lieu-ponthaux" TargetMode="External"/><Relationship Id="rId2191" Type="http://schemas.openxmlformats.org/officeDocument/2006/relationships/hyperlink" Target="https://www.immoscout24.ch/fr/appartement/louer/lieu-monte-carasso" TargetMode="External"/><Relationship Id="rId2192" Type="http://schemas.openxmlformats.org/officeDocument/2006/relationships/hyperlink" Target="https://www.immoscout24.ch/fr/appartement/louer/lieu-langwiesen" TargetMode="External"/><Relationship Id="rId2193" Type="http://schemas.openxmlformats.org/officeDocument/2006/relationships/hyperlink" Target="https://www.immoscout24.ch/fr/maison/acheter/lieu-aeschi-b-spiez" TargetMode="External"/><Relationship Id="rId2194" Type="http://schemas.openxmlformats.org/officeDocument/2006/relationships/hyperlink" Target="https://www.immoscout24.ch/fr/maison/louer/lieu-la-croix-de-rozon" TargetMode="External"/><Relationship Id="rId2195" Type="http://schemas.openxmlformats.org/officeDocument/2006/relationships/hyperlink" Target="https://www.immoscout24.ch/fr/appartement/louer/lieu-corcelles-ne" TargetMode="External"/><Relationship Id="rId2196" Type="http://schemas.openxmlformats.org/officeDocument/2006/relationships/hyperlink" Target="https://www.immoscout24.ch/fr/appartement/acheter/lieu-assens" TargetMode="External"/><Relationship Id="rId2197" Type="http://schemas.openxmlformats.org/officeDocument/2006/relationships/hyperlink" Target="https://www.immoscout24.ch/fr/appartement/acheter/lieu-carrouge-vd" TargetMode="External"/><Relationship Id="rId2198" Type="http://schemas.openxmlformats.org/officeDocument/2006/relationships/hyperlink" Target="https://www.immoscout24.ch/fr/appartement/louer/lieu-clebes-nendaz" TargetMode="External"/><Relationship Id="rId2199" Type="http://schemas.openxmlformats.org/officeDocument/2006/relationships/hyperlink" Target="https://www.immoscout24.ch/fr/appartement/louer/lieu-niederbipp" TargetMode="External"/><Relationship Id="rId3513" Type="http://schemas.openxmlformats.org/officeDocument/2006/relationships/hyperlink" Target="https://www.immoscout24.ch/fr/maison/acheter/lieu-cadro" TargetMode="External"/><Relationship Id="rId4844" Type="http://schemas.openxmlformats.org/officeDocument/2006/relationships/hyperlink" Target="https://www.immoscout24.ch/fr/maison/acheter/lieu-stein-am-rhein" TargetMode="External"/><Relationship Id="rId3512" Type="http://schemas.openxmlformats.org/officeDocument/2006/relationships/hyperlink" Target="https://www.immoscout24.ch/fr/maison/acheter/lieu-epalinges" TargetMode="External"/><Relationship Id="rId4843" Type="http://schemas.openxmlformats.org/officeDocument/2006/relationships/hyperlink" Target="https://www.immoscout24.ch/fr/appartement/louer/lieu-neirivue" TargetMode="External"/><Relationship Id="rId3515" Type="http://schemas.openxmlformats.org/officeDocument/2006/relationships/hyperlink" Target="https://www.immoscout24.ch/fr/maison/louer/lieu-les-marecottes" TargetMode="External"/><Relationship Id="rId4846" Type="http://schemas.openxmlformats.org/officeDocument/2006/relationships/hyperlink" Target="https://www.immoscout24.ch/fr/maison/louer/lieu-gorgier" TargetMode="External"/><Relationship Id="rId3514" Type="http://schemas.openxmlformats.org/officeDocument/2006/relationships/hyperlink" Target="https://www.immoscout24.ch/fr/maison/acheter/region-lugano-e-dintorni" TargetMode="External"/><Relationship Id="rId4845" Type="http://schemas.openxmlformats.org/officeDocument/2006/relationships/hyperlink" Target="https://www.immoscout24.ch/fr/appartement/louer/quartier-chaumont-neuchatel" TargetMode="External"/><Relationship Id="rId3517" Type="http://schemas.openxmlformats.org/officeDocument/2006/relationships/hyperlink" Target="https://www.immoscout24.ch/fr/maison/acheter/lieu-chandolin" TargetMode="External"/><Relationship Id="rId4848" Type="http://schemas.openxmlformats.org/officeDocument/2006/relationships/hyperlink" Target="https://www.immoscout24.ch/fr/maison/louer/lieu-villars-le-grand" TargetMode="External"/><Relationship Id="rId3516" Type="http://schemas.openxmlformats.org/officeDocument/2006/relationships/hyperlink" Target="https://www.immoscout24.ch/fr/maison/louer/lieu-salvenach" TargetMode="External"/><Relationship Id="rId4847" Type="http://schemas.openxmlformats.org/officeDocument/2006/relationships/hyperlink" Target="https://www.immoscout24.ch/fr/maison/acheter/lieu-ried-moerel" TargetMode="External"/><Relationship Id="rId3519" Type="http://schemas.openxmlformats.org/officeDocument/2006/relationships/hyperlink" Target="https://www.immoscout24.ch/fr/appartement/louer/lieu-rudolfstetten" TargetMode="External"/><Relationship Id="rId3518" Type="http://schemas.openxmlformats.org/officeDocument/2006/relationships/hyperlink" Target="https://www.immoscout24.ch/fr/appartement/louer/lieu-saicourt" TargetMode="External"/><Relationship Id="rId4849" Type="http://schemas.openxmlformats.org/officeDocument/2006/relationships/hyperlink" Target="https://www.immoscout24.ch/fr/maison/acheter/lieu-cimalmotto" TargetMode="External"/><Relationship Id="rId4840" Type="http://schemas.openxmlformats.org/officeDocument/2006/relationships/hyperlink" Target="https://www.immoscout24.ch/fr/maison/louer/quartier-eaux-vives-lac-geneve" TargetMode="External"/><Relationship Id="rId3511" Type="http://schemas.openxmlformats.org/officeDocument/2006/relationships/hyperlink" Target="https://www.immoscout24.ch/fr/appartement/louer/lieu-bibern-so" TargetMode="External"/><Relationship Id="rId4842" Type="http://schemas.openxmlformats.org/officeDocument/2006/relationships/hyperlink" Target="https://www.immoscout24.ch/fr/maison/louer/lieu-pully" TargetMode="External"/><Relationship Id="rId3510" Type="http://schemas.openxmlformats.org/officeDocument/2006/relationships/hyperlink" Target="https://www.immoscout24.ch/fr/appartement/acheter/lieu-steckborn" TargetMode="External"/><Relationship Id="rId4841" Type="http://schemas.openxmlformats.org/officeDocument/2006/relationships/hyperlink" Target="https://www.immoscout24.ch/fr/appartement/louer/lieu-seigneux" TargetMode="External"/><Relationship Id="rId3502" Type="http://schemas.openxmlformats.org/officeDocument/2006/relationships/hyperlink" Target="https://www.immoscout24.ch/fr/maison/louer/lieu-sattel" TargetMode="External"/><Relationship Id="rId4833" Type="http://schemas.openxmlformats.org/officeDocument/2006/relationships/hyperlink" Target="https://www.immoscout24.ch/fr/appartement/louer/lieu-sementina" TargetMode="External"/><Relationship Id="rId3501" Type="http://schemas.openxmlformats.org/officeDocument/2006/relationships/hyperlink" Target="https://www.immoscout24.ch/fr/maison/louer/region-jura-vaudois" TargetMode="External"/><Relationship Id="rId4832" Type="http://schemas.openxmlformats.org/officeDocument/2006/relationships/hyperlink" Target="https://www.immoscout24.ch/fr/maison/acheter/lieu-romanel-sur-morges" TargetMode="External"/><Relationship Id="rId3504" Type="http://schemas.openxmlformats.org/officeDocument/2006/relationships/hyperlink" Target="https://www.immoscout24.ch/fr/maison/louer/lieu-st-gallen" TargetMode="External"/><Relationship Id="rId4835" Type="http://schemas.openxmlformats.org/officeDocument/2006/relationships/hyperlink" Target="https://www.immoscout24.ch/fr/appartement/acheter/lieu-ecublens-vd" TargetMode="External"/><Relationship Id="rId3503" Type="http://schemas.openxmlformats.org/officeDocument/2006/relationships/hyperlink" Target="https://www.immoscout24.ch/fr/maison/acheter/lieu-choex" TargetMode="External"/><Relationship Id="rId4834" Type="http://schemas.openxmlformats.org/officeDocument/2006/relationships/hyperlink" Target="https://www.immoscout24.ch/fr/maison/acheter/lieu-bussigny-sur-oron" TargetMode="External"/><Relationship Id="rId3506" Type="http://schemas.openxmlformats.org/officeDocument/2006/relationships/hyperlink" Target="https://www.immoscout24.ch/fr/maison/acheter/lieu-trey" TargetMode="External"/><Relationship Id="rId4837" Type="http://schemas.openxmlformats.org/officeDocument/2006/relationships/hyperlink" Target="https://www.immoscout24.ch/fr/maison/acheter/lieu-surpierre" TargetMode="External"/><Relationship Id="rId3505" Type="http://schemas.openxmlformats.org/officeDocument/2006/relationships/hyperlink" Target="https://www.immoscout24.ch/fr/maison/acheter/lieu-goumois" TargetMode="External"/><Relationship Id="rId4836" Type="http://schemas.openxmlformats.org/officeDocument/2006/relationships/hyperlink" Target="https://www.immoscout24.ch/fr/appartement/louer/lieu-lignieres" TargetMode="External"/><Relationship Id="rId3508" Type="http://schemas.openxmlformats.org/officeDocument/2006/relationships/hyperlink" Target="https://www.immoscout24.ch/fr/appartement/acheter/lieu-versoix" TargetMode="External"/><Relationship Id="rId4839" Type="http://schemas.openxmlformats.org/officeDocument/2006/relationships/hyperlink" Target="https://www.immoscout24.ch/fr/appartement/louer/lieu-blumenstein" TargetMode="External"/><Relationship Id="rId3507" Type="http://schemas.openxmlformats.org/officeDocument/2006/relationships/hyperlink" Target="https://www.immoscout24.ch/fr/maison/acheter/lieu-balerna" TargetMode="External"/><Relationship Id="rId4838" Type="http://schemas.openxmlformats.org/officeDocument/2006/relationships/hyperlink" Target="https://www.immoscout24.ch/fr/maison/acheter/lieu-rechy" TargetMode="External"/><Relationship Id="rId3509" Type="http://schemas.openxmlformats.org/officeDocument/2006/relationships/hyperlink" Target="https://www.immoscout24.ch/fr/appartement/acheter/canton-grisons" TargetMode="External"/><Relationship Id="rId3500" Type="http://schemas.openxmlformats.org/officeDocument/2006/relationships/hyperlink" Target="https://www.immoscout24.ch/fr/maison/acheter/lieu-biel-bienne" TargetMode="External"/><Relationship Id="rId4831" Type="http://schemas.openxmlformats.org/officeDocument/2006/relationships/hyperlink" Target="https://www.immoscout24.ch/fr/appartement/acheter/lieu-les-monts-de-corsier" TargetMode="External"/><Relationship Id="rId4830" Type="http://schemas.openxmlformats.org/officeDocument/2006/relationships/hyperlink" Target="https://www.immoscout24.ch/fr/maison/louer/region-bas-valais" TargetMode="External"/><Relationship Id="rId2203" Type="http://schemas.openxmlformats.org/officeDocument/2006/relationships/hyperlink" Target="https://www.immoscout24.ch/fr/appartement/louer/lieu-colombier-vd" TargetMode="External"/><Relationship Id="rId3535" Type="http://schemas.openxmlformats.org/officeDocument/2006/relationships/hyperlink" Target="https://www.immoscout24.ch/fr/maison/acheter/lieu-herisau" TargetMode="External"/><Relationship Id="rId4866" Type="http://schemas.openxmlformats.org/officeDocument/2006/relationships/hyperlink" Target="https://www.immoscout24.ch/fr/appartement/louer/lieu-wengen" TargetMode="External"/><Relationship Id="rId2204" Type="http://schemas.openxmlformats.org/officeDocument/2006/relationships/hyperlink" Target="https://www.immoscout24.ch/fr/maison/acheter/lieu-rive-haute-liddes" TargetMode="External"/><Relationship Id="rId3534" Type="http://schemas.openxmlformats.org/officeDocument/2006/relationships/hyperlink" Target="https://www.immoscout24.ch/fr/maison/louer/lieu-vaulruz" TargetMode="External"/><Relationship Id="rId4865" Type="http://schemas.openxmlformats.org/officeDocument/2006/relationships/hyperlink" Target="https://www.immoscout24.ch/fr/maison/acheter/lieu-olivone" TargetMode="External"/><Relationship Id="rId2205" Type="http://schemas.openxmlformats.org/officeDocument/2006/relationships/hyperlink" Target="https://www.immoscout24.ch/fr/maison/acheter/lieu-courchapoix" TargetMode="External"/><Relationship Id="rId3537" Type="http://schemas.openxmlformats.org/officeDocument/2006/relationships/hyperlink" Target="https://www.immoscout24.ch/fr/appartement/louer/lieu-les-bayards" TargetMode="External"/><Relationship Id="rId4868" Type="http://schemas.openxmlformats.org/officeDocument/2006/relationships/hyperlink" Target="https://www.immoscout24.ch/fr/appartement/louer/lieu-meiringen" TargetMode="External"/><Relationship Id="rId2206" Type="http://schemas.openxmlformats.org/officeDocument/2006/relationships/hyperlink" Target="https://www.immoscout24.ch/fr/appartement/louer/lieu-bussy-fr" TargetMode="External"/><Relationship Id="rId3536" Type="http://schemas.openxmlformats.org/officeDocument/2006/relationships/hyperlink" Target="https://www.immoscout24.ch/fr/appartement/acheter/lieu-oberbipp" TargetMode="External"/><Relationship Id="rId4867" Type="http://schemas.openxmlformats.org/officeDocument/2006/relationships/hyperlink" Target="https://www.immoscout24.ch/fr/appartement/louer/lieu-birr" TargetMode="External"/><Relationship Id="rId2207" Type="http://schemas.openxmlformats.org/officeDocument/2006/relationships/hyperlink" Target="https://www.immoscout24.ch/fr/maison/acheter/lieu-laufen" TargetMode="External"/><Relationship Id="rId3539" Type="http://schemas.openxmlformats.org/officeDocument/2006/relationships/hyperlink" Target="https://www.immoscout24.ch/fr/appartement/louer/lieu-salavaux" TargetMode="External"/><Relationship Id="rId2208" Type="http://schemas.openxmlformats.org/officeDocument/2006/relationships/hyperlink" Target="https://www.immoscout24.ch/fr/maison/acheter/lieu-fey-nendaz" TargetMode="External"/><Relationship Id="rId3538" Type="http://schemas.openxmlformats.org/officeDocument/2006/relationships/hyperlink" Target="https://www.immoscout24.ch/fr/appartement/louer/lieu-wangs" TargetMode="External"/><Relationship Id="rId4869" Type="http://schemas.openxmlformats.org/officeDocument/2006/relationships/hyperlink" Target="https://www.immoscout24.ch/fr/appartement/acheter/lieu-neukirch-egnach" TargetMode="External"/><Relationship Id="rId2209" Type="http://schemas.openxmlformats.org/officeDocument/2006/relationships/hyperlink" Target="https://www.immoscout24.ch/fr/appartement/acheter/lieu-wilen-sarnen" TargetMode="External"/><Relationship Id="rId4860" Type="http://schemas.openxmlformats.org/officeDocument/2006/relationships/hyperlink" Target="https://www.immoscout24.ch/fr/maison/louer/lieu-ayer" TargetMode="External"/><Relationship Id="rId3531" Type="http://schemas.openxmlformats.org/officeDocument/2006/relationships/hyperlink" Target="https://www.immoscout24.ch/fr/appartement/louer/lieu-champoussin" TargetMode="External"/><Relationship Id="rId4862" Type="http://schemas.openxmlformats.org/officeDocument/2006/relationships/hyperlink" Target="https://www.immoscout24.ch/fr/maison/acheter/lieu-bedigliora" TargetMode="External"/><Relationship Id="rId2200" Type="http://schemas.openxmlformats.org/officeDocument/2006/relationships/hyperlink" Target="https://www.immoscout24.ch/fr/maison/acheter/lieu-wynau" TargetMode="External"/><Relationship Id="rId3530" Type="http://schemas.openxmlformats.org/officeDocument/2006/relationships/hyperlink" Target="https://www.immoscout24.ch/fr/appartement/louer/quartier-serrieres-neuchatel" TargetMode="External"/><Relationship Id="rId4861" Type="http://schemas.openxmlformats.org/officeDocument/2006/relationships/hyperlink" Target="https://www.immoscout24.ch/fr/appartement/louer/lieu-morgins" TargetMode="External"/><Relationship Id="rId2201" Type="http://schemas.openxmlformats.org/officeDocument/2006/relationships/hyperlink" Target="https://www.immoscout24.ch/fr/appartement/acheter/lieu-fribourg" TargetMode="External"/><Relationship Id="rId3533" Type="http://schemas.openxmlformats.org/officeDocument/2006/relationships/hyperlink" Target="https://www.immoscout24.ch/fr/appartement/louer/lieu-le-sepey" TargetMode="External"/><Relationship Id="rId4864" Type="http://schemas.openxmlformats.org/officeDocument/2006/relationships/hyperlink" Target="https://www.immoscout24.ch/fr/appartement/louer/lieu-hosenruck" TargetMode="External"/><Relationship Id="rId2202" Type="http://schemas.openxmlformats.org/officeDocument/2006/relationships/hyperlink" Target="https://www.immoscout24.ch/fr/appartement/louer/lieu-niederurnen" TargetMode="External"/><Relationship Id="rId3532" Type="http://schemas.openxmlformats.org/officeDocument/2006/relationships/hyperlink" Target="https://www.immoscout24.ch/fr/maison/acheter/lieu-carrouge-vd" TargetMode="External"/><Relationship Id="rId4863" Type="http://schemas.openxmlformats.org/officeDocument/2006/relationships/hyperlink" Target="https://www.immoscout24.ch/fr/maison/acheter/lieu-andelfingen" TargetMode="External"/><Relationship Id="rId3524" Type="http://schemas.openxmlformats.org/officeDocument/2006/relationships/hyperlink" Target="https://www.immoscout24.ch/fr/appartement/louer/lieu-grandvaux" TargetMode="External"/><Relationship Id="rId4855" Type="http://schemas.openxmlformats.org/officeDocument/2006/relationships/hyperlink" Target="https://www.immoscout24.ch/fr/maison/acheter/lieu-le-mont-pelerin" TargetMode="External"/><Relationship Id="rId3523" Type="http://schemas.openxmlformats.org/officeDocument/2006/relationships/hyperlink" Target="https://www.immoscout24.ch/fr/maison/acheter/region-thoune-lac-de-thoune-nord" TargetMode="External"/><Relationship Id="rId4854" Type="http://schemas.openxmlformats.org/officeDocument/2006/relationships/hyperlink" Target="https://www.immoscout24.ch/fr/maison/louer/lieu-verbier" TargetMode="External"/><Relationship Id="rId3526" Type="http://schemas.openxmlformats.org/officeDocument/2006/relationships/hyperlink" Target="https://www.immoscout24.ch/fr/maison/louer/lieu-wollerau" TargetMode="External"/><Relationship Id="rId4857" Type="http://schemas.openxmlformats.org/officeDocument/2006/relationships/hyperlink" Target="https://www.immoscout24.ch/fr/maison/acheter/lieu-ablaendschen" TargetMode="External"/><Relationship Id="rId3525" Type="http://schemas.openxmlformats.org/officeDocument/2006/relationships/hyperlink" Target="https://www.immoscout24.ch/fr/maison/acheter/lieu-ferlens-vd" TargetMode="External"/><Relationship Id="rId4856" Type="http://schemas.openxmlformats.org/officeDocument/2006/relationships/hyperlink" Target="https://www.immoscout24.ch/fr/appartement/louer/lieu-villarbeney" TargetMode="External"/><Relationship Id="rId3528" Type="http://schemas.openxmlformats.org/officeDocument/2006/relationships/hyperlink" Target="https://www.immoscout24.ch/fr/appartement/acheter/lieu-les-evouettes" TargetMode="External"/><Relationship Id="rId4859" Type="http://schemas.openxmlformats.org/officeDocument/2006/relationships/hyperlink" Target="https://www.immoscout24.ch/fr/maison/acheter/lieu-busswil-be" TargetMode="External"/><Relationship Id="rId3527" Type="http://schemas.openxmlformats.org/officeDocument/2006/relationships/hyperlink" Target="https://www.immoscout24.ch/fr/maison/acheter/lieu-montmagny" TargetMode="External"/><Relationship Id="rId4858" Type="http://schemas.openxmlformats.org/officeDocument/2006/relationships/hyperlink" Target="https://www.immoscout24.ch/fr/appartement/louer/lieu-steinhausen" TargetMode="External"/><Relationship Id="rId3529" Type="http://schemas.openxmlformats.org/officeDocument/2006/relationships/hyperlink" Target="https://www.immoscout24.ch/fr/appartement/acheter/lieu-ambri" TargetMode="External"/><Relationship Id="rId3520" Type="http://schemas.openxmlformats.org/officeDocument/2006/relationships/hyperlink" Target="https://www.immoscout24.ch/fr/appartement/acheter/lieu-belmont-sur-yverdon" TargetMode="External"/><Relationship Id="rId4851" Type="http://schemas.openxmlformats.org/officeDocument/2006/relationships/hyperlink" Target="https://www.immoscout24.ch/fr/maison/acheter/lieu-oberdorf-so" TargetMode="External"/><Relationship Id="rId4850" Type="http://schemas.openxmlformats.org/officeDocument/2006/relationships/hyperlink" Target="https://www.immoscout24.ch/fr/appartement/louer/lieu-peyres-possens" TargetMode="External"/><Relationship Id="rId3522" Type="http://schemas.openxmlformats.org/officeDocument/2006/relationships/hyperlink" Target="https://www.immoscout24.ch/fr/maison/acheter/lieu-villars-sous-mont" TargetMode="External"/><Relationship Id="rId4853" Type="http://schemas.openxmlformats.org/officeDocument/2006/relationships/hyperlink" Target="https://www.immoscout24.ch/fr/appartement/louer/lieu-gossens" TargetMode="External"/><Relationship Id="rId3521" Type="http://schemas.openxmlformats.org/officeDocument/2006/relationships/hyperlink" Target="https://www.immoscout24.ch/fr/maison/acheter/region-frauenfeld-muenchwilen" TargetMode="External"/><Relationship Id="rId4852" Type="http://schemas.openxmlformats.org/officeDocument/2006/relationships/hyperlink" Target="https://www.immoscout24.ch/fr/maison/acheter/quartier-altstadt-coire" TargetMode="External"/><Relationship Id="rId4800" Type="http://schemas.openxmlformats.org/officeDocument/2006/relationships/hyperlink" Target="https://www.immoscout24.ch/fr/appartement/louer/quartier-alpes-neuchatel" TargetMode="External"/><Relationship Id="rId4802" Type="http://schemas.openxmlformats.org/officeDocument/2006/relationships/hyperlink" Target="https://www.immoscout24.ch/fr/maison/acheter/lieu-uster" TargetMode="External"/><Relationship Id="rId4801" Type="http://schemas.openxmlformats.org/officeDocument/2006/relationships/hyperlink" Target="https://www.immoscout24.ch/fr/appartement/louer/lieu-burgistein" TargetMode="External"/><Relationship Id="rId4804" Type="http://schemas.openxmlformats.org/officeDocument/2006/relationships/hyperlink" Target="https://www.immoscout24.ch/fr/appartement/acheter/pays-autriche" TargetMode="External"/><Relationship Id="rId4803" Type="http://schemas.openxmlformats.org/officeDocument/2006/relationships/hyperlink" Target="https://www.immoscout24.ch/fr/maison/acheter/region-thayngen-stein" TargetMode="External"/><Relationship Id="rId4806" Type="http://schemas.openxmlformats.org/officeDocument/2006/relationships/hyperlink" Target="https://www.immoscout24.ch/fr/maison/acheter/pays-chine" TargetMode="External"/><Relationship Id="rId4805" Type="http://schemas.openxmlformats.org/officeDocument/2006/relationships/hyperlink" Target="https://www.immoscout24.ch/fr/maison/acheter/lieu-taegerwilen" TargetMode="External"/><Relationship Id="rId4808" Type="http://schemas.openxmlformats.org/officeDocument/2006/relationships/hyperlink" Target="https://www.immoscout24.ch/fr/maison/acheter/region-franches-montagnes" TargetMode="External"/><Relationship Id="rId4807" Type="http://schemas.openxmlformats.org/officeDocument/2006/relationships/hyperlink" Target="https://www.immoscout24.ch/fr/maison/acheter/lieu-morens-fr" TargetMode="External"/><Relationship Id="rId4809" Type="http://schemas.openxmlformats.org/officeDocument/2006/relationships/hyperlink" Target="https://www.immoscout24.ch/fr/appartement/acheter/lieu-wangen-sz" TargetMode="External"/><Relationship Id="rId4822" Type="http://schemas.openxmlformats.org/officeDocument/2006/relationships/hyperlink" Target="https://www.immoscout24.ch/fr/maison/acheter/lieu-menznau" TargetMode="External"/><Relationship Id="rId4821" Type="http://schemas.openxmlformats.org/officeDocument/2006/relationships/hyperlink" Target="https://www.immoscout24.ch/fr/maison/acheter/lieu-kiental" TargetMode="External"/><Relationship Id="rId4824" Type="http://schemas.openxmlformats.org/officeDocument/2006/relationships/hyperlink" Target="https://www.immoscout24.ch/fr/appartement/louer/lieu-clarmont" TargetMode="External"/><Relationship Id="rId4823" Type="http://schemas.openxmlformats.org/officeDocument/2006/relationships/hyperlink" Target="https://www.immoscout24.ch/fr/maison/acheter/lieu-chavannes-pres-renens" TargetMode="External"/><Relationship Id="rId4826" Type="http://schemas.openxmlformats.org/officeDocument/2006/relationships/hyperlink" Target="https://www.immoscout24.ch/fr/maison/louer/lieu-mase" TargetMode="External"/><Relationship Id="rId4825" Type="http://schemas.openxmlformats.org/officeDocument/2006/relationships/hyperlink" Target="https://www.immoscout24.ch/fr/maison/acheter/lieu-montagny-la-ville" TargetMode="External"/><Relationship Id="rId4828" Type="http://schemas.openxmlformats.org/officeDocument/2006/relationships/hyperlink" Target="https://www.immoscout24.ch/fr/appartement/acheter/lieu-vex" TargetMode="External"/><Relationship Id="rId4827" Type="http://schemas.openxmlformats.org/officeDocument/2006/relationships/hyperlink" Target="https://www.immoscout24.ch/fr/maison/acheter/lieu-cointrin" TargetMode="External"/><Relationship Id="rId4829" Type="http://schemas.openxmlformats.org/officeDocument/2006/relationships/hyperlink" Target="https://www.immoscout24.ch/fr/maison/louer/lieu-iserables" TargetMode="External"/><Relationship Id="rId4820" Type="http://schemas.openxmlformats.org/officeDocument/2006/relationships/hyperlink" Target="https://www.immoscout24.ch/fr/appartement/louer/quartier-onu-rigot-geneve" TargetMode="External"/><Relationship Id="rId4811" Type="http://schemas.openxmlformats.org/officeDocument/2006/relationships/hyperlink" Target="https://www.immoscout24.ch/fr/maison/acheter/lieu-montavon" TargetMode="External"/><Relationship Id="rId4810" Type="http://schemas.openxmlformats.org/officeDocument/2006/relationships/hyperlink" Target="https://www.immoscout24.ch/fr/appartement/acheter/lieu-botterens" TargetMode="External"/><Relationship Id="rId4813" Type="http://schemas.openxmlformats.org/officeDocument/2006/relationships/hyperlink" Target="https://www.immoscout24.ch/fr/appartement/louer/lieu-donatyre" TargetMode="External"/><Relationship Id="rId4812" Type="http://schemas.openxmlformats.org/officeDocument/2006/relationships/hyperlink" Target="https://www.immoscout24.ch/fr/appartement/acheter/quartier-rosenberg-st-gall" TargetMode="External"/><Relationship Id="rId4815" Type="http://schemas.openxmlformats.org/officeDocument/2006/relationships/hyperlink" Target="https://www.immoscout24.ch/fr/appartement/louer/lieu-sulz-ag" TargetMode="External"/><Relationship Id="rId4814" Type="http://schemas.openxmlformats.org/officeDocument/2006/relationships/hyperlink" Target="https://www.immoscout24.ch/fr/appartement/louer/region-oberland-est" TargetMode="External"/><Relationship Id="rId4817" Type="http://schemas.openxmlformats.org/officeDocument/2006/relationships/hyperlink" Target="https://www.immoscout24.ch/fr/maison/louer/lieu-geneve" TargetMode="External"/><Relationship Id="rId4816" Type="http://schemas.openxmlformats.org/officeDocument/2006/relationships/hyperlink" Target="https://www.immoscout24.ch/fr/maison/louer/lieu-volleges" TargetMode="External"/><Relationship Id="rId4819" Type="http://schemas.openxmlformats.org/officeDocument/2006/relationships/hyperlink" Target="https://www.immoscout24.ch/fr/maison/acheter/lieu-onex" TargetMode="External"/><Relationship Id="rId4818" Type="http://schemas.openxmlformats.org/officeDocument/2006/relationships/hyperlink" Target="https://www.immoscout24.ch/fr/appartement/louer/lieu-sales-gruyere" TargetMode="External"/><Relationship Id="rId2269" Type="http://schemas.openxmlformats.org/officeDocument/2006/relationships/hyperlink" Target="https://www.immoscout24.ch/fr/appartement/acheter/lieu-riddes" TargetMode="External"/><Relationship Id="rId3591" Type="http://schemas.openxmlformats.org/officeDocument/2006/relationships/hyperlink" Target="https://www.immoscout24.ch/fr/appartement/acheter/lieu-bavois" TargetMode="External"/><Relationship Id="rId2260" Type="http://schemas.openxmlformats.org/officeDocument/2006/relationships/hyperlink" Target="https://www.immoscout24.ch/fr/appartement/louer/lieu-uttigen" TargetMode="External"/><Relationship Id="rId3590" Type="http://schemas.openxmlformats.org/officeDocument/2006/relationships/hyperlink" Target="https://www.immoscout24.ch/fr/maison/acheter/region-emmental" TargetMode="External"/><Relationship Id="rId2261" Type="http://schemas.openxmlformats.org/officeDocument/2006/relationships/hyperlink" Target="https://www.immoscout24.ch/fr/maison/louer/lieu-mont-soleil" TargetMode="External"/><Relationship Id="rId3593" Type="http://schemas.openxmlformats.org/officeDocument/2006/relationships/hyperlink" Target="https://www.immoscout24.ch/fr/appartement/louer/region-olten-thal-gaeu-gosgen" TargetMode="External"/><Relationship Id="rId2262" Type="http://schemas.openxmlformats.org/officeDocument/2006/relationships/hyperlink" Target="https://www.immoscout24.ch/fr/maison/acheter/lieu-jeuss" TargetMode="External"/><Relationship Id="rId3592" Type="http://schemas.openxmlformats.org/officeDocument/2006/relationships/hyperlink" Target="https://www.immoscout24.ch/fr/maison/acheter/lieu-chamblon" TargetMode="External"/><Relationship Id="rId2263" Type="http://schemas.openxmlformats.org/officeDocument/2006/relationships/hyperlink" Target="https://www.immoscout24.ch/fr/maison/acheter/region-limmattal" TargetMode="External"/><Relationship Id="rId3595" Type="http://schemas.openxmlformats.org/officeDocument/2006/relationships/hyperlink" Target="https://www.immoscout24.ch/fr/appartement/louer/lieu-cugy-vd" TargetMode="External"/><Relationship Id="rId2264" Type="http://schemas.openxmlformats.org/officeDocument/2006/relationships/hyperlink" Target="https://www.immoscout24.ch/fr/appartement/acheter/lieu-cham" TargetMode="External"/><Relationship Id="rId3594" Type="http://schemas.openxmlformats.org/officeDocument/2006/relationships/hyperlink" Target="https://www.immoscout24.ch/fr/appartement/louer/lieu-geuensee" TargetMode="External"/><Relationship Id="rId2265" Type="http://schemas.openxmlformats.org/officeDocument/2006/relationships/hyperlink" Target="https://www.immoscout24.ch/fr/maison/acheter/lieu-belp" TargetMode="External"/><Relationship Id="rId3597" Type="http://schemas.openxmlformats.org/officeDocument/2006/relationships/hyperlink" Target="https://www.immoscout24.ch/fr/appartement/louer/lieu-mellingen" TargetMode="External"/><Relationship Id="rId2266" Type="http://schemas.openxmlformats.org/officeDocument/2006/relationships/hyperlink" Target="https://www.immoscout24.ch/fr/maison/acheter/region-littoral-neuchatelois" TargetMode="External"/><Relationship Id="rId3596" Type="http://schemas.openxmlformats.org/officeDocument/2006/relationships/hyperlink" Target="https://www.immoscout24.ch/fr/maison/acheter/lieu-gy" TargetMode="External"/><Relationship Id="rId2267" Type="http://schemas.openxmlformats.org/officeDocument/2006/relationships/hyperlink" Target="https://www.immoscout24.ch/fr/appartement/louer/region-singine-sarine-lac" TargetMode="External"/><Relationship Id="rId3599" Type="http://schemas.openxmlformats.org/officeDocument/2006/relationships/hyperlink" Target="https://www.immoscout24.ch/fr/maison/acheter/lieu-goldach" TargetMode="External"/><Relationship Id="rId2268" Type="http://schemas.openxmlformats.org/officeDocument/2006/relationships/hyperlink" Target="https://www.immoscout24.ch/fr/maison/acheter/lieu-savagnier" TargetMode="External"/><Relationship Id="rId3598" Type="http://schemas.openxmlformats.org/officeDocument/2006/relationships/hyperlink" Target="https://www.immoscout24.ch/fr/appartement/acheter/lieu-huenenberg" TargetMode="External"/><Relationship Id="rId2258" Type="http://schemas.openxmlformats.org/officeDocument/2006/relationships/hyperlink" Target="https://www.immoscout24.ch/fr/maison/louer/lieu-produit-leytron" TargetMode="External"/><Relationship Id="rId2259" Type="http://schemas.openxmlformats.org/officeDocument/2006/relationships/hyperlink" Target="https://www.immoscout24.ch/fr/appartement/louer/lieu-brione-sopra-minusio" TargetMode="External"/><Relationship Id="rId3589" Type="http://schemas.openxmlformats.org/officeDocument/2006/relationships/hyperlink" Target="https://www.immoscout24.ch/fr/appartement/louer/lieu-bruettelen" TargetMode="External"/><Relationship Id="rId3580" Type="http://schemas.openxmlformats.org/officeDocument/2006/relationships/hyperlink" Target="https://www.immoscout24.ch/fr/maison/acheter/lieu-niederscherli" TargetMode="External"/><Relationship Id="rId2250" Type="http://schemas.openxmlformats.org/officeDocument/2006/relationships/hyperlink" Target="https://www.immoscout24.ch/fr/appartement/louer/lieu-witterswil" TargetMode="External"/><Relationship Id="rId3582" Type="http://schemas.openxmlformats.org/officeDocument/2006/relationships/hyperlink" Target="https://www.immoscout24.ch/fr/appartement/acheter/canton-schaffhouse" TargetMode="External"/><Relationship Id="rId2251" Type="http://schemas.openxmlformats.org/officeDocument/2006/relationships/hyperlink" Target="https://www.immoscout24.ch/fr/appartement/louer/lieu-chatel-sur-montsalvens" TargetMode="External"/><Relationship Id="rId3581" Type="http://schemas.openxmlformats.org/officeDocument/2006/relationships/hyperlink" Target="https://www.immoscout24.ch/fr/appartement/acheter/lieu-spiez" TargetMode="External"/><Relationship Id="rId2252" Type="http://schemas.openxmlformats.org/officeDocument/2006/relationships/hyperlink" Target="https://www.immoscout24.ch/fr/appartement/louer/lieu-tiefencastel" TargetMode="External"/><Relationship Id="rId3584" Type="http://schemas.openxmlformats.org/officeDocument/2006/relationships/hyperlink" Target="https://www.immoscout24.ch/fr/maison/acheter/lieu-tavanasa" TargetMode="External"/><Relationship Id="rId2253" Type="http://schemas.openxmlformats.org/officeDocument/2006/relationships/hyperlink" Target="https://www.immoscout24.ch/fr/appartement/louer/canton-schaffhouse" TargetMode="External"/><Relationship Id="rId3583" Type="http://schemas.openxmlformats.org/officeDocument/2006/relationships/hyperlink" Target="https://www.immoscout24.ch/fr/maison/acheter/lieu-muraz-collombey" TargetMode="External"/><Relationship Id="rId2254" Type="http://schemas.openxmlformats.org/officeDocument/2006/relationships/hyperlink" Target="https://www.immoscout24.ch/fr/appartement/louer/lieu-zuchwil" TargetMode="External"/><Relationship Id="rId3586" Type="http://schemas.openxmlformats.org/officeDocument/2006/relationships/hyperlink" Target="https://www.immoscout24.ch/fr/appartement/louer/lieu-villars-sous-yens" TargetMode="External"/><Relationship Id="rId2255" Type="http://schemas.openxmlformats.org/officeDocument/2006/relationships/hyperlink" Target="https://www.immoscout24.ch/fr/appartement/louer/lieu-boniswil" TargetMode="External"/><Relationship Id="rId3585" Type="http://schemas.openxmlformats.org/officeDocument/2006/relationships/hyperlink" Target="https://www.immoscout24.ch/fr/appartement/acheter/lieu-st-ursanne" TargetMode="External"/><Relationship Id="rId2256" Type="http://schemas.openxmlformats.org/officeDocument/2006/relationships/hyperlink" Target="https://www.immoscout24.ch/fr/maison/acheter/lieu-les-collons" TargetMode="External"/><Relationship Id="rId3588" Type="http://schemas.openxmlformats.org/officeDocument/2006/relationships/hyperlink" Target="https://www.immoscout24.ch/fr/appartement/louer/lieu-la-croix-lutry" TargetMode="External"/><Relationship Id="rId2257" Type="http://schemas.openxmlformats.org/officeDocument/2006/relationships/hyperlink" Target="https://www.immoscout24.ch/fr/appartement/louer/lieu-autavaux" TargetMode="External"/><Relationship Id="rId3587" Type="http://schemas.openxmlformats.org/officeDocument/2006/relationships/hyperlink" Target="https://www.immoscout24.ch/fr/appartement/louer/lieu-guntershausen-b-aadorf" TargetMode="External"/><Relationship Id="rId2280" Type="http://schemas.openxmlformats.org/officeDocument/2006/relationships/hyperlink" Target="https://www.immoscout24.ch/fr/appartement/acheter/quartier-langstrasse-zurich" TargetMode="External"/><Relationship Id="rId2281" Type="http://schemas.openxmlformats.org/officeDocument/2006/relationships/hyperlink" Target="https://www.immoscout24.ch/fr/appartement/acheter/lieu-crissier" TargetMode="External"/><Relationship Id="rId2282" Type="http://schemas.openxmlformats.org/officeDocument/2006/relationships/hyperlink" Target="https://www.immoscout24.ch/fr/maison/louer/canton-lucerne" TargetMode="External"/><Relationship Id="rId2283" Type="http://schemas.openxmlformats.org/officeDocument/2006/relationships/hyperlink" Target="https://www.immoscout24.ch/fr/maison/acheter/lieu-nax" TargetMode="External"/><Relationship Id="rId2284" Type="http://schemas.openxmlformats.org/officeDocument/2006/relationships/hyperlink" Target="https://www.immoscout24.ch/fr/appartement/acheter/lieu-davos-dorf" TargetMode="External"/><Relationship Id="rId2285" Type="http://schemas.openxmlformats.org/officeDocument/2006/relationships/hyperlink" Target="https://www.immoscout24.ch/fr/appartement/louer/quartier-gruben-schaffhouse" TargetMode="External"/><Relationship Id="rId2286" Type="http://schemas.openxmlformats.org/officeDocument/2006/relationships/hyperlink" Target="https://www.immoscout24.ch/fr/maison/acheter/lieu-personico" TargetMode="External"/><Relationship Id="rId2287" Type="http://schemas.openxmlformats.org/officeDocument/2006/relationships/hyperlink" Target="https://www.immoscout24.ch/fr/maison/acheter/lieu-engelberg" TargetMode="External"/><Relationship Id="rId2288" Type="http://schemas.openxmlformats.org/officeDocument/2006/relationships/hyperlink" Target="https://www.immoscout24.ch/fr/maison/louer/lieu-balsthal" TargetMode="External"/><Relationship Id="rId2289" Type="http://schemas.openxmlformats.org/officeDocument/2006/relationships/hyperlink" Target="https://www.immoscout24.ch/fr/appartement/acheter/lieu-bottens" TargetMode="External"/><Relationship Id="rId2270" Type="http://schemas.openxmlformats.org/officeDocument/2006/relationships/hyperlink" Target="https://www.immoscout24.ch/fr/appartement/louer/lieu-liebistorf" TargetMode="External"/><Relationship Id="rId2271" Type="http://schemas.openxmlformats.org/officeDocument/2006/relationships/hyperlink" Target="https://www.immoscout24.ch/fr/appartement/louer/lieu-middes" TargetMode="External"/><Relationship Id="rId2272" Type="http://schemas.openxmlformats.org/officeDocument/2006/relationships/hyperlink" Target="https://www.immoscout24.ch/fr/maison/acheter/lieu-cottens-vd" TargetMode="External"/><Relationship Id="rId2273" Type="http://schemas.openxmlformats.org/officeDocument/2006/relationships/hyperlink" Target="https://www.immoscout24.ch/fr/appartement/acheter/lieu-echichens" TargetMode="External"/><Relationship Id="rId2274" Type="http://schemas.openxmlformats.org/officeDocument/2006/relationships/hyperlink" Target="https://www.immoscout24.ch/fr/maison/louer/region-seeland" TargetMode="External"/><Relationship Id="rId2275" Type="http://schemas.openxmlformats.org/officeDocument/2006/relationships/hyperlink" Target="https://www.immoscout24.ch/fr/appartement/acheter/lieu-oberwald" TargetMode="External"/><Relationship Id="rId2276" Type="http://schemas.openxmlformats.org/officeDocument/2006/relationships/hyperlink" Target="https://www.immoscout24.ch/fr/maison/acheter/region-bas-valais" TargetMode="External"/><Relationship Id="rId2277" Type="http://schemas.openxmlformats.org/officeDocument/2006/relationships/hyperlink" Target="https://www.immoscout24.ch/fr/appartement/acheter/lieu-stabio" TargetMode="External"/><Relationship Id="rId2278" Type="http://schemas.openxmlformats.org/officeDocument/2006/relationships/hyperlink" Target="https://www.immoscout24.ch/fr/maison/acheter/lieu-chexbres" TargetMode="External"/><Relationship Id="rId2279" Type="http://schemas.openxmlformats.org/officeDocument/2006/relationships/hyperlink" Target="https://www.immoscout24.ch/fr/appartement/acheter/lieu-gossau-sg" TargetMode="External"/><Relationship Id="rId2225" Type="http://schemas.openxmlformats.org/officeDocument/2006/relationships/hyperlink" Target="https://www.immoscout24.ch/fr/maison/acheter/lieu-perrefitte" TargetMode="External"/><Relationship Id="rId3557" Type="http://schemas.openxmlformats.org/officeDocument/2006/relationships/hyperlink" Target="https://www.immoscout24.ch/fr/maison/acheter/region-appenzell-et-environs" TargetMode="External"/><Relationship Id="rId4888" Type="http://schemas.openxmlformats.org/officeDocument/2006/relationships/hyperlink" Target="https://www.immoscout24.ch/fr/appartement/louer/lieu-arveyes" TargetMode="External"/><Relationship Id="rId2226" Type="http://schemas.openxmlformats.org/officeDocument/2006/relationships/hyperlink" Target="https://www.immoscout24.ch/fr/appartement/acheter/canton-bale-ville" TargetMode="External"/><Relationship Id="rId3556" Type="http://schemas.openxmlformats.org/officeDocument/2006/relationships/hyperlink" Target="https://www.immoscout24.ch/fr/maison/acheter/lieu-hedingen" TargetMode="External"/><Relationship Id="rId4887" Type="http://schemas.openxmlformats.org/officeDocument/2006/relationships/hyperlink" Target="https://www.immoscout24.ch/fr/appartement/louer/lieu-liestal" TargetMode="External"/><Relationship Id="rId2227" Type="http://schemas.openxmlformats.org/officeDocument/2006/relationships/hyperlink" Target="https://www.immoscout24.ch/fr/appartement/louer/lieu-collombey" TargetMode="External"/><Relationship Id="rId3559" Type="http://schemas.openxmlformats.org/officeDocument/2006/relationships/hyperlink" Target="https://www.immoscout24.ch/fr/appartement/acheter/lieu-cries-volleges" TargetMode="External"/><Relationship Id="rId2228" Type="http://schemas.openxmlformats.org/officeDocument/2006/relationships/hyperlink" Target="https://www.immoscout24.ch/fr/appartement/louer/lieu-granges-de-vesin" TargetMode="External"/><Relationship Id="rId3558" Type="http://schemas.openxmlformats.org/officeDocument/2006/relationships/hyperlink" Target="https://www.immoscout24.ch/fr/appartement/acheter/lieu-ponte-tresa" TargetMode="External"/><Relationship Id="rId4889" Type="http://schemas.openxmlformats.org/officeDocument/2006/relationships/hyperlink" Target="https://www.immoscout24.ch/fr/appartement/louer/lieu-etoy" TargetMode="External"/><Relationship Id="rId2229" Type="http://schemas.openxmlformats.org/officeDocument/2006/relationships/hyperlink" Target="https://www.immoscout24.ch/fr/appartement/acheter/lieu-moosseedorf" TargetMode="External"/><Relationship Id="rId4880" Type="http://schemas.openxmlformats.org/officeDocument/2006/relationships/hyperlink" Target="https://www.immoscout24.ch/fr/appartement/acheter/lieu-rossens-fr" TargetMode="External"/><Relationship Id="rId3551" Type="http://schemas.openxmlformats.org/officeDocument/2006/relationships/hyperlink" Target="https://www.immoscout24.ch/fr/appartement/louer/lieu-orbe" TargetMode="External"/><Relationship Id="rId4882" Type="http://schemas.openxmlformats.org/officeDocument/2006/relationships/hyperlink" Target="https://www.immoscout24.ch/fr/appartement/louer/lieu-villarsel-sur-marly" TargetMode="External"/><Relationship Id="rId2220" Type="http://schemas.openxmlformats.org/officeDocument/2006/relationships/hyperlink" Target="https://www.immoscout24.ch/fr/appartement/louer/lieu-bevilard" TargetMode="External"/><Relationship Id="rId3550" Type="http://schemas.openxmlformats.org/officeDocument/2006/relationships/hyperlink" Target="https://www.immoscout24.ch/fr/appartement/louer/lieu-attalens" TargetMode="External"/><Relationship Id="rId4881" Type="http://schemas.openxmlformats.org/officeDocument/2006/relationships/hyperlink" Target="https://www.immoscout24.ch/fr/maison/acheter/lieu-ergisch" TargetMode="External"/><Relationship Id="rId2221" Type="http://schemas.openxmlformats.org/officeDocument/2006/relationships/hyperlink" Target="https://www.immoscout24.ch/fr/appartement/louer/lieu-arch" TargetMode="External"/><Relationship Id="rId3553" Type="http://schemas.openxmlformats.org/officeDocument/2006/relationships/hyperlink" Target="https://www.immoscout24.ch/fr/appartement/louer/lieu-buehl-b-aarberg" TargetMode="External"/><Relationship Id="rId4884" Type="http://schemas.openxmlformats.org/officeDocument/2006/relationships/hyperlink" Target="https://www.immoscout24.ch/fr/appartement/louer/lieu-interlaken" TargetMode="External"/><Relationship Id="rId2222" Type="http://schemas.openxmlformats.org/officeDocument/2006/relationships/hyperlink" Target="https://www.immoscout24.ch/fr/appartement/louer/lieu-raron" TargetMode="External"/><Relationship Id="rId3552" Type="http://schemas.openxmlformats.org/officeDocument/2006/relationships/hyperlink" Target="https://www.immoscout24.ch/fr/appartement/louer/quartier-madretsch-sued-biel-bienne" TargetMode="External"/><Relationship Id="rId4883" Type="http://schemas.openxmlformats.org/officeDocument/2006/relationships/hyperlink" Target="https://www.immoscout24.ch/fr/appartement/louer/lieu-glovelier" TargetMode="External"/><Relationship Id="rId2223" Type="http://schemas.openxmlformats.org/officeDocument/2006/relationships/hyperlink" Target="https://www.immoscout24.ch/fr/appartement/louer/lieu-cureglia" TargetMode="External"/><Relationship Id="rId3555" Type="http://schemas.openxmlformats.org/officeDocument/2006/relationships/hyperlink" Target="https://www.immoscout24.ch/fr/appartement/louer/lieu-collonges" TargetMode="External"/><Relationship Id="rId4886" Type="http://schemas.openxmlformats.org/officeDocument/2006/relationships/hyperlink" Target="https://www.immoscout24.ch/fr/maison/louer/lieu-eison-st-martin" TargetMode="External"/><Relationship Id="rId2224" Type="http://schemas.openxmlformats.org/officeDocument/2006/relationships/hyperlink" Target="https://www.immoscout24.ch/fr/appartement/louer/quartier-cite-centre-geneve" TargetMode="External"/><Relationship Id="rId3554" Type="http://schemas.openxmlformats.org/officeDocument/2006/relationships/hyperlink" Target="https://www.immoscout24.ch/fr/maison/acheter/lieu-bowil" TargetMode="External"/><Relationship Id="rId4885" Type="http://schemas.openxmlformats.org/officeDocument/2006/relationships/hyperlink" Target="https://www.immoscout24.ch/fr/maison/acheter/canton-bale-ville" TargetMode="External"/><Relationship Id="rId2214" Type="http://schemas.openxmlformats.org/officeDocument/2006/relationships/hyperlink" Target="https://www.immoscout24.ch/fr/appartement/louer/quartier-maupas-valency-lausanne" TargetMode="External"/><Relationship Id="rId3546" Type="http://schemas.openxmlformats.org/officeDocument/2006/relationships/hyperlink" Target="https://www.immoscout24.ch/fr/maison/louer/region-avenches-payerne" TargetMode="External"/><Relationship Id="rId4877" Type="http://schemas.openxmlformats.org/officeDocument/2006/relationships/hyperlink" Target="https://www.immoscout24.ch/fr/maison/louer/lieu-lovens" TargetMode="External"/><Relationship Id="rId2215" Type="http://schemas.openxmlformats.org/officeDocument/2006/relationships/hyperlink" Target="https://www.immoscout24.ch/fr/appartement/louer/lieu-albinen" TargetMode="External"/><Relationship Id="rId3545" Type="http://schemas.openxmlformats.org/officeDocument/2006/relationships/hyperlink" Target="https://www.immoscout24.ch/fr/appartement/louer/lieu-bellach" TargetMode="External"/><Relationship Id="rId4876" Type="http://schemas.openxmlformats.org/officeDocument/2006/relationships/hyperlink" Target="https://www.immoscout24.ch/fr/appartement/louer/lieu-losone" TargetMode="External"/><Relationship Id="rId2216" Type="http://schemas.openxmlformats.org/officeDocument/2006/relationships/hyperlink" Target="https://www.immoscout24.ch/fr/maison/acheter/lieu-couvet" TargetMode="External"/><Relationship Id="rId3548" Type="http://schemas.openxmlformats.org/officeDocument/2006/relationships/hyperlink" Target="https://www.immoscout24.ch/fr/appartement/acheter/lieu-la-tour-de-peilz" TargetMode="External"/><Relationship Id="rId4879" Type="http://schemas.openxmlformats.org/officeDocument/2006/relationships/hyperlink" Target="https://www.immoscout24.ch/fr/maison/louer/lieu-soral" TargetMode="External"/><Relationship Id="rId2217" Type="http://schemas.openxmlformats.org/officeDocument/2006/relationships/hyperlink" Target="https://www.immoscout24.ch/fr/appartement/acheter/lieu-giez" TargetMode="External"/><Relationship Id="rId3547" Type="http://schemas.openxmlformats.org/officeDocument/2006/relationships/hyperlink" Target="https://www.immoscout24.ch/fr/maison/acheter/lieu-st-saphorin-lavaux" TargetMode="External"/><Relationship Id="rId4878" Type="http://schemas.openxmlformats.org/officeDocument/2006/relationships/hyperlink" Target="https://www.immoscout24.ch/fr/maison/louer/lieu-essert-pittet" TargetMode="External"/><Relationship Id="rId2218" Type="http://schemas.openxmlformats.org/officeDocument/2006/relationships/hyperlink" Target="https://www.immoscout24.ch/fr/appartement/louer/lieu-basel" TargetMode="External"/><Relationship Id="rId2219" Type="http://schemas.openxmlformats.org/officeDocument/2006/relationships/hyperlink" Target="https://www.immoscout24.ch/fr/appartement/louer/lieu-chamoson" TargetMode="External"/><Relationship Id="rId3549" Type="http://schemas.openxmlformats.org/officeDocument/2006/relationships/hyperlink" Target="https://www.immoscout24.ch/fr/maison/louer/lieu-montpreveyres" TargetMode="External"/><Relationship Id="rId3540" Type="http://schemas.openxmlformats.org/officeDocument/2006/relationships/hyperlink" Target="https://www.immoscout24.ch/fr/maison/acheter/lieu-st-maurice" TargetMode="External"/><Relationship Id="rId4871" Type="http://schemas.openxmlformats.org/officeDocument/2006/relationships/hyperlink" Target="https://www.immoscout24.ch/fr/maison/acheter/lieu-ardez" TargetMode="External"/><Relationship Id="rId4870" Type="http://schemas.openxmlformats.org/officeDocument/2006/relationships/hyperlink" Target="https://www.immoscout24.ch/fr/maison/louer/lieu-langnau-im-emmental" TargetMode="External"/><Relationship Id="rId2210" Type="http://schemas.openxmlformats.org/officeDocument/2006/relationships/hyperlink" Target="https://www.immoscout24.ch/fr/maison/acheter/lieu-court" TargetMode="External"/><Relationship Id="rId3542" Type="http://schemas.openxmlformats.org/officeDocument/2006/relationships/hyperlink" Target="https://www.immoscout24.ch/fr/appartement/louer/lieu-hallwil" TargetMode="External"/><Relationship Id="rId4873" Type="http://schemas.openxmlformats.org/officeDocument/2006/relationships/hyperlink" Target="https://www.immoscout24.ch/fr/appartement/acheter/lieu-lourtier" TargetMode="External"/><Relationship Id="rId2211" Type="http://schemas.openxmlformats.org/officeDocument/2006/relationships/hyperlink" Target="https://www.immoscout24.ch/fr/appartement/acheter/lieu-worben" TargetMode="External"/><Relationship Id="rId3541" Type="http://schemas.openxmlformats.org/officeDocument/2006/relationships/hyperlink" Target="https://www.immoscout24.ch/fr/appartement/louer/lieu-sorens" TargetMode="External"/><Relationship Id="rId4872" Type="http://schemas.openxmlformats.org/officeDocument/2006/relationships/hyperlink" Target="https://www.immoscout24.ch/fr/maison/acheter/lieu-villeret" TargetMode="External"/><Relationship Id="rId2212" Type="http://schemas.openxmlformats.org/officeDocument/2006/relationships/hyperlink" Target="https://www.immoscout24.ch/fr/appartement/acheter/lieu-longirod" TargetMode="External"/><Relationship Id="rId3544" Type="http://schemas.openxmlformats.org/officeDocument/2006/relationships/hyperlink" Target="https://www.immoscout24.ch/fr/appartement/louer/quartier-koeniz-koeniz" TargetMode="External"/><Relationship Id="rId4875" Type="http://schemas.openxmlformats.org/officeDocument/2006/relationships/hyperlink" Target="https://www.immoscout24.ch/fr/appartement/louer/lieu-celerina-schlarigna" TargetMode="External"/><Relationship Id="rId2213" Type="http://schemas.openxmlformats.org/officeDocument/2006/relationships/hyperlink" Target="https://www.immoscout24.ch/fr/appartement/louer/lieu-vallamand" TargetMode="External"/><Relationship Id="rId3543" Type="http://schemas.openxmlformats.org/officeDocument/2006/relationships/hyperlink" Target="https://www.immoscout24.ch/fr/maison/louer/lieu-chaumont" TargetMode="External"/><Relationship Id="rId4874" Type="http://schemas.openxmlformats.org/officeDocument/2006/relationships/hyperlink" Target="https://www.immoscout24.ch/fr/maison/acheter/lieu-curtilles" TargetMode="External"/><Relationship Id="rId2247" Type="http://schemas.openxmlformats.org/officeDocument/2006/relationships/hyperlink" Target="https://www.immoscout24.ch/fr/appartement/louer/quartier-jura-fribourg" TargetMode="External"/><Relationship Id="rId3579" Type="http://schemas.openxmlformats.org/officeDocument/2006/relationships/hyperlink" Target="https://www.immoscout24.ch/fr/appartement/louer/lieu-prahins" TargetMode="External"/><Relationship Id="rId2248" Type="http://schemas.openxmlformats.org/officeDocument/2006/relationships/hyperlink" Target="https://www.immoscout24.ch/fr/appartement/louer/quartier-sauvabelin-lausanne" TargetMode="External"/><Relationship Id="rId3578" Type="http://schemas.openxmlformats.org/officeDocument/2006/relationships/hyperlink" Target="https://www.immoscout24.ch/fr/appartement/louer/lieu-dietwil" TargetMode="External"/><Relationship Id="rId2249" Type="http://schemas.openxmlformats.org/officeDocument/2006/relationships/hyperlink" Target="https://www.immoscout24.ch/fr/maison/acheter/lieu-sigriswil" TargetMode="External"/><Relationship Id="rId3571" Type="http://schemas.openxmlformats.org/officeDocument/2006/relationships/hyperlink" Target="https://www.immoscout24.ch/fr/maison/acheter/lieu-lentigny" TargetMode="External"/><Relationship Id="rId2240" Type="http://schemas.openxmlformats.org/officeDocument/2006/relationships/hyperlink" Target="https://www.immoscout24.ch/fr/appartement/acheter/quartier-breitenrain-berne" TargetMode="External"/><Relationship Id="rId3570" Type="http://schemas.openxmlformats.org/officeDocument/2006/relationships/hyperlink" Target="https://www.immoscout24.ch/fr/appartement/acheter/lieu-delemont" TargetMode="External"/><Relationship Id="rId2241" Type="http://schemas.openxmlformats.org/officeDocument/2006/relationships/hyperlink" Target="https://www.immoscout24.ch/fr/maison/acheter/lieu-bremblens" TargetMode="External"/><Relationship Id="rId3573" Type="http://schemas.openxmlformats.org/officeDocument/2006/relationships/hyperlink" Target="https://www.immoscout24.ch/fr/maison/acheter/lieu-torre" TargetMode="External"/><Relationship Id="rId2242" Type="http://schemas.openxmlformats.org/officeDocument/2006/relationships/hyperlink" Target="https://www.immoscout24.ch/fr/maison/louer/lieu-bruson" TargetMode="External"/><Relationship Id="rId3572" Type="http://schemas.openxmlformats.org/officeDocument/2006/relationships/hyperlink" Target="https://www.immoscout24.ch/fr/maison/louer/lieu-mur-vully-vd" TargetMode="External"/><Relationship Id="rId2243" Type="http://schemas.openxmlformats.org/officeDocument/2006/relationships/hyperlink" Target="https://www.immoscout24.ch/fr/maison/acheter/lieu-dotzigen" TargetMode="External"/><Relationship Id="rId3575" Type="http://schemas.openxmlformats.org/officeDocument/2006/relationships/hyperlink" Target="https://www.immoscout24.ch/fr/maison/louer/lieu-belfaux" TargetMode="External"/><Relationship Id="rId2244" Type="http://schemas.openxmlformats.org/officeDocument/2006/relationships/hyperlink" Target="https://www.immoscout24.ch/fr/appartement/louer/lieu-muraz-sierre" TargetMode="External"/><Relationship Id="rId3574" Type="http://schemas.openxmlformats.org/officeDocument/2006/relationships/hyperlink" Target="https://www.immoscout24.ch/fr/appartement/acheter/lieu-lenzerheide-lai" TargetMode="External"/><Relationship Id="rId2245" Type="http://schemas.openxmlformats.org/officeDocument/2006/relationships/hyperlink" Target="https://www.immoscout24.ch/fr/appartement/louer/quartier-neuveville-fribourg" TargetMode="External"/><Relationship Id="rId3577" Type="http://schemas.openxmlformats.org/officeDocument/2006/relationships/hyperlink" Target="https://www.immoscout24.ch/fr/appartement/acheter/lieu-eclepens" TargetMode="External"/><Relationship Id="rId2246" Type="http://schemas.openxmlformats.org/officeDocument/2006/relationships/hyperlink" Target="https://www.immoscout24.ch/fr/maison/acheter/lieu-dompierre-fr" TargetMode="External"/><Relationship Id="rId3576" Type="http://schemas.openxmlformats.org/officeDocument/2006/relationships/hyperlink" Target="https://www.immoscout24.ch/fr/maison/acheter/pays-kenya" TargetMode="External"/><Relationship Id="rId2236" Type="http://schemas.openxmlformats.org/officeDocument/2006/relationships/hyperlink" Target="https://www.immoscout24.ch/fr/appartement/louer/lieu-uzwil" TargetMode="External"/><Relationship Id="rId3568" Type="http://schemas.openxmlformats.org/officeDocument/2006/relationships/hyperlink" Target="https://www.immoscout24.ch/fr/appartement/louer/lieu-la-heutte" TargetMode="External"/><Relationship Id="rId4899" Type="http://schemas.openxmlformats.org/officeDocument/2006/relationships/hyperlink" Target="https://www.immoscout24.ch/fr/appartement/acheter/lieu-zuerich" TargetMode="External"/><Relationship Id="rId2237" Type="http://schemas.openxmlformats.org/officeDocument/2006/relationships/hyperlink" Target="https://www.immoscout24.ch/fr/maison/acheter/lieu-essertines-sur-rolle" TargetMode="External"/><Relationship Id="rId3567" Type="http://schemas.openxmlformats.org/officeDocument/2006/relationships/hyperlink" Target="https://www.immoscout24.ch/fr/appartement/acheter/lieu-montagny-la-ville" TargetMode="External"/><Relationship Id="rId4898" Type="http://schemas.openxmlformats.org/officeDocument/2006/relationships/hyperlink" Target="https://www.immoscout24.ch/fr/appartement/louer/lieu-les-valettes-bovernier" TargetMode="External"/><Relationship Id="rId2238" Type="http://schemas.openxmlformats.org/officeDocument/2006/relationships/hyperlink" Target="https://www.immoscout24.ch/fr/appartement/louer/lieu-jens" TargetMode="External"/><Relationship Id="rId2239" Type="http://schemas.openxmlformats.org/officeDocument/2006/relationships/hyperlink" Target="https://www.immoscout24.ch/fr/appartement/louer/lieu-burgdorf" TargetMode="External"/><Relationship Id="rId3569" Type="http://schemas.openxmlformats.org/officeDocument/2006/relationships/hyperlink" Target="https://www.immoscout24.ch/fr/maison/acheter/lieu-zug" TargetMode="External"/><Relationship Id="rId3560" Type="http://schemas.openxmlformats.org/officeDocument/2006/relationships/hyperlink" Target="https://www.immoscout24.ch/fr/maison/acheter/lieu-rheinau" TargetMode="External"/><Relationship Id="rId4891" Type="http://schemas.openxmlformats.org/officeDocument/2006/relationships/hyperlink" Target="https://www.immoscout24.ch/fr/appartement/louer/lieu-ligerz" TargetMode="External"/><Relationship Id="rId4890" Type="http://schemas.openxmlformats.org/officeDocument/2006/relationships/hyperlink" Target="https://www.immoscout24.ch/fr/appartement/louer/lieu-gasel" TargetMode="External"/><Relationship Id="rId2230" Type="http://schemas.openxmlformats.org/officeDocument/2006/relationships/hyperlink" Target="https://www.immoscout24.ch/fr/appartement/louer/quartier-gasel-koeniz" TargetMode="External"/><Relationship Id="rId3562" Type="http://schemas.openxmlformats.org/officeDocument/2006/relationships/hyperlink" Target="https://www.immoscout24.ch/fr/appartement/louer/lieu-orges" TargetMode="External"/><Relationship Id="rId4893" Type="http://schemas.openxmlformats.org/officeDocument/2006/relationships/hyperlink" Target="https://www.immoscout24.ch/fr/maison/acheter/lieu-pomy" TargetMode="External"/><Relationship Id="rId2231" Type="http://schemas.openxmlformats.org/officeDocument/2006/relationships/hyperlink" Target="https://www.immoscout24.ch/fr/appartement/louer/lieu-heitenried" TargetMode="External"/><Relationship Id="rId3561" Type="http://schemas.openxmlformats.org/officeDocument/2006/relationships/hyperlink" Target="https://www.immoscout24.ch/fr/appartement/louer/lieu-la-rippe" TargetMode="External"/><Relationship Id="rId4892" Type="http://schemas.openxmlformats.org/officeDocument/2006/relationships/hyperlink" Target="https://www.immoscout24.ch/fr/maison/acheter/lieu-montagnon-leytron" TargetMode="External"/><Relationship Id="rId2232" Type="http://schemas.openxmlformats.org/officeDocument/2006/relationships/hyperlink" Target="https://www.immoscout24.ch/fr/appartement/acheter/lieu-corsier-ge" TargetMode="External"/><Relationship Id="rId3564" Type="http://schemas.openxmlformats.org/officeDocument/2006/relationships/hyperlink" Target="https://www.immoscout24.ch/fr/maison/acheter/lieu-pleigne" TargetMode="External"/><Relationship Id="rId4895" Type="http://schemas.openxmlformats.org/officeDocument/2006/relationships/hyperlink" Target="https://www.immoscout24.ch/fr/appartement/acheter/lieu-aigle" TargetMode="External"/><Relationship Id="rId2233" Type="http://schemas.openxmlformats.org/officeDocument/2006/relationships/hyperlink" Target="https://www.immoscout24.ch/fr/appartement/louer/region-rorschach-st-gallen" TargetMode="External"/><Relationship Id="rId3563" Type="http://schemas.openxmlformats.org/officeDocument/2006/relationships/hyperlink" Target="https://www.immoscout24.ch/fr/maison/louer/lieu-wohlenschwil" TargetMode="External"/><Relationship Id="rId4894" Type="http://schemas.openxmlformats.org/officeDocument/2006/relationships/hyperlink" Target="https://www.immoscout24.ch/fr/appartement/acheter/lieu-torgon" TargetMode="External"/><Relationship Id="rId2234" Type="http://schemas.openxmlformats.org/officeDocument/2006/relationships/hyperlink" Target="https://www.immoscout24.ch/fr/appartement/acheter/lieu-muri-ag" TargetMode="External"/><Relationship Id="rId3566" Type="http://schemas.openxmlformats.org/officeDocument/2006/relationships/hyperlink" Target="https://www.immoscout24.ch/fr/maison/acheter/lieu-herbriggen" TargetMode="External"/><Relationship Id="rId4897" Type="http://schemas.openxmlformats.org/officeDocument/2006/relationships/hyperlink" Target="https://www.immoscout24.ch/fr/appartement/acheter/lieu-renens-vd" TargetMode="External"/><Relationship Id="rId2235" Type="http://schemas.openxmlformats.org/officeDocument/2006/relationships/hyperlink" Target="https://www.immoscout24.ch/fr/appartement/louer/lieu-wilen-sarnen" TargetMode="External"/><Relationship Id="rId3565" Type="http://schemas.openxmlformats.org/officeDocument/2006/relationships/hyperlink" Target="https://www.immoscout24.ch/fr/appartement/louer/lieu-birmensdorf-zh" TargetMode="External"/><Relationship Id="rId4896" Type="http://schemas.openxmlformats.org/officeDocument/2006/relationships/hyperlink" Target="https://www.immoscout24.ch/fr/appartement/acheter/lieu-liebefeld" TargetMode="External"/><Relationship Id="rId2290" Type="http://schemas.openxmlformats.org/officeDocument/2006/relationships/hyperlink" Target="https://www.immoscout24.ch/fr/appartement/louer/lieu-montfaucon" TargetMode="External"/><Relationship Id="rId2291" Type="http://schemas.openxmlformats.org/officeDocument/2006/relationships/hyperlink" Target="https://www.immoscout24.ch/fr/maison/acheter/lieu-villa-evolene" TargetMode="External"/><Relationship Id="rId2292" Type="http://schemas.openxmlformats.org/officeDocument/2006/relationships/hyperlink" Target="https://www.immoscout24.ch/fr/maison/louer/lieu-chandolin" TargetMode="External"/><Relationship Id="rId2293" Type="http://schemas.openxmlformats.org/officeDocument/2006/relationships/hyperlink" Target="https://www.immoscout24.ch/fr/appartement/louer/lieu-versegeres" TargetMode="External"/><Relationship Id="rId2294" Type="http://schemas.openxmlformats.org/officeDocument/2006/relationships/hyperlink" Target="https://www.immoscout24.ch/fr/maison/acheter/lieu-gletterens" TargetMode="External"/><Relationship Id="rId2295" Type="http://schemas.openxmlformats.org/officeDocument/2006/relationships/hyperlink" Target="https://www.immoscout24.ch/fr/appartement/louer/lieu-matran" TargetMode="External"/><Relationship Id="rId2296" Type="http://schemas.openxmlformats.org/officeDocument/2006/relationships/hyperlink" Target="https://www.immoscout24.ch/fr/appartement/acheter/lieu-grimentz" TargetMode="External"/><Relationship Id="rId2297" Type="http://schemas.openxmlformats.org/officeDocument/2006/relationships/hyperlink" Target="https://www.immoscout24.ch/fr/appartement/acheter/lieu-brissago" TargetMode="External"/><Relationship Id="rId2298" Type="http://schemas.openxmlformats.org/officeDocument/2006/relationships/hyperlink" Target="https://www.immoscout24.ch/fr/appartement/acheter/lieu-lugnorre" TargetMode="External"/><Relationship Id="rId2299" Type="http://schemas.openxmlformats.org/officeDocument/2006/relationships/hyperlink" Target="https://www.immoscout24.ch/fr/maison/louer/lieu-verossaz" TargetMode="External"/><Relationship Id="rId4901" Type="http://schemas.openxmlformats.org/officeDocument/2006/relationships/hyperlink" Target="https://www.immoscout24.ch/fr/maison/acheter/quartier-vers-chez-les-blanc-lausanne" TargetMode="External"/><Relationship Id="rId4900" Type="http://schemas.openxmlformats.org/officeDocument/2006/relationships/hyperlink" Target="https://www.immoscout24.ch/fr/appartement/louer/lieu-choulex" TargetMode="External"/><Relationship Id="rId4903" Type="http://schemas.openxmlformats.org/officeDocument/2006/relationships/hyperlink" Target="https://www.immoscout24.ch/fr/maison/louer/lieu-yens" TargetMode="External"/><Relationship Id="rId4902" Type="http://schemas.openxmlformats.org/officeDocument/2006/relationships/hyperlink" Target="https://www.immoscout24.ch/fr/maison/acheter/lieu-emmen" TargetMode="External"/><Relationship Id="rId4905" Type="http://schemas.openxmlformats.org/officeDocument/2006/relationships/hyperlink" Target="https://www.immoscout24.ch/fr/maison/acheter/region-porrentruy" TargetMode="External"/><Relationship Id="rId4904" Type="http://schemas.openxmlformats.org/officeDocument/2006/relationships/hyperlink" Target="https://www.immoscout24.ch/fr/maison/louer/lieu-renan-be" TargetMode="External"/><Relationship Id="rId4907" Type="http://schemas.openxmlformats.org/officeDocument/2006/relationships/hyperlink" Target="https://www.immoscout24.ch/fr/maison/acheter/lieu-vuiteboeuf" TargetMode="External"/><Relationship Id="rId4906" Type="http://schemas.openxmlformats.org/officeDocument/2006/relationships/hyperlink" Target="https://www.immoscout24.ch/fr/maison/acheter/lieu-oberwangen-b-bern" TargetMode="External"/><Relationship Id="rId4909" Type="http://schemas.openxmlformats.org/officeDocument/2006/relationships/hyperlink" Target="https://www.immoscout24.ch/fr/maison/acheter/lieu-premier" TargetMode="External"/><Relationship Id="rId4908" Type="http://schemas.openxmlformats.org/officeDocument/2006/relationships/hyperlink" Target="https://www.immoscout24.ch/fr/maison/acheter/lieu-denens" TargetMode="External"/><Relationship Id="rId2302" Type="http://schemas.openxmlformats.org/officeDocument/2006/relationships/hyperlink" Target="https://www.immoscout24.ch/fr/maison/acheter/lieu-bauma" TargetMode="External"/><Relationship Id="rId3634" Type="http://schemas.openxmlformats.org/officeDocument/2006/relationships/hyperlink" Target="https://www.immoscout24.ch/fr/maison/louer/lieu-bulle" TargetMode="External"/><Relationship Id="rId4965" Type="http://schemas.openxmlformats.org/officeDocument/2006/relationships/hyperlink" Target="https://www.immoscout24.ch/fr/maison/acheter/canton-lucerne" TargetMode="External"/><Relationship Id="rId2303" Type="http://schemas.openxmlformats.org/officeDocument/2006/relationships/hyperlink" Target="https://www.immoscout24.ch/fr/appartement/louer/lieu-obergesteln" TargetMode="External"/><Relationship Id="rId3633" Type="http://schemas.openxmlformats.org/officeDocument/2006/relationships/hyperlink" Target="https://www.immoscout24.ch/fr/maison/louer/lieu-therwil" TargetMode="External"/><Relationship Id="rId4964" Type="http://schemas.openxmlformats.org/officeDocument/2006/relationships/hyperlink" Target="https://www.immoscout24.ch/fr/appartement/louer/lieu-horw" TargetMode="External"/><Relationship Id="rId2304" Type="http://schemas.openxmlformats.org/officeDocument/2006/relationships/hyperlink" Target="https://www.immoscout24.ch/fr/maison/acheter/lieu-leissigen" TargetMode="External"/><Relationship Id="rId3636" Type="http://schemas.openxmlformats.org/officeDocument/2006/relationships/hyperlink" Target="https://www.immoscout24.ch/fr/maison/louer/lieu-essertines-sur-yverdon" TargetMode="External"/><Relationship Id="rId4967" Type="http://schemas.openxmlformats.org/officeDocument/2006/relationships/hyperlink" Target="https://www.immoscout24.ch/fr/appartement/louer/lieu-les-marecottes" TargetMode="External"/><Relationship Id="rId2305" Type="http://schemas.openxmlformats.org/officeDocument/2006/relationships/hyperlink" Target="https://www.immoscout24.ch/fr/appartement/louer/lieu-dulliken" TargetMode="External"/><Relationship Id="rId3635" Type="http://schemas.openxmlformats.org/officeDocument/2006/relationships/hyperlink" Target="https://www.immoscout24.ch/fr/maison/acheter/lieu-penthalaz" TargetMode="External"/><Relationship Id="rId4966" Type="http://schemas.openxmlformats.org/officeDocument/2006/relationships/hyperlink" Target="https://www.immoscout24.ch/fr/appartement/acheter/quartier-forges-endroits-la-chaux-de-fonds" TargetMode="External"/><Relationship Id="rId2306" Type="http://schemas.openxmlformats.org/officeDocument/2006/relationships/hyperlink" Target="https://www.immoscout24.ch/fr/appartement/louer/quartier-hegi-winterthur" TargetMode="External"/><Relationship Id="rId3638" Type="http://schemas.openxmlformats.org/officeDocument/2006/relationships/hyperlink" Target="https://www.immoscout24.ch/fr/appartement/louer/lieu-belp" TargetMode="External"/><Relationship Id="rId4969" Type="http://schemas.openxmlformats.org/officeDocument/2006/relationships/hyperlink" Target="https://www.immoscout24.ch/fr/maison/acheter/region-seeland" TargetMode="External"/><Relationship Id="rId2307" Type="http://schemas.openxmlformats.org/officeDocument/2006/relationships/hyperlink" Target="https://www.immoscout24.ch/fr/appartement/acheter/lieu-turtmann" TargetMode="External"/><Relationship Id="rId3637" Type="http://schemas.openxmlformats.org/officeDocument/2006/relationships/hyperlink" Target="https://www.immoscout24.ch/fr/appartement/louer/lieu-combremont-le-petit" TargetMode="External"/><Relationship Id="rId4968" Type="http://schemas.openxmlformats.org/officeDocument/2006/relationships/hyperlink" Target="https://www.immoscout24.ch/fr/appartement/louer/lieu-klosters-dorf" TargetMode="External"/><Relationship Id="rId2308" Type="http://schemas.openxmlformats.org/officeDocument/2006/relationships/hyperlink" Target="https://www.immoscout24.ch/fr/appartement/louer/lieu-salvan" TargetMode="External"/><Relationship Id="rId2309" Type="http://schemas.openxmlformats.org/officeDocument/2006/relationships/hyperlink" Target="https://www.immoscout24.ch/fr/appartement/louer/lieu-vetroz" TargetMode="External"/><Relationship Id="rId3639" Type="http://schemas.openxmlformats.org/officeDocument/2006/relationships/hyperlink" Target="https://www.immoscout24.ch/fr/appartement/louer/lieu-lugnorre" TargetMode="External"/><Relationship Id="rId3630" Type="http://schemas.openxmlformats.org/officeDocument/2006/relationships/hyperlink" Target="https://www.immoscout24.ch/fr/appartement/louer/lieu-formangueires" TargetMode="External"/><Relationship Id="rId4961" Type="http://schemas.openxmlformats.org/officeDocument/2006/relationships/hyperlink" Target="https://www.immoscout24.ch/fr/maison/acheter/lieu-corgemont" TargetMode="External"/><Relationship Id="rId4960" Type="http://schemas.openxmlformats.org/officeDocument/2006/relationships/hyperlink" Target="https://www.immoscout24.ch/fr/appartement/louer/lieu-soral" TargetMode="External"/><Relationship Id="rId2300" Type="http://schemas.openxmlformats.org/officeDocument/2006/relationships/hyperlink" Target="https://www.immoscout24.ch/fr/appartement/louer/lieu-rechthalten" TargetMode="External"/><Relationship Id="rId3632" Type="http://schemas.openxmlformats.org/officeDocument/2006/relationships/hyperlink" Target="https://www.immoscout24.ch/fr/appartement/louer/lieu-marin-epagnier" TargetMode="External"/><Relationship Id="rId4963" Type="http://schemas.openxmlformats.org/officeDocument/2006/relationships/hyperlink" Target="https://www.immoscout24.ch/fr/appartement/louer/lieu-ecublens-fr" TargetMode="External"/><Relationship Id="rId2301" Type="http://schemas.openxmlformats.org/officeDocument/2006/relationships/hyperlink" Target="https://www.immoscout24.ch/fr/appartement/louer/lieu-villarepos" TargetMode="External"/><Relationship Id="rId3631" Type="http://schemas.openxmlformats.org/officeDocument/2006/relationships/hyperlink" Target="https://www.immoscout24.ch/fr/maison/acheter/lieu-soubey" TargetMode="External"/><Relationship Id="rId4962" Type="http://schemas.openxmlformats.org/officeDocument/2006/relationships/hyperlink" Target="https://www.immoscout24.ch/fr/appartement/louer/lieu-diessbach-b-bueren" TargetMode="External"/><Relationship Id="rId3623" Type="http://schemas.openxmlformats.org/officeDocument/2006/relationships/hyperlink" Target="https://www.immoscout24.ch/fr/appartement/acheter/lieu-les-valettes-bovernier" TargetMode="External"/><Relationship Id="rId4954" Type="http://schemas.openxmlformats.org/officeDocument/2006/relationships/hyperlink" Target="https://www.immoscout24.ch/fr/maison/louer/lieu-sornard-nendaz" TargetMode="External"/><Relationship Id="rId3622" Type="http://schemas.openxmlformats.org/officeDocument/2006/relationships/hyperlink" Target="https://www.immoscout24.ch/fr/appartement/louer/lieu-chemin" TargetMode="External"/><Relationship Id="rId4953" Type="http://schemas.openxmlformats.org/officeDocument/2006/relationships/hyperlink" Target="https://www.immoscout24.ch/fr/appartement/acheter/lieu-glion" TargetMode="External"/><Relationship Id="rId3625" Type="http://schemas.openxmlformats.org/officeDocument/2006/relationships/hyperlink" Target="https://www.immoscout24.ch/fr/maison/acheter/lieu-sonvilier" TargetMode="External"/><Relationship Id="rId4956" Type="http://schemas.openxmlformats.org/officeDocument/2006/relationships/hyperlink" Target="https://www.immoscout24.ch/fr/appartement/louer/lieu-chenaux" TargetMode="External"/><Relationship Id="rId3624" Type="http://schemas.openxmlformats.org/officeDocument/2006/relationships/hyperlink" Target="https://www.immoscout24.ch/fr/maison/acheter/region-zuercher-oberland" TargetMode="External"/><Relationship Id="rId4955" Type="http://schemas.openxmlformats.org/officeDocument/2006/relationships/hyperlink" Target="https://www.immoscout24.ch/fr/appartement/louer/lieu-epagny" TargetMode="External"/><Relationship Id="rId3627" Type="http://schemas.openxmlformats.org/officeDocument/2006/relationships/hyperlink" Target="https://www.immoscout24.ch/fr/maison/louer/lieu-fribourg" TargetMode="External"/><Relationship Id="rId4958" Type="http://schemas.openxmlformats.org/officeDocument/2006/relationships/hyperlink" Target="https://www.immoscout24.ch/fr/maison/acheter/lieu-corbieres" TargetMode="External"/><Relationship Id="rId3626" Type="http://schemas.openxmlformats.org/officeDocument/2006/relationships/hyperlink" Target="https://www.immoscout24.ch/fr/maison/louer/lieu-vallamand" TargetMode="External"/><Relationship Id="rId4957" Type="http://schemas.openxmlformats.org/officeDocument/2006/relationships/hyperlink" Target="https://www.immoscout24.ch/fr/maison/acheter/lieu-casima" TargetMode="External"/><Relationship Id="rId3629" Type="http://schemas.openxmlformats.org/officeDocument/2006/relationships/hyperlink" Target="https://www.immoscout24.ch/fr/maison/louer/canton-valais" TargetMode="External"/><Relationship Id="rId3628" Type="http://schemas.openxmlformats.org/officeDocument/2006/relationships/hyperlink" Target="https://www.immoscout24.ch/fr/maison/louer/lieu-botyre-ayent" TargetMode="External"/><Relationship Id="rId4959" Type="http://schemas.openxmlformats.org/officeDocument/2006/relationships/hyperlink" Target="https://www.immoscout24.ch/fr/maison/acheter/lieu-orbe" TargetMode="External"/><Relationship Id="rId4950" Type="http://schemas.openxmlformats.org/officeDocument/2006/relationships/hyperlink" Target="https://www.immoscout24.ch/fr/appartement/louer/region-fribourg-glane" TargetMode="External"/><Relationship Id="rId3621" Type="http://schemas.openxmlformats.org/officeDocument/2006/relationships/hyperlink" Target="https://www.immoscout24.ch/fr/appartement/louer/lieu-la-tour-de-treme" TargetMode="External"/><Relationship Id="rId4952" Type="http://schemas.openxmlformats.org/officeDocument/2006/relationships/hyperlink" Target="https://www.immoscout24.ch/fr/maison/louer/lieu-corcelles-pres-payerne" TargetMode="External"/><Relationship Id="rId3620" Type="http://schemas.openxmlformats.org/officeDocument/2006/relationships/hyperlink" Target="https://www.immoscout24.ch/fr/appartement/louer/region-knonaueramt" TargetMode="External"/><Relationship Id="rId4951" Type="http://schemas.openxmlformats.org/officeDocument/2006/relationships/hyperlink" Target="https://www.immoscout24.ch/fr/maison/acheter/lieu-gingins" TargetMode="External"/><Relationship Id="rId2324" Type="http://schemas.openxmlformats.org/officeDocument/2006/relationships/hyperlink" Target="https://www.immoscout24.ch/fr/appartement/louer/lieu-salins" TargetMode="External"/><Relationship Id="rId3656" Type="http://schemas.openxmlformats.org/officeDocument/2006/relationships/hyperlink" Target="https://www.immoscout24.ch/fr/appartement/louer/lieu-sax" TargetMode="External"/><Relationship Id="rId4987" Type="http://schemas.openxmlformats.org/officeDocument/2006/relationships/hyperlink" Target="https://www.immoscout24.ch/fr/appartement/louer/lieu-oron-la-ville" TargetMode="External"/><Relationship Id="rId2325" Type="http://schemas.openxmlformats.org/officeDocument/2006/relationships/hyperlink" Target="https://www.immoscout24.ch/fr/maison/louer/lieu-la-chaux-de-fonds" TargetMode="External"/><Relationship Id="rId3655" Type="http://schemas.openxmlformats.org/officeDocument/2006/relationships/hyperlink" Target="https://www.immoscout24.ch/fr/maison/acheter/lieu-apples" TargetMode="External"/><Relationship Id="rId4986" Type="http://schemas.openxmlformats.org/officeDocument/2006/relationships/hyperlink" Target="https://www.immoscout24.ch/fr/maison/acheter/lieu-niouc" TargetMode="External"/><Relationship Id="rId2326" Type="http://schemas.openxmlformats.org/officeDocument/2006/relationships/hyperlink" Target="https://www.immoscout24.ch/fr/appartement/louer/region-furttal" TargetMode="External"/><Relationship Id="rId3658" Type="http://schemas.openxmlformats.org/officeDocument/2006/relationships/hyperlink" Target="https://www.immoscout24.ch/fr/appartement/acheter/lieu-nyon" TargetMode="External"/><Relationship Id="rId4989" Type="http://schemas.openxmlformats.org/officeDocument/2006/relationships/hyperlink" Target="https://www.immoscout24.ch/fr/appartement/acheter/quartier-ruche-la-chaux-de-fonds" TargetMode="External"/><Relationship Id="rId2327" Type="http://schemas.openxmlformats.org/officeDocument/2006/relationships/hyperlink" Target="https://www.immoscout24.ch/fr/appartement/louer/lieu-wichtrach" TargetMode="External"/><Relationship Id="rId3657" Type="http://schemas.openxmlformats.org/officeDocument/2006/relationships/hyperlink" Target="https://www.immoscout24.ch/fr/maison/louer/lieu-veyrier" TargetMode="External"/><Relationship Id="rId4988" Type="http://schemas.openxmlformats.org/officeDocument/2006/relationships/hyperlink" Target="https://www.immoscout24.ch/fr/maison/acheter/lieu-windisch" TargetMode="External"/><Relationship Id="rId2328" Type="http://schemas.openxmlformats.org/officeDocument/2006/relationships/hyperlink" Target="https://www.immoscout24.ch/fr/appartement/louer/lieu-rossens-fr" TargetMode="External"/><Relationship Id="rId2329" Type="http://schemas.openxmlformats.org/officeDocument/2006/relationships/hyperlink" Target="https://www.immoscout24.ch/fr/appartement/louer/quartier-bruderholz-bale" TargetMode="External"/><Relationship Id="rId3659" Type="http://schemas.openxmlformats.org/officeDocument/2006/relationships/hyperlink" Target="https://www.immoscout24.ch/fr/maison/louer/lieu-vuibroye" TargetMode="External"/><Relationship Id="rId3650" Type="http://schemas.openxmlformats.org/officeDocument/2006/relationships/hyperlink" Target="https://www.immoscout24.ch/fr/maison/louer/lieu-courtepin" TargetMode="External"/><Relationship Id="rId4981" Type="http://schemas.openxmlformats.org/officeDocument/2006/relationships/hyperlink" Target="https://www.immoscout24.ch/fr/appartement/acheter/lieu-turin-salins" TargetMode="External"/><Relationship Id="rId4980" Type="http://schemas.openxmlformats.org/officeDocument/2006/relationships/hyperlink" Target="https://www.immoscout24.ch/fr/maison/louer/lieu-gland" TargetMode="External"/><Relationship Id="rId2320" Type="http://schemas.openxmlformats.org/officeDocument/2006/relationships/hyperlink" Target="https://www.immoscout24.ch/fr/appartement/louer/lieu-verbier" TargetMode="External"/><Relationship Id="rId3652" Type="http://schemas.openxmlformats.org/officeDocument/2006/relationships/hyperlink" Target="https://www.immoscout24.ch/fr/appartement/acheter/lieu-kesswil" TargetMode="External"/><Relationship Id="rId4983" Type="http://schemas.openxmlformats.org/officeDocument/2006/relationships/hyperlink" Target="https://www.immoscout24.ch/fr/appartement/acheter/lieu-gsteig-b-gstaad" TargetMode="External"/><Relationship Id="rId2321" Type="http://schemas.openxmlformats.org/officeDocument/2006/relationships/hyperlink" Target="https://www.immoscout24.ch/fr/maison/acheter/lieu-cheserex" TargetMode="External"/><Relationship Id="rId3651" Type="http://schemas.openxmlformats.org/officeDocument/2006/relationships/hyperlink" Target="https://www.immoscout24.ch/fr/maison/acheter/lieu-rivera" TargetMode="External"/><Relationship Id="rId4982" Type="http://schemas.openxmlformats.org/officeDocument/2006/relationships/hyperlink" Target="https://www.immoscout24.ch/fr/appartement/louer/lieu-lutry" TargetMode="External"/><Relationship Id="rId2322" Type="http://schemas.openxmlformats.org/officeDocument/2006/relationships/hyperlink" Target="https://www.immoscout24.ch/fr/appartement/louer/lieu-fehraltorf" TargetMode="External"/><Relationship Id="rId3654" Type="http://schemas.openxmlformats.org/officeDocument/2006/relationships/hyperlink" Target="https://www.immoscout24.ch/fr/appartement/louer/lieu-gysenstein" TargetMode="External"/><Relationship Id="rId4985" Type="http://schemas.openxmlformats.org/officeDocument/2006/relationships/hyperlink" Target="https://www.immoscout24.ch/fr/appartement/louer/lieu-kriens" TargetMode="External"/><Relationship Id="rId2323" Type="http://schemas.openxmlformats.org/officeDocument/2006/relationships/hyperlink" Target="https://www.immoscout24.ch/fr/appartement/louer/lieu-alterswil-fr" TargetMode="External"/><Relationship Id="rId3653" Type="http://schemas.openxmlformats.org/officeDocument/2006/relationships/hyperlink" Target="https://www.immoscout24.ch/fr/appartement/louer/lieu-collex" TargetMode="External"/><Relationship Id="rId4984" Type="http://schemas.openxmlformats.org/officeDocument/2006/relationships/hyperlink" Target="https://www.immoscout24.ch/fr/appartement/louer/lieu-vufflens-la-ville" TargetMode="External"/><Relationship Id="rId2313" Type="http://schemas.openxmlformats.org/officeDocument/2006/relationships/hyperlink" Target="https://www.immoscout24.ch/fr/appartement/louer/lieu-travers" TargetMode="External"/><Relationship Id="rId3645" Type="http://schemas.openxmlformats.org/officeDocument/2006/relationships/hyperlink" Target="https://www.immoscout24.ch/fr/maison/acheter/lieu-chateau-d-oex" TargetMode="External"/><Relationship Id="rId4976" Type="http://schemas.openxmlformats.org/officeDocument/2006/relationships/hyperlink" Target="https://www.immoscout24.ch/fr/appartement/louer/region-zoug-lac-de-zoug" TargetMode="External"/><Relationship Id="rId2314" Type="http://schemas.openxmlformats.org/officeDocument/2006/relationships/hyperlink" Target="https://www.immoscout24.ch/fr/maison/louer/canton-neuchatel" TargetMode="External"/><Relationship Id="rId3644" Type="http://schemas.openxmlformats.org/officeDocument/2006/relationships/hyperlink" Target="https://www.immoscout24.ch/fr/maison/acheter/lieu-la-forclaz-vd" TargetMode="External"/><Relationship Id="rId4975" Type="http://schemas.openxmlformats.org/officeDocument/2006/relationships/hyperlink" Target="https://www.immoscout24.ch/fr/maison/acheter/lieu-tesserete" TargetMode="External"/><Relationship Id="rId2315" Type="http://schemas.openxmlformats.org/officeDocument/2006/relationships/hyperlink" Target="https://www.immoscout24.ch/fr/appartement/louer/lieu-escholzmatt" TargetMode="External"/><Relationship Id="rId3647" Type="http://schemas.openxmlformats.org/officeDocument/2006/relationships/hyperlink" Target="https://www.immoscout24.ch/fr/appartement/louer/lieu-cortaillod" TargetMode="External"/><Relationship Id="rId4978" Type="http://schemas.openxmlformats.org/officeDocument/2006/relationships/hyperlink" Target="https://www.immoscout24.ch/fr/appartement/louer/lieu-meinisberg" TargetMode="External"/><Relationship Id="rId2316" Type="http://schemas.openxmlformats.org/officeDocument/2006/relationships/hyperlink" Target="https://www.immoscout24.ch/fr/appartement/louer/lieu-breitenbach" TargetMode="External"/><Relationship Id="rId3646" Type="http://schemas.openxmlformats.org/officeDocument/2006/relationships/hyperlink" Target="https://www.immoscout24.ch/fr/maison/acheter/lieu-donatyre" TargetMode="External"/><Relationship Id="rId4977" Type="http://schemas.openxmlformats.org/officeDocument/2006/relationships/hyperlink" Target="https://www.immoscout24.ch/fr/maison/acheter/pays-tunisie" TargetMode="External"/><Relationship Id="rId2317" Type="http://schemas.openxmlformats.org/officeDocument/2006/relationships/hyperlink" Target="https://www.immoscout24.ch/fr/maison/acheter/lieu-boudevilliers" TargetMode="External"/><Relationship Id="rId3649" Type="http://schemas.openxmlformats.org/officeDocument/2006/relationships/hyperlink" Target="https://www.immoscout24.ch/fr/appartement/acheter/lieu-le-locle" TargetMode="External"/><Relationship Id="rId2318" Type="http://schemas.openxmlformats.org/officeDocument/2006/relationships/hyperlink" Target="https://www.immoscout24.ch/fr/appartement/louer/lieu-gutenswil" TargetMode="External"/><Relationship Id="rId3648" Type="http://schemas.openxmlformats.org/officeDocument/2006/relationships/hyperlink" Target="https://www.immoscout24.ch/fr/appartement/louer/lieu-grone" TargetMode="External"/><Relationship Id="rId4979" Type="http://schemas.openxmlformats.org/officeDocument/2006/relationships/hyperlink" Target="https://www.immoscout24.ch/fr/appartement/louer/lieu-montagnon-leytron" TargetMode="External"/><Relationship Id="rId2319" Type="http://schemas.openxmlformats.org/officeDocument/2006/relationships/hyperlink" Target="https://www.immoscout24.ch/fr/maison/acheter/lieu-essert-pittet" TargetMode="External"/><Relationship Id="rId4970" Type="http://schemas.openxmlformats.org/officeDocument/2006/relationships/hyperlink" Target="https://www.immoscout24.ch/fr/maison/acheter/lieu-vex" TargetMode="External"/><Relationship Id="rId3641" Type="http://schemas.openxmlformats.org/officeDocument/2006/relationships/hyperlink" Target="https://www.immoscout24.ch/fr/appartement/louer/lieu-starrkirch-wil" TargetMode="External"/><Relationship Id="rId4972" Type="http://schemas.openxmlformats.org/officeDocument/2006/relationships/hyperlink" Target="https://www.immoscout24.ch/fr/maison/acheter/lieu-mex-vd" TargetMode="External"/><Relationship Id="rId2310" Type="http://schemas.openxmlformats.org/officeDocument/2006/relationships/hyperlink" Target="https://www.immoscout24.ch/fr/maison/acheter/lieu-lignerolle" TargetMode="External"/><Relationship Id="rId3640" Type="http://schemas.openxmlformats.org/officeDocument/2006/relationships/hyperlink" Target="https://www.immoscout24.ch/fr/appartement/louer/lieu-hausen-ag" TargetMode="External"/><Relationship Id="rId4971" Type="http://schemas.openxmlformats.org/officeDocument/2006/relationships/hyperlink" Target="https://www.immoscout24.ch/fr/appartement/acheter/lieu-moudon" TargetMode="External"/><Relationship Id="rId2311" Type="http://schemas.openxmlformats.org/officeDocument/2006/relationships/hyperlink" Target="https://www.immoscout24.ch/fr/maison/acheter/lieu-portalban" TargetMode="External"/><Relationship Id="rId3643" Type="http://schemas.openxmlformats.org/officeDocument/2006/relationships/hyperlink" Target="https://www.immoscout24.ch/fr/maison/louer/region-yverdon-grandson" TargetMode="External"/><Relationship Id="rId4974" Type="http://schemas.openxmlformats.org/officeDocument/2006/relationships/hyperlink" Target="https://www.immoscout24.ch/fr/maison/acheter/lieu-pfeffingen" TargetMode="External"/><Relationship Id="rId2312" Type="http://schemas.openxmlformats.org/officeDocument/2006/relationships/hyperlink" Target="https://www.immoscout24.ch/fr/maison/louer/lieu-winterthur" TargetMode="External"/><Relationship Id="rId3642" Type="http://schemas.openxmlformats.org/officeDocument/2006/relationships/hyperlink" Target="https://www.immoscout24.ch/fr/appartement/louer/lieu-vercorin" TargetMode="External"/><Relationship Id="rId4973" Type="http://schemas.openxmlformats.org/officeDocument/2006/relationships/hyperlink" Target="https://www.immoscout24.ch/fr/appartement/acheter/lieu-commugny" TargetMode="External"/><Relationship Id="rId4921" Type="http://schemas.openxmlformats.org/officeDocument/2006/relationships/hyperlink" Target="https://www.immoscout24.ch/fr/maison/acheter/lieu-sornard-nendaz" TargetMode="External"/><Relationship Id="rId4920" Type="http://schemas.openxmlformats.org/officeDocument/2006/relationships/hyperlink" Target="https://www.immoscout24.ch/fr/appartement/louer/lieu-sarzens" TargetMode="External"/><Relationship Id="rId4923" Type="http://schemas.openxmlformats.org/officeDocument/2006/relationships/hyperlink" Target="https://www.immoscout24.ch/fr/appartement/louer/quartier-beaulieu-grey-boisy-lausanne" TargetMode="External"/><Relationship Id="rId4922" Type="http://schemas.openxmlformats.org/officeDocument/2006/relationships/hyperlink" Target="https://www.immoscout24.ch/fr/appartement/acheter/lieu-chateau-d-oex" TargetMode="External"/><Relationship Id="rId4925" Type="http://schemas.openxmlformats.org/officeDocument/2006/relationships/hyperlink" Target="https://www.immoscout24.ch/fr/appartement/louer/quartier-aldesago-lugano" TargetMode="External"/><Relationship Id="rId4924" Type="http://schemas.openxmlformats.org/officeDocument/2006/relationships/hyperlink" Target="https://www.immoscout24.ch/fr/maison/acheter/lieu-oberbuchsiten" TargetMode="External"/><Relationship Id="rId4927" Type="http://schemas.openxmlformats.org/officeDocument/2006/relationships/hyperlink" Target="https://www.immoscout24.ch/fr/appartement/louer/region-glattal" TargetMode="External"/><Relationship Id="rId4926" Type="http://schemas.openxmlformats.org/officeDocument/2006/relationships/hyperlink" Target="https://www.immoscout24.ch/fr/appartement/louer/lieu-baulmes" TargetMode="External"/><Relationship Id="rId4929" Type="http://schemas.openxmlformats.org/officeDocument/2006/relationships/hyperlink" Target="https://www.immoscout24.ch/fr/maison/acheter/pays-belgique" TargetMode="External"/><Relationship Id="rId4928" Type="http://schemas.openxmlformats.org/officeDocument/2006/relationships/hyperlink" Target="https://www.immoscout24.ch/fr/appartement/acheter/lieu-gollion" TargetMode="External"/><Relationship Id="rId4910" Type="http://schemas.openxmlformats.org/officeDocument/2006/relationships/hyperlink" Target="https://www.immoscout24.ch/fr/appartement/louer/lieu-ludiano" TargetMode="External"/><Relationship Id="rId4912" Type="http://schemas.openxmlformats.org/officeDocument/2006/relationships/hyperlink" Target="https://www.immoscout24.ch/fr/maison/louer/lieu-coppet" TargetMode="External"/><Relationship Id="rId4911" Type="http://schemas.openxmlformats.org/officeDocument/2006/relationships/hyperlink" Target="https://www.immoscout24.ch/fr/appartement/acheter/lieu-nuerensdorf" TargetMode="External"/><Relationship Id="rId4914" Type="http://schemas.openxmlformats.org/officeDocument/2006/relationships/hyperlink" Target="https://www.immoscout24.ch/fr/maison/acheter/lieu-siviez-nendaz" TargetMode="External"/><Relationship Id="rId4913" Type="http://schemas.openxmlformats.org/officeDocument/2006/relationships/hyperlink" Target="https://www.immoscout24.ch/fr/maison/acheter/lieu-l-auberson" TargetMode="External"/><Relationship Id="rId4916" Type="http://schemas.openxmlformats.org/officeDocument/2006/relationships/hyperlink" Target="https://www.immoscout24.ch/fr/appartement/louer/lieu-auvernier" TargetMode="External"/><Relationship Id="rId4915" Type="http://schemas.openxmlformats.org/officeDocument/2006/relationships/hyperlink" Target="https://www.immoscout24.ch/fr/appartement/louer/lieu-st-oyens" TargetMode="External"/><Relationship Id="rId4918" Type="http://schemas.openxmlformats.org/officeDocument/2006/relationships/hyperlink" Target="https://www.immoscout24.ch/fr/maison/acheter/lieu-gruyeres" TargetMode="External"/><Relationship Id="rId4917" Type="http://schemas.openxmlformats.org/officeDocument/2006/relationships/hyperlink" Target="https://www.immoscout24.ch/fr/appartement/acheter/lieu-langnau-im-emmental" TargetMode="External"/><Relationship Id="rId4919" Type="http://schemas.openxmlformats.org/officeDocument/2006/relationships/hyperlink" Target="https://www.immoscout24.ch/fr/maison/acheter/lieu-vernamiege" TargetMode="External"/><Relationship Id="rId3612" Type="http://schemas.openxmlformats.org/officeDocument/2006/relationships/hyperlink" Target="https://www.immoscout24.ch/fr/appartement/acheter/region-seeland" TargetMode="External"/><Relationship Id="rId4943" Type="http://schemas.openxmlformats.org/officeDocument/2006/relationships/hyperlink" Target="https://www.immoscout24.ch/fr/appartement/acheter/lieu-biel-bienne" TargetMode="External"/><Relationship Id="rId3611" Type="http://schemas.openxmlformats.org/officeDocument/2006/relationships/hyperlink" Target="https://www.immoscout24.ch/fr/appartement/louer/region-zimmerberg-sihltal" TargetMode="External"/><Relationship Id="rId4942" Type="http://schemas.openxmlformats.org/officeDocument/2006/relationships/hyperlink" Target="https://www.immoscout24.ch/fr/maison/acheter/lieu-la-neuveville" TargetMode="External"/><Relationship Id="rId3614" Type="http://schemas.openxmlformats.org/officeDocument/2006/relationships/hyperlink" Target="https://www.immoscout24.ch/fr/maison/louer/lieu-st-blaise" TargetMode="External"/><Relationship Id="rId4945" Type="http://schemas.openxmlformats.org/officeDocument/2006/relationships/hyperlink" Target="https://www.immoscout24.ch/fr/appartement/louer/lieu-stabio" TargetMode="External"/><Relationship Id="rId3613" Type="http://schemas.openxmlformats.org/officeDocument/2006/relationships/hyperlink" Target="https://www.immoscout24.ch/fr/appartement/acheter/lieu-bissone" TargetMode="External"/><Relationship Id="rId4944" Type="http://schemas.openxmlformats.org/officeDocument/2006/relationships/hyperlink" Target="https://www.immoscout24.ch/fr/appartement/louer/lieu-geneve" TargetMode="External"/><Relationship Id="rId3616" Type="http://schemas.openxmlformats.org/officeDocument/2006/relationships/hyperlink" Target="https://www.immoscout24.ch/fr/maison/louer/pays-allemagne" TargetMode="External"/><Relationship Id="rId4947" Type="http://schemas.openxmlformats.org/officeDocument/2006/relationships/hyperlink" Target="https://www.immoscout24.ch/fr/appartement/acheter/lieu-chavannes-des-bois" TargetMode="External"/><Relationship Id="rId3615" Type="http://schemas.openxmlformats.org/officeDocument/2006/relationships/hyperlink" Target="https://www.immoscout24.ch/fr/maison/acheter/lieu-rueschegg-heubach" TargetMode="External"/><Relationship Id="rId4946" Type="http://schemas.openxmlformats.org/officeDocument/2006/relationships/hyperlink" Target="https://www.immoscout24.ch/fr/maison/acheter/lieu-sumvitg" TargetMode="External"/><Relationship Id="rId3618" Type="http://schemas.openxmlformats.org/officeDocument/2006/relationships/hyperlink" Target="https://www.immoscout24.ch/fr/maison/acheter/lieu-la-tzoumaz" TargetMode="External"/><Relationship Id="rId4949" Type="http://schemas.openxmlformats.org/officeDocument/2006/relationships/hyperlink" Target="https://www.immoscout24.ch/fr/maison/louer/lieu-develier" TargetMode="External"/><Relationship Id="rId3617" Type="http://schemas.openxmlformats.org/officeDocument/2006/relationships/hyperlink" Target="https://www.immoscout24.ch/fr/appartement/louer/lieu-lignerolle" TargetMode="External"/><Relationship Id="rId4948" Type="http://schemas.openxmlformats.org/officeDocument/2006/relationships/hyperlink" Target="https://www.immoscout24.ch/fr/appartement/louer/lieu-gelfingen" TargetMode="External"/><Relationship Id="rId3619" Type="http://schemas.openxmlformats.org/officeDocument/2006/relationships/hyperlink" Target="https://www.immoscout24.ch/fr/appartement/louer/lieu-villeret" TargetMode="External"/><Relationship Id="rId3610" Type="http://schemas.openxmlformats.org/officeDocument/2006/relationships/hyperlink" Target="https://www.immoscout24.ch/fr/appartement/acheter/lieu-staad-sg" TargetMode="External"/><Relationship Id="rId4941" Type="http://schemas.openxmlformats.org/officeDocument/2006/relationships/hyperlink" Target="https://www.immoscout24.ch/fr/maison/acheter/lieu-st-martin-vs" TargetMode="External"/><Relationship Id="rId4940" Type="http://schemas.openxmlformats.org/officeDocument/2006/relationships/hyperlink" Target="https://www.immoscout24.ch/fr/maison/acheter/lieu-prevonloup" TargetMode="External"/><Relationship Id="rId3601" Type="http://schemas.openxmlformats.org/officeDocument/2006/relationships/hyperlink" Target="https://www.immoscout24.ch/fr/maison/louer/lieu-versegeres" TargetMode="External"/><Relationship Id="rId4932" Type="http://schemas.openxmlformats.org/officeDocument/2006/relationships/hyperlink" Target="https://www.immoscout24.ch/fr/appartement/acheter/lieu-bettens" TargetMode="External"/><Relationship Id="rId3600" Type="http://schemas.openxmlformats.org/officeDocument/2006/relationships/hyperlink" Target="https://www.immoscout24.ch/fr/maison/acheter/lieu-st-martin-fr" TargetMode="External"/><Relationship Id="rId4931" Type="http://schemas.openxmlformats.org/officeDocument/2006/relationships/hyperlink" Target="https://www.immoscout24.ch/fr/appartement/louer/region-wil-gossau" TargetMode="External"/><Relationship Id="rId3603" Type="http://schemas.openxmlformats.org/officeDocument/2006/relationships/hyperlink" Target="https://www.immoscout24.ch/fr/appartement/acheter/lieu-susten" TargetMode="External"/><Relationship Id="rId4934" Type="http://schemas.openxmlformats.org/officeDocument/2006/relationships/hyperlink" Target="https://www.immoscout24.ch/fr/appartement/louer/lieu-areuse" TargetMode="External"/><Relationship Id="rId3602" Type="http://schemas.openxmlformats.org/officeDocument/2006/relationships/hyperlink" Target="https://www.immoscout24.ch/fr/maison/acheter/lieu-reclere" TargetMode="External"/><Relationship Id="rId4933" Type="http://schemas.openxmlformats.org/officeDocument/2006/relationships/hyperlink" Target="https://www.immoscout24.ch/fr/maison/acheter/lieu-asuel" TargetMode="External"/><Relationship Id="rId3605" Type="http://schemas.openxmlformats.org/officeDocument/2006/relationships/hyperlink" Target="https://www.immoscout24.ch/fr/appartement/louer/lieu-blonay" TargetMode="External"/><Relationship Id="rId4936" Type="http://schemas.openxmlformats.org/officeDocument/2006/relationships/hyperlink" Target="https://www.immoscout24.ch/fr/maison/louer/lieu-gimel" TargetMode="External"/><Relationship Id="rId3604" Type="http://schemas.openxmlformats.org/officeDocument/2006/relationships/hyperlink" Target="https://www.immoscout24.ch/fr/maison/louer/lieu-grolley" TargetMode="External"/><Relationship Id="rId4935" Type="http://schemas.openxmlformats.org/officeDocument/2006/relationships/hyperlink" Target="https://www.immoscout24.ch/fr/maison/louer/lieu-ilanz" TargetMode="External"/><Relationship Id="rId3607" Type="http://schemas.openxmlformats.org/officeDocument/2006/relationships/hyperlink" Target="https://www.immoscout24.ch/fr/appartement/louer/lieu-sornard-nendaz" TargetMode="External"/><Relationship Id="rId4938" Type="http://schemas.openxmlformats.org/officeDocument/2006/relationships/hyperlink" Target="https://www.immoscout24.ch/fr/appartement/louer/lieu-unterbach-be" TargetMode="External"/><Relationship Id="rId3606" Type="http://schemas.openxmlformats.org/officeDocument/2006/relationships/hyperlink" Target="https://www.immoscout24.ch/fr/appartement/louer/lieu-chatelaine" TargetMode="External"/><Relationship Id="rId4937" Type="http://schemas.openxmlformats.org/officeDocument/2006/relationships/hyperlink" Target="https://www.immoscout24.ch/fr/maison/acheter/lieu-wettingen" TargetMode="External"/><Relationship Id="rId3609" Type="http://schemas.openxmlformats.org/officeDocument/2006/relationships/hyperlink" Target="https://www.immoscout24.ch/fr/appartement/acheter/lieu-mont-soleil" TargetMode="External"/><Relationship Id="rId3608" Type="http://schemas.openxmlformats.org/officeDocument/2006/relationships/hyperlink" Target="https://www.immoscout24.ch/fr/appartement/acheter/lieu-prilly" TargetMode="External"/><Relationship Id="rId4939" Type="http://schemas.openxmlformats.org/officeDocument/2006/relationships/hyperlink" Target="https://www.immoscout24.ch/fr/appartement/louer/lieu-leissigen" TargetMode="External"/><Relationship Id="rId4930" Type="http://schemas.openxmlformats.org/officeDocument/2006/relationships/hyperlink" Target="https://www.immoscout24.ch/fr/appartement/louer/lieu-lopagno" TargetMode="External"/><Relationship Id="rId1059" Type="http://schemas.openxmlformats.org/officeDocument/2006/relationships/hyperlink" Target="https://www.immoscout24.ch/fr/appartement/louer/lieu-riniken" TargetMode="External"/><Relationship Id="rId2380" Type="http://schemas.openxmlformats.org/officeDocument/2006/relationships/hyperlink" Target="https://www.immoscout24.ch/fr/appartement/louer/lieu-oulens-sous-echallens" TargetMode="External"/><Relationship Id="rId1050" Type="http://schemas.openxmlformats.org/officeDocument/2006/relationships/hyperlink" Target="https://www.immoscout24.ch/fr/appartement/acheter/lieu-muentschemier" TargetMode="External"/><Relationship Id="rId2381" Type="http://schemas.openxmlformats.org/officeDocument/2006/relationships/hyperlink" Target="https://www.immoscout24.ch/fr/maison/acheter/lieu-beinwil-am-see" TargetMode="External"/><Relationship Id="rId1051" Type="http://schemas.openxmlformats.org/officeDocument/2006/relationships/hyperlink" Target="https://www.immoscout24.ch/fr/maison/acheter/lieu-hofstetten-so" TargetMode="External"/><Relationship Id="rId2382" Type="http://schemas.openxmlformats.org/officeDocument/2006/relationships/hyperlink" Target="https://www.immoscout24.ch/fr/maison/acheter/lieu-geneve-15-aeroport" TargetMode="External"/><Relationship Id="rId1052" Type="http://schemas.openxmlformats.org/officeDocument/2006/relationships/hyperlink" Target="https://www.immoscout24.ch/fr/appartement/louer/lieu-arbedo" TargetMode="External"/><Relationship Id="rId2383" Type="http://schemas.openxmlformats.org/officeDocument/2006/relationships/hyperlink" Target="https://www.immoscout24.ch/fr/maison/louer/pays-algerie" TargetMode="External"/><Relationship Id="rId1053" Type="http://schemas.openxmlformats.org/officeDocument/2006/relationships/hyperlink" Target="https://www.immoscout24.ch/fr/appartement/louer/lieu-reinach-bl" TargetMode="External"/><Relationship Id="rId2384" Type="http://schemas.openxmlformats.org/officeDocument/2006/relationships/hyperlink" Target="https://www.immoscout24.ch/fr/appartement/acheter/region-jura-bernois" TargetMode="External"/><Relationship Id="rId1054" Type="http://schemas.openxmlformats.org/officeDocument/2006/relationships/hyperlink" Target="https://www.immoscout24.ch/fr/appartement/acheter/lieu-duedingen" TargetMode="External"/><Relationship Id="rId2385" Type="http://schemas.openxmlformats.org/officeDocument/2006/relationships/hyperlink" Target="https://www.immoscout24.ch/fr/maison/acheter/lieu-vuisternens-devant-romont" TargetMode="External"/><Relationship Id="rId1055" Type="http://schemas.openxmlformats.org/officeDocument/2006/relationships/hyperlink" Target="https://www.immoscout24.ch/fr/appartement/acheter/lieu-confignon" TargetMode="External"/><Relationship Id="rId2386" Type="http://schemas.openxmlformats.org/officeDocument/2006/relationships/hyperlink" Target="https://www.immoscout24.ch/fr/appartement/louer/lieu-athenaz-avusy" TargetMode="External"/><Relationship Id="rId1056" Type="http://schemas.openxmlformats.org/officeDocument/2006/relationships/hyperlink" Target="https://www.immoscout24.ch/fr/appartement/louer/lieu-flanthey" TargetMode="External"/><Relationship Id="rId2387" Type="http://schemas.openxmlformats.org/officeDocument/2006/relationships/hyperlink" Target="https://www.immoscout24.ch/fr/appartement/acheter/quartier-pregassona-lugano" TargetMode="External"/><Relationship Id="rId1057" Type="http://schemas.openxmlformats.org/officeDocument/2006/relationships/hyperlink" Target="https://www.immoscout24.ch/fr/maison/acheter/lieu-prahins" TargetMode="External"/><Relationship Id="rId2388" Type="http://schemas.openxmlformats.org/officeDocument/2006/relationships/hyperlink" Target="https://www.immoscout24.ch/fr/appartement/louer/lieu-st-niklaus-vs" TargetMode="External"/><Relationship Id="rId1058" Type="http://schemas.openxmlformats.org/officeDocument/2006/relationships/hyperlink" Target="https://www.immoscout24.ch/fr/appartement/acheter/lieu-sonceboz-sombeval" TargetMode="External"/><Relationship Id="rId2389" Type="http://schemas.openxmlformats.org/officeDocument/2006/relationships/hyperlink" Target="https://www.immoscout24.ch/fr/appartement/louer/lieu-bussnang" TargetMode="External"/><Relationship Id="rId1048" Type="http://schemas.openxmlformats.org/officeDocument/2006/relationships/hyperlink" Target="https://www.immoscout24.ch/fr/appartement/louer/lieu-leuk-stadt" TargetMode="External"/><Relationship Id="rId2379" Type="http://schemas.openxmlformats.org/officeDocument/2006/relationships/hyperlink" Target="https://www.immoscout24.ch/fr/appartement/louer/region-bellinzone" TargetMode="External"/><Relationship Id="rId1049" Type="http://schemas.openxmlformats.org/officeDocument/2006/relationships/hyperlink" Target="https://www.immoscout24.ch/fr/appartement/louer/lieu-rossenges" TargetMode="External"/><Relationship Id="rId2370" Type="http://schemas.openxmlformats.org/officeDocument/2006/relationships/hyperlink" Target="https://www.immoscout24.ch/fr/appartement/louer/lieu-st-aubin-fr" TargetMode="External"/><Relationship Id="rId1040" Type="http://schemas.openxmlformats.org/officeDocument/2006/relationships/hyperlink" Target="https://www.immoscout24.ch/fr/appartement/louer/lieu-turtmann" TargetMode="External"/><Relationship Id="rId2371" Type="http://schemas.openxmlformats.org/officeDocument/2006/relationships/hyperlink" Target="https://www.immoscout24.ch/fr/appartement/louer/lieu-matzingen" TargetMode="External"/><Relationship Id="rId1041" Type="http://schemas.openxmlformats.org/officeDocument/2006/relationships/hyperlink" Target="https://www.immoscout24.ch/fr/appartement/acheter/lieu-poliez-pittet" TargetMode="External"/><Relationship Id="rId2372" Type="http://schemas.openxmlformats.org/officeDocument/2006/relationships/hyperlink" Target="https://www.immoscout24.ch/fr/appartement/louer/lieu-oron-le-chatel" TargetMode="External"/><Relationship Id="rId1042" Type="http://schemas.openxmlformats.org/officeDocument/2006/relationships/hyperlink" Target="https://www.immoscout24.ch/fr/maison/louer/lieu-chevroux" TargetMode="External"/><Relationship Id="rId2373" Type="http://schemas.openxmlformats.org/officeDocument/2006/relationships/hyperlink" Target="https://www.immoscout24.ch/fr/appartement/louer/lieu-chavornay" TargetMode="External"/><Relationship Id="rId1043" Type="http://schemas.openxmlformats.org/officeDocument/2006/relationships/hyperlink" Target="https://www.immoscout24.ch/fr/appartement/louer/lieu-schwarzenbach-sg" TargetMode="External"/><Relationship Id="rId2374" Type="http://schemas.openxmlformats.org/officeDocument/2006/relationships/hyperlink" Target="https://www.immoscout24.ch/fr/maison/acheter/lieu-presinge" TargetMode="External"/><Relationship Id="rId1044" Type="http://schemas.openxmlformats.org/officeDocument/2006/relationships/hyperlink" Target="https://www.immoscout24.ch/fr/appartement/acheter/lieu-mund" TargetMode="External"/><Relationship Id="rId2375" Type="http://schemas.openxmlformats.org/officeDocument/2006/relationships/hyperlink" Target="https://www.immoscout24.ch/fr/appartement/louer/lieu-agno" TargetMode="External"/><Relationship Id="rId1045" Type="http://schemas.openxmlformats.org/officeDocument/2006/relationships/hyperlink" Target="https://www.immoscout24.ch/fr/maison/acheter/lieu-brent" TargetMode="External"/><Relationship Id="rId2376" Type="http://schemas.openxmlformats.org/officeDocument/2006/relationships/hyperlink" Target="https://www.immoscout24.ch/fr/appartement/louer/region-vallemaggia" TargetMode="External"/><Relationship Id="rId1046" Type="http://schemas.openxmlformats.org/officeDocument/2006/relationships/hyperlink" Target="https://www.immoscout24.ch/fr/appartement/louer/lieu-gossau-sg" TargetMode="External"/><Relationship Id="rId2377" Type="http://schemas.openxmlformats.org/officeDocument/2006/relationships/hyperlink" Target="https://www.immoscout24.ch/fr/appartement/acheter/lieu-bottighofen" TargetMode="External"/><Relationship Id="rId1047" Type="http://schemas.openxmlformats.org/officeDocument/2006/relationships/hyperlink" Target="https://www.immoscout24.ch/fr/maison/acheter/lieu-boll" TargetMode="External"/><Relationship Id="rId2378" Type="http://schemas.openxmlformats.org/officeDocument/2006/relationships/hyperlink" Target="https://www.immoscout24.ch/fr/appartement/louer/lieu-ueberstorf" TargetMode="External"/><Relationship Id="rId1070" Type="http://schemas.openxmlformats.org/officeDocument/2006/relationships/hyperlink" Target="https://www.immoscout24.ch/fr/appartement/louer/lieu-weissbad" TargetMode="External"/><Relationship Id="rId1071" Type="http://schemas.openxmlformats.org/officeDocument/2006/relationships/hyperlink" Target="https://www.immoscout24.ch/fr/appartement/louer/lieu-aldesago" TargetMode="External"/><Relationship Id="rId1072" Type="http://schemas.openxmlformats.org/officeDocument/2006/relationships/hyperlink" Target="https://www.immoscout24.ch/fr/appartement/louer/lieu-turbach" TargetMode="External"/><Relationship Id="rId1073" Type="http://schemas.openxmlformats.org/officeDocument/2006/relationships/hyperlink" Target="https://www.immoscout24.ch/fr/appartement/louer/lieu-grossaffoltern" TargetMode="External"/><Relationship Id="rId1074" Type="http://schemas.openxmlformats.org/officeDocument/2006/relationships/hyperlink" Target="https://www.immoscout24.ch/fr/appartement/louer/quartier-bouchet-moillebeau-geneve" TargetMode="External"/><Relationship Id="rId1075" Type="http://schemas.openxmlformats.org/officeDocument/2006/relationships/hyperlink" Target="https://www.immoscout24.ch/fr/maison/acheter/lieu-treycovagnes" TargetMode="External"/><Relationship Id="rId1076" Type="http://schemas.openxmlformats.org/officeDocument/2006/relationships/hyperlink" Target="https://www.immoscout24.ch/fr/maison/acheter/lieu-sarreyer" TargetMode="External"/><Relationship Id="rId1077" Type="http://schemas.openxmlformats.org/officeDocument/2006/relationships/hyperlink" Target="https://www.immoscout24.ch/fr/maison/acheter/lieu-wollerau" TargetMode="External"/><Relationship Id="rId1078" Type="http://schemas.openxmlformats.org/officeDocument/2006/relationships/hyperlink" Target="https://www.immoscout24.ch/fr/maison/louer/lieu-echichens" TargetMode="External"/><Relationship Id="rId1079" Type="http://schemas.openxmlformats.org/officeDocument/2006/relationships/hyperlink" Target="https://www.immoscout24.ch/fr/appartement/acheter/lieu-baar-nendaz" TargetMode="External"/><Relationship Id="rId2390" Type="http://schemas.openxmlformats.org/officeDocument/2006/relationships/hyperlink" Target="https://www.immoscout24.ch/fr/maison/acheter/lieu-bouveret" TargetMode="External"/><Relationship Id="rId1060" Type="http://schemas.openxmlformats.org/officeDocument/2006/relationships/hyperlink" Target="https://www.immoscout24.ch/fr/maison/acheter/lieu-hilterfingen" TargetMode="External"/><Relationship Id="rId2391" Type="http://schemas.openxmlformats.org/officeDocument/2006/relationships/hyperlink" Target="https://www.immoscout24.ch/fr/maison/acheter/lieu-coeuve" TargetMode="External"/><Relationship Id="rId1061" Type="http://schemas.openxmlformats.org/officeDocument/2006/relationships/hyperlink" Target="https://www.immoscout24.ch/fr/maison/acheter/lieu-ocourt" TargetMode="External"/><Relationship Id="rId2392" Type="http://schemas.openxmlformats.org/officeDocument/2006/relationships/hyperlink" Target="https://www.immoscout24.ch/fr/maison/acheter/lieu-veysonnaz" TargetMode="External"/><Relationship Id="rId1062" Type="http://schemas.openxmlformats.org/officeDocument/2006/relationships/hyperlink" Target="https://www.immoscout24.ch/fr/maison/acheter/lieu-oleyres" TargetMode="External"/><Relationship Id="rId2393" Type="http://schemas.openxmlformats.org/officeDocument/2006/relationships/hyperlink" Target="https://www.immoscout24.ch/fr/maison/louer/quartier-beundenfeld-berne" TargetMode="External"/><Relationship Id="rId1063" Type="http://schemas.openxmlformats.org/officeDocument/2006/relationships/hyperlink" Target="https://www.immoscout24.ch/fr/appartement/louer/lieu-wuennewil" TargetMode="External"/><Relationship Id="rId2394" Type="http://schemas.openxmlformats.org/officeDocument/2006/relationships/hyperlink" Target="https://www.immoscout24.ch/fr/maison/louer/lieu-raron" TargetMode="External"/><Relationship Id="rId1064" Type="http://schemas.openxmlformats.org/officeDocument/2006/relationships/hyperlink" Target="https://www.immoscout24.ch/fr/maison/louer/lieu-corsier-ge" TargetMode="External"/><Relationship Id="rId2395" Type="http://schemas.openxmlformats.org/officeDocument/2006/relationships/hyperlink" Target="https://www.immoscout24.ch/fr/appartement/louer/lieu-schnottwil" TargetMode="External"/><Relationship Id="rId1065" Type="http://schemas.openxmlformats.org/officeDocument/2006/relationships/hyperlink" Target="https://www.immoscout24.ch/fr/appartement/louer/lieu-yverdon-les-bains" TargetMode="External"/><Relationship Id="rId2396" Type="http://schemas.openxmlformats.org/officeDocument/2006/relationships/hyperlink" Target="https://www.immoscout24.ch/fr/appartement/louer/quartier-gruenes-quartier-berne" TargetMode="External"/><Relationship Id="rId1066" Type="http://schemas.openxmlformats.org/officeDocument/2006/relationships/hyperlink" Target="https://www.immoscout24.ch/fr/appartement/louer/lieu-corminboeuf" TargetMode="External"/><Relationship Id="rId2397" Type="http://schemas.openxmlformats.org/officeDocument/2006/relationships/hyperlink" Target="https://www.immoscout24.ch/fr/appartement/acheter/lieu-leuk-stadt" TargetMode="External"/><Relationship Id="rId1067" Type="http://schemas.openxmlformats.org/officeDocument/2006/relationships/hyperlink" Target="https://www.immoscout24.ch/fr/appartement/louer/lieu-euseigne" TargetMode="External"/><Relationship Id="rId2398" Type="http://schemas.openxmlformats.org/officeDocument/2006/relationships/hyperlink" Target="https://www.immoscout24.ch/fr/appartement/louer/lieu-zaeziwil" TargetMode="External"/><Relationship Id="rId1068" Type="http://schemas.openxmlformats.org/officeDocument/2006/relationships/hyperlink" Target="https://www.immoscout24.ch/fr/maison/acheter/lieu-ovronnaz" TargetMode="External"/><Relationship Id="rId2399" Type="http://schemas.openxmlformats.org/officeDocument/2006/relationships/hyperlink" Target="https://www.immoscout24.ch/fr/maison/louer/canton-argovie" TargetMode="External"/><Relationship Id="rId1069" Type="http://schemas.openxmlformats.org/officeDocument/2006/relationships/hyperlink" Target="https://www.immoscout24.ch/fr/appartement/louer/lieu-renens-vd" TargetMode="External"/><Relationship Id="rId1015" Type="http://schemas.openxmlformats.org/officeDocument/2006/relationships/hyperlink" Target="https://www.immoscout24.ch/fr/maison/acheter/lieu-liebefeld" TargetMode="External"/><Relationship Id="rId2346" Type="http://schemas.openxmlformats.org/officeDocument/2006/relationships/hyperlink" Target="https://www.immoscout24.ch/fr/appartement/acheter/lieu-emmetten" TargetMode="External"/><Relationship Id="rId3678" Type="http://schemas.openxmlformats.org/officeDocument/2006/relationships/hyperlink" Target="https://www.immoscout24.ch/fr/appartement/louer/lieu-mauborget" TargetMode="External"/><Relationship Id="rId1016" Type="http://schemas.openxmlformats.org/officeDocument/2006/relationships/hyperlink" Target="https://www.immoscout24.ch/fr/appartement/acheter/pays-italie" TargetMode="External"/><Relationship Id="rId2347" Type="http://schemas.openxmlformats.org/officeDocument/2006/relationships/hyperlink" Target="https://www.immoscout24.ch/fr/appartement/louer/lieu-anglikon" TargetMode="External"/><Relationship Id="rId3677" Type="http://schemas.openxmlformats.org/officeDocument/2006/relationships/hyperlink" Target="https://www.immoscout24.ch/fr/maison/acheter/lieu-arvillard-salins" TargetMode="External"/><Relationship Id="rId1017" Type="http://schemas.openxmlformats.org/officeDocument/2006/relationships/hyperlink" Target="https://www.immoscout24.ch/fr/appartement/louer/lieu-russin" TargetMode="External"/><Relationship Id="rId2348" Type="http://schemas.openxmlformats.org/officeDocument/2006/relationships/hyperlink" Target="https://www.immoscout24.ch/fr/appartement/acheter/lieu-zollbrueck" TargetMode="External"/><Relationship Id="rId1018" Type="http://schemas.openxmlformats.org/officeDocument/2006/relationships/hyperlink" Target="https://www.immoscout24.ch/fr/appartement/louer/lieu-les-planchettes" TargetMode="External"/><Relationship Id="rId2349" Type="http://schemas.openxmlformats.org/officeDocument/2006/relationships/hyperlink" Target="https://www.immoscout24.ch/fr/maison/acheter/lieu-muerren" TargetMode="External"/><Relationship Id="rId3679" Type="http://schemas.openxmlformats.org/officeDocument/2006/relationships/hyperlink" Target="https://www.immoscout24.ch/fr/appartement/louer/lieu-tann" TargetMode="External"/><Relationship Id="rId1019" Type="http://schemas.openxmlformats.org/officeDocument/2006/relationships/hyperlink" Target="https://www.immoscout24.ch/fr/appartement/acheter/lieu-sorengo" TargetMode="External"/><Relationship Id="rId3670" Type="http://schemas.openxmlformats.org/officeDocument/2006/relationships/hyperlink" Target="https://www.immoscout24.ch/fr/appartement/acheter/lieu-le-paquier-montbarry" TargetMode="External"/><Relationship Id="rId2340" Type="http://schemas.openxmlformats.org/officeDocument/2006/relationships/hyperlink" Target="https://www.immoscout24.ch/fr/appartement/louer/lieu-sigriswil" TargetMode="External"/><Relationship Id="rId3672" Type="http://schemas.openxmlformats.org/officeDocument/2006/relationships/hyperlink" Target="https://www.immoscout24.ch/fr/appartement/louer/lieu-naters" TargetMode="External"/><Relationship Id="rId1010" Type="http://schemas.openxmlformats.org/officeDocument/2006/relationships/hyperlink" Target="https://www.immoscout24.ch/fr/appartement/louer/lieu-capolago" TargetMode="External"/><Relationship Id="rId2341" Type="http://schemas.openxmlformats.org/officeDocument/2006/relationships/hyperlink" Target="https://www.immoscout24.ch/fr/appartement/louer/region-mosa" TargetMode="External"/><Relationship Id="rId3671" Type="http://schemas.openxmlformats.org/officeDocument/2006/relationships/hyperlink" Target="https://www.immoscout24.ch/fr/appartement/louer/lieu-belfaux" TargetMode="External"/><Relationship Id="rId1011" Type="http://schemas.openxmlformats.org/officeDocument/2006/relationships/hyperlink" Target="https://www.immoscout24.ch/fr/appartement/acheter/lieu-seedorf-be" TargetMode="External"/><Relationship Id="rId2342" Type="http://schemas.openxmlformats.org/officeDocument/2006/relationships/hyperlink" Target="https://www.immoscout24.ch/fr/appartement/louer/lieu-roggwil-be" TargetMode="External"/><Relationship Id="rId3674" Type="http://schemas.openxmlformats.org/officeDocument/2006/relationships/hyperlink" Target="https://www.immoscout24.ch/fr/appartement/acheter/region-soleure" TargetMode="External"/><Relationship Id="rId1012" Type="http://schemas.openxmlformats.org/officeDocument/2006/relationships/hyperlink" Target="https://www.immoscout24.ch/fr/maison/acheter/lieu-villars-tiercelin" TargetMode="External"/><Relationship Id="rId2343" Type="http://schemas.openxmlformats.org/officeDocument/2006/relationships/hyperlink" Target="https://www.immoscout24.ch/fr/maison/acheter/region-delemont" TargetMode="External"/><Relationship Id="rId3673" Type="http://schemas.openxmlformats.org/officeDocument/2006/relationships/hyperlink" Target="https://www.immoscout24.ch/fr/appartement/louer/region-delemont" TargetMode="External"/><Relationship Id="rId1013" Type="http://schemas.openxmlformats.org/officeDocument/2006/relationships/hyperlink" Target="https://www.immoscout24.ch/fr/appartement/louer/quartier-beundenfeld-berne" TargetMode="External"/><Relationship Id="rId2344" Type="http://schemas.openxmlformats.org/officeDocument/2006/relationships/hyperlink" Target="https://www.immoscout24.ch/fr/appartement/acheter/lieu-corin-de-la-crete" TargetMode="External"/><Relationship Id="rId3676" Type="http://schemas.openxmlformats.org/officeDocument/2006/relationships/hyperlink" Target="https://www.immoscout24.ch/fr/appartement/acheter/lieu-thyon" TargetMode="External"/><Relationship Id="rId1014" Type="http://schemas.openxmlformats.org/officeDocument/2006/relationships/hyperlink" Target="https://www.immoscout24.ch/fr/appartement/louer/lieu-villmergen" TargetMode="External"/><Relationship Id="rId2345" Type="http://schemas.openxmlformats.org/officeDocument/2006/relationships/hyperlink" Target="https://www.immoscout24.ch/fr/appartement/acheter/lieu-schinznach-bad" TargetMode="External"/><Relationship Id="rId3675" Type="http://schemas.openxmlformats.org/officeDocument/2006/relationships/hyperlink" Target="https://www.immoscout24.ch/fr/maison/acheter/lieu-matran" TargetMode="External"/><Relationship Id="rId1004" Type="http://schemas.openxmlformats.org/officeDocument/2006/relationships/hyperlink" Target="https://www.immoscout24.ch/fr/appartement/louer/lieu-colombier-ne" TargetMode="External"/><Relationship Id="rId2335" Type="http://schemas.openxmlformats.org/officeDocument/2006/relationships/hyperlink" Target="https://www.immoscout24.ch/fr/maison/acheter/lieu-haute-nendaz" TargetMode="External"/><Relationship Id="rId3667" Type="http://schemas.openxmlformats.org/officeDocument/2006/relationships/hyperlink" Target="https://www.immoscout24.ch/fr/maison/acheter/lieu-chatel-sur-montsalvens" TargetMode="External"/><Relationship Id="rId4998" Type="http://schemas.openxmlformats.org/officeDocument/2006/relationships/hyperlink" Target="https://www.immoscout24.ch/fr/appartement/louer/lieu-molondin" TargetMode="External"/><Relationship Id="rId1005" Type="http://schemas.openxmlformats.org/officeDocument/2006/relationships/hyperlink" Target="https://www.immoscout24.ch/fr/maison/acheter/quartier-champagne-biel-bienne" TargetMode="External"/><Relationship Id="rId2336" Type="http://schemas.openxmlformats.org/officeDocument/2006/relationships/hyperlink" Target="https://www.immoscout24.ch/fr/appartement/acheter/lieu-cudrefin" TargetMode="External"/><Relationship Id="rId3666" Type="http://schemas.openxmlformats.org/officeDocument/2006/relationships/hyperlink" Target="https://www.immoscout24.ch/fr/appartement/louer/lieu-saanenmoeser" TargetMode="External"/><Relationship Id="rId4997" Type="http://schemas.openxmlformats.org/officeDocument/2006/relationships/hyperlink" Target="https://www.immoscout24.ch/fr/appartement/acheter/lieu-les-monts-de-pully" TargetMode="External"/><Relationship Id="rId1006" Type="http://schemas.openxmlformats.org/officeDocument/2006/relationships/hyperlink" Target="https://www.immoscout24.ch/fr/maison/acheter/lieu-courgevaux" TargetMode="External"/><Relationship Id="rId2337" Type="http://schemas.openxmlformats.org/officeDocument/2006/relationships/hyperlink" Target="https://www.immoscout24.ch/fr/maison/louer/lieu-le-mont-sur-lausanne" TargetMode="External"/><Relationship Id="rId3669" Type="http://schemas.openxmlformats.org/officeDocument/2006/relationships/hyperlink" Target="https://www.immoscout24.ch/fr/appartement/louer/lieu-samstagern" TargetMode="External"/><Relationship Id="rId1007" Type="http://schemas.openxmlformats.org/officeDocument/2006/relationships/hyperlink" Target="https://www.immoscout24.ch/fr/appartement/louer/lieu-tavannes" TargetMode="External"/><Relationship Id="rId2338" Type="http://schemas.openxmlformats.org/officeDocument/2006/relationships/hyperlink" Target="https://www.immoscout24.ch/fr/maison/acheter/lieu-bottmingen" TargetMode="External"/><Relationship Id="rId3668" Type="http://schemas.openxmlformats.org/officeDocument/2006/relationships/hyperlink" Target="https://www.immoscout24.ch/fr/maison/acheter/lieu-wohlen-ag" TargetMode="External"/><Relationship Id="rId4999" Type="http://schemas.openxmlformats.org/officeDocument/2006/relationships/hyperlink" Target="https://www.immoscout24.ch/fr/appartement/acheter/lieu-wollerau" TargetMode="External"/><Relationship Id="rId1008" Type="http://schemas.openxmlformats.org/officeDocument/2006/relationships/hyperlink" Target="https://www.immoscout24.ch/fr/maison/acheter/lieu-corcelles-be" TargetMode="External"/><Relationship Id="rId2339" Type="http://schemas.openxmlformats.org/officeDocument/2006/relationships/hyperlink" Target="https://www.immoscout24.ch/fr/maison/acheter/lieu-leysin" TargetMode="External"/><Relationship Id="rId1009" Type="http://schemas.openxmlformats.org/officeDocument/2006/relationships/hyperlink" Target="https://www.immoscout24.ch/fr/maison/acheter/lieu-arnex-sur-orbe" TargetMode="External"/><Relationship Id="rId4990" Type="http://schemas.openxmlformats.org/officeDocument/2006/relationships/hyperlink" Target="https://www.immoscout24.ch/fr/appartement/louer/lieu-kaiseraugst" TargetMode="External"/><Relationship Id="rId3661" Type="http://schemas.openxmlformats.org/officeDocument/2006/relationships/hyperlink" Target="https://www.immoscout24.ch/fr/appartement/acheter/lieu-attalens" TargetMode="External"/><Relationship Id="rId4992" Type="http://schemas.openxmlformats.org/officeDocument/2006/relationships/hyperlink" Target="https://www.immoscout24.ch/fr/maison/acheter/lieu-estavayer-le-lac" TargetMode="External"/><Relationship Id="rId2330" Type="http://schemas.openxmlformats.org/officeDocument/2006/relationships/hyperlink" Target="https://www.immoscout24.ch/fr/maison/louer/lieu-panex" TargetMode="External"/><Relationship Id="rId3660" Type="http://schemas.openxmlformats.org/officeDocument/2006/relationships/hyperlink" Target="https://www.immoscout24.ch/fr/maison/acheter/lieu-cossonay-ville" TargetMode="External"/><Relationship Id="rId4991" Type="http://schemas.openxmlformats.org/officeDocument/2006/relationships/hyperlink" Target="https://www.immoscout24.ch/fr/maison/louer/lieu-neyruz-fr" TargetMode="External"/><Relationship Id="rId1000" Type="http://schemas.openxmlformats.org/officeDocument/2006/relationships/hyperlink" Target="https://www.immoscout24.ch/fr/maison/louer/lieu-tramelan" TargetMode="External"/><Relationship Id="rId2331" Type="http://schemas.openxmlformats.org/officeDocument/2006/relationships/hyperlink" Target="https://www.immoscout24.ch/fr/maison/louer/lieu-grone" TargetMode="External"/><Relationship Id="rId3663" Type="http://schemas.openxmlformats.org/officeDocument/2006/relationships/hyperlink" Target="https://www.immoscout24.ch/fr/maison/acheter/pays-luxembourg" TargetMode="External"/><Relationship Id="rId4994" Type="http://schemas.openxmlformats.org/officeDocument/2006/relationships/hyperlink" Target="https://www.immoscout24.ch/fr/maison/acheter/lieu-sobrio" TargetMode="External"/><Relationship Id="rId1001" Type="http://schemas.openxmlformats.org/officeDocument/2006/relationships/hyperlink" Target="https://www.immoscout24.ch/fr/maison/acheter/lieu-lessoc" TargetMode="External"/><Relationship Id="rId2332" Type="http://schemas.openxmlformats.org/officeDocument/2006/relationships/hyperlink" Target="https://www.immoscout24.ch/fr/maison/acheter/lieu-fetigny" TargetMode="External"/><Relationship Id="rId3662" Type="http://schemas.openxmlformats.org/officeDocument/2006/relationships/hyperlink" Target="https://www.immoscout24.ch/fr/appartement/louer/lieu-madiswil" TargetMode="External"/><Relationship Id="rId4993" Type="http://schemas.openxmlformats.org/officeDocument/2006/relationships/hyperlink" Target="https://www.immoscout24.ch/fr/appartement/acheter/lieu-vionnaz" TargetMode="External"/><Relationship Id="rId1002" Type="http://schemas.openxmlformats.org/officeDocument/2006/relationships/hyperlink" Target="https://www.immoscout24.ch/fr/appartement/louer/lieu-damvant" TargetMode="External"/><Relationship Id="rId2333" Type="http://schemas.openxmlformats.org/officeDocument/2006/relationships/hyperlink" Target="https://www.immoscout24.ch/fr/appartement/acheter/lieu-les-genevez-ju" TargetMode="External"/><Relationship Id="rId3665" Type="http://schemas.openxmlformats.org/officeDocument/2006/relationships/hyperlink" Target="https://www.immoscout24.ch/fr/maison/acheter/lieu-bolligen" TargetMode="External"/><Relationship Id="rId4996" Type="http://schemas.openxmlformats.org/officeDocument/2006/relationships/hyperlink" Target="https://www.immoscout24.ch/fr/appartement/acheter/lieu-grandevent" TargetMode="External"/><Relationship Id="rId1003" Type="http://schemas.openxmlformats.org/officeDocument/2006/relationships/hyperlink" Target="https://www.immoscout24.ch/fr/appartement/louer/lieu-biberstein" TargetMode="External"/><Relationship Id="rId2334" Type="http://schemas.openxmlformats.org/officeDocument/2006/relationships/hyperlink" Target="https://www.immoscout24.ch/fr/maison/louer/lieu-les-cullayes" TargetMode="External"/><Relationship Id="rId3664" Type="http://schemas.openxmlformats.org/officeDocument/2006/relationships/hyperlink" Target="https://www.immoscout24.ch/fr/maison/acheter/lieu-develier" TargetMode="External"/><Relationship Id="rId4995" Type="http://schemas.openxmlformats.org/officeDocument/2006/relationships/hyperlink" Target="https://www.immoscout24.ch/fr/maison/acheter/lieu-baden" TargetMode="External"/><Relationship Id="rId1037" Type="http://schemas.openxmlformats.org/officeDocument/2006/relationships/hyperlink" Target="https://www.immoscout24.ch/fr/maison/louer/lieu-schmitten-fr" TargetMode="External"/><Relationship Id="rId2368" Type="http://schemas.openxmlformats.org/officeDocument/2006/relationships/hyperlink" Target="https://www.immoscout24.ch/fr/appartement/louer/lieu-chambesy" TargetMode="External"/><Relationship Id="rId1038" Type="http://schemas.openxmlformats.org/officeDocument/2006/relationships/hyperlink" Target="https://www.immoscout24.ch/fr/maison/acheter/lieu-la-croix-de-rozon" TargetMode="External"/><Relationship Id="rId2369" Type="http://schemas.openxmlformats.org/officeDocument/2006/relationships/hyperlink" Target="https://www.immoscout24.ch/fr/maison/acheter/lieu-gsteig-b-gstaad" TargetMode="External"/><Relationship Id="rId3699" Type="http://schemas.openxmlformats.org/officeDocument/2006/relationships/hyperlink" Target="https://www.immoscout24.ch/fr/appartement/acheter/lieu-villars-le-terroir" TargetMode="External"/><Relationship Id="rId1039" Type="http://schemas.openxmlformats.org/officeDocument/2006/relationships/hyperlink" Target="https://www.immoscout24.ch/fr/maison/acheter/lieu-burgdorf" TargetMode="External"/><Relationship Id="rId3690" Type="http://schemas.openxmlformats.org/officeDocument/2006/relationships/hyperlink" Target="https://www.immoscout24.ch/fr/maison/acheter/lieu-cousset" TargetMode="External"/><Relationship Id="rId2360" Type="http://schemas.openxmlformats.org/officeDocument/2006/relationships/hyperlink" Target="https://www.immoscout24.ch/fr/appartement/acheter/lieu-olten" TargetMode="External"/><Relationship Id="rId3692" Type="http://schemas.openxmlformats.org/officeDocument/2006/relationships/hyperlink" Target="https://www.immoscout24.ch/fr/maison/louer/lieu-nemiaz-chamoson" TargetMode="External"/><Relationship Id="rId1030" Type="http://schemas.openxmlformats.org/officeDocument/2006/relationships/hyperlink" Target="https://www.immoscout24.ch/fr/maison/louer/lieu-morges" TargetMode="External"/><Relationship Id="rId2361" Type="http://schemas.openxmlformats.org/officeDocument/2006/relationships/hyperlink" Target="https://www.immoscout24.ch/fr/appartement/louer/lieu-presinge" TargetMode="External"/><Relationship Id="rId3691" Type="http://schemas.openxmlformats.org/officeDocument/2006/relationships/hyperlink" Target="https://www.immoscout24.ch/fr/maison/acheter/lieu-ste-croix" TargetMode="External"/><Relationship Id="rId1031" Type="http://schemas.openxmlformats.org/officeDocument/2006/relationships/hyperlink" Target="https://www.immoscout24.ch/fr/appartement/louer/lieu-ardon" TargetMode="External"/><Relationship Id="rId2362" Type="http://schemas.openxmlformats.org/officeDocument/2006/relationships/hyperlink" Target="https://www.immoscout24.ch/fr/appartement/louer/lieu-menznau" TargetMode="External"/><Relationship Id="rId3694" Type="http://schemas.openxmlformats.org/officeDocument/2006/relationships/hyperlink" Target="https://www.immoscout24.ch/fr/maison/acheter/lieu-kriegstetten" TargetMode="External"/><Relationship Id="rId1032" Type="http://schemas.openxmlformats.org/officeDocument/2006/relationships/hyperlink" Target="https://www.immoscout24.ch/fr/maison/acheter/lieu-courcelon" TargetMode="External"/><Relationship Id="rId2363" Type="http://schemas.openxmlformats.org/officeDocument/2006/relationships/hyperlink" Target="https://www.immoscout24.ch/fr/maison/louer/lieu-le-cret-du-locle" TargetMode="External"/><Relationship Id="rId3693" Type="http://schemas.openxmlformats.org/officeDocument/2006/relationships/hyperlink" Target="https://www.immoscout24.ch/fr/maison/acheter/lieu-geneve" TargetMode="External"/><Relationship Id="rId1033" Type="http://schemas.openxmlformats.org/officeDocument/2006/relationships/hyperlink" Target="https://www.immoscout24.ch/fr/appartement/louer/lieu-poliez-le-grand" TargetMode="External"/><Relationship Id="rId2364" Type="http://schemas.openxmlformats.org/officeDocument/2006/relationships/hyperlink" Target="https://www.immoscout24.ch/fr/appartement/louer/lieu-gerzensee" TargetMode="External"/><Relationship Id="rId3696" Type="http://schemas.openxmlformats.org/officeDocument/2006/relationships/hyperlink" Target="https://www.immoscout24.ch/fr/appartement/louer/lieu-flims-dorf" TargetMode="External"/><Relationship Id="rId1034" Type="http://schemas.openxmlformats.org/officeDocument/2006/relationships/hyperlink" Target="https://www.immoscout24.ch/fr/appartement/louer/lieu-dombresson" TargetMode="External"/><Relationship Id="rId2365" Type="http://schemas.openxmlformats.org/officeDocument/2006/relationships/hyperlink" Target="https://www.immoscout24.ch/fr/maison/louer/region-valais-central" TargetMode="External"/><Relationship Id="rId3695" Type="http://schemas.openxmlformats.org/officeDocument/2006/relationships/hyperlink" Target="https://www.immoscout24.ch/fr/appartement/louer/lieu-hauterive-ne" TargetMode="External"/><Relationship Id="rId1035" Type="http://schemas.openxmlformats.org/officeDocument/2006/relationships/hyperlink" Target="https://www.immoscout24.ch/fr/maison/acheter/lieu-fahy" TargetMode="External"/><Relationship Id="rId2366" Type="http://schemas.openxmlformats.org/officeDocument/2006/relationships/hyperlink" Target="https://www.immoscout24.ch/fr/maison/acheter/lieu-bussy-chardonney" TargetMode="External"/><Relationship Id="rId3698" Type="http://schemas.openxmlformats.org/officeDocument/2006/relationships/hyperlink" Target="https://www.immoscout24.ch/fr/appartement/louer/lieu-stalden-vs" TargetMode="External"/><Relationship Id="rId1036" Type="http://schemas.openxmlformats.org/officeDocument/2006/relationships/hyperlink" Target="https://www.immoscout24.ch/fr/appartement/acheter/lieu-fischbach-goeslikon" TargetMode="External"/><Relationship Id="rId2367" Type="http://schemas.openxmlformats.org/officeDocument/2006/relationships/hyperlink" Target="https://www.immoscout24.ch/fr/appartement/acheter/lieu-la-ferriere" TargetMode="External"/><Relationship Id="rId3697" Type="http://schemas.openxmlformats.org/officeDocument/2006/relationships/hyperlink" Target="https://www.immoscout24.ch/fr/maison/acheter/pays-irlande" TargetMode="External"/><Relationship Id="rId1026" Type="http://schemas.openxmlformats.org/officeDocument/2006/relationships/hyperlink" Target="https://www.immoscout24.ch/fr/maison/louer/lieu-la-neuveville" TargetMode="External"/><Relationship Id="rId2357" Type="http://schemas.openxmlformats.org/officeDocument/2006/relationships/hyperlink" Target="https://www.immoscout24.ch/fr/maison/acheter/lieu-forel-sur-lucens" TargetMode="External"/><Relationship Id="rId3689" Type="http://schemas.openxmlformats.org/officeDocument/2006/relationships/hyperlink" Target="https://www.immoscout24.ch/fr/maison/acheter/lieu-sommentier" TargetMode="External"/><Relationship Id="rId1027" Type="http://schemas.openxmlformats.org/officeDocument/2006/relationships/hyperlink" Target="https://www.immoscout24.ch/fr/appartement/louer/lieu-cremin" TargetMode="External"/><Relationship Id="rId2358" Type="http://schemas.openxmlformats.org/officeDocument/2006/relationships/hyperlink" Target="https://www.immoscout24.ch/fr/maison/acheter/lieu-boussens" TargetMode="External"/><Relationship Id="rId3688" Type="http://schemas.openxmlformats.org/officeDocument/2006/relationships/hyperlink" Target="https://www.immoscout24.ch/fr/appartement/acheter/lieu-vercorin" TargetMode="External"/><Relationship Id="rId1028" Type="http://schemas.openxmlformats.org/officeDocument/2006/relationships/hyperlink" Target="https://www.immoscout24.ch/fr/appartement/louer/lieu-riex" TargetMode="External"/><Relationship Id="rId2359" Type="http://schemas.openxmlformats.org/officeDocument/2006/relationships/hyperlink" Target="https://www.immoscout24.ch/fr/maison/louer/lieu-lengnau-be" TargetMode="External"/><Relationship Id="rId1029" Type="http://schemas.openxmlformats.org/officeDocument/2006/relationships/hyperlink" Target="https://www.immoscout24.ch/fr/appartement/louer/lieu-wilderswil" TargetMode="External"/><Relationship Id="rId3681" Type="http://schemas.openxmlformats.org/officeDocument/2006/relationships/hyperlink" Target="https://www.immoscout24.ch/fr/maison/acheter/lieu-arnex-sur-nyon" TargetMode="External"/><Relationship Id="rId2350" Type="http://schemas.openxmlformats.org/officeDocument/2006/relationships/hyperlink" Target="https://www.immoscout24.ch/fr/appartement/louer/lieu-chardonne" TargetMode="External"/><Relationship Id="rId3680" Type="http://schemas.openxmlformats.org/officeDocument/2006/relationships/hyperlink" Target="https://www.immoscout24.ch/fr/maison/acheter/lieu-aarburg" TargetMode="External"/><Relationship Id="rId1020" Type="http://schemas.openxmlformats.org/officeDocument/2006/relationships/hyperlink" Target="https://www.immoscout24.ch/fr/appartement/louer/lieu-inwil" TargetMode="External"/><Relationship Id="rId2351" Type="http://schemas.openxmlformats.org/officeDocument/2006/relationships/hyperlink" Target="https://www.immoscout24.ch/fr/maison/louer/lieu-baar-nendaz" TargetMode="External"/><Relationship Id="rId3683" Type="http://schemas.openxmlformats.org/officeDocument/2006/relationships/hyperlink" Target="https://www.immoscout24.ch/fr/maison/acheter/lieu-uitikon-waldegg" TargetMode="External"/><Relationship Id="rId1021" Type="http://schemas.openxmlformats.org/officeDocument/2006/relationships/hyperlink" Target="https://www.immoscout24.ch/fr/appartement/acheter/lieu-wavre" TargetMode="External"/><Relationship Id="rId2352" Type="http://schemas.openxmlformats.org/officeDocument/2006/relationships/hyperlink" Target="https://www.immoscout24.ch/fr/maison/acheter/lieu-la-sage" TargetMode="External"/><Relationship Id="rId3682" Type="http://schemas.openxmlformats.org/officeDocument/2006/relationships/hyperlink" Target="https://www.immoscout24.ch/fr/appartement/louer/lieu-monnaz" TargetMode="External"/><Relationship Id="rId1022" Type="http://schemas.openxmlformats.org/officeDocument/2006/relationships/hyperlink" Target="https://www.immoscout24.ch/fr/maison/acheter/lieu-les-breuleux" TargetMode="External"/><Relationship Id="rId2353" Type="http://schemas.openxmlformats.org/officeDocument/2006/relationships/hyperlink" Target="https://www.immoscout24.ch/fr/appartement/louer/quartier-gotthelf-bale" TargetMode="External"/><Relationship Id="rId3685" Type="http://schemas.openxmlformats.org/officeDocument/2006/relationships/hyperlink" Target="https://www.immoscout24.ch/fr/maison/acheter/lieu-gals" TargetMode="External"/><Relationship Id="rId1023" Type="http://schemas.openxmlformats.org/officeDocument/2006/relationships/hyperlink" Target="https://www.immoscout24.ch/fr/appartement/louer/lieu-trub" TargetMode="External"/><Relationship Id="rId2354" Type="http://schemas.openxmlformats.org/officeDocument/2006/relationships/hyperlink" Target="https://www.immoscout24.ch/fr/maison/acheter/lieu-grandval" TargetMode="External"/><Relationship Id="rId3684" Type="http://schemas.openxmlformats.org/officeDocument/2006/relationships/hyperlink" Target="https://www.immoscout24.ch/fr/maison/louer/lieu-grandval" TargetMode="External"/><Relationship Id="rId1024" Type="http://schemas.openxmlformats.org/officeDocument/2006/relationships/hyperlink" Target="https://www.immoscout24.ch/fr/appartement/louer/quartier-borde-bellevaux-lausanne" TargetMode="External"/><Relationship Id="rId2355" Type="http://schemas.openxmlformats.org/officeDocument/2006/relationships/hyperlink" Target="https://www.immoscout24.ch/fr/appartement/acheter/lieu-savagnier" TargetMode="External"/><Relationship Id="rId3687" Type="http://schemas.openxmlformats.org/officeDocument/2006/relationships/hyperlink" Target="https://www.immoscout24.ch/fr/maison/louer/lieu-lyss" TargetMode="External"/><Relationship Id="rId1025" Type="http://schemas.openxmlformats.org/officeDocument/2006/relationships/hyperlink" Target="https://www.immoscout24.ch/fr/maison/louer/lieu-gurmels" TargetMode="External"/><Relationship Id="rId2356" Type="http://schemas.openxmlformats.org/officeDocument/2006/relationships/hyperlink" Target="https://www.immoscout24.ch/fr/maison/acheter/lieu-soulce" TargetMode="External"/><Relationship Id="rId3686" Type="http://schemas.openxmlformats.org/officeDocument/2006/relationships/hyperlink" Target="https://www.immoscout24.ch/fr/appartement/louer/lieu-studen-be" TargetMode="External"/><Relationship Id="rId1090" Type="http://schemas.openxmlformats.org/officeDocument/2006/relationships/hyperlink" Target="https://www.immoscout24.ch/fr/maison/louer/lieu-chatel-st-denis" TargetMode="External"/><Relationship Id="rId1091" Type="http://schemas.openxmlformats.org/officeDocument/2006/relationships/hyperlink" Target="https://www.immoscout24.ch/fr/appartement/acheter/lieu-cottens-fr" TargetMode="External"/><Relationship Id="rId1092" Type="http://schemas.openxmlformats.org/officeDocument/2006/relationships/hyperlink" Target="https://www.immoscout24.ch/fr/maison/louer/lieu-winterberg-zh" TargetMode="External"/><Relationship Id="rId1093" Type="http://schemas.openxmlformats.org/officeDocument/2006/relationships/hyperlink" Target="https://www.immoscout24.ch/fr/maison/louer/lieu-wallenbuch" TargetMode="External"/><Relationship Id="rId1094" Type="http://schemas.openxmlformats.org/officeDocument/2006/relationships/hyperlink" Target="https://www.immoscout24.ch/fr/maison/acheter/lieu-bonvillars" TargetMode="External"/><Relationship Id="rId1095" Type="http://schemas.openxmlformats.org/officeDocument/2006/relationships/hyperlink" Target="https://www.immoscout24.ch/fr/appartement/louer/lieu-schliern-b-koeniz" TargetMode="External"/><Relationship Id="rId1096" Type="http://schemas.openxmlformats.org/officeDocument/2006/relationships/hyperlink" Target="https://www.immoscout24.ch/fr/appartement/louer/lieu-pully" TargetMode="External"/><Relationship Id="rId1097" Type="http://schemas.openxmlformats.org/officeDocument/2006/relationships/hyperlink" Target="https://www.immoscout24.ch/fr/maison/acheter/lieu-duillier" TargetMode="External"/><Relationship Id="rId1098" Type="http://schemas.openxmlformats.org/officeDocument/2006/relationships/hyperlink" Target="https://www.immoscout24.ch/fr/appartement/louer/lieu-aire-la-ville" TargetMode="External"/><Relationship Id="rId1099" Type="http://schemas.openxmlformats.org/officeDocument/2006/relationships/hyperlink" Target="https://www.immoscout24.ch/fr/appartement/louer/lieu-rossiniere" TargetMode="External"/><Relationship Id="rId1080" Type="http://schemas.openxmlformats.org/officeDocument/2006/relationships/hyperlink" Target="https://www.immoscout24.ch/fr/appartement/louer/lieu-mezery-pres-donneloye" TargetMode="External"/><Relationship Id="rId1081" Type="http://schemas.openxmlformats.org/officeDocument/2006/relationships/hyperlink" Target="https://www.immoscout24.ch/fr/appartement/louer/lieu-gurbrue" TargetMode="External"/><Relationship Id="rId1082" Type="http://schemas.openxmlformats.org/officeDocument/2006/relationships/hyperlink" Target="https://www.immoscout24.ch/fr/maison/louer/lieu-fahy" TargetMode="External"/><Relationship Id="rId1083" Type="http://schemas.openxmlformats.org/officeDocument/2006/relationships/hyperlink" Target="https://www.immoscout24.ch/fr/maison/acheter/lieu-gilly" TargetMode="External"/><Relationship Id="rId1084" Type="http://schemas.openxmlformats.org/officeDocument/2006/relationships/hyperlink" Target="https://www.immoscout24.ch/fr/appartement/acheter/lieu-liestal" TargetMode="External"/><Relationship Id="rId1085" Type="http://schemas.openxmlformats.org/officeDocument/2006/relationships/hyperlink" Target="https://www.immoscout24.ch/fr/maison/acheter/lieu-iserables" TargetMode="External"/><Relationship Id="rId1086" Type="http://schemas.openxmlformats.org/officeDocument/2006/relationships/hyperlink" Target="https://www.immoscout24.ch/fr/maison/acheter/lieu-reckingen-vs" TargetMode="External"/><Relationship Id="rId1087" Type="http://schemas.openxmlformats.org/officeDocument/2006/relationships/hyperlink" Target="https://www.immoscout24.ch/fr/appartement/louer/lieu-bremgarten-ag" TargetMode="External"/><Relationship Id="rId1088" Type="http://schemas.openxmlformats.org/officeDocument/2006/relationships/hyperlink" Target="https://www.immoscout24.ch/fr/appartement/louer/lieu-grimisuat" TargetMode="External"/><Relationship Id="rId1089" Type="http://schemas.openxmlformats.org/officeDocument/2006/relationships/hyperlink" Target="https://www.immoscout24.ch/fr/maison/acheter/lieu-kerzers" TargetMode="External"/><Relationship Id="rId2423" Type="http://schemas.openxmlformats.org/officeDocument/2006/relationships/hyperlink" Target="https://www.immoscout24.ch/fr/appartement/acheter/region-rhone-arve" TargetMode="External"/><Relationship Id="rId3755" Type="http://schemas.openxmlformats.org/officeDocument/2006/relationships/hyperlink" Target="https://www.immoscout24.ch/fr/appartement/louer/lieu-provence" TargetMode="External"/><Relationship Id="rId2424" Type="http://schemas.openxmlformats.org/officeDocument/2006/relationships/hyperlink" Target="https://www.immoscout24.ch/fr/maison/louer/lieu-bourguillon" TargetMode="External"/><Relationship Id="rId3754" Type="http://schemas.openxmlformats.org/officeDocument/2006/relationships/hyperlink" Target="https://www.immoscout24.ch/fr/maison/acheter/lieu-jouxtens-mezery" TargetMode="External"/><Relationship Id="rId2425" Type="http://schemas.openxmlformats.org/officeDocument/2006/relationships/hyperlink" Target="https://www.immoscout24.ch/fr/maison/louer/lieu-luins" TargetMode="External"/><Relationship Id="rId3757" Type="http://schemas.openxmlformats.org/officeDocument/2006/relationships/hyperlink" Target="https://www.immoscout24.ch/fr/maison/louer/region-bellinzone" TargetMode="External"/><Relationship Id="rId2426" Type="http://schemas.openxmlformats.org/officeDocument/2006/relationships/hyperlink" Target="https://www.immoscout24.ch/fr/appartement/louer/region-lausanne-et-environs" TargetMode="External"/><Relationship Id="rId3756" Type="http://schemas.openxmlformats.org/officeDocument/2006/relationships/hyperlink" Target="https://www.immoscout24.ch/fr/appartement/louer/lieu-avenches" TargetMode="External"/><Relationship Id="rId2427" Type="http://schemas.openxmlformats.org/officeDocument/2006/relationships/hyperlink" Target="https://www.immoscout24.ch/fr/appartement/louer/lieu-chene-bougeries" TargetMode="External"/><Relationship Id="rId3759" Type="http://schemas.openxmlformats.org/officeDocument/2006/relationships/hyperlink" Target="https://www.immoscout24.ch/fr/appartement/louer/quartier-cimadera-lugano" TargetMode="External"/><Relationship Id="rId2428" Type="http://schemas.openxmlformats.org/officeDocument/2006/relationships/hyperlink" Target="https://www.immoscout24.ch/fr/appartement/acheter/lieu-venthone" TargetMode="External"/><Relationship Id="rId3758" Type="http://schemas.openxmlformats.org/officeDocument/2006/relationships/hyperlink" Target="https://www.immoscout24.ch/fr/appartement/louer/lieu-chessel" TargetMode="External"/><Relationship Id="rId2429" Type="http://schemas.openxmlformats.org/officeDocument/2006/relationships/hyperlink" Target="https://www.immoscout24.ch/fr/appartement/acheter/lieu-beatenberg" TargetMode="External"/><Relationship Id="rId3751" Type="http://schemas.openxmlformats.org/officeDocument/2006/relationships/hyperlink" Target="https://www.immoscout24.ch/fr/appartement/acheter/lieu-niederoenz" TargetMode="External"/><Relationship Id="rId2420" Type="http://schemas.openxmlformats.org/officeDocument/2006/relationships/hyperlink" Target="https://www.immoscout24.ch/fr/maison/acheter/lieu-lajoux-ju" TargetMode="External"/><Relationship Id="rId3750" Type="http://schemas.openxmlformats.org/officeDocument/2006/relationships/hyperlink" Target="https://www.immoscout24.ch/fr/appartement/louer/lieu-l-abergement" TargetMode="External"/><Relationship Id="rId2421" Type="http://schemas.openxmlformats.org/officeDocument/2006/relationships/hyperlink" Target="https://www.immoscout24.ch/fr/appartement/louer/lieu-tannay" TargetMode="External"/><Relationship Id="rId3753" Type="http://schemas.openxmlformats.org/officeDocument/2006/relationships/hyperlink" Target="https://www.immoscout24.ch/fr/appartement/louer/lieu-agiez" TargetMode="External"/><Relationship Id="rId2422" Type="http://schemas.openxmlformats.org/officeDocument/2006/relationships/hyperlink" Target="https://www.immoscout24.ch/fr/maison/acheter/lieu-seewen-so" TargetMode="External"/><Relationship Id="rId3752" Type="http://schemas.openxmlformats.org/officeDocument/2006/relationships/hyperlink" Target="https://www.immoscout24.ch/fr/appartement/louer/lieu-bonaduz" TargetMode="External"/><Relationship Id="rId2412" Type="http://schemas.openxmlformats.org/officeDocument/2006/relationships/hyperlink" Target="https://www.immoscout24.ch/fr/appartement/louer/lieu-ebikon" TargetMode="External"/><Relationship Id="rId3744" Type="http://schemas.openxmlformats.org/officeDocument/2006/relationships/hyperlink" Target="https://www.immoscout24.ch/fr/maison/acheter/lieu-campello" TargetMode="External"/><Relationship Id="rId2413" Type="http://schemas.openxmlformats.org/officeDocument/2006/relationships/hyperlink" Target="https://www.immoscout24.ch/fr/appartement/louer/lieu-poschiavo" TargetMode="External"/><Relationship Id="rId3743" Type="http://schemas.openxmlformats.org/officeDocument/2006/relationships/hyperlink" Target="https://www.immoscout24.ch/fr/maison/acheter/lieu-vaduz" TargetMode="External"/><Relationship Id="rId2414" Type="http://schemas.openxmlformats.org/officeDocument/2006/relationships/hyperlink" Target="https://www.immoscout24.ch/fr/maison/acheter/lieu-blumenstein" TargetMode="External"/><Relationship Id="rId3746" Type="http://schemas.openxmlformats.org/officeDocument/2006/relationships/hyperlink" Target="https://www.immoscout24.ch/fr/appartement/acheter/lieu-veytaux" TargetMode="External"/><Relationship Id="rId2415" Type="http://schemas.openxmlformats.org/officeDocument/2006/relationships/hyperlink" Target="https://www.immoscout24.ch/fr/appartement/acheter/lieu-holziken" TargetMode="External"/><Relationship Id="rId3745" Type="http://schemas.openxmlformats.org/officeDocument/2006/relationships/hyperlink" Target="https://www.immoscout24.ch/fr/maison/acheter/lieu-st-niklaus-vs" TargetMode="External"/><Relationship Id="rId2416" Type="http://schemas.openxmlformats.org/officeDocument/2006/relationships/hyperlink" Target="https://www.immoscout24.ch/fr/appartement/louer/lieu-stuesslingen" TargetMode="External"/><Relationship Id="rId3748" Type="http://schemas.openxmlformats.org/officeDocument/2006/relationships/hyperlink" Target="https://www.immoscout24.ch/fr/maison/louer/lieu-bellelay" TargetMode="External"/><Relationship Id="rId2417" Type="http://schemas.openxmlformats.org/officeDocument/2006/relationships/hyperlink" Target="https://www.immoscout24.ch/fr/maison/louer/lieu-prahins" TargetMode="External"/><Relationship Id="rId3747" Type="http://schemas.openxmlformats.org/officeDocument/2006/relationships/hyperlink" Target="https://www.immoscout24.ch/fr/maison/acheter/lieu-tannay" TargetMode="External"/><Relationship Id="rId2418" Type="http://schemas.openxmlformats.org/officeDocument/2006/relationships/hyperlink" Target="https://www.immoscout24.ch/fr/maison/acheter/lieu-botyre-ayent" TargetMode="External"/><Relationship Id="rId2419" Type="http://schemas.openxmlformats.org/officeDocument/2006/relationships/hyperlink" Target="https://www.immoscout24.ch/fr/maison/acheter/lieu-dietikon" TargetMode="External"/><Relationship Id="rId3749" Type="http://schemas.openxmlformats.org/officeDocument/2006/relationships/hyperlink" Target="https://www.immoscout24.ch/fr/appartement/acheter/canton-berne" TargetMode="External"/><Relationship Id="rId3740" Type="http://schemas.openxmlformats.org/officeDocument/2006/relationships/hyperlink" Target="https://www.immoscout24.ch/fr/appartement/louer/lieu-courtion" TargetMode="External"/><Relationship Id="rId2410" Type="http://schemas.openxmlformats.org/officeDocument/2006/relationships/hyperlink" Target="https://www.immoscout24.ch/fr/appartement/louer/lieu-tramelan" TargetMode="External"/><Relationship Id="rId3742" Type="http://schemas.openxmlformats.org/officeDocument/2006/relationships/hyperlink" Target="https://www.immoscout24.ch/fr/maison/acheter/lieu-albeuve" TargetMode="External"/><Relationship Id="rId2411" Type="http://schemas.openxmlformats.org/officeDocument/2006/relationships/hyperlink" Target="https://www.immoscout24.ch/fr/maison/louer/lieu-thalwil" TargetMode="External"/><Relationship Id="rId3741" Type="http://schemas.openxmlformats.org/officeDocument/2006/relationships/hyperlink" Target="https://www.immoscout24.ch/fr/appartement/louer/lieu-mont-la-ville" TargetMode="External"/><Relationship Id="rId1114" Type="http://schemas.openxmlformats.org/officeDocument/2006/relationships/hyperlink" Target="https://www.immoscout24.ch/fr/appartement/acheter/lieu-vella" TargetMode="External"/><Relationship Id="rId2445" Type="http://schemas.openxmlformats.org/officeDocument/2006/relationships/hyperlink" Target="https://www.immoscout24.ch/fr/appartement/louer/lieu-buochs" TargetMode="External"/><Relationship Id="rId3777" Type="http://schemas.openxmlformats.org/officeDocument/2006/relationships/hyperlink" Target="https://www.immoscout24.ch/fr/appartement/louer/lieu-golaten" TargetMode="External"/><Relationship Id="rId1115" Type="http://schemas.openxmlformats.org/officeDocument/2006/relationships/hyperlink" Target="https://www.immoscout24.ch/fr/appartement/louer/lieu-oberramsern" TargetMode="External"/><Relationship Id="rId2446" Type="http://schemas.openxmlformats.org/officeDocument/2006/relationships/hyperlink" Target="https://www.immoscout24.ch/fr/appartement/louer/lieu-fahrweid" TargetMode="External"/><Relationship Id="rId3776" Type="http://schemas.openxmlformats.org/officeDocument/2006/relationships/hyperlink" Target="https://www.immoscout24.ch/fr/appartement/acheter/lieu-avenches" TargetMode="External"/><Relationship Id="rId1116" Type="http://schemas.openxmlformats.org/officeDocument/2006/relationships/hyperlink" Target="https://www.immoscout24.ch/fr/appartement/louer/lieu-les-emibois" TargetMode="External"/><Relationship Id="rId2447" Type="http://schemas.openxmlformats.org/officeDocument/2006/relationships/hyperlink" Target="https://www.immoscout24.ch/fr/maison/louer/lieu-sales-gruyere" TargetMode="External"/><Relationship Id="rId3779" Type="http://schemas.openxmlformats.org/officeDocument/2006/relationships/hyperlink" Target="https://www.immoscout24.ch/fr/appartement/louer/lieu-carrouge-vd" TargetMode="External"/><Relationship Id="rId1117" Type="http://schemas.openxmlformats.org/officeDocument/2006/relationships/hyperlink" Target="https://www.immoscout24.ch/fr/maison/acheter/lieu-tolochenaz" TargetMode="External"/><Relationship Id="rId2448" Type="http://schemas.openxmlformats.org/officeDocument/2006/relationships/hyperlink" Target="https://www.immoscout24.ch/fr/maison/acheter/lieu-etoy" TargetMode="External"/><Relationship Id="rId3778" Type="http://schemas.openxmlformats.org/officeDocument/2006/relationships/hyperlink" Target="https://www.immoscout24.ch/fr/maison/acheter/lieu-estavayer-le-gibloux" TargetMode="External"/><Relationship Id="rId1118" Type="http://schemas.openxmlformats.org/officeDocument/2006/relationships/hyperlink" Target="https://www.immoscout24.ch/fr/appartement/acheter/lieu-villeneuve-vd" TargetMode="External"/><Relationship Id="rId2449" Type="http://schemas.openxmlformats.org/officeDocument/2006/relationships/hyperlink" Target="https://www.immoscout24.ch/fr/maison/acheter/lieu-la-chaux-de-fonds" TargetMode="External"/><Relationship Id="rId1119" Type="http://schemas.openxmlformats.org/officeDocument/2006/relationships/hyperlink" Target="https://www.immoscout24.ch/fr/maison/acheter/lieu-tafers" TargetMode="External"/><Relationship Id="rId3771" Type="http://schemas.openxmlformats.org/officeDocument/2006/relationships/hyperlink" Target="https://www.immoscout24.ch/fr/appartement/louer/lieu-courgevaux" TargetMode="External"/><Relationship Id="rId2440" Type="http://schemas.openxmlformats.org/officeDocument/2006/relationships/hyperlink" Target="https://www.immoscout24.ch/fr/appartement/louer/lieu-lausanne-26" TargetMode="External"/><Relationship Id="rId3770" Type="http://schemas.openxmlformats.org/officeDocument/2006/relationships/hyperlink" Target="https://www.immoscout24.ch/fr/appartement/louer/lieu-affoltern-am-albis" TargetMode="External"/><Relationship Id="rId1110" Type="http://schemas.openxmlformats.org/officeDocument/2006/relationships/hyperlink" Target="https://www.immoscout24.ch/fr/maison/acheter/lieu-courchavon" TargetMode="External"/><Relationship Id="rId2441" Type="http://schemas.openxmlformats.org/officeDocument/2006/relationships/hyperlink" Target="https://www.immoscout24.ch/fr/appartement/louer/lieu-wasen-im-emmental" TargetMode="External"/><Relationship Id="rId3773" Type="http://schemas.openxmlformats.org/officeDocument/2006/relationships/hyperlink" Target="https://www.immoscout24.ch/fr/appartement/louer/lieu-grandval" TargetMode="External"/><Relationship Id="rId1111" Type="http://schemas.openxmlformats.org/officeDocument/2006/relationships/hyperlink" Target="https://www.immoscout24.ch/fr/maison/acheter/lieu-chapelle-sur-moudon" TargetMode="External"/><Relationship Id="rId2442" Type="http://schemas.openxmlformats.org/officeDocument/2006/relationships/hyperlink" Target="https://www.immoscout24.ch/fr/maison/louer/lieu-orpund" TargetMode="External"/><Relationship Id="rId3772" Type="http://schemas.openxmlformats.org/officeDocument/2006/relationships/hyperlink" Target="https://www.immoscout24.ch/fr/maison/acheter/lieu-cuarny" TargetMode="External"/><Relationship Id="rId1112" Type="http://schemas.openxmlformats.org/officeDocument/2006/relationships/hyperlink" Target="https://www.immoscout24.ch/fr/maison/acheter/canton-obwald" TargetMode="External"/><Relationship Id="rId2443" Type="http://schemas.openxmlformats.org/officeDocument/2006/relationships/hyperlink" Target="https://www.immoscout24.ch/fr/maison/acheter/lieu-les-ecasseys" TargetMode="External"/><Relationship Id="rId3775" Type="http://schemas.openxmlformats.org/officeDocument/2006/relationships/hyperlink" Target="https://www.immoscout24.ch/fr/maison/louer/lieu-saclentse" TargetMode="External"/><Relationship Id="rId1113" Type="http://schemas.openxmlformats.org/officeDocument/2006/relationships/hyperlink" Target="https://www.immoscout24.ch/fr/maison/acheter/quartier-draizes-vauseyon-neuchatel" TargetMode="External"/><Relationship Id="rId2444" Type="http://schemas.openxmlformats.org/officeDocument/2006/relationships/hyperlink" Target="https://www.immoscout24.ch/fr/maison/acheter/region-val-de-travers" TargetMode="External"/><Relationship Id="rId3774" Type="http://schemas.openxmlformats.org/officeDocument/2006/relationships/hyperlink" Target="https://www.immoscout24.ch/fr/maison/acheter/lieu-moenchaltorf" TargetMode="External"/><Relationship Id="rId1103" Type="http://schemas.openxmlformats.org/officeDocument/2006/relationships/hyperlink" Target="https://www.immoscout24.ch/fr/appartement/acheter/lieu-kloten" TargetMode="External"/><Relationship Id="rId2434" Type="http://schemas.openxmlformats.org/officeDocument/2006/relationships/hyperlink" Target="https://www.immoscout24.ch/fr/appartement/acheter/lieu-muraz-collombey" TargetMode="External"/><Relationship Id="rId3766" Type="http://schemas.openxmlformats.org/officeDocument/2006/relationships/hyperlink" Target="https://www.immoscout24.ch/fr/appartement/louer/lieu-pampigny" TargetMode="External"/><Relationship Id="rId1104" Type="http://schemas.openxmlformats.org/officeDocument/2006/relationships/hyperlink" Target="https://www.immoscout24.ch/fr/maison/acheter/lieu-vissoie" TargetMode="External"/><Relationship Id="rId2435" Type="http://schemas.openxmlformats.org/officeDocument/2006/relationships/hyperlink" Target="https://www.immoscout24.ch/fr/maison/louer/lieu-caslano" TargetMode="External"/><Relationship Id="rId3765" Type="http://schemas.openxmlformats.org/officeDocument/2006/relationships/hyperlink" Target="https://www.immoscout24.ch/fr/appartement/louer/lieu-herrenschwanden" TargetMode="External"/><Relationship Id="rId1105" Type="http://schemas.openxmlformats.org/officeDocument/2006/relationships/hyperlink" Target="https://www.immoscout24.ch/fr/maison/louer/lieu-fleurier" TargetMode="External"/><Relationship Id="rId2436" Type="http://schemas.openxmlformats.org/officeDocument/2006/relationships/hyperlink" Target="https://www.immoscout24.ch/fr/appartement/louer/lieu-kandersteg" TargetMode="External"/><Relationship Id="rId3768" Type="http://schemas.openxmlformats.org/officeDocument/2006/relationships/hyperlink" Target="https://www.immoscout24.ch/fr/appartement/louer/quartier-champel-roseraie-geneve" TargetMode="External"/><Relationship Id="rId1106" Type="http://schemas.openxmlformats.org/officeDocument/2006/relationships/hyperlink" Target="https://www.immoscout24.ch/fr/appartement/acheter/lieu-corbieres" TargetMode="External"/><Relationship Id="rId2437" Type="http://schemas.openxmlformats.org/officeDocument/2006/relationships/hyperlink" Target="https://www.immoscout24.ch/fr/appartement/louer/lieu-mollens-vd" TargetMode="External"/><Relationship Id="rId3767" Type="http://schemas.openxmlformats.org/officeDocument/2006/relationships/hyperlink" Target="https://www.immoscout24.ch/fr/appartement/louer/lieu-gollion" TargetMode="External"/><Relationship Id="rId1107" Type="http://schemas.openxmlformats.org/officeDocument/2006/relationships/hyperlink" Target="https://www.immoscout24.ch/fr/appartement/louer/lieu-arosa" TargetMode="External"/><Relationship Id="rId2438" Type="http://schemas.openxmlformats.org/officeDocument/2006/relationships/hyperlink" Target="https://www.immoscout24.ch/fr/maison/louer/lieu-plan-les-ouates" TargetMode="External"/><Relationship Id="rId1108" Type="http://schemas.openxmlformats.org/officeDocument/2006/relationships/hyperlink" Target="https://www.immoscout24.ch/fr/maison/acheter/lieu-cornol" TargetMode="External"/><Relationship Id="rId2439" Type="http://schemas.openxmlformats.org/officeDocument/2006/relationships/hyperlink" Target="https://www.immoscout24.ch/fr/maison/acheter/lieu-gressy" TargetMode="External"/><Relationship Id="rId3769" Type="http://schemas.openxmlformats.org/officeDocument/2006/relationships/hyperlink" Target="https://www.immoscout24.ch/fr/maison/acheter/lieu-zullwil" TargetMode="External"/><Relationship Id="rId1109" Type="http://schemas.openxmlformats.org/officeDocument/2006/relationships/hyperlink" Target="https://www.immoscout24.ch/fr/appartement/acheter/lieu-muenster-vs" TargetMode="External"/><Relationship Id="rId3760" Type="http://schemas.openxmlformats.org/officeDocument/2006/relationships/hyperlink" Target="https://www.immoscout24.ch/fr/appartement/louer/lieu-rapperswil-sg" TargetMode="External"/><Relationship Id="rId2430" Type="http://schemas.openxmlformats.org/officeDocument/2006/relationships/hyperlink" Target="https://www.immoscout24.ch/fr/appartement/acheter/lieu-lauterbrunnen" TargetMode="External"/><Relationship Id="rId3762" Type="http://schemas.openxmlformats.org/officeDocument/2006/relationships/hyperlink" Target="https://www.immoscout24.ch/fr/appartement/louer/lieu-kiental" TargetMode="External"/><Relationship Id="rId1100" Type="http://schemas.openxmlformats.org/officeDocument/2006/relationships/hyperlink" Target="https://www.immoscout24.ch/fr/appartement/acheter/lieu-kirchberg-be" TargetMode="External"/><Relationship Id="rId2431" Type="http://schemas.openxmlformats.org/officeDocument/2006/relationships/hyperlink" Target="https://www.immoscout24.ch/fr/maison/acheter/canton-vaud" TargetMode="External"/><Relationship Id="rId3761" Type="http://schemas.openxmlformats.org/officeDocument/2006/relationships/hyperlink" Target="https://www.immoscout24.ch/fr/appartement/acheter/pays-liechtenstein" TargetMode="External"/><Relationship Id="rId1101" Type="http://schemas.openxmlformats.org/officeDocument/2006/relationships/hyperlink" Target="https://www.immoscout24.ch/fr/appartement/louer/lieu-tuescherz-alfermee" TargetMode="External"/><Relationship Id="rId2432" Type="http://schemas.openxmlformats.org/officeDocument/2006/relationships/hyperlink" Target="https://www.immoscout24.ch/fr/appartement/louer/lieu-villars-burquin" TargetMode="External"/><Relationship Id="rId3764" Type="http://schemas.openxmlformats.org/officeDocument/2006/relationships/hyperlink" Target="https://www.immoscout24.ch/fr/appartement/acheter/lieu-roggwil-be" TargetMode="External"/><Relationship Id="rId1102" Type="http://schemas.openxmlformats.org/officeDocument/2006/relationships/hyperlink" Target="https://www.immoscout24.ch/fr/appartement/acheter/lieu-la-tour-de-treme" TargetMode="External"/><Relationship Id="rId2433" Type="http://schemas.openxmlformats.org/officeDocument/2006/relationships/hyperlink" Target="https://www.immoscout24.ch/fr/appartement/louer/quartier-nord-neuchatel" TargetMode="External"/><Relationship Id="rId3763" Type="http://schemas.openxmlformats.org/officeDocument/2006/relationships/hyperlink" Target="https://www.immoscout24.ch/fr/appartement/louer/quartier-eplatures-cret-du-locle-la-chaux-de-fonds" TargetMode="External"/><Relationship Id="rId3711" Type="http://schemas.openxmlformats.org/officeDocument/2006/relationships/hyperlink" Target="https://www.immoscout24.ch/fr/appartement/acheter/quartier-sonvico-lugano" TargetMode="External"/><Relationship Id="rId3710" Type="http://schemas.openxmlformats.org/officeDocument/2006/relationships/hyperlink" Target="https://www.immoscout24.ch/fr/appartement/louer/lieu-arnex-sur-nyon" TargetMode="External"/><Relationship Id="rId3713" Type="http://schemas.openxmlformats.org/officeDocument/2006/relationships/hyperlink" Target="https://www.immoscout24.ch/fr/appartement/louer/lieu-buchs-sg" TargetMode="External"/><Relationship Id="rId3712" Type="http://schemas.openxmlformats.org/officeDocument/2006/relationships/hyperlink" Target="https://www.immoscout24.ch/fr/appartement/acheter/lieu-champex-lac" TargetMode="External"/><Relationship Id="rId3715" Type="http://schemas.openxmlformats.org/officeDocument/2006/relationships/hyperlink" Target="https://www.immoscout24.ch/fr/maison/acheter/lieu-susch" TargetMode="External"/><Relationship Id="rId3714" Type="http://schemas.openxmlformats.org/officeDocument/2006/relationships/hyperlink" Target="https://www.immoscout24.ch/fr/appartement/louer/lieu-muraz-collombey" TargetMode="External"/><Relationship Id="rId3717" Type="http://schemas.openxmlformats.org/officeDocument/2006/relationships/hyperlink" Target="https://www.immoscout24.ch/fr/maison/acheter/lieu-versoix" TargetMode="External"/><Relationship Id="rId3716" Type="http://schemas.openxmlformats.org/officeDocument/2006/relationships/hyperlink" Target="https://www.immoscout24.ch/fr/maison/acheter/lieu-campione-d-italia" TargetMode="External"/><Relationship Id="rId3719" Type="http://schemas.openxmlformats.org/officeDocument/2006/relationships/hyperlink" Target="https://www.immoscout24.ch/fr/maison/acheter/lieu-corippo" TargetMode="External"/><Relationship Id="rId3718" Type="http://schemas.openxmlformats.org/officeDocument/2006/relationships/hyperlink" Target="https://www.immoscout24.ch/fr/maison/acheter/lieu-boesingen" TargetMode="External"/><Relationship Id="rId3700" Type="http://schemas.openxmlformats.org/officeDocument/2006/relationships/hyperlink" Target="https://www.immoscout24.ch/fr/appartement/acheter/lieu-arbedo" TargetMode="External"/><Relationship Id="rId3702" Type="http://schemas.openxmlformats.org/officeDocument/2006/relationships/hyperlink" Target="https://www.immoscout24.ch/fr/maison/acheter/lieu-agarn" TargetMode="External"/><Relationship Id="rId3701" Type="http://schemas.openxmlformats.org/officeDocument/2006/relationships/hyperlink" Target="https://www.immoscout24.ch/fr/appartement/acheter/region-soleure-et-environs" TargetMode="External"/><Relationship Id="rId3704" Type="http://schemas.openxmlformats.org/officeDocument/2006/relationships/hyperlink" Target="https://www.immoscout24.ch/fr/maison/acheter/lieu-daettwil-ag" TargetMode="External"/><Relationship Id="rId3703" Type="http://schemas.openxmlformats.org/officeDocument/2006/relationships/hyperlink" Target="https://www.immoscout24.ch/fr/maison/acheter/lieu-forch" TargetMode="External"/><Relationship Id="rId3706" Type="http://schemas.openxmlformats.org/officeDocument/2006/relationships/hyperlink" Target="https://www.immoscout24.ch/fr/maison/acheter/lieu-guemligen" TargetMode="External"/><Relationship Id="rId3705" Type="http://schemas.openxmlformats.org/officeDocument/2006/relationships/hyperlink" Target="https://www.immoscout24.ch/fr/maison/louer/lieu-conches" TargetMode="External"/><Relationship Id="rId3708" Type="http://schemas.openxmlformats.org/officeDocument/2006/relationships/hyperlink" Target="https://www.immoscout24.ch/fr/appartement/acheter/lieu-lausanne" TargetMode="External"/><Relationship Id="rId3707" Type="http://schemas.openxmlformats.org/officeDocument/2006/relationships/hyperlink" Target="https://www.immoscout24.ch/fr/maison/louer/quartier-bourg-fribourg" TargetMode="External"/><Relationship Id="rId3709" Type="http://schemas.openxmlformats.org/officeDocument/2006/relationships/hyperlink" Target="https://www.immoscout24.ch/fr/maison/acheter/lieu-sursee" TargetMode="External"/><Relationship Id="rId2401" Type="http://schemas.openxmlformats.org/officeDocument/2006/relationships/hyperlink" Target="https://www.immoscout24.ch/fr/appartement/louer/lieu-vers-l-eglise" TargetMode="External"/><Relationship Id="rId3733" Type="http://schemas.openxmlformats.org/officeDocument/2006/relationships/hyperlink" Target="https://www.immoscout24.ch/fr/appartement/louer/lieu-nunningen" TargetMode="External"/><Relationship Id="rId2402" Type="http://schemas.openxmlformats.org/officeDocument/2006/relationships/hyperlink" Target="https://www.immoscout24.ch/fr/maison/acheter/lieu-orzens" TargetMode="External"/><Relationship Id="rId3732" Type="http://schemas.openxmlformats.org/officeDocument/2006/relationships/hyperlink" Target="https://www.immoscout24.ch/fr/maison/acheter/quartier-gasel-koeniz" TargetMode="External"/><Relationship Id="rId2403" Type="http://schemas.openxmlformats.org/officeDocument/2006/relationships/hyperlink" Target="https://www.immoscout24.ch/fr/maison/acheter/lieu-schnottwil" TargetMode="External"/><Relationship Id="rId3735" Type="http://schemas.openxmlformats.org/officeDocument/2006/relationships/hyperlink" Target="https://www.immoscout24.ch/fr/appartement/louer/lieu-cologny" TargetMode="External"/><Relationship Id="rId2404" Type="http://schemas.openxmlformats.org/officeDocument/2006/relationships/hyperlink" Target="https://www.immoscout24.ch/fr/appartement/acheter/lieu-fislisbach" TargetMode="External"/><Relationship Id="rId3734" Type="http://schemas.openxmlformats.org/officeDocument/2006/relationships/hyperlink" Target="https://www.immoscout24.ch/fr/appartement/louer/lieu-elsau" TargetMode="External"/><Relationship Id="rId2405" Type="http://schemas.openxmlformats.org/officeDocument/2006/relationships/hyperlink" Target="https://www.immoscout24.ch/fr/appartement/louer/lieu-brunnen" TargetMode="External"/><Relationship Id="rId3737" Type="http://schemas.openxmlformats.org/officeDocument/2006/relationships/hyperlink" Target="https://www.immoscout24.ch/fr/maison/acheter/lieu-orpund" TargetMode="External"/><Relationship Id="rId2406" Type="http://schemas.openxmlformats.org/officeDocument/2006/relationships/hyperlink" Target="https://www.immoscout24.ch/fr/maison/acheter/lieu-anieres" TargetMode="External"/><Relationship Id="rId3736" Type="http://schemas.openxmlformats.org/officeDocument/2006/relationships/hyperlink" Target="https://www.immoscout24.ch/fr/appartement/acheter/lieu-galgenen" TargetMode="External"/><Relationship Id="rId2407" Type="http://schemas.openxmlformats.org/officeDocument/2006/relationships/hyperlink" Target="https://www.immoscout24.ch/fr/appartement/louer/lieu-guemmenen" TargetMode="External"/><Relationship Id="rId3739" Type="http://schemas.openxmlformats.org/officeDocument/2006/relationships/hyperlink" Target="https://www.immoscout24.ch/fr/maison/acheter/lieu-mex-vs" TargetMode="External"/><Relationship Id="rId2408" Type="http://schemas.openxmlformats.org/officeDocument/2006/relationships/hyperlink" Target="https://www.immoscout24.ch/fr/appartement/acheter/quartier-fluntern-zurich" TargetMode="External"/><Relationship Id="rId3738" Type="http://schemas.openxmlformats.org/officeDocument/2006/relationships/hyperlink" Target="https://www.immoscout24.ch/fr/maison/louer/lieu-semione" TargetMode="External"/><Relationship Id="rId2409" Type="http://schemas.openxmlformats.org/officeDocument/2006/relationships/hyperlink" Target="https://www.immoscout24.ch/fr/maison/acheter/lieu-onnens-vd" TargetMode="External"/><Relationship Id="rId3731" Type="http://schemas.openxmlformats.org/officeDocument/2006/relationships/hyperlink" Target="https://www.immoscout24.ch/fr/appartement/louer/lieu-triengen" TargetMode="External"/><Relationship Id="rId2400" Type="http://schemas.openxmlformats.org/officeDocument/2006/relationships/hyperlink" Target="https://www.immoscout24.ch/fr/maison/louer/lieu-blonay" TargetMode="External"/><Relationship Id="rId3730" Type="http://schemas.openxmlformats.org/officeDocument/2006/relationships/hyperlink" Target="https://www.immoscout24.ch/fr/appartement/louer/lieu-dully" TargetMode="External"/><Relationship Id="rId3722" Type="http://schemas.openxmlformats.org/officeDocument/2006/relationships/hyperlink" Target="https://www.immoscout24.ch/fr/maison/acheter/lieu-courfaivre" TargetMode="External"/><Relationship Id="rId3721" Type="http://schemas.openxmlformats.org/officeDocument/2006/relationships/hyperlink" Target="https://www.immoscout24.ch/fr/appartement/louer/quartier-breite-bale" TargetMode="External"/><Relationship Id="rId3724" Type="http://schemas.openxmlformats.org/officeDocument/2006/relationships/hyperlink" Target="https://www.immoscout24.ch/fr/appartement/louer/lieu-moleson-sur-gruyeres" TargetMode="External"/><Relationship Id="rId3723" Type="http://schemas.openxmlformats.org/officeDocument/2006/relationships/hyperlink" Target="https://www.immoscout24.ch/fr/appartement/acheter/lieu-adligenswil" TargetMode="External"/><Relationship Id="rId3726" Type="http://schemas.openxmlformats.org/officeDocument/2006/relationships/hyperlink" Target="https://www.immoscout24.ch/fr/appartement/louer/lieu-cheiry" TargetMode="External"/><Relationship Id="rId3725" Type="http://schemas.openxmlformats.org/officeDocument/2006/relationships/hyperlink" Target="https://www.immoscout24.ch/fr/appartement/louer/region-sargans-et-environs" TargetMode="External"/><Relationship Id="rId3728" Type="http://schemas.openxmlformats.org/officeDocument/2006/relationships/hyperlink" Target="https://www.immoscout24.ch/fr/maison/acheter/quartier-la-coudre-neuchatel" TargetMode="External"/><Relationship Id="rId3727" Type="http://schemas.openxmlformats.org/officeDocument/2006/relationships/hyperlink" Target="https://www.immoscout24.ch/fr/appartement/louer/quartier-maladiere-mail-neuchatel" TargetMode="External"/><Relationship Id="rId3729" Type="http://schemas.openxmlformats.org/officeDocument/2006/relationships/hyperlink" Target="https://www.immoscout24.ch/fr/appartement/louer/quartier-loreto-lugano" TargetMode="External"/><Relationship Id="rId3720" Type="http://schemas.openxmlformats.org/officeDocument/2006/relationships/hyperlink" Target="https://www.immoscout24.ch/fr/appartement/louer/lieu-cottens-vd" TargetMode="External"/><Relationship Id="rId1170" Type="http://schemas.openxmlformats.org/officeDocument/2006/relationships/hyperlink" Target="https://www.immoscout24.ch/fr/maison/acheter/lieu-montenol" TargetMode="External"/><Relationship Id="rId1171" Type="http://schemas.openxmlformats.org/officeDocument/2006/relationships/hyperlink" Target="https://www.immoscout24.ch/fr/maison/louer/lieu-cossonay-ville" TargetMode="External"/><Relationship Id="rId1172" Type="http://schemas.openxmlformats.org/officeDocument/2006/relationships/hyperlink" Target="https://www.immoscout24.ch/fr/appartement/acheter/lieu-peseux" TargetMode="External"/><Relationship Id="rId1173" Type="http://schemas.openxmlformats.org/officeDocument/2006/relationships/hyperlink" Target="https://www.immoscout24.ch/fr/maison/louer/quartier-florissant-malagnou-geneve" TargetMode="External"/><Relationship Id="rId1174" Type="http://schemas.openxmlformats.org/officeDocument/2006/relationships/hyperlink" Target="https://www.immoscout24.ch/fr/maison/acheter/lieu-meinier" TargetMode="External"/><Relationship Id="rId1175" Type="http://schemas.openxmlformats.org/officeDocument/2006/relationships/hyperlink" Target="https://www.immoscout24.ch/fr/maison/louer/lieu-solothurn" TargetMode="External"/><Relationship Id="rId1176" Type="http://schemas.openxmlformats.org/officeDocument/2006/relationships/hyperlink" Target="https://www.immoscout24.ch/fr/appartement/louer/lieu-chatillon-fr" TargetMode="External"/><Relationship Id="rId1177" Type="http://schemas.openxmlformats.org/officeDocument/2006/relationships/hyperlink" Target="https://www.immoscout24.ch/fr/maison/acheter/lieu-vallorbe" TargetMode="External"/><Relationship Id="rId1178" Type="http://schemas.openxmlformats.org/officeDocument/2006/relationships/hyperlink" Target="https://www.immoscout24.ch/fr/appartement/louer/lieu-fetigny" TargetMode="External"/><Relationship Id="rId1179" Type="http://schemas.openxmlformats.org/officeDocument/2006/relationships/hyperlink" Target="https://www.immoscout24.ch/fr/appartement/acheter/lieu-giubiasco" TargetMode="External"/><Relationship Id="rId1169" Type="http://schemas.openxmlformats.org/officeDocument/2006/relationships/hyperlink" Target="https://www.immoscout24.ch/fr/appartement/acheter/lieu-champery" TargetMode="External"/><Relationship Id="rId2490" Type="http://schemas.openxmlformats.org/officeDocument/2006/relationships/hyperlink" Target="https://www.immoscout24.ch/fr/appartement/louer/lieu-gampel" TargetMode="External"/><Relationship Id="rId1160" Type="http://schemas.openxmlformats.org/officeDocument/2006/relationships/hyperlink" Target="https://www.immoscout24.ch/fr/maison/louer/lieu-eclepens" TargetMode="External"/><Relationship Id="rId2491" Type="http://schemas.openxmlformats.org/officeDocument/2006/relationships/hyperlink" Target="https://www.immoscout24.ch/fr/appartement/acheter/lieu-monthey" TargetMode="External"/><Relationship Id="rId1161" Type="http://schemas.openxmlformats.org/officeDocument/2006/relationships/hyperlink" Target="https://www.immoscout24.ch/fr/maison/acheter/lieu-aathal-seegraeben" TargetMode="External"/><Relationship Id="rId2492" Type="http://schemas.openxmlformats.org/officeDocument/2006/relationships/hyperlink" Target="https://www.immoscout24.ch/fr/maison/acheter/lieu-genthod" TargetMode="External"/><Relationship Id="rId1162" Type="http://schemas.openxmlformats.org/officeDocument/2006/relationships/hyperlink" Target="https://www.immoscout24.ch/fr/appartement/acheter/lieu-charrat" TargetMode="External"/><Relationship Id="rId2493" Type="http://schemas.openxmlformats.org/officeDocument/2006/relationships/hyperlink" Target="https://www.immoscout24.ch/fr/maison/louer/lieu-rueyres-les-pres" TargetMode="External"/><Relationship Id="rId1163" Type="http://schemas.openxmlformats.org/officeDocument/2006/relationships/hyperlink" Target="https://www.immoscout24.ch/fr/appartement/acheter/lieu-emmenbruecke" TargetMode="External"/><Relationship Id="rId2494" Type="http://schemas.openxmlformats.org/officeDocument/2006/relationships/hyperlink" Target="https://www.immoscout24.ch/fr/appartement/louer/lieu-porsel" TargetMode="External"/><Relationship Id="rId1164" Type="http://schemas.openxmlformats.org/officeDocument/2006/relationships/hyperlink" Target="https://www.immoscout24.ch/fr/appartement/louer/lieu-clarens" TargetMode="External"/><Relationship Id="rId2495" Type="http://schemas.openxmlformats.org/officeDocument/2006/relationships/hyperlink" Target="https://www.immoscout24.ch/fr/appartement/louer/lieu-rocourt" TargetMode="External"/><Relationship Id="rId1165" Type="http://schemas.openxmlformats.org/officeDocument/2006/relationships/hyperlink" Target="https://www.immoscout24.ch/fr/appartement/louer/quartier-stjohann-bale" TargetMode="External"/><Relationship Id="rId2496" Type="http://schemas.openxmlformats.org/officeDocument/2006/relationships/hyperlink" Target="https://www.immoscout24.ch/fr/maison/acheter/lieu-seengen" TargetMode="External"/><Relationship Id="rId1166" Type="http://schemas.openxmlformats.org/officeDocument/2006/relationships/hyperlink" Target="https://www.immoscout24.ch/fr/maison/acheter/lieu-wangen-an-der-aare" TargetMode="External"/><Relationship Id="rId2497" Type="http://schemas.openxmlformats.org/officeDocument/2006/relationships/hyperlink" Target="https://www.immoscout24.ch/fr/appartement/louer/lieu-spreitenbach" TargetMode="External"/><Relationship Id="rId1167" Type="http://schemas.openxmlformats.org/officeDocument/2006/relationships/hyperlink" Target="https://www.immoscout24.ch/fr/maison/acheter/lieu-bournens" TargetMode="External"/><Relationship Id="rId2498" Type="http://schemas.openxmlformats.org/officeDocument/2006/relationships/hyperlink" Target="https://www.immoscout24.ch/fr/appartement/louer/lieu-sorengo" TargetMode="External"/><Relationship Id="rId1168" Type="http://schemas.openxmlformats.org/officeDocument/2006/relationships/hyperlink" Target="https://www.immoscout24.ch/fr/maison/acheter/lieu-heitenried" TargetMode="External"/><Relationship Id="rId2499" Type="http://schemas.openxmlformats.org/officeDocument/2006/relationships/hyperlink" Target="https://www.immoscout24.ch/fr/appartement/louer/lieu-illnau" TargetMode="External"/><Relationship Id="rId1190" Type="http://schemas.openxmlformats.org/officeDocument/2006/relationships/hyperlink" Target="https://www.immoscout24.ch/fr/maison/acheter/lieu-chesalles-sur-moudon" TargetMode="External"/><Relationship Id="rId1191" Type="http://schemas.openxmlformats.org/officeDocument/2006/relationships/hyperlink" Target="https://www.immoscout24.ch/fr/appartement/louer/lieu-cormagens" TargetMode="External"/><Relationship Id="rId1192" Type="http://schemas.openxmlformats.org/officeDocument/2006/relationships/hyperlink" Target="https://www.immoscout24.ch/fr/appartement/louer/quartier-florimont-chissiez-lausanne" TargetMode="External"/><Relationship Id="rId1193" Type="http://schemas.openxmlformats.org/officeDocument/2006/relationships/hyperlink" Target="https://www.immoscout24.ch/fr/maison/acheter/lieu-chables-fr" TargetMode="External"/><Relationship Id="rId1194" Type="http://schemas.openxmlformats.org/officeDocument/2006/relationships/hyperlink" Target="https://www.immoscout24.ch/fr/appartement/acheter/lieu-rose" TargetMode="External"/><Relationship Id="rId1195" Type="http://schemas.openxmlformats.org/officeDocument/2006/relationships/hyperlink" Target="https://www.immoscout24.ch/fr/appartement/louer/lieu-bouloz" TargetMode="External"/><Relationship Id="rId1196" Type="http://schemas.openxmlformats.org/officeDocument/2006/relationships/hyperlink" Target="https://www.immoscout24.ch/fr/appartement/acheter/lieu-constantine" TargetMode="External"/><Relationship Id="rId1197" Type="http://schemas.openxmlformats.org/officeDocument/2006/relationships/hyperlink" Target="https://www.immoscout24.ch/fr/maison/acheter/canton-uri" TargetMode="External"/><Relationship Id="rId1198" Type="http://schemas.openxmlformats.org/officeDocument/2006/relationships/hyperlink" Target="https://www.immoscout24.ch/fr/maison/louer/lieu-biberist" TargetMode="External"/><Relationship Id="rId1199" Type="http://schemas.openxmlformats.org/officeDocument/2006/relationships/hyperlink" Target="https://www.immoscout24.ch/fr/appartement/louer/lieu-vuarmarens" TargetMode="External"/><Relationship Id="rId1180" Type="http://schemas.openxmlformats.org/officeDocument/2006/relationships/hyperlink" Target="https://www.immoscout24.ch/fr/maison/acheter/lieu-chigny" TargetMode="External"/><Relationship Id="rId1181" Type="http://schemas.openxmlformats.org/officeDocument/2006/relationships/hyperlink" Target="https://www.immoscout24.ch/fr/maison/acheter/lieu-zuerich" TargetMode="External"/><Relationship Id="rId1182" Type="http://schemas.openxmlformats.org/officeDocument/2006/relationships/hyperlink" Target="https://www.immoscout24.ch/fr/appartement/louer/lieu-fontaines-sur-grandson" TargetMode="External"/><Relationship Id="rId1183" Type="http://schemas.openxmlformats.org/officeDocument/2006/relationships/hyperlink" Target="https://www.immoscout24.ch/fr/maison/acheter/lieu-les-vieux-pres" TargetMode="External"/><Relationship Id="rId1184" Type="http://schemas.openxmlformats.org/officeDocument/2006/relationships/hyperlink" Target="https://www.immoscout24.ch/fr/appartement/acheter/lieu-wengen" TargetMode="External"/><Relationship Id="rId1185" Type="http://schemas.openxmlformats.org/officeDocument/2006/relationships/hyperlink" Target="https://www.immoscout24.ch/fr/appartement/louer/lieu-vens-sembrancher" TargetMode="External"/><Relationship Id="rId1186" Type="http://schemas.openxmlformats.org/officeDocument/2006/relationships/hyperlink" Target="https://www.immoscout24.ch/fr/maison/acheter/lieu-delemont" TargetMode="External"/><Relationship Id="rId1187" Type="http://schemas.openxmlformats.org/officeDocument/2006/relationships/hyperlink" Target="https://www.immoscout24.ch/fr/appartement/louer/lieu-alle" TargetMode="External"/><Relationship Id="rId1188" Type="http://schemas.openxmlformats.org/officeDocument/2006/relationships/hyperlink" Target="https://www.immoscout24.ch/fr/appartement/louer/quartier-neufeld-berne" TargetMode="External"/><Relationship Id="rId1189" Type="http://schemas.openxmlformats.org/officeDocument/2006/relationships/hyperlink" Target="https://www.immoscout24.ch/fr/appartement/louer/lieu-marsens" TargetMode="External"/><Relationship Id="rId1136" Type="http://schemas.openxmlformats.org/officeDocument/2006/relationships/hyperlink" Target="https://www.immoscout24.ch/fr/appartement/louer/lieu-essertes" TargetMode="External"/><Relationship Id="rId2467" Type="http://schemas.openxmlformats.org/officeDocument/2006/relationships/hyperlink" Target="https://www.immoscout24.ch/fr/appartement/acheter/lieu-montherod" TargetMode="External"/><Relationship Id="rId3799" Type="http://schemas.openxmlformats.org/officeDocument/2006/relationships/hyperlink" Target="https://www.immoscout24.ch/fr/appartement/louer/lieu-corcelles-pres-concise" TargetMode="External"/><Relationship Id="rId1137" Type="http://schemas.openxmlformats.org/officeDocument/2006/relationships/hyperlink" Target="https://www.immoscout24.ch/fr/appartement/acheter/lieu-apples" TargetMode="External"/><Relationship Id="rId2468" Type="http://schemas.openxmlformats.org/officeDocument/2006/relationships/hyperlink" Target="https://www.immoscout24.ch/fr/appartement/acheter/lieu-preles" TargetMode="External"/><Relationship Id="rId3798" Type="http://schemas.openxmlformats.org/officeDocument/2006/relationships/hyperlink" Target="https://www.immoscout24.ch/fr/appartement/louer/lieu-corsier-sur-vevey" TargetMode="External"/><Relationship Id="rId1138" Type="http://schemas.openxmlformats.org/officeDocument/2006/relationships/hyperlink" Target="https://www.immoscout24.ch/fr/appartement/louer/lieu-seltisberg" TargetMode="External"/><Relationship Id="rId2469" Type="http://schemas.openxmlformats.org/officeDocument/2006/relationships/hyperlink" Target="https://www.immoscout24.ch/fr/maison/acheter/lieu-suberg" TargetMode="External"/><Relationship Id="rId1139" Type="http://schemas.openxmlformats.org/officeDocument/2006/relationships/hyperlink" Target="https://www.immoscout24.ch/fr/maison/acheter/lieu-montbrelloz" TargetMode="External"/><Relationship Id="rId3791" Type="http://schemas.openxmlformats.org/officeDocument/2006/relationships/hyperlink" Target="https://www.immoscout24.ch/fr/maison/louer/lieu-domdidier" TargetMode="External"/><Relationship Id="rId2460" Type="http://schemas.openxmlformats.org/officeDocument/2006/relationships/hyperlink" Target="https://www.immoscout24.ch/fr/appartement/louer/lieu-st-george" TargetMode="External"/><Relationship Id="rId3790" Type="http://schemas.openxmlformats.org/officeDocument/2006/relationships/hyperlink" Target="https://www.immoscout24.ch/fr/appartement/acheter/lieu-gstaad" TargetMode="External"/><Relationship Id="rId1130" Type="http://schemas.openxmlformats.org/officeDocument/2006/relationships/hyperlink" Target="https://www.immoscout24.ch/fr/appartement/louer/lieu-boncourt" TargetMode="External"/><Relationship Id="rId2461" Type="http://schemas.openxmlformats.org/officeDocument/2006/relationships/hyperlink" Target="https://www.immoscout24.ch/fr/appartement/acheter/lieu-servion" TargetMode="External"/><Relationship Id="rId3793" Type="http://schemas.openxmlformats.org/officeDocument/2006/relationships/hyperlink" Target="https://www.immoscout24.ch/fr/maison/acheter/lieu-fislisbach" TargetMode="External"/><Relationship Id="rId1131" Type="http://schemas.openxmlformats.org/officeDocument/2006/relationships/hyperlink" Target="https://www.immoscout24.ch/fr/appartement/acheter/lieu-blonay" TargetMode="External"/><Relationship Id="rId2462" Type="http://schemas.openxmlformats.org/officeDocument/2006/relationships/hyperlink" Target="https://www.immoscout24.ch/fr/appartement/acheter/quartier-sauvabelin-lausanne" TargetMode="External"/><Relationship Id="rId3792" Type="http://schemas.openxmlformats.org/officeDocument/2006/relationships/hyperlink" Target="https://www.immoscout24.ch/fr/appartement/louer/lieu-rivera" TargetMode="External"/><Relationship Id="rId1132" Type="http://schemas.openxmlformats.org/officeDocument/2006/relationships/hyperlink" Target="https://www.immoscout24.ch/fr/maison/acheter/lieu-beuson-nendaz" TargetMode="External"/><Relationship Id="rId2463" Type="http://schemas.openxmlformats.org/officeDocument/2006/relationships/hyperlink" Target="https://www.immoscout24.ch/fr/appartement/louer/lieu-jussy" TargetMode="External"/><Relationship Id="rId3795" Type="http://schemas.openxmlformats.org/officeDocument/2006/relationships/hyperlink" Target="https://www.immoscout24.ch/fr/appartement/acheter/lieu-tavannes" TargetMode="External"/><Relationship Id="rId1133" Type="http://schemas.openxmlformats.org/officeDocument/2006/relationships/hyperlink" Target="https://www.immoscout24.ch/fr/appartement/acheter/lieu-rougemont" TargetMode="External"/><Relationship Id="rId2464" Type="http://schemas.openxmlformats.org/officeDocument/2006/relationships/hyperlink" Target="https://www.immoscout24.ch/fr/maison/acheter/lieu-fieschertal" TargetMode="External"/><Relationship Id="rId3794" Type="http://schemas.openxmlformats.org/officeDocument/2006/relationships/hyperlink" Target="https://www.immoscout24.ch/fr/maison/acheter/lieu-sullens" TargetMode="External"/><Relationship Id="rId1134" Type="http://schemas.openxmlformats.org/officeDocument/2006/relationships/hyperlink" Target="https://www.immoscout24.ch/fr/appartement/acheter/lieu-flanthey" TargetMode="External"/><Relationship Id="rId2465" Type="http://schemas.openxmlformats.org/officeDocument/2006/relationships/hyperlink" Target="https://www.immoscout24.ch/fr/appartement/louer/lieu-rikon-im-toesstal" TargetMode="External"/><Relationship Id="rId3797" Type="http://schemas.openxmlformats.org/officeDocument/2006/relationships/hyperlink" Target="https://www.immoscout24.ch/fr/appartement/louer/lieu-nuerensdorf" TargetMode="External"/><Relationship Id="rId1135" Type="http://schemas.openxmlformats.org/officeDocument/2006/relationships/hyperlink" Target="https://www.immoscout24.ch/fr/appartement/acheter/lieu-blessens" TargetMode="External"/><Relationship Id="rId2466" Type="http://schemas.openxmlformats.org/officeDocument/2006/relationships/hyperlink" Target="https://www.immoscout24.ch/fr/appartement/louer/region-lucerne-hinterland" TargetMode="External"/><Relationship Id="rId3796" Type="http://schemas.openxmlformats.org/officeDocument/2006/relationships/hyperlink" Target="https://www.immoscout24.ch/fr/appartement/louer/lieu-les-granges-salvan" TargetMode="External"/><Relationship Id="rId1125" Type="http://schemas.openxmlformats.org/officeDocument/2006/relationships/hyperlink" Target="https://www.immoscout24.ch/fr/appartement/acheter/lieu-reutlingen-winterthur" TargetMode="External"/><Relationship Id="rId2456" Type="http://schemas.openxmlformats.org/officeDocument/2006/relationships/hyperlink" Target="https://www.immoscout24.ch/fr/appartement/louer/lieu-les-bioux" TargetMode="External"/><Relationship Id="rId3788" Type="http://schemas.openxmlformats.org/officeDocument/2006/relationships/hyperlink" Target="https://www.immoscout24.ch/fr/appartement/acheter/quartier-jonction-plainpalais-geneve" TargetMode="External"/><Relationship Id="rId1126" Type="http://schemas.openxmlformats.org/officeDocument/2006/relationships/hyperlink" Target="https://www.immoscout24.ch/fr/maison/acheter/lieu-pery" TargetMode="External"/><Relationship Id="rId2457" Type="http://schemas.openxmlformats.org/officeDocument/2006/relationships/hyperlink" Target="https://www.immoscout24.ch/fr/maison/acheter/lieu-lanna" TargetMode="External"/><Relationship Id="rId3787" Type="http://schemas.openxmlformats.org/officeDocument/2006/relationships/hyperlink" Target="https://www.immoscout24.ch/fr/maison/louer/quartier-eplatures-cret-du-locle-la-chaux-de-fonds" TargetMode="External"/><Relationship Id="rId1127" Type="http://schemas.openxmlformats.org/officeDocument/2006/relationships/hyperlink" Target="https://www.immoscout24.ch/fr/appartement/louer/lieu-giswil" TargetMode="External"/><Relationship Id="rId2458" Type="http://schemas.openxmlformats.org/officeDocument/2006/relationships/hyperlink" Target="https://www.immoscout24.ch/fr/maison/acheter/lieu-jongny" TargetMode="External"/><Relationship Id="rId1128" Type="http://schemas.openxmlformats.org/officeDocument/2006/relationships/hyperlink" Target="https://www.immoscout24.ch/fr/appartement/acheter/lieu-saas-fee" TargetMode="External"/><Relationship Id="rId2459" Type="http://schemas.openxmlformats.org/officeDocument/2006/relationships/hyperlink" Target="https://www.immoscout24.ch/fr/maison/acheter/lieu-les-mosses" TargetMode="External"/><Relationship Id="rId3789" Type="http://schemas.openxmlformats.org/officeDocument/2006/relationships/hyperlink" Target="https://www.immoscout24.ch/fr/maison/acheter/lieu-rochefort" TargetMode="External"/><Relationship Id="rId1129" Type="http://schemas.openxmlformats.org/officeDocument/2006/relationships/hyperlink" Target="https://www.immoscout24.ch/fr/maison/acheter/lieu-clarens" TargetMode="External"/><Relationship Id="rId3780" Type="http://schemas.openxmlformats.org/officeDocument/2006/relationships/hyperlink" Target="https://www.immoscout24.ch/fr/appartement/acheter/lieu-ganterschwil" TargetMode="External"/><Relationship Id="rId2450" Type="http://schemas.openxmlformats.org/officeDocument/2006/relationships/hyperlink" Target="https://www.immoscout24.ch/fr/maison/acheter/lieu-monteggio" TargetMode="External"/><Relationship Id="rId3782" Type="http://schemas.openxmlformats.org/officeDocument/2006/relationships/hyperlink" Target="https://www.immoscout24.ch/fr/maison/acheter/lieu-lenzburg" TargetMode="External"/><Relationship Id="rId1120" Type="http://schemas.openxmlformats.org/officeDocument/2006/relationships/hyperlink" Target="https://www.immoscout24.ch/fr/maison/acheter/lieu-herzogenbuchsee" TargetMode="External"/><Relationship Id="rId2451" Type="http://schemas.openxmlformats.org/officeDocument/2006/relationships/hyperlink" Target="https://www.immoscout24.ch/fr/maison/acheter/lieu-lignieres" TargetMode="External"/><Relationship Id="rId3781" Type="http://schemas.openxmlformats.org/officeDocument/2006/relationships/hyperlink" Target="https://www.immoscout24.ch/fr/appartement/acheter/lieu-val-d-illiez" TargetMode="External"/><Relationship Id="rId1121" Type="http://schemas.openxmlformats.org/officeDocument/2006/relationships/hyperlink" Target="https://www.immoscout24.ch/fr/maison/acheter/lieu-avully" TargetMode="External"/><Relationship Id="rId2452" Type="http://schemas.openxmlformats.org/officeDocument/2006/relationships/hyperlink" Target="https://www.immoscout24.ch/fr/appartement/acheter/lieu-bellmund" TargetMode="External"/><Relationship Id="rId3784" Type="http://schemas.openxmlformats.org/officeDocument/2006/relationships/hyperlink" Target="https://www.immoscout24.ch/fr/maison/acheter/lieu-rueschlikon" TargetMode="External"/><Relationship Id="rId1122" Type="http://schemas.openxmlformats.org/officeDocument/2006/relationships/hyperlink" Target="https://www.immoscout24.ch/fr/maison/acheter/lieu-vernate" TargetMode="External"/><Relationship Id="rId2453" Type="http://schemas.openxmlformats.org/officeDocument/2006/relationships/hyperlink" Target="https://www.immoscout24.ch/fr/appartement/louer/lieu-wavre" TargetMode="External"/><Relationship Id="rId3783" Type="http://schemas.openxmlformats.org/officeDocument/2006/relationships/hyperlink" Target="https://www.immoscout24.ch/fr/appartement/acheter/lieu-merlischachen" TargetMode="External"/><Relationship Id="rId1123" Type="http://schemas.openxmlformats.org/officeDocument/2006/relationships/hyperlink" Target="https://www.immoscout24.ch/fr/maison/acheter/lieu-grandsivaz" TargetMode="External"/><Relationship Id="rId2454" Type="http://schemas.openxmlformats.org/officeDocument/2006/relationships/hyperlink" Target="https://www.immoscout24.ch/fr/appartement/louer/lieu-heimenhausen" TargetMode="External"/><Relationship Id="rId3786" Type="http://schemas.openxmlformats.org/officeDocument/2006/relationships/hyperlink" Target="https://www.immoscout24.ch/fr/appartement/louer/lieu-bellinzona" TargetMode="External"/><Relationship Id="rId1124" Type="http://schemas.openxmlformats.org/officeDocument/2006/relationships/hyperlink" Target="https://www.immoscout24.ch/fr/appartement/acheter/lieu-koeniz" TargetMode="External"/><Relationship Id="rId2455" Type="http://schemas.openxmlformats.org/officeDocument/2006/relationships/hyperlink" Target="https://www.immoscout24.ch/fr/maison/acheter/region-laupen-sense" TargetMode="External"/><Relationship Id="rId3785" Type="http://schemas.openxmlformats.org/officeDocument/2006/relationships/hyperlink" Target="https://www.immoscout24.ch/fr/maison/louer/lieu-aubonne" TargetMode="External"/><Relationship Id="rId1158" Type="http://schemas.openxmlformats.org/officeDocument/2006/relationships/hyperlink" Target="https://www.immoscout24.ch/fr/appartement/louer/lieu-courfaivre" TargetMode="External"/><Relationship Id="rId2489" Type="http://schemas.openxmlformats.org/officeDocument/2006/relationships/hyperlink" Target="https://www.immoscout24.ch/fr/maison/acheter/pays-turquie" TargetMode="External"/><Relationship Id="rId1159" Type="http://schemas.openxmlformats.org/officeDocument/2006/relationships/hyperlink" Target="https://www.immoscout24.ch/fr/appartement/louer/lieu-buechslen" TargetMode="External"/><Relationship Id="rId2480" Type="http://schemas.openxmlformats.org/officeDocument/2006/relationships/hyperlink" Target="https://www.immoscout24.ch/fr/appartement/louer/lieu-l-isle" TargetMode="External"/><Relationship Id="rId1150" Type="http://schemas.openxmlformats.org/officeDocument/2006/relationships/hyperlink" Target="https://www.immoscout24.ch/fr/maison/acheter/lieu-riva-san-vitale" TargetMode="External"/><Relationship Id="rId2481" Type="http://schemas.openxmlformats.org/officeDocument/2006/relationships/hyperlink" Target="https://www.immoscout24.ch/fr/maison/acheter/lieu-heiligenschwendi" TargetMode="External"/><Relationship Id="rId1151" Type="http://schemas.openxmlformats.org/officeDocument/2006/relationships/hyperlink" Target="https://www.immoscout24.ch/fr/appartement/louer/lieu-fornet-dessus" TargetMode="External"/><Relationship Id="rId2482" Type="http://schemas.openxmlformats.org/officeDocument/2006/relationships/hyperlink" Target="https://www.immoscout24.ch/fr/appartement/louer/lieu-baar" TargetMode="External"/><Relationship Id="rId1152" Type="http://schemas.openxmlformats.org/officeDocument/2006/relationships/hyperlink" Target="https://www.immoscout24.ch/fr/maison/louer/lieu-peseux" TargetMode="External"/><Relationship Id="rId2483" Type="http://schemas.openxmlformats.org/officeDocument/2006/relationships/hyperlink" Target="https://www.immoscout24.ch/fr/maison/louer/lieu-grimisuat" TargetMode="External"/><Relationship Id="rId1153" Type="http://schemas.openxmlformats.org/officeDocument/2006/relationships/hyperlink" Target="https://www.immoscout24.ch/fr/maison/acheter/lieu-jaun" TargetMode="External"/><Relationship Id="rId2484" Type="http://schemas.openxmlformats.org/officeDocument/2006/relationships/hyperlink" Target="https://www.immoscout24.ch/fr/appartement/louer/lieu-eysins" TargetMode="External"/><Relationship Id="rId1154" Type="http://schemas.openxmlformats.org/officeDocument/2006/relationships/hyperlink" Target="https://www.immoscout24.ch/fr/appartement/louer/region-sion-sierre-et-environs" TargetMode="External"/><Relationship Id="rId2485" Type="http://schemas.openxmlformats.org/officeDocument/2006/relationships/hyperlink" Target="https://www.immoscout24.ch/fr/maison/acheter/lieu-leuk-stadt" TargetMode="External"/><Relationship Id="rId1155" Type="http://schemas.openxmlformats.org/officeDocument/2006/relationships/hyperlink" Target="https://www.immoscout24.ch/fr/maison/acheter/lieu-billens" TargetMode="External"/><Relationship Id="rId2486" Type="http://schemas.openxmlformats.org/officeDocument/2006/relationships/hyperlink" Target="https://www.immoscout24.ch/fr/maison/louer/lieu-courtelary" TargetMode="External"/><Relationship Id="rId1156" Type="http://schemas.openxmlformats.org/officeDocument/2006/relationships/hyperlink" Target="https://www.immoscout24.ch/fr/maison/acheter/lieu-la-tanne" TargetMode="External"/><Relationship Id="rId2487" Type="http://schemas.openxmlformats.org/officeDocument/2006/relationships/hyperlink" Target="https://www.immoscout24.ch/fr/maison/louer/region-fribourg-glane" TargetMode="External"/><Relationship Id="rId1157" Type="http://schemas.openxmlformats.org/officeDocument/2006/relationships/hyperlink" Target="https://www.immoscout24.ch/fr/appartement/louer/lieu-egerkingen" TargetMode="External"/><Relationship Id="rId2488" Type="http://schemas.openxmlformats.org/officeDocument/2006/relationships/hyperlink" Target="https://www.immoscout24.ch/fr/appartement/louer/lieu-mervelier" TargetMode="External"/><Relationship Id="rId1147" Type="http://schemas.openxmlformats.org/officeDocument/2006/relationships/hyperlink" Target="https://www.immoscout24.ch/fr/appartement/louer/lieu-zimmerwald" TargetMode="External"/><Relationship Id="rId2478" Type="http://schemas.openxmlformats.org/officeDocument/2006/relationships/hyperlink" Target="https://www.immoscout24.ch/fr/maison/louer/lieu-mollens-vd" TargetMode="External"/><Relationship Id="rId1148" Type="http://schemas.openxmlformats.org/officeDocument/2006/relationships/hyperlink" Target="https://www.immoscout24.ch/fr/maison/louer/lieu-ins" TargetMode="External"/><Relationship Id="rId2479" Type="http://schemas.openxmlformats.org/officeDocument/2006/relationships/hyperlink" Target="https://www.immoscout24.ch/fr/appartement/louer/lieu-herzogenbuchsee" TargetMode="External"/><Relationship Id="rId1149" Type="http://schemas.openxmlformats.org/officeDocument/2006/relationships/hyperlink" Target="https://www.immoscout24.ch/fr/maison/louer/lieu-cheseaux-sur-lausanne" TargetMode="External"/><Relationship Id="rId2470" Type="http://schemas.openxmlformats.org/officeDocument/2006/relationships/hyperlink" Target="https://www.immoscout24.ch/fr/appartement/louer/lieu-gerolfingen" TargetMode="External"/><Relationship Id="rId1140" Type="http://schemas.openxmlformats.org/officeDocument/2006/relationships/hyperlink" Target="https://www.immoscout24.ch/fr/maison/acheter/lieu-maracon" TargetMode="External"/><Relationship Id="rId2471" Type="http://schemas.openxmlformats.org/officeDocument/2006/relationships/hyperlink" Target="https://www.immoscout24.ch/fr/appartement/louer/lieu-ollon-vs" TargetMode="External"/><Relationship Id="rId1141" Type="http://schemas.openxmlformats.org/officeDocument/2006/relationships/hyperlink" Target="https://www.immoscout24.ch/fr/appartement/louer/lieu-valeyres-sous-rances" TargetMode="External"/><Relationship Id="rId2472" Type="http://schemas.openxmlformats.org/officeDocument/2006/relationships/hyperlink" Target="https://www.immoscout24.ch/fr/appartement/louer/lieu-massongex" TargetMode="External"/><Relationship Id="rId1142" Type="http://schemas.openxmlformats.org/officeDocument/2006/relationships/hyperlink" Target="https://www.immoscout24.ch/fr/appartement/acheter/lieu-vernate" TargetMode="External"/><Relationship Id="rId2473" Type="http://schemas.openxmlformats.org/officeDocument/2006/relationships/hyperlink" Target="https://www.immoscout24.ch/fr/appartement/acheter/region-bale-ville" TargetMode="External"/><Relationship Id="rId1143" Type="http://schemas.openxmlformats.org/officeDocument/2006/relationships/hyperlink" Target="https://www.immoscout24.ch/fr/appartement/louer/lieu-biel-benken-bl" TargetMode="External"/><Relationship Id="rId2474" Type="http://schemas.openxmlformats.org/officeDocument/2006/relationships/hyperlink" Target="https://www.immoscout24.ch/fr/maison/acheter/lieu-commugny" TargetMode="External"/><Relationship Id="rId1144" Type="http://schemas.openxmlformats.org/officeDocument/2006/relationships/hyperlink" Target="https://www.immoscout24.ch/fr/maison/acheter/lieu-waedenswil" TargetMode="External"/><Relationship Id="rId2475" Type="http://schemas.openxmlformats.org/officeDocument/2006/relationships/hyperlink" Target="https://www.immoscout24.ch/fr/maison/louer/lieu-avenches" TargetMode="External"/><Relationship Id="rId1145" Type="http://schemas.openxmlformats.org/officeDocument/2006/relationships/hyperlink" Target="https://www.immoscout24.ch/fr/appartement/louer/lieu-delemont" TargetMode="External"/><Relationship Id="rId2476" Type="http://schemas.openxmlformats.org/officeDocument/2006/relationships/hyperlink" Target="https://www.immoscout24.ch/fr/appartement/acheter/lieu-corseaux" TargetMode="External"/><Relationship Id="rId1146" Type="http://schemas.openxmlformats.org/officeDocument/2006/relationships/hyperlink" Target="https://www.immoscout24.ch/fr/maison/acheter/lieu-bottighofen" TargetMode="External"/><Relationship Id="rId2477" Type="http://schemas.openxmlformats.org/officeDocument/2006/relationships/hyperlink" Target="https://www.immoscout24.ch/fr/maison/acheter/lieu-st-german" TargetMode="External"/><Relationship Id="rId6009" Type="http://schemas.openxmlformats.org/officeDocument/2006/relationships/hyperlink" Target="https://www.immoscout24.ch/fr/appartement/acheter/lieu-murten" TargetMode="External"/><Relationship Id="rId6000" Type="http://schemas.openxmlformats.org/officeDocument/2006/relationships/hyperlink" Target="https://www.immoscout24.ch/fr/appartement/acheter/lieu-wil-sg" TargetMode="External"/><Relationship Id="rId6003" Type="http://schemas.openxmlformats.org/officeDocument/2006/relationships/hyperlink" Target="https://www.immoscout24.ch/fr/appartement/louer/lieu-bulle" TargetMode="External"/><Relationship Id="rId6004" Type="http://schemas.openxmlformats.org/officeDocument/2006/relationships/hyperlink" Target="https://www.immoscout24.ch/fr/appartement/acheter/lieu-payerne" TargetMode="External"/><Relationship Id="rId6001" Type="http://schemas.openxmlformats.org/officeDocument/2006/relationships/hyperlink" Target="https://www.immoscout24.ch/fr/maison/louer/lieu-olten" TargetMode="External"/><Relationship Id="rId6002" Type="http://schemas.openxmlformats.org/officeDocument/2006/relationships/hyperlink" Target="https://www.immoscout24.ch/fr/maison/acheter/lieu-rolle" TargetMode="External"/><Relationship Id="rId6007" Type="http://schemas.openxmlformats.org/officeDocument/2006/relationships/hyperlink" Target="https://www.immoscout24.ch/fr/maison/acheter/lieu-satigny" TargetMode="External"/><Relationship Id="rId6008" Type="http://schemas.openxmlformats.org/officeDocument/2006/relationships/hyperlink" Target="https://www.immoscout24.ch/fr/maison/acheter/lieu-noflen-be" TargetMode="External"/><Relationship Id="rId6005" Type="http://schemas.openxmlformats.org/officeDocument/2006/relationships/hyperlink" Target="https://www.immoscout24.ch/fr/maison/acheter/quartier-breitfeld-berne" TargetMode="External"/><Relationship Id="rId6006" Type="http://schemas.openxmlformats.org/officeDocument/2006/relationships/hyperlink" Target="https://www.immoscout24.ch/fr/appartement/acheter/region-baden-brugg-zurzach" TargetMode="External"/><Relationship Id="rId6061" Type="http://schemas.openxmlformats.org/officeDocument/2006/relationships/hyperlink" Target="https://www.immoscout24.ch/fr/appartement/louer/lieu-leibstadt" TargetMode="External"/><Relationship Id="rId6062" Type="http://schemas.openxmlformats.org/officeDocument/2006/relationships/hyperlink" Target="https://www.immoscout24.ch/fr/maison/acheter/lieu-grellingen" TargetMode="External"/><Relationship Id="rId6060" Type="http://schemas.openxmlformats.org/officeDocument/2006/relationships/hyperlink" Target="https://www.immoscout24.ch/fr/maison/louer/lieu-les-mosses" TargetMode="External"/><Relationship Id="rId6065" Type="http://schemas.openxmlformats.org/officeDocument/2006/relationships/hyperlink" Target="https://www.immoscout24.ch/fr/appartement/louer/quartier-lerchenfeld-thun" TargetMode="External"/><Relationship Id="rId6066" Type="http://schemas.openxmlformats.org/officeDocument/2006/relationships/hyperlink" Target="https://www.immoscout24.ch/fr/appartement/louer/lieu-gerra-gambarogno" TargetMode="External"/><Relationship Id="rId6063" Type="http://schemas.openxmlformats.org/officeDocument/2006/relationships/hyperlink" Target="https://www.immoscout24.ch/fr/maison/louer/canton-appenzell-re" TargetMode="External"/><Relationship Id="rId6064" Type="http://schemas.openxmlformats.org/officeDocument/2006/relationships/hyperlink" Target="https://www.immoscout24.ch/fr/appartement/acheter/lieu-auvernier" TargetMode="External"/><Relationship Id="rId6069" Type="http://schemas.openxmlformats.org/officeDocument/2006/relationships/hyperlink" Target="https://www.immoscout24.ch/fr/appartement/acheter/lieu-poschiavo" TargetMode="External"/><Relationship Id="rId6067" Type="http://schemas.openxmlformats.org/officeDocument/2006/relationships/hyperlink" Target="https://www.immoscout24.ch/fr/maison/acheter/lieu-la-praz" TargetMode="External"/><Relationship Id="rId6068" Type="http://schemas.openxmlformats.org/officeDocument/2006/relationships/hyperlink" Target="https://www.immoscout24.ch/fr/maison/acheter/lieu-thierrens" TargetMode="External"/><Relationship Id="rId6050" Type="http://schemas.openxmlformats.org/officeDocument/2006/relationships/hyperlink" Target="https://www.immoscout24.ch/fr/appartement/acheter/lieu-dietikon" TargetMode="External"/><Relationship Id="rId6051" Type="http://schemas.openxmlformats.org/officeDocument/2006/relationships/hyperlink" Target="https://www.immoscout24.ch/fr/appartement/louer/lieu-wildhaus" TargetMode="External"/><Relationship Id="rId6054" Type="http://schemas.openxmlformats.org/officeDocument/2006/relationships/hyperlink" Target="https://www.immoscout24.ch/fr/appartement/louer/lieu-aranno" TargetMode="External"/><Relationship Id="rId6055" Type="http://schemas.openxmlformats.org/officeDocument/2006/relationships/hyperlink" Target="https://www.immoscout24.ch/fr/appartement/louer/lieu-sutz" TargetMode="External"/><Relationship Id="rId6052" Type="http://schemas.openxmlformats.org/officeDocument/2006/relationships/hyperlink" Target="https://www.immoscout24.ch/fr/appartement/louer/lieu-cazis" TargetMode="External"/><Relationship Id="rId6053" Type="http://schemas.openxmlformats.org/officeDocument/2006/relationships/hyperlink" Target="https://www.immoscout24.ch/fr/maison/acheter/lieu-lovens" TargetMode="External"/><Relationship Id="rId6058" Type="http://schemas.openxmlformats.org/officeDocument/2006/relationships/hyperlink" Target="https://www.immoscout24.ch/fr/appartement/louer/lieu-le-cerneux-pequignot" TargetMode="External"/><Relationship Id="rId6059" Type="http://schemas.openxmlformats.org/officeDocument/2006/relationships/hyperlink" Target="https://www.immoscout24.ch/fr/appartement/louer/lieu-crissier" TargetMode="External"/><Relationship Id="rId6056" Type="http://schemas.openxmlformats.org/officeDocument/2006/relationships/hyperlink" Target="https://www.immoscout24.ch/fr/appartement/louer/lieu-ausserberg" TargetMode="External"/><Relationship Id="rId6057" Type="http://schemas.openxmlformats.org/officeDocument/2006/relationships/hyperlink" Target="https://www.immoscout24.ch/fr/maison/acheter/lieu-motier-vully" TargetMode="External"/><Relationship Id="rId3810" Type="http://schemas.openxmlformats.org/officeDocument/2006/relationships/hyperlink" Target="https://www.immoscout24.ch/fr/appartement/louer/lieu-st-romain-ayent" TargetMode="External"/><Relationship Id="rId3812" Type="http://schemas.openxmlformats.org/officeDocument/2006/relationships/hyperlink" Target="https://www.immoscout24.ch/fr/maison/acheter/lieu-moleson-sur-gruyeres" TargetMode="External"/><Relationship Id="rId3811" Type="http://schemas.openxmlformats.org/officeDocument/2006/relationships/hyperlink" Target="https://www.immoscout24.ch/fr/appartement/louer/lieu-oberengstringen" TargetMode="External"/><Relationship Id="rId3814" Type="http://schemas.openxmlformats.org/officeDocument/2006/relationships/hyperlink" Target="https://www.immoscout24.ch/fr/appartement/louer/lieu-buehler" TargetMode="External"/><Relationship Id="rId3813" Type="http://schemas.openxmlformats.org/officeDocument/2006/relationships/hyperlink" Target="https://www.immoscout24.ch/fr/appartement/louer/lieu-vuisternens-devant-romont" TargetMode="External"/><Relationship Id="rId3816" Type="http://schemas.openxmlformats.org/officeDocument/2006/relationships/hyperlink" Target="https://www.immoscout24.ch/fr/appartement/acheter/lieu-marly" TargetMode="External"/><Relationship Id="rId3815" Type="http://schemas.openxmlformats.org/officeDocument/2006/relationships/hyperlink" Target="https://www.immoscout24.ch/fr/appartement/louer/lieu-aristau" TargetMode="External"/><Relationship Id="rId3818" Type="http://schemas.openxmlformats.org/officeDocument/2006/relationships/hyperlink" Target="https://www.immoscout24.ch/fr/maison/acheter/lieu-chene-bourg" TargetMode="External"/><Relationship Id="rId3817" Type="http://schemas.openxmlformats.org/officeDocument/2006/relationships/hyperlink" Target="https://www.immoscout24.ch/fr/appartement/louer/lieu-thonex" TargetMode="External"/><Relationship Id="rId3819" Type="http://schemas.openxmlformats.org/officeDocument/2006/relationships/hyperlink" Target="https://www.immoscout24.ch/fr/maison/acheter/quartier-wettstein-bale" TargetMode="External"/><Relationship Id="rId6090" Type="http://schemas.openxmlformats.org/officeDocument/2006/relationships/hyperlink" Target="https://www.immoscout24.ch/fr/maison/louer/lieu-rueti-b-bueren" TargetMode="External"/><Relationship Id="rId6091" Type="http://schemas.openxmlformats.org/officeDocument/2006/relationships/hyperlink" Target="https://www.immoscout24.ch/fr/maison/acheter/lieu-lussy-fr" TargetMode="External"/><Relationship Id="rId6083" Type="http://schemas.openxmlformats.org/officeDocument/2006/relationships/hyperlink" Target="https://www.immoscout24.ch/fr/appartement/acheter/lieu-birmensdorf-zh" TargetMode="External"/><Relationship Id="rId6084" Type="http://schemas.openxmlformats.org/officeDocument/2006/relationships/hyperlink" Target="https://www.immoscout24.ch/fr/maison/acheter/lieu-ligornetto" TargetMode="External"/><Relationship Id="rId6081" Type="http://schemas.openxmlformats.org/officeDocument/2006/relationships/hyperlink" Target="https://www.immoscout24.ch/fr/appartement/louer/lieu-avully" TargetMode="External"/><Relationship Id="rId6082" Type="http://schemas.openxmlformats.org/officeDocument/2006/relationships/hyperlink" Target="https://www.immoscout24.ch/fr/maison/acheter/lieu-aesch-bl" TargetMode="External"/><Relationship Id="rId6087" Type="http://schemas.openxmlformats.org/officeDocument/2006/relationships/hyperlink" Target="https://www.immoscout24.ch/fr/maison/louer/lieu-avry-sur-matran" TargetMode="External"/><Relationship Id="rId6088" Type="http://schemas.openxmlformats.org/officeDocument/2006/relationships/hyperlink" Target="https://www.immoscout24.ch/fr/appartement/louer/lieu-eglisau" TargetMode="External"/><Relationship Id="rId6085" Type="http://schemas.openxmlformats.org/officeDocument/2006/relationships/hyperlink" Target="https://www.immoscout24.ch/fr/maison/acheter/lieu-filet" TargetMode="External"/><Relationship Id="rId6086" Type="http://schemas.openxmlformats.org/officeDocument/2006/relationships/hyperlink" Target="https://www.immoscout24.ch/fr/appartement/louer/lieu-contra" TargetMode="External"/><Relationship Id="rId6089" Type="http://schemas.openxmlformats.org/officeDocument/2006/relationships/hyperlink" Target="https://www.immoscout24.ch/fr/appartement/acheter/lieu-saas-grund" TargetMode="External"/><Relationship Id="rId3801" Type="http://schemas.openxmlformats.org/officeDocument/2006/relationships/hyperlink" Target="https://www.immoscout24.ch/fr/appartement/acheter/lieu-silvaplana" TargetMode="External"/><Relationship Id="rId3800" Type="http://schemas.openxmlformats.org/officeDocument/2006/relationships/hyperlink" Target="https://www.immoscout24.ch/fr/maison/acheter/lieu-st-george" TargetMode="External"/><Relationship Id="rId3803" Type="http://schemas.openxmlformats.org/officeDocument/2006/relationships/hyperlink" Target="https://www.immoscout24.ch/fr/maison/acheter/lieu-chardonne" TargetMode="External"/><Relationship Id="rId3802" Type="http://schemas.openxmlformats.org/officeDocument/2006/relationships/hyperlink" Target="https://www.immoscout24.ch/fr/appartement/louer/quartier-breganzona-lugano" TargetMode="External"/><Relationship Id="rId3805" Type="http://schemas.openxmlformats.org/officeDocument/2006/relationships/hyperlink" Target="https://www.immoscout24.ch/fr/appartement/louer/lieu-les-acacias" TargetMode="External"/><Relationship Id="rId3804" Type="http://schemas.openxmlformats.org/officeDocument/2006/relationships/hyperlink" Target="https://www.immoscout24.ch/fr/appartement/acheter/lieu-agno" TargetMode="External"/><Relationship Id="rId3807" Type="http://schemas.openxmlformats.org/officeDocument/2006/relationships/hyperlink" Target="https://www.immoscout24.ch/fr/maison/acheter/lieu-rances" TargetMode="External"/><Relationship Id="rId3806" Type="http://schemas.openxmlformats.org/officeDocument/2006/relationships/hyperlink" Target="https://www.immoscout24.ch/fr/maison/acheter/lieu-comologno" TargetMode="External"/><Relationship Id="rId3809" Type="http://schemas.openxmlformats.org/officeDocument/2006/relationships/hyperlink" Target="https://www.immoscout24.ch/fr/appartement/louer/lieu-torny-le-grand" TargetMode="External"/><Relationship Id="rId3808" Type="http://schemas.openxmlformats.org/officeDocument/2006/relationships/hyperlink" Target="https://www.immoscout24.ch/fr/maison/louer/lieu-fetigny" TargetMode="External"/><Relationship Id="rId6080" Type="http://schemas.openxmlformats.org/officeDocument/2006/relationships/hyperlink" Target="https://www.immoscout24.ch/fr/appartement/acheter/lieu-pringy" TargetMode="External"/><Relationship Id="rId6072" Type="http://schemas.openxmlformats.org/officeDocument/2006/relationships/hyperlink" Target="https://www.immoscout24.ch/fr/maison/acheter/lieu-grandvillard" TargetMode="External"/><Relationship Id="rId6073" Type="http://schemas.openxmlformats.org/officeDocument/2006/relationships/hyperlink" Target="https://www.immoscout24.ch/fr/appartement/acheter/quartier-schonberg-fribourg" TargetMode="External"/><Relationship Id="rId6070" Type="http://schemas.openxmlformats.org/officeDocument/2006/relationships/hyperlink" Target="https://www.immoscout24.ch/fr/appartement/louer/lieu-la-fouly-vs" TargetMode="External"/><Relationship Id="rId6071" Type="http://schemas.openxmlformats.org/officeDocument/2006/relationships/hyperlink" Target="https://www.immoscout24.ch/fr/maison/acheter/region-rive-droite" TargetMode="External"/><Relationship Id="rId6076" Type="http://schemas.openxmlformats.org/officeDocument/2006/relationships/hyperlink" Target="https://www.immoscout24.ch/fr/maison/acheter/lieu-schindellegi" TargetMode="External"/><Relationship Id="rId6077" Type="http://schemas.openxmlformats.org/officeDocument/2006/relationships/hyperlink" Target="https://www.immoscout24.ch/fr/appartement/louer/lieu-lachen-sz" TargetMode="External"/><Relationship Id="rId6074" Type="http://schemas.openxmlformats.org/officeDocument/2006/relationships/hyperlink" Target="https://www.immoscout24.ch/fr/appartement/louer/lieu-saas-im-praettigau" TargetMode="External"/><Relationship Id="rId6075" Type="http://schemas.openxmlformats.org/officeDocument/2006/relationships/hyperlink" Target="https://www.immoscout24.ch/fr/maison/acheter/lieu-sion" TargetMode="External"/><Relationship Id="rId6078" Type="http://schemas.openxmlformats.org/officeDocument/2006/relationships/hyperlink" Target="https://www.immoscout24.ch/fr/appartement/louer/lieu-dietikon" TargetMode="External"/><Relationship Id="rId6079" Type="http://schemas.openxmlformats.org/officeDocument/2006/relationships/hyperlink" Target="https://www.immoscout24.ch/fr/maison/acheter/pays-afghanistan" TargetMode="External"/><Relationship Id="rId6021" Type="http://schemas.openxmlformats.org/officeDocument/2006/relationships/hyperlink" Target="https://www.immoscout24.ch/fr/appartement/louer/lieu-grenchen" TargetMode="External"/><Relationship Id="rId6022" Type="http://schemas.openxmlformats.org/officeDocument/2006/relationships/hyperlink" Target="https://www.immoscout24.ch/fr/maison/acheter/lieu-bivio" TargetMode="External"/><Relationship Id="rId6020" Type="http://schemas.openxmlformats.org/officeDocument/2006/relationships/hyperlink" Target="https://www.immoscout24.ch/fr/appartement/acheter/lieu-neyruz-fr" TargetMode="External"/><Relationship Id="rId6025" Type="http://schemas.openxmlformats.org/officeDocument/2006/relationships/hyperlink" Target="https://www.immoscout24.ch/fr/appartement/louer/lieu-binz" TargetMode="External"/><Relationship Id="rId6026" Type="http://schemas.openxmlformats.org/officeDocument/2006/relationships/hyperlink" Target="https://www.immoscout24.ch/fr/maison/louer/lieu-epagny" TargetMode="External"/><Relationship Id="rId6023" Type="http://schemas.openxmlformats.org/officeDocument/2006/relationships/hyperlink" Target="https://www.immoscout24.ch/fr/maison/louer/lieu-prilly" TargetMode="External"/><Relationship Id="rId6024" Type="http://schemas.openxmlformats.org/officeDocument/2006/relationships/hyperlink" Target="https://www.immoscout24.ch/fr/appartement/louer/lieu-vitznau" TargetMode="External"/><Relationship Id="rId6029" Type="http://schemas.openxmlformats.org/officeDocument/2006/relationships/hyperlink" Target="https://www.immoscout24.ch/fr/appartement/louer/lieu-gebenstorf" TargetMode="External"/><Relationship Id="rId6027" Type="http://schemas.openxmlformats.org/officeDocument/2006/relationships/hyperlink" Target="https://www.immoscout24.ch/fr/maison/louer/lieu-glovelier" TargetMode="External"/><Relationship Id="rId6028" Type="http://schemas.openxmlformats.org/officeDocument/2006/relationships/hyperlink" Target="https://www.immoscout24.ch/fr/appartement/acheter/quartier-vers-chez-les-blanc-lausanne" TargetMode="External"/><Relationship Id="rId6010" Type="http://schemas.openxmlformats.org/officeDocument/2006/relationships/hyperlink" Target="https://www.immoscout24.ch/fr/appartement/louer/lieu-taesch" TargetMode="External"/><Relationship Id="rId6011" Type="http://schemas.openxmlformats.org/officeDocument/2006/relationships/hyperlink" Target="https://www.immoscout24.ch/fr/maison/louer/lieu-grandevent" TargetMode="External"/><Relationship Id="rId6014" Type="http://schemas.openxmlformats.org/officeDocument/2006/relationships/hyperlink" Target="https://www.immoscout24.ch/fr/appartement/louer/region-winterthour-ville" TargetMode="External"/><Relationship Id="rId6015" Type="http://schemas.openxmlformats.org/officeDocument/2006/relationships/hyperlink" Target="https://www.immoscout24.ch/fr/appartement/louer/lieu-konolfingen" TargetMode="External"/><Relationship Id="rId6012" Type="http://schemas.openxmlformats.org/officeDocument/2006/relationships/hyperlink" Target="https://www.immoscout24.ch/fr/appartement/louer/lieu-schinznach-bad" TargetMode="External"/><Relationship Id="rId6013" Type="http://schemas.openxmlformats.org/officeDocument/2006/relationships/hyperlink" Target="https://www.immoscout24.ch/fr/appartement/louer/lieu-lessoc" TargetMode="External"/><Relationship Id="rId6018" Type="http://schemas.openxmlformats.org/officeDocument/2006/relationships/hyperlink" Target="https://www.immoscout24.ch/fr/appartement/louer/lieu-villars-sur-ollon" TargetMode="External"/><Relationship Id="rId6019" Type="http://schemas.openxmlformats.org/officeDocument/2006/relationships/hyperlink" Target="https://www.immoscout24.ch/fr/maison/acheter/lieu-bodio-ti" TargetMode="External"/><Relationship Id="rId6016" Type="http://schemas.openxmlformats.org/officeDocument/2006/relationships/hyperlink" Target="https://www.immoscout24.ch/fr/appartement/louer/region-bern-et-environs" TargetMode="External"/><Relationship Id="rId6017" Type="http://schemas.openxmlformats.org/officeDocument/2006/relationships/hyperlink" Target="https://www.immoscout24.ch/fr/maison/acheter/pays-bresil" TargetMode="External"/><Relationship Id="rId6040" Type="http://schemas.openxmlformats.org/officeDocument/2006/relationships/hyperlink" Target="https://www.immoscout24.ch/fr/appartement/louer/lieu-mezieres-fr" TargetMode="External"/><Relationship Id="rId6043" Type="http://schemas.openxmlformats.org/officeDocument/2006/relationships/hyperlink" Target="https://www.immoscout24.ch/fr/maison/acheter/lieu-aubonne" TargetMode="External"/><Relationship Id="rId6044" Type="http://schemas.openxmlformats.org/officeDocument/2006/relationships/hyperlink" Target="https://www.immoscout24.ch/fr/appartement/louer/lieu-opfikon" TargetMode="External"/><Relationship Id="rId6041" Type="http://schemas.openxmlformats.org/officeDocument/2006/relationships/hyperlink" Target="https://www.immoscout24.ch/fr/maison/acheter/lieu-evilard" TargetMode="External"/><Relationship Id="rId6042" Type="http://schemas.openxmlformats.org/officeDocument/2006/relationships/hyperlink" Target="https://www.immoscout24.ch/fr/maison/louer/lieu-avegno" TargetMode="External"/><Relationship Id="rId6047" Type="http://schemas.openxmlformats.org/officeDocument/2006/relationships/hyperlink" Target="https://www.immoscout24.ch/fr/maison/acheter/lieu-ittigen" TargetMode="External"/><Relationship Id="rId6048" Type="http://schemas.openxmlformats.org/officeDocument/2006/relationships/hyperlink" Target="https://www.immoscout24.ch/fr/appartement/louer/lieu-villars-sur-glane" TargetMode="External"/><Relationship Id="rId6045" Type="http://schemas.openxmlformats.org/officeDocument/2006/relationships/hyperlink" Target="https://www.immoscout24.ch/fr/appartement/louer/lieu-essertines-sur-rolle" TargetMode="External"/><Relationship Id="rId6046" Type="http://schemas.openxmlformats.org/officeDocument/2006/relationships/hyperlink" Target="https://www.immoscout24.ch/fr/appartement/louer/lieu-muensingen" TargetMode="External"/><Relationship Id="rId6049" Type="http://schemas.openxmlformats.org/officeDocument/2006/relationships/hyperlink" Target="https://www.immoscout24.ch/fr/appartement/acheter/lieu-beromuenster" TargetMode="External"/><Relationship Id="rId6032" Type="http://schemas.openxmlformats.org/officeDocument/2006/relationships/hyperlink" Target="https://www.immoscout24.ch/fr/appartement/louer/lieu-icogne" TargetMode="External"/><Relationship Id="rId6033" Type="http://schemas.openxmlformats.org/officeDocument/2006/relationships/hyperlink" Target="https://www.immoscout24.ch/fr/appartement/louer/region-bremgarten-lenzburg-muri-kulm" TargetMode="External"/><Relationship Id="rId6030" Type="http://schemas.openxmlformats.org/officeDocument/2006/relationships/hyperlink" Target="https://www.immoscout24.ch/fr/appartement/louer/lieu-le-fuet" TargetMode="External"/><Relationship Id="rId6031" Type="http://schemas.openxmlformats.org/officeDocument/2006/relationships/hyperlink" Target="https://www.immoscout24.ch/fr/appartement/acheter/lieu-muri-b-bern" TargetMode="External"/><Relationship Id="rId6036" Type="http://schemas.openxmlformats.org/officeDocument/2006/relationships/hyperlink" Target="https://www.immoscout24.ch/fr/maison/louer/lieu-frick" TargetMode="External"/><Relationship Id="rId6037" Type="http://schemas.openxmlformats.org/officeDocument/2006/relationships/hyperlink" Target="https://www.immoscout24.ch/fr/maison/louer/lieu-presinge" TargetMode="External"/><Relationship Id="rId6034" Type="http://schemas.openxmlformats.org/officeDocument/2006/relationships/hyperlink" Target="https://www.immoscout24.ch/fr/appartement/louer/lieu-dardagny" TargetMode="External"/><Relationship Id="rId6035" Type="http://schemas.openxmlformats.org/officeDocument/2006/relationships/hyperlink" Target="https://www.immoscout24.ch/fr/appartement/acheter/lieu-montcherand" TargetMode="External"/><Relationship Id="rId6038" Type="http://schemas.openxmlformats.org/officeDocument/2006/relationships/hyperlink" Target="https://www.immoscout24.ch/fr/maison/louer/lieu-martigny" TargetMode="External"/><Relationship Id="rId6039" Type="http://schemas.openxmlformats.org/officeDocument/2006/relationships/hyperlink" Target="https://www.immoscout24.ch/fr/maison/acheter/lieu-horgen" TargetMode="External"/><Relationship Id="rId1213" Type="http://schemas.openxmlformats.org/officeDocument/2006/relationships/hyperlink" Target="https://www.immoscout24.ch/fr/maison/acheter/lieu-eriz" TargetMode="External"/><Relationship Id="rId2544" Type="http://schemas.openxmlformats.org/officeDocument/2006/relationships/hyperlink" Target="https://www.immoscout24.ch/fr/appartement/louer/lieu-les-paccots" TargetMode="External"/><Relationship Id="rId3876" Type="http://schemas.openxmlformats.org/officeDocument/2006/relationships/hyperlink" Target="https://www.immoscout24.ch/fr/appartement/louer/quartier-muesmatt-berne" TargetMode="External"/><Relationship Id="rId1214" Type="http://schemas.openxmlformats.org/officeDocument/2006/relationships/hyperlink" Target="https://www.immoscout24.ch/fr/appartement/louer/quartier-iselin-bale" TargetMode="External"/><Relationship Id="rId2545" Type="http://schemas.openxmlformats.org/officeDocument/2006/relationships/hyperlink" Target="https://www.immoscout24.ch/fr/maison/louer/lieu-courgevaux" TargetMode="External"/><Relationship Id="rId3875" Type="http://schemas.openxmlformats.org/officeDocument/2006/relationships/hyperlink" Target="https://www.immoscout24.ch/fr/maison/acheter/lieu-pratteln" TargetMode="External"/><Relationship Id="rId1215" Type="http://schemas.openxmlformats.org/officeDocument/2006/relationships/hyperlink" Target="https://www.immoscout24.ch/fr/maison/acheter/lieu-montaubion-chardonney" TargetMode="External"/><Relationship Id="rId2546" Type="http://schemas.openxmlformats.org/officeDocument/2006/relationships/hyperlink" Target="https://www.immoscout24.ch/fr/maison/acheter/lieu-vermes" TargetMode="External"/><Relationship Id="rId3878" Type="http://schemas.openxmlformats.org/officeDocument/2006/relationships/hyperlink" Target="https://www.immoscout24.ch/fr/maison/louer/lieu-pont-la-ville" TargetMode="External"/><Relationship Id="rId1216" Type="http://schemas.openxmlformats.org/officeDocument/2006/relationships/hyperlink" Target="https://www.immoscout24.ch/fr/maison/acheter/lieu-oberhof" TargetMode="External"/><Relationship Id="rId2547" Type="http://schemas.openxmlformats.org/officeDocument/2006/relationships/hyperlink" Target="https://www.immoscout24.ch/fr/appartement/louer/lieu-montagny-pres-yverdon" TargetMode="External"/><Relationship Id="rId3877" Type="http://schemas.openxmlformats.org/officeDocument/2006/relationships/hyperlink" Target="https://www.immoscout24.ch/fr/maison/acheter/lieu-embrach" TargetMode="External"/><Relationship Id="rId1217" Type="http://schemas.openxmlformats.org/officeDocument/2006/relationships/hyperlink" Target="https://www.immoscout24.ch/fr/appartement/louer/lieu-bissone" TargetMode="External"/><Relationship Id="rId2548" Type="http://schemas.openxmlformats.org/officeDocument/2006/relationships/hyperlink" Target="https://www.immoscout24.ch/fr/appartement/acheter/lieu-interlaken" TargetMode="External"/><Relationship Id="rId1218" Type="http://schemas.openxmlformats.org/officeDocument/2006/relationships/hyperlink" Target="https://www.immoscout24.ch/fr/maison/acheter/quartier-delices-grottes-geneve" TargetMode="External"/><Relationship Id="rId2549" Type="http://schemas.openxmlformats.org/officeDocument/2006/relationships/hyperlink" Target="https://www.immoscout24.ch/fr/appartement/acheter/lieu-gryon" TargetMode="External"/><Relationship Id="rId3879" Type="http://schemas.openxmlformats.org/officeDocument/2006/relationships/hyperlink" Target="https://www.immoscout24.ch/fr/maison/acheter/quartier-beundenfeld-berne" TargetMode="External"/><Relationship Id="rId1219" Type="http://schemas.openxmlformats.org/officeDocument/2006/relationships/hyperlink" Target="https://www.immoscout24.ch/fr/maison/acheter/lieu-turbach" TargetMode="External"/><Relationship Id="rId3870" Type="http://schemas.openxmlformats.org/officeDocument/2006/relationships/hyperlink" Target="https://www.immoscout24.ch/fr/maison/louer/lieu-la-tanne" TargetMode="External"/><Relationship Id="rId2540" Type="http://schemas.openxmlformats.org/officeDocument/2006/relationships/hyperlink" Target="https://www.immoscout24.ch/fr/appartement/acheter/quartier-la-coudre-neuchatel" TargetMode="External"/><Relationship Id="rId3872" Type="http://schemas.openxmlformats.org/officeDocument/2006/relationships/hyperlink" Target="https://www.immoscout24.ch/fr/maison/acheter/lieu-huettwilen" TargetMode="External"/><Relationship Id="rId1210" Type="http://schemas.openxmlformats.org/officeDocument/2006/relationships/hyperlink" Target="https://www.immoscout24.ch/fr/maison/acheter/lieu-tentlingen" TargetMode="External"/><Relationship Id="rId2541" Type="http://schemas.openxmlformats.org/officeDocument/2006/relationships/hyperlink" Target="https://www.immoscout24.ch/fr/appartement/louer/lieu-curio" TargetMode="External"/><Relationship Id="rId3871" Type="http://schemas.openxmlformats.org/officeDocument/2006/relationships/hyperlink" Target="https://www.immoscout24.ch/fr/appartement/acheter/lieu-bournens" TargetMode="External"/><Relationship Id="rId1211" Type="http://schemas.openxmlformats.org/officeDocument/2006/relationships/hyperlink" Target="https://www.immoscout24.ch/fr/appartement/louer/lieu-lechelles" TargetMode="External"/><Relationship Id="rId2542" Type="http://schemas.openxmlformats.org/officeDocument/2006/relationships/hyperlink" Target="https://www.immoscout24.ch/fr/appartement/louer/lieu-missy" TargetMode="External"/><Relationship Id="rId3874" Type="http://schemas.openxmlformats.org/officeDocument/2006/relationships/hyperlink" Target="https://www.immoscout24.ch/fr/maison/acheter/lieu-ruvigliana" TargetMode="External"/><Relationship Id="rId1212" Type="http://schemas.openxmlformats.org/officeDocument/2006/relationships/hyperlink" Target="https://www.immoscout24.ch/fr/appartement/louer/lieu-bueren-nw" TargetMode="External"/><Relationship Id="rId2543" Type="http://schemas.openxmlformats.org/officeDocument/2006/relationships/hyperlink" Target="https://www.immoscout24.ch/fr/appartement/acheter/lieu-onex" TargetMode="External"/><Relationship Id="rId3873" Type="http://schemas.openxmlformats.org/officeDocument/2006/relationships/hyperlink" Target="https://www.immoscout24.ch/fr/appartement/louer/lieu-flums" TargetMode="External"/><Relationship Id="rId1202" Type="http://schemas.openxmlformats.org/officeDocument/2006/relationships/hyperlink" Target="https://www.immoscout24.ch/fr/appartement/louer/lieu-les-pommerats" TargetMode="External"/><Relationship Id="rId2533" Type="http://schemas.openxmlformats.org/officeDocument/2006/relationships/hyperlink" Target="https://www.immoscout24.ch/fr/maison/acheter/pays-uruguay" TargetMode="External"/><Relationship Id="rId3865" Type="http://schemas.openxmlformats.org/officeDocument/2006/relationships/hyperlink" Target="https://www.immoscout24.ch/fr/maison/acheter/lieu-broc" TargetMode="External"/><Relationship Id="rId1203" Type="http://schemas.openxmlformats.org/officeDocument/2006/relationships/hyperlink" Target="https://www.immoscout24.ch/fr/appartement/louer/lieu-grangettes-pres-romont" TargetMode="External"/><Relationship Id="rId2534" Type="http://schemas.openxmlformats.org/officeDocument/2006/relationships/hyperlink" Target="https://www.immoscout24.ch/fr/appartement/louer/lieu-varen" TargetMode="External"/><Relationship Id="rId3864" Type="http://schemas.openxmlformats.org/officeDocument/2006/relationships/hyperlink" Target="https://www.immoscout24.ch/fr/appartement/louer/lieu-giffers" TargetMode="External"/><Relationship Id="rId1204" Type="http://schemas.openxmlformats.org/officeDocument/2006/relationships/hyperlink" Target="https://www.immoscout24.ch/fr/maison/acheter/lieu-boudry" TargetMode="External"/><Relationship Id="rId2535" Type="http://schemas.openxmlformats.org/officeDocument/2006/relationships/hyperlink" Target="https://www.immoscout24.ch/fr/appartement/louer/lieu-gimel" TargetMode="External"/><Relationship Id="rId3867" Type="http://schemas.openxmlformats.org/officeDocument/2006/relationships/hyperlink" Target="https://www.immoscout24.ch/fr/maison/acheter/lieu-bonnefontaine" TargetMode="External"/><Relationship Id="rId1205" Type="http://schemas.openxmlformats.org/officeDocument/2006/relationships/hyperlink" Target="https://www.immoscout24.ch/fr/appartement/louer/lieu-treyvaux" TargetMode="External"/><Relationship Id="rId2536" Type="http://schemas.openxmlformats.org/officeDocument/2006/relationships/hyperlink" Target="https://www.immoscout24.ch/fr/maison/acheter/lieu-grattavache" TargetMode="External"/><Relationship Id="rId3866" Type="http://schemas.openxmlformats.org/officeDocument/2006/relationships/hyperlink" Target="https://www.immoscout24.ch/fr/maison/acheter/lieu-hasle-b-burgdorf" TargetMode="External"/><Relationship Id="rId1206" Type="http://schemas.openxmlformats.org/officeDocument/2006/relationships/hyperlink" Target="https://www.immoscout24.ch/fr/maison/acheter/lieu-st-brais" TargetMode="External"/><Relationship Id="rId2537" Type="http://schemas.openxmlformats.org/officeDocument/2006/relationships/hyperlink" Target="https://www.immoscout24.ch/fr/appartement/louer/lieu-les-tailleres" TargetMode="External"/><Relationship Id="rId3869" Type="http://schemas.openxmlformats.org/officeDocument/2006/relationships/hyperlink" Target="https://www.immoscout24.ch/fr/appartement/louer/lieu-villarsiviriaux" TargetMode="External"/><Relationship Id="rId1207" Type="http://schemas.openxmlformats.org/officeDocument/2006/relationships/hyperlink" Target="https://www.immoscout24.ch/fr/appartement/acheter/lieu-les-mosses" TargetMode="External"/><Relationship Id="rId2538" Type="http://schemas.openxmlformats.org/officeDocument/2006/relationships/hyperlink" Target="https://www.immoscout24.ch/fr/maison/acheter/lieu-villars-bramard" TargetMode="External"/><Relationship Id="rId3868" Type="http://schemas.openxmlformats.org/officeDocument/2006/relationships/hyperlink" Target="https://www.immoscout24.ch/fr/appartement/louer/lieu-castagnola" TargetMode="External"/><Relationship Id="rId1208" Type="http://schemas.openxmlformats.org/officeDocument/2006/relationships/hyperlink" Target="https://www.immoscout24.ch/fr/appartement/acheter/lieu-epalinges" TargetMode="External"/><Relationship Id="rId2539" Type="http://schemas.openxmlformats.org/officeDocument/2006/relationships/hyperlink" Target="https://www.immoscout24.ch/fr/appartement/acheter/lieu-bussy-chardonney" TargetMode="External"/><Relationship Id="rId1209" Type="http://schemas.openxmlformats.org/officeDocument/2006/relationships/hyperlink" Target="https://www.immoscout24.ch/fr/maison/acheter/canton-schwyz" TargetMode="External"/><Relationship Id="rId3861" Type="http://schemas.openxmlformats.org/officeDocument/2006/relationships/hyperlink" Target="https://www.immoscout24.ch/fr/appartement/acheter/lieu-eiken" TargetMode="External"/><Relationship Id="rId2530" Type="http://schemas.openxmlformats.org/officeDocument/2006/relationships/hyperlink" Target="https://www.immoscout24.ch/fr/appartement/acheter/lieu-daerligen" TargetMode="External"/><Relationship Id="rId3860" Type="http://schemas.openxmlformats.org/officeDocument/2006/relationships/hyperlink" Target="https://www.immoscout24.ch/fr/maison/acheter/lieu-vuippens" TargetMode="External"/><Relationship Id="rId1200" Type="http://schemas.openxmlformats.org/officeDocument/2006/relationships/hyperlink" Target="https://www.immoscout24.ch/fr/appartement/louer/lieu-la-cote-aux-fees" TargetMode="External"/><Relationship Id="rId2531" Type="http://schemas.openxmlformats.org/officeDocument/2006/relationships/hyperlink" Target="https://www.immoscout24.ch/fr/appartement/louer/region-val-de-travers" TargetMode="External"/><Relationship Id="rId3863" Type="http://schemas.openxmlformats.org/officeDocument/2006/relationships/hyperlink" Target="https://www.immoscout24.ch/fr/maison/louer/lieu-chavornay" TargetMode="External"/><Relationship Id="rId1201" Type="http://schemas.openxmlformats.org/officeDocument/2006/relationships/hyperlink" Target="https://www.immoscout24.ch/fr/appartement/acheter/lieu-riaz" TargetMode="External"/><Relationship Id="rId2532" Type="http://schemas.openxmlformats.org/officeDocument/2006/relationships/hyperlink" Target="https://www.immoscout24.ch/fr/appartement/louer/lieu-unteriberg" TargetMode="External"/><Relationship Id="rId3862" Type="http://schemas.openxmlformats.org/officeDocument/2006/relationships/hyperlink" Target="https://www.immoscout24.ch/fr/maison/acheter/lieu-colombier-vd" TargetMode="External"/><Relationship Id="rId1235" Type="http://schemas.openxmlformats.org/officeDocument/2006/relationships/hyperlink" Target="https://www.immoscout24.ch/fr/appartement/acheter/lieu-siviez-nendaz" TargetMode="External"/><Relationship Id="rId2566" Type="http://schemas.openxmlformats.org/officeDocument/2006/relationships/hyperlink" Target="https://www.immoscout24.ch/fr/appartement/louer/lieu-ruemlang" TargetMode="External"/><Relationship Id="rId3898" Type="http://schemas.openxmlformats.org/officeDocument/2006/relationships/hyperlink" Target="https://www.immoscout24.ch/fr/appartement/louer/lieu-otelfingen" TargetMode="External"/><Relationship Id="rId1236" Type="http://schemas.openxmlformats.org/officeDocument/2006/relationships/hyperlink" Target="https://www.immoscout24.ch/fr/maison/acheter/lieu-goumoens-le-jux" TargetMode="External"/><Relationship Id="rId2567" Type="http://schemas.openxmlformats.org/officeDocument/2006/relationships/hyperlink" Target="https://www.immoscout24.ch/fr/appartement/louer/pays-bresil" TargetMode="External"/><Relationship Id="rId3897" Type="http://schemas.openxmlformats.org/officeDocument/2006/relationships/hyperlink" Target="https://www.immoscout24.ch/fr/appartement/acheter/lieu-luescherz" TargetMode="External"/><Relationship Id="rId1237" Type="http://schemas.openxmlformats.org/officeDocument/2006/relationships/hyperlink" Target="https://www.immoscout24.ch/fr/maison/louer/quartier-bre-lugano" TargetMode="External"/><Relationship Id="rId2568" Type="http://schemas.openxmlformats.org/officeDocument/2006/relationships/hyperlink" Target="https://www.immoscout24.ch/fr/maison/louer/lieu-cernier" TargetMode="External"/><Relationship Id="rId1238" Type="http://schemas.openxmlformats.org/officeDocument/2006/relationships/hyperlink" Target="https://www.immoscout24.ch/fr/maison/acheter/lieu-lottigna" TargetMode="External"/><Relationship Id="rId2569" Type="http://schemas.openxmlformats.org/officeDocument/2006/relationships/hyperlink" Target="https://www.immoscout24.ch/fr/maison/louer/lieu-gockhausen" TargetMode="External"/><Relationship Id="rId3899" Type="http://schemas.openxmlformats.org/officeDocument/2006/relationships/hyperlink" Target="https://www.immoscout24.ch/fr/maison/acheter/lieu-aurigeno" TargetMode="External"/><Relationship Id="rId1239" Type="http://schemas.openxmlformats.org/officeDocument/2006/relationships/hyperlink" Target="https://www.immoscout24.ch/fr/maison/acheter/lieu-kehrsatz" TargetMode="External"/><Relationship Id="rId3890" Type="http://schemas.openxmlformats.org/officeDocument/2006/relationships/hyperlink" Target="https://www.immoscout24.ch/fr/appartement/acheter/lieu-balerna" TargetMode="External"/><Relationship Id="rId2560" Type="http://schemas.openxmlformats.org/officeDocument/2006/relationships/hyperlink" Target="https://www.immoscout24.ch/fr/appartement/acheter/lieu-buesingen" TargetMode="External"/><Relationship Id="rId3892" Type="http://schemas.openxmlformats.org/officeDocument/2006/relationships/hyperlink" Target="https://www.immoscout24.ch/fr/appartement/louer/lieu-vermes" TargetMode="External"/><Relationship Id="rId1230" Type="http://schemas.openxmlformats.org/officeDocument/2006/relationships/hyperlink" Target="https://www.immoscout24.ch/fr/maison/acheter/lieu-la-sagne-ne" TargetMode="External"/><Relationship Id="rId2561" Type="http://schemas.openxmlformats.org/officeDocument/2006/relationships/hyperlink" Target="https://www.immoscout24.ch/fr/appartement/louer/lieu-vaux-sur-morges" TargetMode="External"/><Relationship Id="rId3891" Type="http://schemas.openxmlformats.org/officeDocument/2006/relationships/hyperlink" Target="https://www.immoscout24.ch/fr/maison/acheter/lieu-chaumont" TargetMode="External"/><Relationship Id="rId1231" Type="http://schemas.openxmlformats.org/officeDocument/2006/relationships/hyperlink" Target="https://www.immoscout24.ch/fr/maison/louer/lieu-bussigny" TargetMode="External"/><Relationship Id="rId2562" Type="http://schemas.openxmlformats.org/officeDocument/2006/relationships/hyperlink" Target="https://www.immoscout24.ch/fr/maison/acheter/lieu-russin" TargetMode="External"/><Relationship Id="rId3894" Type="http://schemas.openxmlformats.org/officeDocument/2006/relationships/hyperlink" Target="https://www.immoscout24.ch/fr/appartement/louer/lieu-ebnat-kappel" TargetMode="External"/><Relationship Id="rId1232" Type="http://schemas.openxmlformats.org/officeDocument/2006/relationships/hyperlink" Target="https://www.immoscout24.ch/fr/appartement/louer/lieu-killwangen" TargetMode="External"/><Relationship Id="rId2563" Type="http://schemas.openxmlformats.org/officeDocument/2006/relationships/hyperlink" Target="https://www.immoscout24.ch/fr/appartement/louer/lieu-prevonloup" TargetMode="External"/><Relationship Id="rId3893" Type="http://schemas.openxmlformats.org/officeDocument/2006/relationships/hyperlink" Target="https://www.immoscout24.ch/fr/maison/acheter/lieu-montreux" TargetMode="External"/><Relationship Id="rId1233" Type="http://schemas.openxmlformats.org/officeDocument/2006/relationships/hyperlink" Target="https://www.immoscout24.ch/fr/maison/acheter/lieu-les-paccots" TargetMode="External"/><Relationship Id="rId2564" Type="http://schemas.openxmlformats.org/officeDocument/2006/relationships/hyperlink" Target="https://www.immoscout24.ch/fr/appartement/louer/region-zuercher-unterland" TargetMode="External"/><Relationship Id="rId3896" Type="http://schemas.openxmlformats.org/officeDocument/2006/relationships/hyperlink" Target="https://www.immoscout24.ch/fr/appartement/louer/lieu-essert-sous-champvent" TargetMode="External"/><Relationship Id="rId1234" Type="http://schemas.openxmlformats.org/officeDocument/2006/relationships/hyperlink" Target="https://www.immoscout24.ch/fr/appartement/louer/lieu-boudry" TargetMode="External"/><Relationship Id="rId2565" Type="http://schemas.openxmlformats.org/officeDocument/2006/relationships/hyperlink" Target="https://www.immoscout24.ch/fr/appartement/acheter/lieu-granges-paccot" TargetMode="External"/><Relationship Id="rId3895" Type="http://schemas.openxmlformats.org/officeDocument/2006/relationships/hyperlink" Target="https://www.immoscout24.ch/fr/appartement/louer/lieu-ernen" TargetMode="External"/><Relationship Id="rId1224" Type="http://schemas.openxmlformats.org/officeDocument/2006/relationships/hyperlink" Target="https://www.immoscout24.ch/fr/appartement/acheter/lieu-preverenges" TargetMode="External"/><Relationship Id="rId2555" Type="http://schemas.openxmlformats.org/officeDocument/2006/relationships/hyperlink" Target="https://www.immoscout24.ch/fr/appartement/louer/lieu-st-saphorin-sur-morges" TargetMode="External"/><Relationship Id="rId3887" Type="http://schemas.openxmlformats.org/officeDocument/2006/relationships/hyperlink" Target="https://www.immoscout24.ch/fr/maison/louer/lieu-corcelles-ne" TargetMode="External"/><Relationship Id="rId1225" Type="http://schemas.openxmlformats.org/officeDocument/2006/relationships/hyperlink" Target="https://www.immoscout24.ch/fr/appartement/acheter/lieu-couvet" TargetMode="External"/><Relationship Id="rId2556" Type="http://schemas.openxmlformats.org/officeDocument/2006/relationships/hyperlink" Target="https://www.immoscout24.ch/fr/appartement/acheter/lieu-savosa" TargetMode="External"/><Relationship Id="rId3886" Type="http://schemas.openxmlformats.org/officeDocument/2006/relationships/hyperlink" Target="https://www.immoscout24.ch/fr/maison/louer/quartier-croix-federale-la-chaux-de-fonds" TargetMode="External"/><Relationship Id="rId1226" Type="http://schemas.openxmlformats.org/officeDocument/2006/relationships/hyperlink" Target="https://www.immoscout24.ch/fr/appartement/louer/lieu-syens" TargetMode="External"/><Relationship Id="rId2557" Type="http://schemas.openxmlformats.org/officeDocument/2006/relationships/hyperlink" Target="https://www.immoscout24.ch/fr/maison/louer/lieu-cheyres" TargetMode="External"/><Relationship Id="rId3889" Type="http://schemas.openxmlformats.org/officeDocument/2006/relationships/hyperlink" Target="https://www.immoscout24.ch/fr/appartement/louer/lieu-sugnens" TargetMode="External"/><Relationship Id="rId1227" Type="http://schemas.openxmlformats.org/officeDocument/2006/relationships/hyperlink" Target="https://www.immoscout24.ch/fr/appartement/louer/lieu-tschugg" TargetMode="External"/><Relationship Id="rId2558" Type="http://schemas.openxmlformats.org/officeDocument/2006/relationships/hyperlink" Target="https://www.immoscout24.ch/fr/appartement/acheter/lieu-frick" TargetMode="External"/><Relationship Id="rId3888" Type="http://schemas.openxmlformats.org/officeDocument/2006/relationships/hyperlink" Target="https://www.immoscout24.ch/fr/maison/acheter/lieu-bavois" TargetMode="External"/><Relationship Id="rId1228" Type="http://schemas.openxmlformats.org/officeDocument/2006/relationships/hyperlink" Target="https://www.immoscout24.ch/fr/appartement/louer/quartier-langensand-matthof-lucerne" TargetMode="External"/><Relationship Id="rId2559" Type="http://schemas.openxmlformats.org/officeDocument/2006/relationships/hyperlink" Target="https://www.immoscout24.ch/fr/appartement/acheter/canton-obwald" TargetMode="External"/><Relationship Id="rId1229" Type="http://schemas.openxmlformats.org/officeDocument/2006/relationships/hyperlink" Target="https://www.immoscout24.ch/fr/maison/acheter/lieu-aldesago" TargetMode="External"/><Relationship Id="rId3881" Type="http://schemas.openxmlformats.org/officeDocument/2006/relationships/hyperlink" Target="https://www.immoscout24.ch/fr/appartement/acheter/lieu-dully" TargetMode="External"/><Relationship Id="rId2550" Type="http://schemas.openxmlformats.org/officeDocument/2006/relationships/hyperlink" Target="https://www.immoscout24.ch/fr/appartement/louer/lieu-lenzerheide-lai" TargetMode="External"/><Relationship Id="rId3880" Type="http://schemas.openxmlformats.org/officeDocument/2006/relationships/hyperlink" Target="https://www.immoscout24.ch/fr/maison/louer/lieu-vuisternens-en-ogoz" TargetMode="External"/><Relationship Id="rId1220" Type="http://schemas.openxmlformats.org/officeDocument/2006/relationships/hyperlink" Target="https://www.immoscout24.ch/fr/appartement/louer/lieu-lenzburg" TargetMode="External"/><Relationship Id="rId2551" Type="http://schemas.openxmlformats.org/officeDocument/2006/relationships/hyperlink" Target="https://www.immoscout24.ch/fr/appartement/louer/lieu-canobbio" TargetMode="External"/><Relationship Id="rId3883" Type="http://schemas.openxmlformats.org/officeDocument/2006/relationships/hyperlink" Target="https://www.immoscout24.ch/fr/appartement/louer/quartier-forges-endroits-la-chaux-de-fonds" TargetMode="External"/><Relationship Id="rId1221" Type="http://schemas.openxmlformats.org/officeDocument/2006/relationships/hyperlink" Target="https://www.immoscout24.ch/fr/appartement/acheter/lieu-iserables" TargetMode="External"/><Relationship Id="rId2552" Type="http://schemas.openxmlformats.org/officeDocument/2006/relationships/hyperlink" Target="https://www.immoscout24.ch/fr/maison/acheter/lieu-cevio" TargetMode="External"/><Relationship Id="rId3882" Type="http://schemas.openxmlformats.org/officeDocument/2006/relationships/hyperlink" Target="https://www.immoscout24.ch/fr/maison/acheter/lieu-chessel" TargetMode="External"/><Relationship Id="rId1222" Type="http://schemas.openxmlformats.org/officeDocument/2006/relationships/hyperlink" Target="https://www.immoscout24.ch/fr/maison/acheter/lieu-ueken" TargetMode="External"/><Relationship Id="rId2553" Type="http://schemas.openxmlformats.org/officeDocument/2006/relationships/hyperlink" Target="https://www.immoscout24.ch/fr/appartement/louer/lieu-borex" TargetMode="External"/><Relationship Id="rId3885" Type="http://schemas.openxmlformats.org/officeDocument/2006/relationships/hyperlink" Target="https://www.immoscout24.ch/fr/maison/louer/lieu-chatelaine" TargetMode="External"/><Relationship Id="rId1223" Type="http://schemas.openxmlformats.org/officeDocument/2006/relationships/hyperlink" Target="https://www.immoscout24.ch/fr/appartement/acheter/quartier-auge-fribourg" TargetMode="External"/><Relationship Id="rId2554" Type="http://schemas.openxmlformats.org/officeDocument/2006/relationships/hyperlink" Target="https://www.immoscout24.ch/fr/appartement/acheter/lieu-schwarzsee" TargetMode="External"/><Relationship Id="rId3884" Type="http://schemas.openxmlformats.org/officeDocument/2006/relationships/hyperlink" Target="https://www.immoscout24.ch/fr/appartement/acheter/lieu-lausanne-26" TargetMode="External"/><Relationship Id="rId2500" Type="http://schemas.openxmlformats.org/officeDocument/2006/relationships/hyperlink" Target="https://www.immoscout24.ch/fr/appartement/acheter/lieu-courtelary" TargetMode="External"/><Relationship Id="rId3832" Type="http://schemas.openxmlformats.org/officeDocument/2006/relationships/hyperlink" Target="https://www.immoscout24.ch/fr/appartement/louer/lieu-hunzenschwil" TargetMode="External"/><Relationship Id="rId2501" Type="http://schemas.openxmlformats.org/officeDocument/2006/relationships/hyperlink" Target="https://www.immoscout24.ch/fr/appartement/acheter/lieu-epsach" TargetMode="External"/><Relationship Id="rId3831" Type="http://schemas.openxmlformats.org/officeDocument/2006/relationships/hyperlink" Target="https://www.immoscout24.ch/fr/appartement/acheter/lieu-st-moritz" TargetMode="External"/><Relationship Id="rId2502" Type="http://schemas.openxmlformats.org/officeDocument/2006/relationships/hyperlink" Target="https://www.immoscout24.ch/fr/appartement/louer/lieu-bassersdorf" TargetMode="External"/><Relationship Id="rId3834" Type="http://schemas.openxmlformats.org/officeDocument/2006/relationships/hyperlink" Target="https://www.immoscout24.ch/fr/appartement/louer/lieu-buetzberg" TargetMode="External"/><Relationship Id="rId2503" Type="http://schemas.openxmlformats.org/officeDocument/2006/relationships/hyperlink" Target="https://www.immoscout24.ch/fr/maison/louer/lieu-versoix" TargetMode="External"/><Relationship Id="rId3833" Type="http://schemas.openxmlformats.org/officeDocument/2006/relationships/hyperlink" Target="https://www.immoscout24.ch/fr/appartement/louer/lieu-val-d-illiez" TargetMode="External"/><Relationship Id="rId2504" Type="http://schemas.openxmlformats.org/officeDocument/2006/relationships/hyperlink" Target="https://www.immoscout24.ch/fr/maison/louer/canton-fribourg" TargetMode="External"/><Relationship Id="rId3836" Type="http://schemas.openxmlformats.org/officeDocument/2006/relationships/hyperlink" Target="https://www.immoscout24.ch/fr/appartement/louer/lieu-tenero" TargetMode="External"/><Relationship Id="rId2505" Type="http://schemas.openxmlformats.org/officeDocument/2006/relationships/hyperlink" Target="https://www.immoscout24.ch/fr/maison/acheter/lieu-areuse" TargetMode="External"/><Relationship Id="rId3835" Type="http://schemas.openxmlformats.org/officeDocument/2006/relationships/hyperlink" Target="https://www.immoscout24.ch/fr/maison/acheter/lieu-ferreyres" TargetMode="External"/><Relationship Id="rId2506" Type="http://schemas.openxmlformats.org/officeDocument/2006/relationships/hyperlink" Target="https://www.immoscout24.ch/fr/appartement/acheter/lieu-pont-de-la-morge-sion" TargetMode="External"/><Relationship Id="rId3838" Type="http://schemas.openxmlformats.org/officeDocument/2006/relationships/hyperlink" Target="https://www.immoscout24.ch/fr/appartement/louer/lieu-bretonnieres" TargetMode="External"/><Relationship Id="rId2507" Type="http://schemas.openxmlformats.org/officeDocument/2006/relationships/hyperlink" Target="https://www.immoscout24.ch/fr/appartement/louer/quartier-centre-ville-lausanne" TargetMode="External"/><Relationship Id="rId3837" Type="http://schemas.openxmlformats.org/officeDocument/2006/relationships/hyperlink" Target="https://www.immoscout24.ch/fr/maison/acheter/lieu-formangueires" TargetMode="External"/><Relationship Id="rId2508" Type="http://schemas.openxmlformats.org/officeDocument/2006/relationships/hyperlink" Target="https://www.immoscout24.ch/fr/appartement/louer/lieu-eison-st-martin" TargetMode="External"/><Relationship Id="rId2509" Type="http://schemas.openxmlformats.org/officeDocument/2006/relationships/hyperlink" Target="https://www.immoscout24.ch/fr/appartement/louer/lieu-surpierre" TargetMode="External"/><Relationship Id="rId3839" Type="http://schemas.openxmlformats.org/officeDocument/2006/relationships/hyperlink" Target="https://www.immoscout24.ch/fr/maison/louer/quartier-schonberg-fribourg" TargetMode="External"/><Relationship Id="rId3830" Type="http://schemas.openxmlformats.org/officeDocument/2006/relationships/hyperlink" Target="https://www.immoscout24.ch/fr/appartement/acheter/lieu-schlieren" TargetMode="External"/><Relationship Id="rId3821" Type="http://schemas.openxmlformats.org/officeDocument/2006/relationships/hyperlink" Target="https://www.immoscout24.ch/fr/maison/acheter/lieu-cormagens" TargetMode="External"/><Relationship Id="rId3820" Type="http://schemas.openxmlformats.org/officeDocument/2006/relationships/hyperlink" Target="https://www.immoscout24.ch/fr/maison/acheter/lieu-gampelen" TargetMode="External"/><Relationship Id="rId3823" Type="http://schemas.openxmlformats.org/officeDocument/2006/relationships/hyperlink" Target="https://www.immoscout24.ch/fr/appartement/louer/lieu-bussy-chardonney" TargetMode="External"/><Relationship Id="rId3822" Type="http://schemas.openxmlformats.org/officeDocument/2006/relationships/hyperlink" Target="https://www.immoscout24.ch/fr/maison/acheter/lieu-boncourt" TargetMode="External"/><Relationship Id="rId3825" Type="http://schemas.openxmlformats.org/officeDocument/2006/relationships/hyperlink" Target="https://www.immoscout24.ch/fr/appartement/louer/lieu-romainmotier" TargetMode="External"/><Relationship Id="rId3824" Type="http://schemas.openxmlformats.org/officeDocument/2006/relationships/hyperlink" Target="https://www.immoscout24.ch/fr/maison/acheter/pays-liechtenstein" TargetMode="External"/><Relationship Id="rId3827" Type="http://schemas.openxmlformats.org/officeDocument/2006/relationships/hyperlink" Target="https://www.immoscout24.ch/fr/appartement/acheter/lieu-bulle" TargetMode="External"/><Relationship Id="rId3826" Type="http://schemas.openxmlformats.org/officeDocument/2006/relationships/hyperlink" Target="https://www.immoscout24.ch/fr/maison/acheter/lieu-muri-b-bern" TargetMode="External"/><Relationship Id="rId3829" Type="http://schemas.openxmlformats.org/officeDocument/2006/relationships/hyperlink" Target="https://www.immoscout24.ch/fr/maison/acheter/lieu-liestal" TargetMode="External"/><Relationship Id="rId3828" Type="http://schemas.openxmlformats.org/officeDocument/2006/relationships/hyperlink" Target="https://www.immoscout24.ch/fr/appartement/acheter/pays-hongrie" TargetMode="External"/><Relationship Id="rId6094" Type="http://schemas.openxmlformats.org/officeDocument/2006/relationships/hyperlink" Target="https://www.immoscout24.ch/fr/appartement/louer/lieu-valeyres-sous-ursins" TargetMode="External"/><Relationship Id="rId6095" Type="http://schemas.openxmlformats.org/officeDocument/2006/relationships/hyperlink" Target="https://www.immoscout24.ch/fr/appartement/louer/lieu-brent" TargetMode="External"/><Relationship Id="rId6092" Type="http://schemas.openxmlformats.org/officeDocument/2006/relationships/hyperlink" Target="https://www.immoscout24.ch/fr/appartement/louer/lieu-villars-le-grand" TargetMode="External"/><Relationship Id="rId6093" Type="http://schemas.openxmlformats.org/officeDocument/2006/relationships/hyperlink" Target="https://www.immoscout24.ch/fr/appartement/louer/lieu-lenk-im-simmental" TargetMode="External"/><Relationship Id="rId6098" Type="http://schemas.openxmlformats.org/officeDocument/2006/relationships/hyperlink" Target="https://www.immoscout24.ch/fr/appartement/louer/lieu-rizenbach" TargetMode="External"/><Relationship Id="rId6099" Type="http://schemas.openxmlformats.org/officeDocument/2006/relationships/hyperlink" Target="https://www.immoscout24.ch/fr/appartement/acheter/lieu-stansstad" TargetMode="External"/><Relationship Id="rId6096" Type="http://schemas.openxmlformats.org/officeDocument/2006/relationships/hyperlink" Target="https://www.immoscout24.ch/fr/maison/acheter/lieu-torny-le-grand" TargetMode="External"/><Relationship Id="rId6097" Type="http://schemas.openxmlformats.org/officeDocument/2006/relationships/hyperlink" Target="https://www.immoscout24.ch/fr/appartement/acheter/lieu-gunten" TargetMode="External"/><Relationship Id="rId2522" Type="http://schemas.openxmlformats.org/officeDocument/2006/relationships/hyperlink" Target="https://www.immoscout24.ch/fr/maison/acheter/lieu-ballens" TargetMode="External"/><Relationship Id="rId3854" Type="http://schemas.openxmlformats.org/officeDocument/2006/relationships/hyperlink" Target="https://www.immoscout24.ch/fr/maison/acheter/lieu-bussy-sur-moudon" TargetMode="External"/><Relationship Id="rId2523" Type="http://schemas.openxmlformats.org/officeDocument/2006/relationships/hyperlink" Target="https://www.immoscout24.ch/fr/maison/acheter/lieu-saxeten" TargetMode="External"/><Relationship Id="rId3853" Type="http://schemas.openxmlformats.org/officeDocument/2006/relationships/hyperlink" Target="https://www.immoscout24.ch/fr/maison/acheter/lieu-brot-dessous" TargetMode="External"/><Relationship Id="rId2524" Type="http://schemas.openxmlformats.org/officeDocument/2006/relationships/hyperlink" Target="https://www.immoscout24.ch/fr/maison/acheter/lieu-saulcy" TargetMode="External"/><Relationship Id="rId3856" Type="http://schemas.openxmlformats.org/officeDocument/2006/relationships/hyperlink" Target="https://www.immoscout24.ch/fr/maison/acheter/lieu-muentschemier" TargetMode="External"/><Relationship Id="rId2525" Type="http://schemas.openxmlformats.org/officeDocument/2006/relationships/hyperlink" Target="https://www.immoscout24.ch/fr/appartement/acheter/lieu-lax" TargetMode="External"/><Relationship Id="rId3855" Type="http://schemas.openxmlformats.org/officeDocument/2006/relationships/hyperlink" Target="https://www.immoscout24.ch/fr/maison/acheter/lieu-reverolle" TargetMode="External"/><Relationship Id="rId2526" Type="http://schemas.openxmlformats.org/officeDocument/2006/relationships/hyperlink" Target="https://www.immoscout24.ch/fr/appartement/louer/lieu-vulliens" TargetMode="External"/><Relationship Id="rId3858" Type="http://schemas.openxmlformats.org/officeDocument/2006/relationships/hyperlink" Target="https://www.immoscout24.ch/fr/appartement/louer/lieu-worben" TargetMode="External"/><Relationship Id="rId2527" Type="http://schemas.openxmlformats.org/officeDocument/2006/relationships/hyperlink" Target="https://www.immoscout24.ch/fr/appartement/louer/lieu-st-stephan" TargetMode="External"/><Relationship Id="rId3857" Type="http://schemas.openxmlformats.org/officeDocument/2006/relationships/hyperlink" Target="https://www.immoscout24.ch/fr/appartement/acheter/lieu-thayngen" TargetMode="External"/><Relationship Id="rId2528" Type="http://schemas.openxmlformats.org/officeDocument/2006/relationships/hyperlink" Target="https://www.immoscout24.ch/fr/maison/acheter/lieu-fornet-dessus" TargetMode="External"/><Relationship Id="rId2529" Type="http://schemas.openxmlformats.org/officeDocument/2006/relationships/hyperlink" Target="https://www.immoscout24.ch/fr/maison/acheter/lieu-isenfluh" TargetMode="External"/><Relationship Id="rId3859" Type="http://schemas.openxmlformats.org/officeDocument/2006/relationships/hyperlink" Target="https://www.immoscout24.ch/fr/maison/acheter/lieu-roveredo-ti" TargetMode="External"/><Relationship Id="rId3850" Type="http://schemas.openxmlformats.org/officeDocument/2006/relationships/hyperlink" Target="https://www.immoscout24.ch/fr/appartement/louer/lieu-rossemaison" TargetMode="External"/><Relationship Id="rId2520" Type="http://schemas.openxmlformats.org/officeDocument/2006/relationships/hyperlink" Target="https://www.immoscout24.ch/fr/maison/acheter/lieu-rodersdorf" TargetMode="External"/><Relationship Id="rId3852" Type="http://schemas.openxmlformats.org/officeDocument/2006/relationships/hyperlink" Target="https://www.immoscout24.ch/fr/appartement/louer/lieu-saules" TargetMode="External"/><Relationship Id="rId2521" Type="http://schemas.openxmlformats.org/officeDocument/2006/relationships/hyperlink" Target="https://www.immoscout24.ch/fr/appartement/louer/lieu-baetterkinden" TargetMode="External"/><Relationship Id="rId3851" Type="http://schemas.openxmlformats.org/officeDocument/2006/relationships/hyperlink" Target="https://www.immoscout24.ch/fr/appartement/acheter/lieu-moerigen" TargetMode="External"/><Relationship Id="rId2511" Type="http://schemas.openxmlformats.org/officeDocument/2006/relationships/hyperlink" Target="https://www.immoscout24.ch/fr/appartement/acheter/lieu-bottmingen" TargetMode="External"/><Relationship Id="rId3843" Type="http://schemas.openxmlformats.org/officeDocument/2006/relationships/hyperlink" Target="https://www.immoscout24.ch/fr/maison/acheter/lieu-guschelmuth" TargetMode="External"/><Relationship Id="rId2512" Type="http://schemas.openxmlformats.org/officeDocument/2006/relationships/hyperlink" Target="https://www.immoscout24.ch/fr/appartement/louer/lieu-liebefeld" TargetMode="External"/><Relationship Id="rId3842" Type="http://schemas.openxmlformats.org/officeDocument/2006/relationships/hyperlink" Target="https://www.immoscout24.ch/fr/appartement/acheter/lieu-la-rippe" TargetMode="External"/><Relationship Id="rId2513" Type="http://schemas.openxmlformats.org/officeDocument/2006/relationships/hyperlink" Target="https://www.immoscout24.ch/fr/maison/acheter/lieu-martisberg" TargetMode="External"/><Relationship Id="rId3845" Type="http://schemas.openxmlformats.org/officeDocument/2006/relationships/hyperlink" Target="https://www.immoscout24.ch/fr/maison/louer/region-lucerne-hinterland" TargetMode="External"/><Relationship Id="rId2514" Type="http://schemas.openxmlformats.org/officeDocument/2006/relationships/hyperlink" Target="https://www.immoscout24.ch/fr/appartement/louer/lieu-emmen" TargetMode="External"/><Relationship Id="rId3844" Type="http://schemas.openxmlformats.org/officeDocument/2006/relationships/hyperlink" Target="https://www.immoscout24.ch/fr/maison/acheter/region-bern-et-environs" TargetMode="External"/><Relationship Id="rId2515" Type="http://schemas.openxmlformats.org/officeDocument/2006/relationships/hyperlink" Target="https://www.immoscout24.ch/fr/maison/acheter/lieu-cressier-fr" TargetMode="External"/><Relationship Id="rId3847" Type="http://schemas.openxmlformats.org/officeDocument/2006/relationships/hyperlink" Target="https://www.immoscout24.ch/fr/appartement/louer/lieu-maracon" TargetMode="External"/><Relationship Id="rId2516" Type="http://schemas.openxmlformats.org/officeDocument/2006/relationships/hyperlink" Target="https://www.immoscout24.ch/fr/appartement/louer/lieu-baettwil" TargetMode="External"/><Relationship Id="rId3846" Type="http://schemas.openxmlformats.org/officeDocument/2006/relationships/hyperlink" Target="https://www.immoscout24.ch/fr/appartement/louer/lieu-vesin" TargetMode="External"/><Relationship Id="rId2517" Type="http://schemas.openxmlformats.org/officeDocument/2006/relationships/hyperlink" Target="https://www.immoscout24.ch/fr/maison/acheter/lieu-roveredo-gr" TargetMode="External"/><Relationship Id="rId3849" Type="http://schemas.openxmlformats.org/officeDocument/2006/relationships/hyperlink" Target="https://www.immoscout24.ch/fr/maison/louer/lieu-plaffeien" TargetMode="External"/><Relationship Id="rId2518" Type="http://schemas.openxmlformats.org/officeDocument/2006/relationships/hyperlink" Target="https://www.immoscout24.ch/fr/appartement/louer/lieu-chancy" TargetMode="External"/><Relationship Id="rId3848" Type="http://schemas.openxmlformats.org/officeDocument/2006/relationships/hyperlink" Target="https://www.immoscout24.ch/fr/appartement/louer/lieu-villarsel-le-gibloux" TargetMode="External"/><Relationship Id="rId2519" Type="http://schemas.openxmlformats.org/officeDocument/2006/relationships/hyperlink" Target="https://www.immoscout24.ch/fr/maison/acheter/lieu-plagne" TargetMode="External"/><Relationship Id="rId3841" Type="http://schemas.openxmlformats.org/officeDocument/2006/relationships/hyperlink" Target="https://www.immoscout24.ch/fr/appartement/louer/lieu-cormondreche" TargetMode="External"/><Relationship Id="rId2510" Type="http://schemas.openxmlformats.org/officeDocument/2006/relationships/hyperlink" Target="https://www.immoscout24.ch/fr/appartement/louer/lieu-fulenbach" TargetMode="External"/><Relationship Id="rId3840" Type="http://schemas.openxmlformats.org/officeDocument/2006/relationships/hyperlink" Target="https://www.immoscout24.ch/fr/maison/acheter/lieu-neyruz-fr" TargetMode="External"/><Relationship Id="rId1290" Type="http://schemas.openxmlformats.org/officeDocument/2006/relationships/hyperlink" Target="https://www.immoscout24.ch/fr/maison/acheter/lieu-winterthur" TargetMode="External"/><Relationship Id="rId1291" Type="http://schemas.openxmlformats.org/officeDocument/2006/relationships/hyperlink" Target="https://www.immoscout24.ch/fr/appartement/acheter/lieu-brugg-ag" TargetMode="External"/><Relationship Id="rId1292" Type="http://schemas.openxmlformats.org/officeDocument/2006/relationships/hyperlink" Target="https://www.immoscout24.ch/fr/maison/acheter/lieu-vuibroye" TargetMode="External"/><Relationship Id="rId1293" Type="http://schemas.openxmlformats.org/officeDocument/2006/relationships/hyperlink" Target="https://www.immoscout24.ch/fr/maison/acheter/lieu-fulenbach" TargetMode="External"/><Relationship Id="rId1294" Type="http://schemas.openxmlformats.org/officeDocument/2006/relationships/hyperlink" Target="https://www.immoscout24.ch/fr/appartement/louer/lieu-martigny-croix" TargetMode="External"/><Relationship Id="rId1295" Type="http://schemas.openxmlformats.org/officeDocument/2006/relationships/hyperlink" Target="https://www.immoscout24.ch/fr/appartement/louer/lieu-oetwil-am-see" TargetMode="External"/><Relationship Id="rId1296" Type="http://schemas.openxmlformats.org/officeDocument/2006/relationships/hyperlink" Target="https://www.immoscout24.ch/fr/maison/acheter/lieu-boecourt" TargetMode="External"/><Relationship Id="rId1297" Type="http://schemas.openxmlformats.org/officeDocument/2006/relationships/hyperlink" Target="https://www.immoscout24.ch/fr/maison/louer/lieu-poliez-le-grand" TargetMode="External"/><Relationship Id="rId1298" Type="http://schemas.openxmlformats.org/officeDocument/2006/relationships/hyperlink" Target="https://www.immoscout24.ch/fr/appartement/acheter/lieu-mezieres-vd" TargetMode="External"/><Relationship Id="rId1299" Type="http://schemas.openxmlformats.org/officeDocument/2006/relationships/hyperlink" Target="https://www.immoscout24.ch/fr/maison/louer/lieu-grandvaux" TargetMode="External"/><Relationship Id="rId1280" Type="http://schemas.openxmlformats.org/officeDocument/2006/relationships/hyperlink" Target="https://www.immoscout24.ch/fr/appartement/louer/lieu-seftigen" TargetMode="External"/><Relationship Id="rId1281" Type="http://schemas.openxmlformats.org/officeDocument/2006/relationships/hyperlink" Target="https://www.immoscout24.ch/fr/maison/acheter/lieu-wallenbuch" TargetMode="External"/><Relationship Id="rId1282" Type="http://schemas.openxmlformats.org/officeDocument/2006/relationships/hyperlink" Target="https://www.immoscout24.ch/fr/maison/acheter/lieu-grone" TargetMode="External"/><Relationship Id="rId1283" Type="http://schemas.openxmlformats.org/officeDocument/2006/relationships/hyperlink" Target="https://www.immoscout24.ch/fr/maison/acheter/lieu-saxonne-ayent" TargetMode="External"/><Relationship Id="rId1284" Type="http://schemas.openxmlformats.org/officeDocument/2006/relationships/hyperlink" Target="https://www.immoscout24.ch/fr/appartement/louer/lieu-egg-b-zuerich" TargetMode="External"/><Relationship Id="rId1285" Type="http://schemas.openxmlformats.org/officeDocument/2006/relationships/hyperlink" Target="https://www.immoscout24.ch/fr/appartement/louer/quartier-vernand-lausanne" TargetMode="External"/><Relationship Id="rId1286" Type="http://schemas.openxmlformats.org/officeDocument/2006/relationships/hyperlink" Target="https://www.immoscout24.ch/fr/appartement/louer/region-valais-central" TargetMode="External"/><Relationship Id="rId1287" Type="http://schemas.openxmlformats.org/officeDocument/2006/relationships/hyperlink" Target="https://www.immoscout24.ch/fr/maison/acheter/lieu-reichenbach-im-kandertal" TargetMode="External"/><Relationship Id="rId1288" Type="http://schemas.openxmlformats.org/officeDocument/2006/relationships/hyperlink" Target="https://www.immoscout24.ch/fr/maison/acheter/lieu-montcherand" TargetMode="External"/><Relationship Id="rId1289" Type="http://schemas.openxmlformats.org/officeDocument/2006/relationships/hyperlink" Target="https://www.immoscout24.ch/fr/maison/acheter/lieu-st-cierges" TargetMode="External"/><Relationship Id="rId1257" Type="http://schemas.openxmlformats.org/officeDocument/2006/relationships/hyperlink" Target="https://www.immoscout24.ch/fr/appartement/louer/lieu-oberkirch-lu" TargetMode="External"/><Relationship Id="rId2588" Type="http://schemas.openxmlformats.org/officeDocument/2006/relationships/hyperlink" Target="https://www.immoscout24.ch/fr/appartement/acheter/lieu-founex" TargetMode="External"/><Relationship Id="rId1258" Type="http://schemas.openxmlformats.org/officeDocument/2006/relationships/hyperlink" Target="https://www.immoscout24.ch/fr/maison/acheter/pays-suede" TargetMode="External"/><Relationship Id="rId2589" Type="http://schemas.openxmlformats.org/officeDocument/2006/relationships/hyperlink" Target="https://www.immoscout24.ch/fr/appartement/acheter/lieu-donneloye" TargetMode="External"/><Relationship Id="rId1259" Type="http://schemas.openxmlformats.org/officeDocument/2006/relationships/hyperlink" Target="https://www.immoscout24.ch/fr/maison/acheter/lieu-rossemaison" TargetMode="External"/><Relationship Id="rId2580" Type="http://schemas.openxmlformats.org/officeDocument/2006/relationships/hyperlink" Target="https://www.immoscout24.ch/fr/appartement/louer/lieu-niederhasli" TargetMode="External"/><Relationship Id="rId1250" Type="http://schemas.openxmlformats.org/officeDocument/2006/relationships/hyperlink" Target="https://www.immoscout24.ch/fr/appartement/louer/lieu-uetendorf" TargetMode="External"/><Relationship Id="rId2581" Type="http://schemas.openxmlformats.org/officeDocument/2006/relationships/hyperlink" Target="https://www.immoscout24.ch/fr/maison/acheter/lieu-steckborn" TargetMode="External"/><Relationship Id="rId1251" Type="http://schemas.openxmlformats.org/officeDocument/2006/relationships/hyperlink" Target="https://www.immoscout24.ch/fr/appartement/louer/lieu-niederscherli" TargetMode="External"/><Relationship Id="rId2582" Type="http://schemas.openxmlformats.org/officeDocument/2006/relationships/hyperlink" Target="https://www.immoscout24.ch/fr/appartement/acheter/lieu-montmollin" TargetMode="External"/><Relationship Id="rId1252" Type="http://schemas.openxmlformats.org/officeDocument/2006/relationships/hyperlink" Target="https://www.immoscout24.ch/fr/appartement/acheter/lieu-lantsch-lenz" TargetMode="External"/><Relationship Id="rId2583" Type="http://schemas.openxmlformats.org/officeDocument/2006/relationships/hyperlink" Target="https://www.immoscout24.ch/fr/appartement/louer/lieu-vernayaz" TargetMode="External"/><Relationship Id="rId1253" Type="http://schemas.openxmlformats.org/officeDocument/2006/relationships/hyperlink" Target="https://www.immoscout24.ch/fr/appartement/louer/lieu-thusis" TargetMode="External"/><Relationship Id="rId2584" Type="http://schemas.openxmlformats.org/officeDocument/2006/relationships/hyperlink" Target="https://www.immoscout24.ch/fr/appartement/louer/lieu-greifensee" TargetMode="External"/><Relationship Id="rId1254" Type="http://schemas.openxmlformats.org/officeDocument/2006/relationships/hyperlink" Target="https://www.immoscout24.ch/fr/appartement/louer/lieu-villars-epeney" TargetMode="External"/><Relationship Id="rId2585" Type="http://schemas.openxmlformats.org/officeDocument/2006/relationships/hyperlink" Target="https://www.immoscout24.ch/fr/maison/acheter/quartier-langensand-matthof-lucerne" TargetMode="External"/><Relationship Id="rId1255" Type="http://schemas.openxmlformats.org/officeDocument/2006/relationships/hyperlink" Target="https://www.immoscout24.ch/fr/appartement/acheter/lieu-territet" TargetMode="External"/><Relationship Id="rId2586" Type="http://schemas.openxmlformats.org/officeDocument/2006/relationships/hyperlink" Target="https://www.immoscout24.ch/fr/maison/acheter/region-fribourg-glane" TargetMode="External"/><Relationship Id="rId1256" Type="http://schemas.openxmlformats.org/officeDocument/2006/relationships/hyperlink" Target="https://www.immoscout24.ch/fr/appartement/louer/lieu-muemliswil" TargetMode="External"/><Relationship Id="rId2587" Type="http://schemas.openxmlformats.org/officeDocument/2006/relationships/hyperlink" Target="https://www.immoscout24.ch/fr/maison/louer/lieu-lonay" TargetMode="External"/><Relationship Id="rId1246" Type="http://schemas.openxmlformats.org/officeDocument/2006/relationships/hyperlink" Target="https://www.immoscout24.ch/fr/appartement/louer/lieu-la-corbaz" TargetMode="External"/><Relationship Id="rId2577" Type="http://schemas.openxmlformats.org/officeDocument/2006/relationships/hyperlink" Target="https://www.immoscout24.ch/fr/maison/louer/lieu-evilard" TargetMode="External"/><Relationship Id="rId1247" Type="http://schemas.openxmlformats.org/officeDocument/2006/relationships/hyperlink" Target="https://www.immoscout24.ch/fr/maison/louer/lieu-pringy" TargetMode="External"/><Relationship Id="rId2578" Type="http://schemas.openxmlformats.org/officeDocument/2006/relationships/hyperlink" Target="https://www.immoscout24.ch/fr/appartement/acheter/lieu-aubonne" TargetMode="External"/><Relationship Id="rId1248" Type="http://schemas.openxmlformats.org/officeDocument/2006/relationships/hyperlink" Target="https://www.immoscout24.ch/fr/appartement/louer/lieu-territet" TargetMode="External"/><Relationship Id="rId2579" Type="http://schemas.openxmlformats.org/officeDocument/2006/relationships/hyperlink" Target="https://www.immoscout24.ch/fr/appartement/louer/lieu-orzens" TargetMode="External"/><Relationship Id="rId1249" Type="http://schemas.openxmlformats.org/officeDocument/2006/relationships/hyperlink" Target="https://www.immoscout24.ch/fr/maison/acheter/lieu-cadempino" TargetMode="External"/><Relationship Id="rId2570" Type="http://schemas.openxmlformats.org/officeDocument/2006/relationships/hyperlink" Target="https://www.immoscout24.ch/fr/maison/acheter/lieu-salavaux" TargetMode="External"/><Relationship Id="rId1240" Type="http://schemas.openxmlformats.org/officeDocument/2006/relationships/hyperlink" Target="https://www.immoscout24.ch/fr/appartement/louer/lieu-curtilles" TargetMode="External"/><Relationship Id="rId2571" Type="http://schemas.openxmlformats.org/officeDocument/2006/relationships/hyperlink" Target="https://www.immoscout24.ch/fr/maison/louer/lieu-villars-tiercelin" TargetMode="External"/><Relationship Id="rId1241" Type="http://schemas.openxmlformats.org/officeDocument/2006/relationships/hyperlink" Target="https://www.immoscout24.ch/fr/appartement/louer/lieu-pfaffnau" TargetMode="External"/><Relationship Id="rId2572" Type="http://schemas.openxmlformats.org/officeDocument/2006/relationships/hyperlink" Target="https://www.immoscout24.ch/fr/maison/acheter/canton-zurich" TargetMode="External"/><Relationship Id="rId1242" Type="http://schemas.openxmlformats.org/officeDocument/2006/relationships/hyperlink" Target="https://www.immoscout24.ch/fr/maison/acheter/lieu-baulmes" TargetMode="External"/><Relationship Id="rId2573" Type="http://schemas.openxmlformats.org/officeDocument/2006/relationships/hyperlink" Target="https://www.immoscout24.ch/fr/appartement/louer/lieu-aarau" TargetMode="External"/><Relationship Id="rId1243" Type="http://schemas.openxmlformats.org/officeDocument/2006/relationships/hyperlink" Target="https://www.immoscout24.ch/fr/appartement/acheter/lieu-bubendorf" TargetMode="External"/><Relationship Id="rId2574" Type="http://schemas.openxmlformats.org/officeDocument/2006/relationships/hyperlink" Target="https://www.immoscout24.ch/fr/maison/acheter/lieu-blignou-ayent" TargetMode="External"/><Relationship Id="rId1244" Type="http://schemas.openxmlformats.org/officeDocument/2006/relationships/hyperlink" Target="https://www.immoscout24.ch/fr/maison/acheter/lieu-conthey" TargetMode="External"/><Relationship Id="rId2575" Type="http://schemas.openxmlformats.org/officeDocument/2006/relationships/hyperlink" Target="https://www.immoscout24.ch/fr/maison/acheter/lieu-seon" TargetMode="External"/><Relationship Id="rId1245" Type="http://schemas.openxmlformats.org/officeDocument/2006/relationships/hyperlink" Target="https://www.immoscout24.ch/fr/appartement/acheter/lieu-vauderens" TargetMode="External"/><Relationship Id="rId2576" Type="http://schemas.openxmlformats.org/officeDocument/2006/relationships/hyperlink" Target="https://www.immoscout24.ch/fr/appartement/acheter/lieu-studen-be" TargetMode="External"/><Relationship Id="rId1279" Type="http://schemas.openxmlformats.org/officeDocument/2006/relationships/hyperlink" Target="https://www.immoscout24.ch/fr/appartement/louer/lieu-albeuve" TargetMode="External"/><Relationship Id="rId1270" Type="http://schemas.openxmlformats.org/officeDocument/2006/relationships/hyperlink" Target="https://www.immoscout24.ch/fr/maison/acheter/lieu-vouvry" TargetMode="External"/><Relationship Id="rId1271" Type="http://schemas.openxmlformats.org/officeDocument/2006/relationships/hyperlink" Target="https://www.immoscout24.ch/fr/appartement/louer/lieu-corbeyrier" TargetMode="External"/><Relationship Id="rId1272" Type="http://schemas.openxmlformats.org/officeDocument/2006/relationships/hyperlink" Target="https://www.immoscout24.ch/fr/maison/acheter/lieu-forel-lavaux" TargetMode="External"/><Relationship Id="rId1273" Type="http://schemas.openxmlformats.org/officeDocument/2006/relationships/hyperlink" Target="https://www.immoscout24.ch/fr/appartement/louer/lieu-stettlen" TargetMode="External"/><Relationship Id="rId1274" Type="http://schemas.openxmlformats.org/officeDocument/2006/relationships/hyperlink" Target="https://www.immoscout24.ch/fr/maison/acheter/lieu-levron" TargetMode="External"/><Relationship Id="rId1275" Type="http://schemas.openxmlformats.org/officeDocument/2006/relationships/hyperlink" Target="https://www.immoscout24.ch/fr/appartement/louer/lieu-vaulruz" TargetMode="External"/><Relationship Id="rId1276" Type="http://schemas.openxmlformats.org/officeDocument/2006/relationships/hyperlink" Target="https://www.immoscout24.ch/fr/appartement/louer/lieu-vaduz" TargetMode="External"/><Relationship Id="rId1277" Type="http://schemas.openxmlformats.org/officeDocument/2006/relationships/hyperlink" Target="https://www.immoscout24.ch/fr/maison/acheter/lieu-mollis" TargetMode="External"/><Relationship Id="rId1278" Type="http://schemas.openxmlformats.org/officeDocument/2006/relationships/hyperlink" Target="https://www.immoscout24.ch/fr/maison/acheter/lieu-les-verrieres" TargetMode="External"/><Relationship Id="rId1268" Type="http://schemas.openxmlformats.org/officeDocument/2006/relationships/hyperlink" Target="https://www.immoscout24.ch/fr/maison/acheter/region-gruyere-la-broye-lac-veveyse" TargetMode="External"/><Relationship Id="rId2599" Type="http://schemas.openxmlformats.org/officeDocument/2006/relationships/hyperlink" Target="https://www.immoscout24.ch/fr/appartement/acheter/lieu-chambrelien" TargetMode="External"/><Relationship Id="rId1269" Type="http://schemas.openxmlformats.org/officeDocument/2006/relationships/hyperlink" Target="https://www.immoscout24.ch/fr/maison/louer/lieu-mezieres-vd" TargetMode="External"/><Relationship Id="rId2590" Type="http://schemas.openxmlformats.org/officeDocument/2006/relationships/hyperlink" Target="https://www.immoscout24.ch/fr/appartement/louer/lieu-oberentfelden" TargetMode="External"/><Relationship Id="rId1260" Type="http://schemas.openxmlformats.org/officeDocument/2006/relationships/hyperlink" Target="https://www.immoscout24.ch/fr/appartement/louer/lieu-tamins" TargetMode="External"/><Relationship Id="rId2591" Type="http://schemas.openxmlformats.org/officeDocument/2006/relationships/hyperlink" Target="https://www.immoscout24.ch/fr/maison/acheter/lieu-champlan-grimisuat" TargetMode="External"/><Relationship Id="rId1261" Type="http://schemas.openxmlformats.org/officeDocument/2006/relationships/hyperlink" Target="https://www.immoscout24.ch/fr/maison/acheter/lieu-aarberg" TargetMode="External"/><Relationship Id="rId2592" Type="http://schemas.openxmlformats.org/officeDocument/2006/relationships/hyperlink" Target="https://www.immoscout24.ch/fr/maison/acheter/lieu-schoenried" TargetMode="External"/><Relationship Id="rId1262" Type="http://schemas.openxmlformats.org/officeDocument/2006/relationships/hyperlink" Target="https://www.immoscout24.ch/fr/appartement/acheter/lieu-magliaso" TargetMode="External"/><Relationship Id="rId2593" Type="http://schemas.openxmlformats.org/officeDocument/2006/relationships/hyperlink" Target="https://www.immoscout24.ch/fr/maison/acheter/lieu-savognin" TargetMode="External"/><Relationship Id="rId1263" Type="http://schemas.openxmlformats.org/officeDocument/2006/relationships/hyperlink" Target="https://www.immoscout24.ch/fr/maison/acheter/lieu-oberentfelden" TargetMode="External"/><Relationship Id="rId2594" Type="http://schemas.openxmlformats.org/officeDocument/2006/relationships/hyperlink" Target="https://www.immoscout24.ch/fr/appartement/acheter/quartier-madretsch-nord-biel-bienne" TargetMode="External"/><Relationship Id="rId1264" Type="http://schemas.openxmlformats.org/officeDocument/2006/relationships/hyperlink" Target="https://www.immoscout24.ch/fr/maison/acheter/lieu-auddes-sur-riddes" TargetMode="External"/><Relationship Id="rId2595" Type="http://schemas.openxmlformats.org/officeDocument/2006/relationships/hyperlink" Target="https://www.immoscout24.ch/fr/appartement/acheter/lieu-adelboden" TargetMode="External"/><Relationship Id="rId1265" Type="http://schemas.openxmlformats.org/officeDocument/2006/relationships/hyperlink" Target="https://www.immoscout24.ch/fr/appartement/acheter/lieu-wilen-b-wollerau" TargetMode="External"/><Relationship Id="rId2596" Type="http://schemas.openxmlformats.org/officeDocument/2006/relationships/hyperlink" Target="https://www.immoscout24.ch/fr/maison/acheter/lieu-unterbaech-vs" TargetMode="External"/><Relationship Id="rId1266" Type="http://schemas.openxmlformats.org/officeDocument/2006/relationships/hyperlink" Target="https://www.immoscout24.ch/fr/maison/acheter/lieu-camorino" TargetMode="External"/><Relationship Id="rId2597" Type="http://schemas.openxmlformats.org/officeDocument/2006/relationships/hyperlink" Target="https://www.immoscout24.ch/fr/appartement/louer/lieu-porrentruy" TargetMode="External"/><Relationship Id="rId1267" Type="http://schemas.openxmlformats.org/officeDocument/2006/relationships/hyperlink" Target="https://www.immoscout24.ch/fr/maison/acheter/lieu-herrenschwanden" TargetMode="External"/><Relationship Id="rId2598" Type="http://schemas.openxmlformats.org/officeDocument/2006/relationships/hyperlink" Target="https://www.immoscout24.ch/fr/maison/acheter/region-guerbetal-voralpen" TargetMode="External"/><Relationship Id="rId3070" Type="http://schemas.openxmlformats.org/officeDocument/2006/relationships/hyperlink" Target="https://www.immoscout24.ch/fr/maison/acheter/lieu-le-cret-pres-semsales" TargetMode="External"/><Relationship Id="rId3072" Type="http://schemas.openxmlformats.org/officeDocument/2006/relationships/hyperlink" Target="https://www.immoscout24.ch/fr/maison/louer/region-zurich-ville" TargetMode="External"/><Relationship Id="rId3071" Type="http://schemas.openxmlformats.org/officeDocument/2006/relationships/hyperlink" Target="https://www.immoscout24.ch/fr/maison/acheter/lieu-trogen" TargetMode="External"/><Relationship Id="rId3074" Type="http://schemas.openxmlformats.org/officeDocument/2006/relationships/hyperlink" Target="https://www.immoscout24.ch/fr/appartement/louer/quartier-sallaz-vennes-sechaud-lausanne" TargetMode="External"/><Relationship Id="rId3073" Type="http://schemas.openxmlformats.org/officeDocument/2006/relationships/hyperlink" Target="https://www.immoscout24.ch/fr/maison/acheter/lieu-sedeilles" TargetMode="External"/><Relationship Id="rId3076" Type="http://schemas.openxmlformats.org/officeDocument/2006/relationships/hyperlink" Target="https://www.immoscout24.ch/fr/maison/acheter/lieu-ollon-vs" TargetMode="External"/><Relationship Id="rId3075" Type="http://schemas.openxmlformats.org/officeDocument/2006/relationships/hyperlink" Target="https://www.immoscout24.ch/fr/maison/louer/lieu-le-sepey" TargetMode="External"/><Relationship Id="rId3078" Type="http://schemas.openxmlformats.org/officeDocument/2006/relationships/hyperlink" Target="https://www.immoscout24.ch/fr/appartement/louer/lieu-le-bemont-ju" TargetMode="External"/><Relationship Id="rId3077" Type="http://schemas.openxmlformats.org/officeDocument/2006/relationships/hyperlink" Target="https://www.immoscout24.ch/fr/maison/louer/lieu-neuchatel" TargetMode="External"/><Relationship Id="rId3079" Type="http://schemas.openxmlformats.org/officeDocument/2006/relationships/hyperlink" Target="https://www.immoscout24.ch/fr/appartement/acheter/lieu-merligen" TargetMode="External"/><Relationship Id="rId4390" Type="http://schemas.openxmlformats.org/officeDocument/2006/relationships/hyperlink" Target="https://www.immoscout24.ch/fr/appartement/acheter/lieu-windisch" TargetMode="External"/><Relationship Id="rId3061" Type="http://schemas.openxmlformats.org/officeDocument/2006/relationships/hyperlink" Target="https://www.immoscout24.ch/fr/appartement/acheter/lieu-wangs" TargetMode="External"/><Relationship Id="rId4392" Type="http://schemas.openxmlformats.org/officeDocument/2006/relationships/hyperlink" Target="https://www.immoscout24.ch/fr/maison/acheter/lieu-le-locle" TargetMode="External"/><Relationship Id="rId3060" Type="http://schemas.openxmlformats.org/officeDocument/2006/relationships/hyperlink" Target="https://www.immoscout24.ch/fr/appartement/louer/lieu-kemptthal" TargetMode="External"/><Relationship Id="rId4391" Type="http://schemas.openxmlformats.org/officeDocument/2006/relationships/hyperlink" Target="https://www.immoscout24.ch/fr/maison/acheter/lieu-missy" TargetMode="External"/><Relationship Id="rId3063" Type="http://schemas.openxmlformats.org/officeDocument/2006/relationships/hyperlink" Target="https://www.immoscout24.ch/fr/maison/acheter/lieu-bellmund" TargetMode="External"/><Relationship Id="rId4394" Type="http://schemas.openxmlformats.org/officeDocument/2006/relationships/hyperlink" Target="https://www.immoscout24.ch/fr/appartement/acheter/lieu-saillon" TargetMode="External"/><Relationship Id="rId3062" Type="http://schemas.openxmlformats.org/officeDocument/2006/relationships/hyperlink" Target="https://www.immoscout24.ch/fr/maison/acheter/lieu-giffers" TargetMode="External"/><Relationship Id="rId4393" Type="http://schemas.openxmlformats.org/officeDocument/2006/relationships/hyperlink" Target="https://www.immoscout24.ch/fr/maison/louer/lieu-nussbaumen-ag" TargetMode="External"/><Relationship Id="rId3065" Type="http://schemas.openxmlformats.org/officeDocument/2006/relationships/hyperlink" Target="https://www.immoscout24.ch/fr/appartement/acheter/lieu-saanenmoeser" TargetMode="External"/><Relationship Id="rId4396" Type="http://schemas.openxmlformats.org/officeDocument/2006/relationships/hyperlink" Target="https://www.immoscout24.ch/fr/maison/acheter/lieu-hittnau" TargetMode="External"/><Relationship Id="rId3064" Type="http://schemas.openxmlformats.org/officeDocument/2006/relationships/hyperlink" Target="https://www.immoscout24.ch/fr/appartement/acheter/lieu-lajoux-ju" TargetMode="External"/><Relationship Id="rId4395" Type="http://schemas.openxmlformats.org/officeDocument/2006/relationships/hyperlink" Target="https://www.immoscout24.ch/fr/maison/acheter/lieu-triengen" TargetMode="External"/><Relationship Id="rId3067" Type="http://schemas.openxmlformats.org/officeDocument/2006/relationships/hyperlink" Target="https://www.immoscout24.ch/fr/maison/acheter/lieu-fey" TargetMode="External"/><Relationship Id="rId4398" Type="http://schemas.openxmlformats.org/officeDocument/2006/relationships/hyperlink" Target="https://www.immoscout24.ch/fr/appartement/louer/lieu-saviese" TargetMode="External"/><Relationship Id="rId3066" Type="http://schemas.openxmlformats.org/officeDocument/2006/relationships/hyperlink" Target="https://www.immoscout24.ch/fr/maison/acheter/lieu-liesberg" TargetMode="External"/><Relationship Id="rId4397" Type="http://schemas.openxmlformats.org/officeDocument/2006/relationships/hyperlink" Target="https://www.immoscout24.ch/fr/maison/acheter/lieu-condemines-nendaz" TargetMode="External"/><Relationship Id="rId3069" Type="http://schemas.openxmlformats.org/officeDocument/2006/relationships/hyperlink" Target="https://www.immoscout24.ch/fr/appartement/louer/lieu-avry-devant-pont" TargetMode="External"/><Relationship Id="rId3068" Type="http://schemas.openxmlformats.org/officeDocument/2006/relationships/hyperlink" Target="https://www.immoscout24.ch/fr/appartement/louer/lieu-conthey" TargetMode="External"/><Relationship Id="rId4399" Type="http://schemas.openxmlformats.org/officeDocument/2006/relationships/hyperlink" Target="https://www.immoscout24.ch/fr/appartement/acheter/lieu-muerren" TargetMode="External"/><Relationship Id="rId3090" Type="http://schemas.openxmlformats.org/officeDocument/2006/relationships/hyperlink" Target="https://www.immoscout24.ch/fr/maison/acheter/lieu-veytaux" TargetMode="External"/><Relationship Id="rId3092" Type="http://schemas.openxmlformats.org/officeDocument/2006/relationships/hyperlink" Target="https://www.immoscout24.ch/fr/maison/louer/pays-tunisie" TargetMode="External"/><Relationship Id="rId3091" Type="http://schemas.openxmlformats.org/officeDocument/2006/relationships/hyperlink" Target="https://www.immoscout24.ch/fr/appartement/louer/lieu-wohlen-ag" TargetMode="External"/><Relationship Id="rId3094" Type="http://schemas.openxmlformats.org/officeDocument/2006/relationships/hyperlink" Target="https://www.immoscout24.ch/fr/appartement/louer/lieu-correvon" TargetMode="External"/><Relationship Id="rId3093" Type="http://schemas.openxmlformats.org/officeDocument/2006/relationships/hyperlink" Target="https://www.immoscout24.ch/fr/maison/louer/lieu-holderbank-so" TargetMode="External"/><Relationship Id="rId3096" Type="http://schemas.openxmlformats.org/officeDocument/2006/relationships/hyperlink" Target="https://www.immoscout24.ch/fr/appartement/acheter/lieu-ardon" TargetMode="External"/><Relationship Id="rId3095" Type="http://schemas.openxmlformats.org/officeDocument/2006/relationships/hyperlink" Target="https://www.immoscout24.ch/fr/maison/acheter/region-zurich-et-environs" TargetMode="External"/><Relationship Id="rId3098" Type="http://schemas.openxmlformats.org/officeDocument/2006/relationships/hyperlink" Target="https://www.immoscout24.ch/fr/appartement/louer/lieu-le-lignon" TargetMode="External"/><Relationship Id="rId3097" Type="http://schemas.openxmlformats.org/officeDocument/2006/relationships/hyperlink" Target="https://www.immoscout24.ch/fr/maison/louer/lieu-le-cerneux-pequignot" TargetMode="External"/><Relationship Id="rId3099" Type="http://schemas.openxmlformats.org/officeDocument/2006/relationships/hyperlink" Target="https://www.immoscout24.ch/fr/appartement/acheter/lieu-capolago" TargetMode="External"/><Relationship Id="rId3081" Type="http://schemas.openxmlformats.org/officeDocument/2006/relationships/hyperlink" Target="https://www.immoscout24.ch/fr/maison/louer/lieu-wil-sg" TargetMode="External"/><Relationship Id="rId3080" Type="http://schemas.openxmlformats.org/officeDocument/2006/relationships/hyperlink" Target="https://www.immoscout24.ch/fr/appartement/louer/lieu-morcles" TargetMode="External"/><Relationship Id="rId3083" Type="http://schemas.openxmlformats.org/officeDocument/2006/relationships/hyperlink" Target="https://www.immoscout24.ch/fr/maison/acheter/lieu-monthey" TargetMode="External"/><Relationship Id="rId3082" Type="http://schemas.openxmlformats.org/officeDocument/2006/relationships/hyperlink" Target="https://www.immoscout24.ch/fr/appartement/acheter/lieu-aminona" TargetMode="External"/><Relationship Id="rId3085" Type="http://schemas.openxmlformats.org/officeDocument/2006/relationships/hyperlink" Target="https://www.immoscout24.ch/fr/appartement/louer/quartier-centre-la-chaux-de-fonds" TargetMode="External"/><Relationship Id="rId3084" Type="http://schemas.openxmlformats.org/officeDocument/2006/relationships/hyperlink" Target="https://www.immoscout24.ch/fr/appartement/louer/lieu-le-landeron" TargetMode="External"/><Relationship Id="rId3087" Type="http://schemas.openxmlformats.org/officeDocument/2006/relationships/hyperlink" Target="https://www.immoscout24.ch/fr/maison/acheter/lieu-pont-veveyse" TargetMode="External"/><Relationship Id="rId3086" Type="http://schemas.openxmlformats.org/officeDocument/2006/relationships/hyperlink" Target="https://www.immoscout24.ch/fr/appartement/acheter/lieu-farvagny" TargetMode="External"/><Relationship Id="rId3089" Type="http://schemas.openxmlformats.org/officeDocument/2006/relationships/hyperlink" Target="https://www.immoscout24.ch/fr/maison/louer/lieu-vernier" TargetMode="External"/><Relationship Id="rId3088" Type="http://schemas.openxmlformats.org/officeDocument/2006/relationships/hyperlink" Target="https://www.immoscout24.ch/fr/maison/louer/lieu-chavannes-sur-moudon" TargetMode="External"/><Relationship Id="rId3039" Type="http://schemas.openxmlformats.org/officeDocument/2006/relationships/hyperlink" Target="https://www.immoscout24.ch/fr/maison/acheter/lieu-kirchlindach" TargetMode="External"/><Relationship Id="rId5691" Type="http://schemas.openxmlformats.org/officeDocument/2006/relationships/hyperlink" Target="https://www.immoscout24.ch/fr/appartement/acheter/lieu-chernex" TargetMode="External"/><Relationship Id="rId5692" Type="http://schemas.openxmlformats.org/officeDocument/2006/relationships/hyperlink" Target="https://www.immoscout24.ch/fr/appartement/louer/lieu-hagneck" TargetMode="External"/><Relationship Id="rId3030" Type="http://schemas.openxmlformats.org/officeDocument/2006/relationships/hyperlink" Target="https://www.immoscout24.ch/fr/appartement/acheter/quartier-beaux-arts-neuchatel" TargetMode="External"/><Relationship Id="rId4361" Type="http://schemas.openxmlformats.org/officeDocument/2006/relationships/hyperlink" Target="https://www.immoscout24.ch/fr/appartement/louer/lieu-laax-gr" TargetMode="External"/><Relationship Id="rId4360" Type="http://schemas.openxmlformats.org/officeDocument/2006/relationships/hyperlink" Target="https://www.immoscout24.ch/fr/appartement/louer/region-lucerne-lac" TargetMode="External"/><Relationship Id="rId5690" Type="http://schemas.openxmlformats.org/officeDocument/2006/relationships/hyperlink" Target="https://www.immoscout24.ch/fr/appartement/louer/lieu-henniez" TargetMode="External"/><Relationship Id="rId3032" Type="http://schemas.openxmlformats.org/officeDocument/2006/relationships/hyperlink" Target="https://www.immoscout24.ch/fr/maison/acheter/lieu-palezieux" TargetMode="External"/><Relationship Id="rId4363" Type="http://schemas.openxmlformats.org/officeDocument/2006/relationships/hyperlink" Target="https://www.immoscout24.ch/fr/maison/acheter/lieu-villaraboud" TargetMode="External"/><Relationship Id="rId5695" Type="http://schemas.openxmlformats.org/officeDocument/2006/relationships/hyperlink" Target="https://www.immoscout24.ch/fr/appartement/louer/lieu-planken" TargetMode="External"/><Relationship Id="rId3031" Type="http://schemas.openxmlformats.org/officeDocument/2006/relationships/hyperlink" Target="https://www.immoscout24.ch/fr/maison/acheter/lieu-sornetan" TargetMode="External"/><Relationship Id="rId4362" Type="http://schemas.openxmlformats.org/officeDocument/2006/relationships/hyperlink" Target="https://www.immoscout24.ch/fr/maison/acheter/lieu-turtmann" TargetMode="External"/><Relationship Id="rId5696" Type="http://schemas.openxmlformats.org/officeDocument/2006/relationships/hyperlink" Target="https://www.immoscout24.ch/fr/appartement/louer/lieu-bedano" TargetMode="External"/><Relationship Id="rId3034" Type="http://schemas.openxmlformats.org/officeDocument/2006/relationships/hyperlink" Target="https://www.immoscout24.ch/fr/appartement/louer/lieu-lens" TargetMode="External"/><Relationship Id="rId4365" Type="http://schemas.openxmlformats.org/officeDocument/2006/relationships/hyperlink" Target="https://www.immoscout24.ch/fr/maison/acheter/lieu-rueras" TargetMode="External"/><Relationship Id="rId5693" Type="http://schemas.openxmlformats.org/officeDocument/2006/relationships/hyperlink" Target="https://www.immoscout24.ch/fr/maison/acheter/lieu-valangin" TargetMode="External"/><Relationship Id="rId3033" Type="http://schemas.openxmlformats.org/officeDocument/2006/relationships/hyperlink" Target="https://www.immoscout24.ch/fr/appartement/louer/lieu-oberwangen-b-bern" TargetMode="External"/><Relationship Id="rId4364" Type="http://schemas.openxmlformats.org/officeDocument/2006/relationships/hyperlink" Target="https://www.immoscout24.ch/fr/maison/acheter/lieu-bremgarten-b-bern" TargetMode="External"/><Relationship Id="rId5694" Type="http://schemas.openxmlformats.org/officeDocument/2006/relationships/hyperlink" Target="https://www.immoscout24.ch/fr/appartement/acheter/lieu-orges" TargetMode="External"/><Relationship Id="rId3036" Type="http://schemas.openxmlformats.org/officeDocument/2006/relationships/hyperlink" Target="https://www.immoscout24.ch/fr/maison/acheter/lieu-les-bois" TargetMode="External"/><Relationship Id="rId4367" Type="http://schemas.openxmlformats.org/officeDocument/2006/relationships/hyperlink" Target="https://www.immoscout24.ch/fr/appartement/louer/quartier-madretsch-nord-biel-bienne" TargetMode="External"/><Relationship Id="rId5699" Type="http://schemas.openxmlformats.org/officeDocument/2006/relationships/hyperlink" Target="https://www.immoscout24.ch/fr/appartement/acheter/lieu-st-imier" TargetMode="External"/><Relationship Id="rId3035" Type="http://schemas.openxmlformats.org/officeDocument/2006/relationships/hyperlink" Target="https://www.immoscout24.ch/fr/appartement/acheter/lieu-orbe" TargetMode="External"/><Relationship Id="rId4366" Type="http://schemas.openxmlformats.org/officeDocument/2006/relationships/hyperlink" Target="https://www.immoscout24.ch/fr/appartement/louer/lieu-gorgier" TargetMode="External"/><Relationship Id="rId3038" Type="http://schemas.openxmlformats.org/officeDocument/2006/relationships/hyperlink" Target="https://www.immoscout24.ch/fr/appartement/louer/lieu-bussy-sur-moudon" TargetMode="External"/><Relationship Id="rId4369" Type="http://schemas.openxmlformats.org/officeDocument/2006/relationships/hyperlink" Target="https://www.immoscout24.ch/fr/maison/acheter/lieu-miege" TargetMode="External"/><Relationship Id="rId5697" Type="http://schemas.openxmlformats.org/officeDocument/2006/relationships/hyperlink" Target="https://www.immoscout24.ch/fr/appartement/louer/lieu-muenchenbuchsee" TargetMode="External"/><Relationship Id="rId3037" Type="http://schemas.openxmlformats.org/officeDocument/2006/relationships/hyperlink" Target="https://www.immoscout24.ch/fr/appartement/acheter/lieu-cernier" TargetMode="External"/><Relationship Id="rId4368" Type="http://schemas.openxmlformats.org/officeDocument/2006/relationships/hyperlink" Target="https://www.immoscout24.ch/fr/maison/acheter/lieu-nods" TargetMode="External"/><Relationship Id="rId5698" Type="http://schemas.openxmlformats.org/officeDocument/2006/relationships/hyperlink" Target="https://www.immoscout24.ch/fr/maison/acheter/lieu-wiedlisbach" TargetMode="External"/><Relationship Id="rId3029" Type="http://schemas.openxmlformats.org/officeDocument/2006/relationships/hyperlink" Target="https://www.immoscout24.ch/fr/maison/acheter/lieu-pilatus-kulm" TargetMode="External"/><Relationship Id="rId3028" Type="http://schemas.openxmlformats.org/officeDocument/2006/relationships/hyperlink" Target="https://www.immoscout24.ch/fr/maison/acheter/lieu-daillon" TargetMode="External"/><Relationship Id="rId4359" Type="http://schemas.openxmlformats.org/officeDocument/2006/relationships/hyperlink" Target="https://www.immoscout24.ch/fr/maison/acheter/region-rhone-arve" TargetMode="External"/><Relationship Id="rId5680" Type="http://schemas.openxmlformats.org/officeDocument/2006/relationships/hyperlink" Target="https://www.immoscout24.ch/fr/appartement/louer/lieu-isone" TargetMode="External"/><Relationship Id="rId5681" Type="http://schemas.openxmlformats.org/officeDocument/2006/relationships/hyperlink" Target="https://www.immoscout24.ch/fr/maison/acheter/lieu-bretigny-sur-morrens" TargetMode="External"/><Relationship Id="rId4350" Type="http://schemas.openxmlformats.org/officeDocument/2006/relationships/hyperlink" Target="https://www.immoscout24.ch/fr/maison/acheter/lieu-biberist" TargetMode="External"/><Relationship Id="rId3021" Type="http://schemas.openxmlformats.org/officeDocument/2006/relationships/hyperlink" Target="https://www.immoscout24.ch/fr/appartement/louer/lieu-aire" TargetMode="External"/><Relationship Id="rId4352" Type="http://schemas.openxmlformats.org/officeDocument/2006/relationships/hyperlink" Target="https://www.immoscout24.ch/fr/appartement/acheter/lieu-le-bry" TargetMode="External"/><Relationship Id="rId5684" Type="http://schemas.openxmlformats.org/officeDocument/2006/relationships/hyperlink" Target="https://www.immoscout24.ch/fr/maison/acheter/lieu-hallau" TargetMode="External"/><Relationship Id="rId3020" Type="http://schemas.openxmlformats.org/officeDocument/2006/relationships/hyperlink" Target="https://www.immoscout24.ch/fr/appartement/louer/lieu-la-chaux-du-milieu" TargetMode="External"/><Relationship Id="rId4351" Type="http://schemas.openxmlformats.org/officeDocument/2006/relationships/hyperlink" Target="https://www.immoscout24.ch/fr/appartement/louer/lieu-villiers" TargetMode="External"/><Relationship Id="rId5685" Type="http://schemas.openxmlformats.org/officeDocument/2006/relationships/hyperlink" Target="https://www.immoscout24.ch/fr/appartement/louer/lieu-plagne" TargetMode="External"/><Relationship Id="rId3023" Type="http://schemas.openxmlformats.org/officeDocument/2006/relationships/hyperlink" Target="https://www.immoscout24.ch/fr/maison/louer/lieu-estavayer-le-lac" TargetMode="External"/><Relationship Id="rId4354" Type="http://schemas.openxmlformats.org/officeDocument/2006/relationships/hyperlink" Target="https://www.immoscout24.ch/fr/maison/acheter/lieu-binn" TargetMode="External"/><Relationship Id="rId5682" Type="http://schemas.openxmlformats.org/officeDocument/2006/relationships/hyperlink" Target="https://www.immoscout24.ch/fr/appartement/louer/lieu-susch" TargetMode="External"/><Relationship Id="rId3022" Type="http://schemas.openxmlformats.org/officeDocument/2006/relationships/hyperlink" Target="https://www.immoscout24.ch/fr/appartement/acheter/lieu-zweisimmen" TargetMode="External"/><Relationship Id="rId4353" Type="http://schemas.openxmlformats.org/officeDocument/2006/relationships/hyperlink" Target="https://www.immoscout24.ch/fr/appartement/louer/lieu-tscheppach" TargetMode="External"/><Relationship Id="rId5683" Type="http://schemas.openxmlformats.org/officeDocument/2006/relationships/hyperlink" Target="https://www.immoscout24.ch/fr/maison/louer/lieu-villeneuve-fr" TargetMode="External"/><Relationship Id="rId3025" Type="http://schemas.openxmlformats.org/officeDocument/2006/relationships/hyperlink" Target="https://www.immoscout24.ch/fr/appartement/louer/lieu-rapperswil-be" TargetMode="External"/><Relationship Id="rId4356" Type="http://schemas.openxmlformats.org/officeDocument/2006/relationships/hyperlink" Target="https://www.immoscout24.ch/fr/appartement/louer/lieu-chene-paquier" TargetMode="External"/><Relationship Id="rId5688" Type="http://schemas.openxmlformats.org/officeDocument/2006/relationships/hyperlink" Target="https://www.immoscout24.ch/fr/maison/acheter/lieu-rigi-kulm" TargetMode="External"/><Relationship Id="rId3024" Type="http://schemas.openxmlformats.org/officeDocument/2006/relationships/hyperlink" Target="https://www.immoscout24.ch/fr/appartement/louer/lieu-villa-evolene" TargetMode="External"/><Relationship Id="rId4355" Type="http://schemas.openxmlformats.org/officeDocument/2006/relationships/hyperlink" Target="https://www.immoscout24.ch/fr/maison/acheter/lieu-salvenach" TargetMode="External"/><Relationship Id="rId5689" Type="http://schemas.openxmlformats.org/officeDocument/2006/relationships/hyperlink" Target="https://www.immoscout24.ch/fr/maison/louer/lieu-les-rasses" TargetMode="External"/><Relationship Id="rId3027" Type="http://schemas.openxmlformats.org/officeDocument/2006/relationships/hyperlink" Target="https://www.immoscout24.ch/fr/maison/louer/lieu-erde" TargetMode="External"/><Relationship Id="rId4358" Type="http://schemas.openxmlformats.org/officeDocument/2006/relationships/hyperlink" Target="https://www.immoscout24.ch/fr/appartement/louer/lieu-maules" TargetMode="External"/><Relationship Id="rId5686" Type="http://schemas.openxmlformats.org/officeDocument/2006/relationships/hyperlink" Target="https://www.immoscout24.ch/fr/appartement/acheter/region-lac-de-constance" TargetMode="External"/><Relationship Id="rId3026" Type="http://schemas.openxmlformats.org/officeDocument/2006/relationships/hyperlink" Target="https://www.immoscout24.ch/fr/appartement/acheter/region-avenches-payerne" TargetMode="External"/><Relationship Id="rId4357" Type="http://schemas.openxmlformats.org/officeDocument/2006/relationships/hyperlink" Target="https://www.immoscout24.ch/fr/appartement/acheter/region-montagnes-neuchateloises" TargetMode="External"/><Relationship Id="rId5687" Type="http://schemas.openxmlformats.org/officeDocument/2006/relationships/hyperlink" Target="https://www.immoscout24.ch/fr/maison/acheter/lieu-echarlens" TargetMode="External"/><Relationship Id="rId3050" Type="http://schemas.openxmlformats.org/officeDocument/2006/relationships/hyperlink" Target="https://www.immoscout24.ch/fr/maison/acheter/lieu-st-ursen" TargetMode="External"/><Relationship Id="rId4381" Type="http://schemas.openxmlformats.org/officeDocument/2006/relationships/hyperlink" Target="https://www.immoscout24.ch/fr/appartement/louer/quartier-eaux-vives-lac-geneve" TargetMode="External"/><Relationship Id="rId4380" Type="http://schemas.openxmlformats.org/officeDocument/2006/relationships/hyperlink" Target="https://www.immoscout24.ch/fr/appartement/louer/quartier-klybeck-bale" TargetMode="External"/><Relationship Id="rId3052" Type="http://schemas.openxmlformats.org/officeDocument/2006/relationships/hyperlink" Target="https://www.immoscout24.ch/fr/appartement/acheter/lieu-campione-d-italia" TargetMode="External"/><Relationship Id="rId4383" Type="http://schemas.openxmlformats.org/officeDocument/2006/relationships/hyperlink" Target="https://www.immoscout24.ch/fr/appartement/louer/lieu-nussbaumen-ag" TargetMode="External"/><Relationship Id="rId3051" Type="http://schemas.openxmlformats.org/officeDocument/2006/relationships/hyperlink" Target="https://www.immoscout24.ch/fr/appartement/louer/lieu-motiers-ne" TargetMode="External"/><Relationship Id="rId4382" Type="http://schemas.openxmlformats.org/officeDocument/2006/relationships/hyperlink" Target="https://www.immoscout24.ch/fr/maison/louer/lieu-moudon" TargetMode="External"/><Relationship Id="rId3054" Type="http://schemas.openxmlformats.org/officeDocument/2006/relationships/hyperlink" Target="https://www.immoscout24.ch/fr/appartement/acheter/lieu-birmenstorf-ag" TargetMode="External"/><Relationship Id="rId4385" Type="http://schemas.openxmlformats.org/officeDocument/2006/relationships/hyperlink" Target="https://www.immoscout24.ch/fr/maison/acheter/lieu-vandoeuvres" TargetMode="External"/><Relationship Id="rId3053" Type="http://schemas.openxmlformats.org/officeDocument/2006/relationships/hyperlink" Target="https://www.immoscout24.ch/fr/appartement/acheter/lieu-dardagny" TargetMode="External"/><Relationship Id="rId4384" Type="http://schemas.openxmlformats.org/officeDocument/2006/relationships/hyperlink" Target="https://www.immoscout24.ch/fr/appartement/louer/lieu-begnins" TargetMode="External"/><Relationship Id="rId3056" Type="http://schemas.openxmlformats.org/officeDocument/2006/relationships/hyperlink" Target="https://www.immoscout24.ch/fr/appartement/louer/lieu-meggen" TargetMode="External"/><Relationship Id="rId4387" Type="http://schemas.openxmlformats.org/officeDocument/2006/relationships/hyperlink" Target="https://www.immoscout24.ch/fr/appartement/louer/lieu-les-mayens-de-sion" TargetMode="External"/><Relationship Id="rId3055" Type="http://schemas.openxmlformats.org/officeDocument/2006/relationships/hyperlink" Target="https://www.immoscout24.ch/fr/appartement/louer/quartier-grossbasel-altstadt-bale" TargetMode="External"/><Relationship Id="rId4386" Type="http://schemas.openxmlformats.org/officeDocument/2006/relationships/hyperlink" Target="https://www.immoscout24.ch/fr/appartement/acheter/lieu-la-croix-de-rozon" TargetMode="External"/><Relationship Id="rId3058" Type="http://schemas.openxmlformats.org/officeDocument/2006/relationships/hyperlink" Target="https://www.immoscout24.ch/fr/appartement/louer/lieu-bursins" TargetMode="External"/><Relationship Id="rId4389" Type="http://schemas.openxmlformats.org/officeDocument/2006/relationships/hyperlink" Target="https://www.immoscout24.ch/fr/maison/acheter/lieu-wettswil" TargetMode="External"/><Relationship Id="rId3057" Type="http://schemas.openxmlformats.org/officeDocument/2006/relationships/hyperlink" Target="https://www.immoscout24.ch/fr/appartement/acheter/lieu-puplinge" TargetMode="External"/><Relationship Id="rId4388" Type="http://schemas.openxmlformats.org/officeDocument/2006/relationships/hyperlink" Target="https://www.immoscout24.ch/fr/maison/acheter/lieu-le-chateau-de-ste-croix" TargetMode="External"/><Relationship Id="rId3059" Type="http://schemas.openxmlformats.org/officeDocument/2006/relationships/hyperlink" Target="https://www.immoscout24.ch/fr/maison/acheter/lieu-lully-vd" TargetMode="External"/><Relationship Id="rId4370" Type="http://schemas.openxmlformats.org/officeDocument/2006/relationships/hyperlink" Target="https://www.immoscout24.ch/fr/appartement/acheter/lieu-ermatingen" TargetMode="External"/><Relationship Id="rId3041" Type="http://schemas.openxmlformats.org/officeDocument/2006/relationships/hyperlink" Target="https://www.immoscout24.ch/fr/appartement/acheter/lieu-salins" TargetMode="External"/><Relationship Id="rId4372" Type="http://schemas.openxmlformats.org/officeDocument/2006/relationships/hyperlink" Target="https://www.immoscout24.ch/fr/maison/acheter/lieu-beurnevesin" TargetMode="External"/><Relationship Id="rId3040" Type="http://schemas.openxmlformats.org/officeDocument/2006/relationships/hyperlink" Target="https://www.immoscout24.ch/fr/maison/acheter/lieu-cassina-d-agno" TargetMode="External"/><Relationship Id="rId4371" Type="http://schemas.openxmlformats.org/officeDocument/2006/relationships/hyperlink" Target="https://www.immoscout24.ch/fr/appartement/acheter/lieu-hermance" TargetMode="External"/><Relationship Id="rId3043" Type="http://schemas.openxmlformats.org/officeDocument/2006/relationships/hyperlink" Target="https://www.immoscout24.ch/fr/maison/acheter/lieu-les-tavernes" TargetMode="External"/><Relationship Id="rId4374" Type="http://schemas.openxmlformats.org/officeDocument/2006/relationships/hyperlink" Target="https://www.immoscout24.ch/fr/appartement/louer/lieu-beinwil-freiamt" TargetMode="External"/><Relationship Id="rId3042" Type="http://schemas.openxmlformats.org/officeDocument/2006/relationships/hyperlink" Target="https://www.immoscout24.ch/fr/appartement/louer/lieu-vandoeuvres" TargetMode="External"/><Relationship Id="rId4373" Type="http://schemas.openxmlformats.org/officeDocument/2006/relationships/hyperlink" Target="https://www.immoscout24.ch/fr/appartement/louer/lieu-schoeftland" TargetMode="External"/><Relationship Id="rId3045" Type="http://schemas.openxmlformats.org/officeDocument/2006/relationships/hyperlink" Target="https://www.immoscout24.ch/fr/maison/acheter/lieu-berneck" TargetMode="External"/><Relationship Id="rId4376" Type="http://schemas.openxmlformats.org/officeDocument/2006/relationships/hyperlink" Target="https://www.immoscout24.ch/fr/maison/acheter/lieu-randogne" TargetMode="External"/><Relationship Id="rId3044" Type="http://schemas.openxmlformats.org/officeDocument/2006/relationships/hyperlink" Target="https://www.immoscout24.ch/fr/appartement/acheter/lieu-chapelle-broye" TargetMode="External"/><Relationship Id="rId4375" Type="http://schemas.openxmlformats.org/officeDocument/2006/relationships/hyperlink" Target="https://www.immoscout24.ch/fr/appartement/acheter/lieu-vetroz" TargetMode="External"/><Relationship Id="rId3047" Type="http://schemas.openxmlformats.org/officeDocument/2006/relationships/hyperlink" Target="https://www.immoscout24.ch/fr/appartement/acheter/lieu-praz-vully" TargetMode="External"/><Relationship Id="rId4378" Type="http://schemas.openxmlformats.org/officeDocument/2006/relationships/hyperlink" Target="https://www.immoscout24.ch/fr/appartement/louer/lieu-ramsen" TargetMode="External"/><Relationship Id="rId3046" Type="http://schemas.openxmlformats.org/officeDocument/2006/relationships/hyperlink" Target="https://www.immoscout24.ch/fr/maison/louer/region-mendrisiotto" TargetMode="External"/><Relationship Id="rId4377" Type="http://schemas.openxmlformats.org/officeDocument/2006/relationships/hyperlink" Target="https://www.immoscout24.ch/fr/maison/acheter/lieu-la-croix-lutry" TargetMode="External"/><Relationship Id="rId3049" Type="http://schemas.openxmlformats.org/officeDocument/2006/relationships/hyperlink" Target="https://www.immoscout24.ch/fr/appartement/louer/lieu-chavannes-de-bogis" TargetMode="External"/><Relationship Id="rId3048" Type="http://schemas.openxmlformats.org/officeDocument/2006/relationships/hyperlink" Target="https://www.immoscout24.ch/fr/maison/acheter/lieu-senedes" TargetMode="External"/><Relationship Id="rId4379" Type="http://schemas.openxmlformats.org/officeDocument/2006/relationships/hyperlink" Target="https://www.immoscout24.ch/fr/appartement/louer/lieu-wettingen" TargetMode="External"/><Relationship Id="rId5714" Type="http://schemas.openxmlformats.org/officeDocument/2006/relationships/hyperlink" Target="https://www.immoscout24.ch/fr/appartement/louer/lieu-gonten" TargetMode="External"/><Relationship Id="rId5715" Type="http://schemas.openxmlformats.org/officeDocument/2006/relationships/hyperlink" Target="https://www.immoscout24.ch/fr/maison/acheter/lieu-suhr" TargetMode="External"/><Relationship Id="rId5712" Type="http://schemas.openxmlformats.org/officeDocument/2006/relationships/hyperlink" Target="https://www.immoscout24.ch/fr/maison/acheter/lieu-lausanne" TargetMode="External"/><Relationship Id="rId5713" Type="http://schemas.openxmlformats.org/officeDocument/2006/relationships/hyperlink" Target="https://www.immoscout24.ch/fr/appartement/louer/lieu-burtigny" TargetMode="External"/><Relationship Id="rId5718" Type="http://schemas.openxmlformats.org/officeDocument/2006/relationships/hyperlink" Target="https://www.immoscout24.ch/fr/appartement/louer/lieu-lajoux-ju" TargetMode="External"/><Relationship Id="rId5719" Type="http://schemas.openxmlformats.org/officeDocument/2006/relationships/hyperlink" Target="https://www.immoscout24.ch/fr/maison/louer/lieu-frenieres-sur-bex" TargetMode="External"/><Relationship Id="rId5716" Type="http://schemas.openxmlformats.org/officeDocument/2006/relationships/hyperlink" Target="https://www.immoscout24.ch/fr/appartement/louer/lieu-ecuvillens" TargetMode="External"/><Relationship Id="rId5717" Type="http://schemas.openxmlformats.org/officeDocument/2006/relationships/hyperlink" Target="https://www.immoscout24.ch/fr/appartement/louer/lieu-heimberg" TargetMode="External"/><Relationship Id="rId5710" Type="http://schemas.openxmlformats.org/officeDocument/2006/relationships/hyperlink" Target="https://www.immoscout24.ch/fr/maison/acheter/quartier-secteur-forain-ouest-la-chaux-de-fonds" TargetMode="External"/><Relationship Id="rId5711" Type="http://schemas.openxmlformats.org/officeDocument/2006/relationships/hyperlink" Target="https://www.immoscout24.ch/fr/appartement/louer/lieu-aubonne" TargetMode="External"/><Relationship Id="rId5703" Type="http://schemas.openxmlformats.org/officeDocument/2006/relationships/hyperlink" Target="https://www.immoscout24.ch/fr/appartement/louer/lieu-le-locle" TargetMode="External"/><Relationship Id="rId5704" Type="http://schemas.openxmlformats.org/officeDocument/2006/relationships/hyperlink" Target="https://www.immoscout24.ch/fr/appartement/louer/lieu-gerlafingen" TargetMode="External"/><Relationship Id="rId5701" Type="http://schemas.openxmlformats.org/officeDocument/2006/relationships/hyperlink" Target="https://www.immoscout24.ch/fr/maison/acheter/lieu-massonnens" TargetMode="External"/><Relationship Id="rId5702" Type="http://schemas.openxmlformats.org/officeDocument/2006/relationships/hyperlink" Target="https://www.immoscout24.ch/fr/maison/louer/lieu-roche-vd" TargetMode="External"/><Relationship Id="rId5707" Type="http://schemas.openxmlformats.org/officeDocument/2006/relationships/hyperlink" Target="https://www.immoscout24.ch/fr/appartement/louer/region-oberengadin-puschlav-bergell" TargetMode="External"/><Relationship Id="rId5708" Type="http://schemas.openxmlformats.org/officeDocument/2006/relationships/hyperlink" Target="https://www.immoscout24.ch/fr/appartement/louer/lieu-kriegstetten" TargetMode="External"/><Relationship Id="rId5705" Type="http://schemas.openxmlformats.org/officeDocument/2006/relationships/hyperlink" Target="https://www.immoscout24.ch/fr/maison/acheter/lieu-moiry-vd" TargetMode="External"/><Relationship Id="rId5706" Type="http://schemas.openxmlformats.org/officeDocument/2006/relationships/hyperlink" Target="https://www.immoscout24.ch/fr/appartement/louer/lieu-bauen" TargetMode="External"/><Relationship Id="rId5709" Type="http://schemas.openxmlformats.org/officeDocument/2006/relationships/hyperlink" Target="https://www.immoscout24.ch/fr/maison/louer/lieu-baech-sz" TargetMode="External"/><Relationship Id="rId5700" Type="http://schemas.openxmlformats.org/officeDocument/2006/relationships/hyperlink" Target="https://www.immoscout24.ch/fr/appartement/acheter/lieu-conches" TargetMode="External"/><Relationship Id="rId3117" Type="http://schemas.openxmlformats.org/officeDocument/2006/relationships/hyperlink" Target="https://www.immoscout24.ch/fr/maison/acheter/lieu-iseo" TargetMode="External"/><Relationship Id="rId4448" Type="http://schemas.openxmlformats.org/officeDocument/2006/relationships/hyperlink" Target="https://www.immoscout24.ch/fr/appartement/louer/lieu-valangin" TargetMode="External"/><Relationship Id="rId3116" Type="http://schemas.openxmlformats.org/officeDocument/2006/relationships/hyperlink" Target="https://www.immoscout24.ch/fr/appartement/louer/quartier-monruz-neuchatel" TargetMode="External"/><Relationship Id="rId4447" Type="http://schemas.openxmlformats.org/officeDocument/2006/relationships/hyperlink" Target="https://www.immoscout24.ch/fr/appartement/louer/lieu-schoenenbuch" TargetMode="External"/><Relationship Id="rId3119" Type="http://schemas.openxmlformats.org/officeDocument/2006/relationships/hyperlink" Target="https://www.immoscout24.ch/fr/appartement/louer/lieu-pratteln" TargetMode="External"/><Relationship Id="rId5778" Type="http://schemas.openxmlformats.org/officeDocument/2006/relationships/hyperlink" Target="https://www.immoscout24.ch/fr/maison/acheter/lieu-stalden-vs" TargetMode="External"/><Relationship Id="rId3118" Type="http://schemas.openxmlformats.org/officeDocument/2006/relationships/hyperlink" Target="https://www.immoscout24.ch/fr/appartement/louer/lieu-diesse" TargetMode="External"/><Relationship Id="rId4449" Type="http://schemas.openxmlformats.org/officeDocument/2006/relationships/hyperlink" Target="https://www.immoscout24.ch/fr/appartement/louer/lieu-rorschach" TargetMode="External"/><Relationship Id="rId5779" Type="http://schemas.openxmlformats.org/officeDocument/2006/relationships/hyperlink" Target="https://www.immoscout24.ch/fr/maison/acheter/lieu-la-rippe" TargetMode="External"/><Relationship Id="rId4440" Type="http://schemas.openxmlformats.org/officeDocument/2006/relationships/hyperlink" Target="https://www.immoscout24.ch/fr/maison/acheter/lieu-laufenburg" TargetMode="External"/><Relationship Id="rId5772" Type="http://schemas.openxmlformats.org/officeDocument/2006/relationships/hyperlink" Target="https://www.immoscout24.ch/fr/appartement/acheter/region-aigle-alpes-vaudoises" TargetMode="External"/><Relationship Id="rId5773" Type="http://schemas.openxmlformats.org/officeDocument/2006/relationships/hyperlink" Target="https://www.immoscout24.ch/fr/maison/acheter/lieu-gryon" TargetMode="External"/><Relationship Id="rId3111" Type="http://schemas.openxmlformats.org/officeDocument/2006/relationships/hyperlink" Target="https://www.immoscout24.ch/fr/maison/acheter/lieu-la-joux-fr" TargetMode="External"/><Relationship Id="rId4442" Type="http://schemas.openxmlformats.org/officeDocument/2006/relationships/hyperlink" Target="https://www.immoscout24.ch/fr/appartement/louer/lieu-twann" TargetMode="External"/><Relationship Id="rId5770" Type="http://schemas.openxmlformats.org/officeDocument/2006/relationships/hyperlink" Target="https://www.immoscout24.ch/fr/maison/acheter/lieu-montet-broye" TargetMode="External"/><Relationship Id="rId3110" Type="http://schemas.openxmlformats.org/officeDocument/2006/relationships/hyperlink" Target="https://www.immoscout24.ch/fr/appartement/acheter/lieu-mission" TargetMode="External"/><Relationship Id="rId4441" Type="http://schemas.openxmlformats.org/officeDocument/2006/relationships/hyperlink" Target="https://www.immoscout24.ch/fr/appartement/acheter/region-delemont" TargetMode="External"/><Relationship Id="rId5771" Type="http://schemas.openxmlformats.org/officeDocument/2006/relationships/hyperlink" Target="https://www.immoscout24.ch/fr/maison/acheter/lieu-beinwil-freiamt" TargetMode="External"/><Relationship Id="rId3113" Type="http://schemas.openxmlformats.org/officeDocument/2006/relationships/hyperlink" Target="https://www.immoscout24.ch/fr/appartement/acheter/lieu-unterseen" TargetMode="External"/><Relationship Id="rId4444" Type="http://schemas.openxmlformats.org/officeDocument/2006/relationships/hyperlink" Target="https://www.immoscout24.ch/fr/appartement/louer/lieu-baden" TargetMode="External"/><Relationship Id="rId5776" Type="http://schemas.openxmlformats.org/officeDocument/2006/relationships/hyperlink" Target="https://www.immoscout24.ch/fr/maison/acheter/lieu-poliez-pittet" TargetMode="External"/><Relationship Id="rId3112" Type="http://schemas.openxmlformats.org/officeDocument/2006/relationships/hyperlink" Target="https://www.immoscout24.ch/fr/maison/acheter/lieu-les-reussilles" TargetMode="External"/><Relationship Id="rId4443" Type="http://schemas.openxmlformats.org/officeDocument/2006/relationships/hyperlink" Target="https://www.immoscout24.ch/fr/maison/acheter/lieu-payerne" TargetMode="External"/><Relationship Id="rId5777" Type="http://schemas.openxmlformats.org/officeDocument/2006/relationships/hyperlink" Target="https://www.immoscout24.ch/fr/maison/acheter/lieu-quartino" TargetMode="External"/><Relationship Id="rId3115" Type="http://schemas.openxmlformats.org/officeDocument/2006/relationships/hyperlink" Target="https://www.immoscout24.ch/fr/maison/acheter/lieu-kandersteg" TargetMode="External"/><Relationship Id="rId4446" Type="http://schemas.openxmlformats.org/officeDocument/2006/relationships/hyperlink" Target="https://www.immoscout24.ch/fr/appartement/louer/lieu-buchs-ag" TargetMode="External"/><Relationship Id="rId5774" Type="http://schemas.openxmlformats.org/officeDocument/2006/relationships/hyperlink" Target="https://www.immoscout24.ch/fr/appartement/acheter/pays-portugal" TargetMode="External"/><Relationship Id="rId3114" Type="http://schemas.openxmlformats.org/officeDocument/2006/relationships/hyperlink" Target="https://www.immoscout24.ch/fr/appartement/louer/quartier-stoeckacker-berne" TargetMode="External"/><Relationship Id="rId4445" Type="http://schemas.openxmlformats.org/officeDocument/2006/relationships/hyperlink" Target="https://www.immoscout24.ch/fr/maison/acheter/lieu-saxon" TargetMode="External"/><Relationship Id="rId5775" Type="http://schemas.openxmlformats.org/officeDocument/2006/relationships/hyperlink" Target="https://www.immoscout24.ch/fr/appartement/louer/lieu-choex" TargetMode="External"/><Relationship Id="rId3106" Type="http://schemas.openxmlformats.org/officeDocument/2006/relationships/hyperlink" Target="https://www.immoscout24.ch/fr/appartement/acheter/lieu-walliswil-b-wangen" TargetMode="External"/><Relationship Id="rId4437" Type="http://schemas.openxmlformats.org/officeDocument/2006/relationships/hyperlink" Target="https://www.immoscout24.ch/fr/maison/acheter/lieu-lavigny" TargetMode="External"/><Relationship Id="rId5769" Type="http://schemas.openxmlformats.org/officeDocument/2006/relationships/hyperlink" Target="https://www.immoscout24.ch/fr/maison/acheter/lieu-font" TargetMode="External"/><Relationship Id="rId3105" Type="http://schemas.openxmlformats.org/officeDocument/2006/relationships/hyperlink" Target="https://www.immoscout24.ch/fr/maison/acheter/lieu-riex" TargetMode="External"/><Relationship Id="rId4436" Type="http://schemas.openxmlformats.org/officeDocument/2006/relationships/hyperlink" Target="https://www.immoscout24.ch/fr/maison/acheter/lieu-bassecourt" TargetMode="External"/><Relationship Id="rId3108" Type="http://schemas.openxmlformats.org/officeDocument/2006/relationships/hyperlink" Target="https://www.immoscout24.ch/fr/appartement/louer/lieu-heerbrugg" TargetMode="External"/><Relationship Id="rId4439" Type="http://schemas.openxmlformats.org/officeDocument/2006/relationships/hyperlink" Target="https://www.immoscout24.ch/fr/appartement/louer/lieu-muntelier" TargetMode="External"/><Relationship Id="rId5767" Type="http://schemas.openxmlformats.org/officeDocument/2006/relationships/hyperlink" Target="https://www.immoscout24.ch/fr/appartement/louer/lieu-belmont-sur-lausanne" TargetMode="External"/><Relationship Id="rId3107" Type="http://schemas.openxmlformats.org/officeDocument/2006/relationships/hyperlink" Target="https://www.immoscout24.ch/fr/appartement/louer/lieu-cottens-fr" TargetMode="External"/><Relationship Id="rId4438" Type="http://schemas.openxmlformats.org/officeDocument/2006/relationships/hyperlink" Target="https://www.immoscout24.ch/fr/appartement/louer/lieu-loc" TargetMode="External"/><Relationship Id="rId5768" Type="http://schemas.openxmlformats.org/officeDocument/2006/relationships/hyperlink" Target="https://www.immoscout24.ch/fr/maison/louer/lieu-brot-plamboz" TargetMode="External"/><Relationship Id="rId3109" Type="http://schemas.openxmlformats.org/officeDocument/2006/relationships/hyperlink" Target="https://www.immoscout24.ch/fr/appartement/acheter/lieu-st-sulpice-vd" TargetMode="External"/><Relationship Id="rId5761" Type="http://schemas.openxmlformats.org/officeDocument/2006/relationships/hyperlink" Target="https://www.immoscout24.ch/fr/maison/louer/lieu-weingarten-kalthaeusern" TargetMode="External"/><Relationship Id="rId5762" Type="http://schemas.openxmlformats.org/officeDocument/2006/relationships/hyperlink" Target="https://www.immoscout24.ch/fr/maison/louer/lieu-troinex" TargetMode="External"/><Relationship Id="rId3100" Type="http://schemas.openxmlformats.org/officeDocument/2006/relationships/hyperlink" Target="https://www.immoscout24.ch/fr/maison/acheter/region-bremgarten-lenzburg-muri-kulm" TargetMode="External"/><Relationship Id="rId4431" Type="http://schemas.openxmlformats.org/officeDocument/2006/relationships/hyperlink" Target="https://www.immoscout24.ch/fr/appartement/acheter/lieu-endingen" TargetMode="External"/><Relationship Id="rId4430" Type="http://schemas.openxmlformats.org/officeDocument/2006/relationships/hyperlink" Target="https://www.immoscout24.ch/fr/appartement/louer/lieu-buttes" TargetMode="External"/><Relationship Id="rId5760" Type="http://schemas.openxmlformats.org/officeDocument/2006/relationships/hyperlink" Target="https://www.immoscout24.ch/fr/appartement/louer/lieu-guggisberg" TargetMode="External"/><Relationship Id="rId3102" Type="http://schemas.openxmlformats.org/officeDocument/2006/relationships/hyperlink" Target="https://www.immoscout24.ch/fr/appartement/louer/lieu-vullierens" TargetMode="External"/><Relationship Id="rId4433" Type="http://schemas.openxmlformats.org/officeDocument/2006/relationships/hyperlink" Target="https://www.immoscout24.ch/fr/appartement/louer/lieu-dornach" TargetMode="External"/><Relationship Id="rId5765" Type="http://schemas.openxmlformats.org/officeDocument/2006/relationships/hyperlink" Target="https://www.immoscout24.ch/fr/appartement/louer/lieu-moerel" TargetMode="External"/><Relationship Id="rId3101" Type="http://schemas.openxmlformats.org/officeDocument/2006/relationships/hyperlink" Target="https://www.immoscout24.ch/fr/appartement/louer/lieu-wolhusen" TargetMode="External"/><Relationship Id="rId4432" Type="http://schemas.openxmlformats.org/officeDocument/2006/relationships/hyperlink" Target="https://www.immoscout24.ch/fr/maison/louer/lieu-les-geneveys-sur-coffrane" TargetMode="External"/><Relationship Id="rId5766" Type="http://schemas.openxmlformats.org/officeDocument/2006/relationships/hyperlink" Target="https://www.immoscout24.ch/fr/appartement/louer/lieu-mettembert" TargetMode="External"/><Relationship Id="rId3104" Type="http://schemas.openxmlformats.org/officeDocument/2006/relationships/hyperlink" Target="https://www.immoscout24.ch/fr/maison/acheter/lieu-erlach" TargetMode="External"/><Relationship Id="rId4435" Type="http://schemas.openxmlformats.org/officeDocument/2006/relationships/hyperlink" Target="https://www.immoscout24.ch/fr/appartement/louer/quartier-lorraine-berne" TargetMode="External"/><Relationship Id="rId5763" Type="http://schemas.openxmlformats.org/officeDocument/2006/relationships/hyperlink" Target="https://www.immoscout24.ch/fr/maison/louer/lieu-vercorin" TargetMode="External"/><Relationship Id="rId3103" Type="http://schemas.openxmlformats.org/officeDocument/2006/relationships/hyperlink" Target="https://www.immoscout24.ch/fr/appartement/louer/lieu-steffisburg" TargetMode="External"/><Relationship Id="rId4434" Type="http://schemas.openxmlformats.org/officeDocument/2006/relationships/hyperlink" Target="https://www.immoscout24.ch/fr/maison/louer/lieu-pensier" TargetMode="External"/><Relationship Id="rId5764" Type="http://schemas.openxmlformats.org/officeDocument/2006/relationships/hyperlink" Target="https://www.immoscout24.ch/fr/appartement/louer/lieu-tafers" TargetMode="External"/><Relationship Id="rId3139" Type="http://schemas.openxmlformats.org/officeDocument/2006/relationships/hyperlink" Target="https://www.immoscout24.ch/fr/maison/acheter/lieu-magden" TargetMode="External"/><Relationship Id="rId3138" Type="http://schemas.openxmlformats.org/officeDocument/2006/relationships/hyperlink" Target="https://www.immoscout24.ch/fr/appartement/louer/lieu-seleute" TargetMode="External"/><Relationship Id="rId4469" Type="http://schemas.openxmlformats.org/officeDocument/2006/relationships/hyperlink" Target="https://www.immoscout24.ch/fr/maison/acheter/lieu-val-d-illiez" TargetMode="External"/><Relationship Id="rId5790" Type="http://schemas.openxmlformats.org/officeDocument/2006/relationships/hyperlink" Target="https://www.immoscout24.ch/fr/maison/acheter/lieu-blonay" TargetMode="External"/><Relationship Id="rId5791" Type="http://schemas.openxmlformats.org/officeDocument/2006/relationships/hyperlink" Target="https://www.immoscout24.ch/fr/maison/acheter/lieu-essert-sous-champvent" TargetMode="External"/><Relationship Id="rId4460" Type="http://schemas.openxmlformats.org/officeDocument/2006/relationships/hyperlink" Target="https://www.immoscout24.ch/fr/maison/acheter/lieu-mur-vully-vd" TargetMode="External"/><Relationship Id="rId3131" Type="http://schemas.openxmlformats.org/officeDocument/2006/relationships/hyperlink" Target="https://www.immoscout24.ch/fr/maison/acheter/lieu-gerra-verzasca" TargetMode="External"/><Relationship Id="rId4462" Type="http://schemas.openxmlformats.org/officeDocument/2006/relationships/hyperlink" Target="https://www.immoscout24.ch/fr/appartement/louer/quartier-cadro-lugano" TargetMode="External"/><Relationship Id="rId5794" Type="http://schemas.openxmlformats.org/officeDocument/2006/relationships/hyperlink" Target="https://www.immoscout24.ch/fr/appartement/louer/lieu-sierre" TargetMode="External"/><Relationship Id="rId3130" Type="http://schemas.openxmlformats.org/officeDocument/2006/relationships/hyperlink" Target="https://www.immoscout24.ch/fr/appartement/acheter/lieu-stoos-sz" TargetMode="External"/><Relationship Id="rId4461" Type="http://schemas.openxmlformats.org/officeDocument/2006/relationships/hyperlink" Target="https://www.immoscout24.ch/fr/appartement/acheter/lieu-albinen" TargetMode="External"/><Relationship Id="rId5795" Type="http://schemas.openxmlformats.org/officeDocument/2006/relationships/hyperlink" Target="https://www.immoscout24.ch/fr/appartement/acheter/lieu-watt" TargetMode="External"/><Relationship Id="rId3133" Type="http://schemas.openxmlformats.org/officeDocument/2006/relationships/hyperlink" Target="https://www.immoscout24.ch/fr/appartement/louer/lieu-chevroux" TargetMode="External"/><Relationship Id="rId4464" Type="http://schemas.openxmlformats.org/officeDocument/2006/relationships/hyperlink" Target="https://www.immoscout24.ch/fr/maison/acheter/lieu-binningen" TargetMode="External"/><Relationship Id="rId5792" Type="http://schemas.openxmlformats.org/officeDocument/2006/relationships/hyperlink" Target="https://www.immoscout24.ch/fr/appartement/louer/lieu-sala-capriasca" TargetMode="External"/><Relationship Id="rId3132" Type="http://schemas.openxmlformats.org/officeDocument/2006/relationships/hyperlink" Target="https://www.immoscout24.ch/fr/appartement/louer/lieu-chermignon" TargetMode="External"/><Relationship Id="rId4463" Type="http://schemas.openxmlformats.org/officeDocument/2006/relationships/hyperlink" Target="https://www.immoscout24.ch/fr/maison/acheter/quartier-forges-endroits-la-chaux-de-fonds" TargetMode="External"/><Relationship Id="rId5793" Type="http://schemas.openxmlformats.org/officeDocument/2006/relationships/hyperlink" Target="https://www.immoscout24.ch/fr/appartement/acheter/lieu-birsfelden" TargetMode="External"/><Relationship Id="rId3135" Type="http://schemas.openxmlformats.org/officeDocument/2006/relationships/hyperlink" Target="https://www.immoscout24.ch/fr/appartement/louer/lieu-saillon" TargetMode="External"/><Relationship Id="rId4466" Type="http://schemas.openxmlformats.org/officeDocument/2006/relationships/hyperlink" Target="https://www.immoscout24.ch/fr/appartement/louer/lieu-niederuzwil" TargetMode="External"/><Relationship Id="rId5798" Type="http://schemas.openxmlformats.org/officeDocument/2006/relationships/hyperlink" Target="https://www.immoscout24.ch/fr/appartement/louer/lieu-sennwald" TargetMode="External"/><Relationship Id="rId3134" Type="http://schemas.openxmlformats.org/officeDocument/2006/relationships/hyperlink" Target="https://www.immoscout24.ch/fr/appartement/acheter/lieu-dotzigen" TargetMode="External"/><Relationship Id="rId4465" Type="http://schemas.openxmlformats.org/officeDocument/2006/relationships/hyperlink" Target="https://www.immoscout24.ch/fr/appartement/louer/lieu-jaun" TargetMode="External"/><Relationship Id="rId5799" Type="http://schemas.openxmlformats.org/officeDocument/2006/relationships/hyperlink" Target="https://www.immoscout24.ch/fr/appartement/louer/region-limmattal" TargetMode="External"/><Relationship Id="rId3137" Type="http://schemas.openxmlformats.org/officeDocument/2006/relationships/hyperlink" Target="https://www.immoscout24.ch/fr/maison/louer/lieu-freienbach" TargetMode="External"/><Relationship Id="rId4468" Type="http://schemas.openxmlformats.org/officeDocument/2006/relationships/hyperlink" Target="https://www.immoscout24.ch/fr/maison/acheter/lieu-gerlafingen" TargetMode="External"/><Relationship Id="rId5796" Type="http://schemas.openxmlformats.org/officeDocument/2006/relationships/hyperlink" Target="https://www.immoscout24.ch/fr/maison/acheter/lieu-roche-d-or" TargetMode="External"/><Relationship Id="rId3136" Type="http://schemas.openxmlformats.org/officeDocument/2006/relationships/hyperlink" Target="https://www.immoscout24.ch/fr/maison/acheter/lieu-promasens" TargetMode="External"/><Relationship Id="rId4467" Type="http://schemas.openxmlformats.org/officeDocument/2006/relationships/hyperlink" Target="https://www.immoscout24.ch/fr/appartement/acheter/lieu-gerra-gambarogno" TargetMode="External"/><Relationship Id="rId5797" Type="http://schemas.openxmlformats.org/officeDocument/2006/relationships/hyperlink" Target="https://www.immoscout24.ch/fr/appartement/louer/lieu-fribourg" TargetMode="External"/><Relationship Id="rId3128" Type="http://schemas.openxmlformats.org/officeDocument/2006/relationships/hyperlink" Target="https://www.immoscout24.ch/fr/maison/acheter/lieu-grandfontaine" TargetMode="External"/><Relationship Id="rId4459" Type="http://schemas.openxmlformats.org/officeDocument/2006/relationships/hyperlink" Target="https://www.immoscout24.ch/fr/maison/louer/lieu-syens" TargetMode="External"/><Relationship Id="rId3127" Type="http://schemas.openxmlformats.org/officeDocument/2006/relationships/hyperlink" Target="https://www.immoscout24.ch/fr/maison/acheter/lieu-fregiecourt" TargetMode="External"/><Relationship Id="rId4458" Type="http://schemas.openxmlformats.org/officeDocument/2006/relationships/hyperlink" Target="https://www.immoscout24.ch/fr/appartement/louer/lieu-oleyres" TargetMode="External"/><Relationship Id="rId5789" Type="http://schemas.openxmlformats.org/officeDocument/2006/relationships/hyperlink" Target="https://www.immoscout24.ch/fr/appartement/louer/lieu-paudex" TargetMode="External"/><Relationship Id="rId3129" Type="http://schemas.openxmlformats.org/officeDocument/2006/relationships/hyperlink" Target="https://www.immoscout24.ch/fr/appartement/louer/lieu-haag-rheintal" TargetMode="External"/><Relationship Id="rId5780" Type="http://schemas.openxmlformats.org/officeDocument/2006/relationships/hyperlink" Target="https://www.immoscout24.ch/fr/maison/acheter/lieu-muenchenbuchsee" TargetMode="External"/><Relationship Id="rId3120" Type="http://schemas.openxmlformats.org/officeDocument/2006/relationships/hyperlink" Target="https://www.immoscout24.ch/fr/appartement/louer/lieu-schwarzenberg-lu" TargetMode="External"/><Relationship Id="rId4451" Type="http://schemas.openxmlformats.org/officeDocument/2006/relationships/hyperlink" Target="https://www.immoscout24.ch/fr/appartement/acheter/lieu-la-chaux-du-milieu" TargetMode="External"/><Relationship Id="rId5783" Type="http://schemas.openxmlformats.org/officeDocument/2006/relationships/hyperlink" Target="https://www.immoscout24.ch/fr/appartement/louer/lieu-muhen" TargetMode="External"/><Relationship Id="rId4450" Type="http://schemas.openxmlformats.org/officeDocument/2006/relationships/hyperlink" Target="https://www.immoscout24.ch/fr/maison/acheter/lieu-montmollin" TargetMode="External"/><Relationship Id="rId5784" Type="http://schemas.openxmlformats.org/officeDocument/2006/relationships/hyperlink" Target="https://www.immoscout24.ch/fr/maison/acheter/lieu-salins" TargetMode="External"/><Relationship Id="rId3122" Type="http://schemas.openxmlformats.org/officeDocument/2006/relationships/hyperlink" Target="https://www.immoscout24.ch/fr/maison/acheter/lieu-le-noirmont" TargetMode="External"/><Relationship Id="rId4453" Type="http://schemas.openxmlformats.org/officeDocument/2006/relationships/hyperlink" Target="https://www.immoscout24.ch/fr/appartement/acheter/lieu-buelach" TargetMode="External"/><Relationship Id="rId5781" Type="http://schemas.openxmlformats.org/officeDocument/2006/relationships/hyperlink" Target="https://www.immoscout24.ch/fr/maison/acheter/lieu-signese-ayent" TargetMode="External"/><Relationship Id="rId3121" Type="http://schemas.openxmlformats.org/officeDocument/2006/relationships/hyperlink" Target="https://www.immoscout24.ch/fr/appartement/acheter/lieu-bussnang" TargetMode="External"/><Relationship Id="rId4452" Type="http://schemas.openxmlformats.org/officeDocument/2006/relationships/hyperlink" Target="https://www.immoscout24.ch/fr/appartement/acheter/quartier-chailly-rovereaz-lausanne" TargetMode="External"/><Relationship Id="rId5782" Type="http://schemas.openxmlformats.org/officeDocument/2006/relationships/hyperlink" Target="https://www.immoscout24.ch/fr/maison/acheter/lieu-lupsingen" TargetMode="External"/><Relationship Id="rId3124" Type="http://schemas.openxmlformats.org/officeDocument/2006/relationships/hyperlink" Target="https://www.immoscout24.ch/fr/maison/acheter/lieu-montfaucon" TargetMode="External"/><Relationship Id="rId4455" Type="http://schemas.openxmlformats.org/officeDocument/2006/relationships/hyperlink" Target="https://www.immoscout24.ch/fr/maison/acheter/lieu-soral" TargetMode="External"/><Relationship Id="rId5787" Type="http://schemas.openxmlformats.org/officeDocument/2006/relationships/hyperlink" Target="https://www.immoscout24.ch/fr/maison/louer/lieu-maules" TargetMode="External"/><Relationship Id="rId3123" Type="http://schemas.openxmlformats.org/officeDocument/2006/relationships/hyperlink" Target="https://www.immoscout24.ch/fr/appartement/louer/quartier-bossons-blecherette-lausanne" TargetMode="External"/><Relationship Id="rId4454" Type="http://schemas.openxmlformats.org/officeDocument/2006/relationships/hyperlink" Target="https://www.immoscout24.ch/fr/appartement/louer/lieu-gumefens" TargetMode="External"/><Relationship Id="rId5788" Type="http://schemas.openxmlformats.org/officeDocument/2006/relationships/hyperlink" Target="https://www.immoscout24.ch/fr/appartement/louer/lieu-bonnefontaine" TargetMode="External"/><Relationship Id="rId3126" Type="http://schemas.openxmlformats.org/officeDocument/2006/relationships/hyperlink" Target="https://www.immoscout24.ch/fr/appartement/louer/lieu-oberiberg" TargetMode="External"/><Relationship Id="rId4457" Type="http://schemas.openxmlformats.org/officeDocument/2006/relationships/hyperlink" Target="https://www.immoscout24.ch/fr/appartement/acheter/lieu-richterswil" TargetMode="External"/><Relationship Id="rId5785" Type="http://schemas.openxmlformats.org/officeDocument/2006/relationships/hyperlink" Target="https://www.immoscout24.ch/fr/appartement/louer/region-soleure" TargetMode="External"/><Relationship Id="rId3125" Type="http://schemas.openxmlformats.org/officeDocument/2006/relationships/hyperlink" Target="https://www.immoscout24.ch/fr/appartement/acheter/lieu-thonex" TargetMode="External"/><Relationship Id="rId4456" Type="http://schemas.openxmlformats.org/officeDocument/2006/relationships/hyperlink" Target="https://www.immoscout24.ch/fr/maison/acheter/lieu-muolen" TargetMode="External"/><Relationship Id="rId5786" Type="http://schemas.openxmlformats.org/officeDocument/2006/relationships/hyperlink" Target="https://www.immoscout24.ch/fr/appartement/louer/lieu-beuson-nendaz" TargetMode="External"/><Relationship Id="rId4404" Type="http://schemas.openxmlformats.org/officeDocument/2006/relationships/hyperlink" Target="https://www.immoscout24.ch/fr/maison/acheter/lieu-tatroz" TargetMode="External"/><Relationship Id="rId5736" Type="http://schemas.openxmlformats.org/officeDocument/2006/relationships/hyperlink" Target="https://www.immoscout24.ch/fr/maison/acheter/lieu-le-mouret" TargetMode="External"/><Relationship Id="rId4403" Type="http://schemas.openxmlformats.org/officeDocument/2006/relationships/hyperlink" Target="https://www.immoscout24.ch/fr/appartement/louer/lieu-weisslingen" TargetMode="External"/><Relationship Id="rId5737" Type="http://schemas.openxmlformats.org/officeDocument/2006/relationships/hyperlink" Target="https://www.immoscout24.ch/fr/appartement/acheter/lieu-la-neuveville" TargetMode="External"/><Relationship Id="rId4406" Type="http://schemas.openxmlformats.org/officeDocument/2006/relationships/hyperlink" Target="https://www.immoscout24.ch/fr/appartement/louer/lieu-salmsach" TargetMode="External"/><Relationship Id="rId5734" Type="http://schemas.openxmlformats.org/officeDocument/2006/relationships/hyperlink" Target="https://www.immoscout24.ch/fr/appartement/acheter/lieu-morlon" TargetMode="External"/><Relationship Id="rId4405" Type="http://schemas.openxmlformats.org/officeDocument/2006/relationships/hyperlink" Target="https://www.immoscout24.ch/fr/appartement/acheter/lieu-aire-la-ville" TargetMode="External"/><Relationship Id="rId5735" Type="http://schemas.openxmlformats.org/officeDocument/2006/relationships/hyperlink" Target="https://www.immoscout24.ch/fr/appartement/louer/lieu-willerzell" TargetMode="External"/><Relationship Id="rId4408" Type="http://schemas.openxmlformats.org/officeDocument/2006/relationships/hyperlink" Target="https://www.immoscout24.ch/fr/maison/louer/lieu-faoug" TargetMode="External"/><Relationship Id="rId4407" Type="http://schemas.openxmlformats.org/officeDocument/2006/relationships/hyperlink" Target="https://www.immoscout24.ch/fr/appartement/louer/region-schaffouse-et-environs" TargetMode="External"/><Relationship Id="rId5738" Type="http://schemas.openxmlformats.org/officeDocument/2006/relationships/hyperlink" Target="https://www.immoscout24.ch/fr/maison/acheter/lieu-veyrier" TargetMode="External"/><Relationship Id="rId4409" Type="http://schemas.openxmlformats.org/officeDocument/2006/relationships/hyperlink" Target="https://www.immoscout24.ch/fr/appartement/louer/lieu-axalp" TargetMode="External"/><Relationship Id="rId5739" Type="http://schemas.openxmlformats.org/officeDocument/2006/relationships/hyperlink" Target="https://www.immoscout24.ch/fr/maison/acheter/canton-argovie" TargetMode="External"/><Relationship Id="rId4400" Type="http://schemas.openxmlformats.org/officeDocument/2006/relationships/hyperlink" Target="https://www.immoscout24.ch/fr/appartement/acheter/lieu-choulex" TargetMode="External"/><Relationship Id="rId5732" Type="http://schemas.openxmlformats.org/officeDocument/2006/relationships/hyperlink" Target="https://www.immoscout24.ch/fr/maison/acheter/lieu-leytron" TargetMode="External"/><Relationship Id="rId5733" Type="http://schemas.openxmlformats.org/officeDocument/2006/relationships/hyperlink" Target="https://www.immoscout24.ch/fr/maison/acheter/lieu-duedingen" TargetMode="External"/><Relationship Id="rId4402" Type="http://schemas.openxmlformats.org/officeDocument/2006/relationships/hyperlink" Target="https://www.immoscout24.ch/fr/appartement/louer/quartier-niederscherli-koeniz" TargetMode="External"/><Relationship Id="rId5730" Type="http://schemas.openxmlformats.org/officeDocument/2006/relationships/hyperlink" Target="https://www.immoscout24.ch/fr/maison/acheter/quartier-oberbottigen-berne" TargetMode="External"/><Relationship Id="rId4401" Type="http://schemas.openxmlformats.org/officeDocument/2006/relationships/hyperlink" Target="https://www.immoscout24.ch/fr/maison/louer/lieu-collonge-bellerive" TargetMode="External"/><Relationship Id="rId5731" Type="http://schemas.openxmlformats.org/officeDocument/2006/relationships/hyperlink" Target="https://www.immoscout24.ch/fr/appartement/acheter/lieu-ronco-sopra-ascona" TargetMode="External"/><Relationship Id="rId5725" Type="http://schemas.openxmlformats.org/officeDocument/2006/relationships/hyperlink" Target="https://www.immoscout24.ch/fr/appartement/louer/region-principaute-de-liechtenstein" TargetMode="External"/><Relationship Id="rId5726" Type="http://schemas.openxmlformats.org/officeDocument/2006/relationships/hyperlink" Target="https://www.immoscout24.ch/fr/maison/acheter/lieu-oberried-fr" TargetMode="External"/><Relationship Id="rId5723" Type="http://schemas.openxmlformats.org/officeDocument/2006/relationships/hyperlink" Target="https://www.immoscout24.ch/fr/appartement/acheter/lieu-flims-waldhaus" TargetMode="External"/><Relationship Id="rId5724" Type="http://schemas.openxmlformats.org/officeDocument/2006/relationships/hyperlink" Target="https://www.immoscout24.ch/fr/appartement/louer/lieu-muenster-vs" TargetMode="External"/><Relationship Id="rId5729" Type="http://schemas.openxmlformats.org/officeDocument/2006/relationships/hyperlink" Target="https://www.immoscout24.ch/fr/maison/acheter/lieu-camignolo" TargetMode="External"/><Relationship Id="rId5727" Type="http://schemas.openxmlformats.org/officeDocument/2006/relationships/hyperlink" Target="https://www.immoscout24.ch/fr/maison/acheter/lieu-thielle" TargetMode="External"/><Relationship Id="rId5728" Type="http://schemas.openxmlformats.org/officeDocument/2006/relationships/hyperlink" Target="https://www.immoscout24.ch/fr/appartement/louer/lieu-scuol" TargetMode="External"/><Relationship Id="rId5721" Type="http://schemas.openxmlformats.org/officeDocument/2006/relationships/hyperlink" Target="https://www.immoscout24.ch/fr/maison/acheter/lieu-chavornay" TargetMode="External"/><Relationship Id="rId5722" Type="http://schemas.openxmlformats.org/officeDocument/2006/relationships/hyperlink" Target="https://www.immoscout24.ch/fr/appartement/acheter/lieu-pontresina" TargetMode="External"/><Relationship Id="rId5720" Type="http://schemas.openxmlformats.org/officeDocument/2006/relationships/hyperlink" Target="https://www.immoscout24.ch/fr/maison/acheter/lieu-giumaglio" TargetMode="External"/><Relationship Id="rId4426" Type="http://schemas.openxmlformats.org/officeDocument/2006/relationships/hyperlink" Target="https://www.immoscout24.ch/fr/maison/acheter/lieu-meyrin" TargetMode="External"/><Relationship Id="rId5758" Type="http://schemas.openxmlformats.org/officeDocument/2006/relationships/hyperlink" Target="https://www.immoscout24.ch/fr/appartement/louer/lieu-tentlingen" TargetMode="External"/><Relationship Id="rId4425" Type="http://schemas.openxmlformats.org/officeDocument/2006/relationships/hyperlink" Target="https://www.immoscout24.ch/fr/appartement/acheter/quartier-montriond-cour-lausanne" TargetMode="External"/><Relationship Id="rId5759" Type="http://schemas.openxmlformats.org/officeDocument/2006/relationships/hyperlink" Target="https://www.immoscout24.ch/fr/maison/louer/lieu-chapelle-glane" TargetMode="External"/><Relationship Id="rId4428" Type="http://schemas.openxmlformats.org/officeDocument/2006/relationships/hyperlink" Target="https://www.immoscout24.ch/fr/maison/acheter/lieu-oppens" TargetMode="External"/><Relationship Id="rId5756" Type="http://schemas.openxmlformats.org/officeDocument/2006/relationships/hyperlink" Target="https://www.immoscout24.ch/fr/maison/acheter/lieu-bevilard" TargetMode="External"/><Relationship Id="rId4427" Type="http://schemas.openxmlformats.org/officeDocument/2006/relationships/hyperlink" Target="https://www.immoscout24.ch/fr/maison/acheter/lieu-le-lieu" TargetMode="External"/><Relationship Id="rId5757" Type="http://schemas.openxmlformats.org/officeDocument/2006/relationships/hyperlink" Target="https://www.immoscout24.ch/fr/appartement/acheter/quartier-madretsch-sued-biel-bienne" TargetMode="External"/><Relationship Id="rId4429" Type="http://schemas.openxmlformats.org/officeDocument/2006/relationships/hyperlink" Target="https://www.immoscout24.ch/fr/appartement/acheter/canton-vaud" TargetMode="External"/><Relationship Id="rId5750" Type="http://schemas.openxmlformats.org/officeDocument/2006/relationships/hyperlink" Target="https://www.immoscout24.ch/fr/appartement/louer/canton-vaud" TargetMode="External"/><Relationship Id="rId5751" Type="http://schemas.openxmlformats.org/officeDocument/2006/relationships/hyperlink" Target="https://www.immoscout24.ch/fr/appartement/louer/lieu-laufenburg" TargetMode="External"/><Relationship Id="rId4420" Type="http://schemas.openxmlformats.org/officeDocument/2006/relationships/hyperlink" Target="https://www.immoscout24.ch/fr/maison/acheter/lieu-fully" TargetMode="External"/><Relationship Id="rId4422" Type="http://schemas.openxmlformats.org/officeDocument/2006/relationships/hyperlink" Target="https://www.immoscout24.ch/fr/maison/acheter/lieu-unterseen" TargetMode="External"/><Relationship Id="rId5754" Type="http://schemas.openxmlformats.org/officeDocument/2006/relationships/hyperlink" Target="https://www.immoscout24.ch/fr/appartement/acheter/lieu-epesses" TargetMode="External"/><Relationship Id="rId4421" Type="http://schemas.openxmlformats.org/officeDocument/2006/relationships/hyperlink" Target="https://www.immoscout24.ch/fr/appartement/louer/lieu-marnand" TargetMode="External"/><Relationship Id="rId5755" Type="http://schemas.openxmlformats.org/officeDocument/2006/relationships/hyperlink" Target="https://www.immoscout24.ch/fr/appartement/acheter/lieu-salvan" TargetMode="External"/><Relationship Id="rId4424" Type="http://schemas.openxmlformats.org/officeDocument/2006/relationships/hyperlink" Target="https://www.immoscout24.ch/fr/maison/acheter/lieu-la-verrerie" TargetMode="External"/><Relationship Id="rId5752" Type="http://schemas.openxmlformats.org/officeDocument/2006/relationships/hyperlink" Target="https://www.immoscout24.ch/fr/appartement/louer/lieu-le-mont-sur-lausanne" TargetMode="External"/><Relationship Id="rId4423" Type="http://schemas.openxmlformats.org/officeDocument/2006/relationships/hyperlink" Target="https://www.immoscout24.ch/fr/appartement/louer/lieu-meikirch" TargetMode="External"/><Relationship Id="rId5753" Type="http://schemas.openxmlformats.org/officeDocument/2006/relationships/hyperlink" Target="https://www.immoscout24.ch/fr/maison/louer/lieu-damphreux" TargetMode="External"/><Relationship Id="rId4415" Type="http://schemas.openxmlformats.org/officeDocument/2006/relationships/hyperlink" Target="https://www.immoscout24.ch/fr/appartement/acheter/lieu-grossaffoltern" TargetMode="External"/><Relationship Id="rId5747" Type="http://schemas.openxmlformats.org/officeDocument/2006/relationships/hyperlink" Target="https://www.immoscout24.ch/fr/appartement/louer/lieu-epesses" TargetMode="External"/><Relationship Id="rId4414" Type="http://schemas.openxmlformats.org/officeDocument/2006/relationships/hyperlink" Target="https://www.immoscout24.ch/fr/appartement/acheter/lieu-essertines-sur-rolle" TargetMode="External"/><Relationship Id="rId5748" Type="http://schemas.openxmlformats.org/officeDocument/2006/relationships/hyperlink" Target="https://www.immoscout24.ch/fr/appartement/louer/lieu-brienz-be" TargetMode="External"/><Relationship Id="rId4417" Type="http://schemas.openxmlformats.org/officeDocument/2006/relationships/hyperlink" Target="https://www.immoscout24.ch/fr/maison/louer/lieu-chailly-montreux" TargetMode="External"/><Relationship Id="rId5745" Type="http://schemas.openxmlformats.org/officeDocument/2006/relationships/hyperlink" Target="https://www.immoscout24.ch/fr/appartement/acheter/lieu-condemines-nendaz" TargetMode="External"/><Relationship Id="rId4416" Type="http://schemas.openxmlformats.org/officeDocument/2006/relationships/hyperlink" Target="https://www.immoscout24.ch/fr/appartement/acheter/lieu-barbengo" TargetMode="External"/><Relationship Id="rId5746" Type="http://schemas.openxmlformats.org/officeDocument/2006/relationships/hyperlink" Target="https://www.immoscout24.ch/fr/appartement/louer/lieu-wald-zh" TargetMode="External"/><Relationship Id="rId4419" Type="http://schemas.openxmlformats.org/officeDocument/2006/relationships/hyperlink" Target="https://www.immoscout24.ch/fr/maison/acheter/lieu-porsel" TargetMode="External"/><Relationship Id="rId4418" Type="http://schemas.openxmlformats.org/officeDocument/2006/relationships/hyperlink" Target="https://www.immoscout24.ch/fr/maison/louer/lieu-apples" TargetMode="External"/><Relationship Id="rId5749" Type="http://schemas.openxmlformats.org/officeDocument/2006/relationships/hyperlink" Target="https://www.immoscout24.ch/fr/appartement/acheter/lieu-cornaux-ne" TargetMode="External"/><Relationship Id="rId5740" Type="http://schemas.openxmlformats.org/officeDocument/2006/relationships/hyperlink" Target="https://www.immoscout24.ch/fr/maison/louer/lieu-arbaz" TargetMode="External"/><Relationship Id="rId4411" Type="http://schemas.openxmlformats.org/officeDocument/2006/relationships/hyperlink" Target="https://www.immoscout24.ch/fr/appartement/louer/lieu-bettingen" TargetMode="External"/><Relationship Id="rId5743" Type="http://schemas.openxmlformats.org/officeDocument/2006/relationships/hyperlink" Target="https://www.immoscout24.ch/fr/appartement/louer/lieu-aclens" TargetMode="External"/><Relationship Id="rId4410" Type="http://schemas.openxmlformats.org/officeDocument/2006/relationships/hyperlink" Target="https://www.immoscout24.ch/fr/appartement/acheter/lieu-puidoux" TargetMode="External"/><Relationship Id="rId5744" Type="http://schemas.openxmlformats.org/officeDocument/2006/relationships/hyperlink" Target="https://www.immoscout24.ch/fr/maison/acheter/lieu-gandria" TargetMode="External"/><Relationship Id="rId4413" Type="http://schemas.openxmlformats.org/officeDocument/2006/relationships/hyperlink" Target="https://www.immoscout24.ch/fr/appartement/acheter/lieu-ste-croix" TargetMode="External"/><Relationship Id="rId5741" Type="http://schemas.openxmlformats.org/officeDocument/2006/relationships/hyperlink" Target="https://www.immoscout24.ch/fr/maison/acheter/lieu-villars-mendraz" TargetMode="External"/><Relationship Id="rId4412" Type="http://schemas.openxmlformats.org/officeDocument/2006/relationships/hyperlink" Target="https://www.immoscout24.ch/fr/appartement/acheter/lieu-autigny" TargetMode="External"/><Relationship Id="rId5742" Type="http://schemas.openxmlformats.org/officeDocument/2006/relationships/hyperlink" Target="https://www.immoscout24.ch/fr/maison/louer/quartier-la-coudre-neuchatel" TargetMode="External"/><Relationship Id="rId3191" Type="http://schemas.openxmlformats.org/officeDocument/2006/relationships/hyperlink" Target="https://www.immoscout24.ch/fr/maison/louer/lieu-boll" TargetMode="External"/><Relationship Id="rId3190" Type="http://schemas.openxmlformats.org/officeDocument/2006/relationships/hyperlink" Target="https://www.immoscout24.ch/fr/maison/acheter/lieu-ostermundigen" TargetMode="External"/><Relationship Id="rId3193" Type="http://schemas.openxmlformats.org/officeDocument/2006/relationships/hyperlink" Target="https://www.immoscout24.ch/fr/appartement/louer/lieu-st-cergue" TargetMode="External"/><Relationship Id="rId3192" Type="http://schemas.openxmlformats.org/officeDocument/2006/relationships/hyperlink" Target="https://www.immoscout24.ch/fr/appartement/louer/lieu-fenin" TargetMode="External"/><Relationship Id="rId3195" Type="http://schemas.openxmlformats.org/officeDocument/2006/relationships/hyperlink" Target="https://www.immoscout24.ch/fr/appartement/louer/lieu-st-blaise" TargetMode="External"/><Relationship Id="rId3194" Type="http://schemas.openxmlformats.org/officeDocument/2006/relationships/hyperlink" Target="https://www.immoscout24.ch/fr/appartement/louer/quartier-rotmonten-st-gall" TargetMode="External"/><Relationship Id="rId3197" Type="http://schemas.openxmlformats.org/officeDocument/2006/relationships/hyperlink" Target="https://www.immoscout24.ch/fr/appartement/acheter/lieu-simplon-dorf" TargetMode="External"/><Relationship Id="rId3196" Type="http://schemas.openxmlformats.org/officeDocument/2006/relationships/hyperlink" Target="https://www.immoscout24.ch/fr/maison/louer/lieu-farvagny" TargetMode="External"/><Relationship Id="rId3199" Type="http://schemas.openxmlformats.org/officeDocument/2006/relationships/hyperlink" Target="https://www.immoscout24.ch/fr/maison/acheter/pays-canada" TargetMode="External"/><Relationship Id="rId3198" Type="http://schemas.openxmlformats.org/officeDocument/2006/relationships/hyperlink" Target="https://www.immoscout24.ch/fr/maison/acheter/lieu-rebeuvelier" TargetMode="External"/><Relationship Id="rId3180" Type="http://schemas.openxmlformats.org/officeDocument/2006/relationships/hyperlink" Target="https://www.immoscout24.ch/fr/appartement/louer/lieu-portalban" TargetMode="External"/><Relationship Id="rId3182" Type="http://schemas.openxmlformats.org/officeDocument/2006/relationships/hyperlink" Target="https://www.immoscout24.ch/fr/appartement/louer/lieu-aran" TargetMode="External"/><Relationship Id="rId3181" Type="http://schemas.openxmlformats.org/officeDocument/2006/relationships/hyperlink" Target="https://www.immoscout24.ch/fr/maison/acheter/lieu-villarbeney" TargetMode="External"/><Relationship Id="rId3184" Type="http://schemas.openxmlformats.org/officeDocument/2006/relationships/hyperlink" Target="https://www.immoscout24.ch/fr/maison/louer/lieu-champtauroz" TargetMode="External"/><Relationship Id="rId3183" Type="http://schemas.openxmlformats.org/officeDocument/2006/relationships/hyperlink" Target="https://www.immoscout24.ch/fr/appartement/louer/lieu-montagny-la-ville" TargetMode="External"/><Relationship Id="rId3186" Type="http://schemas.openxmlformats.org/officeDocument/2006/relationships/hyperlink" Target="https://www.immoscout24.ch/fr/maison/acheter/lieu-bueetigen" TargetMode="External"/><Relationship Id="rId3185" Type="http://schemas.openxmlformats.org/officeDocument/2006/relationships/hyperlink" Target="https://www.immoscout24.ch/fr/maison/acheter/lieu-biembach-im-emmental" TargetMode="External"/><Relationship Id="rId3188" Type="http://schemas.openxmlformats.org/officeDocument/2006/relationships/hyperlink" Target="https://www.immoscout24.ch/fr/appartement/louer/lieu-brignon-nendaz" TargetMode="External"/><Relationship Id="rId3187" Type="http://schemas.openxmlformats.org/officeDocument/2006/relationships/hyperlink" Target="https://www.immoscout24.ch/fr/appartement/acheter/lieu-st-legier-la-chiesaz" TargetMode="External"/><Relationship Id="rId3189" Type="http://schemas.openxmlformats.org/officeDocument/2006/relationships/hyperlink" Target="https://www.immoscout24.ch/fr/appartement/acheter/lieu-fiez" TargetMode="External"/><Relationship Id="rId4480" Type="http://schemas.openxmlformats.org/officeDocument/2006/relationships/hyperlink" Target="https://www.immoscout24.ch/fr/maison/louer/lieu-langenthal" TargetMode="External"/><Relationship Id="rId3151" Type="http://schemas.openxmlformats.org/officeDocument/2006/relationships/hyperlink" Target="https://www.immoscout24.ch/fr/maison/acheter/lieu-wuennewil" TargetMode="External"/><Relationship Id="rId4482" Type="http://schemas.openxmlformats.org/officeDocument/2006/relationships/hyperlink" Target="https://www.immoscout24.ch/fr/appartement/louer/lieu-oppens" TargetMode="External"/><Relationship Id="rId3150" Type="http://schemas.openxmlformats.org/officeDocument/2006/relationships/hyperlink" Target="https://www.immoscout24.ch/fr/maison/acheter/lieu-st-sulpice-ne" TargetMode="External"/><Relationship Id="rId4481" Type="http://schemas.openxmlformats.org/officeDocument/2006/relationships/hyperlink" Target="https://www.immoscout24.ch/fr/appartement/louer/quartier-wuerzenbach-schaedrueti-lucerne" TargetMode="External"/><Relationship Id="rId3153" Type="http://schemas.openxmlformats.org/officeDocument/2006/relationships/hyperlink" Target="https://www.immoscout24.ch/fr/maison/acheter/lieu-zofingen" TargetMode="External"/><Relationship Id="rId4484" Type="http://schemas.openxmlformats.org/officeDocument/2006/relationships/hyperlink" Target="https://www.immoscout24.ch/fr/maison/acheter/lieu-massongex" TargetMode="External"/><Relationship Id="rId3152" Type="http://schemas.openxmlformats.org/officeDocument/2006/relationships/hyperlink" Target="https://www.immoscout24.ch/fr/appartement/louer/lieu-visp" TargetMode="External"/><Relationship Id="rId4483" Type="http://schemas.openxmlformats.org/officeDocument/2006/relationships/hyperlink" Target="https://www.immoscout24.ch/fr/appartement/louer/lieu-sachseln" TargetMode="External"/><Relationship Id="rId3155" Type="http://schemas.openxmlformats.org/officeDocument/2006/relationships/hyperlink" Target="https://www.immoscout24.ch/fr/appartement/acheter/lieu-bursins" TargetMode="External"/><Relationship Id="rId4486" Type="http://schemas.openxmlformats.org/officeDocument/2006/relationships/hyperlink" Target="https://www.immoscout24.ch/fr/appartement/louer/lieu-la-cure" TargetMode="External"/><Relationship Id="rId3154" Type="http://schemas.openxmlformats.org/officeDocument/2006/relationships/hyperlink" Target="https://www.immoscout24.ch/fr/appartement/louer/lieu-pfaeffikon-zh" TargetMode="External"/><Relationship Id="rId4485" Type="http://schemas.openxmlformats.org/officeDocument/2006/relationships/hyperlink" Target="https://www.immoscout24.ch/fr/appartement/louer/lieu-schoenried" TargetMode="External"/><Relationship Id="rId3157" Type="http://schemas.openxmlformats.org/officeDocument/2006/relationships/hyperlink" Target="https://www.immoscout24.ch/fr/maison/acheter/lieu-croy" TargetMode="External"/><Relationship Id="rId4488" Type="http://schemas.openxmlformats.org/officeDocument/2006/relationships/hyperlink" Target="https://www.immoscout24.ch/fr/maison/acheter/lieu-magglingen-macolin" TargetMode="External"/><Relationship Id="rId3156" Type="http://schemas.openxmlformats.org/officeDocument/2006/relationships/hyperlink" Target="https://www.immoscout24.ch/fr/appartement/louer/lieu-muellheim-dorf" TargetMode="External"/><Relationship Id="rId4487" Type="http://schemas.openxmlformats.org/officeDocument/2006/relationships/hyperlink" Target="https://www.immoscout24.ch/fr/appartement/louer/lieu-aumont" TargetMode="External"/><Relationship Id="rId3159" Type="http://schemas.openxmlformats.org/officeDocument/2006/relationships/hyperlink" Target="https://www.immoscout24.ch/fr/maison/acheter/lieu-bruson" TargetMode="External"/><Relationship Id="rId3158" Type="http://schemas.openxmlformats.org/officeDocument/2006/relationships/hyperlink" Target="https://www.immoscout24.ch/fr/maison/louer/region-montagnes-neuchateloises" TargetMode="External"/><Relationship Id="rId4489" Type="http://schemas.openxmlformats.org/officeDocument/2006/relationships/hyperlink" Target="https://www.immoscout24.ch/fr/appartement/acheter/quartier-croix-federale-la-chaux-de-fonds" TargetMode="External"/><Relationship Id="rId3149" Type="http://schemas.openxmlformats.org/officeDocument/2006/relationships/hyperlink" Target="https://www.immoscout24.ch/fr/appartement/louer/lieu-dagmersellen" TargetMode="External"/><Relationship Id="rId3140" Type="http://schemas.openxmlformats.org/officeDocument/2006/relationships/hyperlink" Target="https://www.immoscout24.ch/fr/appartement/acheter/lieu-visp" TargetMode="External"/><Relationship Id="rId4471" Type="http://schemas.openxmlformats.org/officeDocument/2006/relationships/hyperlink" Target="https://www.immoscout24.ch/fr/appartement/acheter/lieu-schafisheim" TargetMode="External"/><Relationship Id="rId4470" Type="http://schemas.openxmlformats.org/officeDocument/2006/relationships/hyperlink" Target="https://www.immoscout24.ch/fr/appartement/acheter/lieu-zuoz" TargetMode="External"/><Relationship Id="rId3142" Type="http://schemas.openxmlformats.org/officeDocument/2006/relationships/hyperlink" Target="https://www.immoscout24.ch/fr/maison/acheter/lieu-assens" TargetMode="External"/><Relationship Id="rId4473" Type="http://schemas.openxmlformats.org/officeDocument/2006/relationships/hyperlink" Target="https://www.immoscout24.ch/fr/maison/louer/lieu-martigny-croix" TargetMode="External"/><Relationship Id="rId3141" Type="http://schemas.openxmlformats.org/officeDocument/2006/relationships/hyperlink" Target="https://www.immoscout24.ch/fr/maison/louer/lieu-kollbrunn" TargetMode="External"/><Relationship Id="rId4472" Type="http://schemas.openxmlformats.org/officeDocument/2006/relationships/hyperlink" Target="https://www.immoscout24.ch/fr/maison/louer/lieu-riedholz" TargetMode="External"/><Relationship Id="rId3144" Type="http://schemas.openxmlformats.org/officeDocument/2006/relationships/hyperlink" Target="https://www.immoscout24.ch/fr/maison/acheter/lieu-merligen" TargetMode="External"/><Relationship Id="rId4475" Type="http://schemas.openxmlformats.org/officeDocument/2006/relationships/hyperlink" Target="https://www.immoscout24.ch/fr/maison/louer/canton-obwald" TargetMode="External"/><Relationship Id="rId3143" Type="http://schemas.openxmlformats.org/officeDocument/2006/relationships/hyperlink" Target="https://www.immoscout24.ch/fr/appartement/louer/lieu-valeyres-sous-montagny" TargetMode="External"/><Relationship Id="rId4474" Type="http://schemas.openxmlformats.org/officeDocument/2006/relationships/hyperlink" Target="https://www.immoscout24.ch/fr/appartement/louer/lieu-ittigen" TargetMode="External"/><Relationship Id="rId3146" Type="http://schemas.openxmlformats.org/officeDocument/2006/relationships/hyperlink" Target="https://www.immoscout24.ch/fr/maison/louer/lieu-rocourt" TargetMode="External"/><Relationship Id="rId4477" Type="http://schemas.openxmlformats.org/officeDocument/2006/relationships/hyperlink" Target="https://www.immoscout24.ch/fr/appartement/louer/lieu-bettlach" TargetMode="External"/><Relationship Id="rId3145" Type="http://schemas.openxmlformats.org/officeDocument/2006/relationships/hyperlink" Target="https://www.immoscout24.ch/fr/maison/acheter/quartier-secheron-prieure-geneve" TargetMode="External"/><Relationship Id="rId4476" Type="http://schemas.openxmlformats.org/officeDocument/2006/relationships/hyperlink" Target="https://www.immoscout24.ch/fr/appartement/louer/lieu-bioley-magnoux" TargetMode="External"/><Relationship Id="rId3148" Type="http://schemas.openxmlformats.org/officeDocument/2006/relationships/hyperlink" Target="https://www.immoscout24.ch/fr/appartement/louer/quartier-besso-lugano" TargetMode="External"/><Relationship Id="rId4479" Type="http://schemas.openxmlformats.org/officeDocument/2006/relationships/hyperlink" Target="https://www.immoscout24.ch/fr/maison/acheter/lieu-crassier" TargetMode="External"/><Relationship Id="rId3147" Type="http://schemas.openxmlformats.org/officeDocument/2006/relationships/hyperlink" Target="https://www.immoscout24.ch/fr/maison/louer/lieu-ursy" TargetMode="External"/><Relationship Id="rId4478" Type="http://schemas.openxmlformats.org/officeDocument/2006/relationships/hyperlink" Target="https://www.immoscout24.ch/fr/maison/acheter/region-bischofszell-weinfelden" TargetMode="External"/><Relationship Id="rId3171" Type="http://schemas.openxmlformats.org/officeDocument/2006/relationships/hyperlink" Target="https://www.immoscout24.ch/fr/appartement/acheter/lieu-l-etivaz" TargetMode="External"/><Relationship Id="rId3170" Type="http://schemas.openxmlformats.org/officeDocument/2006/relationships/hyperlink" Target="https://www.immoscout24.ch/fr/maison/acheter/quartier-kleinhueningen-bale" TargetMode="External"/><Relationship Id="rId3173" Type="http://schemas.openxmlformats.org/officeDocument/2006/relationships/hyperlink" Target="https://www.immoscout24.ch/fr/appartement/louer/lieu-vira-gambarogno" TargetMode="External"/><Relationship Id="rId3172" Type="http://schemas.openxmlformats.org/officeDocument/2006/relationships/hyperlink" Target="https://www.immoscout24.ch/fr/appartement/louer/lieu-appenzell" TargetMode="External"/><Relationship Id="rId3175" Type="http://schemas.openxmlformats.org/officeDocument/2006/relationships/hyperlink" Target="https://www.immoscout24.ch/fr/maison/louer/lieu-murist" TargetMode="External"/><Relationship Id="rId3174" Type="http://schemas.openxmlformats.org/officeDocument/2006/relationships/hyperlink" Target="https://www.immoscout24.ch/fr/maison/acheter/lieu-orny" TargetMode="External"/><Relationship Id="rId3177" Type="http://schemas.openxmlformats.org/officeDocument/2006/relationships/hyperlink" Target="https://www.immoscout24.ch/fr/maison/acheter/lieu-quinten" TargetMode="External"/><Relationship Id="rId3176" Type="http://schemas.openxmlformats.org/officeDocument/2006/relationships/hyperlink" Target="https://www.immoscout24.ch/fr/appartement/louer/lieu-l-abbaye" TargetMode="External"/><Relationship Id="rId3179" Type="http://schemas.openxmlformats.org/officeDocument/2006/relationships/hyperlink" Target="https://www.immoscout24.ch/fr/appartement/louer/lieu-givrins" TargetMode="External"/><Relationship Id="rId3178" Type="http://schemas.openxmlformats.org/officeDocument/2006/relationships/hyperlink" Target="https://www.immoscout24.ch/fr/maison/louer/region-rive-droite" TargetMode="External"/><Relationship Id="rId3160" Type="http://schemas.openxmlformats.org/officeDocument/2006/relationships/hyperlink" Target="https://www.immoscout24.ch/fr/maison/acheter/lieu-ballaigues" TargetMode="External"/><Relationship Id="rId4491" Type="http://schemas.openxmlformats.org/officeDocument/2006/relationships/hyperlink" Target="https://www.immoscout24.ch/fr/appartement/acheter/lieu-torny-le-grand" TargetMode="External"/><Relationship Id="rId4490" Type="http://schemas.openxmlformats.org/officeDocument/2006/relationships/hyperlink" Target="https://www.immoscout24.ch/fr/appartement/acheter/lieu-caslano" TargetMode="External"/><Relationship Id="rId3162" Type="http://schemas.openxmlformats.org/officeDocument/2006/relationships/hyperlink" Target="https://www.immoscout24.ch/fr/maison/louer/region-rorschach-st-gallen" TargetMode="External"/><Relationship Id="rId4493" Type="http://schemas.openxmlformats.org/officeDocument/2006/relationships/hyperlink" Target="https://www.immoscout24.ch/fr/maison/acheter/lieu-cugy-vd" TargetMode="External"/><Relationship Id="rId3161" Type="http://schemas.openxmlformats.org/officeDocument/2006/relationships/hyperlink" Target="https://www.immoscout24.ch/fr/appartement/acheter/lieu-muttenz" TargetMode="External"/><Relationship Id="rId4492" Type="http://schemas.openxmlformats.org/officeDocument/2006/relationships/hyperlink" Target="https://www.immoscout24.ch/fr/appartement/louer/lieu-yvorne" TargetMode="External"/><Relationship Id="rId3164" Type="http://schemas.openxmlformats.org/officeDocument/2006/relationships/hyperlink" Target="https://www.immoscout24.ch/fr/appartement/acheter/lieu-luterbach" TargetMode="External"/><Relationship Id="rId4495" Type="http://schemas.openxmlformats.org/officeDocument/2006/relationships/hyperlink" Target="https://www.immoscout24.ch/fr/maison/acheter/lieu-vetroz" TargetMode="External"/><Relationship Id="rId3163" Type="http://schemas.openxmlformats.org/officeDocument/2006/relationships/hyperlink" Target="https://www.immoscout24.ch/fr/appartement/louer/lieu-kirchberg-be" TargetMode="External"/><Relationship Id="rId4494" Type="http://schemas.openxmlformats.org/officeDocument/2006/relationships/hyperlink" Target="https://www.immoscout24.ch/fr/maison/acheter/lieu-bofflens" TargetMode="External"/><Relationship Id="rId3166" Type="http://schemas.openxmlformats.org/officeDocument/2006/relationships/hyperlink" Target="https://www.immoscout24.ch/fr/appartement/louer/lieu-la-plaine" TargetMode="External"/><Relationship Id="rId4497" Type="http://schemas.openxmlformats.org/officeDocument/2006/relationships/hyperlink" Target="https://www.immoscout24.ch/fr/maison/acheter/lieu-neuenegg" TargetMode="External"/><Relationship Id="rId3165" Type="http://schemas.openxmlformats.org/officeDocument/2006/relationships/hyperlink" Target="https://www.immoscout24.ch/fr/appartement/acheter/lieu-ostermundigen" TargetMode="External"/><Relationship Id="rId4496" Type="http://schemas.openxmlformats.org/officeDocument/2006/relationships/hyperlink" Target="https://www.immoscout24.ch/fr/appartement/acheter/lieu-menziken" TargetMode="External"/><Relationship Id="rId3168" Type="http://schemas.openxmlformats.org/officeDocument/2006/relationships/hyperlink" Target="https://www.immoscout24.ch/fr/maison/acheter/lieu-cully" TargetMode="External"/><Relationship Id="rId4499" Type="http://schemas.openxmlformats.org/officeDocument/2006/relationships/hyperlink" Target="https://www.immoscout24.ch/fr/maison/acheter/lieu-lavertezzo" TargetMode="External"/><Relationship Id="rId3167" Type="http://schemas.openxmlformats.org/officeDocument/2006/relationships/hyperlink" Target="https://www.immoscout24.ch/fr/maison/acheter/lieu-pensier" TargetMode="External"/><Relationship Id="rId4498" Type="http://schemas.openxmlformats.org/officeDocument/2006/relationships/hyperlink" Target="https://www.immoscout24.ch/fr/appartement/acheter/lieu-les-avanchets" TargetMode="External"/><Relationship Id="rId3169" Type="http://schemas.openxmlformats.org/officeDocument/2006/relationships/hyperlink" Target="https://www.immoscout24.ch/fr/appartement/acheter/lieu-giffers" TargetMode="External"/><Relationship Id="rId5813" Type="http://schemas.openxmlformats.org/officeDocument/2006/relationships/hyperlink" Target="https://www.immoscout24.ch/fr/appartement/louer/lieu-rotkreuz" TargetMode="External"/><Relationship Id="rId5814" Type="http://schemas.openxmlformats.org/officeDocument/2006/relationships/hyperlink" Target="https://www.immoscout24.ch/fr/appartement/louer/lieu-premier" TargetMode="External"/><Relationship Id="rId5811" Type="http://schemas.openxmlformats.org/officeDocument/2006/relationships/hyperlink" Target="https://www.immoscout24.ch/fr/appartement/acheter/lieu-denezy" TargetMode="External"/><Relationship Id="rId5812" Type="http://schemas.openxmlformats.org/officeDocument/2006/relationships/hyperlink" Target="https://www.immoscout24.ch/fr/maison/acheter/lieu-kastanienbaum" TargetMode="External"/><Relationship Id="rId5817" Type="http://schemas.openxmlformats.org/officeDocument/2006/relationships/hyperlink" Target="https://www.immoscout24.ch/fr/appartement/louer/canton-glaris" TargetMode="External"/><Relationship Id="rId5818" Type="http://schemas.openxmlformats.org/officeDocument/2006/relationships/hyperlink" Target="https://www.immoscout24.ch/fr/maison/acheter/quartier-bre-lugano" TargetMode="External"/><Relationship Id="rId5815" Type="http://schemas.openxmlformats.org/officeDocument/2006/relationships/hyperlink" Target="https://www.immoscout24.ch/fr/maison/acheter/lieu-auvernier" TargetMode="External"/><Relationship Id="rId5816" Type="http://schemas.openxmlformats.org/officeDocument/2006/relationships/hyperlink" Target="https://www.immoscout24.ch/fr/appartement/louer/lieu-penthaz" TargetMode="External"/><Relationship Id="rId5819" Type="http://schemas.openxmlformats.org/officeDocument/2006/relationships/hyperlink" Target="https://www.immoscout24.ch/fr/maison/acheter/lieu-zuchwil" TargetMode="External"/><Relationship Id="rId5810" Type="http://schemas.openxmlformats.org/officeDocument/2006/relationships/hyperlink" Target="https://www.immoscout24.ch/fr/maison/acheter/lieu-villars-sur-fontenais" TargetMode="External"/><Relationship Id="rId5802" Type="http://schemas.openxmlformats.org/officeDocument/2006/relationships/hyperlink" Target="https://www.immoscout24.ch/fr/appartement/acheter/lieu-bad-ragaz" TargetMode="External"/><Relationship Id="rId5803" Type="http://schemas.openxmlformats.org/officeDocument/2006/relationships/hyperlink" Target="https://www.immoscout24.ch/fr/appartement/acheter/quartier-castagnola-lugano" TargetMode="External"/><Relationship Id="rId5800" Type="http://schemas.openxmlformats.org/officeDocument/2006/relationships/hyperlink" Target="https://www.immoscout24.ch/fr/maison/louer/lieu-marly" TargetMode="External"/><Relationship Id="rId5801" Type="http://schemas.openxmlformats.org/officeDocument/2006/relationships/hyperlink" Target="https://www.immoscout24.ch/fr/maison/louer/lieu-stadel-b-niederglatt" TargetMode="External"/><Relationship Id="rId5806" Type="http://schemas.openxmlformats.org/officeDocument/2006/relationships/hyperlink" Target="https://www.immoscout24.ch/fr/appartement/acheter/lieu-basse-nendaz" TargetMode="External"/><Relationship Id="rId5807" Type="http://schemas.openxmlformats.org/officeDocument/2006/relationships/hyperlink" Target="https://www.immoscout24.ch/fr/appartement/louer/lieu-st-cierges" TargetMode="External"/><Relationship Id="rId5804" Type="http://schemas.openxmlformats.org/officeDocument/2006/relationships/hyperlink" Target="https://www.immoscout24.ch/fr/maison/acheter/lieu-vira-gambarogno" TargetMode="External"/><Relationship Id="rId5805" Type="http://schemas.openxmlformats.org/officeDocument/2006/relationships/hyperlink" Target="https://www.immoscout24.ch/fr/maison/acheter/lieu-riedholz" TargetMode="External"/><Relationship Id="rId5808" Type="http://schemas.openxmlformats.org/officeDocument/2006/relationships/hyperlink" Target="https://www.immoscout24.ch/fr/appartement/acheter/canton-zurich" TargetMode="External"/><Relationship Id="rId5809" Type="http://schemas.openxmlformats.org/officeDocument/2006/relationships/hyperlink" Target="https://www.immoscout24.ch/fr/appartement/louer/quartier-stadtbach-berne" TargetMode="External"/><Relationship Id="rId4503" Type="http://schemas.openxmlformats.org/officeDocument/2006/relationships/hyperlink" Target="https://www.immoscout24.ch/fr/maison/acheter/lieu-gordevio" TargetMode="External"/><Relationship Id="rId5835" Type="http://schemas.openxmlformats.org/officeDocument/2006/relationships/hyperlink" Target="https://www.immoscout24.ch/fr/appartement/acheter/region-zurich-et-environs" TargetMode="External"/><Relationship Id="rId4502" Type="http://schemas.openxmlformats.org/officeDocument/2006/relationships/hyperlink" Target="https://www.immoscout24.ch/fr/maison/acheter/lieu-chenens" TargetMode="External"/><Relationship Id="rId5836" Type="http://schemas.openxmlformats.org/officeDocument/2006/relationships/hyperlink" Target="https://www.immoscout24.ch/fr/maison/acheter/lieu-vauffelin" TargetMode="External"/><Relationship Id="rId4505" Type="http://schemas.openxmlformats.org/officeDocument/2006/relationships/hyperlink" Target="https://www.immoscout24.ch/fr/maison/acheter/lieu-chapelle-broye" TargetMode="External"/><Relationship Id="rId5833" Type="http://schemas.openxmlformats.org/officeDocument/2006/relationships/hyperlink" Target="https://www.immoscout24.ch/fr/maison/acheter/lieu-progens" TargetMode="External"/><Relationship Id="rId4504" Type="http://schemas.openxmlformats.org/officeDocument/2006/relationships/hyperlink" Target="https://www.immoscout24.ch/fr/appartement/acheter/lieu-immensee" TargetMode="External"/><Relationship Id="rId5834" Type="http://schemas.openxmlformats.org/officeDocument/2006/relationships/hyperlink" Target="https://www.immoscout24.ch/fr/appartement/louer/lieu-cimo" TargetMode="External"/><Relationship Id="rId4507" Type="http://schemas.openxmlformats.org/officeDocument/2006/relationships/hyperlink" Target="https://www.immoscout24.ch/fr/appartement/louer/lieu-turin-salins" TargetMode="External"/><Relationship Id="rId5839" Type="http://schemas.openxmlformats.org/officeDocument/2006/relationships/hyperlink" Target="https://www.immoscout24.ch/fr/appartement/louer/lieu-lussery-villars" TargetMode="External"/><Relationship Id="rId4506" Type="http://schemas.openxmlformats.org/officeDocument/2006/relationships/hyperlink" Target="https://www.immoscout24.ch/fr/appartement/acheter/pays-suisse-fl" TargetMode="External"/><Relationship Id="rId4509" Type="http://schemas.openxmlformats.org/officeDocument/2006/relationships/hyperlink" Target="https://www.immoscout24.ch/fr/appartement/acheter/lieu-cressier-ne" TargetMode="External"/><Relationship Id="rId5837" Type="http://schemas.openxmlformats.org/officeDocument/2006/relationships/hyperlink" Target="https://www.immoscout24.ch/fr/appartement/louer/lieu-cudrefin" TargetMode="External"/><Relationship Id="rId4508" Type="http://schemas.openxmlformats.org/officeDocument/2006/relationships/hyperlink" Target="https://www.immoscout24.ch/fr/maison/acheter/region-yverdon-grandson" TargetMode="External"/><Relationship Id="rId5838" Type="http://schemas.openxmlformats.org/officeDocument/2006/relationships/hyperlink" Target="https://www.immoscout24.ch/fr/appartement/louer/lieu-albligen" TargetMode="External"/><Relationship Id="rId5831" Type="http://schemas.openxmlformats.org/officeDocument/2006/relationships/hyperlink" Target="https://www.immoscout24.ch/fr/appartement/louer/lieu-produit-leytron" TargetMode="External"/><Relationship Id="rId5832" Type="http://schemas.openxmlformats.org/officeDocument/2006/relationships/hyperlink" Target="https://www.immoscout24.ch/fr/appartement/acheter/lieu-urtenen-schoenbuehl" TargetMode="External"/><Relationship Id="rId4501" Type="http://schemas.openxmlformats.org/officeDocument/2006/relationships/hyperlink" Target="https://www.immoscout24.ch/fr/maison/acheter/region-haut-valais" TargetMode="External"/><Relationship Id="rId4500" Type="http://schemas.openxmlformats.org/officeDocument/2006/relationships/hyperlink" Target="https://www.immoscout24.ch/fr/appartement/louer/region-entlebuch" TargetMode="External"/><Relationship Id="rId5830" Type="http://schemas.openxmlformats.org/officeDocument/2006/relationships/hyperlink" Target="https://www.immoscout24.ch/fr/maison/acheter/lieu-flueh" TargetMode="External"/><Relationship Id="rId5824" Type="http://schemas.openxmlformats.org/officeDocument/2006/relationships/hyperlink" Target="https://www.immoscout24.ch/fr/appartement/louer/quartier-auge-fribourg" TargetMode="External"/><Relationship Id="rId5825" Type="http://schemas.openxmlformats.org/officeDocument/2006/relationships/hyperlink" Target="https://www.immoscout24.ch/fr/appartement/louer/lieu-wittenbach" TargetMode="External"/><Relationship Id="rId5822" Type="http://schemas.openxmlformats.org/officeDocument/2006/relationships/hyperlink" Target="https://www.immoscout24.ch/fr/appartement/acheter/lieu-le-lignon" TargetMode="External"/><Relationship Id="rId5823" Type="http://schemas.openxmlformats.org/officeDocument/2006/relationships/hyperlink" Target="https://www.immoscout24.ch/fr/appartement/louer/lieu-noes" TargetMode="External"/><Relationship Id="rId5828" Type="http://schemas.openxmlformats.org/officeDocument/2006/relationships/hyperlink" Target="https://www.immoscout24.ch/fr/maison/louer/lieu-la-sarraz" TargetMode="External"/><Relationship Id="rId5829" Type="http://schemas.openxmlformats.org/officeDocument/2006/relationships/hyperlink" Target="https://www.immoscout24.ch/fr/appartement/louer/lieu-winkel" TargetMode="External"/><Relationship Id="rId5826" Type="http://schemas.openxmlformats.org/officeDocument/2006/relationships/hyperlink" Target="https://www.immoscout24.ch/fr/appartement/louer/lieu-schwarzenburg" TargetMode="External"/><Relationship Id="rId5827" Type="http://schemas.openxmlformats.org/officeDocument/2006/relationships/hyperlink" Target="https://www.immoscout24.ch/fr/maison/acheter/lieu-corsier-sur-vevey" TargetMode="External"/><Relationship Id="rId5820" Type="http://schemas.openxmlformats.org/officeDocument/2006/relationships/hyperlink" Target="https://www.immoscout24.ch/fr/appartement/louer/lieu-hinwil" TargetMode="External"/><Relationship Id="rId5821" Type="http://schemas.openxmlformats.org/officeDocument/2006/relationships/hyperlink" Target="https://www.immoscout24.ch/fr/maison/louer/lieu-bellerive-vd" TargetMode="External"/><Relationship Id="rId3238" Type="http://schemas.openxmlformats.org/officeDocument/2006/relationships/hyperlink" Target="https://www.immoscout24.ch/fr/appartement/acheter/lieu-baech-sz" TargetMode="External"/><Relationship Id="rId4569" Type="http://schemas.openxmlformats.org/officeDocument/2006/relationships/hyperlink" Target="https://www.immoscout24.ch/fr/appartement/acheter/lieu-grenilles" TargetMode="External"/><Relationship Id="rId3237" Type="http://schemas.openxmlformats.org/officeDocument/2006/relationships/hyperlink" Target="https://www.immoscout24.ch/fr/maison/acheter/lieu-sassel" TargetMode="External"/><Relationship Id="rId4568" Type="http://schemas.openxmlformats.org/officeDocument/2006/relationships/hyperlink" Target="https://www.immoscout24.ch/fr/appartement/louer/lieu-argnou-ayent" TargetMode="External"/><Relationship Id="rId5899" Type="http://schemas.openxmlformats.org/officeDocument/2006/relationships/hyperlink" Target="https://www.immoscout24.ch/fr/appartement/louer/lieu-yvonand" TargetMode="External"/><Relationship Id="rId3239" Type="http://schemas.openxmlformats.org/officeDocument/2006/relationships/hyperlink" Target="https://www.immoscout24.ch/fr/maison/louer/lieu-chardonne" TargetMode="External"/><Relationship Id="rId5890" Type="http://schemas.openxmlformats.org/officeDocument/2006/relationships/hyperlink" Target="https://www.immoscout24.ch/fr/appartement/acheter/quartier-delices-grottes-geneve" TargetMode="External"/><Relationship Id="rId3230" Type="http://schemas.openxmlformats.org/officeDocument/2006/relationships/hyperlink" Target="https://www.immoscout24.ch/fr/maison/acheter/lieu-schlans" TargetMode="External"/><Relationship Id="rId4561" Type="http://schemas.openxmlformats.org/officeDocument/2006/relationships/hyperlink" Target="https://www.immoscout24.ch/fr/maison/louer/lieu-wallisellen" TargetMode="External"/><Relationship Id="rId5893" Type="http://schemas.openxmlformats.org/officeDocument/2006/relationships/hyperlink" Target="https://www.immoscout24.ch/fr/appartement/acheter/lieu-kehrsatz" TargetMode="External"/><Relationship Id="rId4560" Type="http://schemas.openxmlformats.org/officeDocument/2006/relationships/hyperlink" Target="https://www.immoscout24.ch/fr/maison/acheter/lieu-seedorf-be" TargetMode="External"/><Relationship Id="rId5894" Type="http://schemas.openxmlformats.org/officeDocument/2006/relationships/hyperlink" Target="https://www.immoscout24.ch/fr/appartement/acheter/lieu-langenthal" TargetMode="External"/><Relationship Id="rId3232" Type="http://schemas.openxmlformats.org/officeDocument/2006/relationships/hyperlink" Target="https://www.immoscout24.ch/fr/appartement/louer/lieu-bonvillars" TargetMode="External"/><Relationship Id="rId4563" Type="http://schemas.openxmlformats.org/officeDocument/2006/relationships/hyperlink" Target="https://www.immoscout24.ch/fr/appartement/acheter/lieu-courfaivre" TargetMode="External"/><Relationship Id="rId5891" Type="http://schemas.openxmlformats.org/officeDocument/2006/relationships/hyperlink" Target="https://www.immoscout24.ch/fr/appartement/louer/lieu-sonvilier" TargetMode="External"/><Relationship Id="rId3231" Type="http://schemas.openxmlformats.org/officeDocument/2006/relationships/hyperlink" Target="https://www.immoscout24.ch/fr/appartement/acheter/lieu-diesse" TargetMode="External"/><Relationship Id="rId4562" Type="http://schemas.openxmlformats.org/officeDocument/2006/relationships/hyperlink" Target="https://www.immoscout24.ch/fr/appartement/louer/lieu-develier" TargetMode="External"/><Relationship Id="rId5892" Type="http://schemas.openxmlformats.org/officeDocument/2006/relationships/hyperlink" Target="https://www.immoscout24.ch/fr/maison/acheter/lieu-bruenisried" TargetMode="External"/><Relationship Id="rId3234" Type="http://schemas.openxmlformats.org/officeDocument/2006/relationships/hyperlink" Target="https://www.immoscout24.ch/fr/appartement/acheter/lieu-salgesch" TargetMode="External"/><Relationship Id="rId4565" Type="http://schemas.openxmlformats.org/officeDocument/2006/relationships/hyperlink" Target="https://www.immoscout24.ch/fr/appartement/louer/lieu-progens" TargetMode="External"/><Relationship Id="rId5897" Type="http://schemas.openxmlformats.org/officeDocument/2006/relationships/hyperlink" Target="https://www.immoscout24.ch/fr/appartement/acheter/lieu-obergoesgen" TargetMode="External"/><Relationship Id="rId3233" Type="http://schemas.openxmlformats.org/officeDocument/2006/relationships/hyperlink" Target="https://www.immoscout24.ch/fr/maison/acheter/lieu-orsieres" TargetMode="External"/><Relationship Id="rId4564" Type="http://schemas.openxmlformats.org/officeDocument/2006/relationships/hyperlink" Target="https://www.immoscout24.ch/fr/maison/acheter/lieu-blatten-b-naters" TargetMode="External"/><Relationship Id="rId5898" Type="http://schemas.openxmlformats.org/officeDocument/2006/relationships/hyperlink" Target="https://www.immoscout24.ch/fr/appartement/louer/lieu-estavayer-le-lac" TargetMode="External"/><Relationship Id="rId3236" Type="http://schemas.openxmlformats.org/officeDocument/2006/relationships/hyperlink" Target="https://www.immoscout24.ch/fr/appartement/acheter/lieu-kuesnacht-zh" TargetMode="External"/><Relationship Id="rId4567" Type="http://schemas.openxmlformats.org/officeDocument/2006/relationships/hyperlink" Target="https://www.immoscout24.ch/fr/maison/louer/lieu-st-margrethen-sg" TargetMode="External"/><Relationship Id="rId5895" Type="http://schemas.openxmlformats.org/officeDocument/2006/relationships/hyperlink" Target="https://www.immoscout24.ch/fr/maison/acheter/lieu-kappelen" TargetMode="External"/><Relationship Id="rId3235" Type="http://schemas.openxmlformats.org/officeDocument/2006/relationships/hyperlink" Target="https://www.immoscout24.ch/fr/maison/louer/lieu-crissier" TargetMode="External"/><Relationship Id="rId4566" Type="http://schemas.openxmlformats.org/officeDocument/2006/relationships/hyperlink" Target="https://www.immoscout24.ch/fr/appartement/louer/lieu-onex" TargetMode="External"/><Relationship Id="rId5896" Type="http://schemas.openxmlformats.org/officeDocument/2006/relationships/hyperlink" Target="https://www.immoscout24.ch/fr/appartement/louer/lieu-bussigny" TargetMode="External"/><Relationship Id="rId3227" Type="http://schemas.openxmlformats.org/officeDocument/2006/relationships/hyperlink" Target="https://www.immoscout24.ch/fr/maison/acheter/lieu-ruedlingen" TargetMode="External"/><Relationship Id="rId4558" Type="http://schemas.openxmlformats.org/officeDocument/2006/relationships/hyperlink" Target="https://www.immoscout24.ch/fr/maison/acheter/lieu-caux" TargetMode="External"/><Relationship Id="rId3226" Type="http://schemas.openxmlformats.org/officeDocument/2006/relationships/hyperlink" Target="https://www.immoscout24.ch/fr/appartement/louer/lieu-auboranges" TargetMode="External"/><Relationship Id="rId4557" Type="http://schemas.openxmlformats.org/officeDocument/2006/relationships/hyperlink" Target="https://www.immoscout24.ch/fr/appartement/acheter/lieu-posat" TargetMode="External"/><Relationship Id="rId3229" Type="http://schemas.openxmlformats.org/officeDocument/2006/relationships/hyperlink" Target="https://www.immoscout24.ch/fr/appartement/louer/quartier-laenggasse-berne" TargetMode="External"/><Relationship Id="rId5888" Type="http://schemas.openxmlformats.org/officeDocument/2006/relationships/hyperlink" Target="https://www.immoscout24.ch/fr/appartement/louer/lieu-morges" TargetMode="External"/><Relationship Id="rId3228" Type="http://schemas.openxmlformats.org/officeDocument/2006/relationships/hyperlink" Target="https://www.immoscout24.ch/fr/appartement/louer/lieu-spiez" TargetMode="External"/><Relationship Id="rId4559" Type="http://schemas.openxmlformats.org/officeDocument/2006/relationships/hyperlink" Target="https://www.immoscout24.ch/fr/appartement/acheter/lieu-toffen" TargetMode="External"/><Relationship Id="rId5889" Type="http://schemas.openxmlformats.org/officeDocument/2006/relationships/hyperlink" Target="https://www.immoscout24.ch/fr/maison/louer/lieu-ependes-fr" TargetMode="External"/><Relationship Id="rId4550" Type="http://schemas.openxmlformats.org/officeDocument/2006/relationships/hyperlink" Target="https://www.immoscout24.ch/fr/appartement/louer/lieu-wallenbuch" TargetMode="External"/><Relationship Id="rId5882" Type="http://schemas.openxmlformats.org/officeDocument/2006/relationships/hyperlink" Target="https://www.immoscout24.ch/fr/maison/acheter/lieu-oulens-sur-lucens" TargetMode="External"/><Relationship Id="rId5883" Type="http://schemas.openxmlformats.org/officeDocument/2006/relationships/hyperlink" Target="https://www.immoscout24.ch/fr/appartement/acheter/lieu-bettmeralp" TargetMode="External"/><Relationship Id="rId3221" Type="http://schemas.openxmlformats.org/officeDocument/2006/relationships/hyperlink" Target="https://www.immoscout24.ch/fr/appartement/acheter/lieu-twann" TargetMode="External"/><Relationship Id="rId4552" Type="http://schemas.openxmlformats.org/officeDocument/2006/relationships/hyperlink" Target="https://www.immoscout24.ch/fr/maison/louer/lieu-les-plans-sur-bex" TargetMode="External"/><Relationship Id="rId5880" Type="http://schemas.openxmlformats.org/officeDocument/2006/relationships/hyperlink" Target="https://www.immoscout24.ch/fr/appartement/louer/lieu-samedan" TargetMode="External"/><Relationship Id="rId3220" Type="http://schemas.openxmlformats.org/officeDocument/2006/relationships/hyperlink" Target="https://www.immoscout24.ch/fr/appartement/louer/lieu-montagnola" TargetMode="External"/><Relationship Id="rId4551" Type="http://schemas.openxmlformats.org/officeDocument/2006/relationships/hyperlink" Target="https://www.immoscout24.ch/fr/appartement/louer/lieu-conches" TargetMode="External"/><Relationship Id="rId5881" Type="http://schemas.openxmlformats.org/officeDocument/2006/relationships/hyperlink" Target="https://www.immoscout24.ch/fr/maison/acheter/lieu-collex" TargetMode="External"/><Relationship Id="rId3223" Type="http://schemas.openxmlformats.org/officeDocument/2006/relationships/hyperlink" Target="https://www.immoscout24.ch/fr/appartement/louer/lieu-villars-le-terroir" TargetMode="External"/><Relationship Id="rId4554" Type="http://schemas.openxmlformats.org/officeDocument/2006/relationships/hyperlink" Target="https://www.immoscout24.ch/fr/maison/acheter/lieu-le-chable-vs" TargetMode="External"/><Relationship Id="rId5886" Type="http://schemas.openxmlformats.org/officeDocument/2006/relationships/hyperlink" Target="https://www.immoscout24.ch/fr/maison/acheter/region-baden-brugg-zurzach" TargetMode="External"/><Relationship Id="rId3222" Type="http://schemas.openxmlformats.org/officeDocument/2006/relationships/hyperlink" Target="https://www.immoscout24.ch/fr/maison/louer/lieu-combremont-le-petit" TargetMode="External"/><Relationship Id="rId4553" Type="http://schemas.openxmlformats.org/officeDocument/2006/relationships/hyperlink" Target="https://www.immoscout24.ch/fr/appartement/louer/lieu-obfelden" TargetMode="External"/><Relationship Id="rId5887" Type="http://schemas.openxmlformats.org/officeDocument/2006/relationships/hyperlink" Target="https://www.immoscout24.ch/fr/appartement/louer/quartier-chailly-rovereaz-lausanne" TargetMode="External"/><Relationship Id="rId3225" Type="http://schemas.openxmlformats.org/officeDocument/2006/relationships/hyperlink" Target="https://www.immoscout24.ch/fr/maison/acheter/lieu-vessy" TargetMode="External"/><Relationship Id="rId4556" Type="http://schemas.openxmlformats.org/officeDocument/2006/relationships/hyperlink" Target="https://www.immoscout24.ch/fr/appartement/louer/lieu-frutigen" TargetMode="External"/><Relationship Id="rId5884" Type="http://schemas.openxmlformats.org/officeDocument/2006/relationships/hyperlink" Target="https://www.immoscout24.ch/fr/maison/acheter/lieu-ludiano" TargetMode="External"/><Relationship Id="rId3224" Type="http://schemas.openxmlformats.org/officeDocument/2006/relationships/hyperlink" Target="https://www.immoscout24.ch/fr/appartement/louer/lieu-schmitten-fr" TargetMode="External"/><Relationship Id="rId4555" Type="http://schemas.openxmlformats.org/officeDocument/2006/relationships/hyperlink" Target="https://www.immoscout24.ch/fr/maison/louer/lieu-menieres" TargetMode="External"/><Relationship Id="rId5885" Type="http://schemas.openxmlformats.org/officeDocument/2006/relationships/hyperlink" Target="https://www.immoscout24.ch/fr/appartement/acheter/lieu-flueh" TargetMode="External"/><Relationship Id="rId3259" Type="http://schemas.openxmlformats.org/officeDocument/2006/relationships/hyperlink" Target="https://www.immoscout24.ch/fr/maison/acheter/lieu-krauchthal" TargetMode="External"/><Relationship Id="rId3250" Type="http://schemas.openxmlformats.org/officeDocument/2006/relationships/hyperlink" Target="https://www.immoscout24.ch/fr/maison/acheter/lieu-cari" TargetMode="External"/><Relationship Id="rId4581" Type="http://schemas.openxmlformats.org/officeDocument/2006/relationships/hyperlink" Target="https://www.immoscout24.ch/fr/appartement/louer/region-zurich-ville" TargetMode="External"/><Relationship Id="rId4580" Type="http://schemas.openxmlformats.org/officeDocument/2006/relationships/hyperlink" Target="https://www.immoscout24.ch/fr/maison/acheter/lieu-oberbipp" TargetMode="External"/><Relationship Id="rId3252" Type="http://schemas.openxmlformats.org/officeDocument/2006/relationships/hyperlink" Target="https://www.immoscout24.ch/fr/maison/louer/lieu-lentigny" TargetMode="External"/><Relationship Id="rId4583" Type="http://schemas.openxmlformats.org/officeDocument/2006/relationships/hyperlink" Target="https://www.immoscout24.ch/fr/maison/acheter/lieu-arosa" TargetMode="External"/><Relationship Id="rId3251" Type="http://schemas.openxmlformats.org/officeDocument/2006/relationships/hyperlink" Target="https://www.immoscout24.ch/fr/appartement/louer/lieu-domat-ems" TargetMode="External"/><Relationship Id="rId4582" Type="http://schemas.openxmlformats.org/officeDocument/2006/relationships/hyperlink" Target="https://www.immoscout24.ch/fr/appartement/louer/lieu-muri-b-bern" TargetMode="External"/><Relationship Id="rId3254" Type="http://schemas.openxmlformats.org/officeDocument/2006/relationships/hyperlink" Target="https://www.immoscout24.ch/fr/maison/acheter/lieu-pontenet" TargetMode="External"/><Relationship Id="rId4585" Type="http://schemas.openxmlformats.org/officeDocument/2006/relationships/hyperlink" Target="https://www.immoscout24.ch/fr/maison/louer/lieu-buelach" TargetMode="External"/><Relationship Id="rId3253" Type="http://schemas.openxmlformats.org/officeDocument/2006/relationships/hyperlink" Target="https://www.immoscout24.ch/fr/maison/louer/lieu-vionnaz" TargetMode="External"/><Relationship Id="rId4584" Type="http://schemas.openxmlformats.org/officeDocument/2006/relationships/hyperlink" Target="https://www.immoscout24.ch/fr/appartement/louer/lieu-taegerwilen" TargetMode="External"/><Relationship Id="rId3256" Type="http://schemas.openxmlformats.org/officeDocument/2006/relationships/hyperlink" Target="https://www.immoscout24.ch/fr/appartement/acheter/lieu-therwil" TargetMode="External"/><Relationship Id="rId4587" Type="http://schemas.openxmlformats.org/officeDocument/2006/relationships/hyperlink" Target="https://www.immoscout24.ch/fr/maison/acheter/quartier-eplatures-cret-du-locle-la-chaux-de-fonds" TargetMode="External"/><Relationship Id="rId3255" Type="http://schemas.openxmlformats.org/officeDocument/2006/relationships/hyperlink" Target="https://www.immoscout24.ch/fr/appartement/louer/lieu-treycovagnes" TargetMode="External"/><Relationship Id="rId4586" Type="http://schemas.openxmlformats.org/officeDocument/2006/relationships/hyperlink" Target="https://www.immoscout24.ch/fr/appartement/louer/lieu-luins" TargetMode="External"/><Relationship Id="rId3258" Type="http://schemas.openxmlformats.org/officeDocument/2006/relationships/hyperlink" Target="https://www.immoscout24.ch/fr/maison/acheter/lieu-coglio" TargetMode="External"/><Relationship Id="rId4589" Type="http://schemas.openxmlformats.org/officeDocument/2006/relationships/hyperlink" Target="https://www.immoscout24.ch/fr/appartement/acheter/lieu-schoenried" TargetMode="External"/><Relationship Id="rId3257" Type="http://schemas.openxmlformats.org/officeDocument/2006/relationships/hyperlink" Target="https://www.immoscout24.ch/fr/appartement/louer/quartier-sonvico-lugano" TargetMode="External"/><Relationship Id="rId4588" Type="http://schemas.openxmlformats.org/officeDocument/2006/relationships/hyperlink" Target="https://www.immoscout24.ch/fr/maison/louer/lieu-cournillens" TargetMode="External"/><Relationship Id="rId3249" Type="http://schemas.openxmlformats.org/officeDocument/2006/relationships/hyperlink" Target="https://www.immoscout24.ch/fr/appartement/acheter/lieu-vuisternens-devant-romont" TargetMode="External"/><Relationship Id="rId3248" Type="http://schemas.openxmlformats.org/officeDocument/2006/relationships/hyperlink" Target="https://www.immoscout24.ch/fr/appartement/louer/lieu-heremence" TargetMode="External"/><Relationship Id="rId4579" Type="http://schemas.openxmlformats.org/officeDocument/2006/relationships/hyperlink" Target="https://www.immoscout24.ch/fr/maison/louer/quartier-bossons-blecherette-lausanne" TargetMode="External"/><Relationship Id="rId4570" Type="http://schemas.openxmlformats.org/officeDocument/2006/relationships/hyperlink" Target="https://www.immoscout24.ch/fr/appartement/louer/lieu-forel-lavaux" TargetMode="External"/><Relationship Id="rId3241" Type="http://schemas.openxmlformats.org/officeDocument/2006/relationships/hyperlink" Target="https://www.immoscout24.ch/fr/appartement/acheter/lieu-villars-ste-croix" TargetMode="External"/><Relationship Id="rId4572" Type="http://schemas.openxmlformats.org/officeDocument/2006/relationships/hyperlink" Target="https://www.immoscout24.ch/fr/appartement/louer/lieu-jongny" TargetMode="External"/><Relationship Id="rId3240" Type="http://schemas.openxmlformats.org/officeDocument/2006/relationships/hyperlink" Target="https://www.immoscout24.ch/fr/maison/acheter/quartier-jura-fribourg" TargetMode="External"/><Relationship Id="rId4571" Type="http://schemas.openxmlformats.org/officeDocument/2006/relationships/hyperlink" Target="https://www.immoscout24.ch/fr/maison/louer/lieu-la-comballaz" TargetMode="External"/><Relationship Id="rId3243" Type="http://schemas.openxmlformats.org/officeDocument/2006/relationships/hyperlink" Target="https://www.immoscout24.ch/fr/appartement/louer/lieu-nods" TargetMode="External"/><Relationship Id="rId4574" Type="http://schemas.openxmlformats.org/officeDocument/2006/relationships/hyperlink" Target="https://www.immoscout24.ch/fr/appartement/louer/lieu-perly" TargetMode="External"/><Relationship Id="rId3242" Type="http://schemas.openxmlformats.org/officeDocument/2006/relationships/hyperlink" Target="https://www.immoscout24.ch/fr/appartement/acheter/lieu-chesopelloz" TargetMode="External"/><Relationship Id="rId4573" Type="http://schemas.openxmlformats.org/officeDocument/2006/relationships/hyperlink" Target="https://www.immoscout24.ch/fr/maison/acheter/lieu-figino" TargetMode="External"/><Relationship Id="rId3245" Type="http://schemas.openxmlformats.org/officeDocument/2006/relationships/hyperlink" Target="https://www.immoscout24.ch/fr/appartement/acheter/lieu-sementina" TargetMode="External"/><Relationship Id="rId4576" Type="http://schemas.openxmlformats.org/officeDocument/2006/relationships/hyperlink" Target="https://www.immoscout24.ch/fr/maison/louer/lieu-treyvaux" TargetMode="External"/><Relationship Id="rId3244" Type="http://schemas.openxmlformats.org/officeDocument/2006/relationships/hyperlink" Target="https://www.immoscout24.ch/fr/maison/acheter/lieu-wallisellen" TargetMode="External"/><Relationship Id="rId4575" Type="http://schemas.openxmlformats.org/officeDocument/2006/relationships/hyperlink" Target="https://www.immoscout24.ch/fr/maison/acheter/lieu-wohlen-b-bern" TargetMode="External"/><Relationship Id="rId3247" Type="http://schemas.openxmlformats.org/officeDocument/2006/relationships/hyperlink" Target="https://www.immoscout24.ch/fr/maison/acheter/lieu-buergenstock" TargetMode="External"/><Relationship Id="rId4578" Type="http://schemas.openxmlformats.org/officeDocument/2006/relationships/hyperlink" Target="https://www.immoscout24.ch/fr/maison/acheter/lieu-ermatingen" TargetMode="External"/><Relationship Id="rId3246" Type="http://schemas.openxmlformats.org/officeDocument/2006/relationships/hyperlink" Target="https://www.immoscout24.ch/fr/maison/louer/quartier-rotmonten-st-gall" TargetMode="External"/><Relationship Id="rId4577" Type="http://schemas.openxmlformats.org/officeDocument/2006/relationships/hyperlink" Target="https://www.immoscout24.ch/fr/appartement/louer/lieu-tolochenaz" TargetMode="External"/><Relationship Id="rId4525" Type="http://schemas.openxmlformats.org/officeDocument/2006/relationships/hyperlink" Target="https://www.immoscout24.ch/fr/appartement/louer/lieu-aminona" TargetMode="External"/><Relationship Id="rId5857" Type="http://schemas.openxmlformats.org/officeDocument/2006/relationships/hyperlink" Target="https://www.immoscout24.ch/fr/maison/louer/lieu-le-chable-vs" TargetMode="External"/><Relationship Id="rId4524" Type="http://schemas.openxmlformats.org/officeDocument/2006/relationships/hyperlink" Target="https://www.immoscout24.ch/fr/appartement/louer/quartier-castagnola-lugano" TargetMode="External"/><Relationship Id="rId5858" Type="http://schemas.openxmlformats.org/officeDocument/2006/relationships/hyperlink" Target="https://www.immoscout24.ch/fr/appartement/louer/quartier-beauregard-la-chaux-de-fonds" TargetMode="External"/><Relationship Id="rId4527" Type="http://schemas.openxmlformats.org/officeDocument/2006/relationships/hyperlink" Target="https://www.immoscout24.ch/fr/appartement/acheter/lieu-engelberg" TargetMode="External"/><Relationship Id="rId5855" Type="http://schemas.openxmlformats.org/officeDocument/2006/relationships/hyperlink" Target="https://www.immoscout24.ch/fr/appartement/louer/lieu-bottens" TargetMode="External"/><Relationship Id="rId4526" Type="http://schemas.openxmlformats.org/officeDocument/2006/relationships/hyperlink" Target="https://www.immoscout24.ch/fr/appartement/louer/lieu-langnau-im-emmental" TargetMode="External"/><Relationship Id="rId5856" Type="http://schemas.openxmlformats.org/officeDocument/2006/relationships/hyperlink" Target="https://www.immoscout24.ch/fr/appartement/louer/lieu-savigny" TargetMode="External"/><Relationship Id="rId4529" Type="http://schemas.openxmlformats.org/officeDocument/2006/relationships/hyperlink" Target="https://www.immoscout24.ch/fr/appartement/louer/lieu-bassins" TargetMode="External"/><Relationship Id="rId4528" Type="http://schemas.openxmlformats.org/officeDocument/2006/relationships/hyperlink" Target="https://www.immoscout24.ch/fr/appartement/louer/lieu-bruson" TargetMode="External"/><Relationship Id="rId5859" Type="http://schemas.openxmlformats.org/officeDocument/2006/relationships/hyperlink" Target="https://www.immoscout24.ch/fr/appartement/louer/lieu-champsec" TargetMode="External"/><Relationship Id="rId5850" Type="http://schemas.openxmlformats.org/officeDocument/2006/relationships/hyperlink" Target="https://www.immoscout24.ch/fr/maison/acheter/lieu-lieffrens" TargetMode="External"/><Relationship Id="rId4521" Type="http://schemas.openxmlformats.org/officeDocument/2006/relationships/hyperlink" Target="https://www.immoscout24.ch/fr/maison/acheter/canton-st-gall" TargetMode="External"/><Relationship Id="rId5853" Type="http://schemas.openxmlformats.org/officeDocument/2006/relationships/hyperlink" Target="https://www.immoscout24.ch/fr/appartement/louer/lieu-cernier" TargetMode="External"/><Relationship Id="rId4520" Type="http://schemas.openxmlformats.org/officeDocument/2006/relationships/hyperlink" Target="https://www.immoscout24.ch/fr/maison/louer/lieu-palezieux" TargetMode="External"/><Relationship Id="rId5854" Type="http://schemas.openxmlformats.org/officeDocument/2006/relationships/hyperlink" Target="https://www.immoscout24.ch/fr/maison/louer/lieu-moutier" TargetMode="External"/><Relationship Id="rId4523" Type="http://schemas.openxmlformats.org/officeDocument/2006/relationships/hyperlink" Target="https://www.immoscout24.ch/fr/appartement/acheter/lieu-les-paccots" TargetMode="External"/><Relationship Id="rId5851" Type="http://schemas.openxmlformats.org/officeDocument/2006/relationships/hyperlink" Target="https://www.immoscout24.ch/fr/maison/acheter/lieu-gerra-gambarogno" TargetMode="External"/><Relationship Id="rId4522" Type="http://schemas.openxmlformats.org/officeDocument/2006/relationships/hyperlink" Target="https://www.immoscout24.ch/fr/appartement/louer/lieu-duedingen" TargetMode="External"/><Relationship Id="rId5852" Type="http://schemas.openxmlformats.org/officeDocument/2006/relationships/hyperlink" Target="https://www.immoscout24.ch/fr/appartement/acheter/lieu-chiasso" TargetMode="External"/><Relationship Id="rId4514" Type="http://schemas.openxmlformats.org/officeDocument/2006/relationships/hyperlink" Target="https://www.immoscout24.ch/fr/maison/louer/lieu-widnau" TargetMode="External"/><Relationship Id="rId5846" Type="http://schemas.openxmlformats.org/officeDocument/2006/relationships/hyperlink" Target="https://www.immoscout24.ch/fr/appartement/louer/lieu-jouxtens-mezery" TargetMode="External"/><Relationship Id="rId4513" Type="http://schemas.openxmlformats.org/officeDocument/2006/relationships/hyperlink" Target="https://www.immoscout24.ch/fr/appartement/acheter/lieu-court" TargetMode="External"/><Relationship Id="rId5847" Type="http://schemas.openxmlformats.org/officeDocument/2006/relationships/hyperlink" Target="https://www.immoscout24.ch/fr/appartement/louer/lieu-schaan" TargetMode="External"/><Relationship Id="rId4516" Type="http://schemas.openxmlformats.org/officeDocument/2006/relationships/hyperlink" Target="https://www.immoscout24.ch/fr/maison/acheter/lieu-combremont-le-petit" TargetMode="External"/><Relationship Id="rId5844" Type="http://schemas.openxmlformats.org/officeDocument/2006/relationships/hyperlink" Target="https://www.immoscout24.ch/fr/maison/louer/lieu-montagnola" TargetMode="External"/><Relationship Id="rId4515" Type="http://schemas.openxmlformats.org/officeDocument/2006/relationships/hyperlink" Target="https://www.immoscout24.ch/fr/appartement/louer/lieu-arolla" TargetMode="External"/><Relationship Id="rId5845" Type="http://schemas.openxmlformats.org/officeDocument/2006/relationships/hyperlink" Target="https://www.immoscout24.ch/fr/appartement/louer/lieu-ropraz" TargetMode="External"/><Relationship Id="rId4518" Type="http://schemas.openxmlformats.org/officeDocument/2006/relationships/hyperlink" Target="https://www.immoscout24.ch/fr/appartement/acheter/pays-grece" TargetMode="External"/><Relationship Id="rId4517" Type="http://schemas.openxmlformats.org/officeDocument/2006/relationships/hyperlink" Target="https://www.immoscout24.ch/fr/appartement/louer/lieu-chur" TargetMode="External"/><Relationship Id="rId5848" Type="http://schemas.openxmlformats.org/officeDocument/2006/relationships/hyperlink" Target="https://www.immoscout24.ch/fr/appartement/louer/lieu-ecublens-vd" TargetMode="External"/><Relationship Id="rId4519" Type="http://schemas.openxmlformats.org/officeDocument/2006/relationships/hyperlink" Target="https://www.immoscout24.ch/fr/appartement/acheter/lieu-ependes-fr" TargetMode="External"/><Relationship Id="rId5849" Type="http://schemas.openxmlformats.org/officeDocument/2006/relationships/hyperlink" Target="https://www.immoscout24.ch/fr/maison/louer/lieu-vessy" TargetMode="External"/><Relationship Id="rId4510" Type="http://schemas.openxmlformats.org/officeDocument/2006/relationships/hyperlink" Target="https://www.immoscout24.ch/fr/appartement/louer/lieu-bueron" TargetMode="External"/><Relationship Id="rId5842" Type="http://schemas.openxmlformats.org/officeDocument/2006/relationships/hyperlink" Target="https://www.immoscout24.ch/fr/appartement/acheter/lieu-lavey-village" TargetMode="External"/><Relationship Id="rId5843" Type="http://schemas.openxmlformats.org/officeDocument/2006/relationships/hyperlink" Target="https://www.immoscout24.ch/fr/maison/louer/lieu-meyrin" TargetMode="External"/><Relationship Id="rId4512" Type="http://schemas.openxmlformats.org/officeDocument/2006/relationships/hyperlink" Target="https://www.immoscout24.ch/fr/appartement/louer/lieu-givisiez" TargetMode="External"/><Relationship Id="rId5840" Type="http://schemas.openxmlformats.org/officeDocument/2006/relationships/hyperlink" Target="https://www.immoscout24.ch/fr/maison/acheter/lieu-puplinge" TargetMode="External"/><Relationship Id="rId4511" Type="http://schemas.openxmlformats.org/officeDocument/2006/relationships/hyperlink" Target="https://www.immoscout24.ch/fr/maison/acheter/lieu-muehleberg" TargetMode="External"/><Relationship Id="rId5841" Type="http://schemas.openxmlformats.org/officeDocument/2006/relationships/hyperlink" Target="https://www.immoscout24.ch/fr/appartement/louer/lieu-krauchthal" TargetMode="External"/><Relationship Id="rId3216" Type="http://schemas.openxmlformats.org/officeDocument/2006/relationships/hyperlink" Target="https://www.immoscout24.ch/fr/maison/acheter/lieu-kilchberg-zh" TargetMode="External"/><Relationship Id="rId4547" Type="http://schemas.openxmlformats.org/officeDocument/2006/relationships/hyperlink" Target="https://www.immoscout24.ch/fr/appartement/acheter/lieu-granges-vs" TargetMode="External"/><Relationship Id="rId5879" Type="http://schemas.openxmlformats.org/officeDocument/2006/relationships/hyperlink" Target="https://www.immoscout24.ch/fr/appartement/acheter/lieu-staefa" TargetMode="External"/><Relationship Id="rId3215" Type="http://schemas.openxmlformats.org/officeDocument/2006/relationships/hyperlink" Target="https://www.immoscout24.ch/fr/appartement/louer/lieu-oberburg" TargetMode="External"/><Relationship Id="rId4546" Type="http://schemas.openxmlformats.org/officeDocument/2006/relationships/hyperlink" Target="https://www.immoscout24.ch/fr/appartement/louer/lieu-courlevon" TargetMode="External"/><Relationship Id="rId3218" Type="http://schemas.openxmlformats.org/officeDocument/2006/relationships/hyperlink" Target="https://www.immoscout24.ch/fr/maison/acheter/lieu-fontenais" TargetMode="External"/><Relationship Id="rId4549" Type="http://schemas.openxmlformats.org/officeDocument/2006/relationships/hyperlink" Target="https://www.immoscout24.ch/fr/appartement/louer/quartier-beaux-arts-neuchatel" TargetMode="External"/><Relationship Id="rId5877" Type="http://schemas.openxmlformats.org/officeDocument/2006/relationships/hyperlink" Target="https://www.immoscout24.ch/fr/maison/acheter/lieu-stabio" TargetMode="External"/><Relationship Id="rId3217" Type="http://schemas.openxmlformats.org/officeDocument/2006/relationships/hyperlink" Target="https://www.immoscout24.ch/fr/appartement/acheter/lieu-chenens" TargetMode="External"/><Relationship Id="rId4548" Type="http://schemas.openxmlformats.org/officeDocument/2006/relationships/hyperlink" Target="https://www.immoscout24.ch/fr/appartement/acheter/lieu-brent" TargetMode="External"/><Relationship Id="rId5878" Type="http://schemas.openxmlformats.org/officeDocument/2006/relationships/hyperlink" Target="https://www.immoscout24.ch/fr/appartement/louer/lieu-granges-paccot" TargetMode="External"/><Relationship Id="rId3219" Type="http://schemas.openxmlformats.org/officeDocument/2006/relationships/hyperlink" Target="https://www.immoscout24.ch/fr/maison/acheter/lieu-tschingel-ob-gunten" TargetMode="External"/><Relationship Id="rId5871" Type="http://schemas.openxmlformats.org/officeDocument/2006/relationships/hyperlink" Target="https://www.immoscout24.ch/fr/appartement/acheter/lieu-lutry" TargetMode="External"/><Relationship Id="rId5872" Type="http://schemas.openxmlformats.org/officeDocument/2006/relationships/hyperlink" Target="https://www.immoscout24.ch/fr/maison/louer/pays-maroc" TargetMode="External"/><Relationship Id="rId3210" Type="http://schemas.openxmlformats.org/officeDocument/2006/relationships/hyperlink" Target="https://www.immoscout24.ch/fr/appartement/acheter/lieu-baden" TargetMode="External"/><Relationship Id="rId4541" Type="http://schemas.openxmlformats.org/officeDocument/2006/relationships/hyperlink" Target="https://www.immoscout24.ch/fr/appartement/louer/lieu-villars-bramard" TargetMode="External"/><Relationship Id="rId4540" Type="http://schemas.openxmlformats.org/officeDocument/2006/relationships/hyperlink" Target="https://www.immoscout24.ch/fr/maison/acheter/lieu-les-charbonnieres" TargetMode="External"/><Relationship Id="rId5870" Type="http://schemas.openxmlformats.org/officeDocument/2006/relationships/hyperlink" Target="https://www.immoscout24.ch/fr/appartement/acheter/lieu-concise" TargetMode="External"/><Relationship Id="rId3212" Type="http://schemas.openxmlformats.org/officeDocument/2006/relationships/hyperlink" Target="https://www.immoscout24.ch/fr/appartement/louer/region-bischofszell-weinfelden" TargetMode="External"/><Relationship Id="rId4543" Type="http://schemas.openxmlformats.org/officeDocument/2006/relationships/hyperlink" Target="https://www.immoscout24.ch/fr/appartement/acheter/lieu-le-landeron" TargetMode="External"/><Relationship Id="rId5875" Type="http://schemas.openxmlformats.org/officeDocument/2006/relationships/hyperlink" Target="https://www.immoscout24.ch/fr/maison/acheter/lieu-origlio" TargetMode="External"/><Relationship Id="rId3211" Type="http://schemas.openxmlformats.org/officeDocument/2006/relationships/hyperlink" Target="https://www.immoscout24.ch/fr/maison/acheter/lieu-fuellinsdorf" TargetMode="External"/><Relationship Id="rId4542" Type="http://schemas.openxmlformats.org/officeDocument/2006/relationships/hyperlink" Target="https://www.immoscout24.ch/fr/appartement/acheter/lieu-schwarzenburg" TargetMode="External"/><Relationship Id="rId5876" Type="http://schemas.openxmlformats.org/officeDocument/2006/relationships/hyperlink" Target="https://www.immoscout24.ch/fr/appartement/louer/lieu-chevenez" TargetMode="External"/><Relationship Id="rId3214" Type="http://schemas.openxmlformats.org/officeDocument/2006/relationships/hyperlink" Target="https://www.immoscout24.ch/fr/appartement/louer/lieu-muri-ag" TargetMode="External"/><Relationship Id="rId4545" Type="http://schemas.openxmlformats.org/officeDocument/2006/relationships/hyperlink" Target="https://www.immoscout24.ch/fr/maison/acheter/lieu-baetterkinden" TargetMode="External"/><Relationship Id="rId5873" Type="http://schemas.openxmlformats.org/officeDocument/2006/relationships/hyperlink" Target="https://www.immoscout24.ch/fr/maison/louer/lieu-icogne" TargetMode="External"/><Relationship Id="rId3213" Type="http://schemas.openxmlformats.org/officeDocument/2006/relationships/hyperlink" Target="https://www.immoscout24.ch/fr/maison/acheter/pays-croatie" TargetMode="External"/><Relationship Id="rId4544" Type="http://schemas.openxmlformats.org/officeDocument/2006/relationships/hyperlink" Target="https://www.immoscout24.ch/fr/appartement/acheter/lieu-treycovagnes" TargetMode="External"/><Relationship Id="rId5874" Type="http://schemas.openxmlformats.org/officeDocument/2006/relationships/hyperlink" Target="https://www.immoscout24.ch/fr/appartement/acheter/lieu-muhen" TargetMode="External"/><Relationship Id="rId3205" Type="http://schemas.openxmlformats.org/officeDocument/2006/relationships/hyperlink" Target="https://www.immoscout24.ch/fr/appartement/louer/lieu-verscio" TargetMode="External"/><Relationship Id="rId4536" Type="http://schemas.openxmlformats.org/officeDocument/2006/relationships/hyperlink" Target="https://www.immoscout24.ch/fr/appartement/louer/lieu-grandevent" TargetMode="External"/><Relationship Id="rId5868" Type="http://schemas.openxmlformats.org/officeDocument/2006/relationships/hyperlink" Target="https://www.immoscout24.ch/fr/appartement/louer/lieu-tuggen" TargetMode="External"/><Relationship Id="rId3204" Type="http://schemas.openxmlformats.org/officeDocument/2006/relationships/hyperlink" Target="https://www.immoscout24.ch/fr/maison/acheter/lieu-dornach" TargetMode="External"/><Relationship Id="rId4535" Type="http://schemas.openxmlformats.org/officeDocument/2006/relationships/hyperlink" Target="https://www.immoscout24.ch/fr/maison/acheter/lieu-wolfwil" TargetMode="External"/><Relationship Id="rId5869" Type="http://schemas.openxmlformats.org/officeDocument/2006/relationships/hyperlink" Target="https://www.immoscout24.ch/fr/appartement/acheter/region-la-cote-nyon" TargetMode="External"/><Relationship Id="rId3207" Type="http://schemas.openxmlformats.org/officeDocument/2006/relationships/hyperlink" Target="https://www.immoscout24.ch/fr/maison/acheter/lieu-yvorne" TargetMode="External"/><Relationship Id="rId4538" Type="http://schemas.openxmlformats.org/officeDocument/2006/relationships/hyperlink" Target="https://www.immoscout24.ch/fr/appartement/louer/lieu-mannens" TargetMode="External"/><Relationship Id="rId5866" Type="http://schemas.openxmlformats.org/officeDocument/2006/relationships/hyperlink" Target="https://www.immoscout24.ch/fr/appartement/louer/lieu-lupfig" TargetMode="External"/><Relationship Id="rId3206" Type="http://schemas.openxmlformats.org/officeDocument/2006/relationships/hyperlink" Target="https://www.immoscout24.ch/fr/appartement/louer/lieu-bronschhofen" TargetMode="External"/><Relationship Id="rId4537" Type="http://schemas.openxmlformats.org/officeDocument/2006/relationships/hyperlink" Target="https://www.immoscout24.ch/fr/maison/louer/lieu-meisterschwanden" TargetMode="External"/><Relationship Id="rId5867" Type="http://schemas.openxmlformats.org/officeDocument/2006/relationships/hyperlink" Target="https://www.immoscout24.ch/fr/appartement/acheter/lieu-riva-san-vitale" TargetMode="External"/><Relationship Id="rId3209" Type="http://schemas.openxmlformats.org/officeDocument/2006/relationships/hyperlink" Target="https://www.immoscout24.ch/fr/maison/louer/lieu-fiaugeres" TargetMode="External"/><Relationship Id="rId3208" Type="http://schemas.openxmlformats.org/officeDocument/2006/relationships/hyperlink" Target="https://www.immoscout24.ch/fr/appartement/acheter/lieu-gy" TargetMode="External"/><Relationship Id="rId4539" Type="http://schemas.openxmlformats.org/officeDocument/2006/relationships/hyperlink" Target="https://www.immoscout24.ch/fr/appartement/acheter/lieu-birrwil" TargetMode="External"/><Relationship Id="rId5860" Type="http://schemas.openxmlformats.org/officeDocument/2006/relationships/hyperlink" Target="https://www.immoscout24.ch/fr/appartement/louer/canton-uri" TargetMode="External"/><Relationship Id="rId5861" Type="http://schemas.openxmlformats.org/officeDocument/2006/relationships/hyperlink" Target="https://www.immoscout24.ch/fr/maison/louer/lieu-goldau" TargetMode="External"/><Relationship Id="rId4530" Type="http://schemas.openxmlformats.org/officeDocument/2006/relationships/hyperlink" Target="https://www.immoscout24.ch/fr/appartement/acheter/lieu-fleurier" TargetMode="External"/><Relationship Id="rId3201" Type="http://schemas.openxmlformats.org/officeDocument/2006/relationships/hyperlink" Target="https://www.immoscout24.ch/fr/maison/acheter/lieu-confignon" TargetMode="External"/><Relationship Id="rId4532" Type="http://schemas.openxmlformats.org/officeDocument/2006/relationships/hyperlink" Target="https://www.immoscout24.ch/fr/appartement/acheter/pays-namibie" TargetMode="External"/><Relationship Id="rId5864" Type="http://schemas.openxmlformats.org/officeDocument/2006/relationships/hyperlink" Target="https://www.immoscout24.ch/fr/appartement/louer/lieu-ostermundigen" TargetMode="External"/><Relationship Id="rId3200" Type="http://schemas.openxmlformats.org/officeDocument/2006/relationships/hyperlink" Target="https://www.immoscout24.ch/fr/maison/acheter/lieu-braggio" TargetMode="External"/><Relationship Id="rId4531" Type="http://schemas.openxmlformats.org/officeDocument/2006/relationships/hyperlink" Target="https://www.immoscout24.ch/fr/appartement/louer/lieu-chigny" TargetMode="External"/><Relationship Id="rId5865" Type="http://schemas.openxmlformats.org/officeDocument/2006/relationships/hyperlink" Target="https://www.immoscout24.ch/fr/appartement/louer/lieu-romont-be" TargetMode="External"/><Relationship Id="rId3203" Type="http://schemas.openxmlformats.org/officeDocument/2006/relationships/hyperlink" Target="https://www.immoscout24.ch/fr/maison/louer/lieu-jongny" TargetMode="External"/><Relationship Id="rId4534" Type="http://schemas.openxmlformats.org/officeDocument/2006/relationships/hyperlink" Target="https://www.immoscout24.ch/fr/maison/acheter/lieu-gondo" TargetMode="External"/><Relationship Id="rId5862" Type="http://schemas.openxmlformats.org/officeDocument/2006/relationships/hyperlink" Target="https://www.immoscout24.ch/fr/maison/acheter/lieu-sumiswald" TargetMode="External"/><Relationship Id="rId3202" Type="http://schemas.openxmlformats.org/officeDocument/2006/relationships/hyperlink" Target="https://www.immoscout24.ch/fr/appartement/louer/lieu-gachnang" TargetMode="External"/><Relationship Id="rId4533" Type="http://schemas.openxmlformats.org/officeDocument/2006/relationships/hyperlink" Target="https://www.immoscout24.ch/fr/appartement/acheter/region-lugano-e-dintorni" TargetMode="External"/><Relationship Id="rId5863" Type="http://schemas.openxmlformats.org/officeDocument/2006/relationships/hyperlink" Target="https://www.immoscout24.ch/fr/maison/acheter/lieu-le-sechey" TargetMode="External"/><Relationship Id="rId190" Type="http://schemas.openxmlformats.org/officeDocument/2006/relationships/hyperlink" Target="https://www.immoscout24.ch/fr/maison/acheter/lieu-prangins" TargetMode="External"/><Relationship Id="rId194" Type="http://schemas.openxmlformats.org/officeDocument/2006/relationships/hyperlink" Target="https://www.immoscout24.ch/fr/appartement/acheter/lieu-vich" TargetMode="External"/><Relationship Id="rId193" Type="http://schemas.openxmlformats.org/officeDocument/2006/relationships/hyperlink" Target="https://www.immoscout24.ch/fr/maison/louer/lieu-gumefens" TargetMode="External"/><Relationship Id="rId192" Type="http://schemas.openxmlformats.org/officeDocument/2006/relationships/hyperlink" Target="https://www.immoscout24.ch/fr/maison/acheter/lieu-les-moulins" TargetMode="External"/><Relationship Id="rId191" Type="http://schemas.openxmlformats.org/officeDocument/2006/relationships/hyperlink" Target="https://www.immoscout24.ch/fr/appartement/louer/lieu-oberhofen-am-thunersee" TargetMode="External"/><Relationship Id="rId187" Type="http://schemas.openxmlformats.org/officeDocument/2006/relationships/hyperlink" Target="https://www.immoscout24.ch/fr/maison/acheter/lieu-boulens" TargetMode="External"/><Relationship Id="rId186" Type="http://schemas.openxmlformats.org/officeDocument/2006/relationships/hyperlink" Target="https://www.immoscout24.ch/fr/maison/acheter/lieu-la-comballaz" TargetMode="External"/><Relationship Id="rId185" Type="http://schemas.openxmlformats.org/officeDocument/2006/relationships/hyperlink" Target="https://www.immoscout24.ch/fr/maison/acheter/lieu-schaan" TargetMode="External"/><Relationship Id="rId184" Type="http://schemas.openxmlformats.org/officeDocument/2006/relationships/hyperlink" Target="https://www.immoscout24.ch/fr/appartement/acheter/lieu-brunnen" TargetMode="External"/><Relationship Id="rId189" Type="http://schemas.openxmlformats.org/officeDocument/2006/relationships/hyperlink" Target="https://www.immoscout24.ch/fr/appartement/acheter/lieu-bioley-orjulaz" TargetMode="External"/><Relationship Id="rId188" Type="http://schemas.openxmlformats.org/officeDocument/2006/relationships/hyperlink" Target="https://www.immoscout24.ch/fr/appartement/louer/lieu-schwadernau" TargetMode="External"/><Relationship Id="rId183" Type="http://schemas.openxmlformats.org/officeDocument/2006/relationships/hyperlink" Target="https://www.immoscout24.ch/fr/maison/acheter/lieu-trimbach" TargetMode="External"/><Relationship Id="rId182" Type="http://schemas.openxmlformats.org/officeDocument/2006/relationships/hyperlink" Target="https://www.immoscout24.ch/fr/appartement/louer/quartier-sous-gare-ouchy-lausanne" TargetMode="External"/><Relationship Id="rId181" Type="http://schemas.openxmlformats.org/officeDocument/2006/relationships/hyperlink" Target="https://www.immoscout24.ch/fr/maison/louer/pays-liechtenstein" TargetMode="External"/><Relationship Id="rId180" Type="http://schemas.openxmlformats.org/officeDocument/2006/relationships/hyperlink" Target="https://www.immoscout24.ch/fr/maison/acheter/lieu-montagnola" TargetMode="External"/><Relationship Id="rId176" Type="http://schemas.openxmlformats.org/officeDocument/2006/relationships/hyperlink" Target="https://www.immoscout24.ch/fr/appartement/acheter/lieu-vuadens" TargetMode="External"/><Relationship Id="rId175" Type="http://schemas.openxmlformats.org/officeDocument/2006/relationships/hyperlink" Target="https://www.immoscout24.ch/fr/appartement/louer/lieu-le-chatelard-vs" TargetMode="External"/><Relationship Id="rId174" Type="http://schemas.openxmlformats.org/officeDocument/2006/relationships/hyperlink" Target="https://www.immoscout24.ch/fr/appartement/louer/lieu-denges" TargetMode="External"/><Relationship Id="rId173" Type="http://schemas.openxmlformats.org/officeDocument/2006/relationships/hyperlink" Target="https://www.immoscout24.ch/fr/appartement/louer/lieu-vauffelin" TargetMode="External"/><Relationship Id="rId179" Type="http://schemas.openxmlformats.org/officeDocument/2006/relationships/hyperlink" Target="https://www.immoscout24.ch/fr/maison/acheter/quartier-monbijou-berne" TargetMode="External"/><Relationship Id="rId178" Type="http://schemas.openxmlformats.org/officeDocument/2006/relationships/hyperlink" Target="https://www.immoscout24.ch/fr/maison/acheter/lieu-les-giettes" TargetMode="External"/><Relationship Id="rId177" Type="http://schemas.openxmlformats.org/officeDocument/2006/relationships/hyperlink" Target="https://www.immoscout24.ch/fr/appartement/louer/lieu-sursee" TargetMode="External"/><Relationship Id="rId198" Type="http://schemas.openxmlformats.org/officeDocument/2006/relationships/hyperlink" Target="https://www.immoscout24.ch/fr/maison/louer/lieu-richterswil" TargetMode="External"/><Relationship Id="rId197" Type="http://schemas.openxmlformats.org/officeDocument/2006/relationships/hyperlink" Target="https://www.immoscout24.ch/fr/maison/louer/lieu-seedorf-be" TargetMode="External"/><Relationship Id="rId196" Type="http://schemas.openxmlformats.org/officeDocument/2006/relationships/hyperlink" Target="https://www.immoscout24.ch/fr/appartement/louer/lieu-ponte-capriasca" TargetMode="External"/><Relationship Id="rId195" Type="http://schemas.openxmlformats.org/officeDocument/2006/relationships/hyperlink" Target="https://www.immoscout24.ch/fr/appartement/acheter/region-val-de-travers" TargetMode="External"/><Relationship Id="rId199" Type="http://schemas.openxmlformats.org/officeDocument/2006/relationships/hyperlink" Target="https://www.immoscout24.ch/fr/maison/acheter/lieu-mies" TargetMode="External"/><Relationship Id="rId150" Type="http://schemas.openxmlformats.org/officeDocument/2006/relationships/hyperlink" Target="https://www.immoscout24.ch/fr/appartement/acheter/lieu-champlan-grimisuat" TargetMode="External"/><Relationship Id="rId149" Type="http://schemas.openxmlformats.org/officeDocument/2006/relationships/hyperlink" Target="https://www.immoscout24.ch/fr/appartement/acheter/quartier-perolles-fribourg" TargetMode="External"/><Relationship Id="rId148" Type="http://schemas.openxmlformats.org/officeDocument/2006/relationships/hyperlink" Target="https://www.immoscout24.ch/fr/appartement/louer/lieu-les-genevez-ju" TargetMode="External"/><Relationship Id="rId3270" Type="http://schemas.openxmlformats.org/officeDocument/2006/relationships/hyperlink" Target="https://www.immoscout24.ch/fr/appartement/acheter/lieu-gordola" TargetMode="External"/><Relationship Id="rId3272" Type="http://schemas.openxmlformats.org/officeDocument/2006/relationships/hyperlink" Target="https://www.immoscout24.ch/fr/appartement/acheter/pays-bresil" TargetMode="External"/><Relationship Id="rId3271" Type="http://schemas.openxmlformats.org/officeDocument/2006/relationships/hyperlink" Target="https://www.immoscout24.ch/fr/appartement/louer/lieu-reckingen-vs" TargetMode="External"/><Relationship Id="rId143" Type="http://schemas.openxmlformats.org/officeDocument/2006/relationships/hyperlink" Target="https://www.immoscout24.ch/fr/appartement/louer/quartier-secteur-forain-est-la-chaux-de-fonds" TargetMode="External"/><Relationship Id="rId3274" Type="http://schemas.openxmlformats.org/officeDocument/2006/relationships/hyperlink" Target="https://www.immoscout24.ch/fr/maison/louer/lieu-waldstatt" TargetMode="External"/><Relationship Id="rId142" Type="http://schemas.openxmlformats.org/officeDocument/2006/relationships/hyperlink" Target="https://www.immoscout24.ch/fr/maison/acheter/lieu-la-sarraz" TargetMode="External"/><Relationship Id="rId3273" Type="http://schemas.openxmlformats.org/officeDocument/2006/relationships/hyperlink" Target="https://www.immoscout24.ch/fr/maison/acheter/lieu-zeneggen" TargetMode="External"/><Relationship Id="rId141" Type="http://schemas.openxmlformats.org/officeDocument/2006/relationships/hyperlink" Target="https://www.immoscout24.ch/fr/appartement/louer/lieu-bodio-ti" TargetMode="External"/><Relationship Id="rId3276" Type="http://schemas.openxmlformats.org/officeDocument/2006/relationships/hyperlink" Target="https://www.immoscout24.ch/fr/maison/acheter/lieu-les-emibois" TargetMode="External"/><Relationship Id="rId140" Type="http://schemas.openxmlformats.org/officeDocument/2006/relationships/hyperlink" Target="https://www.immoscout24.ch/fr/appartement/acheter/lieu-wohlen-ag" TargetMode="External"/><Relationship Id="rId3275" Type="http://schemas.openxmlformats.org/officeDocument/2006/relationships/hyperlink" Target="https://www.immoscout24.ch/fr/appartement/acheter/lieu-le-mouret" TargetMode="External"/><Relationship Id="rId147" Type="http://schemas.openxmlformats.org/officeDocument/2006/relationships/hyperlink" Target="https://www.immoscout24.ch/fr/appartement/louer/lieu-rueschegg-heubach" TargetMode="External"/><Relationship Id="rId3278" Type="http://schemas.openxmlformats.org/officeDocument/2006/relationships/hyperlink" Target="https://www.immoscout24.ch/fr/maison/acheter/lieu-elgg" TargetMode="External"/><Relationship Id="rId146" Type="http://schemas.openxmlformats.org/officeDocument/2006/relationships/hyperlink" Target="https://www.immoscout24.ch/fr/appartement/louer/lieu-petit-lancy" TargetMode="External"/><Relationship Id="rId3277" Type="http://schemas.openxmlformats.org/officeDocument/2006/relationships/hyperlink" Target="https://www.immoscout24.ch/fr/maison/acheter/lieu-wangen-b-duebendorf" TargetMode="External"/><Relationship Id="rId145" Type="http://schemas.openxmlformats.org/officeDocument/2006/relationships/hyperlink" Target="https://www.immoscout24.ch/fr/appartement/louer/lieu-bubikon" TargetMode="External"/><Relationship Id="rId144" Type="http://schemas.openxmlformats.org/officeDocument/2006/relationships/hyperlink" Target="https://www.immoscout24.ch/fr/appartement/acheter/lieu-bolligen" TargetMode="External"/><Relationship Id="rId3279" Type="http://schemas.openxmlformats.org/officeDocument/2006/relationships/hyperlink" Target="https://www.immoscout24.ch/fr/appartement/louer/lieu-riaz" TargetMode="External"/><Relationship Id="rId139" Type="http://schemas.openxmlformats.org/officeDocument/2006/relationships/hyperlink" Target="https://www.immoscout24.ch/fr/appartement/louer/lieu-torgon" TargetMode="External"/><Relationship Id="rId138" Type="http://schemas.openxmlformats.org/officeDocument/2006/relationships/hyperlink" Target="https://www.immoscout24.ch/fr/maison/acheter/lieu-belmont-sur-lausanne" TargetMode="External"/><Relationship Id="rId137" Type="http://schemas.openxmlformats.org/officeDocument/2006/relationships/hyperlink" Target="https://www.immoscout24.ch/fr/appartement/louer/quartier-sandrain-berne" TargetMode="External"/><Relationship Id="rId4590" Type="http://schemas.openxmlformats.org/officeDocument/2006/relationships/hyperlink" Target="https://www.immoscout24.ch/fr/maison/acheter/region-ayent" TargetMode="External"/><Relationship Id="rId3261" Type="http://schemas.openxmlformats.org/officeDocument/2006/relationships/hyperlink" Target="https://www.immoscout24.ch/fr/appartement/louer/lieu-basse-nendaz" TargetMode="External"/><Relationship Id="rId4592" Type="http://schemas.openxmlformats.org/officeDocument/2006/relationships/hyperlink" Target="https://www.immoscout24.ch/fr/appartement/acheter/lieu-ballaigues" TargetMode="External"/><Relationship Id="rId3260" Type="http://schemas.openxmlformats.org/officeDocument/2006/relationships/hyperlink" Target="https://www.immoscout24.ch/fr/appartement/louer/lieu-ruggell" TargetMode="External"/><Relationship Id="rId4591" Type="http://schemas.openxmlformats.org/officeDocument/2006/relationships/hyperlink" Target="https://www.immoscout24.ch/fr/maison/louer/lieu-choex" TargetMode="External"/><Relationship Id="rId132" Type="http://schemas.openxmlformats.org/officeDocument/2006/relationships/hyperlink" Target="https://www.immoscout24.ch/fr/maison/acheter/lieu-gruenenmatt" TargetMode="External"/><Relationship Id="rId3263" Type="http://schemas.openxmlformats.org/officeDocument/2006/relationships/hyperlink" Target="https://www.immoscout24.ch/fr/maison/louer/lieu-nesselnbach" TargetMode="External"/><Relationship Id="rId4594" Type="http://schemas.openxmlformats.org/officeDocument/2006/relationships/hyperlink" Target="https://www.immoscout24.ch/fr/maison/louer/lieu-bueren-an-der-aare" TargetMode="External"/><Relationship Id="rId131" Type="http://schemas.openxmlformats.org/officeDocument/2006/relationships/hyperlink" Target="https://www.immoscout24.ch/fr/maison/louer/lieu-assens" TargetMode="External"/><Relationship Id="rId3262" Type="http://schemas.openxmlformats.org/officeDocument/2006/relationships/hyperlink" Target="https://www.immoscout24.ch/fr/appartement/louer/lieu-palezieux" TargetMode="External"/><Relationship Id="rId4593" Type="http://schemas.openxmlformats.org/officeDocument/2006/relationships/hyperlink" Target="https://www.immoscout24.ch/fr/appartement/louer/lieu-lentigny" TargetMode="External"/><Relationship Id="rId130" Type="http://schemas.openxmlformats.org/officeDocument/2006/relationships/hyperlink" Target="https://www.immoscout24.ch/fr/maison/acheter/lieu-bussigny" TargetMode="External"/><Relationship Id="rId3265" Type="http://schemas.openxmlformats.org/officeDocument/2006/relationships/hyperlink" Target="https://www.immoscout24.ch/fr/maison/louer/lieu-cressier-fr" TargetMode="External"/><Relationship Id="rId4596" Type="http://schemas.openxmlformats.org/officeDocument/2006/relationships/hyperlink" Target="https://www.immoscout24.ch/fr/maison/acheter/lieu-courtetelle" TargetMode="External"/><Relationship Id="rId3264" Type="http://schemas.openxmlformats.org/officeDocument/2006/relationships/hyperlink" Target="https://www.immoscout24.ch/fr/maison/louer/region-littoral-neuchatelois" TargetMode="External"/><Relationship Id="rId4595" Type="http://schemas.openxmlformats.org/officeDocument/2006/relationships/hyperlink" Target="https://www.immoscout24.ch/fr/appartement/acheter/lieu-bole" TargetMode="External"/><Relationship Id="rId136" Type="http://schemas.openxmlformats.org/officeDocument/2006/relationships/hyperlink" Target="https://www.immoscout24.ch/fr/appartement/acheter/lieu-evolene" TargetMode="External"/><Relationship Id="rId3267" Type="http://schemas.openxmlformats.org/officeDocument/2006/relationships/hyperlink" Target="https://www.immoscout24.ch/fr/appartement/louer/lieu-bern" TargetMode="External"/><Relationship Id="rId4598" Type="http://schemas.openxmlformats.org/officeDocument/2006/relationships/hyperlink" Target="https://www.immoscout24.ch/fr/maison/acheter/lieu-endingen" TargetMode="External"/><Relationship Id="rId135" Type="http://schemas.openxmlformats.org/officeDocument/2006/relationships/hyperlink" Target="https://www.immoscout24.ch/fr/appartement/acheter/lieu-allschwil" TargetMode="External"/><Relationship Id="rId3266" Type="http://schemas.openxmlformats.org/officeDocument/2006/relationships/hyperlink" Target="https://www.immoscout24.ch/fr/appartement/louer/lieu-ocourt" TargetMode="External"/><Relationship Id="rId4597" Type="http://schemas.openxmlformats.org/officeDocument/2006/relationships/hyperlink" Target="https://www.immoscout24.ch/fr/maison/acheter/lieu-barbereche" TargetMode="External"/><Relationship Id="rId134" Type="http://schemas.openxmlformats.org/officeDocument/2006/relationships/hyperlink" Target="https://www.immoscout24.ch/fr/appartement/louer/lieu-siebnen" TargetMode="External"/><Relationship Id="rId3269" Type="http://schemas.openxmlformats.org/officeDocument/2006/relationships/hyperlink" Target="https://www.immoscout24.ch/fr/maison/acheter/lieu-lechelles" TargetMode="External"/><Relationship Id="rId133" Type="http://schemas.openxmlformats.org/officeDocument/2006/relationships/hyperlink" Target="https://www.immoscout24.ch/fr/maison/louer/lieu-echallens" TargetMode="External"/><Relationship Id="rId3268" Type="http://schemas.openxmlformats.org/officeDocument/2006/relationships/hyperlink" Target="https://www.immoscout24.ch/fr/maison/acheter/lieu-biasca" TargetMode="External"/><Relationship Id="rId4599" Type="http://schemas.openxmlformats.org/officeDocument/2006/relationships/hyperlink" Target="https://www.immoscout24.ch/fr/appartement/acheter/quartier-witikon-zurich" TargetMode="External"/><Relationship Id="rId172" Type="http://schemas.openxmlformats.org/officeDocument/2006/relationships/hyperlink" Target="https://www.immoscout24.ch/fr/appartement/louer/lieu-giubiasco" TargetMode="External"/><Relationship Id="rId171" Type="http://schemas.openxmlformats.org/officeDocument/2006/relationships/hyperlink" Target="https://www.immoscout24.ch/fr/appartement/acheter/lieu-st-george" TargetMode="External"/><Relationship Id="rId170" Type="http://schemas.openxmlformats.org/officeDocument/2006/relationships/hyperlink" Target="https://www.immoscout24.ch/fr/appartement/acheter/lieu-corpataux-magnedens" TargetMode="External"/><Relationship Id="rId3290" Type="http://schemas.openxmlformats.org/officeDocument/2006/relationships/hyperlink" Target="https://www.immoscout24.ch/fr/appartement/louer/lieu-delley" TargetMode="External"/><Relationship Id="rId3292" Type="http://schemas.openxmlformats.org/officeDocument/2006/relationships/hyperlink" Target="https://www.immoscout24.ch/fr/appartement/louer/lieu-vionnaz" TargetMode="External"/><Relationship Id="rId3291" Type="http://schemas.openxmlformats.org/officeDocument/2006/relationships/hyperlink" Target="https://www.immoscout24.ch/fr/appartement/louer/lieu-hedingen" TargetMode="External"/><Relationship Id="rId3294" Type="http://schemas.openxmlformats.org/officeDocument/2006/relationships/hyperlink" Target="https://www.immoscout24.ch/fr/maison/acheter/lieu-bubendorf" TargetMode="External"/><Relationship Id="rId3293" Type="http://schemas.openxmlformats.org/officeDocument/2006/relationships/hyperlink" Target="https://www.immoscout24.ch/fr/appartement/acheter/lieu-faulensee" TargetMode="External"/><Relationship Id="rId165" Type="http://schemas.openxmlformats.org/officeDocument/2006/relationships/hyperlink" Target="https://www.immoscout24.ch/fr/maison/acheter/lieu-leontica" TargetMode="External"/><Relationship Id="rId3296" Type="http://schemas.openxmlformats.org/officeDocument/2006/relationships/hyperlink" Target="https://www.immoscout24.ch/fr/appartement/acheter/lieu-ottenbach" TargetMode="External"/><Relationship Id="rId164" Type="http://schemas.openxmlformats.org/officeDocument/2006/relationships/hyperlink" Target="https://www.immoscout24.ch/fr/appartement/louer/lieu-ponte-tresa" TargetMode="External"/><Relationship Id="rId3295" Type="http://schemas.openxmlformats.org/officeDocument/2006/relationships/hyperlink" Target="https://www.immoscout24.ch/fr/maison/louer/lieu-gy" TargetMode="External"/><Relationship Id="rId163" Type="http://schemas.openxmlformats.org/officeDocument/2006/relationships/hyperlink" Target="https://www.immoscout24.ch/fr/appartement/louer/lieu-vex" TargetMode="External"/><Relationship Id="rId3298" Type="http://schemas.openxmlformats.org/officeDocument/2006/relationships/hyperlink" Target="https://www.immoscout24.ch/fr/appartement/acheter/region-bellinzone" TargetMode="External"/><Relationship Id="rId162" Type="http://schemas.openxmlformats.org/officeDocument/2006/relationships/hyperlink" Target="https://www.immoscout24.ch/fr/appartement/louer/lieu-massonnens" TargetMode="External"/><Relationship Id="rId3297" Type="http://schemas.openxmlformats.org/officeDocument/2006/relationships/hyperlink" Target="https://www.immoscout24.ch/fr/maison/acheter/quartier-maladiere-mail-neuchatel" TargetMode="External"/><Relationship Id="rId169" Type="http://schemas.openxmlformats.org/officeDocument/2006/relationships/hyperlink" Target="https://www.immoscout24.ch/fr/maison/acheter/lieu-corin-de-la-crete" TargetMode="External"/><Relationship Id="rId168" Type="http://schemas.openxmlformats.org/officeDocument/2006/relationships/hyperlink" Target="https://www.immoscout24.ch/fr/maison/acheter/lieu-reinach-ag" TargetMode="External"/><Relationship Id="rId3299" Type="http://schemas.openxmlformats.org/officeDocument/2006/relationships/hyperlink" Target="https://www.immoscout24.ch/fr/maison/louer/lieu-ravoire" TargetMode="External"/><Relationship Id="rId167" Type="http://schemas.openxmlformats.org/officeDocument/2006/relationships/hyperlink" Target="https://www.immoscout24.ch/fr/appartement/acheter/lieu-reinach-bl" TargetMode="External"/><Relationship Id="rId166" Type="http://schemas.openxmlformats.org/officeDocument/2006/relationships/hyperlink" Target="https://www.immoscout24.ch/fr/maison/acheter/lieu-villarlod" TargetMode="External"/><Relationship Id="rId161" Type="http://schemas.openxmlformats.org/officeDocument/2006/relationships/hyperlink" Target="https://www.immoscout24.ch/fr/maison/louer/lieu-romanel-sur-lausanne" TargetMode="External"/><Relationship Id="rId160" Type="http://schemas.openxmlformats.org/officeDocument/2006/relationships/hyperlink" Target="https://www.immoscout24.ch/fr/appartement/louer/lieu-viganello" TargetMode="External"/><Relationship Id="rId159" Type="http://schemas.openxmlformats.org/officeDocument/2006/relationships/hyperlink" Target="https://www.immoscout24.ch/fr/appartement/louer/region-rive-droite" TargetMode="External"/><Relationship Id="rId3281" Type="http://schemas.openxmlformats.org/officeDocument/2006/relationships/hyperlink" Target="https://www.immoscout24.ch/fr/appartement/acheter/lieu-locarno" TargetMode="External"/><Relationship Id="rId3280" Type="http://schemas.openxmlformats.org/officeDocument/2006/relationships/hyperlink" Target="https://www.immoscout24.ch/fr/appartement/louer/lieu-le-bry" TargetMode="External"/><Relationship Id="rId3283" Type="http://schemas.openxmlformats.org/officeDocument/2006/relationships/hyperlink" Target="https://www.immoscout24.ch/fr/maison/louer/lieu-vordemwald" TargetMode="External"/><Relationship Id="rId3282" Type="http://schemas.openxmlformats.org/officeDocument/2006/relationships/hyperlink" Target="https://www.immoscout24.ch/fr/maison/acheter/lieu-grimentz" TargetMode="External"/><Relationship Id="rId154" Type="http://schemas.openxmlformats.org/officeDocument/2006/relationships/hyperlink" Target="https://www.immoscout24.ch/fr/maison/acheter/lieu-cimadera" TargetMode="External"/><Relationship Id="rId3285" Type="http://schemas.openxmlformats.org/officeDocument/2006/relationships/hyperlink" Target="https://www.immoscout24.ch/fr/appartement/louer/lieu-st-luc" TargetMode="External"/><Relationship Id="rId153" Type="http://schemas.openxmlformats.org/officeDocument/2006/relationships/hyperlink" Target="https://www.immoscout24.ch/fr/appartement/louer/lieu-sent" TargetMode="External"/><Relationship Id="rId3284" Type="http://schemas.openxmlformats.org/officeDocument/2006/relationships/hyperlink" Target="https://www.immoscout24.ch/fr/maison/acheter/lieu-corsier-ge" TargetMode="External"/><Relationship Id="rId152" Type="http://schemas.openxmlformats.org/officeDocument/2006/relationships/hyperlink" Target="https://www.immoscout24.ch/fr/appartement/acheter/lieu-corgemont" TargetMode="External"/><Relationship Id="rId3287" Type="http://schemas.openxmlformats.org/officeDocument/2006/relationships/hyperlink" Target="https://www.immoscout24.ch/fr/appartement/acheter/lieu-les-bayards" TargetMode="External"/><Relationship Id="rId151" Type="http://schemas.openxmlformats.org/officeDocument/2006/relationships/hyperlink" Target="https://www.immoscout24.ch/fr/appartement/louer/lieu-luetzelflueh-goldbach" TargetMode="External"/><Relationship Id="rId3286" Type="http://schemas.openxmlformats.org/officeDocument/2006/relationships/hyperlink" Target="https://www.immoscout24.ch/fr/maison/louer/lieu-pery" TargetMode="External"/><Relationship Id="rId158" Type="http://schemas.openxmlformats.org/officeDocument/2006/relationships/hyperlink" Target="https://www.immoscout24.ch/fr/maison/louer/lieu-lens" TargetMode="External"/><Relationship Id="rId3289" Type="http://schemas.openxmlformats.org/officeDocument/2006/relationships/hyperlink" Target="https://www.immoscout24.ch/fr/maison/acheter/lieu-chironico" TargetMode="External"/><Relationship Id="rId157" Type="http://schemas.openxmlformats.org/officeDocument/2006/relationships/hyperlink" Target="https://www.immoscout24.ch/fr/appartement/louer/quartier-niederwangen-koeniz" TargetMode="External"/><Relationship Id="rId3288" Type="http://schemas.openxmlformats.org/officeDocument/2006/relationships/hyperlink" Target="https://www.immoscout24.ch/fr/maison/acheter/lieu-lumino" TargetMode="External"/><Relationship Id="rId156" Type="http://schemas.openxmlformats.org/officeDocument/2006/relationships/hyperlink" Target="https://www.immoscout24.ch/fr/appartement/louer/lieu-treiten" TargetMode="External"/><Relationship Id="rId155" Type="http://schemas.openxmlformats.org/officeDocument/2006/relationships/hyperlink" Target="https://www.immoscout24.ch/fr/maison/acheter/lieu-chatillon-fr" TargetMode="External"/><Relationship Id="rId4602" Type="http://schemas.openxmlformats.org/officeDocument/2006/relationships/hyperlink" Target="https://www.immoscout24.ch/fr/appartement/acheter/lieu-collombey" TargetMode="External"/><Relationship Id="rId5934" Type="http://schemas.openxmlformats.org/officeDocument/2006/relationships/hyperlink" Target="https://www.immoscout24.ch/fr/maison/acheter/lieu-villars-le-grand" TargetMode="External"/><Relationship Id="rId4601" Type="http://schemas.openxmlformats.org/officeDocument/2006/relationships/hyperlink" Target="https://www.immoscout24.ch/fr/maison/acheter/lieu-lovatens" TargetMode="External"/><Relationship Id="rId5935" Type="http://schemas.openxmlformats.org/officeDocument/2006/relationships/hyperlink" Target="https://www.immoscout24.ch/fr/appartement/louer/lieu-rohrbach" TargetMode="External"/><Relationship Id="rId4604" Type="http://schemas.openxmlformats.org/officeDocument/2006/relationships/hyperlink" Target="https://www.immoscout24.ch/fr/appartement/louer/quartier-carona-lugano" TargetMode="External"/><Relationship Id="rId5932" Type="http://schemas.openxmlformats.org/officeDocument/2006/relationships/hyperlink" Target="https://www.immoscout24.ch/fr/appartement/louer/lieu-amsoldingen" TargetMode="External"/><Relationship Id="rId4603" Type="http://schemas.openxmlformats.org/officeDocument/2006/relationships/hyperlink" Target="https://www.immoscout24.ch/fr/appartement/louer/lieu-echarlens" TargetMode="External"/><Relationship Id="rId5933" Type="http://schemas.openxmlformats.org/officeDocument/2006/relationships/hyperlink" Target="https://www.immoscout24.ch/fr/appartement/louer/lieu-vucherens" TargetMode="External"/><Relationship Id="rId4606" Type="http://schemas.openxmlformats.org/officeDocument/2006/relationships/hyperlink" Target="https://www.immoscout24.ch/fr/appartement/acheter/lieu-vullierens" TargetMode="External"/><Relationship Id="rId5938" Type="http://schemas.openxmlformats.org/officeDocument/2006/relationships/hyperlink" Target="https://www.immoscout24.ch/fr/appartement/acheter/lieu-chezard-st-martin" TargetMode="External"/><Relationship Id="rId4605" Type="http://schemas.openxmlformats.org/officeDocument/2006/relationships/hyperlink" Target="https://www.immoscout24.ch/fr/maison/acheter/lieu-ursins" TargetMode="External"/><Relationship Id="rId5939" Type="http://schemas.openxmlformats.org/officeDocument/2006/relationships/hyperlink" Target="https://www.immoscout24.ch/fr/appartement/louer/lieu-pont-de-la-morge-sion" TargetMode="External"/><Relationship Id="rId4608" Type="http://schemas.openxmlformats.org/officeDocument/2006/relationships/hyperlink" Target="https://www.immoscout24.ch/fr/maison/louer/lieu-etagnieres" TargetMode="External"/><Relationship Id="rId5936" Type="http://schemas.openxmlformats.org/officeDocument/2006/relationships/hyperlink" Target="https://www.immoscout24.ch/fr/appartement/acheter/lieu-marsens" TargetMode="External"/><Relationship Id="rId4607" Type="http://schemas.openxmlformats.org/officeDocument/2006/relationships/hyperlink" Target="https://www.immoscout24.ch/fr/maison/louer/lieu-porrentruy" TargetMode="External"/><Relationship Id="rId5937" Type="http://schemas.openxmlformats.org/officeDocument/2006/relationships/hyperlink" Target="https://www.immoscout24.ch/fr/appartement/acheter/lieu-tagelswangen" TargetMode="External"/><Relationship Id="rId4609" Type="http://schemas.openxmlformats.org/officeDocument/2006/relationships/hyperlink" Target="https://www.immoscout24.ch/fr/appartement/acheter/lieu-crassier" TargetMode="External"/><Relationship Id="rId5930" Type="http://schemas.openxmlformats.org/officeDocument/2006/relationships/hyperlink" Target="https://www.immoscout24.ch/fr/maison/acheter/lieu-semione" TargetMode="External"/><Relationship Id="rId5931" Type="http://schemas.openxmlformats.org/officeDocument/2006/relationships/hyperlink" Target="https://www.immoscout24.ch/fr/appartement/louer/lieu-emmenbruecke" TargetMode="External"/><Relationship Id="rId4600" Type="http://schemas.openxmlformats.org/officeDocument/2006/relationships/hyperlink" Target="https://www.immoscout24.ch/fr/maison/louer/lieu-vallon" TargetMode="External"/><Relationship Id="rId5923" Type="http://schemas.openxmlformats.org/officeDocument/2006/relationships/hyperlink" Target="https://www.immoscout24.ch/fr/appartement/louer/lieu-grenilles" TargetMode="External"/><Relationship Id="rId5924" Type="http://schemas.openxmlformats.org/officeDocument/2006/relationships/hyperlink" Target="https://www.immoscout24.ch/fr/appartement/louer/lieu-maroggia" TargetMode="External"/><Relationship Id="rId5921" Type="http://schemas.openxmlformats.org/officeDocument/2006/relationships/hyperlink" Target="https://www.immoscout24.ch/fr/appartement/louer/lieu-unterseen" TargetMode="External"/><Relationship Id="rId5922" Type="http://schemas.openxmlformats.org/officeDocument/2006/relationships/hyperlink" Target="https://www.immoscout24.ch/fr/appartement/acheter/lieu-castel-san-pietro" TargetMode="External"/><Relationship Id="rId5927" Type="http://schemas.openxmlformats.org/officeDocument/2006/relationships/hyperlink" Target="https://www.immoscout24.ch/fr/maison/acheter/lieu-wolfhausen" TargetMode="External"/><Relationship Id="rId5928" Type="http://schemas.openxmlformats.org/officeDocument/2006/relationships/hyperlink" Target="https://www.immoscout24.ch/fr/maison/acheter/lieu-frenkendorf" TargetMode="External"/><Relationship Id="rId5925" Type="http://schemas.openxmlformats.org/officeDocument/2006/relationships/hyperlink" Target="https://www.immoscout24.ch/fr/maison/acheter/lieu-oberaegeri" TargetMode="External"/><Relationship Id="rId5926" Type="http://schemas.openxmlformats.org/officeDocument/2006/relationships/hyperlink" Target="https://www.immoscout24.ch/fr/appartement/louer/lieu-st-pierre-de-clages" TargetMode="External"/><Relationship Id="rId5929" Type="http://schemas.openxmlformats.org/officeDocument/2006/relationships/hyperlink" Target="https://www.immoscout24.ch/fr/appartement/louer/lieu-saas-fee" TargetMode="External"/><Relationship Id="rId5920" Type="http://schemas.openxmlformats.org/officeDocument/2006/relationships/hyperlink" Target="https://www.immoscout24.ch/fr/maison/acheter/lieu-disentis-muster" TargetMode="External"/><Relationship Id="rId4624" Type="http://schemas.openxmlformats.org/officeDocument/2006/relationships/hyperlink" Target="https://www.immoscout24.ch/fr/maison/louer/lieu-perroy" TargetMode="External"/><Relationship Id="rId5956" Type="http://schemas.openxmlformats.org/officeDocument/2006/relationships/hyperlink" Target="https://www.immoscout24.ch/fr/appartement/louer/lieu-champagne" TargetMode="External"/><Relationship Id="rId4623" Type="http://schemas.openxmlformats.org/officeDocument/2006/relationships/hyperlink" Target="https://www.immoscout24.ch/fr/appartement/louer/lieu-unterentfelden" TargetMode="External"/><Relationship Id="rId5957" Type="http://schemas.openxmlformats.org/officeDocument/2006/relationships/hyperlink" Target="https://www.immoscout24.ch/fr/appartement/acheter/lieu-courrendlin" TargetMode="External"/><Relationship Id="rId4626" Type="http://schemas.openxmlformats.org/officeDocument/2006/relationships/hyperlink" Target="https://www.immoscout24.ch/fr/maison/louer/lieu-le-sentier" TargetMode="External"/><Relationship Id="rId5954" Type="http://schemas.openxmlformats.org/officeDocument/2006/relationships/hyperlink" Target="https://www.immoscout24.ch/fr/appartement/acheter/canton-argovie" TargetMode="External"/><Relationship Id="rId4625" Type="http://schemas.openxmlformats.org/officeDocument/2006/relationships/hyperlink" Target="https://www.immoscout24.ch/fr/maison/acheter/lieu-berikon" TargetMode="External"/><Relationship Id="rId5955" Type="http://schemas.openxmlformats.org/officeDocument/2006/relationships/hyperlink" Target="https://www.immoscout24.ch/fr/appartement/acheter/quartier-altstetten-zurich" TargetMode="External"/><Relationship Id="rId4628" Type="http://schemas.openxmlformats.org/officeDocument/2006/relationships/hyperlink" Target="https://www.immoscout24.ch/fr/maison/louer/lieu-massongex" TargetMode="External"/><Relationship Id="rId4627" Type="http://schemas.openxmlformats.org/officeDocument/2006/relationships/hyperlink" Target="https://www.immoscout24.ch/fr/appartement/acheter/lieu-speicher" TargetMode="External"/><Relationship Id="rId5958" Type="http://schemas.openxmlformats.org/officeDocument/2006/relationships/hyperlink" Target="https://www.immoscout24.ch/fr/appartement/louer/region-laufenburg-rheinfelden" TargetMode="External"/><Relationship Id="rId4629" Type="http://schemas.openxmlformats.org/officeDocument/2006/relationships/hyperlink" Target="https://www.immoscout24.ch/fr/appartement/acheter/lieu-suhr" TargetMode="External"/><Relationship Id="rId5959" Type="http://schemas.openxmlformats.org/officeDocument/2006/relationships/hyperlink" Target="https://www.immoscout24.ch/fr/appartement/louer/lieu-aarburg" TargetMode="External"/><Relationship Id="rId4620" Type="http://schemas.openxmlformats.org/officeDocument/2006/relationships/hyperlink" Target="https://www.immoscout24.ch/fr/maison/louer/pays-suisse-fl" TargetMode="External"/><Relationship Id="rId5952" Type="http://schemas.openxmlformats.org/officeDocument/2006/relationships/hyperlink" Target="https://www.immoscout24.ch/fr/maison/acheter/lieu-susten" TargetMode="External"/><Relationship Id="rId5953" Type="http://schemas.openxmlformats.org/officeDocument/2006/relationships/hyperlink" Target="https://www.immoscout24.ch/fr/maison/acheter/lieu-champagne" TargetMode="External"/><Relationship Id="rId4622" Type="http://schemas.openxmlformats.org/officeDocument/2006/relationships/hyperlink" Target="https://www.immoscout24.ch/fr/maison/louer/lieu-l-abergement" TargetMode="External"/><Relationship Id="rId5950" Type="http://schemas.openxmlformats.org/officeDocument/2006/relationships/hyperlink" Target="https://www.immoscout24.ch/fr/maison/acheter/lieu-vicques" TargetMode="External"/><Relationship Id="rId4621" Type="http://schemas.openxmlformats.org/officeDocument/2006/relationships/hyperlink" Target="https://www.immoscout24.ch/fr/appartement/louer/lieu-vaulion" TargetMode="External"/><Relationship Id="rId5951" Type="http://schemas.openxmlformats.org/officeDocument/2006/relationships/hyperlink" Target="https://www.immoscout24.ch/fr/appartement/acheter/lieu-bretigny-sur-morrens" TargetMode="External"/><Relationship Id="rId4613" Type="http://schemas.openxmlformats.org/officeDocument/2006/relationships/hyperlink" Target="https://www.immoscout24.ch/fr/maison/acheter/lieu-montezillon" TargetMode="External"/><Relationship Id="rId5945" Type="http://schemas.openxmlformats.org/officeDocument/2006/relationships/hyperlink" Target="https://www.immoscout24.ch/fr/maison/louer/lieu-lignieres" TargetMode="External"/><Relationship Id="rId4612" Type="http://schemas.openxmlformats.org/officeDocument/2006/relationships/hyperlink" Target="https://www.immoscout24.ch/fr/appartement/louer/lieu-allschwil" TargetMode="External"/><Relationship Id="rId5946" Type="http://schemas.openxmlformats.org/officeDocument/2006/relationships/hyperlink" Target="https://www.immoscout24.ch/fr/appartement/louer/lieu-comano" TargetMode="External"/><Relationship Id="rId4615" Type="http://schemas.openxmlformats.org/officeDocument/2006/relationships/hyperlink" Target="https://www.immoscout24.ch/fr/appartement/louer/lieu-jeuss" TargetMode="External"/><Relationship Id="rId5943" Type="http://schemas.openxmlformats.org/officeDocument/2006/relationships/hyperlink" Target="https://www.immoscout24.ch/fr/appartement/louer/lieu-la-tanne" TargetMode="External"/><Relationship Id="rId4614" Type="http://schemas.openxmlformats.org/officeDocument/2006/relationships/hyperlink" Target="https://www.immoscout24.ch/fr/appartement/louer/lieu-pleigne" TargetMode="External"/><Relationship Id="rId5944" Type="http://schemas.openxmlformats.org/officeDocument/2006/relationships/hyperlink" Target="https://www.immoscout24.ch/fr/appartement/louer/lieu-st-prex" TargetMode="External"/><Relationship Id="rId4617" Type="http://schemas.openxmlformats.org/officeDocument/2006/relationships/hyperlink" Target="https://www.immoscout24.ch/fr/appartement/louer/lieu-pfungen" TargetMode="External"/><Relationship Id="rId5949" Type="http://schemas.openxmlformats.org/officeDocument/2006/relationships/hyperlink" Target="https://www.immoscout24.ch/fr/appartement/acheter/lieu-vinelz" TargetMode="External"/><Relationship Id="rId4616" Type="http://schemas.openxmlformats.org/officeDocument/2006/relationships/hyperlink" Target="https://www.immoscout24.ch/fr/maison/acheter/lieu-winkel" TargetMode="External"/><Relationship Id="rId4619" Type="http://schemas.openxmlformats.org/officeDocument/2006/relationships/hyperlink" Target="https://www.immoscout24.ch/fr/maison/acheter/lieu-gebenstorf" TargetMode="External"/><Relationship Id="rId5947" Type="http://schemas.openxmlformats.org/officeDocument/2006/relationships/hyperlink" Target="https://www.immoscout24.ch/fr/maison/acheter/lieu-gipf-oberfrick" TargetMode="External"/><Relationship Id="rId4618" Type="http://schemas.openxmlformats.org/officeDocument/2006/relationships/hyperlink" Target="https://www.immoscout24.ch/fr/maison/acheter/lieu-chamby" TargetMode="External"/><Relationship Id="rId5948" Type="http://schemas.openxmlformats.org/officeDocument/2006/relationships/hyperlink" Target="https://www.immoscout24.ch/fr/appartement/acheter/quartier-lerchenfeld-thun" TargetMode="External"/><Relationship Id="rId5941" Type="http://schemas.openxmlformats.org/officeDocument/2006/relationships/hyperlink" Target="https://www.immoscout24.ch/fr/maison/acheter/canton-appenzell-ri" TargetMode="External"/><Relationship Id="rId5942" Type="http://schemas.openxmlformats.org/officeDocument/2006/relationships/hyperlink" Target="https://www.immoscout24.ch/fr/appartement/louer/lieu-uetikon-am-see" TargetMode="External"/><Relationship Id="rId4611" Type="http://schemas.openxmlformats.org/officeDocument/2006/relationships/hyperlink" Target="https://www.immoscout24.ch/fr/maison/louer/lieu-marin-epagnier" TargetMode="External"/><Relationship Id="rId4610" Type="http://schemas.openxmlformats.org/officeDocument/2006/relationships/hyperlink" Target="https://www.immoscout24.ch/fr/appartement/louer/lieu-la-croix-de-rozon" TargetMode="External"/><Relationship Id="rId5940" Type="http://schemas.openxmlformats.org/officeDocument/2006/relationships/hyperlink" Target="https://www.immoscout24.ch/fr/maison/acheter/lieu-agarone" TargetMode="External"/><Relationship Id="rId5912" Type="http://schemas.openxmlformats.org/officeDocument/2006/relationships/hyperlink" Target="https://www.immoscout24.ch/fr/maison/louer/canton-appenzell-ri" TargetMode="External"/><Relationship Id="rId5913" Type="http://schemas.openxmlformats.org/officeDocument/2006/relationships/hyperlink" Target="https://www.immoscout24.ch/fr/appartement/louer/lieu-ballaigues" TargetMode="External"/><Relationship Id="rId5910" Type="http://schemas.openxmlformats.org/officeDocument/2006/relationships/hyperlink" Target="https://www.immoscout24.ch/fr/maison/acheter/lieu-rothwald" TargetMode="External"/><Relationship Id="rId5911" Type="http://schemas.openxmlformats.org/officeDocument/2006/relationships/hyperlink" Target="https://www.immoscout24.ch/fr/maison/acheter/lieu-vaulruz" TargetMode="External"/><Relationship Id="rId5916" Type="http://schemas.openxmlformats.org/officeDocument/2006/relationships/hyperlink" Target="https://www.immoscout24.ch/fr/maison/acheter/lieu-chenaux" TargetMode="External"/><Relationship Id="rId5917" Type="http://schemas.openxmlformats.org/officeDocument/2006/relationships/hyperlink" Target="https://www.immoscout24.ch/fr/appartement/acheter/lieu-ovronnaz" TargetMode="External"/><Relationship Id="rId5914" Type="http://schemas.openxmlformats.org/officeDocument/2006/relationships/hyperlink" Target="https://www.immoscout24.ch/fr/appartement/louer/lieu-buchillon" TargetMode="External"/><Relationship Id="rId5915" Type="http://schemas.openxmlformats.org/officeDocument/2006/relationships/hyperlink" Target="https://www.immoscout24.ch/fr/appartement/louer/lieu-worblaufen" TargetMode="External"/><Relationship Id="rId5918" Type="http://schemas.openxmlformats.org/officeDocument/2006/relationships/hyperlink" Target="https://www.immoscout24.ch/fr/maison/louer/lieu-aproz-nendaz" TargetMode="External"/><Relationship Id="rId5919" Type="http://schemas.openxmlformats.org/officeDocument/2006/relationships/hyperlink" Target="https://www.immoscout24.ch/fr/maison/acheter/lieu-tavannes" TargetMode="External"/><Relationship Id="rId5901" Type="http://schemas.openxmlformats.org/officeDocument/2006/relationships/hyperlink" Target="https://www.immoscout24.ch/fr/appartement/louer/lieu-prez-vers-noreaz" TargetMode="External"/><Relationship Id="rId5902" Type="http://schemas.openxmlformats.org/officeDocument/2006/relationships/hyperlink" Target="https://www.immoscout24.ch/fr/maison/louer/lieu-renens-vd" TargetMode="External"/><Relationship Id="rId5900" Type="http://schemas.openxmlformats.org/officeDocument/2006/relationships/hyperlink" Target="https://www.immoscout24.ch/fr/appartement/louer/lieu-kehrsatz" TargetMode="External"/><Relationship Id="rId5905" Type="http://schemas.openxmlformats.org/officeDocument/2006/relationships/hyperlink" Target="https://www.immoscout24.ch/fr/appartement/louer/lieu-melchtal" TargetMode="External"/><Relationship Id="rId5906" Type="http://schemas.openxmlformats.org/officeDocument/2006/relationships/hyperlink" Target="https://www.immoscout24.ch/fr/maison/louer/lieu-la-praz" TargetMode="External"/><Relationship Id="rId5903" Type="http://schemas.openxmlformats.org/officeDocument/2006/relationships/hyperlink" Target="https://www.immoscout24.ch/fr/appartement/louer/lieu-zwillikon" TargetMode="External"/><Relationship Id="rId5904" Type="http://schemas.openxmlformats.org/officeDocument/2006/relationships/hyperlink" Target="https://www.immoscout24.ch/fr/appartement/acheter/canton-fribourg" TargetMode="External"/><Relationship Id="rId5909" Type="http://schemas.openxmlformats.org/officeDocument/2006/relationships/hyperlink" Target="https://www.immoscout24.ch/fr/appartement/louer/lieu-erlinsbach" TargetMode="External"/><Relationship Id="rId5907" Type="http://schemas.openxmlformats.org/officeDocument/2006/relationships/hyperlink" Target="https://www.immoscout24.ch/fr/appartement/louer/lieu-intragna" TargetMode="External"/><Relationship Id="rId5908" Type="http://schemas.openxmlformats.org/officeDocument/2006/relationships/hyperlink" Target="https://www.immoscout24.ch/fr/appartement/louer/lieu-villaz-st-pierre" TargetMode="External"/><Relationship Id="rId2027" Type="http://schemas.openxmlformats.org/officeDocument/2006/relationships/hyperlink" Target="https://www.immoscout24.ch/fr/maison/acheter/lieu-hoeri" TargetMode="External"/><Relationship Id="rId3359" Type="http://schemas.openxmlformats.org/officeDocument/2006/relationships/hyperlink" Target="https://www.immoscout24.ch/fr/maison/louer/lieu-asuel" TargetMode="External"/><Relationship Id="rId2028" Type="http://schemas.openxmlformats.org/officeDocument/2006/relationships/hyperlink" Target="https://www.immoscout24.ch/fr/appartement/louer/pays-maroc" TargetMode="External"/><Relationship Id="rId3358" Type="http://schemas.openxmlformats.org/officeDocument/2006/relationships/hyperlink" Target="https://www.immoscout24.ch/fr/appartement/acheter/lieu-echallens" TargetMode="External"/><Relationship Id="rId4689" Type="http://schemas.openxmlformats.org/officeDocument/2006/relationships/hyperlink" Target="https://www.immoscout24.ch/fr/appartement/louer/lieu-pont-la-ville" TargetMode="External"/><Relationship Id="rId2029" Type="http://schemas.openxmlformats.org/officeDocument/2006/relationships/hyperlink" Target="https://www.immoscout24.ch/fr/appartement/louer/lieu-st-severin" TargetMode="External"/><Relationship Id="rId107" Type="http://schemas.openxmlformats.org/officeDocument/2006/relationships/hyperlink" Target="https://www.immoscout24.ch/fr/appartement/louer/quartier-secteur-forain-nord-la-chaux-de-fonds" TargetMode="External"/><Relationship Id="rId106" Type="http://schemas.openxmlformats.org/officeDocument/2006/relationships/hyperlink" Target="https://www.immoscout24.ch/fr/appartement/acheter/lieu-bevilard" TargetMode="External"/><Relationship Id="rId105" Type="http://schemas.openxmlformats.org/officeDocument/2006/relationships/hyperlink" Target="https://www.immoscout24.ch/fr/appartement/acheter/lieu-belp" TargetMode="External"/><Relationship Id="rId104" Type="http://schemas.openxmlformats.org/officeDocument/2006/relationships/hyperlink" Target="https://www.immoscout24.ch/fr/maison/acheter/lieu-chene-bougeries" TargetMode="External"/><Relationship Id="rId109" Type="http://schemas.openxmlformats.org/officeDocument/2006/relationships/hyperlink" Target="https://www.immoscout24.ch/fr/maison/louer/lieu-bursinel" TargetMode="External"/><Relationship Id="rId4680" Type="http://schemas.openxmlformats.org/officeDocument/2006/relationships/hyperlink" Target="https://www.immoscout24.ch/fr/maison/acheter/lieu-pianezzo" TargetMode="External"/><Relationship Id="rId108" Type="http://schemas.openxmlformats.org/officeDocument/2006/relationships/hyperlink" Target="https://www.immoscout24.ch/fr/appartement/louer/lieu-penthalaz" TargetMode="External"/><Relationship Id="rId3351" Type="http://schemas.openxmlformats.org/officeDocument/2006/relationships/hyperlink" Target="https://www.immoscout24.ch/fr/maison/louer/quartier-chaumont-neuchatel" TargetMode="External"/><Relationship Id="rId4682" Type="http://schemas.openxmlformats.org/officeDocument/2006/relationships/hyperlink" Target="https://www.immoscout24.ch/fr/appartement/louer/quartier-florissant-malagnou-geneve" TargetMode="External"/><Relationship Id="rId2020" Type="http://schemas.openxmlformats.org/officeDocument/2006/relationships/hyperlink" Target="https://www.immoscout24.ch/fr/appartement/louer/lieu-locarno" TargetMode="External"/><Relationship Id="rId3350" Type="http://schemas.openxmlformats.org/officeDocument/2006/relationships/hyperlink" Target="https://www.immoscout24.ch/fr/maison/acheter/lieu-eison-st-martin" TargetMode="External"/><Relationship Id="rId4681" Type="http://schemas.openxmlformats.org/officeDocument/2006/relationships/hyperlink" Target="https://www.immoscout24.ch/fr/maison/acheter/lieu-lugnez" TargetMode="External"/><Relationship Id="rId2021" Type="http://schemas.openxmlformats.org/officeDocument/2006/relationships/hyperlink" Target="https://www.immoscout24.ch/fr/maison/louer/lieu-la-croix-lutry" TargetMode="External"/><Relationship Id="rId3353" Type="http://schemas.openxmlformats.org/officeDocument/2006/relationships/hyperlink" Target="https://www.immoscout24.ch/fr/appartement/acheter/lieu-neuenhof" TargetMode="External"/><Relationship Id="rId4684" Type="http://schemas.openxmlformats.org/officeDocument/2006/relationships/hyperlink" Target="https://www.immoscout24.ch/fr/maison/acheter/lieu-etziken" TargetMode="External"/><Relationship Id="rId2022" Type="http://schemas.openxmlformats.org/officeDocument/2006/relationships/hyperlink" Target="https://www.immoscout24.ch/fr/maison/acheter/lieu-romairon" TargetMode="External"/><Relationship Id="rId3352" Type="http://schemas.openxmlformats.org/officeDocument/2006/relationships/hyperlink" Target="https://www.immoscout24.ch/fr/appartement/louer/lieu-montana" TargetMode="External"/><Relationship Id="rId4683" Type="http://schemas.openxmlformats.org/officeDocument/2006/relationships/hyperlink" Target="https://www.immoscout24.ch/fr/appartement/acheter/region-nidwald" TargetMode="External"/><Relationship Id="rId103" Type="http://schemas.openxmlformats.org/officeDocument/2006/relationships/hyperlink" Target="https://www.immoscout24.ch/fr/appartement/acheter/lieu-bremgarten-ag" TargetMode="External"/><Relationship Id="rId2023" Type="http://schemas.openxmlformats.org/officeDocument/2006/relationships/hyperlink" Target="https://www.immoscout24.ch/fr/appartement/acheter/lieu-biglen" TargetMode="External"/><Relationship Id="rId3355" Type="http://schemas.openxmlformats.org/officeDocument/2006/relationships/hyperlink" Target="https://www.immoscout24.ch/fr/maison/louer/lieu-chatonnaye" TargetMode="External"/><Relationship Id="rId4686" Type="http://schemas.openxmlformats.org/officeDocument/2006/relationships/hyperlink" Target="https://www.immoscout24.ch/fr/appartement/louer/region-st-gall-ville" TargetMode="External"/><Relationship Id="rId102" Type="http://schemas.openxmlformats.org/officeDocument/2006/relationships/hyperlink" Target="https://www.immoscout24.ch/fr/maison/acheter/lieu-la-russille" TargetMode="External"/><Relationship Id="rId2024" Type="http://schemas.openxmlformats.org/officeDocument/2006/relationships/hyperlink" Target="https://www.immoscout24.ch/fr/appartement/acheter/lieu-ollon-vd" TargetMode="External"/><Relationship Id="rId3354" Type="http://schemas.openxmlformats.org/officeDocument/2006/relationships/hyperlink" Target="https://www.immoscout24.ch/fr/appartement/acheter/lieu-mels" TargetMode="External"/><Relationship Id="rId4685" Type="http://schemas.openxmlformats.org/officeDocument/2006/relationships/hyperlink" Target="https://www.immoscout24.ch/fr/maison/louer/quartier-vers-chez-les-blanc-lausanne" TargetMode="External"/><Relationship Id="rId101" Type="http://schemas.openxmlformats.org/officeDocument/2006/relationships/hyperlink" Target="https://www.immoscout24.ch/fr/appartement/louer/lieu-martigny" TargetMode="External"/><Relationship Id="rId2025" Type="http://schemas.openxmlformats.org/officeDocument/2006/relationships/hyperlink" Target="https://www.immoscout24.ch/fr/maison/acheter/lieu-treytorrens-payerne" TargetMode="External"/><Relationship Id="rId3357" Type="http://schemas.openxmlformats.org/officeDocument/2006/relationships/hyperlink" Target="https://www.immoscout24.ch/fr/maison/acheter/lieu-st-gallen" TargetMode="External"/><Relationship Id="rId4688" Type="http://schemas.openxmlformats.org/officeDocument/2006/relationships/hyperlink" Target="https://www.immoscout24.ch/fr/maison/acheter/lieu-dorenaz" TargetMode="External"/><Relationship Id="rId100" Type="http://schemas.openxmlformats.org/officeDocument/2006/relationships/hyperlink" Target="https://www.immoscout24.ch/fr/maison/louer/lieu-les-valettes-bovernier" TargetMode="External"/><Relationship Id="rId2026" Type="http://schemas.openxmlformats.org/officeDocument/2006/relationships/hyperlink" Target="https://www.immoscout24.ch/fr/appartement/acheter/lieu-visperterminen" TargetMode="External"/><Relationship Id="rId3356" Type="http://schemas.openxmlformats.org/officeDocument/2006/relationships/hyperlink" Target="https://www.immoscout24.ch/fr/appartement/louer/lieu-courroux" TargetMode="External"/><Relationship Id="rId4687" Type="http://schemas.openxmlformats.org/officeDocument/2006/relationships/hyperlink" Target="https://www.immoscout24.ch/fr/maison/acheter/lieu-vico-morcote" TargetMode="External"/><Relationship Id="rId2016" Type="http://schemas.openxmlformats.org/officeDocument/2006/relationships/hyperlink" Target="https://www.immoscout24.ch/fr/appartement/acheter/lieu-savigny" TargetMode="External"/><Relationship Id="rId3348" Type="http://schemas.openxmlformats.org/officeDocument/2006/relationships/hyperlink" Target="https://www.immoscout24.ch/fr/appartement/louer/lieu-gisikon" TargetMode="External"/><Relationship Id="rId4679" Type="http://schemas.openxmlformats.org/officeDocument/2006/relationships/hyperlink" Target="https://www.immoscout24.ch/fr/appartement/louer/lieu-echallens" TargetMode="External"/><Relationship Id="rId2017" Type="http://schemas.openxmlformats.org/officeDocument/2006/relationships/hyperlink" Target="https://www.immoscout24.ch/fr/maison/louer/lieu-tentlingen" TargetMode="External"/><Relationship Id="rId3347" Type="http://schemas.openxmlformats.org/officeDocument/2006/relationships/hyperlink" Target="https://www.immoscout24.ch/fr/maison/acheter/pays-portugal" TargetMode="External"/><Relationship Id="rId4678" Type="http://schemas.openxmlformats.org/officeDocument/2006/relationships/hyperlink" Target="https://www.immoscout24.ch/fr/maison/acheter/lieu-claro" TargetMode="External"/><Relationship Id="rId2018" Type="http://schemas.openxmlformats.org/officeDocument/2006/relationships/hyperlink" Target="https://www.immoscout24.ch/fr/maison/acheter/lieu-oberwald" TargetMode="External"/><Relationship Id="rId2019" Type="http://schemas.openxmlformats.org/officeDocument/2006/relationships/hyperlink" Target="https://www.immoscout24.ch/fr/maison/acheter/lieu-servion" TargetMode="External"/><Relationship Id="rId3349" Type="http://schemas.openxmlformats.org/officeDocument/2006/relationships/hyperlink" Target="https://www.immoscout24.ch/fr/maison/acheter/lieu-saclentse" TargetMode="External"/><Relationship Id="rId3340" Type="http://schemas.openxmlformats.org/officeDocument/2006/relationships/hyperlink" Target="https://www.immoscout24.ch/fr/maison/acheter/lieu-rheinfelden" TargetMode="External"/><Relationship Id="rId4671" Type="http://schemas.openxmlformats.org/officeDocument/2006/relationships/hyperlink" Target="https://www.immoscout24.ch/fr/appartement/louer/lieu-cugy-fr" TargetMode="External"/><Relationship Id="rId4670" Type="http://schemas.openxmlformats.org/officeDocument/2006/relationships/hyperlink" Target="https://www.immoscout24.ch/fr/appartement/acheter/pays-costa-rica" TargetMode="External"/><Relationship Id="rId2010" Type="http://schemas.openxmlformats.org/officeDocument/2006/relationships/hyperlink" Target="https://www.immoscout24.ch/fr/appartement/louer/lieu-bremgarten-b-bern" TargetMode="External"/><Relationship Id="rId3342" Type="http://schemas.openxmlformats.org/officeDocument/2006/relationships/hyperlink" Target="https://www.immoscout24.ch/fr/maison/acheter/lieu-graechen" TargetMode="External"/><Relationship Id="rId4673" Type="http://schemas.openxmlformats.org/officeDocument/2006/relationships/hyperlink" Target="https://www.immoscout24.ch/fr/appartement/louer/quartier-innenstadt-st-gall" TargetMode="External"/><Relationship Id="rId2011" Type="http://schemas.openxmlformats.org/officeDocument/2006/relationships/hyperlink" Target="https://www.immoscout24.ch/fr/maison/acheter/lieu-attiswil" TargetMode="External"/><Relationship Id="rId3341" Type="http://schemas.openxmlformats.org/officeDocument/2006/relationships/hyperlink" Target="https://www.immoscout24.ch/fr/appartement/louer/lieu-goppisberg" TargetMode="External"/><Relationship Id="rId4672" Type="http://schemas.openxmlformats.org/officeDocument/2006/relationships/hyperlink" Target="https://www.immoscout24.ch/fr/appartement/acheter/lieu-arosa" TargetMode="External"/><Relationship Id="rId2012" Type="http://schemas.openxmlformats.org/officeDocument/2006/relationships/hyperlink" Target="https://www.immoscout24.ch/fr/appartement/acheter/quartier-maupas-valency-lausanne" TargetMode="External"/><Relationship Id="rId3344" Type="http://schemas.openxmlformats.org/officeDocument/2006/relationships/hyperlink" Target="https://www.immoscout24.ch/fr/maison/acheter/quartier-perolles-fribourg" TargetMode="External"/><Relationship Id="rId4675" Type="http://schemas.openxmlformats.org/officeDocument/2006/relationships/hyperlink" Target="https://www.immoscout24.ch/fr/appartement/acheter/lieu-dierikon" TargetMode="External"/><Relationship Id="rId2013" Type="http://schemas.openxmlformats.org/officeDocument/2006/relationships/hyperlink" Target="https://www.immoscout24.ch/fr/maison/acheter/region-jura-vaudois" TargetMode="External"/><Relationship Id="rId3343" Type="http://schemas.openxmlformats.org/officeDocument/2006/relationships/hyperlink" Target="https://www.immoscout24.ch/fr/maison/acheter/lieu-hermance" TargetMode="External"/><Relationship Id="rId4674" Type="http://schemas.openxmlformats.org/officeDocument/2006/relationships/hyperlink" Target="https://www.immoscout24.ch/fr/maison/acheter/lieu-chesalles-sur-oron" TargetMode="External"/><Relationship Id="rId2014" Type="http://schemas.openxmlformats.org/officeDocument/2006/relationships/hyperlink" Target="https://www.immoscout24.ch/fr/maison/acheter/lieu-corpataux-magnedens" TargetMode="External"/><Relationship Id="rId3346" Type="http://schemas.openxmlformats.org/officeDocument/2006/relationships/hyperlink" Target="https://www.immoscout24.ch/fr/appartement/louer/lieu-gordola" TargetMode="External"/><Relationship Id="rId4677" Type="http://schemas.openxmlformats.org/officeDocument/2006/relationships/hyperlink" Target="https://www.immoscout24.ch/fr/maison/acheter/lieu-engollon" TargetMode="External"/><Relationship Id="rId2015" Type="http://schemas.openxmlformats.org/officeDocument/2006/relationships/hyperlink" Target="https://www.immoscout24.ch/fr/maison/acheter/region-bellinzone" TargetMode="External"/><Relationship Id="rId3345" Type="http://schemas.openxmlformats.org/officeDocument/2006/relationships/hyperlink" Target="https://www.immoscout24.ch/fr/appartement/acheter/lieu-montet-broye" TargetMode="External"/><Relationship Id="rId4676" Type="http://schemas.openxmlformats.org/officeDocument/2006/relationships/hyperlink" Target="https://www.immoscout24.ch/fr/maison/acheter/lieu-erde" TargetMode="External"/><Relationship Id="rId2049" Type="http://schemas.openxmlformats.org/officeDocument/2006/relationships/hyperlink" Target="https://www.immoscout24.ch/fr/maison/louer/lieu-sottens" TargetMode="External"/><Relationship Id="rId129" Type="http://schemas.openxmlformats.org/officeDocument/2006/relationships/hyperlink" Target="https://www.immoscout24.ch/fr/maison/acheter/lieu-chevilly" TargetMode="External"/><Relationship Id="rId128" Type="http://schemas.openxmlformats.org/officeDocument/2006/relationships/hyperlink" Target="https://www.immoscout24.ch/fr/appartement/louer/lieu-bellevue" TargetMode="External"/><Relationship Id="rId127" Type="http://schemas.openxmlformats.org/officeDocument/2006/relationships/hyperlink" Target="https://www.immoscout24.ch/fr/appartement/louer/lieu-vuisternens-en-ogoz" TargetMode="External"/><Relationship Id="rId126" Type="http://schemas.openxmlformats.org/officeDocument/2006/relationships/hyperlink" Target="https://www.immoscout24.ch/fr/maison/acheter/lieu-dompierre-vd" TargetMode="External"/><Relationship Id="rId3371" Type="http://schemas.openxmlformats.org/officeDocument/2006/relationships/hyperlink" Target="https://www.immoscout24.ch/fr/appartement/louer/region-emmental" TargetMode="External"/><Relationship Id="rId2040" Type="http://schemas.openxmlformats.org/officeDocument/2006/relationships/hyperlink" Target="https://www.immoscout24.ch/fr/maison/acheter/lieu-seuzach" TargetMode="External"/><Relationship Id="rId3370" Type="http://schemas.openxmlformats.org/officeDocument/2006/relationships/hyperlink" Target="https://www.immoscout24.ch/fr/maison/acheter/lieu-bellevue" TargetMode="External"/><Relationship Id="rId121" Type="http://schemas.openxmlformats.org/officeDocument/2006/relationships/hyperlink" Target="https://www.immoscout24.ch/fr/appartement/louer/lieu-vordemwald" TargetMode="External"/><Relationship Id="rId2041" Type="http://schemas.openxmlformats.org/officeDocument/2006/relationships/hyperlink" Target="https://www.immoscout24.ch/fr/appartement/louer/lieu-faulensee" TargetMode="External"/><Relationship Id="rId3373" Type="http://schemas.openxmlformats.org/officeDocument/2006/relationships/hyperlink" Target="https://www.immoscout24.ch/fr/appartement/acheter/lieu-boudry" TargetMode="External"/><Relationship Id="rId120" Type="http://schemas.openxmlformats.org/officeDocument/2006/relationships/hyperlink" Target="https://www.immoscout24.ch/fr/maison/louer/lieu-st-legier-la-chiesaz" TargetMode="External"/><Relationship Id="rId2042" Type="http://schemas.openxmlformats.org/officeDocument/2006/relationships/hyperlink" Target="https://www.immoscout24.ch/fr/maison/acheter/pays-roumanie" TargetMode="External"/><Relationship Id="rId3372" Type="http://schemas.openxmlformats.org/officeDocument/2006/relationships/hyperlink" Target="https://www.immoscout24.ch/fr/appartement/louer/lieu-thun" TargetMode="External"/><Relationship Id="rId2043" Type="http://schemas.openxmlformats.org/officeDocument/2006/relationships/hyperlink" Target="https://www.immoscout24.ch/fr/maison/acheter/lieu-wengen" TargetMode="External"/><Relationship Id="rId3375" Type="http://schemas.openxmlformats.org/officeDocument/2006/relationships/hyperlink" Target="https://www.immoscout24.ch/fr/maison/acheter/lieu-les-diablerets" TargetMode="External"/><Relationship Id="rId2044" Type="http://schemas.openxmlformats.org/officeDocument/2006/relationships/hyperlink" Target="https://www.immoscout24.ch/fr/maison/acheter/lieu-misery" TargetMode="External"/><Relationship Id="rId3374" Type="http://schemas.openxmlformats.org/officeDocument/2006/relationships/hyperlink" Target="https://www.immoscout24.ch/fr/appartement/acheter/lieu-st-cergue" TargetMode="External"/><Relationship Id="rId125" Type="http://schemas.openxmlformats.org/officeDocument/2006/relationships/hyperlink" Target="https://www.immoscout24.ch/fr/appartement/louer/lieu-st-ursanne" TargetMode="External"/><Relationship Id="rId2045" Type="http://schemas.openxmlformats.org/officeDocument/2006/relationships/hyperlink" Target="https://www.immoscout24.ch/fr/appartement/louer/lieu-corcelles-be" TargetMode="External"/><Relationship Id="rId3377" Type="http://schemas.openxmlformats.org/officeDocument/2006/relationships/hyperlink" Target="https://www.immoscout24.ch/fr/appartement/louer/lieu-denens" TargetMode="External"/><Relationship Id="rId124" Type="http://schemas.openxmlformats.org/officeDocument/2006/relationships/hyperlink" Target="https://www.immoscout24.ch/fr/maison/acheter/lieu-selzach" TargetMode="External"/><Relationship Id="rId2046" Type="http://schemas.openxmlformats.org/officeDocument/2006/relationships/hyperlink" Target="https://www.immoscout24.ch/fr/maison/louer/lieu-le-grand-saconnex" TargetMode="External"/><Relationship Id="rId3376" Type="http://schemas.openxmlformats.org/officeDocument/2006/relationships/hyperlink" Target="https://www.immoscout24.ch/fr/appartement/acheter/lieu-bogis-bossey" TargetMode="External"/><Relationship Id="rId123" Type="http://schemas.openxmlformats.org/officeDocument/2006/relationships/hyperlink" Target="https://www.immoscout24.ch/fr/maison/louer/lieu-allschwil" TargetMode="External"/><Relationship Id="rId2047" Type="http://schemas.openxmlformats.org/officeDocument/2006/relationships/hyperlink" Target="https://www.immoscout24.ch/fr/maison/acheter/lieu-minusio" TargetMode="External"/><Relationship Id="rId3379" Type="http://schemas.openxmlformats.org/officeDocument/2006/relationships/hyperlink" Target="https://www.immoscout24.ch/fr/appartement/acheter/lieu-buchrain" TargetMode="External"/><Relationship Id="rId122" Type="http://schemas.openxmlformats.org/officeDocument/2006/relationships/hyperlink" Target="https://www.immoscout24.ch/fr/maison/acheter/lieu-courtedoux" TargetMode="External"/><Relationship Id="rId2048" Type="http://schemas.openxmlformats.org/officeDocument/2006/relationships/hyperlink" Target="https://www.immoscout24.ch/fr/maison/louer/lieu-sorens" TargetMode="External"/><Relationship Id="rId3378" Type="http://schemas.openxmlformats.org/officeDocument/2006/relationships/hyperlink" Target="https://www.immoscout24.ch/fr/appartement/louer/lieu-sevaz" TargetMode="External"/><Relationship Id="rId2038" Type="http://schemas.openxmlformats.org/officeDocument/2006/relationships/hyperlink" Target="https://www.immoscout24.ch/fr/maison/acheter/quartier-carona-lugano" TargetMode="External"/><Relationship Id="rId2039" Type="http://schemas.openxmlformats.org/officeDocument/2006/relationships/hyperlink" Target="https://www.immoscout24.ch/fr/appartement/acheter/lieu-st-gallen" TargetMode="External"/><Relationship Id="rId3369" Type="http://schemas.openxmlformats.org/officeDocument/2006/relationships/hyperlink" Target="https://www.immoscout24.ch/fr/maison/louer/lieu-sonceboz-sombeval" TargetMode="External"/><Relationship Id="rId118" Type="http://schemas.openxmlformats.org/officeDocument/2006/relationships/hyperlink" Target="https://www.immoscout24.ch/fr/appartement/louer/lieu-cresuz" TargetMode="External"/><Relationship Id="rId117" Type="http://schemas.openxmlformats.org/officeDocument/2006/relationships/hyperlink" Target="https://www.immoscout24.ch/fr/appartement/louer/lieu-leukerbad" TargetMode="External"/><Relationship Id="rId116" Type="http://schemas.openxmlformats.org/officeDocument/2006/relationships/hyperlink" Target="https://www.immoscout24.ch/fr/appartement/acheter/lieu-wabern" TargetMode="External"/><Relationship Id="rId115" Type="http://schemas.openxmlformats.org/officeDocument/2006/relationships/hyperlink" Target="https://www.immoscout24.ch/fr/maison/acheter/lieu-bourg-st-pierre" TargetMode="External"/><Relationship Id="rId3360" Type="http://schemas.openxmlformats.org/officeDocument/2006/relationships/hyperlink" Target="https://www.immoscout24.ch/fr/appartement/louer/lieu-miege" TargetMode="External"/><Relationship Id="rId4691" Type="http://schemas.openxmlformats.org/officeDocument/2006/relationships/hyperlink" Target="https://www.immoscout24.ch/fr/appartement/louer/lieu-palezieux-village" TargetMode="External"/><Relationship Id="rId119" Type="http://schemas.openxmlformats.org/officeDocument/2006/relationships/hyperlink" Target="https://www.immoscout24.ch/fr/appartement/louer/lieu-jegenstorf" TargetMode="External"/><Relationship Id="rId4690" Type="http://schemas.openxmlformats.org/officeDocument/2006/relationships/hyperlink" Target="https://www.immoscout24.ch/fr/maison/acheter/lieu-leukerbad" TargetMode="External"/><Relationship Id="rId110" Type="http://schemas.openxmlformats.org/officeDocument/2006/relationships/hyperlink" Target="https://www.immoscout24.ch/fr/appartement/acheter/lieu-zollikofen" TargetMode="External"/><Relationship Id="rId2030" Type="http://schemas.openxmlformats.org/officeDocument/2006/relationships/hyperlink" Target="https://www.immoscout24.ch/fr/maison/acheter/lieu-courgenay" TargetMode="External"/><Relationship Id="rId3362" Type="http://schemas.openxmlformats.org/officeDocument/2006/relationships/hyperlink" Target="https://www.immoscout24.ch/fr/appartement/acheter/lieu-morrens-vd" TargetMode="External"/><Relationship Id="rId4693" Type="http://schemas.openxmlformats.org/officeDocument/2006/relationships/hyperlink" Target="https://www.immoscout24.ch/fr/appartement/acheter/lieu-buch-am-irchel" TargetMode="External"/><Relationship Id="rId2031" Type="http://schemas.openxmlformats.org/officeDocument/2006/relationships/hyperlink" Target="https://www.immoscout24.ch/fr/appartement/acheter/lieu-fetigny" TargetMode="External"/><Relationship Id="rId3361" Type="http://schemas.openxmlformats.org/officeDocument/2006/relationships/hyperlink" Target="https://www.immoscout24.ch/fr/maison/acheter/lieu-treyvaux" TargetMode="External"/><Relationship Id="rId4692" Type="http://schemas.openxmlformats.org/officeDocument/2006/relationships/hyperlink" Target="https://www.immoscout24.ch/fr/maison/acheter/lieu-clarmont" TargetMode="External"/><Relationship Id="rId2032" Type="http://schemas.openxmlformats.org/officeDocument/2006/relationships/hyperlink" Target="https://www.immoscout24.ch/fr/appartement/louer/lieu-fischbach-goeslikon" TargetMode="External"/><Relationship Id="rId3364" Type="http://schemas.openxmlformats.org/officeDocument/2006/relationships/hyperlink" Target="https://www.immoscout24.ch/fr/maison/acheter/lieu-bevaix" TargetMode="External"/><Relationship Id="rId4695" Type="http://schemas.openxmlformats.org/officeDocument/2006/relationships/hyperlink" Target="https://www.immoscout24.ch/fr/appartement/acheter/lieu-moleson-sur-gruyeres" TargetMode="External"/><Relationship Id="rId2033" Type="http://schemas.openxmlformats.org/officeDocument/2006/relationships/hyperlink" Target="https://www.immoscout24.ch/fr/maison/louer/lieu-cottens-vd" TargetMode="External"/><Relationship Id="rId3363" Type="http://schemas.openxmlformats.org/officeDocument/2006/relationships/hyperlink" Target="https://www.immoscout24.ch/fr/appartement/acheter/lieu-herzogenbuchsee" TargetMode="External"/><Relationship Id="rId4694" Type="http://schemas.openxmlformats.org/officeDocument/2006/relationships/hyperlink" Target="https://www.immoscout24.ch/fr/maison/louer/lieu-romanshorn" TargetMode="External"/><Relationship Id="rId114" Type="http://schemas.openxmlformats.org/officeDocument/2006/relationships/hyperlink" Target="https://www.immoscout24.ch/fr/maison/acheter/lieu-flawil" TargetMode="External"/><Relationship Id="rId2034" Type="http://schemas.openxmlformats.org/officeDocument/2006/relationships/hyperlink" Target="https://www.immoscout24.ch/fr/maison/louer/lieu-st-romain-ayent" TargetMode="External"/><Relationship Id="rId3366" Type="http://schemas.openxmlformats.org/officeDocument/2006/relationships/hyperlink" Target="https://www.immoscout24.ch/fr/maison/acheter/lieu-isenthal" TargetMode="External"/><Relationship Id="rId4697" Type="http://schemas.openxmlformats.org/officeDocument/2006/relationships/hyperlink" Target="https://www.immoscout24.ch/fr/appartement/acheter/canton-schwyz" TargetMode="External"/><Relationship Id="rId113" Type="http://schemas.openxmlformats.org/officeDocument/2006/relationships/hyperlink" Target="https://www.immoscout24.ch/fr/maison/louer/quartier-serrieres-neuchatel" TargetMode="External"/><Relationship Id="rId2035" Type="http://schemas.openxmlformats.org/officeDocument/2006/relationships/hyperlink" Target="https://www.immoscout24.ch/fr/appartement/louer/lieu-vinzel" TargetMode="External"/><Relationship Id="rId3365" Type="http://schemas.openxmlformats.org/officeDocument/2006/relationships/hyperlink" Target="https://www.immoscout24.ch/fr/appartement/acheter/lieu-glattpark-opfikon" TargetMode="External"/><Relationship Id="rId4696" Type="http://schemas.openxmlformats.org/officeDocument/2006/relationships/hyperlink" Target="https://www.immoscout24.ch/fr/appartement/acheter/lieu-aclens" TargetMode="External"/><Relationship Id="rId112" Type="http://schemas.openxmlformats.org/officeDocument/2006/relationships/hyperlink" Target="https://www.immoscout24.ch/fr/maison/acheter/lieu-lauperswil" TargetMode="External"/><Relationship Id="rId2036" Type="http://schemas.openxmlformats.org/officeDocument/2006/relationships/hyperlink" Target="https://www.immoscout24.ch/fr/appartement/louer/lieu-cham" TargetMode="External"/><Relationship Id="rId3368" Type="http://schemas.openxmlformats.org/officeDocument/2006/relationships/hyperlink" Target="https://www.immoscout24.ch/fr/appartement/louer/lieu-chables-fr" TargetMode="External"/><Relationship Id="rId4699" Type="http://schemas.openxmlformats.org/officeDocument/2006/relationships/hyperlink" Target="https://www.immoscout24.ch/fr/maison/acheter/canton-grisons" TargetMode="External"/><Relationship Id="rId111" Type="http://schemas.openxmlformats.org/officeDocument/2006/relationships/hyperlink" Target="https://www.immoscout24.ch/fr/appartement/acheter/canton-appenzell-ri" TargetMode="External"/><Relationship Id="rId2037" Type="http://schemas.openxmlformats.org/officeDocument/2006/relationships/hyperlink" Target="https://www.immoscout24.ch/fr/maison/acheter/lieu-montagne-de-courtelary" TargetMode="External"/><Relationship Id="rId3367" Type="http://schemas.openxmlformats.org/officeDocument/2006/relationships/hyperlink" Target="https://www.immoscout24.ch/fr/appartement/acheter/region-campagne-gros-de-vaud" TargetMode="External"/><Relationship Id="rId4698" Type="http://schemas.openxmlformats.org/officeDocument/2006/relationships/hyperlink" Target="https://www.immoscout24.ch/fr/maison/louer/lieu-laconnex" TargetMode="External"/><Relationship Id="rId3315" Type="http://schemas.openxmlformats.org/officeDocument/2006/relationships/hyperlink" Target="https://www.immoscout24.ch/fr/appartement/louer/lieu-la-sage" TargetMode="External"/><Relationship Id="rId4646" Type="http://schemas.openxmlformats.org/officeDocument/2006/relationships/hyperlink" Target="https://www.immoscout24.ch/fr/appartement/acheter/lieu-conthey" TargetMode="External"/><Relationship Id="rId5978" Type="http://schemas.openxmlformats.org/officeDocument/2006/relationships/hyperlink" Target="https://www.immoscout24.ch/fr/appartement/louer/region-zurich-et-environs" TargetMode="External"/><Relationship Id="rId3314" Type="http://schemas.openxmlformats.org/officeDocument/2006/relationships/hyperlink" Target="https://www.immoscout24.ch/fr/maison/louer/lieu-crassier" TargetMode="External"/><Relationship Id="rId4645" Type="http://schemas.openxmlformats.org/officeDocument/2006/relationships/hyperlink" Target="https://www.immoscout24.ch/fr/appartement/louer/lieu-grosshoechstetten" TargetMode="External"/><Relationship Id="rId5979" Type="http://schemas.openxmlformats.org/officeDocument/2006/relationships/hyperlink" Target="https://www.immoscout24.ch/fr/appartement/louer/region-bale-ville" TargetMode="External"/><Relationship Id="rId3317" Type="http://schemas.openxmlformats.org/officeDocument/2006/relationships/hyperlink" Target="https://www.immoscout24.ch/fr/appartement/acheter/lieu-massagno" TargetMode="External"/><Relationship Id="rId4648" Type="http://schemas.openxmlformats.org/officeDocument/2006/relationships/hyperlink" Target="https://www.immoscout24.ch/fr/maison/acheter/quartier-witikon-zurich" TargetMode="External"/><Relationship Id="rId5976" Type="http://schemas.openxmlformats.org/officeDocument/2006/relationships/hyperlink" Target="https://www.immoscout24.ch/fr/appartement/louer/quartier-altstadt-winterthur" TargetMode="External"/><Relationship Id="rId3316" Type="http://schemas.openxmlformats.org/officeDocument/2006/relationships/hyperlink" Target="https://www.immoscout24.ch/fr/maison/acheter/lieu-vercorin" TargetMode="External"/><Relationship Id="rId4647" Type="http://schemas.openxmlformats.org/officeDocument/2006/relationships/hyperlink" Target="https://www.immoscout24.ch/fr/maison/acheter/region-obwalden" TargetMode="External"/><Relationship Id="rId5977" Type="http://schemas.openxmlformats.org/officeDocument/2006/relationships/hyperlink" Target="https://www.immoscout24.ch/fr/maison/acheter/lieu-luescherz" TargetMode="External"/><Relationship Id="rId3319" Type="http://schemas.openxmlformats.org/officeDocument/2006/relationships/hyperlink" Target="https://www.immoscout24.ch/fr/appartement/louer/lieu-pfyn" TargetMode="External"/><Relationship Id="rId3318" Type="http://schemas.openxmlformats.org/officeDocument/2006/relationships/hyperlink" Target="https://www.immoscout24.ch/fr/appartement/acheter/lieu-schaffhausen" TargetMode="External"/><Relationship Id="rId4649" Type="http://schemas.openxmlformats.org/officeDocument/2006/relationships/hyperlink" Target="https://www.immoscout24.ch/fr/appartement/acheter/lieu-stein-ag" TargetMode="External"/><Relationship Id="rId5970" Type="http://schemas.openxmlformats.org/officeDocument/2006/relationships/hyperlink" Target="https://www.immoscout24.ch/fr/appartement/louer/lieu-daillens" TargetMode="External"/><Relationship Id="rId5971" Type="http://schemas.openxmlformats.org/officeDocument/2006/relationships/hyperlink" Target="https://www.immoscout24.ch/fr/maison/louer/lieu-autafond" TargetMode="External"/><Relationship Id="rId4640" Type="http://schemas.openxmlformats.org/officeDocument/2006/relationships/hyperlink" Target="https://www.immoscout24.ch/fr/maison/louer/lieu-mollie-margot" TargetMode="External"/><Relationship Id="rId3311" Type="http://schemas.openxmlformats.org/officeDocument/2006/relationships/hyperlink" Target="https://www.immoscout24.ch/fr/maison/acheter/lieu-le-chatelard-pres-romont" TargetMode="External"/><Relationship Id="rId4642" Type="http://schemas.openxmlformats.org/officeDocument/2006/relationships/hyperlink" Target="https://www.immoscout24.ch/fr/appartement/acheter/lieu-surpierre" TargetMode="External"/><Relationship Id="rId5974" Type="http://schemas.openxmlformats.org/officeDocument/2006/relationships/hyperlink" Target="https://www.immoscout24.ch/fr/maison/louer/quartier-bourguillon-fribourg" TargetMode="External"/><Relationship Id="rId3310" Type="http://schemas.openxmlformats.org/officeDocument/2006/relationships/hyperlink" Target="https://www.immoscout24.ch/fr/maison/acheter/lieu-brugg-ag" TargetMode="External"/><Relationship Id="rId4641" Type="http://schemas.openxmlformats.org/officeDocument/2006/relationships/hyperlink" Target="https://www.immoscout24.ch/fr/appartement/acheter/lieu-castagnola" TargetMode="External"/><Relationship Id="rId5975" Type="http://schemas.openxmlformats.org/officeDocument/2006/relationships/hyperlink" Target="https://www.immoscout24.ch/fr/appartement/louer/lieu-hochdorf" TargetMode="External"/><Relationship Id="rId3313" Type="http://schemas.openxmlformats.org/officeDocument/2006/relationships/hyperlink" Target="https://www.immoscout24.ch/fr/appartement/acheter/lieu-st-aubin-fr" TargetMode="External"/><Relationship Id="rId4644" Type="http://schemas.openxmlformats.org/officeDocument/2006/relationships/hyperlink" Target="https://www.immoscout24.ch/fr/appartement/acheter/lieu-dizy" TargetMode="External"/><Relationship Id="rId5972" Type="http://schemas.openxmlformats.org/officeDocument/2006/relationships/hyperlink" Target="https://www.immoscout24.ch/fr/appartement/acheter/lieu-schwadernau" TargetMode="External"/><Relationship Id="rId3312" Type="http://schemas.openxmlformats.org/officeDocument/2006/relationships/hyperlink" Target="https://www.immoscout24.ch/fr/appartement/louer/lieu-murgenthal" TargetMode="External"/><Relationship Id="rId4643" Type="http://schemas.openxmlformats.org/officeDocument/2006/relationships/hyperlink" Target="https://www.immoscout24.ch/fr/maison/acheter/lieu-aranno" TargetMode="External"/><Relationship Id="rId5973" Type="http://schemas.openxmlformats.org/officeDocument/2006/relationships/hyperlink" Target="https://www.immoscout24.ch/fr/maison/louer/lieu-vetroz" TargetMode="External"/><Relationship Id="rId3304" Type="http://schemas.openxmlformats.org/officeDocument/2006/relationships/hyperlink" Target="https://www.immoscout24.ch/fr/maison/louer/lieu-granges-veveyse" TargetMode="External"/><Relationship Id="rId4635" Type="http://schemas.openxmlformats.org/officeDocument/2006/relationships/hyperlink" Target="https://www.immoscout24.ch/fr/maison/acheter/lieu-fahrwangen" TargetMode="External"/><Relationship Id="rId5967" Type="http://schemas.openxmlformats.org/officeDocument/2006/relationships/hyperlink" Target="https://www.immoscout24.ch/fr/maison/acheter/lieu-chandon" TargetMode="External"/><Relationship Id="rId3303" Type="http://schemas.openxmlformats.org/officeDocument/2006/relationships/hyperlink" Target="https://www.immoscout24.ch/fr/appartement/louer/lieu-neuenegg" TargetMode="External"/><Relationship Id="rId4634" Type="http://schemas.openxmlformats.org/officeDocument/2006/relationships/hyperlink" Target="https://www.immoscout24.ch/fr/maison/acheter/lieu-gentilino" TargetMode="External"/><Relationship Id="rId5968" Type="http://schemas.openxmlformats.org/officeDocument/2006/relationships/hyperlink" Target="https://www.immoscout24.ch/fr/maison/acheter/lieu-villars-ste-croix" TargetMode="External"/><Relationship Id="rId3306" Type="http://schemas.openxmlformats.org/officeDocument/2006/relationships/hyperlink" Target="https://www.immoscout24.ch/fr/maison/acheter/lieu-saules-be" TargetMode="External"/><Relationship Id="rId4637" Type="http://schemas.openxmlformats.org/officeDocument/2006/relationships/hyperlink" Target="https://www.immoscout24.ch/fr/appartement/acheter/lieu-chermignon" TargetMode="External"/><Relationship Id="rId5965" Type="http://schemas.openxmlformats.org/officeDocument/2006/relationships/hyperlink" Target="https://www.immoscout24.ch/fr/maison/acheter/lieu-bressaucourt" TargetMode="External"/><Relationship Id="rId3305" Type="http://schemas.openxmlformats.org/officeDocument/2006/relationships/hyperlink" Target="https://www.immoscout24.ch/fr/maison/acheter/lieu-cremin" TargetMode="External"/><Relationship Id="rId4636" Type="http://schemas.openxmlformats.org/officeDocument/2006/relationships/hyperlink" Target="https://www.immoscout24.ch/fr/appartement/louer/lieu-mathod" TargetMode="External"/><Relationship Id="rId5966" Type="http://schemas.openxmlformats.org/officeDocument/2006/relationships/hyperlink" Target="https://www.immoscout24.ch/fr/maison/acheter/lieu-montagny-pres-yverdon" TargetMode="External"/><Relationship Id="rId3308" Type="http://schemas.openxmlformats.org/officeDocument/2006/relationships/hyperlink" Target="https://www.immoscout24.ch/fr/appartement/louer/lieu-schafisheim" TargetMode="External"/><Relationship Id="rId4639" Type="http://schemas.openxmlformats.org/officeDocument/2006/relationships/hyperlink" Target="https://www.immoscout24.ch/fr/appartement/louer/lieu-zollbrueck" TargetMode="External"/><Relationship Id="rId3307" Type="http://schemas.openxmlformats.org/officeDocument/2006/relationships/hyperlink" Target="https://www.immoscout24.ch/fr/maison/acheter/lieu-volleges" TargetMode="External"/><Relationship Id="rId4638" Type="http://schemas.openxmlformats.org/officeDocument/2006/relationships/hyperlink" Target="https://www.immoscout24.ch/fr/maison/acheter/lieu-konolfingen" TargetMode="External"/><Relationship Id="rId5969" Type="http://schemas.openxmlformats.org/officeDocument/2006/relationships/hyperlink" Target="https://www.immoscout24.ch/fr/maison/louer/lieu-la-tour-de-peilz" TargetMode="External"/><Relationship Id="rId3309" Type="http://schemas.openxmlformats.org/officeDocument/2006/relationships/hyperlink" Target="https://www.immoscout24.ch/fr/maison/acheter/lieu-faoug" TargetMode="External"/><Relationship Id="rId5960" Type="http://schemas.openxmlformats.org/officeDocument/2006/relationships/hyperlink" Target="https://www.immoscout24.ch/fr/appartement/louer/lieu-arcegno" TargetMode="External"/><Relationship Id="rId3300" Type="http://schemas.openxmlformats.org/officeDocument/2006/relationships/hyperlink" Target="https://www.immoscout24.ch/fr/appartement/louer/quartier-croix-federale-la-chaux-de-fonds" TargetMode="External"/><Relationship Id="rId4631" Type="http://schemas.openxmlformats.org/officeDocument/2006/relationships/hyperlink" Target="https://www.immoscout24.ch/fr/appartement/acheter/region-sion-sierre-et-environs" TargetMode="External"/><Relationship Id="rId5963" Type="http://schemas.openxmlformats.org/officeDocument/2006/relationships/hyperlink" Target="https://www.immoscout24.ch/fr/appartement/louer/lieu-duernten" TargetMode="External"/><Relationship Id="rId4630" Type="http://schemas.openxmlformats.org/officeDocument/2006/relationships/hyperlink" Target="https://www.immoscout24.ch/fr/maison/acheter/lieu-lonay" TargetMode="External"/><Relationship Id="rId5964" Type="http://schemas.openxmlformats.org/officeDocument/2006/relationships/hyperlink" Target="https://www.immoscout24.ch/fr/maison/acheter/lieu-maisprach" TargetMode="External"/><Relationship Id="rId3302" Type="http://schemas.openxmlformats.org/officeDocument/2006/relationships/hyperlink" Target="https://www.immoscout24.ch/fr/maison/acheter/lieu-mergoscia" TargetMode="External"/><Relationship Id="rId4633" Type="http://schemas.openxmlformats.org/officeDocument/2006/relationships/hyperlink" Target="https://www.immoscout24.ch/fr/maison/louer/lieu-bouloz" TargetMode="External"/><Relationship Id="rId5961" Type="http://schemas.openxmlformats.org/officeDocument/2006/relationships/hyperlink" Target="https://www.immoscout24.ch/fr/appartement/acheter/lieu-autafond" TargetMode="External"/><Relationship Id="rId3301" Type="http://schemas.openxmlformats.org/officeDocument/2006/relationships/hyperlink" Target="https://www.immoscout24.ch/fr/maison/louer/canton-nidwald" TargetMode="External"/><Relationship Id="rId4632" Type="http://schemas.openxmlformats.org/officeDocument/2006/relationships/hyperlink" Target="https://www.immoscout24.ch/fr/appartement/louer/quartier-riethuesli-st-gall" TargetMode="External"/><Relationship Id="rId5962" Type="http://schemas.openxmlformats.org/officeDocument/2006/relationships/hyperlink" Target="https://www.immoscout24.ch/fr/appartement/louer/lieu-regensdorf" TargetMode="External"/><Relationship Id="rId2005" Type="http://schemas.openxmlformats.org/officeDocument/2006/relationships/hyperlink" Target="https://www.immoscout24.ch/fr/maison/acheter/lieu-dozwil" TargetMode="External"/><Relationship Id="rId3337" Type="http://schemas.openxmlformats.org/officeDocument/2006/relationships/hyperlink" Target="https://www.immoscout24.ch/fr/maison/acheter/lieu-giornico" TargetMode="External"/><Relationship Id="rId4668" Type="http://schemas.openxmlformats.org/officeDocument/2006/relationships/hyperlink" Target="https://www.immoscout24.ch/fr/appartement/louer/lieu-derendingen" TargetMode="External"/><Relationship Id="rId2006" Type="http://schemas.openxmlformats.org/officeDocument/2006/relationships/hyperlink" Target="https://www.immoscout24.ch/fr/maison/acheter/lieu-sutz" TargetMode="External"/><Relationship Id="rId3336" Type="http://schemas.openxmlformats.org/officeDocument/2006/relationships/hyperlink" Target="https://www.immoscout24.ch/fr/maison/acheter/lieu-crans-pres-celigny" TargetMode="External"/><Relationship Id="rId4667" Type="http://schemas.openxmlformats.org/officeDocument/2006/relationships/hyperlink" Target="https://www.immoscout24.ch/fr/maison/acheter/lieu-vesenaz" TargetMode="External"/><Relationship Id="rId2007" Type="http://schemas.openxmlformats.org/officeDocument/2006/relationships/hyperlink" Target="https://www.immoscout24.ch/fr/appartement/louer/lieu-rueyres" TargetMode="External"/><Relationship Id="rId3339" Type="http://schemas.openxmlformats.org/officeDocument/2006/relationships/hyperlink" Target="https://www.immoscout24.ch/fr/appartement/louer/lieu-elgg" TargetMode="External"/><Relationship Id="rId5998" Type="http://schemas.openxmlformats.org/officeDocument/2006/relationships/hyperlink" Target="https://www.immoscout24.ch/fr/maison/acheter/lieu-st-saphorin-sur-morges" TargetMode="External"/><Relationship Id="rId2008" Type="http://schemas.openxmlformats.org/officeDocument/2006/relationships/hyperlink" Target="https://www.immoscout24.ch/fr/maison/acheter/lieu-fenin" TargetMode="External"/><Relationship Id="rId3338" Type="http://schemas.openxmlformats.org/officeDocument/2006/relationships/hyperlink" Target="https://www.immoscout24.ch/fr/appartement/acheter/lieu-eschenbach-sg" TargetMode="External"/><Relationship Id="rId4669" Type="http://schemas.openxmlformats.org/officeDocument/2006/relationships/hyperlink" Target="https://www.immoscout24.ch/fr/maison/louer/lieu-hauterive-ne" TargetMode="External"/><Relationship Id="rId5999" Type="http://schemas.openxmlformats.org/officeDocument/2006/relationships/hyperlink" Target="https://www.immoscout24.ch/fr/appartement/acheter/quartier-serrieres-neuchatel" TargetMode="External"/><Relationship Id="rId2009" Type="http://schemas.openxmlformats.org/officeDocument/2006/relationships/hyperlink" Target="https://www.immoscout24.ch/fr/appartement/acheter/lieu-arzier-le-muids" TargetMode="External"/><Relationship Id="rId4660" Type="http://schemas.openxmlformats.org/officeDocument/2006/relationships/hyperlink" Target="https://www.immoscout24.ch/fr/appartement/louer/quartier-stgeorgen-st-gall" TargetMode="External"/><Relationship Id="rId5992" Type="http://schemas.openxmlformats.org/officeDocument/2006/relationships/hyperlink" Target="https://www.immoscout24.ch/fr/maison/acheter/lieu-courroux" TargetMode="External"/><Relationship Id="rId5993" Type="http://schemas.openxmlformats.org/officeDocument/2006/relationships/hyperlink" Target="https://www.immoscout24.ch/fr/appartement/louer/lieu-rueegsau" TargetMode="External"/><Relationship Id="rId3331" Type="http://schemas.openxmlformats.org/officeDocument/2006/relationships/hyperlink" Target="https://www.immoscout24.ch/fr/maison/acheter/lieu-yvonand" TargetMode="External"/><Relationship Id="rId4662" Type="http://schemas.openxmlformats.org/officeDocument/2006/relationships/hyperlink" Target="https://www.immoscout24.ch/fr/maison/acheter/lieu-cerniaz-vd" TargetMode="External"/><Relationship Id="rId5990" Type="http://schemas.openxmlformats.org/officeDocument/2006/relationships/hyperlink" Target="https://www.immoscout24.ch/fr/maison/louer/lieu-jouxtens-mezery" TargetMode="External"/><Relationship Id="rId2000" Type="http://schemas.openxmlformats.org/officeDocument/2006/relationships/hyperlink" Target="https://www.immoscout24.ch/fr/maison/louer/lieu-tavannes" TargetMode="External"/><Relationship Id="rId3330" Type="http://schemas.openxmlformats.org/officeDocument/2006/relationships/hyperlink" Target="https://www.immoscout24.ch/fr/appartement/louer/lieu-la-punt-chamues-ch" TargetMode="External"/><Relationship Id="rId4661" Type="http://schemas.openxmlformats.org/officeDocument/2006/relationships/hyperlink" Target="https://www.immoscout24.ch/fr/maison/louer/lieu-riaz" TargetMode="External"/><Relationship Id="rId5991" Type="http://schemas.openxmlformats.org/officeDocument/2006/relationships/hyperlink" Target="https://www.immoscout24.ch/fr/appartement/louer/lieu-barbereche" TargetMode="External"/><Relationship Id="rId2001" Type="http://schemas.openxmlformats.org/officeDocument/2006/relationships/hyperlink" Target="https://www.immoscout24.ch/fr/appartement/louer/pays-autriche" TargetMode="External"/><Relationship Id="rId3333" Type="http://schemas.openxmlformats.org/officeDocument/2006/relationships/hyperlink" Target="https://www.immoscout24.ch/fr/maison/louer/lieu-la-rippe" TargetMode="External"/><Relationship Id="rId4664" Type="http://schemas.openxmlformats.org/officeDocument/2006/relationships/hyperlink" Target="https://www.immoscout24.ch/fr/maison/acheter/lieu-chamoson" TargetMode="External"/><Relationship Id="rId5996" Type="http://schemas.openxmlformats.org/officeDocument/2006/relationships/hyperlink" Target="https://www.immoscout24.ch/fr/appartement/louer/lieu-chermignon-d-en-bas" TargetMode="External"/><Relationship Id="rId2002" Type="http://schemas.openxmlformats.org/officeDocument/2006/relationships/hyperlink" Target="https://www.immoscout24.ch/fr/appartement/louer/lieu-brenles" TargetMode="External"/><Relationship Id="rId3332" Type="http://schemas.openxmlformats.org/officeDocument/2006/relationships/hyperlink" Target="https://www.immoscout24.ch/fr/appartement/acheter/region-valais-central" TargetMode="External"/><Relationship Id="rId4663" Type="http://schemas.openxmlformats.org/officeDocument/2006/relationships/hyperlink" Target="https://www.immoscout24.ch/fr/appartement/louer/lieu-ovronnaz" TargetMode="External"/><Relationship Id="rId5997" Type="http://schemas.openxmlformats.org/officeDocument/2006/relationships/hyperlink" Target="https://www.immoscout24.ch/fr/appartement/acheter/lieu-forel-lavaux" TargetMode="External"/><Relationship Id="rId2003" Type="http://schemas.openxmlformats.org/officeDocument/2006/relationships/hyperlink" Target="https://www.immoscout24.ch/fr/maison/acheter/lieu-marin-epagnier" TargetMode="External"/><Relationship Id="rId3335" Type="http://schemas.openxmlformats.org/officeDocument/2006/relationships/hyperlink" Target="https://www.immoscout24.ch/fr/appartement/louer/lieu-vuiteboeuf" TargetMode="External"/><Relationship Id="rId4666" Type="http://schemas.openxmlformats.org/officeDocument/2006/relationships/hyperlink" Target="https://www.immoscout24.ch/fr/appartement/louer/lieu-seuzach" TargetMode="External"/><Relationship Id="rId5994" Type="http://schemas.openxmlformats.org/officeDocument/2006/relationships/hyperlink" Target="https://www.immoscout24.ch/fr/appartement/acheter/lieu-saignelegier" TargetMode="External"/><Relationship Id="rId2004" Type="http://schemas.openxmlformats.org/officeDocument/2006/relationships/hyperlink" Target="https://www.immoscout24.ch/fr/appartement/louer/lieu-boecourt" TargetMode="External"/><Relationship Id="rId3334" Type="http://schemas.openxmlformats.org/officeDocument/2006/relationships/hyperlink" Target="https://www.immoscout24.ch/fr/appartement/louer/pays-france" TargetMode="External"/><Relationship Id="rId4665" Type="http://schemas.openxmlformats.org/officeDocument/2006/relationships/hyperlink" Target="https://www.immoscout24.ch/fr/maison/acheter/quartier-eaux-vives-lac-geneve" TargetMode="External"/><Relationship Id="rId5995" Type="http://schemas.openxmlformats.org/officeDocument/2006/relationships/hyperlink" Target="https://www.immoscout24.ch/fr/maison/acheter/lieu-oensingen" TargetMode="External"/><Relationship Id="rId3326" Type="http://schemas.openxmlformats.org/officeDocument/2006/relationships/hyperlink" Target="https://www.immoscout24.ch/fr/appartement/louer/lieu-eggerberg" TargetMode="External"/><Relationship Id="rId4657" Type="http://schemas.openxmlformats.org/officeDocument/2006/relationships/hyperlink" Target="https://www.immoscout24.ch/fr/maison/acheter/lieu-versam" TargetMode="External"/><Relationship Id="rId5989" Type="http://schemas.openxmlformats.org/officeDocument/2006/relationships/hyperlink" Target="https://www.immoscout24.ch/fr/appartement/acheter/lieu-les-collons" TargetMode="External"/><Relationship Id="rId3325" Type="http://schemas.openxmlformats.org/officeDocument/2006/relationships/hyperlink" Target="https://www.immoscout24.ch/fr/maison/acheter/region-zueri-obersee" TargetMode="External"/><Relationship Id="rId4656" Type="http://schemas.openxmlformats.org/officeDocument/2006/relationships/hyperlink" Target="https://www.immoscout24.ch/fr/maison/louer/lieu-savagnier" TargetMode="External"/><Relationship Id="rId3328" Type="http://schemas.openxmlformats.org/officeDocument/2006/relationships/hyperlink" Target="https://www.immoscout24.ch/fr/maison/louer/region-bale-campagne-ouest" TargetMode="External"/><Relationship Id="rId4659" Type="http://schemas.openxmlformats.org/officeDocument/2006/relationships/hyperlink" Target="https://www.immoscout24.ch/fr/appartement/acheter/lieu-oberburg" TargetMode="External"/><Relationship Id="rId5987" Type="http://schemas.openxmlformats.org/officeDocument/2006/relationships/hyperlink" Target="https://www.immoscout24.ch/fr/maison/acheter/lieu-ponte-tresa" TargetMode="External"/><Relationship Id="rId3327" Type="http://schemas.openxmlformats.org/officeDocument/2006/relationships/hyperlink" Target="https://www.immoscout24.ch/fr/appartement/acheter/lieu-dachsen" TargetMode="External"/><Relationship Id="rId4658" Type="http://schemas.openxmlformats.org/officeDocument/2006/relationships/hyperlink" Target="https://www.immoscout24.ch/fr/maison/louer/lieu-forel-fr" TargetMode="External"/><Relationship Id="rId5988" Type="http://schemas.openxmlformats.org/officeDocument/2006/relationships/hyperlink" Target="https://www.immoscout24.ch/fr/appartement/acheter/lieu-regensdorf" TargetMode="External"/><Relationship Id="rId3329" Type="http://schemas.openxmlformats.org/officeDocument/2006/relationships/hyperlink" Target="https://www.immoscout24.ch/fr/maison/acheter/lieu-hochwald" TargetMode="External"/><Relationship Id="rId5981" Type="http://schemas.openxmlformats.org/officeDocument/2006/relationships/hyperlink" Target="https://www.immoscout24.ch/fr/appartement/louer/lieu-cheyres" TargetMode="External"/><Relationship Id="rId5982" Type="http://schemas.openxmlformats.org/officeDocument/2006/relationships/hyperlink" Target="https://www.immoscout24.ch/fr/appartement/acheter/lieu-mur-vully-fr" TargetMode="External"/><Relationship Id="rId3320" Type="http://schemas.openxmlformats.org/officeDocument/2006/relationships/hyperlink" Target="https://www.immoscout24.ch/fr/appartement/acheter/quartier-vernand-lausanne" TargetMode="External"/><Relationship Id="rId4651" Type="http://schemas.openxmlformats.org/officeDocument/2006/relationships/hyperlink" Target="https://www.immoscout24.ch/fr/maison/acheter/region-sion-sierre-et-environs" TargetMode="External"/><Relationship Id="rId4650" Type="http://schemas.openxmlformats.org/officeDocument/2006/relationships/hyperlink" Target="https://www.immoscout24.ch/fr/maison/acheter/lieu-morgins" TargetMode="External"/><Relationship Id="rId5980" Type="http://schemas.openxmlformats.org/officeDocument/2006/relationships/hyperlink" Target="https://www.immoscout24.ch/fr/maison/acheter/lieu-bonfol" TargetMode="External"/><Relationship Id="rId3322" Type="http://schemas.openxmlformats.org/officeDocument/2006/relationships/hyperlink" Target="https://www.immoscout24.ch/fr/appartement/louer/lieu-chavannes-sur-moudon" TargetMode="External"/><Relationship Id="rId4653" Type="http://schemas.openxmlformats.org/officeDocument/2006/relationships/hyperlink" Target="https://www.immoscout24.ch/fr/maison/acheter/lieu-cortebert" TargetMode="External"/><Relationship Id="rId5985" Type="http://schemas.openxmlformats.org/officeDocument/2006/relationships/hyperlink" Target="https://www.immoscout24.ch/fr/appartement/acheter/lieu-martigny-croix" TargetMode="External"/><Relationship Id="rId3321" Type="http://schemas.openxmlformats.org/officeDocument/2006/relationships/hyperlink" Target="https://www.immoscout24.ch/fr/appartement/louer/lieu-gals" TargetMode="External"/><Relationship Id="rId4652" Type="http://schemas.openxmlformats.org/officeDocument/2006/relationships/hyperlink" Target="https://www.immoscout24.ch/fr/appartement/acheter/quartier-bouchet-moillebeau-geneve" TargetMode="External"/><Relationship Id="rId5986" Type="http://schemas.openxmlformats.org/officeDocument/2006/relationships/hyperlink" Target="https://www.immoscout24.ch/fr/maison/acheter/lieu-champsec" TargetMode="External"/><Relationship Id="rId3324" Type="http://schemas.openxmlformats.org/officeDocument/2006/relationships/hyperlink" Target="https://www.immoscout24.ch/fr/maison/acheter/lieu-les-hauts-geneveys" TargetMode="External"/><Relationship Id="rId4655" Type="http://schemas.openxmlformats.org/officeDocument/2006/relationships/hyperlink" Target="https://www.immoscout24.ch/fr/appartement/acheter/lieu-anzere" TargetMode="External"/><Relationship Id="rId5983" Type="http://schemas.openxmlformats.org/officeDocument/2006/relationships/hyperlink" Target="https://www.immoscout24.ch/fr/maison/acheter/lieu-bovernier" TargetMode="External"/><Relationship Id="rId3323" Type="http://schemas.openxmlformats.org/officeDocument/2006/relationships/hyperlink" Target="https://www.immoscout24.ch/fr/appartement/acheter/lieu-schoenenbuch" TargetMode="External"/><Relationship Id="rId4654" Type="http://schemas.openxmlformats.org/officeDocument/2006/relationships/hyperlink" Target="https://www.immoscout24.ch/fr/maison/acheter/lieu-menzonio" TargetMode="External"/><Relationship Id="rId5984" Type="http://schemas.openxmlformats.org/officeDocument/2006/relationships/hyperlink" Target="https://www.immoscout24.ch/fr/appartement/acheter/region-lucerne-lac" TargetMode="External"/><Relationship Id="rId2090" Type="http://schemas.openxmlformats.org/officeDocument/2006/relationships/hyperlink" Target="https://www.immoscout24.ch/fr/appartement/louer/lieu-cointrin" TargetMode="External"/><Relationship Id="rId2091" Type="http://schemas.openxmlformats.org/officeDocument/2006/relationships/hyperlink" Target="https://www.immoscout24.ch/fr/appartement/louer/lieu-moiry-vd" TargetMode="External"/><Relationship Id="rId2092" Type="http://schemas.openxmlformats.org/officeDocument/2006/relationships/hyperlink" Target="https://www.immoscout24.ch/fr/appartement/louer/quartier-mousquines-bellevue-lausanne" TargetMode="External"/><Relationship Id="rId2093" Type="http://schemas.openxmlformats.org/officeDocument/2006/relationships/hyperlink" Target="https://www.immoscout24.ch/fr/appartement/louer/lieu-cremines" TargetMode="External"/><Relationship Id="rId2094" Type="http://schemas.openxmlformats.org/officeDocument/2006/relationships/hyperlink" Target="https://www.immoscout24.ch/fr/maison/acheter/lieu-rovio" TargetMode="External"/><Relationship Id="rId2095" Type="http://schemas.openxmlformats.org/officeDocument/2006/relationships/hyperlink" Target="https://www.immoscout24.ch/fr/maison/acheter/lieu-weggis" TargetMode="External"/><Relationship Id="rId2096" Type="http://schemas.openxmlformats.org/officeDocument/2006/relationships/hyperlink" Target="https://www.immoscout24.ch/fr/appartement/acheter/lieu-aegerten" TargetMode="External"/><Relationship Id="rId2097" Type="http://schemas.openxmlformats.org/officeDocument/2006/relationships/hyperlink" Target="https://www.immoscout24.ch/fr/maison/acheter/lieu-corbeyrier" TargetMode="External"/><Relationship Id="rId2098" Type="http://schemas.openxmlformats.org/officeDocument/2006/relationships/hyperlink" Target="https://www.immoscout24.ch/fr/maison/acheter/lieu-allaman" TargetMode="External"/><Relationship Id="rId2099" Type="http://schemas.openxmlformats.org/officeDocument/2006/relationships/hyperlink" Target="https://www.immoscout24.ch/fr/appartement/acheter/quartier-mache-biel-bienne" TargetMode="External"/><Relationship Id="rId3391" Type="http://schemas.openxmlformats.org/officeDocument/2006/relationships/hyperlink" Target="https://www.immoscout24.ch/fr/maison/acheter/lieu-vionnaz" TargetMode="External"/><Relationship Id="rId2060" Type="http://schemas.openxmlformats.org/officeDocument/2006/relationships/hyperlink" Target="https://www.immoscout24.ch/fr/maison/louer/lieu-finhaut" TargetMode="External"/><Relationship Id="rId3390" Type="http://schemas.openxmlformats.org/officeDocument/2006/relationships/hyperlink" Target="https://www.immoscout24.ch/fr/maison/acheter/lieu-denges" TargetMode="External"/><Relationship Id="rId2061" Type="http://schemas.openxmlformats.org/officeDocument/2006/relationships/hyperlink" Target="https://www.immoscout24.ch/fr/appartement/louer/lieu-thoerishaus" TargetMode="External"/><Relationship Id="rId3393" Type="http://schemas.openxmlformats.org/officeDocument/2006/relationships/hyperlink" Target="https://www.immoscout24.ch/fr/maison/acheter/lieu-thierachern" TargetMode="External"/><Relationship Id="rId2062" Type="http://schemas.openxmlformats.org/officeDocument/2006/relationships/hyperlink" Target="https://www.immoscout24.ch/fr/maison/acheter/lieu-les-mayens-de-sion" TargetMode="External"/><Relationship Id="rId3392" Type="http://schemas.openxmlformats.org/officeDocument/2006/relationships/hyperlink" Target="https://www.immoscout24.ch/fr/maison/louer/lieu-forel-lavaux" TargetMode="External"/><Relationship Id="rId2063" Type="http://schemas.openxmlformats.org/officeDocument/2006/relationships/hyperlink" Target="https://www.immoscout24.ch/fr/maison/acheter/lieu-port" TargetMode="External"/><Relationship Id="rId3395" Type="http://schemas.openxmlformats.org/officeDocument/2006/relationships/hyperlink" Target="https://www.immoscout24.ch/fr/maison/acheter/lieu-ardon" TargetMode="External"/><Relationship Id="rId2064" Type="http://schemas.openxmlformats.org/officeDocument/2006/relationships/hyperlink" Target="https://www.immoscout24.ch/fr/appartement/acheter/lieu-salavaux" TargetMode="External"/><Relationship Id="rId3394" Type="http://schemas.openxmlformats.org/officeDocument/2006/relationships/hyperlink" Target="https://www.immoscout24.ch/fr/maison/acheter/lieu-tschiertschen" TargetMode="External"/><Relationship Id="rId2065" Type="http://schemas.openxmlformats.org/officeDocument/2006/relationships/hyperlink" Target="https://www.immoscout24.ch/fr/maison/louer/lieu-rossiniere" TargetMode="External"/><Relationship Id="rId3397" Type="http://schemas.openxmlformats.org/officeDocument/2006/relationships/hyperlink" Target="https://www.immoscout24.ch/fr/appartement/louer/lieu-eichberg" TargetMode="External"/><Relationship Id="rId2066" Type="http://schemas.openxmlformats.org/officeDocument/2006/relationships/hyperlink" Target="https://www.immoscout24.ch/fr/maison/acheter/lieu-dugny-leytron" TargetMode="External"/><Relationship Id="rId3396" Type="http://schemas.openxmlformats.org/officeDocument/2006/relationships/hyperlink" Target="https://www.immoscout24.ch/fr/appartement/acheter/lieu-kreuzlingen" TargetMode="External"/><Relationship Id="rId2067" Type="http://schemas.openxmlformats.org/officeDocument/2006/relationships/hyperlink" Target="https://www.immoscout24.ch/fr/appartement/louer/lieu-courtepin" TargetMode="External"/><Relationship Id="rId3399" Type="http://schemas.openxmlformats.org/officeDocument/2006/relationships/hyperlink" Target="https://www.immoscout24.ch/fr/maison/louer/lieu-vex" TargetMode="External"/><Relationship Id="rId2068" Type="http://schemas.openxmlformats.org/officeDocument/2006/relationships/hyperlink" Target="https://www.immoscout24.ch/fr/maison/acheter/lieu-astano" TargetMode="External"/><Relationship Id="rId3398" Type="http://schemas.openxmlformats.org/officeDocument/2006/relationships/hyperlink" Target="https://www.immoscout24.ch/fr/maison/louer/lieu-bex" TargetMode="External"/><Relationship Id="rId2069" Type="http://schemas.openxmlformats.org/officeDocument/2006/relationships/hyperlink" Target="https://www.immoscout24.ch/fr/maison/acheter/lieu-nidau" TargetMode="External"/><Relationship Id="rId3380" Type="http://schemas.openxmlformats.org/officeDocument/2006/relationships/hyperlink" Target="https://www.immoscout24.ch/fr/maison/louer/pays-france" TargetMode="External"/><Relationship Id="rId2050" Type="http://schemas.openxmlformats.org/officeDocument/2006/relationships/hyperlink" Target="https://www.immoscout24.ch/fr/appartement/acheter/lieu-neuenegg" TargetMode="External"/><Relationship Id="rId3382" Type="http://schemas.openxmlformats.org/officeDocument/2006/relationships/hyperlink" Target="https://www.immoscout24.ch/fr/appartement/acheter/lieu-seiry" TargetMode="External"/><Relationship Id="rId2051" Type="http://schemas.openxmlformats.org/officeDocument/2006/relationships/hyperlink" Target="https://www.immoscout24.ch/fr/appartement/louer/lieu-russo" TargetMode="External"/><Relationship Id="rId3381" Type="http://schemas.openxmlformats.org/officeDocument/2006/relationships/hyperlink" Target="https://www.immoscout24.ch/fr/maison/louer/quartier-beauregard-fribourg" TargetMode="External"/><Relationship Id="rId2052" Type="http://schemas.openxmlformats.org/officeDocument/2006/relationships/hyperlink" Target="https://www.immoscout24.ch/fr/maison/acheter/lieu-fiesch" TargetMode="External"/><Relationship Id="rId3384" Type="http://schemas.openxmlformats.org/officeDocument/2006/relationships/hyperlink" Target="https://www.immoscout24.ch/fr/maison/louer/lieu-stein-am-rhein" TargetMode="External"/><Relationship Id="rId2053" Type="http://schemas.openxmlformats.org/officeDocument/2006/relationships/hyperlink" Target="https://www.immoscout24.ch/fr/appartement/louer/lieu-mase" TargetMode="External"/><Relationship Id="rId3383" Type="http://schemas.openxmlformats.org/officeDocument/2006/relationships/hyperlink" Target="https://www.immoscout24.ch/fr/appartement/louer/lieu-grossdietwil" TargetMode="External"/><Relationship Id="rId2054" Type="http://schemas.openxmlformats.org/officeDocument/2006/relationships/hyperlink" Target="https://www.immoscout24.ch/fr/appartement/acheter/lieu-epagny" TargetMode="External"/><Relationship Id="rId3386" Type="http://schemas.openxmlformats.org/officeDocument/2006/relationships/hyperlink" Target="https://www.immoscout24.ch/fr/appartement/louer/lieu-soyhieres" TargetMode="External"/><Relationship Id="rId2055" Type="http://schemas.openxmlformats.org/officeDocument/2006/relationships/hyperlink" Target="https://www.immoscout24.ch/fr/maison/louer/lieu-le-mouret" TargetMode="External"/><Relationship Id="rId3385" Type="http://schemas.openxmlformats.org/officeDocument/2006/relationships/hyperlink" Target="https://www.immoscout24.ch/fr/maison/louer/lieu-rennaz" TargetMode="External"/><Relationship Id="rId2056" Type="http://schemas.openxmlformats.org/officeDocument/2006/relationships/hyperlink" Target="https://www.immoscout24.ch/fr/appartement/louer/lieu-gampelen" TargetMode="External"/><Relationship Id="rId3388" Type="http://schemas.openxmlformats.org/officeDocument/2006/relationships/hyperlink" Target="https://www.immoscout24.ch/fr/appartement/louer/lieu-heiden" TargetMode="External"/><Relationship Id="rId2057" Type="http://schemas.openxmlformats.org/officeDocument/2006/relationships/hyperlink" Target="https://www.immoscout24.ch/fr/maison/acheter/lieu-buttes" TargetMode="External"/><Relationship Id="rId3387" Type="http://schemas.openxmlformats.org/officeDocument/2006/relationships/hyperlink" Target="https://www.immoscout24.ch/fr/appartement/louer/lieu-chamblon" TargetMode="External"/><Relationship Id="rId2058" Type="http://schemas.openxmlformats.org/officeDocument/2006/relationships/hyperlink" Target="https://www.immoscout24.ch/fr/maison/louer/lieu-muraz-sierre" TargetMode="External"/><Relationship Id="rId2059" Type="http://schemas.openxmlformats.org/officeDocument/2006/relationships/hyperlink" Target="https://www.immoscout24.ch/fr/appartement/louer/lieu-collonge-bellerive" TargetMode="External"/><Relationship Id="rId3389" Type="http://schemas.openxmlformats.org/officeDocument/2006/relationships/hyperlink" Target="https://www.immoscout24.ch/fr/appartement/acheter/lieu-courroux" TargetMode="External"/><Relationship Id="rId2080" Type="http://schemas.openxmlformats.org/officeDocument/2006/relationships/hyperlink" Target="https://www.immoscout24.ch/fr/appartement/louer/lieu-st-maurice" TargetMode="External"/><Relationship Id="rId2081" Type="http://schemas.openxmlformats.org/officeDocument/2006/relationships/hyperlink" Target="https://www.immoscout24.ch/fr/appartement/louer/lieu-aarberg" TargetMode="External"/><Relationship Id="rId2082" Type="http://schemas.openxmlformats.org/officeDocument/2006/relationships/hyperlink" Target="https://www.immoscout24.ch/fr/appartement/acheter/lieu-samedan" TargetMode="External"/><Relationship Id="rId2083" Type="http://schemas.openxmlformats.org/officeDocument/2006/relationships/hyperlink" Target="https://www.immoscout24.ch/fr/appartement/louer/lieu-malters" TargetMode="External"/><Relationship Id="rId2084" Type="http://schemas.openxmlformats.org/officeDocument/2006/relationships/hyperlink" Target="https://www.immoscout24.ch/fr/appartement/acheter/lieu-schlierbach" TargetMode="External"/><Relationship Id="rId2085" Type="http://schemas.openxmlformats.org/officeDocument/2006/relationships/hyperlink" Target="https://www.immoscout24.ch/fr/appartement/acheter/lieu-orselina" TargetMode="External"/><Relationship Id="rId2086" Type="http://schemas.openxmlformats.org/officeDocument/2006/relationships/hyperlink" Target="https://www.immoscout24.ch/fr/appartement/acheter/lieu-bellevue" TargetMode="External"/><Relationship Id="rId2087" Type="http://schemas.openxmlformats.org/officeDocument/2006/relationships/hyperlink" Target="https://www.immoscout24.ch/fr/maison/acheter/lieu-fleurier" TargetMode="External"/><Relationship Id="rId2088" Type="http://schemas.openxmlformats.org/officeDocument/2006/relationships/hyperlink" Target="https://www.immoscout24.ch/fr/maison/louer/lieu-sierre" TargetMode="External"/><Relationship Id="rId2089" Type="http://schemas.openxmlformats.org/officeDocument/2006/relationships/hyperlink" Target="https://www.immoscout24.ch/fr/maison/acheter/lieu-chatonnaye" TargetMode="External"/><Relationship Id="rId2070" Type="http://schemas.openxmlformats.org/officeDocument/2006/relationships/hyperlink" Target="https://www.immoscout24.ch/fr/appartement/acheter/lieu-colombier-ne" TargetMode="External"/><Relationship Id="rId2071" Type="http://schemas.openxmlformats.org/officeDocument/2006/relationships/hyperlink" Target="https://www.immoscout24.ch/fr/appartement/acheter/quartier-cretets-la-chaux-de-fonds" TargetMode="External"/><Relationship Id="rId2072" Type="http://schemas.openxmlformats.org/officeDocument/2006/relationships/hyperlink" Target="https://www.immoscout24.ch/fr/appartement/louer/lieu-radelfingen-b-aarberg" TargetMode="External"/><Relationship Id="rId2073" Type="http://schemas.openxmlformats.org/officeDocument/2006/relationships/hyperlink" Target="https://www.immoscout24.ch/fr/maison/acheter/lieu-brignon-nendaz" TargetMode="External"/><Relationship Id="rId2074" Type="http://schemas.openxmlformats.org/officeDocument/2006/relationships/hyperlink" Target="https://www.immoscout24.ch/fr/appartement/louer/lieu-balgach" TargetMode="External"/><Relationship Id="rId2075" Type="http://schemas.openxmlformats.org/officeDocument/2006/relationships/hyperlink" Target="https://www.immoscout24.ch/fr/maison/acheter/lieu-mariastein" TargetMode="External"/><Relationship Id="rId2076" Type="http://schemas.openxmlformats.org/officeDocument/2006/relationships/hyperlink" Target="https://www.immoscout24.ch/fr/maison/acheter/lieu-arzier-le-muids" TargetMode="External"/><Relationship Id="rId2077" Type="http://schemas.openxmlformats.org/officeDocument/2006/relationships/hyperlink" Target="https://www.immoscout24.ch/fr/maison/louer/lieu-misery" TargetMode="External"/><Relationship Id="rId2078" Type="http://schemas.openxmlformats.org/officeDocument/2006/relationships/hyperlink" Target="https://www.immoscout24.ch/fr/appartement/louer/lieu-morrens-vd" TargetMode="External"/><Relationship Id="rId2079" Type="http://schemas.openxmlformats.org/officeDocument/2006/relationships/hyperlink" Target="https://www.immoscout24.ch/fr/appartement/louer/lieu-jonschwil" TargetMode="External"/><Relationship Id="rId4723" Type="http://schemas.openxmlformats.org/officeDocument/2006/relationships/hyperlink" Target="https://www.immoscout24.ch/fr/appartement/louer/quartier-baselstrasse-bernstrasse-lucerne" TargetMode="External"/><Relationship Id="rId4722" Type="http://schemas.openxmlformats.org/officeDocument/2006/relationships/hyperlink" Target="https://www.immoscout24.ch/fr/appartement/acheter/lieu-gumefens" TargetMode="External"/><Relationship Id="rId4725" Type="http://schemas.openxmlformats.org/officeDocument/2006/relationships/hyperlink" Target="https://www.immoscout24.ch/fr/maison/acheter/lieu-ins" TargetMode="External"/><Relationship Id="rId4724" Type="http://schemas.openxmlformats.org/officeDocument/2006/relationships/hyperlink" Target="https://www.immoscout24.ch/fr/appartement/louer/lieu-origlio" TargetMode="External"/><Relationship Id="rId4727" Type="http://schemas.openxmlformats.org/officeDocument/2006/relationships/hyperlink" Target="https://www.immoscout24.ch/fr/appartement/acheter/lieu-ruvigliana" TargetMode="External"/><Relationship Id="rId4726" Type="http://schemas.openxmlformats.org/officeDocument/2006/relationships/hyperlink" Target="https://www.immoscout24.ch/fr/maison/louer/lieu-matran" TargetMode="External"/><Relationship Id="rId4729" Type="http://schemas.openxmlformats.org/officeDocument/2006/relationships/hyperlink" Target="https://www.immoscout24.ch/fr/maison/louer/lieu-muenchenstein" TargetMode="External"/><Relationship Id="rId4728" Type="http://schemas.openxmlformats.org/officeDocument/2006/relationships/hyperlink" Target="https://www.immoscout24.ch/fr/appartement/louer/lieu-biel-bienne" TargetMode="External"/><Relationship Id="rId4721" Type="http://schemas.openxmlformats.org/officeDocument/2006/relationships/hyperlink" Target="https://www.immoscout24.ch/fr/maison/acheter/lieu-grenilles" TargetMode="External"/><Relationship Id="rId4720" Type="http://schemas.openxmlformats.org/officeDocument/2006/relationships/hyperlink" Target="https://www.immoscout24.ch/fr/appartement/louer/lieu-caux" TargetMode="External"/><Relationship Id="rId4712" Type="http://schemas.openxmlformats.org/officeDocument/2006/relationships/hyperlink" Target="https://www.immoscout24.ch/fr/maison/acheter/lieu-marsens" TargetMode="External"/><Relationship Id="rId4711" Type="http://schemas.openxmlformats.org/officeDocument/2006/relationships/hyperlink" Target="https://www.immoscout24.ch/fr/maison/acheter/quartier-boujean-biel-bienne" TargetMode="External"/><Relationship Id="rId4714" Type="http://schemas.openxmlformats.org/officeDocument/2006/relationships/hyperlink" Target="https://www.immoscout24.ch/fr/appartement/louer/lieu-la-forclaz-vd" TargetMode="External"/><Relationship Id="rId4713" Type="http://schemas.openxmlformats.org/officeDocument/2006/relationships/hyperlink" Target="https://www.immoscout24.ch/fr/maison/acheter/lieu-raron" TargetMode="External"/><Relationship Id="rId4716" Type="http://schemas.openxmlformats.org/officeDocument/2006/relationships/hyperlink" Target="https://www.immoscout24.ch/fr/appartement/louer/lieu-promasens" TargetMode="External"/><Relationship Id="rId4715" Type="http://schemas.openxmlformats.org/officeDocument/2006/relationships/hyperlink" Target="https://www.immoscout24.ch/fr/appartement/acheter/lieu-schmitten-fr" TargetMode="External"/><Relationship Id="rId4718" Type="http://schemas.openxmlformats.org/officeDocument/2006/relationships/hyperlink" Target="https://www.immoscout24.ch/fr/maison/acheter/lieu-aumont" TargetMode="External"/><Relationship Id="rId4717" Type="http://schemas.openxmlformats.org/officeDocument/2006/relationships/hyperlink" Target="https://www.immoscout24.ch/fr/appartement/louer/lieu-chailly-montreux" TargetMode="External"/><Relationship Id="rId4719" Type="http://schemas.openxmlformats.org/officeDocument/2006/relationships/hyperlink" Target="https://www.immoscout24.ch/fr/maison/louer/lieu-steinhausen" TargetMode="External"/><Relationship Id="rId4710" Type="http://schemas.openxmlformats.org/officeDocument/2006/relationships/hyperlink" Target="https://www.immoscout24.ch/fr/maison/acheter/lieu-la-magne" TargetMode="External"/><Relationship Id="rId3414" Type="http://schemas.openxmlformats.org/officeDocument/2006/relationships/hyperlink" Target="https://www.immoscout24.ch/fr/appartement/louer/lieu-waedenswil" TargetMode="External"/><Relationship Id="rId4745" Type="http://schemas.openxmlformats.org/officeDocument/2006/relationships/hyperlink" Target="https://www.immoscout24.ch/fr/maison/acheter/region-davos-praettigau" TargetMode="External"/><Relationship Id="rId3413" Type="http://schemas.openxmlformats.org/officeDocument/2006/relationships/hyperlink" Target="https://www.immoscout24.ch/fr/appartement/acheter/quartier-beaulieu-grey-boisy-lausanne" TargetMode="External"/><Relationship Id="rId4744" Type="http://schemas.openxmlformats.org/officeDocument/2006/relationships/hyperlink" Target="https://www.immoscout24.ch/fr/maison/acheter/lieu-geroldswil" TargetMode="External"/><Relationship Id="rId3416" Type="http://schemas.openxmlformats.org/officeDocument/2006/relationships/hyperlink" Target="https://www.immoscout24.ch/fr/maison/louer/quartier-monbijou-berne" TargetMode="External"/><Relationship Id="rId4747" Type="http://schemas.openxmlformats.org/officeDocument/2006/relationships/hyperlink" Target="https://www.immoscout24.ch/fr/maison/acheter/lieu-corjolens" TargetMode="External"/><Relationship Id="rId3415" Type="http://schemas.openxmlformats.org/officeDocument/2006/relationships/hyperlink" Target="https://www.immoscout24.ch/fr/appartement/acheter/lieu-coffrane" TargetMode="External"/><Relationship Id="rId4746" Type="http://schemas.openxmlformats.org/officeDocument/2006/relationships/hyperlink" Target="https://www.immoscout24.ch/fr/maison/acheter/lieu-rougemont" TargetMode="External"/><Relationship Id="rId3418" Type="http://schemas.openxmlformats.org/officeDocument/2006/relationships/hyperlink" Target="https://www.immoscout24.ch/fr/appartement/louer/lieu-le-chable-vs" TargetMode="External"/><Relationship Id="rId4749" Type="http://schemas.openxmlformats.org/officeDocument/2006/relationships/hyperlink" Target="https://www.immoscout24.ch/fr/appartement/acheter/lieu-icogne" TargetMode="External"/><Relationship Id="rId3417" Type="http://schemas.openxmlformats.org/officeDocument/2006/relationships/hyperlink" Target="https://www.immoscout24.ch/fr/appartement/louer/lieu-lyssach" TargetMode="External"/><Relationship Id="rId4748" Type="http://schemas.openxmlformats.org/officeDocument/2006/relationships/hyperlink" Target="https://www.immoscout24.ch/fr/appartement/acheter/lieu-bellerive-vd" TargetMode="External"/><Relationship Id="rId3419" Type="http://schemas.openxmlformats.org/officeDocument/2006/relationships/hyperlink" Target="https://www.immoscout24.ch/fr/appartement/louer/lieu-eschert" TargetMode="External"/><Relationship Id="rId3410" Type="http://schemas.openxmlformats.org/officeDocument/2006/relationships/hyperlink" Target="https://www.immoscout24.ch/fr/maison/acheter/lieu-soyhieres" TargetMode="External"/><Relationship Id="rId4741" Type="http://schemas.openxmlformats.org/officeDocument/2006/relationships/hyperlink" Target="https://www.immoscout24.ch/fr/appartement/louer/lieu-emmetten" TargetMode="External"/><Relationship Id="rId4740" Type="http://schemas.openxmlformats.org/officeDocument/2006/relationships/hyperlink" Target="https://www.immoscout24.ch/fr/maison/acheter/lieu-huemoz" TargetMode="External"/><Relationship Id="rId3412" Type="http://schemas.openxmlformats.org/officeDocument/2006/relationships/hyperlink" Target="https://www.immoscout24.ch/fr/maison/acheter/region-campagne-gros-de-vaud" TargetMode="External"/><Relationship Id="rId4743" Type="http://schemas.openxmlformats.org/officeDocument/2006/relationships/hyperlink" Target="https://www.immoscout24.ch/fr/maison/louer/lieu-portalban" TargetMode="External"/><Relationship Id="rId3411" Type="http://schemas.openxmlformats.org/officeDocument/2006/relationships/hyperlink" Target="https://www.immoscout24.ch/fr/maison/acheter/region-linthebene-see" TargetMode="External"/><Relationship Id="rId4742" Type="http://schemas.openxmlformats.org/officeDocument/2006/relationships/hyperlink" Target="https://www.immoscout24.ch/fr/maison/louer/canton-jura" TargetMode="External"/><Relationship Id="rId3403" Type="http://schemas.openxmlformats.org/officeDocument/2006/relationships/hyperlink" Target="https://www.immoscout24.ch/fr/appartement/louer/lieu-les-pres-d-orvin" TargetMode="External"/><Relationship Id="rId4734" Type="http://schemas.openxmlformats.org/officeDocument/2006/relationships/hyperlink" Target="https://www.immoscout24.ch/fr/maison/acheter/lieu-les-pres-d-orvin" TargetMode="External"/><Relationship Id="rId3402" Type="http://schemas.openxmlformats.org/officeDocument/2006/relationships/hyperlink" Target="https://www.immoscout24.ch/fr/appartement/louer/lieu-peney-le-jorat" TargetMode="External"/><Relationship Id="rId4733" Type="http://schemas.openxmlformats.org/officeDocument/2006/relationships/hyperlink" Target="https://www.immoscout24.ch/fr/maison/louer/lieu-suchy" TargetMode="External"/><Relationship Id="rId3405" Type="http://schemas.openxmlformats.org/officeDocument/2006/relationships/hyperlink" Target="https://www.immoscout24.ch/fr/appartement/acheter/quartier-batie-acacias-geneve" TargetMode="External"/><Relationship Id="rId4736" Type="http://schemas.openxmlformats.org/officeDocument/2006/relationships/hyperlink" Target="https://www.immoscout24.ch/fr/appartement/acheter/region-schaffouse-et-environs" TargetMode="External"/><Relationship Id="rId3404" Type="http://schemas.openxmlformats.org/officeDocument/2006/relationships/hyperlink" Target="https://www.immoscout24.ch/fr/appartement/acheter/lieu-bouveret" TargetMode="External"/><Relationship Id="rId4735" Type="http://schemas.openxmlformats.org/officeDocument/2006/relationships/hyperlink" Target="https://www.immoscout24.ch/fr/appartement/louer/lieu-menziken" TargetMode="External"/><Relationship Id="rId3407" Type="http://schemas.openxmlformats.org/officeDocument/2006/relationships/hyperlink" Target="https://www.immoscout24.ch/fr/appartement/louer/lieu-chavannes-le-veyron" TargetMode="External"/><Relationship Id="rId4738" Type="http://schemas.openxmlformats.org/officeDocument/2006/relationships/hyperlink" Target="https://www.immoscout24.ch/fr/maison/louer/lieu-uzwil" TargetMode="External"/><Relationship Id="rId3406" Type="http://schemas.openxmlformats.org/officeDocument/2006/relationships/hyperlink" Target="https://www.immoscout24.ch/fr/appartement/louer/lieu-eyholz" TargetMode="External"/><Relationship Id="rId4737" Type="http://schemas.openxmlformats.org/officeDocument/2006/relationships/hyperlink" Target="https://www.immoscout24.ch/fr/maison/acheter/lieu-vinzel" TargetMode="External"/><Relationship Id="rId3409" Type="http://schemas.openxmlformats.org/officeDocument/2006/relationships/hyperlink" Target="https://www.immoscout24.ch/fr/maison/acheter/lieu-les-pontins" TargetMode="External"/><Relationship Id="rId3408" Type="http://schemas.openxmlformats.org/officeDocument/2006/relationships/hyperlink" Target="https://www.immoscout24.ch/fr/maison/acheter/lieu-lutry" TargetMode="External"/><Relationship Id="rId4739" Type="http://schemas.openxmlformats.org/officeDocument/2006/relationships/hyperlink" Target="https://www.immoscout24.ch/fr/appartement/louer/lieu-sornetan" TargetMode="External"/><Relationship Id="rId4730" Type="http://schemas.openxmlformats.org/officeDocument/2006/relationships/hyperlink" Target="https://www.immoscout24.ch/fr/appartement/louer/lieu-magnedens" TargetMode="External"/><Relationship Id="rId3401" Type="http://schemas.openxmlformats.org/officeDocument/2006/relationships/hyperlink" Target="https://www.immoscout24.ch/fr/appartement/louer/lieu-enges" TargetMode="External"/><Relationship Id="rId4732" Type="http://schemas.openxmlformats.org/officeDocument/2006/relationships/hyperlink" Target="https://www.immoscout24.ch/fr/appartement/louer/lieu-bofflens" TargetMode="External"/><Relationship Id="rId3400" Type="http://schemas.openxmlformats.org/officeDocument/2006/relationships/hyperlink" Target="https://www.immoscout24.ch/fr/maison/acheter/lieu-wildhaus" TargetMode="External"/><Relationship Id="rId4731" Type="http://schemas.openxmlformats.org/officeDocument/2006/relationships/hyperlink" Target="https://www.immoscout24.ch/fr/maison/acheter/lieu-estavannens" TargetMode="External"/><Relationship Id="rId4701" Type="http://schemas.openxmlformats.org/officeDocument/2006/relationships/hyperlink" Target="https://www.immoscout24.ch/fr/appartement/louer/region-haut-valais" TargetMode="External"/><Relationship Id="rId4700" Type="http://schemas.openxmlformats.org/officeDocument/2006/relationships/hyperlink" Target="https://www.immoscout24.ch/fr/maison/louer/lieu-semsales" TargetMode="External"/><Relationship Id="rId4703" Type="http://schemas.openxmlformats.org/officeDocument/2006/relationships/hyperlink" Target="https://www.immoscout24.ch/fr/appartement/louer/lieu-rueti-b-bueren" TargetMode="External"/><Relationship Id="rId4702" Type="http://schemas.openxmlformats.org/officeDocument/2006/relationships/hyperlink" Target="https://www.immoscout24.ch/fr/maison/louer/canton-turgovie" TargetMode="External"/><Relationship Id="rId4705" Type="http://schemas.openxmlformats.org/officeDocument/2006/relationships/hyperlink" Target="https://www.immoscout24.ch/fr/appartement/louer/lieu-erlen" TargetMode="External"/><Relationship Id="rId4704" Type="http://schemas.openxmlformats.org/officeDocument/2006/relationships/hyperlink" Target="https://www.immoscout24.ch/fr/maison/acheter/lieu-lanzenhaeusern" TargetMode="External"/><Relationship Id="rId4707" Type="http://schemas.openxmlformats.org/officeDocument/2006/relationships/hyperlink" Target="https://www.immoscout24.ch/fr/appartement/louer/quartier-spiegel-koeniz" TargetMode="External"/><Relationship Id="rId4706" Type="http://schemas.openxmlformats.org/officeDocument/2006/relationships/hyperlink" Target="https://www.immoscout24.ch/fr/appartement/louer/lieu-grimentz" TargetMode="External"/><Relationship Id="rId4709" Type="http://schemas.openxmlformats.org/officeDocument/2006/relationships/hyperlink" Target="https://www.immoscout24.ch/fr/appartement/acheter/canton-soleure" TargetMode="External"/><Relationship Id="rId4708" Type="http://schemas.openxmlformats.org/officeDocument/2006/relationships/hyperlink" Target="https://www.immoscout24.ch/fr/appartement/louer/lieu-le-lieu" TargetMode="External"/><Relationship Id="rId2148" Type="http://schemas.openxmlformats.org/officeDocument/2006/relationships/hyperlink" Target="https://www.immoscout24.ch/fr/maison/acheter/lieu-chene-paquier" TargetMode="External"/><Relationship Id="rId2149" Type="http://schemas.openxmlformats.org/officeDocument/2006/relationships/hyperlink" Target="https://www.immoscout24.ch/fr/appartement/louer/lieu-bottmingen" TargetMode="External"/><Relationship Id="rId3479" Type="http://schemas.openxmlformats.org/officeDocument/2006/relationships/hyperlink" Target="https://www.immoscout24.ch/fr/appartement/louer/lieu-fleurier" TargetMode="External"/><Relationship Id="rId3470" Type="http://schemas.openxmlformats.org/officeDocument/2006/relationships/hyperlink" Target="https://www.immoscout24.ch/fr/maison/acheter/lieu-la-garde-sembrancher" TargetMode="External"/><Relationship Id="rId2140" Type="http://schemas.openxmlformats.org/officeDocument/2006/relationships/hyperlink" Target="https://www.immoscout24.ch/fr/maison/acheter/lieu-froideville" TargetMode="External"/><Relationship Id="rId3472" Type="http://schemas.openxmlformats.org/officeDocument/2006/relationships/hyperlink" Target="https://www.immoscout24.ch/fr/maison/acheter/lieu-cormondreche" TargetMode="External"/><Relationship Id="rId2141" Type="http://schemas.openxmlformats.org/officeDocument/2006/relationships/hyperlink" Target="https://www.immoscout24.ch/fr/maison/louer/lieu-murten" TargetMode="External"/><Relationship Id="rId3471" Type="http://schemas.openxmlformats.org/officeDocument/2006/relationships/hyperlink" Target="https://www.immoscout24.ch/fr/maison/acheter/region-fribourg-ville" TargetMode="External"/><Relationship Id="rId2142" Type="http://schemas.openxmlformats.org/officeDocument/2006/relationships/hyperlink" Target="https://www.immoscout24.ch/fr/maison/acheter/lieu-zuoz" TargetMode="External"/><Relationship Id="rId3474" Type="http://schemas.openxmlformats.org/officeDocument/2006/relationships/hyperlink" Target="https://www.immoscout24.ch/fr/appartement/louer/lieu-rossens-vd" TargetMode="External"/><Relationship Id="rId2143" Type="http://schemas.openxmlformats.org/officeDocument/2006/relationships/hyperlink" Target="https://www.immoscout24.ch/fr/appartement/louer/quartier-pouillerel-postiers-chevreuils-la-chaux-de-fonds" TargetMode="External"/><Relationship Id="rId3473" Type="http://schemas.openxmlformats.org/officeDocument/2006/relationships/hyperlink" Target="https://www.immoscout24.ch/fr/appartement/acheter/lieu-zofingen" TargetMode="External"/><Relationship Id="rId2144" Type="http://schemas.openxmlformats.org/officeDocument/2006/relationships/hyperlink" Target="https://www.immoscout24.ch/fr/appartement/louer/quartier-ville-ancienne-la-chaux-de-fonds" TargetMode="External"/><Relationship Id="rId3476" Type="http://schemas.openxmlformats.org/officeDocument/2006/relationships/hyperlink" Target="https://www.immoscout24.ch/fr/appartement/louer/lieu-longirod" TargetMode="External"/><Relationship Id="rId2145" Type="http://schemas.openxmlformats.org/officeDocument/2006/relationships/hyperlink" Target="https://www.immoscout24.ch/fr/appartement/louer/lieu-magglingen-macolin" TargetMode="External"/><Relationship Id="rId3475" Type="http://schemas.openxmlformats.org/officeDocument/2006/relationships/hyperlink" Target="https://www.immoscout24.ch/fr/appartement/louer/lieu-vico-morcote" TargetMode="External"/><Relationship Id="rId2146" Type="http://schemas.openxmlformats.org/officeDocument/2006/relationships/hyperlink" Target="https://www.immoscout24.ch/fr/appartement/louer/lieu-farvagny" TargetMode="External"/><Relationship Id="rId3478" Type="http://schemas.openxmlformats.org/officeDocument/2006/relationships/hyperlink" Target="https://www.immoscout24.ch/fr/appartement/acheter/quartier-aldesago-lugano" TargetMode="External"/><Relationship Id="rId2147" Type="http://schemas.openxmlformats.org/officeDocument/2006/relationships/hyperlink" Target="https://www.immoscout24.ch/fr/appartement/acheter/lieu-cheserex" TargetMode="External"/><Relationship Id="rId3477" Type="http://schemas.openxmlformats.org/officeDocument/2006/relationships/hyperlink" Target="https://www.immoscout24.ch/fr/maison/acheter/lieu-worben" TargetMode="External"/><Relationship Id="rId2137" Type="http://schemas.openxmlformats.org/officeDocument/2006/relationships/hyperlink" Target="https://www.immoscout24.ch/fr/appartement/acheter/lieu-granges-veveyse" TargetMode="External"/><Relationship Id="rId3469" Type="http://schemas.openxmlformats.org/officeDocument/2006/relationships/hyperlink" Target="https://www.immoscout24.ch/fr/appartement/louer/quartier-herblingen-schaffhouse" TargetMode="External"/><Relationship Id="rId2138" Type="http://schemas.openxmlformats.org/officeDocument/2006/relationships/hyperlink" Target="https://www.immoscout24.ch/fr/maison/louer/lieu-les-granges-salvan" TargetMode="External"/><Relationship Id="rId3468" Type="http://schemas.openxmlformats.org/officeDocument/2006/relationships/hyperlink" Target="https://www.immoscout24.ch/fr/maison/acheter/quartier-beaulieu-grey-boisy-lausanne" TargetMode="External"/><Relationship Id="rId4799" Type="http://schemas.openxmlformats.org/officeDocument/2006/relationships/hyperlink" Target="https://www.immoscout24.ch/fr/appartement/louer/lieu-praz-vully" TargetMode="External"/><Relationship Id="rId2139" Type="http://schemas.openxmlformats.org/officeDocument/2006/relationships/hyperlink" Target="https://www.immoscout24.ch/fr/appartement/louer/quartier-sennhof-winterthur" TargetMode="External"/><Relationship Id="rId4790" Type="http://schemas.openxmlformats.org/officeDocument/2006/relationships/hyperlink" Target="https://www.immoscout24.ch/fr/maison/acheter/lieu-giubiasco" TargetMode="External"/><Relationship Id="rId3461" Type="http://schemas.openxmlformats.org/officeDocument/2006/relationships/hyperlink" Target="https://www.immoscout24.ch/fr/appartement/louer/lieu-cornaux-ne" TargetMode="External"/><Relationship Id="rId4792" Type="http://schemas.openxmlformats.org/officeDocument/2006/relationships/hyperlink" Target="https://www.immoscout24.ch/fr/maison/louer/lieu-montfaucon" TargetMode="External"/><Relationship Id="rId2130" Type="http://schemas.openxmlformats.org/officeDocument/2006/relationships/hyperlink" Target="https://www.immoscout24.ch/fr/maison/acheter/lieu-hagneck" TargetMode="External"/><Relationship Id="rId3460" Type="http://schemas.openxmlformats.org/officeDocument/2006/relationships/hyperlink" Target="https://www.immoscout24.ch/fr/appartement/acheter/lieu-vallamand" TargetMode="External"/><Relationship Id="rId4791" Type="http://schemas.openxmlformats.org/officeDocument/2006/relationships/hyperlink" Target="https://www.immoscout24.ch/fr/maison/acheter/lieu-zinal" TargetMode="External"/><Relationship Id="rId2131" Type="http://schemas.openxmlformats.org/officeDocument/2006/relationships/hyperlink" Target="https://www.immoscout24.ch/fr/appartement/acheter/lieu-grandvaux" TargetMode="External"/><Relationship Id="rId3463" Type="http://schemas.openxmlformats.org/officeDocument/2006/relationships/hyperlink" Target="https://www.immoscout24.ch/fr/appartement/louer/lieu-zinal" TargetMode="External"/><Relationship Id="rId4794" Type="http://schemas.openxmlformats.org/officeDocument/2006/relationships/hyperlink" Target="https://www.immoscout24.ch/fr/appartement/acheter/lieu-chardonne" TargetMode="External"/><Relationship Id="rId2132" Type="http://schemas.openxmlformats.org/officeDocument/2006/relationships/hyperlink" Target="https://www.immoscout24.ch/fr/maison/acheter/quartier-buempliz-berne" TargetMode="External"/><Relationship Id="rId3462" Type="http://schemas.openxmlformats.org/officeDocument/2006/relationships/hyperlink" Target="https://www.immoscout24.ch/fr/maison/acheter/lieu-porrentruy" TargetMode="External"/><Relationship Id="rId4793" Type="http://schemas.openxmlformats.org/officeDocument/2006/relationships/hyperlink" Target="https://www.immoscout24.ch/fr/maison/acheter/lieu-dommartin" TargetMode="External"/><Relationship Id="rId2133" Type="http://schemas.openxmlformats.org/officeDocument/2006/relationships/hyperlink" Target="https://www.immoscout24.ch/fr/maison/acheter/lieu-rocourt" TargetMode="External"/><Relationship Id="rId3465" Type="http://schemas.openxmlformats.org/officeDocument/2006/relationships/hyperlink" Target="https://www.immoscout24.ch/fr/maison/acheter/lieu-roggwil-be" TargetMode="External"/><Relationship Id="rId4796" Type="http://schemas.openxmlformats.org/officeDocument/2006/relationships/hyperlink" Target="https://www.immoscout24.ch/fr/maison/acheter/lieu-la-tour-de-treme" TargetMode="External"/><Relationship Id="rId2134" Type="http://schemas.openxmlformats.org/officeDocument/2006/relationships/hyperlink" Target="https://www.immoscout24.ch/fr/appartement/louer/lieu-hindelbank" TargetMode="External"/><Relationship Id="rId3464" Type="http://schemas.openxmlformats.org/officeDocument/2006/relationships/hyperlink" Target="https://www.immoscout24.ch/fr/appartement/louer/canton-zoug" TargetMode="External"/><Relationship Id="rId4795" Type="http://schemas.openxmlformats.org/officeDocument/2006/relationships/hyperlink" Target="https://www.immoscout24.ch/fr/maison/acheter/lieu-bennwil" TargetMode="External"/><Relationship Id="rId2135" Type="http://schemas.openxmlformats.org/officeDocument/2006/relationships/hyperlink" Target="https://www.immoscout24.ch/fr/maison/acheter/lieu-penthereaz" TargetMode="External"/><Relationship Id="rId3467" Type="http://schemas.openxmlformats.org/officeDocument/2006/relationships/hyperlink" Target="https://www.immoscout24.ch/fr/appartement/louer/lieu-plan-les-ouates" TargetMode="External"/><Relationship Id="rId4798" Type="http://schemas.openxmlformats.org/officeDocument/2006/relationships/hyperlink" Target="https://www.immoscout24.ch/fr/appartement/louer/lieu-corbieres" TargetMode="External"/><Relationship Id="rId2136" Type="http://schemas.openxmlformats.org/officeDocument/2006/relationships/hyperlink" Target="https://www.immoscout24.ch/fr/appartement/louer/lieu-duillier" TargetMode="External"/><Relationship Id="rId3466" Type="http://schemas.openxmlformats.org/officeDocument/2006/relationships/hyperlink" Target="https://www.immoscout24.ch/fr/appartement/acheter/lieu-moutier" TargetMode="External"/><Relationship Id="rId4797" Type="http://schemas.openxmlformats.org/officeDocument/2006/relationships/hyperlink" Target="https://www.immoscout24.ch/fr/appartement/louer/lieu-kappelen" TargetMode="External"/><Relationship Id="rId3490" Type="http://schemas.openxmlformats.org/officeDocument/2006/relationships/hyperlink" Target="https://www.immoscout24.ch/fr/appartement/louer/lieu-grengiols" TargetMode="External"/><Relationship Id="rId2160" Type="http://schemas.openxmlformats.org/officeDocument/2006/relationships/hyperlink" Target="https://www.immoscout24.ch/fr/maison/acheter/lieu-birmenstorf-ag" TargetMode="External"/><Relationship Id="rId3492" Type="http://schemas.openxmlformats.org/officeDocument/2006/relationships/hyperlink" Target="https://www.immoscout24.ch/fr/maison/louer/lieu-schlierbach" TargetMode="External"/><Relationship Id="rId2161" Type="http://schemas.openxmlformats.org/officeDocument/2006/relationships/hyperlink" Target="https://www.immoscout24.ch/fr/appartement/acheter/lieu-veysonnaz" TargetMode="External"/><Relationship Id="rId3491" Type="http://schemas.openxmlformats.org/officeDocument/2006/relationships/hyperlink" Target="https://www.immoscout24.ch/fr/appartement/louer/lieu-ruettenen" TargetMode="External"/><Relationship Id="rId2162" Type="http://schemas.openxmlformats.org/officeDocument/2006/relationships/hyperlink" Target="https://www.immoscout24.ch/fr/maison/louer/lieu-yvorne" TargetMode="External"/><Relationship Id="rId3494" Type="http://schemas.openxmlformats.org/officeDocument/2006/relationships/hyperlink" Target="https://www.immoscout24.ch/fr/maison/louer/lieu-basel" TargetMode="External"/><Relationship Id="rId2163" Type="http://schemas.openxmlformats.org/officeDocument/2006/relationships/hyperlink" Target="https://www.immoscout24.ch/fr/maison/acheter/lieu-bellelay" TargetMode="External"/><Relationship Id="rId3493" Type="http://schemas.openxmlformats.org/officeDocument/2006/relationships/hyperlink" Target="https://www.immoscout24.ch/fr/maison/acheter/lieu-aven" TargetMode="External"/><Relationship Id="rId2164" Type="http://schemas.openxmlformats.org/officeDocument/2006/relationships/hyperlink" Target="https://www.immoscout24.ch/fr/appartement/louer/lieu-tegna" TargetMode="External"/><Relationship Id="rId3496" Type="http://schemas.openxmlformats.org/officeDocument/2006/relationships/hyperlink" Target="https://www.immoscout24.ch/fr/appartement/acheter/lieu-collex" TargetMode="External"/><Relationship Id="rId2165" Type="http://schemas.openxmlformats.org/officeDocument/2006/relationships/hyperlink" Target="https://www.immoscout24.ch/fr/appartement/louer/lieu-sergey" TargetMode="External"/><Relationship Id="rId3495" Type="http://schemas.openxmlformats.org/officeDocument/2006/relationships/hyperlink" Target="https://www.immoscout24.ch/fr/appartement/louer/pays-norvege" TargetMode="External"/><Relationship Id="rId2166" Type="http://schemas.openxmlformats.org/officeDocument/2006/relationships/hyperlink" Target="https://www.immoscout24.ch/fr/maison/acheter/lieu-losone" TargetMode="External"/><Relationship Id="rId3498" Type="http://schemas.openxmlformats.org/officeDocument/2006/relationships/hyperlink" Target="https://www.immoscout24.ch/fr/maison/louer/lieu-bernex" TargetMode="External"/><Relationship Id="rId2167" Type="http://schemas.openxmlformats.org/officeDocument/2006/relationships/hyperlink" Target="https://www.immoscout24.ch/fr/appartement/acheter/region-aarau-et-environs" TargetMode="External"/><Relationship Id="rId3497" Type="http://schemas.openxmlformats.org/officeDocument/2006/relationships/hyperlink" Target="https://www.immoscout24.ch/fr/appartement/louer/lieu-dielsdorf" TargetMode="External"/><Relationship Id="rId2168" Type="http://schemas.openxmlformats.org/officeDocument/2006/relationships/hyperlink" Target="https://www.immoscout24.ch/fr/maison/acheter/lieu-chaneaz" TargetMode="External"/><Relationship Id="rId2169" Type="http://schemas.openxmlformats.org/officeDocument/2006/relationships/hyperlink" Target="https://www.immoscout24.ch/fr/maison/acheter/lieu-guettingen" TargetMode="External"/><Relationship Id="rId3499" Type="http://schemas.openxmlformats.org/officeDocument/2006/relationships/hyperlink" Target="https://www.immoscout24.ch/fr/maison/acheter/lieu-prilly" TargetMode="External"/><Relationship Id="rId2159" Type="http://schemas.openxmlformats.org/officeDocument/2006/relationships/hyperlink" Target="https://www.immoscout24.ch/fr/appartement/louer/quartier-gryphenhuebeli-berne" TargetMode="External"/><Relationship Id="rId3481" Type="http://schemas.openxmlformats.org/officeDocument/2006/relationships/hyperlink" Target="https://www.immoscout24.ch/fr/maison/acheter/lieu-kaiserstuhl-ag" TargetMode="External"/><Relationship Id="rId2150" Type="http://schemas.openxmlformats.org/officeDocument/2006/relationships/hyperlink" Target="https://www.immoscout24.ch/fr/maison/acheter/lieu-menieres" TargetMode="External"/><Relationship Id="rId3480" Type="http://schemas.openxmlformats.org/officeDocument/2006/relationships/hyperlink" Target="https://www.immoscout24.ch/fr/maison/louer/lieu-les-agettes" TargetMode="External"/><Relationship Id="rId2151" Type="http://schemas.openxmlformats.org/officeDocument/2006/relationships/hyperlink" Target="https://www.immoscout24.ch/fr/maison/acheter/lieu-cheiry" TargetMode="External"/><Relationship Id="rId3483" Type="http://schemas.openxmlformats.org/officeDocument/2006/relationships/hyperlink" Target="https://www.immoscout24.ch/fr/appartement/louer/lieu-diessenhofen" TargetMode="External"/><Relationship Id="rId2152" Type="http://schemas.openxmlformats.org/officeDocument/2006/relationships/hyperlink" Target="https://www.immoscout24.ch/fr/appartement/louer/lieu-wauwil" TargetMode="External"/><Relationship Id="rId3482" Type="http://schemas.openxmlformats.org/officeDocument/2006/relationships/hyperlink" Target="https://www.immoscout24.ch/fr/appartement/louer/region-lugano-e-dintorni" TargetMode="External"/><Relationship Id="rId2153" Type="http://schemas.openxmlformats.org/officeDocument/2006/relationships/hyperlink" Target="https://www.immoscout24.ch/fr/maison/acheter/lieu-muenchenstein" TargetMode="External"/><Relationship Id="rId3485" Type="http://schemas.openxmlformats.org/officeDocument/2006/relationships/hyperlink" Target="https://www.immoscout24.ch/fr/appartement/louer/lieu-murist" TargetMode="External"/><Relationship Id="rId2154" Type="http://schemas.openxmlformats.org/officeDocument/2006/relationships/hyperlink" Target="https://www.immoscout24.ch/fr/appartement/louer/lieu-wohlen-b-bern" TargetMode="External"/><Relationship Id="rId3484" Type="http://schemas.openxmlformats.org/officeDocument/2006/relationships/hyperlink" Target="https://www.immoscout24.ch/fr/appartement/louer/lieu-sommentier" TargetMode="External"/><Relationship Id="rId2155" Type="http://schemas.openxmlformats.org/officeDocument/2006/relationships/hyperlink" Target="https://www.immoscout24.ch/fr/maison/acheter/lieu-starrkirch-wil" TargetMode="External"/><Relationship Id="rId3487" Type="http://schemas.openxmlformats.org/officeDocument/2006/relationships/hyperlink" Target="https://www.immoscout24.ch/fr/maison/louer/lieu-morgins" TargetMode="External"/><Relationship Id="rId2156" Type="http://schemas.openxmlformats.org/officeDocument/2006/relationships/hyperlink" Target="https://www.immoscout24.ch/fr/maison/acheter/lieu-rueyres-st-laurent" TargetMode="External"/><Relationship Id="rId3486" Type="http://schemas.openxmlformats.org/officeDocument/2006/relationships/hyperlink" Target="https://www.immoscout24.ch/fr/maison/acheter/lieu-heimberg" TargetMode="External"/><Relationship Id="rId2157" Type="http://schemas.openxmlformats.org/officeDocument/2006/relationships/hyperlink" Target="https://www.immoscout24.ch/fr/maison/acheter/lieu-granges-veveyse" TargetMode="External"/><Relationship Id="rId3489" Type="http://schemas.openxmlformats.org/officeDocument/2006/relationships/hyperlink" Target="https://www.immoscout24.ch/fr/appartement/louer/quartier-schonberg-fribourg" TargetMode="External"/><Relationship Id="rId2158" Type="http://schemas.openxmlformats.org/officeDocument/2006/relationships/hyperlink" Target="https://www.immoscout24.ch/fr/appartement/louer/lieu-wangen-an-der-aare" TargetMode="External"/><Relationship Id="rId3488" Type="http://schemas.openxmlformats.org/officeDocument/2006/relationships/hyperlink" Target="https://www.immoscout24.ch/fr/maison/louer/lieu-morrens-vd" TargetMode="External"/><Relationship Id="rId2104" Type="http://schemas.openxmlformats.org/officeDocument/2006/relationships/hyperlink" Target="https://www.immoscout24.ch/fr/appartement/louer/lieu-unterbaech-vs" TargetMode="External"/><Relationship Id="rId3436" Type="http://schemas.openxmlformats.org/officeDocument/2006/relationships/hyperlink" Target="https://www.immoscout24.ch/fr/maison/acheter/lieu-givisiez" TargetMode="External"/><Relationship Id="rId4767" Type="http://schemas.openxmlformats.org/officeDocument/2006/relationships/hyperlink" Target="https://www.immoscout24.ch/fr/maison/acheter/lieu-preverenges" TargetMode="External"/><Relationship Id="rId2105" Type="http://schemas.openxmlformats.org/officeDocument/2006/relationships/hyperlink" Target="https://www.immoscout24.ch/fr/maison/acheter/lieu-cugy-fr" TargetMode="External"/><Relationship Id="rId3435" Type="http://schemas.openxmlformats.org/officeDocument/2006/relationships/hyperlink" Target="https://www.immoscout24.ch/fr/maison/acheter/lieu-belfaux" TargetMode="External"/><Relationship Id="rId4766" Type="http://schemas.openxmlformats.org/officeDocument/2006/relationships/hyperlink" Target="https://www.immoscout24.ch/fr/appartement/acheter/lieu-bubikon" TargetMode="External"/><Relationship Id="rId2106" Type="http://schemas.openxmlformats.org/officeDocument/2006/relationships/hyperlink" Target="https://www.immoscout24.ch/fr/maison/acheter/lieu-peseux" TargetMode="External"/><Relationship Id="rId3438" Type="http://schemas.openxmlformats.org/officeDocument/2006/relationships/hyperlink" Target="https://www.immoscout24.ch/fr/maison/acheter/lieu-les-evouettes" TargetMode="External"/><Relationship Id="rId4769" Type="http://schemas.openxmlformats.org/officeDocument/2006/relationships/hyperlink" Target="https://www.immoscout24.ch/fr/appartement/louer/lieu-grandsivaz" TargetMode="External"/><Relationship Id="rId2107" Type="http://schemas.openxmlformats.org/officeDocument/2006/relationships/hyperlink" Target="https://www.immoscout24.ch/fr/appartement/louer/lieu-vallon" TargetMode="External"/><Relationship Id="rId3437" Type="http://schemas.openxmlformats.org/officeDocument/2006/relationships/hyperlink" Target="https://www.immoscout24.ch/fr/appartement/louer/lieu-arth" TargetMode="External"/><Relationship Id="rId4768" Type="http://schemas.openxmlformats.org/officeDocument/2006/relationships/hyperlink" Target="https://www.immoscout24.ch/fr/maison/louer/lieu-chateau-d-oex" TargetMode="External"/><Relationship Id="rId2108" Type="http://schemas.openxmlformats.org/officeDocument/2006/relationships/hyperlink" Target="https://www.immoscout24.ch/fr/maison/acheter/lieu-hauteville" TargetMode="External"/><Relationship Id="rId2109" Type="http://schemas.openxmlformats.org/officeDocument/2006/relationships/hyperlink" Target="https://www.immoscout24.ch/fr/maison/acheter/lieu-chevroux" TargetMode="External"/><Relationship Id="rId3439" Type="http://schemas.openxmlformats.org/officeDocument/2006/relationships/hyperlink" Target="https://www.immoscout24.ch/fr/appartement/louer/lieu-grens" TargetMode="External"/><Relationship Id="rId3430" Type="http://schemas.openxmlformats.org/officeDocument/2006/relationships/hyperlink" Target="https://www.immoscout24.ch/fr/maison/louer/lieu-villarsel-le-gibloux" TargetMode="External"/><Relationship Id="rId4761" Type="http://schemas.openxmlformats.org/officeDocument/2006/relationships/hyperlink" Target="https://www.immoscout24.ch/fr/appartement/louer/lieu-lostorf" TargetMode="External"/><Relationship Id="rId4760" Type="http://schemas.openxmlformats.org/officeDocument/2006/relationships/hyperlink" Target="https://www.immoscout24.ch/fr/appartement/acheter/quartier-cassarate-lugano" TargetMode="External"/><Relationship Id="rId2100" Type="http://schemas.openxmlformats.org/officeDocument/2006/relationships/hyperlink" Target="https://www.immoscout24.ch/fr/maison/acheter/lieu-rifferswil" TargetMode="External"/><Relationship Id="rId3432" Type="http://schemas.openxmlformats.org/officeDocument/2006/relationships/hyperlink" Target="https://www.immoscout24.ch/fr/appartement/louer/lieu-lausen" TargetMode="External"/><Relationship Id="rId4763" Type="http://schemas.openxmlformats.org/officeDocument/2006/relationships/hyperlink" Target="https://www.immoscout24.ch/fr/maison/acheter/lieu-intragna" TargetMode="External"/><Relationship Id="rId2101" Type="http://schemas.openxmlformats.org/officeDocument/2006/relationships/hyperlink" Target="https://www.immoscout24.ch/fr/maison/acheter/lieu-muralto" TargetMode="External"/><Relationship Id="rId3431" Type="http://schemas.openxmlformats.org/officeDocument/2006/relationships/hyperlink" Target="https://www.immoscout24.ch/fr/maison/acheter/lieu-murist" TargetMode="External"/><Relationship Id="rId4762" Type="http://schemas.openxmlformats.org/officeDocument/2006/relationships/hyperlink" Target="https://www.immoscout24.ch/fr/maison/acheter/lieu-arogno" TargetMode="External"/><Relationship Id="rId2102" Type="http://schemas.openxmlformats.org/officeDocument/2006/relationships/hyperlink" Target="https://www.immoscout24.ch/fr/appartement/louer/quartier-gundeldingen-bale" TargetMode="External"/><Relationship Id="rId3434" Type="http://schemas.openxmlformats.org/officeDocument/2006/relationships/hyperlink" Target="https://www.immoscout24.ch/fr/appartement/louer/lieu-brusino-arsizio" TargetMode="External"/><Relationship Id="rId4765" Type="http://schemas.openxmlformats.org/officeDocument/2006/relationships/hyperlink" Target="https://www.immoscout24.ch/fr/maison/acheter/quartier-bruderholz-bale" TargetMode="External"/><Relationship Id="rId2103" Type="http://schemas.openxmlformats.org/officeDocument/2006/relationships/hyperlink" Target="https://www.immoscout24.ch/fr/appartement/louer/lieu-randa" TargetMode="External"/><Relationship Id="rId3433" Type="http://schemas.openxmlformats.org/officeDocument/2006/relationships/hyperlink" Target="https://www.immoscout24.ch/fr/appartement/louer/lieu-steg-vs" TargetMode="External"/><Relationship Id="rId4764" Type="http://schemas.openxmlformats.org/officeDocument/2006/relationships/hyperlink" Target="https://www.immoscout24.ch/fr/appartement/louer/lieu-misery" TargetMode="External"/><Relationship Id="rId3425" Type="http://schemas.openxmlformats.org/officeDocument/2006/relationships/hyperlink" Target="https://www.immoscout24.ch/fr/maison/louer/lieu-lenk-im-simmental" TargetMode="External"/><Relationship Id="rId4756" Type="http://schemas.openxmlformats.org/officeDocument/2006/relationships/hyperlink" Target="https://www.immoscout24.ch/fr/appartement/louer/lieu-agriswil" TargetMode="External"/><Relationship Id="rId3424" Type="http://schemas.openxmlformats.org/officeDocument/2006/relationships/hyperlink" Target="https://www.immoscout24.ch/fr/appartement/louer/lieu-coldrerio" TargetMode="External"/><Relationship Id="rId4755" Type="http://schemas.openxmlformats.org/officeDocument/2006/relationships/hyperlink" Target="https://www.immoscout24.ch/fr/maison/acheter/lieu-courrendlin" TargetMode="External"/><Relationship Id="rId3427" Type="http://schemas.openxmlformats.org/officeDocument/2006/relationships/hyperlink" Target="https://www.immoscout24.ch/fr/maison/louer/lieu-romont-fr" TargetMode="External"/><Relationship Id="rId4758" Type="http://schemas.openxmlformats.org/officeDocument/2006/relationships/hyperlink" Target="https://www.immoscout24.ch/fr/appartement/louer/lieu-mont-sur-rolle" TargetMode="External"/><Relationship Id="rId3426" Type="http://schemas.openxmlformats.org/officeDocument/2006/relationships/hyperlink" Target="https://www.immoscout24.ch/fr/maison/louer/lieu-concise" TargetMode="External"/><Relationship Id="rId4757" Type="http://schemas.openxmlformats.org/officeDocument/2006/relationships/hyperlink" Target="https://www.immoscout24.ch/fr/appartement/louer/lieu-courtaman" TargetMode="External"/><Relationship Id="rId3429" Type="http://schemas.openxmlformats.org/officeDocument/2006/relationships/hyperlink" Target="https://www.immoscout24.ch/fr/maison/acheter/region-oberland-est" TargetMode="External"/><Relationship Id="rId3428" Type="http://schemas.openxmlformats.org/officeDocument/2006/relationships/hyperlink" Target="https://www.immoscout24.ch/fr/appartement/louer/lieu-uznach" TargetMode="External"/><Relationship Id="rId4759" Type="http://schemas.openxmlformats.org/officeDocument/2006/relationships/hyperlink" Target="https://www.immoscout24.ch/fr/appartement/louer/lieu-vissoie" TargetMode="External"/><Relationship Id="rId4750" Type="http://schemas.openxmlformats.org/officeDocument/2006/relationships/hyperlink" Target="https://www.immoscout24.ch/fr/maison/louer/lieu-font" TargetMode="External"/><Relationship Id="rId3421" Type="http://schemas.openxmlformats.org/officeDocument/2006/relationships/hyperlink" Target="https://www.immoscout24.ch/fr/maison/acheter/lieu-saas-fee" TargetMode="External"/><Relationship Id="rId4752" Type="http://schemas.openxmlformats.org/officeDocument/2006/relationships/hyperlink" Target="https://www.immoscout24.ch/fr/maison/acheter/lieu-cerentino" TargetMode="External"/><Relationship Id="rId3420" Type="http://schemas.openxmlformats.org/officeDocument/2006/relationships/hyperlink" Target="https://www.immoscout24.ch/fr/appartement/louer/quartier-murifeld-berne" TargetMode="External"/><Relationship Id="rId4751" Type="http://schemas.openxmlformats.org/officeDocument/2006/relationships/hyperlink" Target="https://www.immoscout24.ch/fr/maison/acheter/lieu-athenaz-avusy" TargetMode="External"/><Relationship Id="rId3423" Type="http://schemas.openxmlformats.org/officeDocument/2006/relationships/hyperlink" Target="https://www.immoscout24.ch/fr/appartement/louer/lieu-sirnach" TargetMode="External"/><Relationship Id="rId4754" Type="http://schemas.openxmlformats.org/officeDocument/2006/relationships/hyperlink" Target="https://www.immoscout24.ch/fr/maison/louer/lieu-st-saphorin-lavaux" TargetMode="External"/><Relationship Id="rId3422" Type="http://schemas.openxmlformats.org/officeDocument/2006/relationships/hyperlink" Target="https://www.immoscout24.ch/fr/appartement/louer/lieu-rochefort" TargetMode="External"/><Relationship Id="rId4753" Type="http://schemas.openxmlformats.org/officeDocument/2006/relationships/hyperlink" Target="https://www.immoscout24.ch/fr/appartement/louer/lieu-sugiez" TargetMode="External"/><Relationship Id="rId2126" Type="http://schemas.openxmlformats.org/officeDocument/2006/relationships/hyperlink" Target="https://www.immoscout24.ch/fr/appartement/acheter/lieu-cologny" TargetMode="External"/><Relationship Id="rId3458" Type="http://schemas.openxmlformats.org/officeDocument/2006/relationships/hyperlink" Target="https://www.immoscout24.ch/fr/maison/louer/lieu-kuesnacht-zh" TargetMode="External"/><Relationship Id="rId4789" Type="http://schemas.openxmlformats.org/officeDocument/2006/relationships/hyperlink" Target="https://www.immoscout24.ch/fr/maison/acheter/lieu-buix" TargetMode="External"/><Relationship Id="rId2127" Type="http://schemas.openxmlformats.org/officeDocument/2006/relationships/hyperlink" Target="https://www.immoscout24.ch/fr/appartement/acheter/lieu-granges-de-vesin" TargetMode="External"/><Relationship Id="rId3457" Type="http://schemas.openxmlformats.org/officeDocument/2006/relationships/hyperlink" Target="https://www.immoscout24.ch/fr/maison/acheter/lieu-zeihen" TargetMode="External"/><Relationship Id="rId4788" Type="http://schemas.openxmlformats.org/officeDocument/2006/relationships/hyperlink" Target="https://www.immoscout24.ch/fr/maison/acheter/lieu-suscevaz" TargetMode="External"/><Relationship Id="rId2128" Type="http://schemas.openxmlformats.org/officeDocument/2006/relationships/hyperlink" Target="https://www.immoscout24.ch/fr/maison/acheter/lieu-sirnach" TargetMode="External"/><Relationship Id="rId2129" Type="http://schemas.openxmlformats.org/officeDocument/2006/relationships/hyperlink" Target="https://www.immoscout24.ch/fr/maison/louer/lieu-tafers" TargetMode="External"/><Relationship Id="rId3459" Type="http://schemas.openxmlformats.org/officeDocument/2006/relationships/hyperlink" Target="https://www.immoscout24.ch/fr/appartement/louer/lieu-richterswil" TargetMode="External"/><Relationship Id="rId3450" Type="http://schemas.openxmlformats.org/officeDocument/2006/relationships/hyperlink" Target="https://www.immoscout24.ch/fr/maison/louer/lieu-la-chaux-cossonay" TargetMode="External"/><Relationship Id="rId4781" Type="http://schemas.openxmlformats.org/officeDocument/2006/relationships/hyperlink" Target="https://www.immoscout24.ch/fr/maison/louer/lieu-port" TargetMode="External"/><Relationship Id="rId4780" Type="http://schemas.openxmlformats.org/officeDocument/2006/relationships/hyperlink" Target="https://www.immoscout24.ch/fr/appartement/acheter/lieu-zollikon" TargetMode="External"/><Relationship Id="rId2120" Type="http://schemas.openxmlformats.org/officeDocument/2006/relationships/hyperlink" Target="https://www.immoscout24.ch/fr/appartement/acheter/lieu-schwerzenbach" TargetMode="External"/><Relationship Id="rId3452" Type="http://schemas.openxmlformats.org/officeDocument/2006/relationships/hyperlink" Target="https://www.immoscout24.ch/fr/appartement/louer/lieu-walchwil" TargetMode="External"/><Relationship Id="rId4783" Type="http://schemas.openxmlformats.org/officeDocument/2006/relationships/hyperlink" Target="https://www.immoscout24.ch/fr/appartement/louer/lieu-meisterschwanden" TargetMode="External"/><Relationship Id="rId2121" Type="http://schemas.openxmlformats.org/officeDocument/2006/relationships/hyperlink" Target="https://www.immoscout24.ch/fr/appartement/louer/quartier-neuwiesen-winterthur" TargetMode="External"/><Relationship Id="rId3451" Type="http://schemas.openxmlformats.org/officeDocument/2006/relationships/hyperlink" Target="https://www.immoscout24.ch/fr/maison/acheter/canton-valais" TargetMode="External"/><Relationship Id="rId4782" Type="http://schemas.openxmlformats.org/officeDocument/2006/relationships/hyperlink" Target="https://www.immoscout24.ch/fr/appartement/acheter/lieu-bellach" TargetMode="External"/><Relationship Id="rId2122" Type="http://schemas.openxmlformats.org/officeDocument/2006/relationships/hyperlink" Target="https://www.immoscout24.ch/fr/maison/acheter/quartier-vigneules-biel-bienne" TargetMode="External"/><Relationship Id="rId3454" Type="http://schemas.openxmlformats.org/officeDocument/2006/relationships/hyperlink" Target="https://www.immoscout24.ch/fr/appartement/louer/lieu-erstfeld" TargetMode="External"/><Relationship Id="rId4785" Type="http://schemas.openxmlformats.org/officeDocument/2006/relationships/hyperlink" Target="https://www.immoscout24.ch/fr/appartement/louer/lieu-frauenkappelen" TargetMode="External"/><Relationship Id="rId2123" Type="http://schemas.openxmlformats.org/officeDocument/2006/relationships/hyperlink" Target="https://www.immoscout24.ch/fr/appartement/louer/lieu-noreaz" TargetMode="External"/><Relationship Id="rId3453" Type="http://schemas.openxmlformats.org/officeDocument/2006/relationships/hyperlink" Target="https://www.immoscout24.ch/fr/appartement/louer/lieu-courcelon" TargetMode="External"/><Relationship Id="rId4784" Type="http://schemas.openxmlformats.org/officeDocument/2006/relationships/hyperlink" Target="https://www.immoscout24.ch/fr/appartement/louer/quartier-st-jean-aire-geneve" TargetMode="External"/><Relationship Id="rId2124" Type="http://schemas.openxmlformats.org/officeDocument/2006/relationships/hyperlink" Target="https://www.immoscout24.ch/fr/maison/louer/quartier-champagne-biel-bienne" TargetMode="External"/><Relationship Id="rId3456" Type="http://schemas.openxmlformats.org/officeDocument/2006/relationships/hyperlink" Target="https://www.immoscout24.ch/fr/maison/acheter/pays-allemagne" TargetMode="External"/><Relationship Id="rId4787" Type="http://schemas.openxmlformats.org/officeDocument/2006/relationships/hyperlink" Target="https://www.immoscout24.ch/fr/appartement/louer/lieu-wolfenschiessen" TargetMode="External"/><Relationship Id="rId2125" Type="http://schemas.openxmlformats.org/officeDocument/2006/relationships/hyperlink" Target="https://www.immoscout24.ch/fr/appartement/acheter/lieu-aadorf" TargetMode="External"/><Relationship Id="rId3455" Type="http://schemas.openxmlformats.org/officeDocument/2006/relationships/hyperlink" Target="https://www.immoscout24.ch/fr/maison/acheter/lieu-chambesy" TargetMode="External"/><Relationship Id="rId4786" Type="http://schemas.openxmlformats.org/officeDocument/2006/relationships/hyperlink" Target="https://www.immoscout24.ch/fr/appartement/acheter/lieu-s-bernardino" TargetMode="External"/><Relationship Id="rId2115" Type="http://schemas.openxmlformats.org/officeDocument/2006/relationships/hyperlink" Target="https://www.immoscout24.ch/fr/maison/acheter/lieu-undervelier" TargetMode="External"/><Relationship Id="rId3447" Type="http://schemas.openxmlformats.org/officeDocument/2006/relationships/hyperlink" Target="https://www.immoscout24.ch/fr/appartement/louer/lieu-selzach" TargetMode="External"/><Relationship Id="rId4778" Type="http://schemas.openxmlformats.org/officeDocument/2006/relationships/hyperlink" Target="https://www.immoscout24.ch/fr/maison/acheter/lieu-arconciel" TargetMode="External"/><Relationship Id="rId2116" Type="http://schemas.openxmlformats.org/officeDocument/2006/relationships/hyperlink" Target="https://www.immoscout24.ch/fr/maison/acheter/lieu-territet" TargetMode="External"/><Relationship Id="rId3446" Type="http://schemas.openxmlformats.org/officeDocument/2006/relationships/hyperlink" Target="https://www.immoscout24.ch/fr/appartement/louer/lieu-la-conversion" TargetMode="External"/><Relationship Id="rId4777" Type="http://schemas.openxmlformats.org/officeDocument/2006/relationships/hyperlink" Target="https://www.immoscout24.ch/fr/maison/acheter/lieu-oberems" TargetMode="External"/><Relationship Id="rId2117" Type="http://schemas.openxmlformats.org/officeDocument/2006/relationships/hyperlink" Target="https://www.immoscout24.ch/fr/maison/acheter/quartier-weissenstein-berne" TargetMode="External"/><Relationship Id="rId3449" Type="http://schemas.openxmlformats.org/officeDocument/2006/relationships/hyperlink" Target="https://www.immoscout24.ch/fr/maison/acheter/lieu-versegeres" TargetMode="External"/><Relationship Id="rId2118" Type="http://schemas.openxmlformats.org/officeDocument/2006/relationships/hyperlink" Target="https://www.immoscout24.ch/fr/appartement/acheter/lieu-guemligen" TargetMode="External"/><Relationship Id="rId3448" Type="http://schemas.openxmlformats.org/officeDocument/2006/relationships/hyperlink" Target="https://www.immoscout24.ch/fr/appartement/acheter/lieu-bullet" TargetMode="External"/><Relationship Id="rId4779" Type="http://schemas.openxmlformats.org/officeDocument/2006/relationships/hyperlink" Target="https://www.immoscout24.ch/fr/appartement/louer/lieu-cheseaux-noreaz" TargetMode="External"/><Relationship Id="rId2119" Type="http://schemas.openxmlformats.org/officeDocument/2006/relationships/hyperlink" Target="https://www.immoscout24.ch/fr/appartement/louer/region-avenches-payerne" TargetMode="External"/><Relationship Id="rId4770" Type="http://schemas.openxmlformats.org/officeDocument/2006/relationships/hyperlink" Target="https://www.immoscout24.ch/fr/maison/acheter/lieu-breitenbach" TargetMode="External"/><Relationship Id="rId3441" Type="http://schemas.openxmlformats.org/officeDocument/2006/relationships/hyperlink" Target="https://www.immoscout24.ch/fr/maison/acheter/lieu-obergesteln" TargetMode="External"/><Relationship Id="rId4772" Type="http://schemas.openxmlformats.org/officeDocument/2006/relationships/hyperlink" Target="https://www.immoscout24.ch/fr/maison/acheter/lieu-charrat" TargetMode="External"/><Relationship Id="rId2110" Type="http://schemas.openxmlformats.org/officeDocument/2006/relationships/hyperlink" Target="https://www.immoscout24.ch/fr/maison/acheter/lieu-saicourt" TargetMode="External"/><Relationship Id="rId3440" Type="http://schemas.openxmlformats.org/officeDocument/2006/relationships/hyperlink" Target="https://www.immoscout24.ch/fr/appartement/louer/lieu-arnex-sur-orbe" TargetMode="External"/><Relationship Id="rId4771" Type="http://schemas.openxmlformats.org/officeDocument/2006/relationships/hyperlink" Target="https://www.immoscout24.ch/fr/appartement/louer/lieu-sumiswald" TargetMode="External"/><Relationship Id="rId2111" Type="http://schemas.openxmlformats.org/officeDocument/2006/relationships/hyperlink" Target="https://www.immoscout24.ch/fr/maison/louer/lieu-prangins" TargetMode="External"/><Relationship Id="rId3443" Type="http://schemas.openxmlformats.org/officeDocument/2006/relationships/hyperlink" Target="https://www.immoscout24.ch/fr/maison/acheter/lieu-bazenheid" TargetMode="External"/><Relationship Id="rId4774" Type="http://schemas.openxmlformats.org/officeDocument/2006/relationships/hyperlink" Target="https://www.immoscout24.ch/fr/appartement/louer/lieu-oberdorf-bl" TargetMode="External"/><Relationship Id="rId2112" Type="http://schemas.openxmlformats.org/officeDocument/2006/relationships/hyperlink" Target="https://www.immoscout24.ch/fr/appartement/louer/lieu-rebeuvelier" TargetMode="External"/><Relationship Id="rId3442" Type="http://schemas.openxmlformats.org/officeDocument/2006/relationships/hyperlink" Target="https://www.immoscout24.ch/fr/appartement/louer/lieu-gruyeres" TargetMode="External"/><Relationship Id="rId4773" Type="http://schemas.openxmlformats.org/officeDocument/2006/relationships/hyperlink" Target="https://www.immoscout24.ch/fr/maison/acheter/lieu-posat" TargetMode="External"/><Relationship Id="rId2113" Type="http://schemas.openxmlformats.org/officeDocument/2006/relationships/hyperlink" Target="https://www.immoscout24.ch/fr/maison/acheter/lieu-les-granges-salvan" TargetMode="External"/><Relationship Id="rId3445" Type="http://schemas.openxmlformats.org/officeDocument/2006/relationships/hyperlink" Target="https://www.immoscout24.ch/fr/appartement/louer/lieu-fresens" TargetMode="External"/><Relationship Id="rId4776" Type="http://schemas.openxmlformats.org/officeDocument/2006/relationships/hyperlink" Target="https://www.immoscout24.ch/fr/maison/acheter/lieu-epautheyres" TargetMode="External"/><Relationship Id="rId2114" Type="http://schemas.openxmlformats.org/officeDocument/2006/relationships/hyperlink" Target="https://www.immoscout24.ch/fr/appartement/louer/lieu-oberbuchsiten" TargetMode="External"/><Relationship Id="rId3444" Type="http://schemas.openxmlformats.org/officeDocument/2006/relationships/hyperlink" Target="https://www.immoscout24.ch/fr/maison/louer/lieu-bieudron-nendaz" TargetMode="External"/><Relationship Id="rId4775" Type="http://schemas.openxmlformats.org/officeDocument/2006/relationships/hyperlink" Target="https://www.immoscout24.ch/fr/maison/acheter/lieu-frenieres-sur-bex" TargetMode="External"/><Relationship Id="rId5251" Type="http://schemas.openxmlformats.org/officeDocument/2006/relationships/hyperlink" Target="https://www.immoscout24.ch/fr/appartement/acheter/lieu-ins" TargetMode="External"/><Relationship Id="rId5252" Type="http://schemas.openxmlformats.org/officeDocument/2006/relationships/hyperlink" Target="https://www.immoscout24.ch/fr/maison/acheter/lieu-kyburg-buchegg" TargetMode="External"/><Relationship Id="rId5250" Type="http://schemas.openxmlformats.org/officeDocument/2006/relationships/hyperlink" Target="https://www.immoscout24.ch/fr/appartement/louer/lieu-zollikerberg" TargetMode="External"/><Relationship Id="rId5255" Type="http://schemas.openxmlformats.org/officeDocument/2006/relationships/hyperlink" Target="https://www.immoscout24.ch/fr/appartement/acheter/lieu-vuisternens-en-ogoz" TargetMode="External"/><Relationship Id="rId5256" Type="http://schemas.openxmlformats.org/officeDocument/2006/relationships/hyperlink" Target="https://www.immoscout24.ch/fr/appartement/louer/lieu-chavannes-les-forts" TargetMode="External"/><Relationship Id="rId5253" Type="http://schemas.openxmlformats.org/officeDocument/2006/relationships/hyperlink" Target="https://www.immoscout24.ch/fr/maison/acheter/lieu-vuisternens-en-ogoz" TargetMode="External"/><Relationship Id="rId5254" Type="http://schemas.openxmlformats.org/officeDocument/2006/relationships/hyperlink" Target="https://www.immoscout24.ch/fr/appartement/louer/lieu-hauteville" TargetMode="External"/><Relationship Id="rId5259" Type="http://schemas.openxmlformats.org/officeDocument/2006/relationships/hyperlink" Target="https://www.immoscout24.ch/fr/maison/acheter/lieu-villarepos" TargetMode="External"/><Relationship Id="rId5257" Type="http://schemas.openxmlformats.org/officeDocument/2006/relationships/hyperlink" Target="https://www.immoscout24.ch/fr/maison/louer/region-rive-gauche" TargetMode="External"/><Relationship Id="rId5258" Type="http://schemas.openxmlformats.org/officeDocument/2006/relationships/hyperlink" Target="https://www.immoscout24.ch/fr/appartement/louer/lieu-juriens" TargetMode="External"/><Relationship Id="rId5240" Type="http://schemas.openxmlformats.org/officeDocument/2006/relationships/hyperlink" Target="https://www.immoscout24.ch/fr/maison/acheter/pays-pologne" TargetMode="External"/><Relationship Id="rId5241" Type="http://schemas.openxmlformats.org/officeDocument/2006/relationships/hyperlink" Target="https://www.immoscout24.ch/fr/appartement/louer/lieu-villariaz" TargetMode="External"/><Relationship Id="rId5244" Type="http://schemas.openxmlformats.org/officeDocument/2006/relationships/hyperlink" Target="https://www.immoscout24.ch/fr/maison/acheter/lieu-bad-ragaz" TargetMode="External"/><Relationship Id="rId5245" Type="http://schemas.openxmlformats.org/officeDocument/2006/relationships/hyperlink" Target="https://www.immoscout24.ch/fr/maison/acheter/lieu-ausserberg" TargetMode="External"/><Relationship Id="rId5242" Type="http://schemas.openxmlformats.org/officeDocument/2006/relationships/hyperlink" Target="https://www.immoscout24.ch/fr/maison/louer/lieu-haegglingen" TargetMode="External"/><Relationship Id="rId5243" Type="http://schemas.openxmlformats.org/officeDocument/2006/relationships/hyperlink" Target="https://www.immoscout24.ch/fr/maison/acheter/lieu-richterswil" TargetMode="External"/><Relationship Id="rId5248" Type="http://schemas.openxmlformats.org/officeDocument/2006/relationships/hyperlink" Target="https://www.immoscout24.ch/fr/appartement/louer/region-unterengadin-val-mustair" TargetMode="External"/><Relationship Id="rId5249" Type="http://schemas.openxmlformats.org/officeDocument/2006/relationships/hyperlink" Target="https://www.immoscout24.ch/fr/appartement/louer/lieu-montbovon" TargetMode="External"/><Relationship Id="rId5246" Type="http://schemas.openxmlformats.org/officeDocument/2006/relationships/hyperlink" Target="https://www.immoscout24.ch/fr/maison/acheter/lieu-cries-volleges" TargetMode="External"/><Relationship Id="rId5247" Type="http://schemas.openxmlformats.org/officeDocument/2006/relationships/hyperlink" Target="https://www.immoscout24.ch/fr/maison/acheter/quartier-beauregard-fribourg" TargetMode="External"/><Relationship Id="rId5270" Type="http://schemas.openxmlformats.org/officeDocument/2006/relationships/hyperlink" Target="https://www.immoscout24.ch/fr/maison/acheter/lieu-villariaz" TargetMode="External"/><Relationship Id="rId5273" Type="http://schemas.openxmlformats.org/officeDocument/2006/relationships/hyperlink" Target="https://www.immoscout24.ch/fr/appartement/louer/lieu-bournens" TargetMode="External"/><Relationship Id="rId5274" Type="http://schemas.openxmlformats.org/officeDocument/2006/relationships/hyperlink" Target="https://www.immoscout24.ch/fr/maison/louer/lieu-lucens" TargetMode="External"/><Relationship Id="rId5271" Type="http://schemas.openxmlformats.org/officeDocument/2006/relationships/hyperlink" Target="https://www.immoscout24.ch/fr/maison/louer/lieu-leuzigen" TargetMode="External"/><Relationship Id="rId5272" Type="http://schemas.openxmlformats.org/officeDocument/2006/relationships/hyperlink" Target="https://www.immoscout24.ch/fr/appartement/acheter/lieu-muraz-sierre" TargetMode="External"/><Relationship Id="rId5277" Type="http://schemas.openxmlformats.org/officeDocument/2006/relationships/hyperlink" Target="https://www.immoscout24.ch/fr/maison/acheter/lieu-nunningen" TargetMode="External"/><Relationship Id="rId5278" Type="http://schemas.openxmlformats.org/officeDocument/2006/relationships/hyperlink" Target="https://www.immoscout24.ch/fr/maison/acheter/lieu-moutier" TargetMode="External"/><Relationship Id="rId5275" Type="http://schemas.openxmlformats.org/officeDocument/2006/relationships/hyperlink" Target="https://www.immoscout24.ch/fr/appartement/louer/lieu-silvaplana-surlej" TargetMode="External"/><Relationship Id="rId5276" Type="http://schemas.openxmlformats.org/officeDocument/2006/relationships/hyperlink" Target="https://www.immoscout24.ch/fr/maison/acheter/lieu-chernex" TargetMode="External"/><Relationship Id="rId5279" Type="http://schemas.openxmlformats.org/officeDocument/2006/relationships/hyperlink" Target="https://www.immoscout24.ch/fr/appartement/louer/lieu-roche-vd" TargetMode="External"/><Relationship Id="rId5262" Type="http://schemas.openxmlformats.org/officeDocument/2006/relationships/hyperlink" Target="https://www.immoscout24.ch/fr/maison/louer/lieu-birmensdorf-zh" TargetMode="External"/><Relationship Id="rId5263" Type="http://schemas.openxmlformats.org/officeDocument/2006/relationships/hyperlink" Target="https://www.immoscout24.ch/fr/appartement/louer/lieu-fortunau-ayent" TargetMode="External"/><Relationship Id="rId5260" Type="http://schemas.openxmlformats.org/officeDocument/2006/relationships/hyperlink" Target="https://www.immoscout24.ch/fr/maison/acheter/lieu-jussy" TargetMode="External"/><Relationship Id="rId5261" Type="http://schemas.openxmlformats.org/officeDocument/2006/relationships/hyperlink" Target="https://www.immoscout24.ch/fr/appartement/louer/canton-neuchatel" TargetMode="External"/><Relationship Id="rId5266" Type="http://schemas.openxmlformats.org/officeDocument/2006/relationships/hyperlink" Target="https://www.immoscout24.ch/fr/maison/acheter/region-geneve-ville" TargetMode="External"/><Relationship Id="rId5267" Type="http://schemas.openxmlformats.org/officeDocument/2006/relationships/hyperlink" Target="https://www.immoscout24.ch/fr/appartement/louer/quartier-vieille-ville-biel-bienne" TargetMode="External"/><Relationship Id="rId5264" Type="http://schemas.openxmlformats.org/officeDocument/2006/relationships/hyperlink" Target="https://www.immoscout24.ch/fr/maison/louer/lieu-ovronnaz" TargetMode="External"/><Relationship Id="rId5265" Type="http://schemas.openxmlformats.org/officeDocument/2006/relationships/hyperlink" Target="https://www.immoscout24.ch/fr/maison/louer/lieu-grand-lancy" TargetMode="External"/><Relationship Id="rId5268" Type="http://schemas.openxmlformats.org/officeDocument/2006/relationships/hyperlink" Target="https://www.immoscout24.ch/fr/appartement/louer/lieu-tartegnin" TargetMode="External"/><Relationship Id="rId5269" Type="http://schemas.openxmlformats.org/officeDocument/2006/relationships/hyperlink" Target="https://www.immoscout24.ch/fr/maison/acheter/lieu-pampigny" TargetMode="External"/><Relationship Id="rId5219" Type="http://schemas.openxmlformats.org/officeDocument/2006/relationships/hyperlink" Target="https://www.immoscout24.ch/fr/maison/acheter/lieu-cresciano" TargetMode="External"/><Relationship Id="rId5217" Type="http://schemas.openxmlformats.org/officeDocument/2006/relationships/hyperlink" Target="https://www.immoscout24.ch/fr/maison/acheter/quartier-chaumont-neuchatel" TargetMode="External"/><Relationship Id="rId5218" Type="http://schemas.openxmlformats.org/officeDocument/2006/relationships/hyperlink" Target="https://www.immoscout24.ch/fr/maison/acheter/lieu-boniswil" TargetMode="External"/><Relationship Id="rId392" Type="http://schemas.openxmlformats.org/officeDocument/2006/relationships/hyperlink" Target="https://www.immoscout24.ch/fr/appartement/louer/lieu-bioley-orjulaz" TargetMode="External"/><Relationship Id="rId391" Type="http://schemas.openxmlformats.org/officeDocument/2006/relationships/hyperlink" Target="https://www.immoscout24.ch/fr/appartement/louer/lieu-lindau" TargetMode="External"/><Relationship Id="rId390" Type="http://schemas.openxmlformats.org/officeDocument/2006/relationships/hyperlink" Target="https://www.immoscout24.ch/fr/maison/acheter/lieu-villars-burquin" TargetMode="External"/><Relationship Id="rId385" Type="http://schemas.openxmlformats.org/officeDocument/2006/relationships/hyperlink" Target="https://www.immoscout24.ch/fr/appartement/louer/region-seetal-hochdorf" TargetMode="External"/><Relationship Id="rId5211" Type="http://schemas.openxmlformats.org/officeDocument/2006/relationships/hyperlink" Target="https://www.immoscout24.ch/fr/appartement/acheter/lieu-etagnieres" TargetMode="External"/><Relationship Id="rId384" Type="http://schemas.openxmlformats.org/officeDocument/2006/relationships/hyperlink" Target="https://www.immoscout24.ch/fr/appartement/louer/lieu-trogne-st-martin" TargetMode="External"/><Relationship Id="rId5212" Type="http://schemas.openxmlformats.org/officeDocument/2006/relationships/hyperlink" Target="https://www.immoscout24.ch/fr/maison/acheter/lieu-courtemaiche" TargetMode="External"/><Relationship Id="rId383" Type="http://schemas.openxmlformats.org/officeDocument/2006/relationships/hyperlink" Target="https://www.immoscout24.ch/fr/appartement/louer/region-oberaargau" TargetMode="External"/><Relationship Id="rId382" Type="http://schemas.openxmlformats.org/officeDocument/2006/relationships/hyperlink" Target="https://www.immoscout24.ch/fr/appartement/louer/lieu-chaumont" TargetMode="External"/><Relationship Id="rId5210" Type="http://schemas.openxmlformats.org/officeDocument/2006/relationships/hyperlink" Target="https://www.immoscout24.ch/fr/appartement/louer/lieu-st-sulpice-ne" TargetMode="External"/><Relationship Id="rId389" Type="http://schemas.openxmlformats.org/officeDocument/2006/relationships/hyperlink" Target="https://www.immoscout24.ch/fr/maison/acheter/lieu-borex" TargetMode="External"/><Relationship Id="rId5215" Type="http://schemas.openxmlformats.org/officeDocument/2006/relationships/hyperlink" Target="https://www.immoscout24.ch/fr/maison/acheter/lieu-buetzberg" TargetMode="External"/><Relationship Id="rId388" Type="http://schemas.openxmlformats.org/officeDocument/2006/relationships/hyperlink" Target="https://www.immoscout24.ch/fr/maison/louer/lieu-schwarzenburg" TargetMode="External"/><Relationship Id="rId5216" Type="http://schemas.openxmlformats.org/officeDocument/2006/relationships/hyperlink" Target="https://www.immoscout24.ch/fr/appartement/louer/lieu-aven" TargetMode="External"/><Relationship Id="rId387" Type="http://schemas.openxmlformats.org/officeDocument/2006/relationships/hyperlink" Target="https://www.immoscout24.ch/fr/appartement/acheter/lieu-ferpicloz" TargetMode="External"/><Relationship Id="rId5213" Type="http://schemas.openxmlformats.org/officeDocument/2006/relationships/hyperlink" Target="https://www.immoscout24.ch/fr/maison/louer/lieu-vesenaz" TargetMode="External"/><Relationship Id="rId386" Type="http://schemas.openxmlformats.org/officeDocument/2006/relationships/hyperlink" Target="https://www.immoscout24.ch/fr/maison/acheter/lieu-schmitten-fr" TargetMode="External"/><Relationship Id="rId5214" Type="http://schemas.openxmlformats.org/officeDocument/2006/relationships/hyperlink" Target="https://www.immoscout24.ch/fr/maison/louer/lieu-oberegg" TargetMode="External"/><Relationship Id="rId5208" Type="http://schemas.openxmlformats.org/officeDocument/2006/relationships/hyperlink" Target="https://www.immoscout24.ch/fr/maison/acheter/lieu-st-triphon" TargetMode="External"/><Relationship Id="rId5209" Type="http://schemas.openxmlformats.org/officeDocument/2006/relationships/hyperlink" Target="https://www.immoscout24.ch/fr/appartement/acheter/lieu-st-blaise" TargetMode="External"/><Relationship Id="rId5206" Type="http://schemas.openxmlformats.org/officeDocument/2006/relationships/hyperlink" Target="https://www.immoscout24.ch/fr/appartement/louer/pays-allemagne" TargetMode="External"/><Relationship Id="rId5207" Type="http://schemas.openxmlformats.org/officeDocument/2006/relationships/hyperlink" Target="https://www.immoscout24.ch/fr/maison/acheter/lieu-chavannes-de-bogis" TargetMode="External"/><Relationship Id="rId381" Type="http://schemas.openxmlformats.org/officeDocument/2006/relationships/hyperlink" Target="https://www.immoscout24.ch/fr/appartement/louer/lieu-le-paquier-ne" TargetMode="External"/><Relationship Id="rId380" Type="http://schemas.openxmlformats.org/officeDocument/2006/relationships/hyperlink" Target="https://www.immoscout24.ch/fr/maison/acheter/region-avenches-payerne" TargetMode="External"/><Relationship Id="rId379" Type="http://schemas.openxmlformats.org/officeDocument/2006/relationships/hyperlink" Target="https://www.immoscout24.ch/fr/appartement/acheter/lieu-eysins" TargetMode="External"/><Relationship Id="rId374" Type="http://schemas.openxmlformats.org/officeDocument/2006/relationships/hyperlink" Target="https://www.immoscout24.ch/fr/appartement/acheter/lieu-klosters" TargetMode="External"/><Relationship Id="rId5200" Type="http://schemas.openxmlformats.org/officeDocument/2006/relationships/hyperlink" Target="https://www.immoscout24.ch/fr/maison/acheter/lieu-les-genevez-ju" TargetMode="External"/><Relationship Id="rId373" Type="http://schemas.openxmlformats.org/officeDocument/2006/relationships/hyperlink" Target="https://www.immoscout24.ch/fr/appartement/louer/canton-grisons" TargetMode="External"/><Relationship Id="rId5201" Type="http://schemas.openxmlformats.org/officeDocument/2006/relationships/hyperlink" Target="https://www.immoscout24.ch/fr/maison/acheter/lieu-meinisberg" TargetMode="External"/><Relationship Id="rId372" Type="http://schemas.openxmlformats.org/officeDocument/2006/relationships/hyperlink" Target="https://www.immoscout24.ch/fr/maison/acheter/lieu-fontainemelon" TargetMode="External"/><Relationship Id="rId371" Type="http://schemas.openxmlformats.org/officeDocument/2006/relationships/hyperlink" Target="https://www.immoscout24.ch/fr/appartement/louer/lieu-weesen" TargetMode="External"/><Relationship Id="rId378" Type="http://schemas.openxmlformats.org/officeDocument/2006/relationships/hyperlink" Target="https://www.immoscout24.ch/fr/maison/acheter/pays-cameroun" TargetMode="External"/><Relationship Id="rId5204" Type="http://schemas.openxmlformats.org/officeDocument/2006/relationships/hyperlink" Target="https://www.immoscout24.ch/fr/maison/acheter/lieu-montana" TargetMode="External"/><Relationship Id="rId377" Type="http://schemas.openxmlformats.org/officeDocument/2006/relationships/hyperlink" Target="https://www.immoscout24.ch/fr/appartement/acheter/lieu-haldenstein" TargetMode="External"/><Relationship Id="rId5205" Type="http://schemas.openxmlformats.org/officeDocument/2006/relationships/hyperlink" Target="https://www.immoscout24.ch/fr/maison/louer/lieu-blatten-b-naters" TargetMode="External"/><Relationship Id="rId376" Type="http://schemas.openxmlformats.org/officeDocument/2006/relationships/hyperlink" Target="https://www.immoscout24.ch/fr/maison/acheter/quartier-cite-centre-geneve" TargetMode="External"/><Relationship Id="rId5202" Type="http://schemas.openxmlformats.org/officeDocument/2006/relationships/hyperlink" Target="https://www.immoscout24.ch/fr/maison/louer/lieu-frasses" TargetMode="External"/><Relationship Id="rId375" Type="http://schemas.openxmlformats.org/officeDocument/2006/relationships/hyperlink" Target="https://www.immoscout24.ch/fr/maison/acheter/lieu-troinex" TargetMode="External"/><Relationship Id="rId5203" Type="http://schemas.openxmlformats.org/officeDocument/2006/relationships/hyperlink" Target="https://www.immoscout24.ch/fr/maison/acheter/lieu-fresens" TargetMode="External"/><Relationship Id="rId5239" Type="http://schemas.openxmlformats.org/officeDocument/2006/relationships/hyperlink" Target="https://www.immoscout24.ch/fr/maison/louer/lieu-belmont-sur-lausanne" TargetMode="External"/><Relationship Id="rId5230" Type="http://schemas.openxmlformats.org/officeDocument/2006/relationships/hyperlink" Target="https://www.immoscout24.ch/fr/maison/louer/lieu-conthey" TargetMode="External"/><Relationship Id="rId5233" Type="http://schemas.openxmlformats.org/officeDocument/2006/relationships/hyperlink" Target="https://www.immoscout24.ch/fr/appartement/louer/quartier-clara-bale" TargetMode="External"/><Relationship Id="rId5234" Type="http://schemas.openxmlformats.org/officeDocument/2006/relationships/hyperlink" Target="https://www.immoscout24.ch/fr/maison/acheter/lieu-semsales" TargetMode="External"/><Relationship Id="rId5231" Type="http://schemas.openxmlformats.org/officeDocument/2006/relationships/hyperlink" Target="https://www.immoscout24.ch/fr/appartement/louer/lieu-susten" TargetMode="External"/><Relationship Id="rId5232" Type="http://schemas.openxmlformats.org/officeDocument/2006/relationships/hyperlink" Target="https://www.immoscout24.ch/fr/appartement/acheter/lieu-sessa" TargetMode="External"/><Relationship Id="rId5237" Type="http://schemas.openxmlformats.org/officeDocument/2006/relationships/hyperlink" Target="https://www.immoscout24.ch/fr/appartement/acheter/lieu-horgen" TargetMode="External"/><Relationship Id="rId5238" Type="http://schemas.openxmlformats.org/officeDocument/2006/relationships/hyperlink" Target="https://www.immoscout24.ch/fr/maison/acheter/region-oberengadin-puschlav-bergell" TargetMode="External"/><Relationship Id="rId5235" Type="http://schemas.openxmlformats.org/officeDocument/2006/relationships/hyperlink" Target="https://www.immoscout24.ch/fr/maison/louer/lieu-cointrin" TargetMode="External"/><Relationship Id="rId5236" Type="http://schemas.openxmlformats.org/officeDocument/2006/relationships/hyperlink" Target="https://www.immoscout24.ch/fr/appartement/louer/lieu-prilly" TargetMode="External"/><Relationship Id="rId5228" Type="http://schemas.openxmlformats.org/officeDocument/2006/relationships/hyperlink" Target="https://www.immoscout24.ch/fr/appartement/louer/lieu-motier-vully" TargetMode="External"/><Relationship Id="rId5229" Type="http://schemas.openxmlformats.org/officeDocument/2006/relationships/hyperlink" Target="https://www.immoscout24.ch/fr/appartement/louer/lieu-oberwil-bl" TargetMode="External"/><Relationship Id="rId396" Type="http://schemas.openxmlformats.org/officeDocument/2006/relationships/hyperlink" Target="https://www.immoscout24.ch/fr/appartement/louer/lieu-hombrechtikon" TargetMode="External"/><Relationship Id="rId5222" Type="http://schemas.openxmlformats.org/officeDocument/2006/relationships/hyperlink" Target="https://www.immoscout24.ch/fr/appartement/acheter/quartier-affoltern-zurich" TargetMode="External"/><Relationship Id="rId395" Type="http://schemas.openxmlformats.org/officeDocument/2006/relationships/hyperlink" Target="https://www.immoscout24.ch/fr/appartement/acheter/lieu-sargans" TargetMode="External"/><Relationship Id="rId5223" Type="http://schemas.openxmlformats.org/officeDocument/2006/relationships/hyperlink" Target="https://www.immoscout24.ch/fr/maison/acheter/lieu-corban" TargetMode="External"/><Relationship Id="rId394" Type="http://schemas.openxmlformats.org/officeDocument/2006/relationships/hyperlink" Target="https://www.immoscout24.ch/fr/appartement/acheter/lieu-chavannes-de-bogis" TargetMode="External"/><Relationship Id="rId5220" Type="http://schemas.openxmlformats.org/officeDocument/2006/relationships/hyperlink" Target="https://www.immoscout24.ch/fr/maison/acheter/lieu-rapperswil-be" TargetMode="External"/><Relationship Id="rId393" Type="http://schemas.openxmlformats.org/officeDocument/2006/relationships/hyperlink" Target="https://www.immoscout24.ch/fr/maison/acheter/lieu-ringgenberg-be" TargetMode="External"/><Relationship Id="rId5221" Type="http://schemas.openxmlformats.org/officeDocument/2006/relationships/hyperlink" Target="https://www.immoscout24.ch/fr/maison/acheter/lieu-st-antoni" TargetMode="External"/><Relationship Id="rId5226" Type="http://schemas.openxmlformats.org/officeDocument/2006/relationships/hyperlink" Target="https://www.immoscout24.ch/fr/maison/louer/lieu-sirnach" TargetMode="External"/><Relationship Id="rId399" Type="http://schemas.openxmlformats.org/officeDocument/2006/relationships/hyperlink" Target="https://www.immoscout24.ch/fr/appartement/louer/lieu-chenens" TargetMode="External"/><Relationship Id="rId5227" Type="http://schemas.openxmlformats.org/officeDocument/2006/relationships/hyperlink" Target="https://www.immoscout24.ch/fr/appartement/louer/lieu-la-magne" TargetMode="External"/><Relationship Id="rId398" Type="http://schemas.openxmlformats.org/officeDocument/2006/relationships/hyperlink" Target="https://www.immoscout24.ch/fr/appartement/louer/lieu-stansstad" TargetMode="External"/><Relationship Id="rId5224" Type="http://schemas.openxmlformats.org/officeDocument/2006/relationships/hyperlink" Target="https://www.immoscout24.ch/fr/maison/louer/lieu-cordast" TargetMode="External"/><Relationship Id="rId397" Type="http://schemas.openxmlformats.org/officeDocument/2006/relationships/hyperlink" Target="https://www.immoscout24.ch/fr/appartement/acheter/lieu-taeuffelen" TargetMode="External"/><Relationship Id="rId5225" Type="http://schemas.openxmlformats.org/officeDocument/2006/relationships/hyperlink" Target="https://www.immoscout24.ch/fr/maison/acheter/lieu-fretereules" TargetMode="External"/><Relationship Id="rId1730" Type="http://schemas.openxmlformats.org/officeDocument/2006/relationships/hyperlink" Target="https://www.immoscout24.ch/fr/appartement/louer/lieu-croy" TargetMode="External"/><Relationship Id="rId1731" Type="http://schemas.openxmlformats.org/officeDocument/2006/relationships/hyperlink" Target="https://www.immoscout24.ch/fr/appartement/acheter/lieu-lungern" TargetMode="External"/><Relationship Id="rId1732" Type="http://schemas.openxmlformats.org/officeDocument/2006/relationships/hyperlink" Target="https://www.immoscout24.ch/fr/appartement/louer/lieu-chavannes-des-bois" TargetMode="External"/><Relationship Id="rId1733" Type="http://schemas.openxmlformats.org/officeDocument/2006/relationships/hyperlink" Target="https://www.immoscout24.ch/fr/appartement/acheter/lieu-luins" TargetMode="External"/><Relationship Id="rId1734" Type="http://schemas.openxmlformats.org/officeDocument/2006/relationships/hyperlink" Target="https://www.immoscout24.ch/fr/appartement/louer/lieu-recherswil" TargetMode="External"/><Relationship Id="rId1735" Type="http://schemas.openxmlformats.org/officeDocument/2006/relationships/hyperlink" Target="https://www.immoscout24.ch/fr/appartement/louer/lieu-st-martin-fr" TargetMode="External"/><Relationship Id="rId1736" Type="http://schemas.openxmlformats.org/officeDocument/2006/relationships/hyperlink" Target="https://www.immoscout24.ch/fr/appartement/louer/lieu-volleges" TargetMode="External"/><Relationship Id="rId1737" Type="http://schemas.openxmlformats.org/officeDocument/2006/relationships/hyperlink" Target="https://www.immoscout24.ch/fr/appartement/louer/quartier-delices-grottes-geneve" TargetMode="External"/><Relationship Id="rId1738" Type="http://schemas.openxmlformats.org/officeDocument/2006/relationships/hyperlink" Target="https://www.immoscout24.ch/fr/appartement/louer/lieu-mossel" TargetMode="External"/><Relationship Id="rId1739" Type="http://schemas.openxmlformats.org/officeDocument/2006/relationships/hyperlink" Target="https://www.immoscout24.ch/fr/appartement/louer/lieu-montsevelier" TargetMode="External"/><Relationship Id="rId1720" Type="http://schemas.openxmlformats.org/officeDocument/2006/relationships/hyperlink" Target="https://www.immoscout24.ch/fr/appartement/louer/lieu-muehlau" TargetMode="External"/><Relationship Id="rId1721" Type="http://schemas.openxmlformats.org/officeDocument/2006/relationships/hyperlink" Target="https://www.immoscout24.ch/fr/appartement/louer/lieu-schwyz" TargetMode="External"/><Relationship Id="rId1722" Type="http://schemas.openxmlformats.org/officeDocument/2006/relationships/hyperlink" Target="https://www.immoscout24.ch/fr/appartement/louer/quartier-schosshalde-berne" TargetMode="External"/><Relationship Id="rId1723" Type="http://schemas.openxmlformats.org/officeDocument/2006/relationships/hyperlink" Target="https://www.immoscout24.ch/fr/maison/louer/lieu-rolle" TargetMode="External"/><Relationship Id="rId1724" Type="http://schemas.openxmlformats.org/officeDocument/2006/relationships/hyperlink" Target="https://www.immoscout24.ch/fr/appartement/acheter/lieu-arnex-sur-orbe" TargetMode="External"/><Relationship Id="rId1725" Type="http://schemas.openxmlformats.org/officeDocument/2006/relationships/hyperlink" Target="https://www.immoscout24.ch/fr/maison/acheter/lieu-salorino" TargetMode="External"/><Relationship Id="rId1726" Type="http://schemas.openxmlformats.org/officeDocument/2006/relationships/hyperlink" Target="https://www.immoscout24.ch/fr/maison/acheter/lieu-rheineck" TargetMode="External"/><Relationship Id="rId1727" Type="http://schemas.openxmlformats.org/officeDocument/2006/relationships/hyperlink" Target="https://www.immoscout24.ch/fr/maison/acheter/lieu-visp" TargetMode="External"/><Relationship Id="rId1728" Type="http://schemas.openxmlformats.org/officeDocument/2006/relationships/hyperlink" Target="https://www.immoscout24.ch/fr/appartement/acheter/lieu-marchissy" TargetMode="External"/><Relationship Id="rId1729" Type="http://schemas.openxmlformats.org/officeDocument/2006/relationships/hyperlink" Target="https://www.immoscout24.ch/fr/appartement/louer/lieu-chavannes-pres-renens" TargetMode="External"/><Relationship Id="rId1752" Type="http://schemas.openxmlformats.org/officeDocument/2006/relationships/hyperlink" Target="https://www.immoscout24.ch/fr/maison/acheter/lieu-mettembert" TargetMode="External"/><Relationship Id="rId1753" Type="http://schemas.openxmlformats.org/officeDocument/2006/relationships/hyperlink" Target="https://www.immoscout24.ch/fr/appartement/louer/lieu-steinmaur" TargetMode="External"/><Relationship Id="rId1754" Type="http://schemas.openxmlformats.org/officeDocument/2006/relationships/hyperlink" Target="https://www.immoscout24.ch/fr/appartement/acheter/lieu-magadino" TargetMode="External"/><Relationship Id="rId1755" Type="http://schemas.openxmlformats.org/officeDocument/2006/relationships/hyperlink" Target="https://www.immoscout24.ch/fr/appartement/louer/lieu-farvagny-le-petit" TargetMode="External"/><Relationship Id="rId1756" Type="http://schemas.openxmlformats.org/officeDocument/2006/relationships/hyperlink" Target="https://www.immoscout24.ch/fr/appartement/louer/lieu-ulrichen" TargetMode="External"/><Relationship Id="rId1757" Type="http://schemas.openxmlformats.org/officeDocument/2006/relationships/hyperlink" Target="https://www.immoscout24.ch/fr/maison/acheter/lieu-worblaufen" TargetMode="External"/><Relationship Id="rId1758" Type="http://schemas.openxmlformats.org/officeDocument/2006/relationships/hyperlink" Target="https://www.immoscout24.ch/fr/appartement/louer/lieu-avry-sur-matran" TargetMode="External"/><Relationship Id="rId1759" Type="http://schemas.openxmlformats.org/officeDocument/2006/relationships/hyperlink" Target="https://www.immoscout24.ch/fr/appartement/louer/lieu-berikon" TargetMode="External"/><Relationship Id="rId1750" Type="http://schemas.openxmlformats.org/officeDocument/2006/relationships/hyperlink" Target="https://www.immoscout24.ch/fr/maison/louer/lieu-eschlikon-tg" TargetMode="External"/><Relationship Id="rId1751" Type="http://schemas.openxmlformats.org/officeDocument/2006/relationships/hyperlink" Target="https://www.immoscout24.ch/fr/maison/acheter/lieu-taeuffelen" TargetMode="External"/><Relationship Id="rId1741" Type="http://schemas.openxmlformats.org/officeDocument/2006/relationships/hyperlink" Target="https://www.immoscout24.ch/fr/appartement/louer/lieu-agra" TargetMode="External"/><Relationship Id="rId1742" Type="http://schemas.openxmlformats.org/officeDocument/2006/relationships/hyperlink" Target="https://www.immoscout24.ch/fr/appartement/acheter/lieu-morgins" TargetMode="External"/><Relationship Id="rId1743" Type="http://schemas.openxmlformats.org/officeDocument/2006/relationships/hyperlink" Target="https://www.immoscout24.ch/fr/appartement/louer/region-march-hofe" TargetMode="External"/><Relationship Id="rId1744" Type="http://schemas.openxmlformats.org/officeDocument/2006/relationships/hyperlink" Target="https://www.immoscout24.ch/fr/appartement/acheter/quartier-albisrieden-zurich" TargetMode="External"/><Relationship Id="rId1745" Type="http://schemas.openxmlformats.org/officeDocument/2006/relationships/hyperlink" Target="https://www.immoscout24.ch/fr/appartement/louer/lieu-lausanne-25" TargetMode="External"/><Relationship Id="rId1746" Type="http://schemas.openxmlformats.org/officeDocument/2006/relationships/hyperlink" Target="https://www.immoscout24.ch/fr/maison/louer/lieu-st-maurice" TargetMode="External"/><Relationship Id="rId1747" Type="http://schemas.openxmlformats.org/officeDocument/2006/relationships/hyperlink" Target="https://www.immoscout24.ch/fr/maison/louer/lieu-plasselb" TargetMode="External"/><Relationship Id="rId1748" Type="http://schemas.openxmlformats.org/officeDocument/2006/relationships/hyperlink" Target="https://www.immoscout24.ch/fr/appartement/acheter/lieu-muenchenbuchsee" TargetMode="External"/><Relationship Id="rId1749" Type="http://schemas.openxmlformats.org/officeDocument/2006/relationships/hyperlink" Target="https://www.immoscout24.ch/fr/appartement/acheter/lieu-leukerbad" TargetMode="External"/><Relationship Id="rId1740" Type="http://schemas.openxmlformats.org/officeDocument/2006/relationships/hyperlink" Target="https://www.immoscout24.ch/fr/appartement/louer/lieu-novaggio" TargetMode="External"/><Relationship Id="rId5291" Type="http://schemas.openxmlformats.org/officeDocument/2006/relationships/hyperlink" Target="https://www.immoscout24.ch/fr/maison/acheter/lieu-niva-vallemaggia" TargetMode="External"/><Relationship Id="rId5292" Type="http://schemas.openxmlformats.org/officeDocument/2006/relationships/hyperlink" Target="https://www.immoscout24.ch/fr/appartement/louer/lieu-leysin" TargetMode="External"/><Relationship Id="rId5290" Type="http://schemas.openxmlformats.org/officeDocument/2006/relationships/hyperlink" Target="https://www.immoscout24.ch/fr/appartement/acheter/pays-thailand" TargetMode="External"/><Relationship Id="rId5295" Type="http://schemas.openxmlformats.org/officeDocument/2006/relationships/hyperlink" Target="https://www.immoscout24.ch/fr/maison/acheter/lieu-niederwangen-b-bern" TargetMode="External"/><Relationship Id="rId5296" Type="http://schemas.openxmlformats.org/officeDocument/2006/relationships/hyperlink" Target="https://www.immoscout24.ch/fr/appartement/louer/canton-tessin" TargetMode="External"/><Relationship Id="rId5293" Type="http://schemas.openxmlformats.org/officeDocument/2006/relationships/hyperlink" Target="https://www.immoscout24.ch/fr/appartement/acheter/lieu-la-chaux-de-fonds" TargetMode="External"/><Relationship Id="rId5294" Type="http://schemas.openxmlformats.org/officeDocument/2006/relationships/hyperlink" Target="https://www.immoscout24.ch/fr/appartement/louer/region-lavaux-vevey" TargetMode="External"/><Relationship Id="rId5299" Type="http://schemas.openxmlformats.org/officeDocument/2006/relationships/hyperlink" Target="https://www.immoscout24.ch/fr/appartement/louer/lieu-vaz-obervaz" TargetMode="External"/><Relationship Id="rId5297" Type="http://schemas.openxmlformats.org/officeDocument/2006/relationships/hyperlink" Target="https://www.immoscout24.ch/fr/appartement/acheter/lieu-sarnen" TargetMode="External"/><Relationship Id="rId5298" Type="http://schemas.openxmlformats.org/officeDocument/2006/relationships/hyperlink" Target="https://www.immoscout24.ch/fr/appartement/acheter/lieu-prangins" TargetMode="External"/><Relationship Id="rId5280" Type="http://schemas.openxmlformats.org/officeDocument/2006/relationships/hyperlink" Target="https://www.immoscout24.ch/fr/appartement/louer/lieu-nyon" TargetMode="External"/><Relationship Id="rId5281" Type="http://schemas.openxmlformats.org/officeDocument/2006/relationships/hyperlink" Target="https://www.immoscout24.ch/fr/appartement/acheter/lieu-st-luc" TargetMode="External"/><Relationship Id="rId5284" Type="http://schemas.openxmlformats.org/officeDocument/2006/relationships/hyperlink" Target="https://www.immoscout24.ch/fr/appartement/acheter/lieu-porsel" TargetMode="External"/><Relationship Id="rId5285" Type="http://schemas.openxmlformats.org/officeDocument/2006/relationships/hyperlink" Target="https://www.immoscout24.ch/fr/appartement/acheter/lieu-chene-bourg" TargetMode="External"/><Relationship Id="rId5282" Type="http://schemas.openxmlformats.org/officeDocument/2006/relationships/hyperlink" Target="https://www.immoscout24.ch/fr/maison/louer/lieu-mur-vully-fr" TargetMode="External"/><Relationship Id="rId5283" Type="http://schemas.openxmlformats.org/officeDocument/2006/relationships/hyperlink" Target="https://www.immoscout24.ch/fr/appartement/louer/lieu-lamone" TargetMode="External"/><Relationship Id="rId5288" Type="http://schemas.openxmlformats.org/officeDocument/2006/relationships/hyperlink" Target="https://www.immoscout24.ch/fr/maison/louer/region-haut-valais" TargetMode="External"/><Relationship Id="rId5289" Type="http://schemas.openxmlformats.org/officeDocument/2006/relationships/hyperlink" Target="https://www.immoscout24.ch/fr/maison/acheter/lieu-montbovon" TargetMode="External"/><Relationship Id="rId5286" Type="http://schemas.openxmlformats.org/officeDocument/2006/relationships/hyperlink" Target="https://www.immoscout24.ch/fr/appartement/louer/quartier-barbengo-lugano" TargetMode="External"/><Relationship Id="rId5287" Type="http://schemas.openxmlformats.org/officeDocument/2006/relationships/hyperlink" Target="https://www.immoscout24.ch/fr/maison/acheter/quartier-sallaz-vennes-sechaud-lausanne" TargetMode="External"/><Relationship Id="rId1710" Type="http://schemas.openxmlformats.org/officeDocument/2006/relationships/hyperlink" Target="https://www.immoscout24.ch/fr/appartement/louer/lieu-les-reussilles" TargetMode="External"/><Relationship Id="rId1711" Type="http://schemas.openxmlformats.org/officeDocument/2006/relationships/hyperlink" Target="https://www.immoscout24.ch/fr/maison/acheter/lieu-romainmotier" TargetMode="External"/><Relationship Id="rId1712" Type="http://schemas.openxmlformats.org/officeDocument/2006/relationships/hyperlink" Target="https://www.immoscout24.ch/fr/appartement/acheter/lieu-soyhieres" TargetMode="External"/><Relationship Id="rId1713" Type="http://schemas.openxmlformats.org/officeDocument/2006/relationships/hyperlink" Target="https://www.immoscout24.ch/fr/appartement/louer/lieu-lucens" TargetMode="External"/><Relationship Id="rId1714" Type="http://schemas.openxmlformats.org/officeDocument/2006/relationships/hyperlink" Target="https://www.immoscout24.ch/fr/appartement/louer/lieu-feuerthalen" TargetMode="External"/><Relationship Id="rId1715" Type="http://schemas.openxmlformats.org/officeDocument/2006/relationships/hyperlink" Target="https://www.immoscout24.ch/fr/appartement/acheter/lieu-bivio" TargetMode="External"/><Relationship Id="rId1716" Type="http://schemas.openxmlformats.org/officeDocument/2006/relationships/hyperlink" Target="https://www.immoscout24.ch/fr/maison/acheter/lieu-sala-capriasca" TargetMode="External"/><Relationship Id="rId1717" Type="http://schemas.openxmlformats.org/officeDocument/2006/relationships/hyperlink" Target="https://www.immoscout24.ch/fr/appartement/louer/quartier-cretets-la-chaux-de-fonds" TargetMode="External"/><Relationship Id="rId1718" Type="http://schemas.openxmlformats.org/officeDocument/2006/relationships/hyperlink" Target="https://www.immoscout24.ch/fr/appartement/louer/lieu-anzere" TargetMode="External"/><Relationship Id="rId1719" Type="http://schemas.openxmlformats.org/officeDocument/2006/relationships/hyperlink" Target="https://www.immoscout24.ch/fr/appartement/louer/lieu-eschenbach-sg" TargetMode="External"/><Relationship Id="rId1700" Type="http://schemas.openxmlformats.org/officeDocument/2006/relationships/hyperlink" Target="https://www.immoscout24.ch/fr/appartement/louer/lieu-morlon" TargetMode="External"/><Relationship Id="rId1701" Type="http://schemas.openxmlformats.org/officeDocument/2006/relationships/hyperlink" Target="https://www.immoscout24.ch/fr/maison/acheter/lieu-morcles" TargetMode="External"/><Relationship Id="rId1702" Type="http://schemas.openxmlformats.org/officeDocument/2006/relationships/hyperlink" Target="https://www.immoscout24.ch/fr/appartement/louer/lieu-bretigny-sur-morrens" TargetMode="External"/><Relationship Id="rId1703" Type="http://schemas.openxmlformats.org/officeDocument/2006/relationships/hyperlink" Target="https://www.immoscout24.ch/fr/appartement/acheter/lieu-evilard" TargetMode="External"/><Relationship Id="rId1704" Type="http://schemas.openxmlformats.org/officeDocument/2006/relationships/hyperlink" Target="https://www.immoscout24.ch/fr/maison/acheter/lieu-aproz-nendaz" TargetMode="External"/><Relationship Id="rId1705" Type="http://schemas.openxmlformats.org/officeDocument/2006/relationships/hyperlink" Target="https://www.immoscout24.ch/fr/appartement/louer/lieu-luescherz" TargetMode="External"/><Relationship Id="rId1706" Type="http://schemas.openxmlformats.org/officeDocument/2006/relationships/hyperlink" Target="https://www.immoscout24.ch/fr/appartement/louer/lieu-grandcour" TargetMode="External"/><Relationship Id="rId1707" Type="http://schemas.openxmlformats.org/officeDocument/2006/relationships/hyperlink" Target="https://www.immoscout24.ch/fr/appartement/acheter/lieu-lully-fr" TargetMode="External"/><Relationship Id="rId1708" Type="http://schemas.openxmlformats.org/officeDocument/2006/relationships/hyperlink" Target="https://www.immoscout24.ch/fr/appartement/louer/lieu-brot-dessous" TargetMode="External"/><Relationship Id="rId1709" Type="http://schemas.openxmlformats.org/officeDocument/2006/relationships/hyperlink" Target="https://www.immoscout24.ch/fr/appartement/louer/lieu-sedeilles" TargetMode="External"/><Relationship Id="rId40" Type="http://schemas.openxmlformats.org/officeDocument/2006/relationships/hyperlink" Target="https://www.immoscout24.ch/fr/maison/louer/lieu-dompierre-fr" TargetMode="External"/><Relationship Id="rId42" Type="http://schemas.openxmlformats.org/officeDocument/2006/relationships/hyperlink" Target="https://www.immoscout24.ch/fr/maison/acheter/lieu-kaisten" TargetMode="External"/><Relationship Id="rId41" Type="http://schemas.openxmlformats.org/officeDocument/2006/relationships/hyperlink" Target="https://www.immoscout24.ch/fr/maison/acheter/lieu-bex" TargetMode="External"/><Relationship Id="rId44" Type="http://schemas.openxmlformats.org/officeDocument/2006/relationships/hyperlink" Target="https://www.immoscout24.ch/fr/appartement/acheter/quartier-bethlehem-berne" TargetMode="External"/><Relationship Id="rId43" Type="http://schemas.openxmlformats.org/officeDocument/2006/relationships/hyperlink" Target="https://www.immoscout24.ch/fr/appartement/acheter/lieu-les-charbonnieres" TargetMode="External"/><Relationship Id="rId46" Type="http://schemas.openxmlformats.org/officeDocument/2006/relationships/hyperlink" Target="https://www.immoscout24.ch/fr/appartement/louer/lieu-dizy" TargetMode="External"/><Relationship Id="rId45" Type="http://schemas.openxmlformats.org/officeDocument/2006/relationships/hyperlink" Target="https://www.immoscout24.ch/fr/maison/acheter/lieu-granges-paccot" TargetMode="External"/><Relationship Id="rId48" Type="http://schemas.openxmlformats.org/officeDocument/2006/relationships/hyperlink" Target="https://www.immoscout24.ch/fr/maison/louer/lieu-prez-vers-noreaz" TargetMode="External"/><Relationship Id="rId47" Type="http://schemas.openxmlformats.org/officeDocument/2006/relationships/hyperlink" Target="https://www.immoscout24.ch/fr/maison/acheter/lieu-bellinzona" TargetMode="External"/><Relationship Id="rId49" Type="http://schemas.openxmlformats.org/officeDocument/2006/relationships/hyperlink" Target="https://www.immoscout24.ch/fr/appartement/acheter/pays-montenegro" TargetMode="External"/><Relationship Id="rId31" Type="http://schemas.openxmlformats.org/officeDocument/2006/relationships/hyperlink" Target="https://www.immoscout24.ch/fr/maison/louer/lieu-vandoeuvres" TargetMode="External"/><Relationship Id="rId30" Type="http://schemas.openxmlformats.org/officeDocument/2006/relationships/hyperlink" Target="https://www.immoscout24.ch/fr/maison/acheter/lieu-eiken" TargetMode="External"/><Relationship Id="rId33" Type="http://schemas.openxmlformats.org/officeDocument/2006/relationships/hyperlink" Target="https://www.immoscout24.ch/fr/maison/acheter/lieu-neuenkirch" TargetMode="External"/><Relationship Id="rId32" Type="http://schemas.openxmlformats.org/officeDocument/2006/relationships/hyperlink" Target="https://www.immoscout24.ch/fr/maison/acheter/lieu-russy" TargetMode="External"/><Relationship Id="rId35" Type="http://schemas.openxmlformats.org/officeDocument/2006/relationships/hyperlink" Target="https://www.immoscout24.ch/fr/maison/acheter/lieu-amriswil" TargetMode="External"/><Relationship Id="rId34" Type="http://schemas.openxmlformats.org/officeDocument/2006/relationships/hyperlink" Target="https://www.immoscout24.ch/fr/appartement/louer/lieu-dompierre-fr" TargetMode="External"/><Relationship Id="rId37" Type="http://schemas.openxmlformats.org/officeDocument/2006/relationships/hyperlink" Target="https://www.immoscout24.ch/fr/appartement/louer/lieu-moutier" TargetMode="External"/><Relationship Id="rId36" Type="http://schemas.openxmlformats.org/officeDocument/2006/relationships/hyperlink" Target="https://www.immoscout24.ch/fr/appartement/louer/quartier-vorstaedte-bale" TargetMode="External"/><Relationship Id="rId39" Type="http://schemas.openxmlformats.org/officeDocument/2006/relationships/hyperlink" Target="https://www.immoscout24.ch/fr/maison/louer/lieu-promasens" TargetMode="External"/><Relationship Id="rId38" Type="http://schemas.openxmlformats.org/officeDocument/2006/relationships/hyperlink" Target="https://www.immoscout24.ch/fr/appartement/acheter/lieu-soerenberg" TargetMode="External"/><Relationship Id="rId20" Type="http://schemas.openxmlformats.org/officeDocument/2006/relationships/hyperlink" Target="https://www.immoscout24.ch/fr/maison/acheter/lieu-carabietta" TargetMode="External"/><Relationship Id="rId22" Type="http://schemas.openxmlformats.org/officeDocument/2006/relationships/hyperlink" Target="https://www.immoscout24.ch/fr/maison/acheter/lieu-villeneuve-fr" TargetMode="External"/><Relationship Id="rId21" Type="http://schemas.openxmlformats.org/officeDocument/2006/relationships/hyperlink" Target="https://www.immoscout24.ch/fr/appartement/acheter/lieu-finhaut" TargetMode="External"/><Relationship Id="rId24" Type="http://schemas.openxmlformats.org/officeDocument/2006/relationships/hyperlink" Target="https://www.immoscout24.ch/fr/maison/acheter/lieu-gumefens" TargetMode="External"/><Relationship Id="rId23" Type="http://schemas.openxmlformats.org/officeDocument/2006/relationships/hyperlink" Target="https://www.immoscout24.ch/fr/appartement/acheter/lieu-arolla" TargetMode="External"/><Relationship Id="rId26" Type="http://schemas.openxmlformats.org/officeDocument/2006/relationships/hyperlink" Target="https://www.immoscout24.ch/fr/appartement/acheter/lieu-jonen" TargetMode="External"/><Relationship Id="rId25" Type="http://schemas.openxmlformats.org/officeDocument/2006/relationships/hyperlink" Target="https://www.immoscout24.ch/fr/maison/acheter/lieu-engi" TargetMode="External"/><Relationship Id="rId28" Type="http://schemas.openxmlformats.org/officeDocument/2006/relationships/hyperlink" Target="https://www.immoscout24.ch/fr/appartement/louer/lieu-koelliken" TargetMode="External"/><Relationship Id="rId27" Type="http://schemas.openxmlformats.org/officeDocument/2006/relationships/hyperlink" Target="https://www.immoscout24.ch/fr/appartement/acheter/lieu-freienbach" TargetMode="External"/><Relationship Id="rId29" Type="http://schemas.openxmlformats.org/officeDocument/2006/relationships/hyperlink" Target="https://www.immoscout24.ch/fr/appartement/louer/lieu-rheinau" TargetMode="External"/><Relationship Id="rId11" Type="http://schemas.openxmlformats.org/officeDocument/2006/relationships/hyperlink" Target="https://www.immoscout24.ch/fr/appartement/louer/lieu-daettwil-ag" TargetMode="External"/><Relationship Id="rId10" Type="http://schemas.openxmlformats.org/officeDocument/2006/relationships/hyperlink" Target="https://www.immoscout24.ch/fr/appartement/louer/lieu-wollerau" TargetMode="External"/><Relationship Id="rId13" Type="http://schemas.openxmlformats.org/officeDocument/2006/relationships/hyperlink" Target="https://www.immoscout24.ch/fr/maison/acheter/lieu-marly" TargetMode="External"/><Relationship Id="rId12" Type="http://schemas.openxmlformats.org/officeDocument/2006/relationships/hyperlink" Target="https://www.immoscout24.ch/fr/appartement/louer/lieu-les-breuleux" TargetMode="External"/><Relationship Id="rId15" Type="http://schemas.openxmlformats.org/officeDocument/2006/relationships/hyperlink" Target="https://www.immoscout24.ch/fr/appartement/acheter/lieu-ecuvillens" TargetMode="External"/><Relationship Id="rId14" Type="http://schemas.openxmlformats.org/officeDocument/2006/relationships/hyperlink" Target="https://www.immoscout24.ch/fr/maison/louer/region-olten-thal-gaeu-gosgen" TargetMode="External"/><Relationship Id="rId17" Type="http://schemas.openxmlformats.org/officeDocument/2006/relationships/hyperlink" Target="https://www.immoscout24.ch/fr/appartement/acheter/lieu-tramelan" TargetMode="External"/><Relationship Id="rId16" Type="http://schemas.openxmlformats.org/officeDocument/2006/relationships/hyperlink" Target="https://www.immoscout24.ch/fr/maison/acheter/lieu-fontaines-sur-grandson" TargetMode="External"/><Relationship Id="rId19" Type="http://schemas.openxmlformats.org/officeDocument/2006/relationships/hyperlink" Target="https://www.immoscout24.ch/fr/appartement/louer/lieu-boningen" TargetMode="External"/><Relationship Id="rId18" Type="http://schemas.openxmlformats.org/officeDocument/2006/relationships/hyperlink" Target="https://www.immoscout24.ch/fr/maison/louer/quartier-jura-fribourg" TargetMode="External"/><Relationship Id="rId84" Type="http://schemas.openxmlformats.org/officeDocument/2006/relationships/hyperlink" Target="https://www.immoscout24.ch/fr/maison/louer/lieu-aarburg" TargetMode="External"/><Relationship Id="rId1774" Type="http://schemas.openxmlformats.org/officeDocument/2006/relationships/hyperlink" Target="https://www.immoscout24.ch/fr/appartement/acheter/lieu-roeschenz" TargetMode="External"/><Relationship Id="rId83" Type="http://schemas.openxmlformats.org/officeDocument/2006/relationships/hyperlink" Target="https://www.immoscout24.ch/fr/appartement/acheter/lieu-sierre" TargetMode="External"/><Relationship Id="rId1775" Type="http://schemas.openxmlformats.org/officeDocument/2006/relationships/hyperlink" Target="https://www.immoscout24.ch/fr/maison/acheter/lieu-gempenach" TargetMode="External"/><Relationship Id="rId86" Type="http://schemas.openxmlformats.org/officeDocument/2006/relationships/hyperlink" Target="https://www.immoscout24.ch/fr/maison/acheter/lieu-vaulion" TargetMode="External"/><Relationship Id="rId1776" Type="http://schemas.openxmlformats.org/officeDocument/2006/relationships/hyperlink" Target="https://www.immoscout24.ch/fr/appartement/louer/lieu-toffen" TargetMode="External"/><Relationship Id="rId85" Type="http://schemas.openxmlformats.org/officeDocument/2006/relationships/hyperlink" Target="https://www.immoscout24.ch/fr/appartement/louer/lieu-courtedoux" TargetMode="External"/><Relationship Id="rId1777" Type="http://schemas.openxmlformats.org/officeDocument/2006/relationships/hyperlink" Target="https://www.immoscout24.ch/fr/maison/acheter/lieu-cornaux-ne" TargetMode="External"/><Relationship Id="rId88" Type="http://schemas.openxmlformats.org/officeDocument/2006/relationships/hyperlink" Target="https://www.immoscout24.ch/fr/appartement/louer/lieu-zollikon" TargetMode="External"/><Relationship Id="rId1778" Type="http://schemas.openxmlformats.org/officeDocument/2006/relationships/hyperlink" Target="https://www.immoscout24.ch/fr/maison/louer/lieu-st-imier" TargetMode="External"/><Relationship Id="rId87" Type="http://schemas.openxmlformats.org/officeDocument/2006/relationships/hyperlink" Target="https://www.immoscout24.ch/fr/appartement/louer/region-guerbetal-voralpen" TargetMode="External"/><Relationship Id="rId1779" Type="http://schemas.openxmlformats.org/officeDocument/2006/relationships/hyperlink" Target="https://www.immoscout24.ch/fr/maison/acheter/lieu-chezard-st-martin" TargetMode="External"/><Relationship Id="rId89" Type="http://schemas.openxmlformats.org/officeDocument/2006/relationships/hyperlink" Target="https://www.immoscout24.ch/fr/maison/acheter/lieu-chiasso" TargetMode="External"/><Relationship Id="rId80" Type="http://schemas.openxmlformats.org/officeDocument/2006/relationships/hyperlink" Target="https://www.immoscout24.ch/fr/appartement/louer/lieu-rances" TargetMode="External"/><Relationship Id="rId82" Type="http://schemas.openxmlformats.org/officeDocument/2006/relationships/hyperlink" Target="https://www.immoscout24.ch/fr/maison/louer/lieu-ferpicloz" TargetMode="External"/><Relationship Id="rId81" Type="http://schemas.openxmlformats.org/officeDocument/2006/relationships/hyperlink" Target="https://www.immoscout24.ch/fr/appartement/louer/lieu-rose" TargetMode="External"/><Relationship Id="rId1770" Type="http://schemas.openxmlformats.org/officeDocument/2006/relationships/hyperlink" Target="https://www.immoscout24.ch/fr/maison/acheter/lieu-walperswil" TargetMode="External"/><Relationship Id="rId1771" Type="http://schemas.openxmlformats.org/officeDocument/2006/relationships/hyperlink" Target="https://www.immoscout24.ch/fr/maison/acheter/lieu-basel" TargetMode="External"/><Relationship Id="rId1772" Type="http://schemas.openxmlformats.org/officeDocument/2006/relationships/hyperlink" Target="https://www.immoscout24.ch/fr/maison/acheter/lieu-habkern" TargetMode="External"/><Relationship Id="rId1773" Type="http://schemas.openxmlformats.org/officeDocument/2006/relationships/hyperlink" Target="https://www.immoscout24.ch/fr/maison/acheter/lieu-horw" TargetMode="External"/><Relationship Id="rId73" Type="http://schemas.openxmlformats.org/officeDocument/2006/relationships/hyperlink" Target="https://www.immoscout24.ch/fr/maison/acheter/region-toggenburg" TargetMode="External"/><Relationship Id="rId1763" Type="http://schemas.openxmlformats.org/officeDocument/2006/relationships/hyperlink" Target="https://www.immoscout24.ch/fr/appartement/acheter/lieu-schoetz" TargetMode="External"/><Relationship Id="rId72" Type="http://schemas.openxmlformats.org/officeDocument/2006/relationships/hyperlink" Target="https://www.immoscout24.ch/fr/appartement/louer/lieu-thierachern" TargetMode="External"/><Relationship Id="rId1764" Type="http://schemas.openxmlformats.org/officeDocument/2006/relationships/hyperlink" Target="https://www.immoscout24.ch/fr/appartement/acheter/lieu-montreux" TargetMode="External"/><Relationship Id="rId75" Type="http://schemas.openxmlformats.org/officeDocument/2006/relationships/hyperlink" Target="https://www.immoscout24.ch/fr/maison/louer/lieu-bramois" TargetMode="External"/><Relationship Id="rId1765" Type="http://schemas.openxmlformats.org/officeDocument/2006/relationships/hyperlink" Target="https://www.immoscout24.ch/fr/appartement/louer/lieu-ecoteaux" TargetMode="External"/><Relationship Id="rId74" Type="http://schemas.openxmlformats.org/officeDocument/2006/relationships/hyperlink" Target="https://www.immoscout24.ch/fr/maison/louer/canton-geneve" TargetMode="External"/><Relationship Id="rId1766" Type="http://schemas.openxmlformats.org/officeDocument/2006/relationships/hyperlink" Target="https://www.immoscout24.ch/fr/appartement/louer/lieu-demoret" TargetMode="External"/><Relationship Id="rId77" Type="http://schemas.openxmlformats.org/officeDocument/2006/relationships/hyperlink" Target="https://www.immoscout24.ch/fr/appartement/acheter/lieu-grandcour" TargetMode="External"/><Relationship Id="rId1767" Type="http://schemas.openxmlformats.org/officeDocument/2006/relationships/hyperlink" Target="https://www.immoscout24.ch/fr/maison/acheter/lieu-mission" TargetMode="External"/><Relationship Id="rId76" Type="http://schemas.openxmlformats.org/officeDocument/2006/relationships/hyperlink" Target="https://www.immoscout24.ch/fr/appartement/acheter/pays-espagne" TargetMode="External"/><Relationship Id="rId1768" Type="http://schemas.openxmlformats.org/officeDocument/2006/relationships/hyperlink" Target="https://www.immoscout24.ch/fr/maison/louer/lieu-vevey" TargetMode="External"/><Relationship Id="rId79" Type="http://schemas.openxmlformats.org/officeDocument/2006/relationships/hyperlink" Target="https://www.immoscout24.ch/fr/appartement/acheter/lieu-lengnau-be" TargetMode="External"/><Relationship Id="rId1769" Type="http://schemas.openxmlformats.org/officeDocument/2006/relationships/hyperlink" Target="https://www.immoscout24.ch/fr/maison/acheter/lieu-castel-san-pietro" TargetMode="External"/><Relationship Id="rId78" Type="http://schemas.openxmlformats.org/officeDocument/2006/relationships/hyperlink" Target="https://www.immoscout24.ch/fr/maison/acheter/lieu-eich" TargetMode="External"/><Relationship Id="rId71" Type="http://schemas.openxmlformats.org/officeDocument/2006/relationships/hyperlink" Target="https://www.immoscout24.ch/fr/appartement/acheter/lieu-disentis-muster" TargetMode="External"/><Relationship Id="rId70" Type="http://schemas.openxmlformats.org/officeDocument/2006/relationships/hyperlink" Target="https://www.immoscout24.ch/fr/appartement/louer/lieu-puidoux" TargetMode="External"/><Relationship Id="rId1760" Type="http://schemas.openxmlformats.org/officeDocument/2006/relationships/hyperlink" Target="https://www.immoscout24.ch/fr/maison/acheter/quartier-seebach-zurich" TargetMode="External"/><Relationship Id="rId1761" Type="http://schemas.openxmlformats.org/officeDocument/2006/relationships/hyperlink" Target="https://www.immoscout24.ch/fr/appartement/acheter/canton-neuchatel" TargetMode="External"/><Relationship Id="rId1762" Type="http://schemas.openxmlformats.org/officeDocument/2006/relationships/hyperlink" Target="https://www.immoscout24.ch/fr/appartement/louer/lieu-st-urban" TargetMode="External"/><Relationship Id="rId62" Type="http://schemas.openxmlformats.org/officeDocument/2006/relationships/hyperlink" Target="https://www.immoscout24.ch/fr/appartement/louer/lieu-lully-fr" TargetMode="External"/><Relationship Id="rId1796" Type="http://schemas.openxmlformats.org/officeDocument/2006/relationships/hyperlink" Target="https://www.immoscout24.ch/fr/maison/acheter/lieu-genolier" TargetMode="External"/><Relationship Id="rId61" Type="http://schemas.openxmlformats.org/officeDocument/2006/relationships/hyperlink" Target="https://www.immoscout24.ch/fr/appartement/louer/region-jura-vaudois" TargetMode="External"/><Relationship Id="rId1797" Type="http://schemas.openxmlformats.org/officeDocument/2006/relationships/hyperlink" Target="https://www.immoscout24.ch/fr/appartement/acheter/lieu-vicosoprano" TargetMode="External"/><Relationship Id="rId64" Type="http://schemas.openxmlformats.org/officeDocument/2006/relationships/hyperlink" Target="https://www.immoscout24.ch/fr/maison/acheter/quartier-auge-fribourg" TargetMode="External"/><Relationship Id="rId1798" Type="http://schemas.openxmlformats.org/officeDocument/2006/relationships/hyperlink" Target="https://www.immoscout24.ch/fr/appartement/louer/lieu-etagnieres" TargetMode="External"/><Relationship Id="rId63" Type="http://schemas.openxmlformats.org/officeDocument/2006/relationships/hyperlink" Target="https://www.immoscout24.ch/fr/maison/acheter/lieu-klosters" TargetMode="External"/><Relationship Id="rId1799" Type="http://schemas.openxmlformats.org/officeDocument/2006/relationships/hyperlink" Target="https://www.immoscout24.ch/fr/maison/louer/lieu-cugy-fr" TargetMode="External"/><Relationship Id="rId66" Type="http://schemas.openxmlformats.org/officeDocument/2006/relationships/hyperlink" Target="https://www.immoscout24.ch/fr/appartement/louer/quartier-st-jakob-st-gall" TargetMode="External"/><Relationship Id="rId65" Type="http://schemas.openxmlformats.org/officeDocument/2006/relationships/hyperlink" Target="https://www.immoscout24.ch/fr/appartement/louer/lieu-huttwil" TargetMode="External"/><Relationship Id="rId68" Type="http://schemas.openxmlformats.org/officeDocument/2006/relationships/hyperlink" Target="https://www.immoscout24.ch/fr/appartement/louer/region-bas-valais" TargetMode="External"/><Relationship Id="rId67" Type="http://schemas.openxmlformats.org/officeDocument/2006/relationships/hyperlink" Target="https://www.immoscout24.ch/fr/appartement/acheter/lieu-lyss" TargetMode="External"/><Relationship Id="rId60" Type="http://schemas.openxmlformats.org/officeDocument/2006/relationships/hyperlink" Target="https://www.immoscout24.ch/fr/maison/acheter/lieu-buchillon" TargetMode="External"/><Relationship Id="rId69" Type="http://schemas.openxmlformats.org/officeDocument/2006/relationships/hyperlink" Target="https://www.immoscout24.ch/fr/appartement/louer/lieu-nidau" TargetMode="External"/><Relationship Id="rId1790" Type="http://schemas.openxmlformats.org/officeDocument/2006/relationships/hyperlink" Target="https://www.immoscout24.ch/fr/maison/louer/lieu-noiraigue" TargetMode="External"/><Relationship Id="rId1791" Type="http://schemas.openxmlformats.org/officeDocument/2006/relationships/hyperlink" Target="https://www.immoscout24.ch/fr/appartement/louer/lieu-le-vaud" TargetMode="External"/><Relationship Id="rId1792" Type="http://schemas.openxmlformats.org/officeDocument/2006/relationships/hyperlink" Target="https://www.immoscout24.ch/fr/appartement/louer/region-val-de-ruz" TargetMode="External"/><Relationship Id="rId1793" Type="http://schemas.openxmlformats.org/officeDocument/2006/relationships/hyperlink" Target="https://www.immoscout24.ch/fr/appartement/acheter/lieu-jongny" TargetMode="External"/><Relationship Id="rId1794" Type="http://schemas.openxmlformats.org/officeDocument/2006/relationships/hyperlink" Target="https://www.immoscout24.ch/fr/appartement/acheter/lieu-camignolo" TargetMode="External"/><Relationship Id="rId1795" Type="http://schemas.openxmlformats.org/officeDocument/2006/relationships/hyperlink" Target="https://www.immoscout24.ch/fr/appartement/louer/lieu-uttwil" TargetMode="External"/><Relationship Id="rId51" Type="http://schemas.openxmlformats.org/officeDocument/2006/relationships/hyperlink" Target="https://www.immoscout24.ch/fr/maison/louer/lieu-cormagens" TargetMode="External"/><Relationship Id="rId1785" Type="http://schemas.openxmlformats.org/officeDocument/2006/relationships/hyperlink" Target="https://www.immoscout24.ch/fr/appartement/acheter/lieu-hallwil" TargetMode="External"/><Relationship Id="rId50" Type="http://schemas.openxmlformats.org/officeDocument/2006/relationships/hyperlink" Target="https://www.immoscout24.ch/fr/appartement/louer/lieu-muriaux" TargetMode="External"/><Relationship Id="rId1786" Type="http://schemas.openxmlformats.org/officeDocument/2006/relationships/hyperlink" Target="https://www.immoscout24.ch/fr/appartement/acheter/quartier-beauregard-fribourg" TargetMode="External"/><Relationship Id="rId53" Type="http://schemas.openxmlformats.org/officeDocument/2006/relationships/hyperlink" Target="https://www.immoscout24.ch/fr/appartement/acheter/lieu-montet-glane" TargetMode="External"/><Relationship Id="rId1787" Type="http://schemas.openxmlformats.org/officeDocument/2006/relationships/hyperlink" Target="https://www.immoscout24.ch/fr/maison/louer/region-thoune-lac-de-thoune-nord" TargetMode="External"/><Relationship Id="rId52" Type="http://schemas.openxmlformats.org/officeDocument/2006/relationships/hyperlink" Target="https://www.immoscout24.ch/fr/appartement/acheter/lieu-sullens" TargetMode="External"/><Relationship Id="rId1788" Type="http://schemas.openxmlformats.org/officeDocument/2006/relationships/hyperlink" Target="https://www.immoscout24.ch/fr/appartement/louer/lieu-gross" TargetMode="External"/><Relationship Id="rId55" Type="http://schemas.openxmlformats.org/officeDocument/2006/relationships/hyperlink" Target="https://www.immoscout24.ch/fr/appartement/louer/lieu-eggiwil" TargetMode="External"/><Relationship Id="rId1789" Type="http://schemas.openxmlformats.org/officeDocument/2006/relationships/hyperlink" Target="https://www.immoscout24.ch/fr/maison/acheter/lieu-vaumarcus" TargetMode="External"/><Relationship Id="rId54" Type="http://schemas.openxmlformats.org/officeDocument/2006/relationships/hyperlink" Target="https://www.immoscout24.ch/fr/maison/acheter/lieu-glis" TargetMode="External"/><Relationship Id="rId57" Type="http://schemas.openxmlformats.org/officeDocument/2006/relationships/hyperlink" Target="https://www.immoscout24.ch/fr/appartement/louer/lieu-muehledorf-so" TargetMode="External"/><Relationship Id="rId56" Type="http://schemas.openxmlformats.org/officeDocument/2006/relationships/hyperlink" Target="https://www.immoscout24.ch/fr/maison/louer/lieu-l-abbaye" TargetMode="External"/><Relationship Id="rId59" Type="http://schemas.openxmlformats.org/officeDocument/2006/relationships/hyperlink" Target="https://www.immoscout24.ch/fr/appartement/acheter/lieu-staldenried" TargetMode="External"/><Relationship Id="rId58" Type="http://schemas.openxmlformats.org/officeDocument/2006/relationships/hyperlink" Target="https://www.immoscout24.ch/fr/maison/acheter/lieu-damphreux" TargetMode="External"/><Relationship Id="rId1780" Type="http://schemas.openxmlformats.org/officeDocument/2006/relationships/hyperlink" Target="https://www.immoscout24.ch/fr/appartement/acheter/lieu-champoussin" TargetMode="External"/><Relationship Id="rId1781" Type="http://schemas.openxmlformats.org/officeDocument/2006/relationships/hyperlink" Target="https://www.immoscout24.ch/fr/maison/acheter/lieu-lully-fr" TargetMode="External"/><Relationship Id="rId1782" Type="http://schemas.openxmlformats.org/officeDocument/2006/relationships/hyperlink" Target="https://www.immoscout24.ch/fr/appartement/louer/quartier-vinet-pontaise-lausanne" TargetMode="External"/><Relationship Id="rId1783" Type="http://schemas.openxmlformats.org/officeDocument/2006/relationships/hyperlink" Target="https://www.immoscout24.ch/fr/appartement/acheter/lieu-cronay" TargetMode="External"/><Relationship Id="rId1784" Type="http://schemas.openxmlformats.org/officeDocument/2006/relationships/hyperlink" Target="https://www.immoscout24.ch/fr/appartement/acheter/lieu-malleray" TargetMode="External"/><Relationship Id="rId349" Type="http://schemas.openxmlformats.org/officeDocument/2006/relationships/hyperlink" Target="https://www.immoscout24.ch/fr/appartement/acheter/lieu-st-gingolph" TargetMode="External"/><Relationship Id="rId348" Type="http://schemas.openxmlformats.org/officeDocument/2006/relationships/hyperlink" Target="https://www.immoscout24.ch/fr/appartement/louer/lieu-vaumarcus" TargetMode="External"/><Relationship Id="rId347" Type="http://schemas.openxmlformats.org/officeDocument/2006/relationships/hyperlink" Target="https://www.immoscout24.ch/fr/appartement/louer/lieu-aesch-zh" TargetMode="External"/><Relationship Id="rId346" Type="http://schemas.openxmlformats.org/officeDocument/2006/relationships/hyperlink" Target="https://www.immoscout24.ch/fr/maison/acheter/lieu-trelex" TargetMode="External"/><Relationship Id="rId341" Type="http://schemas.openxmlformats.org/officeDocument/2006/relationships/hyperlink" Target="https://www.immoscout24.ch/fr/appartement/louer/lieu-campione-d-italia" TargetMode="External"/><Relationship Id="rId340" Type="http://schemas.openxmlformats.org/officeDocument/2006/relationships/hyperlink" Target="https://www.immoscout24.ch/fr/maison/acheter/lieu-les-ponts-de-martel" TargetMode="External"/><Relationship Id="rId345" Type="http://schemas.openxmlformats.org/officeDocument/2006/relationships/hyperlink" Target="https://www.immoscout24.ch/fr/appartement/louer/lieu-kallnach" TargetMode="External"/><Relationship Id="rId344" Type="http://schemas.openxmlformats.org/officeDocument/2006/relationships/hyperlink" Target="https://www.immoscout24.ch/fr/appartement/louer/lieu-rougemont" TargetMode="External"/><Relationship Id="rId343" Type="http://schemas.openxmlformats.org/officeDocument/2006/relationships/hyperlink" Target="https://www.immoscout24.ch/fr/maison/louer/canton-vaud" TargetMode="External"/><Relationship Id="rId342" Type="http://schemas.openxmlformats.org/officeDocument/2006/relationships/hyperlink" Target="https://www.immoscout24.ch/fr/maison/acheter/lieu-la-roche-fr" TargetMode="External"/><Relationship Id="rId338" Type="http://schemas.openxmlformats.org/officeDocument/2006/relationships/hyperlink" Target="https://www.immoscout24.ch/fr/appartement/louer/lieu-troistorrents" TargetMode="External"/><Relationship Id="rId337" Type="http://schemas.openxmlformats.org/officeDocument/2006/relationships/hyperlink" Target="https://www.immoscout24.ch/fr/appartement/acheter/lieu-villeret" TargetMode="External"/><Relationship Id="rId336" Type="http://schemas.openxmlformats.org/officeDocument/2006/relationships/hyperlink" Target="https://www.immoscout24.ch/fr/appartement/louer/lieu-eclepens" TargetMode="External"/><Relationship Id="rId335" Type="http://schemas.openxmlformats.org/officeDocument/2006/relationships/hyperlink" Target="https://www.immoscout24.ch/fr/appartement/louer/lieu-la-roche-fr" TargetMode="External"/><Relationship Id="rId339" Type="http://schemas.openxmlformats.org/officeDocument/2006/relationships/hyperlink" Target="https://www.immoscout24.ch/fr/appartement/louer/lieu-uetliberg" TargetMode="External"/><Relationship Id="rId330" Type="http://schemas.openxmlformats.org/officeDocument/2006/relationships/hyperlink" Target="https://www.immoscout24.ch/fr/appartement/louer/region-glarnerland" TargetMode="External"/><Relationship Id="rId334" Type="http://schemas.openxmlformats.org/officeDocument/2006/relationships/hyperlink" Target="https://www.immoscout24.ch/fr/maison/acheter/quartier-nouvelle-ville-sud-biel-bienne" TargetMode="External"/><Relationship Id="rId333" Type="http://schemas.openxmlformats.org/officeDocument/2006/relationships/hyperlink" Target="https://www.immoscout24.ch/fr/appartement/acheter/lieu-flumserberg-tannenheim" TargetMode="External"/><Relationship Id="rId332" Type="http://schemas.openxmlformats.org/officeDocument/2006/relationships/hyperlink" Target="https://www.immoscout24.ch/fr/maison/acheter/lieu-st-prex" TargetMode="External"/><Relationship Id="rId331" Type="http://schemas.openxmlformats.org/officeDocument/2006/relationships/hyperlink" Target="https://www.immoscout24.ch/fr/maison/acheter/lieu-villette-lavaux" TargetMode="External"/><Relationship Id="rId5318" Type="http://schemas.openxmlformats.org/officeDocument/2006/relationships/hyperlink" Target="https://www.immoscout24.ch/fr/maison/louer/region-delemont" TargetMode="External"/><Relationship Id="rId5319" Type="http://schemas.openxmlformats.org/officeDocument/2006/relationships/hyperlink" Target="https://www.immoscout24.ch/fr/appartement/acheter/quartier-charmilles-chatelaine-geneve" TargetMode="External"/><Relationship Id="rId5316" Type="http://schemas.openxmlformats.org/officeDocument/2006/relationships/hyperlink" Target="https://www.immoscout24.ch/fr/maison/acheter/lieu-riederalp" TargetMode="External"/><Relationship Id="rId5317" Type="http://schemas.openxmlformats.org/officeDocument/2006/relationships/hyperlink" Target="https://www.immoscout24.ch/fr/maison/louer/lieu-kestenholz" TargetMode="External"/><Relationship Id="rId370" Type="http://schemas.openxmlformats.org/officeDocument/2006/relationships/hyperlink" Target="https://www.immoscout24.ch/fr/appartement/louer/lieu-verossaz" TargetMode="External"/><Relationship Id="rId369" Type="http://schemas.openxmlformats.org/officeDocument/2006/relationships/hyperlink" Target="https://www.immoscout24.ch/fr/appartement/acheter/lieu-rueras" TargetMode="External"/><Relationship Id="rId368" Type="http://schemas.openxmlformats.org/officeDocument/2006/relationships/hyperlink" Target="https://www.immoscout24.ch/fr/appartement/acheter/lieu-oberoenz" TargetMode="External"/><Relationship Id="rId363" Type="http://schemas.openxmlformats.org/officeDocument/2006/relationships/hyperlink" Target="https://www.immoscout24.ch/fr/maison/louer/lieu-soyhieres" TargetMode="External"/><Relationship Id="rId5310" Type="http://schemas.openxmlformats.org/officeDocument/2006/relationships/hyperlink" Target="https://www.immoscout24.ch/fr/maison/acheter/lieu-preonzo" TargetMode="External"/><Relationship Id="rId362" Type="http://schemas.openxmlformats.org/officeDocument/2006/relationships/hyperlink" Target="https://www.immoscout24.ch/fr/appartement/acheter/lieu-mariastein" TargetMode="External"/><Relationship Id="rId5311" Type="http://schemas.openxmlformats.org/officeDocument/2006/relationships/hyperlink" Target="https://www.immoscout24.ch/fr/maison/acheter/lieu-bellwald" TargetMode="External"/><Relationship Id="rId361" Type="http://schemas.openxmlformats.org/officeDocument/2006/relationships/hyperlink" Target="https://www.immoscout24.ch/fr/appartement/acheter/lieu-davos-platz" TargetMode="External"/><Relationship Id="rId360" Type="http://schemas.openxmlformats.org/officeDocument/2006/relationships/hyperlink" Target="https://www.immoscout24.ch/fr/appartement/louer/lieu-gretzenbach" TargetMode="External"/><Relationship Id="rId367" Type="http://schemas.openxmlformats.org/officeDocument/2006/relationships/hyperlink" Target="https://www.immoscout24.ch/fr/maison/acheter/lieu-onnens-fr" TargetMode="External"/><Relationship Id="rId5314" Type="http://schemas.openxmlformats.org/officeDocument/2006/relationships/hyperlink" Target="https://www.immoscout24.ch/fr/maison/acheter/quartier-cretets-la-chaux-de-fonds" TargetMode="External"/><Relationship Id="rId366" Type="http://schemas.openxmlformats.org/officeDocument/2006/relationships/hyperlink" Target="https://www.immoscout24.ch/fr/appartement/louer/region-littoral-neuchatelois" TargetMode="External"/><Relationship Id="rId5315" Type="http://schemas.openxmlformats.org/officeDocument/2006/relationships/hyperlink" Target="https://www.immoscout24.ch/fr/appartement/louer/quartier-spitalacker-berne" TargetMode="External"/><Relationship Id="rId365" Type="http://schemas.openxmlformats.org/officeDocument/2006/relationships/hyperlink" Target="https://www.immoscout24.ch/fr/appartement/louer/lieu-weggis" TargetMode="External"/><Relationship Id="rId5312" Type="http://schemas.openxmlformats.org/officeDocument/2006/relationships/hyperlink" Target="https://www.immoscout24.ch/fr/maison/acheter/lieu-evionnaz" TargetMode="External"/><Relationship Id="rId364" Type="http://schemas.openxmlformats.org/officeDocument/2006/relationships/hyperlink" Target="https://www.immoscout24.ch/fr/maison/acheter/lieu-granges-de-vesin" TargetMode="External"/><Relationship Id="rId5313" Type="http://schemas.openxmlformats.org/officeDocument/2006/relationships/hyperlink" Target="https://www.immoscout24.ch/fr/maison/acheter/lieu-bure" TargetMode="External"/><Relationship Id="rId95" Type="http://schemas.openxmlformats.org/officeDocument/2006/relationships/hyperlink" Target="https://www.immoscout24.ch/fr/appartement/louer/lieu-sembrancher" TargetMode="External"/><Relationship Id="rId5307" Type="http://schemas.openxmlformats.org/officeDocument/2006/relationships/hyperlink" Target="https://www.immoscout24.ch/fr/maison/acheter/lieu-les-enfers" TargetMode="External"/><Relationship Id="rId94" Type="http://schemas.openxmlformats.org/officeDocument/2006/relationships/hyperlink" Target="https://www.immoscout24.ch/fr/appartement/louer/lieu-souboz" TargetMode="External"/><Relationship Id="rId5308" Type="http://schemas.openxmlformats.org/officeDocument/2006/relationships/hyperlink" Target="https://www.immoscout24.ch/fr/appartement/louer/lieu-roches-be" TargetMode="External"/><Relationship Id="rId97" Type="http://schemas.openxmlformats.org/officeDocument/2006/relationships/hyperlink" Target="https://www.immoscout24.ch/fr/maison/louer/lieu-villmergen" TargetMode="External"/><Relationship Id="rId5305" Type="http://schemas.openxmlformats.org/officeDocument/2006/relationships/hyperlink" Target="https://www.immoscout24.ch/fr/appartement/louer/lieu-altdorf-ur" TargetMode="External"/><Relationship Id="rId96" Type="http://schemas.openxmlformats.org/officeDocument/2006/relationships/hyperlink" Target="https://www.immoscout24.ch/fr/appartement/louer/lieu-taverne" TargetMode="External"/><Relationship Id="rId5306" Type="http://schemas.openxmlformats.org/officeDocument/2006/relationships/hyperlink" Target="https://www.immoscout24.ch/fr/maison/acheter/lieu-la-chaux-des-breuleux" TargetMode="External"/><Relationship Id="rId99" Type="http://schemas.openxmlformats.org/officeDocument/2006/relationships/hyperlink" Target="https://www.immoscout24.ch/fr/appartement/louer/lieu-la-sarraz" TargetMode="External"/><Relationship Id="rId98" Type="http://schemas.openxmlformats.org/officeDocument/2006/relationships/hyperlink" Target="https://www.immoscout24.ch/fr/maison/louer/lieu-seuzach" TargetMode="External"/><Relationship Id="rId5309" Type="http://schemas.openxmlformats.org/officeDocument/2006/relationships/hyperlink" Target="https://www.immoscout24.ch/fr/maison/acheter/lieu-agiez" TargetMode="External"/><Relationship Id="rId91" Type="http://schemas.openxmlformats.org/officeDocument/2006/relationships/hyperlink" Target="https://www.immoscout24.ch/fr/maison/louer/lieu-bossonnens" TargetMode="External"/><Relationship Id="rId90" Type="http://schemas.openxmlformats.org/officeDocument/2006/relationships/hyperlink" Target="https://www.immoscout24.ch/fr/appartement/louer/lieu-riddes" TargetMode="External"/><Relationship Id="rId93" Type="http://schemas.openxmlformats.org/officeDocument/2006/relationships/hyperlink" Target="https://www.immoscout24.ch/fr/appartement/louer/lieu-onnens-fr" TargetMode="External"/><Relationship Id="rId92" Type="http://schemas.openxmlformats.org/officeDocument/2006/relationships/hyperlink" Target="https://www.immoscout24.ch/fr/appartement/louer/quartier-gandria-lugano" TargetMode="External"/><Relationship Id="rId359" Type="http://schemas.openxmlformats.org/officeDocument/2006/relationships/hyperlink" Target="https://www.immoscout24.ch/fr/maison/acheter/lieu-arisdorf" TargetMode="External"/><Relationship Id="rId358" Type="http://schemas.openxmlformats.org/officeDocument/2006/relationships/hyperlink" Target="https://www.immoscout24.ch/fr/appartement/acheter/lieu-nidau" TargetMode="External"/><Relationship Id="rId357" Type="http://schemas.openxmlformats.org/officeDocument/2006/relationships/hyperlink" Target="https://www.immoscout24.ch/fr/appartement/acheter/lieu-vevey" TargetMode="External"/><Relationship Id="rId352" Type="http://schemas.openxmlformats.org/officeDocument/2006/relationships/hyperlink" Target="https://www.immoscout24.ch/fr/appartement/louer/pays-belgique" TargetMode="External"/><Relationship Id="rId351" Type="http://schemas.openxmlformats.org/officeDocument/2006/relationships/hyperlink" Target="https://www.immoscout24.ch/fr/appartement/acheter/lieu-les-brenets" TargetMode="External"/><Relationship Id="rId5300" Type="http://schemas.openxmlformats.org/officeDocument/2006/relationships/hyperlink" Target="https://www.immoscout24.ch/fr/appartement/acheter/lieu-le-pont" TargetMode="External"/><Relationship Id="rId350" Type="http://schemas.openxmlformats.org/officeDocument/2006/relationships/hyperlink" Target="https://www.immoscout24.ch/fr/appartement/acheter/lieu-wangen-b-duebendorf" TargetMode="External"/><Relationship Id="rId356" Type="http://schemas.openxmlformats.org/officeDocument/2006/relationships/hyperlink" Target="https://www.immoscout24.ch/fr/maison/acheter/lieu-chatel-st-denis" TargetMode="External"/><Relationship Id="rId5303" Type="http://schemas.openxmlformats.org/officeDocument/2006/relationships/hyperlink" Target="https://www.immoscout24.ch/fr/appartement/louer/lieu-forel-fr" TargetMode="External"/><Relationship Id="rId355" Type="http://schemas.openxmlformats.org/officeDocument/2006/relationships/hyperlink" Target="https://www.immoscout24.ch/fr/maison/louer/lieu-pomy" TargetMode="External"/><Relationship Id="rId5304" Type="http://schemas.openxmlformats.org/officeDocument/2006/relationships/hyperlink" Target="https://www.immoscout24.ch/fr/maison/acheter/lieu-noville" TargetMode="External"/><Relationship Id="rId354" Type="http://schemas.openxmlformats.org/officeDocument/2006/relationships/hyperlink" Target="https://www.immoscout24.ch/fr/maison/acheter/lieu-longirod" TargetMode="External"/><Relationship Id="rId5301" Type="http://schemas.openxmlformats.org/officeDocument/2006/relationships/hyperlink" Target="https://www.immoscout24.ch/fr/maison/acheter/lieu-gunzwil" TargetMode="External"/><Relationship Id="rId353" Type="http://schemas.openxmlformats.org/officeDocument/2006/relationships/hyperlink" Target="https://www.immoscout24.ch/fr/maison/acheter/region-tre-valli" TargetMode="External"/><Relationship Id="rId5302" Type="http://schemas.openxmlformats.org/officeDocument/2006/relationships/hyperlink" Target="https://www.immoscout24.ch/fr/maison/acheter/lieu-st-severin" TargetMode="External"/><Relationship Id="rId305" Type="http://schemas.openxmlformats.org/officeDocument/2006/relationships/hyperlink" Target="https://www.immoscout24.ch/fr/appartement/louer/lieu-granges-veveyse" TargetMode="External"/><Relationship Id="rId304" Type="http://schemas.openxmlformats.org/officeDocument/2006/relationships/hyperlink" Target="https://www.immoscout24.ch/fr/maison/louer/lieu-ecublens-vd" TargetMode="External"/><Relationship Id="rId303" Type="http://schemas.openxmlformats.org/officeDocument/2006/relationships/hyperlink" Target="https://www.immoscout24.ch/fr/maison/acheter/lieu-bercher" TargetMode="External"/><Relationship Id="rId302" Type="http://schemas.openxmlformats.org/officeDocument/2006/relationships/hyperlink" Target="https://www.immoscout24.ch/fr/appartement/louer/lieu-fontaine-dessus-liddes" TargetMode="External"/><Relationship Id="rId309" Type="http://schemas.openxmlformats.org/officeDocument/2006/relationships/hyperlink" Target="https://www.immoscout24.ch/fr/appartement/acheter/lieu-stans" TargetMode="External"/><Relationship Id="rId308" Type="http://schemas.openxmlformats.org/officeDocument/2006/relationships/hyperlink" Target="https://www.immoscout24.ch/fr/maison/acheter/pays-france" TargetMode="External"/><Relationship Id="rId307" Type="http://schemas.openxmlformats.org/officeDocument/2006/relationships/hyperlink" Target="https://www.immoscout24.ch/fr/appartement/acheter/lieu-le-brassus" TargetMode="External"/><Relationship Id="rId306" Type="http://schemas.openxmlformats.org/officeDocument/2006/relationships/hyperlink" Target="https://www.immoscout24.ch/fr/appartement/louer/lieu-glattpark-opfikon" TargetMode="External"/><Relationship Id="rId301" Type="http://schemas.openxmlformats.org/officeDocument/2006/relationships/hyperlink" Target="https://www.immoscout24.ch/fr/appartement/louer/lieu-muerren" TargetMode="External"/><Relationship Id="rId300" Type="http://schemas.openxmlformats.org/officeDocument/2006/relationships/hyperlink" Target="https://www.immoscout24.ch/fr/appartement/acheter/canton-jura" TargetMode="External"/><Relationship Id="rId327" Type="http://schemas.openxmlformats.org/officeDocument/2006/relationships/hyperlink" Target="https://www.immoscout24.ch/fr/appartement/louer/quartier-blumenau-winterthur" TargetMode="External"/><Relationship Id="rId326" Type="http://schemas.openxmlformats.org/officeDocument/2006/relationships/hyperlink" Target="https://www.immoscout24.ch/fr/appartement/acheter/lieu-bruegg-be" TargetMode="External"/><Relationship Id="rId325" Type="http://schemas.openxmlformats.org/officeDocument/2006/relationships/hyperlink" Target="https://www.immoscout24.ch/fr/appartement/louer/lieu-pfeffingen" TargetMode="External"/><Relationship Id="rId324" Type="http://schemas.openxmlformats.org/officeDocument/2006/relationships/hyperlink" Target="https://www.immoscout24.ch/fr/appartement/louer/lieu-essertines-sur-yverdon" TargetMode="External"/><Relationship Id="rId329" Type="http://schemas.openxmlformats.org/officeDocument/2006/relationships/hyperlink" Target="https://www.immoscout24.ch/fr/maison/acheter/lieu-vuadens" TargetMode="External"/><Relationship Id="rId328" Type="http://schemas.openxmlformats.org/officeDocument/2006/relationships/hyperlink" Target="https://www.immoscout24.ch/fr/appartement/louer/lieu-preles" TargetMode="External"/><Relationship Id="rId323" Type="http://schemas.openxmlformats.org/officeDocument/2006/relationships/hyperlink" Target="https://www.immoscout24.ch/fr/appartement/louer/lieu-echichens" TargetMode="External"/><Relationship Id="rId322" Type="http://schemas.openxmlformats.org/officeDocument/2006/relationships/hyperlink" Target="https://www.immoscout24.ch/fr/appartement/acheter/region-val-de-ruz" TargetMode="External"/><Relationship Id="rId321" Type="http://schemas.openxmlformats.org/officeDocument/2006/relationships/hyperlink" Target="https://www.immoscout24.ch/fr/appartement/louer/lieu-les-rasses" TargetMode="External"/><Relationship Id="rId320" Type="http://schemas.openxmlformats.org/officeDocument/2006/relationships/hyperlink" Target="https://www.immoscout24.ch/fr/maison/acheter/quartier-centre-ville-lausanne" TargetMode="External"/><Relationship Id="rId316" Type="http://schemas.openxmlformats.org/officeDocument/2006/relationships/hyperlink" Target="https://www.immoscout24.ch/fr/maison/acheter/lieu-riehen" TargetMode="External"/><Relationship Id="rId315" Type="http://schemas.openxmlformats.org/officeDocument/2006/relationships/hyperlink" Target="https://www.immoscout24.ch/fr/appartement/acheter/lieu-sugiez" TargetMode="External"/><Relationship Id="rId314" Type="http://schemas.openxmlformats.org/officeDocument/2006/relationships/hyperlink" Target="https://www.immoscout24.ch/fr/appartement/louer/lieu-safenwil" TargetMode="External"/><Relationship Id="rId313" Type="http://schemas.openxmlformats.org/officeDocument/2006/relationships/hyperlink" Target="https://www.immoscout24.ch/fr/maison/acheter/lieu-les-bayards" TargetMode="External"/><Relationship Id="rId319" Type="http://schemas.openxmlformats.org/officeDocument/2006/relationships/hyperlink" Target="https://www.immoscout24.ch/fr/maison/acheter/lieu-st-leonard" TargetMode="External"/><Relationship Id="rId318" Type="http://schemas.openxmlformats.org/officeDocument/2006/relationships/hyperlink" Target="https://www.immoscout24.ch/fr/appartement/acheter/lieu-villa-evolene" TargetMode="External"/><Relationship Id="rId317" Type="http://schemas.openxmlformats.org/officeDocument/2006/relationships/hyperlink" Target="https://www.immoscout24.ch/fr/maison/louer/lieu-miege" TargetMode="External"/><Relationship Id="rId312" Type="http://schemas.openxmlformats.org/officeDocument/2006/relationships/hyperlink" Target="https://www.immoscout24.ch/fr/maison/acheter/lieu-ecuvillens" TargetMode="External"/><Relationship Id="rId311" Type="http://schemas.openxmlformats.org/officeDocument/2006/relationships/hyperlink" Target="https://www.immoscout24.ch/fr/appartement/acheter/lieu-kerzers" TargetMode="External"/><Relationship Id="rId310" Type="http://schemas.openxmlformats.org/officeDocument/2006/relationships/hyperlink" Target="https://www.immoscout24.ch/fr/maison/louer/lieu-lutry" TargetMode="External"/><Relationship Id="rId4040" Type="http://schemas.openxmlformats.org/officeDocument/2006/relationships/hyperlink" Target="https://www.immoscout24.ch/fr/maison/acheter/lieu-meyriez" TargetMode="External"/><Relationship Id="rId5372" Type="http://schemas.openxmlformats.org/officeDocument/2006/relationships/hyperlink" Target="https://www.immoscout24.ch/fr/maison/acheter/lieu-ayer" TargetMode="External"/><Relationship Id="rId5373" Type="http://schemas.openxmlformats.org/officeDocument/2006/relationships/hyperlink" Target="https://www.immoscout24.ch/fr/appartement/acheter/lieu-villargiroud" TargetMode="External"/><Relationship Id="rId4042" Type="http://schemas.openxmlformats.org/officeDocument/2006/relationships/hyperlink" Target="https://www.immoscout24.ch/fr/maison/acheter/pays-slovaquie" TargetMode="External"/><Relationship Id="rId5370" Type="http://schemas.openxmlformats.org/officeDocument/2006/relationships/hyperlink" Target="https://www.immoscout24.ch/fr/maison/acheter/lieu-porza" TargetMode="External"/><Relationship Id="rId4041" Type="http://schemas.openxmlformats.org/officeDocument/2006/relationships/hyperlink" Target="https://www.immoscout24.ch/fr/maison/louer/lieu-kilchberg-zh" TargetMode="External"/><Relationship Id="rId5371" Type="http://schemas.openxmlformats.org/officeDocument/2006/relationships/hyperlink" Target="https://www.immoscout24.ch/fr/appartement/acheter/lieu-rechy" TargetMode="External"/><Relationship Id="rId4044" Type="http://schemas.openxmlformats.org/officeDocument/2006/relationships/hyperlink" Target="https://www.immoscout24.ch/fr/maison/louer/region-aarau-et-environs" TargetMode="External"/><Relationship Id="rId5376" Type="http://schemas.openxmlformats.org/officeDocument/2006/relationships/hyperlink" Target="https://www.immoscout24.ch/fr/maison/acheter/lieu-berlens" TargetMode="External"/><Relationship Id="rId4043" Type="http://schemas.openxmlformats.org/officeDocument/2006/relationships/hyperlink" Target="https://www.immoscout24.ch/fr/appartement/louer/lieu-st-barthelemy-vd" TargetMode="External"/><Relationship Id="rId5377" Type="http://schemas.openxmlformats.org/officeDocument/2006/relationships/hyperlink" Target="https://www.immoscout24.ch/fr/appartement/louer/lieu-la-praz" TargetMode="External"/><Relationship Id="rId4046" Type="http://schemas.openxmlformats.org/officeDocument/2006/relationships/hyperlink" Target="https://www.immoscout24.ch/fr/maison/acheter/lieu-les-marecottes" TargetMode="External"/><Relationship Id="rId5374" Type="http://schemas.openxmlformats.org/officeDocument/2006/relationships/hyperlink" Target="https://www.immoscout24.ch/fr/maison/acheter/lieu-flums" TargetMode="External"/><Relationship Id="rId4045" Type="http://schemas.openxmlformats.org/officeDocument/2006/relationships/hyperlink" Target="https://www.immoscout24.ch/fr/maison/acheter/lieu-lucelle" TargetMode="External"/><Relationship Id="rId5375" Type="http://schemas.openxmlformats.org/officeDocument/2006/relationships/hyperlink" Target="https://www.immoscout24.ch/fr/appartement/acheter/lieu-malters" TargetMode="External"/><Relationship Id="rId4048" Type="http://schemas.openxmlformats.org/officeDocument/2006/relationships/hyperlink" Target="https://www.immoscout24.ch/fr/maison/acheter/lieu-zollikofen" TargetMode="External"/><Relationship Id="rId4047" Type="http://schemas.openxmlformats.org/officeDocument/2006/relationships/hyperlink" Target="https://www.immoscout24.ch/fr/maison/louer/lieu-chalais" TargetMode="External"/><Relationship Id="rId5378" Type="http://schemas.openxmlformats.org/officeDocument/2006/relationships/hyperlink" Target="https://www.immoscout24.ch/fr/appartement/louer/lieu-busswil-be" TargetMode="External"/><Relationship Id="rId4049" Type="http://schemas.openxmlformats.org/officeDocument/2006/relationships/hyperlink" Target="https://www.immoscout24.ch/fr/appartement/acheter/quartier-florissant-malagnou-geneve" TargetMode="External"/><Relationship Id="rId5379" Type="http://schemas.openxmlformats.org/officeDocument/2006/relationships/hyperlink" Target="https://www.immoscout24.ch/fr/maison/louer/lieu-dorenaz" TargetMode="External"/><Relationship Id="rId5361" Type="http://schemas.openxmlformats.org/officeDocument/2006/relationships/hyperlink" Target="https://www.immoscout24.ch/fr/appartement/acheter/lieu-gruyeres" TargetMode="External"/><Relationship Id="rId5362" Type="http://schemas.openxmlformats.org/officeDocument/2006/relationships/hyperlink" Target="https://www.immoscout24.ch/fr/maison/louer/lieu-cornaux-ne" TargetMode="External"/><Relationship Id="rId4031" Type="http://schemas.openxmlformats.org/officeDocument/2006/relationships/hyperlink" Target="https://www.immoscout24.ch/fr/maison/acheter/lieu-mutrux" TargetMode="External"/><Relationship Id="rId4030" Type="http://schemas.openxmlformats.org/officeDocument/2006/relationships/hyperlink" Target="https://www.immoscout24.ch/fr/maison/louer/quartier-sebeillon-malley-lausanne" TargetMode="External"/><Relationship Id="rId5360" Type="http://schemas.openxmlformats.org/officeDocument/2006/relationships/hyperlink" Target="https://www.immoscout24.ch/fr/maison/acheter/lieu-enges" TargetMode="External"/><Relationship Id="rId297" Type="http://schemas.openxmlformats.org/officeDocument/2006/relationships/hyperlink" Target="https://www.immoscout24.ch/fr/appartement/acheter/lieu-uvrier" TargetMode="External"/><Relationship Id="rId4033" Type="http://schemas.openxmlformats.org/officeDocument/2006/relationships/hyperlink" Target="https://www.immoscout24.ch/fr/appartement/acheter/lieu-mezieres-fr" TargetMode="External"/><Relationship Id="rId5365" Type="http://schemas.openxmlformats.org/officeDocument/2006/relationships/hyperlink" Target="https://www.immoscout24.ch/fr/appartement/louer/lieu-zollikofen" TargetMode="External"/><Relationship Id="rId296" Type="http://schemas.openxmlformats.org/officeDocument/2006/relationships/hyperlink" Target="https://www.immoscout24.ch/fr/maison/louer/lieu-attalens" TargetMode="External"/><Relationship Id="rId4032" Type="http://schemas.openxmlformats.org/officeDocument/2006/relationships/hyperlink" Target="https://www.immoscout24.ch/fr/maison/acheter/lieu-le-paquier-montbarry" TargetMode="External"/><Relationship Id="rId5366" Type="http://schemas.openxmlformats.org/officeDocument/2006/relationships/hyperlink" Target="https://www.immoscout24.ch/fr/appartement/louer/lieu-chatillon-ju" TargetMode="External"/><Relationship Id="rId295" Type="http://schemas.openxmlformats.org/officeDocument/2006/relationships/hyperlink" Target="https://www.immoscout24.ch/fr/maison/acheter/lieu-twann" TargetMode="External"/><Relationship Id="rId4035" Type="http://schemas.openxmlformats.org/officeDocument/2006/relationships/hyperlink" Target="https://www.immoscout24.ch/fr/maison/louer/lieu-les-bois" TargetMode="External"/><Relationship Id="rId5363" Type="http://schemas.openxmlformats.org/officeDocument/2006/relationships/hyperlink" Target="https://www.immoscout24.ch/fr/maison/acheter/lieu-locarno" TargetMode="External"/><Relationship Id="rId294" Type="http://schemas.openxmlformats.org/officeDocument/2006/relationships/hyperlink" Target="https://www.immoscout24.ch/fr/maison/acheter/lieu-strada" TargetMode="External"/><Relationship Id="rId4034" Type="http://schemas.openxmlformats.org/officeDocument/2006/relationships/hyperlink" Target="https://www.immoscout24.ch/fr/appartement/louer/lieu-schwanden-im-emmental" TargetMode="External"/><Relationship Id="rId5364" Type="http://schemas.openxmlformats.org/officeDocument/2006/relationships/hyperlink" Target="https://www.immoscout24.ch/fr/maison/acheter/lieu-villarimboud" TargetMode="External"/><Relationship Id="rId4037" Type="http://schemas.openxmlformats.org/officeDocument/2006/relationships/hyperlink" Target="https://www.immoscout24.ch/fr/maison/acheter/lieu-ennetbaden" TargetMode="External"/><Relationship Id="rId5369" Type="http://schemas.openxmlformats.org/officeDocument/2006/relationships/hyperlink" Target="https://www.immoscout24.ch/fr/appartement/louer/lieu-glattbrugg" TargetMode="External"/><Relationship Id="rId4036" Type="http://schemas.openxmlformats.org/officeDocument/2006/relationships/hyperlink" Target="https://www.immoscout24.ch/fr/maison/acheter/lieu-canobbio" TargetMode="External"/><Relationship Id="rId299" Type="http://schemas.openxmlformats.org/officeDocument/2006/relationships/hyperlink" Target="https://www.immoscout24.ch/fr/maison/louer/lieu-st-leonard" TargetMode="External"/><Relationship Id="rId4039" Type="http://schemas.openxmlformats.org/officeDocument/2006/relationships/hyperlink" Target="https://www.immoscout24.ch/fr/appartement/louer/lieu-coffrane" TargetMode="External"/><Relationship Id="rId5367" Type="http://schemas.openxmlformats.org/officeDocument/2006/relationships/hyperlink" Target="https://www.immoscout24.ch/fr/maison/acheter/region-bale-campagne-ouest" TargetMode="External"/><Relationship Id="rId298" Type="http://schemas.openxmlformats.org/officeDocument/2006/relationships/hyperlink" Target="https://www.immoscout24.ch/fr/maison/louer/quartier-chailly-rovereaz-lausanne" TargetMode="External"/><Relationship Id="rId4038" Type="http://schemas.openxmlformats.org/officeDocument/2006/relationships/hyperlink" Target="https://www.immoscout24.ch/fr/maison/louer/lieu-chabrey" TargetMode="External"/><Relationship Id="rId5368" Type="http://schemas.openxmlformats.org/officeDocument/2006/relationships/hyperlink" Target="https://www.immoscout24.ch/fr/appartement/louer/lieu-carouge-ge" TargetMode="External"/><Relationship Id="rId5390" Type="http://schemas.openxmlformats.org/officeDocument/2006/relationships/hyperlink" Target="https://www.immoscout24.ch/fr/appartement/acheter/lieu-brignon-nendaz" TargetMode="External"/><Relationship Id="rId5391" Type="http://schemas.openxmlformats.org/officeDocument/2006/relationships/hyperlink" Target="https://www.immoscout24.ch/fr/appartement/louer/lieu-uster" TargetMode="External"/><Relationship Id="rId4060" Type="http://schemas.openxmlformats.org/officeDocument/2006/relationships/hyperlink" Target="https://www.immoscout24.ch/fr/appartement/acheter/lieu-sion" TargetMode="External"/><Relationship Id="rId4062" Type="http://schemas.openxmlformats.org/officeDocument/2006/relationships/hyperlink" Target="https://www.immoscout24.ch/fr/maison/acheter/lieu-zollikon" TargetMode="External"/><Relationship Id="rId5394" Type="http://schemas.openxmlformats.org/officeDocument/2006/relationships/hyperlink" Target="https://www.immoscout24.ch/fr/appartement/louer/lieu-wattenwil" TargetMode="External"/><Relationship Id="rId4061" Type="http://schemas.openxmlformats.org/officeDocument/2006/relationships/hyperlink" Target="https://www.immoscout24.ch/fr/maison/acheter/lieu-les-thioleyres" TargetMode="External"/><Relationship Id="rId5395" Type="http://schemas.openxmlformats.org/officeDocument/2006/relationships/hyperlink" Target="https://www.immoscout24.ch/fr/appartement/louer/lieu-boswil" TargetMode="External"/><Relationship Id="rId4064" Type="http://schemas.openxmlformats.org/officeDocument/2006/relationships/hyperlink" Target="https://www.immoscout24.ch/fr/appartement/louer/lieu-les-bois" TargetMode="External"/><Relationship Id="rId5392" Type="http://schemas.openxmlformats.org/officeDocument/2006/relationships/hyperlink" Target="https://www.immoscout24.ch/fr/appartement/louer/lieu-weiach" TargetMode="External"/><Relationship Id="rId4063" Type="http://schemas.openxmlformats.org/officeDocument/2006/relationships/hyperlink" Target="https://www.immoscout24.ch/fr/appartement/acheter/lieu-samstagern" TargetMode="External"/><Relationship Id="rId5393" Type="http://schemas.openxmlformats.org/officeDocument/2006/relationships/hyperlink" Target="https://www.immoscout24.ch/fr/appartement/louer/lieu-subingen" TargetMode="External"/><Relationship Id="rId4066" Type="http://schemas.openxmlformats.org/officeDocument/2006/relationships/hyperlink" Target="https://www.immoscout24.ch/fr/maison/acheter/lieu-kirchdorf-be" TargetMode="External"/><Relationship Id="rId5398" Type="http://schemas.openxmlformats.org/officeDocument/2006/relationships/hyperlink" Target="https://www.immoscout24.ch/fr/maison/acheter/lieu-scheuren" TargetMode="External"/><Relationship Id="rId4065" Type="http://schemas.openxmlformats.org/officeDocument/2006/relationships/hyperlink" Target="https://www.immoscout24.ch/fr/appartement/louer/lieu-oberwil-lieli" TargetMode="External"/><Relationship Id="rId5399" Type="http://schemas.openxmlformats.org/officeDocument/2006/relationships/hyperlink" Target="https://www.immoscout24.ch/fr/maison/acheter/lieu-maggia" TargetMode="External"/><Relationship Id="rId4068" Type="http://schemas.openxmlformats.org/officeDocument/2006/relationships/hyperlink" Target="https://www.immoscout24.ch/fr/appartement/louer/lieu-rue" TargetMode="External"/><Relationship Id="rId5396" Type="http://schemas.openxmlformats.org/officeDocument/2006/relationships/hyperlink" Target="https://www.immoscout24.ch/fr/appartement/louer/canton-fribourg" TargetMode="External"/><Relationship Id="rId4067" Type="http://schemas.openxmlformats.org/officeDocument/2006/relationships/hyperlink" Target="https://www.immoscout24.ch/fr/appartement/louer/lieu-welschenrohr" TargetMode="External"/><Relationship Id="rId5397" Type="http://schemas.openxmlformats.org/officeDocument/2006/relationships/hyperlink" Target="https://www.immoscout24.ch/fr/maison/louer/lieu-commugny" TargetMode="External"/><Relationship Id="rId4069" Type="http://schemas.openxmlformats.org/officeDocument/2006/relationships/hyperlink" Target="https://www.immoscout24.ch/fr/appartement/louer/lieu-billens" TargetMode="External"/><Relationship Id="rId5380" Type="http://schemas.openxmlformats.org/officeDocument/2006/relationships/hyperlink" Target="https://www.immoscout24.ch/fr/appartement/louer/lieu-villarlod" TargetMode="External"/><Relationship Id="rId4051" Type="http://schemas.openxmlformats.org/officeDocument/2006/relationships/hyperlink" Target="https://www.immoscout24.ch/fr/maison/acheter/lieu-corcelles-ne" TargetMode="External"/><Relationship Id="rId5383" Type="http://schemas.openxmlformats.org/officeDocument/2006/relationships/hyperlink" Target="https://www.immoscout24.ch/fr/appartement/louer/lieu-kreuzlingen" TargetMode="External"/><Relationship Id="rId4050" Type="http://schemas.openxmlformats.org/officeDocument/2006/relationships/hyperlink" Target="https://www.immoscout24.ch/fr/maison/acheter/lieu-guemmenen" TargetMode="External"/><Relationship Id="rId5384" Type="http://schemas.openxmlformats.org/officeDocument/2006/relationships/hyperlink" Target="https://www.immoscout24.ch/fr/appartement/louer/lieu-belmont-sur-yverdon" TargetMode="External"/><Relationship Id="rId4053" Type="http://schemas.openxmlformats.org/officeDocument/2006/relationships/hyperlink" Target="https://www.immoscout24.ch/fr/appartement/acheter/lieu-embrach" TargetMode="External"/><Relationship Id="rId5381" Type="http://schemas.openxmlformats.org/officeDocument/2006/relationships/hyperlink" Target="https://www.immoscout24.ch/fr/maison/acheter/lieu-romont-be" TargetMode="External"/><Relationship Id="rId4052" Type="http://schemas.openxmlformats.org/officeDocument/2006/relationships/hyperlink" Target="https://www.immoscout24.ch/fr/appartement/louer/lieu-la-chaux-de-fonds" TargetMode="External"/><Relationship Id="rId5382" Type="http://schemas.openxmlformats.org/officeDocument/2006/relationships/hyperlink" Target="https://www.immoscout24.ch/fr/appartement/louer/lieu-kollbrunn" TargetMode="External"/><Relationship Id="rId4055" Type="http://schemas.openxmlformats.org/officeDocument/2006/relationships/hyperlink" Target="https://www.immoscout24.ch/fr/maison/louer/lieu-nyon" TargetMode="External"/><Relationship Id="rId5387" Type="http://schemas.openxmlformats.org/officeDocument/2006/relationships/hyperlink" Target="https://www.immoscout24.ch/fr/maison/acheter/lieu-s-antonino" TargetMode="External"/><Relationship Id="rId4054" Type="http://schemas.openxmlformats.org/officeDocument/2006/relationships/hyperlink" Target="https://www.immoscout24.ch/fr/appartement/acheter/lieu-chailly-montreux" TargetMode="External"/><Relationship Id="rId5388" Type="http://schemas.openxmlformats.org/officeDocument/2006/relationships/hyperlink" Target="https://www.immoscout24.ch/fr/maison/acheter/lieu-villars-sur-glane" TargetMode="External"/><Relationship Id="rId4057" Type="http://schemas.openxmlformats.org/officeDocument/2006/relationships/hyperlink" Target="https://www.immoscout24.ch/fr/appartement/louer/lieu-grandvillard" TargetMode="External"/><Relationship Id="rId5385" Type="http://schemas.openxmlformats.org/officeDocument/2006/relationships/hyperlink" Target="https://www.immoscout24.ch/fr/appartement/acheter/lieu-cugy-vd" TargetMode="External"/><Relationship Id="rId4056" Type="http://schemas.openxmlformats.org/officeDocument/2006/relationships/hyperlink" Target="https://www.immoscout24.ch/fr/appartement/acheter/lieu-silvaplana-surlej" TargetMode="External"/><Relationship Id="rId5386" Type="http://schemas.openxmlformats.org/officeDocument/2006/relationships/hyperlink" Target="https://www.immoscout24.ch/fr/maison/acheter/lieu-vogorno" TargetMode="External"/><Relationship Id="rId4059" Type="http://schemas.openxmlformats.org/officeDocument/2006/relationships/hyperlink" Target="https://www.immoscout24.ch/fr/maison/acheter/lieu-maur" TargetMode="External"/><Relationship Id="rId4058" Type="http://schemas.openxmlformats.org/officeDocument/2006/relationships/hyperlink" Target="https://www.immoscout24.ch/fr/appartement/acheter/quartier-loreto-lugano" TargetMode="External"/><Relationship Id="rId5389" Type="http://schemas.openxmlformats.org/officeDocument/2006/relationships/hyperlink" Target="https://www.immoscout24.ch/fr/appartement/louer/lieu-villigen" TargetMode="External"/><Relationship Id="rId4008" Type="http://schemas.openxmlformats.org/officeDocument/2006/relationships/hyperlink" Target="https://www.immoscout24.ch/fr/maison/acheter/lieu-dully" TargetMode="External"/><Relationship Id="rId4007" Type="http://schemas.openxmlformats.org/officeDocument/2006/relationships/hyperlink" Target="https://www.immoscout24.ch/fr/maison/acheter/lieu-orselina" TargetMode="External"/><Relationship Id="rId5338" Type="http://schemas.openxmlformats.org/officeDocument/2006/relationships/hyperlink" Target="https://www.immoscout24.ch/fr/appartement/louer/lieu-lavey-les-bains" TargetMode="External"/><Relationship Id="rId4009" Type="http://schemas.openxmlformats.org/officeDocument/2006/relationships/hyperlink" Target="https://www.immoscout24.ch/fr/appartement/louer/lieu-romanel-sur-morges" TargetMode="External"/><Relationship Id="rId5339" Type="http://schemas.openxmlformats.org/officeDocument/2006/relationships/hyperlink" Target="https://www.immoscout24.ch/fr/maison/acheter/lieu-therwil" TargetMode="External"/><Relationship Id="rId271" Type="http://schemas.openxmlformats.org/officeDocument/2006/relationships/hyperlink" Target="https://www.immoscout24.ch/fr/maison/acheter/lieu-oftringen" TargetMode="External"/><Relationship Id="rId270" Type="http://schemas.openxmlformats.org/officeDocument/2006/relationships/hyperlink" Target="https://www.immoscout24.ch/fr/appartement/acheter/lieu-plasselb" TargetMode="External"/><Relationship Id="rId269" Type="http://schemas.openxmlformats.org/officeDocument/2006/relationships/hyperlink" Target="https://www.immoscout24.ch/fr/appartement/louer/lieu-grancia" TargetMode="External"/><Relationship Id="rId264" Type="http://schemas.openxmlformats.org/officeDocument/2006/relationships/hyperlink" Target="https://www.immoscout24.ch/fr/appartement/acheter/lieu-les-geneveys-sur-coffrane" TargetMode="External"/><Relationship Id="rId4000" Type="http://schemas.openxmlformats.org/officeDocument/2006/relationships/hyperlink" Target="https://www.immoscout24.ch/fr/appartement/louer/lieu-st-legier-la-chiesaz" TargetMode="External"/><Relationship Id="rId5332" Type="http://schemas.openxmlformats.org/officeDocument/2006/relationships/hyperlink" Target="https://www.immoscout24.ch/fr/maison/louer/lieu-aadorf" TargetMode="External"/><Relationship Id="rId263" Type="http://schemas.openxmlformats.org/officeDocument/2006/relationships/hyperlink" Target="https://www.immoscout24.ch/fr/appartement/acheter/lieu-gampelen" TargetMode="External"/><Relationship Id="rId5333" Type="http://schemas.openxmlformats.org/officeDocument/2006/relationships/hyperlink" Target="https://www.immoscout24.ch/fr/maison/acheter/lieu-grono" TargetMode="External"/><Relationship Id="rId262" Type="http://schemas.openxmlformats.org/officeDocument/2006/relationships/hyperlink" Target="https://www.immoscout24.ch/fr/maison/acheter/pays-usa" TargetMode="External"/><Relationship Id="rId4002" Type="http://schemas.openxmlformats.org/officeDocument/2006/relationships/hyperlink" Target="https://www.immoscout24.ch/fr/maison/acheter/lieu-bidogno" TargetMode="External"/><Relationship Id="rId5330" Type="http://schemas.openxmlformats.org/officeDocument/2006/relationships/hyperlink" Target="https://www.immoscout24.ch/fr/maison/acheter/lieu-st-oyens" TargetMode="External"/><Relationship Id="rId261" Type="http://schemas.openxmlformats.org/officeDocument/2006/relationships/hyperlink" Target="https://www.immoscout24.ch/fr/appartement/louer/lieu-vals" TargetMode="External"/><Relationship Id="rId4001" Type="http://schemas.openxmlformats.org/officeDocument/2006/relationships/hyperlink" Target="https://www.immoscout24.ch/fr/maison/acheter/lieu-rueyres" TargetMode="External"/><Relationship Id="rId5331" Type="http://schemas.openxmlformats.org/officeDocument/2006/relationships/hyperlink" Target="https://www.immoscout24.ch/fr/appartement/louer/lieu-laupen-be" TargetMode="External"/><Relationship Id="rId268" Type="http://schemas.openxmlformats.org/officeDocument/2006/relationships/hyperlink" Target="https://www.immoscout24.ch/fr/appartement/acheter/quartier-bossons-blecherette-lausanne" TargetMode="External"/><Relationship Id="rId4004" Type="http://schemas.openxmlformats.org/officeDocument/2006/relationships/hyperlink" Target="https://www.immoscout24.ch/fr/appartement/louer/lieu-pringy" TargetMode="External"/><Relationship Id="rId5336" Type="http://schemas.openxmlformats.org/officeDocument/2006/relationships/hyperlink" Target="https://www.immoscout24.ch/fr/maison/acheter/lieu-luterbach" TargetMode="External"/><Relationship Id="rId267" Type="http://schemas.openxmlformats.org/officeDocument/2006/relationships/hyperlink" Target="https://www.immoscout24.ch/fr/maison/acheter/lieu-concise" TargetMode="External"/><Relationship Id="rId4003" Type="http://schemas.openxmlformats.org/officeDocument/2006/relationships/hyperlink" Target="https://www.immoscout24.ch/fr/appartement/acheter/canton-zoug" TargetMode="External"/><Relationship Id="rId5337" Type="http://schemas.openxmlformats.org/officeDocument/2006/relationships/hyperlink" Target="https://www.immoscout24.ch/fr/maison/louer/lieu-baden" TargetMode="External"/><Relationship Id="rId266" Type="http://schemas.openxmlformats.org/officeDocument/2006/relationships/hyperlink" Target="https://www.immoscout24.ch/fr/appartement/louer/region-laupen-sense" TargetMode="External"/><Relationship Id="rId4006" Type="http://schemas.openxmlformats.org/officeDocument/2006/relationships/hyperlink" Target="https://www.immoscout24.ch/fr/appartement/acheter/lieu-bilten" TargetMode="External"/><Relationship Id="rId5334" Type="http://schemas.openxmlformats.org/officeDocument/2006/relationships/hyperlink" Target="https://www.immoscout24.ch/fr/maison/acheter/canton-appenzell-re" TargetMode="External"/><Relationship Id="rId265" Type="http://schemas.openxmlformats.org/officeDocument/2006/relationships/hyperlink" Target="https://www.immoscout24.ch/fr/maison/acheter/lieu-lausanne-25" TargetMode="External"/><Relationship Id="rId4005" Type="http://schemas.openxmlformats.org/officeDocument/2006/relationships/hyperlink" Target="https://www.immoscout24.ch/fr/appartement/louer/lieu-senedes" TargetMode="External"/><Relationship Id="rId5335" Type="http://schemas.openxmlformats.org/officeDocument/2006/relationships/hyperlink" Target="https://www.immoscout24.ch/fr/maison/acheter/lieu-martigny" TargetMode="External"/><Relationship Id="rId5329" Type="http://schemas.openxmlformats.org/officeDocument/2006/relationships/hyperlink" Target="https://www.immoscout24.ch/fr/appartement/louer/quartier-rosenberg-st-gall" TargetMode="External"/><Relationship Id="rId5327" Type="http://schemas.openxmlformats.org/officeDocument/2006/relationships/hyperlink" Target="https://www.immoscout24.ch/fr/appartement/louer/lieu-st-leonard" TargetMode="External"/><Relationship Id="rId5328" Type="http://schemas.openxmlformats.org/officeDocument/2006/relationships/hyperlink" Target="https://www.immoscout24.ch/fr/maison/acheter/lieu-villars-sur-ollon" TargetMode="External"/><Relationship Id="rId260" Type="http://schemas.openxmlformats.org/officeDocument/2006/relationships/hyperlink" Target="https://www.immoscout24.ch/fr/maison/acheter/lieu-coinsins" TargetMode="External"/><Relationship Id="rId259" Type="http://schemas.openxmlformats.org/officeDocument/2006/relationships/hyperlink" Target="https://www.immoscout24.ch/fr/maison/acheter/lieu-st-ursanne" TargetMode="External"/><Relationship Id="rId258" Type="http://schemas.openxmlformats.org/officeDocument/2006/relationships/hyperlink" Target="https://www.immoscout24.ch/fr/appartement/louer/lieu-feusisberg" TargetMode="External"/><Relationship Id="rId253" Type="http://schemas.openxmlformats.org/officeDocument/2006/relationships/hyperlink" Target="https://www.immoscout24.ch/fr/appartement/louer/lieu-lotzwil" TargetMode="External"/><Relationship Id="rId5321" Type="http://schemas.openxmlformats.org/officeDocument/2006/relationships/hyperlink" Target="https://www.immoscout24.ch/fr/appartement/acheter/lieu-paudex" TargetMode="External"/><Relationship Id="rId252" Type="http://schemas.openxmlformats.org/officeDocument/2006/relationships/hyperlink" Target="https://www.immoscout24.ch/fr/appartement/louer/lieu-kilchberg-zh" TargetMode="External"/><Relationship Id="rId5322" Type="http://schemas.openxmlformats.org/officeDocument/2006/relationships/hyperlink" Target="https://www.immoscout24.ch/fr/maison/acheter/lieu-les-rasses" TargetMode="External"/><Relationship Id="rId251" Type="http://schemas.openxmlformats.org/officeDocument/2006/relationships/hyperlink" Target="https://www.immoscout24.ch/fr/appartement/acheter/quartier-florimont-chissiez-lausanne" TargetMode="External"/><Relationship Id="rId250" Type="http://schemas.openxmlformats.org/officeDocument/2006/relationships/hyperlink" Target="https://www.immoscout24.ch/fr/maison/acheter/lieu-nussbaumen-ag" TargetMode="External"/><Relationship Id="rId5320" Type="http://schemas.openxmlformats.org/officeDocument/2006/relationships/hyperlink" Target="https://www.immoscout24.ch/fr/appartement/louer/lieu-undervelier" TargetMode="External"/><Relationship Id="rId257" Type="http://schemas.openxmlformats.org/officeDocument/2006/relationships/hyperlink" Target="https://www.immoscout24.ch/fr/maison/acheter/lieu-lenzerheide-lai" TargetMode="External"/><Relationship Id="rId5325" Type="http://schemas.openxmlformats.org/officeDocument/2006/relationships/hyperlink" Target="https://www.immoscout24.ch/fr/appartement/louer/lieu-frick" TargetMode="External"/><Relationship Id="rId256" Type="http://schemas.openxmlformats.org/officeDocument/2006/relationships/hyperlink" Target="https://www.immoscout24.ch/fr/maison/louer/lieu-les-pontins" TargetMode="External"/><Relationship Id="rId5326" Type="http://schemas.openxmlformats.org/officeDocument/2006/relationships/hyperlink" Target="https://www.immoscout24.ch/fr/maison/acheter/lieu-boveresse" TargetMode="External"/><Relationship Id="rId255" Type="http://schemas.openxmlformats.org/officeDocument/2006/relationships/hyperlink" Target="https://www.immoscout24.ch/fr/appartement/acheter/pays-france" TargetMode="External"/><Relationship Id="rId5323" Type="http://schemas.openxmlformats.org/officeDocument/2006/relationships/hyperlink" Target="https://www.immoscout24.ch/fr/appartement/louer/lieu-broc" TargetMode="External"/><Relationship Id="rId254" Type="http://schemas.openxmlformats.org/officeDocument/2006/relationships/hyperlink" Target="https://www.immoscout24.ch/fr/maison/acheter/lieu-bre-sopra-lugano" TargetMode="External"/><Relationship Id="rId5324" Type="http://schemas.openxmlformats.org/officeDocument/2006/relationships/hyperlink" Target="https://www.immoscout24.ch/fr/appartement/acheter/region-littoral-neuchatelois" TargetMode="External"/><Relationship Id="rId4029" Type="http://schemas.openxmlformats.org/officeDocument/2006/relationships/hyperlink" Target="https://www.immoscout24.ch/fr/appartement/louer/lieu-denezy" TargetMode="External"/><Relationship Id="rId293" Type="http://schemas.openxmlformats.org/officeDocument/2006/relationships/hyperlink" Target="https://www.immoscout24.ch/fr/maison/acheter/lieu-piotta" TargetMode="External"/><Relationship Id="rId292" Type="http://schemas.openxmlformats.org/officeDocument/2006/relationships/hyperlink" Target="https://www.immoscout24.ch/fr/maison/acheter/lieu-buehler" TargetMode="External"/><Relationship Id="rId291" Type="http://schemas.openxmlformats.org/officeDocument/2006/relationships/hyperlink" Target="https://www.immoscout24.ch/fr/appartement/louer/quartier-succes-la-chaux-de-fonds" TargetMode="External"/><Relationship Id="rId290" Type="http://schemas.openxmlformats.org/officeDocument/2006/relationships/hyperlink" Target="https://www.immoscout24.ch/fr/maison/louer/lieu-rueyres" TargetMode="External"/><Relationship Id="rId5350" Type="http://schemas.openxmlformats.org/officeDocument/2006/relationships/hyperlink" Target="https://www.immoscout24.ch/fr/appartement/louer/lieu-champery" TargetMode="External"/><Relationship Id="rId5351" Type="http://schemas.openxmlformats.org/officeDocument/2006/relationships/hyperlink" Target="https://www.immoscout24.ch/fr/maison/acheter/lieu-aristau" TargetMode="External"/><Relationship Id="rId4020" Type="http://schemas.openxmlformats.org/officeDocument/2006/relationships/hyperlink" Target="https://www.immoscout24.ch/fr/maison/acheter/lieu-echallens" TargetMode="External"/><Relationship Id="rId286" Type="http://schemas.openxmlformats.org/officeDocument/2006/relationships/hyperlink" Target="https://www.immoscout24.ch/fr/maison/acheter/lieu-villiers" TargetMode="External"/><Relationship Id="rId4022" Type="http://schemas.openxmlformats.org/officeDocument/2006/relationships/hyperlink" Target="https://www.immoscout24.ch/fr/appartement/louer/lieu-dotzigen" TargetMode="External"/><Relationship Id="rId5354" Type="http://schemas.openxmlformats.org/officeDocument/2006/relationships/hyperlink" Target="https://www.immoscout24.ch/fr/appartement/louer/lieu-amriswil" TargetMode="External"/><Relationship Id="rId285" Type="http://schemas.openxmlformats.org/officeDocument/2006/relationships/hyperlink" Target="https://www.immoscout24.ch/fr/maison/acheter/lieu-neirivue" TargetMode="External"/><Relationship Id="rId4021" Type="http://schemas.openxmlformats.org/officeDocument/2006/relationships/hyperlink" Target="https://www.immoscout24.ch/fr/maison/acheter/region-zuercher-unterland" TargetMode="External"/><Relationship Id="rId5355" Type="http://schemas.openxmlformats.org/officeDocument/2006/relationships/hyperlink" Target="https://www.immoscout24.ch/fr/maison/acheter/lieu-autigny" TargetMode="External"/><Relationship Id="rId284" Type="http://schemas.openxmlformats.org/officeDocument/2006/relationships/hyperlink" Target="https://www.immoscout24.ch/fr/appartement/louer/lieu-sion" TargetMode="External"/><Relationship Id="rId4024" Type="http://schemas.openxmlformats.org/officeDocument/2006/relationships/hyperlink" Target="https://www.immoscout24.ch/fr/appartement/louer/lieu-therwil" TargetMode="External"/><Relationship Id="rId5352" Type="http://schemas.openxmlformats.org/officeDocument/2006/relationships/hyperlink" Target="https://www.immoscout24.ch/fr/appartement/acheter/lieu-lichtensteig" TargetMode="External"/><Relationship Id="rId283" Type="http://schemas.openxmlformats.org/officeDocument/2006/relationships/hyperlink" Target="https://www.immoscout24.ch/fr/appartement/louer/quartier-buempliz-berne" TargetMode="External"/><Relationship Id="rId4023" Type="http://schemas.openxmlformats.org/officeDocument/2006/relationships/hyperlink" Target="https://www.immoscout24.ch/fr/maison/acheter/lieu-evolene" TargetMode="External"/><Relationship Id="rId5353" Type="http://schemas.openxmlformats.org/officeDocument/2006/relationships/hyperlink" Target="https://www.immoscout24.ch/fr/maison/louer/lieu-cugy-vd" TargetMode="External"/><Relationship Id="rId4026" Type="http://schemas.openxmlformats.org/officeDocument/2006/relationships/hyperlink" Target="https://www.immoscout24.ch/fr/maison/acheter/region-la-cote-nyon" TargetMode="External"/><Relationship Id="rId5358" Type="http://schemas.openxmlformats.org/officeDocument/2006/relationships/hyperlink" Target="https://www.immoscout24.ch/fr/maison/louer/lieu-wettingen" TargetMode="External"/><Relationship Id="rId289" Type="http://schemas.openxmlformats.org/officeDocument/2006/relationships/hyperlink" Target="https://www.immoscout24.ch/fr/maison/acheter/lieu-fiaugeres" TargetMode="External"/><Relationship Id="rId4025" Type="http://schemas.openxmlformats.org/officeDocument/2006/relationships/hyperlink" Target="https://www.immoscout24.ch/fr/appartement/louer/lieu-vich" TargetMode="External"/><Relationship Id="rId5359" Type="http://schemas.openxmlformats.org/officeDocument/2006/relationships/hyperlink" Target="https://www.immoscout24.ch/fr/appartement/acheter/lieu-poliez-le-grand" TargetMode="External"/><Relationship Id="rId288" Type="http://schemas.openxmlformats.org/officeDocument/2006/relationships/hyperlink" Target="https://www.immoscout24.ch/fr/maison/acheter/lieu-galmiz" TargetMode="External"/><Relationship Id="rId4028" Type="http://schemas.openxmlformats.org/officeDocument/2006/relationships/hyperlink" Target="https://www.immoscout24.ch/fr/maison/louer/lieu-villarvolard" TargetMode="External"/><Relationship Id="rId5356" Type="http://schemas.openxmlformats.org/officeDocument/2006/relationships/hyperlink" Target="https://www.immoscout24.ch/fr/appartement/louer/lieu-rueyres-les-pres" TargetMode="External"/><Relationship Id="rId287" Type="http://schemas.openxmlformats.org/officeDocument/2006/relationships/hyperlink" Target="https://www.immoscout24.ch/fr/appartement/acheter/lieu-romanel-sur-lausanne" TargetMode="External"/><Relationship Id="rId4027" Type="http://schemas.openxmlformats.org/officeDocument/2006/relationships/hyperlink" Target="https://www.immoscout24.ch/fr/appartement/louer/lieu-utzenstorf" TargetMode="External"/><Relationship Id="rId5357" Type="http://schemas.openxmlformats.org/officeDocument/2006/relationships/hyperlink" Target="https://www.immoscout24.ch/fr/maison/acheter/lieu-rosshaeusern" TargetMode="External"/><Relationship Id="rId4019" Type="http://schemas.openxmlformats.org/officeDocument/2006/relationships/hyperlink" Target="https://www.immoscout24.ch/fr/appartement/louer/quartier-pierre-a-bot-acacias-neuchatel" TargetMode="External"/><Relationship Id="rId4018" Type="http://schemas.openxmlformats.org/officeDocument/2006/relationships/hyperlink" Target="https://www.immoscout24.ch/fr/maison/louer/lieu-herisau" TargetMode="External"/><Relationship Id="rId5349" Type="http://schemas.openxmlformats.org/officeDocument/2006/relationships/hyperlink" Target="https://www.immoscout24.ch/fr/maison/acheter/lieu-ramlinsburg" TargetMode="External"/><Relationship Id="rId282" Type="http://schemas.openxmlformats.org/officeDocument/2006/relationships/hyperlink" Target="https://www.immoscout24.ch/fr/appartement/louer/lieu-glion" TargetMode="External"/><Relationship Id="rId281" Type="http://schemas.openxmlformats.org/officeDocument/2006/relationships/hyperlink" Target="https://www.immoscout24.ch/fr/appartement/louer/lieu-corseaux" TargetMode="External"/><Relationship Id="rId280" Type="http://schemas.openxmlformats.org/officeDocument/2006/relationships/hyperlink" Target="https://www.immoscout24.ch/fr/maison/acheter/lieu-matzendorf" TargetMode="External"/><Relationship Id="rId5340" Type="http://schemas.openxmlformats.org/officeDocument/2006/relationships/hyperlink" Target="https://www.immoscout24.ch/fr/appartement/louer/quartier-bourg-fribourg" TargetMode="External"/><Relationship Id="rId275" Type="http://schemas.openxmlformats.org/officeDocument/2006/relationships/hyperlink" Target="https://www.immoscout24.ch/fr/appartement/louer/lieu-mur-vully-vd" TargetMode="External"/><Relationship Id="rId4011" Type="http://schemas.openxmlformats.org/officeDocument/2006/relationships/hyperlink" Target="https://www.immoscout24.ch/fr/appartement/louer/quartier-weisses-quartier-berne" TargetMode="External"/><Relationship Id="rId5343" Type="http://schemas.openxmlformats.org/officeDocument/2006/relationships/hyperlink" Target="https://www.immoscout24.ch/fr/appartement/louer/lieu-oberwald" TargetMode="External"/><Relationship Id="rId274" Type="http://schemas.openxmlformats.org/officeDocument/2006/relationships/hyperlink" Target="https://www.immoscout24.ch/fr/maison/louer/lieu-trelex" TargetMode="External"/><Relationship Id="rId4010" Type="http://schemas.openxmlformats.org/officeDocument/2006/relationships/hyperlink" Target="https://www.immoscout24.ch/fr/appartement/louer/lieu-la-verrerie" TargetMode="External"/><Relationship Id="rId5344" Type="http://schemas.openxmlformats.org/officeDocument/2006/relationships/hyperlink" Target="https://www.immoscout24.ch/fr/maison/acheter/lieu-muellheim-dorf" TargetMode="External"/><Relationship Id="rId273" Type="http://schemas.openxmlformats.org/officeDocument/2006/relationships/hyperlink" Target="https://www.immoscout24.ch/fr/maison/acheter/canton-bale-campagne" TargetMode="External"/><Relationship Id="rId4013" Type="http://schemas.openxmlformats.org/officeDocument/2006/relationships/hyperlink" Target="https://www.immoscout24.ch/fr/appartement/louer/lieu-erlach" TargetMode="External"/><Relationship Id="rId5341" Type="http://schemas.openxmlformats.org/officeDocument/2006/relationships/hyperlink" Target="https://www.immoscout24.ch/fr/appartement/acheter/lieu-bussigny" TargetMode="External"/><Relationship Id="rId272" Type="http://schemas.openxmlformats.org/officeDocument/2006/relationships/hyperlink" Target="https://www.immoscout24.ch/fr/maison/acheter/lieu-contra" TargetMode="External"/><Relationship Id="rId4012" Type="http://schemas.openxmlformats.org/officeDocument/2006/relationships/hyperlink" Target="https://www.immoscout24.ch/fr/maison/acheter/lieu-indemini" TargetMode="External"/><Relationship Id="rId5342" Type="http://schemas.openxmlformats.org/officeDocument/2006/relationships/hyperlink" Target="https://www.immoscout24.ch/fr/appartement/louer/lieu-niederglatt-zh" TargetMode="External"/><Relationship Id="rId279" Type="http://schemas.openxmlformats.org/officeDocument/2006/relationships/hyperlink" Target="https://www.immoscout24.ch/fr/appartement/louer/lieu-olten" TargetMode="External"/><Relationship Id="rId4015" Type="http://schemas.openxmlformats.org/officeDocument/2006/relationships/hyperlink" Target="https://www.immoscout24.ch/fr/appartement/louer/lieu-etzelkofen" TargetMode="External"/><Relationship Id="rId5347" Type="http://schemas.openxmlformats.org/officeDocument/2006/relationships/hyperlink" Target="https://www.immoscout24.ch/fr/appartement/acheter/quartier-draizes-vauseyon-neuchatel" TargetMode="External"/><Relationship Id="rId278" Type="http://schemas.openxmlformats.org/officeDocument/2006/relationships/hyperlink" Target="https://www.immoscout24.ch/fr/maison/louer/lieu-sala-capriasca" TargetMode="External"/><Relationship Id="rId4014" Type="http://schemas.openxmlformats.org/officeDocument/2006/relationships/hyperlink" Target="https://www.immoscout24.ch/fr/appartement/acheter/lieu-biel-benken-bl" TargetMode="External"/><Relationship Id="rId5348" Type="http://schemas.openxmlformats.org/officeDocument/2006/relationships/hyperlink" Target="https://www.immoscout24.ch/fr/appartement/acheter/lieu-semsales" TargetMode="External"/><Relationship Id="rId277" Type="http://schemas.openxmlformats.org/officeDocument/2006/relationships/hyperlink" Target="https://www.immoscout24.ch/fr/maison/louer/lieu-gingins" TargetMode="External"/><Relationship Id="rId4017" Type="http://schemas.openxmlformats.org/officeDocument/2006/relationships/hyperlink" Target="https://www.immoscout24.ch/fr/maison/acheter/lieu-avry-sur-matran" TargetMode="External"/><Relationship Id="rId5345" Type="http://schemas.openxmlformats.org/officeDocument/2006/relationships/hyperlink" Target="https://www.immoscout24.ch/fr/maison/acheter/lieu-st-aubin-sauges" TargetMode="External"/><Relationship Id="rId276" Type="http://schemas.openxmlformats.org/officeDocument/2006/relationships/hyperlink" Target="https://www.immoscout24.ch/fr/appartement/louer/lieu-neyruz-sur-moudon" TargetMode="External"/><Relationship Id="rId4016" Type="http://schemas.openxmlformats.org/officeDocument/2006/relationships/hyperlink" Target="https://www.immoscout24.ch/fr/appartement/louer/lieu-paradiso" TargetMode="External"/><Relationship Id="rId5346" Type="http://schemas.openxmlformats.org/officeDocument/2006/relationships/hyperlink" Target="https://www.immoscout24.ch/fr/maison/louer/lieu-matzingen" TargetMode="External"/><Relationship Id="rId1851" Type="http://schemas.openxmlformats.org/officeDocument/2006/relationships/hyperlink" Target="https://www.immoscout24.ch/fr/maison/acheter/pays-bosnie-herzegovine" TargetMode="External"/><Relationship Id="rId1852" Type="http://schemas.openxmlformats.org/officeDocument/2006/relationships/hyperlink" Target="https://www.immoscout24.ch/fr/appartement/louer/lieu-les-agettes" TargetMode="External"/><Relationship Id="rId1853" Type="http://schemas.openxmlformats.org/officeDocument/2006/relationships/hyperlink" Target="https://www.immoscout24.ch/fr/appartement/acheter/canton-geneve" TargetMode="External"/><Relationship Id="rId1854" Type="http://schemas.openxmlformats.org/officeDocument/2006/relationships/hyperlink" Target="https://www.immoscout24.ch/fr/appartement/louer/lieu-balerna" TargetMode="External"/><Relationship Id="rId1855" Type="http://schemas.openxmlformats.org/officeDocument/2006/relationships/hyperlink" Target="https://www.immoscout24.ch/fr/maison/acheter/lieu-naters" TargetMode="External"/><Relationship Id="rId1856" Type="http://schemas.openxmlformats.org/officeDocument/2006/relationships/hyperlink" Target="https://www.immoscout24.ch/fr/maison/acheter/lieu-spreitenbach" TargetMode="External"/><Relationship Id="rId1857" Type="http://schemas.openxmlformats.org/officeDocument/2006/relationships/hyperlink" Target="https://www.immoscout24.ch/fr/maison/acheter/lieu-les-valettes-bovernier" TargetMode="External"/><Relationship Id="rId1858" Type="http://schemas.openxmlformats.org/officeDocument/2006/relationships/hyperlink" Target="https://www.immoscout24.ch/fr/appartement/acheter/lieu-vernamiege" TargetMode="External"/><Relationship Id="rId1859" Type="http://schemas.openxmlformats.org/officeDocument/2006/relationships/hyperlink" Target="https://www.immoscout24.ch/fr/appartement/louer/canton-turgovie" TargetMode="External"/><Relationship Id="rId1850" Type="http://schemas.openxmlformats.org/officeDocument/2006/relationships/hyperlink" Target="https://www.immoscout24.ch/fr/maison/acheter/lieu-goldingen" TargetMode="External"/><Relationship Id="rId1840" Type="http://schemas.openxmlformats.org/officeDocument/2006/relationships/hyperlink" Target="https://www.immoscout24.ch/fr/appartement/louer/lieu-enney" TargetMode="External"/><Relationship Id="rId1841" Type="http://schemas.openxmlformats.org/officeDocument/2006/relationships/hyperlink" Target="https://www.immoscout24.ch/fr/appartement/louer/lieu-lyss" TargetMode="External"/><Relationship Id="rId1842" Type="http://schemas.openxmlformats.org/officeDocument/2006/relationships/hyperlink" Target="https://www.immoscout24.ch/fr/appartement/louer/lieu-la-vernaz-les-agettes" TargetMode="External"/><Relationship Id="rId1843" Type="http://schemas.openxmlformats.org/officeDocument/2006/relationships/hyperlink" Target="https://www.immoscout24.ch/fr/appartement/acheter/lieu-perroy" TargetMode="External"/><Relationship Id="rId1844" Type="http://schemas.openxmlformats.org/officeDocument/2006/relationships/hyperlink" Target="https://www.immoscout24.ch/fr/appartement/acheter/canton-nidwald" TargetMode="External"/><Relationship Id="rId1845" Type="http://schemas.openxmlformats.org/officeDocument/2006/relationships/hyperlink" Target="https://www.immoscout24.ch/fr/maison/acheter/region-einsiedeln" TargetMode="External"/><Relationship Id="rId1846" Type="http://schemas.openxmlformats.org/officeDocument/2006/relationships/hyperlink" Target="https://www.immoscout24.ch/fr/maison/acheter/lieu-mathod" TargetMode="External"/><Relationship Id="rId1847" Type="http://schemas.openxmlformats.org/officeDocument/2006/relationships/hyperlink" Target="https://www.immoscout24.ch/fr/maison/acheter/lieu-linthal" TargetMode="External"/><Relationship Id="rId1848" Type="http://schemas.openxmlformats.org/officeDocument/2006/relationships/hyperlink" Target="https://www.immoscout24.ch/fr/maison/acheter/lieu-bruegg-be" TargetMode="External"/><Relationship Id="rId1849" Type="http://schemas.openxmlformats.org/officeDocument/2006/relationships/hyperlink" Target="https://www.immoscout24.ch/fr/maison/louer/lieu-arnex-sur-orbe" TargetMode="External"/><Relationship Id="rId1873" Type="http://schemas.openxmlformats.org/officeDocument/2006/relationships/hyperlink" Target="https://www.immoscout24.ch/fr/appartement/louer/lieu-botterens" TargetMode="External"/><Relationship Id="rId1874" Type="http://schemas.openxmlformats.org/officeDocument/2006/relationships/hyperlink" Target="https://www.immoscout24.ch/fr/maison/acheter/lieu-aigle" TargetMode="External"/><Relationship Id="rId1875" Type="http://schemas.openxmlformats.org/officeDocument/2006/relationships/hyperlink" Target="https://www.immoscout24.ch/fr/appartement/acheter/lieu-aldesago" TargetMode="External"/><Relationship Id="rId1876" Type="http://schemas.openxmlformats.org/officeDocument/2006/relationships/hyperlink" Target="https://www.immoscout24.ch/fr/appartement/louer/lieu-vesenaz" TargetMode="External"/><Relationship Id="rId1877" Type="http://schemas.openxmlformats.org/officeDocument/2006/relationships/hyperlink" Target="https://www.immoscout24.ch/fr/appartement/acheter/lieu-lussery-villars" TargetMode="External"/><Relationship Id="rId1878" Type="http://schemas.openxmlformats.org/officeDocument/2006/relationships/hyperlink" Target="https://www.immoscout24.ch/fr/maison/acheter/quartier-st-gervais-chantepoulet-geneve" TargetMode="External"/><Relationship Id="rId1879" Type="http://schemas.openxmlformats.org/officeDocument/2006/relationships/hyperlink" Target="https://www.immoscout24.ch/fr/appartement/louer/lieu-saubraz" TargetMode="External"/><Relationship Id="rId1870" Type="http://schemas.openxmlformats.org/officeDocument/2006/relationships/hyperlink" Target="https://www.immoscout24.ch/fr/maison/acheter/lieu-le-predame" TargetMode="External"/><Relationship Id="rId1871" Type="http://schemas.openxmlformats.org/officeDocument/2006/relationships/hyperlink" Target="https://www.immoscout24.ch/fr/appartement/louer/lieu-thierrens" TargetMode="External"/><Relationship Id="rId1872" Type="http://schemas.openxmlformats.org/officeDocument/2006/relationships/hyperlink" Target="https://www.immoscout24.ch/fr/appartement/louer/canton-st-gall" TargetMode="External"/><Relationship Id="rId1862" Type="http://schemas.openxmlformats.org/officeDocument/2006/relationships/hyperlink" Target="https://www.immoscout24.ch/fr/appartement/louer/lieu-maur" TargetMode="External"/><Relationship Id="rId1863" Type="http://schemas.openxmlformats.org/officeDocument/2006/relationships/hyperlink" Target="https://www.immoscout24.ch/fr/appartement/acheter/lieu-lugano" TargetMode="External"/><Relationship Id="rId1864" Type="http://schemas.openxmlformats.org/officeDocument/2006/relationships/hyperlink" Target="https://www.immoscout24.ch/fr/appartement/louer/lieu-koppigen" TargetMode="External"/><Relationship Id="rId1865" Type="http://schemas.openxmlformats.org/officeDocument/2006/relationships/hyperlink" Target="https://www.immoscout24.ch/fr/appartement/acheter/lieu-vira-gambarogno" TargetMode="External"/><Relationship Id="rId1866" Type="http://schemas.openxmlformats.org/officeDocument/2006/relationships/hyperlink" Target="https://www.immoscout24.ch/fr/appartement/acheter/lieu-beuson-nendaz" TargetMode="External"/><Relationship Id="rId1867" Type="http://schemas.openxmlformats.org/officeDocument/2006/relationships/hyperlink" Target="https://www.immoscout24.ch/fr/maison/acheter/lieu-plasselb" TargetMode="External"/><Relationship Id="rId1868" Type="http://schemas.openxmlformats.org/officeDocument/2006/relationships/hyperlink" Target="https://www.immoscout24.ch/fr/maison/acheter/lieu-la-lecherette" TargetMode="External"/><Relationship Id="rId1869" Type="http://schemas.openxmlformats.org/officeDocument/2006/relationships/hyperlink" Target="https://www.immoscout24.ch/fr/appartement/louer/quartier-grand-pre-vermont-geneve" TargetMode="External"/><Relationship Id="rId1860" Type="http://schemas.openxmlformats.org/officeDocument/2006/relationships/hyperlink" Target="https://www.immoscout24.ch/fr/appartement/acheter/lieu-evionnaz" TargetMode="External"/><Relationship Id="rId1861" Type="http://schemas.openxmlformats.org/officeDocument/2006/relationships/hyperlink" Target="https://www.immoscout24.ch/fr/maison/acheter/quartier-secteur-forain-est-la-chaux-de-fonds" TargetMode="External"/><Relationship Id="rId1810" Type="http://schemas.openxmlformats.org/officeDocument/2006/relationships/hyperlink" Target="https://www.immoscout24.ch/fr/maison/acheter/canton-jura" TargetMode="External"/><Relationship Id="rId1811" Type="http://schemas.openxmlformats.org/officeDocument/2006/relationships/hyperlink" Target="https://www.immoscout24.ch/fr/maison/acheter/lieu-belprahon" TargetMode="External"/><Relationship Id="rId1812" Type="http://schemas.openxmlformats.org/officeDocument/2006/relationships/hyperlink" Target="https://www.immoscout24.ch/fr/maison/louer/lieu-iseltwald" TargetMode="External"/><Relationship Id="rId1813" Type="http://schemas.openxmlformats.org/officeDocument/2006/relationships/hyperlink" Target="https://www.immoscout24.ch/fr/maison/acheter/lieu-middes" TargetMode="External"/><Relationship Id="rId1814" Type="http://schemas.openxmlformats.org/officeDocument/2006/relationships/hyperlink" Target="https://www.immoscout24.ch/fr/maison/louer/region-lausanne-et-environs" TargetMode="External"/><Relationship Id="rId1815" Type="http://schemas.openxmlformats.org/officeDocument/2006/relationships/hyperlink" Target="https://www.immoscout24.ch/fr/maison/acheter/lieu-andeer" TargetMode="External"/><Relationship Id="rId1816" Type="http://schemas.openxmlformats.org/officeDocument/2006/relationships/hyperlink" Target="https://www.immoscout24.ch/fr/maison/acheter/lieu-burtigny" TargetMode="External"/><Relationship Id="rId1817" Type="http://schemas.openxmlformats.org/officeDocument/2006/relationships/hyperlink" Target="https://www.immoscout24.ch/fr/appartement/acheter/lieu-grone" TargetMode="External"/><Relationship Id="rId1818" Type="http://schemas.openxmlformats.org/officeDocument/2006/relationships/hyperlink" Target="https://www.immoscout24.ch/fr/appartement/louer/lieu-constantine" TargetMode="External"/><Relationship Id="rId1819" Type="http://schemas.openxmlformats.org/officeDocument/2006/relationships/hyperlink" Target="https://www.immoscout24.ch/fr/appartement/louer/region-aigle-alpes-vaudoises" TargetMode="External"/><Relationship Id="rId4080" Type="http://schemas.openxmlformats.org/officeDocument/2006/relationships/hyperlink" Target="https://www.immoscout24.ch/fr/maison/acheter/lieu-emmenbruecke" TargetMode="External"/><Relationship Id="rId4082" Type="http://schemas.openxmlformats.org/officeDocument/2006/relationships/hyperlink" Target="https://www.immoscout24.ch/fr/appartement/louer/lieu-lovens" TargetMode="External"/><Relationship Id="rId4081" Type="http://schemas.openxmlformats.org/officeDocument/2006/relationships/hyperlink" Target="https://www.immoscout24.ch/fr/appartement/acheter/lieu-matran" TargetMode="External"/><Relationship Id="rId4084" Type="http://schemas.openxmlformats.org/officeDocument/2006/relationships/hyperlink" Target="https://www.immoscout24.ch/fr/appartement/louer/lieu-langendorf" TargetMode="External"/><Relationship Id="rId4083" Type="http://schemas.openxmlformats.org/officeDocument/2006/relationships/hyperlink" Target="https://www.immoscout24.ch/fr/appartement/louer/lieu-umiken" TargetMode="External"/><Relationship Id="rId4086" Type="http://schemas.openxmlformats.org/officeDocument/2006/relationships/hyperlink" Target="https://www.immoscout24.ch/fr/maison/louer/lieu-chernex" TargetMode="External"/><Relationship Id="rId4085" Type="http://schemas.openxmlformats.org/officeDocument/2006/relationships/hyperlink" Target="https://www.immoscout24.ch/fr/appartement/louer/lieu-guarda" TargetMode="External"/><Relationship Id="rId4088" Type="http://schemas.openxmlformats.org/officeDocument/2006/relationships/hyperlink" Target="https://www.immoscout24.ch/fr/appartement/louer/lieu-froideville" TargetMode="External"/><Relationship Id="rId4087" Type="http://schemas.openxmlformats.org/officeDocument/2006/relationships/hyperlink" Target="https://www.immoscout24.ch/fr/appartement/louer/lieu-murten" TargetMode="External"/><Relationship Id="rId4089" Type="http://schemas.openxmlformats.org/officeDocument/2006/relationships/hyperlink" Target="https://www.immoscout24.ch/fr/appartement/louer/lieu-les-monts-de-pully" TargetMode="External"/><Relationship Id="rId1800" Type="http://schemas.openxmlformats.org/officeDocument/2006/relationships/hyperlink" Target="https://www.immoscout24.ch/fr/appartement/louer/lieu-baeriswil-be" TargetMode="External"/><Relationship Id="rId1801" Type="http://schemas.openxmlformats.org/officeDocument/2006/relationships/hyperlink" Target="https://www.immoscout24.ch/fr/appartement/acheter/lieu-porrentruy" TargetMode="External"/><Relationship Id="rId1802" Type="http://schemas.openxmlformats.org/officeDocument/2006/relationships/hyperlink" Target="https://www.immoscout24.ch/fr/maison/louer/lieu-riddes" TargetMode="External"/><Relationship Id="rId1803" Type="http://schemas.openxmlformats.org/officeDocument/2006/relationships/hyperlink" Target="https://www.immoscout24.ch/fr/maison/acheter/lieu-st-moritz" TargetMode="External"/><Relationship Id="rId1804" Type="http://schemas.openxmlformats.org/officeDocument/2006/relationships/hyperlink" Target="https://www.immoscout24.ch/fr/maison/acheter/quartier-places-fribourg" TargetMode="External"/><Relationship Id="rId1805" Type="http://schemas.openxmlformats.org/officeDocument/2006/relationships/hyperlink" Target="https://www.immoscout24.ch/fr/maison/acheter/lieu-valeyres-sous-montagny" TargetMode="External"/><Relationship Id="rId1806" Type="http://schemas.openxmlformats.org/officeDocument/2006/relationships/hyperlink" Target="https://www.immoscout24.ch/fr/maison/acheter/lieu-orvin" TargetMode="External"/><Relationship Id="rId1807" Type="http://schemas.openxmlformats.org/officeDocument/2006/relationships/hyperlink" Target="https://www.immoscout24.ch/fr/maison/acheter/lieu-mase" TargetMode="External"/><Relationship Id="rId1808" Type="http://schemas.openxmlformats.org/officeDocument/2006/relationships/hyperlink" Target="https://www.immoscout24.ch/fr/appartement/louer/lieu-confignon" TargetMode="External"/><Relationship Id="rId1809" Type="http://schemas.openxmlformats.org/officeDocument/2006/relationships/hyperlink" Target="https://www.immoscout24.ch/fr/appartement/louer/lieu-schwaderloch" TargetMode="External"/><Relationship Id="rId4071" Type="http://schemas.openxmlformats.org/officeDocument/2006/relationships/hyperlink" Target="https://www.immoscout24.ch/fr/maison/acheter/lieu-belalp" TargetMode="External"/><Relationship Id="rId4070" Type="http://schemas.openxmlformats.org/officeDocument/2006/relationships/hyperlink" Target="https://www.immoscout24.ch/fr/maison/louer/lieu-clarens" TargetMode="External"/><Relationship Id="rId4073" Type="http://schemas.openxmlformats.org/officeDocument/2006/relationships/hyperlink" Target="https://www.immoscout24.ch/fr/appartement/louer/lieu-thielle" TargetMode="External"/><Relationship Id="rId4072" Type="http://schemas.openxmlformats.org/officeDocument/2006/relationships/hyperlink" Target="https://www.immoscout24.ch/fr/maison/acheter/lieu-immensee" TargetMode="External"/><Relationship Id="rId4075" Type="http://schemas.openxmlformats.org/officeDocument/2006/relationships/hyperlink" Target="https://www.immoscout24.ch/fr/maison/acheter/lieu-peney-le-jorat" TargetMode="External"/><Relationship Id="rId4074" Type="http://schemas.openxmlformats.org/officeDocument/2006/relationships/hyperlink" Target="https://www.immoscout24.ch/fr/maison/acheter/lieu-cournillens" TargetMode="External"/><Relationship Id="rId4077" Type="http://schemas.openxmlformats.org/officeDocument/2006/relationships/hyperlink" Target="https://www.immoscout24.ch/fr/maison/acheter/pays-finlande" TargetMode="External"/><Relationship Id="rId4076" Type="http://schemas.openxmlformats.org/officeDocument/2006/relationships/hyperlink" Target="https://www.immoscout24.ch/fr/maison/louer/lieu-moleson-sur-gruyeres" TargetMode="External"/><Relationship Id="rId4079" Type="http://schemas.openxmlformats.org/officeDocument/2006/relationships/hyperlink" Target="https://www.immoscout24.ch/fr/appartement/louer/lieu-zwingen" TargetMode="External"/><Relationship Id="rId4078" Type="http://schemas.openxmlformats.org/officeDocument/2006/relationships/hyperlink" Target="https://www.immoscout24.ch/fr/appartement/acheter/region-lavaux-vevey" TargetMode="External"/><Relationship Id="rId1830" Type="http://schemas.openxmlformats.org/officeDocument/2006/relationships/hyperlink" Target="https://www.immoscout24.ch/fr/appartement/louer/lieu-donneloye" TargetMode="External"/><Relationship Id="rId1831" Type="http://schemas.openxmlformats.org/officeDocument/2006/relationships/hyperlink" Target="https://www.immoscout24.ch/fr/maison/louer/lieu-etoy" TargetMode="External"/><Relationship Id="rId1832" Type="http://schemas.openxmlformats.org/officeDocument/2006/relationships/hyperlink" Target="https://www.immoscout24.ch/fr/appartement/louer/lieu-mollis" TargetMode="External"/><Relationship Id="rId1833" Type="http://schemas.openxmlformats.org/officeDocument/2006/relationships/hyperlink" Target="https://www.immoscout24.ch/fr/appartement/louer/lieu-montcherand" TargetMode="External"/><Relationship Id="rId1834" Type="http://schemas.openxmlformats.org/officeDocument/2006/relationships/hyperlink" Target="https://www.immoscout24.ch/fr/appartement/acheter/lieu-koppigen" TargetMode="External"/><Relationship Id="rId1835" Type="http://schemas.openxmlformats.org/officeDocument/2006/relationships/hyperlink" Target="https://www.immoscout24.ch/fr/appartement/louer/quartier-linsebuehl-dreilinden-st-gall" TargetMode="External"/><Relationship Id="rId1836" Type="http://schemas.openxmlformats.org/officeDocument/2006/relationships/hyperlink" Target="https://www.immoscout24.ch/fr/appartement/louer/lieu-l-auberson" TargetMode="External"/><Relationship Id="rId1837" Type="http://schemas.openxmlformats.org/officeDocument/2006/relationships/hyperlink" Target="https://www.immoscout24.ch/fr/maison/acheter/lieu-caslano" TargetMode="External"/><Relationship Id="rId1838" Type="http://schemas.openxmlformats.org/officeDocument/2006/relationships/hyperlink" Target="https://www.immoscout24.ch/fr/appartement/acheter/lieu-lostorf" TargetMode="External"/><Relationship Id="rId1839" Type="http://schemas.openxmlformats.org/officeDocument/2006/relationships/hyperlink" Target="https://www.immoscout24.ch/fr/appartement/louer/lieu-les-charbonnieres" TargetMode="External"/><Relationship Id="rId1820" Type="http://schemas.openxmlformats.org/officeDocument/2006/relationships/hyperlink" Target="https://www.immoscout24.ch/fr/maison/acheter/pays-espagne" TargetMode="External"/><Relationship Id="rId1821" Type="http://schemas.openxmlformats.org/officeDocument/2006/relationships/hyperlink" Target="https://www.immoscout24.ch/fr/appartement/louer/lieu-ranzo" TargetMode="External"/><Relationship Id="rId1822" Type="http://schemas.openxmlformats.org/officeDocument/2006/relationships/hyperlink" Target="https://www.immoscout24.ch/fr/appartement/louer/lieu-estavayer-le-gibloux" TargetMode="External"/><Relationship Id="rId1823" Type="http://schemas.openxmlformats.org/officeDocument/2006/relationships/hyperlink" Target="https://www.immoscout24.ch/fr/appartement/louer/lieu-piotta" TargetMode="External"/><Relationship Id="rId1824" Type="http://schemas.openxmlformats.org/officeDocument/2006/relationships/hyperlink" Target="https://www.immoscout24.ch/fr/appartement/louer/lieu-grabs" TargetMode="External"/><Relationship Id="rId1825" Type="http://schemas.openxmlformats.org/officeDocument/2006/relationships/hyperlink" Target="https://www.immoscout24.ch/fr/maison/acheter/lieu-bieudron-nendaz" TargetMode="External"/><Relationship Id="rId1826" Type="http://schemas.openxmlformats.org/officeDocument/2006/relationships/hyperlink" Target="https://www.immoscout24.ch/fr/appartement/louer/lieu-le-mont-pelerin" TargetMode="External"/><Relationship Id="rId1827" Type="http://schemas.openxmlformats.org/officeDocument/2006/relationships/hyperlink" Target="https://www.immoscout24.ch/fr/maison/acheter/lieu-st-livres" TargetMode="External"/><Relationship Id="rId1828" Type="http://schemas.openxmlformats.org/officeDocument/2006/relationships/hyperlink" Target="https://www.immoscout24.ch/fr/appartement/louer/lieu-vallorbe" TargetMode="External"/><Relationship Id="rId1829" Type="http://schemas.openxmlformats.org/officeDocument/2006/relationships/hyperlink" Target="https://www.immoscout24.ch/fr/appartement/acheter/lieu-melano" TargetMode="External"/><Relationship Id="rId4091" Type="http://schemas.openxmlformats.org/officeDocument/2006/relationships/hyperlink" Target="https://www.immoscout24.ch/fr/maison/acheter/lieu-gordola" TargetMode="External"/><Relationship Id="rId4090" Type="http://schemas.openxmlformats.org/officeDocument/2006/relationships/hyperlink" Target="https://www.immoscout24.ch/fr/maison/acheter/lieu-ependes-fr" TargetMode="External"/><Relationship Id="rId4093" Type="http://schemas.openxmlformats.org/officeDocument/2006/relationships/hyperlink" Target="https://www.immoscout24.ch/fr/appartement/acheter/lieu-estavayer-le-lac" TargetMode="External"/><Relationship Id="rId4092" Type="http://schemas.openxmlformats.org/officeDocument/2006/relationships/hyperlink" Target="https://www.immoscout24.ch/fr/maison/acheter/lieu-fribourg" TargetMode="External"/><Relationship Id="rId4095" Type="http://schemas.openxmlformats.org/officeDocument/2006/relationships/hyperlink" Target="https://www.immoscout24.ch/fr/maison/acheter/lieu-damvant" TargetMode="External"/><Relationship Id="rId4094" Type="http://schemas.openxmlformats.org/officeDocument/2006/relationships/hyperlink" Target="https://www.immoscout24.ch/fr/maison/louer/lieu-diesse" TargetMode="External"/><Relationship Id="rId4097" Type="http://schemas.openxmlformats.org/officeDocument/2006/relationships/hyperlink" Target="https://www.immoscout24.ch/fr/maison/acheter/lieu-chevenez" TargetMode="External"/><Relationship Id="rId4096" Type="http://schemas.openxmlformats.org/officeDocument/2006/relationships/hyperlink" Target="https://www.immoscout24.ch/fr/maison/acheter/lieu-erlinsbach" TargetMode="External"/><Relationship Id="rId4099" Type="http://schemas.openxmlformats.org/officeDocument/2006/relationships/hyperlink" Target="https://www.immoscout24.ch/fr/appartement/louer/quartier-pambio-noranco-lugano" TargetMode="External"/><Relationship Id="rId4098" Type="http://schemas.openxmlformats.org/officeDocument/2006/relationships/hyperlink" Target="https://www.immoscout24.ch/fr/appartement/acheter/lieu-vernier" TargetMode="External"/><Relationship Id="rId1895" Type="http://schemas.openxmlformats.org/officeDocument/2006/relationships/hyperlink" Target="https://www.immoscout24.ch/fr/appartement/acheter/lieu-middes" TargetMode="External"/><Relationship Id="rId1896" Type="http://schemas.openxmlformats.org/officeDocument/2006/relationships/hyperlink" Target="https://www.immoscout24.ch/fr/appartement/acheter/lieu-courtetelle" TargetMode="External"/><Relationship Id="rId1897" Type="http://schemas.openxmlformats.org/officeDocument/2006/relationships/hyperlink" Target="https://www.immoscout24.ch/fr/appartement/acheter/lieu-pompaples" TargetMode="External"/><Relationship Id="rId1898" Type="http://schemas.openxmlformats.org/officeDocument/2006/relationships/hyperlink" Target="https://www.immoscout24.ch/fr/maison/louer/lieu-enney" TargetMode="External"/><Relationship Id="rId1899" Type="http://schemas.openxmlformats.org/officeDocument/2006/relationships/hyperlink" Target="https://www.immoscout24.ch/fr/appartement/louer/canton-zurich" TargetMode="External"/><Relationship Id="rId1890" Type="http://schemas.openxmlformats.org/officeDocument/2006/relationships/hyperlink" Target="https://www.immoscout24.ch/fr/appartement/louer/lieu-chippis" TargetMode="External"/><Relationship Id="rId1891" Type="http://schemas.openxmlformats.org/officeDocument/2006/relationships/hyperlink" Target="https://www.immoscout24.ch/fr/appartement/louer/lieu-les-enfers" TargetMode="External"/><Relationship Id="rId1892" Type="http://schemas.openxmlformats.org/officeDocument/2006/relationships/hyperlink" Target="https://www.immoscout24.ch/fr/appartement/louer/lieu-aegerten" TargetMode="External"/><Relationship Id="rId1893" Type="http://schemas.openxmlformats.org/officeDocument/2006/relationships/hyperlink" Target="https://www.immoscout24.ch/fr/appartement/louer/lieu-gilly" TargetMode="External"/><Relationship Id="rId1894" Type="http://schemas.openxmlformats.org/officeDocument/2006/relationships/hyperlink" Target="https://www.immoscout24.ch/fr/appartement/louer/lieu-les-hauts-geneveys" TargetMode="External"/><Relationship Id="rId1884" Type="http://schemas.openxmlformats.org/officeDocument/2006/relationships/hyperlink" Target="https://www.immoscout24.ch/fr/appartement/acheter/lieu-coldrerio" TargetMode="External"/><Relationship Id="rId1885" Type="http://schemas.openxmlformats.org/officeDocument/2006/relationships/hyperlink" Target="https://www.immoscout24.ch/fr/appartement/louer/lieu-schoenenwerd" TargetMode="External"/><Relationship Id="rId1886" Type="http://schemas.openxmlformats.org/officeDocument/2006/relationships/hyperlink" Target="https://www.immoscout24.ch/fr/appartement/louer/lieu-chamby" TargetMode="External"/><Relationship Id="rId1887" Type="http://schemas.openxmlformats.org/officeDocument/2006/relationships/hyperlink" Target="https://www.immoscout24.ch/fr/maison/acheter/lieu-villarsel-le-gibloux" TargetMode="External"/><Relationship Id="rId1888" Type="http://schemas.openxmlformats.org/officeDocument/2006/relationships/hyperlink" Target="https://www.immoscout24.ch/fr/maison/acheter/lieu-grengiols" TargetMode="External"/><Relationship Id="rId1889" Type="http://schemas.openxmlformats.org/officeDocument/2006/relationships/hyperlink" Target="https://www.immoscout24.ch/fr/maison/acheter/lieu-lossy" TargetMode="External"/><Relationship Id="rId1880" Type="http://schemas.openxmlformats.org/officeDocument/2006/relationships/hyperlink" Target="https://www.immoscout24.ch/fr/maison/acheter/lieu-romanel-sur-lausanne" TargetMode="External"/><Relationship Id="rId1881" Type="http://schemas.openxmlformats.org/officeDocument/2006/relationships/hyperlink" Target="https://www.immoscout24.ch/fr/appartement/louer/lieu-villeneuve-vd" TargetMode="External"/><Relationship Id="rId1882" Type="http://schemas.openxmlformats.org/officeDocument/2006/relationships/hyperlink" Target="https://www.immoscout24.ch/fr/appartement/louer/lieu-wildegg" TargetMode="External"/><Relationship Id="rId1883" Type="http://schemas.openxmlformats.org/officeDocument/2006/relationships/hyperlink" Target="https://www.immoscout24.ch/fr/maison/acheter/region-aarau-et-environs" TargetMode="External"/><Relationship Id="rId5417" Type="http://schemas.openxmlformats.org/officeDocument/2006/relationships/hyperlink" Target="https://www.immoscout24.ch/fr/maison/louer/lieu-studen-be" TargetMode="External"/><Relationship Id="rId5418" Type="http://schemas.openxmlformats.org/officeDocument/2006/relationships/hyperlink" Target="https://www.immoscout24.ch/fr/appartement/acheter/lieu-romanens" TargetMode="External"/><Relationship Id="rId5415" Type="http://schemas.openxmlformats.org/officeDocument/2006/relationships/hyperlink" Target="https://www.immoscout24.ch/fr/maison/acheter/lieu-st-blaise" TargetMode="External"/><Relationship Id="rId5416" Type="http://schemas.openxmlformats.org/officeDocument/2006/relationships/hyperlink" Target="https://www.immoscout24.ch/fr/appartement/louer/lieu-niederwangen-b-bern" TargetMode="External"/><Relationship Id="rId5419" Type="http://schemas.openxmlformats.org/officeDocument/2006/relationships/hyperlink" Target="https://www.immoscout24.ch/fr/appartement/louer/lieu-le-noirmont" TargetMode="External"/><Relationship Id="rId228" Type="http://schemas.openxmlformats.org/officeDocument/2006/relationships/hyperlink" Target="https://www.immoscout24.ch/fr/appartement/louer/lieu-biasca" TargetMode="External"/><Relationship Id="rId227" Type="http://schemas.openxmlformats.org/officeDocument/2006/relationships/hyperlink" Target="https://www.immoscout24.ch/fr/appartement/louer/lieu-guemligen" TargetMode="External"/><Relationship Id="rId226" Type="http://schemas.openxmlformats.org/officeDocument/2006/relationships/hyperlink" Target="https://www.immoscout24.ch/fr/appartement/louer/lieu-le-sechey" TargetMode="External"/><Relationship Id="rId225" Type="http://schemas.openxmlformats.org/officeDocument/2006/relationships/hyperlink" Target="https://www.immoscout24.ch/fr/appartement/louer/lieu-allaman" TargetMode="External"/><Relationship Id="rId229" Type="http://schemas.openxmlformats.org/officeDocument/2006/relationships/hyperlink" Target="https://www.immoscout24.ch/fr/maison/louer/lieu-meinier" TargetMode="External"/><Relationship Id="rId220" Type="http://schemas.openxmlformats.org/officeDocument/2006/relationships/hyperlink" Target="https://www.immoscout24.ch/fr/maison/louer/lieu-givrins" TargetMode="External"/><Relationship Id="rId5410" Type="http://schemas.openxmlformats.org/officeDocument/2006/relationships/hyperlink" Target="https://www.immoscout24.ch/fr/maison/acheter/lieu-bettlach" TargetMode="External"/><Relationship Id="rId224" Type="http://schemas.openxmlformats.org/officeDocument/2006/relationships/hyperlink" Target="https://www.immoscout24.ch/fr/maison/acheter/lieu-gurmels" TargetMode="External"/><Relationship Id="rId5413" Type="http://schemas.openxmlformats.org/officeDocument/2006/relationships/hyperlink" Target="https://www.immoscout24.ch/fr/appartement/louer/lieu-arzier-le-muids" TargetMode="External"/><Relationship Id="rId223" Type="http://schemas.openxmlformats.org/officeDocument/2006/relationships/hyperlink" Target="https://www.immoscout24.ch/fr/maison/louer/lieu-nax" TargetMode="External"/><Relationship Id="rId5414" Type="http://schemas.openxmlformats.org/officeDocument/2006/relationships/hyperlink" Target="https://www.immoscout24.ch/fr/maison/acheter/pays-suisse-fl" TargetMode="External"/><Relationship Id="rId222" Type="http://schemas.openxmlformats.org/officeDocument/2006/relationships/hyperlink" Target="https://www.immoscout24.ch/fr/appartement/louer/lieu-treytorrens-payerne" TargetMode="External"/><Relationship Id="rId5411" Type="http://schemas.openxmlformats.org/officeDocument/2006/relationships/hyperlink" Target="https://www.immoscout24.ch/fr/maison/acheter/lieu-celigny" TargetMode="External"/><Relationship Id="rId221" Type="http://schemas.openxmlformats.org/officeDocument/2006/relationships/hyperlink" Target="https://www.immoscout24.ch/fr/maison/acheter/lieu-sevaz" TargetMode="External"/><Relationship Id="rId5412" Type="http://schemas.openxmlformats.org/officeDocument/2006/relationships/hyperlink" Target="https://www.immoscout24.ch/fr/appartement/acheter/lieu-ruschein" TargetMode="External"/><Relationship Id="rId5406" Type="http://schemas.openxmlformats.org/officeDocument/2006/relationships/hyperlink" Target="https://www.immoscout24.ch/fr/maison/acheter/lieu-bollion" TargetMode="External"/><Relationship Id="rId5407" Type="http://schemas.openxmlformats.org/officeDocument/2006/relationships/hyperlink" Target="https://www.immoscout24.ch/fr/maison/acheter/lieu-cottens-fr" TargetMode="External"/><Relationship Id="rId5404" Type="http://schemas.openxmlformats.org/officeDocument/2006/relationships/hyperlink" Target="https://www.immoscout24.ch/fr/appartement/louer/lieu-cuarny" TargetMode="External"/><Relationship Id="rId5405" Type="http://schemas.openxmlformats.org/officeDocument/2006/relationships/hyperlink" Target="https://www.immoscout24.ch/fr/appartement/louer/region-lac-de-thoune-sud" TargetMode="External"/><Relationship Id="rId5408" Type="http://schemas.openxmlformats.org/officeDocument/2006/relationships/hyperlink" Target="https://www.immoscout24.ch/fr/appartement/acheter/lieu-rueti-zh" TargetMode="External"/><Relationship Id="rId5409" Type="http://schemas.openxmlformats.org/officeDocument/2006/relationships/hyperlink" Target="https://www.immoscout24.ch/fr/maison/acheter/lieu-st-sulpice-vd" TargetMode="External"/><Relationship Id="rId217" Type="http://schemas.openxmlformats.org/officeDocument/2006/relationships/hyperlink" Target="https://www.immoscout24.ch/fr/appartement/acheter/lieu-volketswil" TargetMode="External"/><Relationship Id="rId216" Type="http://schemas.openxmlformats.org/officeDocument/2006/relationships/hyperlink" Target="https://www.immoscout24.ch/fr/maison/louer/region-campagne-gros-de-vaud" TargetMode="External"/><Relationship Id="rId215" Type="http://schemas.openxmlformats.org/officeDocument/2006/relationships/hyperlink" Target="https://www.immoscout24.ch/fr/appartement/louer/lieu-chiasso" TargetMode="External"/><Relationship Id="rId214" Type="http://schemas.openxmlformats.org/officeDocument/2006/relationships/hyperlink" Target="https://www.immoscout24.ch/fr/maison/louer/lieu-champagne" TargetMode="External"/><Relationship Id="rId219" Type="http://schemas.openxmlformats.org/officeDocument/2006/relationships/hyperlink" Target="https://www.immoscout24.ch/fr/maison/acheter/lieu-renens-vd" TargetMode="External"/><Relationship Id="rId218" Type="http://schemas.openxmlformats.org/officeDocument/2006/relationships/hyperlink" Target="https://www.immoscout24.ch/fr/appartement/louer/lieu-ruefenacht-be" TargetMode="External"/><Relationship Id="rId213" Type="http://schemas.openxmlformats.org/officeDocument/2006/relationships/hyperlink" Target="https://www.immoscout24.ch/fr/maison/acheter/lieu-nemiaz-chamoson" TargetMode="External"/><Relationship Id="rId5402" Type="http://schemas.openxmlformats.org/officeDocument/2006/relationships/hyperlink" Target="https://www.immoscout24.ch/fr/maison/acheter/region-zoug-lac-de-zoug" TargetMode="External"/><Relationship Id="rId212" Type="http://schemas.openxmlformats.org/officeDocument/2006/relationships/hyperlink" Target="https://www.immoscout24.ch/fr/appartement/acheter/lieu-vitznau" TargetMode="External"/><Relationship Id="rId5403" Type="http://schemas.openxmlformats.org/officeDocument/2006/relationships/hyperlink" Target="https://www.immoscout24.ch/fr/appartement/louer/lieu-brugg-ag" TargetMode="External"/><Relationship Id="rId211" Type="http://schemas.openxmlformats.org/officeDocument/2006/relationships/hyperlink" Target="https://www.immoscout24.ch/fr/appartement/acheter/lieu-gals" TargetMode="External"/><Relationship Id="rId5400" Type="http://schemas.openxmlformats.org/officeDocument/2006/relationships/hyperlink" Target="https://www.immoscout24.ch/fr/maison/acheter/lieu-emmetten" TargetMode="External"/><Relationship Id="rId210" Type="http://schemas.openxmlformats.org/officeDocument/2006/relationships/hyperlink" Target="https://www.immoscout24.ch/fr/appartement/louer/lieu-les-sciernes-d-albeuve" TargetMode="External"/><Relationship Id="rId5401" Type="http://schemas.openxmlformats.org/officeDocument/2006/relationships/hyperlink" Target="https://www.immoscout24.ch/fr/maison/louer/lieu-marchissy" TargetMode="External"/><Relationship Id="rId4107" Type="http://schemas.openxmlformats.org/officeDocument/2006/relationships/hyperlink" Target="https://www.immoscout24.ch/fr/appartement/louer/lieu-les-clees" TargetMode="External"/><Relationship Id="rId5439" Type="http://schemas.openxmlformats.org/officeDocument/2006/relationships/hyperlink" Target="https://www.immoscout24.ch/fr/maison/louer/lieu-mex-vs" TargetMode="External"/><Relationship Id="rId4106" Type="http://schemas.openxmlformats.org/officeDocument/2006/relationships/hyperlink" Target="https://www.immoscout24.ch/fr/appartement/louer/canton-geneve" TargetMode="External"/><Relationship Id="rId4109" Type="http://schemas.openxmlformats.org/officeDocument/2006/relationships/hyperlink" Target="https://www.immoscout24.ch/fr/maison/acheter/lieu-mannens" TargetMode="External"/><Relationship Id="rId5437" Type="http://schemas.openxmlformats.org/officeDocument/2006/relationships/hyperlink" Target="https://www.immoscout24.ch/fr/appartement/louer/lieu-seewen-sz" TargetMode="External"/><Relationship Id="rId4108" Type="http://schemas.openxmlformats.org/officeDocument/2006/relationships/hyperlink" Target="https://www.immoscout24.ch/fr/maison/acheter/lieu-rossiniere" TargetMode="External"/><Relationship Id="rId5438" Type="http://schemas.openxmlformats.org/officeDocument/2006/relationships/hyperlink" Target="https://www.immoscout24.ch/fr/appartement/louer/lieu-bavois" TargetMode="External"/><Relationship Id="rId249" Type="http://schemas.openxmlformats.org/officeDocument/2006/relationships/hyperlink" Target="https://www.immoscout24.ch/fr/maison/louer/lieu-villarbeney" TargetMode="External"/><Relationship Id="rId248" Type="http://schemas.openxmlformats.org/officeDocument/2006/relationships/hyperlink" Target="https://www.immoscout24.ch/fr/maison/acheter/lieu-vauderens" TargetMode="External"/><Relationship Id="rId247" Type="http://schemas.openxmlformats.org/officeDocument/2006/relationships/hyperlink" Target="https://www.immoscout24.ch/fr/maison/acheter/lieu-praz-vully" TargetMode="External"/><Relationship Id="rId242" Type="http://schemas.openxmlformats.org/officeDocument/2006/relationships/hyperlink" Target="https://www.immoscout24.ch/fr/appartement/louer/lieu-bourrignon" TargetMode="External"/><Relationship Id="rId5431" Type="http://schemas.openxmlformats.org/officeDocument/2006/relationships/hyperlink" Target="https://www.immoscout24.ch/fr/appartement/acheter/lieu-oberwil-bl" TargetMode="External"/><Relationship Id="rId241" Type="http://schemas.openxmlformats.org/officeDocument/2006/relationships/hyperlink" Target="https://www.immoscout24.ch/fr/appartement/louer/lieu-flaach" TargetMode="External"/><Relationship Id="rId5432" Type="http://schemas.openxmlformats.org/officeDocument/2006/relationships/hyperlink" Target="https://www.immoscout24.ch/fr/appartement/louer/lieu-rueyres-treyfayes" TargetMode="External"/><Relationship Id="rId240" Type="http://schemas.openxmlformats.org/officeDocument/2006/relationships/hyperlink" Target="https://www.immoscout24.ch/fr/maison/louer/lieu-lossy" TargetMode="External"/><Relationship Id="rId4101" Type="http://schemas.openxmlformats.org/officeDocument/2006/relationships/hyperlink" Target="https://www.immoscout24.ch/fr/appartement/louer/lieu-zeiningen" TargetMode="External"/><Relationship Id="rId4100" Type="http://schemas.openxmlformats.org/officeDocument/2006/relationships/hyperlink" Target="https://www.immoscout24.ch/fr/maison/acheter/lieu-villard-sur-chamby" TargetMode="External"/><Relationship Id="rId5430" Type="http://schemas.openxmlformats.org/officeDocument/2006/relationships/hyperlink" Target="https://www.immoscout24.ch/fr/maison/louer/lieu-courgenay" TargetMode="External"/><Relationship Id="rId246" Type="http://schemas.openxmlformats.org/officeDocument/2006/relationships/hyperlink" Target="https://www.immoscout24.ch/fr/maison/acheter/lieu-hellikon" TargetMode="External"/><Relationship Id="rId4103" Type="http://schemas.openxmlformats.org/officeDocument/2006/relationships/hyperlink" Target="https://www.immoscout24.ch/fr/appartement/louer/lieu-orient" TargetMode="External"/><Relationship Id="rId5435" Type="http://schemas.openxmlformats.org/officeDocument/2006/relationships/hyperlink" Target="https://www.immoscout24.ch/fr/maison/acheter/lieu-blitzingen" TargetMode="External"/><Relationship Id="rId245" Type="http://schemas.openxmlformats.org/officeDocument/2006/relationships/hyperlink" Target="https://www.immoscout24.ch/fr/appartement/louer/quartier-weissenbuehl-berne" TargetMode="External"/><Relationship Id="rId4102" Type="http://schemas.openxmlformats.org/officeDocument/2006/relationships/hyperlink" Target="https://www.immoscout24.ch/fr/appartement/acheter/lieu-rovio" TargetMode="External"/><Relationship Id="rId5436" Type="http://schemas.openxmlformats.org/officeDocument/2006/relationships/hyperlink" Target="https://www.immoscout24.ch/fr/maison/louer/lieu-vella" TargetMode="External"/><Relationship Id="rId244" Type="http://schemas.openxmlformats.org/officeDocument/2006/relationships/hyperlink" Target="https://www.immoscout24.ch/fr/appartement/acheter/lieu-la-conversion" TargetMode="External"/><Relationship Id="rId4105" Type="http://schemas.openxmlformats.org/officeDocument/2006/relationships/hyperlink" Target="https://www.immoscout24.ch/fr/appartement/louer/lieu-montalchez" TargetMode="External"/><Relationship Id="rId5433" Type="http://schemas.openxmlformats.org/officeDocument/2006/relationships/hyperlink" Target="https://www.immoscout24.ch/fr/appartement/louer/lieu-solduno" TargetMode="External"/><Relationship Id="rId243" Type="http://schemas.openxmlformats.org/officeDocument/2006/relationships/hyperlink" Target="https://www.immoscout24.ch/fr/maison/acheter/lieu-agno" TargetMode="External"/><Relationship Id="rId4104" Type="http://schemas.openxmlformats.org/officeDocument/2006/relationships/hyperlink" Target="https://www.immoscout24.ch/fr/appartement/louer/lieu-ogens" TargetMode="External"/><Relationship Id="rId5434" Type="http://schemas.openxmlformats.org/officeDocument/2006/relationships/hyperlink" Target="https://www.immoscout24.ch/fr/maison/louer/lieu-montet-broye" TargetMode="External"/><Relationship Id="rId5428" Type="http://schemas.openxmlformats.org/officeDocument/2006/relationships/hyperlink" Target="https://www.immoscout24.ch/fr/appartement/louer/lieu-dranse-liddes" TargetMode="External"/><Relationship Id="rId5429" Type="http://schemas.openxmlformats.org/officeDocument/2006/relationships/hyperlink" Target="https://www.immoscout24.ch/fr/appartement/acheter/lieu-wallisellen" TargetMode="External"/><Relationship Id="rId5426" Type="http://schemas.openxmlformats.org/officeDocument/2006/relationships/hyperlink" Target="https://www.immoscout24.ch/fr/maison/acheter/lieu-veyras" TargetMode="External"/><Relationship Id="rId5427" Type="http://schemas.openxmlformats.org/officeDocument/2006/relationships/hyperlink" Target="https://www.immoscout24.ch/fr/maison/louer/lieu-muttenz" TargetMode="External"/><Relationship Id="rId239" Type="http://schemas.openxmlformats.org/officeDocument/2006/relationships/hyperlink" Target="https://www.immoscout24.ch/fr/maison/louer/region-val-de-ruz" TargetMode="External"/><Relationship Id="rId238" Type="http://schemas.openxmlformats.org/officeDocument/2006/relationships/hyperlink" Target="https://www.immoscout24.ch/fr/maison/acheter/lieu-ipsach" TargetMode="External"/><Relationship Id="rId237" Type="http://schemas.openxmlformats.org/officeDocument/2006/relationships/hyperlink" Target="https://www.immoscout24.ch/fr/appartement/acheter/lieu-miege" TargetMode="External"/><Relationship Id="rId236" Type="http://schemas.openxmlformats.org/officeDocument/2006/relationships/hyperlink" Target="https://www.immoscout24.ch/fr/maison/louer/lieu-la-ferriere" TargetMode="External"/><Relationship Id="rId231" Type="http://schemas.openxmlformats.org/officeDocument/2006/relationships/hyperlink" Target="https://www.immoscout24.ch/fr/maison/acheter/lieu-cugnasco" TargetMode="External"/><Relationship Id="rId5420" Type="http://schemas.openxmlformats.org/officeDocument/2006/relationships/hyperlink" Target="https://www.immoscout24.ch/fr/appartement/acheter/lieu-rombach" TargetMode="External"/><Relationship Id="rId230" Type="http://schemas.openxmlformats.org/officeDocument/2006/relationships/hyperlink" Target="https://www.immoscout24.ch/fr/maison/acheter/lieu-bioley-orjulaz" TargetMode="External"/><Relationship Id="rId5421" Type="http://schemas.openxmlformats.org/officeDocument/2006/relationships/hyperlink" Target="https://www.immoscout24.ch/fr/appartement/acheter/quartier-buempliz-berne" TargetMode="External"/><Relationship Id="rId235" Type="http://schemas.openxmlformats.org/officeDocument/2006/relationships/hyperlink" Target="https://www.immoscout24.ch/fr/maison/louer/lieu-hagneck" TargetMode="External"/><Relationship Id="rId5424" Type="http://schemas.openxmlformats.org/officeDocument/2006/relationships/hyperlink" Target="https://www.immoscout24.ch/fr/appartement/louer/lieu-les-avants" TargetMode="External"/><Relationship Id="rId234" Type="http://schemas.openxmlformats.org/officeDocument/2006/relationships/hyperlink" Target="https://www.immoscout24.ch/fr/maison/acheter/lieu-rorschacherberg" TargetMode="External"/><Relationship Id="rId5425" Type="http://schemas.openxmlformats.org/officeDocument/2006/relationships/hyperlink" Target="https://www.immoscout24.ch/fr/appartement/louer/lieu-autigny" TargetMode="External"/><Relationship Id="rId233" Type="http://schemas.openxmlformats.org/officeDocument/2006/relationships/hyperlink" Target="https://www.immoscout24.ch/fr/maison/louer/lieu-volketswil" TargetMode="External"/><Relationship Id="rId5422" Type="http://schemas.openxmlformats.org/officeDocument/2006/relationships/hyperlink" Target="https://www.immoscout24.ch/fr/maison/acheter/lieu-mesocco" TargetMode="External"/><Relationship Id="rId232" Type="http://schemas.openxmlformats.org/officeDocument/2006/relationships/hyperlink" Target="https://www.immoscout24.ch/fr/appartement/acheter/lieu-boussens" TargetMode="External"/><Relationship Id="rId5423" Type="http://schemas.openxmlformats.org/officeDocument/2006/relationships/hyperlink" Target="https://www.immoscout24.ch/fr/maison/acheter/lieu-im-fang" TargetMode="External"/><Relationship Id="rId206" Type="http://schemas.openxmlformats.org/officeDocument/2006/relationships/hyperlink" Target="https://www.immoscout24.ch/fr/appartement/acheter/lieu-chalais" TargetMode="External"/><Relationship Id="rId205" Type="http://schemas.openxmlformats.org/officeDocument/2006/relationships/hyperlink" Target="https://www.immoscout24.ch/fr/maison/acheter/lieu-forel-fr" TargetMode="External"/><Relationship Id="rId204" Type="http://schemas.openxmlformats.org/officeDocument/2006/relationships/hyperlink" Target="https://www.immoscout24.ch/fr/maison/louer/lieu-reichenbach-im-kandertal" TargetMode="External"/><Relationship Id="rId203" Type="http://schemas.openxmlformats.org/officeDocument/2006/relationships/hyperlink" Target="https://www.immoscout24.ch/fr/appartement/louer/lieu-cordast" TargetMode="External"/><Relationship Id="rId209" Type="http://schemas.openxmlformats.org/officeDocument/2006/relationships/hyperlink" Target="https://www.immoscout24.ch/fr/maison/acheter/lieu-chippis" TargetMode="External"/><Relationship Id="rId208" Type="http://schemas.openxmlformats.org/officeDocument/2006/relationships/hyperlink" Target="https://www.immoscout24.ch/fr/maison/acheter/lieu-orges" TargetMode="External"/><Relationship Id="rId207" Type="http://schemas.openxmlformats.org/officeDocument/2006/relationships/hyperlink" Target="https://www.immoscout24.ch/fr/maison/louer/lieu-luterbach" TargetMode="External"/><Relationship Id="rId202" Type="http://schemas.openxmlformats.org/officeDocument/2006/relationships/hyperlink" Target="https://www.immoscout24.ch/fr/maison/acheter/lieu-vernier" TargetMode="External"/><Relationship Id="rId201" Type="http://schemas.openxmlformats.org/officeDocument/2006/relationships/hyperlink" Target="https://www.immoscout24.ch/fr/maison/acheter/lieu-bremgarten-ag" TargetMode="External"/><Relationship Id="rId200" Type="http://schemas.openxmlformats.org/officeDocument/2006/relationships/hyperlink" Target="https://www.immoscout24.ch/fr/maison/acheter/lieu-doettingen" TargetMode="External"/><Relationship Id="rId5490" Type="http://schemas.openxmlformats.org/officeDocument/2006/relationships/hyperlink" Target="https://www.immoscout24.ch/fr/maison/acheter/region-val-de-ruz" TargetMode="External"/><Relationship Id="rId4161" Type="http://schemas.openxmlformats.org/officeDocument/2006/relationships/hyperlink" Target="https://www.immoscout24.ch/fr/maison/louer/lieu-buix" TargetMode="External"/><Relationship Id="rId5493" Type="http://schemas.openxmlformats.org/officeDocument/2006/relationships/hyperlink" Target="https://www.immoscout24.ch/fr/maison/acheter/lieu-turin-salins" TargetMode="External"/><Relationship Id="rId4160" Type="http://schemas.openxmlformats.org/officeDocument/2006/relationships/hyperlink" Target="https://www.immoscout24.ch/fr/appartement/acheter/lieu-goumoens-la-ville" TargetMode="External"/><Relationship Id="rId5494" Type="http://schemas.openxmlformats.org/officeDocument/2006/relationships/hyperlink" Target="https://www.immoscout24.ch/fr/maison/acheter/lieu-champex-lac" TargetMode="External"/><Relationship Id="rId4163" Type="http://schemas.openxmlformats.org/officeDocument/2006/relationships/hyperlink" Target="https://www.immoscout24.ch/fr/maison/acheter/lieu-pompaples" TargetMode="External"/><Relationship Id="rId5491" Type="http://schemas.openxmlformats.org/officeDocument/2006/relationships/hyperlink" Target="https://www.immoscout24.ch/fr/maison/louer/lieu-grenilles" TargetMode="External"/><Relationship Id="rId4162" Type="http://schemas.openxmlformats.org/officeDocument/2006/relationships/hyperlink" Target="https://www.immoscout24.ch/fr/appartement/louer/lieu-rigi-kaltbad" TargetMode="External"/><Relationship Id="rId5492" Type="http://schemas.openxmlformats.org/officeDocument/2006/relationships/hyperlink" Target="https://www.immoscout24.ch/fr/appartement/louer/lieu-stein-ag" TargetMode="External"/><Relationship Id="rId4165" Type="http://schemas.openxmlformats.org/officeDocument/2006/relationships/hyperlink" Target="https://www.immoscout24.ch/fr/maison/acheter/lieu-luthern" TargetMode="External"/><Relationship Id="rId5497" Type="http://schemas.openxmlformats.org/officeDocument/2006/relationships/hyperlink" Target="https://www.immoscout24.ch/fr/appartement/louer/lieu-lommis" TargetMode="External"/><Relationship Id="rId4164" Type="http://schemas.openxmlformats.org/officeDocument/2006/relationships/hyperlink" Target="https://www.immoscout24.ch/fr/appartement/louer/quartier-bre-lugano" TargetMode="External"/><Relationship Id="rId5498" Type="http://schemas.openxmlformats.org/officeDocument/2006/relationships/hyperlink" Target="https://www.immoscout24.ch/fr/appartement/acheter/lieu-chippis" TargetMode="External"/><Relationship Id="rId4167" Type="http://schemas.openxmlformats.org/officeDocument/2006/relationships/hyperlink" Target="https://www.immoscout24.ch/fr/appartement/louer/lieu-commugny" TargetMode="External"/><Relationship Id="rId5495" Type="http://schemas.openxmlformats.org/officeDocument/2006/relationships/hyperlink" Target="https://www.immoscout24.ch/fr/appartement/acheter/lieu-riehen" TargetMode="External"/><Relationship Id="rId4166" Type="http://schemas.openxmlformats.org/officeDocument/2006/relationships/hyperlink" Target="https://www.immoscout24.ch/fr/appartement/louer/region-ayent" TargetMode="External"/><Relationship Id="rId5496" Type="http://schemas.openxmlformats.org/officeDocument/2006/relationships/hyperlink" Target="https://www.immoscout24.ch/fr/maison/acheter/lieu-embd" TargetMode="External"/><Relationship Id="rId4169" Type="http://schemas.openxmlformats.org/officeDocument/2006/relationships/hyperlink" Target="https://www.immoscout24.ch/fr/appartement/louer/lieu-iserables" TargetMode="External"/><Relationship Id="rId4168" Type="http://schemas.openxmlformats.org/officeDocument/2006/relationships/hyperlink" Target="https://www.immoscout24.ch/fr/appartement/louer/lieu-seiry" TargetMode="External"/><Relationship Id="rId5499" Type="http://schemas.openxmlformats.org/officeDocument/2006/relationships/hyperlink" Target="https://www.immoscout24.ch/fr/appartement/louer/lieu-amden" TargetMode="External"/><Relationship Id="rId4150" Type="http://schemas.openxmlformats.org/officeDocument/2006/relationships/hyperlink" Target="https://www.immoscout24.ch/fr/appartement/louer/lieu-schindellegi" TargetMode="External"/><Relationship Id="rId5482" Type="http://schemas.openxmlformats.org/officeDocument/2006/relationships/hyperlink" Target="https://www.immoscout24.ch/fr/appartement/louer/lieu-birsfelden" TargetMode="External"/><Relationship Id="rId5483" Type="http://schemas.openxmlformats.org/officeDocument/2006/relationships/hyperlink" Target="https://www.immoscout24.ch/fr/appartement/louer/lieu-adliswil" TargetMode="External"/><Relationship Id="rId4152" Type="http://schemas.openxmlformats.org/officeDocument/2006/relationships/hyperlink" Target="https://www.immoscout24.ch/fr/maison/louer/lieu-chancy" TargetMode="External"/><Relationship Id="rId5480" Type="http://schemas.openxmlformats.org/officeDocument/2006/relationships/hyperlink" Target="https://www.immoscout24.ch/fr/appartement/acheter/lieu-veyras" TargetMode="External"/><Relationship Id="rId4151" Type="http://schemas.openxmlformats.org/officeDocument/2006/relationships/hyperlink" Target="https://www.immoscout24.ch/fr/appartement/louer/lieu-monible" TargetMode="External"/><Relationship Id="rId5481" Type="http://schemas.openxmlformats.org/officeDocument/2006/relationships/hyperlink" Target="https://www.immoscout24.ch/fr/appartement/acheter/lieu-grenchen" TargetMode="External"/><Relationship Id="rId4154" Type="http://schemas.openxmlformats.org/officeDocument/2006/relationships/hyperlink" Target="https://www.immoscout24.ch/fr/appartement/louer/lieu-s-nazzaro" TargetMode="External"/><Relationship Id="rId5486" Type="http://schemas.openxmlformats.org/officeDocument/2006/relationships/hyperlink" Target="https://www.immoscout24.ch/fr/appartement/louer/quartier-oberguetsch-unterguetsch-lucerne" TargetMode="External"/><Relationship Id="rId4153" Type="http://schemas.openxmlformats.org/officeDocument/2006/relationships/hyperlink" Target="https://www.immoscout24.ch/fr/appartement/louer/lieu-romanshorn" TargetMode="External"/><Relationship Id="rId5487" Type="http://schemas.openxmlformats.org/officeDocument/2006/relationships/hyperlink" Target="https://www.immoscout24.ch/fr/maison/louer/lieu-wetzikon-zh" TargetMode="External"/><Relationship Id="rId4156" Type="http://schemas.openxmlformats.org/officeDocument/2006/relationships/hyperlink" Target="https://www.immoscout24.ch/fr/maison/acheter/lieu-chavannes-des-bois" TargetMode="External"/><Relationship Id="rId5484" Type="http://schemas.openxmlformats.org/officeDocument/2006/relationships/hyperlink" Target="https://www.immoscout24.ch/fr/appartement/acheter/lieu-bremblens" TargetMode="External"/><Relationship Id="rId4155" Type="http://schemas.openxmlformats.org/officeDocument/2006/relationships/hyperlink" Target="https://www.immoscout24.ch/fr/appartement/louer/lieu-salvenach" TargetMode="External"/><Relationship Id="rId5485" Type="http://schemas.openxmlformats.org/officeDocument/2006/relationships/hyperlink" Target="https://www.immoscout24.ch/fr/maison/acheter/lieu-tramelan" TargetMode="External"/><Relationship Id="rId4158" Type="http://schemas.openxmlformats.org/officeDocument/2006/relationships/hyperlink" Target="https://www.immoscout24.ch/fr/appartement/louer/lieu-buelach" TargetMode="External"/><Relationship Id="rId4157" Type="http://schemas.openxmlformats.org/officeDocument/2006/relationships/hyperlink" Target="https://www.immoscout24.ch/fr/appartement/acheter/lieu-aproz-nendaz" TargetMode="External"/><Relationship Id="rId5488" Type="http://schemas.openxmlformats.org/officeDocument/2006/relationships/hyperlink" Target="https://www.immoscout24.ch/fr/appartement/louer/lieu-hoefen-b-thun" TargetMode="External"/><Relationship Id="rId4159" Type="http://schemas.openxmlformats.org/officeDocument/2006/relationships/hyperlink" Target="https://www.immoscout24.ch/fr/appartement/louer/canton-bale-ville" TargetMode="External"/><Relationship Id="rId5489" Type="http://schemas.openxmlformats.org/officeDocument/2006/relationships/hyperlink" Target="https://www.immoscout24.ch/fr/maison/louer/lieu-wavre" TargetMode="External"/><Relationship Id="rId1910" Type="http://schemas.openxmlformats.org/officeDocument/2006/relationships/hyperlink" Target="https://www.immoscout24.ch/fr/appartement/louer/lieu-erde" TargetMode="External"/><Relationship Id="rId1911" Type="http://schemas.openxmlformats.org/officeDocument/2006/relationships/hyperlink" Target="https://www.immoscout24.ch/fr/maison/acheter/lieu-la-corbaz" TargetMode="External"/><Relationship Id="rId1912" Type="http://schemas.openxmlformats.org/officeDocument/2006/relationships/hyperlink" Target="https://www.immoscout24.ch/fr/appartement/louer/lieu-puplinge" TargetMode="External"/><Relationship Id="rId1913" Type="http://schemas.openxmlformats.org/officeDocument/2006/relationships/hyperlink" Target="https://www.immoscout24.ch/fr/maison/acheter/lieu-perroy" TargetMode="External"/><Relationship Id="rId1914" Type="http://schemas.openxmlformats.org/officeDocument/2006/relationships/hyperlink" Target="https://www.immoscout24.ch/fr/maison/acheter/lieu-miecourt" TargetMode="External"/><Relationship Id="rId1915" Type="http://schemas.openxmlformats.org/officeDocument/2006/relationships/hyperlink" Target="https://www.immoscout24.ch/fr/maison/louer/lieu-maracon" TargetMode="External"/><Relationship Id="rId1916" Type="http://schemas.openxmlformats.org/officeDocument/2006/relationships/hyperlink" Target="https://www.immoscout24.ch/fr/maison/acheter/lieu-corcelles-pres-payerne" TargetMode="External"/><Relationship Id="rId1917" Type="http://schemas.openxmlformats.org/officeDocument/2006/relationships/hyperlink" Target="https://www.immoscout24.ch/fr/appartement/louer/lieu-sissach" TargetMode="External"/><Relationship Id="rId1918" Type="http://schemas.openxmlformats.org/officeDocument/2006/relationships/hyperlink" Target="https://www.immoscout24.ch/fr/appartement/acheter/lieu-rochefort" TargetMode="External"/><Relationship Id="rId1919" Type="http://schemas.openxmlformats.org/officeDocument/2006/relationships/hyperlink" Target="https://www.immoscout24.ch/fr/appartement/louer/region-aegerisee" TargetMode="External"/><Relationship Id="rId4181" Type="http://schemas.openxmlformats.org/officeDocument/2006/relationships/hyperlink" Target="https://www.immoscout24.ch/fr/maison/acheter/lieu-chermignon-d-en-bas" TargetMode="External"/><Relationship Id="rId4180" Type="http://schemas.openxmlformats.org/officeDocument/2006/relationships/hyperlink" Target="https://www.immoscout24.ch/fr/appartement/acheter/lieu-crans-pres-celigny" TargetMode="External"/><Relationship Id="rId4183" Type="http://schemas.openxmlformats.org/officeDocument/2006/relationships/hyperlink" Target="https://www.immoscout24.ch/fr/appartement/louer/quartier-draizes-vauseyon-neuchatel" TargetMode="External"/><Relationship Id="rId4182" Type="http://schemas.openxmlformats.org/officeDocument/2006/relationships/hyperlink" Target="https://www.immoscout24.ch/fr/maison/louer/lieu-fully" TargetMode="External"/><Relationship Id="rId4185" Type="http://schemas.openxmlformats.org/officeDocument/2006/relationships/hyperlink" Target="https://www.immoscout24.ch/fr/maison/louer/region-laupen-sense" TargetMode="External"/><Relationship Id="rId4184" Type="http://schemas.openxmlformats.org/officeDocument/2006/relationships/hyperlink" Target="https://www.immoscout24.ch/fr/appartement/acheter/lieu-chavannes-sous-orsonnens" TargetMode="External"/><Relationship Id="rId4187" Type="http://schemas.openxmlformats.org/officeDocument/2006/relationships/hyperlink" Target="https://www.immoscout24.ch/fr/maison/acheter/canton-nidwald" TargetMode="External"/><Relationship Id="rId4186" Type="http://schemas.openxmlformats.org/officeDocument/2006/relationships/hyperlink" Target="https://www.immoscout24.ch/fr/appartement/louer/region-nidwald" TargetMode="External"/><Relationship Id="rId4189" Type="http://schemas.openxmlformats.org/officeDocument/2006/relationships/hyperlink" Target="https://www.immoscout24.ch/fr/maison/acheter/lieu-icogne" TargetMode="External"/><Relationship Id="rId4188" Type="http://schemas.openxmlformats.org/officeDocument/2006/relationships/hyperlink" Target="https://www.immoscout24.ch/fr/appartement/louer/lieu-riveo" TargetMode="External"/><Relationship Id="rId1900" Type="http://schemas.openxmlformats.org/officeDocument/2006/relationships/hyperlink" Target="https://www.immoscout24.ch/fr/appartement/acheter/lieu-randogne" TargetMode="External"/><Relationship Id="rId1901" Type="http://schemas.openxmlformats.org/officeDocument/2006/relationships/hyperlink" Target="https://www.immoscout24.ch/fr/appartement/louer/lieu-spiegel-b-bern" TargetMode="External"/><Relationship Id="rId1902" Type="http://schemas.openxmlformats.org/officeDocument/2006/relationships/hyperlink" Target="https://www.immoscout24.ch/fr/maison/acheter/lieu-eschert" TargetMode="External"/><Relationship Id="rId1903" Type="http://schemas.openxmlformats.org/officeDocument/2006/relationships/hyperlink" Target="https://www.immoscout24.ch/fr/appartement/louer/lieu-chesieres" TargetMode="External"/><Relationship Id="rId1904" Type="http://schemas.openxmlformats.org/officeDocument/2006/relationships/hyperlink" Target="https://www.immoscout24.ch/fr/maison/acheter/lieu-la-sagne-ste-croix" TargetMode="External"/><Relationship Id="rId1905" Type="http://schemas.openxmlformats.org/officeDocument/2006/relationships/hyperlink" Target="https://www.immoscout24.ch/fr/appartement/acheter/lieu-brig" TargetMode="External"/><Relationship Id="rId1906" Type="http://schemas.openxmlformats.org/officeDocument/2006/relationships/hyperlink" Target="https://www.immoscout24.ch/fr/maison/acheter/lieu-mendrisio" TargetMode="External"/><Relationship Id="rId1907" Type="http://schemas.openxmlformats.org/officeDocument/2006/relationships/hyperlink" Target="https://www.immoscout24.ch/fr/maison/acheter/lieu-vers-chez-perrin" TargetMode="External"/><Relationship Id="rId1908" Type="http://schemas.openxmlformats.org/officeDocument/2006/relationships/hyperlink" Target="https://www.immoscout24.ch/fr/appartement/louer/lieu-wiesendangen" TargetMode="External"/><Relationship Id="rId1909" Type="http://schemas.openxmlformats.org/officeDocument/2006/relationships/hyperlink" Target="https://www.immoscout24.ch/fr/maison/acheter/lieu-liesberg-dorf" TargetMode="External"/><Relationship Id="rId4170" Type="http://schemas.openxmlformats.org/officeDocument/2006/relationships/hyperlink" Target="https://www.immoscout24.ch/fr/appartement/louer/quartier-liebefeld-koeniz" TargetMode="External"/><Relationship Id="rId4172" Type="http://schemas.openxmlformats.org/officeDocument/2006/relationships/hyperlink" Target="https://www.immoscout24.ch/fr/maison/louer/lieu-travers" TargetMode="External"/><Relationship Id="rId4171" Type="http://schemas.openxmlformats.org/officeDocument/2006/relationships/hyperlink" Target="https://www.immoscout24.ch/fr/maison/louer/lieu-cudrefin" TargetMode="External"/><Relationship Id="rId4174" Type="http://schemas.openxmlformats.org/officeDocument/2006/relationships/hyperlink" Target="https://www.immoscout24.ch/fr/maison/louer/lieu-echandens" TargetMode="External"/><Relationship Id="rId4173" Type="http://schemas.openxmlformats.org/officeDocument/2006/relationships/hyperlink" Target="https://www.immoscout24.ch/fr/maison/louer/lieu-montana" TargetMode="External"/><Relationship Id="rId4176" Type="http://schemas.openxmlformats.org/officeDocument/2006/relationships/hyperlink" Target="https://www.immoscout24.ch/fr/appartement/louer/lieu-chaneaz" TargetMode="External"/><Relationship Id="rId4175" Type="http://schemas.openxmlformats.org/officeDocument/2006/relationships/hyperlink" Target="https://www.immoscout24.ch/fr/appartement/louer/quartier-montriond-cour-lausanne" TargetMode="External"/><Relationship Id="rId4178" Type="http://schemas.openxmlformats.org/officeDocument/2006/relationships/hyperlink" Target="https://www.immoscout24.ch/fr/appartement/acheter/quartier-vinet-pontaise-lausanne" TargetMode="External"/><Relationship Id="rId4177" Type="http://schemas.openxmlformats.org/officeDocument/2006/relationships/hyperlink" Target="https://www.immoscout24.ch/fr/appartement/louer/lieu-beromuenster" TargetMode="External"/><Relationship Id="rId4179" Type="http://schemas.openxmlformats.org/officeDocument/2006/relationships/hyperlink" Target="https://www.immoscout24.ch/fr/appartement/louer/lieu-grolley" TargetMode="External"/><Relationship Id="rId4129" Type="http://schemas.openxmlformats.org/officeDocument/2006/relationships/hyperlink" Target="https://www.immoscout24.ch/fr/maison/acheter/lieu-mairengo" TargetMode="External"/><Relationship Id="rId4128" Type="http://schemas.openxmlformats.org/officeDocument/2006/relationships/hyperlink" Target="https://www.immoscout24.ch/fr/appartement/louer/lieu-corpataux-magnedens" TargetMode="External"/><Relationship Id="rId5459" Type="http://schemas.openxmlformats.org/officeDocument/2006/relationships/hyperlink" Target="https://www.immoscout24.ch/fr/appartement/louer/lieu-montherod" TargetMode="External"/><Relationship Id="rId5450" Type="http://schemas.openxmlformats.org/officeDocument/2006/relationships/hyperlink" Target="https://www.immoscout24.ch/fr/appartement/acheter/lieu-les-ponts-de-martel" TargetMode="External"/><Relationship Id="rId4121" Type="http://schemas.openxmlformats.org/officeDocument/2006/relationships/hyperlink" Target="https://www.immoscout24.ch/fr/appartement/louer/lieu-remaufens" TargetMode="External"/><Relationship Id="rId5453" Type="http://schemas.openxmlformats.org/officeDocument/2006/relationships/hyperlink" Target="https://www.immoscout24.ch/fr/maison/acheter/lieu-verscio" TargetMode="External"/><Relationship Id="rId4120" Type="http://schemas.openxmlformats.org/officeDocument/2006/relationships/hyperlink" Target="https://www.immoscout24.ch/fr/appartement/louer/region-jura-bernois" TargetMode="External"/><Relationship Id="rId5454" Type="http://schemas.openxmlformats.org/officeDocument/2006/relationships/hyperlink" Target="https://www.immoscout24.ch/fr/maison/louer/canton-bale-campagne" TargetMode="External"/><Relationship Id="rId4123" Type="http://schemas.openxmlformats.org/officeDocument/2006/relationships/hyperlink" Target="https://www.immoscout24.ch/fr/appartement/louer/lieu-boesingen" TargetMode="External"/><Relationship Id="rId5451" Type="http://schemas.openxmlformats.org/officeDocument/2006/relationships/hyperlink" Target="https://www.immoscout24.ch/fr/appartement/acheter/lieu-cugy-fr" TargetMode="External"/><Relationship Id="rId4122" Type="http://schemas.openxmlformats.org/officeDocument/2006/relationships/hyperlink" Target="https://www.immoscout24.ch/fr/maison/acheter/lieu-aarau" TargetMode="External"/><Relationship Id="rId5452" Type="http://schemas.openxmlformats.org/officeDocument/2006/relationships/hyperlink" Target="https://www.immoscout24.ch/fr/appartement/louer/lieu-hermance" TargetMode="External"/><Relationship Id="rId4125" Type="http://schemas.openxmlformats.org/officeDocument/2006/relationships/hyperlink" Target="https://www.immoscout24.ch/fr/appartement/acheter/lieu-taesch" TargetMode="External"/><Relationship Id="rId5457" Type="http://schemas.openxmlformats.org/officeDocument/2006/relationships/hyperlink" Target="https://www.immoscout24.ch/fr/appartement/acheter/lieu-orpund" TargetMode="External"/><Relationship Id="rId4124" Type="http://schemas.openxmlformats.org/officeDocument/2006/relationships/hyperlink" Target="https://www.immoscout24.ch/fr/appartement/acheter/lieu-le-vaud" TargetMode="External"/><Relationship Id="rId5458" Type="http://schemas.openxmlformats.org/officeDocument/2006/relationships/hyperlink" Target="https://www.immoscout24.ch/fr/maison/acheter/lieu-le-sentier" TargetMode="External"/><Relationship Id="rId4127" Type="http://schemas.openxmlformats.org/officeDocument/2006/relationships/hyperlink" Target="https://www.immoscout24.ch/fr/maison/acheter/lieu-corcelles-pres-concise" TargetMode="External"/><Relationship Id="rId5455" Type="http://schemas.openxmlformats.org/officeDocument/2006/relationships/hyperlink" Target="https://www.immoscout24.ch/fr/maison/louer/lieu-flanthey" TargetMode="External"/><Relationship Id="rId4126" Type="http://schemas.openxmlformats.org/officeDocument/2006/relationships/hyperlink" Target="https://www.immoscout24.ch/fr/maison/acheter/lieu-st-legier-la-chiesaz" TargetMode="External"/><Relationship Id="rId5456" Type="http://schemas.openxmlformats.org/officeDocument/2006/relationships/hyperlink" Target="https://www.immoscout24.ch/fr/maison/louer/lieu-st-gingolph" TargetMode="External"/><Relationship Id="rId4118" Type="http://schemas.openxmlformats.org/officeDocument/2006/relationships/hyperlink" Target="https://www.immoscout24.ch/fr/maison/acheter/lieu-seiry" TargetMode="External"/><Relationship Id="rId4117" Type="http://schemas.openxmlformats.org/officeDocument/2006/relationships/hyperlink" Target="https://www.immoscout24.ch/fr/maison/louer/lieu-erlach" TargetMode="External"/><Relationship Id="rId5448" Type="http://schemas.openxmlformats.org/officeDocument/2006/relationships/hyperlink" Target="https://www.immoscout24.ch/fr/maison/acheter/lieu-la-brevine" TargetMode="External"/><Relationship Id="rId4119" Type="http://schemas.openxmlformats.org/officeDocument/2006/relationships/hyperlink" Target="https://www.immoscout24.ch/fr/appartement/acheter/lieu-belalp" TargetMode="External"/><Relationship Id="rId5449" Type="http://schemas.openxmlformats.org/officeDocument/2006/relationships/hyperlink" Target="https://www.immoscout24.ch/fr/maison/acheter/lieu-le-grand-saconnex" TargetMode="External"/><Relationship Id="rId4110" Type="http://schemas.openxmlformats.org/officeDocument/2006/relationships/hyperlink" Target="https://www.immoscout24.ch/fr/appartement/acheter/region-bas-valais" TargetMode="External"/><Relationship Id="rId5442" Type="http://schemas.openxmlformats.org/officeDocument/2006/relationships/hyperlink" Target="https://www.immoscout24.ch/fr/appartement/louer/lieu-hennens" TargetMode="External"/><Relationship Id="rId5443" Type="http://schemas.openxmlformats.org/officeDocument/2006/relationships/hyperlink" Target="https://www.immoscout24.ch/fr/maison/acheter/lieu-tuescherz-alfermee" TargetMode="External"/><Relationship Id="rId4112" Type="http://schemas.openxmlformats.org/officeDocument/2006/relationships/hyperlink" Target="https://www.immoscout24.ch/fr/appartement/acheter/lieu-troinex" TargetMode="External"/><Relationship Id="rId5440" Type="http://schemas.openxmlformats.org/officeDocument/2006/relationships/hyperlink" Target="https://www.immoscout24.ch/fr/maison/acheter/lieu-flumserberg-bergheim" TargetMode="External"/><Relationship Id="rId4111" Type="http://schemas.openxmlformats.org/officeDocument/2006/relationships/hyperlink" Target="https://www.immoscout24.ch/fr/appartement/louer/lieu-liesberg-dorf" TargetMode="External"/><Relationship Id="rId5441" Type="http://schemas.openxmlformats.org/officeDocument/2006/relationships/hyperlink" Target="https://www.immoscout24.ch/fr/appartement/louer/lieu-les-friques" TargetMode="External"/><Relationship Id="rId4114" Type="http://schemas.openxmlformats.org/officeDocument/2006/relationships/hyperlink" Target="https://www.immoscout24.ch/fr/maison/acheter/quartier-schonberg-fribourg" TargetMode="External"/><Relationship Id="rId5446" Type="http://schemas.openxmlformats.org/officeDocument/2006/relationships/hyperlink" Target="https://www.immoscout24.ch/fr/appartement/acheter/lieu-les-bois" TargetMode="External"/><Relationship Id="rId4113" Type="http://schemas.openxmlformats.org/officeDocument/2006/relationships/hyperlink" Target="https://www.immoscout24.ch/fr/appartement/louer/lieu-graechen" TargetMode="External"/><Relationship Id="rId5447" Type="http://schemas.openxmlformats.org/officeDocument/2006/relationships/hyperlink" Target="https://www.immoscout24.ch/fr/maison/acheter/lieu-worb" TargetMode="External"/><Relationship Id="rId4116" Type="http://schemas.openxmlformats.org/officeDocument/2006/relationships/hyperlink" Target="https://www.immoscout24.ch/fr/maison/acheter/quartier-ville-ancienne-la-chaux-de-fonds" TargetMode="External"/><Relationship Id="rId5444" Type="http://schemas.openxmlformats.org/officeDocument/2006/relationships/hyperlink" Target="https://www.immoscout24.ch/fr/maison/acheter/lieu-niederbipp" TargetMode="External"/><Relationship Id="rId4115" Type="http://schemas.openxmlformats.org/officeDocument/2006/relationships/hyperlink" Target="https://www.immoscout24.ch/fr/appartement/louer/lieu-movelier" TargetMode="External"/><Relationship Id="rId5445" Type="http://schemas.openxmlformats.org/officeDocument/2006/relationships/hyperlink" Target="https://www.immoscout24.ch/fr/maison/acheter/lieu-palagnedra" TargetMode="External"/><Relationship Id="rId5471" Type="http://schemas.openxmlformats.org/officeDocument/2006/relationships/hyperlink" Target="https://www.immoscout24.ch/fr/appartement/acheter/lieu-perly" TargetMode="External"/><Relationship Id="rId5472" Type="http://schemas.openxmlformats.org/officeDocument/2006/relationships/hyperlink" Target="https://www.immoscout24.ch/fr/appartement/louer/lieu-belprahon" TargetMode="External"/><Relationship Id="rId4141" Type="http://schemas.openxmlformats.org/officeDocument/2006/relationships/hyperlink" Target="https://www.immoscout24.ch/fr/maison/acheter/lieu-cordast" TargetMode="External"/><Relationship Id="rId4140" Type="http://schemas.openxmlformats.org/officeDocument/2006/relationships/hyperlink" Target="https://www.immoscout24.ch/fr/appartement/louer/lieu-les-vieux-pres" TargetMode="External"/><Relationship Id="rId5470" Type="http://schemas.openxmlformats.org/officeDocument/2006/relationships/hyperlink" Target="https://www.immoscout24.ch/fr/maison/acheter/lieu-buus" TargetMode="External"/><Relationship Id="rId4143" Type="http://schemas.openxmlformats.org/officeDocument/2006/relationships/hyperlink" Target="https://www.immoscout24.ch/fr/appartement/acheter/lieu-leytron" TargetMode="External"/><Relationship Id="rId5475" Type="http://schemas.openxmlformats.org/officeDocument/2006/relationships/hyperlink" Target="https://www.immoscout24.ch/fr/appartement/louer/lieu-mollie-margot" TargetMode="External"/><Relationship Id="rId4142" Type="http://schemas.openxmlformats.org/officeDocument/2006/relationships/hyperlink" Target="https://www.immoscout24.ch/fr/appartement/louer/lieu-courgenay" TargetMode="External"/><Relationship Id="rId5476" Type="http://schemas.openxmlformats.org/officeDocument/2006/relationships/hyperlink" Target="https://www.immoscout24.ch/fr/appartement/acheter/region-glarnerland" TargetMode="External"/><Relationship Id="rId4145" Type="http://schemas.openxmlformats.org/officeDocument/2006/relationships/hyperlink" Target="https://www.immoscout24.ch/fr/appartement/louer/lieu-mollens-vs" TargetMode="External"/><Relationship Id="rId5473" Type="http://schemas.openxmlformats.org/officeDocument/2006/relationships/hyperlink" Target="https://www.immoscout24.ch/fr/maison/acheter/pays-serbie" TargetMode="External"/><Relationship Id="rId4144" Type="http://schemas.openxmlformats.org/officeDocument/2006/relationships/hyperlink" Target="https://www.immoscout24.ch/fr/appartement/louer/lieu-muenchenstein" TargetMode="External"/><Relationship Id="rId5474" Type="http://schemas.openxmlformats.org/officeDocument/2006/relationships/hyperlink" Target="https://www.immoscout24.ch/fr/maison/acheter/lieu-fontaines-ne" TargetMode="External"/><Relationship Id="rId4147" Type="http://schemas.openxmlformats.org/officeDocument/2006/relationships/hyperlink" Target="https://www.immoscout24.ch/fr/appartement/louer/region-campagne-rive-droite" TargetMode="External"/><Relationship Id="rId5479" Type="http://schemas.openxmlformats.org/officeDocument/2006/relationships/hyperlink" Target="https://www.immoscout24.ch/fr/appartement/louer/region-rheintal-werdenberg" TargetMode="External"/><Relationship Id="rId4146" Type="http://schemas.openxmlformats.org/officeDocument/2006/relationships/hyperlink" Target="https://www.immoscout24.ch/fr/appartement/louer/lieu-onnens-vd" TargetMode="External"/><Relationship Id="rId4149" Type="http://schemas.openxmlformats.org/officeDocument/2006/relationships/hyperlink" Target="https://www.immoscout24.ch/fr/maison/acheter/lieu-cormoret" TargetMode="External"/><Relationship Id="rId5477" Type="http://schemas.openxmlformats.org/officeDocument/2006/relationships/hyperlink" Target="https://www.immoscout24.ch/fr/appartement/acheter/lieu-meyrin" TargetMode="External"/><Relationship Id="rId4148" Type="http://schemas.openxmlformats.org/officeDocument/2006/relationships/hyperlink" Target="https://www.immoscout24.ch/fr/maison/acheter/lieu-bruettelen" TargetMode="External"/><Relationship Id="rId5478" Type="http://schemas.openxmlformats.org/officeDocument/2006/relationships/hyperlink" Target="https://www.immoscout24.ch/fr/maison/acheter/lieu-grandson" TargetMode="External"/><Relationship Id="rId4139" Type="http://schemas.openxmlformats.org/officeDocument/2006/relationships/hyperlink" Target="https://www.immoscout24.ch/fr/appartement/louer/lieu-roggenburg" TargetMode="External"/><Relationship Id="rId5460" Type="http://schemas.openxmlformats.org/officeDocument/2006/relationships/hyperlink" Target="https://www.immoscout24.ch/fr/appartement/louer/lieu-wimmis" TargetMode="External"/><Relationship Id="rId5461" Type="http://schemas.openxmlformats.org/officeDocument/2006/relationships/hyperlink" Target="https://www.immoscout24.ch/fr/maison/acheter/lieu-villaz-st-pierre" TargetMode="External"/><Relationship Id="rId4130" Type="http://schemas.openxmlformats.org/officeDocument/2006/relationships/hyperlink" Target="https://www.immoscout24.ch/fr/maison/acheter/quartier-sebeillon-malley-lausanne" TargetMode="External"/><Relationship Id="rId4132" Type="http://schemas.openxmlformats.org/officeDocument/2006/relationships/hyperlink" Target="https://www.immoscout24.ch/fr/maison/louer/region-oberaargau" TargetMode="External"/><Relationship Id="rId5464" Type="http://schemas.openxmlformats.org/officeDocument/2006/relationships/hyperlink" Target="https://www.immoscout24.ch/fr/maison/acheter/region-olten-thal-gaeu-gosgen" TargetMode="External"/><Relationship Id="rId4131" Type="http://schemas.openxmlformats.org/officeDocument/2006/relationships/hyperlink" Target="https://www.immoscout24.ch/fr/appartement/louer/region-porrentruy" TargetMode="External"/><Relationship Id="rId5465" Type="http://schemas.openxmlformats.org/officeDocument/2006/relationships/hyperlink" Target="https://www.immoscout24.ch/fr/appartement/louer/lieu-poliez-pittet" TargetMode="External"/><Relationship Id="rId4134" Type="http://schemas.openxmlformats.org/officeDocument/2006/relationships/hyperlink" Target="https://www.immoscout24.ch/fr/maison/acheter/lieu-mossel" TargetMode="External"/><Relationship Id="rId5462" Type="http://schemas.openxmlformats.org/officeDocument/2006/relationships/hyperlink" Target="https://www.immoscout24.ch/fr/appartement/louer/lieu-forch" TargetMode="External"/><Relationship Id="rId4133" Type="http://schemas.openxmlformats.org/officeDocument/2006/relationships/hyperlink" Target="https://www.immoscout24.ch/fr/appartement/louer/lieu-rolle" TargetMode="External"/><Relationship Id="rId5463" Type="http://schemas.openxmlformats.org/officeDocument/2006/relationships/hyperlink" Target="https://www.immoscout24.ch/fr/maison/acheter/lieu-regensdorf" TargetMode="External"/><Relationship Id="rId4136" Type="http://schemas.openxmlformats.org/officeDocument/2006/relationships/hyperlink" Target="https://www.immoscout24.ch/fr/maison/acheter/lieu-schoenenwerd" TargetMode="External"/><Relationship Id="rId5468" Type="http://schemas.openxmlformats.org/officeDocument/2006/relationships/hyperlink" Target="https://www.immoscout24.ch/fr/appartement/acheter/lieu-herisau" TargetMode="External"/><Relationship Id="rId4135" Type="http://schemas.openxmlformats.org/officeDocument/2006/relationships/hyperlink" Target="https://www.immoscout24.ch/fr/appartement/louer/lieu-le-paquier-montbarry" TargetMode="External"/><Relationship Id="rId5469" Type="http://schemas.openxmlformats.org/officeDocument/2006/relationships/hyperlink" Target="https://www.immoscout24.ch/fr/maison/louer/lieu-jaun" TargetMode="External"/><Relationship Id="rId4138" Type="http://schemas.openxmlformats.org/officeDocument/2006/relationships/hyperlink" Target="https://www.immoscout24.ch/fr/appartement/acheter/lieu-lens" TargetMode="External"/><Relationship Id="rId5466" Type="http://schemas.openxmlformats.org/officeDocument/2006/relationships/hyperlink" Target="https://www.immoscout24.ch/fr/appartement/acheter/lieu-uitikon-waldegg" TargetMode="External"/><Relationship Id="rId4137" Type="http://schemas.openxmlformats.org/officeDocument/2006/relationships/hyperlink" Target="https://www.immoscout24.ch/fr/appartement/louer/lieu-cries-volleges" TargetMode="External"/><Relationship Id="rId5467" Type="http://schemas.openxmlformats.org/officeDocument/2006/relationships/hyperlink" Target="https://www.immoscout24.ch/fr/appartement/louer/lieu-boveresse" TargetMode="External"/><Relationship Id="rId1972" Type="http://schemas.openxmlformats.org/officeDocument/2006/relationships/hyperlink" Target="https://www.immoscout24.ch/fr/maison/louer/lieu-pieterlen" TargetMode="External"/><Relationship Id="rId1973" Type="http://schemas.openxmlformats.org/officeDocument/2006/relationships/hyperlink" Target="https://www.immoscout24.ch/fr/appartement/acheter/lieu-binningen" TargetMode="External"/><Relationship Id="rId1974" Type="http://schemas.openxmlformats.org/officeDocument/2006/relationships/hyperlink" Target="https://www.immoscout24.ch/fr/maison/acheter/lieu-arbaz" TargetMode="External"/><Relationship Id="rId1975" Type="http://schemas.openxmlformats.org/officeDocument/2006/relationships/hyperlink" Target="https://www.immoscout24.ch/fr/appartement/acheter/lieu-corsier-sur-vevey" TargetMode="External"/><Relationship Id="rId1976" Type="http://schemas.openxmlformats.org/officeDocument/2006/relationships/hyperlink" Target="https://www.immoscout24.ch/fr/appartement/acheter/lieu-cossonay-ville" TargetMode="External"/><Relationship Id="rId1977" Type="http://schemas.openxmlformats.org/officeDocument/2006/relationships/hyperlink" Target="https://www.immoscout24.ch/fr/appartement/louer/lieu-moudon" TargetMode="External"/><Relationship Id="rId1978" Type="http://schemas.openxmlformats.org/officeDocument/2006/relationships/hyperlink" Target="https://www.immoscout24.ch/fr/appartement/louer/lieu-bazenheid" TargetMode="External"/><Relationship Id="rId1979" Type="http://schemas.openxmlformats.org/officeDocument/2006/relationships/hyperlink" Target="https://www.immoscout24.ch/fr/maison/acheter/region-valais-central" TargetMode="External"/><Relationship Id="rId1970" Type="http://schemas.openxmlformats.org/officeDocument/2006/relationships/hyperlink" Target="https://www.immoscout24.ch/fr/appartement/louer/lieu-steckborn" TargetMode="External"/><Relationship Id="rId1971" Type="http://schemas.openxmlformats.org/officeDocument/2006/relationships/hyperlink" Target="https://www.immoscout24.ch/fr/appartement/louer/lieu-thalwil" TargetMode="External"/><Relationship Id="rId1961" Type="http://schemas.openxmlformats.org/officeDocument/2006/relationships/hyperlink" Target="https://www.immoscout24.ch/fr/appartement/louer/quartier-kirchenfeld-berne" TargetMode="External"/><Relationship Id="rId1962" Type="http://schemas.openxmlformats.org/officeDocument/2006/relationships/hyperlink" Target="https://www.immoscout24.ch/fr/appartement/acheter/lieu-benken-zh" TargetMode="External"/><Relationship Id="rId1963" Type="http://schemas.openxmlformats.org/officeDocument/2006/relationships/hyperlink" Target="https://www.immoscout24.ch/fr/appartement/louer/lieu-schoetz" TargetMode="External"/><Relationship Id="rId1964" Type="http://schemas.openxmlformats.org/officeDocument/2006/relationships/hyperlink" Target="https://www.immoscout24.ch/fr/appartement/acheter/lieu-la-croix-lutry" TargetMode="External"/><Relationship Id="rId1965" Type="http://schemas.openxmlformats.org/officeDocument/2006/relationships/hyperlink" Target="https://www.immoscout24.ch/fr/maison/louer/lieu-hinwil" TargetMode="External"/><Relationship Id="rId1966" Type="http://schemas.openxmlformats.org/officeDocument/2006/relationships/hyperlink" Target="https://www.immoscout24.ch/fr/maison/louer/lieu-gampelen" TargetMode="External"/><Relationship Id="rId1967" Type="http://schemas.openxmlformats.org/officeDocument/2006/relationships/hyperlink" Target="https://www.immoscout24.ch/fr/maison/louer/lieu-villars-sur-ollon" TargetMode="External"/><Relationship Id="rId1968" Type="http://schemas.openxmlformats.org/officeDocument/2006/relationships/hyperlink" Target="https://www.immoscout24.ch/fr/appartement/louer/lieu-arconciel" TargetMode="External"/><Relationship Id="rId1969" Type="http://schemas.openxmlformats.org/officeDocument/2006/relationships/hyperlink" Target="https://www.immoscout24.ch/fr/maison/acheter/lieu-adelboden" TargetMode="External"/><Relationship Id="rId1960" Type="http://schemas.openxmlformats.org/officeDocument/2006/relationships/hyperlink" Target="https://www.immoscout24.ch/fr/appartement/acheter/lieu-belfaux" TargetMode="External"/><Relationship Id="rId1994" Type="http://schemas.openxmlformats.org/officeDocument/2006/relationships/hyperlink" Target="https://www.immoscout24.ch/fr/appartement/louer/lieu-guettingen" TargetMode="External"/><Relationship Id="rId1995" Type="http://schemas.openxmlformats.org/officeDocument/2006/relationships/hyperlink" Target="https://www.immoscout24.ch/fr/appartement/louer/lieu-levron" TargetMode="External"/><Relationship Id="rId1996" Type="http://schemas.openxmlformats.org/officeDocument/2006/relationships/hyperlink" Target="https://www.immoscout24.ch/fr/maison/acheter/quartier-chailly-rovereaz-lausanne" TargetMode="External"/><Relationship Id="rId1997" Type="http://schemas.openxmlformats.org/officeDocument/2006/relationships/hyperlink" Target="https://www.immoscout24.ch/fr/maison/acheter/lieu-pringy" TargetMode="External"/><Relationship Id="rId1998" Type="http://schemas.openxmlformats.org/officeDocument/2006/relationships/hyperlink" Target="https://www.immoscout24.ch/fr/maison/acheter/quartier-valcolla-lugano" TargetMode="External"/><Relationship Id="rId1999" Type="http://schemas.openxmlformats.org/officeDocument/2006/relationships/hyperlink" Target="https://www.immoscout24.ch/fr/maison/louer/lieu-lussery-villars" TargetMode="External"/><Relationship Id="rId1990" Type="http://schemas.openxmlformats.org/officeDocument/2006/relationships/hyperlink" Target="https://www.immoscout24.ch/fr/maison/acheter/region-jura-bernois" TargetMode="External"/><Relationship Id="rId1991" Type="http://schemas.openxmlformats.org/officeDocument/2006/relationships/hyperlink" Target="https://www.immoscout24.ch/fr/maison/acheter/lieu-bougy-villars" TargetMode="External"/><Relationship Id="rId1992" Type="http://schemas.openxmlformats.org/officeDocument/2006/relationships/hyperlink" Target="https://www.immoscout24.ch/fr/appartement/louer/lieu-root" TargetMode="External"/><Relationship Id="rId1993" Type="http://schemas.openxmlformats.org/officeDocument/2006/relationships/hyperlink" Target="https://www.immoscout24.ch/fr/maison/acheter/lieu-pont-la-ville" TargetMode="External"/><Relationship Id="rId1983" Type="http://schemas.openxmlformats.org/officeDocument/2006/relationships/hyperlink" Target="https://www.immoscout24.ch/fr/appartement/louer/lieu-muenchenwiler" TargetMode="External"/><Relationship Id="rId1984" Type="http://schemas.openxmlformats.org/officeDocument/2006/relationships/hyperlink" Target="https://www.immoscout24.ch/fr/maison/acheter/lieu-safenwil" TargetMode="External"/><Relationship Id="rId1985" Type="http://schemas.openxmlformats.org/officeDocument/2006/relationships/hyperlink" Target="https://www.immoscout24.ch/fr/appartement/acheter/lieu-sachseln" TargetMode="External"/><Relationship Id="rId1986" Type="http://schemas.openxmlformats.org/officeDocument/2006/relationships/hyperlink" Target="https://www.immoscout24.ch/fr/appartement/louer/lieu-lully-vd" TargetMode="External"/><Relationship Id="rId1987" Type="http://schemas.openxmlformats.org/officeDocument/2006/relationships/hyperlink" Target="https://www.immoscout24.ch/fr/maison/acheter/lieu-mezzovico" TargetMode="External"/><Relationship Id="rId1988" Type="http://schemas.openxmlformats.org/officeDocument/2006/relationships/hyperlink" Target="https://www.immoscout24.ch/fr/appartement/louer/region-lac-majeur" TargetMode="External"/><Relationship Id="rId1989" Type="http://schemas.openxmlformats.org/officeDocument/2006/relationships/hyperlink" Target="https://www.immoscout24.ch/fr/maison/acheter/lieu-dardagny" TargetMode="External"/><Relationship Id="rId1980" Type="http://schemas.openxmlformats.org/officeDocument/2006/relationships/hyperlink" Target="https://www.immoscout24.ch/fr/appartement/louer/lieu-la-neuveville" TargetMode="External"/><Relationship Id="rId1981" Type="http://schemas.openxmlformats.org/officeDocument/2006/relationships/hyperlink" Target="https://www.immoscout24.ch/fr/appartement/acheter/lieu-vaulruz" TargetMode="External"/><Relationship Id="rId1982" Type="http://schemas.openxmlformats.org/officeDocument/2006/relationships/hyperlink" Target="https://www.immoscout24.ch/fr/appartement/louer/lieu-ins" TargetMode="External"/><Relationship Id="rId1930" Type="http://schemas.openxmlformats.org/officeDocument/2006/relationships/hyperlink" Target="https://www.immoscout24.ch/fr/appartement/acheter/lieu-bramois" TargetMode="External"/><Relationship Id="rId1931" Type="http://schemas.openxmlformats.org/officeDocument/2006/relationships/hyperlink" Target="https://www.immoscout24.ch/fr/maison/acheter/lieu-les-crosets" TargetMode="External"/><Relationship Id="rId1932" Type="http://schemas.openxmlformats.org/officeDocument/2006/relationships/hyperlink" Target="https://www.immoscout24.ch/fr/appartement/louer/lieu-la-brevine" TargetMode="External"/><Relationship Id="rId1933" Type="http://schemas.openxmlformats.org/officeDocument/2006/relationships/hyperlink" Target="https://www.immoscout24.ch/fr/maison/louer/lieu-thonex" TargetMode="External"/><Relationship Id="rId1934" Type="http://schemas.openxmlformats.org/officeDocument/2006/relationships/hyperlink" Target="https://www.immoscout24.ch/fr/maison/acheter/lieu-merzligen" TargetMode="External"/><Relationship Id="rId1935" Type="http://schemas.openxmlformats.org/officeDocument/2006/relationships/hyperlink" Target="https://www.immoscout24.ch/fr/maison/acheter/region-mendrisiotto" TargetMode="External"/><Relationship Id="rId1936" Type="http://schemas.openxmlformats.org/officeDocument/2006/relationships/hyperlink" Target="https://www.immoscout24.ch/fr/maison/acheter/lieu-colla" TargetMode="External"/><Relationship Id="rId1937" Type="http://schemas.openxmlformats.org/officeDocument/2006/relationships/hyperlink" Target="https://www.immoscout24.ch/fr/appartement/louer/lieu-sevelen" TargetMode="External"/><Relationship Id="rId1938" Type="http://schemas.openxmlformats.org/officeDocument/2006/relationships/hyperlink" Target="https://www.immoscout24.ch/fr/appartement/louer/lieu-corban" TargetMode="External"/><Relationship Id="rId1939" Type="http://schemas.openxmlformats.org/officeDocument/2006/relationships/hyperlink" Target="https://www.immoscout24.ch/fr/maison/acheter/lieu-lamboing" TargetMode="External"/><Relationship Id="rId1920" Type="http://schemas.openxmlformats.org/officeDocument/2006/relationships/hyperlink" Target="https://www.immoscout24.ch/fr/maison/acheter/lieu-koblenz" TargetMode="External"/><Relationship Id="rId1921" Type="http://schemas.openxmlformats.org/officeDocument/2006/relationships/hyperlink" Target="https://www.immoscout24.ch/fr/appartement/louer/lieu-engelberg" TargetMode="External"/><Relationship Id="rId1922" Type="http://schemas.openxmlformats.org/officeDocument/2006/relationships/hyperlink" Target="https://www.immoscout24.ch/fr/appartement/louer/quartier-vignoble-biel-bienne" TargetMode="External"/><Relationship Id="rId1923" Type="http://schemas.openxmlformats.org/officeDocument/2006/relationships/hyperlink" Target="https://www.immoscout24.ch/fr/appartement/louer/lieu-vuarrens" TargetMode="External"/><Relationship Id="rId1924" Type="http://schemas.openxmlformats.org/officeDocument/2006/relationships/hyperlink" Target="https://www.immoscout24.ch/fr/maison/acheter/lieu-loveresse" TargetMode="External"/><Relationship Id="rId1925" Type="http://schemas.openxmlformats.org/officeDocument/2006/relationships/hyperlink" Target="https://www.immoscout24.ch/fr/appartement/louer/lieu-villarimboud" TargetMode="External"/><Relationship Id="rId1926" Type="http://schemas.openxmlformats.org/officeDocument/2006/relationships/hyperlink" Target="https://www.immoscout24.ch/fr/appartement/louer/lieu-bad-zurzach" TargetMode="External"/><Relationship Id="rId1927" Type="http://schemas.openxmlformats.org/officeDocument/2006/relationships/hyperlink" Target="https://www.immoscout24.ch/fr/maison/acheter/lieu-axalp" TargetMode="External"/><Relationship Id="rId1928" Type="http://schemas.openxmlformats.org/officeDocument/2006/relationships/hyperlink" Target="https://www.immoscout24.ch/fr/appartement/louer/canton-berne" TargetMode="External"/><Relationship Id="rId1929" Type="http://schemas.openxmlformats.org/officeDocument/2006/relationships/hyperlink" Target="https://www.immoscout24.ch/fr/appartement/acheter/lieu-oberdorf-so" TargetMode="External"/><Relationship Id="rId4190" Type="http://schemas.openxmlformats.org/officeDocument/2006/relationships/hyperlink" Target="https://www.immoscout24.ch/fr/appartement/louer/lieu-chezard-st-martin" TargetMode="External"/><Relationship Id="rId4192" Type="http://schemas.openxmlformats.org/officeDocument/2006/relationships/hyperlink" Target="https://www.immoscout24.ch/fr/maison/acheter/lieu-ernen" TargetMode="External"/><Relationship Id="rId4191" Type="http://schemas.openxmlformats.org/officeDocument/2006/relationships/hyperlink" Target="https://www.immoscout24.ch/fr/appartement/acheter/lieu-st-pierre-de-clages" TargetMode="External"/><Relationship Id="rId4194" Type="http://schemas.openxmlformats.org/officeDocument/2006/relationships/hyperlink" Target="https://www.immoscout24.ch/fr/maison/acheter/quartier-liebefeld-koeniz" TargetMode="External"/><Relationship Id="rId4193" Type="http://schemas.openxmlformats.org/officeDocument/2006/relationships/hyperlink" Target="https://www.immoscout24.ch/fr/appartement/acheter/lieu-villarbeney" TargetMode="External"/><Relationship Id="rId4196" Type="http://schemas.openxmlformats.org/officeDocument/2006/relationships/hyperlink" Target="https://www.immoscout24.ch/fr/appartement/louer/lieu-ferlens-vd" TargetMode="External"/><Relationship Id="rId4195" Type="http://schemas.openxmlformats.org/officeDocument/2006/relationships/hyperlink" Target="https://www.immoscout24.ch/fr/appartement/louer/quartier-montoie-bourdonette-lausanne" TargetMode="External"/><Relationship Id="rId4198" Type="http://schemas.openxmlformats.org/officeDocument/2006/relationships/hyperlink" Target="https://www.immoscout24.ch/fr/maison/louer/quartier-sous-gare-ouchy-lausanne" TargetMode="External"/><Relationship Id="rId4197" Type="http://schemas.openxmlformats.org/officeDocument/2006/relationships/hyperlink" Target="https://www.immoscout24.ch/fr/maison/acheter/lieu-ecublens-vd" TargetMode="External"/><Relationship Id="rId4199" Type="http://schemas.openxmlformats.org/officeDocument/2006/relationships/hyperlink" Target="https://www.immoscout24.ch/fr/appartement/acheter/lieu-chancy" TargetMode="External"/><Relationship Id="rId1950" Type="http://schemas.openxmlformats.org/officeDocument/2006/relationships/hyperlink" Target="https://www.immoscout24.ch/fr/appartement/louer/lieu-bueren-an-der-aare" TargetMode="External"/><Relationship Id="rId1951" Type="http://schemas.openxmlformats.org/officeDocument/2006/relationships/hyperlink" Target="https://www.immoscout24.ch/fr/appartement/louer/lieu-uebeschi" TargetMode="External"/><Relationship Id="rId1952" Type="http://schemas.openxmlformats.org/officeDocument/2006/relationships/hyperlink" Target="https://www.immoscout24.ch/fr/appartement/louer/quartier-batie-acacias-geneve" TargetMode="External"/><Relationship Id="rId1953" Type="http://schemas.openxmlformats.org/officeDocument/2006/relationships/hyperlink" Target="https://www.immoscout24.ch/fr/appartement/louer/lieu-epalinges" TargetMode="External"/><Relationship Id="rId1954" Type="http://schemas.openxmlformats.org/officeDocument/2006/relationships/hyperlink" Target="https://www.immoscout24.ch/fr/maison/louer/lieu-st-aubin-fr" TargetMode="External"/><Relationship Id="rId1955" Type="http://schemas.openxmlformats.org/officeDocument/2006/relationships/hyperlink" Target="https://www.immoscout24.ch/fr/appartement/louer/lieu-morcote" TargetMode="External"/><Relationship Id="rId1956" Type="http://schemas.openxmlformats.org/officeDocument/2006/relationships/hyperlink" Target="https://www.immoscout24.ch/fr/maison/louer/lieu-vissoie" TargetMode="External"/><Relationship Id="rId1957" Type="http://schemas.openxmlformats.org/officeDocument/2006/relationships/hyperlink" Target="https://www.immoscout24.ch/fr/appartement/acheter/lieu-monte-bre-sopra-locarno" TargetMode="External"/><Relationship Id="rId1958" Type="http://schemas.openxmlformats.org/officeDocument/2006/relationships/hyperlink" Target="https://www.immoscout24.ch/fr/maison/louer/lieu-corminboeuf" TargetMode="External"/><Relationship Id="rId1959" Type="http://schemas.openxmlformats.org/officeDocument/2006/relationships/hyperlink" Target="https://www.immoscout24.ch/fr/maison/acheter/lieu-vallon" TargetMode="External"/><Relationship Id="rId1940" Type="http://schemas.openxmlformats.org/officeDocument/2006/relationships/hyperlink" Target="https://www.immoscout24.ch/fr/appartement/acheter/quartier-sous-gare-ouchy-lausanne" TargetMode="External"/><Relationship Id="rId1941" Type="http://schemas.openxmlformats.org/officeDocument/2006/relationships/hyperlink" Target="https://www.immoscout24.ch/fr/appartement/louer/lieu-rueti-zh" TargetMode="External"/><Relationship Id="rId1942" Type="http://schemas.openxmlformats.org/officeDocument/2006/relationships/hyperlink" Target="https://www.immoscout24.ch/fr/appartement/louer/lieu-niederlenz" TargetMode="External"/><Relationship Id="rId1943" Type="http://schemas.openxmlformats.org/officeDocument/2006/relationships/hyperlink" Target="https://www.immoscout24.ch/fr/appartement/acheter/lieu-oberrohrdorf" TargetMode="External"/><Relationship Id="rId1944" Type="http://schemas.openxmlformats.org/officeDocument/2006/relationships/hyperlink" Target="https://www.immoscout24.ch/fr/maison/acheter/lieu-st-aubin-fr" TargetMode="External"/><Relationship Id="rId1945" Type="http://schemas.openxmlformats.org/officeDocument/2006/relationships/hyperlink" Target="https://www.immoscout24.ch/fr/maison/louer/lieu-muenchenbuchsee" TargetMode="External"/><Relationship Id="rId1946" Type="http://schemas.openxmlformats.org/officeDocument/2006/relationships/hyperlink" Target="https://www.immoscout24.ch/fr/maison/louer/lieu-wohlen-ag" TargetMode="External"/><Relationship Id="rId1947" Type="http://schemas.openxmlformats.org/officeDocument/2006/relationships/hyperlink" Target="https://www.immoscout24.ch/fr/appartement/acheter/lieu-les-breuleux" TargetMode="External"/><Relationship Id="rId1948" Type="http://schemas.openxmlformats.org/officeDocument/2006/relationships/hyperlink" Target="https://www.immoscout24.ch/fr/appartement/acheter/lieu-bioggio" TargetMode="External"/><Relationship Id="rId1949" Type="http://schemas.openxmlformats.org/officeDocument/2006/relationships/hyperlink" Target="https://www.immoscout24.ch/fr/appartement/acheter/lieu-morges" TargetMode="External"/><Relationship Id="rId509" Type="http://schemas.openxmlformats.org/officeDocument/2006/relationships/hyperlink" Target="https://www.immoscout24.ch/fr/maison/louer/region-gruyere-la-broye-lac-veveyse" TargetMode="External"/><Relationship Id="rId508" Type="http://schemas.openxmlformats.org/officeDocument/2006/relationships/hyperlink" Target="https://www.immoscout24.ch/fr/appartement/louer/lieu-sempach" TargetMode="External"/><Relationship Id="rId503" Type="http://schemas.openxmlformats.org/officeDocument/2006/relationships/hyperlink" Target="https://www.immoscout24.ch/fr/maison/acheter/lieu-neyruz-sur-moudon" TargetMode="External"/><Relationship Id="rId502" Type="http://schemas.openxmlformats.org/officeDocument/2006/relationships/hyperlink" Target="https://www.immoscout24.ch/fr/appartement/acheter/lieu-vufflens-la-ville" TargetMode="External"/><Relationship Id="rId501" Type="http://schemas.openxmlformats.org/officeDocument/2006/relationships/hyperlink" Target="https://www.immoscout24.ch/fr/appartement/acheter/lieu-bex" TargetMode="External"/><Relationship Id="rId500" Type="http://schemas.openxmlformats.org/officeDocument/2006/relationships/hyperlink" Target="https://www.immoscout24.ch/fr/appartement/acheter/lieu-glis" TargetMode="External"/><Relationship Id="rId507" Type="http://schemas.openxmlformats.org/officeDocument/2006/relationships/hyperlink" Target="https://www.immoscout24.ch/fr/maison/acheter/lieu-schwarzsee" TargetMode="External"/><Relationship Id="rId506" Type="http://schemas.openxmlformats.org/officeDocument/2006/relationships/hyperlink" Target="https://www.immoscout24.ch/fr/appartement/acheter/lieu-melide" TargetMode="External"/><Relationship Id="rId505" Type="http://schemas.openxmlformats.org/officeDocument/2006/relationships/hyperlink" Target="https://www.immoscout24.ch/fr/appartement/louer/lieu-hinterkappelen" TargetMode="External"/><Relationship Id="rId504" Type="http://schemas.openxmlformats.org/officeDocument/2006/relationships/hyperlink" Target="https://www.immoscout24.ch/fr/maison/acheter/lieu-malvaglia" TargetMode="External"/><Relationship Id="rId525" Type="http://schemas.openxmlformats.org/officeDocument/2006/relationships/hyperlink" Target="https://www.immoscout24.ch/fr/appartement/louer/lieu-massagno" TargetMode="External"/><Relationship Id="rId524" Type="http://schemas.openxmlformats.org/officeDocument/2006/relationships/hyperlink" Target="https://www.immoscout24.ch/fr/appartement/louer/quartier-vallon-bethusy-lausanne" TargetMode="External"/><Relationship Id="rId523" Type="http://schemas.openxmlformats.org/officeDocument/2006/relationships/hyperlink" Target="https://www.immoscout24.ch/fr/maison/acheter/lieu-rose" TargetMode="External"/><Relationship Id="rId522" Type="http://schemas.openxmlformats.org/officeDocument/2006/relationships/hyperlink" Target="https://www.immoscout24.ch/fr/appartement/louer/lieu-reclere" TargetMode="External"/><Relationship Id="rId529" Type="http://schemas.openxmlformats.org/officeDocument/2006/relationships/hyperlink" Target="https://www.immoscout24.ch/fr/maison/acheter/region-soleure-et-environs" TargetMode="External"/><Relationship Id="rId528" Type="http://schemas.openxmlformats.org/officeDocument/2006/relationships/hyperlink" Target="https://www.immoscout24.ch/fr/maison/acheter/lieu-etagnieres" TargetMode="External"/><Relationship Id="rId527" Type="http://schemas.openxmlformats.org/officeDocument/2006/relationships/hyperlink" Target="https://www.immoscout24.ch/fr/appartement/louer/quartier-pregassona-lugano" TargetMode="External"/><Relationship Id="rId526" Type="http://schemas.openxmlformats.org/officeDocument/2006/relationships/hyperlink" Target="https://www.immoscout24.ch/fr/maison/acheter/lieu-grand-lancy" TargetMode="External"/><Relationship Id="rId521" Type="http://schemas.openxmlformats.org/officeDocument/2006/relationships/hyperlink" Target="https://www.immoscout24.ch/fr/maison/acheter/lieu-givrins" TargetMode="External"/><Relationship Id="rId520" Type="http://schemas.openxmlformats.org/officeDocument/2006/relationships/hyperlink" Target="https://www.immoscout24.ch/fr/maison/louer/lieu-muri-b-bern" TargetMode="External"/><Relationship Id="rId519" Type="http://schemas.openxmlformats.org/officeDocument/2006/relationships/hyperlink" Target="https://www.immoscout24.ch/fr/appartement/louer/lieu-s-antonino" TargetMode="External"/><Relationship Id="rId514" Type="http://schemas.openxmlformats.org/officeDocument/2006/relationships/hyperlink" Target="https://www.immoscout24.ch/fr/maison/acheter/lieu-zermatt" TargetMode="External"/><Relationship Id="rId513" Type="http://schemas.openxmlformats.org/officeDocument/2006/relationships/hyperlink" Target="https://www.immoscout24.ch/fr/appartement/louer/lieu-minusio" TargetMode="External"/><Relationship Id="rId512" Type="http://schemas.openxmlformats.org/officeDocument/2006/relationships/hyperlink" Target="https://www.immoscout24.ch/fr/appartement/acheter/lieu-vernayaz" TargetMode="External"/><Relationship Id="rId511" Type="http://schemas.openxmlformats.org/officeDocument/2006/relationships/hyperlink" Target="https://www.immoscout24.ch/fr/appartement/louer/quartier-engeried-berne" TargetMode="External"/><Relationship Id="rId518" Type="http://schemas.openxmlformats.org/officeDocument/2006/relationships/hyperlink" Target="https://www.immoscout24.ch/fr/maison/louer/lieu-montbovon" TargetMode="External"/><Relationship Id="rId517" Type="http://schemas.openxmlformats.org/officeDocument/2006/relationships/hyperlink" Target="https://www.immoscout24.ch/fr/maison/acheter/quartier-vernand-lausanne" TargetMode="External"/><Relationship Id="rId516" Type="http://schemas.openxmlformats.org/officeDocument/2006/relationships/hyperlink" Target="https://www.immoscout24.ch/fr/maison/acheter/lieu-les-planchettes" TargetMode="External"/><Relationship Id="rId515" Type="http://schemas.openxmlformats.org/officeDocument/2006/relationships/hyperlink" Target="https://www.immoscout24.ch/fr/appartement/acheter/pays-chine" TargetMode="External"/><Relationship Id="rId510" Type="http://schemas.openxmlformats.org/officeDocument/2006/relationships/hyperlink" Target="https://www.immoscout24.ch/fr/appartement/louer/lieu-montet-broye" TargetMode="External"/><Relationship Id="rId4206" Type="http://schemas.openxmlformats.org/officeDocument/2006/relationships/hyperlink" Target="https://www.immoscout24.ch/fr/appartement/louer/lieu-st-brais" TargetMode="External"/><Relationship Id="rId5538" Type="http://schemas.openxmlformats.org/officeDocument/2006/relationships/hyperlink" Target="https://www.immoscout24.ch/fr/maison/louer/lieu-giswil" TargetMode="External"/><Relationship Id="rId4205" Type="http://schemas.openxmlformats.org/officeDocument/2006/relationships/hyperlink" Target="https://www.immoscout24.ch/fr/appartement/louer/lieu-thayngen" TargetMode="External"/><Relationship Id="rId5539" Type="http://schemas.openxmlformats.org/officeDocument/2006/relationships/hyperlink" Target="https://www.immoscout24.ch/fr/appartement/acheter/lieu-meggen" TargetMode="External"/><Relationship Id="rId4208" Type="http://schemas.openxmlformats.org/officeDocument/2006/relationships/hyperlink" Target="https://www.immoscout24.ch/fr/appartement/louer/lieu-neuhausen-am-rheinfall" TargetMode="External"/><Relationship Id="rId5536" Type="http://schemas.openxmlformats.org/officeDocument/2006/relationships/hyperlink" Target="https://www.immoscout24.ch/fr/maison/acheter/lieu-malleray" TargetMode="External"/><Relationship Id="rId4207" Type="http://schemas.openxmlformats.org/officeDocument/2006/relationships/hyperlink" Target="https://www.immoscout24.ch/fr/appartement/louer/lieu-pery" TargetMode="External"/><Relationship Id="rId5537" Type="http://schemas.openxmlformats.org/officeDocument/2006/relationships/hyperlink" Target="https://www.immoscout24.ch/fr/maison/acheter/lieu-gland" TargetMode="External"/><Relationship Id="rId590" Type="http://schemas.openxmlformats.org/officeDocument/2006/relationships/hyperlink" Target="https://www.immoscout24.ch/fr/maison/acheter/lieu-wil-sg" TargetMode="External"/><Relationship Id="rId4209" Type="http://schemas.openxmlformats.org/officeDocument/2006/relationships/hyperlink" Target="https://www.immoscout24.ch/fr/maison/louer/lieu-saillon" TargetMode="External"/><Relationship Id="rId589" Type="http://schemas.openxmlformats.org/officeDocument/2006/relationships/hyperlink" Target="https://www.immoscout24.ch/fr/appartement/louer/lieu-la-tour-de-peilz" TargetMode="External"/><Relationship Id="rId588" Type="http://schemas.openxmlformats.org/officeDocument/2006/relationships/hyperlink" Target="https://www.immoscout24.ch/fr/appartement/acheter/lieu-chapelle-sur-moudon" TargetMode="External"/><Relationship Id="rId583" Type="http://schemas.openxmlformats.org/officeDocument/2006/relationships/hyperlink" Target="https://www.immoscout24.ch/fr/appartement/acheter/lieu-winterthur" TargetMode="External"/><Relationship Id="rId5530" Type="http://schemas.openxmlformats.org/officeDocument/2006/relationships/hyperlink" Target="https://www.immoscout24.ch/fr/appartement/louer/quartier-sebeillon-malley-lausanne" TargetMode="External"/><Relationship Id="rId582" Type="http://schemas.openxmlformats.org/officeDocument/2006/relationships/hyperlink" Target="https://www.immoscout24.ch/fr/maison/acheter/lieu-riaz" TargetMode="External"/><Relationship Id="rId5531" Type="http://schemas.openxmlformats.org/officeDocument/2006/relationships/hyperlink" Target="https://www.immoscout24.ch/fr/maison/acheter/lieu-donneloye" TargetMode="External"/><Relationship Id="rId581" Type="http://schemas.openxmlformats.org/officeDocument/2006/relationships/hyperlink" Target="https://www.immoscout24.ch/fr/maison/acheter/lieu-blausee-mitholz" TargetMode="External"/><Relationship Id="rId4200" Type="http://schemas.openxmlformats.org/officeDocument/2006/relationships/hyperlink" Target="https://www.immoscout24.ch/fr/appartement/louer/lieu-montet-glane" TargetMode="External"/><Relationship Id="rId580" Type="http://schemas.openxmlformats.org/officeDocument/2006/relationships/hyperlink" Target="https://www.immoscout24.ch/fr/appartement/louer/lieu-lengnau-be" TargetMode="External"/><Relationship Id="rId587" Type="http://schemas.openxmlformats.org/officeDocument/2006/relationships/hyperlink" Target="https://www.immoscout24.ch/fr/appartement/louer/quartier-bethlehem-berne" TargetMode="External"/><Relationship Id="rId4202" Type="http://schemas.openxmlformats.org/officeDocument/2006/relationships/hyperlink" Target="https://www.immoscout24.ch/fr/appartement/louer/lieu-oftringen" TargetMode="External"/><Relationship Id="rId5534" Type="http://schemas.openxmlformats.org/officeDocument/2006/relationships/hyperlink" Target="https://www.immoscout24.ch/fr/maison/louer/lieu-bottens" TargetMode="External"/><Relationship Id="rId586" Type="http://schemas.openxmlformats.org/officeDocument/2006/relationships/hyperlink" Target="https://www.immoscout24.ch/fr/maison/acheter/lieu-champ-du-moulin" TargetMode="External"/><Relationship Id="rId4201" Type="http://schemas.openxmlformats.org/officeDocument/2006/relationships/hyperlink" Target="https://www.immoscout24.ch/fr/appartement/louer/lieu-bole" TargetMode="External"/><Relationship Id="rId5535" Type="http://schemas.openxmlformats.org/officeDocument/2006/relationships/hyperlink" Target="https://www.immoscout24.ch/fr/appartement/louer/lieu-la-ferriere" TargetMode="External"/><Relationship Id="rId585" Type="http://schemas.openxmlformats.org/officeDocument/2006/relationships/hyperlink" Target="https://www.immoscout24.ch/fr/appartement/louer/canton-soleure" TargetMode="External"/><Relationship Id="rId4204" Type="http://schemas.openxmlformats.org/officeDocument/2006/relationships/hyperlink" Target="https://www.immoscout24.ch/fr/appartement/louer/lieu-lauterbrunnen" TargetMode="External"/><Relationship Id="rId5532" Type="http://schemas.openxmlformats.org/officeDocument/2006/relationships/hyperlink" Target="https://www.immoscout24.ch/fr/appartement/louer/lieu-giez" TargetMode="External"/><Relationship Id="rId584" Type="http://schemas.openxmlformats.org/officeDocument/2006/relationships/hyperlink" Target="https://www.immoscout24.ch/fr/maison/acheter/lieu-glovelier" TargetMode="External"/><Relationship Id="rId4203" Type="http://schemas.openxmlformats.org/officeDocument/2006/relationships/hyperlink" Target="https://www.immoscout24.ch/fr/appartement/louer/lieu-vuissens" TargetMode="External"/><Relationship Id="rId5533" Type="http://schemas.openxmlformats.org/officeDocument/2006/relationships/hyperlink" Target="https://www.immoscout24.ch/fr/appartement/acheter/lieu-domdidier" TargetMode="External"/><Relationship Id="rId5527" Type="http://schemas.openxmlformats.org/officeDocument/2006/relationships/hyperlink" Target="https://www.immoscout24.ch/fr/maison/acheter/lieu-oberried-am-brienzersee" TargetMode="External"/><Relationship Id="rId5528" Type="http://schemas.openxmlformats.org/officeDocument/2006/relationships/hyperlink" Target="https://www.immoscout24.ch/fr/maison/acheter/lieu-thun" TargetMode="External"/><Relationship Id="rId5525" Type="http://schemas.openxmlformats.org/officeDocument/2006/relationships/hyperlink" Target="https://www.immoscout24.ch/fr/appartement/acheter/lieu-corcelles-ne" TargetMode="External"/><Relationship Id="rId5526" Type="http://schemas.openxmlformats.org/officeDocument/2006/relationships/hyperlink" Target="https://www.immoscout24.ch/fr/appartement/louer/lieu-rafz" TargetMode="External"/><Relationship Id="rId5529" Type="http://schemas.openxmlformats.org/officeDocument/2006/relationships/hyperlink" Target="https://www.immoscout24.ch/fr/maison/louer/lieu-ollon-vd" TargetMode="External"/><Relationship Id="rId579" Type="http://schemas.openxmlformats.org/officeDocument/2006/relationships/hyperlink" Target="https://www.immoscout24.ch/fr/appartement/louer/lieu-reverolle" TargetMode="External"/><Relationship Id="rId578" Type="http://schemas.openxmlformats.org/officeDocument/2006/relationships/hyperlink" Target="https://www.immoscout24.ch/fr/appartement/louer/lieu-muenchwilen-tg" TargetMode="External"/><Relationship Id="rId577" Type="http://schemas.openxmlformats.org/officeDocument/2006/relationships/hyperlink" Target="https://www.immoscout24.ch/fr/appartement/louer/lieu-charmey-gruyere" TargetMode="External"/><Relationship Id="rId572" Type="http://schemas.openxmlformats.org/officeDocument/2006/relationships/hyperlink" Target="https://www.immoscout24.ch/fr/maison/louer/lieu-pont-de-la-morge-sion" TargetMode="External"/><Relationship Id="rId571" Type="http://schemas.openxmlformats.org/officeDocument/2006/relationships/hyperlink" Target="https://www.immoscout24.ch/fr/appartement/louer/lieu-baar-nendaz" TargetMode="External"/><Relationship Id="rId5520" Type="http://schemas.openxmlformats.org/officeDocument/2006/relationships/hyperlink" Target="https://www.immoscout24.ch/fr/appartement/louer/lieu-montreux" TargetMode="External"/><Relationship Id="rId570" Type="http://schemas.openxmlformats.org/officeDocument/2006/relationships/hyperlink" Target="https://www.immoscout24.ch/fr/appartement/louer/lieu-fechy" TargetMode="External"/><Relationship Id="rId576" Type="http://schemas.openxmlformats.org/officeDocument/2006/relationships/hyperlink" Target="https://www.immoscout24.ch/fr/appartement/louer/lieu-noiraigue" TargetMode="External"/><Relationship Id="rId5523" Type="http://schemas.openxmlformats.org/officeDocument/2006/relationships/hyperlink" Target="https://www.immoscout24.ch/fr/maison/acheter/lieu-cademario" TargetMode="External"/><Relationship Id="rId575" Type="http://schemas.openxmlformats.org/officeDocument/2006/relationships/hyperlink" Target="https://www.immoscout24.ch/fr/appartement/louer/lieu-mex-vs" TargetMode="External"/><Relationship Id="rId5524" Type="http://schemas.openxmlformats.org/officeDocument/2006/relationships/hyperlink" Target="https://www.immoscout24.ch/fr/maison/acheter/lieu-bullet" TargetMode="External"/><Relationship Id="rId574" Type="http://schemas.openxmlformats.org/officeDocument/2006/relationships/hyperlink" Target="https://www.immoscout24.ch/fr/maison/louer/quartier-wipkingen-zurich" TargetMode="External"/><Relationship Id="rId5521" Type="http://schemas.openxmlformats.org/officeDocument/2006/relationships/hyperlink" Target="https://www.immoscout24.ch/fr/appartement/acheter/quartier-nouvelle-ville-nord-biel-bienne" TargetMode="External"/><Relationship Id="rId573" Type="http://schemas.openxmlformats.org/officeDocument/2006/relationships/hyperlink" Target="https://www.immoscout24.ch/fr/appartement/louer/lieu-les-tavernes" TargetMode="External"/><Relationship Id="rId5522" Type="http://schemas.openxmlformats.org/officeDocument/2006/relationships/hyperlink" Target="https://www.immoscout24.ch/fr/maison/acheter/canton-zoug" TargetMode="External"/><Relationship Id="rId4228" Type="http://schemas.openxmlformats.org/officeDocument/2006/relationships/hyperlink" Target="https://www.immoscout24.ch/fr/maison/acheter/canton-fribourg" TargetMode="External"/><Relationship Id="rId4227" Type="http://schemas.openxmlformats.org/officeDocument/2006/relationships/hyperlink" Target="https://www.immoscout24.ch/fr/appartement/louer/region-obwalden" TargetMode="External"/><Relationship Id="rId5558" Type="http://schemas.openxmlformats.org/officeDocument/2006/relationships/hyperlink" Target="https://www.immoscout24.ch/fr/maison/acheter/lieu-trogne-st-martin" TargetMode="External"/><Relationship Id="rId4229" Type="http://schemas.openxmlformats.org/officeDocument/2006/relationships/hyperlink" Target="https://www.immoscout24.ch/fr/appartement/louer/lieu-gurmels" TargetMode="External"/><Relationship Id="rId5559" Type="http://schemas.openxmlformats.org/officeDocument/2006/relationships/hyperlink" Target="https://www.immoscout24.ch/fr/appartement/louer/lieu-veyrier" TargetMode="External"/><Relationship Id="rId4220" Type="http://schemas.openxmlformats.org/officeDocument/2006/relationships/hyperlink" Target="https://www.immoscout24.ch/fr/appartement/louer/lieu-schenkon" TargetMode="External"/><Relationship Id="rId5552" Type="http://schemas.openxmlformats.org/officeDocument/2006/relationships/hyperlink" Target="https://www.immoscout24.ch/fr/appartement/acheter/lieu-pregassona" TargetMode="External"/><Relationship Id="rId5553" Type="http://schemas.openxmlformats.org/officeDocument/2006/relationships/hyperlink" Target="https://www.immoscout24.ch/fr/maison/acheter/lieu-avenches" TargetMode="External"/><Relationship Id="rId4222" Type="http://schemas.openxmlformats.org/officeDocument/2006/relationships/hyperlink" Target="https://www.immoscout24.ch/fr/maison/acheter/lieu-pigniu" TargetMode="External"/><Relationship Id="rId5550" Type="http://schemas.openxmlformats.org/officeDocument/2006/relationships/hyperlink" Target="https://www.immoscout24.ch/fr/appartement/louer/lieu-eggenwil" TargetMode="External"/><Relationship Id="rId4221" Type="http://schemas.openxmlformats.org/officeDocument/2006/relationships/hyperlink" Target="https://www.immoscout24.ch/fr/maison/acheter/lieu-rudolfstetten" TargetMode="External"/><Relationship Id="rId5551" Type="http://schemas.openxmlformats.org/officeDocument/2006/relationships/hyperlink" Target="https://www.immoscout24.ch/fr/appartement/acheter/lieu-unterterzen" TargetMode="External"/><Relationship Id="rId4224" Type="http://schemas.openxmlformats.org/officeDocument/2006/relationships/hyperlink" Target="https://www.immoscout24.ch/fr/maison/acheter/lieu-bachenbuelach" TargetMode="External"/><Relationship Id="rId5556" Type="http://schemas.openxmlformats.org/officeDocument/2006/relationships/hyperlink" Target="https://www.immoscout24.ch/fr/appartement/louer/lieu-bossonnens" TargetMode="External"/><Relationship Id="rId4223" Type="http://schemas.openxmlformats.org/officeDocument/2006/relationships/hyperlink" Target="https://www.immoscout24.ch/fr/maison/louer/lieu-twann" TargetMode="External"/><Relationship Id="rId5557" Type="http://schemas.openxmlformats.org/officeDocument/2006/relationships/hyperlink" Target="https://www.immoscout24.ch/fr/appartement/acheter/lieu-duebendorf" TargetMode="External"/><Relationship Id="rId4226" Type="http://schemas.openxmlformats.org/officeDocument/2006/relationships/hyperlink" Target="https://www.immoscout24.ch/fr/appartement/acheter/quartier-murifeld-berne" TargetMode="External"/><Relationship Id="rId5554" Type="http://schemas.openxmlformats.org/officeDocument/2006/relationships/hyperlink" Target="https://www.immoscout24.ch/fr/maison/louer/lieu-muenchwilen-tg" TargetMode="External"/><Relationship Id="rId4225" Type="http://schemas.openxmlformats.org/officeDocument/2006/relationships/hyperlink" Target="https://www.immoscout24.ch/fr/appartement/acheter/lieu-basel" TargetMode="External"/><Relationship Id="rId5555" Type="http://schemas.openxmlformats.org/officeDocument/2006/relationships/hyperlink" Target="https://www.immoscout24.ch/fr/maison/acheter/lieu-les-clees" TargetMode="External"/><Relationship Id="rId4217" Type="http://schemas.openxmlformats.org/officeDocument/2006/relationships/hyperlink" Target="https://www.immoscout24.ch/fr/appartement/louer/quartier-pazzallo-lugano" TargetMode="External"/><Relationship Id="rId5549" Type="http://schemas.openxmlformats.org/officeDocument/2006/relationships/hyperlink" Target="https://www.immoscout24.ch/fr/maison/louer/quartier-bouchet-moillebeau-geneve" TargetMode="External"/><Relationship Id="rId4216" Type="http://schemas.openxmlformats.org/officeDocument/2006/relationships/hyperlink" Target="https://www.immoscout24.ch/fr/appartement/louer/lieu-hellikon" TargetMode="External"/><Relationship Id="rId4219" Type="http://schemas.openxmlformats.org/officeDocument/2006/relationships/hyperlink" Target="https://www.immoscout24.ch/fr/maison/louer/lieu-vich" TargetMode="External"/><Relationship Id="rId5547" Type="http://schemas.openxmlformats.org/officeDocument/2006/relationships/hyperlink" Target="https://www.immoscout24.ch/fr/maison/acheter/lieu-grolley" TargetMode="External"/><Relationship Id="rId4218" Type="http://schemas.openxmlformats.org/officeDocument/2006/relationships/hyperlink" Target="https://www.immoscout24.ch/fr/appartement/louer/lieu-lavey-village" TargetMode="External"/><Relationship Id="rId5548" Type="http://schemas.openxmlformats.org/officeDocument/2006/relationships/hyperlink" Target="https://www.immoscout24.ch/fr/appartement/acheter/lieu-noville" TargetMode="External"/><Relationship Id="rId599" Type="http://schemas.openxmlformats.org/officeDocument/2006/relationships/hyperlink" Target="https://www.immoscout24.ch/fr/appartement/louer/lieu-sessa" TargetMode="External"/><Relationship Id="rId594" Type="http://schemas.openxmlformats.org/officeDocument/2006/relationships/hyperlink" Target="https://www.immoscout24.ch/fr/appartement/acheter/lieu-gettnau" TargetMode="External"/><Relationship Id="rId5541" Type="http://schemas.openxmlformats.org/officeDocument/2006/relationships/hyperlink" Target="https://www.immoscout24.ch/fr/appartement/louer/pays-pologne" TargetMode="External"/><Relationship Id="rId593" Type="http://schemas.openxmlformats.org/officeDocument/2006/relationships/hyperlink" Target="https://www.immoscout24.ch/fr/appartement/acheter/lieu-montpreveyres" TargetMode="External"/><Relationship Id="rId5542" Type="http://schemas.openxmlformats.org/officeDocument/2006/relationships/hyperlink" Target="https://www.immoscout24.ch/fr/maison/acheter/region-lac-majeur" TargetMode="External"/><Relationship Id="rId592" Type="http://schemas.openxmlformats.org/officeDocument/2006/relationships/hyperlink" Target="https://www.immoscout24.ch/fr/maison/acheter/lieu-coppet" TargetMode="External"/><Relationship Id="rId4211" Type="http://schemas.openxmlformats.org/officeDocument/2006/relationships/hyperlink" Target="https://www.immoscout24.ch/fr/appartement/louer/lieu-kuettigen" TargetMode="External"/><Relationship Id="rId591" Type="http://schemas.openxmlformats.org/officeDocument/2006/relationships/hyperlink" Target="https://www.immoscout24.ch/fr/appartement/acheter/lieu-gingins" TargetMode="External"/><Relationship Id="rId4210" Type="http://schemas.openxmlformats.org/officeDocument/2006/relationships/hyperlink" Target="https://www.immoscout24.ch/fr/maison/acheter/lieu-oulens-sous-echallens" TargetMode="External"/><Relationship Id="rId5540" Type="http://schemas.openxmlformats.org/officeDocument/2006/relationships/hyperlink" Target="https://www.immoscout24.ch/fr/appartement/louer/lieu-nax" TargetMode="External"/><Relationship Id="rId598" Type="http://schemas.openxmlformats.org/officeDocument/2006/relationships/hyperlink" Target="https://www.immoscout24.ch/fr/appartement/louer/lieu-sarreyer" TargetMode="External"/><Relationship Id="rId4213" Type="http://schemas.openxmlformats.org/officeDocument/2006/relationships/hyperlink" Target="https://www.immoscout24.ch/fr/appartement/louer/lieu-heiligenschwendi" TargetMode="External"/><Relationship Id="rId5545" Type="http://schemas.openxmlformats.org/officeDocument/2006/relationships/hyperlink" Target="https://www.immoscout24.ch/fr/maison/louer/lieu-farvagny-le-petit" TargetMode="External"/><Relationship Id="rId597" Type="http://schemas.openxmlformats.org/officeDocument/2006/relationships/hyperlink" Target="https://www.immoscout24.ch/fr/appartement/louer/lieu-mex-vd" TargetMode="External"/><Relationship Id="rId4212" Type="http://schemas.openxmlformats.org/officeDocument/2006/relationships/hyperlink" Target="https://www.immoscout24.ch/fr/maison/louer/lieu-carabietta" TargetMode="External"/><Relationship Id="rId5546" Type="http://schemas.openxmlformats.org/officeDocument/2006/relationships/hyperlink" Target="https://www.immoscout24.ch/fr/maison/louer/lieu-st-cergue" TargetMode="External"/><Relationship Id="rId596" Type="http://schemas.openxmlformats.org/officeDocument/2006/relationships/hyperlink" Target="https://www.immoscout24.ch/fr/maison/acheter/lieu-st-jean-vs" TargetMode="External"/><Relationship Id="rId4215" Type="http://schemas.openxmlformats.org/officeDocument/2006/relationships/hyperlink" Target="https://www.immoscout24.ch/fr/maison/acheter/lieu-penthaz" TargetMode="External"/><Relationship Id="rId5543" Type="http://schemas.openxmlformats.org/officeDocument/2006/relationships/hyperlink" Target="https://www.immoscout24.ch/fr/appartement/acheter/quartier-champel-roseraie-geneve" TargetMode="External"/><Relationship Id="rId595" Type="http://schemas.openxmlformats.org/officeDocument/2006/relationships/hyperlink" Target="https://www.immoscout24.ch/fr/appartement/acheter/canton-appenzell-re" TargetMode="External"/><Relationship Id="rId4214" Type="http://schemas.openxmlformats.org/officeDocument/2006/relationships/hyperlink" Target="https://www.immoscout24.ch/fr/maison/acheter/lieu-niederhasli" TargetMode="External"/><Relationship Id="rId5544" Type="http://schemas.openxmlformats.org/officeDocument/2006/relationships/hyperlink" Target="https://www.immoscout24.ch/fr/maison/acheter/lieu-lugano" TargetMode="External"/><Relationship Id="rId547" Type="http://schemas.openxmlformats.org/officeDocument/2006/relationships/hyperlink" Target="https://www.immoscout24.ch/fr/maison/acheter/lieu-st-gingolph" TargetMode="External"/><Relationship Id="rId546" Type="http://schemas.openxmlformats.org/officeDocument/2006/relationships/hyperlink" Target="https://www.immoscout24.ch/fr/maison/acheter/lieu-cremines" TargetMode="External"/><Relationship Id="rId545" Type="http://schemas.openxmlformats.org/officeDocument/2006/relationships/hyperlink" Target="https://www.immoscout24.ch/fr/maison/acheter/lieu-valeyres-sous-rances" TargetMode="External"/><Relationship Id="rId544" Type="http://schemas.openxmlformats.org/officeDocument/2006/relationships/hyperlink" Target="https://www.immoscout24.ch/fr/maison/acheter/lieu-fenil-sur-corsier" TargetMode="External"/><Relationship Id="rId549" Type="http://schemas.openxmlformats.org/officeDocument/2006/relationships/hyperlink" Target="https://www.immoscout24.ch/fr/appartement/acheter/region-laupen-sense" TargetMode="External"/><Relationship Id="rId548" Type="http://schemas.openxmlformats.org/officeDocument/2006/relationships/hyperlink" Target="https://www.immoscout24.ch/fr/appartement/acheter/lieu-affoltern-am-albis" TargetMode="External"/><Relationship Id="rId543" Type="http://schemas.openxmlformats.org/officeDocument/2006/relationships/hyperlink" Target="https://www.immoscout24.ch/fr/appartement/louer/lieu-bionnens" TargetMode="External"/><Relationship Id="rId542" Type="http://schemas.openxmlformats.org/officeDocument/2006/relationships/hyperlink" Target="https://www.immoscout24.ch/fr/appartement/louer/lieu-ettingen" TargetMode="External"/><Relationship Id="rId541" Type="http://schemas.openxmlformats.org/officeDocument/2006/relationships/hyperlink" Target="https://www.immoscout24.ch/fr/maison/acheter/lieu-mollie-margot" TargetMode="External"/><Relationship Id="rId540" Type="http://schemas.openxmlformats.org/officeDocument/2006/relationships/hyperlink" Target="https://www.immoscout24.ch/fr/maison/louer/lieu-arzier-le-muids" TargetMode="External"/><Relationship Id="rId536" Type="http://schemas.openxmlformats.org/officeDocument/2006/relationships/hyperlink" Target="https://www.immoscout24.ch/fr/appartement/louer/lieu-le-cret-pres-semsales" TargetMode="External"/><Relationship Id="rId535" Type="http://schemas.openxmlformats.org/officeDocument/2006/relationships/hyperlink" Target="https://www.immoscout24.ch/fr/appartement/louer/lieu-guttet-feschel" TargetMode="External"/><Relationship Id="rId534" Type="http://schemas.openxmlformats.org/officeDocument/2006/relationships/hyperlink" Target="https://www.immoscout24.ch/fr/appartement/louer/lieu-la-russille" TargetMode="External"/><Relationship Id="rId533" Type="http://schemas.openxmlformats.org/officeDocument/2006/relationships/hyperlink" Target="https://www.immoscout24.ch/fr/appartement/louer/lieu-aeschi-so" TargetMode="External"/><Relationship Id="rId539" Type="http://schemas.openxmlformats.org/officeDocument/2006/relationships/hyperlink" Target="https://www.immoscout24.ch/fr/appartement/louer/lieu-frauenfeld" TargetMode="External"/><Relationship Id="rId538" Type="http://schemas.openxmlformats.org/officeDocument/2006/relationships/hyperlink" Target="https://www.immoscout24.ch/fr/appartement/louer/lieu-bovernier" TargetMode="External"/><Relationship Id="rId537" Type="http://schemas.openxmlformats.org/officeDocument/2006/relationships/hyperlink" Target="https://www.immoscout24.ch/fr/appartement/louer/lieu-meinier" TargetMode="External"/><Relationship Id="rId532" Type="http://schemas.openxmlformats.org/officeDocument/2006/relationships/hyperlink" Target="https://www.immoscout24.ch/fr/appartement/louer/lieu-mesocco" TargetMode="External"/><Relationship Id="rId531" Type="http://schemas.openxmlformats.org/officeDocument/2006/relationships/hyperlink" Target="https://www.immoscout24.ch/fr/appartement/louer/lieu-orvin" TargetMode="External"/><Relationship Id="rId530" Type="http://schemas.openxmlformats.org/officeDocument/2006/relationships/hyperlink" Target="https://www.immoscout24.ch/fr/appartement/louer/lieu-oberrieden" TargetMode="External"/><Relationship Id="rId5516" Type="http://schemas.openxmlformats.org/officeDocument/2006/relationships/hyperlink" Target="https://www.immoscout24.ch/fr/maison/acheter/lieu-bourrignon" TargetMode="External"/><Relationship Id="rId5517" Type="http://schemas.openxmlformats.org/officeDocument/2006/relationships/hyperlink" Target="https://www.immoscout24.ch/fr/appartement/acheter/lieu-mex-vd" TargetMode="External"/><Relationship Id="rId5514" Type="http://schemas.openxmlformats.org/officeDocument/2006/relationships/hyperlink" Target="https://www.immoscout24.ch/fr/maison/acheter/lieu-verossaz" TargetMode="External"/><Relationship Id="rId5515" Type="http://schemas.openxmlformats.org/officeDocument/2006/relationships/hyperlink" Target="https://www.immoscout24.ch/fr/maison/acheter/lieu-vicheres-liddes" TargetMode="External"/><Relationship Id="rId5518" Type="http://schemas.openxmlformats.org/officeDocument/2006/relationships/hyperlink" Target="https://www.immoscout24.ch/fr/appartement/louer/region-fribourg-ville" TargetMode="External"/><Relationship Id="rId5519" Type="http://schemas.openxmlformats.org/officeDocument/2006/relationships/hyperlink" Target="https://www.immoscout24.ch/fr/appartement/louer/lieu-haute-nendaz" TargetMode="External"/><Relationship Id="rId569" Type="http://schemas.openxmlformats.org/officeDocument/2006/relationships/hyperlink" Target="https://www.immoscout24.ch/fr/maison/acheter/lieu-movelier" TargetMode="External"/><Relationship Id="rId568" Type="http://schemas.openxmlformats.org/officeDocument/2006/relationships/hyperlink" Target="https://www.immoscout24.ch/fr/appartement/louer/lieu-limpach" TargetMode="External"/><Relationship Id="rId567" Type="http://schemas.openxmlformats.org/officeDocument/2006/relationships/hyperlink" Target="https://www.immoscout24.ch/fr/appartement/louer/lieu-rheinfelden" TargetMode="External"/><Relationship Id="rId566" Type="http://schemas.openxmlformats.org/officeDocument/2006/relationships/hyperlink" Target="https://www.immoscout24.ch/fr/maison/acheter/lieu-stans" TargetMode="External"/><Relationship Id="rId561" Type="http://schemas.openxmlformats.org/officeDocument/2006/relationships/hyperlink" Target="https://www.immoscout24.ch/fr/appartement/acheter/lieu-pully" TargetMode="External"/><Relationship Id="rId560" Type="http://schemas.openxmlformats.org/officeDocument/2006/relationships/hyperlink" Target="https://www.immoscout24.ch/fr/maison/acheter/lieu-vacallo" TargetMode="External"/><Relationship Id="rId565" Type="http://schemas.openxmlformats.org/officeDocument/2006/relationships/hyperlink" Target="https://www.immoscout24.ch/fr/appartement/louer/lieu-cossonay-ville" TargetMode="External"/><Relationship Id="rId5512" Type="http://schemas.openxmlformats.org/officeDocument/2006/relationships/hyperlink" Target="https://www.immoscout24.ch/fr/appartement/louer/lieu-pregassona" TargetMode="External"/><Relationship Id="rId564" Type="http://schemas.openxmlformats.org/officeDocument/2006/relationships/hyperlink" Target="https://www.immoscout24.ch/fr/appartement/louer/lieu-gland" TargetMode="External"/><Relationship Id="rId5513" Type="http://schemas.openxmlformats.org/officeDocument/2006/relationships/hyperlink" Target="https://www.immoscout24.ch/fr/maison/acheter/lieu-vulliens" TargetMode="External"/><Relationship Id="rId563" Type="http://schemas.openxmlformats.org/officeDocument/2006/relationships/hyperlink" Target="https://www.immoscout24.ch/fr/maison/acheter/lieu-les-monts-de-corsier" TargetMode="External"/><Relationship Id="rId5510" Type="http://schemas.openxmlformats.org/officeDocument/2006/relationships/hyperlink" Target="https://www.immoscout24.ch/fr/appartement/louer/lieu-adelboden" TargetMode="External"/><Relationship Id="rId562" Type="http://schemas.openxmlformats.org/officeDocument/2006/relationships/hyperlink" Target="https://www.immoscout24.ch/fr/maison/acheter/lieu-speicher" TargetMode="External"/><Relationship Id="rId5511" Type="http://schemas.openxmlformats.org/officeDocument/2006/relationships/hyperlink" Target="https://www.immoscout24.ch/fr/appartement/acheter/lieu-chavornay" TargetMode="External"/><Relationship Id="rId5505" Type="http://schemas.openxmlformats.org/officeDocument/2006/relationships/hyperlink" Target="https://www.immoscout24.ch/fr/appartement/louer/canton-nidwald" TargetMode="External"/><Relationship Id="rId5506" Type="http://schemas.openxmlformats.org/officeDocument/2006/relationships/hyperlink" Target="https://www.immoscout24.ch/fr/maison/louer/lieu-founex" TargetMode="External"/><Relationship Id="rId5503" Type="http://schemas.openxmlformats.org/officeDocument/2006/relationships/hyperlink" Target="https://www.immoscout24.ch/fr/appartement/acheter/lieu-la-sagne-ne" TargetMode="External"/><Relationship Id="rId5504" Type="http://schemas.openxmlformats.org/officeDocument/2006/relationships/hyperlink" Target="https://www.immoscout24.ch/fr/appartement/acheter/lieu-givisiez" TargetMode="External"/><Relationship Id="rId5509" Type="http://schemas.openxmlformats.org/officeDocument/2006/relationships/hyperlink" Target="https://www.immoscout24.ch/fr/appartement/louer/lieu-zuerich" TargetMode="External"/><Relationship Id="rId5507" Type="http://schemas.openxmlformats.org/officeDocument/2006/relationships/hyperlink" Target="https://www.immoscout24.ch/fr/appartement/acheter/lieu-ried-brig" TargetMode="External"/><Relationship Id="rId5508" Type="http://schemas.openxmlformats.org/officeDocument/2006/relationships/hyperlink" Target="https://www.immoscout24.ch/fr/appartement/louer/lieu-montbrelloz" TargetMode="External"/><Relationship Id="rId558" Type="http://schemas.openxmlformats.org/officeDocument/2006/relationships/hyperlink" Target="https://www.immoscout24.ch/fr/appartement/acheter/lieu-frutigen" TargetMode="External"/><Relationship Id="rId557" Type="http://schemas.openxmlformats.org/officeDocument/2006/relationships/hyperlink" Target="https://www.immoscout24.ch/fr/appartement/acheter/region-appenzell-et-environs" TargetMode="External"/><Relationship Id="rId556" Type="http://schemas.openxmlformats.org/officeDocument/2006/relationships/hyperlink" Target="https://www.immoscout24.ch/fr/maison/acheter/lieu-krattigen" TargetMode="External"/><Relationship Id="rId555" Type="http://schemas.openxmlformats.org/officeDocument/2006/relationships/hyperlink" Target="https://www.immoscout24.ch/fr/appartement/acheter/lieu-mont-sur-rolle" TargetMode="External"/><Relationship Id="rId559" Type="http://schemas.openxmlformats.org/officeDocument/2006/relationships/hyperlink" Target="https://www.immoscout24.ch/fr/maison/louer/quartier-sallaz-vennes-sechaud-lausanne" TargetMode="External"/><Relationship Id="rId550" Type="http://schemas.openxmlformats.org/officeDocument/2006/relationships/hyperlink" Target="https://www.immoscout24.ch/fr/maison/louer/lieu-autigny" TargetMode="External"/><Relationship Id="rId554" Type="http://schemas.openxmlformats.org/officeDocument/2006/relationships/hyperlink" Target="https://www.immoscout24.ch/fr/appartement/louer/lieu-gstaad" TargetMode="External"/><Relationship Id="rId5501" Type="http://schemas.openxmlformats.org/officeDocument/2006/relationships/hyperlink" Target="https://www.immoscout24.ch/fr/maison/louer/lieu-les-giettes" TargetMode="External"/><Relationship Id="rId553" Type="http://schemas.openxmlformats.org/officeDocument/2006/relationships/hyperlink" Target="https://www.immoscout24.ch/fr/maison/acheter/lieu-reiden" TargetMode="External"/><Relationship Id="rId5502" Type="http://schemas.openxmlformats.org/officeDocument/2006/relationships/hyperlink" Target="https://www.immoscout24.ch/fr/maison/acheter/lieu-lussery-villars" TargetMode="External"/><Relationship Id="rId552" Type="http://schemas.openxmlformats.org/officeDocument/2006/relationships/hyperlink" Target="https://www.immoscout24.ch/fr/maison/acheter/region-unterengadin-val-mustair" TargetMode="External"/><Relationship Id="rId551" Type="http://schemas.openxmlformats.org/officeDocument/2006/relationships/hyperlink" Target="https://www.immoscout24.ch/fr/maison/louer/lieu-oulens-sous-echallens" TargetMode="External"/><Relationship Id="rId5500" Type="http://schemas.openxmlformats.org/officeDocument/2006/relationships/hyperlink" Target="https://www.immoscout24.ch/fr/maison/acheter/quartier-centre-neuchatel" TargetMode="External"/><Relationship Id="rId4280" Type="http://schemas.openxmlformats.org/officeDocument/2006/relationships/hyperlink" Target="https://www.immoscout24.ch/fr/maison/louer/lieu-curio" TargetMode="External"/><Relationship Id="rId4282" Type="http://schemas.openxmlformats.org/officeDocument/2006/relationships/hyperlink" Target="https://www.immoscout24.ch/fr/appartement/acheter/lieu-gland" TargetMode="External"/><Relationship Id="rId4281" Type="http://schemas.openxmlformats.org/officeDocument/2006/relationships/hyperlink" Target="https://www.immoscout24.ch/fr/maison/acheter/lieu-sugiez" TargetMode="External"/><Relationship Id="rId4284" Type="http://schemas.openxmlformats.org/officeDocument/2006/relationships/hyperlink" Target="https://www.immoscout24.ch/fr/appartement/acheter/lieu-arlesheim" TargetMode="External"/><Relationship Id="rId4283" Type="http://schemas.openxmlformats.org/officeDocument/2006/relationships/hyperlink" Target="https://www.immoscout24.ch/fr/appartement/acheter/lieu-oberembrach" TargetMode="External"/><Relationship Id="rId4286" Type="http://schemas.openxmlformats.org/officeDocument/2006/relationships/hyperlink" Target="https://www.immoscout24.ch/fr/maison/acheter/lieu-eclepens" TargetMode="External"/><Relationship Id="rId4285" Type="http://schemas.openxmlformats.org/officeDocument/2006/relationships/hyperlink" Target="https://www.immoscout24.ch/fr/appartement/louer/lieu-severy" TargetMode="External"/><Relationship Id="rId4288" Type="http://schemas.openxmlformats.org/officeDocument/2006/relationships/hyperlink" Target="https://www.immoscout24.ch/fr/maison/acheter/lieu-sembrancher" TargetMode="External"/><Relationship Id="rId4287" Type="http://schemas.openxmlformats.org/officeDocument/2006/relationships/hyperlink" Target="https://www.immoscout24.ch/fr/maison/acheter/lieu-fortunau-ayent" TargetMode="External"/><Relationship Id="rId4289" Type="http://schemas.openxmlformats.org/officeDocument/2006/relationships/hyperlink" Target="https://www.immoscout24.ch/fr/appartement/louer/lieu-st-sulpice-vd" TargetMode="External"/><Relationship Id="rId4271" Type="http://schemas.openxmlformats.org/officeDocument/2006/relationships/hyperlink" Target="https://www.immoscout24.ch/fr/maison/acheter/lieu-yens" TargetMode="External"/><Relationship Id="rId4270" Type="http://schemas.openxmlformats.org/officeDocument/2006/relationships/hyperlink" Target="https://www.immoscout24.ch/fr/maison/acheter/lieu-epesses" TargetMode="External"/><Relationship Id="rId4273" Type="http://schemas.openxmlformats.org/officeDocument/2006/relationships/hyperlink" Target="https://www.immoscout24.ch/fr/maison/louer/canton-soleure" TargetMode="External"/><Relationship Id="rId4272" Type="http://schemas.openxmlformats.org/officeDocument/2006/relationships/hyperlink" Target="https://www.immoscout24.ch/fr/appartement/acheter/lieu-wetzikon-zh" TargetMode="External"/><Relationship Id="rId4275" Type="http://schemas.openxmlformats.org/officeDocument/2006/relationships/hyperlink" Target="https://www.immoscout24.ch/fr/appartement/louer/quartier-wabern-koeniz" TargetMode="External"/><Relationship Id="rId4274" Type="http://schemas.openxmlformats.org/officeDocument/2006/relationships/hyperlink" Target="https://www.immoscout24.ch/fr/maison/louer/lieu-courroux" TargetMode="External"/><Relationship Id="rId4277" Type="http://schemas.openxmlformats.org/officeDocument/2006/relationships/hyperlink" Target="https://www.immoscout24.ch/fr/maison/acheter/lieu-bellerive-vd" TargetMode="External"/><Relationship Id="rId4276" Type="http://schemas.openxmlformats.org/officeDocument/2006/relationships/hyperlink" Target="https://www.immoscout24.ch/fr/appartement/acheter/lieu-flamatt" TargetMode="External"/><Relationship Id="rId4279" Type="http://schemas.openxmlformats.org/officeDocument/2006/relationships/hyperlink" Target="https://www.immoscout24.ch/fr/appartement/louer/lieu-gillarens" TargetMode="External"/><Relationship Id="rId4278" Type="http://schemas.openxmlformats.org/officeDocument/2006/relationships/hyperlink" Target="https://www.immoscout24.ch/fr/maison/louer/lieu-motier-vully" TargetMode="External"/><Relationship Id="rId4291" Type="http://schemas.openxmlformats.org/officeDocument/2006/relationships/hyperlink" Target="https://www.immoscout24.ch/fr/appartement/louer/lieu-haegendorf" TargetMode="External"/><Relationship Id="rId4290" Type="http://schemas.openxmlformats.org/officeDocument/2006/relationships/hyperlink" Target="https://www.immoscout24.ch/fr/appartement/louer/quartier-vigneules-biel-bienne" TargetMode="External"/><Relationship Id="rId4293" Type="http://schemas.openxmlformats.org/officeDocument/2006/relationships/hyperlink" Target="https://www.immoscout24.ch/fr/appartement/louer/quartier-maihof-rotsee-lucerne" TargetMode="External"/><Relationship Id="rId4292" Type="http://schemas.openxmlformats.org/officeDocument/2006/relationships/hyperlink" Target="https://www.immoscout24.ch/fr/appartement/acheter/lieu-bossonnens" TargetMode="External"/><Relationship Id="rId4295" Type="http://schemas.openxmlformats.org/officeDocument/2006/relationships/hyperlink" Target="https://www.immoscout24.ch/fr/maison/louer/lieu-savigny" TargetMode="External"/><Relationship Id="rId4294" Type="http://schemas.openxmlformats.org/officeDocument/2006/relationships/hyperlink" Target="https://www.immoscout24.ch/fr/maison/acheter/lieu-graenichen" TargetMode="External"/><Relationship Id="rId4297" Type="http://schemas.openxmlformats.org/officeDocument/2006/relationships/hyperlink" Target="https://www.immoscout24.ch/fr/maison/acheter/lieu-cronay" TargetMode="External"/><Relationship Id="rId4296" Type="http://schemas.openxmlformats.org/officeDocument/2006/relationships/hyperlink" Target="https://www.immoscout24.ch/fr/appartement/louer/lieu-urdorf" TargetMode="External"/><Relationship Id="rId4299" Type="http://schemas.openxmlformats.org/officeDocument/2006/relationships/hyperlink" Target="https://www.immoscout24.ch/fr/appartement/acheter/lieu-prez-vers-noreaz" TargetMode="External"/><Relationship Id="rId4298" Type="http://schemas.openxmlformats.org/officeDocument/2006/relationships/hyperlink" Target="https://www.immoscout24.ch/fr/maison/acheter/lieu-epagny" TargetMode="External"/><Relationship Id="rId4249" Type="http://schemas.openxmlformats.org/officeDocument/2006/relationships/hyperlink" Target="https://www.immoscout24.ch/fr/maison/acheter/canton-tessin" TargetMode="External"/><Relationship Id="rId5570" Type="http://schemas.openxmlformats.org/officeDocument/2006/relationships/hyperlink" Target="https://www.immoscout24.ch/fr/maison/acheter/lieu-hauterive-ne" TargetMode="External"/><Relationship Id="rId5571" Type="http://schemas.openxmlformats.org/officeDocument/2006/relationships/hyperlink" Target="https://www.immoscout24.ch/fr/maison/acheter/lieu-uvrier" TargetMode="External"/><Relationship Id="rId4240" Type="http://schemas.openxmlformats.org/officeDocument/2006/relationships/hyperlink" Target="https://www.immoscout24.ch/fr/maison/acheter/lieu-bouloz" TargetMode="External"/><Relationship Id="rId4242" Type="http://schemas.openxmlformats.org/officeDocument/2006/relationships/hyperlink" Target="https://www.immoscout24.ch/fr/appartement/louer/lieu-zuben" TargetMode="External"/><Relationship Id="rId5574" Type="http://schemas.openxmlformats.org/officeDocument/2006/relationships/hyperlink" Target="https://www.immoscout24.ch/fr/maison/louer/lieu-court" TargetMode="External"/><Relationship Id="rId4241" Type="http://schemas.openxmlformats.org/officeDocument/2006/relationships/hyperlink" Target="https://www.immoscout24.ch/fr/appartement/louer/lieu-rheineck" TargetMode="External"/><Relationship Id="rId5575" Type="http://schemas.openxmlformats.org/officeDocument/2006/relationships/hyperlink" Target="https://www.immoscout24.ch/fr/maison/acheter/region-aigle-alpes-vaudoises" TargetMode="External"/><Relationship Id="rId4244" Type="http://schemas.openxmlformats.org/officeDocument/2006/relationships/hyperlink" Target="https://www.immoscout24.ch/fr/appartement/acheter/canton-st-gall" TargetMode="External"/><Relationship Id="rId5572" Type="http://schemas.openxmlformats.org/officeDocument/2006/relationships/hyperlink" Target="https://www.immoscout24.ch/fr/appartement/louer/lieu-arisdorf" TargetMode="External"/><Relationship Id="rId4243" Type="http://schemas.openxmlformats.org/officeDocument/2006/relationships/hyperlink" Target="https://www.immoscout24.ch/fr/appartement/louer/lieu-le-brassus" TargetMode="External"/><Relationship Id="rId5573" Type="http://schemas.openxmlformats.org/officeDocument/2006/relationships/hyperlink" Target="https://www.immoscout24.ch/fr/appartement/louer/quartier-trois-portes-neuchatel" TargetMode="External"/><Relationship Id="rId4246" Type="http://schemas.openxmlformats.org/officeDocument/2006/relationships/hyperlink" Target="https://www.immoscout24.ch/fr/appartement/louer/lieu-courchapoix" TargetMode="External"/><Relationship Id="rId5578" Type="http://schemas.openxmlformats.org/officeDocument/2006/relationships/hyperlink" Target="https://www.immoscout24.ch/fr/appartement/louer/lieu-gy" TargetMode="External"/><Relationship Id="rId4245" Type="http://schemas.openxmlformats.org/officeDocument/2006/relationships/hyperlink" Target="https://www.immoscout24.ch/fr/maison/acheter/lieu-enney" TargetMode="External"/><Relationship Id="rId5579" Type="http://schemas.openxmlformats.org/officeDocument/2006/relationships/hyperlink" Target="https://www.immoscout24.ch/fr/appartement/acheter/lieu-st-niklaus-vs" TargetMode="External"/><Relationship Id="rId4248" Type="http://schemas.openxmlformats.org/officeDocument/2006/relationships/hyperlink" Target="https://www.immoscout24.ch/fr/appartement/acheter/lieu-hinterkappelen" TargetMode="External"/><Relationship Id="rId5576" Type="http://schemas.openxmlformats.org/officeDocument/2006/relationships/hyperlink" Target="https://www.immoscout24.ch/fr/maison/louer/lieu-mies" TargetMode="External"/><Relationship Id="rId4247" Type="http://schemas.openxmlformats.org/officeDocument/2006/relationships/hyperlink" Target="https://www.immoscout24.ch/fr/appartement/louer/lieu-champvent" TargetMode="External"/><Relationship Id="rId5577" Type="http://schemas.openxmlformats.org/officeDocument/2006/relationships/hyperlink" Target="https://www.immoscout24.ch/fr/appartement/louer/lieu-agarn" TargetMode="External"/><Relationship Id="rId4239" Type="http://schemas.openxmlformats.org/officeDocument/2006/relationships/hyperlink" Target="https://www.immoscout24.ch/fr/appartement/acheter/lieu-flims-dorf" TargetMode="External"/><Relationship Id="rId4238" Type="http://schemas.openxmlformats.org/officeDocument/2006/relationships/hyperlink" Target="https://www.immoscout24.ch/fr/appartement/louer/lieu-st-saphorin-lavaux" TargetMode="External"/><Relationship Id="rId5569" Type="http://schemas.openxmlformats.org/officeDocument/2006/relationships/hyperlink" Target="https://www.immoscout24.ch/fr/appartement/louer/lieu-les-posses-sur-bex" TargetMode="External"/><Relationship Id="rId5560" Type="http://schemas.openxmlformats.org/officeDocument/2006/relationships/hyperlink" Target="https://www.immoscout24.ch/fr/appartement/louer/lieu-meyrin" TargetMode="External"/><Relationship Id="rId495" Type="http://schemas.openxmlformats.org/officeDocument/2006/relationships/hyperlink" Target="https://www.immoscout24.ch/fr/maison/acheter/lieu-lyss" TargetMode="External"/><Relationship Id="rId4231" Type="http://schemas.openxmlformats.org/officeDocument/2006/relationships/hyperlink" Target="https://www.immoscout24.ch/fr/maison/acheter/lieu-murten" TargetMode="External"/><Relationship Id="rId5563" Type="http://schemas.openxmlformats.org/officeDocument/2006/relationships/hyperlink" Target="https://www.immoscout24.ch/fr/appartement/acheter/lieu-saviese" TargetMode="External"/><Relationship Id="rId494" Type="http://schemas.openxmlformats.org/officeDocument/2006/relationships/hyperlink" Target="https://www.immoscout24.ch/fr/appartement/louer/lieu-castione" TargetMode="External"/><Relationship Id="rId4230" Type="http://schemas.openxmlformats.org/officeDocument/2006/relationships/hyperlink" Target="https://www.immoscout24.ch/fr/maison/louer/lieu-chexbres" TargetMode="External"/><Relationship Id="rId5564" Type="http://schemas.openxmlformats.org/officeDocument/2006/relationships/hyperlink" Target="https://www.immoscout24.ch/fr/appartement/acheter/lieu-ebikon" TargetMode="External"/><Relationship Id="rId493" Type="http://schemas.openxmlformats.org/officeDocument/2006/relationships/hyperlink" Target="https://www.immoscout24.ch/fr/maison/louer/lieu-bottmingen" TargetMode="External"/><Relationship Id="rId4233" Type="http://schemas.openxmlformats.org/officeDocument/2006/relationships/hyperlink" Target="https://www.immoscout24.ch/fr/maison/acheter/lieu-morrens-vd" TargetMode="External"/><Relationship Id="rId5561" Type="http://schemas.openxmlformats.org/officeDocument/2006/relationships/hyperlink" Target="https://www.immoscout24.ch/fr/maison/acheter/lieu-kloten" TargetMode="External"/><Relationship Id="rId492" Type="http://schemas.openxmlformats.org/officeDocument/2006/relationships/hyperlink" Target="https://www.immoscout24.ch/fr/appartement/louer/lieu-bruegg-be" TargetMode="External"/><Relationship Id="rId4232" Type="http://schemas.openxmlformats.org/officeDocument/2006/relationships/hyperlink" Target="https://www.immoscout24.ch/fr/appartement/acheter/lieu-oberhofen-am-thunersee" TargetMode="External"/><Relationship Id="rId5562" Type="http://schemas.openxmlformats.org/officeDocument/2006/relationships/hyperlink" Target="https://www.immoscout24.ch/fr/maison/acheter/region-winterthu-et-environs" TargetMode="External"/><Relationship Id="rId499" Type="http://schemas.openxmlformats.org/officeDocument/2006/relationships/hyperlink" Target="https://www.immoscout24.ch/fr/appartement/louer/lieu-campocologno" TargetMode="External"/><Relationship Id="rId4235" Type="http://schemas.openxmlformats.org/officeDocument/2006/relationships/hyperlink" Target="https://www.immoscout24.ch/fr/appartement/louer/lieu-winterthur" TargetMode="External"/><Relationship Id="rId5567" Type="http://schemas.openxmlformats.org/officeDocument/2006/relationships/hyperlink" Target="https://www.immoscout24.ch/fr/appartement/louer/lieu-st-jean-vs" TargetMode="External"/><Relationship Id="rId498" Type="http://schemas.openxmlformats.org/officeDocument/2006/relationships/hyperlink" Target="https://www.immoscout24.ch/fr/appartement/louer/region-rive-gauche" TargetMode="External"/><Relationship Id="rId4234" Type="http://schemas.openxmlformats.org/officeDocument/2006/relationships/hyperlink" Target="https://www.immoscout24.ch/fr/appartement/louer/lieu-cuarnens" TargetMode="External"/><Relationship Id="rId5568" Type="http://schemas.openxmlformats.org/officeDocument/2006/relationships/hyperlink" Target="https://www.immoscout24.ch/fr/appartement/louer/lieu-ursy" TargetMode="External"/><Relationship Id="rId497" Type="http://schemas.openxmlformats.org/officeDocument/2006/relationships/hyperlink" Target="https://www.immoscout24.ch/fr/maison/louer/region-jura-bernois" TargetMode="External"/><Relationship Id="rId4237" Type="http://schemas.openxmlformats.org/officeDocument/2006/relationships/hyperlink" Target="https://www.immoscout24.ch/fr/appartement/acheter/lieu-greppen" TargetMode="External"/><Relationship Id="rId5565" Type="http://schemas.openxmlformats.org/officeDocument/2006/relationships/hyperlink" Target="https://www.immoscout24.ch/fr/appartement/acheter/lieu-grindelwald" TargetMode="External"/><Relationship Id="rId496" Type="http://schemas.openxmlformats.org/officeDocument/2006/relationships/hyperlink" Target="https://www.immoscout24.ch/fr/appartement/louer/lieu-pazzallo" TargetMode="External"/><Relationship Id="rId4236" Type="http://schemas.openxmlformats.org/officeDocument/2006/relationships/hyperlink" Target="https://www.immoscout24.ch/fr/appartement/louer/lieu-turgi" TargetMode="External"/><Relationship Id="rId5566" Type="http://schemas.openxmlformats.org/officeDocument/2006/relationships/hyperlink" Target="https://www.immoscout24.ch/fr/maison/acheter/lieu-widnau" TargetMode="External"/><Relationship Id="rId4260" Type="http://schemas.openxmlformats.org/officeDocument/2006/relationships/hyperlink" Target="https://www.immoscout24.ch/fr/maison/louer/lieu-rechy" TargetMode="External"/><Relationship Id="rId5592" Type="http://schemas.openxmlformats.org/officeDocument/2006/relationships/hyperlink" Target="https://www.immoscout24.ch/fr/appartement/acheter/quartier-bruderholz-bale" TargetMode="External"/><Relationship Id="rId5593" Type="http://schemas.openxmlformats.org/officeDocument/2006/relationships/hyperlink" Target="https://www.immoscout24.ch/fr/maison/acheter/lieu-le-mont-sur-lausanne" TargetMode="External"/><Relationship Id="rId4262" Type="http://schemas.openxmlformats.org/officeDocument/2006/relationships/hyperlink" Target="https://www.immoscout24.ch/fr/appartement/louer/lieu-lourtier" TargetMode="External"/><Relationship Id="rId5590" Type="http://schemas.openxmlformats.org/officeDocument/2006/relationships/hyperlink" Target="https://www.immoscout24.ch/fr/appartement/louer/lieu-chalais" TargetMode="External"/><Relationship Id="rId4261" Type="http://schemas.openxmlformats.org/officeDocument/2006/relationships/hyperlink" Target="https://www.immoscout24.ch/fr/maison/acheter/lieu-taverne" TargetMode="External"/><Relationship Id="rId5591" Type="http://schemas.openxmlformats.org/officeDocument/2006/relationships/hyperlink" Target="https://www.immoscout24.ch/fr/appartement/acheter/lieu-areuse" TargetMode="External"/><Relationship Id="rId4264" Type="http://schemas.openxmlformats.org/officeDocument/2006/relationships/hyperlink" Target="https://www.immoscout24.ch/fr/appartement/acheter/lieu-kandersteg" TargetMode="External"/><Relationship Id="rId5596" Type="http://schemas.openxmlformats.org/officeDocument/2006/relationships/hyperlink" Target="https://www.immoscout24.ch/fr/appartement/louer/lieu-biberist" TargetMode="External"/><Relationship Id="rId4263" Type="http://schemas.openxmlformats.org/officeDocument/2006/relationships/hyperlink" Target="https://www.immoscout24.ch/fr/appartement/louer/lieu-schaffhausen" TargetMode="External"/><Relationship Id="rId5597" Type="http://schemas.openxmlformats.org/officeDocument/2006/relationships/hyperlink" Target="https://www.immoscout24.ch/fr/maison/acheter/pays-maldives" TargetMode="External"/><Relationship Id="rId4266" Type="http://schemas.openxmlformats.org/officeDocument/2006/relationships/hyperlink" Target="https://www.immoscout24.ch/fr/maison/louer/lieu-bourg-st-pierre" TargetMode="External"/><Relationship Id="rId5594" Type="http://schemas.openxmlformats.org/officeDocument/2006/relationships/hyperlink" Target="https://www.immoscout24.ch/fr/appartement/louer/lieu-vuippens" TargetMode="External"/><Relationship Id="rId4265" Type="http://schemas.openxmlformats.org/officeDocument/2006/relationships/hyperlink" Target="https://www.immoscout24.ch/fr/appartement/louer/lieu-grandfontaine" TargetMode="External"/><Relationship Id="rId5595" Type="http://schemas.openxmlformats.org/officeDocument/2006/relationships/hyperlink" Target="https://www.immoscout24.ch/fr/maison/louer/lieu-crans-montana" TargetMode="External"/><Relationship Id="rId4268" Type="http://schemas.openxmlformats.org/officeDocument/2006/relationships/hyperlink" Target="https://www.immoscout24.ch/fr/maison/louer/lieu-reconvilier" TargetMode="External"/><Relationship Id="rId4267" Type="http://schemas.openxmlformats.org/officeDocument/2006/relationships/hyperlink" Target="https://www.immoscout24.ch/fr/maison/acheter/lieu-colombier-ne" TargetMode="External"/><Relationship Id="rId5598" Type="http://schemas.openxmlformats.org/officeDocument/2006/relationships/hyperlink" Target="https://www.immoscout24.ch/fr/appartement/acheter/quartier-allmendingen-thun" TargetMode="External"/><Relationship Id="rId4269" Type="http://schemas.openxmlformats.org/officeDocument/2006/relationships/hyperlink" Target="https://www.immoscout24.ch/fr/maison/acheter/lieu-bueren-an-der-aare" TargetMode="External"/><Relationship Id="rId5599" Type="http://schemas.openxmlformats.org/officeDocument/2006/relationships/hyperlink" Target="https://www.immoscout24.ch/fr/maison/acheter/lieu-gimmelwald" TargetMode="External"/><Relationship Id="rId5581" Type="http://schemas.openxmlformats.org/officeDocument/2006/relationships/hyperlink" Target="https://www.immoscout24.ch/fr/appartement/louer/lieu-rothrist" TargetMode="External"/><Relationship Id="rId5582" Type="http://schemas.openxmlformats.org/officeDocument/2006/relationships/hyperlink" Target="https://www.immoscout24.ch/fr/appartement/louer/lieu-les-sagnettes" TargetMode="External"/><Relationship Id="rId4251" Type="http://schemas.openxmlformats.org/officeDocument/2006/relationships/hyperlink" Target="https://www.immoscout24.ch/fr/appartement/louer/pays-hongrie" TargetMode="External"/><Relationship Id="rId4250" Type="http://schemas.openxmlformats.org/officeDocument/2006/relationships/hyperlink" Target="https://www.immoscout24.ch/fr/appartement/louer/lieu-mezieres-vd" TargetMode="External"/><Relationship Id="rId5580" Type="http://schemas.openxmlformats.org/officeDocument/2006/relationships/hyperlink" Target="https://www.immoscout24.ch/fr/appartement/acheter/lieu-buerchen" TargetMode="External"/><Relationship Id="rId4253" Type="http://schemas.openxmlformats.org/officeDocument/2006/relationships/hyperlink" Target="https://www.immoscout24.ch/fr/appartement/louer/lieu-schmerikon" TargetMode="External"/><Relationship Id="rId5585" Type="http://schemas.openxmlformats.org/officeDocument/2006/relationships/hyperlink" Target="https://www.immoscout24.ch/fr/appartement/louer/lieu-buonas" TargetMode="External"/><Relationship Id="rId4252" Type="http://schemas.openxmlformats.org/officeDocument/2006/relationships/hyperlink" Target="https://www.immoscout24.ch/fr/appartement/louer/lieu-arnegg" TargetMode="External"/><Relationship Id="rId5586" Type="http://schemas.openxmlformats.org/officeDocument/2006/relationships/hyperlink" Target="https://www.immoscout24.ch/fr/maison/acheter/lieu-pazzallo" TargetMode="External"/><Relationship Id="rId4255" Type="http://schemas.openxmlformats.org/officeDocument/2006/relationships/hyperlink" Target="https://www.immoscout24.ch/fr/appartement/louer/quartier-neustadt-voltastrasse-lucerne" TargetMode="External"/><Relationship Id="rId5583" Type="http://schemas.openxmlformats.org/officeDocument/2006/relationships/hyperlink" Target="https://www.immoscout24.ch/fr/maison/acheter/lieu-cerniat-fr" TargetMode="External"/><Relationship Id="rId4254" Type="http://schemas.openxmlformats.org/officeDocument/2006/relationships/hyperlink" Target="https://www.immoscout24.ch/fr/appartement/louer/lieu-chatillens" TargetMode="External"/><Relationship Id="rId5584" Type="http://schemas.openxmlformats.org/officeDocument/2006/relationships/hyperlink" Target="https://www.immoscout24.ch/fr/appartement/louer/lieu-galgenen" TargetMode="External"/><Relationship Id="rId4257" Type="http://schemas.openxmlformats.org/officeDocument/2006/relationships/hyperlink" Target="https://www.immoscout24.ch/fr/appartement/acheter/lieu-arch" TargetMode="External"/><Relationship Id="rId5589" Type="http://schemas.openxmlformats.org/officeDocument/2006/relationships/hyperlink" Target="https://www.immoscout24.ch/fr/appartement/acheter/lieu-blankenburg" TargetMode="External"/><Relationship Id="rId4256" Type="http://schemas.openxmlformats.org/officeDocument/2006/relationships/hyperlink" Target="https://www.immoscout24.ch/fr/maison/acheter/lieu-hendschiken" TargetMode="External"/><Relationship Id="rId4259" Type="http://schemas.openxmlformats.org/officeDocument/2006/relationships/hyperlink" Target="https://www.immoscout24.ch/fr/appartement/louer/lieu-immensee" TargetMode="External"/><Relationship Id="rId5587" Type="http://schemas.openxmlformats.org/officeDocument/2006/relationships/hyperlink" Target="https://www.immoscout24.ch/fr/appartement/louer/lieu-orsieres" TargetMode="External"/><Relationship Id="rId4258" Type="http://schemas.openxmlformats.org/officeDocument/2006/relationships/hyperlink" Target="https://www.immoscout24.ch/fr/maison/acheter/lieu-champoussin" TargetMode="External"/><Relationship Id="rId5588" Type="http://schemas.openxmlformats.org/officeDocument/2006/relationships/hyperlink" Target="https://www.immoscout24.ch/fr/maison/louer/lieu-vuisternens-devant-romont" TargetMode="External"/><Relationship Id="rId409" Type="http://schemas.openxmlformats.org/officeDocument/2006/relationships/hyperlink" Target="https://www.immoscout24.ch/fr/appartement/acheter/lieu-granges-pres-marnand" TargetMode="External"/><Relationship Id="rId404" Type="http://schemas.openxmlformats.org/officeDocument/2006/relationships/hyperlink" Target="https://www.immoscout24.ch/fr/maison/acheter/lieu-savigny" TargetMode="External"/><Relationship Id="rId403" Type="http://schemas.openxmlformats.org/officeDocument/2006/relationships/hyperlink" Target="https://www.immoscout24.ch/fr/maison/acheter/lieu-juriens" TargetMode="External"/><Relationship Id="rId402" Type="http://schemas.openxmlformats.org/officeDocument/2006/relationships/hyperlink" Target="https://www.immoscout24.ch/fr/appartement/acheter/lieu-bellinzona" TargetMode="External"/><Relationship Id="rId401" Type="http://schemas.openxmlformats.org/officeDocument/2006/relationships/hyperlink" Target="https://www.immoscout24.ch/fr/appartement/acheter/lieu-krattigen" TargetMode="External"/><Relationship Id="rId408" Type="http://schemas.openxmlformats.org/officeDocument/2006/relationships/hyperlink" Target="https://www.immoscout24.ch/fr/appartement/louer/lieu-vouvry" TargetMode="External"/><Relationship Id="rId407" Type="http://schemas.openxmlformats.org/officeDocument/2006/relationships/hyperlink" Target="https://www.immoscout24.ch/fr/appartement/louer/lieu-gwatt-thun" TargetMode="External"/><Relationship Id="rId406" Type="http://schemas.openxmlformats.org/officeDocument/2006/relationships/hyperlink" Target="https://www.immoscout24.ch/fr/maison/acheter/lieu-neuhausen-am-rheinfall" TargetMode="External"/><Relationship Id="rId405" Type="http://schemas.openxmlformats.org/officeDocument/2006/relationships/hyperlink" Target="https://www.immoscout24.ch/fr/maison/louer/lieu-aumont" TargetMode="External"/><Relationship Id="rId400" Type="http://schemas.openxmlformats.org/officeDocument/2006/relationships/hyperlink" Target="https://www.immoscout24.ch/fr/maison/acheter/lieu-schlatt-tg" TargetMode="External"/><Relationship Id="rId4327" Type="http://schemas.openxmlformats.org/officeDocument/2006/relationships/hyperlink" Target="https://www.immoscout24.ch/fr/appartement/louer/lieu-attiswil" TargetMode="External"/><Relationship Id="rId5659" Type="http://schemas.openxmlformats.org/officeDocument/2006/relationships/hyperlink" Target="https://www.immoscout24.ch/fr/maison/louer/lieu-bussy-fr" TargetMode="External"/><Relationship Id="rId4326" Type="http://schemas.openxmlformats.org/officeDocument/2006/relationships/hyperlink" Target="https://www.immoscout24.ch/fr/appartement/acheter/lieu-veyrier" TargetMode="External"/><Relationship Id="rId4329" Type="http://schemas.openxmlformats.org/officeDocument/2006/relationships/hyperlink" Target="https://www.immoscout24.ch/fr/appartement/acheter/lieu-etoy" TargetMode="External"/><Relationship Id="rId5657" Type="http://schemas.openxmlformats.org/officeDocument/2006/relationships/hyperlink" Target="https://www.immoscout24.ch/fr/appartement/acheter/lieu-denges" TargetMode="External"/><Relationship Id="rId4328" Type="http://schemas.openxmlformats.org/officeDocument/2006/relationships/hyperlink" Target="https://www.immoscout24.ch/fr/maison/acheter/canton-turgovie" TargetMode="External"/><Relationship Id="rId5658" Type="http://schemas.openxmlformats.org/officeDocument/2006/relationships/hyperlink" Target="https://www.immoscout24.ch/fr/appartement/louer/lieu-zug" TargetMode="External"/><Relationship Id="rId469" Type="http://schemas.openxmlformats.org/officeDocument/2006/relationships/hyperlink" Target="https://www.immoscout24.ch/fr/appartement/louer/lieu-fislisbach" TargetMode="External"/><Relationship Id="rId468" Type="http://schemas.openxmlformats.org/officeDocument/2006/relationships/hyperlink" Target="https://www.immoscout24.ch/fr/appartement/acheter/lieu-steinach" TargetMode="External"/><Relationship Id="rId467" Type="http://schemas.openxmlformats.org/officeDocument/2006/relationships/hyperlink" Target="https://www.immoscout24.ch/fr/appartement/louer/lieu-pensier" TargetMode="External"/><Relationship Id="rId462" Type="http://schemas.openxmlformats.org/officeDocument/2006/relationships/hyperlink" Target="https://www.immoscout24.ch/fr/maison/acheter/lieu-cudrefin" TargetMode="External"/><Relationship Id="rId5651" Type="http://schemas.openxmlformats.org/officeDocument/2006/relationships/hyperlink" Target="https://www.immoscout24.ch/fr/appartement/acheter/canton-lucerne" TargetMode="External"/><Relationship Id="rId461" Type="http://schemas.openxmlformats.org/officeDocument/2006/relationships/hyperlink" Target="https://www.immoscout24.ch/fr/appartement/louer/region-soleure-et-environs" TargetMode="External"/><Relationship Id="rId5652" Type="http://schemas.openxmlformats.org/officeDocument/2006/relationships/hyperlink" Target="https://www.immoscout24.ch/fr/maison/acheter/lieu-campo-vallemaggia" TargetMode="External"/><Relationship Id="rId460" Type="http://schemas.openxmlformats.org/officeDocument/2006/relationships/hyperlink" Target="https://www.immoscout24.ch/fr/appartement/louer/lieu-abtwil-sg" TargetMode="External"/><Relationship Id="rId4321" Type="http://schemas.openxmlformats.org/officeDocument/2006/relationships/hyperlink" Target="https://www.immoscout24.ch/fr/maison/acheter/lieu-besazio" TargetMode="External"/><Relationship Id="rId4320" Type="http://schemas.openxmlformats.org/officeDocument/2006/relationships/hyperlink" Target="https://www.immoscout24.ch/fr/maison/acheter/lieu-vuarrens" TargetMode="External"/><Relationship Id="rId5650" Type="http://schemas.openxmlformats.org/officeDocument/2006/relationships/hyperlink" Target="https://www.immoscout24.ch/fr/maison/acheter/lieu-laupen-be" TargetMode="External"/><Relationship Id="rId466" Type="http://schemas.openxmlformats.org/officeDocument/2006/relationships/hyperlink" Target="https://www.immoscout24.ch/fr/maison/acheter/lieu-mauborget" TargetMode="External"/><Relationship Id="rId4323" Type="http://schemas.openxmlformats.org/officeDocument/2006/relationships/hyperlink" Target="https://www.immoscout24.ch/fr/appartement/louer/lieu-villars-sur-fontenais" TargetMode="External"/><Relationship Id="rId5655" Type="http://schemas.openxmlformats.org/officeDocument/2006/relationships/hyperlink" Target="https://www.immoscout24.ch/fr/appartement/acheter/lieu-collonge-bellerive" TargetMode="External"/><Relationship Id="rId465" Type="http://schemas.openxmlformats.org/officeDocument/2006/relationships/hyperlink" Target="https://www.immoscout24.ch/fr/maison/louer/lieu-yverdon-les-bains" TargetMode="External"/><Relationship Id="rId4322" Type="http://schemas.openxmlformats.org/officeDocument/2006/relationships/hyperlink" Target="https://www.immoscout24.ch/fr/appartement/acheter/region-lac-majeur" TargetMode="External"/><Relationship Id="rId5656" Type="http://schemas.openxmlformats.org/officeDocument/2006/relationships/hyperlink" Target="https://www.immoscout24.ch/fr/maison/acheter/lieu-riddes" TargetMode="External"/><Relationship Id="rId464" Type="http://schemas.openxmlformats.org/officeDocument/2006/relationships/hyperlink" Target="https://www.immoscout24.ch/fr/appartement/louer/lieu-bernex" TargetMode="External"/><Relationship Id="rId4325" Type="http://schemas.openxmlformats.org/officeDocument/2006/relationships/hyperlink" Target="https://www.immoscout24.ch/fr/maison/acheter/lieu-vinelz" TargetMode="External"/><Relationship Id="rId5653" Type="http://schemas.openxmlformats.org/officeDocument/2006/relationships/hyperlink" Target="https://www.immoscout24.ch/fr/maison/louer/lieu-ependes-vd" TargetMode="External"/><Relationship Id="rId463" Type="http://schemas.openxmlformats.org/officeDocument/2006/relationships/hyperlink" Target="https://www.immoscout24.ch/fr/appartement/acheter/lieu-verbier" TargetMode="External"/><Relationship Id="rId4324" Type="http://schemas.openxmlformats.org/officeDocument/2006/relationships/hyperlink" Target="https://www.immoscout24.ch/fr/maison/acheter/region-bale-ville" TargetMode="External"/><Relationship Id="rId5654" Type="http://schemas.openxmlformats.org/officeDocument/2006/relationships/hyperlink" Target="https://www.immoscout24.ch/fr/maison/acheter/lieu-fechy" TargetMode="External"/><Relationship Id="rId4316" Type="http://schemas.openxmlformats.org/officeDocument/2006/relationships/hyperlink" Target="https://www.immoscout24.ch/fr/appartement/louer/lieu-hergiswil-nw" TargetMode="External"/><Relationship Id="rId5648" Type="http://schemas.openxmlformats.org/officeDocument/2006/relationships/hyperlink" Target="https://www.immoscout24.ch/fr/appartement/acheter/lieu-rennaz" TargetMode="External"/><Relationship Id="rId4315" Type="http://schemas.openxmlformats.org/officeDocument/2006/relationships/hyperlink" Target="https://www.immoscout24.ch/fr/maison/louer/lieu-aigle" TargetMode="External"/><Relationship Id="rId5649" Type="http://schemas.openxmlformats.org/officeDocument/2006/relationships/hyperlink" Target="https://www.immoscout24.ch/fr/appartement/acheter/lieu-s-antonino" TargetMode="External"/><Relationship Id="rId4318" Type="http://schemas.openxmlformats.org/officeDocument/2006/relationships/hyperlink" Target="https://www.immoscout24.ch/fr/maison/louer/lieu-oberburg" TargetMode="External"/><Relationship Id="rId5646" Type="http://schemas.openxmlformats.org/officeDocument/2006/relationships/hyperlink" Target="https://www.immoscout24.ch/fr/appartement/louer/region-bale-campagne-ouest" TargetMode="External"/><Relationship Id="rId4317" Type="http://schemas.openxmlformats.org/officeDocument/2006/relationships/hyperlink" Target="https://www.immoscout24.ch/fr/appartement/louer/lieu-crans-pres-celigny" TargetMode="External"/><Relationship Id="rId5647" Type="http://schemas.openxmlformats.org/officeDocument/2006/relationships/hyperlink" Target="https://www.immoscout24.ch/fr/maison/louer/lieu-champery" TargetMode="External"/><Relationship Id="rId4319" Type="http://schemas.openxmlformats.org/officeDocument/2006/relationships/hyperlink" Target="https://www.immoscout24.ch/fr/appartement/louer/region-la-cote-nyon" TargetMode="External"/><Relationship Id="rId459" Type="http://schemas.openxmlformats.org/officeDocument/2006/relationships/hyperlink" Target="https://www.immoscout24.ch/fr/maison/louer/lieu-anzere" TargetMode="External"/><Relationship Id="rId458" Type="http://schemas.openxmlformats.org/officeDocument/2006/relationships/hyperlink" Target="https://www.immoscout24.ch/fr/appartement/louer/lieu-avegno" TargetMode="External"/><Relationship Id="rId457" Type="http://schemas.openxmlformats.org/officeDocument/2006/relationships/hyperlink" Target="https://www.immoscout24.ch/fr/maison/louer/lieu-le-paquier-ne" TargetMode="External"/><Relationship Id="rId456" Type="http://schemas.openxmlformats.org/officeDocument/2006/relationships/hyperlink" Target="https://www.immoscout24.ch/fr/appartement/louer/lieu-chabrey" TargetMode="External"/><Relationship Id="rId451" Type="http://schemas.openxmlformats.org/officeDocument/2006/relationships/hyperlink" Target="https://www.immoscout24.ch/fr/appartement/louer/quartier-breitenrain-berne" TargetMode="External"/><Relationship Id="rId5640" Type="http://schemas.openxmlformats.org/officeDocument/2006/relationships/hyperlink" Target="https://www.immoscout24.ch/fr/appartement/acheter/lieu-rheinau" TargetMode="External"/><Relationship Id="rId450" Type="http://schemas.openxmlformats.org/officeDocument/2006/relationships/hyperlink" Target="https://www.immoscout24.ch/fr/maison/acheter/lieu-frinvillier" TargetMode="External"/><Relationship Id="rId5641" Type="http://schemas.openxmlformats.org/officeDocument/2006/relationships/hyperlink" Target="https://www.immoscout24.ch/fr/appartement/acheter/quartier-alpes-neuchatel" TargetMode="External"/><Relationship Id="rId4310" Type="http://schemas.openxmlformats.org/officeDocument/2006/relationships/hyperlink" Target="https://www.immoscout24.ch/fr/appartement/louer/lieu-wagen" TargetMode="External"/><Relationship Id="rId455" Type="http://schemas.openxmlformats.org/officeDocument/2006/relationships/hyperlink" Target="https://www.immoscout24.ch/fr/maison/acheter/lieu-chatillon-ju" TargetMode="External"/><Relationship Id="rId4312" Type="http://schemas.openxmlformats.org/officeDocument/2006/relationships/hyperlink" Target="https://www.immoscout24.ch/fr/maison/louer/canton-grisons" TargetMode="External"/><Relationship Id="rId5644" Type="http://schemas.openxmlformats.org/officeDocument/2006/relationships/hyperlink" Target="https://www.immoscout24.ch/fr/maison/acheter/lieu-anzere" TargetMode="External"/><Relationship Id="rId454" Type="http://schemas.openxmlformats.org/officeDocument/2006/relationships/hyperlink" Target="https://www.immoscout24.ch/fr/maison/louer/lieu-locarno" TargetMode="External"/><Relationship Id="rId4311" Type="http://schemas.openxmlformats.org/officeDocument/2006/relationships/hyperlink" Target="https://www.immoscout24.ch/fr/maison/acheter/quartier-mousquines-bellevue-lausanne" TargetMode="External"/><Relationship Id="rId5645" Type="http://schemas.openxmlformats.org/officeDocument/2006/relationships/hyperlink" Target="https://www.immoscout24.ch/fr/maison/acheter/lieu-ennetbuergen" TargetMode="External"/><Relationship Id="rId453" Type="http://schemas.openxmlformats.org/officeDocument/2006/relationships/hyperlink" Target="https://www.immoscout24.ch/fr/maison/acheter/lieu-les-brenets" TargetMode="External"/><Relationship Id="rId4314" Type="http://schemas.openxmlformats.org/officeDocument/2006/relationships/hyperlink" Target="https://www.immoscout24.ch/fr/appartement/louer/lieu-bachenbuelach" TargetMode="External"/><Relationship Id="rId5642" Type="http://schemas.openxmlformats.org/officeDocument/2006/relationships/hyperlink" Target="https://www.immoscout24.ch/fr/maison/acheter/lieu-mezieres-vd" TargetMode="External"/><Relationship Id="rId452" Type="http://schemas.openxmlformats.org/officeDocument/2006/relationships/hyperlink" Target="https://www.immoscout24.ch/fr/maison/acheter/lieu-pierrafortscha" TargetMode="External"/><Relationship Id="rId4313" Type="http://schemas.openxmlformats.org/officeDocument/2006/relationships/hyperlink" Target="https://www.immoscout24.ch/fr/appartement/louer/lieu-signy" TargetMode="External"/><Relationship Id="rId5643" Type="http://schemas.openxmlformats.org/officeDocument/2006/relationships/hyperlink" Target="https://www.immoscout24.ch/fr/appartement/louer/lieu-seengen" TargetMode="External"/><Relationship Id="rId3018" Type="http://schemas.openxmlformats.org/officeDocument/2006/relationships/hyperlink" Target="https://www.immoscout24.ch/fr/maison/acheter/quartier-champel-roseraie-geneve" TargetMode="External"/><Relationship Id="rId4349" Type="http://schemas.openxmlformats.org/officeDocument/2006/relationships/hyperlink" Target="https://www.immoscout24.ch/fr/maison/acheter/lieu-glarus" TargetMode="External"/><Relationship Id="rId3017" Type="http://schemas.openxmlformats.org/officeDocument/2006/relationships/hyperlink" Target="https://www.immoscout24.ch/fr/appartement/louer/lieu-vugelles-la-mothe" TargetMode="External"/><Relationship Id="rId4348" Type="http://schemas.openxmlformats.org/officeDocument/2006/relationships/hyperlink" Target="https://www.immoscout24.ch/fr/maison/louer/lieu-gruyeres" TargetMode="External"/><Relationship Id="rId5679" Type="http://schemas.openxmlformats.org/officeDocument/2006/relationships/hyperlink" Target="https://www.immoscout24.ch/fr/maison/louer/lieu-broc" TargetMode="External"/><Relationship Id="rId3019" Type="http://schemas.openxmlformats.org/officeDocument/2006/relationships/hyperlink" Target="https://www.immoscout24.ch/fr/maison/acheter/lieu-grandcour" TargetMode="External"/><Relationship Id="rId491" Type="http://schemas.openxmlformats.org/officeDocument/2006/relationships/hyperlink" Target="https://www.immoscout24.ch/fr/maison/acheter/lieu-crissier" TargetMode="External"/><Relationship Id="rId490" Type="http://schemas.openxmlformats.org/officeDocument/2006/relationships/hyperlink" Target="https://www.immoscout24.ch/fr/appartement/acheter/lieu-corminboeuf" TargetMode="External"/><Relationship Id="rId489" Type="http://schemas.openxmlformats.org/officeDocument/2006/relationships/hyperlink" Target="https://www.immoscout24.ch/fr/appartement/acheter/lieu-oron-la-ville" TargetMode="External"/><Relationship Id="rId5670" Type="http://schemas.openxmlformats.org/officeDocument/2006/relationships/hyperlink" Target="https://www.immoscout24.ch/fr/appartement/louer/lieu-praz-de-fort" TargetMode="External"/><Relationship Id="rId484" Type="http://schemas.openxmlformats.org/officeDocument/2006/relationships/hyperlink" Target="https://www.immoscout24.ch/fr/maison/acheter/lieu-corserey" TargetMode="External"/><Relationship Id="rId3010" Type="http://schemas.openxmlformats.org/officeDocument/2006/relationships/hyperlink" Target="https://www.immoscout24.ch/fr/appartement/louer/quartier-centro-lugano" TargetMode="External"/><Relationship Id="rId4341" Type="http://schemas.openxmlformats.org/officeDocument/2006/relationships/hyperlink" Target="https://www.immoscout24.ch/fr/appartement/louer/quartier-charmilles-chatelaine-geneve" TargetMode="External"/><Relationship Id="rId5673" Type="http://schemas.openxmlformats.org/officeDocument/2006/relationships/hyperlink" Target="https://www.immoscout24.ch/fr/appartement/louer/lieu-aarau-rohr" TargetMode="External"/><Relationship Id="rId483" Type="http://schemas.openxmlformats.org/officeDocument/2006/relationships/hyperlink" Target="https://www.immoscout24.ch/fr/maison/louer/lieu-chamoson" TargetMode="External"/><Relationship Id="rId4340" Type="http://schemas.openxmlformats.org/officeDocument/2006/relationships/hyperlink" Target="https://www.immoscout24.ch/fr/appartement/acheter/lieu-reconvilier" TargetMode="External"/><Relationship Id="rId5674" Type="http://schemas.openxmlformats.org/officeDocument/2006/relationships/hyperlink" Target="https://www.immoscout24.ch/fr/appartement/louer/lieu-ependes-fr" TargetMode="External"/><Relationship Id="rId482" Type="http://schemas.openxmlformats.org/officeDocument/2006/relationships/hyperlink" Target="https://www.immoscout24.ch/fr/maison/acheter/lieu-faido" TargetMode="External"/><Relationship Id="rId3012" Type="http://schemas.openxmlformats.org/officeDocument/2006/relationships/hyperlink" Target="https://www.immoscout24.ch/fr/maison/louer/lieu-turin-salins" TargetMode="External"/><Relationship Id="rId4343" Type="http://schemas.openxmlformats.org/officeDocument/2006/relationships/hyperlink" Target="https://www.immoscout24.ch/fr/maison/acheter/lieu-schwarzenburg" TargetMode="External"/><Relationship Id="rId5671" Type="http://schemas.openxmlformats.org/officeDocument/2006/relationships/hyperlink" Target="https://www.immoscout24.ch/fr/maison/acheter/lieu-farvagny-le-petit" TargetMode="External"/><Relationship Id="rId481" Type="http://schemas.openxmlformats.org/officeDocument/2006/relationships/hyperlink" Target="https://www.immoscout24.ch/fr/maison/acheter/lieu-la-cibourg" TargetMode="External"/><Relationship Id="rId3011" Type="http://schemas.openxmlformats.org/officeDocument/2006/relationships/hyperlink" Target="https://www.immoscout24.ch/fr/maison/acheter/lieu-lens" TargetMode="External"/><Relationship Id="rId4342" Type="http://schemas.openxmlformats.org/officeDocument/2006/relationships/hyperlink" Target="https://www.immoscout24.ch/fr/maison/louer/lieu-sedeilles" TargetMode="External"/><Relationship Id="rId5672" Type="http://schemas.openxmlformats.org/officeDocument/2006/relationships/hyperlink" Target="https://www.immoscout24.ch/fr/maison/acheter/lieu-balsthal" TargetMode="External"/><Relationship Id="rId488" Type="http://schemas.openxmlformats.org/officeDocument/2006/relationships/hyperlink" Target="https://www.immoscout24.ch/fr/appartement/acheter/quartier-montchoisi-lausanne" TargetMode="External"/><Relationship Id="rId3014" Type="http://schemas.openxmlformats.org/officeDocument/2006/relationships/hyperlink" Target="https://www.immoscout24.ch/fr/maison/acheter/lieu-brissago" TargetMode="External"/><Relationship Id="rId4345" Type="http://schemas.openxmlformats.org/officeDocument/2006/relationships/hyperlink" Target="https://www.immoscout24.ch/fr/appartement/acheter/lieu-coppet" TargetMode="External"/><Relationship Id="rId5677" Type="http://schemas.openxmlformats.org/officeDocument/2006/relationships/hyperlink" Target="https://www.immoscout24.ch/fr/appartement/louer/lieu-wahlen-b-laufen" TargetMode="External"/><Relationship Id="rId487" Type="http://schemas.openxmlformats.org/officeDocument/2006/relationships/hyperlink" Target="https://www.immoscout24.ch/fr/maison/acheter/lieu-moerigen" TargetMode="External"/><Relationship Id="rId3013" Type="http://schemas.openxmlformats.org/officeDocument/2006/relationships/hyperlink" Target="https://www.immoscout24.ch/fr/appartement/louer/quartier-champagne-biel-bienne" TargetMode="External"/><Relationship Id="rId4344" Type="http://schemas.openxmlformats.org/officeDocument/2006/relationships/hyperlink" Target="https://www.immoscout24.ch/fr/appartement/acheter/lieu-bruson" TargetMode="External"/><Relationship Id="rId5678" Type="http://schemas.openxmlformats.org/officeDocument/2006/relationships/hyperlink" Target="https://www.immoscout24.ch/fr/maison/acheter/lieu-grimisuat" TargetMode="External"/><Relationship Id="rId486" Type="http://schemas.openxmlformats.org/officeDocument/2006/relationships/hyperlink" Target="https://www.immoscout24.ch/fr/appartement/louer/lieu-naefels" TargetMode="External"/><Relationship Id="rId3016" Type="http://schemas.openxmlformats.org/officeDocument/2006/relationships/hyperlink" Target="https://www.immoscout24.ch/fr/maison/acheter/lieu-la-chaux-cossonay" TargetMode="External"/><Relationship Id="rId4347" Type="http://schemas.openxmlformats.org/officeDocument/2006/relationships/hyperlink" Target="https://www.immoscout24.ch/fr/maison/acheter/lieu-castagnola" TargetMode="External"/><Relationship Id="rId5675" Type="http://schemas.openxmlformats.org/officeDocument/2006/relationships/hyperlink" Target="https://www.immoscout24.ch/fr/maison/acheter/lieu-les-sciernes-d-albeuve" TargetMode="External"/><Relationship Id="rId485" Type="http://schemas.openxmlformats.org/officeDocument/2006/relationships/hyperlink" Target="https://www.immoscout24.ch/fr/appartement/louer/lieu-fraubrunnen" TargetMode="External"/><Relationship Id="rId3015" Type="http://schemas.openxmlformats.org/officeDocument/2006/relationships/hyperlink" Target="https://www.immoscout24.ch/fr/appartement/acheter/lieu-les-diablerets" TargetMode="External"/><Relationship Id="rId4346" Type="http://schemas.openxmlformats.org/officeDocument/2006/relationships/hyperlink" Target="https://www.immoscout24.ch/fr/maison/acheter/lieu-champtauroz" TargetMode="External"/><Relationship Id="rId5676" Type="http://schemas.openxmlformats.org/officeDocument/2006/relationships/hyperlink" Target="https://www.immoscout24.ch/fr/appartement/acheter/lieu-la-tzoumaz" TargetMode="External"/><Relationship Id="rId3007" Type="http://schemas.openxmlformats.org/officeDocument/2006/relationships/hyperlink" Target="https://www.immoscout24.ch/fr/appartement/louer/lieu-frasses" TargetMode="External"/><Relationship Id="rId4338" Type="http://schemas.openxmlformats.org/officeDocument/2006/relationships/hyperlink" Target="https://www.immoscout24.ch/fr/appartement/louer/quartier-bramberg-stkarli-lucerne" TargetMode="External"/><Relationship Id="rId3006" Type="http://schemas.openxmlformats.org/officeDocument/2006/relationships/hyperlink" Target="https://www.immoscout24.ch/fr/maison/acheter/lieu-erlenbach-im-simmental" TargetMode="External"/><Relationship Id="rId4337" Type="http://schemas.openxmlformats.org/officeDocument/2006/relationships/hyperlink" Target="https://www.immoscout24.ch/fr/appartement/louer/lieu-pieterlen" TargetMode="External"/><Relationship Id="rId3009" Type="http://schemas.openxmlformats.org/officeDocument/2006/relationships/hyperlink" Target="https://www.immoscout24.ch/fr/maison/acheter/region-lac-de-constance" TargetMode="External"/><Relationship Id="rId5668" Type="http://schemas.openxmlformats.org/officeDocument/2006/relationships/hyperlink" Target="https://www.immoscout24.ch/fr/maison/louer/lieu-le-locle" TargetMode="External"/><Relationship Id="rId3008" Type="http://schemas.openxmlformats.org/officeDocument/2006/relationships/hyperlink" Target="https://www.immoscout24.ch/fr/appartement/louer/lieu-neuenhof" TargetMode="External"/><Relationship Id="rId4339" Type="http://schemas.openxmlformats.org/officeDocument/2006/relationships/hyperlink" Target="https://www.immoscout24.ch/fr/maison/louer/lieu-lussy-sur-morges" TargetMode="External"/><Relationship Id="rId5669" Type="http://schemas.openxmlformats.org/officeDocument/2006/relationships/hyperlink" Target="https://www.immoscout24.ch/fr/appartement/louer/lieu-giornico" TargetMode="External"/><Relationship Id="rId480" Type="http://schemas.openxmlformats.org/officeDocument/2006/relationships/hyperlink" Target="https://www.immoscout24.ch/fr/maison/louer/lieu-crans-pres-celigny" TargetMode="External"/><Relationship Id="rId479" Type="http://schemas.openxmlformats.org/officeDocument/2006/relationships/hyperlink" Target="https://www.immoscout24.ch/fr/appartement/louer/lieu-vessy" TargetMode="External"/><Relationship Id="rId478" Type="http://schemas.openxmlformats.org/officeDocument/2006/relationships/hyperlink" Target="https://www.immoscout24.ch/fr/appartement/louer/lieu-apples" TargetMode="External"/><Relationship Id="rId473" Type="http://schemas.openxmlformats.org/officeDocument/2006/relationships/hyperlink" Target="https://www.immoscout24.ch/fr/appartement/louer/pays-italie" TargetMode="External"/><Relationship Id="rId4330" Type="http://schemas.openxmlformats.org/officeDocument/2006/relationships/hyperlink" Target="https://www.immoscout24.ch/fr/appartement/louer/lieu-pleujouse" TargetMode="External"/><Relationship Id="rId5662" Type="http://schemas.openxmlformats.org/officeDocument/2006/relationships/hyperlink" Target="https://www.immoscout24.ch/fr/maison/louer/quartier-mousquines-bellevue-lausanne" TargetMode="External"/><Relationship Id="rId472" Type="http://schemas.openxmlformats.org/officeDocument/2006/relationships/hyperlink" Target="https://www.immoscout24.ch/fr/appartement/louer/lieu-lamboing" TargetMode="External"/><Relationship Id="rId5663" Type="http://schemas.openxmlformats.org/officeDocument/2006/relationships/hyperlink" Target="https://www.immoscout24.ch/fr/appartement/louer/lieu-bellelay" TargetMode="External"/><Relationship Id="rId471" Type="http://schemas.openxmlformats.org/officeDocument/2006/relationships/hyperlink" Target="https://www.immoscout24.ch/fr/appartement/acheter/region-obwalden" TargetMode="External"/><Relationship Id="rId3001" Type="http://schemas.openxmlformats.org/officeDocument/2006/relationships/hyperlink" Target="https://www.immoscout24.ch/fr/maison/louer/lieu-cottens-fr" TargetMode="External"/><Relationship Id="rId4332" Type="http://schemas.openxmlformats.org/officeDocument/2006/relationships/hyperlink" Target="https://www.immoscout24.ch/fr/appartement/acheter/lieu-sempach-station" TargetMode="External"/><Relationship Id="rId5660" Type="http://schemas.openxmlformats.org/officeDocument/2006/relationships/hyperlink" Target="https://www.immoscout24.ch/fr/maison/louer/lieu-bassecourt" TargetMode="External"/><Relationship Id="rId470" Type="http://schemas.openxmlformats.org/officeDocument/2006/relationships/hyperlink" Target="https://www.immoscout24.ch/fr/maison/louer/lieu-bougy-villars" TargetMode="External"/><Relationship Id="rId3000" Type="http://schemas.openxmlformats.org/officeDocument/2006/relationships/hyperlink" Target="https://www.immoscout24.ch/fr/appartement/louer/lieu-st-moritz" TargetMode="External"/><Relationship Id="rId4331" Type="http://schemas.openxmlformats.org/officeDocument/2006/relationships/hyperlink" Target="https://www.immoscout24.ch/fr/appartement/louer/region-lac-de-constance" TargetMode="External"/><Relationship Id="rId5661" Type="http://schemas.openxmlformats.org/officeDocument/2006/relationships/hyperlink" Target="https://www.immoscout24.ch/fr/appartement/louer/lieu-krummenau" TargetMode="External"/><Relationship Id="rId477" Type="http://schemas.openxmlformats.org/officeDocument/2006/relationships/hyperlink" Target="https://www.immoscout24.ch/fr/appartement/louer/lieu-miecourt" TargetMode="External"/><Relationship Id="rId3003" Type="http://schemas.openxmlformats.org/officeDocument/2006/relationships/hyperlink" Target="https://www.immoscout24.ch/fr/maison/louer/lieu-vuarrens" TargetMode="External"/><Relationship Id="rId4334" Type="http://schemas.openxmlformats.org/officeDocument/2006/relationships/hyperlink" Target="https://www.immoscout24.ch/fr/maison/acheter/lieu-corcelles-sur-chavornay" TargetMode="External"/><Relationship Id="rId5666" Type="http://schemas.openxmlformats.org/officeDocument/2006/relationships/hyperlink" Target="https://www.immoscout24.ch/fr/appartement/acheter/lieu-schinznach-dorf" TargetMode="External"/><Relationship Id="rId476" Type="http://schemas.openxmlformats.org/officeDocument/2006/relationships/hyperlink" Target="https://www.immoscout24.ch/fr/appartement/acheter/quartier-rathaus-zurich" TargetMode="External"/><Relationship Id="rId3002" Type="http://schemas.openxmlformats.org/officeDocument/2006/relationships/hyperlink" Target="https://www.immoscout24.ch/fr/maison/acheter/lieu-la-forclaz-vs" TargetMode="External"/><Relationship Id="rId4333" Type="http://schemas.openxmlformats.org/officeDocument/2006/relationships/hyperlink" Target="https://www.immoscout24.ch/fr/appartement/louer/lieu-preverenges" TargetMode="External"/><Relationship Id="rId5667" Type="http://schemas.openxmlformats.org/officeDocument/2006/relationships/hyperlink" Target="https://www.immoscout24.ch/fr/maison/acheter/lieu-villars-le-comte" TargetMode="External"/><Relationship Id="rId475" Type="http://schemas.openxmlformats.org/officeDocument/2006/relationships/hyperlink" Target="https://www.immoscout24.ch/fr/appartement/louer/lieu-huemoz" TargetMode="External"/><Relationship Id="rId3005" Type="http://schemas.openxmlformats.org/officeDocument/2006/relationships/hyperlink" Target="https://www.immoscout24.ch/fr/maison/acheter/region-nidwald" TargetMode="External"/><Relationship Id="rId4336" Type="http://schemas.openxmlformats.org/officeDocument/2006/relationships/hyperlink" Target="https://www.immoscout24.ch/fr/appartement/louer/lieu-chez-le-bart" TargetMode="External"/><Relationship Id="rId5664" Type="http://schemas.openxmlformats.org/officeDocument/2006/relationships/hyperlink" Target="https://www.immoscout24.ch/fr/appartement/louer/lieu-champex-lac" TargetMode="External"/><Relationship Id="rId474" Type="http://schemas.openxmlformats.org/officeDocument/2006/relationships/hyperlink" Target="https://www.immoscout24.ch/fr/maison/acheter/lieu-rigi-kaltbad" TargetMode="External"/><Relationship Id="rId3004" Type="http://schemas.openxmlformats.org/officeDocument/2006/relationships/hyperlink" Target="https://www.immoscout24.ch/fr/appartement/louer/lieu-krattigen" TargetMode="External"/><Relationship Id="rId4335" Type="http://schemas.openxmlformats.org/officeDocument/2006/relationships/hyperlink" Target="https://www.immoscout24.ch/fr/maison/acheter/lieu-ravoire" TargetMode="External"/><Relationship Id="rId5665" Type="http://schemas.openxmlformats.org/officeDocument/2006/relationships/hyperlink" Target="https://www.immoscout24.ch/fr/appartement/louer/lieu-chexbres" TargetMode="External"/><Relationship Id="rId5615" Type="http://schemas.openxmlformats.org/officeDocument/2006/relationships/hyperlink" Target="https://www.immoscout24.ch/fr/appartement/acheter/quartier-vieille-ville-biel-bienne" TargetMode="External"/><Relationship Id="rId5616" Type="http://schemas.openxmlformats.org/officeDocument/2006/relationships/hyperlink" Target="https://www.immoscout24.ch/fr/maison/louer/canton-zurich" TargetMode="External"/><Relationship Id="rId5613" Type="http://schemas.openxmlformats.org/officeDocument/2006/relationships/hyperlink" Target="https://www.immoscout24.ch/fr/appartement/louer/lieu-ederswiler" TargetMode="External"/><Relationship Id="rId5614" Type="http://schemas.openxmlformats.org/officeDocument/2006/relationships/hyperlink" Target="https://www.immoscout24.ch/fr/appartement/acheter/canton-glaris" TargetMode="External"/><Relationship Id="rId5619" Type="http://schemas.openxmlformats.org/officeDocument/2006/relationships/hyperlink" Target="https://www.immoscout24.ch/fr/appartement/louer/lieu-trimbach" TargetMode="External"/><Relationship Id="rId5617" Type="http://schemas.openxmlformats.org/officeDocument/2006/relationships/hyperlink" Target="https://www.immoscout24.ch/fr/maison/acheter/lieu-brione-sopra-minusio" TargetMode="External"/><Relationship Id="rId5618" Type="http://schemas.openxmlformats.org/officeDocument/2006/relationships/hyperlink" Target="https://www.immoscout24.ch/fr/appartement/louer/lieu-kloten" TargetMode="External"/><Relationship Id="rId426" Type="http://schemas.openxmlformats.org/officeDocument/2006/relationships/hyperlink" Target="https://www.immoscout24.ch/fr/appartement/louer/lieu-savosa" TargetMode="External"/><Relationship Id="rId425" Type="http://schemas.openxmlformats.org/officeDocument/2006/relationships/hyperlink" Target="https://www.immoscout24.ch/fr/appartement/louer/lieu-bex" TargetMode="External"/><Relationship Id="rId424" Type="http://schemas.openxmlformats.org/officeDocument/2006/relationships/hyperlink" Target="https://www.immoscout24.ch/fr/maison/louer/lieu-merligen" TargetMode="External"/><Relationship Id="rId423" Type="http://schemas.openxmlformats.org/officeDocument/2006/relationships/hyperlink" Target="https://www.immoscout24.ch/fr/maison/acheter/lieu-vucherens" TargetMode="External"/><Relationship Id="rId429" Type="http://schemas.openxmlformats.org/officeDocument/2006/relationships/hyperlink" Target="https://www.immoscout24.ch/fr/maison/acheter/lieu-gudo" TargetMode="External"/><Relationship Id="rId428" Type="http://schemas.openxmlformats.org/officeDocument/2006/relationships/hyperlink" Target="https://www.immoscout24.ch/fr/appartement/louer/lieu-villarzel" TargetMode="External"/><Relationship Id="rId427" Type="http://schemas.openxmlformats.org/officeDocument/2006/relationships/hyperlink" Target="https://www.immoscout24.ch/fr/maison/acheter/lieu-mont-sur-rolle" TargetMode="External"/><Relationship Id="rId422" Type="http://schemas.openxmlformats.org/officeDocument/2006/relationships/hyperlink" Target="https://www.immoscout24.ch/fr/appartement/louer/lieu-iseltwald" TargetMode="External"/><Relationship Id="rId5611" Type="http://schemas.openxmlformats.org/officeDocument/2006/relationships/hyperlink" Target="https://www.immoscout24.ch/fr/appartement/louer/lieu-cadenazzo" TargetMode="External"/><Relationship Id="rId421" Type="http://schemas.openxmlformats.org/officeDocument/2006/relationships/hyperlink" Target="https://www.immoscout24.ch/fr/maison/acheter/lieu-siselen-be" TargetMode="External"/><Relationship Id="rId5612" Type="http://schemas.openxmlformats.org/officeDocument/2006/relationships/hyperlink" Target="https://www.immoscout24.ch/fr/maison/louer/region-frauenfeld-muenchwilen" TargetMode="External"/><Relationship Id="rId420" Type="http://schemas.openxmlformats.org/officeDocument/2006/relationships/hyperlink" Target="https://www.immoscout24.ch/fr/maison/acheter/lieu-steffisburg" TargetMode="External"/><Relationship Id="rId5610" Type="http://schemas.openxmlformats.org/officeDocument/2006/relationships/hyperlink" Target="https://www.immoscout24.ch/fr/maison/louer/lieu-montagny-la-ville" TargetMode="External"/><Relationship Id="rId5604" Type="http://schemas.openxmlformats.org/officeDocument/2006/relationships/hyperlink" Target="https://www.immoscout24.ch/fr/maison/louer/lieu-orbe" TargetMode="External"/><Relationship Id="rId5605" Type="http://schemas.openxmlformats.org/officeDocument/2006/relationships/hyperlink" Target="https://www.immoscout24.ch/fr/appartement/louer/lieu-landquart" TargetMode="External"/><Relationship Id="rId5602" Type="http://schemas.openxmlformats.org/officeDocument/2006/relationships/hyperlink" Target="https://www.immoscout24.ch/fr/appartement/acheter/lieu-genthod" TargetMode="External"/><Relationship Id="rId5603" Type="http://schemas.openxmlformats.org/officeDocument/2006/relationships/hyperlink" Target="https://www.immoscout24.ch/fr/maison/louer/lieu-duebendorf" TargetMode="External"/><Relationship Id="rId5608" Type="http://schemas.openxmlformats.org/officeDocument/2006/relationships/hyperlink" Target="https://www.immoscout24.ch/fr/maison/acheter/lieu-montignez" TargetMode="External"/><Relationship Id="rId5609" Type="http://schemas.openxmlformats.org/officeDocument/2006/relationships/hyperlink" Target="https://www.immoscout24.ch/fr/maison/acheter/lieu-albinen" TargetMode="External"/><Relationship Id="rId5606" Type="http://schemas.openxmlformats.org/officeDocument/2006/relationships/hyperlink" Target="https://www.immoscout24.ch/fr/appartement/louer/lieu-schwerzenbach" TargetMode="External"/><Relationship Id="rId5607" Type="http://schemas.openxmlformats.org/officeDocument/2006/relationships/hyperlink" Target="https://www.immoscout24.ch/fr/appartement/louer/lieu-melchsee-frutt" TargetMode="External"/><Relationship Id="rId415" Type="http://schemas.openxmlformats.org/officeDocument/2006/relationships/hyperlink" Target="https://www.immoscout24.ch/fr/appartement/acheter/lieu-bern" TargetMode="External"/><Relationship Id="rId414" Type="http://schemas.openxmlformats.org/officeDocument/2006/relationships/hyperlink" Target="https://www.immoscout24.ch/fr/maison/acheter/lieu-rekingen-ag" TargetMode="External"/><Relationship Id="rId413" Type="http://schemas.openxmlformats.org/officeDocument/2006/relationships/hyperlink" Target="https://www.immoscout24.ch/fr/appartement/acheter/lieu-st-aubin-sauges" TargetMode="External"/><Relationship Id="rId412" Type="http://schemas.openxmlformats.org/officeDocument/2006/relationships/hyperlink" Target="https://www.immoscout24.ch/fr/maison/louer/lieu-aarberg" TargetMode="External"/><Relationship Id="rId419" Type="http://schemas.openxmlformats.org/officeDocument/2006/relationships/hyperlink" Target="https://www.immoscout24.ch/fr/appartement/louer/lieu-evilard" TargetMode="External"/><Relationship Id="rId418" Type="http://schemas.openxmlformats.org/officeDocument/2006/relationships/hyperlink" Target="https://www.immoscout24.ch/fr/appartement/acheter/lieu-chatel-sur-montsalvens" TargetMode="External"/><Relationship Id="rId417" Type="http://schemas.openxmlformats.org/officeDocument/2006/relationships/hyperlink" Target="https://www.immoscout24.ch/fr/maison/louer/lieu-lugnorre" TargetMode="External"/><Relationship Id="rId416" Type="http://schemas.openxmlformats.org/officeDocument/2006/relationships/hyperlink" Target="https://www.immoscout24.ch/fr/maison/acheter/lieu-salvan" TargetMode="External"/><Relationship Id="rId411" Type="http://schemas.openxmlformats.org/officeDocument/2006/relationships/hyperlink" Target="https://www.immoscout24.ch/fr/appartement/acheter/lieu-boecourt" TargetMode="External"/><Relationship Id="rId5600" Type="http://schemas.openxmlformats.org/officeDocument/2006/relationships/hyperlink" Target="https://www.immoscout24.ch/fr/maison/louer/lieu-rorschach" TargetMode="External"/><Relationship Id="rId410" Type="http://schemas.openxmlformats.org/officeDocument/2006/relationships/hyperlink" Target="https://www.immoscout24.ch/fr/appartement/louer/lieu-wengi-b-bueren" TargetMode="External"/><Relationship Id="rId5601" Type="http://schemas.openxmlformats.org/officeDocument/2006/relationships/hyperlink" Target="https://www.immoscout24.ch/fr/maison/acheter/lieu-gunten" TargetMode="External"/><Relationship Id="rId4305" Type="http://schemas.openxmlformats.org/officeDocument/2006/relationships/hyperlink" Target="https://www.immoscout24.ch/fr/maison/louer/lieu-sion" TargetMode="External"/><Relationship Id="rId5637" Type="http://schemas.openxmlformats.org/officeDocument/2006/relationships/hyperlink" Target="https://www.immoscout24.ch/fr/appartement/louer/quartier-westquartier-thun" TargetMode="External"/><Relationship Id="rId4304" Type="http://schemas.openxmlformats.org/officeDocument/2006/relationships/hyperlink" Target="https://www.immoscout24.ch/fr/maison/louer/region-porrentruy" TargetMode="External"/><Relationship Id="rId5638" Type="http://schemas.openxmlformats.org/officeDocument/2006/relationships/hyperlink" Target="https://www.immoscout24.ch/fr/appartement/acheter/lieu-la-chaux-cossonay" TargetMode="External"/><Relationship Id="rId4307" Type="http://schemas.openxmlformats.org/officeDocument/2006/relationships/hyperlink" Target="https://www.immoscout24.ch/fr/appartement/louer/lieu-baltschieder" TargetMode="External"/><Relationship Id="rId5635" Type="http://schemas.openxmlformats.org/officeDocument/2006/relationships/hyperlink" Target="https://www.immoscout24.ch/fr/appartement/louer/lieu-adlikon-b-regensdorf" TargetMode="External"/><Relationship Id="rId4306" Type="http://schemas.openxmlformats.org/officeDocument/2006/relationships/hyperlink" Target="https://www.immoscout24.ch/fr/appartement/louer/lieu-dino" TargetMode="External"/><Relationship Id="rId5636" Type="http://schemas.openxmlformats.org/officeDocument/2006/relationships/hyperlink" Target="https://www.immoscout24.ch/fr/appartement/louer/lieu-pompaples" TargetMode="External"/><Relationship Id="rId4309" Type="http://schemas.openxmlformats.org/officeDocument/2006/relationships/hyperlink" Target="https://www.immoscout24.ch/fr/maison/acheter/lieu-grangettes-pres-romont" TargetMode="External"/><Relationship Id="rId4308" Type="http://schemas.openxmlformats.org/officeDocument/2006/relationships/hyperlink" Target="https://www.immoscout24.ch/fr/appartement/acheter/lieu-zug" TargetMode="External"/><Relationship Id="rId5639" Type="http://schemas.openxmlformats.org/officeDocument/2006/relationships/hyperlink" Target="https://www.immoscout24.ch/fr/appartement/louer/lieu-freienbach" TargetMode="External"/><Relationship Id="rId448" Type="http://schemas.openxmlformats.org/officeDocument/2006/relationships/hyperlink" Target="https://www.immoscout24.ch/fr/appartement/louer/lieu-koeniz" TargetMode="External"/><Relationship Id="rId447" Type="http://schemas.openxmlformats.org/officeDocument/2006/relationships/hyperlink" Target="https://www.immoscout24.ch/fr/maison/acheter/lieu-magnedens" TargetMode="External"/><Relationship Id="rId446" Type="http://schemas.openxmlformats.org/officeDocument/2006/relationships/hyperlink" Target="https://www.immoscout24.ch/fr/appartement/acheter/lieu-avry-sur-matran" TargetMode="External"/><Relationship Id="rId445" Type="http://schemas.openxmlformats.org/officeDocument/2006/relationships/hyperlink" Target="https://www.immoscout24.ch/fr/maison/acheter/lieu-lavey-village" TargetMode="External"/><Relationship Id="rId449" Type="http://schemas.openxmlformats.org/officeDocument/2006/relationships/hyperlink" Target="https://www.immoscout24.ch/fr/appartement/acheter/lieu-obergerlafingen" TargetMode="External"/><Relationship Id="rId440" Type="http://schemas.openxmlformats.org/officeDocument/2006/relationships/hyperlink" Target="https://www.immoscout24.ch/fr/appartement/louer/lieu-windisch" TargetMode="External"/><Relationship Id="rId5630" Type="http://schemas.openxmlformats.org/officeDocument/2006/relationships/hyperlink" Target="https://www.immoscout24.ch/fr/maison/acheter/lieu-winden" TargetMode="External"/><Relationship Id="rId444" Type="http://schemas.openxmlformats.org/officeDocument/2006/relationships/hyperlink" Target="https://www.immoscout24.ch/fr/maison/louer/lieu-grandson" TargetMode="External"/><Relationship Id="rId4301" Type="http://schemas.openxmlformats.org/officeDocument/2006/relationships/hyperlink" Target="https://www.immoscout24.ch/fr/appartement/louer/lieu-caslano" TargetMode="External"/><Relationship Id="rId5633" Type="http://schemas.openxmlformats.org/officeDocument/2006/relationships/hyperlink" Target="https://www.immoscout24.ch/fr/maison/acheter/lieu-sessa" TargetMode="External"/><Relationship Id="rId443" Type="http://schemas.openxmlformats.org/officeDocument/2006/relationships/hyperlink" Target="https://www.immoscout24.ch/fr/maison/acheter/lieu-pully" TargetMode="External"/><Relationship Id="rId4300" Type="http://schemas.openxmlformats.org/officeDocument/2006/relationships/hyperlink" Target="https://www.immoscout24.ch/fr/appartement/louer/lieu-meilen" TargetMode="External"/><Relationship Id="rId5634" Type="http://schemas.openxmlformats.org/officeDocument/2006/relationships/hyperlink" Target="https://www.immoscout24.ch/fr/maison/louer/lieu-troistorrents" TargetMode="External"/><Relationship Id="rId442" Type="http://schemas.openxmlformats.org/officeDocument/2006/relationships/hyperlink" Target="https://www.immoscout24.ch/fr/appartement/acheter/lieu-vico-morcote" TargetMode="External"/><Relationship Id="rId4303" Type="http://schemas.openxmlformats.org/officeDocument/2006/relationships/hyperlink" Target="https://www.immoscout24.ch/fr/maison/louer/lieu-sevaz" TargetMode="External"/><Relationship Id="rId5631" Type="http://schemas.openxmlformats.org/officeDocument/2006/relationships/hyperlink" Target="https://www.immoscout24.ch/fr/appartement/louer/lieu-villars-mendraz" TargetMode="External"/><Relationship Id="rId441" Type="http://schemas.openxmlformats.org/officeDocument/2006/relationships/hyperlink" Target="https://www.immoscout24.ch/fr/appartement/acheter/lieu-minusio" TargetMode="External"/><Relationship Id="rId4302" Type="http://schemas.openxmlformats.org/officeDocument/2006/relationships/hyperlink" Target="https://www.immoscout24.ch/fr/maison/acheter/lieu-champoz" TargetMode="External"/><Relationship Id="rId5632" Type="http://schemas.openxmlformats.org/officeDocument/2006/relationships/hyperlink" Target="https://www.immoscout24.ch/fr/maison/acheter/lieu-guttannen" TargetMode="External"/><Relationship Id="rId5626" Type="http://schemas.openxmlformats.org/officeDocument/2006/relationships/hyperlink" Target="https://www.immoscout24.ch/fr/maison/acheter/lieu-cham" TargetMode="External"/><Relationship Id="rId5627" Type="http://schemas.openxmlformats.org/officeDocument/2006/relationships/hyperlink" Target="https://www.immoscout24.ch/fr/appartement/louer/lieu-montezillon" TargetMode="External"/><Relationship Id="rId5624" Type="http://schemas.openxmlformats.org/officeDocument/2006/relationships/hyperlink" Target="https://www.immoscout24.ch/fr/maison/acheter/lieu-kirchberg-be" TargetMode="External"/><Relationship Id="rId5625" Type="http://schemas.openxmlformats.org/officeDocument/2006/relationships/hyperlink" Target="https://www.immoscout24.ch/fr/appartement/acheter/lieu-naters" TargetMode="External"/><Relationship Id="rId5628" Type="http://schemas.openxmlformats.org/officeDocument/2006/relationships/hyperlink" Target="https://www.immoscout24.ch/fr/maison/louer/lieu-praz-vully" TargetMode="External"/><Relationship Id="rId5629" Type="http://schemas.openxmlformats.org/officeDocument/2006/relationships/hyperlink" Target="https://www.immoscout24.ch/fr/appartement/louer/lieu-reichenbach-im-kandertal" TargetMode="External"/><Relationship Id="rId437" Type="http://schemas.openxmlformats.org/officeDocument/2006/relationships/hyperlink" Target="https://www.immoscout24.ch/fr/appartement/louer/lieu-zofingen" TargetMode="External"/><Relationship Id="rId436" Type="http://schemas.openxmlformats.org/officeDocument/2006/relationships/hyperlink" Target="https://www.immoscout24.ch/fr/appartement/louer/lieu-aeschi-b-spiez" TargetMode="External"/><Relationship Id="rId435" Type="http://schemas.openxmlformats.org/officeDocument/2006/relationships/hyperlink" Target="https://www.immoscout24.ch/fr/appartement/louer/lieu-jona" TargetMode="External"/><Relationship Id="rId434" Type="http://schemas.openxmlformats.org/officeDocument/2006/relationships/hyperlink" Target="https://www.immoscout24.ch/fr/maison/acheter/lieu-dizy" TargetMode="External"/><Relationship Id="rId439" Type="http://schemas.openxmlformats.org/officeDocument/2006/relationships/hyperlink" Target="https://www.immoscout24.ch/fr/appartement/acheter/region-jura-vaudois" TargetMode="External"/><Relationship Id="rId438" Type="http://schemas.openxmlformats.org/officeDocument/2006/relationships/hyperlink" Target="https://www.immoscout24.ch/fr/maison/acheter/lieu-montagne-de-sonvilier" TargetMode="External"/><Relationship Id="rId433" Type="http://schemas.openxmlformats.org/officeDocument/2006/relationships/hyperlink" Target="https://www.immoscout24.ch/fr/maison/acheter/region-rive-gauche" TargetMode="External"/><Relationship Id="rId5622" Type="http://schemas.openxmlformats.org/officeDocument/2006/relationships/hyperlink" Target="https://www.immoscout24.ch/fr/appartement/louer/lieu-vernate" TargetMode="External"/><Relationship Id="rId432" Type="http://schemas.openxmlformats.org/officeDocument/2006/relationships/hyperlink" Target="https://www.immoscout24.ch/fr/appartement/louer/lieu-riehen" TargetMode="External"/><Relationship Id="rId5623" Type="http://schemas.openxmlformats.org/officeDocument/2006/relationships/hyperlink" Target="https://www.immoscout24.ch/fr/maison/acheter/lieu-vens-sembrancher" TargetMode="External"/><Relationship Id="rId431" Type="http://schemas.openxmlformats.org/officeDocument/2006/relationships/hyperlink" Target="https://www.immoscout24.ch/fr/appartement/louer/lieu-rennaz" TargetMode="External"/><Relationship Id="rId5620" Type="http://schemas.openxmlformats.org/officeDocument/2006/relationships/hyperlink" Target="https://www.immoscout24.ch/fr/appartement/louer/lieu-lussy-fr" TargetMode="External"/><Relationship Id="rId430" Type="http://schemas.openxmlformats.org/officeDocument/2006/relationships/hyperlink" Target="https://www.immoscout24.ch/fr/appartement/louer/lieu-la-cibourg" TargetMode="External"/><Relationship Id="rId5621" Type="http://schemas.openxmlformats.org/officeDocument/2006/relationships/hyperlink" Target="https://www.immoscout24.ch/fr/maison/louer/region-oberland-ouest" TargetMode="External"/><Relationship Id="rId6108" Type="http://schemas.openxmlformats.org/officeDocument/2006/relationships/hyperlink" Target="https://www.immoscout24.ch/fr/appartement/louer/lieu-wallisellen" TargetMode="External"/><Relationship Id="rId6109" Type="http://schemas.openxmlformats.org/officeDocument/2006/relationships/hyperlink" Target="https://www.immoscout24.ch/fr/appartement/acheter/lieu-meyriez" TargetMode="External"/><Relationship Id="rId6102" Type="http://schemas.openxmlformats.org/officeDocument/2006/relationships/hyperlink" Target="https://www.immoscout24.ch/fr/appartement/louer/pays-suede" TargetMode="External"/><Relationship Id="rId6103" Type="http://schemas.openxmlformats.org/officeDocument/2006/relationships/hyperlink" Target="https://www.immoscout24.ch/fr/maison/louer/lieu-tolochenaz" TargetMode="External"/><Relationship Id="rId6100" Type="http://schemas.openxmlformats.org/officeDocument/2006/relationships/hyperlink" Target="https://www.immoscout24.ch/fr/maison/louer/lieu-biere" TargetMode="External"/><Relationship Id="rId6101" Type="http://schemas.openxmlformats.org/officeDocument/2006/relationships/hyperlink" Target="https://www.immoscout24.ch/fr/maison/louer/lieu-collombey" TargetMode="External"/><Relationship Id="rId6106" Type="http://schemas.openxmlformats.org/officeDocument/2006/relationships/hyperlink" Target="https://www.immoscout24.ch/fr/appartement/acheter/lieu-burgdorf" TargetMode="External"/><Relationship Id="rId6107" Type="http://schemas.openxmlformats.org/officeDocument/2006/relationships/hyperlink" Target="https://www.immoscout24.ch/fr/appartement/louer/pays-argentine" TargetMode="External"/><Relationship Id="rId6104" Type="http://schemas.openxmlformats.org/officeDocument/2006/relationships/hyperlink" Target="https://www.immoscout24.ch/fr/appartement/louer/lieu-montricher" TargetMode="External"/><Relationship Id="rId6105" Type="http://schemas.openxmlformats.org/officeDocument/2006/relationships/hyperlink" Target="https://www.immoscout24.ch/fr/appartement/acheter/lieu-satigny" TargetMode="External"/><Relationship Id="rId6120" Type="http://schemas.openxmlformats.org/officeDocument/2006/relationships/hyperlink" Target="https://www.immoscout24.ch/fr/appartement/louer/quartier-nouvelle-ville-sud-biel-bienne" TargetMode="External"/><Relationship Id="rId6121" Type="http://schemas.openxmlformats.org/officeDocument/2006/relationships/hyperlink" Target="https://www.immoscout24.ch/fr/maison/acheter/lieu-la-vraconnaz" TargetMode="External"/><Relationship Id="rId6124" Type="http://schemas.openxmlformats.org/officeDocument/2006/relationships/hyperlink" Target="https://www.immoscout24.ch/fr/appartement/louer/region-campagne-gros-de-vaud" TargetMode="External"/><Relationship Id="rId6125" Type="http://schemas.openxmlformats.org/officeDocument/2006/relationships/hyperlink" Target="https://www.immoscout24.ch/fr/appartement/louer/lieu-fahy" TargetMode="External"/><Relationship Id="rId6122" Type="http://schemas.openxmlformats.org/officeDocument/2006/relationships/hyperlink" Target="https://www.immoscout24.ch/fr/appartement/acheter/lieu-wattenwil" TargetMode="External"/><Relationship Id="rId6123" Type="http://schemas.openxmlformats.org/officeDocument/2006/relationships/hyperlink" Target="https://www.immoscout24.ch/fr/maison/acheter/lieu-pont-de-la-morge-sion" TargetMode="External"/><Relationship Id="rId6128" Type="http://schemas.openxmlformats.org/officeDocument/2006/relationships/hyperlink" Target="https://www.immoscout24.ch/fr/maison/acheter/lieu-cresuz" TargetMode="External"/><Relationship Id="rId6129" Type="http://schemas.openxmlformats.org/officeDocument/2006/relationships/hyperlink" Target="https://www.immoscout24.ch/fr/maison/louer/lieu-lugano" TargetMode="External"/><Relationship Id="rId6126" Type="http://schemas.openxmlformats.org/officeDocument/2006/relationships/hyperlink" Target="https://www.immoscout24.ch/fr/maison/louer/lieu-uvrier" TargetMode="External"/><Relationship Id="rId6127" Type="http://schemas.openxmlformats.org/officeDocument/2006/relationships/hyperlink" Target="https://www.immoscout24.ch/fr/appartement/louer/lieu-wynigen" TargetMode="External"/><Relationship Id="rId6119" Type="http://schemas.openxmlformats.org/officeDocument/2006/relationships/hyperlink" Target="https://www.immoscout24.ch/fr/maison/acheter/lieu-luesslingen" TargetMode="External"/><Relationship Id="rId6110" Type="http://schemas.openxmlformats.org/officeDocument/2006/relationships/hyperlink" Target="https://www.immoscout24.ch/fr/appartement/acheter/lieu-clarmont" TargetMode="External"/><Relationship Id="rId6113" Type="http://schemas.openxmlformats.org/officeDocument/2006/relationships/hyperlink" Target="https://www.immoscout24.ch/fr/maison/acheter/lieu-gimel" TargetMode="External"/><Relationship Id="rId6114" Type="http://schemas.openxmlformats.org/officeDocument/2006/relationships/hyperlink" Target="https://www.immoscout24.ch/fr/appartement/acheter/region-fribourg-glane" TargetMode="External"/><Relationship Id="rId6111" Type="http://schemas.openxmlformats.org/officeDocument/2006/relationships/hyperlink" Target="https://www.immoscout24.ch/fr/appartement/louer/quartier-duerrenast-thun" TargetMode="External"/><Relationship Id="rId6112" Type="http://schemas.openxmlformats.org/officeDocument/2006/relationships/hyperlink" Target="https://www.immoscout24.ch/fr/maison/acheter/lieu-prez-vers-noreaz" TargetMode="External"/><Relationship Id="rId6117" Type="http://schemas.openxmlformats.org/officeDocument/2006/relationships/hyperlink" Target="https://www.immoscout24.ch/fr/appartement/louer/lieu-juf" TargetMode="External"/><Relationship Id="rId6118" Type="http://schemas.openxmlformats.org/officeDocument/2006/relationships/hyperlink" Target="https://www.immoscout24.ch/fr/appartement/louer/lieu-graenichen" TargetMode="External"/><Relationship Id="rId6115" Type="http://schemas.openxmlformats.org/officeDocument/2006/relationships/hyperlink" Target="https://www.immoscout24.ch/fr/appartement/louer/lieu-worb" TargetMode="External"/><Relationship Id="rId6116" Type="http://schemas.openxmlformats.org/officeDocument/2006/relationships/hyperlink" Target="https://www.immoscout24.ch/fr/maison/acheter/quartier-pouillerel-postiers-chevreuils-la-chaux-de-fonds" TargetMode="External"/><Relationship Id="rId1" Type="http://schemas.openxmlformats.org/officeDocument/2006/relationships/hyperlink" Target="https://www.immoscout24.ch/fr/appartement/acheter/lieu-dombresson" TargetMode="External"/><Relationship Id="rId2" Type="http://schemas.openxmlformats.org/officeDocument/2006/relationships/hyperlink" Target="https://www.immoscout24.ch/fr/appartement/acheter/lieu-tannay" TargetMode="External"/><Relationship Id="rId3" Type="http://schemas.openxmlformats.org/officeDocument/2006/relationships/hyperlink" Target="https://www.immoscout24.ch/fr/appartement/acheter/region-olten-thal-gaeu-gosgen" TargetMode="External"/><Relationship Id="rId4" Type="http://schemas.openxmlformats.org/officeDocument/2006/relationships/hyperlink" Target="https://www.immoscout24.ch/fr/appartement/acheter/lieu-losone" TargetMode="External"/><Relationship Id="rId9" Type="http://schemas.openxmlformats.org/officeDocument/2006/relationships/hyperlink" Target="https://www.immoscout24.ch/fr/maison/acheter/lieu-curio" TargetMode="External"/><Relationship Id="rId5" Type="http://schemas.openxmlformats.org/officeDocument/2006/relationships/hyperlink" Target="https://www.immoscout24.ch/fr/appartement/louer/lieu-hermenches" TargetMode="External"/><Relationship Id="rId6" Type="http://schemas.openxmlformats.org/officeDocument/2006/relationships/hyperlink" Target="https://www.immoscout24.ch/fr/appartement/louer/lieu-risch" TargetMode="External"/><Relationship Id="rId7" Type="http://schemas.openxmlformats.org/officeDocument/2006/relationships/hyperlink" Target="https://www.immoscout24.ch/fr/appartement/louer/lieu-alchenflueh" TargetMode="External"/><Relationship Id="rId8" Type="http://schemas.openxmlformats.org/officeDocument/2006/relationships/hyperlink" Target="https://www.immoscout24.ch/fr/appartement/louer/lieu-pailly" TargetMode="External"/><Relationship Id="rId3911" Type="http://schemas.openxmlformats.org/officeDocument/2006/relationships/hyperlink" Target="https://www.immoscout24.ch/fr/maison/louer/lieu-ardon" TargetMode="External"/><Relationship Id="rId3910" Type="http://schemas.openxmlformats.org/officeDocument/2006/relationships/hyperlink" Target="https://www.immoscout24.ch/fr/maison/acheter/lieu-hausen-am-albis" TargetMode="External"/><Relationship Id="rId3913" Type="http://schemas.openxmlformats.org/officeDocument/2006/relationships/hyperlink" Target="https://www.immoscout24.ch/fr/maison/louer/lieu-seigneux" TargetMode="External"/><Relationship Id="rId3912" Type="http://schemas.openxmlformats.org/officeDocument/2006/relationships/hyperlink" Target="https://www.immoscout24.ch/fr/maison/acheter/lieu-le-cerneux-pequignot" TargetMode="External"/><Relationship Id="rId3915" Type="http://schemas.openxmlformats.org/officeDocument/2006/relationships/hyperlink" Target="https://www.immoscout24.ch/fr/maison/acheter/lieu-ollon-vd" TargetMode="External"/><Relationship Id="rId3914" Type="http://schemas.openxmlformats.org/officeDocument/2006/relationships/hyperlink" Target="https://www.immoscout24.ch/fr/maison/louer/lieu-couvet" TargetMode="External"/><Relationship Id="rId3917" Type="http://schemas.openxmlformats.org/officeDocument/2006/relationships/hyperlink" Target="https://www.immoscout24.ch/fr/appartement/louer/lieu-saxon" TargetMode="External"/><Relationship Id="rId3916" Type="http://schemas.openxmlformats.org/officeDocument/2006/relationships/hyperlink" Target="https://www.immoscout24.ch/fr/appartement/louer/lieu-gletterens" TargetMode="External"/><Relationship Id="rId3919" Type="http://schemas.openxmlformats.org/officeDocument/2006/relationships/hyperlink" Target="https://www.immoscout24.ch/fr/appartement/louer/lieu-seseglio" TargetMode="External"/><Relationship Id="rId3918" Type="http://schemas.openxmlformats.org/officeDocument/2006/relationships/hyperlink" Target="https://www.immoscout24.ch/fr/maison/acheter/lieu-euseigne" TargetMode="External"/><Relationship Id="rId3900" Type="http://schemas.openxmlformats.org/officeDocument/2006/relationships/hyperlink" Target="https://www.immoscout24.ch/fr/appartement/louer/quartier-cluse-philosophes-geneve" TargetMode="External"/><Relationship Id="rId3902" Type="http://schemas.openxmlformats.org/officeDocument/2006/relationships/hyperlink" Target="https://www.immoscout24.ch/fr/appartement/acheter/lieu-st-saphorin-sur-morges" TargetMode="External"/><Relationship Id="rId3901" Type="http://schemas.openxmlformats.org/officeDocument/2006/relationships/hyperlink" Target="https://www.immoscout24.ch/fr/maison/acheter/lieu-constantine" TargetMode="External"/><Relationship Id="rId3904" Type="http://schemas.openxmlformats.org/officeDocument/2006/relationships/hyperlink" Target="https://www.immoscout24.ch/fr/appartement/acheter/lieu-morschach" TargetMode="External"/><Relationship Id="rId3903" Type="http://schemas.openxmlformats.org/officeDocument/2006/relationships/hyperlink" Target="https://www.immoscout24.ch/fr/maison/louer/lieu-rasa" TargetMode="External"/><Relationship Id="rId3906" Type="http://schemas.openxmlformats.org/officeDocument/2006/relationships/hyperlink" Target="https://www.immoscout24.ch/fr/maison/acheter/lieu-solothurn" TargetMode="External"/><Relationship Id="rId3905" Type="http://schemas.openxmlformats.org/officeDocument/2006/relationships/hyperlink" Target="https://www.immoscout24.ch/fr/maison/acheter/lieu-chavannes-sous-orsonnens" TargetMode="External"/><Relationship Id="rId3908" Type="http://schemas.openxmlformats.org/officeDocument/2006/relationships/hyperlink" Target="https://www.immoscout24.ch/fr/appartement/louer/lieu-wanzwil" TargetMode="External"/><Relationship Id="rId3907" Type="http://schemas.openxmlformats.org/officeDocument/2006/relationships/hyperlink" Target="https://www.immoscout24.ch/fr/maison/acheter/lieu-spiez" TargetMode="External"/><Relationship Id="rId3909" Type="http://schemas.openxmlformats.org/officeDocument/2006/relationships/hyperlink" Target="https://www.immoscout24.ch/fr/maison/acheter/lieu-farvagny" TargetMode="External"/><Relationship Id="rId6170" Type="http://schemas.openxmlformats.org/officeDocument/2006/relationships/drawing" Target="../drawings/drawing1.xml"/><Relationship Id="rId3931" Type="http://schemas.openxmlformats.org/officeDocument/2006/relationships/hyperlink" Target="https://www.immoscout24.ch/fr/appartement/acheter/quartier-borde-bellevaux-lausanne" TargetMode="External"/><Relationship Id="rId2600" Type="http://schemas.openxmlformats.org/officeDocument/2006/relationships/hyperlink" Target="https://www.immoscout24.ch/fr/appartement/acheter/lieu-muensingen" TargetMode="External"/><Relationship Id="rId3930" Type="http://schemas.openxmlformats.org/officeDocument/2006/relationships/hyperlink" Target="https://www.immoscout24.ch/fr/maison/acheter/lieu-giez" TargetMode="External"/><Relationship Id="rId2601" Type="http://schemas.openxmlformats.org/officeDocument/2006/relationships/hyperlink" Target="https://www.immoscout24.ch/fr/maison/acheter/lieu-moerel" TargetMode="External"/><Relationship Id="rId3933" Type="http://schemas.openxmlformats.org/officeDocument/2006/relationships/hyperlink" Target="https://www.immoscout24.ch/fr/appartement/acheter/lieu-penthereaz" TargetMode="External"/><Relationship Id="rId2602" Type="http://schemas.openxmlformats.org/officeDocument/2006/relationships/hyperlink" Target="https://www.immoscout24.ch/fr/maison/acheter/lieu-les-avants" TargetMode="External"/><Relationship Id="rId3932" Type="http://schemas.openxmlformats.org/officeDocument/2006/relationships/hyperlink" Target="https://www.immoscout24.ch/fr/appartement/louer/lieu-vers-chez-perrin" TargetMode="External"/><Relationship Id="rId2603" Type="http://schemas.openxmlformats.org/officeDocument/2006/relationships/hyperlink" Target="https://www.immoscout24.ch/fr/appartement/acheter/region-yverdon-grandson" TargetMode="External"/><Relationship Id="rId3935" Type="http://schemas.openxmlformats.org/officeDocument/2006/relationships/hyperlink" Target="https://www.immoscout24.ch/fr/maison/acheter/lieu-mur-vully-fr" TargetMode="External"/><Relationship Id="rId2604" Type="http://schemas.openxmlformats.org/officeDocument/2006/relationships/hyperlink" Target="https://www.immoscout24.ch/fr/appartement/louer/lieu-les-giettes" TargetMode="External"/><Relationship Id="rId3934" Type="http://schemas.openxmlformats.org/officeDocument/2006/relationships/hyperlink" Target="https://www.immoscout24.ch/fr/appartement/louer/quartier-olives-crosettes-la-chaux-de-fonds" TargetMode="External"/><Relationship Id="rId2605" Type="http://schemas.openxmlformats.org/officeDocument/2006/relationships/hyperlink" Target="https://www.immoscout24.ch/fr/appartement/louer/quartier-rosenberg-winterthur" TargetMode="External"/><Relationship Id="rId3937" Type="http://schemas.openxmlformats.org/officeDocument/2006/relationships/hyperlink" Target="https://www.immoscout24.ch/fr/appartement/louer/lieu-luc-ayent" TargetMode="External"/><Relationship Id="rId2606" Type="http://schemas.openxmlformats.org/officeDocument/2006/relationships/hyperlink" Target="https://www.immoscout24.ch/fr/appartement/louer/lieu-moehlin" TargetMode="External"/><Relationship Id="rId3936" Type="http://schemas.openxmlformats.org/officeDocument/2006/relationships/hyperlink" Target="https://www.immoscout24.ch/fr/maison/louer/lieu-gilly" TargetMode="External"/><Relationship Id="rId808" Type="http://schemas.openxmlformats.org/officeDocument/2006/relationships/hyperlink" Target="https://www.immoscout24.ch/fr/appartement/acheter/lieu-versegeres" TargetMode="External"/><Relationship Id="rId2607" Type="http://schemas.openxmlformats.org/officeDocument/2006/relationships/hyperlink" Target="https://www.immoscout24.ch/fr/maison/acheter/lieu-morges" TargetMode="External"/><Relationship Id="rId3939" Type="http://schemas.openxmlformats.org/officeDocument/2006/relationships/hyperlink" Target="https://www.immoscout24.ch/fr/maison/acheter/lieu-mels" TargetMode="External"/><Relationship Id="rId807" Type="http://schemas.openxmlformats.org/officeDocument/2006/relationships/hyperlink" Target="https://www.immoscout24.ch/fr/appartement/louer/lieu-huenenberg" TargetMode="External"/><Relationship Id="rId2608" Type="http://schemas.openxmlformats.org/officeDocument/2006/relationships/hyperlink" Target="https://www.immoscout24.ch/fr/maison/louer/lieu-mathod" TargetMode="External"/><Relationship Id="rId3938" Type="http://schemas.openxmlformats.org/officeDocument/2006/relationships/hyperlink" Target="https://www.immoscout24.ch/fr/appartement/louer/quartier-am-ring-bale" TargetMode="External"/><Relationship Id="rId806" Type="http://schemas.openxmlformats.org/officeDocument/2006/relationships/hyperlink" Target="https://www.immoscout24.ch/fr/appartement/acheter/lieu-lechelles" TargetMode="External"/><Relationship Id="rId2609" Type="http://schemas.openxmlformats.org/officeDocument/2006/relationships/hyperlink" Target="https://www.immoscout24.ch/fr/appartement/louer/lieu-les-brenets" TargetMode="External"/><Relationship Id="rId805" Type="http://schemas.openxmlformats.org/officeDocument/2006/relationships/hyperlink" Target="https://www.immoscout24.ch/fr/maison/louer/lieu-middes" TargetMode="External"/><Relationship Id="rId809" Type="http://schemas.openxmlformats.org/officeDocument/2006/relationships/hyperlink" Target="https://www.immoscout24.ch/fr/maison/acheter/pays-grece" TargetMode="External"/><Relationship Id="rId800" Type="http://schemas.openxmlformats.org/officeDocument/2006/relationships/hyperlink" Target="https://www.immoscout24.ch/fr/appartement/louer/lieu-fully" TargetMode="External"/><Relationship Id="rId804" Type="http://schemas.openxmlformats.org/officeDocument/2006/relationships/hyperlink" Target="https://www.immoscout24.ch/fr/appartement/louer/quartier-davesco-soragno-lugano" TargetMode="External"/><Relationship Id="rId803" Type="http://schemas.openxmlformats.org/officeDocument/2006/relationships/hyperlink" Target="https://www.immoscout24.ch/fr/appartement/louer/lieu-boussens" TargetMode="External"/><Relationship Id="rId802" Type="http://schemas.openxmlformats.org/officeDocument/2006/relationships/hyperlink" Target="https://www.immoscout24.ch/fr/appartement/acheter/lieu-la-punt-chamues-ch" TargetMode="External"/><Relationship Id="rId801" Type="http://schemas.openxmlformats.org/officeDocument/2006/relationships/hyperlink" Target="https://www.immoscout24.ch/fr/appartement/louer/lieu-bellerive-vd" TargetMode="External"/><Relationship Id="rId3920" Type="http://schemas.openxmlformats.org/officeDocument/2006/relationships/hyperlink" Target="https://www.immoscout24.ch/fr/maison/acheter/lieu-langnau-im-emmental" TargetMode="External"/><Relationship Id="rId3922" Type="http://schemas.openxmlformats.org/officeDocument/2006/relationships/hyperlink" Target="https://www.immoscout24.ch/fr/maison/acheter/lieu-staufen" TargetMode="External"/><Relationship Id="rId3921" Type="http://schemas.openxmlformats.org/officeDocument/2006/relationships/hyperlink" Target="https://www.immoscout24.ch/fr/appartement/louer/lieu-st-antoni" TargetMode="External"/><Relationship Id="rId3924" Type="http://schemas.openxmlformats.org/officeDocument/2006/relationships/hyperlink" Target="https://www.immoscout24.ch/fr/maison/acheter/lieu-olten" TargetMode="External"/><Relationship Id="rId3923" Type="http://schemas.openxmlformats.org/officeDocument/2006/relationships/hyperlink" Target="https://www.immoscout24.ch/fr/maison/acheter/lieu-souboz" TargetMode="External"/><Relationship Id="rId3926" Type="http://schemas.openxmlformats.org/officeDocument/2006/relationships/hyperlink" Target="https://www.immoscout24.ch/fr/maison/acheter/lieu-courtelary" TargetMode="External"/><Relationship Id="rId3925" Type="http://schemas.openxmlformats.org/officeDocument/2006/relationships/hyperlink" Target="https://www.immoscout24.ch/fr/maison/acheter/lieu-les-cullayes" TargetMode="External"/><Relationship Id="rId3928" Type="http://schemas.openxmlformats.org/officeDocument/2006/relationships/hyperlink" Target="https://www.immoscout24.ch/fr/appartement/louer/lieu-ollon-vd" TargetMode="External"/><Relationship Id="rId3927" Type="http://schemas.openxmlformats.org/officeDocument/2006/relationships/hyperlink" Target="https://www.immoscout24.ch/fr/appartement/acheter/lieu-tafers" TargetMode="External"/><Relationship Id="rId3929" Type="http://schemas.openxmlformats.org/officeDocument/2006/relationships/hyperlink" Target="https://www.immoscout24.ch/fr/appartement/louer/quartier-holligen-berne" TargetMode="External"/><Relationship Id="rId6142" Type="http://schemas.openxmlformats.org/officeDocument/2006/relationships/hyperlink" Target="https://www.immoscout24.ch/fr/appartement/louer/lieu-trelex" TargetMode="External"/><Relationship Id="rId6143" Type="http://schemas.openxmlformats.org/officeDocument/2006/relationships/hyperlink" Target="https://www.immoscout24.ch/fr/appartement/louer/lieu-zumikon" TargetMode="External"/><Relationship Id="rId6140" Type="http://schemas.openxmlformats.org/officeDocument/2006/relationships/hyperlink" Target="https://www.immoscout24.ch/fr/appartement/acheter/lieu-port" TargetMode="External"/><Relationship Id="rId6141" Type="http://schemas.openxmlformats.org/officeDocument/2006/relationships/hyperlink" Target="https://www.immoscout24.ch/fr/maison/acheter/lieu-puidoux" TargetMode="External"/><Relationship Id="rId6146" Type="http://schemas.openxmlformats.org/officeDocument/2006/relationships/hyperlink" Target="https://www.immoscout24.ch/fr/maison/acheter/lieu-finhaut" TargetMode="External"/><Relationship Id="rId6147" Type="http://schemas.openxmlformats.org/officeDocument/2006/relationships/hyperlink" Target="https://www.immoscout24.ch/fr/appartement/louer/lieu-flamatt" TargetMode="External"/><Relationship Id="rId6144" Type="http://schemas.openxmlformats.org/officeDocument/2006/relationships/hyperlink" Target="https://www.immoscout24.ch/fr/appartement/acheter/lieu-derendingen" TargetMode="External"/><Relationship Id="rId6145" Type="http://schemas.openxmlformats.org/officeDocument/2006/relationships/hyperlink" Target="https://www.immoscout24.ch/fr/appartement/acheter/lieu-martigny" TargetMode="External"/><Relationship Id="rId6148" Type="http://schemas.openxmlformats.org/officeDocument/2006/relationships/hyperlink" Target="https://www.immoscout24.ch/fr/appartement/acheter/lieu-chesieres" TargetMode="External"/><Relationship Id="rId6149" Type="http://schemas.openxmlformats.org/officeDocument/2006/relationships/hyperlink" Target="https://www.immoscout24.ch/fr/appartement/louer/lieu-wabern" TargetMode="External"/><Relationship Id="rId6131" Type="http://schemas.openxmlformats.org/officeDocument/2006/relationships/hyperlink" Target="https://www.immoscout24.ch/fr/maison/acheter/lieu-granges-pres-marnand" TargetMode="External"/><Relationship Id="rId6132" Type="http://schemas.openxmlformats.org/officeDocument/2006/relationships/hyperlink" Target="https://www.immoscout24.ch/fr/appartement/louer/lieu-zuzwil-sg" TargetMode="External"/><Relationship Id="rId6130" Type="http://schemas.openxmlformats.org/officeDocument/2006/relationships/hyperlink" Target="https://www.immoscout24.ch/fr/maison/louer/lieu-champlan-grimisuat" TargetMode="External"/><Relationship Id="rId6135" Type="http://schemas.openxmlformats.org/officeDocument/2006/relationships/hyperlink" Target="https://www.immoscout24.ch/fr/appartement/acheter/lieu-vallon" TargetMode="External"/><Relationship Id="rId6136" Type="http://schemas.openxmlformats.org/officeDocument/2006/relationships/hyperlink" Target="https://www.immoscout24.ch/fr/appartement/louer/lieu-bubendorf" TargetMode="External"/><Relationship Id="rId6133" Type="http://schemas.openxmlformats.org/officeDocument/2006/relationships/hyperlink" Target="https://www.immoscout24.ch/fr/maison/acheter/lieu-rorbas" TargetMode="External"/><Relationship Id="rId6134" Type="http://schemas.openxmlformats.org/officeDocument/2006/relationships/hyperlink" Target="https://www.immoscout24.ch/fr/maison/acheter/lieu-sorvilier" TargetMode="External"/><Relationship Id="rId6139" Type="http://schemas.openxmlformats.org/officeDocument/2006/relationships/hyperlink" Target="https://www.immoscout24.ch/fr/maison/acheter/lieu-sangernboden" TargetMode="External"/><Relationship Id="rId6137" Type="http://schemas.openxmlformats.org/officeDocument/2006/relationships/hyperlink" Target="https://www.immoscout24.ch/fr/maison/acheter/quartier-pierre-a-bot-acacias-neuchatel" TargetMode="External"/><Relationship Id="rId6138" Type="http://schemas.openxmlformats.org/officeDocument/2006/relationships/hyperlink" Target="https://www.immoscout24.ch/fr/appartement/acheter/lieu-hochdorf" TargetMode="External"/><Relationship Id="rId6160" Type="http://schemas.openxmlformats.org/officeDocument/2006/relationships/hyperlink" Target="https://www.immoscout24.ch/fr/appartement/louer/lieu-fuellinsdorf" TargetMode="External"/><Relationship Id="rId6161" Type="http://schemas.openxmlformats.org/officeDocument/2006/relationships/hyperlink" Target="https://www.immoscout24.ch/fr/appartement/louer/lieu-schmiedrued" TargetMode="External"/><Relationship Id="rId6164" Type="http://schemas.openxmlformats.org/officeDocument/2006/relationships/hyperlink" Target="https://www.immoscout24.ch/fr/appartement/louer/quartier-wesemlin-dreilinden-lucerne" TargetMode="External"/><Relationship Id="rId6165" Type="http://schemas.openxmlformats.org/officeDocument/2006/relationships/hyperlink" Target="https://www.immoscout24.ch/fr/appartement/louer/lieu-saulcy" TargetMode="External"/><Relationship Id="rId6162" Type="http://schemas.openxmlformats.org/officeDocument/2006/relationships/hyperlink" Target="https://www.immoscout24.ch/fr/maison/acheter/lieu-mollens-vs" TargetMode="External"/><Relationship Id="rId6163" Type="http://schemas.openxmlformats.org/officeDocument/2006/relationships/hyperlink" Target="https://www.immoscout24.ch/fr/maison/louer/lieu-bole" TargetMode="External"/><Relationship Id="rId6168" Type="http://schemas.openxmlformats.org/officeDocument/2006/relationships/hyperlink" Target="https://www.immoscout24.ch/fr/appartement/louer/lieu-binningen" TargetMode="External"/><Relationship Id="rId6169" Type="http://schemas.openxmlformats.org/officeDocument/2006/relationships/hyperlink" Target="https://www.immoscout24.ch/fr/maison/acheter/lieu-ursy" TargetMode="External"/><Relationship Id="rId6166" Type="http://schemas.openxmlformats.org/officeDocument/2006/relationships/hyperlink" Target="https://www.immoscout24.ch/fr/appartement/louer/lieu-magadino" TargetMode="External"/><Relationship Id="rId6167" Type="http://schemas.openxmlformats.org/officeDocument/2006/relationships/hyperlink" Target="https://www.immoscout24.ch/fr/appartement/acheter/lieu-montana" TargetMode="External"/><Relationship Id="rId6150" Type="http://schemas.openxmlformats.org/officeDocument/2006/relationships/hyperlink" Target="https://www.immoscout24.ch/fr/appartement/louer/lieu-wetzikon-zh" TargetMode="External"/><Relationship Id="rId6153" Type="http://schemas.openxmlformats.org/officeDocument/2006/relationships/hyperlink" Target="https://www.immoscout24.ch/fr/appartement/louer/lieu-chatonnaye" TargetMode="External"/><Relationship Id="rId6154" Type="http://schemas.openxmlformats.org/officeDocument/2006/relationships/hyperlink" Target="https://www.immoscout24.ch/fr/maison/louer/lieu-villars-sur-glane" TargetMode="External"/><Relationship Id="rId6151" Type="http://schemas.openxmlformats.org/officeDocument/2006/relationships/hyperlink" Target="https://www.immoscout24.ch/fr/appartement/louer/lieu-walzenhausen" TargetMode="External"/><Relationship Id="rId6152" Type="http://schemas.openxmlformats.org/officeDocument/2006/relationships/hyperlink" Target="https://www.immoscout24.ch/fr/maison/louer/lieu-collonges" TargetMode="External"/><Relationship Id="rId6157" Type="http://schemas.openxmlformats.org/officeDocument/2006/relationships/hyperlink" Target="https://www.immoscout24.ch/fr/maison/acheter/lieu-alterswil-fr" TargetMode="External"/><Relationship Id="rId6158" Type="http://schemas.openxmlformats.org/officeDocument/2006/relationships/hyperlink" Target="https://www.immoscout24.ch/fr/maison/louer/lieu-bettmeralp" TargetMode="External"/><Relationship Id="rId6155" Type="http://schemas.openxmlformats.org/officeDocument/2006/relationships/hyperlink" Target="https://www.immoscout24.ch/fr/maison/acheter/lieu-grancy" TargetMode="External"/><Relationship Id="rId6156" Type="http://schemas.openxmlformats.org/officeDocument/2006/relationships/hyperlink" Target="https://www.immoscout24.ch/fr/appartement/acheter/lieu-grandson" TargetMode="External"/><Relationship Id="rId6159" Type="http://schemas.openxmlformats.org/officeDocument/2006/relationships/hyperlink" Target="https://www.immoscout24.ch/fr/appartement/louer/lieu-celigny" TargetMode="External"/><Relationship Id="rId1334" Type="http://schemas.openxmlformats.org/officeDocument/2006/relationships/hyperlink" Target="https://www.immoscout24.ch/fr/maison/louer/lieu-posieux" TargetMode="External"/><Relationship Id="rId2665" Type="http://schemas.openxmlformats.org/officeDocument/2006/relationships/hyperlink" Target="https://www.immoscout24.ch/fr/maison/louer/lieu-erlinsbach" TargetMode="External"/><Relationship Id="rId3997" Type="http://schemas.openxmlformats.org/officeDocument/2006/relationships/hyperlink" Target="https://www.immoscout24.ch/fr/appartement/acheter/lieu-andermatt" TargetMode="External"/><Relationship Id="rId1335" Type="http://schemas.openxmlformats.org/officeDocument/2006/relationships/hyperlink" Target="https://www.immoscout24.ch/fr/maison/louer/lieu-orny" TargetMode="External"/><Relationship Id="rId2666" Type="http://schemas.openxmlformats.org/officeDocument/2006/relationships/hyperlink" Target="https://www.immoscout24.ch/fr/appartement/louer/lieu-chatel-st-denis" TargetMode="External"/><Relationship Id="rId3996" Type="http://schemas.openxmlformats.org/officeDocument/2006/relationships/hyperlink" Target="https://www.immoscout24.ch/fr/maison/acheter/lieu-essertines-sur-yverdon" TargetMode="External"/><Relationship Id="rId1336" Type="http://schemas.openxmlformats.org/officeDocument/2006/relationships/hyperlink" Target="https://www.immoscout24.ch/fr/maison/louer/lieu-niederhasli" TargetMode="External"/><Relationship Id="rId2667" Type="http://schemas.openxmlformats.org/officeDocument/2006/relationships/hyperlink" Target="https://www.immoscout24.ch/fr/maison/acheter/lieu-kreuzlingen" TargetMode="External"/><Relationship Id="rId3999" Type="http://schemas.openxmlformats.org/officeDocument/2006/relationships/hyperlink" Target="https://www.immoscout24.ch/fr/appartement/acheter/lieu-yvonand" TargetMode="External"/><Relationship Id="rId1337" Type="http://schemas.openxmlformats.org/officeDocument/2006/relationships/hyperlink" Target="https://www.immoscout24.ch/fr/appartement/louer/lieu-pomy" TargetMode="External"/><Relationship Id="rId2668" Type="http://schemas.openxmlformats.org/officeDocument/2006/relationships/hyperlink" Target="https://www.immoscout24.ch/fr/appartement/louer/lieu-lengnau-ag" TargetMode="External"/><Relationship Id="rId3998" Type="http://schemas.openxmlformats.org/officeDocument/2006/relationships/hyperlink" Target="https://www.immoscout24.ch/fr/maison/louer/lieu-genthod" TargetMode="External"/><Relationship Id="rId1338" Type="http://schemas.openxmlformats.org/officeDocument/2006/relationships/hyperlink" Target="https://www.immoscout24.ch/fr/maison/acheter/lieu-eischoll" TargetMode="External"/><Relationship Id="rId2669" Type="http://schemas.openxmlformats.org/officeDocument/2006/relationships/hyperlink" Target="https://www.immoscout24.ch/fr/maison/acheter/lieu-cotterd" TargetMode="External"/><Relationship Id="rId1339" Type="http://schemas.openxmlformats.org/officeDocument/2006/relationships/hyperlink" Target="https://www.immoscout24.ch/fr/maison/acheter/lieu-koeniz" TargetMode="External"/><Relationship Id="rId745" Type="http://schemas.openxmlformats.org/officeDocument/2006/relationships/hyperlink" Target="https://www.immoscout24.ch/fr/maison/acheter/lieu-rueyres-treyfayes" TargetMode="External"/><Relationship Id="rId744" Type="http://schemas.openxmlformats.org/officeDocument/2006/relationships/hyperlink" Target="https://www.immoscout24.ch/fr/appartement/acheter/lieu-aarau" TargetMode="External"/><Relationship Id="rId743" Type="http://schemas.openxmlformats.org/officeDocument/2006/relationships/hyperlink" Target="https://www.immoscout24.ch/fr/appartement/louer/lieu-chevilly" TargetMode="External"/><Relationship Id="rId742" Type="http://schemas.openxmlformats.org/officeDocument/2006/relationships/hyperlink" Target="https://www.immoscout24.ch/fr/appartement/louer/lieu-st-martin-vs" TargetMode="External"/><Relationship Id="rId749" Type="http://schemas.openxmlformats.org/officeDocument/2006/relationships/hyperlink" Target="https://www.immoscout24.ch/fr/appartement/louer/lieu-malleray" TargetMode="External"/><Relationship Id="rId748" Type="http://schemas.openxmlformats.org/officeDocument/2006/relationships/hyperlink" Target="https://www.immoscout24.ch/fr/maison/acheter/lieu-bettmeralp" TargetMode="External"/><Relationship Id="rId747" Type="http://schemas.openxmlformats.org/officeDocument/2006/relationships/hyperlink" Target="https://www.immoscout24.ch/fr/maison/louer/lieu-heiligenschwendi" TargetMode="External"/><Relationship Id="rId746" Type="http://schemas.openxmlformats.org/officeDocument/2006/relationships/hyperlink" Target="https://www.immoscout24.ch/fr/appartement/louer/lieu-signau" TargetMode="External"/><Relationship Id="rId3991" Type="http://schemas.openxmlformats.org/officeDocument/2006/relationships/hyperlink" Target="https://www.immoscout24.ch/fr/maison/louer/lieu-losone" TargetMode="External"/><Relationship Id="rId2660" Type="http://schemas.openxmlformats.org/officeDocument/2006/relationships/hyperlink" Target="https://www.immoscout24.ch/fr/appartement/acheter/lieu-ipsach" TargetMode="External"/><Relationship Id="rId3990" Type="http://schemas.openxmlformats.org/officeDocument/2006/relationships/hyperlink" Target="https://www.immoscout24.ch/fr/maison/acheter/lieu-zweisimmen" TargetMode="External"/><Relationship Id="rId741" Type="http://schemas.openxmlformats.org/officeDocument/2006/relationships/hyperlink" Target="https://www.immoscout24.ch/fr/appartement/louer/lieu-corgemont" TargetMode="External"/><Relationship Id="rId1330" Type="http://schemas.openxmlformats.org/officeDocument/2006/relationships/hyperlink" Target="https://www.immoscout24.ch/fr/appartement/acheter/lieu-erde" TargetMode="External"/><Relationship Id="rId2661" Type="http://schemas.openxmlformats.org/officeDocument/2006/relationships/hyperlink" Target="https://www.immoscout24.ch/fr/appartement/louer/lieu-schlieren" TargetMode="External"/><Relationship Id="rId3993" Type="http://schemas.openxmlformats.org/officeDocument/2006/relationships/hyperlink" Target="https://www.immoscout24.ch/fr/appartement/louer/lieu-essert-pittet" TargetMode="External"/><Relationship Id="rId740" Type="http://schemas.openxmlformats.org/officeDocument/2006/relationships/hyperlink" Target="https://www.immoscout24.ch/fr/appartement/louer/lieu-domdidier" TargetMode="External"/><Relationship Id="rId1331" Type="http://schemas.openxmlformats.org/officeDocument/2006/relationships/hyperlink" Target="https://www.immoscout24.ch/fr/appartement/louer/lieu-windlach" TargetMode="External"/><Relationship Id="rId2662" Type="http://schemas.openxmlformats.org/officeDocument/2006/relationships/hyperlink" Target="https://www.immoscout24.ch/fr/maison/acheter/lieu-uttwil" TargetMode="External"/><Relationship Id="rId3992" Type="http://schemas.openxmlformats.org/officeDocument/2006/relationships/hyperlink" Target="https://www.immoscout24.ch/fr/maison/acheter/lieu-novaggio" TargetMode="External"/><Relationship Id="rId1332" Type="http://schemas.openxmlformats.org/officeDocument/2006/relationships/hyperlink" Target="https://www.immoscout24.ch/fr/appartement/acheter/lieu-saanen" TargetMode="External"/><Relationship Id="rId2663" Type="http://schemas.openxmlformats.org/officeDocument/2006/relationships/hyperlink" Target="https://www.immoscout24.ch/fr/appartement/louer/lieu-bogis-bossey" TargetMode="External"/><Relationship Id="rId3995" Type="http://schemas.openxmlformats.org/officeDocument/2006/relationships/hyperlink" Target="https://www.immoscout24.ch/fr/appartement/louer/lieu-buchs-zh" TargetMode="External"/><Relationship Id="rId1333" Type="http://schemas.openxmlformats.org/officeDocument/2006/relationships/hyperlink" Target="https://www.immoscout24.ch/fr/appartement/louer/region-seeland" TargetMode="External"/><Relationship Id="rId2664" Type="http://schemas.openxmlformats.org/officeDocument/2006/relationships/hyperlink" Target="https://www.immoscout24.ch/fr/appartement/acheter/lieu-uzwil" TargetMode="External"/><Relationship Id="rId3994" Type="http://schemas.openxmlformats.org/officeDocument/2006/relationships/hyperlink" Target="https://www.immoscout24.ch/fr/appartement/louer/lieu-courchavon" TargetMode="External"/><Relationship Id="rId1323" Type="http://schemas.openxmlformats.org/officeDocument/2006/relationships/hyperlink" Target="https://www.immoscout24.ch/fr/appartement/acheter/lieu-la-sarraz" TargetMode="External"/><Relationship Id="rId2654" Type="http://schemas.openxmlformats.org/officeDocument/2006/relationships/hyperlink" Target="https://www.immoscout24.ch/fr/maison/acheter/lieu-neuchatel" TargetMode="External"/><Relationship Id="rId3986" Type="http://schemas.openxmlformats.org/officeDocument/2006/relationships/hyperlink" Target="https://www.immoscout24.ch/fr/appartement/louer/lieu-cugnasco" TargetMode="External"/><Relationship Id="rId1324" Type="http://schemas.openxmlformats.org/officeDocument/2006/relationships/hyperlink" Target="https://www.immoscout24.ch/fr/appartement/louer/lieu-madulain" TargetMode="External"/><Relationship Id="rId2655" Type="http://schemas.openxmlformats.org/officeDocument/2006/relationships/hyperlink" Target="https://www.immoscout24.ch/fr/appartement/acheter/lieu-saas-almagell" TargetMode="External"/><Relationship Id="rId3985" Type="http://schemas.openxmlformats.org/officeDocument/2006/relationships/hyperlink" Target="https://www.immoscout24.ch/fr/maison/acheter/lieu-chavannes-sur-moudon" TargetMode="External"/><Relationship Id="rId1325" Type="http://schemas.openxmlformats.org/officeDocument/2006/relationships/hyperlink" Target="https://www.immoscout24.ch/fr/maison/acheter/lieu-carouge-ge" TargetMode="External"/><Relationship Id="rId2656" Type="http://schemas.openxmlformats.org/officeDocument/2006/relationships/hyperlink" Target="https://www.immoscout24.ch/fr/appartement/louer/lieu-luterbach" TargetMode="External"/><Relationship Id="rId3988" Type="http://schemas.openxmlformats.org/officeDocument/2006/relationships/hyperlink" Target="https://www.immoscout24.ch/fr/appartement/louer/lieu-kerzers" TargetMode="External"/><Relationship Id="rId1326" Type="http://schemas.openxmlformats.org/officeDocument/2006/relationships/hyperlink" Target="https://www.immoscout24.ch/fr/appartement/acheter/lieu-laax-gr" TargetMode="External"/><Relationship Id="rId2657" Type="http://schemas.openxmlformats.org/officeDocument/2006/relationships/hyperlink" Target="https://www.immoscout24.ch/fr/appartement/louer/lieu-dietlikon" TargetMode="External"/><Relationship Id="rId3987" Type="http://schemas.openxmlformats.org/officeDocument/2006/relationships/hyperlink" Target="https://www.immoscout24.ch/fr/maison/acheter/lieu-sins" TargetMode="External"/><Relationship Id="rId1327" Type="http://schemas.openxmlformats.org/officeDocument/2006/relationships/hyperlink" Target="https://www.immoscout24.ch/fr/appartement/louer/canton-valais" TargetMode="External"/><Relationship Id="rId2658" Type="http://schemas.openxmlformats.org/officeDocument/2006/relationships/hyperlink" Target="https://www.immoscout24.ch/fr/appartement/acheter/lieu-rueschlikon" TargetMode="External"/><Relationship Id="rId1328" Type="http://schemas.openxmlformats.org/officeDocument/2006/relationships/hyperlink" Target="https://www.immoscout24.ch/fr/maison/acheter/lieu-staldenried" TargetMode="External"/><Relationship Id="rId2659" Type="http://schemas.openxmlformats.org/officeDocument/2006/relationships/hyperlink" Target="https://www.immoscout24.ch/fr/maison/acheter/lieu-le-brassus" TargetMode="External"/><Relationship Id="rId3989" Type="http://schemas.openxmlformats.org/officeDocument/2006/relationships/hyperlink" Target="https://www.immoscout24.ch/fr/maison/acheter/lieu-saas-im-praettigau" TargetMode="External"/><Relationship Id="rId1329" Type="http://schemas.openxmlformats.org/officeDocument/2006/relationships/hyperlink" Target="https://www.immoscout24.ch/fr/appartement/louer/lieu-le-pont" TargetMode="External"/><Relationship Id="rId739" Type="http://schemas.openxmlformats.org/officeDocument/2006/relationships/hyperlink" Target="https://www.immoscout24.ch/fr/maison/louer/lieu-gretzenbach" TargetMode="External"/><Relationship Id="rId734" Type="http://schemas.openxmlformats.org/officeDocument/2006/relationships/hyperlink" Target="https://www.immoscout24.ch/fr/appartement/acheter/quartier-laenggasse-berne" TargetMode="External"/><Relationship Id="rId733" Type="http://schemas.openxmlformats.org/officeDocument/2006/relationships/hyperlink" Target="https://www.immoscout24.ch/fr/appartement/acheter/lieu-hasliberg-reuti" TargetMode="External"/><Relationship Id="rId732" Type="http://schemas.openxmlformats.org/officeDocument/2006/relationships/hyperlink" Target="https://www.immoscout24.ch/fr/appartement/acheter/lieu-winterberg-zh" TargetMode="External"/><Relationship Id="rId731" Type="http://schemas.openxmlformats.org/officeDocument/2006/relationships/hyperlink" Target="https://www.immoscout24.ch/fr/maison/louer/lieu-thun" TargetMode="External"/><Relationship Id="rId738" Type="http://schemas.openxmlformats.org/officeDocument/2006/relationships/hyperlink" Target="https://www.immoscout24.ch/fr/maison/acheter/lieu-romanens" TargetMode="External"/><Relationship Id="rId737" Type="http://schemas.openxmlformats.org/officeDocument/2006/relationships/hyperlink" Target="https://www.immoscout24.ch/fr/maison/acheter/lieu-flamatt" TargetMode="External"/><Relationship Id="rId736" Type="http://schemas.openxmlformats.org/officeDocument/2006/relationships/hyperlink" Target="https://www.immoscout24.ch/fr/maison/louer/lieu-bruegg-be" TargetMode="External"/><Relationship Id="rId735" Type="http://schemas.openxmlformats.org/officeDocument/2006/relationships/hyperlink" Target="https://www.immoscout24.ch/fr/maison/acheter/lieu-granges-vs" TargetMode="External"/><Relationship Id="rId3980" Type="http://schemas.openxmlformats.org/officeDocument/2006/relationships/hyperlink" Target="https://www.immoscout24.ch/fr/maison/acheter/lieu-nyon" TargetMode="External"/><Relationship Id="rId730" Type="http://schemas.openxmlformats.org/officeDocument/2006/relationships/hyperlink" Target="https://www.immoscout24.ch/fr/maison/acheter/lieu-marchissy" TargetMode="External"/><Relationship Id="rId2650" Type="http://schemas.openxmlformats.org/officeDocument/2006/relationships/hyperlink" Target="https://www.immoscout24.ch/fr/appartement/acheter/lieu-rheinfelden" TargetMode="External"/><Relationship Id="rId3982" Type="http://schemas.openxmlformats.org/officeDocument/2006/relationships/hyperlink" Target="https://www.immoscout24.ch/fr/maison/acheter/lieu-gollion" TargetMode="External"/><Relationship Id="rId1320" Type="http://schemas.openxmlformats.org/officeDocument/2006/relationships/hyperlink" Target="https://www.immoscout24.ch/fr/appartement/acheter/lieu-soral" TargetMode="External"/><Relationship Id="rId2651" Type="http://schemas.openxmlformats.org/officeDocument/2006/relationships/hyperlink" Target="https://www.immoscout24.ch/fr/appartement/louer/lieu-horgen" TargetMode="External"/><Relationship Id="rId3981" Type="http://schemas.openxmlformats.org/officeDocument/2006/relationships/hyperlink" Target="https://www.immoscout24.ch/fr/appartement/louer/quartier-breitfeld-berne" TargetMode="External"/><Relationship Id="rId1321" Type="http://schemas.openxmlformats.org/officeDocument/2006/relationships/hyperlink" Target="https://www.immoscout24.ch/fr/maison/acheter/lieu-biere" TargetMode="External"/><Relationship Id="rId2652" Type="http://schemas.openxmlformats.org/officeDocument/2006/relationships/hyperlink" Target="https://www.immoscout24.ch/fr/appartement/louer/region-frauenfeld-muenchwilen" TargetMode="External"/><Relationship Id="rId3984" Type="http://schemas.openxmlformats.org/officeDocument/2006/relationships/hyperlink" Target="https://www.immoscout24.ch/fr/maison/acheter/lieu-yverdon-les-bains" TargetMode="External"/><Relationship Id="rId1322" Type="http://schemas.openxmlformats.org/officeDocument/2006/relationships/hyperlink" Target="https://www.immoscout24.ch/fr/appartement/acheter/lieu-comano" TargetMode="External"/><Relationship Id="rId2653" Type="http://schemas.openxmlformats.org/officeDocument/2006/relationships/hyperlink" Target="https://www.immoscout24.ch/fr/maison/louer/lieu-yvonand" TargetMode="External"/><Relationship Id="rId3983" Type="http://schemas.openxmlformats.org/officeDocument/2006/relationships/hyperlink" Target="https://www.immoscout24.ch/fr/appartement/louer/lieu-zunzgen" TargetMode="External"/><Relationship Id="rId1356" Type="http://schemas.openxmlformats.org/officeDocument/2006/relationships/hyperlink" Target="https://www.immoscout24.ch/fr/maison/acheter/lieu-vitznau" TargetMode="External"/><Relationship Id="rId2687" Type="http://schemas.openxmlformats.org/officeDocument/2006/relationships/hyperlink" Target="https://www.immoscout24.ch/fr/appartement/louer/lieu-uettligen" TargetMode="External"/><Relationship Id="rId1357" Type="http://schemas.openxmlformats.org/officeDocument/2006/relationships/hyperlink" Target="https://www.immoscout24.ch/fr/maison/louer/lieu-allaman" TargetMode="External"/><Relationship Id="rId2688" Type="http://schemas.openxmlformats.org/officeDocument/2006/relationships/hyperlink" Target="https://www.immoscout24.ch/fr/maison/acheter/lieu-finsterhennen" TargetMode="External"/><Relationship Id="rId1358" Type="http://schemas.openxmlformats.org/officeDocument/2006/relationships/hyperlink" Target="https://www.immoscout24.ch/fr/appartement/louer/lieu-beringen" TargetMode="External"/><Relationship Id="rId2689" Type="http://schemas.openxmlformats.org/officeDocument/2006/relationships/hyperlink" Target="https://www.immoscout24.ch/fr/maison/acheter/lieu-monnaz" TargetMode="External"/><Relationship Id="rId1359" Type="http://schemas.openxmlformats.org/officeDocument/2006/relationships/hyperlink" Target="https://www.immoscout24.ch/fr/appartement/louer/region-rhone-arve" TargetMode="External"/><Relationship Id="rId767" Type="http://schemas.openxmlformats.org/officeDocument/2006/relationships/hyperlink" Target="https://www.immoscout24.ch/fr/appartement/louer/lieu-ermatingen" TargetMode="External"/><Relationship Id="rId766" Type="http://schemas.openxmlformats.org/officeDocument/2006/relationships/hyperlink" Target="https://www.immoscout24.ch/fr/maison/acheter/lieu-le-sepey" TargetMode="External"/><Relationship Id="rId765" Type="http://schemas.openxmlformats.org/officeDocument/2006/relationships/hyperlink" Target="https://www.immoscout24.ch/fr/appartement/acheter/lieu-glovelier" TargetMode="External"/><Relationship Id="rId764" Type="http://schemas.openxmlformats.org/officeDocument/2006/relationships/hyperlink" Target="https://www.immoscout24.ch/fr/maison/acheter/lieu-brunnen" TargetMode="External"/><Relationship Id="rId769" Type="http://schemas.openxmlformats.org/officeDocument/2006/relationships/hyperlink" Target="https://www.immoscout24.ch/fr/appartement/louer/lieu-matzendorf" TargetMode="External"/><Relationship Id="rId768" Type="http://schemas.openxmlformats.org/officeDocument/2006/relationships/hyperlink" Target="https://www.immoscout24.ch/fr/appartement/louer/lieu-montevraz" TargetMode="External"/><Relationship Id="rId2680" Type="http://schemas.openxmlformats.org/officeDocument/2006/relationships/hyperlink" Target="https://www.immoscout24.ch/fr/maison/louer/lieu-caux" TargetMode="External"/><Relationship Id="rId1350" Type="http://schemas.openxmlformats.org/officeDocument/2006/relationships/hyperlink" Target="https://www.immoscout24.ch/fr/maison/acheter/lieu-arch" TargetMode="External"/><Relationship Id="rId2681" Type="http://schemas.openxmlformats.org/officeDocument/2006/relationships/hyperlink" Target="https://www.immoscout24.ch/fr/appartement/louer/lieu-galmiz" TargetMode="External"/><Relationship Id="rId1351" Type="http://schemas.openxmlformats.org/officeDocument/2006/relationships/hyperlink" Target="https://www.immoscout24.ch/fr/appartement/acheter/region-bremgarten-lenzburg-muri-kulm" TargetMode="External"/><Relationship Id="rId2682" Type="http://schemas.openxmlformats.org/officeDocument/2006/relationships/hyperlink" Target="https://www.immoscout24.ch/fr/appartement/louer/lieu-melide" TargetMode="External"/><Relationship Id="rId763" Type="http://schemas.openxmlformats.org/officeDocument/2006/relationships/hyperlink" Target="https://www.immoscout24.ch/fr/maison/louer/lieu-luzern" TargetMode="External"/><Relationship Id="rId1352" Type="http://schemas.openxmlformats.org/officeDocument/2006/relationships/hyperlink" Target="https://www.immoscout24.ch/fr/appartement/louer/lieu-erlenbach-zh" TargetMode="External"/><Relationship Id="rId2683" Type="http://schemas.openxmlformats.org/officeDocument/2006/relationships/hyperlink" Target="https://www.immoscout24.ch/fr/appartement/louer/quartier-littau-dorf-lucerne" TargetMode="External"/><Relationship Id="rId762" Type="http://schemas.openxmlformats.org/officeDocument/2006/relationships/hyperlink" Target="https://www.immoscout24.ch/fr/appartement/louer/lieu-gunzgen" TargetMode="External"/><Relationship Id="rId1353" Type="http://schemas.openxmlformats.org/officeDocument/2006/relationships/hyperlink" Target="https://www.immoscout24.ch/fr/appartement/louer/lieu-prevondavaux" TargetMode="External"/><Relationship Id="rId2684" Type="http://schemas.openxmlformats.org/officeDocument/2006/relationships/hyperlink" Target="https://www.immoscout24.ch/fr/appartement/louer/lieu-corsier-ge" TargetMode="External"/><Relationship Id="rId761" Type="http://schemas.openxmlformats.org/officeDocument/2006/relationships/hyperlink" Target="https://www.immoscout24.ch/fr/appartement/louer/lieu-strengelbach" TargetMode="External"/><Relationship Id="rId1354" Type="http://schemas.openxmlformats.org/officeDocument/2006/relationships/hyperlink" Target="https://www.immoscout24.ch/fr/appartement/acheter/lieu-geneve" TargetMode="External"/><Relationship Id="rId2685" Type="http://schemas.openxmlformats.org/officeDocument/2006/relationships/hyperlink" Target="https://www.immoscout24.ch/fr/maison/acheter/lieu-chambrelien" TargetMode="External"/><Relationship Id="rId760" Type="http://schemas.openxmlformats.org/officeDocument/2006/relationships/hyperlink" Target="https://www.immoscout24.ch/fr/appartement/acheter/canton-bale-campagne" TargetMode="External"/><Relationship Id="rId1355" Type="http://schemas.openxmlformats.org/officeDocument/2006/relationships/hyperlink" Target="https://www.immoscout24.ch/fr/appartement/louer/lieu-brontallo" TargetMode="External"/><Relationship Id="rId2686" Type="http://schemas.openxmlformats.org/officeDocument/2006/relationships/hyperlink" Target="https://www.immoscout24.ch/fr/maison/acheter/lieu-fruthwilen" TargetMode="External"/><Relationship Id="rId1345" Type="http://schemas.openxmlformats.org/officeDocument/2006/relationships/hyperlink" Target="https://www.immoscout24.ch/fr/appartement/acheter/lieu-haute-nendaz" TargetMode="External"/><Relationship Id="rId2676" Type="http://schemas.openxmlformats.org/officeDocument/2006/relationships/hyperlink" Target="https://www.immoscout24.ch/fr/maison/acheter/lieu-zollikerberg" TargetMode="External"/><Relationship Id="rId1346" Type="http://schemas.openxmlformats.org/officeDocument/2006/relationships/hyperlink" Target="https://www.immoscout24.ch/fr/appartement/louer/lieu-lucelle" TargetMode="External"/><Relationship Id="rId2677" Type="http://schemas.openxmlformats.org/officeDocument/2006/relationships/hyperlink" Target="https://www.immoscout24.ch/fr/appartement/louer/lieu-les-monts-de-corsier" TargetMode="External"/><Relationship Id="rId1347" Type="http://schemas.openxmlformats.org/officeDocument/2006/relationships/hyperlink" Target="https://www.immoscout24.ch/fr/maison/acheter/lieu-gerolfingen" TargetMode="External"/><Relationship Id="rId2678" Type="http://schemas.openxmlformats.org/officeDocument/2006/relationships/hyperlink" Target="https://www.immoscout24.ch/fr/appartement/acheter/lieu-dagmersellen" TargetMode="External"/><Relationship Id="rId1348" Type="http://schemas.openxmlformats.org/officeDocument/2006/relationships/hyperlink" Target="https://www.immoscout24.ch/fr/appartement/acheter/lieu-pampigny" TargetMode="External"/><Relationship Id="rId2679" Type="http://schemas.openxmlformats.org/officeDocument/2006/relationships/hyperlink" Target="https://www.immoscout24.ch/fr/maison/louer/lieu-saxon" TargetMode="External"/><Relationship Id="rId1349" Type="http://schemas.openxmlformats.org/officeDocument/2006/relationships/hyperlink" Target="https://www.immoscout24.ch/fr/appartement/acheter/lieu-petit-lancy" TargetMode="External"/><Relationship Id="rId756" Type="http://schemas.openxmlformats.org/officeDocument/2006/relationships/hyperlink" Target="https://www.immoscout24.ch/fr/appartement/acheter/quartier-paquis-navigation-geneve" TargetMode="External"/><Relationship Id="rId755" Type="http://schemas.openxmlformats.org/officeDocument/2006/relationships/hyperlink" Target="https://www.immoscout24.ch/fr/appartement/louer/lieu-gryon" TargetMode="External"/><Relationship Id="rId754" Type="http://schemas.openxmlformats.org/officeDocument/2006/relationships/hyperlink" Target="https://www.immoscout24.ch/fr/maison/louer/lieu-aarau" TargetMode="External"/><Relationship Id="rId753" Type="http://schemas.openxmlformats.org/officeDocument/2006/relationships/hyperlink" Target="https://www.immoscout24.ch/fr/appartement/louer/lieu-chandolin" TargetMode="External"/><Relationship Id="rId759" Type="http://schemas.openxmlformats.org/officeDocument/2006/relationships/hyperlink" Target="https://www.immoscout24.ch/fr/appartement/acheter/lieu-chandolin" TargetMode="External"/><Relationship Id="rId758" Type="http://schemas.openxmlformats.org/officeDocument/2006/relationships/hyperlink" Target="https://www.immoscout24.ch/fr/appartement/acheter/lieu-promasens" TargetMode="External"/><Relationship Id="rId757" Type="http://schemas.openxmlformats.org/officeDocument/2006/relationships/hyperlink" Target="https://www.immoscout24.ch/fr/appartement/louer/lieu-bever" TargetMode="External"/><Relationship Id="rId2670" Type="http://schemas.openxmlformats.org/officeDocument/2006/relationships/hyperlink" Target="https://www.immoscout24.ch/fr/appartement/louer/lieu-cormerod" TargetMode="External"/><Relationship Id="rId1340" Type="http://schemas.openxmlformats.org/officeDocument/2006/relationships/hyperlink" Target="https://www.immoscout24.ch/fr/maison/acheter/lieu-bossonnens" TargetMode="External"/><Relationship Id="rId2671" Type="http://schemas.openxmlformats.org/officeDocument/2006/relationships/hyperlink" Target="https://www.immoscout24.ch/fr/maison/louer/lieu-alle" TargetMode="External"/><Relationship Id="rId752" Type="http://schemas.openxmlformats.org/officeDocument/2006/relationships/hyperlink" Target="https://www.immoscout24.ch/fr/appartement/acheter/lieu-worb" TargetMode="External"/><Relationship Id="rId1341" Type="http://schemas.openxmlformats.org/officeDocument/2006/relationships/hyperlink" Target="https://www.immoscout24.ch/fr/maison/louer/region-singine-sarine-lac" TargetMode="External"/><Relationship Id="rId2672" Type="http://schemas.openxmlformats.org/officeDocument/2006/relationships/hyperlink" Target="https://www.immoscout24.ch/fr/appartement/louer/lieu-oberschrot" TargetMode="External"/><Relationship Id="rId751" Type="http://schemas.openxmlformats.org/officeDocument/2006/relationships/hyperlink" Target="https://www.immoscout24.ch/fr/appartement/louer/lieu-brissago" TargetMode="External"/><Relationship Id="rId1342" Type="http://schemas.openxmlformats.org/officeDocument/2006/relationships/hyperlink" Target="https://www.immoscout24.ch/fr/maison/acheter/pays-perou" TargetMode="External"/><Relationship Id="rId2673" Type="http://schemas.openxmlformats.org/officeDocument/2006/relationships/hyperlink" Target="https://www.immoscout24.ch/fr/appartement/louer/lieu-zell-lu" TargetMode="External"/><Relationship Id="rId750" Type="http://schemas.openxmlformats.org/officeDocument/2006/relationships/hyperlink" Target="https://www.immoscout24.ch/fr/maison/acheter/lieu-brenles" TargetMode="External"/><Relationship Id="rId1343" Type="http://schemas.openxmlformats.org/officeDocument/2006/relationships/hyperlink" Target="https://www.immoscout24.ch/fr/appartement/louer/lieu-genthod" TargetMode="External"/><Relationship Id="rId2674" Type="http://schemas.openxmlformats.org/officeDocument/2006/relationships/hyperlink" Target="https://www.immoscout24.ch/fr/maison/acheter/lieu-gstaad" TargetMode="External"/><Relationship Id="rId1344" Type="http://schemas.openxmlformats.org/officeDocument/2006/relationships/hyperlink" Target="https://www.immoscout24.ch/fr/appartement/louer/lieu-troinex" TargetMode="External"/><Relationship Id="rId2675" Type="http://schemas.openxmlformats.org/officeDocument/2006/relationships/hyperlink" Target="https://www.immoscout24.ch/fr/appartement/louer/lieu-perrefitte" TargetMode="External"/><Relationship Id="rId2621" Type="http://schemas.openxmlformats.org/officeDocument/2006/relationships/hyperlink" Target="https://www.immoscout24.ch/fr/appartement/louer/quartier-centre-neuchatel" TargetMode="External"/><Relationship Id="rId3953" Type="http://schemas.openxmlformats.org/officeDocument/2006/relationships/hyperlink" Target="https://www.immoscout24.ch/fr/appartement/louer/lieu-reiden" TargetMode="External"/><Relationship Id="rId2622" Type="http://schemas.openxmlformats.org/officeDocument/2006/relationships/hyperlink" Target="https://www.immoscout24.ch/fr/appartement/louer/lieu-arbon" TargetMode="External"/><Relationship Id="rId3952" Type="http://schemas.openxmlformats.org/officeDocument/2006/relationships/hyperlink" Target="https://www.immoscout24.ch/fr/appartement/acheter/lieu-oberdorf-bl" TargetMode="External"/><Relationship Id="rId2623" Type="http://schemas.openxmlformats.org/officeDocument/2006/relationships/hyperlink" Target="https://www.immoscout24.ch/fr/appartement/louer/lieu-oberwil-b-bueren" TargetMode="External"/><Relationship Id="rId3955" Type="http://schemas.openxmlformats.org/officeDocument/2006/relationships/hyperlink" Target="https://www.immoscout24.ch/fr/maison/acheter/lieu-siviriez" TargetMode="External"/><Relationship Id="rId2624" Type="http://schemas.openxmlformats.org/officeDocument/2006/relationships/hyperlink" Target="https://www.immoscout24.ch/fr/appartement/louer/lieu-mels" TargetMode="External"/><Relationship Id="rId3954" Type="http://schemas.openxmlformats.org/officeDocument/2006/relationships/hyperlink" Target="https://www.immoscout24.ch/fr/maison/acheter/lieu-salgesch" TargetMode="External"/><Relationship Id="rId2625" Type="http://schemas.openxmlformats.org/officeDocument/2006/relationships/hyperlink" Target="https://www.immoscout24.ch/fr/appartement/louer/lieu-geneve-15-aeroport" TargetMode="External"/><Relationship Id="rId3957" Type="http://schemas.openxmlformats.org/officeDocument/2006/relationships/hyperlink" Target="https://www.immoscout24.ch/fr/appartement/louer/lieu-la-chaux-cossonay" TargetMode="External"/><Relationship Id="rId2626" Type="http://schemas.openxmlformats.org/officeDocument/2006/relationships/hyperlink" Target="https://www.immoscout24.ch/fr/maison/acheter/lieu-fiez" TargetMode="External"/><Relationship Id="rId3956" Type="http://schemas.openxmlformats.org/officeDocument/2006/relationships/hyperlink" Target="https://www.immoscout24.ch/fr/appartement/louer/canton-argovie" TargetMode="External"/><Relationship Id="rId2627" Type="http://schemas.openxmlformats.org/officeDocument/2006/relationships/hyperlink" Target="https://www.immoscout24.ch/fr/appartement/louer/region-aarau-et-environs" TargetMode="External"/><Relationship Id="rId3959" Type="http://schemas.openxmlformats.org/officeDocument/2006/relationships/hyperlink" Target="https://www.immoscout24.ch/fr/appartement/acheter/quartier-sebeillon-malley-lausanne" TargetMode="External"/><Relationship Id="rId2628" Type="http://schemas.openxmlformats.org/officeDocument/2006/relationships/hyperlink" Target="https://www.immoscout24.ch/fr/appartement/louer/lieu-mumpf" TargetMode="External"/><Relationship Id="rId3958" Type="http://schemas.openxmlformats.org/officeDocument/2006/relationships/hyperlink" Target="https://www.immoscout24.ch/fr/appartement/louer/lieu-maegenwil" TargetMode="External"/><Relationship Id="rId709" Type="http://schemas.openxmlformats.org/officeDocument/2006/relationships/hyperlink" Target="https://www.immoscout24.ch/fr/appartement/acheter/lieu-muralto" TargetMode="External"/><Relationship Id="rId2629" Type="http://schemas.openxmlformats.org/officeDocument/2006/relationships/hyperlink" Target="https://www.immoscout24.ch/fr/appartement/louer/lieu-assens" TargetMode="External"/><Relationship Id="rId708" Type="http://schemas.openxmlformats.org/officeDocument/2006/relationships/hyperlink" Target="https://www.immoscout24.ch/fr/appartement/louer/lieu-bouveret" TargetMode="External"/><Relationship Id="rId707" Type="http://schemas.openxmlformats.org/officeDocument/2006/relationships/hyperlink" Target="https://www.immoscout24.ch/fr/appartement/louer/quartier-perolles-fribourg" TargetMode="External"/><Relationship Id="rId706" Type="http://schemas.openxmlformats.org/officeDocument/2006/relationships/hyperlink" Target="https://www.immoscout24.ch/fr/maison/louer/lieu-muraz-collombey" TargetMode="External"/><Relationship Id="rId701" Type="http://schemas.openxmlformats.org/officeDocument/2006/relationships/hyperlink" Target="https://www.immoscout24.ch/fr/maison/louer/lieu-st-sulpice-vd" TargetMode="External"/><Relationship Id="rId700" Type="http://schemas.openxmlformats.org/officeDocument/2006/relationships/hyperlink" Target="https://www.immoscout24.ch/fr/maison/acheter/lieu-vers-l-eglise" TargetMode="External"/><Relationship Id="rId705" Type="http://schemas.openxmlformats.org/officeDocument/2006/relationships/hyperlink" Target="https://www.immoscout24.ch/fr/maison/acheter/lieu-vullierens" TargetMode="External"/><Relationship Id="rId704" Type="http://schemas.openxmlformats.org/officeDocument/2006/relationships/hyperlink" Target="https://www.immoscout24.ch/fr/appartement/acheter/lieu-penthaz" TargetMode="External"/><Relationship Id="rId703" Type="http://schemas.openxmlformats.org/officeDocument/2006/relationships/hyperlink" Target="https://www.immoscout24.ch/fr/maison/acheter/lieu-poliez-le-grand" TargetMode="External"/><Relationship Id="rId702" Type="http://schemas.openxmlformats.org/officeDocument/2006/relationships/hyperlink" Target="https://www.immoscout24.ch/fr/appartement/acheter/lieu-massongex" TargetMode="External"/><Relationship Id="rId3951" Type="http://schemas.openxmlformats.org/officeDocument/2006/relationships/hyperlink" Target="https://www.immoscout24.ch/fr/maison/acheter/lieu-suen-st-martin" TargetMode="External"/><Relationship Id="rId2620" Type="http://schemas.openxmlformats.org/officeDocument/2006/relationships/hyperlink" Target="https://www.immoscout24.ch/fr/maison/acheter/lieu-magliaso" TargetMode="External"/><Relationship Id="rId3950" Type="http://schemas.openxmlformats.org/officeDocument/2006/relationships/hyperlink" Target="https://www.immoscout24.ch/fr/appartement/louer/lieu-cinuos-chel" TargetMode="External"/><Relationship Id="rId2610" Type="http://schemas.openxmlformats.org/officeDocument/2006/relationships/hyperlink" Target="https://www.immoscout24.ch/fr/maison/acheter/lieu-bursins" TargetMode="External"/><Relationship Id="rId3942" Type="http://schemas.openxmlformats.org/officeDocument/2006/relationships/hyperlink" Target="https://www.immoscout24.ch/fr/appartement/louer/lieu-teufen-ar" TargetMode="External"/><Relationship Id="rId2611" Type="http://schemas.openxmlformats.org/officeDocument/2006/relationships/hyperlink" Target="https://www.immoscout24.ch/fr/maison/louer/lieu-satigny" TargetMode="External"/><Relationship Id="rId3941" Type="http://schemas.openxmlformats.org/officeDocument/2006/relationships/hyperlink" Target="https://www.immoscout24.ch/fr/appartement/louer/lieu-grub-ar" TargetMode="External"/><Relationship Id="rId2612" Type="http://schemas.openxmlformats.org/officeDocument/2006/relationships/hyperlink" Target="https://www.immoscout24.ch/fr/maison/acheter/lieu-lengnau-be" TargetMode="External"/><Relationship Id="rId3944" Type="http://schemas.openxmlformats.org/officeDocument/2006/relationships/hyperlink" Target="https://www.immoscout24.ch/fr/maison/acheter/lieu-rupperswil" TargetMode="External"/><Relationship Id="rId2613" Type="http://schemas.openxmlformats.org/officeDocument/2006/relationships/hyperlink" Target="https://www.immoscout24.ch/fr/maison/louer/lieu-ste-croix" TargetMode="External"/><Relationship Id="rId3943" Type="http://schemas.openxmlformats.org/officeDocument/2006/relationships/hyperlink" Target="https://www.immoscout24.ch/fr/appartement/louer/lieu-mutrux" TargetMode="External"/><Relationship Id="rId2614" Type="http://schemas.openxmlformats.org/officeDocument/2006/relationships/hyperlink" Target="https://www.immoscout24.ch/fr/appartement/acheter/lieu-adlikon-b-regensdorf" TargetMode="External"/><Relationship Id="rId3946" Type="http://schemas.openxmlformats.org/officeDocument/2006/relationships/hyperlink" Target="https://www.immoscout24.ch/fr/appartement/louer/lieu-gentilino" TargetMode="External"/><Relationship Id="rId2615" Type="http://schemas.openxmlformats.org/officeDocument/2006/relationships/hyperlink" Target="https://www.immoscout24.ch/fr/maison/louer/region-val-de-travers" TargetMode="External"/><Relationship Id="rId3945" Type="http://schemas.openxmlformats.org/officeDocument/2006/relationships/hyperlink" Target="https://www.immoscout24.ch/fr/appartement/louer/quartier-lachen-st-gall" TargetMode="External"/><Relationship Id="rId2616" Type="http://schemas.openxmlformats.org/officeDocument/2006/relationships/hyperlink" Target="https://www.immoscout24.ch/fr/maison/acheter/lieu-villeneuve-vd" TargetMode="External"/><Relationship Id="rId3948" Type="http://schemas.openxmlformats.org/officeDocument/2006/relationships/hyperlink" Target="https://www.immoscout24.ch/fr/maison/louer/lieu-salenstein" TargetMode="External"/><Relationship Id="rId2617" Type="http://schemas.openxmlformats.org/officeDocument/2006/relationships/hyperlink" Target="https://www.immoscout24.ch/fr/appartement/louer/lieu-coeuve" TargetMode="External"/><Relationship Id="rId3947" Type="http://schemas.openxmlformats.org/officeDocument/2006/relationships/hyperlink" Target="https://www.immoscout24.ch/fr/maison/acheter/lieu-collombey" TargetMode="External"/><Relationship Id="rId2618" Type="http://schemas.openxmlformats.org/officeDocument/2006/relationships/hyperlink" Target="https://www.immoscout24.ch/fr/appartement/louer/quartier-places-fribourg" TargetMode="External"/><Relationship Id="rId2619" Type="http://schemas.openxmlformats.org/officeDocument/2006/relationships/hyperlink" Target="https://www.immoscout24.ch/fr/appartement/louer/lieu-goldau" TargetMode="External"/><Relationship Id="rId3949" Type="http://schemas.openxmlformats.org/officeDocument/2006/relationships/hyperlink" Target="https://www.immoscout24.ch/fr/appartement/acheter/lieu-manno" TargetMode="External"/><Relationship Id="rId3940" Type="http://schemas.openxmlformats.org/officeDocument/2006/relationships/hyperlink" Target="https://www.immoscout24.ch/fr/appartement/louer/lieu-st-gallen" TargetMode="External"/><Relationship Id="rId1312" Type="http://schemas.openxmlformats.org/officeDocument/2006/relationships/hyperlink" Target="https://www.immoscout24.ch/fr/maison/acheter/lieu-besencens" TargetMode="External"/><Relationship Id="rId2643" Type="http://schemas.openxmlformats.org/officeDocument/2006/relationships/hyperlink" Target="https://www.immoscout24.ch/fr/appartement/louer/lieu-cournillens" TargetMode="External"/><Relationship Id="rId3975" Type="http://schemas.openxmlformats.org/officeDocument/2006/relationships/hyperlink" Target="https://www.immoscout24.ch/fr/maison/louer/lieu-neuenkirch" TargetMode="External"/><Relationship Id="rId1313" Type="http://schemas.openxmlformats.org/officeDocument/2006/relationships/hyperlink" Target="https://www.immoscout24.ch/fr/maison/acheter/quartier-serrieres-neuchatel" TargetMode="External"/><Relationship Id="rId2644" Type="http://schemas.openxmlformats.org/officeDocument/2006/relationships/hyperlink" Target="https://www.immoscout24.ch/fr/appartement/louer/lieu-sarnen" TargetMode="External"/><Relationship Id="rId3974" Type="http://schemas.openxmlformats.org/officeDocument/2006/relationships/hyperlink" Target="https://www.immoscout24.ch/fr/appartement/louer/quartier-altstadt-wey-lucerne" TargetMode="External"/><Relationship Id="rId1314" Type="http://schemas.openxmlformats.org/officeDocument/2006/relationships/hyperlink" Target="https://www.immoscout24.ch/fr/maison/acheter/lieu-troistorrents" TargetMode="External"/><Relationship Id="rId2645" Type="http://schemas.openxmlformats.org/officeDocument/2006/relationships/hyperlink" Target="https://www.immoscout24.ch/fr/appartement/acheter/lieu-dompierre-fr" TargetMode="External"/><Relationship Id="rId3977" Type="http://schemas.openxmlformats.org/officeDocument/2006/relationships/hyperlink" Target="https://www.immoscout24.ch/fr/appartement/acheter/lieu-pery" TargetMode="External"/><Relationship Id="rId1315" Type="http://schemas.openxmlformats.org/officeDocument/2006/relationships/hyperlink" Target="https://www.immoscout24.ch/fr/maison/acheter/lieu-moosseedorf" TargetMode="External"/><Relationship Id="rId2646" Type="http://schemas.openxmlformats.org/officeDocument/2006/relationships/hyperlink" Target="https://www.immoscout24.ch/fr/appartement/louer/lieu-suchy" TargetMode="External"/><Relationship Id="rId3976" Type="http://schemas.openxmlformats.org/officeDocument/2006/relationships/hyperlink" Target="https://www.immoscout24.ch/fr/maison/acheter/lieu-purasca" TargetMode="External"/><Relationship Id="rId1316" Type="http://schemas.openxmlformats.org/officeDocument/2006/relationships/hyperlink" Target="https://www.immoscout24.ch/fr/appartement/acheter/lieu-broc" TargetMode="External"/><Relationship Id="rId2647" Type="http://schemas.openxmlformats.org/officeDocument/2006/relationships/hyperlink" Target="https://www.immoscout24.ch/fr/appartement/louer/lieu-gorduno" TargetMode="External"/><Relationship Id="rId3979" Type="http://schemas.openxmlformats.org/officeDocument/2006/relationships/hyperlink" Target="https://www.immoscout24.ch/fr/appartement/louer/lieu-courtemaiche" TargetMode="External"/><Relationship Id="rId1317" Type="http://schemas.openxmlformats.org/officeDocument/2006/relationships/hyperlink" Target="https://www.immoscout24.ch/fr/appartement/louer/lieu-bad-ragaz" TargetMode="External"/><Relationship Id="rId2648" Type="http://schemas.openxmlformats.org/officeDocument/2006/relationships/hyperlink" Target="https://www.immoscout24.ch/fr/appartement/louer/lieu-vufflens-le-chateau" TargetMode="External"/><Relationship Id="rId3978" Type="http://schemas.openxmlformats.org/officeDocument/2006/relationships/hyperlink" Target="https://www.immoscout24.ch/fr/appartement/louer/lieu-feldbrunnen" TargetMode="External"/><Relationship Id="rId1318" Type="http://schemas.openxmlformats.org/officeDocument/2006/relationships/hyperlink" Target="https://www.immoscout24.ch/fr/appartement/louer/lieu-langnau-am-albis" TargetMode="External"/><Relationship Id="rId2649" Type="http://schemas.openxmlformats.org/officeDocument/2006/relationships/hyperlink" Target="https://www.immoscout24.ch/fr/appartement/louer/lieu-corin-de-la-crete" TargetMode="External"/><Relationship Id="rId1319" Type="http://schemas.openxmlformats.org/officeDocument/2006/relationships/hyperlink" Target="https://www.immoscout24.ch/fr/appartement/acheter/region-emmental" TargetMode="External"/><Relationship Id="rId729" Type="http://schemas.openxmlformats.org/officeDocument/2006/relationships/hyperlink" Target="https://www.immoscout24.ch/fr/appartement/louer/lieu-bellmund" TargetMode="External"/><Relationship Id="rId728" Type="http://schemas.openxmlformats.org/officeDocument/2006/relationships/hyperlink" Target="https://www.immoscout24.ch/fr/appartement/louer/lieu-altwis" TargetMode="External"/><Relationship Id="rId723" Type="http://schemas.openxmlformats.org/officeDocument/2006/relationships/hyperlink" Target="https://www.immoscout24.ch/fr/appartement/louer/lieu-laufen" TargetMode="External"/><Relationship Id="rId722" Type="http://schemas.openxmlformats.org/officeDocument/2006/relationships/hyperlink" Target="https://www.immoscout24.ch/fr/maison/acheter/lieu-berolle" TargetMode="External"/><Relationship Id="rId721" Type="http://schemas.openxmlformats.org/officeDocument/2006/relationships/hyperlink" Target="https://www.immoscout24.ch/fr/appartement/louer/lieu-maennedorf" TargetMode="External"/><Relationship Id="rId720" Type="http://schemas.openxmlformats.org/officeDocument/2006/relationships/hyperlink" Target="https://www.immoscout24.ch/fr/appartement/louer/lieu-noville" TargetMode="External"/><Relationship Id="rId727" Type="http://schemas.openxmlformats.org/officeDocument/2006/relationships/hyperlink" Target="https://www.immoscout24.ch/fr/maison/louer/lieu-riex" TargetMode="External"/><Relationship Id="rId726" Type="http://schemas.openxmlformats.org/officeDocument/2006/relationships/hyperlink" Target="https://www.immoscout24.ch/fr/appartement/louer/lieu-grancy" TargetMode="External"/><Relationship Id="rId725" Type="http://schemas.openxmlformats.org/officeDocument/2006/relationships/hyperlink" Target="https://www.immoscout24.ch/fr/appartement/louer/lieu-muentschemier" TargetMode="External"/><Relationship Id="rId724" Type="http://schemas.openxmlformats.org/officeDocument/2006/relationships/hyperlink" Target="https://www.immoscout24.ch/fr/appartement/louer/region-yverdon-grandson" TargetMode="External"/><Relationship Id="rId3971" Type="http://schemas.openxmlformats.org/officeDocument/2006/relationships/hyperlink" Target="https://www.immoscout24.ch/fr/appartement/acheter/lieu-sissach" TargetMode="External"/><Relationship Id="rId2640" Type="http://schemas.openxmlformats.org/officeDocument/2006/relationships/hyperlink" Target="https://www.immoscout24.ch/fr/maison/acheter/lieu-renan-be" TargetMode="External"/><Relationship Id="rId3970" Type="http://schemas.openxmlformats.org/officeDocument/2006/relationships/hyperlink" Target="https://www.immoscout24.ch/fr/appartement/acheter/lieu-ardez" TargetMode="External"/><Relationship Id="rId1310" Type="http://schemas.openxmlformats.org/officeDocument/2006/relationships/hyperlink" Target="https://www.immoscout24.ch/fr/maison/acheter/lieu-auboranges" TargetMode="External"/><Relationship Id="rId2641" Type="http://schemas.openxmlformats.org/officeDocument/2006/relationships/hyperlink" Target="https://www.immoscout24.ch/fr/appartement/acheter/lieu-villars-tiercelin" TargetMode="External"/><Relationship Id="rId3973" Type="http://schemas.openxmlformats.org/officeDocument/2006/relationships/hyperlink" Target="https://www.immoscout24.ch/fr/appartement/louer/lieu-founex" TargetMode="External"/><Relationship Id="rId1311" Type="http://schemas.openxmlformats.org/officeDocument/2006/relationships/hyperlink" Target="https://www.immoscout24.ch/fr/maison/acheter/lieu-winterberg-zh" TargetMode="External"/><Relationship Id="rId2642" Type="http://schemas.openxmlformats.org/officeDocument/2006/relationships/hyperlink" Target="https://www.immoscout24.ch/fr/appartement/louer/lieu-rickenbach-b-schwyz" TargetMode="External"/><Relationship Id="rId3972" Type="http://schemas.openxmlformats.org/officeDocument/2006/relationships/hyperlink" Target="https://www.immoscout24.ch/fr/appartement/louer/lieu-gressy" TargetMode="External"/><Relationship Id="rId1301" Type="http://schemas.openxmlformats.org/officeDocument/2006/relationships/hyperlink" Target="https://www.immoscout24.ch/fr/appartement/louer/lieu-oberbipp" TargetMode="External"/><Relationship Id="rId2632" Type="http://schemas.openxmlformats.org/officeDocument/2006/relationships/hyperlink" Target="https://www.immoscout24.ch/fr/appartement/louer/lieu-les-evouettes" TargetMode="External"/><Relationship Id="rId3964" Type="http://schemas.openxmlformats.org/officeDocument/2006/relationships/hyperlink" Target="https://www.immoscout24.ch/fr/appartement/acheter/lieu-vouvry" TargetMode="External"/><Relationship Id="rId1302" Type="http://schemas.openxmlformats.org/officeDocument/2006/relationships/hyperlink" Target="https://www.immoscout24.ch/fr/appartement/louer/lieu-reconvilier" TargetMode="External"/><Relationship Id="rId2633" Type="http://schemas.openxmlformats.org/officeDocument/2006/relationships/hyperlink" Target="https://www.immoscout24.ch/fr/maison/acheter/lieu-chalais" TargetMode="External"/><Relationship Id="rId3963" Type="http://schemas.openxmlformats.org/officeDocument/2006/relationships/hyperlink" Target="https://www.immoscout24.ch/fr/appartement/acheter/region-thoune-lac-de-thoune-nord" TargetMode="External"/><Relationship Id="rId1303" Type="http://schemas.openxmlformats.org/officeDocument/2006/relationships/hyperlink" Target="https://www.immoscout24.ch/fr/appartement/acheter/quartier-grand-pre-vermont-geneve" TargetMode="External"/><Relationship Id="rId2634" Type="http://schemas.openxmlformats.org/officeDocument/2006/relationships/hyperlink" Target="https://www.immoscout24.ch/fr/maison/louer/lieu-zuerich" TargetMode="External"/><Relationship Id="rId3966" Type="http://schemas.openxmlformats.org/officeDocument/2006/relationships/hyperlink" Target="https://www.immoscout24.ch/fr/appartement/louer/lieu-lumino" TargetMode="External"/><Relationship Id="rId1304" Type="http://schemas.openxmlformats.org/officeDocument/2006/relationships/hyperlink" Target="https://www.immoscout24.ch/fr/appartement/louer/lieu-daellikon" TargetMode="External"/><Relationship Id="rId2635" Type="http://schemas.openxmlformats.org/officeDocument/2006/relationships/hyperlink" Target="https://www.immoscout24.ch/fr/maison/louer/lieu-eisten" TargetMode="External"/><Relationship Id="rId3965" Type="http://schemas.openxmlformats.org/officeDocument/2006/relationships/hyperlink" Target="https://www.immoscout24.ch/fr/appartement/louer/lieu-bioggio" TargetMode="External"/><Relationship Id="rId1305" Type="http://schemas.openxmlformats.org/officeDocument/2006/relationships/hyperlink" Target="https://www.immoscout24.ch/fr/maison/acheter/lieu-begnins" TargetMode="External"/><Relationship Id="rId2636" Type="http://schemas.openxmlformats.org/officeDocument/2006/relationships/hyperlink" Target="https://www.immoscout24.ch/fr/appartement/louer/lieu-altstaetten-sg" TargetMode="External"/><Relationship Id="rId3968" Type="http://schemas.openxmlformats.org/officeDocument/2006/relationships/hyperlink" Target="https://www.immoscout24.ch/fr/maison/acheter/lieu-collonges" TargetMode="External"/><Relationship Id="rId1306" Type="http://schemas.openxmlformats.org/officeDocument/2006/relationships/hyperlink" Target="https://www.immoscout24.ch/fr/appartement/louer/lieu-wangen-b-olten" TargetMode="External"/><Relationship Id="rId2637" Type="http://schemas.openxmlformats.org/officeDocument/2006/relationships/hyperlink" Target="https://www.immoscout24.ch/fr/maison/acheter/lieu-bern" TargetMode="External"/><Relationship Id="rId3967" Type="http://schemas.openxmlformats.org/officeDocument/2006/relationships/hyperlink" Target="https://www.immoscout24.ch/fr/appartement/louer/quartier-bourguillon-fribourg" TargetMode="External"/><Relationship Id="rId1307" Type="http://schemas.openxmlformats.org/officeDocument/2006/relationships/hyperlink" Target="https://www.immoscout24.ch/fr/maison/louer/lieu-guemligen" TargetMode="External"/><Relationship Id="rId2638" Type="http://schemas.openxmlformats.org/officeDocument/2006/relationships/hyperlink" Target="https://www.immoscout24.ch/fr/maison/acheter/lieu-varen" TargetMode="External"/><Relationship Id="rId1308" Type="http://schemas.openxmlformats.org/officeDocument/2006/relationships/hyperlink" Target="https://www.immoscout24.ch/fr/maison/acheter/lieu-hondrich" TargetMode="External"/><Relationship Id="rId2639" Type="http://schemas.openxmlformats.org/officeDocument/2006/relationships/hyperlink" Target="https://www.immoscout24.ch/fr/appartement/acheter/lieu-dottikon" TargetMode="External"/><Relationship Id="rId3969" Type="http://schemas.openxmlformats.org/officeDocument/2006/relationships/hyperlink" Target="https://www.immoscout24.ch/fr/maison/louer/quartier-onu-rigot-geneve" TargetMode="External"/><Relationship Id="rId1309" Type="http://schemas.openxmlformats.org/officeDocument/2006/relationships/hyperlink" Target="https://www.immoscout24.ch/fr/appartement/acheter/lieu-vessy" TargetMode="External"/><Relationship Id="rId719" Type="http://schemas.openxmlformats.org/officeDocument/2006/relationships/hyperlink" Target="https://www.immoscout24.ch/fr/appartement/acheter/lieu-chatonnaye" TargetMode="External"/><Relationship Id="rId718" Type="http://schemas.openxmlformats.org/officeDocument/2006/relationships/hyperlink" Target="https://www.immoscout24.ch/fr/maison/acheter/lieu-founex" TargetMode="External"/><Relationship Id="rId717" Type="http://schemas.openxmlformats.org/officeDocument/2006/relationships/hyperlink" Target="https://www.immoscout24.ch/fr/appartement/acheter/lieu-heerbrugg" TargetMode="External"/><Relationship Id="rId712" Type="http://schemas.openxmlformats.org/officeDocument/2006/relationships/hyperlink" Target="https://www.immoscout24.ch/fr/appartement/louer/quartier-buchthalen-schaffhouse" TargetMode="External"/><Relationship Id="rId711" Type="http://schemas.openxmlformats.org/officeDocument/2006/relationships/hyperlink" Target="https://www.immoscout24.ch/fr/appartement/louer/lieu-st-ursen" TargetMode="External"/><Relationship Id="rId710" Type="http://schemas.openxmlformats.org/officeDocument/2006/relationships/hyperlink" Target="https://www.immoscout24.ch/fr/appartement/acheter/lieu-lenzburg" TargetMode="External"/><Relationship Id="rId716" Type="http://schemas.openxmlformats.org/officeDocument/2006/relationships/hyperlink" Target="https://www.immoscout24.ch/fr/maison/louer/region-guerbetal-voralpen" TargetMode="External"/><Relationship Id="rId715" Type="http://schemas.openxmlformats.org/officeDocument/2006/relationships/hyperlink" Target="https://www.immoscout24.ch/fr/appartement/acheter/lieu-jegenstorf" TargetMode="External"/><Relationship Id="rId714" Type="http://schemas.openxmlformats.org/officeDocument/2006/relationships/hyperlink" Target="https://www.immoscout24.ch/fr/maison/acheter/lieu-vuissens" TargetMode="External"/><Relationship Id="rId713" Type="http://schemas.openxmlformats.org/officeDocument/2006/relationships/hyperlink" Target="https://www.immoscout24.ch/fr/maison/acheter/region-pfannenstiel" TargetMode="External"/><Relationship Id="rId3960" Type="http://schemas.openxmlformats.org/officeDocument/2006/relationships/hyperlink" Target="https://www.immoscout24.ch/fr/maison/acheter/lieu-liebistorf" TargetMode="External"/><Relationship Id="rId2630" Type="http://schemas.openxmlformats.org/officeDocument/2006/relationships/hyperlink" Target="https://www.immoscout24.ch/fr/appartement/louer/lieu-ponthaux" TargetMode="External"/><Relationship Id="rId3962" Type="http://schemas.openxmlformats.org/officeDocument/2006/relationships/hyperlink" Target="https://www.immoscout24.ch/fr/appartement/louer/lieu-lichtensteig" TargetMode="External"/><Relationship Id="rId1300" Type="http://schemas.openxmlformats.org/officeDocument/2006/relationships/hyperlink" Target="https://www.immoscout24.ch/fr/maison/louer/lieu-saviese" TargetMode="External"/><Relationship Id="rId2631" Type="http://schemas.openxmlformats.org/officeDocument/2006/relationships/hyperlink" Target="https://www.immoscout24.ch/fr/maison/acheter/lieu-la-chaux-du-milieu" TargetMode="External"/><Relationship Id="rId3961" Type="http://schemas.openxmlformats.org/officeDocument/2006/relationships/hyperlink" Target="https://www.immoscout24.ch/fr/maison/acheter/lieu-sonceboz-sombeval" TargetMode="External"/><Relationship Id="rId1378" Type="http://schemas.openxmlformats.org/officeDocument/2006/relationships/hyperlink" Target="https://www.immoscout24.ch/fr/appartement/acheter/lieu-genolier" TargetMode="External"/><Relationship Id="rId1379" Type="http://schemas.openxmlformats.org/officeDocument/2006/relationships/hyperlink" Target="https://www.immoscout24.ch/fr/appartement/louer/lieu-wangen-sz" TargetMode="External"/><Relationship Id="rId789" Type="http://schemas.openxmlformats.org/officeDocument/2006/relationships/hyperlink" Target="https://www.immoscout24.ch/fr/appartement/acheter/lieu-baar" TargetMode="External"/><Relationship Id="rId788" Type="http://schemas.openxmlformats.org/officeDocument/2006/relationships/hyperlink" Target="https://www.immoscout24.ch/fr/appartement/acheter/lieu-paradiso" TargetMode="External"/><Relationship Id="rId787" Type="http://schemas.openxmlformats.org/officeDocument/2006/relationships/hyperlink" Target="https://www.immoscout24.ch/fr/maison/acheter/lieu-ried-brig" TargetMode="External"/><Relationship Id="rId786" Type="http://schemas.openxmlformats.org/officeDocument/2006/relationships/hyperlink" Target="https://www.immoscout24.ch/fr/appartement/louer/lieu-ried-b-kerzers" TargetMode="External"/><Relationship Id="rId781" Type="http://schemas.openxmlformats.org/officeDocument/2006/relationships/hyperlink" Target="https://www.immoscout24.ch/fr/maison/acheter/canton-berne" TargetMode="External"/><Relationship Id="rId1370" Type="http://schemas.openxmlformats.org/officeDocument/2006/relationships/hyperlink" Target="https://www.immoscout24.ch/fr/maison/acheter/lieu-grindelwald" TargetMode="External"/><Relationship Id="rId780" Type="http://schemas.openxmlformats.org/officeDocument/2006/relationships/hyperlink" Target="https://www.immoscout24.ch/fr/appartement/acheter/lieu-chamoson" TargetMode="External"/><Relationship Id="rId1371" Type="http://schemas.openxmlformats.org/officeDocument/2006/relationships/hyperlink" Target="https://www.immoscout24.ch/fr/maison/louer/lieu-corgemont" TargetMode="External"/><Relationship Id="rId1372" Type="http://schemas.openxmlformats.org/officeDocument/2006/relationships/hyperlink" Target="https://www.immoscout24.ch/fr/appartement/louer/region-mendrisiotto" TargetMode="External"/><Relationship Id="rId1373" Type="http://schemas.openxmlformats.org/officeDocument/2006/relationships/hyperlink" Target="https://www.immoscout24.ch/fr/appartement/louer/lieu-goldiwil-thun" TargetMode="External"/><Relationship Id="rId785" Type="http://schemas.openxmlformats.org/officeDocument/2006/relationships/hyperlink" Target="https://www.immoscout24.ch/fr/appartement/louer/lieu-les-avanchets" TargetMode="External"/><Relationship Id="rId1374" Type="http://schemas.openxmlformats.org/officeDocument/2006/relationships/hyperlink" Target="https://www.immoscout24.ch/fr/appartement/louer/lieu-hurden" TargetMode="External"/><Relationship Id="rId784" Type="http://schemas.openxmlformats.org/officeDocument/2006/relationships/hyperlink" Target="https://www.immoscout24.ch/fr/maison/acheter/lieu-farnern" TargetMode="External"/><Relationship Id="rId1375" Type="http://schemas.openxmlformats.org/officeDocument/2006/relationships/hyperlink" Target="https://www.immoscout24.ch/fr/maison/acheter/lieu-welschenrohr" TargetMode="External"/><Relationship Id="rId783" Type="http://schemas.openxmlformats.org/officeDocument/2006/relationships/hyperlink" Target="https://www.immoscout24.ch/fr/appartement/acheter/lieu-kuessnacht-am-rigi" TargetMode="External"/><Relationship Id="rId1376" Type="http://schemas.openxmlformats.org/officeDocument/2006/relationships/hyperlink" Target="https://www.immoscout24.ch/fr/maison/louer/lieu-villars-sur-fontenais" TargetMode="External"/><Relationship Id="rId782" Type="http://schemas.openxmlformats.org/officeDocument/2006/relationships/hyperlink" Target="https://www.immoscout24.ch/fr/maison/acheter/lieu-le-cret-du-locle" TargetMode="External"/><Relationship Id="rId1377" Type="http://schemas.openxmlformats.org/officeDocument/2006/relationships/hyperlink" Target="https://www.immoscout24.ch/fr/appartement/acheter/region-campagne-rive-droite" TargetMode="External"/><Relationship Id="rId1367" Type="http://schemas.openxmlformats.org/officeDocument/2006/relationships/hyperlink" Target="https://www.immoscout24.ch/fr/maison/acheter/lieu-vernayaz" TargetMode="External"/><Relationship Id="rId2698" Type="http://schemas.openxmlformats.org/officeDocument/2006/relationships/hyperlink" Target="https://www.immoscout24.ch/fr/maison/acheter/lieu-crans-montana" TargetMode="External"/><Relationship Id="rId1368" Type="http://schemas.openxmlformats.org/officeDocument/2006/relationships/hyperlink" Target="https://www.immoscout24.ch/fr/maison/louer/canton-tessin" TargetMode="External"/><Relationship Id="rId2699" Type="http://schemas.openxmlformats.org/officeDocument/2006/relationships/hyperlink" Target="https://www.immoscout24.ch/fr/maison/acheter/lieu-avry-devant-pont" TargetMode="External"/><Relationship Id="rId1369" Type="http://schemas.openxmlformats.org/officeDocument/2006/relationships/hyperlink" Target="https://www.immoscout24.ch/fr/appartement/louer/canton-bale-campagne" TargetMode="External"/><Relationship Id="rId778" Type="http://schemas.openxmlformats.org/officeDocument/2006/relationships/hyperlink" Target="https://www.immoscout24.ch/fr/appartement/louer/lieu-klingnau" TargetMode="External"/><Relationship Id="rId777" Type="http://schemas.openxmlformats.org/officeDocument/2006/relationships/hyperlink" Target="https://www.immoscout24.ch/fr/maison/acheter/lieu-rothrist" TargetMode="External"/><Relationship Id="rId776" Type="http://schemas.openxmlformats.org/officeDocument/2006/relationships/hyperlink" Target="https://www.immoscout24.ch/fr/maison/louer/lieu-rue" TargetMode="External"/><Relationship Id="rId775" Type="http://schemas.openxmlformats.org/officeDocument/2006/relationships/hyperlink" Target="https://www.immoscout24.ch/fr/maison/acheter/quartier-gryphenhuebeli-berne" TargetMode="External"/><Relationship Id="rId779" Type="http://schemas.openxmlformats.org/officeDocument/2006/relationships/hyperlink" Target="https://www.immoscout24.ch/fr/appartement/louer/lieu-cully" TargetMode="External"/><Relationship Id="rId770" Type="http://schemas.openxmlformats.org/officeDocument/2006/relationships/hyperlink" Target="https://www.immoscout24.ch/fr/maison/acheter/lieu-les-friques" TargetMode="External"/><Relationship Id="rId2690" Type="http://schemas.openxmlformats.org/officeDocument/2006/relationships/hyperlink" Target="https://www.immoscout24.ch/fr/maison/acheter/lieu-safnern" TargetMode="External"/><Relationship Id="rId1360" Type="http://schemas.openxmlformats.org/officeDocument/2006/relationships/hyperlink" Target="https://www.immoscout24.ch/fr/maison/acheter/lieu-breil-brigels" TargetMode="External"/><Relationship Id="rId2691" Type="http://schemas.openxmlformats.org/officeDocument/2006/relationships/hyperlink" Target="https://www.immoscout24.ch/fr/appartement/acheter/lieu-fontainemelon" TargetMode="External"/><Relationship Id="rId1361" Type="http://schemas.openxmlformats.org/officeDocument/2006/relationships/hyperlink" Target="https://www.immoscout24.ch/fr/appartement/acheter/quartier-jura-fribourg" TargetMode="External"/><Relationship Id="rId2692" Type="http://schemas.openxmlformats.org/officeDocument/2006/relationships/hyperlink" Target="https://www.immoscout24.ch/fr/maison/acheter/lieu-buchs-ag" TargetMode="External"/><Relationship Id="rId1362" Type="http://schemas.openxmlformats.org/officeDocument/2006/relationships/hyperlink" Target="https://www.immoscout24.ch/fr/maison/acheter/lieu-ligerz" TargetMode="External"/><Relationship Id="rId2693" Type="http://schemas.openxmlformats.org/officeDocument/2006/relationships/hyperlink" Target="https://www.immoscout24.ch/fr/appartement/louer/lieu-port" TargetMode="External"/><Relationship Id="rId774" Type="http://schemas.openxmlformats.org/officeDocument/2006/relationships/hyperlink" Target="https://www.immoscout24.ch/fr/appartement/louer/lieu-biere" TargetMode="External"/><Relationship Id="rId1363" Type="http://schemas.openxmlformats.org/officeDocument/2006/relationships/hyperlink" Target="https://www.immoscout24.ch/fr/appartement/acheter/lieu-lavigny" TargetMode="External"/><Relationship Id="rId2694" Type="http://schemas.openxmlformats.org/officeDocument/2006/relationships/hyperlink" Target="https://www.immoscout24.ch/fr/maison/acheter/lieu-corminboeuf" TargetMode="External"/><Relationship Id="rId773" Type="http://schemas.openxmlformats.org/officeDocument/2006/relationships/hyperlink" Target="https://www.immoscout24.ch/fr/appartement/louer/lieu-gettnau" TargetMode="External"/><Relationship Id="rId1364" Type="http://schemas.openxmlformats.org/officeDocument/2006/relationships/hyperlink" Target="https://www.immoscout24.ch/fr/appartement/louer/pays-portugal" TargetMode="External"/><Relationship Id="rId2695" Type="http://schemas.openxmlformats.org/officeDocument/2006/relationships/hyperlink" Target="https://www.immoscout24.ch/fr/maison/acheter/lieu-faulensee" TargetMode="External"/><Relationship Id="rId772" Type="http://schemas.openxmlformats.org/officeDocument/2006/relationships/hyperlink" Target="https://www.immoscout24.ch/fr/appartement/louer/lieu-moenchaltorf" TargetMode="External"/><Relationship Id="rId1365" Type="http://schemas.openxmlformats.org/officeDocument/2006/relationships/hyperlink" Target="https://www.immoscout24.ch/fr/maison/acheter/lieu-guarda" TargetMode="External"/><Relationship Id="rId2696" Type="http://schemas.openxmlformats.org/officeDocument/2006/relationships/hyperlink" Target="https://www.immoscout24.ch/fr/appartement/louer/quartier-guggenbuehl-winterthur" TargetMode="External"/><Relationship Id="rId771" Type="http://schemas.openxmlformats.org/officeDocument/2006/relationships/hyperlink" Target="https://www.immoscout24.ch/fr/appartement/louer/quartier-boujean-biel-bienne" TargetMode="External"/><Relationship Id="rId1366" Type="http://schemas.openxmlformats.org/officeDocument/2006/relationships/hyperlink" Target="https://www.immoscout24.ch/fr/appartement/acheter/lieu-mollens-vs" TargetMode="External"/><Relationship Id="rId2697" Type="http://schemas.openxmlformats.org/officeDocument/2006/relationships/hyperlink" Target="https://www.immoscout24.ch/fr/appartement/louer/lieu-sassel" TargetMode="External"/><Relationship Id="rId1390" Type="http://schemas.openxmlformats.org/officeDocument/2006/relationships/hyperlink" Target="https://www.immoscout24.ch/fr/appartement/louer/lieu-breganzona" TargetMode="External"/><Relationship Id="rId1391" Type="http://schemas.openxmlformats.org/officeDocument/2006/relationships/hyperlink" Target="https://www.immoscout24.ch/fr/appartement/acheter/lieu-posieux" TargetMode="External"/><Relationship Id="rId1392" Type="http://schemas.openxmlformats.org/officeDocument/2006/relationships/hyperlink" Target="https://www.immoscout24.ch/fr/maison/louer/region-aigle-alpes-vaudoises" TargetMode="External"/><Relationship Id="rId1393" Type="http://schemas.openxmlformats.org/officeDocument/2006/relationships/hyperlink" Target="https://www.immoscout24.ch/fr/appartement/louer/lieu-la-garde-sembrancher" TargetMode="External"/><Relationship Id="rId1394" Type="http://schemas.openxmlformats.org/officeDocument/2006/relationships/hyperlink" Target="https://www.immoscout24.ch/fr/appartement/louer/lieu-senarclens" TargetMode="External"/><Relationship Id="rId1395" Type="http://schemas.openxmlformats.org/officeDocument/2006/relationships/hyperlink" Target="https://www.immoscout24.ch/fr/appartement/louer/lieu-neuchatel" TargetMode="External"/><Relationship Id="rId1396" Type="http://schemas.openxmlformats.org/officeDocument/2006/relationships/hyperlink" Target="https://www.immoscout24.ch/fr/appartement/acheter/lieu-stalden-vs" TargetMode="External"/><Relationship Id="rId1397" Type="http://schemas.openxmlformats.org/officeDocument/2006/relationships/hyperlink" Target="https://www.immoscout24.ch/fr/appartement/acheter/lieu-boll" TargetMode="External"/><Relationship Id="rId1398" Type="http://schemas.openxmlformats.org/officeDocument/2006/relationships/hyperlink" Target="https://www.immoscout24.ch/fr/appartement/acheter/lieu-roche-vd" TargetMode="External"/><Relationship Id="rId1399" Type="http://schemas.openxmlformats.org/officeDocument/2006/relationships/hyperlink" Target="https://www.immoscout24.ch/fr/maison/acheter/lieu-heremence" TargetMode="External"/><Relationship Id="rId1389" Type="http://schemas.openxmlformats.org/officeDocument/2006/relationships/hyperlink" Target="https://www.immoscout24.ch/fr/maison/louer/lieu-athenaz-avusy" TargetMode="External"/><Relationship Id="rId799" Type="http://schemas.openxmlformats.org/officeDocument/2006/relationships/hyperlink" Target="https://www.immoscout24.ch/fr/appartement/acheter/lieu-heremence" TargetMode="External"/><Relationship Id="rId798" Type="http://schemas.openxmlformats.org/officeDocument/2006/relationships/hyperlink" Target="https://www.immoscout24.ch/fr/appartement/louer/lieu-kleindoettingen" TargetMode="External"/><Relationship Id="rId797" Type="http://schemas.openxmlformats.org/officeDocument/2006/relationships/hyperlink" Target="https://www.immoscout24.ch/fr/appartement/louer/lieu-bonfol" TargetMode="External"/><Relationship Id="rId1380" Type="http://schemas.openxmlformats.org/officeDocument/2006/relationships/hyperlink" Target="https://www.immoscout24.ch/fr/appartement/louer/lieu-luzern" TargetMode="External"/><Relationship Id="rId792" Type="http://schemas.openxmlformats.org/officeDocument/2006/relationships/hyperlink" Target="https://www.immoscout24.ch/fr/appartement/louer/lieu-pfaffhausen" TargetMode="External"/><Relationship Id="rId1381" Type="http://schemas.openxmlformats.org/officeDocument/2006/relationships/hyperlink" Target="https://www.immoscout24.ch/fr/maison/acheter/pays-mexique" TargetMode="External"/><Relationship Id="rId791" Type="http://schemas.openxmlformats.org/officeDocument/2006/relationships/hyperlink" Target="https://www.immoscout24.ch/fr/appartement/acheter/lieu-pfaeffikon-zh" TargetMode="External"/><Relationship Id="rId1382" Type="http://schemas.openxmlformats.org/officeDocument/2006/relationships/hyperlink" Target="https://www.immoscout24.ch/fr/appartement/louer/lieu-mendrisio" TargetMode="External"/><Relationship Id="rId790" Type="http://schemas.openxmlformats.org/officeDocument/2006/relationships/hyperlink" Target="https://www.immoscout24.ch/fr/maison/acheter/lieu-matten-b-interlaken" TargetMode="External"/><Relationship Id="rId1383" Type="http://schemas.openxmlformats.org/officeDocument/2006/relationships/hyperlink" Target="https://www.immoscout24.ch/fr/appartement/louer/lieu-klosters" TargetMode="External"/><Relationship Id="rId1384" Type="http://schemas.openxmlformats.org/officeDocument/2006/relationships/hyperlink" Target="https://www.immoscout24.ch/fr/maison/louer/lieu-willisau" TargetMode="External"/><Relationship Id="rId796" Type="http://schemas.openxmlformats.org/officeDocument/2006/relationships/hyperlink" Target="https://www.immoscout24.ch/fr/appartement/louer/lieu-corcelles-le-jorat" TargetMode="External"/><Relationship Id="rId1385" Type="http://schemas.openxmlformats.org/officeDocument/2006/relationships/hyperlink" Target="https://www.immoscout24.ch/fr/appartement/acheter/lieu-rosshaeusern" TargetMode="External"/><Relationship Id="rId795" Type="http://schemas.openxmlformats.org/officeDocument/2006/relationships/hyperlink" Target="https://www.immoscout24.ch/fr/appartement/louer/lieu-kerns" TargetMode="External"/><Relationship Id="rId1386" Type="http://schemas.openxmlformats.org/officeDocument/2006/relationships/hyperlink" Target="https://www.immoscout24.ch/fr/maison/acheter/lieu-meilen" TargetMode="External"/><Relationship Id="rId794" Type="http://schemas.openxmlformats.org/officeDocument/2006/relationships/hyperlink" Target="https://www.immoscout24.ch/fr/appartement/louer/lieu-bremblens" TargetMode="External"/><Relationship Id="rId1387" Type="http://schemas.openxmlformats.org/officeDocument/2006/relationships/hyperlink" Target="https://www.immoscout24.ch/fr/appartement/louer/lieu-aproz-nendaz" TargetMode="External"/><Relationship Id="rId793" Type="http://schemas.openxmlformats.org/officeDocument/2006/relationships/hyperlink" Target="https://www.immoscout24.ch/fr/appartement/acheter/lieu-le-mont-sur-lausanne" TargetMode="External"/><Relationship Id="rId1388" Type="http://schemas.openxmlformats.org/officeDocument/2006/relationships/hyperlink" Target="https://www.immoscout24.ch/fr/appartement/acheter/lieu-plan-les-ouates" TargetMode="External"/><Relationship Id="rId2700" Type="http://schemas.openxmlformats.org/officeDocument/2006/relationships/hyperlink" Target="https://www.immoscout24.ch/fr/appartement/louer/lieu-sonceboz-sombeval" TargetMode="External"/><Relationship Id="rId2701" Type="http://schemas.openxmlformats.org/officeDocument/2006/relationships/hyperlink" Target="https://www.immoscout24.ch/fr/maison/acheter/lieu-mont-la-ville" TargetMode="External"/><Relationship Id="rId2702" Type="http://schemas.openxmlformats.org/officeDocument/2006/relationships/hyperlink" Target="https://www.immoscout24.ch/fr/maison/acheter/lieu-cernier" TargetMode="External"/><Relationship Id="rId2703" Type="http://schemas.openxmlformats.org/officeDocument/2006/relationships/hyperlink" Target="https://www.immoscout24.ch/fr/maison/acheter/lieu-praz-de-fort" TargetMode="External"/><Relationship Id="rId2704" Type="http://schemas.openxmlformats.org/officeDocument/2006/relationships/hyperlink" Target="https://www.immoscout24.ch/fr/maison/acheter/region-vallemaggia" TargetMode="External"/><Relationship Id="rId2705" Type="http://schemas.openxmlformats.org/officeDocument/2006/relationships/hyperlink" Target="https://www.immoscout24.ch/fr/appartement/louer/lieu-zernez" TargetMode="External"/><Relationship Id="rId2706" Type="http://schemas.openxmlformats.org/officeDocument/2006/relationships/hyperlink" Target="https://www.immoscout24.ch/fr/maison/acheter/lieu-montricher" TargetMode="External"/><Relationship Id="rId2707" Type="http://schemas.openxmlformats.org/officeDocument/2006/relationships/hyperlink" Target="https://www.immoscout24.ch/fr/appartement/louer/lieu-tumegl-tomils" TargetMode="External"/><Relationship Id="rId2708" Type="http://schemas.openxmlformats.org/officeDocument/2006/relationships/hyperlink" Target="https://www.immoscout24.ch/fr/appartement/acheter/lieu-hauterive-ne" TargetMode="External"/><Relationship Id="rId2709" Type="http://schemas.openxmlformats.org/officeDocument/2006/relationships/hyperlink" Target="https://www.immoscout24.ch/fr/maison/acheter/lieu-oberbalm" TargetMode="External"/><Relationship Id="rId2720" Type="http://schemas.openxmlformats.org/officeDocument/2006/relationships/hyperlink" Target="https://www.immoscout24.ch/fr/appartement/louer/lieu-volketswil" TargetMode="External"/><Relationship Id="rId2721" Type="http://schemas.openxmlformats.org/officeDocument/2006/relationships/hyperlink" Target="https://www.immoscout24.ch/fr/appartement/louer/canton-liechtenstein" TargetMode="External"/><Relationship Id="rId2722" Type="http://schemas.openxmlformats.org/officeDocument/2006/relationships/hyperlink" Target="https://www.immoscout24.ch/fr/appartement/acheter/lieu-vilars-ne" TargetMode="External"/><Relationship Id="rId2723" Type="http://schemas.openxmlformats.org/officeDocument/2006/relationships/hyperlink" Target="https://www.immoscout24.ch/fr/appartement/louer/lieu-gelterkinden" TargetMode="External"/><Relationship Id="rId2724" Type="http://schemas.openxmlformats.org/officeDocument/2006/relationships/hyperlink" Target="https://www.immoscout24.ch/fr/appartement/acheter/lieu-lufingen" TargetMode="External"/><Relationship Id="rId2725" Type="http://schemas.openxmlformats.org/officeDocument/2006/relationships/hyperlink" Target="https://www.immoscout24.ch/fr/maison/louer/lieu-cortebert" TargetMode="External"/><Relationship Id="rId2726" Type="http://schemas.openxmlformats.org/officeDocument/2006/relationships/hyperlink" Target="https://www.immoscout24.ch/fr/maison/acheter/lieu-conches" TargetMode="External"/><Relationship Id="rId2727" Type="http://schemas.openxmlformats.org/officeDocument/2006/relationships/hyperlink" Target="https://www.immoscout24.ch/fr/appartement/louer/lieu-leuzigen" TargetMode="External"/><Relationship Id="rId2728" Type="http://schemas.openxmlformats.org/officeDocument/2006/relationships/hyperlink" Target="https://www.immoscout24.ch/fr/appartement/louer/lieu-bercher" TargetMode="External"/><Relationship Id="rId2729" Type="http://schemas.openxmlformats.org/officeDocument/2006/relationships/hyperlink" Target="https://www.immoscout24.ch/fr/maison/acheter/lieu-deitingen" TargetMode="External"/><Relationship Id="rId2710" Type="http://schemas.openxmlformats.org/officeDocument/2006/relationships/hyperlink" Target="https://www.immoscout24.ch/fr/appartement/acheter/lieu-yverdon-les-bains" TargetMode="External"/><Relationship Id="rId2711" Type="http://schemas.openxmlformats.org/officeDocument/2006/relationships/hyperlink" Target="https://www.immoscout24.ch/fr/appartement/acheter/lieu-kilchberg-zh" TargetMode="External"/><Relationship Id="rId2712" Type="http://schemas.openxmlformats.org/officeDocument/2006/relationships/hyperlink" Target="https://www.immoscout24.ch/fr/maison/louer/lieu-le-pont" TargetMode="External"/><Relationship Id="rId2713" Type="http://schemas.openxmlformats.org/officeDocument/2006/relationships/hyperlink" Target="https://www.immoscout24.ch/fr/appartement/acheter/lieu-le-grand-saconnex" TargetMode="External"/><Relationship Id="rId2714" Type="http://schemas.openxmlformats.org/officeDocument/2006/relationships/hyperlink" Target="https://www.immoscout24.ch/fr/maison/acheter/lieu-haegendorf" TargetMode="External"/><Relationship Id="rId2715" Type="http://schemas.openxmlformats.org/officeDocument/2006/relationships/hyperlink" Target="https://www.immoscout24.ch/fr/maison/acheter/lieu-oron-le-chatel" TargetMode="External"/><Relationship Id="rId2716" Type="http://schemas.openxmlformats.org/officeDocument/2006/relationships/hyperlink" Target="https://www.immoscout24.ch/fr/appartement/acheter/quartier-gruenes-quartier-berne" TargetMode="External"/><Relationship Id="rId2717" Type="http://schemas.openxmlformats.org/officeDocument/2006/relationships/hyperlink" Target="https://www.immoscout24.ch/fr/maison/acheter/lieu-samedan" TargetMode="External"/><Relationship Id="rId2718" Type="http://schemas.openxmlformats.org/officeDocument/2006/relationships/hyperlink" Target="https://www.immoscout24.ch/fr/appartement/louer/lieu-s-chanf" TargetMode="External"/><Relationship Id="rId2719" Type="http://schemas.openxmlformats.org/officeDocument/2006/relationships/hyperlink" Target="https://www.immoscout24.ch/fr/maison/louer/lieu-charmey-gruyere" TargetMode="External"/><Relationship Id="rId1455" Type="http://schemas.openxmlformats.org/officeDocument/2006/relationships/hyperlink" Target="https://www.immoscout24.ch/fr/maison/louer/lieu-les-paccots" TargetMode="External"/><Relationship Id="rId2786" Type="http://schemas.openxmlformats.org/officeDocument/2006/relationships/hyperlink" Target="https://www.immoscout24.ch/fr/maison/louer/quartier-bruggen-st-gall" TargetMode="External"/><Relationship Id="rId1456" Type="http://schemas.openxmlformats.org/officeDocument/2006/relationships/hyperlink" Target="https://www.immoscout24.ch/fr/appartement/louer/canton-lucerne" TargetMode="External"/><Relationship Id="rId2787" Type="http://schemas.openxmlformats.org/officeDocument/2006/relationships/hyperlink" Target="https://www.immoscout24.ch/fr/maison/acheter/lieu-saubraz" TargetMode="External"/><Relationship Id="rId1457" Type="http://schemas.openxmlformats.org/officeDocument/2006/relationships/hyperlink" Target="https://www.immoscout24.ch/fr/appartement/louer/lieu-wil-sg" TargetMode="External"/><Relationship Id="rId2788" Type="http://schemas.openxmlformats.org/officeDocument/2006/relationships/hyperlink" Target="https://www.immoscout24.ch/fr/appartement/louer/lieu-blitzingen" TargetMode="External"/><Relationship Id="rId1458" Type="http://schemas.openxmlformats.org/officeDocument/2006/relationships/hyperlink" Target="https://www.immoscout24.ch/fr/appartement/louer/lieu-evionnaz" TargetMode="External"/><Relationship Id="rId2789" Type="http://schemas.openxmlformats.org/officeDocument/2006/relationships/hyperlink" Target="https://www.immoscout24.ch/fr/appartement/acheter/lieu-cartigny" TargetMode="External"/><Relationship Id="rId1459" Type="http://schemas.openxmlformats.org/officeDocument/2006/relationships/hyperlink" Target="https://www.immoscout24.ch/fr/maison/acheter/lieu-lucens" TargetMode="External"/><Relationship Id="rId629" Type="http://schemas.openxmlformats.org/officeDocument/2006/relationships/hyperlink" Target="https://www.immoscout24.ch/fr/maison/acheter/lieu-reconvilier" TargetMode="External"/><Relationship Id="rId624" Type="http://schemas.openxmlformats.org/officeDocument/2006/relationships/hyperlink" Target="https://www.immoscout24.ch/fr/appartement/acheter/lieu-noes" TargetMode="External"/><Relationship Id="rId623" Type="http://schemas.openxmlformats.org/officeDocument/2006/relationships/hyperlink" Target="https://www.immoscout24.ch/fr/maison/acheter/lieu-corticiasca" TargetMode="External"/><Relationship Id="rId622" Type="http://schemas.openxmlformats.org/officeDocument/2006/relationships/hyperlink" Target="https://www.immoscout24.ch/fr/appartement/acheter/lieu-grimisuat" TargetMode="External"/><Relationship Id="rId621" Type="http://schemas.openxmlformats.org/officeDocument/2006/relationships/hyperlink" Target="https://www.immoscout24.ch/fr/appartement/louer/lieu-lovatens" TargetMode="External"/><Relationship Id="rId628" Type="http://schemas.openxmlformats.org/officeDocument/2006/relationships/hyperlink" Target="https://www.immoscout24.ch/fr/maison/acheter/lieu-sta-maria-in-calanca" TargetMode="External"/><Relationship Id="rId627" Type="http://schemas.openxmlformats.org/officeDocument/2006/relationships/hyperlink" Target="https://www.immoscout24.ch/fr/maison/acheter/lieu-villarsel-sur-marly" TargetMode="External"/><Relationship Id="rId626" Type="http://schemas.openxmlformats.org/officeDocument/2006/relationships/hyperlink" Target="https://www.immoscout24.ch/fr/appartement/acheter/lieu-bourg-st-pierre" TargetMode="External"/><Relationship Id="rId625" Type="http://schemas.openxmlformats.org/officeDocument/2006/relationships/hyperlink" Target="https://www.immoscout24.ch/fr/maison/acheter/lieu-basse-nendaz" TargetMode="External"/><Relationship Id="rId2780" Type="http://schemas.openxmlformats.org/officeDocument/2006/relationships/hyperlink" Target="https://www.immoscout24.ch/fr/appartement/louer/lieu-mies" TargetMode="External"/><Relationship Id="rId1450" Type="http://schemas.openxmlformats.org/officeDocument/2006/relationships/hyperlink" Target="https://www.immoscout24.ch/fr/appartement/acheter/lieu-varen" TargetMode="External"/><Relationship Id="rId2781" Type="http://schemas.openxmlformats.org/officeDocument/2006/relationships/hyperlink" Target="https://www.immoscout24.ch/fr/maison/acheter/lieu-diesse" TargetMode="External"/><Relationship Id="rId620" Type="http://schemas.openxmlformats.org/officeDocument/2006/relationships/hyperlink" Target="https://www.immoscout24.ch/fr/maison/louer/lieu-val-d-illiez" TargetMode="External"/><Relationship Id="rId1451" Type="http://schemas.openxmlformats.org/officeDocument/2006/relationships/hyperlink" Target="https://www.immoscout24.ch/fr/appartement/louer/lieu-hospental" TargetMode="External"/><Relationship Id="rId2782" Type="http://schemas.openxmlformats.org/officeDocument/2006/relationships/hyperlink" Target="https://www.immoscout24.ch/fr/appartement/louer/lieu-gempen" TargetMode="External"/><Relationship Id="rId1452" Type="http://schemas.openxmlformats.org/officeDocument/2006/relationships/hyperlink" Target="https://www.immoscout24.ch/fr/appartement/acheter/lieu-ernen" TargetMode="External"/><Relationship Id="rId2783" Type="http://schemas.openxmlformats.org/officeDocument/2006/relationships/hyperlink" Target="https://www.immoscout24.ch/fr/appartement/louer/lieu-lanzenhaeusern" TargetMode="External"/><Relationship Id="rId1453" Type="http://schemas.openxmlformats.org/officeDocument/2006/relationships/hyperlink" Target="https://www.immoscout24.ch/fr/maison/acheter/lieu-cologny" TargetMode="External"/><Relationship Id="rId2784" Type="http://schemas.openxmlformats.org/officeDocument/2006/relationships/hyperlink" Target="https://www.immoscout24.ch/fr/maison/louer/lieu-bouveret" TargetMode="External"/><Relationship Id="rId1454" Type="http://schemas.openxmlformats.org/officeDocument/2006/relationships/hyperlink" Target="https://www.immoscout24.ch/fr/maison/louer/lieu-leuk-stadt" TargetMode="External"/><Relationship Id="rId2785" Type="http://schemas.openxmlformats.org/officeDocument/2006/relationships/hyperlink" Target="https://www.immoscout24.ch/fr/maison/acheter/lieu-echandens" TargetMode="External"/><Relationship Id="rId1444" Type="http://schemas.openxmlformats.org/officeDocument/2006/relationships/hyperlink" Target="https://www.immoscout24.ch/fr/maison/acheter/lieu-appenzell" TargetMode="External"/><Relationship Id="rId2775" Type="http://schemas.openxmlformats.org/officeDocument/2006/relationships/hyperlink" Target="https://www.immoscout24.ch/fr/maison/acheter/lieu-heerbrugg" TargetMode="External"/><Relationship Id="rId1445" Type="http://schemas.openxmlformats.org/officeDocument/2006/relationships/hyperlink" Target="https://www.immoscout24.ch/fr/appartement/louer/lieu-la-joux-fr" TargetMode="External"/><Relationship Id="rId2776" Type="http://schemas.openxmlformats.org/officeDocument/2006/relationships/hyperlink" Target="https://www.immoscout24.ch/fr/appartement/acheter/region-lausanne-et-environs" TargetMode="External"/><Relationship Id="rId1446" Type="http://schemas.openxmlformats.org/officeDocument/2006/relationships/hyperlink" Target="https://www.immoscout24.ch/fr/appartement/louer/lieu-diegten" TargetMode="External"/><Relationship Id="rId2777" Type="http://schemas.openxmlformats.org/officeDocument/2006/relationships/hyperlink" Target="https://www.immoscout24.ch/fr/maison/acheter/quartier-castagnola-lugano" TargetMode="External"/><Relationship Id="rId1447" Type="http://schemas.openxmlformats.org/officeDocument/2006/relationships/hyperlink" Target="https://www.immoscout24.ch/fr/appartement/louer/lieu-oensingen" TargetMode="External"/><Relationship Id="rId2778" Type="http://schemas.openxmlformats.org/officeDocument/2006/relationships/hyperlink" Target="https://www.immoscout24.ch/fr/appartement/acheter/lieu-piazzogna" TargetMode="External"/><Relationship Id="rId1448" Type="http://schemas.openxmlformats.org/officeDocument/2006/relationships/hyperlink" Target="https://www.immoscout24.ch/fr/appartement/acheter/lieu-cevio" TargetMode="External"/><Relationship Id="rId2779" Type="http://schemas.openxmlformats.org/officeDocument/2006/relationships/hyperlink" Target="https://www.immoscout24.ch/fr/appartement/louer/lieu-russy" TargetMode="External"/><Relationship Id="rId1449" Type="http://schemas.openxmlformats.org/officeDocument/2006/relationships/hyperlink" Target="https://www.immoscout24.ch/fr/appartement/louer/lieu-montavon" TargetMode="External"/><Relationship Id="rId619" Type="http://schemas.openxmlformats.org/officeDocument/2006/relationships/hyperlink" Target="https://www.immoscout24.ch/fr/maison/acheter/lieu-rennaz" TargetMode="External"/><Relationship Id="rId618" Type="http://schemas.openxmlformats.org/officeDocument/2006/relationships/hyperlink" Target="https://www.immoscout24.ch/fr/appartement/louer/lieu-dottikon" TargetMode="External"/><Relationship Id="rId613" Type="http://schemas.openxmlformats.org/officeDocument/2006/relationships/hyperlink" Target="https://www.immoscout24.ch/fr/appartement/louer/lieu-orpund" TargetMode="External"/><Relationship Id="rId612" Type="http://schemas.openxmlformats.org/officeDocument/2006/relationships/hyperlink" Target="https://www.immoscout24.ch/fr/appartement/acheter/lieu-bernex" TargetMode="External"/><Relationship Id="rId611" Type="http://schemas.openxmlformats.org/officeDocument/2006/relationships/hyperlink" Target="https://www.immoscout24.ch/fr/maison/acheter/lieu-walenstadt" TargetMode="External"/><Relationship Id="rId610" Type="http://schemas.openxmlformats.org/officeDocument/2006/relationships/hyperlink" Target="https://www.immoscout24.ch/fr/appartement/acheter/lieu-lonay" TargetMode="External"/><Relationship Id="rId617" Type="http://schemas.openxmlformats.org/officeDocument/2006/relationships/hyperlink" Target="https://www.immoscout24.ch/fr/appartement/acheter/quartier-chaumont-neuchatel" TargetMode="External"/><Relationship Id="rId616" Type="http://schemas.openxmlformats.org/officeDocument/2006/relationships/hyperlink" Target="https://www.immoscout24.ch/fr/maison/acheter/lieu-grancia" TargetMode="External"/><Relationship Id="rId615" Type="http://schemas.openxmlformats.org/officeDocument/2006/relationships/hyperlink" Target="https://www.immoscout24.ch/fr/maison/acheter/lieu-poschiavo" TargetMode="External"/><Relationship Id="rId614" Type="http://schemas.openxmlformats.org/officeDocument/2006/relationships/hyperlink" Target="https://www.immoscout24.ch/fr/maison/acheter/lieu-zenauva" TargetMode="External"/><Relationship Id="rId2770" Type="http://schemas.openxmlformats.org/officeDocument/2006/relationships/hyperlink" Target="https://www.immoscout24.ch/fr/appartement/acheter/lieu-villars-sur-glane" TargetMode="External"/><Relationship Id="rId1440" Type="http://schemas.openxmlformats.org/officeDocument/2006/relationships/hyperlink" Target="https://www.immoscout24.ch/fr/appartement/acheter/lieu-rancate" TargetMode="External"/><Relationship Id="rId2771" Type="http://schemas.openxmlformats.org/officeDocument/2006/relationships/hyperlink" Target="https://www.immoscout24.ch/fr/appartement/louer/lieu-st-margrethen-sg" TargetMode="External"/><Relationship Id="rId1441" Type="http://schemas.openxmlformats.org/officeDocument/2006/relationships/hyperlink" Target="https://www.immoscout24.ch/fr/maison/acheter/lieu-vellerat" TargetMode="External"/><Relationship Id="rId2772" Type="http://schemas.openxmlformats.org/officeDocument/2006/relationships/hyperlink" Target="https://www.immoscout24.ch/fr/maison/acheter/lieu-luzern" TargetMode="External"/><Relationship Id="rId1442" Type="http://schemas.openxmlformats.org/officeDocument/2006/relationships/hyperlink" Target="https://www.immoscout24.ch/fr/appartement/louer/lieu-chapelle-glane" TargetMode="External"/><Relationship Id="rId2773" Type="http://schemas.openxmlformats.org/officeDocument/2006/relationships/hyperlink" Target="https://www.immoscout24.ch/fr/appartement/louer/lieu-rechy" TargetMode="External"/><Relationship Id="rId1443" Type="http://schemas.openxmlformats.org/officeDocument/2006/relationships/hyperlink" Target="https://www.immoscout24.ch/fr/appartement/louer/lieu-crans-montana" TargetMode="External"/><Relationship Id="rId2774" Type="http://schemas.openxmlformats.org/officeDocument/2006/relationships/hyperlink" Target="https://www.immoscout24.ch/fr/appartement/louer/lieu-ipsach" TargetMode="External"/><Relationship Id="rId1477" Type="http://schemas.openxmlformats.org/officeDocument/2006/relationships/hyperlink" Target="https://www.immoscout24.ch/fr/appartement/louer/lieu-meltingen" TargetMode="External"/><Relationship Id="rId1478" Type="http://schemas.openxmlformats.org/officeDocument/2006/relationships/hyperlink" Target="https://www.immoscout24.ch/fr/maison/acheter/lieu-unteraegeri" TargetMode="External"/><Relationship Id="rId1479" Type="http://schemas.openxmlformats.org/officeDocument/2006/relationships/hyperlink" Target="https://www.immoscout24.ch/fr/appartement/acheter/lieu-sembrancher" TargetMode="External"/><Relationship Id="rId646" Type="http://schemas.openxmlformats.org/officeDocument/2006/relationships/hyperlink" Target="https://www.immoscout24.ch/fr/maison/louer/lieu-payerne" TargetMode="External"/><Relationship Id="rId645" Type="http://schemas.openxmlformats.org/officeDocument/2006/relationships/hyperlink" Target="https://www.immoscout24.ch/fr/appartement/louer/lieu-siviriez" TargetMode="External"/><Relationship Id="rId644" Type="http://schemas.openxmlformats.org/officeDocument/2006/relationships/hyperlink" Target="https://www.immoscout24.ch/fr/maison/louer/lieu-le-fuet" TargetMode="External"/><Relationship Id="rId643" Type="http://schemas.openxmlformats.org/officeDocument/2006/relationships/hyperlink" Target="https://www.immoscout24.ch/fr/maison/acheter/lieu-brione-verzasca" TargetMode="External"/><Relationship Id="rId649" Type="http://schemas.openxmlformats.org/officeDocument/2006/relationships/hyperlink" Target="https://www.immoscout24.ch/fr/maison/louer/lieu-cormondreche" TargetMode="External"/><Relationship Id="rId648" Type="http://schemas.openxmlformats.org/officeDocument/2006/relationships/hyperlink" Target="https://www.immoscout24.ch/fr/appartement/louer/lieu-duggingen" TargetMode="External"/><Relationship Id="rId647" Type="http://schemas.openxmlformats.org/officeDocument/2006/relationships/hyperlink" Target="https://www.immoscout24.ch/fr/appartement/acheter/lieu-charmey-gruyere" TargetMode="External"/><Relationship Id="rId1470" Type="http://schemas.openxmlformats.org/officeDocument/2006/relationships/hyperlink" Target="https://www.immoscout24.ch/fr/appartement/louer/lieu-oberdiessbach" TargetMode="External"/><Relationship Id="rId1471" Type="http://schemas.openxmlformats.org/officeDocument/2006/relationships/hyperlink" Target="https://www.immoscout24.ch/fr/appartement/louer/lieu-st-gingolph" TargetMode="External"/><Relationship Id="rId1472" Type="http://schemas.openxmlformats.org/officeDocument/2006/relationships/hyperlink" Target="https://www.immoscout24.ch/fr/maison/acheter/lieu-cressier-ne" TargetMode="External"/><Relationship Id="rId642" Type="http://schemas.openxmlformats.org/officeDocument/2006/relationships/hyperlink" Target="https://www.immoscout24.ch/fr/appartement/acheter/lieu-corcelles-pres-payerne" TargetMode="External"/><Relationship Id="rId1473" Type="http://schemas.openxmlformats.org/officeDocument/2006/relationships/hyperlink" Target="https://www.immoscout24.ch/fr/appartement/louer/lieu-uitikon-waldegg" TargetMode="External"/><Relationship Id="rId641" Type="http://schemas.openxmlformats.org/officeDocument/2006/relationships/hyperlink" Target="https://www.immoscout24.ch/fr/maison/acheter/lieu-grueningen" TargetMode="External"/><Relationship Id="rId1474" Type="http://schemas.openxmlformats.org/officeDocument/2006/relationships/hyperlink" Target="https://www.immoscout24.ch/fr/appartement/louer/pays-grande-bretagne" TargetMode="External"/><Relationship Id="rId640" Type="http://schemas.openxmlformats.org/officeDocument/2006/relationships/hyperlink" Target="https://www.immoscout24.ch/fr/appartement/louer/lieu-regensberg" TargetMode="External"/><Relationship Id="rId1475" Type="http://schemas.openxmlformats.org/officeDocument/2006/relationships/hyperlink" Target="https://www.immoscout24.ch/fr/appartement/louer/lieu-glis" TargetMode="External"/><Relationship Id="rId1476" Type="http://schemas.openxmlformats.org/officeDocument/2006/relationships/hyperlink" Target="https://www.immoscout24.ch/fr/appartement/acheter/quartier-sallaz-vennes-sechaud-lausanne" TargetMode="External"/><Relationship Id="rId1466" Type="http://schemas.openxmlformats.org/officeDocument/2006/relationships/hyperlink" Target="https://www.immoscout24.ch/fr/maison/acheter/lieu-kirchdorf-ag" TargetMode="External"/><Relationship Id="rId2797" Type="http://schemas.openxmlformats.org/officeDocument/2006/relationships/hyperlink" Target="https://www.immoscout24.ch/fr/appartement/louer/lieu-villette-lavaux" TargetMode="External"/><Relationship Id="rId1467" Type="http://schemas.openxmlformats.org/officeDocument/2006/relationships/hyperlink" Target="https://www.immoscout24.ch/fr/appartement/louer/quartier-bel-air-la-chaux-de-fonds" TargetMode="External"/><Relationship Id="rId2798" Type="http://schemas.openxmlformats.org/officeDocument/2006/relationships/hyperlink" Target="https://www.immoscout24.ch/fr/appartement/acheter/lieu-sigriswil" TargetMode="External"/><Relationship Id="rId1468" Type="http://schemas.openxmlformats.org/officeDocument/2006/relationships/hyperlink" Target="https://www.immoscout24.ch/fr/appartement/louer/quartier-stalban-bale" TargetMode="External"/><Relationship Id="rId2799" Type="http://schemas.openxmlformats.org/officeDocument/2006/relationships/hyperlink" Target="https://www.immoscout24.ch/fr/appartement/louer/lieu-les-geneveys-sur-coffrane" TargetMode="External"/><Relationship Id="rId1469" Type="http://schemas.openxmlformats.org/officeDocument/2006/relationships/hyperlink" Target="https://www.immoscout24.ch/fr/maison/acheter/lieu-wavre" TargetMode="External"/><Relationship Id="rId635" Type="http://schemas.openxmlformats.org/officeDocument/2006/relationships/hyperlink" Target="https://www.immoscout24.ch/fr/appartement/louer/lieu-fey-nendaz" TargetMode="External"/><Relationship Id="rId634" Type="http://schemas.openxmlformats.org/officeDocument/2006/relationships/hyperlink" Target="https://www.immoscout24.ch/fr/appartement/acheter/lieu-riederalp" TargetMode="External"/><Relationship Id="rId633" Type="http://schemas.openxmlformats.org/officeDocument/2006/relationships/hyperlink" Target="https://www.immoscout24.ch/fr/appartement/acheter/lieu-renan-be" TargetMode="External"/><Relationship Id="rId632" Type="http://schemas.openxmlformats.org/officeDocument/2006/relationships/hyperlink" Target="https://www.immoscout24.ch/fr/appartement/louer/lieu-chene-bourg" TargetMode="External"/><Relationship Id="rId639" Type="http://schemas.openxmlformats.org/officeDocument/2006/relationships/hyperlink" Target="https://www.immoscout24.ch/fr/appartement/louer/lieu-stans" TargetMode="External"/><Relationship Id="rId638" Type="http://schemas.openxmlformats.org/officeDocument/2006/relationships/hyperlink" Target="https://www.immoscout24.ch/fr/maison/acheter/lieu-neerach" TargetMode="External"/><Relationship Id="rId637" Type="http://schemas.openxmlformats.org/officeDocument/2006/relationships/hyperlink" Target="https://www.immoscout24.ch/fr/maison/acheter/lieu-paudex" TargetMode="External"/><Relationship Id="rId636" Type="http://schemas.openxmlformats.org/officeDocument/2006/relationships/hyperlink" Target="https://www.immoscout24.ch/fr/appartement/louer/lieu-les-diablerets" TargetMode="External"/><Relationship Id="rId2790" Type="http://schemas.openxmlformats.org/officeDocument/2006/relationships/hyperlink" Target="https://www.immoscout24.ch/fr/appartement/louer/lieu-reutigen" TargetMode="External"/><Relationship Id="rId1460" Type="http://schemas.openxmlformats.org/officeDocument/2006/relationships/hyperlink" Target="https://www.immoscout24.ch/fr/appartement/acheter/lieu-troistorrents" TargetMode="External"/><Relationship Id="rId2791" Type="http://schemas.openxmlformats.org/officeDocument/2006/relationships/hyperlink" Target="https://www.immoscout24.ch/fr/maison/acheter/lieu-henniez" TargetMode="External"/><Relationship Id="rId1461" Type="http://schemas.openxmlformats.org/officeDocument/2006/relationships/hyperlink" Target="https://www.immoscout24.ch/fr/maison/louer/lieu-dombresson" TargetMode="External"/><Relationship Id="rId2792" Type="http://schemas.openxmlformats.org/officeDocument/2006/relationships/hyperlink" Target="https://www.immoscout24.ch/fr/maison/acheter/lieu-wilen-sarnen" TargetMode="External"/><Relationship Id="rId631" Type="http://schemas.openxmlformats.org/officeDocument/2006/relationships/hyperlink" Target="https://www.immoscout24.ch/fr/maison/louer/lieu-petit-lancy" TargetMode="External"/><Relationship Id="rId1462" Type="http://schemas.openxmlformats.org/officeDocument/2006/relationships/hyperlink" Target="https://www.immoscout24.ch/fr/appartement/acheter/lieu-le-mont-pelerin" TargetMode="External"/><Relationship Id="rId2793" Type="http://schemas.openxmlformats.org/officeDocument/2006/relationships/hyperlink" Target="https://www.immoscout24.ch/fr/maison/acheter/lieu-burg-im-leimental" TargetMode="External"/><Relationship Id="rId630" Type="http://schemas.openxmlformats.org/officeDocument/2006/relationships/hyperlink" Target="https://www.immoscout24.ch/fr/appartement/louer/lieu-buchrain" TargetMode="External"/><Relationship Id="rId1463" Type="http://schemas.openxmlformats.org/officeDocument/2006/relationships/hyperlink" Target="https://www.immoscout24.ch/fr/appartement/louer/lieu-valbella" TargetMode="External"/><Relationship Id="rId2794" Type="http://schemas.openxmlformats.org/officeDocument/2006/relationships/hyperlink" Target="https://www.immoscout24.ch/fr/maison/louer/lieu-montreux" TargetMode="External"/><Relationship Id="rId1464" Type="http://schemas.openxmlformats.org/officeDocument/2006/relationships/hyperlink" Target="https://www.immoscout24.ch/fr/maison/louer/lieu-signy" TargetMode="External"/><Relationship Id="rId2795" Type="http://schemas.openxmlformats.org/officeDocument/2006/relationships/hyperlink" Target="https://www.immoscout24.ch/fr/maison/louer/lieu-beuson-nendaz" TargetMode="External"/><Relationship Id="rId1465" Type="http://schemas.openxmlformats.org/officeDocument/2006/relationships/hyperlink" Target="https://www.immoscout24.ch/fr/appartement/louer/lieu-mur-vully-fr" TargetMode="External"/><Relationship Id="rId2796" Type="http://schemas.openxmlformats.org/officeDocument/2006/relationships/hyperlink" Target="https://www.immoscout24.ch/fr/maison/acheter/lieu-biezwil" TargetMode="External"/><Relationship Id="rId1411" Type="http://schemas.openxmlformats.org/officeDocument/2006/relationships/hyperlink" Target="https://www.immoscout24.ch/fr/appartement/louer/lieu-grandson" TargetMode="External"/><Relationship Id="rId2742" Type="http://schemas.openxmlformats.org/officeDocument/2006/relationships/hyperlink" Target="https://www.immoscout24.ch/fr/appartement/louer/region-glaris-et-environs" TargetMode="External"/><Relationship Id="rId1412" Type="http://schemas.openxmlformats.org/officeDocument/2006/relationships/hyperlink" Target="https://www.immoscout24.ch/fr/appartement/louer/lieu-prez-vers-siviriez" TargetMode="External"/><Relationship Id="rId2743" Type="http://schemas.openxmlformats.org/officeDocument/2006/relationships/hyperlink" Target="https://www.immoscout24.ch/fr/appartement/louer/quartier-montchoisi-lausanne" TargetMode="External"/><Relationship Id="rId1413" Type="http://schemas.openxmlformats.org/officeDocument/2006/relationships/hyperlink" Target="https://www.immoscout24.ch/fr/maison/acheter/lieu-corseaux" TargetMode="External"/><Relationship Id="rId2744" Type="http://schemas.openxmlformats.org/officeDocument/2006/relationships/hyperlink" Target="https://www.immoscout24.ch/fr/appartement/louer/lieu-aigle" TargetMode="External"/><Relationship Id="rId1414" Type="http://schemas.openxmlformats.org/officeDocument/2006/relationships/hyperlink" Target="https://www.immoscout24.ch/fr/maison/louer/lieu-froideville" TargetMode="External"/><Relationship Id="rId2745" Type="http://schemas.openxmlformats.org/officeDocument/2006/relationships/hyperlink" Target="https://www.immoscout24.ch/fr/appartement/louer/lieu-esmonts" TargetMode="External"/><Relationship Id="rId1415" Type="http://schemas.openxmlformats.org/officeDocument/2006/relationships/hyperlink" Target="https://www.immoscout24.ch/fr/appartement/louer/lieu-rebstein" TargetMode="External"/><Relationship Id="rId2746" Type="http://schemas.openxmlformats.org/officeDocument/2006/relationships/hyperlink" Target="https://www.immoscout24.ch/fr/maison/acheter/quartier-thoerishaus-koeniz" TargetMode="External"/><Relationship Id="rId1416" Type="http://schemas.openxmlformats.org/officeDocument/2006/relationships/hyperlink" Target="https://www.immoscout24.ch/fr/appartement/louer/lieu-fiez" TargetMode="External"/><Relationship Id="rId2747" Type="http://schemas.openxmlformats.org/officeDocument/2006/relationships/hyperlink" Target="https://www.immoscout24.ch/fr/maison/acheter/lieu-laupersdorf" TargetMode="External"/><Relationship Id="rId1417" Type="http://schemas.openxmlformats.org/officeDocument/2006/relationships/hyperlink" Target="https://www.immoscout24.ch/fr/appartement/louer/lieu-suscevaz" TargetMode="External"/><Relationship Id="rId2748" Type="http://schemas.openxmlformats.org/officeDocument/2006/relationships/hyperlink" Target="https://www.immoscout24.ch/fr/appartement/louer/lieu-chateau-d-oex" TargetMode="External"/><Relationship Id="rId1418" Type="http://schemas.openxmlformats.org/officeDocument/2006/relationships/hyperlink" Target="https://www.immoscout24.ch/fr/appartement/louer/lieu-charmoille" TargetMode="External"/><Relationship Id="rId2749" Type="http://schemas.openxmlformats.org/officeDocument/2006/relationships/hyperlink" Target="https://www.immoscout24.ch/fr/appartement/acheter/lieu-chez-le-bart" TargetMode="External"/><Relationship Id="rId1419" Type="http://schemas.openxmlformats.org/officeDocument/2006/relationships/hyperlink" Target="https://www.immoscout24.ch/fr/appartement/louer/lieu-ravoire" TargetMode="External"/><Relationship Id="rId2740" Type="http://schemas.openxmlformats.org/officeDocument/2006/relationships/hyperlink" Target="https://www.immoscout24.ch/fr/appartement/acheter/lieu-vicques" TargetMode="External"/><Relationship Id="rId1410" Type="http://schemas.openxmlformats.org/officeDocument/2006/relationships/hyperlink" Target="https://www.immoscout24.ch/fr/maison/acheter/lieu-comano" TargetMode="External"/><Relationship Id="rId2741" Type="http://schemas.openxmlformats.org/officeDocument/2006/relationships/hyperlink" Target="https://www.immoscout24.ch/fr/appartement/acheter/lieu-st-prex" TargetMode="External"/><Relationship Id="rId1400" Type="http://schemas.openxmlformats.org/officeDocument/2006/relationships/hyperlink" Target="https://www.immoscout24.ch/fr/appartement/louer/lieu-siselen-be" TargetMode="External"/><Relationship Id="rId2731" Type="http://schemas.openxmlformats.org/officeDocument/2006/relationships/hyperlink" Target="https://www.immoscout24.ch/fr/maison/acheter/lieu-cortaillod" TargetMode="External"/><Relationship Id="rId1401" Type="http://schemas.openxmlformats.org/officeDocument/2006/relationships/hyperlink" Target="https://www.immoscout24.ch/fr/maison/acheter/lieu-peccia" TargetMode="External"/><Relationship Id="rId2732" Type="http://schemas.openxmlformats.org/officeDocument/2006/relationships/hyperlink" Target="https://www.immoscout24.ch/fr/maison/louer/lieu-cortaillod" TargetMode="External"/><Relationship Id="rId1402" Type="http://schemas.openxmlformats.org/officeDocument/2006/relationships/hyperlink" Target="https://www.immoscout24.ch/fr/appartement/louer/lieu-ferreyres" TargetMode="External"/><Relationship Id="rId2733" Type="http://schemas.openxmlformats.org/officeDocument/2006/relationships/hyperlink" Target="https://www.immoscout24.ch/fr/appartement/acheter/quartier-vignoble-biel-bienne" TargetMode="External"/><Relationship Id="rId1403" Type="http://schemas.openxmlformats.org/officeDocument/2006/relationships/hyperlink" Target="https://www.immoscout24.ch/fr/maison/acheter/lieu-pieterlen" TargetMode="External"/><Relationship Id="rId2734" Type="http://schemas.openxmlformats.org/officeDocument/2006/relationships/hyperlink" Target="https://www.immoscout24.ch/fr/appartement/louer/lieu-lonay" TargetMode="External"/><Relationship Id="rId1404" Type="http://schemas.openxmlformats.org/officeDocument/2006/relationships/hyperlink" Target="https://www.immoscout24.ch/fr/appartement/louer/lieu-weinfelden" TargetMode="External"/><Relationship Id="rId2735" Type="http://schemas.openxmlformats.org/officeDocument/2006/relationships/hyperlink" Target="https://www.immoscout24.ch/fr/maison/louer/lieu-la-cibourg" TargetMode="External"/><Relationship Id="rId1405" Type="http://schemas.openxmlformats.org/officeDocument/2006/relationships/hyperlink" Target="https://www.immoscout24.ch/fr/maison/acheter/pays-costa-rica" TargetMode="External"/><Relationship Id="rId2736" Type="http://schemas.openxmlformats.org/officeDocument/2006/relationships/hyperlink" Target="https://www.immoscout24.ch/fr/appartement/louer/lieu-wiggiswil" TargetMode="External"/><Relationship Id="rId1406" Type="http://schemas.openxmlformats.org/officeDocument/2006/relationships/hyperlink" Target="https://www.immoscout24.ch/fr/maison/acheter/lieu-liddes" TargetMode="External"/><Relationship Id="rId2737" Type="http://schemas.openxmlformats.org/officeDocument/2006/relationships/hyperlink" Target="https://www.immoscout24.ch/fr/maison/louer/lieu-villeneuve-vd" TargetMode="External"/><Relationship Id="rId1407" Type="http://schemas.openxmlformats.org/officeDocument/2006/relationships/hyperlink" Target="https://www.immoscout24.ch/fr/maison/louer/lieu-binningen" TargetMode="External"/><Relationship Id="rId2738" Type="http://schemas.openxmlformats.org/officeDocument/2006/relationships/hyperlink" Target="https://www.immoscout24.ch/fr/appartement/louer/lieu-monthey" TargetMode="External"/><Relationship Id="rId1408" Type="http://schemas.openxmlformats.org/officeDocument/2006/relationships/hyperlink" Target="https://www.immoscout24.ch/fr/maison/acheter/lieu-st-pierre-de-clages" TargetMode="External"/><Relationship Id="rId2739" Type="http://schemas.openxmlformats.org/officeDocument/2006/relationships/hyperlink" Target="https://www.immoscout24.ch/fr/appartement/louer/lieu-loveresse" TargetMode="External"/><Relationship Id="rId1409" Type="http://schemas.openxmlformats.org/officeDocument/2006/relationships/hyperlink" Target="https://www.immoscout24.ch/fr/maison/acheter/lieu-courtaman" TargetMode="External"/><Relationship Id="rId2730" Type="http://schemas.openxmlformats.org/officeDocument/2006/relationships/hyperlink" Target="https://www.immoscout24.ch/fr/maison/acheter/lieu-langenthal" TargetMode="External"/><Relationship Id="rId1433" Type="http://schemas.openxmlformats.org/officeDocument/2006/relationships/hyperlink" Target="https://www.immoscout24.ch/fr/appartement/acheter/lieu-champagne" TargetMode="External"/><Relationship Id="rId2764" Type="http://schemas.openxmlformats.org/officeDocument/2006/relationships/hyperlink" Target="https://www.immoscout24.ch/fr/appartement/louer/lieu-veysonnaz" TargetMode="External"/><Relationship Id="rId1434" Type="http://schemas.openxmlformats.org/officeDocument/2006/relationships/hyperlink" Target="https://www.immoscout24.ch/fr/maison/louer/lieu-eschert" TargetMode="External"/><Relationship Id="rId2765" Type="http://schemas.openxmlformats.org/officeDocument/2006/relationships/hyperlink" Target="https://www.immoscout24.ch/fr/maison/acheter/region-lavaux-vevey" TargetMode="External"/><Relationship Id="rId1435" Type="http://schemas.openxmlformats.org/officeDocument/2006/relationships/hyperlink" Target="https://www.immoscout24.ch/fr/maison/louer/lieu-ligerz" TargetMode="External"/><Relationship Id="rId2766" Type="http://schemas.openxmlformats.org/officeDocument/2006/relationships/hyperlink" Target="https://www.immoscout24.ch/fr/appartement/louer/lieu-naz" TargetMode="External"/><Relationship Id="rId1436" Type="http://schemas.openxmlformats.org/officeDocument/2006/relationships/hyperlink" Target="https://www.immoscout24.ch/fr/maison/acheter/region-laufenburg-rheinfelden" TargetMode="External"/><Relationship Id="rId2767" Type="http://schemas.openxmlformats.org/officeDocument/2006/relationships/hyperlink" Target="https://www.immoscout24.ch/fr/appartement/acheter/lieu-breitenbach" TargetMode="External"/><Relationship Id="rId1437" Type="http://schemas.openxmlformats.org/officeDocument/2006/relationships/hyperlink" Target="https://www.immoscout24.ch/fr/maison/acheter/lieu-vich" TargetMode="External"/><Relationship Id="rId2768" Type="http://schemas.openxmlformats.org/officeDocument/2006/relationships/hyperlink" Target="https://www.immoscout24.ch/fr/maison/acheter/lieu-roethenbach-im-emmental" TargetMode="External"/><Relationship Id="rId1438" Type="http://schemas.openxmlformats.org/officeDocument/2006/relationships/hyperlink" Target="https://www.immoscout24.ch/fr/appartement/acheter/lieu-st-leonard" TargetMode="External"/><Relationship Id="rId2769" Type="http://schemas.openxmlformats.org/officeDocument/2006/relationships/hyperlink" Target="https://www.immoscout24.ch/fr/maison/acheter/lieu-noiraigue" TargetMode="External"/><Relationship Id="rId1439" Type="http://schemas.openxmlformats.org/officeDocument/2006/relationships/hyperlink" Target="https://www.immoscout24.ch/fr/appartement/louer/lieu-vinelz" TargetMode="External"/><Relationship Id="rId609" Type="http://schemas.openxmlformats.org/officeDocument/2006/relationships/hyperlink" Target="https://www.immoscout24.ch/fr/appartement/louer/lieu-champ-du-moulin" TargetMode="External"/><Relationship Id="rId608" Type="http://schemas.openxmlformats.org/officeDocument/2006/relationships/hyperlink" Target="https://www.immoscout24.ch/fr/appartement/louer/lieu-montignez" TargetMode="External"/><Relationship Id="rId607" Type="http://schemas.openxmlformats.org/officeDocument/2006/relationships/hyperlink" Target="https://www.immoscout24.ch/fr/appartement/louer/lieu-petit-vicheres-liddes" TargetMode="External"/><Relationship Id="rId602" Type="http://schemas.openxmlformats.org/officeDocument/2006/relationships/hyperlink" Target="https://www.immoscout24.ch/fr/appartement/acheter/lieu-cheyres" TargetMode="External"/><Relationship Id="rId601" Type="http://schemas.openxmlformats.org/officeDocument/2006/relationships/hyperlink" Target="https://www.immoscout24.ch/fr/maison/acheter/lieu-romont-fr" TargetMode="External"/><Relationship Id="rId600" Type="http://schemas.openxmlformats.org/officeDocument/2006/relationships/hyperlink" Target="https://www.immoscout24.ch/fr/maison/acheter/lieu-montet-glane" TargetMode="External"/><Relationship Id="rId606" Type="http://schemas.openxmlformats.org/officeDocument/2006/relationships/hyperlink" Target="https://www.immoscout24.ch/fr/appartement/louer/lieu-cerniat-fr" TargetMode="External"/><Relationship Id="rId605" Type="http://schemas.openxmlformats.org/officeDocument/2006/relationships/hyperlink" Target="https://www.immoscout24.ch/fr/maison/acheter/lieu-seltisberg" TargetMode="External"/><Relationship Id="rId604" Type="http://schemas.openxmlformats.org/officeDocument/2006/relationships/hyperlink" Target="https://www.immoscout24.ch/fr/appartement/acheter/lieu-motier-vully" TargetMode="External"/><Relationship Id="rId603" Type="http://schemas.openxmlformats.org/officeDocument/2006/relationships/hyperlink" Target="https://www.immoscout24.ch/fr/maison/acheter/lieu-arzo" TargetMode="External"/><Relationship Id="rId2760" Type="http://schemas.openxmlformats.org/officeDocument/2006/relationships/hyperlink" Target="https://www.immoscout24.ch/fr/maison/acheter/lieu-le-landeron" TargetMode="External"/><Relationship Id="rId1430" Type="http://schemas.openxmlformats.org/officeDocument/2006/relationships/hyperlink" Target="https://www.immoscout24.ch/fr/appartement/louer/lieu-le-tretien" TargetMode="External"/><Relationship Id="rId2761" Type="http://schemas.openxmlformats.org/officeDocument/2006/relationships/hyperlink" Target="https://www.immoscout24.ch/fr/appartement/acheter/region-surselva" TargetMode="External"/><Relationship Id="rId1431" Type="http://schemas.openxmlformats.org/officeDocument/2006/relationships/hyperlink" Target="https://www.immoscout24.ch/fr/appartement/louer/quartier-la-coudre-neuchatel" TargetMode="External"/><Relationship Id="rId2762" Type="http://schemas.openxmlformats.org/officeDocument/2006/relationships/hyperlink" Target="https://www.immoscout24.ch/fr/appartement/louer/lieu-bure" TargetMode="External"/><Relationship Id="rId1432" Type="http://schemas.openxmlformats.org/officeDocument/2006/relationships/hyperlink" Target="https://www.immoscout24.ch/fr/appartement/louer/lieu-necker" TargetMode="External"/><Relationship Id="rId2763" Type="http://schemas.openxmlformats.org/officeDocument/2006/relationships/hyperlink" Target="https://www.immoscout24.ch/fr/maison/acheter/lieu-ronco-sopra-ascona" TargetMode="External"/><Relationship Id="rId1422" Type="http://schemas.openxmlformats.org/officeDocument/2006/relationships/hyperlink" Target="https://www.immoscout24.ch/fr/maison/acheter/lieu-thonex" TargetMode="External"/><Relationship Id="rId2753" Type="http://schemas.openxmlformats.org/officeDocument/2006/relationships/hyperlink" Target="https://www.immoscout24.ch/fr/appartement/louer/lieu-gunten" TargetMode="External"/><Relationship Id="rId1423" Type="http://schemas.openxmlformats.org/officeDocument/2006/relationships/hyperlink" Target="https://www.immoscout24.ch/fr/maison/acheter/canton-schaffhouse" TargetMode="External"/><Relationship Id="rId2754" Type="http://schemas.openxmlformats.org/officeDocument/2006/relationships/hyperlink" Target="https://www.immoscout24.ch/fr/appartement/louer/lieu-bassecourt" TargetMode="External"/><Relationship Id="rId1424" Type="http://schemas.openxmlformats.org/officeDocument/2006/relationships/hyperlink" Target="https://www.immoscout24.ch/fr/maison/acheter/lieu-gruben" TargetMode="External"/><Relationship Id="rId2755" Type="http://schemas.openxmlformats.org/officeDocument/2006/relationships/hyperlink" Target="https://www.immoscout24.ch/fr/maison/acheter/lieu-noes" TargetMode="External"/><Relationship Id="rId1425" Type="http://schemas.openxmlformats.org/officeDocument/2006/relationships/hyperlink" Target="https://www.immoscout24.ch/fr/appartement/louer/lieu-perlen" TargetMode="External"/><Relationship Id="rId2756" Type="http://schemas.openxmlformats.org/officeDocument/2006/relationships/hyperlink" Target="https://www.immoscout24.ch/fr/appartement/louer/lieu-chapelle-sur-moudon" TargetMode="External"/><Relationship Id="rId1426" Type="http://schemas.openxmlformats.org/officeDocument/2006/relationships/hyperlink" Target="https://www.immoscout24.ch/fr/appartement/louer/lieu-steg-im-toesstal" TargetMode="External"/><Relationship Id="rId2757" Type="http://schemas.openxmlformats.org/officeDocument/2006/relationships/hyperlink" Target="https://www.immoscout24.ch/fr/maison/acheter/lieu-ried-b-kerzers" TargetMode="External"/><Relationship Id="rId1427" Type="http://schemas.openxmlformats.org/officeDocument/2006/relationships/hyperlink" Target="https://www.immoscout24.ch/fr/appartement/louer/lieu-bolligen" TargetMode="External"/><Relationship Id="rId2758" Type="http://schemas.openxmlformats.org/officeDocument/2006/relationships/hyperlink" Target="https://www.immoscout24.ch/fr/maison/louer/lieu-bre-sopra-lugano" TargetMode="External"/><Relationship Id="rId1428" Type="http://schemas.openxmlformats.org/officeDocument/2006/relationships/hyperlink" Target="https://www.immoscout24.ch/fr/appartement/louer/lieu-novalles" TargetMode="External"/><Relationship Id="rId2759" Type="http://schemas.openxmlformats.org/officeDocument/2006/relationships/hyperlink" Target="https://www.immoscout24.ch/fr/appartement/louer/lieu-peseux" TargetMode="External"/><Relationship Id="rId1429" Type="http://schemas.openxmlformats.org/officeDocument/2006/relationships/hyperlink" Target="https://www.immoscout24.ch/fr/appartement/louer/lieu-salenstein" TargetMode="External"/><Relationship Id="rId2750" Type="http://schemas.openxmlformats.org/officeDocument/2006/relationships/hyperlink" Target="https://www.immoscout24.ch/fr/maison/acheter/lieu-boenigen-b-interlaken" TargetMode="External"/><Relationship Id="rId1420" Type="http://schemas.openxmlformats.org/officeDocument/2006/relationships/hyperlink" Target="https://www.immoscout24.ch/fr/maison/acheter/lieu-mammern" TargetMode="External"/><Relationship Id="rId2751" Type="http://schemas.openxmlformats.org/officeDocument/2006/relationships/hyperlink" Target="https://www.immoscout24.ch/fr/maison/louer/lieu-safenwil" TargetMode="External"/><Relationship Id="rId1421" Type="http://schemas.openxmlformats.org/officeDocument/2006/relationships/hyperlink" Target="https://www.immoscout24.ch/fr/appartement/acheter/lieu-le-chable-vs" TargetMode="External"/><Relationship Id="rId2752" Type="http://schemas.openxmlformats.org/officeDocument/2006/relationships/hyperlink" Target="https://www.immoscout24.ch/fr/appartement/acheter/lieu-weggis" TargetMode="External"/><Relationship Id="rId699" Type="http://schemas.openxmlformats.org/officeDocument/2006/relationships/hyperlink" Target="https://www.immoscout24.ch/fr/appartement/acheter/lieu-wilderswil" TargetMode="External"/><Relationship Id="rId698" Type="http://schemas.openxmlformats.org/officeDocument/2006/relationships/hyperlink" Target="https://www.immoscout24.ch/fr/appartement/acheter/pays-pologne" TargetMode="External"/><Relationship Id="rId693" Type="http://schemas.openxmlformats.org/officeDocument/2006/relationships/hyperlink" Target="https://www.immoscout24.ch/fr/maison/louer/lieu-courrendlin" TargetMode="External"/><Relationship Id="rId692" Type="http://schemas.openxmlformats.org/officeDocument/2006/relationships/hyperlink" Target="https://www.immoscout24.ch/fr/appartement/louer/lieu-perroy" TargetMode="External"/><Relationship Id="rId691" Type="http://schemas.openxmlformats.org/officeDocument/2006/relationships/hyperlink" Target="https://www.immoscout24.ch/fr/appartement/louer/lieu-font" TargetMode="External"/><Relationship Id="rId690" Type="http://schemas.openxmlformats.org/officeDocument/2006/relationships/hyperlink" Target="https://www.immoscout24.ch/fr/appartement/louer/lieu-bolken" TargetMode="External"/><Relationship Id="rId697" Type="http://schemas.openxmlformats.org/officeDocument/2006/relationships/hyperlink" Target="https://www.immoscout24.ch/fr/maison/acheter/region-rheintal-werdenberg" TargetMode="External"/><Relationship Id="rId696" Type="http://schemas.openxmlformats.org/officeDocument/2006/relationships/hyperlink" Target="https://www.immoscout24.ch/fr/appartement/louer/lieu-vernier" TargetMode="External"/><Relationship Id="rId695" Type="http://schemas.openxmlformats.org/officeDocument/2006/relationships/hyperlink" Target="https://www.immoscout24.ch/fr/maison/acheter/lieu-bottens" TargetMode="External"/><Relationship Id="rId694" Type="http://schemas.openxmlformats.org/officeDocument/2006/relationships/hyperlink" Target="https://www.immoscout24.ch/fr/maison/louer/lieu-noreaz" TargetMode="External"/><Relationship Id="rId1499" Type="http://schemas.openxmlformats.org/officeDocument/2006/relationships/hyperlink" Target="https://www.immoscout24.ch/fr/maison/louer/lieu-correvon" TargetMode="External"/><Relationship Id="rId668" Type="http://schemas.openxmlformats.org/officeDocument/2006/relationships/hyperlink" Target="https://www.immoscout24.ch/fr/maison/acheter/lieu-buseno" TargetMode="External"/><Relationship Id="rId667" Type="http://schemas.openxmlformats.org/officeDocument/2006/relationships/hyperlink" Target="https://www.immoscout24.ch/fr/appartement/louer/region-gruyere-la-broye-lac-veveyse" TargetMode="External"/><Relationship Id="rId666" Type="http://schemas.openxmlformats.org/officeDocument/2006/relationships/hyperlink" Target="https://www.immoscout24.ch/fr/appartement/acheter/region-gruyere-la-broye-lac-veveyse" TargetMode="External"/><Relationship Id="rId665" Type="http://schemas.openxmlformats.org/officeDocument/2006/relationships/hyperlink" Target="https://www.immoscout24.ch/fr/appartement/louer/lieu-le-chatelard-pres-romont" TargetMode="External"/><Relationship Id="rId669" Type="http://schemas.openxmlformats.org/officeDocument/2006/relationships/hyperlink" Target="https://www.immoscout24.ch/fr/maison/acheter/region-lausanne-et-environs" TargetMode="External"/><Relationship Id="rId1490" Type="http://schemas.openxmlformats.org/officeDocument/2006/relationships/hyperlink" Target="https://www.immoscout24.ch/fr/maison/louer/lieu-les-ponts-de-martel" TargetMode="External"/><Relationship Id="rId660" Type="http://schemas.openxmlformats.org/officeDocument/2006/relationships/hyperlink" Target="https://www.immoscout24.ch/fr/maison/acheter/lieu-bulle" TargetMode="External"/><Relationship Id="rId1491" Type="http://schemas.openxmlformats.org/officeDocument/2006/relationships/hyperlink" Target="https://www.immoscout24.ch/fr/maison/acheter/lieu-isone" TargetMode="External"/><Relationship Id="rId1492" Type="http://schemas.openxmlformats.org/officeDocument/2006/relationships/hyperlink" Target="https://www.immoscout24.ch/fr/appartement/acheter/lieu-meinier" TargetMode="External"/><Relationship Id="rId1493" Type="http://schemas.openxmlformats.org/officeDocument/2006/relationships/hyperlink" Target="https://www.immoscout24.ch/fr/appartement/louer/lieu-bramois" TargetMode="External"/><Relationship Id="rId1494" Type="http://schemas.openxmlformats.org/officeDocument/2006/relationships/hyperlink" Target="https://www.immoscout24.ch/fr/maison/acheter/lieu-sonogno" TargetMode="External"/><Relationship Id="rId664" Type="http://schemas.openxmlformats.org/officeDocument/2006/relationships/hyperlink" Target="https://www.immoscout24.ch/fr/appartement/louer/lieu-wettswil" TargetMode="External"/><Relationship Id="rId1495" Type="http://schemas.openxmlformats.org/officeDocument/2006/relationships/hyperlink" Target="https://www.immoscout24.ch/fr/maison/acheter/lieu-villars-epeney" TargetMode="External"/><Relationship Id="rId663" Type="http://schemas.openxmlformats.org/officeDocument/2006/relationships/hyperlink" Target="https://www.immoscout24.ch/fr/appartement/louer/quartier-kleinhueningen-bale" TargetMode="External"/><Relationship Id="rId1496" Type="http://schemas.openxmlformats.org/officeDocument/2006/relationships/hyperlink" Target="https://www.immoscout24.ch/fr/appartement/acheter/quartier-eaux-vives-lac-geneve" TargetMode="External"/><Relationship Id="rId662" Type="http://schemas.openxmlformats.org/officeDocument/2006/relationships/hyperlink" Target="https://www.immoscout24.ch/fr/maison/louer/lieu-penthaz" TargetMode="External"/><Relationship Id="rId1497" Type="http://schemas.openxmlformats.org/officeDocument/2006/relationships/hyperlink" Target="https://www.immoscout24.ch/fr/maison/acheter/canton-glaris" TargetMode="External"/><Relationship Id="rId661" Type="http://schemas.openxmlformats.org/officeDocument/2006/relationships/hyperlink" Target="https://www.immoscout24.ch/fr/appartement/acheter/lieu-froideville" TargetMode="External"/><Relationship Id="rId1498" Type="http://schemas.openxmlformats.org/officeDocument/2006/relationships/hyperlink" Target="https://www.immoscout24.ch/fr/maison/acheter/lieu-kriechenwil" TargetMode="External"/><Relationship Id="rId1488" Type="http://schemas.openxmlformats.org/officeDocument/2006/relationships/hyperlink" Target="https://www.immoscout24.ch/fr/maison/louer/lieu-provence" TargetMode="External"/><Relationship Id="rId1489" Type="http://schemas.openxmlformats.org/officeDocument/2006/relationships/hyperlink" Target="https://www.immoscout24.ch/fr/appartement/louer/lieu-villars-tiercelin" TargetMode="External"/><Relationship Id="rId657" Type="http://schemas.openxmlformats.org/officeDocument/2006/relationships/hyperlink" Target="https://www.immoscout24.ch/fr/appartement/louer/lieu-deitingen" TargetMode="External"/><Relationship Id="rId656" Type="http://schemas.openxmlformats.org/officeDocument/2006/relationships/hyperlink" Target="https://www.immoscout24.ch/fr/appartement/louer/lieu-cheserex" TargetMode="External"/><Relationship Id="rId655" Type="http://schemas.openxmlformats.org/officeDocument/2006/relationships/hyperlink" Target="https://www.immoscout24.ch/fr/maison/acheter/lieu-vaugondry" TargetMode="External"/><Relationship Id="rId654" Type="http://schemas.openxmlformats.org/officeDocument/2006/relationships/hyperlink" Target="https://www.immoscout24.ch/fr/maison/acheter/lieu-rona" TargetMode="External"/><Relationship Id="rId659" Type="http://schemas.openxmlformats.org/officeDocument/2006/relationships/hyperlink" Target="https://www.immoscout24.ch/fr/appartement/acheter/lieu-cheseaux-sur-lausanne" TargetMode="External"/><Relationship Id="rId658" Type="http://schemas.openxmlformats.org/officeDocument/2006/relationships/hyperlink" Target="https://www.immoscout24.ch/fr/maison/louer/lieu-flamatt" TargetMode="External"/><Relationship Id="rId1480" Type="http://schemas.openxmlformats.org/officeDocument/2006/relationships/hyperlink" Target="https://www.immoscout24.ch/fr/appartement/acheter/lieu-saxon" TargetMode="External"/><Relationship Id="rId1481" Type="http://schemas.openxmlformats.org/officeDocument/2006/relationships/hyperlink" Target="https://www.immoscout24.ch/fr/maison/acheter/region-sargans-et-environs" TargetMode="External"/><Relationship Id="rId1482" Type="http://schemas.openxmlformats.org/officeDocument/2006/relationships/hyperlink" Target="https://www.immoscout24.ch/fr/appartement/louer/lieu-cormoret" TargetMode="External"/><Relationship Id="rId1483" Type="http://schemas.openxmlformats.org/officeDocument/2006/relationships/hyperlink" Target="https://www.immoscout24.ch/fr/appartement/louer/quartier-gwatt-thun" TargetMode="External"/><Relationship Id="rId653" Type="http://schemas.openxmlformats.org/officeDocument/2006/relationships/hyperlink" Target="https://www.immoscout24.ch/fr/appartement/louer/lieu-goldach" TargetMode="External"/><Relationship Id="rId1484" Type="http://schemas.openxmlformats.org/officeDocument/2006/relationships/hyperlink" Target="https://www.immoscout24.ch/fr/maison/acheter/lieu-studen-be" TargetMode="External"/><Relationship Id="rId652" Type="http://schemas.openxmlformats.org/officeDocument/2006/relationships/hyperlink" Target="https://www.immoscout24.ch/fr/maison/louer/lieu-montcherand" TargetMode="External"/><Relationship Id="rId1485" Type="http://schemas.openxmlformats.org/officeDocument/2006/relationships/hyperlink" Target="https://www.immoscout24.ch/fr/appartement/louer/lieu-villaraboud" TargetMode="External"/><Relationship Id="rId651" Type="http://schemas.openxmlformats.org/officeDocument/2006/relationships/hyperlink" Target="https://www.immoscout24.ch/fr/appartement/acheter/lieu-monnaz" TargetMode="External"/><Relationship Id="rId1486" Type="http://schemas.openxmlformats.org/officeDocument/2006/relationships/hyperlink" Target="https://www.immoscout24.ch/fr/maison/acheter/lieu-nuvilly" TargetMode="External"/><Relationship Id="rId650" Type="http://schemas.openxmlformats.org/officeDocument/2006/relationships/hyperlink" Target="https://www.immoscout24.ch/fr/appartement/acheter/lieu-huttwil" TargetMode="External"/><Relationship Id="rId1487" Type="http://schemas.openxmlformats.org/officeDocument/2006/relationships/hyperlink" Target="https://www.immoscout24.ch/fr/appartement/louer/lieu-cortebert" TargetMode="External"/><Relationship Id="rId689" Type="http://schemas.openxmlformats.org/officeDocument/2006/relationships/hyperlink" Target="https://www.immoscout24.ch/fr/appartement/acheter/lieu-baulmes" TargetMode="External"/><Relationship Id="rId688" Type="http://schemas.openxmlformats.org/officeDocument/2006/relationships/hyperlink" Target="https://www.immoscout24.ch/fr/appartement/louer/lieu-asp" TargetMode="External"/><Relationship Id="rId687" Type="http://schemas.openxmlformats.org/officeDocument/2006/relationships/hyperlink" Target="https://www.immoscout24.ch/fr/maison/acheter/lieu-hergiswil-nw" TargetMode="External"/><Relationship Id="rId682" Type="http://schemas.openxmlformats.org/officeDocument/2006/relationships/hyperlink" Target="https://www.immoscout24.ch/fr/appartement/acheter/quartier-boujean-biel-bienne" TargetMode="External"/><Relationship Id="rId681" Type="http://schemas.openxmlformats.org/officeDocument/2006/relationships/hyperlink" Target="https://www.immoscout24.ch/fr/maison/louer/lieu-rochefort" TargetMode="External"/><Relationship Id="rId680" Type="http://schemas.openxmlformats.org/officeDocument/2006/relationships/hyperlink" Target="https://www.immoscout24.ch/fr/maison/acheter/lieu-la-heutte" TargetMode="External"/><Relationship Id="rId686" Type="http://schemas.openxmlformats.org/officeDocument/2006/relationships/hyperlink" Target="https://www.immoscout24.ch/fr/appartement/louer/lieu-staufen" TargetMode="External"/><Relationship Id="rId685" Type="http://schemas.openxmlformats.org/officeDocument/2006/relationships/hyperlink" Target="https://www.immoscout24.ch/fr/maison/acheter/quartier-bourg-fribourg" TargetMode="External"/><Relationship Id="rId684" Type="http://schemas.openxmlformats.org/officeDocument/2006/relationships/hyperlink" Target="https://www.immoscout24.ch/fr/appartement/acheter/lieu-carona" TargetMode="External"/><Relationship Id="rId683" Type="http://schemas.openxmlformats.org/officeDocument/2006/relationships/hyperlink" Target="https://www.immoscout24.ch/fr/maison/acheter/lieu-sorens" TargetMode="External"/><Relationship Id="rId679" Type="http://schemas.openxmlformats.org/officeDocument/2006/relationships/hyperlink" Target="https://www.immoscout24.ch/fr/appartement/acheter/lieu-grand-lancy" TargetMode="External"/><Relationship Id="rId678" Type="http://schemas.openxmlformats.org/officeDocument/2006/relationships/hyperlink" Target="https://www.immoscout24.ch/fr/maison/louer/lieu-carouge-ge" TargetMode="External"/><Relationship Id="rId677" Type="http://schemas.openxmlformats.org/officeDocument/2006/relationships/hyperlink" Target="https://www.immoscout24.ch/fr/appartement/acheter/lieu-chatel-st-denis" TargetMode="External"/><Relationship Id="rId676" Type="http://schemas.openxmlformats.org/officeDocument/2006/relationships/hyperlink" Target="https://www.immoscout24.ch/fr/maison/acheter/lieu-chabrey" TargetMode="External"/><Relationship Id="rId671" Type="http://schemas.openxmlformats.org/officeDocument/2006/relationships/hyperlink" Target="https://www.immoscout24.ch/fr/maison/acheter/lieu-avegno" TargetMode="External"/><Relationship Id="rId670" Type="http://schemas.openxmlformats.org/officeDocument/2006/relationships/hyperlink" Target="https://www.immoscout24.ch/fr/appartement/acheter/lieu-portalban" TargetMode="External"/><Relationship Id="rId675" Type="http://schemas.openxmlformats.org/officeDocument/2006/relationships/hyperlink" Target="https://www.immoscout24.ch/fr/maison/acheter/lieu-caviano" TargetMode="External"/><Relationship Id="rId674" Type="http://schemas.openxmlformats.org/officeDocument/2006/relationships/hyperlink" Target="https://www.immoscout24.ch/fr/maison/acheter/lieu-vufflens-le-chateau" TargetMode="External"/><Relationship Id="rId673" Type="http://schemas.openxmlformats.org/officeDocument/2006/relationships/hyperlink" Target="https://www.immoscout24.ch/fr/appartement/louer/lieu-buetschwil" TargetMode="External"/><Relationship Id="rId672" Type="http://schemas.openxmlformats.org/officeDocument/2006/relationships/hyperlink" Target="https://www.immoscout24.ch/fr/maison/louer/quartier-stgeorgen-st-gall" TargetMode="External"/><Relationship Id="rId5019" Type="http://schemas.openxmlformats.org/officeDocument/2006/relationships/hyperlink" Target="https://www.immoscout24.ch/fr/maison/acheter/lieu-vendlincourt" TargetMode="External"/><Relationship Id="rId5010" Type="http://schemas.openxmlformats.org/officeDocument/2006/relationships/hyperlink" Target="https://www.immoscout24.ch/fr/appartement/louer/lieu-courtelary" TargetMode="External"/><Relationship Id="rId5013" Type="http://schemas.openxmlformats.org/officeDocument/2006/relationships/hyperlink" Target="https://www.immoscout24.ch/fr/maison/acheter/lieu-grossaffoltern" TargetMode="External"/><Relationship Id="rId5014" Type="http://schemas.openxmlformats.org/officeDocument/2006/relationships/hyperlink" Target="https://www.immoscout24.ch/fr/appartement/acheter/lieu-clarens" TargetMode="External"/><Relationship Id="rId5011" Type="http://schemas.openxmlformats.org/officeDocument/2006/relationships/hyperlink" Target="https://www.immoscout24.ch/fr/appartement/acheter/region-rive-droite" TargetMode="External"/><Relationship Id="rId5012" Type="http://schemas.openxmlformats.org/officeDocument/2006/relationships/hyperlink" Target="https://www.immoscout24.ch/fr/appartement/louer/region-toggenburg" TargetMode="External"/><Relationship Id="rId5017" Type="http://schemas.openxmlformats.org/officeDocument/2006/relationships/hyperlink" Target="https://www.immoscout24.ch/fr/appartement/louer/region-bale-campagne-est" TargetMode="External"/><Relationship Id="rId5018" Type="http://schemas.openxmlformats.org/officeDocument/2006/relationships/hyperlink" Target="https://www.immoscout24.ch/fr/maison/acheter/lieu-sementina" TargetMode="External"/><Relationship Id="rId5015" Type="http://schemas.openxmlformats.org/officeDocument/2006/relationships/hyperlink" Target="https://www.immoscout24.ch/fr/appartement/louer/lieu-uvrier" TargetMode="External"/><Relationship Id="rId5016" Type="http://schemas.openxmlformats.org/officeDocument/2006/relationships/hyperlink" Target="https://www.immoscout24.ch/fr/appartement/louer/lieu-la-sagne-ste-croix" TargetMode="External"/><Relationship Id="rId5008" Type="http://schemas.openxmlformats.org/officeDocument/2006/relationships/hyperlink" Target="https://www.immoscout24.ch/fr/maison/acheter/lieu-chesieres" TargetMode="External"/><Relationship Id="rId5009" Type="http://schemas.openxmlformats.org/officeDocument/2006/relationships/hyperlink" Target="https://www.immoscout24.ch/fr/maison/acheter/lieu-chandonne-liddes" TargetMode="External"/><Relationship Id="rId5002" Type="http://schemas.openxmlformats.org/officeDocument/2006/relationships/hyperlink" Target="https://www.immoscout24.ch/fr/appartement/louer/lieu-bourguillon" TargetMode="External"/><Relationship Id="rId5003" Type="http://schemas.openxmlformats.org/officeDocument/2006/relationships/hyperlink" Target="https://www.immoscout24.ch/fr/appartement/louer/lieu-urtenen-schoenbuehl" TargetMode="External"/><Relationship Id="rId5000" Type="http://schemas.openxmlformats.org/officeDocument/2006/relationships/hyperlink" Target="https://www.immoscout24.ch/fr/appartement/louer/quartier-monbijou-berne" TargetMode="External"/><Relationship Id="rId5001" Type="http://schemas.openxmlformats.org/officeDocument/2006/relationships/hyperlink" Target="https://www.immoscout24.ch/fr/maison/louer/lieu-marsens" TargetMode="External"/><Relationship Id="rId5006" Type="http://schemas.openxmlformats.org/officeDocument/2006/relationships/hyperlink" Target="https://www.immoscout24.ch/fr/maison/acheter/lieu-st-antoenien" TargetMode="External"/><Relationship Id="rId5007" Type="http://schemas.openxmlformats.org/officeDocument/2006/relationships/hyperlink" Target="https://www.immoscout24.ch/fr/maison/louer/lieu-genolier" TargetMode="External"/><Relationship Id="rId5004" Type="http://schemas.openxmlformats.org/officeDocument/2006/relationships/hyperlink" Target="https://www.immoscout24.ch/fr/appartement/louer/lieu-evolene" TargetMode="External"/><Relationship Id="rId5005" Type="http://schemas.openxmlformats.org/officeDocument/2006/relationships/hyperlink" Target="https://www.immoscout24.ch/fr/maison/acheter/lieu-aclens" TargetMode="External"/><Relationship Id="rId5031" Type="http://schemas.openxmlformats.org/officeDocument/2006/relationships/hyperlink" Target="https://www.immoscout24.ch/fr/appartement/acheter/lieu-provence" TargetMode="External"/><Relationship Id="rId5032" Type="http://schemas.openxmlformats.org/officeDocument/2006/relationships/hyperlink" Target="https://www.immoscout24.ch/fr/appartement/acheter/lieu-leysin" TargetMode="External"/><Relationship Id="rId5030" Type="http://schemas.openxmlformats.org/officeDocument/2006/relationships/hyperlink" Target="https://www.immoscout24.ch/fr/appartement/louer/lieu-epautheyres" TargetMode="External"/><Relationship Id="rId5035" Type="http://schemas.openxmlformats.org/officeDocument/2006/relationships/hyperlink" Target="https://www.immoscout24.ch/fr/appartement/acheter/region-ayent" TargetMode="External"/><Relationship Id="rId5036" Type="http://schemas.openxmlformats.org/officeDocument/2006/relationships/hyperlink" Target="https://www.immoscout24.ch/fr/appartement/louer/lieu-saas-grund" TargetMode="External"/><Relationship Id="rId5033" Type="http://schemas.openxmlformats.org/officeDocument/2006/relationships/hyperlink" Target="https://www.immoscout24.ch/fr/appartement/louer/quartier-paquis-navigation-geneve" TargetMode="External"/><Relationship Id="rId5034" Type="http://schemas.openxmlformats.org/officeDocument/2006/relationships/hyperlink" Target="https://www.immoscout24.ch/fr/maison/acheter/lieu-fornex-liddes" TargetMode="External"/><Relationship Id="rId5039" Type="http://schemas.openxmlformats.org/officeDocument/2006/relationships/hyperlink" Target="https://www.immoscout24.ch/fr/appartement/louer/lieu-vendlincourt" TargetMode="External"/><Relationship Id="rId5037" Type="http://schemas.openxmlformats.org/officeDocument/2006/relationships/hyperlink" Target="https://www.immoscout24.ch/fr/appartement/louer/lieu-balsthal" TargetMode="External"/><Relationship Id="rId5038" Type="http://schemas.openxmlformats.org/officeDocument/2006/relationships/hyperlink" Target="https://www.immoscout24.ch/fr/appartement/louer/lieu-concise" TargetMode="External"/><Relationship Id="rId5020" Type="http://schemas.openxmlformats.org/officeDocument/2006/relationships/hyperlink" Target="https://www.immoscout24.ch/fr/maison/acheter/lieu-l-isle" TargetMode="External"/><Relationship Id="rId5021" Type="http://schemas.openxmlformats.org/officeDocument/2006/relationships/hyperlink" Target="https://www.immoscout24.ch/fr/appartement/louer/lieu-posieux" TargetMode="External"/><Relationship Id="rId5024" Type="http://schemas.openxmlformats.org/officeDocument/2006/relationships/hyperlink" Target="https://www.immoscout24.ch/fr/maison/acheter/lieu-vuarmarens" TargetMode="External"/><Relationship Id="rId5025" Type="http://schemas.openxmlformats.org/officeDocument/2006/relationships/hyperlink" Target="https://www.immoscout24.ch/fr/maison/louer/lieu-biel-bienne" TargetMode="External"/><Relationship Id="rId5022" Type="http://schemas.openxmlformats.org/officeDocument/2006/relationships/hyperlink" Target="https://www.immoscout24.ch/fr/maison/acheter/lieu-rotkreuz" TargetMode="External"/><Relationship Id="rId5023" Type="http://schemas.openxmlformats.org/officeDocument/2006/relationships/hyperlink" Target="https://www.immoscout24.ch/fr/appartement/louer/lieu-chernex" TargetMode="External"/><Relationship Id="rId5028" Type="http://schemas.openxmlformats.org/officeDocument/2006/relationships/hyperlink" Target="https://www.immoscout24.ch/fr/maison/acheter/lieu-cheyres" TargetMode="External"/><Relationship Id="rId5029" Type="http://schemas.openxmlformats.org/officeDocument/2006/relationships/hyperlink" Target="https://www.immoscout24.ch/fr/appartement/louer/lieu-soerenberg" TargetMode="External"/><Relationship Id="rId5026" Type="http://schemas.openxmlformats.org/officeDocument/2006/relationships/hyperlink" Target="https://www.immoscout24.ch/fr/appartement/louer/lieu-vevey" TargetMode="External"/><Relationship Id="rId5027" Type="http://schemas.openxmlformats.org/officeDocument/2006/relationships/hyperlink" Target="https://www.immoscout24.ch/fr/appartement/louer/lieu-plaffeien" TargetMode="External"/><Relationship Id="rId2820" Type="http://schemas.openxmlformats.org/officeDocument/2006/relationships/hyperlink" Target="https://www.immoscout24.ch/fr/appartement/acheter/lieu-malans-gr" TargetMode="External"/><Relationship Id="rId2821" Type="http://schemas.openxmlformats.org/officeDocument/2006/relationships/hyperlink" Target="https://www.immoscout24.ch/fr/appartement/louer/lieu-kuesnacht-zh" TargetMode="External"/><Relationship Id="rId2822" Type="http://schemas.openxmlformats.org/officeDocument/2006/relationships/hyperlink" Target="https://www.immoscout24.ch/fr/appartement/louer/lieu-effretikon" TargetMode="External"/><Relationship Id="rId2823" Type="http://schemas.openxmlformats.org/officeDocument/2006/relationships/hyperlink" Target="https://www.immoscout24.ch/fr/maison/louer/lieu-fuellinsdorf" TargetMode="External"/><Relationship Id="rId2824" Type="http://schemas.openxmlformats.org/officeDocument/2006/relationships/hyperlink" Target="https://www.immoscout24.ch/fr/appartement/acheter/lieu-bonaduz" TargetMode="External"/><Relationship Id="rId2825" Type="http://schemas.openxmlformats.org/officeDocument/2006/relationships/hyperlink" Target="https://www.immoscout24.ch/fr/maison/louer/quartier-montoie-bourdonette-lausanne" TargetMode="External"/><Relationship Id="rId2826" Type="http://schemas.openxmlformats.org/officeDocument/2006/relationships/hyperlink" Target="https://www.immoscout24.ch/fr/appartement/louer/lieu-beatenberg" TargetMode="External"/><Relationship Id="rId2827" Type="http://schemas.openxmlformats.org/officeDocument/2006/relationships/hyperlink" Target="https://www.immoscout24.ch/fr/maison/acheter/lieu-niederwil-ag" TargetMode="External"/><Relationship Id="rId2828" Type="http://schemas.openxmlformats.org/officeDocument/2006/relationships/hyperlink" Target="https://www.immoscout24.ch/fr/appartement/louer/lieu-zumholz" TargetMode="External"/><Relationship Id="rId2829" Type="http://schemas.openxmlformats.org/officeDocument/2006/relationships/hyperlink" Target="https://www.immoscout24.ch/fr/appartement/louer/lieu-villars-sous-champvent" TargetMode="External"/><Relationship Id="rId5093" Type="http://schemas.openxmlformats.org/officeDocument/2006/relationships/hyperlink" Target="https://www.immoscout24.ch/fr/appartement/louer/lieu-schuepfen" TargetMode="External"/><Relationship Id="rId5094" Type="http://schemas.openxmlformats.org/officeDocument/2006/relationships/hyperlink" Target="https://www.immoscout24.ch/fr/appartement/acheter/lieu-cortaillod" TargetMode="External"/><Relationship Id="rId5091" Type="http://schemas.openxmlformats.org/officeDocument/2006/relationships/hyperlink" Target="https://www.immoscout24.ch/fr/appartement/acheter/lieu-sursee" TargetMode="External"/><Relationship Id="rId5092" Type="http://schemas.openxmlformats.org/officeDocument/2006/relationships/hyperlink" Target="https://www.immoscout24.ch/fr/appartement/acheter/quartier-monruz-neuchatel" TargetMode="External"/><Relationship Id="rId5097" Type="http://schemas.openxmlformats.org/officeDocument/2006/relationships/hyperlink" Target="https://www.immoscout24.ch/fr/appartement/acheter/lieu-marin-epagnier" TargetMode="External"/><Relationship Id="rId5098" Type="http://schemas.openxmlformats.org/officeDocument/2006/relationships/hyperlink" Target="https://www.immoscout24.ch/fr/maison/acheter/lieu-muenster-vs" TargetMode="External"/><Relationship Id="rId5095" Type="http://schemas.openxmlformats.org/officeDocument/2006/relationships/hyperlink" Target="https://www.immoscout24.ch/fr/maison/louer/lieu-giffers" TargetMode="External"/><Relationship Id="rId5096" Type="http://schemas.openxmlformats.org/officeDocument/2006/relationships/hyperlink" Target="https://www.immoscout24.ch/fr/maison/acheter/lieu-la-ferriere" TargetMode="External"/><Relationship Id="rId5099" Type="http://schemas.openxmlformats.org/officeDocument/2006/relationships/hyperlink" Target="https://www.immoscout24.ch/fr/maison/acheter/lieu-ramsen" TargetMode="External"/><Relationship Id="rId2810" Type="http://schemas.openxmlformats.org/officeDocument/2006/relationships/hyperlink" Target="https://www.immoscout24.ch/fr/maison/acheter/lieu-st-cergue" TargetMode="External"/><Relationship Id="rId2811" Type="http://schemas.openxmlformats.org/officeDocument/2006/relationships/hyperlink" Target="https://www.immoscout24.ch/fr/appartement/louer/lieu-les-collons" TargetMode="External"/><Relationship Id="rId2812" Type="http://schemas.openxmlformats.org/officeDocument/2006/relationships/hyperlink" Target="https://www.immoscout24.ch/fr/maison/acheter/lieu-oberhallau" TargetMode="External"/><Relationship Id="rId2813" Type="http://schemas.openxmlformats.org/officeDocument/2006/relationships/hyperlink" Target="https://www.immoscout24.ch/fr/maison/acheter/lieu-champvent" TargetMode="External"/><Relationship Id="rId2814" Type="http://schemas.openxmlformats.org/officeDocument/2006/relationships/hyperlink" Target="https://www.immoscout24.ch/fr/appartement/louer/lieu-wallenwil" TargetMode="External"/><Relationship Id="rId2815" Type="http://schemas.openxmlformats.org/officeDocument/2006/relationships/hyperlink" Target="https://www.immoscout24.ch/fr/maison/louer/lieu-monthey" TargetMode="External"/><Relationship Id="rId2816" Type="http://schemas.openxmlformats.org/officeDocument/2006/relationships/hyperlink" Target="https://www.immoscout24.ch/fr/appartement/acheter/pays-allemagne" TargetMode="External"/><Relationship Id="rId2817" Type="http://schemas.openxmlformats.org/officeDocument/2006/relationships/hyperlink" Target="https://www.immoscout24.ch/fr/appartement/louer/lieu-fey" TargetMode="External"/><Relationship Id="rId2818" Type="http://schemas.openxmlformats.org/officeDocument/2006/relationships/hyperlink" Target="https://www.immoscout24.ch/fr/appartement/louer/lieu-bettens" TargetMode="External"/><Relationship Id="rId2819" Type="http://schemas.openxmlformats.org/officeDocument/2006/relationships/hyperlink" Target="https://www.immoscout24.ch/fr/maison/acheter/lieu-gansingen" TargetMode="External"/><Relationship Id="rId5090" Type="http://schemas.openxmlformats.org/officeDocument/2006/relationships/hyperlink" Target="https://www.immoscout24.ch/fr/appartement/louer/lieu-greng" TargetMode="External"/><Relationship Id="rId5082" Type="http://schemas.openxmlformats.org/officeDocument/2006/relationships/hyperlink" Target="https://www.immoscout24.ch/fr/maison/acheter/lieu-pailly" TargetMode="External"/><Relationship Id="rId5083" Type="http://schemas.openxmlformats.org/officeDocument/2006/relationships/hyperlink" Target="https://www.immoscout24.ch/fr/maison/acheter/lieu-grasswil" TargetMode="External"/><Relationship Id="rId5080" Type="http://schemas.openxmlformats.org/officeDocument/2006/relationships/hyperlink" Target="https://www.immoscout24.ch/fr/maison/acheter/lieu-schwarzenberg-lu" TargetMode="External"/><Relationship Id="rId5081" Type="http://schemas.openxmlformats.org/officeDocument/2006/relationships/hyperlink" Target="https://www.immoscout24.ch/fr/maison/acheter/lieu-neunkirch" TargetMode="External"/><Relationship Id="rId5086" Type="http://schemas.openxmlformats.org/officeDocument/2006/relationships/hyperlink" Target="https://www.immoscout24.ch/fr/maison/acheter/lieu-stechelberg" TargetMode="External"/><Relationship Id="rId5087" Type="http://schemas.openxmlformats.org/officeDocument/2006/relationships/hyperlink" Target="https://www.immoscout24.ch/fr/maison/acheter/lieu-waltenschwil" TargetMode="External"/><Relationship Id="rId5084" Type="http://schemas.openxmlformats.org/officeDocument/2006/relationships/hyperlink" Target="https://www.immoscout24.ch/fr/maison/acheter/lieu-courtepin" TargetMode="External"/><Relationship Id="rId5085" Type="http://schemas.openxmlformats.org/officeDocument/2006/relationships/hyperlink" Target="https://www.immoscout24.ch/fr/maison/acheter/lieu-cheseaux-noreaz" TargetMode="External"/><Relationship Id="rId5088" Type="http://schemas.openxmlformats.org/officeDocument/2006/relationships/hyperlink" Target="https://www.immoscout24.ch/fr/appartement/louer/lieu-zweisimmen" TargetMode="External"/><Relationship Id="rId5089" Type="http://schemas.openxmlformats.org/officeDocument/2006/relationships/hyperlink" Target="https://www.immoscout24.ch/fr/appartement/louer/lieu-grand-lancy" TargetMode="External"/><Relationship Id="rId1510" Type="http://schemas.openxmlformats.org/officeDocument/2006/relationships/hyperlink" Target="https://www.immoscout24.ch/fr/maison/louer/lieu-fenin" TargetMode="External"/><Relationship Id="rId2841" Type="http://schemas.openxmlformats.org/officeDocument/2006/relationships/hyperlink" Target="https://www.immoscout24.ch/fr/appartement/acheter/lieu-steffisburg" TargetMode="External"/><Relationship Id="rId1511" Type="http://schemas.openxmlformats.org/officeDocument/2006/relationships/hyperlink" Target="https://www.immoscout24.ch/fr/maison/louer/lieu-st-george" TargetMode="External"/><Relationship Id="rId2842" Type="http://schemas.openxmlformats.org/officeDocument/2006/relationships/hyperlink" Target="https://www.immoscout24.ch/fr/appartement/louer/lieu-seon" TargetMode="External"/><Relationship Id="rId1512" Type="http://schemas.openxmlformats.org/officeDocument/2006/relationships/hyperlink" Target="https://www.immoscout24.ch/fr/appartement/louer/pays-roumanie" TargetMode="External"/><Relationship Id="rId2843" Type="http://schemas.openxmlformats.org/officeDocument/2006/relationships/hyperlink" Target="https://www.immoscout24.ch/fr/maison/acheter/lieu-flaach" TargetMode="External"/><Relationship Id="rId1513" Type="http://schemas.openxmlformats.org/officeDocument/2006/relationships/hyperlink" Target="https://www.immoscout24.ch/fr/appartement/acheter/lieu-cully" TargetMode="External"/><Relationship Id="rId2844" Type="http://schemas.openxmlformats.org/officeDocument/2006/relationships/hyperlink" Target="https://www.immoscout24.ch/fr/maison/louer/lieu-lully-fr" TargetMode="External"/><Relationship Id="rId1514" Type="http://schemas.openxmlformats.org/officeDocument/2006/relationships/hyperlink" Target="https://www.immoscout24.ch/fr/maison/acheter/lieu-vallamand" TargetMode="External"/><Relationship Id="rId2845" Type="http://schemas.openxmlformats.org/officeDocument/2006/relationships/hyperlink" Target="https://www.immoscout24.ch/fr/appartement/acheter/canton-uri" TargetMode="External"/><Relationship Id="rId1515" Type="http://schemas.openxmlformats.org/officeDocument/2006/relationships/hyperlink" Target="https://www.immoscout24.ch/fr/maison/acheter/lieu-wirzweli" TargetMode="External"/><Relationship Id="rId2846" Type="http://schemas.openxmlformats.org/officeDocument/2006/relationships/hyperlink" Target="https://www.immoscout24.ch/fr/appartement/louer/lieu-fontainemelon" TargetMode="External"/><Relationship Id="rId1516" Type="http://schemas.openxmlformats.org/officeDocument/2006/relationships/hyperlink" Target="https://www.immoscout24.ch/fr/appartement/louer/lieu-villargiroud" TargetMode="External"/><Relationship Id="rId2847" Type="http://schemas.openxmlformats.org/officeDocument/2006/relationships/hyperlink" Target="https://www.immoscout24.ch/fr/appartement/louer/lieu-faoug" TargetMode="External"/><Relationship Id="rId1517" Type="http://schemas.openxmlformats.org/officeDocument/2006/relationships/hyperlink" Target="https://www.immoscout24.ch/fr/appartement/louer/lieu-thyon" TargetMode="External"/><Relationship Id="rId2848" Type="http://schemas.openxmlformats.org/officeDocument/2006/relationships/hyperlink" Target="https://www.immoscout24.ch/fr/maison/acheter/lieu-lauterbrunnen" TargetMode="External"/><Relationship Id="rId1518" Type="http://schemas.openxmlformats.org/officeDocument/2006/relationships/hyperlink" Target="https://www.immoscout24.ch/fr/maison/louer/lieu-leysin" TargetMode="External"/><Relationship Id="rId2849" Type="http://schemas.openxmlformats.org/officeDocument/2006/relationships/hyperlink" Target="https://www.immoscout24.ch/fr/maison/acheter/lieu-guttet-feschel" TargetMode="External"/><Relationship Id="rId1519" Type="http://schemas.openxmlformats.org/officeDocument/2006/relationships/hyperlink" Target="https://www.immoscout24.ch/fr/maison/acheter/region-singine-sarine-lac" TargetMode="External"/><Relationship Id="rId2840" Type="http://schemas.openxmlformats.org/officeDocument/2006/relationships/hyperlink" Target="https://www.immoscout24.ch/fr/maison/acheter/lieu-chermignon" TargetMode="External"/><Relationship Id="rId2830" Type="http://schemas.openxmlformats.org/officeDocument/2006/relationships/hyperlink" Target="https://www.immoscout24.ch/fr/appartement/acheter/lieu-belmont-sur-lausanne" TargetMode="External"/><Relationship Id="rId1500" Type="http://schemas.openxmlformats.org/officeDocument/2006/relationships/hyperlink" Target="https://www.immoscout24.ch/fr/maison/acheter/lieu-buesserach" TargetMode="External"/><Relationship Id="rId2831" Type="http://schemas.openxmlformats.org/officeDocument/2006/relationships/hyperlink" Target="https://www.immoscout24.ch/fr/appartement/acheter/lieu-villars-sur-ollon" TargetMode="External"/><Relationship Id="rId1501" Type="http://schemas.openxmlformats.org/officeDocument/2006/relationships/hyperlink" Target="https://www.immoscout24.ch/fr/appartement/louer/lieu-les-ecasseys" TargetMode="External"/><Relationship Id="rId2832" Type="http://schemas.openxmlformats.org/officeDocument/2006/relationships/hyperlink" Target="https://www.immoscout24.ch/fr/maison/acheter/lieu-arbedo" TargetMode="External"/><Relationship Id="rId1502" Type="http://schemas.openxmlformats.org/officeDocument/2006/relationships/hyperlink" Target="https://www.immoscout24.ch/fr/maison/louer/lieu-les-posses-sur-bex" TargetMode="External"/><Relationship Id="rId2833" Type="http://schemas.openxmlformats.org/officeDocument/2006/relationships/hyperlink" Target="https://www.immoscout24.ch/fr/appartement/louer/lieu-trient" TargetMode="External"/><Relationship Id="rId1503" Type="http://schemas.openxmlformats.org/officeDocument/2006/relationships/hyperlink" Target="https://www.immoscout24.ch/fr/appartement/louer/lieu-faellanden" TargetMode="External"/><Relationship Id="rId2834" Type="http://schemas.openxmlformats.org/officeDocument/2006/relationships/hyperlink" Target="https://www.immoscout24.ch/fr/appartement/acheter/lieu-loveresse" TargetMode="External"/><Relationship Id="rId1504" Type="http://schemas.openxmlformats.org/officeDocument/2006/relationships/hyperlink" Target="https://www.immoscout24.ch/fr/appartement/acheter/lieu-chexbres" TargetMode="External"/><Relationship Id="rId2835" Type="http://schemas.openxmlformats.org/officeDocument/2006/relationships/hyperlink" Target="https://www.immoscout24.ch/fr/maison/acheter/lieu-l-abergement" TargetMode="External"/><Relationship Id="rId1505" Type="http://schemas.openxmlformats.org/officeDocument/2006/relationships/hyperlink" Target="https://www.immoscout24.ch/fr/maison/acheter/lieu-charmoille" TargetMode="External"/><Relationship Id="rId2836" Type="http://schemas.openxmlformats.org/officeDocument/2006/relationships/hyperlink" Target="https://www.immoscout24.ch/fr/appartement/acheter/lieu-palezieux" TargetMode="External"/><Relationship Id="rId1506" Type="http://schemas.openxmlformats.org/officeDocument/2006/relationships/hyperlink" Target="https://www.immoscout24.ch/fr/maison/acheter/lieu-oberschrot" TargetMode="External"/><Relationship Id="rId2837" Type="http://schemas.openxmlformats.org/officeDocument/2006/relationships/hyperlink" Target="https://www.immoscout24.ch/fr/appartement/louer/lieu-bauma" TargetMode="External"/><Relationship Id="rId1507" Type="http://schemas.openxmlformats.org/officeDocument/2006/relationships/hyperlink" Target="https://www.immoscout24.ch/fr/maison/acheter/lieu-fusio" TargetMode="External"/><Relationship Id="rId2838" Type="http://schemas.openxmlformats.org/officeDocument/2006/relationships/hyperlink" Target="https://www.immoscout24.ch/fr/appartement/acheter/lieu-nax" TargetMode="External"/><Relationship Id="rId1508" Type="http://schemas.openxmlformats.org/officeDocument/2006/relationships/hyperlink" Target="https://www.immoscout24.ch/fr/maison/acheter/lieu-coffrane" TargetMode="External"/><Relationship Id="rId2839" Type="http://schemas.openxmlformats.org/officeDocument/2006/relationships/hyperlink" Target="https://www.immoscout24.ch/fr/appartement/louer/lieu-cartigny" TargetMode="External"/><Relationship Id="rId1509" Type="http://schemas.openxmlformats.org/officeDocument/2006/relationships/hyperlink" Target="https://www.immoscout24.ch/fr/appartement/louer/lieu-cronay" TargetMode="External"/><Relationship Id="rId5050" Type="http://schemas.openxmlformats.org/officeDocument/2006/relationships/hyperlink" Target="https://www.immoscout24.ch/fr/maison/acheter/lieu-chemin" TargetMode="External"/><Relationship Id="rId5053" Type="http://schemas.openxmlformats.org/officeDocument/2006/relationships/hyperlink" Target="https://www.immoscout24.ch/fr/maison/acheter/lieu-mezieres-fr" TargetMode="External"/><Relationship Id="rId5054" Type="http://schemas.openxmlformats.org/officeDocument/2006/relationships/hyperlink" Target="https://www.immoscout24.ch/fr/appartement/louer/lieu-boll" TargetMode="External"/><Relationship Id="rId5051" Type="http://schemas.openxmlformats.org/officeDocument/2006/relationships/hyperlink" Target="https://www.immoscout24.ch/fr/appartement/louer/lieu-la-tzoumaz" TargetMode="External"/><Relationship Id="rId5052" Type="http://schemas.openxmlformats.org/officeDocument/2006/relationships/hyperlink" Target="https://www.immoscout24.ch/fr/maison/acheter/lieu-bilten" TargetMode="External"/><Relationship Id="rId5057" Type="http://schemas.openxmlformats.org/officeDocument/2006/relationships/hyperlink" Target="https://www.immoscout24.ch/fr/appartement/acheter/lieu-lenk-im-simmental" TargetMode="External"/><Relationship Id="rId5058" Type="http://schemas.openxmlformats.org/officeDocument/2006/relationships/hyperlink" Target="https://www.immoscout24.ch/fr/maison/acheter/lieu-grafenried" TargetMode="External"/><Relationship Id="rId5055" Type="http://schemas.openxmlformats.org/officeDocument/2006/relationships/hyperlink" Target="https://www.immoscout24.ch/fr/maison/acheter/lieu-wichtrach" TargetMode="External"/><Relationship Id="rId5056" Type="http://schemas.openxmlformats.org/officeDocument/2006/relationships/hyperlink" Target="https://www.immoscout24.ch/fr/appartement/louer/region-montagnes-neuchateloises" TargetMode="External"/><Relationship Id="rId5059" Type="http://schemas.openxmlformats.org/officeDocument/2006/relationships/hyperlink" Target="https://www.immoscout24.ch/fr/appartement/acheter/lieu-oberaegeri" TargetMode="External"/><Relationship Id="rId5042" Type="http://schemas.openxmlformats.org/officeDocument/2006/relationships/hyperlink" Target="https://www.immoscout24.ch/fr/appartement/louer/lieu-champoz" TargetMode="External"/><Relationship Id="rId5043" Type="http://schemas.openxmlformats.org/officeDocument/2006/relationships/hyperlink" Target="https://www.immoscout24.ch/fr/appartement/louer/lieu-gempenach" TargetMode="External"/><Relationship Id="rId5040" Type="http://schemas.openxmlformats.org/officeDocument/2006/relationships/hyperlink" Target="https://www.immoscout24.ch/fr/maison/acheter/region-glattal" TargetMode="External"/><Relationship Id="rId5041" Type="http://schemas.openxmlformats.org/officeDocument/2006/relationships/hyperlink" Target="https://www.immoscout24.ch/fr/appartement/louer/lieu-bursinel" TargetMode="External"/><Relationship Id="rId5046" Type="http://schemas.openxmlformats.org/officeDocument/2006/relationships/hyperlink" Target="https://www.immoscout24.ch/fr/maison/acheter/lieu-schoenenbuch" TargetMode="External"/><Relationship Id="rId5047" Type="http://schemas.openxmlformats.org/officeDocument/2006/relationships/hyperlink" Target="https://www.immoscout24.ch/fr/maison/acheter/lieu-agra" TargetMode="External"/><Relationship Id="rId5044" Type="http://schemas.openxmlformats.org/officeDocument/2006/relationships/hyperlink" Target="https://www.immoscout24.ch/fr/appartement/louer/lieu-schwanden-gl" TargetMode="External"/><Relationship Id="rId5045" Type="http://schemas.openxmlformats.org/officeDocument/2006/relationships/hyperlink" Target="https://www.immoscout24.ch/fr/maison/acheter/lieu-bassins" TargetMode="External"/><Relationship Id="rId5048" Type="http://schemas.openxmlformats.org/officeDocument/2006/relationships/hyperlink" Target="https://www.immoscout24.ch/fr/maison/louer/lieu-delemont" TargetMode="External"/><Relationship Id="rId5049" Type="http://schemas.openxmlformats.org/officeDocument/2006/relationships/hyperlink" Target="https://www.immoscout24.ch/fr/maison/acheter/lieu-allschwil" TargetMode="External"/><Relationship Id="rId2800" Type="http://schemas.openxmlformats.org/officeDocument/2006/relationships/hyperlink" Target="https://www.immoscout24.ch/fr/maison/acheter/lieu-mund" TargetMode="External"/><Relationship Id="rId2801" Type="http://schemas.openxmlformats.org/officeDocument/2006/relationships/hyperlink" Target="https://www.immoscout24.ch/fr/maison/acheter/lieu-arlesheim" TargetMode="External"/><Relationship Id="rId2802" Type="http://schemas.openxmlformats.org/officeDocument/2006/relationships/hyperlink" Target="https://www.immoscout24.ch/fr/appartement/louer/lieu-cheseaux-sur-lausanne" TargetMode="External"/><Relationship Id="rId2803" Type="http://schemas.openxmlformats.org/officeDocument/2006/relationships/hyperlink" Target="https://www.immoscout24.ch/fr/appartement/louer/lieu-les-verrieres" TargetMode="External"/><Relationship Id="rId2804" Type="http://schemas.openxmlformats.org/officeDocument/2006/relationships/hyperlink" Target="https://www.immoscout24.ch/fr/maison/acheter/lieu-interlaken" TargetMode="External"/><Relationship Id="rId2805" Type="http://schemas.openxmlformats.org/officeDocument/2006/relationships/hyperlink" Target="https://www.immoscout24.ch/fr/appartement/louer/lieu-endingen" TargetMode="External"/><Relationship Id="rId2806" Type="http://schemas.openxmlformats.org/officeDocument/2006/relationships/hyperlink" Target="https://www.immoscout24.ch/fr/maison/acheter/lieu-wuerenlingen" TargetMode="External"/><Relationship Id="rId2807" Type="http://schemas.openxmlformats.org/officeDocument/2006/relationships/hyperlink" Target="https://www.immoscout24.ch/fr/appartement/louer/lieu-fiesch" TargetMode="External"/><Relationship Id="rId2808" Type="http://schemas.openxmlformats.org/officeDocument/2006/relationships/hyperlink" Target="https://www.immoscout24.ch/fr/maison/acheter/canton-neuchatel" TargetMode="External"/><Relationship Id="rId2809" Type="http://schemas.openxmlformats.org/officeDocument/2006/relationships/hyperlink" Target="https://www.immoscout24.ch/fr/appartement/acheter/quartier-vallon-bethusy-lausanne" TargetMode="External"/><Relationship Id="rId5071" Type="http://schemas.openxmlformats.org/officeDocument/2006/relationships/hyperlink" Target="https://www.immoscout24.ch/fr/appartement/louer/lieu-sorvilier" TargetMode="External"/><Relationship Id="rId5072" Type="http://schemas.openxmlformats.org/officeDocument/2006/relationships/hyperlink" Target="https://www.immoscout24.ch/fr/appartement/louer/lieu-randogne" TargetMode="External"/><Relationship Id="rId5070" Type="http://schemas.openxmlformats.org/officeDocument/2006/relationships/hyperlink" Target="https://www.immoscout24.ch/fr/maison/acheter/pays-hongrie" TargetMode="External"/><Relationship Id="rId5075" Type="http://schemas.openxmlformats.org/officeDocument/2006/relationships/hyperlink" Target="https://www.immoscout24.ch/fr/appartement/acheter/lieu-champfer" TargetMode="External"/><Relationship Id="rId5076" Type="http://schemas.openxmlformats.org/officeDocument/2006/relationships/hyperlink" Target="https://www.immoscout24.ch/fr/maison/acheter/lieu-bretonnieres" TargetMode="External"/><Relationship Id="rId5073" Type="http://schemas.openxmlformats.org/officeDocument/2006/relationships/hyperlink" Target="https://www.immoscout24.ch/fr/appartement/louer/lieu-yens" TargetMode="External"/><Relationship Id="rId5074" Type="http://schemas.openxmlformats.org/officeDocument/2006/relationships/hyperlink" Target="https://www.immoscout24.ch/fr/appartement/louer/lieu-muehleberg" TargetMode="External"/><Relationship Id="rId5079" Type="http://schemas.openxmlformats.org/officeDocument/2006/relationships/hyperlink" Target="https://www.immoscout24.ch/fr/appartement/louer/quartier-molino-nuovo-lugano" TargetMode="External"/><Relationship Id="rId5077" Type="http://schemas.openxmlformats.org/officeDocument/2006/relationships/hyperlink" Target="https://www.immoscout24.ch/fr/appartement/acheter/lieu-crans-montana" TargetMode="External"/><Relationship Id="rId5078" Type="http://schemas.openxmlformats.org/officeDocument/2006/relationships/hyperlink" Target="https://www.immoscout24.ch/fr/appartement/louer/quartier-brunnadern-berne" TargetMode="External"/><Relationship Id="rId5060" Type="http://schemas.openxmlformats.org/officeDocument/2006/relationships/hyperlink" Target="https://www.immoscout24.ch/fr/maison/acheter/lieu-thoerishaus" TargetMode="External"/><Relationship Id="rId5061" Type="http://schemas.openxmlformats.org/officeDocument/2006/relationships/hyperlink" Target="https://www.immoscout24.ch/fr/maison/acheter/lieu-lungern" TargetMode="External"/><Relationship Id="rId5064" Type="http://schemas.openxmlformats.org/officeDocument/2006/relationships/hyperlink" Target="https://www.immoscout24.ch/fr/maison/acheter/lieu-champery" TargetMode="External"/><Relationship Id="rId5065" Type="http://schemas.openxmlformats.org/officeDocument/2006/relationships/hyperlink" Target="https://www.immoscout24.ch/fr/appartement/louer/lieu-aefligen" TargetMode="External"/><Relationship Id="rId5062" Type="http://schemas.openxmlformats.org/officeDocument/2006/relationships/hyperlink" Target="https://www.immoscout24.ch/fr/maison/acheter/lieu-ebmatingen" TargetMode="External"/><Relationship Id="rId5063" Type="http://schemas.openxmlformats.org/officeDocument/2006/relationships/hyperlink" Target="https://www.immoscout24.ch/fr/maison/louer/lieu-trey" TargetMode="External"/><Relationship Id="rId5068" Type="http://schemas.openxmlformats.org/officeDocument/2006/relationships/hyperlink" Target="https://www.immoscout24.ch/fr/appartement/acheter/lieu-bassecourt" TargetMode="External"/><Relationship Id="rId5069" Type="http://schemas.openxmlformats.org/officeDocument/2006/relationships/hyperlink" Target="https://www.immoscout24.ch/fr/appartement/acheter/lieu-tenero" TargetMode="External"/><Relationship Id="rId5066" Type="http://schemas.openxmlformats.org/officeDocument/2006/relationships/hyperlink" Target="https://www.immoscout24.ch/fr/appartement/acheter/secteur-kreis-7" TargetMode="External"/><Relationship Id="rId5067" Type="http://schemas.openxmlformats.org/officeDocument/2006/relationships/hyperlink" Target="https://www.immoscout24.ch/fr/appartement/acheter/lieu-graechen" TargetMode="External"/><Relationship Id="rId1576" Type="http://schemas.openxmlformats.org/officeDocument/2006/relationships/hyperlink" Target="https://www.immoscout24.ch/fr/maison/acheter/lieu-lugnorre" TargetMode="External"/><Relationship Id="rId1577" Type="http://schemas.openxmlformats.org/officeDocument/2006/relationships/hyperlink" Target="https://www.immoscout24.ch/fr/maison/louer/canton-schwyz" TargetMode="External"/><Relationship Id="rId1578" Type="http://schemas.openxmlformats.org/officeDocument/2006/relationships/hyperlink" Target="https://www.immoscout24.ch/fr/appartement/louer/lieu-sins" TargetMode="External"/><Relationship Id="rId1579" Type="http://schemas.openxmlformats.org/officeDocument/2006/relationships/hyperlink" Target="https://www.immoscout24.ch/fr/maison/acheter/lieu-toffen" TargetMode="External"/><Relationship Id="rId987" Type="http://schemas.openxmlformats.org/officeDocument/2006/relationships/hyperlink" Target="https://www.immoscout24.ch/fr/appartement/louer/lieu-prangins" TargetMode="External"/><Relationship Id="rId986" Type="http://schemas.openxmlformats.org/officeDocument/2006/relationships/hyperlink" Target="https://www.immoscout24.ch/fr/appartement/louer/lieu-saignelegier" TargetMode="External"/><Relationship Id="rId985" Type="http://schemas.openxmlformats.org/officeDocument/2006/relationships/hyperlink" Target="https://www.immoscout24.ch/fr/appartement/louer/lieu-kuessnacht-am-rigi" TargetMode="External"/><Relationship Id="rId984" Type="http://schemas.openxmlformats.org/officeDocument/2006/relationships/hyperlink" Target="https://www.immoscout24.ch/fr/maison/louer/lieu-mutrux" TargetMode="External"/><Relationship Id="rId989" Type="http://schemas.openxmlformats.org/officeDocument/2006/relationships/hyperlink" Target="https://www.immoscout24.ch/fr/appartement/louer/lieu-scheuren" TargetMode="External"/><Relationship Id="rId988" Type="http://schemas.openxmlformats.org/officeDocument/2006/relationships/hyperlink" Target="https://www.immoscout24.ch/fr/appartement/louer/lieu-suberg" TargetMode="External"/><Relationship Id="rId1570" Type="http://schemas.openxmlformats.org/officeDocument/2006/relationships/hyperlink" Target="https://www.immoscout24.ch/fr/maison/acheter/lieu-hochdorf" TargetMode="External"/><Relationship Id="rId1571" Type="http://schemas.openxmlformats.org/officeDocument/2006/relationships/hyperlink" Target="https://www.immoscout24.ch/fr/maison/louer/lieu-fey" TargetMode="External"/><Relationship Id="rId983" Type="http://schemas.openxmlformats.org/officeDocument/2006/relationships/hyperlink" Target="https://www.immoscout24.ch/fr/appartement/louer/lieu-melano" TargetMode="External"/><Relationship Id="rId1572" Type="http://schemas.openxmlformats.org/officeDocument/2006/relationships/hyperlink" Target="https://www.immoscout24.ch/fr/appartement/louer/lieu-aadorf" TargetMode="External"/><Relationship Id="rId982" Type="http://schemas.openxmlformats.org/officeDocument/2006/relationships/hyperlink" Target="https://www.immoscout24.ch/fr/appartement/louer/quartier-hochstrasse-schaffhouse" TargetMode="External"/><Relationship Id="rId1573" Type="http://schemas.openxmlformats.org/officeDocument/2006/relationships/hyperlink" Target="https://www.immoscout24.ch/fr/maison/acheter/lieu-russo" TargetMode="External"/><Relationship Id="rId981" Type="http://schemas.openxmlformats.org/officeDocument/2006/relationships/hyperlink" Target="https://www.immoscout24.ch/fr/appartement/louer/lieu-ferpicloz" TargetMode="External"/><Relationship Id="rId1574" Type="http://schemas.openxmlformats.org/officeDocument/2006/relationships/hyperlink" Target="https://www.immoscout24.ch/fr/maison/louer/lieu-les-diablerets" TargetMode="External"/><Relationship Id="rId980" Type="http://schemas.openxmlformats.org/officeDocument/2006/relationships/hyperlink" Target="https://www.immoscout24.ch/fr/appartement/louer/pays-grece" TargetMode="External"/><Relationship Id="rId1575" Type="http://schemas.openxmlformats.org/officeDocument/2006/relationships/hyperlink" Target="https://www.immoscout24.ch/fr/maison/louer/lieu-petit-vicheres-liddes" TargetMode="External"/><Relationship Id="rId1565" Type="http://schemas.openxmlformats.org/officeDocument/2006/relationships/hyperlink" Target="https://www.immoscout24.ch/fr/appartement/acheter/lieu-seelisberg" TargetMode="External"/><Relationship Id="rId2896" Type="http://schemas.openxmlformats.org/officeDocument/2006/relationships/hyperlink" Target="https://www.immoscout24.ch/fr/maison/acheter/lieu-verbier" TargetMode="External"/><Relationship Id="rId1566" Type="http://schemas.openxmlformats.org/officeDocument/2006/relationships/hyperlink" Target="https://www.immoscout24.ch/fr/maison/louer/lieu-minusio" TargetMode="External"/><Relationship Id="rId2897" Type="http://schemas.openxmlformats.org/officeDocument/2006/relationships/hyperlink" Target="https://www.immoscout24.ch/fr/maison/acheter/lieu-morlon" TargetMode="External"/><Relationship Id="rId1567" Type="http://schemas.openxmlformats.org/officeDocument/2006/relationships/hyperlink" Target="https://www.immoscout24.ch/fr/appartement/louer/lieu-courtetelle" TargetMode="External"/><Relationship Id="rId2898" Type="http://schemas.openxmlformats.org/officeDocument/2006/relationships/hyperlink" Target="https://www.immoscout24.ch/fr/maison/louer/lieu-basse-nendaz" TargetMode="External"/><Relationship Id="rId1568" Type="http://schemas.openxmlformats.org/officeDocument/2006/relationships/hyperlink" Target="https://www.immoscout24.ch/fr/maison/acheter/lieu-derendingen" TargetMode="External"/><Relationship Id="rId2899" Type="http://schemas.openxmlformats.org/officeDocument/2006/relationships/hyperlink" Target="https://www.immoscout24.ch/fr/maison/acheter/lieu-courtion" TargetMode="External"/><Relationship Id="rId1569" Type="http://schemas.openxmlformats.org/officeDocument/2006/relationships/hyperlink" Target="https://www.immoscout24.ch/fr/maison/louer/lieu-st-ursanne" TargetMode="External"/><Relationship Id="rId976" Type="http://schemas.openxmlformats.org/officeDocument/2006/relationships/hyperlink" Target="https://www.immoscout24.ch/fr/appartement/louer/lieu-seedorf-be" TargetMode="External"/><Relationship Id="rId975" Type="http://schemas.openxmlformats.org/officeDocument/2006/relationships/hyperlink" Target="https://www.immoscout24.ch/fr/maison/acheter/region-bale-campagne-est" TargetMode="External"/><Relationship Id="rId974" Type="http://schemas.openxmlformats.org/officeDocument/2006/relationships/hyperlink" Target="https://www.immoscout24.ch/fr/maison/acheter/lieu-molinazzo-di-monteggio" TargetMode="External"/><Relationship Id="rId973" Type="http://schemas.openxmlformats.org/officeDocument/2006/relationships/hyperlink" Target="https://www.immoscout24.ch/fr/appartement/louer/lieu-oberglatt-zh" TargetMode="External"/><Relationship Id="rId979" Type="http://schemas.openxmlformats.org/officeDocument/2006/relationships/hyperlink" Target="https://www.immoscout24.ch/fr/appartement/louer/lieu-zuoz" TargetMode="External"/><Relationship Id="rId978" Type="http://schemas.openxmlformats.org/officeDocument/2006/relationships/hyperlink" Target="https://www.immoscout24.ch/fr/maison/acheter/lieu-rosswald" TargetMode="External"/><Relationship Id="rId977" Type="http://schemas.openxmlformats.org/officeDocument/2006/relationships/hyperlink" Target="https://www.immoscout24.ch/fr/appartement/acheter/quartier-onu-rigot-geneve" TargetMode="External"/><Relationship Id="rId2890" Type="http://schemas.openxmlformats.org/officeDocument/2006/relationships/hyperlink" Target="https://www.immoscout24.ch/fr/appartement/louer/lieu-epauvillers" TargetMode="External"/><Relationship Id="rId1560" Type="http://schemas.openxmlformats.org/officeDocument/2006/relationships/hyperlink" Target="https://www.immoscout24.ch/fr/maison/acheter/lieu-vevey" TargetMode="External"/><Relationship Id="rId2891" Type="http://schemas.openxmlformats.org/officeDocument/2006/relationships/hyperlink" Target="https://www.immoscout24.ch/fr/maison/louer/lieu-bournens" TargetMode="External"/><Relationship Id="rId972" Type="http://schemas.openxmlformats.org/officeDocument/2006/relationships/hyperlink" Target="https://www.immoscout24.ch/fr/appartement/louer/lieu-dorenaz" TargetMode="External"/><Relationship Id="rId1561" Type="http://schemas.openxmlformats.org/officeDocument/2006/relationships/hyperlink" Target="https://www.immoscout24.ch/fr/appartement/louer/lieu-st-silvester" TargetMode="External"/><Relationship Id="rId2892" Type="http://schemas.openxmlformats.org/officeDocument/2006/relationships/hyperlink" Target="https://www.immoscout24.ch/fr/appartement/louer/lieu-chavannes-le-chene" TargetMode="External"/><Relationship Id="rId971" Type="http://schemas.openxmlformats.org/officeDocument/2006/relationships/hyperlink" Target="https://www.immoscout24.ch/fr/maison/louer/lieu-chigny" TargetMode="External"/><Relationship Id="rId1562" Type="http://schemas.openxmlformats.org/officeDocument/2006/relationships/hyperlink" Target="https://www.immoscout24.ch/fr/maison/acheter/lieu-le-bemont-ju" TargetMode="External"/><Relationship Id="rId2893" Type="http://schemas.openxmlformats.org/officeDocument/2006/relationships/hyperlink" Target="https://www.immoscout24.ch/fr/appartement/louer/lieu-romanel-sur-lausanne" TargetMode="External"/><Relationship Id="rId970" Type="http://schemas.openxmlformats.org/officeDocument/2006/relationships/hyperlink" Target="https://www.immoscout24.ch/fr/maison/acheter/lieu-cheseaux-sur-lausanne" TargetMode="External"/><Relationship Id="rId1563" Type="http://schemas.openxmlformats.org/officeDocument/2006/relationships/hyperlink" Target="https://www.immoscout24.ch/fr/appartement/louer/lieu-asuel" TargetMode="External"/><Relationship Id="rId2894" Type="http://schemas.openxmlformats.org/officeDocument/2006/relationships/hyperlink" Target="https://www.immoscout24.ch/fr/appartement/acheter/lieu-suchy" TargetMode="External"/><Relationship Id="rId1564" Type="http://schemas.openxmlformats.org/officeDocument/2006/relationships/hyperlink" Target="https://www.immoscout24.ch/fr/maison/acheter/lieu-moudon" TargetMode="External"/><Relationship Id="rId2895" Type="http://schemas.openxmlformats.org/officeDocument/2006/relationships/hyperlink" Target="https://www.immoscout24.ch/fr/appartement/louer/lieu-st-aubin-sauges" TargetMode="External"/><Relationship Id="rId1598" Type="http://schemas.openxmlformats.org/officeDocument/2006/relationships/hyperlink" Target="https://www.immoscout24.ch/fr/appartement/louer/lieu-echandens" TargetMode="External"/><Relationship Id="rId1599" Type="http://schemas.openxmlformats.org/officeDocument/2006/relationships/hyperlink" Target="https://www.immoscout24.ch/fr/maison/acheter/lieu-zwischenflueh" TargetMode="External"/><Relationship Id="rId1590" Type="http://schemas.openxmlformats.org/officeDocument/2006/relationships/hyperlink" Target="https://www.immoscout24.ch/fr/appartement/acheter/lieu-uttwil" TargetMode="External"/><Relationship Id="rId1591" Type="http://schemas.openxmlformats.org/officeDocument/2006/relationships/hyperlink" Target="https://www.immoscout24.ch/fr/maison/acheter/lieu-morcote" TargetMode="External"/><Relationship Id="rId1592" Type="http://schemas.openxmlformats.org/officeDocument/2006/relationships/hyperlink" Target="https://www.immoscout24.ch/fr/appartement/louer/lieu-ascona" TargetMode="External"/><Relationship Id="rId1593" Type="http://schemas.openxmlformats.org/officeDocument/2006/relationships/hyperlink" Target="https://www.immoscout24.ch/fr/appartement/acheter/lieu-botyre-ayent" TargetMode="External"/><Relationship Id="rId1594" Type="http://schemas.openxmlformats.org/officeDocument/2006/relationships/hyperlink" Target="https://www.immoscout24.ch/fr/maison/acheter/lieu-gockhausen" TargetMode="External"/><Relationship Id="rId1595" Type="http://schemas.openxmlformats.org/officeDocument/2006/relationships/hyperlink" Target="https://www.immoscout24.ch/fr/maison/acheter/lieu-rue" TargetMode="External"/><Relationship Id="rId1596" Type="http://schemas.openxmlformats.org/officeDocument/2006/relationships/hyperlink" Target="https://www.immoscout24.ch/fr/maison/acheter/lieu-ballwil" TargetMode="External"/><Relationship Id="rId1597" Type="http://schemas.openxmlformats.org/officeDocument/2006/relationships/hyperlink" Target="https://www.immoscout24.ch/fr/appartement/louer/lieu-signese-ayent" TargetMode="External"/><Relationship Id="rId1587" Type="http://schemas.openxmlformats.org/officeDocument/2006/relationships/hyperlink" Target="https://www.immoscout24.ch/fr/appartement/louer/lieu-niederwil-ag" TargetMode="External"/><Relationship Id="rId1588" Type="http://schemas.openxmlformats.org/officeDocument/2006/relationships/hyperlink" Target="https://www.immoscout24.ch/fr/appartement/louer/quartier-jonction-plainpalais-geneve" TargetMode="External"/><Relationship Id="rId1589" Type="http://schemas.openxmlformats.org/officeDocument/2006/relationships/hyperlink" Target="https://www.immoscout24.ch/fr/maison/acheter/lieu-hirzel" TargetMode="External"/><Relationship Id="rId998" Type="http://schemas.openxmlformats.org/officeDocument/2006/relationships/hyperlink" Target="https://www.immoscout24.ch/fr/appartement/louer/lieu-zermatt" TargetMode="External"/><Relationship Id="rId997" Type="http://schemas.openxmlformats.org/officeDocument/2006/relationships/hyperlink" Target="https://www.immoscout24.ch/fr/appartement/louer/lieu-lommiswil" TargetMode="External"/><Relationship Id="rId996" Type="http://schemas.openxmlformats.org/officeDocument/2006/relationships/hyperlink" Target="https://www.immoscout24.ch/fr/maison/acheter/lieu-hermrigen" TargetMode="External"/><Relationship Id="rId995" Type="http://schemas.openxmlformats.org/officeDocument/2006/relationships/hyperlink" Target="https://www.immoscout24.ch/fr/appartement/louer/lieu-leytron" TargetMode="External"/><Relationship Id="rId999" Type="http://schemas.openxmlformats.org/officeDocument/2006/relationships/hyperlink" Target="https://www.immoscout24.ch/fr/appartement/louer/quartier-ruche-la-chaux-de-fonds" TargetMode="External"/><Relationship Id="rId990" Type="http://schemas.openxmlformats.org/officeDocument/2006/relationships/hyperlink" Target="https://www.immoscout24.ch/fr/appartement/louer/lieu-riedholz" TargetMode="External"/><Relationship Id="rId1580" Type="http://schemas.openxmlformats.org/officeDocument/2006/relationships/hyperlink" Target="https://www.immoscout24.ch/fr/appartement/acheter/lieu-vandoeuvres" TargetMode="External"/><Relationship Id="rId1581" Type="http://schemas.openxmlformats.org/officeDocument/2006/relationships/hyperlink" Target="https://www.immoscout24.ch/fr/appartement/acheter/lieu-bussy-fr" TargetMode="External"/><Relationship Id="rId1582" Type="http://schemas.openxmlformats.org/officeDocument/2006/relationships/hyperlink" Target="https://www.immoscout24.ch/fr/maison/acheter/lieu-aadorf" TargetMode="External"/><Relationship Id="rId994" Type="http://schemas.openxmlformats.org/officeDocument/2006/relationships/hyperlink" Target="https://www.immoscout24.ch/fr/appartement/acheter/lieu-tuescherz-alfermee" TargetMode="External"/><Relationship Id="rId1583" Type="http://schemas.openxmlformats.org/officeDocument/2006/relationships/hyperlink" Target="https://www.immoscout24.ch/fr/appartement/acheter/lieu-feusisberg" TargetMode="External"/><Relationship Id="rId993" Type="http://schemas.openxmlformats.org/officeDocument/2006/relationships/hyperlink" Target="https://www.immoscout24.ch/fr/appartement/acheter/lieu-le-chatelard-vs" TargetMode="External"/><Relationship Id="rId1584" Type="http://schemas.openxmlformats.org/officeDocument/2006/relationships/hyperlink" Target="https://www.immoscout24.ch/fr/appartement/louer/lieu-arbaz" TargetMode="External"/><Relationship Id="rId992" Type="http://schemas.openxmlformats.org/officeDocument/2006/relationships/hyperlink" Target="https://www.immoscout24.ch/fr/maison/acheter/lieu-termine" TargetMode="External"/><Relationship Id="rId1585" Type="http://schemas.openxmlformats.org/officeDocument/2006/relationships/hyperlink" Target="https://www.immoscout24.ch/fr/appartement/acheter/lieu-lussy-sur-morges" TargetMode="External"/><Relationship Id="rId991" Type="http://schemas.openxmlformats.org/officeDocument/2006/relationships/hyperlink" Target="https://www.immoscout24.ch/fr/maison/louer/lieu-corin-de-la-crete" TargetMode="External"/><Relationship Id="rId1586" Type="http://schemas.openxmlformats.org/officeDocument/2006/relationships/hyperlink" Target="https://www.immoscout24.ch/fr/maison/acheter/quartier-beaux-arts-neuchatel" TargetMode="External"/><Relationship Id="rId1532" Type="http://schemas.openxmlformats.org/officeDocument/2006/relationships/hyperlink" Target="https://www.immoscout24.ch/fr/appartement/louer/quartier-vers-chez-les-blanc-lausanne" TargetMode="External"/><Relationship Id="rId2863" Type="http://schemas.openxmlformats.org/officeDocument/2006/relationships/hyperlink" Target="https://www.immoscout24.ch/fr/maison/acheter/pays-italie" TargetMode="External"/><Relationship Id="rId1533" Type="http://schemas.openxmlformats.org/officeDocument/2006/relationships/hyperlink" Target="https://www.immoscout24.ch/fr/appartement/louer/lieu-sullens" TargetMode="External"/><Relationship Id="rId2864" Type="http://schemas.openxmlformats.org/officeDocument/2006/relationships/hyperlink" Target="https://www.immoscout24.ch/fr/appartement/acheter/lieu-kaltbrunn" TargetMode="External"/><Relationship Id="rId1534" Type="http://schemas.openxmlformats.org/officeDocument/2006/relationships/hyperlink" Target="https://www.immoscout24.ch/fr/appartement/louer/lieu-staefa" TargetMode="External"/><Relationship Id="rId2865" Type="http://schemas.openxmlformats.org/officeDocument/2006/relationships/hyperlink" Target="https://www.immoscout24.ch/fr/appartement/louer/lieu-doettingen" TargetMode="External"/><Relationship Id="rId1535" Type="http://schemas.openxmlformats.org/officeDocument/2006/relationships/hyperlink" Target="https://www.immoscout24.ch/fr/appartement/louer/lieu-ruswil" TargetMode="External"/><Relationship Id="rId2866" Type="http://schemas.openxmlformats.org/officeDocument/2006/relationships/hyperlink" Target="https://www.immoscout24.ch/fr/maison/louer/lieu-appenzell" TargetMode="External"/><Relationship Id="rId1536" Type="http://schemas.openxmlformats.org/officeDocument/2006/relationships/hyperlink" Target="https://www.immoscout24.ch/fr/appartement/acheter/lieu-la-fouly-vs" TargetMode="External"/><Relationship Id="rId2867" Type="http://schemas.openxmlformats.org/officeDocument/2006/relationships/hyperlink" Target="https://www.immoscout24.ch/fr/appartement/acheter/lieu-monte-carasso" TargetMode="External"/><Relationship Id="rId1537" Type="http://schemas.openxmlformats.org/officeDocument/2006/relationships/hyperlink" Target="https://www.immoscout24.ch/fr/appartement/louer/lieu-les-thioleyres" TargetMode="External"/><Relationship Id="rId2868" Type="http://schemas.openxmlformats.org/officeDocument/2006/relationships/hyperlink" Target="https://www.immoscout24.ch/fr/maison/acheter/lieu-charmey-gruyere" TargetMode="External"/><Relationship Id="rId1538" Type="http://schemas.openxmlformats.org/officeDocument/2006/relationships/hyperlink" Target="https://www.immoscout24.ch/fr/maison/louer/lieu-veyras" TargetMode="External"/><Relationship Id="rId2869" Type="http://schemas.openxmlformats.org/officeDocument/2006/relationships/hyperlink" Target="https://www.immoscout24.ch/fr/maison/acheter/lieu-martigny-croix" TargetMode="External"/><Relationship Id="rId1539" Type="http://schemas.openxmlformats.org/officeDocument/2006/relationships/hyperlink" Target="https://www.immoscout24.ch/fr/appartement/louer/lieu-posat" TargetMode="External"/><Relationship Id="rId949" Type="http://schemas.openxmlformats.org/officeDocument/2006/relationships/hyperlink" Target="https://www.immoscout24.ch/fr/appartement/acheter/region-singine-sarine-lac" TargetMode="External"/><Relationship Id="rId948" Type="http://schemas.openxmlformats.org/officeDocument/2006/relationships/hyperlink" Target="https://www.immoscout24.ch/fr/appartement/acheter/quartier-mousquines-bellevue-lausanne" TargetMode="External"/><Relationship Id="rId943" Type="http://schemas.openxmlformats.org/officeDocument/2006/relationships/hyperlink" Target="https://www.immoscout24.ch/fr/maison/acheter/lieu-wetzikon-zh" TargetMode="External"/><Relationship Id="rId942" Type="http://schemas.openxmlformats.org/officeDocument/2006/relationships/hyperlink" Target="https://www.immoscout24.ch/fr/maison/acheter/lieu-senarclens" TargetMode="External"/><Relationship Id="rId941" Type="http://schemas.openxmlformats.org/officeDocument/2006/relationships/hyperlink" Target="https://www.immoscout24.ch/fr/maison/acheter/lieu-mont-soleil" TargetMode="External"/><Relationship Id="rId940" Type="http://schemas.openxmlformats.org/officeDocument/2006/relationships/hyperlink" Target="https://www.immoscout24.ch/fr/appartement/louer/lieu-chesalles-sur-oron" TargetMode="External"/><Relationship Id="rId947" Type="http://schemas.openxmlformats.org/officeDocument/2006/relationships/hyperlink" Target="https://www.immoscout24.ch/fr/maison/acheter/lieu-walzenhausen" TargetMode="External"/><Relationship Id="rId946" Type="http://schemas.openxmlformats.org/officeDocument/2006/relationships/hyperlink" Target="https://www.immoscout24.ch/fr/appartement/louer/lieu-schwarzsee" TargetMode="External"/><Relationship Id="rId945" Type="http://schemas.openxmlformats.org/officeDocument/2006/relationships/hyperlink" Target="https://www.immoscout24.ch/fr/maison/acheter/lieu-soglio" TargetMode="External"/><Relationship Id="rId944" Type="http://schemas.openxmlformats.org/officeDocument/2006/relationships/hyperlink" Target="https://www.immoscout24.ch/fr/maison/acheter/lieu-meiringen" TargetMode="External"/><Relationship Id="rId2860" Type="http://schemas.openxmlformats.org/officeDocument/2006/relationships/hyperlink" Target="https://www.immoscout24.ch/fr/appartement/louer/lieu-couvet" TargetMode="External"/><Relationship Id="rId1530" Type="http://schemas.openxmlformats.org/officeDocument/2006/relationships/hyperlink" Target="https://www.immoscout24.ch/fr/appartement/louer/lieu-hagendorn" TargetMode="External"/><Relationship Id="rId2861" Type="http://schemas.openxmlformats.org/officeDocument/2006/relationships/hyperlink" Target="https://www.immoscout24.ch/fr/appartement/louer/lieu-brig" TargetMode="External"/><Relationship Id="rId1531" Type="http://schemas.openxmlformats.org/officeDocument/2006/relationships/hyperlink" Target="https://www.immoscout24.ch/fr/appartement/acheter/lieu-celerina-schlarigna" TargetMode="External"/><Relationship Id="rId2862" Type="http://schemas.openxmlformats.org/officeDocument/2006/relationships/hyperlink" Target="https://www.immoscout24.ch/fr/appartement/acheter/lieu-samnaun-compatsch" TargetMode="External"/><Relationship Id="rId1521" Type="http://schemas.openxmlformats.org/officeDocument/2006/relationships/hyperlink" Target="https://www.immoscout24.ch/fr/maison/acheter/lieu-preles" TargetMode="External"/><Relationship Id="rId2852" Type="http://schemas.openxmlformats.org/officeDocument/2006/relationships/hyperlink" Target="https://www.immoscout24.ch/fr/appartement/louer/region-linthebene-see" TargetMode="External"/><Relationship Id="rId1522" Type="http://schemas.openxmlformats.org/officeDocument/2006/relationships/hyperlink" Target="https://www.immoscout24.ch/fr/appartement/louer/lieu-bougy-villars" TargetMode="External"/><Relationship Id="rId2853" Type="http://schemas.openxmlformats.org/officeDocument/2006/relationships/hyperlink" Target="https://www.immoscout24.ch/fr/maison/acheter/lieu-brienz-be" TargetMode="External"/><Relationship Id="rId1523" Type="http://schemas.openxmlformats.org/officeDocument/2006/relationships/hyperlink" Target="https://www.immoscout24.ch/fr/appartement/louer/lieu-les-cullayes" TargetMode="External"/><Relationship Id="rId2854" Type="http://schemas.openxmlformats.org/officeDocument/2006/relationships/hyperlink" Target="https://www.immoscout24.ch/fr/appartement/acheter/quartier-unterstrass-zurich" TargetMode="External"/><Relationship Id="rId1524" Type="http://schemas.openxmlformats.org/officeDocument/2006/relationships/hyperlink" Target="https://www.immoscout24.ch/fr/maison/acheter/lieu-vugelles-la-mothe" TargetMode="External"/><Relationship Id="rId2855" Type="http://schemas.openxmlformats.org/officeDocument/2006/relationships/hyperlink" Target="https://www.immoscout24.ch/fr/maison/acheter/lieu-bourguillon" TargetMode="External"/><Relationship Id="rId1525" Type="http://schemas.openxmlformats.org/officeDocument/2006/relationships/hyperlink" Target="https://www.immoscout24.ch/fr/maison/acheter/lieu-nidfurn" TargetMode="External"/><Relationship Id="rId2856" Type="http://schemas.openxmlformats.org/officeDocument/2006/relationships/hyperlink" Target="https://www.immoscout24.ch/fr/maison/louer/lieu-bellach" TargetMode="External"/><Relationship Id="rId1526" Type="http://schemas.openxmlformats.org/officeDocument/2006/relationships/hyperlink" Target="https://www.immoscout24.ch/fr/appartement/acheter/lieu-thun" TargetMode="External"/><Relationship Id="rId2857" Type="http://schemas.openxmlformats.org/officeDocument/2006/relationships/hyperlink" Target="https://www.immoscout24.ch/fr/maison/acheter/lieu-saignelegier" TargetMode="External"/><Relationship Id="rId1527" Type="http://schemas.openxmlformats.org/officeDocument/2006/relationships/hyperlink" Target="https://www.immoscout24.ch/fr/appartement/louer/lieu-ennetbuergen" TargetMode="External"/><Relationship Id="rId2858" Type="http://schemas.openxmlformats.org/officeDocument/2006/relationships/hyperlink" Target="https://www.immoscout24.ch/fr/maison/louer/lieu-colombier-ne" TargetMode="External"/><Relationship Id="rId1528" Type="http://schemas.openxmlformats.org/officeDocument/2006/relationships/hyperlink" Target="https://www.immoscout24.ch/fr/appartement/louer/lieu-bourg-st-pierre" TargetMode="External"/><Relationship Id="rId2859" Type="http://schemas.openxmlformats.org/officeDocument/2006/relationships/hyperlink" Target="https://www.immoscout24.ch/fr/appartement/acheter/lieu-ennetbuergen" TargetMode="External"/><Relationship Id="rId1529" Type="http://schemas.openxmlformats.org/officeDocument/2006/relationships/hyperlink" Target="https://www.immoscout24.ch/fr/appartement/louer/lieu-neyruz-fr" TargetMode="External"/><Relationship Id="rId939" Type="http://schemas.openxmlformats.org/officeDocument/2006/relationships/hyperlink" Target="https://www.immoscout24.ch/fr/appartement/acheter/lieu-riggisberg" TargetMode="External"/><Relationship Id="rId938" Type="http://schemas.openxmlformats.org/officeDocument/2006/relationships/hyperlink" Target="https://www.immoscout24.ch/fr/maison/acheter/lieu-les-posses-sur-bex" TargetMode="External"/><Relationship Id="rId937" Type="http://schemas.openxmlformats.org/officeDocument/2006/relationships/hyperlink" Target="https://www.immoscout24.ch/fr/maison/acheter/lieu-saillon" TargetMode="External"/><Relationship Id="rId932" Type="http://schemas.openxmlformats.org/officeDocument/2006/relationships/hyperlink" Target="https://www.immoscout24.ch/fr/appartement/louer/lieu-malans-gr" TargetMode="External"/><Relationship Id="rId931" Type="http://schemas.openxmlformats.org/officeDocument/2006/relationships/hyperlink" Target="https://www.immoscout24.ch/fr/maison/acheter/lieu-thayngen" TargetMode="External"/><Relationship Id="rId930" Type="http://schemas.openxmlformats.org/officeDocument/2006/relationships/hyperlink" Target="https://www.immoscout24.ch/fr/appartement/louer/lieu-granges-vs" TargetMode="External"/><Relationship Id="rId936" Type="http://schemas.openxmlformats.org/officeDocument/2006/relationships/hyperlink" Target="https://www.immoscout24.ch/fr/maison/acheter/lieu-echichens" TargetMode="External"/><Relationship Id="rId935" Type="http://schemas.openxmlformats.org/officeDocument/2006/relationships/hyperlink" Target="https://www.immoscout24.ch/fr/maison/acheter/lieu-le-tretien" TargetMode="External"/><Relationship Id="rId934" Type="http://schemas.openxmlformats.org/officeDocument/2006/relationships/hyperlink" Target="https://www.immoscout24.ch/fr/appartement/acheter/lieu-st-maurice" TargetMode="External"/><Relationship Id="rId933" Type="http://schemas.openxmlformats.org/officeDocument/2006/relationships/hyperlink" Target="https://www.immoscout24.ch/fr/maison/acheter/lieu-oron-la-ville" TargetMode="External"/><Relationship Id="rId2850" Type="http://schemas.openxmlformats.org/officeDocument/2006/relationships/hyperlink" Target="https://www.immoscout24.ch/fr/maison/acheter/lieu-fontaine-dessous-liddes" TargetMode="External"/><Relationship Id="rId1520" Type="http://schemas.openxmlformats.org/officeDocument/2006/relationships/hyperlink" Target="https://www.immoscout24.ch/fr/appartement/louer/lieu-fionnay" TargetMode="External"/><Relationship Id="rId2851" Type="http://schemas.openxmlformats.org/officeDocument/2006/relationships/hyperlink" Target="https://www.immoscout24.ch/fr/appartement/louer/quartier-cassarate-lugano" TargetMode="External"/><Relationship Id="rId1554" Type="http://schemas.openxmlformats.org/officeDocument/2006/relationships/hyperlink" Target="https://www.immoscout24.ch/fr/maison/louer/lieu-la-sagne-ne" TargetMode="External"/><Relationship Id="rId2885" Type="http://schemas.openxmlformats.org/officeDocument/2006/relationships/hyperlink" Target="https://www.immoscout24.ch/fr/appartement/louer/lieu-vauderens" TargetMode="External"/><Relationship Id="rId1555" Type="http://schemas.openxmlformats.org/officeDocument/2006/relationships/hyperlink" Target="https://www.immoscout24.ch/fr/maison/acheter/lieu-collonge-bellerive" TargetMode="External"/><Relationship Id="rId2886" Type="http://schemas.openxmlformats.org/officeDocument/2006/relationships/hyperlink" Target="https://www.immoscout24.ch/fr/maison/acheter/lieu-mayens-de-chamoson" TargetMode="External"/><Relationship Id="rId1556" Type="http://schemas.openxmlformats.org/officeDocument/2006/relationships/hyperlink" Target="https://www.immoscout24.ch/fr/appartement/louer/lieu-corjolens" TargetMode="External"/><Relationship Id="rId2887" Type="http://schemas.openxmlformats.org/officeDocument/2006/relationships/hyperlink" Target="https://www.immoscout24.ch/fr/appartement/louer/lieu-court" TargetMode="External"/><Relationship Id="rId1557" Type="http://schemas.openxmlformats.org/officeDocument/2006/relationships/hyperlink" Target="https://www.immoscout24.ch/fr/maison/louer/lieu-sonvilier" TargetMode="External"/><Relationship Id="rId2888" Type="http://schemas.openxmlformats.org/officeDocument/2006/relationships/hyperlink" Target="https://www.immoscout24.ch/fr/maison/acheter/lieu-elsau" TargetMode="External"/><Relationship Id="rId1558" Type="http://schemas.openxmlformats.org/officeDocument/2006/relationships/hyperlink" Target="https://www.immoscout24.ch/fr/maison/louer/lieu-vallorbe" TargetMode="External"/><Relationship Id="rId2889" Type="http://schemas.openxmlformats.org/officeDocument/2006/relationships/hyperlink" Target="https://www.immoscout24.ch/fr/appartement/acheter/region-knonaueramt" TargetMode="External"/><Relationship Id="rId1559" Type="http://schemas.openxmlformats.org/officeDocument/2006/relationships/hyperlink" Target="https://www.immoscout24.ch/fr/maison/louer/canton-berne" TargetMode="External"/><Relationship Id="rId965" Type="http://schemas.openxmlformats.org/officeDocument/2006/relationships/hyperlink" Target="https://www.immoscout24.ch/fr/maison/acheter/lieu-lenk-im-simmental" TargetMode="External"/><Relationship Id="rId964" Type="http://schemas.openxmlformats.org/officeDocument/2006/relationships/hyperlink" Target="https://www.immoscout24.ch/fr/appartement/louer/lieu-finsterhennen" TargetMode="External"/><Relationship Id="rId963" Type="http://schemas.openxmlformats.org/officeDocument/2006/relationships/hyperlink" Target="https://www.immoscout24.ch/fr/appartement/acheter/lieu-wettingen" TargetMode="External"/><Relationship Id="rId962" Type="http://schemas.openxmlformats.org/officeDocument/2006/relationships/hyperlink" Target="https://www.immoscout24.ch/fr/maison/acheter/canton-geneve" TargetMode="External"/><Relationship Id="rId969" Type="http://schemas.openxmlformats.org/officeDocument/2006/relationships/hyperlink" Target="https://www.immoscout24.ch/fr/appartement/louer/lieu-marly" TargetMode="External"/><Relationship Id="rId968" Type="http://schemas.openxmlformats.org/officeDocument/2006/relationships/hyperlink" Target="https://www.immoscout24.ch/fr/appartement/louer/lieu-grellingen" TargetMode="External"/><Relationship Id="rId967" Type="http://schemas.openxmlformats.org/officeDocument/2006/relationships/hyperlink" Target="https://www.immoscout24.ch/fr/maison/acheter/lieu-stetten-sh" TargetMode="External"/><Relationship Id="rId966" Type="http://schemas.openxmlformats.org/officeDocument/2006/relationships/hyperlink" Target="https://www.immoscout24.ch/fr/appartement/louer/lieu-mittelhaeusern" TargetMode="External"/><Relationship Id="rId2880" Type="http://schemas.openxmlformats.org/officeDocument/2006/relationships/hyperlink" Target="https://www.immoscout24.ch/fr/appartement/acheter/lieu-st-saphorin-lavaux" TargetMode="External"/><Relationship Id="rId961" Type="http://schemas.openxmlformats.org/officeDocument/2006/relationships/hyperlink" Target="https://www.immoscout24.ch/fr/appartement/acheter/quartier-centre-ville-lausanne" TargetMode="External"/><Relationship Id="rId1550" Type="http://schemas.openxmlformats.org/officeDocument/2006/relationships/hyperlink" Target="https://www.immoscout24.ch/fr/appartement/louer/lieu-orsonnens" TargetMode="External"/><Relationship Id="rId2881" Type="http://schemas.openxmlformats.org/officeDocument/2006/relationships/hyperlink" Target="https://www.immoscout24.ch/fr/appartement/acheter/lieu-guettingen" TargetMode="External"/><Relationship Id="rId960" Type="http://schemas.openxmlformats.org/officeDocument/2006/relationships/hyperlink" Target="https://www.immoscout24.ch/fr/appartement/acheter/lieu-sils-segl-maria" TargetMode="External"/><Relationship Id="rId1551" Type="http://schemas.openxmlformats.org/officeDocument/2006/relationships/hyperlink" Target="https://www.immoscout24.ch/fr/appartement/louer/lieu-cressier-ne" TargetMode="External"/><Relationship Id="rId2882" Type="http://schemas.openxmlformats.org/officeDocument/2006/relationships/hyperlink" Target="https://www.immoscout24.ch/fr/appartement/acheter/lieu-carouge-ge" TargetMode="External"/><Relationship Id="rId1552" Type="http://schemas.openxmlformats.org/officeDocument/2006/relationships/hyperlink" Target="https://www.immoscout24.ch/fr/appartement/acheter/lieu-ascona" TargetMode="External"/><Relationship Id="rId2883" Type="http://schemas.openxmlformats.org/officeDocument/2006/relationships/hyperlink" Target="https://www.immoscout24.ch/fr/appartement/acheter/lieu-pieterlen" TargetMode="External"/><Relationship Id="rId1553" Type="http://schemas.openxmlformats.org/officeDocument/2006/relationships/hyperlink" Target="https://www.immoscout24.ch/fr/appartement/louer/lieu-solothurn" TargetMode="External"/><Relationship Id="rId2884" Type="http://schemas.openxmlformats.org/officeDocument/2006/relationships/hyperlink" Target="https://www.immoscout24.ch/fr/appartement/acheter/lieu-hergiswil-nw" TargetMode="External"/><Relationship Id="rId1543" Type="http://schemas.openxmlformats.org/officeDocument/2006/relationships/hyperlink" Target="https://www.immoscout24.ch/fr/appartement/acheter/lieu-effretikon" TargetMode="External"/><Relationship Id="rId2874" Type="http://schemas.openxmlformats.org/officeDocument/2006/relationships/hyperlink" Target="https://www.immoscout24.ch/fr/appartement/louer/lieu-le-brouillet" TargetMode="External"/><Relationship Id="rId1544" Type="http://schemas.openxmlformats.org/officeDocument/2006/relationships/hyperlink" Target="https://www.immoscout24.ch/fr/appartement/acheter/quartier-alt-wiedikon-zurich" TargetMode="External"/><Relationship Id="rId2875" Type="http://schemas.openxmlformats.org/officeDocument/2006/relationships/hyperlink" Target="https://www.immoscout24.ch/fr/appartement/louer/lieu-oberwil-b-zug" TargetMode="External"/><Relationship Id="rId1545" Type="http://schemas.openxmlformats.org/officeDocument/2006/relationships/hyperlink" Target="https://www.immoscout24.ch/fr/maison/acheter/lieu-dombresson" TargetMode="External"/><Relationship Id="rId2876" Type="http://schemas.openxmlformats.org/officeDocument/2006/relationships/hyperlink" Target="https://www.immoscout24.ch/fr/appartement/louer/lieu-st-imier" TargetMode="External"/><Relationship Id="rId1546" Type="http://schemas.openxmlformats.org/officeDocument/2006/relationships/hyperlink" Target="https://www.immoscout24.ch/fr/maison/acheter/lieu-wangen-b-olten" TargetMode="External"/><Relationship Id="rId2877" Type="http://schemas.openxmlformats.org/officeDocument/2006/relationships/hyperlink" Target="https://www.immoscout24.ch/fr/appartement/louer/lieu-wallenried" TargetMode="External"/><Relationship Id="rId1547" Type="http://schemas.openxmlformats.org/officeDocument/2006/relationships/hyperlink" Target="https://www.immoscout24.ch/fr/maison/acheter/lieu-thyon" TargetMode="External"/><Relationship Id="rId2878" Type="http://schemas.openxmlformats.org/officeDocument/2006/relationships/hyperlink" Target="https://www.immoscout24.ch/fr/appartement/louer/lieu-la-chaux-des-breuleux" TargetMode="External"/><Relationship Id="rId1548" Type="http://schemas.openxmlformats.org/officeDocument/2006/relationships/hyperlink" Target="https://www.immoscout24.ch/fr/appartement/acheter/lieu-zermatt" TargetMode="External"/><Relationship Id="rId2879" Type="http://schemas.openxmlformats.org/officeDocument/2006/relationships/hyperlink" Target="https://www.immoscout24.ch/fr/maison/acheter/lieu-alle" TargetMode="External"/><Relationship Id="rId1549" Type="http://schemas.openxmlformats.org/officeDocument/2006/relationships/hyperlink" Target="https://www.immoscout24.ch/fr/maison/louer/canton-zoug" TargetMode="External"/><Relationship Id="rId959" Type="http://schemas.openxmlformats.org/officeDocument/2006/relationships/hyperlink" Target="https://www.immoscout24.ch/fr/appartement/louer/lieu-morens-fr" TargetMode="External"/><Relationship Id="rId954" Type="http://schemas.openxmlformats.org/officeDocument/2006/relationships/hyperlink" Target="https://www.immoscout24.ch/fr/maison/acheter/canton-soleure" TargetMode="External"/><Relationship Id="rId953" Type="http://schemas.openxmlformats.org/officeDocument/2006/relationships/hyperlink" Target="https://www.immoscout24.ch/fr/maison/acheter/lieu-flanthey" TargetMode="External"/><Relationship Id="rId952" Type="http://schemas.openxmlformats.org/officeDocument/2006/relationships/hyperlink" Target="https://www.immoscout24.ch/fr/appartement/louer/lieu-cousset" TargetMode="External"/><Relationship Id="rId951" Type="http://schemas.openxmlformats.org/officeDocument/2006/relationships/hyperlink" Target="https://www.immoscout24.ch/fr/maison/louer/lieu-malleray" TargetMode="External"/><Relationship Id="rId958" Type="http://schemas.openxmlformats.org/officeDocument/2006/relationships/hyperlink" Target="https://www.immoscout24.ch/fr/maison/acheter/lieu-attalens" TargetMode="External"/><Relationship Id="rId957" Type="http://schemas.openxmlformats.org/officeDocument/2006/relationships/hyperlink" Target="https://www.immoscout24.ch/fr/appartement/louer/quartier-secheron-prieure-geneve" TargetMode="External"/><Relationship Id="rId956" Type="http://schemas.openxmlformats.org/officeDocument/2006/relationships/hyperlink" Target="https://www.immoscout24.ch/fr/appartement/louer/lieu-orselina" TargetMode="External"/><Relationship Id="rId955" Type="http://schemas.openxmlformats.org/officeDocument/2006/relationships/hyperlink" Target="https://www.immoscout24.ch/fr/appartement/louer/lieu-einsiedeln" TargetMode="External"/><Relationship Id="rId950" Type="http://schemas.openxmlformats.org/officeDocument/2006/relationships/hyperlink" Target="https://www.immoscout24.ch/fr/appartement/louer/quartier-rotes-quartier-berne" TargetMode="External"/><Relationship Id="rId2870" Type="http://schemas.openxmlformats.org/officeDocument/2006/relationships/hyperlink" Target="https://www.immoscout24.ch/fr/maison/acheter/lieu-sierre" TargetMode="External"/><Relationship Id="rId1540" Type="http://schemas.openxmlformats.org/officeDocument/2006/relationships/hyperlink" Target="https://www.immoscout24.ch/fr/maison/acheter/lieu-chamoille-sembrancher" TargetMode="External"/><Relationship Id="rId2871" Type="http://schemas.openxmlformats.org/officeDocument/2006/relationships/hyperlink" Target="https://www.immoscout24.ch/fr/appartement/louer/lieu-menieres" TargetMode="External"/><Relationship Id="rId1541" Type="http://schemas.openxmlformats.org/officeDocument/2006/relationships/hyperlink" Target="https://www.immoscout24.ch/fr/maison/acheter/lieu-lopagno" TargetMode="External"/><Relationship Id="rId2872" Type="http://schemas.openxmlformats.org/officeDocument/2006/relationships/hyperlink" Target="https://www.immoscout24.ch/fr/appartement/acheter/lieu-bevaix" TargetMode="External"/><Relationship Id="rId1542" Type="http://schemas.openxmlformats.org/officeDocument/2006/relationships/hyperlink" Target="https://www.immoscout24.ch/fr/appartement/louer/lieu-coppet" TargetMode="External"/><Relationship Id="rId2873" Type="http://schemas.openxmlformats.org/officeDocument/2006/relationships/hyperlink" Target="https://www.immoscout24.ch/fr/appartement/louer/quartier-gelbes-quartier-berne" TargetMode="External"/><Relationship Id="rId5130" Type="http://schemas.openxmlformats.org/officeDocument/2006/relationships/hyperlink" Target="https://www.immoscout24.ch/fr/appartement/louer/lieu-embrach" TargetMode="External"/><Relationship Id="rId5131" Type="http://schemas.openxmlformats.org/officeDocument/2006/relationships/hyperlink" Target="https://www.immoscout24.ch/fr/appartement/louer/lieu-plasselb" TargetMode="External"/><Relationship Id="rId5134" Type="http://schemas.openxmlformats.org/officeDocument/2006/relationships/hyperlink" Target="https://www.immoscout24.ch/fr/appartement/acheter/lieu-kriens" TargetMode="External"/><Relationship Id="rId5135" Type="http://schemas.openxmlformats.org/officeDocument/2006/relationships/hyperlink" Target="https://www.immoscout24.ch/fr/appartement/louer/lieu-blignou-ayent" TargetMode="External"/><Relationship Id="rId5132" Type="http://schemas.openxmlformats.org/officeDocument/2006/relationships/hyperlink" Target="https://www.immoscout24.ch/fr/appartement/louer/lieu-siviez-nendaz" TargetMode="External"/><Relationship Id="rId5133" Type="http://schemas.openxmlformats.org/officeDocument/2006/relationships/hyperlink" Target="https://www.immoscout24.ch/fr/appartement/acheter/region-rive-gauche" TargetMode="External"/><Relationship Id="rId5138" Type="http://schemas.openxmlformats.org/officeDocument/2006/relationships/hyperlink" Target="https://www.immoscout24.ch/fr/appartement/louer/lieu-cornol" TargetMode="External"/><Relationship Id="rId5139" Type="http://schemas.openxmlformats.org/officeDocument/2006/relationships/hyperlink" Target="https://www.immoscout24.ch/fr/appartement/louer/lieu-diepoldsau" TargetMode="External"/><Relationship Id="rId5136" Type="http://schemas.openxmlformats.org/officeDocument/2006/relationships/hyperlink" Target="https://www.immoscout24.ch/fr/maison/acheter/lieu-sales-gruyere" TargetMode="External"/><Relationship Id="rId5137" Type="http://schemas.openxmlformats.org/officeDocument/2006/relationships/hyperlink" Target="https://www.immoscout24.ch/fr/appartement/louer/lieu-pontenet" TargetMode="External"/><Relationship Id="rId5129" Type="http://schemas.openxmlformats.org/officeDocument/2006/relationships/hyperlink" Target="https://www.immoscout24.ch/fr/appartement/louer/lieu-steinach" TargetMode="External"/><Relationship Id="rId5120" Type="http://schemas.openxmlformats.org/officeDocument/2006/relationships/hyperlink" Target="https://www.immoscout24.ch/fr/maison/louer/region-la-cote-nyon" TargetMode="External"/><Relationship Id="rId5123" Type="http://schemas.openxmlformats.org/officeDocument/2006/relationships/hyperlink" Target="https://www.immoscout24.ch/fr/appartement/acheter/lieu-urdorf" TargetMode="External"/><Relationship Id="rId5124" Type="http://schemas.openxmlformats.org/officeDocument/2006/relationships/hyperlink" Target="https://www.immoscout24.ch/fr/appartement/louer/lieu-aarwangen" TargetMode="External"/><Relationship Id="rId5121" Type="http://schemas.openxmlformats.org/officeDocument/2006/relationships/hyperlink" Target="https://www.immoscout24.ch/fr/appartement/acheter/region-porrentruy" TargetMode="External"/><Relationship Id="rId5122" Type="http://schemas.openxmlformats.org/officeDocument/2006/relationships/hyperlink" Target="https://www.immoscout24.ch/fr/appartement/louer/lieu-le-grand-saconnex" TargetMode="External"/><Relationship Id="rId5127" Type="http://schemas.openxmlformats.org/officeDocument/2006/relationships/hyperlink" Target="https://www.immoscout24.ch/fr/appartement/louer/lieu-fraeschels" TargetMode="External"/><Relationship Id="rId5128" Type="http://schemas.openxmlformats.org/officeDocument/2006/relationships/hyperlink" Target="https://www.immoscout24.ch/fr/appartement/louer/lieu-les-mosses" TargetMode="External"/><Relationship Id="rId5125" Type="http://schemas.openxmlformats.org/officeDocument/2006/relationships/hyperlink" Target="https://www.immoscout24.ch/fr/appartement/louer/lieu-vuadens" TargetMode="External"/><Relationship Id="rId5126" Type="http://schemas.openxmlformats.org/officeDocument/2006/relationships/hyperlink" Target="https://www.immoscout24.ch/fr/maison/acheter/pays-argentine" TargetMode="External"/><Relationship Id="rId5152" Type="http://schemas.openxmlformats.org/officeDocument/2006/relationships/hyperlink" Target="https://www.immoscout24.ch/fr/maison/louer/lieu-la-cure" TargetMode="External"/><Relationship Id="rId5153" Type="http://schemas.openxmlformats.org/officeDocument/2006/relationships/hyperlink" Target="https://www.immoscout24.ch/fr/appartement/louer/lieu-andermatt" TargetMode="External"/><Relationship Id="rId5150" Type="http://schemas.openxmlformats.org/officeDocument/2006/relationships/hyperlink" Target="https://www.immoscout24.ch/fr/maison/acheter/lieu-epauvillers" TargetMode="External"/><Relationship Id="rId5151" Type="http://schemas.openxmlformats.org/officeDocument/2006/relationships/hyperlink" Target="https://www.immoscout24.ch/fr/maison/acheter/lieu-schaffhausen" TargetMode="External"/><Relationship Id="rId5156" Type="http://schemas.openxmlformats.org/officeDocument/2006/relationships/hyperlink" Target="https://www.immoscout24.ch/fr/maison/acheter/lieu-laconnex" TargetMode="External"/><Relationship Id="rId5157" Type="http://schemas.openxmlformats.org/officeDocument/2006/relationships/hyperlink" Target="https://www.immoscout24.ch/fr/maison/acheter/lieu-signy" TargetMode="External"/><Relationship Id="rId5154" Type="http://schemas.openxmlformats.org/officeDocument/2006/relationships/hyperlink" Target="https://www.immoscout24.ch/fr/appartement/acheter/lieu-pfaeffikon-sz" TargetMode="External"/><Relationship Id="rId5155" Type="http://schemas.openxmlformats.org/officeDocument/2006/relationships/hyperlink" Target="https://www.immoscout24.ch/fr/maison/acheter/lieu-cureglia" TargetMode="External"/><Relationship Id="rId5158" Type="http://schemas.openxmlformats.org/officeDocument/2006/relationships/hyperlink" Target="https://www.immoscout24.ch/fr/appartement/louer/lieu-rovray" TargetMode="External"/><Relationship Id="rId5159" Type="http://schemas.openxmlformats.org/officeDocument/2006/relationships/hyperlink" Target="https://www.immoscout24.ch/fr/maison/acheter/lieu-ranzo" TargetMode="External"/><Relationship Id="rId5141" Type="http://schemas.openxmlformats.org/officeDocument/2006/relationships/hyperlink" Target="https://www.immoscout24.ch/fr/maison/louer/lieu-chatillens" TargetMode="External"/><Relationship Id="rId5142" Type="http://schemas.openxmlformats.org/officeDocument/2006/relationships/hyperlink" Target="https://www.immoscout24.ch/fr/maison/acheter/lieu-st-romain-ayent" TargetMode="External"/><Relationship Id="rId5140" Type="http://schemas.openxmlformats.org/officeDocument/2006/relationships/hyperlink" Target="https://www.immoscout24.ch/fr/maison/acheter/lieu-remaufens" TargetMode="External"/><Relationship Id="rId5145" Type="http://schemas.openxmlformats.org/officeDocument/2006/relationships/hyperlink" Target="https://www.immoscout24.ch/fr/appartement/acheter/lieu-orsieres" TargetMode="External"/><Relationship Id="rId5146" Type="http://schemas.openxmlformats.org/officeDocument/2006/relationships/hyperlink" Target="https://www.immoscout24.ch/fr/maison/acheter/lieu-jens" TargetMode="External"/><Relationship Id="rId5143" Type="http://schemas.openxmlformats.org/officeDocument/2006/relationships/hyperlink" Target="https://www.immoscout24.ch/fr/appartement/acheter/lieu-eich" TargetMode="External"/><Relationship Id="rId5144" Type="http://schemas.openxmlformats.org/officeDocument/2006/relationships/hyperlink" Target="https://www.immoscout24.ch/fr/appartement/louer/lieu-anieres" TargetMode="External"/><Relationship Id="rId5149" Type="http://schemas.openxmlformats.org/officeDocument/2006/relationships/hyperlink" Target="https://www.immoscout24.ch/fr/maison/acheter/lieu-panex" TargetMode="External"/><Relationship Id="rId5147" Type="http://schemas.openxmlformats.org/officeDocument/2006/relationships/hyperlink" Target="https://www.immoscout24.ch/fr/appartement/acheter/lieu-gilly" TargetMode="External"/><Relationship Id="rId5148" Type="http://schemas.openxmlformats.org/officeDocument/2006/relationships/hyperlink" Target="https://www.immoscout24.ch/fr/appartement/louer/lieu-mont-tramelan" TargetMode="External"/><Relationship Id="rId5118" Type="http://schemas.openxmlformats.org/officeDocument/2006/relationships/hyperlink" Target="https://www.immoscout24.ch/fr/maison/acheter/lieu-aegerten" TargetMode="External"/><Relationship Id="rId5119" Type="http://schemas.openxmlformats.org/officeDocument/2006/relationships/hyperlink" Target="https://www.immoscout24.ch/fr/maison/acheter/lieu-rossens-fr" TargetMode="External"/><Relationship Id="rId5112" Type="http://schemas.openxmlformats.org/officeDocument/2006/relationships/hyperlink" Target="https://www.immoscout24.ch/fr/maison/acheter/lieu-plan-les-ouates" TargetMode="External"/><Relationship Id="rId5113" Type="http://schemas.openxmlformats.org/officeDocument/2006/relationships/hyperlink" Target="https://www.immoscout24.ch/fr/maison/acheter/lieu-arni-ag" TargetMode="External"/><Relationship Id="rId5110" Type="http://schemas.openxmlformats.org/officeDocument/2006/relationships/hyperlink" Target="https://www.immoscout24.ch/fr/appartement/acheter/lieu-konolfingen" TargetMode="External"/><Relationship Id="rId5111" Type="http://schemas.openxmlformats.org/officeDocument/2006/relationships/hyperlink" Target="https://www.immoscout24.ch/fr/appartement/louer/lieu-lauenen-b-gstaad" TargetMode="External"/><Relationship Id="rId5116" Type="http://schemas.openxmlformats.org/officeDocument/2006/relationships/hyperlink" Target="https://www.immoscout24.ch/fr/maison/acheter/lieu-seigneux" TargetMode="External"/><Relationship Id="rId5117" Type="http://schemas.openxmlformats.org/officeDocument/2006/relationships/hyperlink" Target="https://www.immoscout24.ch/fr/appartement/acheter/lieu-gimmelwald" TargetMode="External"/><Relationship Id="rId5114" Type="http://schemas.openxmlformats.org/officeDocument/2006/relationships/hyperlink" Target="https://www.immoscout24.ch/fr/maison/acheter/region-montagnes-neuchateloises" TargetMode="External"/><Relationship Id="rId5115" Type="http://schemas.openxmlformats.org/officeDocument/2006/relationships/hyperlink" Target="https://www.immoscout24.ch/fr/maison/acheter/lieu-chur" TargetMode="External"/><Relationship Id="rId5109" Type="http://schemas.openxmlformats.org/officeDocument/2006/relationships/hyperlink" Target="https://www.immoscout24.ch/fr/maison/louer/lieu-oron-la-ville" TargetMode="External"/><Relationship Id="rId5107" Type="http://schemas.openxmlformats.org/officeDocument/2006/relationships/hyperlink" Target="https://www.immoscout24.ch/fr/appartement/louer/quartier-mache-biel-bienne" TargetMode="External"/><Relationship Id="rId5108" Type="http://schemas.openxmlformats.org/officeDocument/2006/relationships/hyperlink" Target="https://www.immoscout24.ch/fr/appartement/louer/lieu-ibach" TargetMode="External"/><Relationship Id="rId5101" Type="http://schemas.openxmlformats.org/officeDocument/2006/relationships/hyperlink" Target="https://www.immoscout24.ch/fr/appartement/louer/lieu-leuggern" TargetMode="External"/><Relationship Id="rId5102" Type="http://schemas.openxmlformats.org/officeDocument/2006/relationships/hyperlink" Target="https://www.immoscout24.ch/fr/appartement/louer/quartier-beauregard-fribourg" TargetMode="External"/><Relationship Id="rId5100" Type="http://schemas.openxmlformats.org/officeDocument/2006/relationships/hyperlink" Target="https://www.immoscout24.ch/fr/maison/acheter/lieu-maglio-di-colla" TargetMode="External"/><Relationship Id="rId5105" Type="http://schemas.openxmlformats.org/officeDocument/2006/relationships/hyperlink" Target="https://www.immoscout24.ch/fr/appartement/louer/lieu-moosseedorf" TargetMode="External"/><Relationship Id="rId5106" Type="http://schemas.openxmlformats.org/officeDocument/2006/relationships/hyperlink" Target="https://www.immoscout24.ch/fr/maison/acheter/lieu-la-tour-de-peilz" TargetMode="External"/><Relationship Id="rId5103" Type="http://schemas.openxmlformats.org/officeDocument/2006/relationships/hyperlink" Target="https://www.immoscout24.ch/fr/maison/louer/lieu-champex-lac" TargetMode="External"/><Relationship Id="rId5104" Type="http://schemas.openxmlformats.org/officeDocument/2006/relationships/hyperlink" Target="https://www.immoscout24.ch/fr/maison/acheter/lieu-zernez" TargetMode="External"/><Relationship Id="rId2940" Type="http://schemas.openxmlformats.org/officeDocument/2006/relationships/hyperlink" Target="https://www.immoscout24.ch/fr/appartement/louer/region-thoune-lac-de-thoune-nord" TargetMode="External"/><Relationship Id="rId1610" Type="http://schemas.openxmlformats.org/officeDocument/2006/relationships/hyperlink" Target="https://www.immoscout24.ch/fr/maison/acheter/quartier-alpes-neuchatel" TargetMode="External"/><Relationship Id="rId2941" Type="http://schemas.openxmlformats.org/officeDocument/2006/relationships/hyperlink" Target="https://www.immoscout24.ch/fr/maison/louer/lieu-onnens-fr" TargetMode="External"/><Relationship Id="rId1611" Type="http://schemas.openxmlformats.org/officeDocument/2006/relationships/hyperlink" Target="https://www.immoscout24.ch/fr/maison/acheter/lieu-bole" TargetMode="External"/><Relationship Id="rId2942" Type="http://schemas.openxmlformats.org/officeDocument/2006/relationships/hyperlink" Target="https://www.immoscout24.ch/fr/appartement/louer/lieu-adligenswil" TargetMode="External"/><Relationship Id="rId1612" Type="http://schemas.openxmlformats.org/officeDocument/2006/relationships/hyperlink" Target="https://www.immoscout24.ch/fr/maison/louer/lieu-chermignon" TargetMode="External"/><Relationship Id="rId2943" Type="http://schemas.openxmlformats.org/officeDocument/2006/relationships/hyperlink" Target="https://www.immoscout24.ch/fr/maison/louer/lieu-le-vaud" TargetMode="External"/><Relationship Id="rId1613" Type="http://schemas.openxmlformats.org/officeDocument/2006/relationships/hyperlink" Target="https://www.immoscout24.ch/fr/maison/acheter/quartier-nouvelle-ville-nord-biel-bienne" TargetMode="External"/><Relationship Id="rId2944" Type="http://schemas.openxmlformats.org/officeDocument/2006/relationships/hyperlink" Target="https://www.immoscout24.ch/fr/appartement/acheter/region-zurich-ville" TargetMode="External"/><Relationship Id="rId1614" Type="http://schemas.openxmlformats.org/officeDocument/2006/relationships/hyperlink" Target="https://www.immoscout24.ch/fr/maison/louer/region-vallemaggia" TargetMode="External"/><Relationship Id="rId2945" Type="http://schemas.openxmlformats.org/officeDocument/2006/relationships/hyperlink" Target="https://www.immoscout24.ch/fr/maison/louer/lieu-epalinges" TargetMode="External"/><Relationship Id="rId1615" Type="http://schemas.openxmlformats.org/officeDocument/2006/relationships/hyperlink" Target="https://www.immoscout24.ch/fr/maison/louer/lieu-puidoux" TargetMode="External"/><Relationship Id="rId2946" Type="http://schemas.openxmlformats.org/officeDocument/2006/relationships/hyperlink" Target="https://www.immoscout24.ch/fr/appartement/acheter/lieu-laufen" TargetMode="External"/><Relationship Id="rId1616" Type="http://schemas.openxmlformats.org/officeDocument/2006/relationships/hyperlink" Target="https://www.immoscout24.ch/fr/appartement/acheter/lieu-treyvaux" TargetMode="External"/><Relationship Id="rId2947" Type="http://schemas.openxmlformats.org/officeDocument/2006/relationships/hyperlink" Target="https://www.immoscout24.ch/fr/maison/acheter/pays-montenegro" TargetMode="External"/><Relationship Id="rId907" Type="http://schemas.openxmlformats.org/officeDocument/2006/relationships/hyperlink" Target="https://www.immoscout24.ch/fr/appartement/louer/pays-liechtenstein" TargetMode="External"/><Relationship Id="rId1617" Type="http://schemas.openxmlformats.org/officeDocument/2006/relationships/hyperlink" Target="https://www.immoscout24.ch/fr/maison/louer/lieu-arosa" TargetMode="External"/><Relationship Id="rId2948" Type="http://schemas.openxmlformats.org/officeDocument/2006/relationships/hyperlink" Target="https://www.immoscout24.ch/fr/appartement/acheter/lieu-iseltwald" TargetMode="External"/><Relationship Id="rId906" Type="http://schemas.openxmlformats.org/officeDocument/2006/relationships/hyperlink" Target="https://www.immoscout24.ch/fr/appartement/acheter/lieu-ulrichen" TargetMode="External"/><Relationship Id="rId1618" Type="http://schemas.openxmlformats.org/officeDocument/2006/relationships/hyperlink" Target="https://www.immoscout24.ch/fr/appartement/louer/lieu-muttenz" TargetMode="External"/><Relationship Id="rId2949" Type="http://schemas.openxmlformats.org/officeDocument/2006/relationships/hyperlink" Target="https://www.immoscout24.ch/fr/appartement/louer/lieu-dommartin" TargetMode="External"/><Relationship Id="rId905" Type="http://schemas.openxmlformats.org/officeDocument/2006/relationships/hyperlink" Target="https://www.immoscout24.ch/fr/appartement/louer/lieu-rothenburg" TargetMode="External"/><Relationship Id="rId1619" Type="http://schemas.openxmlformats.org/officeDocument/2006/relationships/hyperlink" Target="https://www.immoscout24.ch/fr/maison/acheter/lieu-walenstadtberg" TargetMode="External"/><Relationship Id="rId904" Type="http://schemas.openxmlformats.org/officeDocument/2006/relationships/hyperlink" Target="https://www.immoscout24.ch/fr/maison/louer/lieu-brig" TargetMode="External"/><Relationship Id="rId909" Type="http://schemas.openxmlformats.org/officeDocument/2006/relationships/hyperlink" Target="https://www.immoscout24.ch/fr/appartement/acheter/pays-roumanie" TargetMode="External"/><Relationship Id="rId908" Type="http://schemas.openxmlformats.org/officeDocument/2006/relationships/hyperlink" Target="https://www.immoscout24.ch/fr/maison/acheter/quartier-pregassona-lugano" TargetMode="External"/><Relationship Id="rId903" Type="http://schemas.openxmlformats.org/officeDocument/2006/relationships/hyperlink" Target="https://www.immoscout24.ch/fr/appartement/louer/lieu-vernamiege" TargetMode="External"/><Relationship Id="rId902" Type="http://schemas.openxmlformats.org/officeDocument/2006/relationships/hyperlink" Target="https://www.immoscout24.ch/fr/appartement/acheter/lieu-altdorf-ur" TargetMode="External"/><Relationship Id="rId901" Type="http://schemas.openxmlformats.org/officeDocument/2006/relationships/hyperlink" Target="https://www.immoscout24.ch/fr/maison/louer/lieu-oberried-fr" TargetMode="External"/><Relationship Id="rId900" Type="http://schemas.openxmlformats.org/officeDocument/2006/relationships/hyperlink" Target="https://www.immoscout24.ch/fr/appartement/acheter/lieu-vaduz" TargetMode="External"/><Relationship Id="rId2930" Type="http://schemas.openxmlformats.org/officeDocument/2006/relationships/hyperlink" Target="https://www.immoscout24.ch/fr/maison/acheter/lieu-chez-le-bart" TargetMode="External"/><Relationship Id="rId1600" Type="http://schemas.openxmlformats.org/officeDocument/2006/relationships/hyperlink" Target="https://www.immoscout24.ch/fr/maison/louer/pays-espagne" TargetMode="External"/><Relationship Id="rId2931" Type="http://schemas.openxmlformats.org/officeDocument/2006/relationships/hyperlink" Target="https://www.immoscout24.ch/fr/maison/louer/lieu-la-forclaz-vd" TargetMode="External"/><Relationship Id="rId1601" Type="http://schemas.openxmlformats.org/officeDocument/2006/relationships/hyperlink" Target="https://www.immoscout24.ch/fr/maison/acheter/lieu-l-abbaye" TargetMode="External"/><Relationship Id="rId2932" Type="http://schemas.openxmlformats.org/officeDocument/2006/relationships/hyperlink" Target="https://www.immoscout24.ch/fr/appartement/louer/lieu-courrendlin" TargetMode="External"/><Relationship Id="rId1602" Type="http://schemas.openxmlformats.org/officeDocument/2006/relationships/hyperlink" Target="https://www.immoscout24.ch/fr/appartement/acheter/canton-tessin" TargetMode="External"/><Relationship Id="rId2933" Type="http://schemas.openxmlformats.org/officeDocument/2006/relationships/hyperlink" Target="https://www.immoscout24.ch/fr/maison/louer/lieu-vouvry" TargetMode="External"/><Relationship Id="rId1603" Type="http://schemas.openxmlformats.org/officeDocument/2006/relationships/hyperlink" Target="https://www.immoscout24.ch/fr/maison/acheter/lieu-torgon" TargetMode="External"/><Relationship Id="rId2934" Type="http://schemas.openxmlformats.org/officeDocument/2006/relationships/hyperlink" Target="https://www.immoscout24.ch/fr/maison/acheter/lieu-praratoud" TargetMode="External"/><Relationship Id="rId1604" Type="http://schemas.openxmlformats.org/officeDocument/2006/relationships/hyperlink" Target="https://www.immoscout24.ch/fr/maison/acheter/lieu-noreaz" TargetMode="External"/><Relationship Id="rId2935" Type="http://schemas.openxmlformats.org/officeDocument/2006/relationships/hyperlink" Target="https://www.immoscout24.ch/fr/appartement/louer/lieu-villars-ste-croix" TargetMode="External"/><Relationship Id="rId1605" Type="http://schemas.openxmlformats.org/officeDocument/2006/relationships/hyperlink" Target="https://www.immoscout24.ch/fr/appartement/louer/canton-obwald" TargetMode="External"/><Relationship Id="rId2936" Type="http://schemas.openxmlformats.org/officeDocument/2006/relationships/hyperlink" Target="https://www.immoscout24.ch/fr/maison/acheter/lieu-reinach-bl" TargetMode="External"/><Relationship Id="rId1606" Type="http://schemas.openxmlformats.org/officeDocument/2006/relationships/hyperlink" Target="https://www.immoscout24.ch/fr/appartement/acheter/lieu-fey" TargetMode="External"/><Relationship Id="rId2937" Type="http://schemas.openxmlformats.org/officeDocument/2006/relationships/hyperlink" Target="https://www.immoscout24.ch/fr/maison/louer/lieu-grossaffoltern" TargetMode="External"/><Relationship Id="rId1607" Type="http://schemas.openxmlformats.org/officeDocument/2006/relationships/hyperlink" Target="https://www.immoscout24.ch/fr/maison/acheter/lieu-lauenen-b-gstaad" TargetMode="External"/><Relationship Id="rId2938" Type="http://schemas.openxmlformats.org/officeDocument/2006/relationships/hyperlink" Target="https://www.immoscout24.ch/fr/maison/louer/lieu-vicques" TargetMode="External"/><Relationship Id="rId1608" Type="http://schemas.openxmlformats.org/officeDocument/2006/relationships/hyperlink" Target="https://www.immoscout24.ch/fr/appartement/acheter/lieu-biere" TargetMode="External"/><Relationship Id="rId2939" Type="http://schemas.openxmlformats.org/officeDocument/2006/relationships/hyperlink" Target="https://www.immoscout24.ch/fr/appartement/louer/lieu-ependes-vd" TargetMode="External"/><Relationship Id="rId1609" Type="http://schemas.openxmlformats.org/officeDocument/2006/relationships/hyperlink" Target="https://www.immoscout24.ch/fr/maison/acheter/lieu-boningen" TargetMode="External"/><Relationship Id="rId1631" Type="http://schemas.openxmlformats.org/officeDocument/2006/relationships/hyperlink" Target="https://www.immoscout24.ch/fr/maison/acheter/lieu-kuesnacht-zh" TargetMode="External"/><Relationship Id="rId2962" Type="http://schemas.openxmlformats.org/officeDocument/2006/relationships/hyperlink" Target="https://www.immoscout24.ch/fr/appartement/louer/lieu-le-cret-du-locle" TargetMode="External"/><Relationship Id="rId1632" Type="http://schemas.openxmlformats.org/officeDocument/2006/relationships/hyperlink" Target="https://www.immoscout24.ch/fr/appartement/acheter/region-rorschach-st-gallen" TargetMode="External"/><Relationship Id="rId2963" Type="http://schemas.openxmlformats.org/officeDocument/2006/relationships/hyperlink" Target="https://www.immoscout24.ch/fr/appartement/louer/lieu-cressier-fr" TargetMode="External"/><Relationship Id="rId1633" Type="http://schemas.openxmlformats.org/officeDocument/2006/relationships/hyperlink" Target="https://www.immoscout24.ch/fr/appartement/louer/lieu-fontaines-ne" TargetMode="External"/><Relationship Id="rId2964" Type="http://schemas.openxmlformats.org/officeDocument/2006/relationships/hyperlink" Target="https://www.immoscout24.ch/fr/maison/louer/lieu-bern" TargetMode="External"/><Relationship Id="rId1634" Type="http://schemas.openxmlformats.org/officeDocument/2006/relationships/hyperlink" Target="https://www.immoscout24.ch/fr/maison/louer/lieu-autavaux" TargetMode="External"/><Relationship Id="rId2965" Type="http://schemas.openxmlformats.org/officeDocument/2006/relationships/hyperlink" Target="https://www.immoscout24.ch/fr/maison/acheter/lieu-combremont-le-grand" TargetMode="External"/><Relationship Id="rId1635" Type="http://schemas.openxmlformats.org/officeDocument/2006/relationships/hyperlink" Target="https://www.immoscout24.ch/fr/maison/acheter/lieu-montherod" TargetMode="External"/><Relationship Id="rId2966" Type="http://schemas.openxmlformats.org/officeDocument/2006/relationships/hyperlink" Target="https://www.immoscout24.ch/fr/appartement/acheter/lieu-choex" TargetMode="External"/><Relationship Id="rId1636" Type="http://schemas.openxmlformats.org/officeDocument/2006/relationships/hyperlink" Target="https://www.immoscout24.ch/fr/maison/acheter/lieu-la-cote-aux-fees" TargetMode="External"/><Relationship Id="rId2967" Type="http://schemas.openxmlformats.org/officeDocument/2006/relationships/hyperlink" Target="https://www.immoscout24.ch/fr/appartement/louer/lieu-villard-sur-chamby" TargetMode="External"/><Relationship Id="rId1637" Type="http://schemas.openxmlformats.org/officeDocument/2006/relationships/hyperlink" Target="https://www.immoscout24.ch/fr/appartement/louer/lieu-herisau" TargetMode="External"/><Relationship Id="rId2968" Type="http://schemas.openxmlformats.org/officeDocument/2006/relationships/hyperlink" Target="https://www.immoscout24.ch/fr/appartement/louer/lieu-montpreveyres" TargetMode="External"/><Relationship Id="rId1638" Type="http://schemas.openxmlformats.org/officeDocument/2006/relationships/hyperlink" Target="https://www.immoscout24.ch/fr/appartement/louer/lieu-les-hauderes" TargetMode="External"/><Relationship Id="rId2969" Type="http://schemas.openxmlformats.org/officeDocument/2006/relationships/hyperlink" Target="https://www.immoscout24.ch/fr/appartement/louer/lieu-romont-fr" TargetMode="External"/><Relationship Id="rId929" Type="http://schemas.openxmlformats.org/officeDocument/2006/relationships/hyperlink" Target="https://www.immoscout24.ch/fr/maison/louer/lieu-horn" TargetMode="External"/><Relationship Id="rId1639" Type="http://schemas.openxmlformats.org/officeDocument/2006/relationships/hyperlink" Target="https://www.immoscout24.ch/fr/appartement/louer/lieu-la-vraconnaz" TargetMode="External"/><Relationship Id="rId928" Type="http://schemas.openxmlformats.org/officeDocument/2006/relationships/hyperlink" Target="https://www.immoscout24.ch/fr/appartement/louer/canton-schwyz" TargetMode="External"/><Relationship Id="rId927" Type="http://schemas.openxmlformats.org/officeDocument/2006/relationships/hyperlink" Target="https://www.immoscout24.ch/fr/maison/acheter/lieu-st-silvester" TargetMode="External"/><Relationship Id="rId926" Type="http://schemas.openxmlformats.org/officeDocument/2006/relationships/hyperlink" Target="https://www.immoscout24.ch/fr/appartement/louer/lieu-fontenais" TargetMode="External"/><Relationship Id="rId921" Type="http://schemas.openxmlformats.org/officeDocument/2006/relationships/hyperlink" Target="https://www.immoscout24.ch/fr/appartement/louer/lieu-obernau" TargetMode="External"/><Relationship Id="rId920" Type="http://schemas.openxmlformats.org/officeDocument/2006/relationships/hyperlink" Target="https://www.immoscout24.ch/fr/maison/acheter/lieu-mollens-vd" TargetMode="External"/><Relationship Id="rId925" Type="http://schemas.openxmlformats.org/officeDocument/2006/relationships/hyperlink" Target="https://www.immoscout24.ch/fr/maison/acheter/lieu-venthone" TargetMode="External"/><Relationship Id="rId924" Type="http://schemas.openxmlformats.org/officeDocument/2006/relationships/hyperlink" Target="https://www.immoscout24.ch/fr/maison/acheter/lieu-roches-be" TargetMode="External"/><Relationship Id="rId923" Type="http://schemas.openxmlformats.org/officeDocument/2006/relationships/hyperlink" Target="https://www.immoscout24.ch/fr/appartement/acheter/lieu-farvagny-le-petit" TargetMode="External"/><Relationship Id="rId922" Type="http://schemas.openxmlformats.org/officeDocument/2006/relationships/hyperlink" Target="https://www.immoscout24.ch/fr/appartement/louer/lieu-meyriez" TargetMode="External"/><Relationship Id="rId2960" Type="http://schemas.openxmlformats.org/officeDocument/2006/relationships/hyperlink" Target="https://www.immoscout24.ch/fr/maison/louer/lieu-st-prex" TargetMode="External"/><Relationship Id="rId1630" Type="http://schemas.openxmlformats.org/officeDocument/2006/relationships/hyperlink" Target="https://www.immoscout24.ch/fr/appartement/acheter/quartier-centre-neuchatel" TargetMode="External"/><Relationship Id="rId2961" Type="http://schemas.openxmlformats.org/officeDocument/2006/relationships/hyperlink" Target="https://www.immoscout24.ch/fr/maison/acheter/lieu-sarnen" TargetMode="External"/><Relationship Id="rId1620" Type="http://schemas.openxmlformats.org/officeDocument/2006/relationships/hyperlink" Target="https://www.immoscout24.ch/fr/appartement/louer/lieu-gsteig-b-gstaad" TargetMode="External"/><Relationship Id="rId2951" Type="http://schemas.openxmlformats.org/officeDocument/2006/relationships/hyperlink" Target="https://www.immoscout24.ch/fr/appartement/louer/lieu-allenwinden" TargetMode="External"/><Relationship Id="rId1621" Type="http://schemas.openxmlformats.org/officeDocument/2006/relationships/hyperlink" Target="https://www.immoscout24.ch/fr/appartement/louer/lieu-rueyres-st-laurent" TargetMode="External"/><Relationship Id="rId2952" Type="http://schemas.openxmlformats.org/officeDocument/2006/relationships/hyperlink" Target="https://www.immoscout24.ch/fr/appartement/louer/lieu-crassier" TargetMode="External"/><Relationship Id="rId1622" Type="http://schemas.openxmlformats.org/officeDocument/2006/relationships/hyperlink" Target="https://www.immoscout24.ch/fr/appartement/louer/lieu-tecknau" TargetMode="External"/><Relationship Id="rId2953" Type="http://schemas.openxmlformats.org/officeDocument/2006/relationships/hyperlink" Target="https://www.immoscout24.ch/fr/appartement/louer/lieu-taeuffelen" TargetMode="External"/><Relationship Id="rId1623" Type="http://schemas.openxmlformats.org/officeDocument/2006/relationships/hyperlink" Target="https://www.immoscout24.ch/fr/appartement/louer/lieu-aesch-bl" TargetMode="External"/><Relationship Id="rId2954" Type="http://schemas.openxmlformats.org/officeDocument/2006/relationships/hyperlink" Target="https://www.immoscout24.ch/fr/appartement/acheter/lieu-berlens" TargetMode="External"/><Relationship Id="rId1624" Type="http://schemas.openxmlformats.org/officeDocument/2006/relationships/hyperlink" Target="https://www.immoscout24.ch/fr/maison/louer/lieu-romanens" TargetMode="External"/><Relationship Id="rId2955" Type="http://schemas.openxmlformats.org/officeDocument/2006/relationships/hyperlink" Target="https://www.immoscout24.ch/fr/appartement/louer/lieu-arlesheim" TargetMode="External"/><Relationship Id="rId1625" Type="http://schemas.openxmlformats.org/officeDocument/2006/relationships/hyperlink" Target="https://www.immoscout24.ch/fr/appartement/louer/lieu-gingins" TargetMode="External"/><Relationship Id="rId2956" Type="http://schemas.openxmlformats.org/officeDocument/2006/relationships/hyperlink" Target="https://www.immoscout24.ch/fr/appartement/louer/quartier-nouvelle-ville-nord-biel-bienne" TargetMode="External"/><Relationship Id="rId1626" Type="http://schemas.openxmlformats.org/officeDocument/2006/relationships/hyperlink" Target="https://www.immoscout24.ch/fr/appartement/louer/lieu-oberaegeri" TargetMode="External"/><Relationship Id="rId2957" Type="http://schemas.openxmlformats.org/officeDocument/2006/relationships/hyperlink" Target="https://www.immoscout24.ch/fr/maison/acheter/lieu-vergeletto" TargetMode="External"/><Relationship Id="rId1627" Type="http://schemas.openxmlformats.org/officeDocument/2006/relationships/hyperlink" Target="https://www.immoscout24.ch/fr/appartement/acheter/lieu-romont-fr" TargetMode="External"/><Relationship Id="rId2958" Type="http://schemas.openxmlformats.org/officeDocument/2006/relationships/hyperlink" Target="https://www.immoscout24.ch/fr/appartement/louer/lieu-corserey" TargetMode="External"/><Relationship Id="rId918" Type="http://schemas.openxmlformats.org/officeDocument/2006/relationships/hyperlink" Target="https://www.immoscout24.ch/fr/appartement/louer/lieu-lossy" TargetMode="External"/><Relationship Id="rId1628" Type="http://schemas.openxmlformats.org/officeDocument/2006/relationships/hyperlink" Target="https://www.immoscout24.ch/fr/appartement/louer/lieu-rubigen" TargetMode="External"/><Relationship Id="rId2959" Type="http://schemas.openxmlformats.org/officeDocument/2006/relationships/hyperlink" Target="https://www.immoscout24.ch/fr/appartement/acheter/lieu-luzern" TargetMode="External"/><Relationship Id="rId917" Type="http://schemas.openxmlformats.org/officeDocument/2006/relationships/hyperlink" Target="https://www.immoscout24.ch/fr/maison/acheter/lieu-motiers-ne" TargetMode="External"/><Relationship Id="rId1629" Type="http://schemas.openxmlformats.org/officeDocument/2006/relationships/hyperlink" Target="https://www.immoscout24.ch/fr/maison/louer/region-lavaux-vevey" TargetMode="External"/><Relationship Id="rId916" Type="http://schemas.openxmlformats.org/officeDocument/2006/relationships/hyperlink" Target="https://www.immoscout24.ch/fr/appartement/acheter/lieu-goldach" TargetMode="External"/><Relationship Id="rId915" Type="http://schemas.openxmlformats.org/officeDocument/2006/relationships/hyperlink" Target="https://www.immoscout24.ch/fr/maison/acheter/lieu-oberwil-bl" TargetMode="External"/><Relationship Id="rId919" Type="http://schemas.openxmlformats.org/officeDocument/2006/relationships/hyperlink" Target="https://www.immoscout24.ch/fr/appartement/acheter/lieu-courtepin" TargetMode="External"/><Relationship Id="rId910" Type="http://schemas.openxmlformats.org/officeDocument/2006/relationships/hyperlink" Target="https://www.immoscout24.ch/fr/appartement/louer/lieu-vezia" TargetMode="External"/><Relationship Id="rId914" Type="http://schemas.openxmlformats.org/officeDocument/2006/relationships/hyperlink" Target="https://www.immoscout24.ch/fr/appartement/louer/quartier-abeilles-numa-droz-la-chaux-de-fonds" TargetMode="External"/><Relationship Id="rId913" Type="http://schemas.openxmlformats.org/officeDocument/2006/relationships/hyperlink" Target="https://www.immoscout24.ch/fr/appartement/louer/lieu-duebendorf" TargetMode="External"/><Relationship Id="rId912" Type="http://schemas.openxmlformats.org/officeDocument/2006/relationships/hyperlink" Target="https://www.immoscout24.ch/fr/maison/acheter/lieu-choulex" TargetMode="External"/><Relationship Id="rId911" Type="http://schemas.openxmlformats.org/officeDocument/2006/relationships/hyperlink" Target="https://www.immoscout24.ch/fr/appartement/louer/lieu-genolier" TargetMode="External"/><Relationship Id="rId2950" Type="http://schemas.openxmlformats.org/officeDocument/2006/relationships/hyperlink" Target="https://www.immoscout24.ch/fr/appartement/louer/lieu-waengi" TargetMode="External"/><Relationship Id="rId2900" Type="http://schemas.openxmlformats.org/officeDocument/2006/relationships/hyperlink" Target="https://www.immoscout24.ch/fr/maison/louer/canton-uri" TargetMode="External"/><Relationship Id="rId2901" Type="http://schemas.openxmlformats.org/officeDocument/2006/relationships/hyperlink" Target="https://www.immoscout24.ch/fr/appartement/louer/lieu-reinach-ag" TargetMode="External"/><Relationship Id="rId2902" Type="http://schemas.openxmlformats.org/officeDocument/2006/relationships/hyperlink" Target="https://www.immoscout24.ch/fr/appartement/acheter/lieu-inden" TargetMode="External"/><Relationship Id="rId2903" Type="http://schemas.openxmlformats.org/officeDocument/2006/relationships/hyperlink" Target="https://www.immoscout24.ch/fr/appartement/louer/lieu-grattavache" TargetMode="External"/><Relationship Id="rId2904" Type="http://schemas.openxmlformats.org/officeDocument/2006/relationships/hyperlink" Target="https://www.immoscout24.ch/fr/appartement/acheter/lieu-rolle" TargetMode="External"/><Relationship Id="rId2905" Type="http://schemas.openxmlformats.org/officeDocument/2006/relationships/hyperlink" Target="https://www.immoscout24.ch/fr/appartement/louer/lieu-satigny" TargetMode="External"/><Relationship Id="rId2906" Type="http://schemas.openxmlformats.org/officeDocument/2006/relationships/hyperlink" Target="https://www.immoscout24.ch/fr/maison/acheter/lieu-palezieux-village" TargetMode="External"/><Relationship Id="rId2907" Type="http://schemas.openxmlformats.org/officeDocument/2006/relationships/hyperlink" Target="https://www.immoscout24.ch/fr/maison/acheter/region-mosa" TargetMode="External"/><Relationship Id="rId2908" Type="http://schemas.openxmlformats.org/officeDocument/2006/relationships/hyperlink" Target="https://www.immoscout24.ch/fr/appartement/acheter/lieu-cormondreche" TargetMode="External"/><Relationship Id="rId2909" Type="http://schemas.openxmlformats.org/officeDocument/2006/relationships/hyperlink" Target="https://www.immoscout24.ch/fr/appartement/louer/lieu-bevaix" TargetMode="External"/><Relationship Id="rId5170" Type="http://schemas.openxmlformats.org/officeDocument/2006/relationships/hyperlink" Target="https://www.immoscout24.ch/fr/maison/acheter/lieu-carabbia" TargetMode="External"/><Relationship Id="rId5171" Type="http://schemas.openxmlformats.org/officeDocument/2006/relationships/hyperlink" Target="https://www.immoscout24.ch/fr/appartement/louer/lieu-penthereaz" TargetMode="External"/><Relationship Id="rId5174" Type="http://schemas.openxmlformats.org/officeDocument/2006/relationships/hyperlink" Target="https://www.immoscout24.ch/fr/maison/acheter/lieu-seelisberg" TargetMode="External"/><Relationship Id="rId5175" Type="http://schemas.openxmlformats.org/officeDocument/2006/relationships/hyperlink" Target="https://www.immoscout24.ch/fr/appartement/louer/lieu-corcelles-sur-chavornay" TargetMode="External"/><Relationship Id="rId5172" Type="http://schemas.openxmlformats.org/officeDocument/2006/relationships/hyperlink" Target="https://www.immoscout24.ch/fr/appartement/louer/lieu-eclagnens" TargetMode="External"/><Relationship Id="rId5173" Type="http://schemas.openxmlformats.org/officeDocument/2006/relationships/hyperlink" Target="https://www.immoscout24.ch/fr/maison/acheter/lieu-grandevent" TargetMode="External"/><Relationship Id="rId5178" Type="http://schemas.openxmlformats.org/officeDocument/2006/relationships/hyperlink" Target="https://www.immoscout24.ch/fr/maison/acheter/lieu-baar-nendaz" TargetMode="External"/><Relationship Id="rId5179" Type="http://schemas.openxmlformats.org/officeDocument/2006/relationships/hyperlink" Target="https://www.immoscout24.ch/fr/appartement/louer/lieu-suhr" TargetMode="External"/><Relationship Id="rId5176" Type="http://schemas.openxmlformats.org/officeDocument/2006/relationships/hyperlink" Target="https://www.immoscout24.ch/fr/appartement/louer/lieu-savagnier" TargetMode="External"/><Relationship Id="rId5177" Type="http://schemas.openxmlformats.org/officeDocument/2006/relationships/hyperlink" Target="https://www.immoscout24.ch/fr/maison/acheter/lieu-dicken" TargetMode="External"/><Relationship Id="rId5160" Type="http://schemas.openxmlformats.org/officeDocument/2006/relationships/hyperlink" Target="https://www.immoscout24.ch/fr/maison/acheter/lieu-bitsch" TargetMode="External"/><Relationship Id="rId5163" Type="http://schemas.openxmlformats.org/officeDocument/2006/relationships/hyperlink" Target="https://www.immoscout24.ch/fr/appartement/louer/lieu-huenibach" TargetMode="External"/><Relationship Id="rId5164" Type="http://schemas.openxmlformats.org/officeDocument/2006/relationships/hyperlink" Target="https://www.immoscout24.ch/fr/appartement/acheter/lieu-mies" TargetMode="External"/><Relationship Id="rId5161" Type="http://schemas.openxmlformats.org/officeDocument/2006/relationships/hyperlink" Target="https://www.immoscout24.ch/fr/maison/acheter/lieu-les-geneveys-sur-coffrane" TargetMode="External"/><Relationship Id="rId5162" Type="http://schemas.openxmlformats.org/officeDocument/2006/relationships/hyperlink" Target="https://www.immoscout24.ch/fr/appartement/louer/lieu-rivaz" TargetMode="External"/><Relationship Id="rId5167" Type="http://schemas.openxmlformats.org/officeDocument/2006/relationships/hyperlink" Target="https://www.immoscout24.ch/fr/maison/acheter/lieu-arveyes" TargetMode="External"/><Relationship Id="rId5168" Type="http://schemas.openxmlformats.org/officeDocument/2006/relationships/hyperlink" Target="https://www.immoscout24.ch/fr/maison/louer/lieu-monte-carasso" TargetMode="External"/><Relationship Id="rId5165" Type="http://schemas.openxmlformats.org/officeDocument/2006/relationships/hyperlink" Target="https://www.immoscout24.ch/fr/maison/acheter/lieu-la-vue-des-alpes" TargetMode="External"/><Relationship Id="rId5166" Type="http://schemas.openxmlformats.org/officeDocument/2006/relationships/hyperlink" Target="https://www.immoscout24.ch/fr/maison/acheter/lieu-maules" TargetMode="External"/><Relationship Id="rId5169" Type="http://schemas.openxmlformats.org/officeDocument/2006/relationships/hyperlink" Target="https://www.immoscout24.ch/fr/appartement/louer/lieu-langenthal" TargetMode="External"/><Relationship Id="rId2920" Type="http://schemas.openxmlformats.org/officeDocument/2006/relationships/hyperlink" Target="https://www.immoscout24.ch/fr/maison/acheter/lieu-muzzano" TargetMode="External"/><Relationship Id="rId2921" Type="http://schemas.openxmlformats.org/officeDocument/2006/relationships/hyperlink" Target="https://www.immoscout24.ch/fr/maison/acheter/lieu-bogis-bossey" TargetMode="External"/><Relationship Id="rId2922" Type="http://schemas.openxmlformats.org/officeDocument/2006/relationships/hyperlink" Target="https://www.immoscout24.ch/fr/maison/louer/lieu-im-fang" TargetMode="External"/><Relationship Id="rId2923" Type="http://schemas.openxmlformats.org/officeDocument/2006/relationships/hyperlink" Target="https://www.immoscout24.ch/fr/maison/acheter/lieu-ecoteaux" TargetMode="External"/><Relationship Id="rId2924" Type="http://schemas.openxmlformats.org/officeDocument/2006/relationships/hyperlink" Target="https://www.immoscout24.ch/fr/appartement/louer/lieu-wattwil" TargetMode="External"/><Relationship Id="rId2925" Type="http://schemas.openxmlformats.org/officeDocument/2006/relationships/hyperlink" Target="https://www.immoscout24.ch/fr/appartement/louer/lieu-ebmatingen" TargetMode="External"/><Relationship Id="rId2926" Type="http://schemas.openxmlformats.org/officeDocument/2006/relationships/hyperlink" Target="https://www.immoscout24.ch/fr/appartement/louer/lieu-saas-almagell" TargetMode="External"/><Relationship Id="rId2927" Type="http://schemas.openxmlformats.org/officeDocument/2006/relationships/hyperlink" Target="https://www.immoscout24.ch/fr/maison/louer/lieu-servion" TargetMode="External"/><Relationship Id="rId2928" Type="http://schemas.openxmlformats.org/officeDocument/2006/relationships/hyperlink" Target="https://www.immoscout24.ch/fr/appartement/louer/lieu-veytaux" TargetMode="External"/><Relationship Id="rId2929" Type="http://schemas.openxmlformats.org/officeDocument/2006/relationships/hyperlink" Target="https://www.immoscout24.ch/fr/appartement/acheter/lieu-chavannes-pres-renens" TargetMode="External"/><Relationship Id="rId5192" Type="http://schemas.openxmlformats.org/officeDocument/2006/relationships/hyperlink" Target="https://www.immoscout24.ch/fr/maison/acheter/lieu-wynigen" TargetMode="External"/><Relationship Id="rId5193" Type="http://schemas.openxmlformats.org/officeDocument/2006/relationships/hyperlink" Target="https://www.immoscout24.ch/fr/maison/louer/lieu-siviriez" TargetMode="External"/><Relationship Id="rId5190" Type="http://schemas.openxmlformats.org/officeDocument/2006/relationships/hyperlink" Target="https://www.immoscout24.ch/fr/maison/acheter/lieu-chailly-montreux" TargetMode="External"/><Relationship Id="rId5191" Type="http://schemas.openxmlformats.org/officeDocument/2006/relationships/hyperlink" Target="https://www.immoscout24.ch/fr/appartement/louer/lieu-montmollin" TargetMode="External"/><Relationship Id="rId5196" Type="http://schemas.openxmlformats.org/officeDocument/2006/relationships/hyperlink" Target="https://www.immoscout24.ch/fr/appartement/louer/lieu-safnern" TargetMode="External"/><Relationship Id="rId5197" Type="http://schemas.openxmlformats.org/officeDocument/2006/relationships/hyperlink" Target="https://www.immoscout24.ch/fr/maison/louer/lieu-wassen-ur" TargetMode="External"/><Relationship Id="rId5194" Type="http://schemas.openxmlformats.org/officeDocument/2006/relationships/hyperlink" Target="https://www.immoscout24.ch/fr/appartement/louer/lieu-flawil" TargetMode="External"/><Relationship Id="rId5195" Type="http://schemas.openxmlformats.org/officeDocument/2006/relationships/hyperlink" Target="https://www.immoscout24.ch/fr/appartement/louer/lieu-hendschiken" TargetMode="External"/><Relationship Id="rId5198" Type="http://schemas.openxmlformats.org/officeDocument/2006/relationships/hyperlink" Target="https://www.immoscout24.ch/fr/maison/louer/lieu-penthalaz" TargetMode="External"/><Relationship Id="rId5199" Type="http://schemas.openxmlformats.org/officeDocument/2006/relationships/hyperlink" Target="https://www.immoscout24.ch/fr/maison/acheter/lieu-bissone" TargetMode="External"/><Relationship Id="rId2910" Type="http://schemas.openxmlformats.org/officeDocument/2006/relationships/hyperlink" Target="https://www.immoscout24.ch/fr/maison/louer/quartier-mache-biel-bienne" TargetMode="External"/><Relationship Id="rId2911" Type="http://schemas.openxmlformats.org/officeDocument/2006/relationships/hyperlink" Target="https://www.immoscout24.ch/fr/maison/acheter/quartier-jonction-plainpalais-geneve" TargetMode="External"/><Relationship Id="rId2912" Type="http://schemas.openxmlformats.org/officeDocument/2006/relationships/hyperlink" Target="https://www.immoscout24.ch/fr/appartement/louer/lieu-wuerenlingen" TargetMode="External"/><Relationship Id="rId2913" Type="http://schemas.openxmlformats.org/officeDocument/2006/relationships/hyperlink" Target="https://www.immoscout24.ch/fr/appartement/louer/lieu-muelligen" TargetMode="External"/><Relationship Id="rId2914" Type="http://schemas.openxmlformats.org/officeDocument/2006/relationships/hyperlink" Target="https://www.immoscout24.ch/fr/maison/acheter/lieu-frasses" TargetMode="External"/><Relationship Id="rId2915" Type="http://schemas.openxmlformats.org/officeDocument/2006/relationships/hyperlink" Target="https://www.immoscout24.ch/fr/appartement/acheter/lieu-gampel" TargetMode="External"/><Relationship Id="rId2916" Type="http://schemas.openxmlformats.org/officeDocument/2006/relationships/hyperlink" Target="https://www.immoscout24.ch/fr/maison/acheter/lieu-delley" TargetMode="External"/><Relationship Id="rId2917" Type="http://schemas.openxmlformats.org/officeDocument/2006/relationships/hyperlink" Target="https://www.immoscout24.ch/fr/maison/acheter/lieu-prez-vers-siviriez" TargetMode="External"/><Relationship Id="rId2918" Type="http://schemas.openxmlformats.org/officeDocument/2006/relationships/hyperlink" Target="https://www.immoscout24.ch/fr/appartement/acheter/canton-valais" TargetMode="External"/><Relationship Id="rId2919" Type="http://schemas.openxmlformats.org/officeDocument/2006/relationships/hyperlink" Target="https://www.immoscout24.ch/fr/maison/acheter/lieu-melchtal" TargetMode="External"/><Relationship Id="rId5181" Type="http://schemas.openxmlformats.org/officeDocument/2006/relationships/hyperlink" Target="https://www.immoscout24.ch/fr/maison/louer/lieu-pratteln" TargetMode="External"/><Relationship Id="rId5182" Type="http://schemas.openxmlformats.org/officeDocument/2006/relationships/hyperlink" Target="https://www.immoscout24.ch/fr/maison/louer/region-toggenburg" TargetMode="External"/><Relationship Id="rId5180" Type="http://schemas.openxmlformats.org/officeDocument/2006/relationships/hyperlink" Target="https://www.immoscout24.ch/fr/maison/acheter/lieu-le-vaud" TargetMode="External"/><Relationship Id="rId5185" Type="http://schemas.openxmlformats.org/officeDocument/2006/relationships/hyperlink" Target="https://www.immoscout24.ch/fr/maison/acheter/lieu-gwatt-thun" TargetMode="External"/><Relationship Id="rId5186" Type="http://schemas.openxmlformats.org/officeDocument/2006/relationships/hyperlink" Target="https://www.immoscout24.ch/fr/maison/acheter/lieu-roche-vd" TargetMode="External"/><Relationship Id="rId5183" Type="http://schemas.openxmlformats.org/officeDocument/2006/relationships/hyperlink" Target="https://www.immoscout24.ch/fr/maison/acheter/lieu-botterens" TargetMode="External"/><Relationship Id="rId5184" Type="http://schemas.openxmlformats.org/officeDocument/2006/relationships/hyperlink" Target="https://www.immoscout24.ch/fr/appartement/acheter/lieu-brione-sopra-minusio" TargetMode="External"/><Relationship Id="rId5189" Type="http://schemas.openxmlformats.org/officeDocument/2006/relationships/hyperlink" Target="https://www.immoscout24.ch/fr/appartement/louer/lieu-castrisch" TargetMode="External"/><Relationship Id="rId5187" Type="http://schemas.openxmlformats.org/officeDocument/2006/relationships/hyperlink" Target="https://www.immoscout24.ch/fr/appartement/acheter/lieu-schmitten-albula" TargetMode="External"/><Relationship Id="rId5188" Type="http://schemas.openxmlformats.org/officeDocument/2006/relationships/hyperlink" Target="https://www.immoscout24.ch/fr/maison/acheter/lieu-burgistein" TargetMode="External"/><Relationship Id="rId1697" Type="http://schemas.openxmlformats.org/officeDocument/2006/relationships/hyperlink" Target="https://www.immoscout24.ch/fr/maison/acheter/lieu-saviese" TargetMode="External"/><Relationship Id="rId1698" Type="http://schemas.openxmlformats.org/officeDocument/2006/relationships/hyperlink" Target="https://www.immoscout24.ch/fr/maison/acheter/lieu-montpreveyres" TargetMode="External"/><Relationship Id="rId1699" Type="http://schemas.openxmlformats.org/officeDocument/2006/relationships/hyperlink" Target="https://www.immoscout24.ch/fr/appartement/acheter/lieu-yens" TargetMode="External"/><Relationship Id="rId866" Type="http://schemas.openxmlformats.org/officeDocument/2006/relationships/hyperlink" Target="https://www.immoscout24.ch/fr/appartement/acheter/lieu-vesenaz" TargetMode="External"/><Relationship Id="rId865" Type="http://schemas.openxmlformats.org/officeDocument/2006/relationships/hyperlink" Target="https://www.immoscout24.ch/fr/maison/acheter/lieu-breganzona" TargetMode="External"/><Relationship Id="rId864" Type="http://schemas.openxmlformats.org/officeDocument/2006/relationships/hyperlink" Target="https://www.immoscout24.ch/fr/appartement/acheter/lieu-echandens" TargetMode="External"/><Relationship Id="rId863" Type="http://schemas.openxmlformats.org/officeDocument/2006/relationships/hyperlink" Target="https://www.immoscout24.ch/fr/maison/louer/lieu-bevaix" TargetMode="External"/><Relationship Id="rId869" Type="http://schemas.openxmlformats.org/officeDocument/2006/relationships/hyperlink" Target="https://www.immoscout24.ch/fr/appartement/louer/lieu-champzabe" TargetMode="External"/><Relationship Id="rId868" Type="http://schemas.openxmlformats.org/officeDocument/2006/relationships/hyperlink" Target="https://www.immoscout24.ch/fr/appartement/louer/lieu-rueschlikon" TargetMode="External"/><Relationship Id="rId867" Type="http://schemas.openxmlformats.org/officeDocument/2006/relationships/hyperlink" Target="https://www.immoscout24.ch/fr/maison/louer/lieu-chene-bougeries" TargetMode="External"/><Relationship Id="rId1690" Type="http://schemas.openxmlformats.org/officeDocument/2006/relationships/hyperlink" Target="https://www.immoscout24.ch/fr/appartement/acheter/lieu-begnins" TargetMode="External"/><Relationship Id="rId1691" Type="http://schemas.openxmlformats.org/officeDocument/2006/relationships/hyperlink" Target="https://www.immoscout24.ch/fr/maison/acheter/pays-maroc" TargetMode="External"/><Relationship Id="rId1692" Type="http://schemas.openxmlformats.org/officeDocument/2006/relationships/hyperlink" Target="https://www.immoscout24.ch/fr/appartement/louer/lieu-lavigny" TargetMode="External"/><Relationship Id="rId862" Type="http://schemas.openxmlformats.org/officeDocument/2006/relationships/hyperlink" Target="https://www.immoscout24.ch/fr/appartement/louer/lieu-botyre-ayent" TargetMode="External"/><Relationship Id="rId1693" Type="http://schemas.openxmlformats.org/officeDocument/2006/relationships/hyperlink" Target="https://www.immoscout24.ch/fr/maison/acheter/lieu-les-hauderes" TargetMode="External"/><Relationship Id="rId861" Type="http://schemas.openxmlformats.org/officeDocument/2006/relationships/hyperlink" Target="https://www.immoscout24.ch/fr/maison/acheter/lieu-sottens" TargetMode="External"/><Relationship Id="rId1694" Type="http://schemas.openxmlformats.org/officeDocument/2006/relationships/hyperlink" Target="https://www.immoscout24.ch/fr/maison/acheter/lieu-bernex" TargetMode="External"/><Relationship Id="rId860" Type="http://schemas.openxmlformats.org/officeDocument/2006/relationships/hyperlink" Target="https://www.immoscout24.ch/fr/maison/louer/lieu-pontenet" TargetMode="External"/><Relationship Id="rId1695" Type="http://schemas.openxmlformats.org/officeDocument/2006/relationships/hyperlink" Target="https://www.immoscout24.ch/fr/maison/acheter/lieu-villarsiviriaux" TargetMode="External"/><Relationship Id="rId1696" Type="http://schemas.openxmlformats.org/officeDocument/2006/relationships/hyperlink" Target="https://www.immoscout24.ch/fr/maison/louer/lieu-choulex" TargetMode="External"/><Relationship Id="rId1686" Type="http://schemas.openxmlformats.org/officeDocument/2006/relationships/hyperlink" Target="https://www.immoscout24.ch/fr/maison/louer/lieu-chenens" TargetMode="External"/><Relationship Id="rId1687" Type="http://schemas.openxmlformats.org/officeDocument/2006/relationships/hyperlink" Target="https://www.immoscout24.ch/fr/appartement/louer/lieu-schangnau" TargetMode="External"/><Relationship Id="rId1688" Type="http://schemas.openxmlformats.org/officeDocument/2006/relationships/hyperlink" Target="https://www.immoscout24.ch/fr/appartement/louer/lieu-lausanne" TargetMode="External"/><Relationship Id="rId1689" Type="http://schemas.openxmlformats.org/officeDocument/2006/relationships/hyperlink" Target="https://www.immoscout24.ch/fr/appartement/louer/lieu-gams" TargetMode="External"/><Relationship Id="rId855" Type="http://schemas.openxmlformats.org/officeDocument/2006/relationships/hyperlink" Target="https://www.immoscout24.ch/fr/appartement/louer/lieu-baech-sz" TargetMode="External"/><Relationship Id="rId854" Type="http://schemas.openxmlformats.org/officeDocument/2006/relationships/hyperlink" Target="https://www.immoscout24.ch/fr/appartement/louer/lieu-berlens" TargetMode="External"/><Relationship Id="rId853" Type="http://schemas.openxmlformats.org/officeDocument/2006/relationships/hyperlink" Target="https://www.immoscout24.ch/fr/maison/louer/lieu-charrat" TargetMode="External"/><Relationship Id="rId852" Type="http://schemas.openxmlformats.org/officeDocument/2006/relationships/hyperlink" Target="https://www.immoscout24.ch/fr/maison/acheter/lieu-vufflens-la-ville" TargetMode="External"/><Relationship Id="rId859" Type="http://schemas.openxmlformats.org/officeDocument/2006/relationships/hyperlink" Target="https://www.immoscout24.ch/fr/appartement/acheter/lieu-jouxtens-mezery" TargetMode="External"/><Relationship Id="rId858" Type="http://schemas.openxmlformats.org/officeDocument/2006/relationships/hyperlink" Target="https://www.immoscout24.ch/fr/appartement/acheter/quartier-bourg-fribourg" TargetMode="External"/><Relationship Id="rId857" Type="http://schemas.openxmlformats.org/officeDocument/2006/relationships/hyperlink" Target="https://www.immoscout24.ch/fr/appartement/louer/lieu-st-triphon" TargetMode="External"/><Relationship Id="rId856" Type="http://schemas.openxmlformats.org/officeDocument/2006/relationships/hyperlink" Target="https://www.immoscout24.ch/fr/maison/louer/lieu-martherenges" TargetMode="External"/><Relationship Id="rId1680" Type="http://schemas.openxmlformats.org/officeDocument/2006/relationships/hyperlink" Target="https://www.immoscout24.ch/fr/appartement/acheter/lieu-magnedens" TargetMode="External"/><Relationship Id="rId1681" Type="http://schemas.openxmlformats.org/officeDocument/2006/relationships/hyperlink" Target="https://www.immoscout24.ch/fr/maison/acheter/lieu-st-luc" TargetMode="External"/><Relationship Id="rId851" Type="http://schemas.openxmlformats.org/officeDocument/2006/relationships/hyperlink" Target="https://www.immoscout24.ch/fr/appartement/louer/lieu-engollon" TargetMode="External"/><Relationship Id="rId1682" Type="http://schemas.openxmlformats.org/officeDocument/2006/relationships/hyperlink" Target="https://www.immoscout24.ch/fr/appartement/louer/quartier-st-gervais-chantepoulet-geneve" TargetMode="External"/><Relationship Id="rId850" Type="http://schemas.openxmlformats.org/officeDocument/2006/relationships/hyperlink" Target="https://www.immoscout24.ch/fr/maison/acheter/lieu-feldbrunnen" TargetMode="External"/><Relationship Id="rId1683" Type="http://schemas.openxmlformats.org/officeDocument/2006/relationships/hyperlink" Target="https://www.immoscout24.ch/fr/appartement/louer/lieu-kirchlindach" TargetMode="External"/><Relationship Id="rId1684" Type="http://schemas.openxmlformats.org/officeDocument/2006/relationships/hyperlink" Target="https://www.immoscout24.ch/fr/appartement/louer/lieu-liesberg" TargetMode="External"/><Relationship Id="rId1685" Type="http://schemas.openxmlformats.org/officeDocument/2006/relationships/hyperlink" Target="https://www.immoscout24.ch/fr/maison/louer/lieu-kerzers" TargetMode="External"/><Relationship Id="rId888" Type="http://schemas.openxmlformats.org/officeDocument/2006/relationships/hyperlink" Target="https://www.immoscout24.ch/fr/appartement/louer/lieu-corcelles-pres-payerne" TargetMode="External"/><Relationship Id="rId887" Type="http://schemas.openxmlformats.org/officeDocument/2006/relationships/hyperlink" Target="https://www.immoscout24.ch/fr/appartement/louer/lieu-glattfelden" TargetMode="External"/><Relationship Id="rId886" Type="http://schemas.openxmlformats.org/officeDocument/2006/relationships/hyperlink" Target="https://www.immoscout24.ch/fr/appartement/louer/canton-jura" TargetMode="External"/><Relationship Id="rId885" Type="http://schemas.openxmlformats.org/officeDocument/2006/relationships/hyperlink" Target="https://www.immoscout24.ch/fr/maison/acheter/lieu-obergerlafingen" TargetMode="External"/><Relationship Id="rId889" Type="http://schemas.openxmlformats.org/officeDocument/2006/relationships/hyperlink" Target="https://www.immoscout24.ch/fr/maison/louer/lieu-leytron" TargetMode="External"/><Relationship Id="rId880" Type="http://schemas.openxmlformats.org/officeDocument/2006/relationships/hyperlink" Target="https://www.immoscout24.ch/fr/maison/acheter/lieu-molondin" TargetMode="External"/><Relationship Id="rId884" Type="http://schemas.openxmlformats.org/officeDocument/2006/relationships/hyperlink" Target="https://www.immoscout24.ch/fr/maison/louer/lieu-preles" TargetMode="External"/><Relationship Id="rId883" Type="http://schemas.openxmlformats.org/officeDocument/2006/relationships/hyperlink" Target="https://www.immoscout24.ch/fr/maison/acheter/quartier-florissant-malagnou-geneve" TargetMode="External"/><Relationship Id="rId882" Type="http://schemas.openxmlformats.org/officeDocument/2006/relationships/hyperlink" Target="https://www.immoscout24.ch/fr/maison/acheter/lieu-le-pont" TargetMode="External"/><Relationship Id="rId881" Type="http://schemas.openxmlformats.org/officeDocument/2006/relationships/hyperlink" Target="https://www.immoscout24.ch/fr/appartement/acheter/lieu-bassersdorf" TargetMode="External"/><Relationship Id="rId877" Type="http://schemas.openxmlformats.org/officeDocument/2006/relationships/hyperlink" Target="https://www.immoscout24.ch/fr/appartement/louer/lieu-daeniken-so" TargetMode="External"/><Relationship Id="rId876" Type="http://schemas.openxmlformats.org/officeDocument/2006/relationships/hyperlink" Target="https://www.immoscout24.ch/fr/appartement/louer/lieu-trey" TargetMode="External"/><Relationship Id="rId875" Type="http://schemas.openxmlformats.org/officeDocument/2006/relationships/hyperlink" Target="https://www.immoscout24.ch/fr/appartement/louer/lieu-grindelwald" TargetMode="External"/><Relationship Id="rId874" Type="http://schemas.openxmlformats.org/officeDocument/2006/relationships/hyperlink" Target="https://www.immoscout24.ch/fr/maison/acheter/lieu-dalpe" TargetMode="External"/><Relationship Id="rId879" Type="http://schemas.openxmlformats.org/officeDocument/2006/relationships/hyperlink" Target="https://www.immoscout24.ch/fr/maison/louer/lieu-bavois" TargetMode="External"/><Relationship Id="rId878" Type="http://schemas.openxmlformats.org/officeDocument/2006/relationships/hyperlink" Target="https://www.immoscout24.ch/fr/appartement/louer/lieu-courtemautruy" TargetMode="External"/><Relationship Id="rId873" Type="http://schemas.openxmlformats.org/officeDocument/2006/relationships/hyperlink" Target="https://www.immoscout24.ch/fr/maison/louer/lieu-haute-nendaz" TargetMode="External"/><Relationship Id="rId872" Type="http://schemas.openxmlformats.org/officeDocument/2006/relationships/hyperlink" Target="https://www.immoscout24.ch/fr/maison/acheter/lieu-inden" TargetMode="External"/><Relationship Id="rId871" Type="http://schemas.openxmlformats.org/officeDocument/2006/relationships/hyperlink" Target="https://www.immoscout24.ch/fr/maison/louer/quartier-centre-ville-lausanne" TargetMode="External"/><Relationship Id="rId870" Type="http://schemas.openxmlformats.org/officeDocument/2006/relationships/hyperlink" Target="https://www.immoscout24.ch/fr/appartement/louer/lieu-kappel-so" TargetMode="External"/><Relationship Id="rId1653" Type="http://schemas.openxmlformats.org/officeDocument/2006/relationships/hyperlink" Target="https://www.immoscout24.ch/fr/appartement/louer/quartier-viganello-lugano" TargetMode="External"/><Relationship Id="rId2984" Type="http://schemas.openxmlformats.org/officeDocument/2006/relationships/hyperlink" Target="https://www.immoscout24.ch/fr/appartement/louer/quartier-rosental-bale" TargetMode="External"/><Relationship Id="rId1654" Type="http://schemas.openxmlformats.org/officeDocument/2006/relationships/hyperlink" Target="https://www.immoscout24.ch/fr/appartement/louer/lieu-pfaeffikon-sz" TargetMode="External"/><Relationship Id="rId2985" Type="http://schemas.openxmlformats.org/officeDocument/2006/relationships/hyperlink" Target="https://www.immoscout24.ch/fr/appartement/acheter/lieu-morcote" TargetMode="External"/><Relationship Id="rId1655" Type="http://schemas.openxmlformats.org/officeDocument/2006/relationships/hyperlink" Target="https://www.immoscout24.ch/fr/maison/acheter/lieu-bramois" TargetMode="External"/><Relationship Id="rId2986" Type="http://schemas.openxmlformats.org/officeDocument/2006/relationships/hyperlink" Target="https://www.immoscout24.ch/fr/maison/acheter/lieu-vesin" TargetMode="External"/><Relationship Id="rId1656" Type="http://schemas.openxmlformats.org/officeDocument/2006/relationships/hyperlink" Target="https://www.immoscout24.ch/fr/appartement/louer/lieu-sottens" TargetMode="External"/><Relationship Id="rId2987" Type="http://schemas.openxmlformats.org/officeDocument/2006/relationships/hyperlink" Target="https://www.immoscout24.ch/fr/appartement/acheter/lieu-wagen" TargetMode="External"/><Relationship Id="rId1657" Type="http://schemas.openxmlformats.org/officeDocument/2006/relationships/hyperlink" Target="https://www.immoscout24.ch/fr/maison/acheter/lieu-le-fuet" TargetMode="External"/><Relationship Id="rId2988" Type="http://schemas.openxmlformats.org/officeDocument/2006/relationships/hyperlink" Target="https://www.immoscout24.ch/fr/maison/acheter/lieu-domdidier" TargetMode="External"/><Relationship Id="rId1658" Type="http://schemas.openxmlformats.org/officeDocument/2006/relationships/hyperlink" Target="https://www.immoscout24.ch/fr/appartement/louer/lieu-le-mouret" TargetMode="External"/><Relationship Id="rId2989" Type="http://schemas.openxmlformats.org/officeDocument/2006/relationships/hyperlink" Target="https://www.immoscout24.ch/fr/maison/acheter/region-soleure" TargetMode="External"/><Relationship Id="rId1659" Type="http://schemas.openxmlformats.org/officeDocument/2006/relationships/hyperlink" Target="https://www.immoscout24.ch/fr/appartement/acheter/lieu-gimel" TargetMode="External"/><Relationship Id="rId829" Type="http://schemas.openxmlformats.org/officeDocument/2006/relationships/hyperlink" Target="https://www.immoscout24.ch/fr/maison/acheter/lieu-roggenburg" TargetMode="External"/><Relationship Id="rId828" Type="http://schemas.openxmlformats.org/officeDocument/2006/relationships/hyperlink" Target="https://www.immoscout24.ch/fr/maison/acheter/lieu-maennedorf" TargetMode="External"/><Relationship Id="rId827" Type="http://schemas.openxmlformats.org/officeDocument/2006/relationships/hyperlink" Target="https://www.immoscout24.ch/fr/maison/louer/quartier-centre-neuchatel" TargetMode="External"/><Relationship Id="rId822" Type="http://schemas.openxmlformats.org/officeDocument/2006/relationships/hyperlink" Target="https://www.immoscout24.ch/fr/appartement/acheter/lieu-gerlafingen" TargetMode="External"/><Relationship Id="rId821" Type="http://schemas.openxmlformats.org/officeDocument/2006/relationships/hyperlink" Target="https://www.immoscout24.ch/fr/maison/acheter/lieu-s-antonio-val-morobbia" TargetMode="External"/><Relationship Id="rId820" Type="http://schemas.openxmlformats.org/officeDocument/2006/relationships/hyperlink" Target="https://www.immoscout24.ch/fr/appartement/louer/lieu-payerne" TargetMode="External"/><Relationship Id="rId826" Type="http://schemas.openxmlformats.org/officeDocument/2006/relationships/hyperlink" Target="https://www.immoscout24.ch/fr/maison/acheter/lieu-daillens" TargetMode="External"/><Relationship Id="rId825" Type="http://schemas.openxmlformats.org/officeDocument/2006/relationships/hyperlink" Target="https://www.immoscout24.ch/fr/maison/acheter/lieu-hersberg" TargetMode="External"/><Relationship Id="rId824" Type="http://schemas.openxmlformats.org/officeDocument/2006/relationships/hyperlink" Target="https://www.immoscout24.ch/fr/appartement/louer/lieu-martherenges" TargetMode="External"/><Relationship Id="rId823" Type="http://schemas.openxmlformats.org/officeDocument/2006/relationships/hyperlink" Target="https://www.immoscout24.ch/fr/appartement/acheter/lieu-mayens-de-chamoson" TargetMode="External"/><Relationship Id="rId2980" Type="http://schemas.openxmlformats.org/officeDocument/2006/relationships/hyperlink" Target="https://www.immoscout24.ch/fr/maison/acheter/lieu-meikirch" TargetMode="External"/><Relationship Id="rId1650" Type="http://schemas.openxmlformats.org/officeDocument/2006/relationships/hyperlink" Target="https://www.immoscout24.ch/fr/maison/acheter/lieu-borgnone" TargetMode="External"/><Relationship Id="rId2981" Type="http://schemas.openxmlformats.org/officeDocument/2006/relationships/hyperlink" Target="https://www.immoscout24.ch/fr/maison/louer/lieu-brunnen" TargetMode="External"/><Relationship Id="rId1651" Type="http://schemas.openxmlformats.org/officeDocument/2006/relationships/hyperlink" Target="https://www.immoscout24.ch/fr/maison/louer/quartier-forges-endroits-la-chaux-de-fonds" TargetMode="External"/><Relationship Id="rId2982" Type="http://schemas.openxmlformats.org/officeDocument/2006/relationships/hyperlink" Target="https://www.immoscout24.ch/fr/appartement/louer/lieu-ligornetto" TargetMode="External"/><Relationship Id="rId1652" Type="http://schemas.openxmlformats.org/officeDocument/2006/relationships/hyperlink" Target="https://www.immoscout24.ch/fr/appartement/louer/lieu-lugano" TargetMode="External"/><Relationship Id="rId2983" Type="http://schemas.openxmlformats.org/officeDocument/2006/relationships/hyperlink" Target="https://www.immoscout24.ch/fr/maison/acheter/lieu-autavaux" TargetMode="External"/><Relationship Id="rId1642" Type="http://schemas.openxmlformats.org/officeDocument/2006/relationships/hyperlink" Target="https://www.immoscout24.ch/fr/appartement/louer/lieu-veyras" TargetMode="External"/><Relationship Id="rId2973" Type="http://schemas.openxmlformats.org/officeDocument/2006/relationships/hyperlink" Target="https://www.immoscout24.ch/fr/maison/acheter/lieu-ogens" TargetMode="External"/><Relationship Id="rId1643" Type="http://schemas.openxmlformats.org/officeDocument/2006/relationships/hyperlink" Target="https://www.immoscout24.ch/fr/maison/acheter/lieu-beatenberg" TargetMode="External"/><Relationship Id="rId2974" Type="http://schemas.openxmlformats.org/officeDocument/2006/relationships/hyperlink" Target="https://www.immoscout24.ch/fr/appartement/louer/lieu-ballens" TargetMode="External"/><Relationship Id="rId1644" Type="http://schemas.openxmlformats.org/officeDocument/2006/relationships/hyperlink" Target="https://www.immoscout24.ch/fr/appartement/louer/lieu-liez-st-martin" TargetMode="External"/><Relationship Id="rId2975" Type="http://schemas.openxmlformats.org/officeDocument/2006/relationships/hyperlink" Target="https://www.immoscout24.ch/fr/maison/acheter/lieu-les-agettes" TargetMode="External"/><Relationship Id="rId1645" Type="http://schemas.openxmlformats.org/officeDocument/2006/relationships/hyperlink" Target="https://www.immoscout24.ch/fr/appartement/louer/lieu-villeneuve-fr" TargetMode="External"/><Relationship Id="rId2976" Type="http://schemas.openxmlformats.org/officeDocument/2006/relationships/hyperlink" Target="https://www.immoscout24.ch/fr/appartement/louer/lieu-orny" TargetMode="External"/><Relationship Id="rId1646" Type="http://schemas.openxmlformats.org/officeDocument/2006/relationships/hyperlink" Target="https://www.immoscout24.ch/fr/appartement/acheter/pays-albanie" TargetMode="External"/><Relationship Id="rId2977" Type="http://schemas.openxmlformats.org/officeDocument/2006/relationships/hyperlink" Target="https://www.immoscout24.ch/fr/maison/acheter/lieu-mervelier" TargetMode="External"/><Relationship Id="rId1647" Type="http://schemas.openxmlformats.org/officeDocument/2006/relationships/hyperlink" Target="https://www.immoscout24.ch/fr/maison/louer/lieu-gryon" TargetMode="External"/><Relationship Id="rId2978" Type="http://schemas.openxmlformats.org/officeDocument/2006/relationships/hyperlink" Target="https://www.immoscout24.ch/fr/appartement/acheter/lieu-chene-bougeries" TargetMode="External"/><Relationship Id="rId1648" Type="http://schemas.openxmlformats.org/officeDocument/2006/relationships/hyperlink" Target="https://www.immoscout24.ch/fr/appartement/louer/lieu-les-moulins" TargetMode="External"/><Relationship Id="rId2979" Type="http://schemas.openxmlformats.org/officeDocument/2006/relationships/hyperlink" Target="https://www.immoscout24.ch/fr/maison/acheter/lieu-hindelbank" TargetMode="External"/><Relationship Id="rId1649" Type="http://schemas.openxmlformats.org/officeDocument/2006/relationships/hyperlink" Target="https://www.immoscout24.ch/fr/maison/acheter/lieu-tschugg" TargetMode="External"/><Relationship Id="rId819" Type="http://schemas.openxmlformats.org/officeDocument/2006/relationships/hyperlink" Target="https://www.immoscout24.ch/fr/appartement/louer/lieu-charrat" TargetMode="External"/><Relationship Id="rId818" Type="http://schemas.openxmlformats.org/officeDocument/2006/relationships/hyperlink" Target="https://www.immoscout24.ch/fr/appartement/louer/lieu-tatroz" TargetMode="External"/><Relationship Id="rId817" Type="http://schemas.openxmlformats.org/officeDocument/2006/relationships/hyperlink" Target="https://www.immoscout24.ch/fr/appartement/louer/lieu-chesopelloz" TargetMode="External"/><Relationship Id="rId816" Type="http://schemas.openxmlformats.org/officeDocument/2006/relationships/hyperlink" Target="https://www.immoscout24.ch/fr/maison/acheter/lieu-oberhofen-am-thunersee" TargetMode="External"/><Relationship Id="rId811" Type="http://schemas.openxmlformats.org/officeDocument/2006/relationships/hyperlink" Target="https://www.immoscout24.ch/fr/maison/louer/region-sion-sierre-et-environs" TargetMode="External"/><Relationship Id="rId810" Type="http://schemas.openxmlformats.org/officeDocument/2006/relationships/hyperlink" Target="https://www.immoscout24.ch/fr/maison/acheter/lieu-buerchen" TargetMode="External"/><Relationship Id="rId815" Type="http://schemas.openxmlformats.org/officeDocument/2006/relationships/hyperlink" Target="https://www.immoscout24.ch/fr/appartement/louer/lieu-platta" TargetMode="External"/><Relationship Id="rId814" Type="http://schemas.openxmlformats.org/officeDocument/2006/relationships/hyperlink" Target="https://www.immoscout24.ch/fr/maison/acheter/lieu-travers" TargetMode="External"/><Relationship Id="rId813" Type="http://schemas.openxmlformats.org/officeDocument/2006/relationships/hyperlink" Target="https://www.immoscout24.ch/fr/maison/acheter/lieu-st-imier" TargetMode="External"/><Relationship Id="rId812" Type="http://schemas.openxmlformats.org/officeDocument/2006/relationships/hyperlink" Target="https://www.immoscout24.ch/fr/appartement/louer/lieu-hilterfingen" TargetMode="External"/><Relationship Id="rId2970" Type="http://schemas.openxmlformats.org/officeDocument/2006/relationships/hyperlink" Target="https://www.immoscout24.ch/fr/appartement/louer/lieu-bullet" TargetMode="External"/><Relationship Id="rId1640" Type="http://schemas.openxmlformats.org/officeDocument/2006/relationships/hyperlink" Target="https://www.immoscout24.ch/fr/appartement/louer/lieu-le-sentier" TargetMode="External"/><Relationship Id="rId2971" Type="http://schemas.openxmlformats.org/officeDocument/2006/relationships/hyperlink" Target="https://www.immoscout24.ch/fr/appartement/louer/lieu-servion" TargetMode="External"/><Relationship Id="rId1641" Type="http://schemas.openxmlformats.org/officeDocument/2006/relationships/hyperlink" Target="https://www.immoscout24.ch/fr/appartement/louer/lieu-champlan-grimisuat" TargetMode="External"/><Relationship Id="rId2972" Type="http://schemas.openxmlformats.org/officeDocument/2006/relationships/hyperlink" Target="https://www.immoscout24.ch/fr/appartement/louer/lieu-frinvillier" TargetMode="External"/><Relationship Id="rId1675" Type="http://schemas.openxmlformats.org/officeDocument/2006/relationships/hyperlink" Target="https://www.immoscout24.ch/fr/appartement/acheter/lieu-fenin" TargetMode="External"/><Relationship Id="rId1676" Type="http://schemas.openxmlformats.org/officeDocument/2006/relationships/hyperlink" Target="https://www.immoscout24.ch/fr/appartement/acheter/lieu-les-crosets" TargetMode="External"/><Relationship Id="rId1677" Type="http://schemas.openxmlformats.org/officeDocument/2006/relationships/hyperlink" Target="https://www.immoscout24.ch/fr/maison/acheter/lieu-gorgier" TargetMode="External"/><Relationship Id="rId1678" Type="http://schemas.openxmlformats.org/officeDocument/2006/relationships/hyperlink" Target="https://www.immoscout24.ch/fr/maison/acheter/lieu-rechthalten" TargetMode="External"/><Relationship Id="rId1679" Type="http://schemas.openxmlformats.org/officeDocument/2006/relationships/hyperlink" Target="https://www.immoscout24.ch/fr/appartement/acheter/lieu-solothurn" TargetMode="External"/><Relationship Id="rId849" Type="http://schemas.openxmlformats.org/officeDocument/2006/relationships/hyperlink" Target="https://www.immoscout24.ch/fr/maison/louer/lieu-echarlens" TargetMode="External"/><Relationship Id="rId844" Type="http://schemas.openxmlformats.org/officeDocument/2006/relationships/hyperlink" Target="https://www.immoscout24.ch/fr/maison/acheter/lieu-posieux" TargetMode="External"/><Relationship Id="rId843" Type="http://schemas.openxmlformats.org/officeDocument/2006/relationships/hyperlink" Target="https://www.immoscout24.ch/fr/maison/louer/lieu-sugiez" TargetMode="External"/><Relationship Id="rId842" Type="http://schemas.openxmlformats.org/officeDocument/2006/relationships/hyperlink" Target="https://www.immoscout24.ch/fr/appartement/louer/lieu-netstal" TargetMode="External"/><Relationship Id="rId841" Type="http://schemas.openxmlformats.org/officeDocument/2006/relationships/hyperlink" Target="https://www.immoscout24.ch/fr/appartement/acheter/lieu-bassins" TargetMode="External"/><Relationship Id="rId848" Type="http://schemas.openxmlformats.org/officeDocument/2006/relationships/hyperlink" Target="https://www.immoscout24.ch/fr/maison/acheter/lieu-miex" TargetMode="External"/><Relationship Id="rId847" Type="http://schemas.openxmlformats.org/officeDocument/2006/relationships/hyperlink" Target="https://www.immoscout24.ch/fr/appartement/acheter/lieu-enney" TargetMode="External"/><Relationship Id="rId846" Type="http://schemas.openxmlformats.org/officeDocument/2006/relationships/hyperlink" Target="https://www.immoscout24.ch/fr/appartement/acheter/lieu-le-cret-pres-semsales" TargetMode="External"/><Relationship Id="rId845" Type="http://schemas.openxmlformats.org/officeDocument/2006/relationships/hyperlink" Target="https://www.immoscout24.ch/fr/appartement/acheter/lieu-neuchatel" TargetMode="External"/><Relationship Id="rId1670" Type="http://schemas.openxmlformats.org/officeDocument/2006/relationships/hyperlink" Target="https://www.immoscout24.ch/fr/maison/acheter/lieu-les-verines-chamoson" TargetMode="External"/><Relationship Id="rId840" Type="http://schemas.openxmlformats.org/officeDocument/2006/relationships/hyperlink" Target="https://www.immoscout24.ch/fr/appartement/louer/lieu-moerigen" TargetMode="External"/><Relationship Id="rId1671" Type="http://schemas.openxmlformats.org/officeDocument/2006/relationships/hyperlink" Target="https://www.immoscout24.ch/fr/appartement/louer/lieu-berneck" TargetMode="External"/><Relationship Id="rId1672" Type="http://schemas.openxmlformats.org/officeDocument/2006/relationships/hyperlink" Target="https://www.immoscout24.ch/fr/maison/acheter/quartier-cassarate-lugano" TargetMode="External"/><Relationship Id="rId1673" Type="http://schemas.openxmlformats.org/officeDocument/2006/relationships/hyperlink" Target="https://www.immoscout24.ch/fr/appartement/louer/lieu-salgesch" TargetMode="External"/><Relationship Id="rId1674" Type="http://schemas.openxmlformats.org/officeDocument/2006/relationships/hyperlink" Target="https://www.immoscout24.ch/fr/appartement/louer/lieu-combremont-le-grand" TargetMode="External"/><Relationship Id="rId1664" Type="http://schemas.openxmlformats.org/officeDocument/2006/relationships/hyperlink" Target="https://www.immoscout24.ch/fr/appartement/louer/lieu-boulens" TargetMode="External"/><Relationship Id="rId2995" Type="http://schemas.openxmlformats.org/officeDocument/2006/relationships/hyperlink" Target="https://www.immoscout24.ch/fr/appartement/louer/lieu-versoix" TargetMode="External"/><Relationship Id="rId1665" Type="http://schemas.openxmlformats.org/officeDocument/2006/relationships/hyperlink" Target="https://www.immoscout24.ch/fr/maison/acheter/lieu-menziken" TargetMode="External"/><Relationship Id="rId2996" Type="http://schemas.openxmlformats.org/officeDocument/2006/relationships/hyperlink" Target="https://www.immoscout24.ch/fr/maison/louer/lieu-villaz-st-pierre" TargetMode="External"/><Relationship Id="rId1666" Type="http://schemas.openxmlformats.org/officeDocument/2006/relationships/hyperlink" Target="https://www.immoscout24.ch/fr/appartement/louer/lieu-saanen" TargetMode="External"/><Relationship Id="rId2997" Type="http://schemas.openxmlformats.org/officeDocument/2006/relationships/hyperlink" Target="https://www.immoscout24.ch/fr/maison/acheter/lieu-berlingen" TargetMode="External"/><Relationship Id="rId1667" Type="http://schemas.openxmlformats.org/officeDocument/2006/relationships/hyperlink" Target="https://www.immoscout24.ch/fr/maison/acheter/lieu-suchy" TargetMode="External"/><Relationship Id="rId2998" Type="http://schemas.openxmlformats.org/officeDocument/2006/relationships/hyperlink" Target="https://www.immoscout24.ch/fr/appartement/louer/lieu-les-ponts-de-martel" TargetMode="External"/><Relationship Id="rId1668" Type="http://schemas.openxmlformats.org/officeDocument/2006/relationships/hyperlink" Target="https://www.immoscout24.ch/fr/appartement/acheter/lieu-saas-balen" TargetMode="External"/><Relationship Id="rId2999" Type="http://schemas.openxmlformats.org/officeDocument/2006/relationships/hyperlink" Target="https://www.immoscout24.ch/fr/appartement/acheter/region-mendrisiotto" TargetMode="External"/><Relationship Id="rId1669" Type="http://schemas.openxmlformats.org/officeDocument/2006/relationships/hyperlink" Target="https://www.immoscout24.ch/fr/appartement/louer/lieu-frenkendorf" TargetMode="External"/><Relationship Id="rId839" Type="http://schemas.openxmlformats.org/officeDocument/2006/relationships/hyperlink" Target="https://www.immoscout24.ch/fr/appartement/louer/lieu-davos-platz" TargetMode="External"/><Relationship Id="rId838" Type="http://schemas.openxmlformats.org/officeDocument/2006/relationships/hyperlink" Target="https://www.immoscout24.ch/fr/maison/acheter/lieu-les-pommerats" TargetMode="External"/><Relationship Id="rId833" Type="http://schemas.openxmlformats.org/officeDocument/2006/relationships/hyperlink" Target="https://www.immoscout24.ch/fr/appartement/acheter/lieu-binz" TargetMode="External"/><Relationship Id="rId832" Type="http://schemas.openxmlformats.org/officeDocument/2006/relationships/hyperlink" Target="https://www.immoscout24.ch/fr/maison/acheter/lieu-villars-le-terroir" TargetMode="External"/><Relationship Id="rId831" Type="http://schemas.openxmlformats.org/officeDocument/2006/relationships/hyperlink" Target="https://www.immoscout24.ch/fr/appartement/louer/lieu-goumoens-la-ville" TargetMode="External"/><Relationship Id="rId830" Type="http://schemas.openxmlformats.org/officeDocument/2006/relationships/hyperlink" Target="https://www.immoscout24.ch/fr/appartement/louer/lieu-vilars-ne" TargetMode="External"/><Relationship Id="rId837" Type="http://schemas.openxmlformats.org/officeDocument/2006/relationships/hyperlink" Target="https://www.immoscout24.ch/fr/appartement/acheter/lieu-zinal" TargetMode="External"/><Relationship Id="rId836" Type="http://schemas.openxmlformats.org/officeDocument/2006/relationships/hyperlink" Target="https://www.immoscout24.ch/fr/maison/acheter/lieu-le-bry" TargetMode="External"/><Relationship Id="rId835" Type="http://schemas.openxmlformats.org/officeDocument/2006/relationships/hyperlink" Target="https://www.immoscout24.ch/fr/appartement/acheter/lieu-palezieux-village" TargetMode="External"/><Relationship Id="rId834" Type="http://schemas.openxmlformats.org/officeDocument/2006/relationships/hyperlink" Target="https://www.immoscout24.ch/fr/appartement/louer/lieu-lussy-sur-morges" TargetMode="External"/><Relationship Id="rId2990" Type="http://schemas.openxmlformats.org/officeDocument/2006/relationships/hyperlink" Target="https://www.immoscout24.ch/fr/appartement/louer/lieu-vicques" TargetMode="External"/><Relationship Id="rId1660" Type="http://schemas.openxmlformats.org/officeDocument/2006/relationships/hyperlink" Target="https://www.immoscout24.ch/fr/appartement/louer/lieu-villars-sous-mont" TargetMode="External"/><Relationship Id="rId2991" Type="http://schemas.openxmlformats.org/officeDocument/2006/relationships/hyperlink" Target="https://www.immoscout24.ch/fr/appartement/louer/lieu-st-livres" TargetMode="External"/><Relationship Id="rId1661" Type="http://schemas.openxmlformats.org/officeDocument/2006/relationships/hyperlink" Target="https://www.immoscout24.ch/fr/maison/acheter/quartier-bel-air-la-chaux-de-fonds" TargetMode="External"/><Relationship Id="rId2992" Type="http://schemas.openxmlformats.org/officeDocument/2006/relationships/hyperlink" Target="https://www.immoscout24.ch/fr/maison/louer/lieu-salavaux" TargetMode="External"/><Relationship Id="rId1662" Type="http://schemas.openxmlformats.org/officeDocument/2006/relationships/hyperlink" Target="https://www.immoscout24.ch/fr/appartement/louer/lieu-thuernen" TargetMode="External"/><Relationship Id="rId2993" Type="http://schemas.openxmlformats.org/officeDocument/2006/relationships/hyperlink" Target="https://www.immoscout24.ch/fr/maison/louer/lieu-le-mont-pelerin" TargetMode="External"/><Relationship Id="rId1663" Type="http://schemas.openxmlformats.org/officeDocument/2006/relationships/hyperlink" Target="https://www.immoscout24.ch/fr/maison/acheter/lieu-la-fouly-vs" TargetMode="External"/><Relationship Id="rId2994" Type="http://schemas.openxmlformats.org/officeDocument/2006/relationships/hyperlink" Target="https://www.immoscout24.ch/fr/maison/louer/lieu-lechelles" TargetMode="External"/><Relationship Id="rId899" Type="http://schemas.openxmlformats.org/officeDocument/2006/relationships/hyperlink" Target="https://www.immoscout24.ch/fr/appartement/acheter/pays-tunisie" TargetMode="External"/><Relationship Id="rId898" Type="http://schemas.openxmlformats.org/officeDocument/2006/relationships/hyperlink" Target="https://www.immoscout24.ch/fr/appartement/louer/lieu-vellerat" TargetMode="External"/><Relationship Id="rId897" Type="http://schemas.openxmlformats.org/officeDocument/2006/relationships/hyperlink" Target="https://www.immoscout24.ch/fr/appartement/acheter/lieu-fully" TargetMode="External"/><Relationship Id="rId896" Type="http://schemas.openxmlformats.org/officeDocument/2006/relationships/hyperlink" Target="https://www.immoscout24.ch/fr/maison/acheter/lieu-epiquerez" TargetMode="External"/><Relationship Id="rId891" Type="http://schemas.openxmlformats.org/officeDocument/2006/relationships/hyperlink" Target="https://www.immoscout24.ch/fr/appartement/acheter/lieu-st-stephan" TargetMode="External"/><Relationship Id="rId890" Type="http://schemas.openxmlformats.org/officeDocument/2006/relationships/hyperlink" Target="https://www.immoscout24.ch/fr/appartement/louer/lieu-venthone" TargetMode="External"/><Relationship Id="rId895" Type="http://schemas.openxmlformats.org/officeDocument/2006/relationships/hyperlink" Target="https://www.immoscout24.ch/fr/maison/acheter/lieu-villars-bozon" TargetMode="External"/><Relationship Id="rId894" Type="http://schemas.openxmlformats.org/officeDocument/2006/relationships/hyperlink" Target="https://www.immoscout24.ch/fr/appartement/louer/lieu-liddes" TargetMode="External"/><Relationship Id="rId893" Type="http://schemas.openxmlformats.org/officeDocument/2006/relationships/hyperlink" Target="https://www.immoscout24.ch/fr/maison/acheter/lieu-plaffeien" TargetMode="External"/><Relationship Id="rId892" Type="http://schemas.openxmlformats.org/officeDocument/2006/relationships/hyperlink" Target="https://www.immoscout24.ch/fr/appartement/louer/lieu-renan-be" TargetMode="External"/></Relationships>
</file>

<file path=xl/worksheets/_rels/sheet2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immoscout24.ch/fr/appartement/louer/lieu-belprahon" TargetMode="External"/><Relationship Id="rId9618" Type="http://schemas.openxmlformats.org/officeDocument/2006/relationships/hyperlink" Target="https://www.immoscout24.ch/fr/appartement/louer/lieu-belprahon" TargetMode="External"/><Relationship Id="rId9619" Type="http://schemas.openxmlformats.org/officeDocument/2006/relationships/hyperlink" Target="https://www.immoscout24.ch/fr/appartement/acheter/lieu-bottighofen" TargetMode="External"/><Relationship Id="rId9613" Type="http://schemas.openxmlformats.org/officeDocument/2006/relationships/hyperlink" Target="https://www.immoscout24.ch/fr/appartement/louer/region-vallemaggia" TargetMode="External"/><Relationship Id="rId9614" Type="http://schemas.openxmlformats.org/officeDocument/2006/relationships/hyperlink" Target="https://www.immoscout24.ch/fr/appartement/louer/region-vallemaggia" TargetMode="External"/><Relationship Id="rId9615" Type="http://schemas.openxmlformats.org/officeDocument/2006/relationships/hyperlink" Target="https://www.immoscout24.ch/fr/appartement/acheter/lieu-perly" TargetMode="External"/><Relationship Id="rId9616" Type="http://schemas.openxmlformats.org/officeDocument/2006/relationships/hyperlink" Target="https://www.immoscout24.ch/fr/appartement/acheter/lieu-perly" TargetMode="External"/><Relationship Id="rId9610" Type="http://schemas.openxmlformats.org/officeDocument/2006/relationships/hyperlink" Target="https://www.immoscout24.ch/fr/maison/acheter/lieu-presinge" TargetMode="External"/><Relationship Id="rId9611" Type="http://schemas.openxmlformats.org/officeDocument/2006/relationships/hyperlink" Target="https://www.immoscout24.ch/fr/appartement/louer/lieu-agno" TargetMode="External"/><Relationship Id="rId9612" Type="http://schemas.openxmlformats.org/officeDocument/2006/relationships/hyperlink" Target="https://www.immoscout24.ch/fr/appartement/louer/lieu-agno" TargetMode="External"/><Relationship Id="rId9606" Type="http://schemas.openxmlformats.org/officeDocument/2006/relationships/hyperlink" Target="https://www.immoscout24.ch/fr/appartement/louer/lieu-oron-le-chatel" TargetMode="External"/><Relationship Id="rId9607" Type="http://schemas.openxmlformats.org/officeDocument/2006/relationships/hyperlink" Target="https://www.immoscout24.ch/fr/appartement/louer/lieu-chavornay" TargetMode="External"/><Relationship Id="rId9608" Type="http://schemas.openxmlformats.org/officeDocument/2006/relationships/hyperlink" Target="https://www.immoscout24.ch/fr/appartement/louer/lieu-chavornay" TargetMode="External"/><Relationship Id="rId9609" Type="http://schemas.openxmlformats.org/officeDocument/2006/relationships/hyperlink" Target="https://www.immoscout24.ch/fr/maison/acheter/lieu-presinge" TargetMode="External"/><Relationship Id="rId9602" Type="http://schemas.openxmlformats.org/officeDocument/2006/relationships/hyperlink" Target="https://www.immoscout24.ch/fr/appartement/louer/lieu-st-aubin-fr" TargetMode="External"/><Relationship Id="rId9603" Type="http://schemas.openxmlformats.org/officeDocument/2006/relationships/hyperlink" Target="https://www.immoscout24.ch/fr/appartement/louer/lieu-matzingen" TargetMode="External"/><Relationship Id="rId9604" Type="http://schemas.openxmlformats.org/officeDocument/2006/relationships/hyperlink" Target="https://www.immoscout24.ch/fr/appartement/louer/lieu-matzingen" TargetMode="External"/><Relationship Id="rId9605" Type="http://schemas.openxmlformats.org/officeDocument/2006/relationships/hyperlink" Target="https://www.immoscout24.ch/fr/appartement/louer/lieu-oron-le-chatel" TargetMode="External"/><Relationship Id="rId9600" Type="http://schemas.openxmlformats.org/officeDocument/2006/relationships/hyperlink" Target="https://www.immoscout24.ch/fr/maison/acheter/lieu-gsteig-b-gstaad" TargetMode="External"/><Relationship Id="rId9601" Type="http://schemas.openxmlformats.org/officeDocument/2006/relationships/hyperlink" Target="https://www.immoscout24.ch/fr/appartement/louer/lieu-st-aubin-fr" TargetMode="External"/><Relationship Id="rId8309" Type="http://schemas.openxmlformats.org/officeDocument/2006/relationships/hyperlink" Target="https://www.immoscout24.ch/fr/appartement/acheter/lieu-epagny" TargetMode="External"/><Relationship Id="rId8308" Type="http://schemas.openxmlformats.org/officeDocument/2006/relationships/hyperlink" Target="https://www.immoscout24.ch/fr/appartement/louer/lieu-mase" TargetMode="External"/><Relationship Id="rId9639" Type="http://schemas.openxmlformats.org/officeDocument/2006/relationships/hyperlink" Target="https://www.immoscout24.ch/fr/maison/louer/pays-algerie" TargetMode="External"/><Relationship Id="rId9630" Type="http://schemas.openxmlformats.org/officeDocument/2006/relationships/hyperlink" Target="https://www.immoscout24.ch/fr/appartement/louer/lieu-oulens-sous-echallens" TargetMode="External"/><Relationship Id="rId8303" Type="http://schemas.openxmlformats.org/officeDocument/2006/relationships/hyperlink" Target="https://www.immoscout24.ch/fr/maison/acheter/lieu-panex" TargetMode="External"/><Relationship Id="rId9635" Type="http://schemas.openxmlformats.org/officeDocument/2006/relationships/hyperlink" Target="https://www.immoscout24.ch/fr/maison/acheter/lieu-geneve-15-aeroport" TargetMode="External"/><Relationship Id="rId8302" Type="http://schemas.openxmlformats.org/officeDocument/2006/relationships/hyperlink" Target="https://www.immoscout24.ch/fr/appartement/louer/lieu-russo" TargetMode="External"/><Relationship Id="rId9636" Type="http://schemas.openxmlformats.org/officeDocument/2006/relationships/hyperlink" Target="https://www.immoscout24.ch/fr/maison/acheter/lieu-geneve-15-aeroport" TargetMode="External"/><Relationship Id="rId8301" Type="http://schemas.openxmlformats.org/officeDocument/2006/relationships/hyperlink" Target="https://www.immoscout24.ch/fr/appartement/louer/lieu-russo" TargetMode="External"/><Relationship Id="rId9637" Type="http://schemas.openxmlformats.org/officeDocument/2006/relationships/hyperlink" Target="https://www.immoscout24.ch/fr/appartement/louer/lieu-mollie-margot" TargetMode="External"/><Relationship Id="rId8300" Type="http://schemas.openxmlformats.org/officeDocument/2006/relationships/hyperlink" Target="https://www.immoscout24.ch/fr/appartement/acheter/lieu-neuenegg" TargetMode="External"/><Relationship Id="rId9638" Type="http://schemas.openxmlformats.org/officeDocument/2006/relationships/hyperlink" Target="https://www.immoscout24.ch/fr/appartement/louer/lieu-mollie-margot" TargetMode="External"/><Relationship Id="rId8307" Type="http://schemas.openxmlformats.org/officeDocument/2006/relationships/hyperlink" Target="https://www.immoscout24.ch/fr/appartement/louer/lieu-mase" TargetMode="External"/><Relationship Id="rId9631" Type="http://schemas.openxmlformats.org/officeDocument/2006/relationships/hyperlink" Target="https://www.immoscout24.ch/fr/maison/acheter/lieu-beinwil-am-see" TargetMode="External"/><Relationship Id="rId8306" Type="http://schemas.openxmlformats.org/officeDocument/2006/relationships/hyperlink" Target="https://www.immoscout24.ch/fr/maison/acheter/lieu-fiesch" TargetMode="External"/><Relationship Id="rId9632" Type="http://schemas.openxmlformats.org/officeDocument/2006/relationships/hyperlink" Target="https://www.immoscout24.ch/fr/maison/acheter/lieu-beinwil-am-see" TargetMode="External"/><Relationship Id="rId8305" Type="http://schemas.openxmlformats.org/officeDocument/2006/relationships/hyperlink" Target="https://www.immoscout24.ch/fr/maison/acheter/lieu-fiesch" TargetMode="External"/><Relationship Id="rId9633" Type="http://schemas.openxmlformats.org/officeDocument/2006/relationships/hyperlink" Target="https://www.immoscout24.ch/fr/maison/acheter/lieu-fontaines-ne" TargetMode="External"/><Relationship Id="rId8304" Type="http://schemas.openxmlformats.org/officeDocument/2006/relationships/hyperlink" Target="https://www.immoscout24.ch/fr/maison/acheter/lieu-panex" TargetMode="External"/><Relationship Id="rId9634" Type="http://schemas.openxmlformats.org/officeDocument/2006/relationships/hyperlink" Target="https://www.immoscout24.ch/fr/maison/acheter/lieu-fontaines-ne" TargetMode="External"/><Relationship Id="rId9628" Type="http://schemas.openxmlformats.org/officeDocument/2006/relationships/hyperlink" Target="https://www.immoscout24.ch/fr/appartement/louer/region-bellinzone" TargetMode="External"/><Relationship Id="rId9629" Type="http://schemas.openxmlformats.org/officeDocument/2006/relationships/hyperlink" Target="https://www.immoscout24.ch/fr/appartement/louer/lieu-oulens-sous-echallens" TargetMode="External"/><Relationship Id="rId9624" Type="http://schemas.openxmlformats.org/officeDocument/2006/relationships/hyperlink" Target="https://www.immoscout24.ch/fr/appartement/louer/quartier-unterstrass-zurich" TargetMode="External"/><Relationship Id="rId9625" Type="http://schemas.openxmlformats.org/officeDocument/2006/relationships/hyperlink" Target="https://www.immoscout24.ch/fr/maison/acheter/pays-serbie" TargetMode="External"/><Relationship Id="rId9626" Type="http://schemas.openxmlformats.org/officeDocument/2006/relationships/hyperlink" Target="https://www.immoscout24.ch/fr/maison/acheter/pays-serbie" TargetMode="External"/><Relationship Id="rId9627" Type="http://schemas.openxmlformats.org/officeDocument/2006/relationships/hyperlink" Target="https://www.immoscout24.ch/fr/appartement/louer/region-bellinzone" TargetMode="External"/><Relationship Id="rId9620" Type="http://schemas.openxmlformats.org/officeDocument/2006/relationships/hyperlink" Target="https://www.immoscout24.ch/fr/appartement/acheter/lieu-bottighofen" TargetMode="External"/><Relationship Id="rId9621" Type="http://schemas.openxmlformats.org/officeDocument/2006/relationships/hyperlink" Target="https://www.immoscout24.ch/fr/appartement/louer/lieu-ueberstorf" TargetMode="External"/><Relationship Id="rId9622" Type="http://schemas.openxmlformats.org/officeDocument/2006/relationships/hyperlink" Target="https://www.immoscout24.ch/fr/appartement/louer/lieu-ueberstorf" TargetMode="External"/><Relationship Id="rId9623" Type="http://schemas.openxmlformats.org/officeDocument/2006/relationships/hyperlink" Target="https://www.immoscout24.ch/fr/appartement/louer/quartier-unterstrass-zurich" TargetMode="External"/><Relationship Id="rId7030" Type="http://schemas.openxmlformats.org/officeDocument/2006/relationships/hyperlink" Target="https://www.immoscout24.ch/fr/appartement/louer/lieu-croy" TargetMode="External"/><Relationship Id="rId8361" Type="http://schemas.openxmlformats.org/officeDocument/2006/relationships/hyperlink" Target="https://www.immoscout24.ch/fr/maison/acheter/lieu-maules" TargetMode="External"/><Relationship Id="rId9693" Type="http://schemas.openxmlformats.org/officeDocument/2006/relationships/hyperlink" Target="https://www.immoscout24.ch/fr/maison/louer/lieu-blonay" TargetMode="External"/><Relationship Id="rId8360" Type="http://schemas.openxmlformats.org/officeDocument/2006/relationships/hyperlink" Target="https://www.immoscout24.ch/fr/maison/acheter/lieu-la-vue-des-alpes" TargetMode="External"/><Relationship Id="rId9694" Type="http://schemas.openxmlformats.org/officeDocument/2006/relationships/hyperlink" Target="https://www.immoscout24.ch/fr/maison/louer/lieu-blonay" TargetMode="External"/><Relationship Id="rId9695" Type="http://schemas.openxmlformats.org/officeDocument/2006/relationships/hyperlink" Target="https://www.immoscout24.ch/fr/appartement/louer/quartier-oberguetsch-unterguetsch-lucerne" TargetMode="External"/><Relationship Id="rId9696" Type="http://schemas.openxmlformats.org/officeDocument/2006/relationships/hyperlink" Target="https://www.immoscout24.ch/fr/appartement/louer/quartier-oberguetsch-unterguetsch-lucerne" TargetMode="External"/><Relationship Id="rId7034" Type="http://schemas.openxmlformats.org/officeDocument/2006/relationships/hyperlink" Target="https://www.immoscout24.ch/fr/appartement/acheter/lieu-lungern" TargetMode="External"/><Relationship Id="rId8365" Type="http://schemas.openxmlformats.org/officeDocument/2006/relationships/hyperlink" Target="https://www.immoscout24.ch/fr/appartement/acheter/lieu-salavaux" TargetMode="External"/><Relationship Id="rId7033" Type="http://schemas.openxmlformats.org/officeDocument/2006/relationships/hyperlink" Target="https://www.immoscout24.ch/fr/appartement/acheter/lieu-lungern" TargetMode="External"/><Relationship Id="rId8364" Type="http://schemas.openxmlformats.org/officeDocument/2006/relationships/hyperlink" Target="https://www.immoscout24.ch/fr/maison/acheter/lieu-arveyes" TargetMode="External"/><Relationship Id="rId9690" Type="http://schemas.openxmlformats.org/officeDocument/2006/relationships/hyperlink" Target="https://www.immoscout24.ch/fr/maison/louer/canton-argovie" TargetMode="External"/><Relationship Id="rId7032" Type="http://schemas.openxmlformats.org/officeDocument/2006/relationships/hyperlink" Target="https://www.immoscout24.ch/fr/maison/acheter/region-oberland-ouest" TargetMode="External"/><Relationship Id="rId8363" Type="http://schemas.openxmlformats.org/officeDocument/2006/relationships/hyperlink" Target="https://www.immoscout24.ch/fr/maison/acheter/lieu-arveyes" TargetMode="External"/><Relationship Id="rId9691" Type="http://schemas.openxmlformats.org/officeDocument/2006/relationships/hyperlink" Target="https://www.immoscout24.ch/fr/maison/acheter/lieu-tramelan" TargetMode="External"/><Relationship Id="rId7031" Type="http://schemas.openxmlformats.org/officeDocument/2006/relationships/hyperlink" Target="https://www.immoscout24.ch/fr/maison/acheter/region-oberland-ouest" TargetMode="External"/><Relationship Id="rId8362" Type="http://schemas.openxmlformats.org/officeDocument/2006/relationships/hyperlink" Target="https://www.immoscout24.ch/fr/maison/acheter/lieu-maules" TargetMode="External"/><Relationship Id="rId9692" Type="http://schemas.openxmlformats.org/officeDocument/2006/relationships/hyperlink" Target="https://www.immoscout24.ch/fr/maison/acheter/lieu-tramelan" TargetMode="External"/><Relationship Id="rId7038" Type="http://schemas.openxmlformats.org/officeDocument/2006/relationships/hyperlink" Target="https://www.immoscout24.ch/fr/appartement/acheter/lieu-luins" TargetMode="External"/><Relationship Id="rId8369" Type="http://schemas.openxmlformats.org/officeDocument/2006/relationships/hyperlink" Target="https://www.immoscout24.ch/fr/maison/louer/lieu-monte-carasso" TargetMode="External"/><Relationship Id="rId7037" Type="http://schemas.openxmlformats.org/officeDocument/2006/relationships/hyperlink" Target="https://www.immoscout24.ch/fr/appartement/acheter/lieu-luins" TargetMode="External"/><Relationship Id="rId8368" Type="http://schemas.openxmlformats.org/officeDocument/2006/relationships/hyperlink" Target="https://www.immoscout24.ch/fr/maison/louer/lieu-rossiniere" TargetMode="External"/><Relationship Id="rId7036" Type="http://schemas.openxmlformats.org/officeDocument/2006/relationships/hyperlink" Target="https://www.immoscout24.ch/fr/appartement/louer/lieu-chavannes-des-bois" TargetMode="External"/><Relationship Id="rId8367" Type="http://schemas.openxmlformats.org/officeDocument/2006/relationships/hyperlink" Target="https://www.immoscout24.ch/fr/maison/louer/lieu-rossiniere" TargetMode="External"/><Relationship Id="rId7035" Type="http://schemas.openxmlformats.org/officeDocument/2006/relationships/hyperlink" Target="https://www.immoscout24.ch/fr/appartement/louer/lieu-chavannes-des-bois" TargetMode="External"/><Relationship Id="rId8366" Type="http://schemas.openxmlformats.org/officeDocument/2006/relationships/hyperlink" Target="https://www.immoscout24.ch/fr/appartement/acheter/lieu-salavaux" TargetMode="External"/><Relationship Id="rId9697" Type="http://schemas.openxmlformats.org/officeDocument/2006/relationships/hyperlink" Target="https://www.immoscout24.ch/fr/appartement/louer/lieu-vers-l-eglise" TargetMode="External"/><Relationship Id="rId9698" Type="http://schemas.openxmlformats.org/officeDocument/2006/relationships/hyperlink" Target="https://www.immoscout24.ch/fr/appartement/louer/lieu-vers-l-eglise" TargetMode="External"/><Relationship Id="rId9699" Type="http://schemas.openxmlformats.org/officeDocument/2006/relationships/hyperlink" Target="https://www.immoscout24.ch/fr/maison/acheter/lieu-orzens" TargetMode="External"/><Relationship Id="rId7039" Type="http://schemas.openxmlformats.org/officeDocument/2006/relationships/hyperlink" Target="https://www.immoscout24.ch/fr/appartement/louer/lieu-gossens" TargetMode="External"/><Relationship Id="rId8350" Type="http://schemas.openxmlformats.org/officeDocument/2006/relationships/hyperlink" Target="https://www.immoscout24.ch/fr/appartement/louer/lieu-thoerishaus" TargetMode="External"/><Relationship Id="rId9682" Type="http://schemas.openxmlformats.org/officeDocument/2006/relationships/hyperlink" Target="https://www.immoscout24.ch/fr/appartement/louer/lieu-adliswil" TargetMode="External"/><Relationship Id="rId9683" Type="http://schemas.openxmlformats.org/officeDocument/2006/relationships/hyperlink" Target="https://www.immoscout24.ch/fr/appartement/acheter/lieu-leuk-stadt" TargetMode="External"/><Relationship Id="rId9684" Type="http://schemas.openxmlformats.org/officeDocument/2006/relationships/hyperlink" Target="https://www.immoscout24.ch/fr/appartement/acheter/lieu-leuk-stadt" TargetMode="External"/><Relationship Id="rId9685" Type="http://schemas.openxmlformats.org/officeDocument/2006/relationships/hyperlink" Target="https://www.immoscout24.ch/fr/appartement/louer/lieu-zaeziwil" TargetMode="External"/><Relationship Id="rId7023" Type="http://schemas.openxmlformats.org/officeDocument/2006/relationships/hyperlink" Target="https://www.immoscout24.ch/fr/appartement/louer/lieu-peyres-possens" TargetMode="External"/><Relationship Id="rId8354" Type="http://schemas.openxmlformats.org/officeDocument/2006/relationships/hyperlink" Target="https://www.immoscout24.ch/fr/maison/acheter/lieu-les-mayens-de-sion" TargetMode="External"/><Relationship Id="rId7022" Type="http://schemas.openxmlformats.org/officeDocument/2006/relationships/hyperlink" Target="https://www.immoscout24.ch/fr/appartement/louer/lieu-chavannes-pres-renens" TargetMode="External"/><Relationship Id="rId8353" Type="http://schemas.openxmlformats.org/officeDocument/2006/relationships/hyperlink" Target="https://www.immoscout24.ch/fr/maison/acheter/lieu-les-mayens-de-sion" TargetMode="External"/><Relationship Id="rId7021" Type="http://schemas.openxmlformats.org/officeDocument/2006/relationships/hyperlink" Target="https://www.immoscout24.ch/fr/appartement/louer/lieu-chavannes-pres-renens" TargetMode="External"/><Relationship Id="rId8352" Type="http://schemas.openxmlformats.org/officeDocument/2006/relationships/hyperlink" Target="https://www.immoscout24.ch/fr/appartement/louer/lieu-huenibach" TargetMode="External"/><Relationship Id="rId9680" Type="http://schemas.openxmlformats.org/officeDocument/2006/relationships/hyperlink" Target="https://www.immoscout24.ch/fr/appartement/louer/lieu-birsfelden" TargetMode="External"/><Relationship Id="rId7020" Type="http://schemas.openxmlformats.org/officeDocument/2006/relationships/hyperlink" Target="https://www.immoscout24.ch/fr/appartement/acheter/lieu-marchissy" TargetMode="External"/><Relationship Id="rId8351" Type="http://schemas.openxmlformats.org/officeDocument/2006/relationships/hyperlink" Target="https://www.immoscout24.ch/fr/appartement/louer/lieu-huenibach" TargetMode="External"/><Relationship Id="rId9681" Type="http://schemas.openxmlformats.org/officeDocument/2006/relationships/hyperlink" Target="https://www.immoscout24.ch/fr/appartement/louer/lieu-adliswil" TargetMode="External"/><Relationship Id="rId7027" Type="http://schemas.openxmlformats.org/officeDocument/2006/relationships/hyperlink" Target="https://www.immoscout24.ch/fr/maison/acheter/quartier-altstadt-coire" TargetMode="External"/><Relationship Id="rId8358" Type="http://schemas.openxmlformats.org/officeDocument/2006/relationships/hyperlink" Target="https://www.immoscout24.ch/fr/appartement/acheter/lieu-mies" TargetMode="External"/><Relationship Id="rId7026" Type="http://schemas.openxmlformats.org/officeDocument/2006/relationships/hyperlink" Target="https://www.immoscout24.ch/fr/maison/acheter/lieu-oberdorf-so" TargetMode="External"/><Relationship Id="rId8357" Type="http://schemas.openxmlformats.org/officeDocument/2006/relationships/hyperlink" Target="https://www.immoscout24.ch/fr/appartement/acheter/lieu-mies" TargetMode="External"/><Relationship Id="rId7025" Type="http://schemas.openxmlformats.org/officeDocument/2006/relationships/hyperlink" Target="https://www.immoscout24.ch/fr/maison/acheter/lieu-oberdorf-so" TargetMode="External"/><Relationship Id="rId8356" Type="http://schemas.openxmlformats.org/officeDocument/2006/relationships/hyperlink" Target="https://www.immoscout24.ch/fr/maison/acheter/lieu-port" TargetMode="External"/><Relationship Id="rId7024" Type="http://schemas.openxmlformats.org/officeDocument/2006/relationships/hyperlink" Target="https://www.immoscout24.ch/fr/appartement/louer/lieu-peyres-possens" TargetMode="External"/><Relationship Id="rId8355" Type="http://schemas.openxmlformats.org/officeDocument/2006/relationships/hyperlink" Target="https://www.immoscout24.ch/fr/maison/acheter/lieu-port" TargetMode="External"/><Relationship Id="rId9686" Type="http://schemas.openxmlformats.org/officeDocument/2006/relationships/hyperlink" Target="https://www.immoscout24.ch/fr/appartement/louer/lieu-zaeziwil" TargetMode="External"/><Relationship Id="rId9687" Type="http://schemas.openxmlformats.org/officeDocument/2006/relationships/hyperlink" Target="https://www.immoscout24.ch/fr/appartement/acheter/lieu-bremblens" TargetMode="External"/><Relationship Id="rId7029" Type="http://schemas.openxmlformats.org/officeDocument/2006/relationships/hyperlink" Target="https://www.immoscout24.ch/fr/appartement/louer/lieu-croy" TargetMode="External"/><Relationship Id="rId9688" Type="http://schemas.openxmlformats.org/officeDocument/2006/relationships/hyperlink" Target="https://www.immoscout24.ch/fr/appartement/acheter/lieu-bremblens" TargetMode="External"/><Relationship Id="rId7028" Type="http://schemas.openxmlformats.org/officeDocument/2006/relationships/hyperlink" Target="https://www.immoscout24.ch/fr/maison/acheter/quartier-altstadt-coire" TargetMode="External"/><Relationship Id="rId8359" Type="http://schemas.openxmlformats.org/officeDocument/2006/relationships/hyperlink" Target="https://www.immoscout24.ch/fr/maison/acheter/lieu-la-vue-des-alpes" TargetMode="External"/><Relationship Id="rId9689" Type="http://schemas.openxmlformats.org/officeDocument/2006/relationships/hyperlink" Target="https://www.immoscout24.ch/fr/maison/louer/canton-argovie" TargetMode="External"/><Relationship Id="rId8390" Type="http://schemas.openxmlformats.org/officeDocument/2006/relationships/hyperlink" Target="https://www.immoscout24.ch/fr/maison/acheter/lieu-seelisberg" TargetMode="External"/><Relationship Id="rId7052" Type="http://schemas.openxmlformats.org/officeDocument/2006/relationships/hyperlink" Target="https://www.immoscout24.ch/fr/maison/acheter/lieu-ablaendschen" TargetMode="External"/><Relationship Id="rId8383" Type="http://schemas.openxmlformats.org/officeDocument/2006/relationships/hyperlink" Target="https://www.immoscout24.ch/fr/appartement/louer/lieu-eclagnens" TargetMode="External"/><Relationship Id="rId7051" Type="http://schemas.openxmlformats.org/officeDocument/2006/relationships/hyperlink" Target="https://www.immoscout24.ch/fr/maison/acheter/lieu-ablaendschen" TargetMode="External"/><Relationship Id="rId8382" Type="http://schemas.openxmlformats.org/officeDocument/2006/relationships/hyperlink" Target="https://www.immoscout24.ch/fr/maison/acheter/lieu-astano" TargetMode="External"/><Relationship Id="rId7050" Type="http://schemas.openxmlformats.org/officeDocument/2006/relationships/hyperlink" Target="https://www.immoscout24.ch/fr/appartement/louer/lieu-villarbeney" TargetMode="External"/><Relationship Id="rId8381" Type="http://schemas.openxmlformats.org/officeDocument/2006/relationships/hyperlink" Target="https://www.immoscout24.ch/fr/maison/acheter/lieu-astano" TargetMode="External"/><Relationship Id="rId8380" Type="http://schemas.openxmlformats.org/officeDocument/2006/relationships/hyperlink" Target="https://www.immoscout24.ch/fr/appartement/louer/lieu-penthereaz" TargetMode="External"/><Relationship Id="rId7056" Type="http://schemas.openxmlformats.org/officeDocument/2006/relationships/hyperlink" Target="https://www.immoscout24.ch/fr/maison/acheter/lieu-busswil-be" TargetMode="External"/><Relationship Id="rId8387" Type="http://schemas.openxmlformats.org/officeDocument/2006/relationships/hyperlink" Target="https://www.immoscout24.ch/fr/maison/acheter/lieu-nidau" TargetMode="External"/><Relationship Id="rId7055" Type="http://schemas.openxmlformats.org/officeDocument/2006/relationships/hyperlink" Target="https://www.immoscout24.ch/fr/maison/acheter/lieu-busswil-be" TargetMode="External"/><Relationship Id="rId8386" Type="http://schemas.openxmlformats.org/officeDocument/2006/relationships/hyperlink" Target="https://www.immoscout24.ch/fr/maison/acheter/lieu-grandevent" TargetMode="External"/><Relationship Id="rId7054" Type="http://schemas.openxmlformats.org/officeDocument/2006/relationships/hyperlink" Target="https://www.immoscout24.ch/fr/appartement/louer/lieu-steinhausen" TargetMode="External"/><Relationship Id="rId8385" Type="http://schemas.openxmlformats.org/officeDocument/2006/relationships/hyperlink" Target="https://www.immoscout24.ch/fr/maison/acheter/lieu-grandevent" TargetMode="External"/><Relationship Id="rId7053" Type="http://schemas.openxmlformats.org/officeDocument/2006/relationships/hyperlink" Target="https://www.immoscout24.ch/fr/appartement/louer/lieu-steinhausen" TargetMode="External"/><Relationship Id="rId8384" Type="http://schemas.openxmlformats.org/officeDocument/2006/relationships/hyperlink" Target="https://www.immoscout24.ch/fr/appartement/louer/lieu-eclagnens" TargetMode="External"/><Relationship Id="rId7059" Type="http://schemas.openxmlformats.org/officeDocument/2006/relationships/hyperlink" Target="https://www.immoscout24.ch/fr/appartement/louer/quartier-delices-grottes-geneve" TargetMode="External"/><Relationship Id="rId7058" Type="http://schemas.openxmlformats.org/officeDocument/2006/relationships/hyperlink" Target="https://www.immoscout24.ch/fr/appartement/louer/lieu-volleges" TargetMode="External"/><Relationship Id="rId8389" Type="http://schemas.openxmlformats.org/officeDocument/2006/relationships/hyperlink" Target="https://www.immoscout24.ch/fr/maison/acheter/lieu-seelisberg" TargetMode="External"/><Relationship Id="rId7057" Type="http://schemas.openxmlformats.org/officeDocument/2006/relationships/hyperlink" Target="https://www.immoscout24.ch/fr/appartement/louer/lieu-volleges" TargetMode="External"/><Relationship Id="rId8388" Type="http://schemas.openxmlformats.org/officeDocument/2006/relationships/hyperlink" Target="https://www.immoscout24.ch/fr/maison/acheter/lieu-nidau" TargetMode="External"/><Relationship Id="rId7041" Type="http://schemas.openxmlformats.org/officeDocument/2006/relationships/hyperlink" Target="https://www.immoscout24.ch/fr/appartement/louer/lieu-recherswil" TargetMode="External"/><Relationship Id="rId8372" Type="http://schemas.openxmlformats.org/officeDocument/2006/relationships/hyperlink" Target="https://www.immoscout24.ch/fr/maison/acheter/lieu-dugny-leytron" TargetMode="External"/><Relationship Id="rId7040" Type="http://schemas.openxmlformats.org/officeDocument/2006/relationships/hyperlink" Target="https://www.immoscout24.ch/fr/appartement/louer/lieu-gossens" TargetMode="External"/><Relationship Id="rId8371" Type="http://schemas.openxmlformats.org/officeDocument/2006/relationships/hyperlink" Target="https://www.immoscout24.ch/fr/maison/acheter/lieu-dugny-leytron" TargetMode="External"/><Relationship Id="rId8370" Type="http://schemas.openxmlformats.org/officeDocument/2006/relationships/hyperlink" Target="https://www.immoscout24.ch/fr/maison/louer/lieu-monte-carasso" TargetMode="External"/><Relationship Id="rId7045" Type="http://schemas.openxmlformats.org/officeDocument/2006/relationships/hyperlink" Target="https://www.immoscout24.ch/fr/appartement/louer/lieu-st-martin-fr" TargetMode="External"/><Relationship Id="rId8376" Type="http://schemas.openxmlformats.org/officeDocument/2006/relationships/hyperlink" Target="https://www.immoscout24.ch/fr/maison/acheter/lieu-carabbia" TargetMode="External"/><Relationship Id="rId7044" Type="http://schemas.openxmlformats.org/officeDocument/2006/relationships/hyperlink" Target="https://www.immoscout24.ch/fr/maison/louer/lieu-verbier" TargetMode="External"/><Relationship Id="rId8375" Type="http://schemas.openxmlformats.org/officeDocument/2006/relationships/hyperlink" Target="https://www.immoscout24.ch/fr/maison/acheter/lieu-carabbia" TargetMode="External"/><Relationship Id="rId7043" Type="http://schemas.openxmlformats.org/officeDocument/2006/relationships/hyperlink" Target="https://www.immoscout24.ch/fr/maison/louer/lieu-verbier" TargetMode="External"/><Relationship Id="rId8374" Type="http://schemas.openxmlformats.org/officeDocument/2006/relationships/hyperlink" Target="https://www.immoscout24.ch/fr/appartement/louer/lieu-langenthal" TargetMode="External"/><Relationship Id="rId7042" Type="http://schemas.openxmlformats.org/officeDocument/2006/relationships/hyperlink" Target="https://www.immoscout24.ch/fr/appartement/louer/lieu-recherswil" TargetMode="External"/><Relationship Id="rId8373" Type="http://schemas.openxmlformats.org/officeDocument/2006/relationships/hyperlink" Target="https://www.immoscout24.ch/fr/appartement/louer/lieu-langenthal" TargetMode="External"/><Relationship Id="rId7049" Type="http://schemas.openxmlformats.org/officeDocument/2006/relationships/hyperlink" Target="https://www.immoscout24.ch/fr/appartement/louer/lieu-villarbeney" TargetMode="External"/><Relationship Id="rId7048" Type="http://schemas.openxmlformats.org/officeDocument/2006/relationships/hyperlink" Target="https://www.immoscout24.ch/fr/maison/acheter/lieu-le-mont-pelerin" TargetMode="External"/><Relationship Id="rId8379" Type="http://schemas.openxmlformats.org/officeDocument/2006/relationships/hyperlink" Target="https://www.immoscout24.ch/fr/appartement/louer/lieu-penthereaz" TargetMode="External"/><Relationship Id="rId7047" Type="http://schemas.openxmlformats.org/officeDocument/2006/relationships/hyperlink" Target="https://www.immoscout24.ch/fr/maison/acheter/lieu-le-mont-pelerin" TargetMode="External"/><Relationship Id="rId8378" Type="http://schemas.openxmlformats.org/officeDocument/2006/relationships/hyperlink" Target="https://www.immoscout24.ch/fr/appartement/louer/lieu-courtepin" TargetMode="External"/><Relationship Id="rId7046" Type="http://schemas.openxmlformats.org/officeDocument/2006/relationships/hyperlink" Target="https://www.immoscout24.ch/fr/appartement/louer/lieu-st-martin-fr" TargetMode="External"/><Relationship Id="rId8377" Type="http://schemas.openxmlformats.org/officeDocument/2006/relationships/hyperlink" Target="https://www.immoscout24.ch/fr/appartement/louer/lieu-courtepin" TargetMode="External"/><Relationship Id="rId9650" Type="http://schemas.openxmlformats.org/officeDocument/2006/relationships/hyperlink" Target="https://www.immoscout24.ch/fr/appartement/louer/lieu-athenaz-avusy" TargetMode="External"/><Relationship Id="rId9651" Type="http://schemas.openxmlformats.org/officeDocument/2006/relationships/hyperlink" Target="https://www.immoscout24.ch/fr/appartement/acheter/quartier-pregassona-lugano" TargetMode="External"/><Relationship Id="rId9652" Type="http://schemas.openxmlformats.org/officeDocument/2006/relationships/hyperlink" Target="https://www.immoscout24.ch/fr/appartement/acheter/quartier-pregassona-lugano" TargetMode="External"/><Relationship Id="rId8321" Type="http://schemas.openxmlformats.org/officeDocument/2006/relationships/hyperlink" Target="https://www.immoscout24.ch/fr/appartement/louer/lieu-gampelen" TargetMode="External"/><Relationship Id="rId8320" Type="http://schemas.openxmlformats.org/officeDocument/2006/relationships/hyperlink" Target="https://www.immoscout24.ch/fr/maison/louer/lieu-le-mouret" TargetMode="External"/><Relationship Id="rId8325" Type="http://schemas.openxmlformats.org/officeDocument/2006/relationships/hyperlink" Target="https://www.immoscout24.ch/fr/maison/acheter/lieu-cureglia" TargetMode="External"/><Relationship Id="rId9657" Type="http://schemas.openxmlformats.org/officeDocument/2006/relationships/hyperlink" Target="https://www.immoscout24.ch/fr/maison/acheter/lieu-bouveret" TargetMode="External"/><Relationship Id="rId8324" Type="http://schemas.openxmlformats.org/officeDocument/2006/relationships/hyperlink" Target="https://www.immoscout24.ch/fr/appartement/acheter/lieu-pfaeffikon-sz" TargetMode="External"/><Relationship Id="rId9658" Type="http://schemas.openxmlformats.org/officeDocument/2006/relationships/hyperlink" Target="https://www.immoscout24.ch/fr/maison/acheter/lieu-bouveret" TargetMode="External"/><Relationship Id="rId8323" Type="http://schemas.openxmlformats.org/officeDocument/2006/relationships/hyperlink" Target="https://www.immoscout24.ch/fr/appartement/acheter/lieu-pfaeffikon-sz" TargetMode="External"/><Relationship Id="rId9659" Type="http://schemas.openxmlformats.org/officeDocument/2006/relationships/hyperlink" Target="https://www.immoscout24.ch/fr/maison/acheter/lieu-coeuve" TargetMode="External"/><Relationship Id="rId8322" Type="http://schemas.openxmlformats.org/officeDocument/2006/relationships/hyperlink" Target="https://www.immoscout24.ch/fr/appartement/louer/lieu-gampelen" TargetMode="External"/><Relationship Id="rId8329" Type="http://schemas.openxmlformats.org/officeDocument/2006/relationships/hyperlink" Target="https://www.immoscout24.ch/fr/maison/acheter/lieu-buttes" TargetMode="External"/><Relationship Id="rId9653" Type="http://schemas.openxmlformats.org/officeDocument/2006/relationships/hyperlink" Target="https://www.immoscout24.ch/fr/appartement/louer/lieu-st-niklaus-vs" TargetMode="External"/><Relationship Id="rId8328" Type="http://schemas.openxmlformats.org/officeDocument/2006/relationships/hyperlink" Target="https://www.immoscout24.ch/fr/maison/acheter/lieu-laconnex" TargetMode="External"/><Relationship Id="rId9654" Type="http://schemas.openxmlformats.org/officeDocument/2006/relationships/hyperlink" Target="https://www.immoscout24.ch/fr/appartement/louer/lieu-st-niklaus-vs" TargetMode="External"/><Relationship Id="rId8327" Type="http://schemas.openxmlformats.org/officeDocument/2006/relationships/hyperlink" Target="https://www.immoscout24.ch/fr/maison/acheter/lieu-laconnex" TargetMode="External"/><Relationship Id="rId9655" Type="http://schemas.openxmlformats.org/officeDocument/2006/relationships/hyperlink" Target="https://www.immoscout24.ch/fr/appartement/louer/lieu-bussnang" TargetMode="External"/><Relationship Id="rId8326" Type="http://schemas.openxmlformats.org/officeDocument/2006/relationships/hyperlink" Target="https://www.immoscout24.ch/fr/maison/acheter/lieu-cureglia" TargetMode="External"/><Relationship Id="rId9656" Type="http://schemas.openxmlformats.org/officeDocument/2006/relationships/hyperlink" Target="https://www.immoscout24.ch/fr/appartement/louer/lieu-bussnang" TargetMode="External"/><Relationship Id="rId8319" Type="http://schemas.openxmlformats.org/officeDocument/2006/relationships/hyperlink" Target="https://www.immoscout24.ch/fr/maison/louer/lieu-le-mouret" TargetMode="External"/><Relationship Id="rId9640" Type="http://schemas.openxmlformats.org/officeDocument/2006/relationships/hyperlink" Target="https://www.immoscout24.ch/fr/maison/louer/pays-algerie" TargetMode="External"/><Relationship Id="rId9641" Type="http://schemas.openxmlformats.org/officeDocument/2006/relationships/hyperlink" Target="https://www.immoscout24.ch/fr/appartement/acheter/region-jura-bernois" TargetMode="External"/><Relationship Id="rId8310" Type="http://schemas.openxmlformats.org/officeDocument/2006/relationships/hyperlink" Target="https://www.immoscout24.ch/fr/appartement/acheter/lieu-epagny" TargetMode="External"/><Relationship Id="rId8314" Type="http://schemas.openxmlformats.org/officeDocument/2006/relationships/hyperlink" Target="https://www.immoscout24.ch/fr/maison/acheter/lieu-schaffhausen" TargetMode="External"/><Relationship Id="rId9646" Type="http://schemas.openxmlformats.org/officeDocument/2006/relationships/hyperlink" Target="https://www.immoscout24.ch/fr/appartement/acheter/region-glarnerland" TargetMode="External"/><Relationship Id="rId8313" Type="http://schemas.openxmlformats.org/officeDocument/2006/relationships/hyperlink" Target="https://www.immoscout24.ch/fr/maison/acheter/lieu-schaffhausen" TargetMode="External"/><Relationship Id="rId9647" Type="http://schemas.openxmlformats.org/officeDocument/2006/relationships/hyperlink" Target="https://www.immoscout24.ch/fr/appartement/acheter/lieu-meyrin" TargetMode="External"/><Relationship Id="rId8312" Type="http://schemas.openxmlformats.org/officeDocument/2006/relationships/hyperlink" Target="https://www.immoscout24.ch/fr/maison/acheter/lieu-epauvillers" TargetMode="External"/><Relationship Id="rId9648" Type="http://schemas.openxmlformats.org/officeDocument/2006/relationships/hyperlink" Target="https://www.immoscout24.ch/fr/appartement/acheter/lieu-meyrin" TargetMode="External"/><Relationship Id="rId8311" Type="http://schemas.openxmlformats.org/officeDocument/2006/relationships/hyperlink" Target="https://www.immoscout24.ch/fr/maison/acheter/lieu-epauvillers" TargetMode="External"/><Relationship Id="rId9649" Type="http://schemas.openxmlformats.org/officeDocument/2006/relationships/hyperlink" Target="https://www.immoscout24.ch/fr/appartement/louer/lieu-athenaz-avusy" TargetMode="External"/><Relationship Id="rId8318" Type="http://schemas.openxmlformats.org/officeDocument/2006/relationships/hyperlink" Target="https://www.immoscout24.ch/fr/appartement/louer/lieu-andermatt" TargetMode="External"/><Relationship Id="rId9642" Type="http://schemas.openxmlformats.org/officeDocument/2006/relationships/hyperlink" Target="https://www.immoscout24.ch/fr/appartement/acheter/region-jura-bernois" TargetMode="External"/><Relationship Id="rId8317" Type="http://schemas.openxmlformats.org/officeDocument/2006/relationships/hyperlink" Target="https://www.immoscout24.ch/fr/appartement/louer/lieu-andermatt" TargetMode="External"/><Relationship Id="rId9643" Type="http://schemas.openxmlformats.org/officeDocument/2006/relationships/hyperlink" Target="https://www.immoscout24.ch/fr/maison/acheter/lieu-vuisternens-devant-romont" TargetMode="External"/><Relationship Id="rId8316" Type="http://schemas.openxmlformats.org/officeDocument/2006/relationships/hyperlink" Target="https://www.immoscout24.ch/fr/maison/louer/lieu-la-cure" TargetMode="External"/><Relationship Id="rId9644" Type="http://schemas.openxmlformats.org/officeDocument/2006/relationships/hyperlink" Target="https://www.immoscout24.ch/fr/maison/acheter/lieu-vuisternens-devant-romont" TargetMode="External"/><Relationship Id="rId8315" Type="http://schemas.openxmlformats.org/officeDocument/2006/relationships/hyperlink" Target="https://www.immoscout24.ch/fr/maison/louer/lieu-la-cure" TargetMode="External"/><Relationship Id="rId9645" Type="http://schemas.openxmlformats.org/officeDocument/2006/relationships/hyperlink" Target="https://www.immoscout24.ch/fr/appartement/acheter/region-glarnerland" TargetMode="External"/><Relationship Id="rId9671" Type="http://schemas.openxmlformats.org/officeDocument/2006/relationships/hyperlink" Target="https://www.immoscout24.ch/fr/appartement/louer/lieu-schnottwil" TargetMode="External"/><Relationship Id="rId9672" Type="http://schemas.openxmlformats.org/officeDocument/2006/relationships/hyperlink" Target="https://www.immoscout24.ch/fr/appartement/louer/lieu-schnottwil" TargetMode="External"/><Relationship Id="rId9673" Type="http://schemas.openxmlformats.org/officeDocument/2006/relationships/hyperlink" Target="https://www.immoscout24.ch/fr/appartement/louer/quartier-gruenes-quartier-berne" TargetMode="External"/><Relationship Id="rId9674" Type="http://schemas.openxmlformats.org/officeDocument/2006/relationships/hyperlink" Target="https://www.immoscout24.ch/fr/appartement/louer/quartier-gruenes-quartier-berne" TargetMode="External"/><Relationship Id="rId7012" Type="http://schemas.openxmlformats.org/officeDocument/2006/relationships/hyperlink" Target="https://www.immoscout24.ch/fr/maison/louer/lieu-villars-le-grand" TargetMode="External"/><Relationship Id="rId8343" Type="http://schemas.openxmlformats.org/officeDocument/2006/relationships/hyperlink" Target="https://www.immoscout24.ch/fr/appartement/louer/lieu-rivaz" TargetMode="External"/><Relationship Id="rId7011" Type="http://schemas.openxmlformats.org/officeDocument/2006/relationships/hyperlink" Target="https://www.immoscout24.ch/fr/maison/louer/lieu-villars-le-grand" TargetMode="External"/><Relationship Id="rId8342" Type="http://schemas.openxmlformats.org/officeDocument/2006/relationships/hyperlink" Target="https://www.immoscout24.ch/fr/maison/acheter/lieu-les-geneveys-sur-coffrane" TargetMode="External"/><Relationship Id="rId7010" Type="http://schemas.openxmlformats.org/officeDocument/2006/relationships/hyperlink" Target="https://www.immoscout24.ch/fr/maison/acheter/lieu-salorino" TargetMode="External"/><Relationship Id="rId8341" Type="http://schemas.openxmlformats.org/officeDocument/2006/relationships/hyperlink" Target="https://www.immoscout24.ch/fr/maison/acheter/lieu-les-geneveys-sur-coffrane" TargetMode="External"/><Relationship Id="rId8340" Type="http://schemas.openxmlformats.org/officeDocument/2006/relationships/hyperlink" Target="https://www.immoscout24.ch/fr/maison/acheter/lieu-bitsch" TargetMode="External"/><Relationship Id="rId9670" Type="http://schemas.openxmlformats.org/officeDocument/2006/relationships/hyperlink" Target="https://www.immoscout24.ch/fr/maison/louer/lieu-raron" TargetMode="External"/><Relationship Id="rId7016" Type="http://schemas.openxmlformats.org/officeDocument/2006/relationships/hyperlink" Target="https://www.immoscout24.ch/fr/maison/acheter/lieu-rheineck" TargetMode="External"/><Relationship Id="rId8347" Type="http://schemas.openxmlformats.org/officeDocument/2006/relationships/hyperlink" Target="https://www.immoscout24.ch/fr/maison/louer/lieu-finhaut" TargetMode="External"/><Relationship Id="rId9679" Type="http://schemas.openxmlformats.org/officeDocument/2006/relationships/hyperlink" Target="https://www.immoscout24.ch/fr/appartement/louer/lieu-birsfelden" TargetMode="External"/><Relationship Id="rId7015" Type="http://schemas.openxmlformats.org/officeDocument/2006/relationships/hyperlink" Target="https://www.immoscout24.ch/fr/maison/acheter/lieu-rheineck" TargetMode="External"/><Relationship Id="rId8346" Type="http://schemas.openxmlformats.org/officeDocument/2006/relationships/hyperlink" Target="https://www.immoscout24.ch/fr/appartement/louer/lieu-collonge-bellerive" TargetMode="External"/><Relationship Id="rId7014" Type="http://schemas.openxmlformats.org/officeDocument/2006/relationships/hyperlink" Target="https://www.immoscout24.ch/fr/maison/acheter/lieu-cimalmotto" TargetMode="External"/><Relationship Id="rId8345" Type="http://schemas.openxmlformats.org/officeDocument/2006/relationships/hyperlink" Target="https://www.immoscout24.ch/fr/appartement/louer/lieu-collonge-bellerive" TargetMode="External"/><Relationship Id="rId7013" Type="http://schemas.openxmlformats.org/officeDocument/2006/relationships/hyperlink" Target="https://www.immoscout24.ch/fr/maison/acheter/lieu-cimalmotto" TargetMode="External"/><Relationship Id="rId8344" Type="http://schemas.openxmlformats.org/officeDocument/2006/relationships/hyperlink" Target="https://www.immoscout24.ch/fr/appartement/louer/lieu-rivaz" TargetMode="External"/><Relationship Id="rId9675" Type="http://schemas.openxmlformats.org/officeDocument/2006/relationships/hyperlink" Target="https://www.immoscout24.ch/fr/appartement/acheter/lieu-veyras" TargetMode="External"/><Relationship Id="rId7019" Type="http://schemas.openxmlformats.org/officeDocument/2006/relationships/hyperlink" Target="https://www.immoscout24.ch/fr/appartement/acheter/lieu-marchissy" TargetMode="External"/><Relationship Id="rId9676" Type="http://schemas.openxmlformats.org/officeDocument/2006/relationships/hyperlink" Target="https://www.immoscout24.ch/fr/appartement/acheter/lieu-veyras" TargetMode="External"/><Relationship Id="rId7018" Type="http://schemas.openxmlformats.org/officeDocument/2006/relationships/hyperlink" Target="https://www.immoscout24.ch/fr/maison/acheter/lieu-visp" TargetMode="External"/><Relationship Id="rId8349" Type="http://schemas.openxmlformats.org/officeDocument/2006/relationships/hyperlink" Target="https://www.immoscout24.ch/fr/appartement/louer/lieu-thoerishaus" TargetMode="External"/><Relationship Id="rId9677" Type="http://schemas.openxmlformats.org/officeDocument/2006/relationships/hyperlink" Target="https://www.immoscout24.ch/fr/appartement/acheter/lieu-grenchen" TargetMode="External"/><Relationship Id="rId7017" Type="http://schemas.openxmlformats.org/officeDocument/2006/relationships/hyperlink" Target="https://www.immoscout24.ch/fr/maison/acheter/lieu-visp" TargetMode="External"/><Relationship Id="rId8348" Type="http://schemas.openxmlformats.org/officeDocument/2006/relationships/hyperlink" Target="https://www.immoscout24.ch/fr/maison/louer/lieu-finhaut" TargetMode="External"/><Relationship Id="rId9678" Type="http://schemas.openxmlformats.org/officeDocument/2006/relationships/hyperlink" Target="https://www.immoscout24.ch/fr/appartement/acheter/lieu-grenchen" TargetMode="External"/><Relationship Id="rId9660" Type="http://schemas.openxmlformats.org/officeDocument/2006/relationships/hyperlink" Target="https://www.immoscout24.ch/fr/maison/acheter/lieu-coeuve" TargetMode="External"/><Relationship Id="rId9661" Type="http://schemas.openxmlformats.org/officeDocument/2006/relationships/hyperlink" Target="https://www.immoscout24.ch/fr/maison/acheter/lieu-grandson" TargetMode="External"/><Relationship Id="rId9662" Type="http://schemas.openxmlformats.org/officeDocument/2006/relationships/hyperlink" Target="https://www.immoscout24.ch/fr/maison/acheter/lieu-grandson" TargetMode="External"/><Relationship Id="rId9663" Type="http://schemas.openxmlformats.org/officeDocument/2006/relationships/hyperlink" Target="https://www.immoscout24.ch/fr/appartement/louer/region-rheintal-werdenberg" TargetMode="External"/><Relationship Id="rId7001" Type="http://schemas.openxmlformats.org/officeDocument/2006/relationships/hyperlink" Target="https://www.immoscout24.ch/fr/maison/louer/lieu-gorgier" TargetMode="External"/><Relationship Id="rId8332" Type="http://schemas.openxmlformats.org/officeDocument/2006/relationships/hyperlink" Target="https://www.immoscout24.ch/fr/maison/acheter/lieu-signy" TargetMode="External"/><Relationship Id="rId7000" Type="http://schemas.openxmlformats.org/officeDocument/2006/relationships/hyperlink" Target="https://www.immoscout24.ch/fr/appartement/louer/quartier-schosshalde-berne" TargetMode="External"/><Relationship Id="rId8331" Type="http://schemas.openxmlformats.org/officeDocument/2006/relationships/hyperlink" Target="https://www.immoscout24.ch/fr/maison/acheter/lieu-signy" TargetMode="External"/><Relationship Id="rId8330" Type="http://schemas.openxmlformats.org/officeDocument/2006/relationships/hyperlink" Target="https://www.immoscout24.ch/fr/maison/acheter/lieu-buttes" TargetMode="External"/><Relationship Id="rId7005" Type="http://schemas.openxmlformats.org/officeDocument/2006/relationships/hyperlink" Target="https://www.immoscout24.ch/fr/maison/acheter/lieu-ried-moerel" TargetMode="External"/><Relationship Id="rId8336" Type="http://schemas.openxmlformats.org/officeDocument/2006/relationships/hyperlink" Target="https://www.immoscout24.ch/fr/maison/louer/lieu-muraz-sierre" TargetMode="External"/><Relationship Id="rId9668" Type="http://schemas.openxmlformats.org/officeDocument/2006/relationships/hyperlink" Target="https://www.immoscout24.ch/fr/maison/louer/quartier-beundenfeld-berne" TargetMode="External"/><Relationship Id="rId7004" Type="http://schemas.openxmlformats.org/officeDocument/2006/relationships/hyperlink" Target="https://www.immoscout24.ch/fr/maison/louer/lieu-rolle" TargetMode="External"/><Relationship Id="rId8335" Type="http://schemas.openxmlformats.org/officeDocument/2006/relationships/hyperlink" Target="https://www.immoscout24.ch/fr/maison/louer/lieu-muraz-sierre" TargetMode="External"/><Relationship Id="rId9669" Type="http://schemas.openxmlformats.org/officeDocument/2006/relationships/hyperlink" Target="https://www.immoscout24.ch/fr/maison/louer/lieu-raron" TargetMode="External"/><Relationship Id="rId7003" Type="http://schemas.openxmlformats.org/officeDocument/2006/relationships/hyperlink" Target="https://www.immoscout24.ch/fr/maison/louer/lieu-rolle" TargetMode="External"/><Relationship Id="rId8334" Type="http://schemas.openxmlformats.org/officeDocument/2006/relationships/hyperlink" Target="https://www.immoscout24.ch/fr/appartement/louer/lieu-rovray" TargetMode="External"/><Relationship Id="rId7002" Type="http://schemas.openxmlformats.org/officeDocument/2006/relationships/hyperlink" Target="https://www.immoscout24.ch/fr/maison/louer/lieu-gorgier" TargetMode="External"/><Relationship Id="rId8333" Type="http://schemas.openxmlformats.org/officeDocument/2006/relationships/hyperlink" Target="https://www.immoscout24.ch/fr/appartement/louer/lieu-rovray" TargetMode="External"/><Relationship Id="rId7009" Type="http://schemas.openxmlformats.org/officeDocument/2006/relationships/hyperlink" Target="https://www.immoscout24.ch/fr/maison/acheter/lieu-salorino" TargetMode="External"/><Relationship Id="rId9664" Type="http://schemas.openxmlformats.org/officeDocument/2006/relationships/hyperlink" Target="https://www.immoscout24.ch/fr/appartement/louer/region-rheintal-werdenberg" TargetMode="External"/><Relationship Id="rId7008" Type="http://schemas.openxmlformats.org/officeDocument/2006/relationships/hyperlink" Target="https://www.immoscout24.ch/fr/appartement/acheter/lieu-arnex-sur-orbe" TargetMode="External"/><Relationship Id="rId8339" Type="http://schemas.openxmlformats.org/officeDocument/2006/relationships/hyperlink" Target="https://www.immoscout24.ch/fr/maison/acheter/lieu-bitsch" TargetMode="External"/><Relationship Id="rId9665" Type="http://schemas.openxmlformats.org/officeDocument/2006/relationships/hyperlink" Target="https://www.immoscout24.ch/fr/maison/acheter/lieu-veysonnaz" TargetMode="External"/><Relationship Id="rId7007" Type="http://schemas.openxmlformats.org/officeDocument/2006/relationships/hyperlink" Target="https://www.immoscout24.ch/fr/appartement/acheter/lieu-arnex-sur-orbe" TargetMode="External"/><Relationship Id="rId8338" Type="http://schemas.openxmlformats.org/officeDocument/2006/relationships/hyperlink" Target="https://www.immoscout24.ch/fr/maison/acheter/lieu-ranzo" TargetMode="External"/><Relationship Id="rId9666" Type="http://schemas.openxmlformats.org/officeDocument/2006/relationships/hyperlink" Target="https://www.immoscout24.ch/fr/maison/acheter/lieu-veysonnaz" TargetMode="External"/><Relationship Id="rId7006" Type="http://schemas.openxmlformats.org/officeDocument/2006/relationships/hyperlink" Target="https://www.immoscout24.ch/fr/maison/acheter/lieu-ried-moerel" TargetMode="External"/><Relationship Id="rId8337" Type="http://schemas.openxmlformats.org/officeDocument/2006/relationships/hyperlink" Target="https://www.immoscout24.ch/fr/maison/acheter/lieu-ranzo" TargetMode="External"/><Relationship Id="rId9667" Type="http://schemas.openxmlformats.org/officeDocument/2006/relationships/hyperlink" Target="https://www.immoscout24.ch/fr/maison/louer/quartier-beundenfeld-berne" TargetMode="External"/><Relationship Id="rId11271" Type="http://schemas.openxmlformats.org/officeDocument/2006/relationships/hyperlink" Target="https://www.immoscout24.ch/fr/maison/acheter/lieu-echandens" TargetMode="External"/><Relationship Id="rId11270" Type="http://schemas.openxmlformats.org/officeDocument/2006/relationships/hyperlink" Target="https://www.immoscout24.ch/fr/maison/acheter/lieu-stabio" TargetMode="External"/><Relationship Id="rId11269" Type="http://schemas.openxmlformats.org/officeDocument/2006/relationships/hyperlink" Target="https://www.immoscout24.ch/fr/maison/acheter/lieu-stabio" TargetMode="External"/><Relationship Id="rId11264" Type="http://schemas.openxmlformats.org/officeDocument/2006/relationships/hyperlink" Target="https://www.immoscout24.ch/fr/appartement/louer/lieu-chevenez" TargetMode="External"/><Relationship Id="rId11263" Type="http://schemas.openxmlformats.org/officeDocument/2006/relationships/hyperlink" Target="https://www.immoscout24.ch/fr/appartement/louer/lieu-chevenez" TargetMode="External"/><Relationship Id="rId11262" Type="http://schemas.openxmlformats.org/officeDocument/2006/relationships/hyperlink" Target="https://www.immoscout24.ch/fr/maison/acheter/lieu-origlio" TargetMode="External"/><Relationship Id="rId11261" Type="http://schemas.openxmlformats.org/officeDocument/2006/relationships/hyperlink" Target="https://www.immoscout24.ch/fr/maison/acheter/lieu-origlio" TargetMode="External"/><Relationship Id="rId11268" Type="http://schemas.openxmlformats.org/officeDocument/2006/relationships/hyperlink" Target="https://www.immoscout24.ch/fr/maison/louer/lieu-bouveret" TargetMode="External"/><Relationship Id="rId11267" Type="http://schemas.openxmlformats.org/officeDocument/2006/relationships/hyperlink" Target="https://www.immoscout24.ch/fr/maison/louer/lieu-bouveret" TargetMode="External"/><Relationship Id="rId11266" Type="http://schemas.openxmlformats.org/officeDocument/2006/relationships/hyperlink" Target="https://www.immoscout24.ch/fr/appartement/louer/lieu-lanzenhaeusern" TargetMode="External"/><Relationship Id="rId11265" Type="http://schemas.openxmlformats.org/officeDocument/2006/relationships/hyperlink" Target="https://www.immoscout24.ch/fr/appartement/louer/lieu-lanzenhaeusern" TargetMode="External"/><Relationship Id="rId11282" Type="http://schemas.openxmlformats.org/officeDocument/2006/relationships/hyperlink" Target="https://www.immoscout24.ch/fr/appartement/louer/lieu-blitzingen" TargetMode="External"/><Relationship Id="rId11281" Type="http://schemas.openxmlformats.org/officeDocument/2006/relationships/hyperlink" Target="https://www.immoscout24.ch/fr/appartement/louer/lieu-blitzingen" TargetMode="External"/><Relationship Id="rId11280" Type="http://schemas.openxmlformats.org/officeDocument/2006/relationships/hyperlink" Target="https://www.immoscout24.ch/fr/appartement/acheter/lieu-staefa" TargetMode="External"/><Relationship Id="rId11275" Type="http://schemas.openxmlformats.org/officeDocument/2006/relationships/hyperlink" Target="https://www.immoscout24.ch/fr/maison/acheter/lieu-saubraz" TargetMode="External"/><Relationship Id="rId11274" Type="http://schemas.openxmlformats.org/officeDocument/2006/relationships/hyperlink" Target="https://www.immoscout24.ch/fr/maison/louer/quartier-bruggen-st-gall" TargetMode="External"/><Relationship Id="rId11273" Type="http://schemas.openxmlformats.org/officeDocument/2006/relationships/hyperlink" Target="https://www.immoscout24.ch/fr/maison/louer/quartier-bruggen-st-gall" TargetMode="External"/><Relationship Id="rId11272" Type="http://schemas.openxmlformats.org/officeDocument/2006/relationships/hyperlink" Target="https://www.immoscout24.ch/fr/maison/acheter/lieu-echandens" TargetMode="External"/><Relationship Id="rId11279" Type="http://schemas.openxmlformats.org/officeDocument/2006/relationships/hyperlink" Target="https://www.immoscout24.ch/fr/appartement/acheter/lieu-staefa" TargetMode="External"/><Relationship Id="rId11278" Type="http://schemas.openxmlformats.org/officeDocument/2006/relationships/hyperlink" Target="https://www.immoscout24.ch/fr/appartement/louer/lieu-granges-paccot" TargetMode="External"/><Relationship Id="rId11277" Type="http://schemas.openxmlformats.org/officeDocument/2006/relationships/hyperlink" Target="https://www.immoscout24.ch/fr/appartement/louer/lieu-granges-paccot" TargetMode="External"/><Relationship Id="rId11276" Type="http://schemas.openxmlformats.org/officeDocument/2006/relationships/hyperlink" Target="https://www.immoscout24.ch/fr/maison/acheter/lieu-saubraz" TargetMode="External"/><Relationship Id="rId11249" Type="http://schemas.openxmlformats.org/officeDocument/2006/relationships/hyperlink" Target="https://www.immoscout24.ch/fr/appartement/louer/lieu-mies" TargetMode="External"/><Relationship Id="rId11248" Type="http://schemas.openxmlformats.org/officeDocument/2006/relationships/hyperlink" Target="https://www.immoscout24.ch/fr/appartement/louer/lieu-russy" TargetMode="External"/><Relationship Id="rId11247" Type="http://schemas.openxmlformats.org/officeDocument/2006/relationships/hyperlink" Target="https://www.immoscout24.ch/fr/appartement/louer/lieu-russy" TargetMode="External"/><Relationship Id="rId11242" Type="http://schemas.openxmlformats.org/officeDocument/2006/relationships/hyperlink" Target="https://www.immoscout24.ch/fr/appartement/acheter/lieu-piazzogna" TargetMode="External"/><Relationship Id="rId11241" Type="http://schemas.openxmlformats.org/officeDocument/2006/relationships/hyperlink" Target="https://www.immoscout24.ch/fr/appartement/acheter/lieu-piazzogna" TargetMode="External"/><Relationship Id="rId11240" Type="http://schemas.openxmlformats.org/officeDocument/2006/relationships/hyperlink" Target="https://www.immoscout24.ch/fr/maison/acheter/quartier-castagnola-lugano" TargetMode="External"/><Relationship Id="rId11246" Type="http://schemas.openxmlformats.org/officeDocument/2006/relationships/hyperlink" Target="https://www.immoscout24.ch/fr/appartement/acheter/lieu-lutry" TargetMode="External"/><Relationship Id="rId11245" Type="http://schemas.openxmlformats.org/officeDocument/2006/relationships/hyperlink" Target="https://www.immoscout24.ch/fr/appartement/acheter/lieu-lutry" TargetMode="External"/><Relationship Id="rId11244" Type="http://schemas.openxmlformats.org/officeDocument/2006/relationships/hyperlink" Target="https://www.immoscout24.ch/fr/appartement/acheter/lieu-concise" TargetMode="External"/><Relationship Id="rId11243" Type="http://schemas.openxmlformats.org/officeDocument/2006/relationships/hyperlink" Target="https://www.immoscout24.ch/fr/appartement/acheter/lieu-concise" TargetMode="External"/><Relationship Id="rId11260" Type="http://schemas.openxmlformats.org/officeDocument/2006/relationships/hyperlink" Target="https://www.immoscout24.ch/fr/appartement/acheter/lieu-muhen" TargetMode="External"/><Relationship Id="rId11259" Type="http://schemas.openxmlformats.org/officeDocument/2006/relationships/hyperlink" Target="https://www.immoscout24.ch/fr/appartement/acheter/lieu-muhen" TargetMode="External"/><Relationship Id="rId11258" Type="http://schemas.openxmlformats.org/officeDocument/2006/relationships/hyperlink" Target="https://www.immoscout24.ch/fr/appartement/louer/lieu-gempen" TargetMode="External"/><Relationship Id="rId11253" Type="http://schemas.openxmlformats.org/officeDocument/2006/relationships/hyperlink" Target="https://www.immoscout24.ch/fr/maison/acheter/lieu-diesse" TargetMode="External"/><Relationship Id="rId11252" Type="http://schemas.openxmlformats.org/officeDocument/2006/relationships/hyperlink" Target="https://www.immoscout24.ch/fr/maison/louer/pays-maroc" TargetMode="External"/><Relationship Id="rId11251" Type="http://schemas.openxmlformats.org/officeDocument/2006/relationships/hyperlink" Target="https://www.immoscout24.ch/fr/maison/louer/pays-maroc" TargetMode="External"/><Relationship Id="rId11250" Type="http://schemas.openxmlformats.org/officeDocument/2006/relationships/hyperlink" Target="https://www.immoscout24.ch/fr/appartement/louer/lieu-mies" TargetMode="External"/><Relationship Id="rId11257" Type="http://schemas.openxmlformats.org/officeDocument/2006/relationships/hyperlink" Target="https://www.immoscout24.ch/fr/appartement/louer/lieu-gempen" TargetMode="External"/><Relationship Id="rId11256" Type="http://schemas.openxmlformats.org/officeDocument/2006/relationships/hyperlink" Target="https://www.immoscout24.ch/fr/maison/louer/lieu-icogne" TargetMode="External"/><Relationship Id="rId11255" Type="http://schemas.openxmlformats.org/officeDocument/2006/relationships/hyperlink" Target="https://www.immoscout24.ch/fr/maison/louer/lieu-icogne" TargetMode="External"/><Relationship Id="rId11254" Type="http://schemas.openxmlformats.org/officeDocument/2006/relationships/hyperlink" Target="https://www.immoscout24.ch/fr/maison/acheter/lieu-diesse" TargetMode="External"/><Relationship Id="rId7081" Type="http://schemas.openxmlformats.org/officeDocument/2006/relationships/hyperlink" Target="https://www.immoscout24.ch/fr/appartement/louer/lieu-wengen" TargetMode="External"/><Relationship Id="rId7080" Type="http://schemas.openxmlformats.org/officeDocument/2006/relationships/hyperlink" Target="https://www.immoscout24.ch/fr/maison/acheter/lieu-olivone" TargetMode="External"/><Relationship Id="rId7074" Type="http://schemas.openxmlformats.org/officeDocument/2006/relationships/hyperlink" Target="https://www.immoscout24.ch/fr/appartement/louer/lieu-montsevelier" TargetMode="External"/><Relationship Id="rId7073" Type="http://schemas.openxmlformats.org/officeDocument/2006/relationships/hyperlink" Target="https://www.immoscout24.ch/fr/appartement/louer/lieu-montsevelier" TargetMode="External"/><Relationship Id="rId7072" Type="http://schemas.openxmlformats.org/officeDocument/2006/relationships/hyperlink" Target="https://www.immoscout24.ch/fr/appartement/louer/lieu-hosenruck" TargetMode="External"/><Relationship Id="rId7071" Type="http://schemas.openxmlformats.org/officeDocument/2006/relationships/hyperlink" Target="https://www.immoscout24.ch/fr/appartement/louer/lieu-hosenruck" TargetMode="External"/><Relationship Id="rId7078" Type="http://schemas.openxmlformats.org/officeDocument/2006/relationships/hyperlink" Target="https://www.immoscout24.ch/fr/appartement/louer/lieu-agra" TargetMode="External"/><Relationship Id="rId7077" Type="http://schemas.openxmlformats.org/officeDocument/2006/relationships/hyperlink" Target="https://www.immoscout24.ch/fr/appartement/louer/lieu-agra" TargetMode="External"/><Relationship Id="rId7076" Type="http://schemas.openxmlformats.org/officeDocument/2006/relationships/hyperlink" Target="https://www.immoscout24.ch/fr/appartement/louer/lieu-novaggio" TargetMode="External"/><Relationship Id="rId7075" Type="http://schemas.openxmlformats.org/officeDocument/2006/relationships/hyperlink" Target="https://www.immoscout24.ch/fr/appartement/louer/lieu-novaggio" TargetMode="External"/><Relationship Id="rId7079" Type="http://schemas.openxmlformats.org/officeDocument/2006/relationships/hyperlink" Target="https://www.immoscout24.ch/fr/maison/acheter/lieu-olivone" TargetMode="External"/><Relationship Id="rId7070" Type="http://schemas.openxmlformats.org/officeDocument/2006/relationships/hyperlink" Target="https://www.immoscout24.ch/fr/maison/acheter/lieu-andelfingen" TargetMode="External"/><Relationship Id="rId7063" Type="http://schemas.openxmlformats.org/officeDocument/2006/relationships/hyperlink" Target="https://www.immoscout24.ch/fr/appartement/louer/lieu-morgins" TargetMode="External"/><Relationship Id="rId8394" Type="http://schemas.openxmlformats.org/officeDocument/2006/relationships/hyperlink" Target="https://www.immoscout24.ch/fr/appartement/acheter/lieu-colombier-ne" TargetMode="External"/><Relationship Id="rId7062" Type="http://schemas.openxmlformats.org/officeDocument/2006/relationships/hyperlink" Target="https://www.immoscout24.ch/fr/maison/louer/lieu-ayer" TargetMode="External"/><Relationship Id="rId8393" Type="http://schemas.openxmlformats.org/officeDocument/2006/relationships/hyperlink" Target="https://www.immoscout24.ch/fr/appartement/acheter/lieu-colombier-ne" TargetMode="External"/><Relationship Id="rId7061" Type="http://schemas.openxmlformats.org/officeDocument/2006/relationships/hyperlink" Target="https://www.immoscout24.ch/fr/maison/louer/lieu-ayer" TargetMode="External"/><Relationship Id="rId8392" Type="http://schemas.openxmlformats.org/officeDocument/2006/relationships/hyperlink" Target="https://www.immoscout24.ch/fr/appartement/louer/lieu-corcelles-sur-chavornay" TargetMode="External"/><Relationship Id="rId7060" Type="http://schemas.openxmlformats.org/officeDocument/2006/relationships/hyperlink" Target="https://www.immoscout24.ch/fr/appartement/louer/quartier-delices-grottes-geneve" TargetMode="External"/><Relationship Id="rId8391" Type="http://schemas.openxmlformats.org/officeDocument/2006/relationships/hyperlink" Target="https://www.immoscout24.ch/fr/appartement/louer/lieu-corcelles-sur-chavornay" TargetMode="External"/><Relationship Id="rId7067" Type="http://schemas.openxmlformats.org/officeDocument/2006/relationships/hyperlink" Target="https://www.immoscout24.ch/fr/maison/acheter/lieu-bedigliora" TargetMode="External"/><Relationship Id="rId8398" Type="http://schemas.openxmlformats.org/officeDocument/2006/relationships/hyperlink" Target="https://www.immoscout24.ch/fr/maison/acheter/lieu-dicken" TargetMode="External"/><Relationship Id="rId7066" Type="http://schemas.openxmlformats.org/officeDocument/2006/relationships/hyperlink" Target="https://www.immoscout24.ch/fr/appartement/louer/lieu-mossel" TargetMode="External"/><Relationship Id="rId8397" Type="http://schemas.openxmlformats.org/officeDocument/2006/relationships/hyperlink" Target="https://www.immoscout24.ch/fr/maison/acheter/lieu-dicken" TargetMode="External"/><Relationship Id="rId7065" Type="http://schemas.openxmlformats.org/officeDocument/2006/relationships/hyperlink" Target="https://www.immoscout24.ch/fr/appartement/louer/lieu-mossel" TargetMode="External"/><Relationship Id="rId8396" Type="http://schemas.openxmlformats.org/officeDocument/2006/relationships/hyperlink" Target="https://www.immoscout24.ch/fr/appartement/louer/lieu-savagnier" TargetMode="External"/><Relationship Id="rId7064" Type="http://schemas.openxmlformats.org/officeDocument/2006/relationships/hyperlink" Target="https://www.immoscout24.ch/fr/appartement/louer/lieu-morgins" TargetMode="External"/><Relationship Id="rId8395" Type="http://schemas.openxmlformats.org/officeDocument/2006/relationships/hyperlink" Target="https://www.immoscout24.ch/fr/appartement/louer/lieu-savagnier" TargetMode="External"/><Relationship Id="rId7069" Type="http://schemas.openxmlformats.org/officeDocument/2006/relationships/hyperlink" Target="https://www.immoscout24.ch/fr/maison/acheter/lieu-andelfingen" TargetMode="External"/><Relationship Id="rId7068" Type="http://schemas.openxmlformats.org/officeDocument/2006/relationships/hyperlink" Target="https://www.immoscout24.ch/fr/maison/acheter/lieu-bedigliora" TargetMode="External"/><Relationship Id="rId8399" Type="http://schemas.openxmlformats.org/officeDocument/2006/relationships/hyperlink" Target="https://www.immoscout24.ch/fr/appartement/acheter/quartier-cretets-la-chaux-de-fonds" TargetMode="External"/><Relationship Id="rId11293" Type="http://schemas.openxmlformats.org/officeDocument/2006/relationships/hyperlink" Target="https://www.immoscout24.ch/fr/maison/acheter/lieu-burg-im-leimental" TargetMode="External"/><Relationship Id="rId11292" Type="http://schemas.openxmlformats.org/officeDocument/2006/relationships/hyperlink" Target="https://www.immoscout24.ch/fr/maison/acheter/lieu-wilen-sarnen" TargetMode="External"/><Relationship Id="rId11291" Type="http://schemas.openxmlformats.org/officeDocument/2006/relationships/hyperlink" Target="https://www.immoscout24.ch/fr/maison/acheter/lieu-wilen-sarnen" TargetMode="External"/><Relationship Id="rId11290" Type="http://schemas.openxmlformats.org/officeDocument/2006/relationships/hyperlink" Target="https://www.immoscout24.ch/fr/maison/acheter/lieu-henniez" TargetMode="External"/><Relationship Id="rId7096" Type="http://schemas.openxmlformats.org/officeDocument/2006/relationships/hyperlink" Target="https://www.immoscout24.ch/fr/maison/louer/lieu-langnau-im-emmental" TargetMode="External"/><Relationship Id="rId7095" Type="http://schemas.openxmlformats.org/officeDocument/2006/relationships/hyperlink" Target="https://www.immoscout24.ch/fr/maison/louer/lieu-langnau-im-emmental" TargetMode="External"/><Relationship Id="rId7094" Type="http://schemas.openxmlformats.org/officeDocument/2006/relationships/hyperlink" Target="https://www.immoscout24.ch/fr/appartement/acheter/quartier-albisrieden-zurich" TargetMode="External"/><Relationship Id="rId7093" Type="http://schemas.openxmlformats.org/officeDocument/2006/relationships/hyperlink" Target="https://www.immoscout24.ch/fr/appartement/acheter/quartier-albisrieden-zurich" TargetMode="External"/><Relationship Id="rId7099" Type="http://schemas.openxmlformats.org/officeDocument/2006/relationships/hyperlink" Target="https://www.immoscout24.ch/fr/maison/louer/lieu-st-maurice" TargetMode="External"/><Relationship Id="rId7098" Type="http://schemas.openxmlformats.org/officeDocument/2006/relationships/hyperlink" Target="https://www.immoscout24.ch/fr/appartement/louer/lieu-lausanne-25" TargetMode="External"/><Relationship Id="rId7097" Type="http://schemas.openxmlformats.org/officeDocument/2006/relationships/hyperlink" Target="https://www.immoscout24.ch/fr/appartement/louer/lieu-lausanne-25" TargetMode="External"/><Relationship Id="rId11286" Type="http://schemas.openxmlformats.org/officeDocument/2006/relationships/hyperlink" Target="https://www.immoscout24.ch/fr/appartement/louer/lieu-samedan" TargetMode="External"/><Relationship Id="rId11285" Type="http://schemas.openxmlformats.org/officeDocument/2006/relationships/hyperlink" Target="https://www.immoscout24.ch/fr/appartement/louer/lieu-samedan" TargetMode="External"/><Relationship Id="rId11284" Type="http://schemas.openxmlformats.org/officeDocument/2006/relationships/hyperlink" Target="https://www.immoscout24.ch/fr/appartement/acheter/lieu-cartigny" TargetMode="External"/><Relationship Id="rId11283" Type="http://schemas.openxmlformats.org/officeDocument/2006/relationships/hyperlink" Target="https://www.immoscout24.ch/fr/appartement/acheter/lieu-cartigny" TargetMode="External"/><Relationship Id="rId11289" Type="http://schemas.openxmlformats.org/officeDocument/2006/relationships/hyperlink" Target="https://www.immoscout24.ch/fr/maison/acheter/lieu-henniez" TargetMode="External"/><Relationship Id="rId11288" Type="http://schemas.openxmlformats.org/officeDocument/2006/relationships/hyperlink" Target="https://www.immoscout24.ch/fr/appartement/louer/lieu-reutigen" TargetMode="External"/><Relationship Id="rId11287" Type="http://schemas.openxmlformats.org/officeDocument/2006/relationships/hyperlink" Target="https://www.immoscout24.ch/fr/appartement/louer/lieu-reutigen" TargetMode="External"/><Relationship Id="rId7092" Type="http://schemas.openxmlformats.org/officeDocument/2006/relationships/hyperlink" Target="https://www.immoscout24.ch/fr/appartement/louer/region-march-hofe" TargetMode="External"/><Relationship Id="rId7091" Type="http://schemas.openxmlformats.org/officeDocument/2006/relationships/hyperlink" Target="https://www.immoscout24.ch/fr/appartement/louer/region-march-hofe" TargetMode="External"/><Relationship Id="rId7090" Type="http://schemas.openxmlformats.org/officeDocument/2006/relationships/hyperlink" Target="https://www.immoscout24.ch/fr/appartement/acheter/lieu-neukirch-egnach" TargetMode="External"/><Relationship Id="rId7085" Type="http://schemas.openxmlformats.org/officeDocument/2006/relationships/hyperlink" Target="https://www.immoscout24.ch/fr/appartement/louer/lieu-meiringen" TargetMode="External"/><Relationship Id="rId7084" Type="http://schemas.openxmlformats.org/officeDocument/2006/relationships/hyperlink" Target="https://www.immoscout24.ch/fr/appartement/louer/lieu-birr" TargetMode="External"/><Relationship Id="rId7083" Type="http://schemas.openxmlformats.org/officeDocument/2006/relationships/hyperlink" Target="https://www.immoscout24.ch/fr/appartement/louer/lieu-birr" TargetMode="External"/><Relationship Id="rId7082" Type="http://schemas.openxmlformats.org/officeDocument/2006/relationships/hyperlink" Target="https://www.immoscout24.ch/fr/appartement/louer/lieu-wengen" TargetMode="External"/><Relationship Id="rId7089" Type="http://schemas.openxmlformats.org/officeDocument/2006/relationships/hyperlink" Target="https://www.immoscout24.ch/fr/appartement/acheter/lieu-neukirch-egnach" TargetMode="External"/><Relationship Id="rId7088" Type="http://schemas.openxmlformats.org/officeDocument/2006/relationships/hyperlink" Target="https://www.immoscout24.ch/fr/appartement/acheter/lieu-morgins" TargetMode="External"/><Relationship Id="rId7087" Type="http://schemas.openxmlformats.org/officeDocument/2006/relationships/hyperlink" Target="https://www.immoscout24.ch/fr/appartement/acheter/lieu-morgins" TargetMode="External"/><Relationship Id="rId7086" Type="http://schemas.openxmlformats.org/officeDocument/2006/relationships/hyperlink" Target="https://www.immoscout24.ch/fr/appartement/louer/lieu-meiringen" TargetMode="External"/><Relationship Id="rId11297" Type="http://schemas.openxmlformats.org/officeDocument/2006/relationships/hyperlink" Target="https://www.immoscout24.ch/fr/maison/acheter/lieu-collex" TargetMode="External"/><Relationship Id="rId11296" Type="http://schemas.openxmlformats.org/officeDocument/2006/relationships/hyperlink" Target="https://www.immoscout24.ch/fr/maison/louer/lieu-montreux" TargetMode="External"/><Relationship Id="rId11295" Type="http://schemas.openxmlformats.org/officeDocument/2006/relationships/hyperlink" Target="https://www.immoscout24.ch/fr/maison/louer/lieu-montreux" TargetMode="External"/><Relationship Id="rId11294" Type="http://schemas.openxmlformats.org/officeDocument/2006/relationships/hyperlink" Target="https://www.immoscout24.ch/fr/maison/acheter/lieu-burg-im-leimental" TargetMode="External"/><Relationship Id="rId11299" Type="http://schemas.openxmlformats.org/officeDocument/2006/relationships/hyperlink" Target="https://www.immoscout24.ch/fr/maison/louer/lieu-beuson-nendaz" TargetMode="External"/><Relationship Id="rId11298" Type="http://schemas.openxmlformats.org/officeDocument/2006/relationships/hyperlink" Target="https://www.immoscout24.ch/fr/maison/acheter/lieu-collex" TargetMode="External"/><Relationship Id="rId12515" Type="http://schemas.openxmlformats.org/officeDocument/2006/relationships/hyperlink" Target="https://www.immoscout24.ch/fr/maison/acheter/lieu-ursy" TargetMode="External"/><Relationship Id="rId12514" Type="http://schemas.openxmlformats.org/officeDocument/2006/relationships/hyperlink" Target="https://www.immoscout24.ch/fr/appartement/louer/lieu-binningen" TargetMode="External"/><Relationship Id="rId12513" Type="http://schemas.openxmlformats.org/officeDocument/2006/relationships/hyperlink" Target="https://www.immoscout24.ch/fr/appartement/louer/lieu-binningen" TargetMode="External"/><Relationship Id="rId12512" Type="http://schemas.openxmlformats.org/officeDocument/2006/relationships/hyperlink" Target="https://www.immoscout24.ch/fr/appartement/acheter/lieu-montana" TargetMode="External"/><Relationship Id="rId12519" Type="http://schemas.openxmlformats.org/officeDocument/2006/relationships/hyperlink" Target="https://www.immoscout24.ch/fr/appartement/acheter/lieu-mission" TargetMode="External"/><Relationship Id="rId12518" Type="http://schemas.openxmlformats.org/officeDocument/2006/relationships/hyperlink" Target="https://www.immoscout24.ch/fr/appartement/acheter/lieu-st-sulpice-vd" TargetMode="External"/><Relationship Id="rId12517" Type="http://schemas.openxmlformats.org/officeDocument/2006/relationships/hyperlink" Target="https://www.immoscout24.ch/fr/appartement/acheter/lieu-st-sulpice-vd" TargetMode="External"/><Relationship Id="rId12516" Type="http://schemas.openxmlformats.org/officeDocument/2006/relationships/hyperlink" Target="https://www.immoscout24.ch/fr/maison/acheter/lieu-ursy" TargetMode="External"/><Relationship Id="rId12511" Type="http://schemas.openxmlformats.org/officeDocument/2006/relationships/hyperlink" Target="https://www.immoscout24.ch/fr/appartement/acheter/lieu-montana" TargetMode="External"/><Relationship Id="rId12510" Type="http://schemas.openxmlformats.org/officeDocument/2006/relationships/hyperlink" Target="https://www.immoscout24.ch/fr/appartement/louer/lieu-heerbrugg" TargetMode="External"/><Relationship Id="rId12521" Type="http://schemas.openxmlformats.org/officeDocument/2006/relationships/drawing" Target="../drawings/drawing2.xml"/><Relationship Id="rId12520" Type="http://schemas.openxmlformats.org/officeDocument/2006/relationships/hyperlink" Target="https://www.immoscout24.ch/fr/appartement/acheter/lieu-mission" TargetMode="External"/><Relationship Id="rId12509" Type="http://schemas.openxmlformats.org/officeDocument/2006/relationships/hyperlink" Target="https://www.immoscout24.ch/fr/appartement/louer/lieu-heerbrugg" TargetMode="External"/><Relationship Id="rId12504" Type="http://schemas.openxmlformats.org/officeDocument/2006/relationships/hyperlink" Target="https://www.immoscout24.ch/fr/appartement/louer/lieu-saulcy" TargetMode="External"/><Relationship Id="rId12503" Type="http://schemas.openxmlformats.org/officeDocument/2006/relationships/hyperlink" Target="https://www.immoscout24.ch/fr/appartement/louer/lieu-saulcy" TargetMode="External"/><Relationship Id="rId12502" Type="http://schemas.openxmlformats.org/officeDocument/2006/relationships/hyperlink" Target="https://www.immoscout24.ch/fr/appartement/acheter/lieu-walliswil-b-wangen" TargetMode="External"/><Relationship Id="rId12501" Type="http://schemas.openxmlformats.org/officeDocument/2006/relationships/hyperlink" Target="https://www.immoscout24.ch/fr/appartement/acheter/lieu-walliswil-b-wangen" TargetMode="External"/><Relationship Id="rId12508" Type="http://schemas.openxmlformats.org/officeDocument/2006/relationships/hyperlink" Target="https://www.immoscout24.ch/fr/appartement/louer/lieu-magadino" TargetMode="External"/><Relationship Id="rId12507" Type="http://schemas.openxmlformats.org/officeDocument/2006/relationships/hyperlink" Target="https://www.immoscout24.ch/fr/appartement/louer/lieu-magadino" TargetMode="External"/><Relationship Id="rId12506" Type="http://schemas.openxmlformats.org/officeDocument/2006/relationships/hyperlink" Target="https://www.immoscout24.ch/fr/appartement/louer/lieu-cottens-fr" TargetMode="External"/><Relationship Id="rId12505" Type="http://schemas.openxmlformats.org/officeDocument/2006/relationships/hyperlink" Target="https://www.immoscout24.ch/fr/appartement/louer/lieu-cottens-fr" TargetMode="External"/><Relationship Id="rId12500" Type="http://schemas.openxmlformats.org/officeDocument/2006/relationships/hyperlink" Target="https://www.immoscout24.ch/fr/appartement/louer/quartier-wesemlin-dreilinden-lucerne" TargetMode="External"/><Relationship Id="rId11228" Type="http://schemas.openxmlformats.org/officeDocument/2006/relationships/hyperlink" Target="https://www.immoscout24.ch/fr/appartement/acheter/lieu-riva-san-vitale" TargetMode="External"/><Relationship Id="rId11227" Type="http://schemas.openxmlformats.org/officeDocument/2006/relationships/hyperlink" Target="https://www.immoscout24.ch/fr/appartement/acheter/lieu-riva-san-vitale" TargetMode="External"/><Relationship Id="rId11226" Type="http://schemas.openxmlformats.org/officeDocument/2006/relationships/hyperlink" Target="https://www.immoscout24.ch/fr/appartement/louer/lieu-lupfig" TargetMode="External"/><Relationship Id="rId11225" Type="http://schemas.openxmlformats.org/officeDocument/2006/relationships/hyperlink" Target="https://www.immoscout24.ch/fr/appartement/louer/lieu-lupfig" TargetMode="External"/><Relationship Id="rId11229" Type="http://schemas.openxmlformats.org/officeDocument/2006/relationships/hyperlink" Target="https://www.immoscout24.ch/fr/appartement/louer/lieu-tuggen" TargetMode="External"/><Relationship Id="rId11220" Type="http://schemas.openxmlformats.org/officeDocument/2006/relationships/hyperlink" Target="https://www.immoscout24.ch/fr/appartement/louer/lieu-ostermundigen" TargetMode="External"/><Relationship Id="rId11224" Type="http://schemas.openxmlformats.org/officeDocument/2006/relationships/hyperlink" Target="https://www.immoscout24.ch/fr/appartement/louer/lieu-romont-be" TargetMode="External"/><Relationship Id="rId11223" Type="http://schemas.openxmlformats.org/officeDocument/2006/relationships/hyperlink" Target="https://www.immoscout24.ch/fr/appartement/louer/lieu-romont-be" TargetMode="External"/><Relationship Id="rId11222" Type="http://schemas.openxmlformats.org/officeDocument/2006/relationships/hyperlink" Target="https://www.immoscout24.ch/fr/appartement/louer/lieu-ipsach" TargetMode="External"/><Relationship Id="rId11221" Type="http://schemas.openxmlformats.org/officeDocument/2006/relationships/hyperlink" Target="https://www.immoscout24.ch/fr/appartement/louer/lieu-ipsach" TargetMode="External"/><Relationship Id="rId11239" Type="http://schemas.openxmlformats.org/officeDocument/2006/relationships/hyperlink" Target="https://www.immoscout24.ch/fr/maison/acheter/quartier-castagnola-lugano" TargetMode="External"/><Relationship Id="rId11238" Type="http://schemas.openxmlformats.org/officeDocument/2006/relationships/hyperlink" Target="https://www.immoscout24.ch/fr/appartement/louer/secteur-kreis-2" TargetMode="External"/><Relationship Id="rId11237" Type="http://schemas.openxmlformats.org/officeDocument/2006/relationships/hyperlink" Target="https://www.immoscout24.ch/fr/appartement/louer/secteur-kreis-2" TargetMode="External"/><Relationship Id="rId11236" Type="http://schemas.openxmlformats.org/officeDocument/2006/relationships/hyperlink" Target="https://www.immoscout24.ch/fr/appartement/acheter/region-la-cote-nyon" TargetMode="External"/><Relationship Id="rId11231" Type="http://schemas.openxmlformats.org/officeDocument/2006/relationships/hyperlink" Target="https://www.immoscout24.ch/fr/maison/acheter/lieu-heerbrugg" TargetMode="External"/><Relationship Id="rId11230" Type="http://schemas.openxmlformats.org/officeDocument/2006/relationships/hyperlink" Target="https://www.immoscout24.ch/fr/appartement/louer/lieu-tuggen" TargetMode="External"/><Relationship Id="rId11235" Type="http://schemas.openxmlformats.org/officeDocument/2006/relationships/hyperlink" Target="https://www.immoscout24.ch/fr/appartement/acheter/region-la-cote-nyon" TargetMode="External"/><Relationship Id="rId11234" Type="http://schemas.openxmlformats.org/officeDocument/2006/relationships/hyperlink" Target="https://www.immoscout24.ch/fr/appartement/acheter/region-lausanne-et-environs" TargetMode="External"/><Relationship Id="rId11233" Type="http://schemas.openxmlformats.org/officeDocument/2006/relationships/hyperlink" Target="https://www.immoscout24.ch/fr/appartement/acheter/region-lausanne-et-environs" TargetMode="External"/><Relationship Id="rId11232" Type="http://schemas.openxmlformats.org/officeDocument/2006/relationships/hyperlink" Target="https://www.immoscout24.ch/fr/maison/acheter/lieu-heerbrugg" TargetMode="External"/><Relationship Id="rId11206" Type="http://schemas.openxmlformats.org/officeDocument/2006/relationships/hyperlink" Target="https://www.immoscout24.ch/fr/appartement/louer/quartier-altstetten-zurich" TargetMode="External"/><Relationship Id="rId11205" Type="http://schemas.openxmlformats.org/officeDocument/2006/relationships/hyperlink" Target="https://www.immoscout24.ch/fr/appartement/louer/quartier-altstetten-zurich" TargetMode="External"/><Relationship Id="rId11204" Type="http://schemas.openxmlformats.org/officeDocument/2006/relationships/hyperlink" Target="https://www.immoscout24.ch/fr/appartement/louer/canton-uri" TargetMode="External"/><Relationship Id="rId11203" Type="http://schemas.openxmlformats.org/officeDocument/2006/relationships/hyperlink" Target="https://www.immoscout24.ch/fr/appartement/louer/canton-uri" TargetMode="External"/><Relationship Id="rId11209" Type="http://schemas.openxmlformats.org/officeDocument/2006/relationships/hyperlink" Target="https://www.immoscout24.ch/fr/maison/acheter/lieu-luzern" TargetMode="External"/><Relationship Id="rId11208" Type="http://schemas.openxmlformats.org/officeDocument/2006/relationships/hyperlink" Target="https://www.immoscout24.ch/fr/maison/louer/lieu-goldau" TargetMode="External"/><Relationship Id="rId11207" Type="http://schemas.openxmlformats.org/officeDocument/2006/relationships/hyperlink" Target="https://www.immoscout24.ch/fr/maison/louer/lieu-goldau" TargetMode="External"/><Relationship Id="rId11202" Type="http://schemas.openxmlformats.org/officeDocument/2006/relationships/hyperlink" Target="https://www.immoscout24.ch/fr/appartement/louer/lieu-st-margrethen-sg" TargetMode="External"/><Relationship Id="rId11201" Type="http://schemas.openxmlformats.org/officeDocument/2006/relationships/hyperlink" Target="https://www.immoscout24.ch/fr/appartement/louer/lieu-st-margrethen-sg" TargetMode="External"/><Relationship Id="rId11200" Type="http://schemas.openxmlformats.org/officeDocument/2006/relationships/hyperlink" Target="https://www.immoscout24.ch/fr/appartement/acheter/lieu-villars-sur-glane" TargetMode="External"/><Relationship Id="rId11217" Type="http://schemas.openxmlformats.org/officeDocument/2006/relationships/hyperlink" Target="https://www.immoscout24.ch/fr/maison/acheter/lieu-le-sechey" TargetMode="External"/><Relationship Id="rId11216" Type="http://schemas.openxmlformats.org/officeDocument/2006/relationships/hyperlink" Target="https://www.immoscout24.ch/fr/appartement/louer/lieu-rechy" TargetMode="External"/><Relationship Id="rId11215" Type="http://schemas.openxmlformats.org/officeDocument/2006/relationships/hyperlink" Target="https://www.immoscout24.ch/fr/appartement/louer/lieu-rechy" TargetMode="External"/><Relationship Id="rId11214" Type="http://schemas.openxmlformats.org/officeDocument/2006/relationships/hyperlink" Target="https://www.immoscout24.ch/fr/maison/acheter/lieu-sumiswald" TargetMode="External"/><Relationship Id="rId11219" Type="http://schemas.openxmlformats.org/officeDocument/2006/relationships/hyperlink" Target="https://www.immoscout24.ch/fr/appartement/louer/lieu-ostermundigen" TargetMode="External"/><Relationship Id="rId11218" Type="http://schemas.openxmlformats.org/officeDocument/2006/relationships/hyperlink" Target="https://www.immoscout24.ch/fr/maison/acheter/lieu-le-sechey" TargetMode="External"/><Relationship Id="rId11213" Type="http://schemas.openxmlformats.org/officeDocument/2006/relationships/hyperlink" Target="https://www.immoscout24.ch/fr/maison/acheter/lieu-sumiswald" TargetMode="External"/><Relationship Id="rId11212" Type="http://schemas.openxmlformats.org/officeDocument/2006/relationships/hyperlink" Target="https://www.immoscout24.ch/fr/appartement/louer/secteur-kreis-8" TargetMode="External"/><Relationship Id="rId11211" Type="http://schemas.openxmlformats.org/officeDocument/2006/relationships/hyperlink" Target="https://www.immoscout24.ch/fr/appartement/louer/secteur-kreis-8" TargetMode="External"/><Relationship Id="rId11210" Type="http://schemas.openxmlformats.org/officeDocument/2006/relationships/hyperlink" Target="https://www.immoscout24.ch/fr/maison/acheter/lieu-luzern" TargetMode="External"/><Relationship Id="rId8409" Type="http://schemas.openxmlformats.org/officeDocument/2006/relationships/hyperlink" Target="https://www.immoscout24.ch/fr/maison/acheter/lieu-le-vaud" TargetMode="External"/><Relationship Id="rId8408" Type="http://schemas.openxmlformats.org/officeDocument/2006/relationships/hyperlink" Target="https://www.immoscout24.ch/fr/maison/acheter/lieu-brignon-nendaz" TargetMode="External"/><Relationship Id="rId8407" Type="http://schemas.openxmlformats.org/officeDocument/2006/relationships/hyperlink" Target="https://www.immoscout24.ch/fr/maison/acheter/lieu-brignon-nendaz" TargetMode="External"/><Relationship Id="rId9738" Type="http://schemas.openxmlformats.org/officeDocument/2006/relationships/hyperlink" Target="https://www.immoscout24.ch/fr/appartement/acheter/lieu-riehen" TargetMode="External"/><Relationship Id="rId9739" Type="http://schemas.openxmlformats.org/officeDocument/2006/relationships/hyperlink" Target="https://www.immoscout24.ch/fr/maison/acheter/lieu-embd" TargetMode="External"/><Relationship Id="rId8402" Type="http://schemas.openxmlformats.org/officeDocument/2006/relationships/hyperlink" Target="https://www.immoscout24.ch/fr/appartement/louer/lieu-radelfingen-b-aarberg" TargetMode="External"/><Relationship Id="rId9734" Type="http://schemas.openxmlformats.org/officeDocument/2006/relationships/hyperlink" Target="https://www.immoscout24.ch/fr/appartement/louer/lieu-ebikon" TargetMode="External"/><Relationship Id="rId8401" Type="http://schemas.openxmlformats.org/officeDocument/2006/relationships/hyperlink" Target="https://www.immoscout24.ch/fr/appartement/louer/lieu-radelfingen-b-aarberg" TargetMode="External"/><Relationship Id="rId9735" Type="http://schemas.openxmlformats.org/officeDocument/2006/relationships/hyperlink" Target="https://www.immoscout24.ch/fr/maison/acheter/lieu-champex-lac" TargetMode="External"/><Relationship Id="rId8400" Type="http://schemas.openxmlformats.org/officeDocument/2006/relationships/hyperlink" Target="https://www.immoscout24.ch/fr/appartement/acheter/quartier-cretets-la-chaux-de-fonds" TargetMode="External"/><Relationship Id="rId9736" Type="http://schemas.openxmlformats.org/officeDocument/2006/relationships/hyperlink" Target="https://www.immoscout24.ch/fr/maison/acheter/lieu-champex-lac" TargetMode="External"/><Relationship Id="rId9737" Type="http://schemas.openxmlformats.org/officeDocument/2006/relationships/hyperlink" Target="https://www.immoscout24.ch/fr/appartement/acheter/lieu-riehen" TargetMode="External"/><Relationship Id="rId8406" Type="http://schemas.openxmlformats.org/officeDocument/2006/relationships/hyperlink" Target="https://www.immoscout24.ch/fr/appartement/louer/lieu-suhr" TargetMode="External"/><Relationship Id="rId9730" Type="http://schemas.openxmlformats.org/officeDocument/2006/relationships/hyperlink" Target="https://www.immoscout24.ch/fr/maison/acheter/lieu-turin-salins" TargetMode="External"/><Relationship Id="rId8405" Type="http://schemas.openxmlformats.org/officeDocument/2006/relationships/hyperlink" Target="https://www.immoscout24.ch/fr/appartement/louer/lieu-suhr" TargetMode="External"/><Relationship Id="rId9731" Type="http://schemas.openxmlformats.org/officeDocument/2006/relationships/hyperlink" Target="https://www.immoscout24.ch/fr/maison/louer/lieu-thalwil" TargetMode="External"/><Relationship Id="rId8404" Type="http://schemas.openxmlformats.org/officeDocument/2006/relationships/hyperlink" Target="https://www.immoscout24.ch/fr/maison/acheter/lieu-baar-nendaz" TargetMode="External"/><Relationship Id="rId9732" Type="http://schemas.openxmlformats.org/officeDocument/2006/relationships/hyperlink" Target="https://www.immoscout24.ch/fr/maison/louer/lieu-thalwil" TargetMode="External"/><Relationship Id="rId8403" Type="http://schemas.openxmlformats.org/officeDocument/2006/relationships/hyperlink" Target="https://www.immoscout24.ch/fr/maison/acheter/lieu-baar-nendaz" TargetMode="External"/><Relationship Id="rId9733" Type="http://schemas.openxmlformats.org/officeDocument/2006/relationships/hyperlink" Target="https://www.immoscout24.ch/fr/appartement/louer/lieu-ebikon" TargetMode="External"/><Relationship Id="rId9727" Type="http://schemas.openxmlformats.org/officeDocument/2006/relationships/hyperlink" Target="https://www.immoscout24.ch/fr/appartement/louer/lieu-stein-ag" TargetMode="External"/><Relationship Id="rId9728" Type="http://schemas.openxmlformats.org/officeDocument/2006/relationships/hyperlink" Target="https://www.immoscout24.ch/fr/appartement/louer/lieu-stein-ag" TargetMode="External"/><Relationship Id="rId9729" Type="http://schemas.openxmlformats.org/officeDocument/2006/relationships/hyperlink" Target="https://www.immoscout24.ch/fr/maison/acheter/lieu-turin-salins" TargetMode="External"/><Relationship Id="rId9723" Type="http://schemas.openxmlformats.org/officeDocument/2006/relationships/hyperlink" Target="https://www.immoscout24.ch/fr/appartement/louer/lieu-tramelan" TargetMode="External"/><Relationship Id="rId9724" Type="http://schemas.openxmlformats.org/officeDocument/2006/relationships/hyperlink" Target="https://www.immoscout24.ch/fr/appartement/louer/lieu-tramelan" TargetMode="External"/><Relationship Id="rId9725" Type="http://schemas.openxmlformats.org/officeDocument/2006/relationships/hyperlink" Target="https://www.immoscout24.ch/fr/maison/louer/lieu-grenilles" TargetMode="External"/><Relationship Id="rId9726" Type="http://schemas.openxmlformats.org/officeDocument/2006/relationships/hyperlink" Target="https://www.immoscout24.ch/fr/maison/louer/lieu-grenilles" TargetMode="External"/><Relationship Id="rId9720" Type="http://schemas.openxmlformats.org/officeDocument/2006/relationships/hyperlink" Target="https://www.immoscout24.ch/fr/maison/louer/lieu-wavre" TargetMode="External"/><Relationship Id="rId9721" Type="http://schemas.openxmlformats.org/officeDocument/2006/relationships/hyperlink" Target="https://www.immoscout24.ch/fr/maison/acheter/region-val-de-ruz" TargetMode="External"/><Relationship Id="rId9722" Type="http://schemas.openxmlformats.org/officeDocument/2006/relationships/hyperlink" Target="https://www.immoscout24.ch/fr/maison/acheter/region-val-de-ruz" TargetMode="External"/><Relationship Id="rId8429" Type="http://schemas.openxmlformats.org/officeDocument/2006/relationships/hyperlink" Target="https://www.immoscout24.ch/fr/maison/acheter/lieu-gwatt-thun" TargetMode="External"/><Relationship Id="rId9750" Type="http://schemas.openxmlformats.org/officeDocument/2006/relationships/hyperlink" Target="https://www.immoscout24.ch/fr/maison/acheter/lieu-blumenstein" TargetMode="External"/><Relationship Id="rId9751" Type="http://schemas.openxmlformats.org/officeDocument/2006/relationships/hyperlink" Target="https://www.immoscout24.ch/fr/maison/acheter/quartier-centre-neuchatel" TargetMode="External"/><Relationship Id="rId8420" Type="http://schemas.openxmlformats.org/officeDocument/2006/relationships/hyperlink" Target="https://www.immoscout24.ch/fr/maison/acheter/lieu-mariastein" TargetMode="External"/><Relationship Id="rId8424" Type="http://schemas.openxmlformats.org/officeDocument/2006/relationships/hyperlink" Target="https://www.immoscout24.ch/fr/appartement/acheter/lieu-brione-sopra-minusio" TargetMode="External"/><Relationship Id="rId9756" Type="http://schemas.openxmlformats.org/officeDocument/2006/relationships/hyperlink" Target="https://www.immoscout24.ch/fr/appartement/acheter/lieu-holziken" TargetMode="External"/><Relationship Id="rId8423" Type="http://schemas.openxmlformats.org/officeDocument/2006/relationships/hyperlink" Target="https://www.immoscout24.ch/fr/appartement/acheter/lieu-brione-sopra-minusio" TargetMode="External"/><Relationship Id="rId9757" Type="http://schemas.openxmlformats.org/officeDocument/2006/relationships/hyperlink" Target="https://www.immoscout24.ch/fr/maison/acheter/lieu-lussery-villars" TargetMode="External"/><Relationship Id="rId8422" Type="http://schemas.openxmlformats.org/officeDocument/2006/relationships/hyperlink" Target="https://www.immoscout24.ch/fr/maison/acheter/lieu-botterens" TargetMode="External"/><Relationship Id="rId9758" Type="http://schemas.openxmlformats.org/officeDocument/2006/relationships/hyperlink" Target="https://www.immoscout24.ch/fr/maison/acheter/lieu-lussery-villars" TargetMode="External"/><Relationship Id="rId8421" Type="http://schemas.openxmlformats.org/officeDocument/2006/relationships/hyperlink" Target="https://www.immoscout24.ch/fr/maison/acheter/lieu-botterens" TargetMode="External"/><Relationship Id="rId9759" Type="http://schemas.openxmlformats.org/officeDocument/2006/relationships/hyperlink" Target="https://www.immoscout24.ch/fr/appartement/louer/lieu-stuesslingen" TargetMode="External"/><Relationship Id="rId8428" Type="http://schemas.openxmlformats.org/officeDocument/2006/relationships/hyperlink" Target="https://www.immoscout24.ch/fr/maison/louer/lieu-misery" TargetMode="External"/><Relationship Id="rId9752" Type="http://schemas.openxmlformats.org/officeDocument/2006/relationships/hyperlink" Target="https://www.immoscout24.ch/fr/maison/acheter/quartier-centre-neuchatel" TargetMode="External"/><Relationship Id="rId8427" Type="http://schemas.openxmlformats.org/officeDocument/2006/relationships/hyperlink" Target="https://www.immoscout24.ch/fr/maison/louer/lieu-misery" TargetMode="External"/><Relationship Id="rId9753" Type="http://schemas.openxmlformats.org/officeDocument/2006/relationships/hyperlink" Target="https://www.immoscout24.ch/fr/maison/louer/lieu-les-giettes" TargetMode="External"/><Relationship Id="rId8426" Type="http://schemas.openxmlformats.org/officeDocument/2006/relationships/hyperlink" Target="https://www.immoscout24.ch/fr/maison/acheter/lieu-arzier-le-muids" TargetMode="External"/><Relationship Id="rId9754" Type="http://schemas.openxmlformats.org/officeDocument/2006/relationships/hyperlink" Target="https://www.immoscout24.ch/fr/maison/louer/lieu-les-giettes" TargetMode="External"/><Relationship Id="rId8425" Type="http://schemas.openxmlformats.org/officeDocument/2006/relationships/hyperlink" Target="https://www.immoscout24.ch/fr/maison/acheter/lieu-arzier-le-muids" TargetMode="External"/><Relationship Id="rId9755" Type="http://schemas.openxmlformats.org/officeDocument/2006/relationships/hyperlink" Target="https://www.immoscout24.ch/fr/appartement/acheter/lieu-holziken" TargetMode="External"/><Relationship Id="rId8419" Type="http://schemas.openxmlformats.org/officeDocument/2006/relationships/hyperlink" Target="https://www.immoscout24.ch/fr/maison/acheter/lieu-mariastein" TargetMode="External"/><Relationship Id="rId8418" Type="http://schemas.openxmlformats.org/officeDocument/2006/relationships/hyperlink" Target="https://www.immoscout24.ch/fr/appartement/louer/quartier-lindenhof-zurich" TargetMode="External"/><Relationship Id="rId9749" Type="http://schemas.openxmlformats.org/officeDocument/2006/relationships/hyperlink" Target="https://www.immoscout24.ch/fr/maison/acheter/lieu-blumenstein" TargetMode="External"/><Relationship Id="rId9740" Type="http://schemas.openxmlformats.org/officeDocument/2006/relationships/hyperlink" Target="https://www.immoscout24.ch/fr/maison/acheter/lieu-embd" TargetMode="External"/><Relationship Id="rId8413" Type="http://schemas.openxmlformats.org/officeDocument/2006/relationships/hyperlink" Target="https://www.immoscout24.ch/fr/maison/louer/region-toggenburg" TargetMode="External"/><Relationship Id="rId9745" Type="http://schemas.openxmlformats.org/officeDocument/2006/relationships/hyperlink" Target="https://www.immoscout24.ch/fr/appartement/louer/lieu-amden" TargetMode="External"/><Relationship Id="rId8412" Type="http://schemas.openxmlformats.org/officeDocument/2006/relationships/hyperlink" Target="https://www.immoscout24.ch/fr/maison/louer/lieu-pratteln" TargetMode="External"/><Relationship Id="rId9746" Type="http://schemas.openxmlformats.org/officeDocument/2006/relationships/hyperlink" Target="https://www.immoscout24.ch/fr/appartement/louer/lieu-amden" TargetMode="External"/><Relationship Id="rId8411" Type="http://schemas.openxmlformats.org/officeDocument/2006/relationships/hyperlink" Target="https://www.immoscout24.ch/fr/maison/louer/lieu-pratteln" TargetMode="External"/><Relationship Id="rId9747" Type="http://schemas.openxmlformats.org/officeDocument/2006/relationships/hyperlink" Target="https://www.immoscout24.ch/fr/appartement/louer/lieu-poschiavo" TargetMode="External"/><Relationship Id="rId8410" Type="http://schemas.openxmlformats.org/officeDocument/2006/relationships/hyperlink" Target="https://www.immoscout24.ch/fr/maison/acheter/lieu-le-vaud" TargetMode="External"/><Relationship Id="rId9748" Type="http://schemas.openxmlformats.org/officeDocument/2006/relationships/hyperlink" Target="https://www.immoscout24.ch/fr/appartement/louer/lieu-poschiavo" TargetMode="External"/><Relationship Id="rId8417" Type="http://schemas.openxmlformats.org/officeDocument/2006/relationships/hyperlink" Target="https://www.immoscout24.ch/fr/appartement/louer/quartier-lindenhof-zurich" TargetMode="External"/><Relationship Id="rId9741" Type="http://schemas.openxmlformats.org/officeDocument/2006/relationships/hyperlink" Target="https://www.immoscout24.ch/fr/appartement/louer/lieu-lommis" TargetMode="External"/><Relationship Id="rId8416" Type="http://schemas.openxmlformats.org/officeDocument/2006/relationships/hyperlink" Target="https://www.immoscout24.ch/fr/appartement/louer/lieu-balgach" TargetMode="External"/><Relationship Id="rId9742" Type="http://schemas.openxmlformats.org/officeDocument/2006/relationships/hyperlink" Target="https://www.immoscout24.ch/fr/appartement/louer/lieu-lommis" TargetMode="External"/><Relationship Id="rId8415" Type="http://schemas.openxmlformats.org/officeDocument/2006/relationships/hyperlink" Target="https://www.immoscout24.ch/fr/appartement/louer/lieu-balgach" TargetMode="External"/><Relationship Id="rId9743" Type="http://schemas.openxmlformats.org/officeDocument/2006/relationships/hyperlink" Target="https://www.immoscout24.ch/fr/appartement/acheter/lieu-chippis" TargetMode="External"/><Relationship Id="rId8414" Type="http://schemas.openxmlformats.org/officeDocument/2006/relationships/hyperlink" Target="https://www.immoscout24.ch/fr/maison/louer/region-toggenburg" TargetMode="External"/><Relationship Id="rId9744" Type="http://schemas.openxmlformats.org/officeDocument/2006/relationships/hyperlink" Target="https://www.immoscout24.ch/fr/appartement/acheter/lieu-chippis" TargetMode="External"/><Relationship Id="rId9716" Type="http://schemas.openxmlformats.org/officeDocument/2006/relationships/hyperlink" Target="https://www.immoscout24.ch/fr/maison/acheter/lieu-onnens-vd" TargetMode="External"/><Relationship Id="rId9717" Type="http://schemas.openxmlformats.org/officeDocument/2006/relationships/hyperlink" Target="https://www.immoscout24.ch/fr/appartement/louer/lieu-hoefen-b-thun" TargetMode="External"/><Relationship Id="rId9718" Type="http://schemas.openxmlformats.org/officeDocument/2006/relationships/hyperlink" Target="https://www.immoscout24.ch/fr/appartement/louer/lieu-hoefen-b-thun" TargetMode="External"/><Relationship Id="rId9719" Type="http://schemas.openxmlformats.org/officeDocument/2006/relationships/hyperlink" Target="https://www.immoscout24.ch/fr/maison/louer/lieu-wavre" TargetMode="External"/><Relationship Id="rId9712" Type="http://schemas.openxmlformats.org/officeDocument/2006/relationships/hyperlink" Target="https://www.immoscout24.ch/fr/appartement/louer/lieu-guemmenen" TargetMode="External"/><Relationship Id="rId9713" Type="http://schemas.openxmlformats.org/officeDocument/2006/relationships/hyperlink" Target="https://www.immoscout24.ch/fr/appartement/acheter/quartier-fluntern-zurich" TargetMode="External"/><Relationship Id="rId9714" Type="http://schemas.openxmlformats.org/officeDocument/2006/relationships/hyperlink" Target="https://www.immoscout24.ch/fr/appartement/acheter/quartier-fluntern-zurich" TargetMode="External"/><Relationship Id="rId9715" Type="http://schemas.openxmlformats.org/officeDocument/2006/relationships/hyperlink" Target="https://www.immoscout24.ch/fr/maison/acheter/lieu-onnens-vd" TargetMode="External"/><Relationship Id="rId9710" Type="http://schemas.openxmlformats.org/officeDocument/2006/relationships/hyperlink" Target="https://www.immoscout24.ch/fr/maison/louer/lieu-wetzikon-zh" TargetMode="External"/><Relationship Id="rId9711" Type="http://schemas.openxmlformats.org/officeDocument/2006/relationships/hyperlink" Target="https://www.immoscout24.ch/fr/appartement/louer/lieu-guemmenen" TargetMode="External"/><Relationship Id="rId9709" Type="http://schemas.openxmlformats.org/officeDocument/2006/relationships/hyperlink" Target="https://www.immoscout24.ch/fr/maison/louer/lieu-wetzikon-zh" TargetMode="External"/><Relationship Id="rId9705" Type="http://schemas.openxmlformats.org/officeDocument/2006/relationships/hyperlink" Target="https://www.immoscout24.ch/fr/appartement/louer/lieu-brunnen" TargetMode="External"/><Relationship Id="rId9706" Type="http://schemas.openxmlformats.org/officeDocument/2006/relationships/hyperlink" Target="https://www.immoscout24.ch/fr/appartement/louer/lieu-brunnen" TargetMode="External"/><Relationship Id="rId9707" Type="http://schemas.openxmlformats.org/officeDocument/2006/relationships/hyperlink" Target="https://www.immoscout24.ch/fr/maison/acheter/lieu-anieres" TargetMode="External"/><Relationship Id="rId9708" Type="http://schemas.openxmlformats.org/officeDocument/2006/relationships/hyperlink" Target="https://www.immoscout24.ch/fr/maison/acheter/lieu-anieres" TargetMode="External"/><Relationship Id="rId9701" Type="http://schemas.openxmlformats.org/officeDocument/2006/relationships/hyperlink" Target="https://www.immoscout24.ch/fr/maison/acheter/lieu-schnottwil" TargetMode="External"/><Relationship Id="rId9702" Type="http://schemas.openxmlformats.org/officeDocument/2006/relationships/hyperlink" Target="https://www.immoscout24.ch/fr/maison/acheter/lieu-schnottwil" TargetMode="External"/><Relationship Id="rId9703" Type="http://schemas.openxmlformats.org/officeDocument/2006/relationships/hyperlink" Target="https://www.immoscout24.ch/fr/appartement/acheter/lieu-fislisbach" TargetMode="External"/><Relationship Id="rId9704" Type="http://schemas.openxmlformats.org/officeDocument/2006/relationships/hyperlink" Target="https://www.immoscout24.ch/fr/appartement/acheter/lieu-fislisbach" TargetMode="External"/><Relationship Id="rId9700" Type="http://schemas.openxmlformats.org/officeDocument/2006/relationships/hyperlink" Target="https://www.immoscout24.ch/fr/maison/acheter/lieu-orzens" TargetMode="External"/><Relationship Id="rId7151" Type="http://schemas.openxmlformats.org/officeDocument/2006/relationships/hyperlink" Target="https://www.immoscout24.ch/fr/appartement/louer/lieu-villarsel-sur-marly" TargetMode="External"/><Relationship Id="rId8482" Type="http://schemas.openxmlformats.org/officeDocument/2006/relationships/hyperlink" Target="https://www.immoscout24.ch/fr/maison/acheter/lieu-bissone" TargetMode="External"/><Relationship Id="rId7150" Type="http://schemas.openxmlformats.org/officeDocument/2006/relationships/hyperlink" Target="https://www.immoscout24.ch/fr/maison/acheter/lieu-ergisch" TargetMode="External"/><Relationship Id="rId8481" Type="http://schemas.openxmlformats.org/officeDocument/2006/relationships/hyperlink" Target="https://www.immoscout24.ch/fr/maison/acheter/lieu-bissone" TargetMode="External"/><Relationship Id="rId8480" Type="http://schemas.openxmlformats.org/officeDocument/2006/relationships/hyperlink" Target="https://www.immoscout24.ch/fr/maison/acheter/lieu-chatonnaye" TargetMode="External"/><Relationship Id="rId7155" Type="http://schemas.openxmlformats.org/officeDocument/2006/relationships/hyperlink" Target="https://www.immoscout24.ch/fr/appartement/louer/lieu-interlaken" TargetMode="External"/><Relationship Id="rId8486" Type="http://schemas.openxmlformats.org/officeDocument/2006/relationships/hyperlink" Target="https://www.immoscout24.ch/fr/appartement/louer/lieu-moiry-vd" TargetMode="External"/><Relationship Id="rId7154" Type="http://schemas.openxmlformats.org/officeDocument/2006/relationships/hyperlink" Target="https://www.immoscout24.ch/fr/appartement/louer/lieu-glovelier" TargetMode="External"/><Relationship Id="rId8485" Type="http://schemas.openxmlformats.org/officeDocument/2006/relationships/hyperlink" Target="https://www.immoscout24.ch/fr/appartement/louer/lieu-moiry-vd" TargetMode="External"/><Relationship Id="rId7153" Type="http://schemas.openxmlformats.org/officeDocument/2006/relationships/hyperlink" Target="https://www.immoscout24.ch/fr/appartement/louer/lieu-glovelier" TargetMode="External"/><Relationship Id="rId8484" Type="http://schemas.openxmlformats.org/officeDocument/2006/relationships/hyperlink" Target="https://www.immoscout24.ch/fr/appartement/louer/lieu-cointrin" TargetMode="External"/><Relationship Id="rId7152" Type="http://schemas.openxmlformats.org/officeDocument/2006/relationships/hyperlink" Target="https://www.immoscout24.ch/fr/appartement/louer/lieu-villarsel-sur-marly" TargetMode="External"/><Relationship Id="rId8483" Type="http://schemas.openxmlformats.org/officeDocument/2006/relationships/hyperlink" Target="https://www.immoscout24.ch/fr/appartement/louer/lieu-cointrin" TargetMode="External"/><Relationship Id="rId7159" Type="http://schemas.openxmlformats.org/officeDocument/2006/relationships/hyperlink" Target="https://www.immoscout24.ch/fr/appartement/acheter/canton-neuchatel" TargetMode="External"/><Relationship Id="rId7158" Type="http://schemas.openxmlformats.org/officeDocument/2006/relationships/hyperlink" Target="https://www.immoscout24.ch/fr/maison/acheter/canton-bale-ville" TargetMode="External"/><Relationship Id="rId8489" Type="http://schemas.openxmlformats.org/officeDocument/2006/relationships/hyperlink" Target="https://www.immoscout24.ch/fr/appartement/louer/quartier-mousquines-bellevue-lausanne" TargetMode="External"/><Relationship Id="rId7157" Type="http://schemas.openxmlformats.org/officeDocument/2006/relationships/hyperlink" Target="https://www.immoscout24.ch/fr/maison/acheter/canton-bale-ville" TargetMode="External"/><Relationship Id="rId8488" Type="http://schemas.openxmlformats.org/officeDocument/2006/relationships/hyperlink" Target="https://www.immoscout24.ch/fr/maison/acheter/lieu-les-genevez-ju" TargetMode="External"/><Relationship Id="rId7156" Type="http://schemas.openxmlformats.org/officeDocument/2006/relationships/hyperlink" Target="https://www.immoscout24.ch/fr/appartement/louer/lieu-interlaken" TargetMode="External"/><Relationship Id="rId8487" Type="http://schemas.openxmlformats.org/officeDocument/2006/relationships/hyperlink" Target="https://www.immoscout24.ch/fr/maison/acheter/lieu-les-genevez-ju" TargetMode="External"/><Relationship Id="rId7140" Type="http://schemas.openxmlformats.org/officeDocument/2006/relationships/hyperlink" Target="https://www.immoscout24.ch/fr/appartement/louer/lieu-avry-sur-matran" TargetMode="External"/><Relationship Id="rId8471" Type="http://schemas.openxmlformats.org/officeDocument/2006/relationships/hyperlink" Target="https://www.immoscout24.ch/fr/maison/acheter/lieu-fleurier" TargetMode="External"/><Relationship Id="rId8470" Type="http://schemas.openxmlformats.org/officeDocument/2006/relationships/hyperlink" Target="https://www.immoscout24.ch/fr/appartement/acheter/lieu-bellevue" TargetMode="External"/><Relationship Id="rId7144" Type="http://schemas.openxmlformats.org/officeDocument/2006/relationships/hyperlink" Target="https://www.immoscout24.ch/fr/appartement/louer/lieu-berikon" TargetMode="External"/><Relationship Id="rId8475" Type="http://schemas.openxmlformats.org/officeDocument/2006/relationships/hyperlink" Target="https://www.immoscout24.ch/fr/maison/louer/lieu-wassen-ur" TargetMode="External"/><Relationship Id="rId7143" Type="http://schemas.openxmlformats.org/officeDocument/2006/relationships/hyperlink" Target="https://www.immoscout24.ch/fr/appartement/louer/lieu-berikon" TargetMode="External"/><Relationship Id="rId8474" Type="http://schemas.openxmlformats.org/officeDocument/2006/relationships/hyperlink" Target="https://www.immoscout24.ch/fr/maison/louer/lieu-sierre" TargetMode="External"/><Relationship Id="rId7142" Type="http://schemas.openxmlformats.org/officeDocument/2006/relationships/hyperlink" Target="https://www.immoscout24.ch/fr/maison/louer/lieu-soral" TargetMode="External"/><Relationship Id="rId8473" Type="http://schemas.openxmlformats.org/officeDocument/2006/relationships/hyperlink" Target="https://www.immoscout24.ch/fr/maison/louer/lieu-sierre" TargetMode="External"/><Relationship Id="rId7141" Type="http://schemas.openxmlformats.org/officeDocument/2006/relationships/hyperlink" Target="https://www.immoscout24.ch/fr/maison/louer/lieu-soral" TargetMode="External"/><Relationship Id="rId8472" Type="http://schemas.openxmlformats.org/officeDocument/2006/relationships/hyperlink" Target="https://www.immoscout24.ch/fr/maison/acheter/lieu-fleurier" TargetMode="External"/><Relationship Id="rId7148" Type="http://schemas.openxmlformats.org/officeDocument/2006/relationships/hyperlink" Target="https://www.immoscout24.ch/fr/appartement/acheter/lieu-rossens-fr" TargetMode="External"/><Relationship Id="rId8479" Type="http://schemas.openxmlformats.org/officeDocument/2006/relationships/hyperlink" Target="https://www.immoscout24.ch/fr/maison/acheter/lieu-chatonnaye" TargetMode="External"/><Relationship Id="rId7147" Type="http://schemas.openxmlformats.org/officeDocument/2006/relationships/hyperlink" Target="https://www.immoscout24.ch/fr/appartement/acheter/lieu-rossens-fr" TargetMode="External"/><Relationship Id="rId8478" Type="http://schemas.openxmlformats.org/officeDocument/2006/relationships/hyperlink" Target="https://www.immoscout24.ch/fr/maison/louer/lieu-penthalaz" TargetMode="External"/><Relationship Id="rId7146" Type="http://schemas.openxmlformats.org/officeDocument/2006/relationships/hyperlink" Target="https://www.immoscout24.ch/fr/maison/acheter/quartier-seebach-zurich" TargetMode="External"/><Relationship Id="rId8477" Type="http://schemas.openxmlformats.org/officeDocument/2006/relationships/hyperlink" Target="https://www.immoscout24.ch/fr/maison/louer/lieu-penthalaz" TargetMode="External"/><Relationship Id="rId7145" Type="http://schemas.openxmlformats.org/officeDocument/2006/relationships/hyperlink" Target="https://www.immoscout24.ch/fr/maison/acheter/quartier-seebach-zurich" TargetMode="External"/><Relationship Id="rId8476" Type="http://schemas.openxmlformats.org/officeDocument/2006/relationships/hyperlink" Target="https://www.immoscout24.ch/fr/maison/louer/lieu-wassen-ur" TargetMode="External"/><Relationship Id="rId7149" Type="http://schemas.openxmlformats.org/officeDocument/2006/relationships/hyperlink" Target="https://www.immoscout24.ch/fr/maison/acheter/lieu-ergisch" TargetMode="External"/><Relationship Id="rId11091" Type="http://schemas.openxmlformats.org/officeDocument/2006/relationships/hyperlink" Target="https://www.immoscout24.ch/fr/appartement/louer/lieu-loveresse" TargetMode="External"/><Relationship Id="rId11090" Type="http://schemas.openxmlformats.org/officeDocument/2006/relationships/hyperlink" Target="https://www.immoscout24.ch/fr/appartement/louer/lieu-cudrefin" TargetMode="External"/><Relationship Id="rId11095" Type="http://schemas.openxmlformats.org/officeDocument/2006/relationships/hyperlink" Target="https://www.immoscout24.ch/fr/appartement/acheter/lieu-vicques" TargetMode="External"/><Relationship Id="rId11094" Type="http://schemas.openxmlformats.org/officeDocument/2006/relationships/hyperlink" Target="https://www.immoscout24.ch/fr/appartement/louer/lieu-albligen" TargetMode="External"/><Relationship Id="rId11093" Type="http://schemas.openxmlformats.org/officeDocument/2006/relationships/hyperlink" Target="https://www.immoscout24.ch/fr/appartement/louer/lieu-albligen" TargetMode="External"/><Relationship Id="rId11092" Type="http://schemas.openxmlformats.org/officeDocument/2006/relationships/hyperlink" Target="https://www.immoscout24.ch/fr/appartement/louer/lieu-loveresse" TargetMode="External"/><Relationship Id="rId7180" Type="http://schemas.openxmlformats.org/officeDocument/2006/relationships/hyperlink" Target="https://www.immoscout24.ch/fr/appartement/louer/secteur-kreis-11" TargetMode="External"/><Relationship Id="rId7173" Type="http://schemas.openxmlformats.org/officeDocument/2006/relationships/hyperlink" Target="https://www.immoscout24.ch/fr/appartement/louer/lieu-ecoteaux" TargetMode="External"/><Relationship Id="rId7172" Type="http://schemas.openxmlformats.org/officeDocument/2006/relationships/hyperlink" Target="https://www.immoscout24.ch/fr/appartement/louer/lieu-arveyes" TargetMode="External"/><Relationship Id="rId7171" Type="http://schemas.openxmlformats.org/officeDocument/2006/relationships/hyperlink" Target="https://www.immoscout24.ch/fr/appartement/louer/lieu-arveyes" TargetMode="External"/><Relationship Id="rId7170" Type="http://schemas.openxmlformats.org/officeDocument/2006/relationships/hyperlink" Target="https://www.immoscout24.ch/fr/appartement/acheter/lieu-montreux" TargetMode="External"/><Relationship Id="rId7177" Type="http://schemas.openxmlformats.org/officeDocument/2006/relationships/hyperlink" Target="https://www.immoscout24.ch/fr/appartement/louer/lieu-gasel" TargetMode="External"/><Relationship Id="rId7176" Type="http://schemas.openxmlformats.org/officeDocument/2006/relationships/hyperlink" Target="https://www.immoscout24.ch/fr/appartement/louer/lieu-etoy" TargetMode="External"/><Relationship Id="rId7175" Type="http://schemas.openxmlformats.org/officeDocument/2006/relationships/hyperlink" Target="https://www.immoscout24.ch/fr/appartement/louer/lieu-etoy" TargetMode="External"/><Relationship Id="rId7174" Type="http://schemas.openxmlformats.org/officeDocument/2006/relationships/hyperlink" Target="https://www.immoscout24.ch/fr/appartement/louer/lieu-ecoteaux" TargetMode="External"/><Relationship Id="rId11088" Type="http://schemas.openxmlformats.org/officeDocument/2006/relationships/hyperlink" Target="https://www.immoscout24.ch/fr/appartement/louer/lieu-monthey" TargetMode="External"/><Relationship Id="rId11087" Type="http://schemas.openxmlformats.org/officeDocument/2006/relationships/hyperlink" Target="https://www.immoscout24.ch/fr/appartement/louer/lieu-monthey" TargetMode="External"/><Relationship Id="rId7179" Type="http://schemas.openxmlformats.org/officeDocument/2006/relationships/hyperlink" Target="https://www.immoscout24.ch/fr/appartement/louer/secteur-kreis-11" TargetMode="External"/><Relationship Id="rId11086" Type="http://schemas.openxmlformats.org/officeDocument/2006/relationships/hyperlink" Target="https://www.immoscout24.ch/fr/maison/acheter/lieu-vauffelin" TargetMode="External"/><Relationship Id="rId7178" Type="http://schemas.openxmlformats.org/officeDocument/2006/relationships/hyperlink" Target="https://www.immoscout24.ch/fr/appartement/louer/lieu-gasel" TargetMode="External"/><Relationship Id="rId11085" Type="http://schemas.openxmlformats.org/officeDocument/2006/relationships/hyperlink" Target="https://www.immoscout24.ch/fr/maison/acheter/lieu-vauffelin" TargetMode="External"/><Relationship Id="rId11089" Type="http://schemas.openxmlformats.org/officeDocument/2006/relationships/hyperlink" Target="https://www.immoscout24.ch/fr/appartement/louer/lieu-cudrefin" TargetMode="External"/><Relationship Id="rId7162" Type="http://schemas.openxmlformats.org/officeDocument/2006/relationships/hyperlink" Target="https://www.immoscout24.ch/fr/appartement/louer/lieu-st-urban" TargetMode="External"/><Relationship Id="rId8493" Type="http://schemas.openxmlformats.org/officeDocument/2006/relationships/hyperlink" Target="https://www.immoscout24.ch/fr/maison/louer/lieu-frasses" TargetMode="External"/><Relationship Id="rId7161" Type="http://schemas.openxmlformats.org/officeDocument/2006/relationships/hyperlink" Target="https://www.immoscout24.ch/fr/appartement/louer/lieu-st-urban" TargetMode="External"/><Relationship Id="rId8492" Type="http://schemas.openxmlformats.org/officeDocument/2006/relationships/hyperlink" Target="https://www.immoscout24.ch/fr/maison/acheter/lieu-meinisberg" TargetMode="External"/><Relationship Id="rId7160" Type="http://schemas.openxmlformats.org/officeDocument/2006/relationships/hyperlink" Target="https://www.immoscout24.ch/fr/appartement/acheter/canton-neuchatel" TargetMode="External"/><Relationship Id="rId8491" Type="http://schemas.openxmlformats.org/officeDocument/2006/relationships/hyperlink" Target="https://www.immoscout24.ch/fr/maison/acheter/lieu-meinisberg" TargetMode="External"/><Relationship Id="rId8490" Type="http://schemas.openxmlformats.org/officeDocument/2006/relationships/hyperlink" Target="https://www.immoscout24.ch/fr/appartement/louer/quartier-mousquines-bellevue-lausanne" TargetMode="External"/><Relationship Id="rId7166" Type="http://schemas.openxmlformats.org/officeDocument/2006/relationships/hyperlink" Target="https://www.immoscout24.ch/fr/appartement/acheter/lieu-schoetz" TargetMode="External"/><Relationship Id="rId8497" Type="http://schemas.openxmlformats.org/officeDocument/2006/relationships/hyperlink" Target="https://www.immoscout24.ch/fr/maison/acheter/lieu-montana" TargetMode="External"/><Relationship Id="rId7165" Type="http://schemas.openxmlformats.org/officeDocument/2006/relationships/hyperlink" Target="https://www.immoscout24.ch/fr/appartement/acheter/lieu-schoetz" TargetMode="External"/><Relationship Id="rId8496" Type="http://schemas.openxmlformats.org/officeDocument/2006/relationships/hyperlink" Target="https://www.immoscout24.ch/fr/maison/acheter/lieu-fresens" TargetMode="External"/><Relationship Id="rId7164" Type="http://schemas.openxmlformats.org/officeDocument/2006/relationships/hyperlink" Target="https://www.immoscout24.ch/fr/maison/louer/lieu-eison-st-martin" TargetMode="External"/><Relationship Id="rId8495" Type="http://schemas.openxmlformats.org/officeDocument/2006/relationships/hyperlink" Target="https://www.immoscout24.ch/fr/maison/acheter/lieu-fresens" TargetMode="External"/><Relationship Id="rId7163" Type="http://schemas.openxmlformats.org/officeDocument/2006/relationships/hyperlink" Target="https://www.immoscout24.ch/fr/maison/louer/lieu-eison-st-martin" TargetMode="External"/><Relationship Id="rId8494" Type="http://schemas.openxmlformats.org/officeDocument/2006/relationships/hyperlink" Target="https://www.immoscout24.ch/fr/maison/louer/lieu-frasses" TargetMode="External"/><Relationship Id="rId11099" Type="http://schemas.openxmlformats.org/officeDocument/2006/relationships/hyperlink" Target="https://www.immoscout24.ch/fr/maison/acheter/lieu-puplinge" TargetMode="External"/><Relationship Id="rId7169" Type="http://schemas.openxmlformats.org/officeDocument/2006/relationships/hyperlink" Target="https://www.immoscout24.ch/fr/appartement/acheter/lieu-montreux" TargetMode="External"/><Relationship Id="rId11098" Type="http://schemas.openxmlformats.org/officeDocument/2006/relationships/hyperlink" Target="https://www.immoscout24.ch/fr/appartement/louer/lieu-lussery-villars" TargetMode="External"/><Relationship Id="rId7168" Type="http://schemas.openxmlformats.org/officeDocument/2006/relationships/hyperlink" Target="https://www.immoscout24.ch/fr/appartement/louer/lieu-liestal" TargetMode="External"/><Relationship Id="rId8499" Type="http://schemas.openxmlformats.org/officeDocument/2006/relationships/hyperlink" Target="https://www.immoscout24.ch/fr/maison/louer/lieu-blatten-b-naters" TargetMode="External"/><Relationship Id="rId11097" Type="http://schemas.openxmlformats.org/officeDocument/2006/relationships/hyperlink" Target="https://www.immoscout24.ch/fr/appartement/louer/lieu-lussery-villars" TargetMode="External"/><Relationship Id="rId7167" Type="http://schemas.openxmlformats.org/officeDocument/2006/relationships/hyperlink" Target="https://www.immoscout24.ch/fr/appartement/louer/lieu-liestal" TargetMode="External"/><Relationship Id="rId8498" Type="http://schemas.openxmlformats.org/officeDocument/2006/relationships/hyperlink" Target="https://www.immoscout24.ch/fr/maison/acheter/lieu-montana" TargetMode="External"/><Relationship Id="rId11096" Type="http://schemas.openxmlformats.org/officeDocument/2006/relationships/hyperlink" Target="https://www.immoscout24.ch/fr/appartement/acheter/lieu-vicques" TargetMode="External"/><Relationship Id="rId9770" Type="http://schemas.openxmlformats.org/officeDocument/2006/relationships/hyperlink" Target="https://www.immoscout24.ch/fr/appartement/louer/canton-nidwald" TargetMode="External"/><Relationship Id="rId9771" Type="http://schemas.openxmlformats.org/officeDocument/2006/relationships/hyperlink" Target="https://www.immoscout24.ch/fr/maison/louer/lieu-founex" TargetMode="External"/><Relationship Id="rId9772" Type="http://schemas.openxmlformats.org/officeDocument/2006/relationships/hyperlink" Target="https://www.immoscout24.ch/fr/maison/louer/lieu-founex" TargetMode="External"/><Relationship Id="rId9773" Type="http://schemas.openxmlformats.org/officeDocument/2006/relationships/hyperlink" Target="https://www.immoscout24.ch/fr/appartement/acheter/lieu-ried-brig" TargetMode="External"/><Relationship Id="rId7111" Type="http://schemas.openxmlformats.org/officeDocument/2006/relationships/hyperlink" Target="https://www.immoscout24.ch/fr/appartement/acheter/lieu-lourtier" TargetMode="External"/><Relationship Id="rId8442" Type="http://schemas.openxmlformats.org/officeDocument/2006/relationships/hyperlink" Target="https://www.immoscout24.ch/fr/appartement/louer/lieu-castrisch" TargetMode="External"/><Relationship Id="rId7110" Type="http://schemas.openxmlformats.org/officeDocument/2006/relationships/hyperlink" Target="https://www.immoscout24.ch/fr/maison/acheter/lieu-villeret" TargetMode="External"/><Relationship Id="rId8441" Type="http://schemas.openxmlformats.org/officeDocument/2006/relationships/hyperlink" Target="https://www.immoscout24.ch/fr/appartement/louer/lieu-castrisch" TargetMode="External"/><Relationship Id="rId8440" Type="http://schemas.openxmlformats.org/officeDocument/2006/relationships/hyperlink" Target="https://www.immoscout24.ch/fr/appartement/louer/lieu-jonschwil" TargetMode="External"/><Relationship Id="rId7115" Type="http://schemas.openxmlformats.org/officeDocument/2006/relationships/hyperlink" Target="https://www.immoscout24.ch/fr/maison/acheter/lieu-taeuffelen" TargetMode="External"/><Relationship Id="rId8446" Type="http://schemas.openxmlformats.org/officeDocument/2006/relationships/hyperlink" Target="https://www.immoscout24.ch/fr/appartement/louer/lieu-montmollin" TargetMode="External"/><Relationship Id="rId9778" Type="http://schemas.openxmlformats.org/officeDocument/2006/relationships/hyperlink" Target="https://www.immoscout24.ch/fr/maison/acheter/lieu-dietikon" TargetMode="External"/><Relationship Id="rId7114" Type="http://schemas.openxmlformats.org/officeDocument/2006/relationships/hyperlink" Target="https://www.immoscout24.ch/fr/maison/louer/lieu-eschlikon-tg" TargetMode="External"/><Relationship Id="rId8445" Type="http://schemas.openxmlformats.org/officeDocument/2006/relationships/hyperlink" Target="https://www.immoscout24.ch/fr/appartement/louer/lieu-montmollin" TargetMode="External"/><Relationship Id="rId9779" Type="http://schemas.openxmlformats.org/officeDocument/2006/relationships/hyperlink" Target="https://www.immoscout24.ch/fr/maison/acheter/lieu-lajoux-ju" TargetMode="External"/><Relationship Id="rId7113" Type="http://schemas.openxmlformats.org/officeDocument/2006/relationships/hyperlink" Target="https://www.immoscout24.ch/fr/maison/louer/lieu-eschlikon-tg" TargetMode="External"/><Relationship Id="rId8444" Type="http://schemas.openxmlformats.org/officeDocument/2006/relationships/hyperlink" Target="https://www.immoscout24.ch/fr/maison/acheter/lieu-chailly-montreux" TargetMode="External"/><Relationship Id="rId7112" Type="http://schemas.openxmlformats.org/officeDocument/2006/relationships/hyperlink" Target="https://www.immoscout24.ch/fr/appartement/acheter/lieu-lourtier" TargetMode="External"/><Relationship Id="rId8443" Type="http://schemas.openxmlformats.org/officeDocument/2006/relationships/hyperlink" Target="https://www.immoscout24.ch/fr/maison/acheter/lieu-chailly-montreux" TargetMode="External"/><Relationship Id="rId7119" Type="http://schemas.openxmlformats.org/officeDocument/2006/relationships/hyperlink" Target="https://www.immoscout24.ch/fr/maison/acheter/lieu-curtilles" TargetMode="External"/><Relationship Id="rId9774" Type="http://schemas.openxmlformats.org/officeDocument/2006/relationships/hyperlink" Target="https://www.immoscout24.ch/fr/appartement/acheter/lieu-ried-brig" TargetMode="External"/><Relationship Id="rId7118" Type="http://schemas.openxmlformats.org/officeDocument/2006/relationships/hyperlink" Target="https://www.immoscout24.ch/fr/maison/acheter/lieu-mettembert" TargetMode="External"/><Relationship Id="rId8449" Type="http://schemas.openxmlformats.org/officeDocument/2006/relationships/hyperlink" Target="https://www.immoscout24.ch/fr/maison/acheter/lieu-wynigen" TargetMode="External"/><Relationship Id="rId9775" Type="http://schemas.openxmlformats.org/officeDocument/2006/relationships/hyperlink" Target="https://www.immoscout24.ch/fr/appartement/louer/lieu-montbrelloz" TargetMode="External"/><Relationship Id="rId7117" Type="http://schemas.openxmlformats.org/officeDocument/2006/relationships/hyperlink" Target="https://www.immoscout24.ch/fr/maison/acheter/lieu-mettembert" TargetMode="External"/><Relationship Id="rId8448" Type="http://schemas.openxmlformats.org/officeDocument/2006/relationships/hyperlink" Target="https://www.immoscout24.ch/fr/appartement/louer/lieu-st-maurice" TargetMode="External"/><Relationship Id="rId9776" Type="http://schemas.openxmlformats.org/officeDocument/2006/relationships/hyperlink" Target="https://www.immoscout24.ch/fr/appartement/louer/lieu-montbrelloz" TargetMode="External"/><Relationship Id="rId7116" Type="http://schemas.openxmlformats.org/officeDocument/2006/relationships/hyperlink" Target="https://www.immoscout24.ch/fr/maison/acheter/lieu-taeuffelen" TargetMode="External"/><Relationship Id="rId8447" Type="http://schemas.openxmlformats.org/officeDocument/2006/relationships/hyperlink" Target="https://www.immoscout24.ch/fr/appartement/louer/lieu-st-maurice" TargetMode="External"/><Relationship Id="rId9777" Type="http://schemas.openxmlformats.org/officeDocument/2006/relationships/hyperlink" Target="https://www.immoscout24.ch/fr/maison/acheter/lieu-dietikon" TargetMode="External"/><Relationship Id="rId7109" Type="http://schemas.openxmlformats.org/officeDocument/2006/relationships/hyperlink" Target="https://www.immoscout24.ch/fr/maison/acheter/lieu-villeret" TargetMode="External"/><Relationship Id="rId9760" Type="http://schemas.openxmlformats.org/officeDocument/2006/relationships/hyperlink" Target="https://www.immoscout24.ch/fr/appartement/louer/lieu-stuesslingen" TargetMode="External"/><Relationship Id="rId9761" Type="http://schemas.openxmlformats.org/officeDocument/2006/relationships/hyperlink" Target="https://www.immoscout24.ch/fr/maison/louer/lieu-prahins" TargetMode="External"/><Relationship Id="rId9762" Type="http://schemas.openxmlformats.org/officeDocument/2006/relationships/hyperlink" Target="https://www.immoscout24.ch/fr/maison/louer/lieu-prahins" TargetMode="External"/><Relationship Id="rId7100" Type="http://schemas.openxmlformats.org/officeDocument/2006/relationships/hyperlink" Target="https://www.immoscout24.ch/fr/maison/louer/lieu-st-maurice" TargetMode="External"/><Relationship Id="rId8431" Type="http://schemas.openxmlformats.org/officeDocument/2006/relationships/hyperlink" Target="https://www.immoscout24.ch/fr/maison/acheter/lieu-roche-vd" TargetMode="External"/><Relationship Id="rId8430" Type="http://schemas.openxmlformats.org/officeDocument/2006/relationships/hyperlink" Target="https://www.immoscout24.ch/fr/maison/acheter/lieu-gwatt-thun" TargetMode="External"/><Relationship Id="rId7104" Type="http://schemas.openxmlformats.org/officeDocument/2006/relationships/hyperlink" Target="https://www.immoscout24.ch/fr/maison/louer/lieu-plasselb" TargetMode="External"/><Relationship Id="rId8435" Type="http://schemas.openxmlformats.org/officeDocument/2006/relationships/hyperlink" Target="https://www.immoscout24.ch/fr/appartement/acheter/lieu-schmitten-albula" TargetMode="External"/><Relationship Id="rId9767" Type="http://schemas.openxmlformats.org/officeDocument/2006/relationships/hyperlink" Target="https://www.immoscout24.ch/fr/appartement/acheter/lieu-givisiez" TargetMode="External"/><Relationship Id="rId7103" Type="http://schemas.openxmlformats.org/officeDocument/2006/relationships/hyperlink" Target="https://www.immoscout24.ch/fr/maison/louer/lieu-plasselb" TargetMode="External"/><Relationship Id="rId8434" Type="http://schemas.openxmlformats.org/officeDocument/2006/relationships/hyperlink" Target="https://www.immoscout24.ch/fr/appartement/louer/lieu-morrens-vd" TargetMode="External"/><Relationship Id="rId9768" Type="http://schemas.openxmlformats.org/officeDocument/2006/relationships/hyperlink" Target="https://www.immoscout24.ch/fr/appartement/acheter/lieu-givisiez" TargetMode="External"/><Relationship Id="rId7102" Type="http://schemas.openxmlformats.org/officeDocument/2006/relationships/hyperlink" Target="https://www.immoscout24.ch/fr/maison/acheter/lieu-ardez" TargetMode="External"/><Relationship Id="rId8433" Type="http://schemas.openxmlformats.org/officeDocument/2006/relationships/hyperlink" Target="https://www.immoscout24.ch/fr/appartement/louer/lieu-morrens-vd" TargetMode="External"/><Relationship Id="rId9769" Type="http://schemas.openxmlformats.org/officeDocument/2006/relationships/hyperlink" Target="https://www.immoscout24.ch/fr/appartement/louer/canton-nidwald" TargetMode="External"/><Relationship Id="rId7101" Type="http://schemas.openxmlformats.org/officeDocument/2006/relationships/hyperlink" Target="https://www.immoscout24.ch/fr/maison/acheter/lieu-ardez" TargetMode="External"/><Relationship Id="rId8432" Type="http://schemas.openxmlformats.org/officeDocument/2006/relationships/hyperlink" Target="https://www.immoscout24.ch/fr/maison/acheter/lieu-roche-vd" TargetMode="External"/><Relationship Id="rId7108" Type="http://schemas.openxmlformats.org/officeDocument/2006/relationships/hyperlink" Target="https://www.immoscout24.ch/fr/appartement/acheter/lieu-leukerbad" TargetMode="External"/><Relationship Id="rId8439" Type="http://schemas.openxmlformats.org/officeDocument/2006/relationships/hyperlink" Target="https://www.immoscout24.ch/fr/appartement/louer/lieu-jonschwil" TargetMode="External"/><Relationship Id="rId9763" Type="http://schemas.openxmlformats.org/officeDocument/2006/relationships/hyperlink" Target="https://www.immoscout24.ch/fr/maison/acheter/lieu-botyre-ayent" TargetMode="External"/><Relationship Id="rId7107" Type="http://schemas.openxmlformats.org/officeDocument/2006/relationships/hyperlink" Target="https://www.immoscout24.ch/fr/appartement/acheter/lieu-leukerbad" TargetMode="External"/><Relationship Id="rId8438" Type="http://schemas.openxmlformats.org/officeDocument/2006/relationships/hyperlink" Target="https://www.immoscout24.ch/fr/maison/acheter/lieu-burgistein" TargetMode="External"/><Relationship Id="rId9764" Type="http://schemas.openxmlformats.org/officeDocument/2006/relationships/hyperlink" Target="https://www.immoscout24.ch/fr/maison/acheter/lieu-botyre-ayent" TargetMode="External"/><Relationship Id="rId7106" Type="http://schemas.openxmlformats.org/officeDocument/2006/relationships/hyperlink" Target="https://www.immoscout24.ch/fr/appartement/acheter/lieu-muenchenbuchsee" TargetMode="External"/><Relationship Id="rId8437" Type="http://schemas.openxmlformats.org/officeDocument/2006/relationships/hyperlink" Target="https://www.immoscout24.ch/fr/maison/acheter/lieu-burgistein" TargetMode="External"/><Relationship Id="rId9765" Type="http://schemas.openxmlformats.org/officeDocument/2006/relationships/hyperlink" Target="https://www.immoscout24.ch/fr/appartement/acheter/lieu-la-sagne-ne" TargetMode="External"/><Relationship Id="rId7105" Type="http://schemas.openxmlformats.org/officeDocument/2006/relationships/hyperlink" Target="https://www.immoscout24.ch/fr/appartement/acheter/lieu-muenchenbuchsee" TargetMode="External"/><Relationship Id="rId8436" Type="http://schemas.openxmlformats.org/officeDocument/2006/relationships/hyperlink" Target="https://www.immoscout24.ch/fr/appartement/acheter/lieu-schmitten-albula" TargetMode="External"/><Relationship Id="rId9766" Type="http://schemas.openxmlformats.org/officeDocument/2006/relationships/hyperlink" Target="https://www.immoscout24.ch/fr/appartement/acheter/lieu-la-sagne-ne" TargetMode="External"/><Relationship Id="rId8460" Type="http://schemas.openxmlformats.org/officeDocument/2006/relationships/hyperlink" Target="https://www.immoscout24.ch/fr/appartement/acheter/lieu-samedan" TargetMode="External"/><Relationship Id="rId9792" Type="http://schemas.openxmlformats.org/officeDocument/2006/relationships/hyperlink" Target="https://www.immoscout24.ch/fr/appartement/acheter/region-rhone-arve" TargetMode="External"/><Relationship Id="rId9793" Type="http://schemas.openxmlformats.org/officeDocument/2006/relationships/hyperlink" Target="https://www.immoscout24.ch/fr/appartement/louer/lieu-pregassona" TargetMode="External"/><Relationship Id="rId9794" Type="http://schemas.openxmlformats.org/officeDocument/2006/relationships/hyperlink" Target="https://www.immoscout24.ch/fr/appartement/louer/lieu-pregassona" TargetMode="External"/><Relationship Id="rId9795" Type="http://schemas.openxmlformats.org/officeDocument/2006/relationships/hyperlink" Target="https://www.immoscout24.ch/fr/maison/louer/lieu-bourguillon" TargetMode="External"/><Relationship Id="rId7133" Type="http://schemas.openxmlformats.org/officeDocument/2006/relationships/hyperlink" Target="https://www.immoscout24.ch/fr/appartement/louer/lieu-ulrichen" TargetMode="External"/><Relationship Id="rId8464" Type="http://schemas.openxmlformats.org/officeDocument/2006/relationships/hyperlink" Target="https://www.immoscout24.ch/fr/appartement/louer/lieu-safnern" TargetMode="External"/><Relationship Id="rId7132" Type="http://schemas.openxmlformats.org/officeDocument/2006/relationships/hyperlink" Target="https://www.immoscout24.ch/fr/maison/louer/lieu-lovens" TargetMode="External"/><Relationship Id="rId8463" Type="http://schemas.openxmlformats.org/officeDocument/2006/relationships/hyperlink" Target="https://www.immoscout24.ch/fr/appartement/louer/lieu-safnern" TargetMode="External"/><Relationship Id="rId7131" Type="http://schemas.openxmlformats.org/officeDocument/2006/relationships/hyperlink" Target="https://www.immoscout24.ch/fr/maison/louer/lieu-lovens" TargetMode="External"/><Relationship Id="rId8462" Type="http://schemas.openxmlformats.org/officeDocument/2006/relationships/hyperlink" Target="https://www.immoscout24.ch/fr/appartement/louer/lieu-malters" TargetMode="External"/><Relationship Id="rId9790" Type="http://schemas.openxmlformats.org/officeDocument/2006/relationships/hyperlink" Target="https://www.immoscout24.ch/fr/appartement/acheter/lieu-chavornay" TargetMode="External"/><Relationship Id="rId7130" Type="http://schemas.openxmlformats.org/officeDocument/2006/relationships/hyperlink" Target="https://www.immoscout24.ch/fr/appartement/louer/lieu-losone" TargetMode="External"/><Relationship Id="rId8461" Type="http://schemas.openxmlformats.org/officeDocument/2006/relationships/hyperlink" Target="https://www.immoscout24.ch/fr/appartement/louer/lieu-malters" TargetMode="External"/><Relationship Id="rId9791" Type="http://schemas.openxmlformats.org/officeDocument/2006/relationships/hyperlink" Target="https://www.immoscout24.ch/fr/appartement/acheter/region-rhone-arve" TargetMode="External"/><Relationship Id="rId7137" Type="http://schemas.openxmlformats.org/officeDocument/2006/relationships/hyperlink" Target="https://www.immoscout24.ch/fr/maison/louer/lieu-essert-pittet" TargetMode="External"/><Relationship Id="rId8468" Type="http://schemas.openxmlformats.org/officeDocument/2006/relationships/hyperlink" Target="https://www.immoscout24.ch/fr/appartement/acheter/lieu-orselina" TargetMode="External"/><Relationship Id="rId7136" Type="http://schemas.openxmlformats.org/officeDocument/2006/relationships/hyperlink" Target="https://www.immoscout24.ch/fr/maison/acheter/lieu-worblaufen" TargetMode="External"/><Relationship Id="rId8467" Type="http://schemas.openxmlformats.org/officeDocument/2006/relationships/hyperlink" Target="https://www.immoscout24.ch/fr/appartement/acheter/lieu-orselina" TargetMode="External"/><Relationship Id="rId7135" Type="http://schemas.openxmlformats.org/officeDocument/2006/relationships/hyperlink" Target="https://www.immoscout24.ch/fr/maison/acheter/lieu-worblaufen" TargetMode="External"/><Relationship Id="rId8466" Type="http://schemas.openxmlformats.org/officeDocument/2006/relationships/hyperlink" Target="https://www.immoscout24.ch/fr/appartement/acheter/lieu-schlierbach" TargetMode="External"/><Relationship Id="rId7134" Type="http://schemas.openxmlformats.org/officeDocument/2006/relationships/hyperlink" Target="https://www.immoscout24.ch/fr/appartement/louer/lieu-ulrichen" TargetMode="External"/><Relationship Id="rId8465" Type="http://schemas.openxmlformats.org/officeDocument/2006/relationships/hyperlink" Target="https://www.immoscout24.ch/fr/appartement/acheter/lieu-schlierbach" TargetMode="External"/><Relationship Id="rId9796" Type="http://schemas.openxmlformats.org/officeDocument/2006/relationships/hyperlink" Target="https://www.immoscout24.ch/fr/maison/louer/lieu-bourguillon" TargetMode="External"/><Relationship Id="rId9797" Type="http://schemas.openxmlformats.org/officeDocument/2006/relationships/hyperlink" Target="https://www.immoscout24.ch/fr/maison/acheter/lieu-vulliens" TargetMode="External"/><Relationship Id="rId7139" Type="http://schemas.openxmlformats.org/officeDocument/2006/relationships/hyperlink" Target="https://www.immoscout24.ch/fr/appartement/louer/lieu-avry-sur-matran" TargetMode="External"/><Relationship Id="rId9798" Type="http://schemas.openxmlformats.org/officeDocument/2006/relationships/hyperlink" Target="https://www.immoscout24.ch/fr/maison/acheter/lieu-vulliens" TargetMode="External"/><Relationship Id="rId7138" Type="http://schemas.openxmlformats.org/officeDocument/2006/relationships/hyperlink" Target="https://www.immoscout24.ch/fr/maison/louer/lieu-essert-pittet" TargetMode="External"/><Relationship Id="rId8469" Type="http://schemas.openxmlformats.org/officeDocument/2006/relationships/hyperlink" Target="https://www.immoscout24.ch/fr/appartement/acheter/lieu-bellevue" TargetMode="External"/><Relationship Id="rId9799" Type="http://schemas.openxmlformats.org/officeDocument/2006/relationships/hyperlink" Target="https://www.immoscout24.ch/fr/maison/acheter/lieu-verossaz" TargetMode="External"/><Relationship Id="rId9781" Type="http://schemas.openxmlformats.org/officeDocument/2006/relationships/hyperlink" Target="https://www.immoscout24.ch/fr/appartement/louer/lieu-tannay" TargetMode="External"/><Relationship Id="rId9782" Type="http://schemas.openxmlformats.org/officeDocument/2006/relationships/hyperlink" Target="https://www.immoscout24.ch/fr/appartement/louer/lieu-tannay" TargetMode="External"/><Relationship Id="rId9783" Type="http://schemas.openxmlformats.org/officeDocument/2006/relationships/hyperlink" Target="https://www.immoscout24.ch/fr/appartement/louer/lieu-zuerich" TargetMode="External"/><Relationship Id="rId9784" Type="http://schemas.openxmlformats.org/officeDocument/2006/relationships/hyperlink" Target="https://www.immoscout24.ch/fr/appartement/louer/lieu-zuerich" TargetMode="External"/><Relationship Id="rId7122" Type="http://schemas.openxmlformats.org/officeDocument/2006/relationships/hyperlink" Target="https://www.immoscout24.ch/fr/appartement/louer/lieu-celerina-schlarigna" TargetMode="External"/><Relationship Id="rId8453" Type="http://schemas.openxmlformats.org/officeDocument/2006/relationships/hyperlink" Target="https://www.immoscout24.ch/fr/appartement/louer/lieu-flawil" TargetMode="External"/><Relationship Id="rId7121" Type="http://schemas.openxmlformats.org/officeDocument/2006/relationships/hyperlink" Target="https://www.immoscout24.ch/fr/appartement/louer/lieu-celerina-schlarigna" TargetMode="External"/><Relationship Id="rId8452" Type="http://schemas.openxmlformats.org/officeDocument/2006/relationships/hyperlink" Target="https://www.immoscout24.ch/fr/maison/louer/lieu-siviriez" TargetMode="External"/><Relationship Id="rId7120" Type="http://schemas.openxmlformats.org/officeDocument/2006/relationships/hyperlink" Target="https://www.immoscout24.ch/fr/maison/acheter/lieu-curtilles" TargetMode="External"/><Relationship Id="rId8451" Type="http://schemas.openxmlformats.org/officeDocument/2006/relationships/hyperlink" Target="https://www.immoscout24.ch/fr/maison/louer/lieu-siviriez" TargetMode="External"/><Relationship Id="rId8450" Type="http://schemas.openxmlformats.org/officeDocument/2006/relationships/hyperlink" Target="https://www.immoscout24.ch/fr/maison/acheter/lieu-wynigen" TargetMode="External"/><Relationship Id="rId9780" Type="http://schemas.openxmlformats.org/officeDocument/2006/relationships/hyperlink" Target="https://www.immoscout24.ch/fr/maison/acheter/lieu-lajoux-ju" TargetMode="External"/><Relationship Id="rId7126" Type="http://schemas.openxmlformats.org/officeDocument/2006/relationships/hyperlink" Target="https://www.immoscout24.ch/fr/appartement/acheter/lieu-magadino" TargetMode="External"/><Relationship Id="rId8457" Type="http://schemas.openxmlformats.org/officeDocument/2006/relationships/hyperlink" Target="https://www.immoscout24.ch/fr/appartement/louer/lieu-hendschiken" TargetMode="External"/><Relationship Id="rId9789" Type="http://schemas.openxmlformats.org/officeDocument/2006/relationships/hyperlink" Target="https://www.immoscout24.ch/fr/appartement/acheter/lieu-chavornay" TargetMode="External"/><Relationship Id="rId7125" Type="http://schemas.openxmlformats.org/officeDocument/2006/relationships/hyperlink" Target="https://www.immoscout24.ch/fr/appartement/acheter/lieu-magadino" TargetMode="External"/><Relationship Id="rId8456" Type="http://schemas.openxmlformats.org/officeDocument/2006/relationships/hyperlink" Target="https://www.immoscout24.ch/fr/appartement/louer/lieu-aarberg" TargetMode="External"/><Relationship Id="rId7124" Type="http://schemas.openxmlformats.org/officeDocument/2006/relationships/hyperlink" Target="https://www.immoscout24.ch/fr/appartement/louer/lieu-steinmaur" TargetMode="External"/><Relationship Id="rId8455" Type="http://schemas.openxmlformats.org/officeDocument/2006/relationships/hyperlink" Target="https://www.immoscout24.ch/fr/appartement/louer/lieu-aarberg" TargetMode="External"/><Relationship Id="rId7123" Type="http://schemas.openxmlformats.org/officeDocument/2006/relationships/hyperlink" Target="https://www.immoscout24.ch/fr/appartement/louer/lieu-steinmaur" TargetMode="External"/><Relationship Id="rId8454" Type="http://schemas.openxmlformats.org/officeDocument/2006/relationships/hyperlink" Target="https://www.immoscout24.ch/fr/appartement/louer/lieu-flawil" TargetMode="External"/><Relationship Id="rId9785" Type="http://schemas.openxmlformats.org/officeDocument/2006/relationships/hyperlink" Target="https://www.immoscout24.ch/fr/appartement/louer/lieu-adelboden" TargetMode="External"/><Relationship Id="rId7129" Type="http://schemas.openxmlformats.org/officeDocument/2006/relationships/hyperlink" Target="https://www.immoscout24.ch/fr/appartement/louer/lieu-losone" TargetMode="External"/><Relationship Id="rId9786" Type="http://schemas.openxmlformats.org/officeDocument/2006/relationships/hyperlink" Target="https://www.immoscout24.ch/fr/appartement/louer/lieu-adelboden" TargetMode="External"/><Relationship Id="rId7128" Type="http://schemas.openxmlformats.org/officeDocument/2006/relationships/hyperlink" Target="https://www.immoscout24.ch/fr/appartement/louer/lieu-farvagny-le-petit" TargetMode="External"/><Relationship Id="rId8459" Type="http://schemas.openxmlformats.org/officeDocument/2006/relationships/hyperlink" Target="https://www.immoscout24.ch/fr/appartement/acheter/lieu-samedan" TargetMode="External"/><Relationship Id="rId9787" Type="http://schemas.openxmlformats.org/officeDocument/2006/relationships/hyperlink" Target="https://www.immoscout24.ch/fr/maison/acheter/lieu-seewen-so" TargetMode="External"/><Relationship Id="rId7127" Type="http://schemas.openxmlformats.org/officeDocument/2006/relationships/hyperlink" Target="https://www.immoscout24.ch/fr/appartement/louer/lieu-farvagny-le-petit" TargetMode="External"/><Relationship Id="rId8458" Type="http://schemas.openxmlformats.org/officeDocument/2006/relationships/hyperlink" Target="https://www.immoscout24.ch/fr/appartement/louer/lieu-hendschiken" TargetMode="External"/><Relationship Id="rId9788" Type="http://schemas.openxmlformats.org/officeDocument/2006/relationships/hyperlink" Target="https://www.immoscout24.ch/fr/maison/acheter/lieu-seewen-so" TargetMode="External"/><Relationship Id="rId11150" Type="http://schemas.openxmlformats.org/officeDocument/2006/relationships/hyperlink" Target="https://www.immoscout24.ch/fr/appartement/acheter/lieu-chiasso" TargetMode="External"/><Relationship Id="rId12481" Type="http://schemas.openxmlformats.org/officeDocument/2006/relationships/hyperlink" Target="https://www.immoscout24.ch/fr/appartement/louer/lieu-celigny" TargetMode="External"/><Relationship Id="rId12480" Type="http://schemas.openxmlformats.org/officeDocument/2006/relationships/hyperlink" Target="https://www.immoscout24.ch/fr/appartement/louer/lieu-wolhusen" TargetMode="External"/><Relationship Id="rId11149" Type="http://schemas.openxmlformats.org/officeDocument/2006/relationships/hyperlink" Target="https://www.immoscout24.ch/fr/appartement/acheter/lieu-chiasso" TargetMode="External"/><Relationship Id="rId11148" Type="http://schemas.openxmlformats.org/officeDocument/2006/relationships/hyperlink" Target="https://www.immoscout24.ch/fr/maison/acheter/lieu-gerra-gambarogno" TargetMode="External"/><Relationship Id="rId12479" Type="http://schemas.openxmlformats.org/officeDocument/2006/relationships/hyperlink" Target="https://www.immoscout24.ch/fr/appartement/louer/lieu-wolhusen" TargetMode="External"/><Relationship Id="rId11143" Type="http://schemas.openxmlformats.org/officeDocument/2006/relationships/hyperlink" Target="https://www.immoscout24.ch/fr/maison/louer/lieu-vessy" TargetMode="External"/><Relationship Id="rId12474" Type="http://schemas.openxmlformats.org/officeDocument/2006/relationships/hyperlink" Target="https://www.immoscout24.ch/fr/maison/acheter/lieu-alterswil-fr" TargetMode="External"/><Relationship Id="rId11142" Type="http://schemas.openxmlformats.org/officeDocument/2006/relationships/hyperlink" Target="https://www.immoscout24.ch/fr/appartement/louer/lieu-ecublens-vd" TargetMode="External"/><Relationship Id="rId12473" Type="http://schemas.openxmlformats.org/officeDocument/2006/relationships/hyperlink" Target="https://www.immoscout24.ch/fr/maison/acheter/lieu-alterswil-fr" TargetMode="External"/><Relationship Id="rId11141" Type="http://schemas.openxmlformats.org/officeDocument/2006/relationships/hyperlink" Target="https://www.immoscout24.ch/fr/appartement/louer/lieu-ecublens-vd" TargetMode="External"/><Relationship Id="rId12472" Type="http://schemas.openxmlformats.org/officeDocument/2006/relationships/hyperlink" Target="https://www.immoscout24.ch/fr/appartement/acheter/lieu-grandson" TargetMode="External"/><Relationship Id="rId11140" Type="http://schemas.openxmlformats.org/officeDocument/2006/relationships/hyperlink" Target="https://www.immoscout24.ch/fr/appartement/louer/lieu-gunten" TargetMode="External"/><Relationship Id="rId12471" Type="http://schemas.openxmlformats.org/officeDocument/2006/relationships/hyperlink" Target="https://www.immoscout24.ch/fr/appartement/acheter/lieu-grandson" TargetMode="External"/><Relationship Id="rId11147" Type="http://schemas.openxmlformats.org/officeDocument/2006/relationships/hyperlink" Target="https://www.immoscout24.ch/fr/maison/acheter/lieu-gerra-gambarogno" TargetMode="External"/><Relationship Id="rId12478" Type="http://schemas.openxmlformats.org/officeDocument/2006/relationships/hyperlink" Target="https://www.immoscout24.ch/fr/maison/acheter/region-bremgarten-lenzburg-muri-kulm" TargetMode="External"/><Relationship Id="rId11146" Type="http://schemas.openxmlformats.org/officeDocument/2006/relationships/hyperlink" Target="https://www.immoscout24.ch/fr/maison/acheter/lieu-lieffrens" TargetMode="External"/><Relationship Id="rId12477" Type="http://schemas.openxmlformats.org/officeDocument/2006/relationships/hyperlink" Target="https://www.immoscout24.ch/fr/maison/acheter/region-bremgarten-lenzburg-muri-kulm" TargetMode="External"/><Relationship Id="rId11145" Type="http://schemas.openxmlformats.org/officeDocument/2006/relationships/hyperlink" Target="https://www.immoscout24.ch/fr/maison/acheter/lieu-lieffrens" TargetMode="External"/><Relationship Id="rId12476" Type="http://schemas.openxmlformats.org/officeDocument/2006/relationships/hyperlink" Target="https://www.immoscout24.ch/fr/maison/louer/lieu-bettmeralp" TargetMode="External"/><Relationship Id="rId11144" Type="http://schemas.openxmlformats.org/officeDocument/2006/relationships/hyperlink" Target="https://www.immoscout24.ch/fr/maison/louer/lieu-vessy" TargetMode="External"/><Relationship Id="rId12475" Type="http://schemas.openxmlformats.org/officeDocument/2006/relationships/hyperlink" Target="https://www.immoscout24.ch/fr/maison/louer/lieu-bettmeralp" TargetMode="External"/><Relationship Id="rId11161" Type="http://schemas.openxmlformats.org/officeDocument/2006/relationships/hyperlink" Target="https://www.immoscout24.ch/fr/maison/acheter/lieu-ried-b-kerzers" TargetMode="External"/><Relationship Id="rId12492" Type="http://schemas.openxmlformats.org/officeDocument/2006/relationships/hyperlink" Target="https://www.immoscout24.ch/fr/maison/acheter/lieu-erlach" TargetMode="External"/><Relationship Id="rId11160" Type="http://schemas.openxmlformats.org/officeDocument/2006/relationships/hyperlink" Target="https://www.immoscout24.ch/fr/maison/louer/lieu-moutier" TargetMode="External"/><Relationship Id="rId12491" Type="http://schemas.openxmlformats.org/officeDocument/2006/relationships/hyperlink" Target="https://www.immoscout24.ch/fr/maison/acheter/lieu-erlach" TargetMode="External"/><Relationship Id="rId12490" Type="http://schemas.openxmlformats.org/officeDocument/2006/relationships/hyperlink" Target="https://www.immoscout24.ch/fr/appartement/louer/lieu-steffisburg" TargetMode="External"/><Relationship Id="rId11159" Type="http://schemas.openxmlformats.org/officeDocument/2006/relationships/hyperlink" Target="https://www.immoscout24.ch/fr/maison/louer/lieu-moutier" TargetMode="External"/><Relationship Id="rId11154" Type="http://schemas.openxmlformats.org/officeDocument/2006/relationships/hyperlink" Target="https://www.immoscout24.ch/fr/maison/acheter/lieu-noes" TargetMode="External"/><Relationship Id="rId12485" Type="http://schemas.openxmlformats.org/officeDocument/2006/relationships/hyperlink" Target="https://www.immoscout24.ch/fr/appartement/louer/lieu-fuellinsdorf" TargetMode="External"/><Relationship Id="rId11153" Type="http://schemas.openxmlformats.org/officeDocument/2006/relationships/hyperlink" Target="https://www.immoscout24.ch/fr/maison/acheter/lieu-noes" TargetMode="External"/><Relationship Id="rId12484" Type="http://schemas.openxmlformats.org/officeDocument/2006/relationships/hyperlink" Target="https://www.immoscout24.ch/fr/appartement/louer/lieu-vullierens" TargetMode="External"/><Relationship Id="rId11152" Type="http://schemas.openxmlformats.org/officeDocument/2006/relationships/hyperlink" Target="https://www.immoscout24.ch/fr/appartement/louer/lieu-bassecourt" TargetMode="External"/><Relationship Id="rId12483" Type="http://schemas.openxmlformats.org/officeDocument/2006/relationships/hyperlink" Target="https://www.immoscout24.ch/fr/appartement/louer/lieu-vullierens" TargetMode="External"/><Relationship Id="rId11151" Type="http://schemas.openxmlformats.org/officeDocument/2006/relationships/hyperlink" Target="https://www.immoscout24.ch/fr/appartement/louer/lieu-bassecourt" TargetMode="External"/><Relationship Id="rId12482" Type="http://schemas.openxmlformats.org/officeDocument/2006/relationships/hyperlink" Target="https://www.immoscout24.ch/fr/appartement/louer/lieu-celigny" TargetMode="External"/><Relationship Id="rId11158" Type="http://schemas.openxmlformats.org/officeDocument/2006/relationships/hyperlink" Target="https://www.immoscout24.ch/fr/appartement/louer/lieu-cernier" TargetMode="External"/><Relationship Id="rId12489" Type="http://schemas.openxmlformats.org/officeDocument/2006/relationships/hyperlink" Target="https://www.immoscout24.ch/fr/appartement/louer/lieu-steffisburg" TargetMode="External"/><Relationship Id="rId11157" Type="http://schemas.openxmlformats.org/officeDocument/2006/relationships/hyperlink" Target="https://www.immoscout24.ch/fr/appartement/louer/lieu-cernier" TargetMode="External"/><Relationship Id="rId12488" Type="http://schemas.openxmlformats.org/officeDocument/2006/relationships/hyperlink" Target="https://www.immoscout24.ch/fr/appartement/louer/lieu-schmiedrued" TargetMode="External"/><Relationship Id="rId11156" Type="http://schemas.openxmlformats.org/officeDocument/2006/relationships/hyperlink" Target="https://www.immoscout24.ch/fr/appartement/louer/lieu-chapelle-sur-moudon" TargetMode="External"/><Relationship Id="rId12487" Type="http://schemas.openxmlformats.org/officeDocument/2006/relationships/hyperlink" Target="https://www.immoscout24.ch/fr/appartement/louer/lieu-schmiedrued" TargetMode="External"/><Relationship Id="rId11155" Type="http://schemas.openxmlformats.org/officeDocument/2006/relationships/hyperlink" Target="https://www.immoscout24.ch/fr/appartement/louer/lieu-chapelle-sur-moudon" TargetMode="External"/><Relationship Id="rId12486" Type="http://schemas.openxmlformats.org/officeDocument/2006/relationships/hyperlink" Target="https://www.immoscout24.ch/fr/appartement/louer/lieu-fuellinsdorf" TargetMode="External"/><Relationship Id="rId11129" Type="http://schemas.openxmlformats.org/officeDocument/2006/relationships/hyperlink" Target="https://www.immoscout24.ch/fr/appartement/louer/lieu-jouxtens-mezery" TargetMode="External"/><Relationship Id="rId11128" Type="http://schemas.openxmlformats.org/officeDocument/2006/relationships/hyperlink" Target="https://www.immoscout24.ch/fr/appartement/acheter/lieu-chez-le-bart" TargetMode="External"/><Relationship Id="rId12459" Type="http://schemas.openxmlformats.org/officeDocument/2006/relationships/hyperlink" Target="https://www.immoscout24.ch/fr/maison/louer/lieu-villars-sur-glane" TargetMode="External"/><Relationship Id="rId11127" Type="http://schemas.openxmlformats.org/officeDocument/2006/relationships/hyperlink" Target="https://www.immoscout24.ch/fr/appartement/acheter/lieu-chez-le-bart" TargetMode="External"/><Relationship Id="rId12458" Type="http://schemas.openxmlformats.org/officeDocument/2006/relationships/hyperlink" Target="https://www.immoscout24.ch/fr/maison/acheter/region-zurich-et-environs" TargetMode="External"/><Relationship Id="rId11126" Type="http://schemas.openxmlformats.org/officeDocument/2006/relationships/hyperlink" Target="https://www.immoscout24.ch/fr/appartement/louer/lieu-chateau-d-oex" TargetMode="External"/><Relationship Id="rId12457" Type="http://schemas.openxmlformats.org/officeDocument/2006/relationships/hyperlink" Target="https://www.immoscout24.ch/fr/maison/acheter/region-zurich-et-environs" TargetMode="External"/><Relationship Id="rId11121" Type="http://schemas.openxmlformats.org/officeDocument/2006/relationships/hyperlink" Target="https://www.immoscout24.ch/fr/maison/acheter/lieu-laupersdorf" TargetMode="External"/><Relationship Id="rId12452" Type="http://schemas.openxmlformats.org/officeDocument/2006/relationships/hyperlink" Target="https://www.immoscout24.ch/fr/maison/louer/lieu-collonges" TargetMode="External"/><Relationship Id="rId11120" Type="http://schemas.openxmlformats.org/officeDocument/2006/relationships/hyperlink" Target="https://www.immoscout24.ch/fr/maison/louer/lieu-montagnola" TargetMode="External"/><Relationship Id="rId12451" Type="http://schemas.openxmlformats.org/officeDocument/2006/relationships/hyperlink" Target="https://www.immoscout24.ch/fr/maison/louer/lieu-collonges" TargetMode="External"/><Relationship Id="rId12450" Type="http://schemas.openxmlformats.org/officeDocument/2006/relationships/hyperlink" Target="https://www.immoscout24.ch/fr/appartement/louer/lieu-walzenhausen" TargetMode="External"/><Relationship Id="rId11125" Type="http://schemas.openxmlformats.org/officeDocument/2006/relationships/hyperlink" Target="https://www.immoscout24.ch/fr/appartement/louer/lieu-chateau-d-oex" TargetMode="External"/><Relationship Id="rId12456" Type="http://schemas.openxmlformats.org/officeDocument/2006/relationships/hyperlink" Target="https://www.immoscout24.ch/fr/appartement/louer/lieu-chatonnaye" TargetMode="External"/><Relationship Id="rId11124" Type="http://schemas.openxmlformats.org/officeDocument/2006/relationships/hyperlink" Target="https://www.immoscout24.ch/fr/appartement/louer/lieu-ropraz" TargetMode="External"/><Relationship Id="rId12455" Type="http://schemas.openxmlformats.org/officeDocument/2006/relationships/hyperlink" Target="https://www.immoscout24.ch/fr/appartement/louer/lieu-chatonnaye" TargetMode="External"/><Relationship Id="rId11123" Type="http://schemas.openxmlformats.org/officeDocument/2006/relationships/hyperlink" Target="https://www.immoscout24.ch/fr/appartement/louer/lieu-ropraz" TargetMode="External"/><Relationship Id="rId12454" Type="http://schemas.openxmlformats.org/officeDocument/2006/relationships/hyperlink" Target="https://www.immoscout24.ch/fr/appartement/louer/lieu-correvon" TargetMode="External"/><Relationship Id="rId11122" Type="http://schemas.openxmlformats.org/officeDocument/2006/relationships/hyperlink" Target="https://www.immoscout24.ch/fr/maison/acheter/lieu-laupersdorf" TargetMode="External"/><Relationship Id="rId12453" Type="http://schemas.openxmlformats.org/officeDocument/2006/relationships/hyperlink" Target="https://www.immoscout24.ch/fr/appartement/louer/lieu-correvon" TargetMode="External"/><Relationship Id="rId12470" Type="http://schemas.openxmlformats.org/officeDocument/2006/relationships/hyperlink" Target="https://www.immoscout24.ch/fr/appartement/acheter/lieu-capolago" TargetMode="External"/><Relationship Id="rId11139" Type="http://schemas.openxmlformats.org/officeDocument/2006/relationships/hyperlink" Target="https://www.immoscout24.ch/fr/appartement/louer/lieu-gunten" TargetMode="External"/><Relationship Id="rId11138" Type="http://schemas.openxmlformats.org/officeDocument/2006/relationships/hyperlink" Target="https://www.immoscout24.ch/fr/appartement/louer/lieu-schaan" TargetMode="External"/><Relationship Id="rId12469" Type="http://schemas.openxmlformats.org/officeDocument/2006/relationships/hyperlink" Target="https://www.immoscout24.ch/fr/appartement/acheter/lieu-capolago" TargetMode="External"/><Relationship Id="rId11137" Type="http://schemas.openxmlformats.org/officeDocument/2006/relationships/hyperlink" Target="https://www.immoscout24.ch/fr/appartement/louer/lieu-schaan" TargetMode="External"/><Relationship Id="rId12468" Type="http://schemas.openxmlformats.org/officeDocument/2006/relationships/hyperlink" Target="https://www.immoscout24.ch/fr/appartement/louer/lieu-le-lignon" TargetMode="External"/><Relationship Id="rId11132" Type="http://schemas.openxmlformats.org/officeDocument/2006/relationships/hyperlink" Target="https://www.immoscout24.ch/fr/maison/acheter/lieu-boenigen-b-interlaken" TargetMode="External"/><Relationship Id="rId12463" Type="http://schemas.openxmlformats.org/officeDocument/2006/relationships/hyperlink" Target="https://www.immoscout24.ch/fr/maison/acheter/lieu-grancy" TargetMode="External"/><Relationship Id="rId11131" Type="http://schemas.openxmlformats.org/officeDocument/2006/relationships/hyperlink" Target="https://www.immoscout24.ch/fr/maison/acheter/lieu-boenigen-b-interlaken" TargetMode="External"/><Relationship Id="rId12462" Type="http://schemas.openxmlformats.org/officeDocument/2006/relationships/hyperlink" Target="https://www.immoscout24.ch/fr/appartement/acheter/lieu-ardon" TargetMode="External"/><Relationship Id="rId11130" Type="http://schemas.openxmlformats.org/officeDocument/2006/relationships/hyperlink" Target="https://www.immoscout24.ch/fr/appartement/louer/lieu-jouxtens-mezery" TargetMode="External"/><Relationship Id="rId12461" Type="http://schemas.openxmlformats.org/officeDocument/2006/relationships/hyperlink" Target="https://www.immoscout24.ch/fr/appartement/acheter/lieu-ardon" TargetMode="External"/><Relationship Id="rId12460" Type="http://schemas.openxmlformats.org/officeDocument/2006/relationships/hyperlink" Target="https://www.immoscout24.ch/fr/maison/louer/lieu-villars-sur-glane" TargetMode="External"/><Relationship Id="rId11136" Type="http://schemas.openxmlformats.org/officeDocument/2006/relationships/hyperlink" Target="https://www.immoscout24.ch/fr/appartement/acheter/lieu-weggis" TargetMode="External"/><Relationship Id="rId12467" Type="http://schemas.openxmlformats.org/officeDocument/2006/relationships/hyperlink" Target="https://www.immoscout24.ch/fr/appartement/louer/lieu-le-lignon" TargetMode="External"/><Relationship Id="rId11135" Type="http://schemas.openxmlformats.org/officeDocument/2006/relationships/hyperlink" Target="https://www.immoscout24.ch/fr/appartement/acheter/lieu-weggis" TargetMode="External"/><Relationship Id="rId12466" Type="http://schemas.openxmlformats.org/officeDocument/2006/relationships/hyperlink" Target="https://www.immoscout24.ch/fr/maison/louer/lieu-le-cerneux-pequignot" TargetMode="External"/><Relationship Id="rId11134" Type="http://schemas.openxmlformats.org/officeDocument/2006/relationships/hyperlink" Target="https://www.immoscout24.ch/fr/maison/louer/lieu-safenwil" TargetMode="External"/><Relationship Id="rId12465" Type="http://schemas.openxmlformats.org/officeDocument/2006/relationships/hyperlink" Target="https://www.immoscout24.ch/fr/maison/louer/lieu-le-cerneux-pequignot" TargetMode="External"/><Relationship Id="rId11133" Type="http://schemas.openxmlformats.org/officeDocument/2006/relationships/hyperlink" Target="https://www.immoscout24.ch/fr/maison/louer/lieu-safenwil" TargetMode="External"/><Relationship Id="rId12464" Type="http://schemas.openxmlformats.org/officeDocument/2006/relationships/hyperlink" Target="https://www.immoscout24.ch/fr/maison/acheter/lieu-grancy" TargetMode="External"/><Relationship Id="rId11190" Type="http://schemas.openxmlformats.org/officeDocument/2006/relationships/hyperlink" Target="https://www.immoscout24.ch/fr/appartement/louer/lieu-champsec" TargetMode="External"/><Relationship Id="rId11194" Type="http://schemas.openxmlformats.org/officeDocument/2006/relationships/hyperlink" Target="https://www.immoscout24.ch/fr/appartement/acheter/lieu-breitenbach" TargetMode="External"/><Relationship Id="rId11193" Type="http://schemas.openxmlformats.org/officeDocument/2006/relationships/hyperlink" Target="https://www.immoscout24.ch/fr/appartement/acheter/lieu-breitenbach" TargetMode="External"/><Relationship Id="rId11192" Type="http://schemas.openxmlformats.org/officeDocument/2006/relationships/hyperlink" Target="https://www.immoscout24.ch/fr/appartement/louer/quartier-werd-zurich" TargetMode="External"/><Relationship Id="rId11191" Type="http://schemas.openxmlformats.org/officeDocument/2006/relationships/hyperlink" Target="https://www.immoscout24.ch/fr/appartement/louer/quartier-werd-zurich" TargetMode="External"/><Relationship Id="rId7195" Type="http://schemas.openxmlformats.org/officeDocument/2006/relationships/hyperlink" Target="https://www.immoscout24.ch/fr/maison/acheter/lieu-pomy" TargetMode="External"/><Relationship Id="rId7194" Type="http://schemas.openxmlformats.org/officeDocument/2006/relationships/hyperlink" Target="https://www.immoscout24.ch/fr/maison/acheter/lieu-walperswil" TargetMode="External"/><Relationship Id="rId7193" Type="http://schemas.openxmlformats.org/officeDocument/2006/relationships/hyperlink" Target="https://www.immoscout24.ch/fr/maison/acheter/lieu-walperswil" TargetMode="External"/><Relationship Id="rId7192" Type="http://schemas.openxmlformats.org/officeDocument/2006/relationships/hyperlink" Target="https://www.immoscout24.ch/fr/maison/acheter/lieu-montagnon-leytron" TargetMode="External"/><Relationship Id="rId7199" Type="http://schemas.openxmlformats.org/officeDocument/2006/relationships/hyperlink" Target="https://www.immoscout24.ch/fr/maison/acheter/lieu-habkern" TargetMode="External"/><Relationship Id="rId7198" Type="http://schemas.openxmlformats.org/officeDocument/2006/relationships/hyperlink" Target="https://www.immoscout24.ch/fr/maison/acheter/lieu-basel" TargetMode="External"/><Relationship Id="rId7197" Type="http://schemas.openxmlformats.org/officeDocument/2006/relationships/hyperlink" Target="https://www.immoscout24.ch/fr/maison/acheter/lieu-basel" TargetMode="External"/><Relationship Id="rId7196" Type="http://schemas.openxmlformats.org/officeDocument/2006/relationships/hyperlink" Target="https://www.immoscout24.ch/fr/maison/acheter/lieu-pomy" TargetMode="External"/><Relationship Id="rId11187" Type="http://schemas.openxmlformats.org/officeDocument/2006/relationships/hyperlink" Target="https://www.immoscout24.ch/fr/appartement/louer/quartier-beauregard-la-chaux-de-fonds" TargetMode="External"/><Relationship Id="rId11186" Type="http://schemas.openxmlformats.org/officeDocument/2006/relationships/hyperlink" Target="https://www.immoscout24.ch/fr/appartement/louer/lieu-naz" TargetMode="External"/><Relationship Id="rId11185" Type="http://schemas.openxmlformats.org/officeDocument/2006/relationships/hyperlink" Target="https://www.immoscout24.ch/fr/appartement/louer/lieu-naz" TargetMode="External"/><Relationship Id="rId11184" Type="http://schemas.openxmlformats.org/officeDocument/2006/relationships/hyperlink" Target="https://www.immoscout24.ch/fr/maison/acheter/region-lavaux-vevey" TargetMode="External"/><Relationship Id="rId11189" Type="http://schemas.openxmlformats.org/officeDocument/2006/relationships/hyperlink" Target="https://www.immoscout24.ch/fr/appartement/louer/lieu-champsec" TargetMode="External"/><Relationship Id="rId11188" Type="http://schemas.openxmlformats.org/officeDocument/2006/relationships/hyperlink" Target="https://www.immoscout24.ch/fr/appartement/louer/quartier-beauregard-la-chaux-de-fonds" TargetMode="External"/><Relationship Id="rId7191" Type="http://schemas.openxmlformats.org/officeDocument/2006/relationships/hyperlink" Target="https://www.immoscout24.ch/fr/maison/acheter/lieu-montagnon-leytron" TargetMode="External"/><Relationship Id="rId7190" Type="http://schemas.openxmlformats.org/officeDocument/2006/relationships/hyperlink" Target="https://www.immoscout24.ch/fr/maison/acheter/lieu-castel-san-pietro" TargetMode="External"/><Relationship Id="rId7184" Type="http://schemas.openxmlformats.org/officeDocument/2006/relationships/hyperlink" Target="https://www.immoscout24.ch/fr/appartement/louer/lieu-ligerz" TargetMode="External"/><Relationship Id="rId7183" Type="http://schemas.openxmlformats.org/officeDocument/2006/relationships/hyperlink" Target="https://www.immoscout24.ch/fr/appartement/louer/lieu-ligerz" TargetMode="External"/><Relationship Id="rId7182" Type="http://schemas.openxmlformats.org/officeDocument/2006/relationships/hyperlink" Target="https://www.immoscout24.ch/fr/appartement/louer/lieu-demoret" TargetMode="External"/><Relationship Id="rId7181" Type="http://schemas.openxmlformats.org/officeDocument/2006/relationships/hyperlink" Target="https://www.immoscout24.ch/fr/appartement/louer/lieu-demoret" TargetMode="External"/><Relationship Id="rId7188" Type="http://schemas.openxmlformats.org/officeDocument/2006/relationships/hyperlink" Target="https://www.immoscout24.ch/fr/maison/louer/lieu-vevey" TargetMode="External"/><Relationship Id="rId7187" Type="http://schemas.openxmlformats.org/officeDocument/2006/relationships/hyperlink" Target="https://www.immoscout24.ch/fr/maison/louer/lieu-vevey" TargetMode="External"/><Relationship Id="rId7186" Type="http://schemas.openxmlformats.org/officeDocument/2006/relationships/hyperlink" Target="https://www.immoscout24.ch/fr/maison/acheter/lieu-mission" TargetMode="External"/><Relationship Id="rId7185" Type="http://schemas.openxmlformats.org/officeDocument/2006/relationships/hyperlink" Target="https://www.immoscout24.ch/fr/maison/acheter/lieu-mission" TargetMode="External"/><Relationship Id="rId11198" Type="http://schemas.openxmlformats.org/officeDocument/2006/relationships/hyperlink" Target="https://www.immoscout24.ch/fr/maison/acheter/lieu-noiraigue" TargetMode="External"/><Relationship Id="rId11197" Type="http://schemas.openxmlformats.org/officeDocument/2006/relationships/hyperlink" Target="https://www.immoscout24.ch/fr/maison/acheter/lieu-noiraigue" TargetMode="External"/><Relationship Id="rId11196" Type="http://schemas.openxmlformats.org/officeDocument/2006/relationships/hyperlink" Target="https://www.immoscout24.ch/fr/maison/acheter/lieu-roethenbach-im-emmental" TargetMode="External"/><Relationship Id="rId7189" Type="http://schemas.openxmlformats.org/officeDocument/2006/relationships/hyperlink" Target="https://www.immoscout24.ch/fr/maison/acheter/lieu-castel-san-pietro" TargetMode="External"/><Relationship Id="rId11195" Type="http://schemas.openxmlformats.org/officeDocument/2006/relationships/hyperlink" Target="https://www.immoscout24.ch/fr/maison/acheter/lieu-roethenbach-im-emmental" TargetMode="External"/><Relationship Id="rId11199" Type="http://schemas.openxmlformats.org/officeDocument/2006/relationships/hyperlink" Target="https://www.immoscout24.ch/fr/appartement/acheter/lieu-villars-sur-glane" TargetMode="External"/><Relationship Id="rId11172" Type="http://schemas.openxmlformats.org/officeDocument/2006/relationships/hyperlink" Target="https://www.immoscout24.ch/fr/appartement/acheter/region-surselva" TargetMode="External"/><Relationship Id="rId11171" Type="http://schemas.openxmlformats.org/officeDocument/2006/relationships/hyperlink" Target="https://www.immoscout24.ch/fr/appartement/acheter/region-surselva" TargetMode="External"/><Relationship Id="rId11170" Type="http://schemas.openxmlformats.org/officeDocument/2006/relationships/hyperlink" Target="https://www.immoscout24.ch/fr/maison/acheter/lieu-le-landeron" TargetMode="External"/><Relationship Id="rId11165" Type="http://schemas.openxmlformats.org/officeDocument/2006/relationships/hyperlink" Target="https://www.immoscout24.ch/fr/appartement/louer/lieu-peseux" TargetMode="External"/><Relationship Id="rId12496" Type="http://schemas.openxmlformats.org/officeDocument/2006/relationships/hyperlink" Target="https://www.immoscout24.ch/fr/maison/acheter/lieu-riex" TargetMode="External"/><Relationship Id="rId11164" Type="http://schemas.openxmlformats.org/officeDocument/2006/relationships/hyperlink" Target="https://www.immoscout24.ch/fr/maison/louer/lieu-bre-sopra-lugano" TargetMode="External"/><Relationship Id="rId12495" Type="http://schemas.openxmlformats.org/officeDocument/2006/relationships/hyperlink" Target="https://www.immoscout24.ch/fr/maison/acheter/lieu-riex" TargetMode="External"/><Relationship Id="rId11163" Type="http://schemas.openxmlformats.org/officeDocument/2006/relationships/hyperlink" Target="https://www.immoscout24.ch/fr/maison/louer/lieu-bre-sopra-lugano" TargetMode="External"/><Relationship Id="rId12494" Type="http://schemas.openxmlformats.org/officeDocument/2006/relationships/hyperlink" Target="https://www.immoscout24.ch/fr/maison/acheter/lieu-mollens-vs" TargetMode="External"/><Relationship Id="rId11162" Type="http://schemas.openxmlformats.org/officeDocument/2006/relationships/hyperlink" Target="https://www.immoscout24.ch/fr/maison/acheter/lieu-ried-b-kerzers" TargetMode="External"/><Relationship Id="rId12493" Type="http://schemas.openxmlformats.org/officeDocument/2006/relationships/hyperlink" Target="https://www.immoscout24.ch/fr/maison/acheter/lieu-mollens-vs" TargetMode="External"/><Relationship Id="rId11169" Type="http://schemas.openxmlformats.org/officeDocument/2006/relationships/hyperlink" Target="https://www.immoscout24.ch/fr/maison/acheter/lieu-le-landeron" TargetMode="External"/><Relationship Id="rId11168" Type="http://schemas.openxmlformats.org/officeDocument/2006/relationships/hyperlink" Target="https://www.immoscout24.ch/fr/appartement/louer/lieu-bottens" TargetMode="External"/><Relationship Id="rId12499" Type="http://schemas.openxmlformats.org/officeDocument/2006/relationships/hyperlink" Target="https://www.immoscout24.ch/fr/appartement/louer/quartier-wesemlin-dreilinden-lucerne" TargetMode="External"/><Relationship Id="rId11167" Type="http://schemas.openxmlformats.org/officeDocument/2006/relationships/hyperlink" Target="https://www.immoscout24.ch/fr/appartement/louer/lieu-bottens" TargetMode="External"/><Relationship Id="rId12498" Type="http://schemas.openxmlformats.org/officeDocument/2006/relationships/hyperlink" Target="https://www.immoscout24.ch/fr/maison/louer/lieu-bole" TargetMode="External"/><Relationship Id="rId11166" Type="http://schemas.openxmlformats.org/officeDocument/2006/relationships/hyperlink" Target="https://www.immoscout24.ch/fr/appartement/louer/lieu-peseux" TargetMode="External"/><Relationship Id="rId12497" Type="http://schemas.openxmlformats.org/officeDocument/2006/relationships/hyperlink" Target="https://www.immoscout24.ch/fr/maison/louer/lieu-bole" TargetMode="External"/><Relationship Id="rId11183" Type="http://schemas.openxmlformats.org/officeDocument/2006/relationships/hyperlink" Target="https://www.immoscout24.ch/fr/maison/acheter/region-lavaux-vevey" TargetMode="External"/><Relationship Id="rId11182" Type="http://schemas.openxmlformats.org/officeDocument/2006/relationships/hyperlink" Target="https://www.immoscout24.ch/fr/appartement/louer/lieu-veysonnaz" TargetMode="External"/><Relationship Id="rId11181" Type="http://schemas.openxmlformats.org/officeDocument/2006/relationships/hyperlink" Target="https://www.immoscout24.ch/fr/appartement/louer/lieu-veysonnaz" TargetMode="External"/><Relationship Id="rId11180" Type="http://schemas.openxmlformats.org/officeDocument/2006/relationships/hyperlink" Target="https://www.immoscout24.ch/fr/maison/acheter/lieu-ronco-sopra-ascona" TargetMode="External"/><Relationship Id="rId11176" Type="http://schemas.openxmlformats.org/officeDocument/2006/relationships/hyperlink" Target="https://www.immoscout24.ch/fr/appartement/louer/lieu-bure" TargetMode="External"/><Relationship Id="rId11175" Type="http://schemas.openxmlformats.org/officeDocument/2006/relationships/hyperlink" Target="https://www.immoscout24.ch/fr/appartement/louer/lieu-bure" TargetMode="External"/><Relationship Id="rId11174" Type="http://schemas.openxmlformats.org/officeDocument/2006/relationships/hyperlink" Target="https://www.immoscout24.ch/fr/appartement/louer/lieu-savigny" TargetMode="External"/><Relationship Id="rId11173" Type="http://schemas.openxmlformats.org/officeDocument/2006/relationships/hyperlink" Target="https://www.immoscout24.ch/fr/appartement/louer/lieu-savigny" TargetMode="External"/><Relationship Id="rId11179" Type="http://schemas.openxmlformats.org/officeDocument/2006/relationships/hyperlink" Target="https://www.immoscout24.ch/fr/maison/acheter/lieu-ronco-sopra-ascona" TargetMode="External"/><Relationship Id="rId11178" Type="http://schemas.openxmlformats.org/officeDocument/2006/relationships/hyperlink" Target="https://www.immoscout24.ch/fr/maison/louer/lieu-le-chable-vs" TargetMode="External"/><Relationship Id="rId11177" Type="http://schemas.openxmlformats.org/officeDocument/2006/relationships/hyperlink" Target="https://www.immoscout24.ch/fr/maison/louer/lieu-le-chable-vs" TargetMode="External"/><Relationship Id="rId12405" Type="http://schemas.openxmlformats.org/officeDocument/2006/relationships/hyperlink" Target="https://www.immoscout24.ch/fr/appartement/louer/lieu-le-bemont-ju" TargetMode="External"/><Relationship Id="rId12404" Type="http://schemas.openxmlformats.org/officeDocument/2006/relationships/hyperlink" Target="https://www.immoscout24.ch/fr/appartement/acheter/lieu-derendingen" TargetMode="External"/><Relationship Id="rId12403" Type="http://schemas.openxmlformats.org/officeDocument/2006/relationships/hyperlink" Target="https://www.immoscout24.ch/fr/appartement/acheter/lieu-derendingen" TargetMode="External"/><Relationship Id="rId12402" Type="http://schemas.openxmlformats.org/officeDocument/2006/relationships/hyperlink" Target="https://www.immoscout24.ch/fr/appartement/louer/lieu-zumikon" TargetMode="External"/><Relationship Id="rId12409" Type="http://schemas.openxmlformats.org/officeDocument/2006/relationships/hyperlink" Target="https://www.immoscout24.ch/fr/appartement/acheter/lieu-merligen" TargetMode="External"/><Relationship Id="rId12408" Type="http://schemas.openxmlformats.org/officeDocument/2006/relationships/hyperlink" Target="https://www.immoscout24.ch/fr/appartement/acheter/lieu-martigny" TargetMode="External"/><Relationship Id="rId12407" Type="http://schemas.openxmlformats.org/officeDocument/2006/relationships/hyperlink" Target="https://www.immoscout24.ch/fr/appartement/acheter/lieu-martigny" TargetMode="External"/><Relationship Id="rId12406" Type="http://schemas.openxmlformats.org/officeDocument/2006/relationships/hyperlink" Target="https://www.immoscout24.ch/fr/appartement/louer/lieu-le-bemont-ju" TargetMode="External"/><Relationship Id="rId12401" Type="http://schemas.openxmlformats.org/officeDocument/2006/relationships/hyperlink" Target="https://www.immoscout24.ch/fr/appartement/louer/lieu-zumikon" TargetMode="External"/><Relationship Id="rId12400" Type="http://schemas.openxmlformats.org/officeDocument/2006/relationships/hyperlink" Target="https://www.immoscout24.ch/fr/appartement/louer/lieu-trelex" TargetMode="External"/><Relationship Id="rId11107" Type="http://schemas.openxmlformats.org/officeDocument/2006/relationships/hyperlink" Target="https://www.immoscout24.ch/fr/appartement/acheter/lieu-lavey-village" TargetMode="External"/><Relationship Id="rId12438" Type="http://schemas.openxmlformats.org/officeDocument/2006/relationships/hyperlink" Target="https://www.immoscout24.ch/fr/maison/acheter/lieu-veytaux" TargetMode="External"/><Relationship Id="rId11106" Type="http://schemas.openxmlformats.org/officeDocument/2006/relationships/hyperlink" Target="https://www.immoscout24.ch/fr/appartement/louer/lieu-krauchthal" TargetMode="External"/><Relationship Id="rId12437" Type="http://schemas.openxmlformats.org/officeDocument/2006/relationships/hyperlink" Target="https://www.immoscout24.ch/fr/maison/acheter/lieu-veytaux" TargetMode="External"/><Relationship Id="rId11105" Type="http://schemas.openxmlformats.org/officeDocument/2006/relationships/hyperlink" Target="https://www.immoscout24.ch/fr/appartement/louer/lieu-krauchthal" TargetMode="External"/><Relationship Id="rId12436" Type="http://schemas.openxmlformats.org/officeDocument/2006/relationships/hyperlink" Target="https://www.immoscout24.ch/fr/maison/louer/lieu-vernier" TargetMode="External"/><Relationship Id="rId11104" Type="http://schemas.openxmlformats.org/officeDocument/2006/relationships/hyperlink" Target="https://www.immoscout24.ch/fr/appartement/louer/region-glaris-et-environs" TargetMode="External"/><Relationship Id="rId12435" Type="http://schemas.openxmlformats.org/officeDocument/2006/relationships/hyperlink" Target="https://www.immoscout24.ch/fr/maison/louer/lieu-vernier" TargetMode="External"/><Relationship Id="rId11109" Type="http://schemas.openxmlformats.org/officeDocument/2006/relationships/hyperlink" Target="https://www.immoscout24.ch/fr/appartement/louer/quartier-montchoisi-lausanne" TargetMode="External"/><Relationship Id="rId11108" Type="http://schemas.openxmlformats.org/officeDocument/2006/relationships/hyperlink" Target="https://www.immoscout24.ch/fr/appartement/acheter/lieu-lavey-village" TargetMode="External"/><Relationship Id="rId12439" Type="http://schemas.openxmlformats.org/officeDocument/2006/relationships/hyperlink" Target="https://www.immoscout24.ch/fr/appartement/louer/lieu-wabern" TargetMode="External"/><Relationship Id="rId12430" Type="http://schemas.openxmlformats.org/officeDocument/2006/relationships/hyperlink" Target="https://www.immoscout24.ch/fr/maison/acheter/lieu-pont-veveyse" TargetMode="External"/><Relationship Id="rId11103" Type="http://schemas.openxmlformats.org/officeDocument/2006/relationships/hyperlink" Target="https://www.immoscout24.ch/fr/appartement/louer/region-glaris-et-environs" TargetMode="External"/><Relationship Id="rId12434" Type="http://schemas.openxmlformats.org/officeDocument/2006/relationships/hyperlink" Target="https://www.immoscout24.ch/fr/appartement/acheter/lieu-chesieres" TargetMode="External"/><Relationship Id="rId11102" Type="http://schemas.openxmlformats.org/officeDocument/2006/relationships/hyperlink" Target="https://www.immoscout24.ch/fr/appartement/acheter/lieu-st-prex" TargetMode="External"/><Relationship Id="rId12433" Type="http://schemas.openxmlformats.org/officeDocument/2006/relationships/hyperlink" Target="https://www.immoscout24.ch/fr/appartement/acheter/lieu-chesieres" TargetMode="External"/><Relationship Id="rId11101" Type="http://schemas.openxmlformats.org/officeDocument/2006/relationships/hyperlink" Target="https://www.immoscout24.ch/fr/appartement/acheter/lieu-st-prex" TargetMode="External"/><Relationship Id="rId12432" Type="http://schemas.openxmlformats.org/officeDocument/2006/relationships/hyperlink" Target="https://www.immoscout24.ch/fr/maison/louer/lieu-chavannes-sur-moudon" TargetMode="External"/><Relationship Id="rId11100" Type="http://schemas.openxmlformats.org/officeDocument/2006/relationships/hyperlink" Target="https://www.immoscout24.ch/fr/maison/acheter/lieu-puplinge" TargetMode="External"/><Relationship Id="rId12431" Type="http://schemas.openxmlformats.org/officeDocument/2006/relationships/hyperlink" Target="https://www.immoscout24.ch/fr/maison/louer/lieu-chavannes-sur-moudon" TargetMode="External"/><Relationship Id="rId11118" Type="http://schemas.openxmlformats.org/officeDocument/2006/relationships/hyperlink" Target="https://www.immoscout24.ch/fr/maison/acheter/quartier-thoerishaus-koeniz" TargetMode="External"/><Relationship Id="rId12449" Type="http://schemas.openxmlformats.org/officeDocument/2006/relationships/hyperlink" Target="https://www.immoscout24.ch/fr/appartement/louer/lieu-walzenhausen" TargetMode="External"/><Relationship Id="rId11117" Type="http://schemas.openxmlformats.org/officeDocument/2006/relationships/hyperlink" Target="https://www.immoscout24.ch/fr/maison/acheter/quartier-thoerishaus-koeniz" TargetMode="External"/><Relationship Id="rId12448" Type="http://schemas.openxmlformats.org/officeDocument/2006/relationships/hyperlink" Target="https://www.immoscout24.ch/fr/maison/louer/lieu-holderbank-so" TargetMode="External"/><Relationship Id="rId11116" Type="http://schemas.openxmlformats.org/officeDocument/2006/relationships/hyperlink" Target="https://www.immoscout24.ch/fr/appartement/louer/lieu-esmonts" TargetMode="External"/><Relationship Id="rId12447" Type="http://schemas.openxmlformats.org/officeDocument/2006/relationships/hyperlink" Target="https://www.immoscout24.ch/fr/maison/louer/lieu-holderbank-so" TargetMode="External"/><Relationship Id="rId11115" Type="http://schemas.openxmlformats.org/officeDocument/2006/relationships/hyperlink" Target="https://www.immoscout24.ch/fr/appartement/louer/lieu-esmonts" TargetMode="External"/><Relationship Id="rId12446" Type="http://schemas.openxmlformats.org/officeDocument/2006/relationships/hyperlink" Target="https://www.immoscout24.ch/fr/appartement/louer/lieu-wetzikon-zh" TargetMode="External"/><Relationship Id="rId11119" Type="http://schemas.openxmlformats.org/officeDocument/2006/relationships/hyperlink" Target="https://www.immoscout24.ch/fr/maison/louer/lieu-montagnola" TargetMode="External"/><Relationship Id="rId11110" Type="http://schemas.openxmlformats.org/officeDocument/2006/relationships/hyperlink" Target="https://www.immoscout24.ch/fr/appartement/louer/quartier-montchoisi-lausanne" TargetMode="External"/><Relationship Id="rId12441" Type="http://schemas.openxmlformats.org/officeDocument/2006/relationships/hyperlink" Target="https://www.immoscout24.ch/fr/appartement/louer/lieu-wohlen-ag" TargetMode="External"/><Relationship Id="rId12440" Type="http://schemas.openxmlformats.org/officeDocument/2006/relationships/hyperlink" Target="https://www.immoscout24.ch/fr/appartement/louer/lieu-wabern" TargetMode="External"/><Relationship Id="rId11114" Type="http://schemas.openxmlformats.org/officeDocument/2006/relationships/hyperlink" Target="https://www.immoscout24.ch/fr/appartement/louer/lieu-aigle" TargetMode="External"/><Relationship Id="rId12445" Type="http://schemas.openxmlformats.org/officeDocument/2006/relationships/hyperlink" Target="https://www.immoscout24.ch/fr/appartement/louer/lieu-wetzikon-zh" TargetMode="External"/><Relationship Id="rId11113" Type="http://schemas.openxmlformats.org/officeDocument/2006/relationships/hyperlink" Target="https://www.immoscout24.ch/fr/appartement/louer/lieu-aigle" TargetMode="External"/><Relationship Id="rId12444" Type="http://schemas.openxmlformats.org/officeDocument/2006/relationships/hyperlink" Target="https://www.immoscout24.ch/fr/maison/louer/pays-tunisie" TargetMode="External"/><Relationship Id="rId11112" Type="http://schemas.openxmlformats.org/officeDocument/2006/relationships/hyperlink" Target="https://www.immoscout24.ch/fr/maison/louer/lieu-meyrin" TargetMode="External"/><Relationship Id="rId12443" Type="http://schemas.openxmlformats.org/officeDocument/2006/relationships/hyperlink" Target="https://www.immoscout24.ch/fr/maison/louer/pays-tunisie" TargetMode="External"/><Relationship Id="rId11111" Type="http://schemas.openxmlformats.org/officeDocument/2006/relationships/hyperlink" Target="https://www.immoscout24.ch/fr/maison/louer/lieu-meyrin" TargetMode="External"/><Relationship Id="rId12442" Type="http://schemas.openxmlformats.org/officeDocument/2006/relationships/hyperlink" Target="https://www.immoscout24.ch/fr/appartement/louer/lieu-wohlen-ag" TargetMode="External"/><Relationship Id="rId12416" Type="http://schemas.openxmlformats.org/officeDocument/2006/relationships/hyperlink" Target="https://www.immoscout24.ch/fr/appartement/acheter/lieu-aminona" TargetMode="External"/><Relationship Id="rId12415" Type="http://schemas.openxmlformats.org/officeDocument/2006/relationships/hyperlink" Target="https://www.immoscout24.ch/fr/appartement/acheter/lieu-aminona" TargetMode="External"/><Relationship Id="rId12414" Type="http://schemas.openxmlformats.org/officeDocument/2006/relationships/hyperlink" Target="https://www.immoscout24.ch/fr/maison/louer/lieu-wil-sg" TargetMode="External"/><Relationship Id="rId12413" Type="http://schemas.openxmlformats.org/officeDocument/2006/relationships/hyperlink" Target="https://www.immoscout24.ch/fr/maison/louer/lieu-wil-sg" TargetMode="External"/><Relationship Id="rId12419" Type="http://schemas.openxmlformats.org/officeDocument/2006/relationships/hyperlink" Target="https://www.immoscout24.ch/fr/appartement/louer/lieu-flamatt" TargetMode="External"/><Relationship Id="rId12418" Type="http://schemas.openxmlformats.org/officeDocument/2006/relationships/hyperlink" Target="https://www.immoscout24.ch/fr/maison/acheter/lieu-finhaut" TargetMode="External"/><Relationship Id="rId12417" Type="http://schemas.openxmlformats.org/officeDocument/2006/relationships/hyperlink" Target="https://www.immoscout24.ch/fr/maison/acheter/lieu-finhaut" TargetMode="External"/><Relationship Id="rId12412" Type="http://schemas.openxmlformats.org/officeDocument/2006/relationships/hyperlink" Target="https://www.immoscout24.ch/fr/appartement/louer/lieu-morcles" TargetMode="External"/><Relationship Id="rId12411" Type="http://schemas.openxmlformats.org/officeDocument/2006/relationships/hyperlink" Target="https://www.immoscout24.ch/fr/appartement/louer/lieu-morcles" TargetMode="External"/><Relationship Id="rId12410" Type="http://schemas.openxmlformats.org/officeDocument/2006/relationships/hyperlink" Target="https://www.immoscout24.ch/fr/appartement/acheter/lieu-merligen" TargetMode="External"/><Relationship Id="rId12427" Type="http://schemas.openxmlformats.org/officeDocument/2006/relationships/hyperlink" Target="https://www.immoscout24.ch/fr/appartement/acheter/lieu-farvagny" TargetMode="External"/><Relationship Id="rId12426" Type="http://schemas.openxmlformats.org/officeDocument/2006/relationships/hyperlink" Target="https://www.immoscout24.ch/fr/appartement/louer/quartier-centre-la-chaux-de-fonds" TargetMode="External"/><Relationship Id="rId12425" Type="http://schemas.openxmlformats.org/officeDocument/2006/relationships/hyperlink" Target="https://www.immoscout24.ch/fr/appartement/louer/quartier-centre-la-chaux-de-fonds" TargetMode="External"/><Relationship Id="rId12424" Type="http://schemas.openxmlformats.org/officeDocument/2006/relationships/hyperlink" Target="https://www.immoscout24.ch/fr/appartement/louer/lieu-le-landeron" TargetMode="External"/><Relationship Id="rId12429" Type="http://schemas.openxmlformats.org/officeDocument/2006/relationships/hyperlink" Target="https://www.immoscout24.ch/fr/maison/acheter/lieu-pont-veveyse" TargetMode="External"/><Relationship Id="rId12428" Type="http://schemas.openxmlformats.org/officeDocument/2006/relationships/hyperlink" Target="https://www.immoscout24.ch/fr/appartement/acheter/lieu-farvagny" TargetMode="External"/><Relationship Id="rId12423" Type="http://schemas.openxmlformats.org/officeDocument/2006/relationships/hyperlink" Target="https://www.immoscout24.ch/fr/appartement/louer/lieu-le-landeron" TargetMode="External"/><Relationship Id="rId12422" Type="http://schemas.openxmlformats.org/officeDocument/2006/relationships/hyperlink" Target="https://www.immoscout24.ch/fr/maison/acheter/lieu-monthey" TargetMode="External"/><Relationship Id="rId12421" Type="http://schemas.openxmlformats.org/officeDocument/2006/relationships/hyperlink" Target="https://www.immoscout24.ch/fr/maison/acheter/lieu-monthey" TargetMode="External"/><Relationship Id="rId12420" Type="http://schemas.openxmlformats.org/officeDocument/2006/relationships/hyperlink" Target="https://www.immoscout24.ch/fr/appartement/louer/lieu-flamatt" TargetMode="External"/><Relationship Id="rId8529" Type="http://schemas.openxmlformats.org/officeDocument/2006/relationships/hyperlink" Target="https://www.immoscout24.ch/fr/maison/acheter/lieu-courtemaiche" TargetMode="External"/><Relationship Id="rId8528" Type="http://schemas.openxmlformats.org/officeDocument/2006/relationships/hyperlink" Target="https://www.immoscout24.ch/fr/appartement/louer/quartier-gewerbeschule-zurich" TargetMode="External"/><Relationship Id="rId9859" Type="http://schemas.openxmlformats.org/officeDocument/2006/relationships/hyperlink" Target="https://www.immoscout24.ch/fr/maison/louer/lieu-plan-les-ouates" TargetMode="External"/><Relationship Id="rId9850" Type="http://schemas.openxmlformats.org/officeDocument/2006/relationships/hyperlink" Target="https://www.immoscout24.ch/fr/appartement/louer/lieu-mollens-vd" TargetMode="External"/><Relationship Id="rId8523" Type="http://schemas.openxmlformats.org/officeDocument/2006/relationships/hyperlink" Target="https://www.immoscout24.ch/fr/appartement/acheter/quartier-mache-biel-bienne" TargetMode="External"/><Relationship Id="rId9855" Type="http://schemas.openxmlformats.org/officeDocument/2006/relationships/hyperlink" Target="https://www.immoscout24.ch/fr/maison/louer/lieu-ollon-vd" TargetMode="External"/><Relationship Id="rId8522" Type="http://schemas.openxmlformats.org/officeDocument/2006/relationships/hyperlink" Target="https://www.immoscout24.ch/fr/maison/acheter/lieu-allaman" TargetMode="External"/><Relationship Id="rId9856" Type="http://schemas.openxmlformats.org/officeDocument/2006/relationships/hyperlink" Target="https://www.immoscout24.ch/fr/maison/louer/lieu-ollon-vd" TargetMode="External"/><Relationship Id="rId8521" Type="http://schemas.openxmlformats.org/officeDocument/2006/relationships/hyperlink" Target="https://www.immoscout24.ch/fr/maison/acheter/lieu-allaman" TargetMode="External"/><Relationship Id="rId9857" Type="http://schemas.openxmlformats.org/officeDocument/2006/relationships/hyperlink" Target="https://www.immoscout24.ch/fr/appartement/louer/quartier-sebeillon-malley-lausanne" TargetMode="External"/><Relationship Id="rId8520" Type="http://schemas.openxmlformats.org/officeDocument/2006/relationships/hyperlink" Target="https://www.immoscout24.ch/fr/maison/acheter/lieu-corbeyrier" TargetMode="External"/><Relationship Id="rId9858" Type="http://schemas.openxmlformats.org/officeDocument/2006/relationships/hyperlink" Target="https://www.immoscout24.ch/fr/appartement/louer/quartier-sebeillon-malley-lausanne" TargetMode="External"/><Relationship Id="rId8527" Type="http://schemas.openxmlformats.org/officeDocument/2006/relationships/hyperlink" Target="https://www.immoscout24.ch/fr/appartement/louer/quartier-gewerbeschule-zurich" TargetMode="External"/><Relationship Id="rId9851" Type="http://schemas.openxmlformats.org/officeDocument/2006/relationships/hyperlink" Target="https://www.immoscout24.ch/fr/maison/acheter/lieu-oberried-am-brienzersee" TargetMode="External"/><Relationship Id="rId8526" Type="http://schemas.openxmlformats.org/officeDocument/2006/relationships/hyperlink" Target="https://www.immoscout24.ch/fr/appartement/acheter/lieu-etagnieres" TargetMode="External"/><Relationship Id="rId9852" Type="http://schemas.openxmlformats.org/officeDocument/2006/relationships/hyperlink" Target="https://www.immoscout24.ch/fr/maison/acheter/lieu-oberried-am-brienzersee" TargetMode="External"/><Relationship Id="rId8525" Type="http://schemas.openxmlformats.org/officeDocument/2006/relationships/hyperlink" Target="https://www.immoscout24.ch/fr/appartement/acheter/lieu-etagnieres" TargetMode="External"/><Relationship Id="rId9853" Type="http://schemas.openxmlformats.org/officeDocument/2006/relationships/hyperlink" Target="https://www.immoscout24.ch/fr/maison/acheter/lieu-thun" TargetMode="External"/><Relationship Id="rId8524" Type="http://schemas.openxmlformats.org/officeDocument/2006/relationships/hyperlink" Target="https://www.immoscout24.ch/fr/appartement/acheter/quartier-mache-biel-bienne" TargetMode="External"/><Relationship Id="rId9854" Type="http://schemas.openxmlformats.org/officeDocument/2006/relationships/hyperlink" Target="https://www.immoscout24.ch/fr/maison/acheter/lieu-thun" TargetMode="External"/><Relationship Id="rId8519" Type="http://schemas.openxmlformats.org/officeDocument/2006/relationships/hyperlink" Target="https://www.immoscout24.ch/fr/maison/acheter/lieu-corbeyrier" TargetMode="External"/><Relationship Id="rId8518" Type="http://schemas.openxmlformats.org/officeDocument/2006/relationships/hyperlink" Target="https://www.immoscout24.ch/fr/appartement/louer/lieu-st-sulpice-ne" TargetMode="External"/><Relationship Id="rId8517" Type="http://schemas.openxmlformats.org/officeDocument/2006/relationships/hyperlink" Target="https://www.immoscout24.ch/fr/appartement/louer/lieu-st-sulpice-ne" TargetMode="External"/><Relationship Id="rId9848" Type="http://schemas.openxmlformats.org/officeDocument/2006/relationships/hyperlink" Target="https://www.immoscout24.ch/fr/appartement/louer/lieu-kandersteg" TargetMode="External"/><Relationship Id="rId9849" Type="http://schemas.openxmlformats.org/officeDocument/2006/relationships/hyperlink" Target="https://www.immoscout24.ch/fr/appartement/louer/lieu-mollens-vd" TargetMode="External"/><Relationship Id="rId8512" Type="http://schemas.openxmlformats.org/officeDocument/2006/relationships/hyperlink" Target="https://www.immoscout24.ch/fr/maison/acheter/lieu-st-triphon" TargetMode="External"/><Relationship Id="rId9844" Type="http://schemas.openxmlformats.org/officeDocument/2006/relationships/hyperlink" Target="https://www.immoscout24.ch/fr/appartement/acheter/lieu-muraz-collombey" TargetMode="External"/><Relationship Id="rId8511" Type="http://schemas.openxmlformats.org/officeDocument/2006/relationships/hyperlink" Target="https://www.immoscout24.ch/fr/maison/acheter/lieu-st-triphon" TargetMode="External"/><Relationship Id="rId9845" Type="http://schemas.openxmlformats.org/officeDocument/2006/relationships/hyperlink" Target="https://www.immoscout24.ch/fr/maison/louer/lieu-caslano" TargetMode="External"/><Relationship Id="rId8510" Type="http://schemas.openxmlformats.org/officeDocument/2006/relationships/hyperlink" Target="https://www.immoscout24.ch/fr/maison/acheter/lieu-chavannes-de-bogis" TargetMode="External"/><Relationship Id="rId9846" Type="http://schemas.openxmlformats.org/officeDocument/2006/relationships/hyperlink" Target="https://www.immoscout24.ch/fr/maison/louer/lieu-caslano" TargetMode="External"/><Relationship Id="rId9847" Type="http://schemas.openxmlformats.org/officeDocument/2006/relationships/hyperlink" Target="https://www.immoscout24.ch/fr/appartement/louer/lieu-kandersteg" TargetMode="External"/><Relationship Id="rId8516" Type="http://schemas.openxmlformats.org/officeDocument/2006/relationships/hyperlink" Target="https://www.immoscout24.ch/fr/appartement/acheter/lieu-st-blaise" TargetMode="External"/><Relationship Id="rId9840" Type="http://schemas.openxmlformats.org/officeDocument/2006/relationships/hyperlink" Target="https://www.immoscout24.ch/fr/appartement/louer/lieu-rafz" TargetMode="External"/><Relationship Id="rId8515" Type="http://schemas.openxmlformats.org/officeDocument/2006/relationships/hyperlink" Target="https://www.immoscout24.ch/fr/appartement/acheter/lieu-st-blaise" TargetMode="External"/><Relationship Id="rId9841" Type="http://schemas.openxmlformats.org/officeDocument/2006/relationships/hyperlink" Target="https://www.immoscout24.ch/fr/appartement/louer/quartier-nord-neuchatel" TargetMode="External"/><Relationship Id="rId8514" Type="http://schemas.openxmlformats.org/officeDocument/2006/relationships/hyperlink" Target="https://www.immoscout24.ch/fr/appartement/acheter/lieu-aegerten" TargetMode="External"/><Relationship Id="rId9842" Type="http://schemas.openxmlformats.org/officeDocument/2006/relationships/hyperlink" Target="https://www.immoscout24.ch/fr/appartement/louer/quartier-nord-neuchatel" TargetMode="External"/><Relationship Id="rId8513" Type="http://schemas.openxmlformats.org/officeDocument/2006/relationships/hyperlink" Target="https://www.immoscout24.ch/fr/appartement/acheter/lieu-aegerten" TargetMode="External"/><Relationship Id="rId9843" Type="http://schemas.openxmlformats.org/officeDocument/2006/relationships/hyperlink" Target="https://www.immoscout24.ch/fr/appartement/acheter/lieu-muraz-collombey" TargetMode="External"/><Relationship Id="rId7219" Type="http://schemas.openxmlformats.org/officeDocument/2006/relationships/hyperlink" Target="https://www.immoscout24.ch/fr/appartement/louer/lieu-les-valettes-bovernier" TargetMode="External"/><Relationship Id="rId9870" Type="http://schemas.openxmlformats.org/officeDocument/2006/relationships/hyperlink" Target="https://www.immoscout24.ch/fr/appartement/louer/lieu-wasen-im-emmental" TargetMode="External"/><Relationship Id="rId9871" Type="http://schemas.openxmlformats.org/officeDocument/2006/relationships/hyperlink" Target="https://www.immoscout24.ch/fr/appartement/acheter/lieu-domdidier" TargetMode="External"/><Relationship Id="rId9872" Type="http://schemas.openxmlformats.org/officeDocument/2006/relationships/hyperlink" Target="https://www.immoscout24.ch/fr/appartement/acheter/lieu-domdidier" TargetMode="External"/><Relationship Id="rId7210" Type="http://schemas.openxmlformats.org/officeDocument/2006/relationships/hyperlink" Target="https://www.immoscout24.ch/fr/maison/acheter/lieu-gempenach" TargetMode="External"/><Relationship Id="rId8541" Type="http://schemas.openxmlformats.org/officeDocument/2006/relationships/hyperlink" Target="https://www.immoscout24.ch/fr/maison/louer/lieu-oberegg" TargetMode="External"/><Relationship Id="rId8540" Type="http://schemas.openxmlformats.org/officeDocument/2006/relationships/hyperlink" Target="https://www.immoscout24.ch/fr/appartement/louer/lieu-randa" TargetMode="External"/><Relationship Id="rId7214" Type="http://schemas.openxmlformats.org/officeDocument/2006/relationships/hyperlink" Target="https://www.immoscout24.ch/fr/appartement/louer/lieu-toffen" TargetMode="External"/><Relationship Id="rId8545" Type="http://schemas.openxmlformats.org/officeDocument/2006/relationships/hyperlink" Target="https://www.immoscout24.ch/fr/appartement/louer/lieu-aven" TargetMode="External"/><Relationship Id="rId9877" Type="http://schemas.openxmlformats.org/officeDocument/2006/relationships/hyperlink" Target="https://www.immoscout24.ch/fr/appartement/louer/lieu-la-ferriere" TargetMode="External"/><Relationship Id="rId7213" Type="http://schemas.openxmlformats.org/officeDocument/2006/relationships/hyperlink" Target="https://www.immoscout24.ch/fr/appartement/louer/lieu-toffen" TargetMode="External"/><Relationship Id="rId8544" Type="http://schemas.openxmlformats.org/officeDocument/2006/relationships/hyperlink" Target="https://www.immoscout24.ch/fr/maison/acheter/lieu-buetzberg" TargetMode="External"/><Relationship Id="rId9878" Type="http://schemas.openxmlformats.org/officeDocument/2006/relationships/hyperlink" Target="https://www.immoscout24.ch/fr/appartement/louer/lieu-la-ferriere" TargetMode="External"/><Relationship Id="rId7212" Type="http://schemas.openxmlformats.org/officeDocument/2006/relationships/hyperlink" Target="https://www.immoscout24.ch/fr/appartement/acheter/lieu-liebefeld" TargetMode="External"/><Relationship Id="rId8543" Type="http://schemas.openxmlformats.org/officeDocument/2006/relationships/hyperlink" Target="https://www.immoscout24.ch/fr/maison/acheter/lieu-buetzberg" TargetMode="External"/><Relationship Id="rId9879" Type="http://schemas.openxmlformats.org/officeDocument/2006/relationships/hyperlink" Target="https://www.immoscout24.ch/fr/maison/acheter/lieu-malleray" TargetMode="External"/><Relationship Id="rId7211" Type="http://schemas.openxmlformats.org/officeDocument/2006/relationships/hyperlink" Target="https://www.immoscout24.ch/fr/appartement/acheter/lieu-liebefeld" TargetMode="External"/><Relationship Id="rId8542" Type="http://schemas.openxmlformats.org/officeDocument/2006/relationships/hyperlink" Target="https://www.immoscout24.ch/fr/maison/louer/lieu-oberegg" TargetMode="External"/><Relationship Id="rId7218" Type="http://schemas.openxmlformats.org/officeDocument/2006/relationships/hyperlink" Target="https://www.immoscout24.ch/fr/appartement/acheter/lieu-renens-vd" TargetMode="External"/><Relationship Id="rId8549" Type="http://schemas.openxmlformats.org/officeDocument/2006/relationships/hyperlink" Target="https://www.immoscout24.ch/fr/appartement/louer/lieu-unterbaech-vs" TargetMode="External"/><Relationship Id="rId9873" Type="http://schemas.openxmlformats.org/officeDocument/2006/relationships/hyperlink" Target="https://www.immoscout24.ch/fr/maison/louer/lieu-bottens" TargetMode="External"/><Relationship Id="rId7217" Type="http://schemas.openxmlformats.org/officeDocument/2006/relationships/hyperlink" Target="https://www.immoscout24.ch/fr/appartement/acheter/lieu-renens-vd" TargetMode="External"/><Relationship Id="rId8548" Type="http://schemas.openxmlformats.org/officeDocument/2006/relationships/hyperlink" Target="https://www.immoscout24.ch/fr/maison/acheter/quartier-chaumont-neuchatel" TargetMode="External"/><Relationship Id="rId9874" Type="http://schemas.openxmlformats.org/officeDocument/2006/relationships/hyperlink" Target="https://www.immoscout24.ch/fr/maison/louer/lieu-bottens" TargetMode="External"/><Relationship Id="rId7216" Type="http://schemas.openxmlformats.org/officeDocument/2006/relationships/hyperlink" Target="https://www.immoscout24.ch/fr/maison/acheter/lieu-cornaux-ne" TargetMode="External"/><Relationship Id="rId8547" Type="http://schemas.openxmlformats.org/officeDocument/2006/relationships/hyperlink" Target="https://www.immoscout24.ch/fr/maison/acheter/quartier-chaumont-neuchatel" TargetMode="External"/><Relationship Id="rId9875" Type="http://schemas.openxmlformats.org/officeDocument/2006/relationships/hyperlink" Target="https://www.immoscout24.ch/fr/maison/louer/lieu-orpund" TargetMode="External"/><Relationship Id="rId7215" Type="http://schemas.openxmlformats.org/officeDocument/2006/relationships/hyperlink" Target="https://www.immoscout24.ch/fr/maison/acheter/lieu-cornaux-ne" TargetMode="External"/><Relationship Id="rId8546" Type="http://schemas.openxmlformats.org/officeDocument/2006/relationships/hyperlink" Target="https://www.immoscout24.ch/fr/appartement/louer/lieu-aven" TargetMode="External"/><Relationship Id="rId9876" Type="http://schemas.openxmlformats.org/officeDocument/2006/relationships/hyperlink" Target="https://www.immoscout24.ch/fr/maison/louer/lieu-orpund" TargetMode="External"/><Relationship Id="rId7209" Type="http://schemas.openxmlformats.org/officeDocument/2006/relationships/hyperlink" Target="https://www.immoscout24.ch/fr/maison/acheter/lieu-gempenach" TargetMode="External"/><Relationship Id="rId7208" Type="http://schemas.openxmlformats.org/officeDocument/2006/relationships/hyperlink" Target="https://www.immoscout24.ch/fr/appartement/acheter/lieu-roeschenz" TargetMode="External"/><Relationship Id="rId8539" Type="http://schemas.openxmlformats.org/officeDocument/2006/relationships/hyperlink" Target="https://www.immoscout24.ch/fr/appartement/louer/lieu-randa" TargetMode="External"/><Relationship Id="rId9860" Type="http://schemas.openxmlformats.org/officeDocument/2006/relationships/hyperlink" Target="https://www.immoscout24.ch/fr/maison/louer/lieu-plan-les-ouates" TargetMode="External"/><Relationship Id="rId9861" Type="http://schemas.openxmlformats.org/officeDocument/2006/relationships/hyperlink" Target="https://www.immoscout24.ch/fr/maison/acheter/lieu-donneloye" TargetMode="External"/><Relationship Id="rId8530" Type="http://schemas.openxmlformats.org/officeDocument/2006/relationships/hyperlink" Target="https://www.immoscout24.ch/fr/maison/acheter/lieu-courtemaiche" TargetMode="External"/><Relationship Id="rId7203" Type="http://schemas.openxmlformats.org/officeDocument/2006/relationships/hyperlink" Target="https://www.immoscout24.ch/fr/appartement/acheter/lieu-aigle" TargetMode="External"/><Relationship Id="rId8534" Type="http://schemas.openxmlformats.org/officeDocument/2006/relationships/hyperlink" Target="https://www.immoscout24.ch/fr/maison/acheter/lieu-muralto" TargetMode="External"/><Relationship Id="rId9866" Type="http://schemas.openxmlformats.org/officeDocument/2006/relationships/hyperlink" Target="https://www.immoscout24.ch/fr/maison/acheter/lieu-gressy" TargetMode="External"/><Relationship Id="rId7202" Type="http://schemas.openxmlformats.org/officeDocument/2006/relationships/hyperlink" Target="https://www.immoscout24.ch/fr/appartement/acheter/lieu-torgon" TargetMode="External"/><Relationship Id="rId8533" Type="http://schemas.openxmlformats.org/officeDocument/2006/relationships/hyperlink" Target="https://www.immoscout24.ch/fr/maison/acheter/lieu-muralto" TargetMode="External"/><Relationship Id="rId9867" Type="http://schemas.openxmlformats.org/officeDocument/2006/relationships/hyperlink" Target="https://www.immoscout24.ch/fr/appartement/louer/lieu-lausanne-26" TargetMode="External"/><Relationship Id="rId7201" Type="http://schemas.openxmlformats.org/officeDocument/2006/relationships/hyperlink" Target="https://www.immoscout24.ch/fr/appartement/acheter/lieu-torgon" TargetMode="External"/><Relationship Id="rId8532" Type="http://schemas.openxmlformats.org/officeDocument/2006/relationships/hyperlink" Target="https://www.immoscout24.ch/fr/maison/acheter/lieu-rifferswil" TargetMode="External"/><Relationship Id="rId9868" Type="http://schemas.openxmlformats.org/officeDocument/2006/relationships/hyperlink" Target="https://www.immoscout24.ch/fr/appartement/louer/lieu-lausanne-26" TargetMode="External"/><Relationship Id="rId7200" Type="http://schemas.openxmlformats.org/officeDocument/2006/relationships/hyperlink" Target="https://www.immoscout24.ch/fr/maison/acheter/lieu-habkern" TargetMode="External"/><Relationship Id="rId8531" Type="http://schemas.openxmlformats.org/officeDocument/2006/relationships/hyperlink" Target="https://www.immoscout24.ch/fr/maison/acheter/lieu-rifferswil" TargetMode="External"/><Relationship Id="rId9869" Type="http://schemas.openxmlformats.org/officeDocument/2006/relationships/hyperlink" Target="https://www.immoscout24.ch/fr/appartement/louer/lieu-wasen-im-emmental" TargetMode="External"/><Relationship Id="rId7207" Type="http://schemas.openxmlformats.org/officeDocument/2006/relationships/hyperlink" Target="https://www.immoscout24.ch/fr/appartement/acheter/lieu-roeschenz" TargetMode="External"/><Relationship Id="rId8538" Type="http://schemas.openxmlformats.org/officeDocument/2006/relationships/hyperlink" Target="https://www.immoscout24.ch/fr/maison/louer/lieu-vesenaz" TargetMode="External"/><Relationship Id="rId9862" Type="http://schemas.openxmlformats.org/officeDocument/2006/relationships/hyperlink" Target="https://www.immoscout24.ch/fr/maison/acheter/lieu-donneloye" TargetMode="External"/><Relationship Id="rId7206" Type="http://schemas.openxmlformats.org/officeDocument/2006/relationships/hyperlink" Target="https://www.immoscout24.ch/fr/maison/acheter/lieu-horw" TargetMode="External"/><Relationship Id="rId8537" Type="http://schemas.openxmlformats.org/officeDocument/2006/relationships/hyperlink" Target="https://www.immoscout24.ch/fr/maison/louer/lieu-vesenaz" TargetMode="External"/><Relationship Id="rId9863" Type="http://schemas.openxmlformats.org/officeDocument/2006/relationships/hyperlink" Target="https://www.immoscout24.ch/fr/appartement/louer/lieu-giez" TargetMode="External"/><Relationship Id="rId7205" Type="http://schemas.openxmlformats.org/officeDocument/2006/relationships/hyperlink" Target="https://www.immoscout24.ch/fr/maison/acheter/lieu-horw" TargetMode="External"/><Relationship Id="rId8536" Type="http://schemas.openxmlformats.org/officeDocument/2006/relationships/hyperlink" Target="https://www.immoscout24.ch/fr/appartement/louer/quartier-gundeldingen-bale" TargetMode="External"/><Relationship Id="rId9864" Type="http://schemas.openxmlformats.org/officeDocument/2006/relationships/hyperlink" Target="https://www.immoscout24.ch/fr/appartement/louer/lieu-giez" TargetMode="External"/><Relationship Id="rId7204" Type="http://schemas.openxmlformats.org/officeDocument/2006/relationships/hyperlink" Target="https://www.immoscout24.ch/fr/appartement/acheter/lieu-aigle" TargetMode="External"/><Relationship Id="rId8535" Type="http://schemas.openxmlformats.org/officeDocument/2006/relationships/hyperlink" Target="https://www.immoscout24.ch/fr/appartement/louer/quartier-gundeldingen-bale" TargetMode="External"/><Relationship Id="rId9865" Type="http://schemas.openxmlformats.org/officeDocument/2006/relationships/hyperlink" Target="https://www.immoscout24.ch/fr/maison/acheter/lieu-gressy" TargetMode="External"/><Relationship Id="rId9819" Type="http://schemas.openxmlformats.org/officeDocument/2006/relationships/hyperlink" Target="https://www.immoscout24.ch/fr/appartement/louer/lieu-chene-bougeries" TargetMode="External"/><Relationship Id="rId9815" Type="http://schemas.openxmlformats.org/officeDocument/2006/relationships/hyperlink" Target="https://www.immoscout24.ch/fr/appartement/louer/lieu-montreux" TargetMode="External"/><Relationship Id="rId9816" Type="http://schemas.openxmlformats.org/officeDocument/2006/relationships/hyperlink" Target="https://www.immoscout24.ch/fr/appartement/louer/lieu-montreux" TargetMode="External"/><Relationship Id="rId9817" Type="http://schemas.openxmlformats.org/officeDocument/2006/relationships/hyperlink" Target="https://www.immoscout24.ch/fr/appartement/acheter/quartier-nouvelle-ville-nord-biel-bienne" TargetMode="External"/><Relationship Id="rId9818" Type="http://schemas.openxmlformats.org/officeDocument/2006/relationships/hyperlink" Target="https://www.immoscout24.ch/fr/appartement/acheter/quartier-nouvelle-ville-nord-biel-bienne" TargetMode="External"/><Relationship Id="rId9811" Type="http://schemas.openxmlformats.org/officeDocument/2006/relationships/hyperlink" Target="https://www.immoscout24.ch/fr/appartement/louer/region-lausanne-et-environs" TargetMode="External"/><Relationship Id="rId9812" Type="http://schemas.openxmlformats.org/officeDocument/2006/relationships/hyperlink" Target="https://www.immoscout24.ch/fr/appartement/louer/region-lausanne-et-environs" TargetMode="External"/><Relationship Id="rId9813" Type="http://schemas.openxmlformats.org/officeDocument/2006/relationships/hyperlink" Target="https://www.immoscout24.ch/fr/appartement/louer/lieu-haute-nendaz" TargetMode="External"/><Relationship Id="rId9814" Type="http://schemas.openxmlformats.org/officeDocument/2006/relationships/hyperlink" Target="https://www.immoscout24.ch/fr/appartement/louer/lieu-haute-nendaz" TargetMode="External"/><Relationship Id="rId9810" Type="http://schemas.openxmlformats.org/officeDocument/2006/relationships/hyperlink" Target="https://www.immoscout24.ch/fr/maison/louer/lieu-luins" TargetMode="External"/><Relationship Id="rId9808" Type="http://schemas.openxmlformats.org/officeDocument/2006/relationships/hyperlink" Target="https://www.immoscout24.ch/fr/appartement/louer/region-fribourg-ville" TargetMode="External"/><Relationship Id="rId9809" Type="http://schemas.openxmlformats.org/officeDocument/2006/relationships/hyperlink" Target="https://www.immoscout24.ch/fr/maison/louer/lieu-luins" TargetMode="External"/><Relationship Id="rId9804" Type="http://schemas.openxmlformats.org/officeDocument/2006/relationships/hyperlink" Target="https://www.immoscout24.ch/fr/maison/acheter/lieu-bourrignon" TargetMode="External"/><Relationship Id="rId9805" Type="http://schemas.openxmlformats.org/officeDocument/2006/relationships/hyperlink" Target="https://www.immoscout24.ch/fr/appartement/acheter/lieu-mex-vd" TargetMode="External"/><Relationship Id="rId9806" Type="http://schemas.openxmlformats.org/officeDocument/2006/relationships/hyperlink" Target="https://www.immoscout24.ch/fr/appartement/acheter/lieu-mex-vd" TargetMode="External"/><Relationship Id="rId9807" Type="http://schemas.openxmlformats.org/officeDocument/2006/relationships/hyperlink" Target="https://www.immoscout24.ch/fr/appartement/louer/region-fribourg-ville" TargetMode="External"/><Relationship Id="rId9800" Type="http://schemas.openxmlformats.org/officeDocument/2006/relationships/hyperlink" Target="https://www.immoscout24.ch/fr/maison/acheter/lieu-verossaz" TargetMode="External"/><Relationship Id="rId9801" Type="http://schemas.openxmlformats.org/officeDocument/2006/relationships/hyperlink" Target="https://www.immoscout24.ch/fr/maison/acheter/lieu-vicheres-liddes" TargetMode="External"/><Relationship Id="rId9802" Type="http://schemas.openxmlformats.org/officeDocument/2006/relationships/hyperlink" Target="https://www.immoscout24.ch/fr/maison/acheter/lieu-vicheres-liddes" TargetMode="External"/><Relationship Id="rId9803" Type="http://schemas.openxmlformats.org/officeDocument/2006/relationships/hyperlink" Target="https://www.immoscout24.ch/fr/maison/acheter/lieu-bourrignon" TargetMode="External"/><Relationship Id="rId8509" Type="http://schemas.openxmlformats.org/officeDocument/2006/relationships/hyperlink" Target="https://www.immoscout24.ch/fr/maison/acheter/lieu-chavannes-de-bogis" TargetMode="External"/><Relationship Id="rId8508" Type="http://schemas.openxmlformats.org/officeDocument/2006/relationships/hyperlink" Target="https://www.immoscout24.ch/fr/appartement/louer/pays-allemagne" TargetMode="External"/><Relationship Id="rId8507" Type="http://schemas.openxmlformats.org/officeDocument/2006/relationships/hyperlink" Target="https://www.immoscout24.ch/fr/appartement/louer/pays-allemagne" TargetMode="External"/><Relationship Id="rId8506" Type="http://schemas.openxmlformats.org/officeDocument/2006/relationships/hyperlink" Target="https://www.immoscout24.ch/fr/maison/acheter/lieu-weggis" TargetMode="External"/><Relationship Id="rId9837" Type="http://schemas.openxmlformats.org/officeDocument/2006/relationships/hyperlink" Target="https://www.immoscout24.ch/fr/appartement/acheter/lieu-corcelles-ne" TargetMode="External"/><Relationship Id="rId9838" Type="http://schemas.openxmlformats.org/officeDocument/2006/relationships/hyperlink" Target="https://www.immoscout24.ch/fr/appartement/acheter/lieu-corcelles-ne" TargetMode="External"/><Relationship Id="rId9839" Type="http://schemas.openxmlformats.org/officeDocument/2006/relationships/hyperlink" Target="https://www.immoscout24.ch/fr/appartement/louer/lieu-rafz" TargetMode="External"/><Relationship Id="rId8501" Type="http://schemas.openxmlformats.org/officeDocument/2006/relationships/hyperlink" Target="https://www.immoscout24.ch/fr/appartement/louer/lieu-cremines" TargetMode="External"/><Relationship Id="rId9833" Type="http://schemas.openxmlformats.org/officeDocument/2006/relationships/hyperlink" Target="https://www.immoscout24.ch/fr/maison/acheter/lieu-bullet" TargetMode="External"/><Relationship Id="rId8500" Type="http://schemas.openxmlformats.org/officeDocument/2006/relationships/hyperlink" Target="https://www.immoscout24.ch/fr/maison/louer/lieu-blatten-b-naters" TargetMode="External"/><Relationship Id="rId9834" Type="http://schemas.openxmlformats.org/officeDocument/2006/relationships/hyperlink" Target="https://www.immoscout24.ch/fr/maison/acheter/lieu-bullet" TargetMode="External"/><Relationship Id="rId9835" Type="http://schemas.openxmlformats.org/officeDocument/2006/relationships/hyperlink" Target="https://www.immoscout24.ch/fr/appartement/louer/lieu-villars-burquin" TargetMode="External"/><Relationship Id="rId9836" Type="http://schemas.openxmlformats.org/officeDocument/2006/relationships/hyperlink" Target="https://www.immoscout24.ch/fr/appartement/louer/lieu-villars-burquin" TargetMode="External"/><Relationship Id="rId8505" Type="http://schemas.openxmlformats.org/officeDocument/2006/relationships/hyperlink" Target="https://www.immoscout24.ch/fr/maison/acheter/lieu-weggis" TargetMode="External"/><Relationship Id="rId8504" Type="http://schemas.openxmlformats.org/officeDocument/2006/relationships/hyperlink" Target="https://www.immoscout24.ch/fr/maison/acheter/lieu-rovio" TargetMode="External"/><Relationship Id="rId9830" Type="http://schemas.openxmlformats.org/officeDocument/2006/relationships/hyperlink" Target="https://www.immoscout24.ch/fr/maison/acheter/canton-vaud" TargetMode="External"/><Relationship Id="rId8503" Type="http://schemas.openxmlformats.org/officeDocument/2006/relationships/hyperlink" Target="https://www.immoscout24.ch/fr/maison/acheter/lieu-rovio" TargetMode="External"/><Relationship Id="rId9831" Type="http://schemas.openxmlformats.org/officeDocument/2006/relationships/hyperlink" Target="https://www.immoscout24.ch/fr/maison/acheter/lieu-cademario" TargetMode="External"/><Relationship Id="rId8502" Type="http://schemas.openxmlformats.org/officeDocument/2006/relationships/hyperlink" Target="https://www.immoscout24.ch/fr/appartement/louer/lieu-cremines" TargetMode="External"/><Relationship Id="rId9832" Type="http://schemas.openxmlformats.org/officeDocument/2006/relationships/hyperlink" Target="https://www.immoscout24.ch/fr/maison/acheter/lieu-cademario" TargetMode="External"/><Relationship Id="rId9826" Type="http://schemas.openxmlformats.org/officeDocument/2006/relationships/hyperlink" Target="https://www.immoscout24.ch/fr/appartement/acheter/lieu-lauterbrunnen" TargetMode="External"/><Relationship Id="rId9827" Type="http://schemas.openxmlformats.org/officeDocument/2006/relationships/hyperlink" Target="https://www.immoscout24.ch/fr/maison/acheter/canton-zoug" TargetMode="External"/><Relationship Id="rId9828" Type="http://schemas.openxmlformats.org/officeDocument/2006/relationships/hyperlink" Target="https://www.immoscout24.ch/fr/maison/acheter/canton-zoug" TargetMode="External"/><Relationship Id="rId9829" Type="http://schemas.openxmlformats.org/officeDocument/2006/relationships/hyperlink" Target="https://www.immoscout24.ch/fr/maison/acheter/canton-vaud" TargetMode="External"/><Relationship Id="rId9822" Type="http://schemas.openxmlformats.org/officeDocument/2006/relationships/hyperlink" Target="https://www.immoscout24.ch/fr/appartement/acheter/lieu-venthone" TargetMode="External"/><Relationship Id="rId9823" Type="http://schemas.openxmlformats.org/officeDocument/2006/relationships/hyperlink" Target="https://www.immoscout24.ch/fr/appartement/acheter/lieu-beatenberg" TargetMode="External"/><Relationship Id="rId9824" Type="http://schemas.openxmlformats.org/officeDocument/2006/relationships/hyperlink" Target="https://www.immoscout24.ch/fr/appartement/acheter/lieu-beatenberg" TargetMode="External"/><Relationship Id="rId9825" Type="http://schemas.openxmlformats.org/officeDocument/2006/relationships/hyperlink" Target="https://www.immoscout24.ch/fr/appartement/acheter/lieu-lauterbrunnen" TargetMode="External"/><Relationship Id="rId9820" Type="http://schemas.openxmlformats.org/officeDocument/2006/relationships/hyperlink" Target="https://www.immoscout24.ch/fr/appartement/louer/lieu-chene-bougeries" TargetMode="External"/><Relationship Id="rId9821" Type="http://schemas.openxmlformats.org/officeDocument/2006/relationships/hyperlink" Target="https://www.immoscout24.ch/fr/appartement/acheter/lieu-venthone" TargetMode="External"/><Relationship Id="rId7272" Type="http://schemas.openxmlformats.org/officeDocument/2006/relationships/hyperlink" Target="https://www.immoscout24.ch/fr/appartement/acheter/lieu-jongny" TargetMode="External"/><Relationship Id="rId7271" Type="http://schemas.openxmlformats.org/officeDocument/2006/relationships/hyperlink" Target="https://www.immoscout24.ch/fr/appartement/acheter/lieu-jongny" TargetMode="External"/><Relationship Id="rId7270" Type="http://schemas.openxmlformats.org/officeDocument/2006/relationships/hyperlink" Target="https://www.immoscout24.ch/fr/appartement/louer/region-val-de-ruz" TargetMode="External"/><Relationship Id="rId7276" Type="http://schemas.openxmlformats.org/officeDocument/2006/relationships/hyperlink" Target="https://www.immoscout24.ch/fr/maison/acheter/lieu-premier" TargetMode="External"/><Relationship Id="rId7275" Type="http://schemas.openxmlformats.org/officeDocument/2006/relationships/hyperlink" Target="https://www.immoscout24.ch/fr/maison/acheter/lieu-premier" TargetMode="External"/><Relationship Id="rId7274" Type="http://schemas.openxmlformats.org/officeDocument/2006/relationships/hyperlink" Target="https://www.immoscout24.ch/fr/maison/acheter/lieu-denens" TargetMode="External"/><Relationship Id="rId7273" Type="http://schemas.openxmlformats.org/officeDocument/2006/relationships/hyperlink" Target="https://www.immoscout24.ch/fr/maison/acheter/lieu-denens" TargetMode="External"/><Relationship Id="rId7279" Type="http://schemas.openxmlformats.org/officeDocument/2006/relationships/hyperlink" Target="https://www.immoscout24.ch/fr/appartement/acheter/lieu-nuerensdorf" TargetMode="External"/><Relationship Id="rId7278" Type="http://schemas.openxmlformats.org/officeDocument/2006/relationships/hyperlink" Target="https://www.immoscout24.ch/fr/appartement/louer/lieu-ludiano" TargetMode="External"/><Relationship Id="rId7277" Type="http://schemas.openxmlformats.org/officeDocument/2006/relationships/hyperlink" Target="https://www.immoscout24.ch/fr/appartement/louer/lieu-ludiano" TargetMode="External"/><Relationship Id="rId7261" Type="http://schemas.openxmlformats.org/officeDocument/2006/relationships/hyperlink" Target="https://www.immoscout24.ch/fr/maison/louer/lieu-noiraigue" TargetMode="External"/><Relationship Id="rId8592" Type="http://schemas.openxmlformats.org/officeDocument/2006/relationships/hyperlink" Target="https://www.immoscout24.ch/fr/maison/acheter/quartier-weissenstein-berne" TargetMode="External"/><Relationship Id="rId7260" Type="http://schemas.openxmlformats.org/officeDocument/2006/relationships/hyperlink" Target="https://www.immoscout24.ch/fr/maison/acheter/lieu-vaumarcus" TargetMode="External"/><Relationship Id="rId8591" Type="http://schemas.openxmlformats.org/officeDocument/2006/relationships/hyperlink" Target="https://www.immoscout24.ch/fr/maison/acheter/quartier-weissenstein-berne" TargetMode="External"/><Relationship Id="rId8590" Type="http://schemas.openxmlformats.org/officeDocument/2006/relationships/hyperlink" Target="https://www.immoscout24.ch/fr/maison/acheter/lieu-fretereules" TargetMode="External"/><Relationship Id="rId7265" Type="http://schemas.openxmlformats.org/officeDocument/2006/relationships/hyperlink" Target="https://www.immoscout24.ch/fr/appartement/louer/lieu-le-vaud" TargetMode="External"/><Relationship Id="rId8596" Type="http://schemas.openxmlformats.org/officeDocument/2006/relationships/hyperlink" Target="https://www.immoscout24.ch/fr/appartement/louer/lieu-la-magne" TargetMode="External"/><Relationship Id="rId7264" Type="http://schemas.openxmlformats.org/officeDocument/2006/relationships/hyperlink" Target="https://www.immoscout24.ch/fr/maison/acheter/lieu-oberwangen-b-bern" TargetMode="External"/><Relationship Id="rId8595" Type="http://schemas.openxmlformats.org/officeDocument/2006/relationships/hyperlink" Target="https://www.immoscout24.ch/fr/appartement/louer/lieu-la-magne" TargetMode="External"/><Relationship Id="rId7263" Type="http://schemas.openxmlformats.org/officeDocument/2006/relationships/hyperlink" Target="https://www.immoscout24.ch/fr/maison/acheter/lieu-oberwangen-b-bern" TargetMode="External"/><Relationship Id="rId8594" Type="http://schemas.openxmlformats.org/officeDocument/2006/relationships/hyperlink" Target="https://www.immoscout24.ch/fr/maison/louer/lieu-sirnach" TargetMode="External"/><Relationship Id="rId7262" Type="http://schemas.openxmlformats.org/officeDocument/2006/relationships/hyperlink" Target="https://www.immoscout24.ch/fr/maison/louer/lieu-noiraigue" TargetMode="External"/><Relationship Id="rId8593" Type="http://schemas.openxmlformats.org/officeDocument/2006/relationships/hyperlink" Target="https://www.immoscout24.ch/fr/maison/louer/lieu-sirnach" TargetMode="External"/><Relationship Id="rId7269" Type="http://schemas.openxmlformats.org/officeDocument/2006/relationships/hyperlink" Target="https://www.immoscout24.ch/fr/appartement/louer/region-val-de-ruz" TargetMode="External"/><Relationship Id="rId7268" Type="http://schemas.openxmlformats.org/officeDocument/2006/relationships/hyperlink" Target="https://www.immoscout24.ch/fr/maison/acheter/lieu-vuiteboeuf" TargetMode="External"/><Relationship Id="rId8599" Type="http://schemas.openxmlformats.org/officeDocument/2006/relationships/hyperlink" Target="https://www.immoscout24.ch/fr/appartement/louer/quartier-oerlikon-zurich" TargetMode="External"/><Relationship Id="rId7267" Type="http://schemas.openxmlformats.org/officeDocument/2006/relationships/hyperlink" Target="https://www.immoscout24.ch/fr/maison/acheter/lieu-vuiteboeuf" TargetMode="External"/><Relationship Id="rId8598" Type="http://schemas.openxmlformats.org/officeDocument/2006/relationships/hyperlink" Target="https://www.immoscout24.ch/fr/appartement/louer/lieu-motier-vully" TargetMode="External"/><Relationship Id="rId7266" Type="http://schemas.openxmlformats.org/officeDocument/2006/relationships/hyperlink" Target="https://www.immoscout24.ch/fr/appartement/louer/lieu-le-vaud" TargetMode="External"/><Relationship Id="rId8597" Type="http://schemas.openxmlformats.org/officeDocument/2006/relationships/hyperlink" Target="https://www.immoscout24.ch/fr/appartement/louer/lieu-motier-vully" TargetMode="External"/><Relationship Id="rId7294" Type="http://schemas.openxmlformats.org/officeDocument/2006/relationships/hyperlink" Target="https://www.immoscout24.ch/fr/maison/acheter/lieu-l-auberson" TargetMode="External"/><Relationship Id="rId7293" Type="http://schemas.openxmlformats.org/officeDocument/2006/relationships/hyperlink" Target="https://www.immoscout24.ch/fr/maison/acheter/lieu-l-auberson" TargetMode="External"/><Relationship Id="rId7292" Type="http://schemas.openxmlformats.org/officeDocument/2006/relationships/hyperlink" Target="https://www.immoscout24.ch/fr/maison/acheter/lieu-genolier" TargetMode="External"/><Relationship Id="rId7291" Type="http://schemas.openxmlformats.org/officeDocument/2006/relationships/hyperlink" Target="https://www.immoscout24.ch/fr/maison/acheter/lieu-genolier" TargetMode="External"/><Relationship Id="rId7298" Type="http://schemas.openxmlformats.org/officeDocument/2006/relationships/hyperlink" Target="https://www.immoscout24.ch/fr/appartement/acheter/lieu-vicosoprano" TargetMode="External"/><Relationship Id="rId7297" Type="http://schemas.openxmlformats.org/officeDocument/2006/relationships/hyperlink" Target="https://www.immoscout24.ch/fr/appartement/acheter/lieu-vicosoprano" TargetMode="External"/><Relationship Id="rId7296" Type="http://schemas.openxmlformats.org/officeDocument/2006/relationships/hyperlink" Target="https://www.immoscout24.ch/fr/maison/acheter/lieu-siviez-nendaz" TargetMode="External"/><Relationship Id="rId7295" Type="http://schemas.openxmlformats.org/officeDocument/2006/relationships/hyperlink" Target="https://www.immoscout24.ch/fr/maison/acheter/lieu-siviez-nendaz" TargetMode="External"/><Relationship Id="rId7299" Type="http://schemas.openxmlformats.org/officeDocument/2006/relationships/hyperlink" Target="https://www.immoscout24.ch/fr/appartement/louer/lieu-etagnieres" TargetMode="External"/><Relationship Id="rId7290" Type="http://schemas.openxmlformats.org/officeDocument/2006/relationships/hyperlink" Target="https://www.immoscout24.ch/fr/appartement/acheter/region-fribourg-ville" TargetMode="External"/><Relationship Id="rId7283" Type="http://schemas.openxmlformats.org/officeDocument/2006/relationships/hyperlink" Target="https://www.immoscout24.ch/fr/maison/louer/lieu-coppet" TargetMode="External"/><Relationship Id="rId7282" Type="http://schemas.openxmlformats.org/officeDocument/2006/relationships/hyperlink" Target="https://www.immoscout24.ch/fr/appartement/acheter/lieu-camignolo" TargetMode="External"/><Relationship Id="rId7281" Type="http://schemas.openxmlformats.org/officeDocument/2006/relationships/hyperlink" Target="https://www.immoscout24.ch/fr/appartement/acheter/lieu-camignolo" TargetMode="External"/><Relationship Id="rId7280" Type="http://schemas.openxmlformats.org/officeDocument/2006/relationships/hyperlink" Target="https://www.immoscout24.ch/fr/appartement/acheter/lieu-nuerensdorf" TargetMode="External"/><Relationship Id="rId7287" Type="http://schemas.openxmlformats.org/officeDocument/2006/relationships/hyperlink" Target="https://www.immoscout24.ch/fr/appartement/louer/lieu-uttwil" TargetMode="External"/><Relationship Id="rId7286" Type="http://schemas.openxmlformats.org/officeDocument/2006/relationships/hyperlink" Target="https://www.immoscout24.ch/fr/maison/acheter/quartier-charriere-la-chaux-de-fonds" TargetMode="External"/><Relationship Id="rId7285" Type="http://schemas.openxmlformats.org/officeDocument/2006/relationships/hyperlink" Target="https://www.immoscout24.ch/fr/maison/acheter/quartier-charriere-la-chaux-de-fonds" TargetMode="External"/><Relationship Id="rId7284" Type="http://schemas.openxmlformats.org/officeDocument/2006/relationships/hyperlink" Target="https://www.immoscout24.ch/fr/maison/louer/lieu-coppet" TargetMode="External"/><Relationship Id="rId7289" Type="http://schemas.openxmlformats.org/officeDocument/2006/relationships/hyperlink" Target="https://www.immoscout24.ch/fr/appartement/acheter/region-fribourg-ville" TargetMode="External"/><Relationship Id="rId7288" Type="http://schemas.openxmlformats.org/officeDocument/2006/relationships/hyperlink" Target="https://www.immoscout24.ch/fr/appartement/louer/lieu-uttwil" TargetMode="External"/><Relationship Id="rId9891" Type="http://schemas.openxmlformats.org/officeDocument/2006/relationships/hyperlink" Target="https://www.immoscout24.ch/fr/appartement/louer/lieu-nax" TargetMode="External"/><Relationship Id="rId9892" Type="http://schemas.openxmlformats.org/officeDocument/2006/relationships/hyperlink" Target="https://www.immoscout24.ch/fr/appartement/louer/lieu-nax" TargetMode="External"/><Relationship Id="rId9893" Type="http://schemas.openxmlformats.org/officeDocument/2006/relationships/hyperlink" Target="https://www.immoscout24.ch/fr/appartement/louer/pays-pologne" TargetMode="External"/><Relationship Id="rId9894" Type="http://schemas.openxmlformats.org/officeDocument/2006/relationships/hyperlink" Target="https://www.immoscout24.ch/fr/appartement/louer/pays-pologne" TargetMode="External"/><Relationship Id="rId7232" Type="http://schemas.openxmlformats.org/officeDocument/2006/relationships/hyperlink" Target="https://www.immoscout24.ch/fr/maison/acheter/quartier-vers-chez-les-blanc-lausanne" TargetMode="External"/><Relationship Id="rId8563" Type="http://schemas.openxmlformats.org/officeDocument/2006/relationships/hyperlink" Target="https://www.immoscout24.ch/fr/maison/acheter/lieu-hauteville" TargetMode="External"/><Relationship Id="rId7231" Type="http://schemas.openxmlformats.org/officeDocument/2006/relationships/hyperlink" Target="https://www.immoscout24.ch/fr/maison/acheter/quartier-vers-chez-les-blanc-lausanne" TargetMode="External"/><Relationship Id="rId8562" Type="http://schemas.openxmlformats.org/officeDocument/2006/relationships/hyperlink" Target="https://www.immoscout24.ch/fr/maison/acheter/lieu-rapperswil-be" TargetMode="External"/><Relationship Id="rId7230" Type="http://schemas.openxmlformats.org/officeDocument/2006/relationships/hyperlink" Target="https://www.immoscout24.ch/fr/appartement/louer/lieu-choulex" TargetMode="External"/><Relationship Id="rId8561" Type="http://schemas.openxmlformats.org/officeDocument/2006/relationships/hyperlink" Target="https://www.immoscout24.ch/fr/maison/acheter/lieu-rapperswil-be" TargetMode="External"/><Relationship Id="rId8560" Type="http://schemas.openxmlformats.org/officeDocument/2006/relationships/hyperlink" Target="https://www.immoscout24.ch/fr/maison/acheter/lieu-cresciano" TargetMode="External"/><Relationship Id="rId9890" Type="http://schemas.openxmlformats.org/officeDocument/2006/relationships/hyperlink" Target="https://www.immoscout24.ch/fr/appartement/acheter/lieu-meggen" TargetMode="External"/><Relationship Id="rId7236" Type="http://schemas.openxmlformats.org/officeDocument/2006/relationships/hyperlink" Target="https://www.immoscout24.ch/fr/maison/acheter/lieu-lully-fr" TargetMode="External"/><Relationship Id="rId8567" Type="http://schemas.openxmlformats.org/officeDocument/2006/relationships/hyperlink" Target="https://www.immoscout24.ch/fr/maison/acheter/lieu-saicourt" TargetMode="External"/><Relationship Id="rId9899" Type="http://schemas.openxmlformats.org/officeDocument/2006/relationships/hyperlink" Target="https://www.immoscout24.ch/fr/appartement/acheter/region-bern-et-environs" TargetMode="External"/><Relationship Id="rId7235" Type="http://schemas.openxmlformats.org/officeDocument/2006/relationships/hyperlink" Target="https://www.immoscout24.ch/fr/maison/acheter/lieu-lully-fr" TargetMode="External"/><Relationship Id="rId8566" Type="http://schemas.openxmlformats.org/officeDocument/2006/relationships/hyperlink" Target="https://www.immoscout24.ch/fr/maison/acheter/lieu-chevroux" TargetMode="External"/><Relationship Id="rId7234" Type="http://schemas.openxmlformats.org/officeDocument/2006/relationships/hyperlink" Target="https://www.immoscout24.ch/fr/maison/acheter/lieu-emmen" TargetMode="External"/><Relationship Id="rId8565" Type="http://schemas.openxmlformats.org/officeDocument/2006/relationships/hyperlink" Target="https://www.immoscout24.ch/fr/maison/acheter/lieu-chevroux" TargetMode="External"/><Relationship Id="rId7233" Type="http://schemas.openxmlformats.org/officeDocument/2006/relationships/hyperlink" Target="https://www.immoscout24.ch/fr/maison/acheter/lieu-emmen" TargetMode="External"/><Relationship Id="rId8564" Type="http://schemas.openxmlformats.org/officeDocument/2006/relationships/hyperlink" Target="https://www.immoscout24.ch/fr/maison/acheter/lieu-hauteville" TargetMode="External"/><Relationship Id="rId9895" Type="http://schemas.openxmlformats.org/officeDocument/2006/relationships/hyperlink" Target="https://www.immoscout24.ch/fr/maison/acheter/region-lac-majeur" TargetMode="External"/><Relationship Id="rId7239" Type="http://schemas.openxmlformats.org/officeDocument/2006/relationships/hyperlink" Target="https://www.immoscout24.ch/fr/appartement/louer/quartier-vinet-pontaise-lausanne" TargetMode="External"/><Relationship Id="rId9896" Type="http://schemas.openxmlformats.org/officeDocument/2006/relationships/hyperlink" Target="https://www.immoscout24.ch/fr/maison/acheter/region-lac-majeur" TargetMode="External"/><Relationship Id="rId7238" Type="http://schemas.openxmlformats.org/officeDocument/2006/relationships/hyperlink" Target="https://www.immoscout24.ch/fr/maison/louer/lieu-yens" TargetMode="External"/><Relationship Id="rId8569" Type="http://schemas.openxmlformats.org/officeDocument/2006/relationships/hyperlink" Target="https://www.immoscout24.ch/fr/maison/acheter/lieu-st-antoni" TargetMode="External"/><Relationship Id="rId9897" Type="http://schemas.openxmlformats.org/officeDocument/2006/relationships/hyperlink" Target="https://www.immoscout24.ch/fr/appartement/acheter/quartier-champel-roseraie-geneve" TargetMode="External"/><Relationship Id="rId7237" Type="http://schemas.openxmlformats.org/officeDocument/2006/relationships/hyperlink" Target="https://www.immoscout24.ch/fr/maison/louer/lieu-yens" TargetMode="External"/><Relationship Id="rId8568" Type="http://schemas.openxmlformats.org/officeDocument/2006/relationships/hyperlink" Target="https://www.immoscout24.ch/fr/maison/acheter/lieu-saicourt" TargetMode="External"/><Relationship Id="rId9898" Type="http://schemas.openxmlformats.org/officeDocument/2006/relationships/hyperlink" Target="https://www.immoscout24.ch/fr/appartement/acheter/quartier-champel-roseraie-geneve" TargetMode="External"/><Relationship Id="rId9880" Type="http://schemas.openxmlformats.org/officeDocument/2006/relationships/hyperlink" Target="https://www.immoscout24.ch/fr/maison/acheter/lieu-malleray" TargetMode="External"/><Relationship Id="rId9881" Type="http://schemas.openxmlformats.org/officeDocument/2006/relationships/hyperlink" Target="https://www.immoscout24.ch/fr/maison/acheter/lieu-gland" TargetMode="External"/><Relationship Id="rId9882" Type="http://schemas.openxmlformats.org/officeDocument/2006/relationships/hyperlink" Target="https://www.immoscout24.ch/fr/maison/acheter/lieu-gland" TargetMode="External"/><Relationship Id="rId9883" Type="http://schemas.openxmlformats.org/officeDocument/2006/relationships/hyperlink" Target="https://www.immoscout24.ch/fr/maison/acheter/lieu-les-ecasseys" TargetMode="External"/><Relationship Id="rId7221" Type="http://schemas.openxmlformats.org/officeDocument/2006/relationships/hyperlink" Target="https://www.immoscout24.ch/fr/maison/louer/lieu-st-imier" TargetMode="External"/><Relationship Id="rId8552" Type="http://schemas.openxmlformats.org/officeDocument/2006/relationships/hyperlink" Target="https://www.immoscout24.ch/fr/maison/acheter/lieu-boniswil" TargetMode="External"/><Relationship Id="rId7220" Type="http://schemas.openxmlformats.org/officeDocument/2006/relationships/hyperlink" Target="https://www.immoscout24.ch/fr/appartement/louer/lieu-les-valettes-bovernier" TargetMode="External"/><Relationship Id="rId8551" Type="http://schemas.openxmlformats.org/officeDocument/2006/relationships/hyperlink" Target="https://www.immoscout24.ch/fr/maison/acheter/lieu-boniswil" TargetMode="External"/><Relationship Id="rId8550" Type="http://schemas.openxmlformats.org/officeDocument/2006/relationships/hyperlink" Target="https://www.immoscout24.ch/fr/appartement/louer/lieu-unterbaech-vs" TargetMode="External"/><Relationship Id="rId7225" Type="http://schemas.openxmlformats.org/officeDocument/2006/relationships/hyperlink" Target="https://www.immoscout24.ch/fr/appartement/acheter/lieu-zuerich" TargetMode="External"/><Relationship Id="rId8556" Type="http://schemas.openxmlformats.org/officeDocument/2006/relationships/hyperlink" Target="https://www.immoscout24.ch/fr/maison/acheter/lieu-peseux" TargetMode="External"/><Relationship Id="rId9888" Type="http://schemas.openxmlformats.org/officeDocument/2006/relationships/hyperlink" Target="https://www.immoscout24.ch/fr/maison/louer/lieu-giswil" TargetMode="External"/><Relationship Id="rId7224" Type="http://schemas.openxmlformats.org/officeDocument/2006/relationships/hyperlink" Target="https://www.immoscout24.ch/fr/maison/acheter/lieu-chezard-st-martin" TargetMode="External"/><Relationship Id="rId8555" Type="http://schemas.openxmlformats.org/officeDocument/2006/relationships/hyperlink" Target="https://www.immoscout24.ch/fr/maison/acheter/lieu-peseux" TargetMode="External"/><Relationship Id="rId9889" Type="http://schemas.openxmlformats.org/officeDocument/2006/relationships/hyperlink" Target="https://www.immoscout24.ch/fr/appartement/acheter/lieu-meggen" TargetMode="External"/><Relationship Id="rId7223" Type="http://schemas.openxmlformats.org/officeDocument/2006/relationships/hyperlink" Target="https://www.immoscout24.ch/fr/maison/acheter/lieu-chezard-st-martin" TargetMode="External"/><Relationship Id="rId8554" Type="http://schemas.openxmlformats.org/officeDocument/2006/relationships/hyperlink" Target="https://www.immoscout24.ch/fr/maison/acheter/lieu-cugy-fr" TargetMode="External"/><Relationship Id="rId7222" Type="http://schemas.openxmlformats.org/officeDocument/2006/relationships/hyperlink" Target="https://www.immoscout24.ch/fr/maison/louer/lieu-st-imier" TargetMode="External"/><Relationship Id="rId8553" Type="http://schemas.openxmlformats.org/officeDocument/2006/relationships/hyperlink" Target="https://www.immoscout24.ch/fr/maison/acheter/lieu-cugy-fr" TargetMode="External"/><Relationship Id="rId7229" Type="http://schemas.openxmlformats.org/officeDocument/2006/relationships/hyperlink" Target="https://www.immoscout24.ch/fr/appartement/louer/lieu-choulex" TargetMode="External"/><Relationship Id="rId9884" Type="http://schemas.openxmlformats.org/officeDocument/2006/relationships/hyperlink" Target="https://www.immoscout24.ch/fr/maison/acheter/lieu-les-ecasseys" TargetMode="External"/><Relationship Id="rId7228" Type="http://schemas.openxmlformats.org/officeDocument/2006/relationships/hyperlink" Target="https://www.immoscout24.ch/fr/appartement/acheter/lieu-champoussin" TargetMode="External"/><Relationship Id="rId8559" Type="http://schemas.openxmlformats.org/officeDocument/2006/relationships/hyperlink" Target="https://www.immoscout24.ch/fr/maison/acheter/lieu-cresciano" TargetMode="External"/><Relationship Id="rId9885" Type="http://schemas.openxmlformats.org/officeDocument/2006/relationships/hyperlink" Target="https://www.immoscout24.ch/fr/maison/acheter/region-val-de-travers" TargetMode="External"/><Relationship Id="rId7227" Type="http://schemas.openxmlformats.org/officeDocument/2006/relationships/hyperlink" Target="https://www.immoscout24.ch/fr/appartement/acheter/lieu-champoussin" TargetMode="External"/><Relationship Id="rId8558" Type="http://schemas.openxmlformats.org/officeDocument/2006/relationships/hyperlink" Target="https://www.immoscout24.ch/fr/appartement/louer/lieu-vallon" TargetMode="External"/><Relationship Id="rId9886" Type="http://schemas.openxmlformats.org/officeDocument/2006/relationships/hyperlink" Target="https://www.immoscout24.ch/fr/maison/acheter/region-val-de-travers" TargetMode="External"/><Relationship Id="rId7226" Type="http://schemas.openxmlformats.org/officeDocument/2006/relationships/hyperlink" Target="https://www.immoscout24.ch/fr/appartement/acheter/lieu-zuerich" TargetMode="External"/><Relationship Id="rId8557" Type="http://schemas.openxmlformats.org/officeDocument/2006/relationships/hyperlink" Target="https://www.immoscout24.ch/fr/appartement/louer/lieu-vallon" TargetMode="External"/><Relationship Id="rId9887" Type="http://schemas.openxmlformats.org/officeDocument/2006/relationships/hyperlink" Target="https://www.immoscout24.ch/fr/maison/louer/lieu-giswil" TargetMode="External"/><Relationship Id="rId7250" Type="http://schemas.openxmlformats.org/officeDocument/2006/relationships/hyperlink" Target="https://www.immoscout24.ch/fr/appartement/acheter/quartier-beauregard-fribourg" TargetMode="External"/><Relationship Id="rId8581" Type="http://schemas.openxmlformats.org/officeDocument/2006/relationships/hyperlink" Target="https://www.immoscout24.ch/fr/maison/louer/lieu-cordast" TargetMode="External"/><Relationship Id="rId8580" Type="http://schemas.openxmlformats.org/officeDocument/2006/relationships/hyperlink" Target="https://www.immoscout24.ch/fr/maison/acheter/lieu-corban" TargetMode="External"/><Relationship Id="rId7254" Type="http://schemas.openxmlformats.org/officeDocument/2006/relationships/hyperlink" Target="https://www.immoscout24.ch/fr/maison/louer/region-thoune-lac-de-thoune-nord" TargetMode="External"/><Relationship Id="rId8585" Type="http://schemas.openxmlformats.org/officeDocument/2006/relationships/hyperlink" Target="https://www.immoscout24.ch/fr/maison/acheter/lieu-undervelier" TargetMode="External"/><Relationship Id="rId7253" Type="http://schemas.openxmlformats.org/officeDocument/2006/relationships/hyperlink" Target="https://www.immoscout24.ch/fr/maison/louer/region-thoune-lac-de-thoune-nord" TargetMode="External"/><Relationship Id="rId8584" Type="http://schemas.openxmlformats.org/officeDocument/2006/relationships/hyperlink" Target="https://www.immoscout24.ch/fr/appartement/louer/lieu-oberbuchsiten" TargetMode="External"/><Relationship Id="rId7252" Type="http://schemas.openxmlformats.org/officeDocument/2006/relationships/hyperlink" Target="https://www.immoscout24.ch/fr/appartement/louer/quartier-hochschulen-zurich" TargetMode="External"/><Relationship Id="rId8583" Type="http://schemas.openxmlformats.org/officeDocument/2006/relationships/hyperlink" Target="https://www.immoscout24.ch/fr/appartement/louer/lieu-oberbuchsiten" TargetMode="External"/><Relationship Id="rId7251" Type="http://schemas.openxmlformats.org/officeDocument/2006/relationships/hyperlink" Target="https://www.immoscout24.ch/fr/appartement/louer/quartier-hochschulen-zurich" TargetMode="External"/><Relationship Id="rId8582" Type="http://schemas.openxmlformats.org/officeDocument/2006/relationships/hyperlink" Target="https://www.immoscout24.ch/fr/maison/louer/lieu-cordast" TargetMode="External"/><Relationship Id="rId7258" Type="http://schemas.openxmlformats.org/officeDocument/2006/relationships/hyperlink" Target="https://www.immoscout24.ch/fr/appartement/louer/lieu-gross" TargetMode="External"/><Relationship Id="rId8589" Type="http://schemas.openxmlformats.org/officeDocument/2006/relationships/hyperlink" Target="https://www.immoscout24.ch/fr/maison/acheter/lieu-fretereules" TargetMode="External"/><Relationship Id="rId7257" Type="http://schemas.openxmlformats.org/officeDocument/2006/relationships/hyperlink" Target="https://www.immoscout24.ch/fr/appartement/louer/lieu-gross" TargetMode="External"/><Relationship Id="rId8588" Type="http://schemas.openxmlformats.org/officeDocument/2006/relationships/hyperlink" Target="https://www.immoscout24.ch/fr/maison/acheter/lieu-territet" TargetMode="External"/><Relationship Id="rId7256" Type="http://schemas.openxmlformats.org/officeDocument/2006/relationships/hyperlink" Target="https://www.immoscout24.ch/fr/maison/acheter/region-porrentruy" TargetMode="External"/><Relationship Id="rId8587" Type="http://schemas.openxmlformats.org/officeDocument/2006/relationships/hyperlink" Target="https://www.immoscout24.ch/fr/maison/acheter/lieu-territet" TargetMode="External"/><Relationship Id="rId7255" Type="http://schemas.openxmlformats.org/officeDocument/2006/relationships/hyperlink" Target="https://www.immoscout24.ch/fr/maison/acheter/region-porrentruy" TargetMode="External"/><Relationship Id="rId8586" Type="http://schemas.openxmlformats.org/officeDocument/2006/relationships/hyperlink" Target="https://www.immoscout24.ch/fr/maison/acheter/lieu-undervelier" TargetMode="External"/><Relationship Id="rId7259" Type="http://schemas.openxmlformats.org/officeDocument/2006/relationships/hyperlink" Target="https://www.immoscout24.ch/fr/maison/acheter/lieu-vaumarcus" TargetMode="External"/><Relationship Id="rId8570" Type="http://schemas.openxmlformats.org/officeDocument/2006/relationships/hyperlink" Target="https://www.immoscout24.ch/fr/maison/acheter/lieu-st-antoni" TargetMode="External"/><Relationship Id="rId7243" Type="http://schemas.openxmlformats.org/officeDocument/2006/relationships/hyperlink" Target="https://www.immoscout24.ch/fr/appartement/acheter/lieu-malleray" TargetMode="External"/><Relationship Id="rId8574" Type="http://schemas.openxmlformats.org/officeDocument/2006/relationships/hyperlink" Target="https://www.immoscout24.ch/fr/maison/louer/lieu-prangins" TargetMode="External"/><Relationship Id="rId7242" Type="http://schemas.openxmlformats.org/officeDocument/2006/relationships/hyperlink" Target="https://www.immoscout24.ch/fr/appartement/acheter/lieu-cronay" TargetMode="External"/><Relationship Id="rId8573" Type="http://schemas.openxmlformats.org/officeDocument/2006/relationships/hyperlink" Target="https://www.immoscout24.ch/fr/maison/louer/lieu-prangins" TargetMode="External"/><Relationship Id="rId7241" Type="http://schemas.openxmlformats.org/officeDocument/2006/relationships/hyperlink" Target="https://www.immoscout24.ch/fr/appartement/acheter/lieu-cronay" TargetMode="External"/><Relationship Id="rId8572" Type="http://schemas.openxmlformats.org/officeDocument/2006/relationships/hyperlink" Target="https://www.immoscout24.ch/fr/appartement/acheter/quartier-affoltern-zurich" TargetMode="External"/><Relationship Id="rId7240" Type="http://schemas.openxmlformats.org/officeDocument/2006/relationships/hyperlink" Target="https://www.immoscout24.ch/fr/appartement/louer/quartier-vinet-pontaise-lausanne" TargetMode="External"/><Relationship Id="rId8571" Type="http://schemas.openxmlformats.org/officeDocument/2006/relationships/hyperlink" Target="https://www.immoscout24.ch/fr/appartement/acheter/quartier-affoltern-zurich" TargetMode="External"/><Relationship Id="rId7247" Type="http://schemas.openxmlformats.org/officeDocument/2006/relationships/hyperlink" Target="https://www.immoscout24.ch/fr/appartement/acheter/lieu-hallwil" TargetMode="External"/><Relationship Id="rId8578" Type="http://schemas.openxmlformats.org/officeDocument/2006/relationships/hyperlink" Target="https://www.immoscout24.ch/fr/maison/acheter/lieu-les-granges-salvan" TargetMode="External"/><Relationship Id="rId7246" Type="http://schemas.openxmlformats.org/officeDocument/2006/relationships/hyperlink" Target="https://www.immoscout24.ch/fr/maison/louer/lieu-renan-be" TargetMode="External"/><Relationship Id="rId8577" Type="http://schemas.openxmlformats.org/officeDocument/2006/relationships/hyperlink" Target="https://www.immoscout24.ch/fr/maison/acheter/lieu-les-granges-salvan" TargetMode="External"/><Relationship Id="rId7245" Type="http://schemas.openxmlformats.org/officeDocument/2006/relationships/hyperlink" Target="https://www.immoscout24.ch/fr/maison/louer/lieu-renan-be" TargetMode="External"/><Relationship Id="rId8576" Type="http://schemas.openxmlformats.org/officeDocument/2006/relationships/hyperlink" Target="https://www.immoscout24.ch/fr/appartement/louer/lieu-rebeuvelier" TargetMode="External"/><Relationship Id="rId7244" Type="http://schemas.openxmlformats.org/officeDocument/2006/relationships/hyperlink" Target="https://www.immoscout24.ch/fr/appartement/acheter/lieu-malleray" TargetMode="External"/><Relationship Id="rId8575" Type="http://schemas.openxmlformats.org/officeDocument/2006/relationships/hyperlink" Target="https://www.immoscout24.ch/fr/appartement/louer/lieu-rebeuvelier" TargetMode="External"/><Relationship Id="rId7249" Type="http://schemas.openxmlformats.org/officeDocument/2006/relationships/hyperlink" Target="https://www.immoscout24.ch/fr/appartement/acheter/quartier-beauregard-fribourg" TargetMode="External"/><Relationship Id="rId7248" Type="http://schemas.openxmlformats.org/officeDocument/2006/relationships/hyperlink" Target="https://www.immoscout24.ch/fr/appartement/acheter/lieu-hallwil" TargetMode="External"/><Relationship Id="rId8579" Type="http://schemas.openxmlformats.org/officeDocument/2006/relationships/hyperlink" Target="https://www.immoscout24.ch/fr/maison/acheter/lieu-corban" TargetMode="External"/><Relationship Id="rId10181" Type="http://schemas.openxmlformats.org/officeDocument/2006/relationships/hyperlink" Target="https://www.immoscout24.ch/fr/appartement/louer/lieu-landquart" TargetMode="External"/><Relationship Id="rId10182" Type="http://schemas.openxmlformats.org/officeDocument/2006/relationships/hyperlink" Target="https://www.immoscout24.ch/fr/appartement/louer/lieu-landquart" TargetMode="External"/><Relationship Id="rId10180" Type="http://schemas.openxmlformats.org/officeDocument/2006/relationships/hyperlink" Target="https://www.immoscout24.ch/fr/maison/acheter/lieu-rodersdorf" TargetMode="External"/><Relationship Id="rId10174" Type="http://schemas.openxmlformats.org/officeDocument/2006/relationships/hyperlink" Target="https://www.immoscout24.ch/fr/appartement/louer/lieu-chancy" TargetMode="External"/><Relationship Id="rId10175" Type="http://schemas.openxmlformats.org/officeDocument/2006/relationships/hyperlink" Target="https://www.immoscout24.ch/fr/maison/acheter/lieu-plagne" TargetMode="External"/><Relationship Id="rId10172" Type="http://schemas.openxmlformats.org/officeDocument/2006/relationships/hyperlink" Target="https://www.immoscout24.ch/fr/maison/louer/lieu-duebendorf" TargetMode="External"/><Relationship Id="rId10173" Type="http://schemas.openxmlformats.org/officeDocument/2006/relationships/hyperlink" Target="https://www.immoscout24.ch/fr/appartement/louer/lieu-chancy" TargetMode="External"/><Relationship Id="rId10178" Type="http://schemas.openxmlformats.org/officeDocument/2006/relationships/hyperlink" Target="https://www.immoscout24.ch/fr/maison/louer/lieu-orbe" TargetMode="External"/><Relationship Id="rId10179" Type="http://schemas.openxmlformats.org/officeDocument/2006/relationships/hyperlink" Target="https://www.immoscout24.ch/fr/maison/acheter/lieu-rodersdorf" TargetMode="External"/><Relationship Id="rId10176" Type="http://schemas.openxmlformats.org/officeDocument/2006/relationships/hyperlink" Target="https://www.immoscout24.ch/fr/maison/acheter/lieu-plagne" TargetMode="External"/><Relationship Id="rId10177" Type="http://schemas.openxmlformats.org/officeDocument/2006/relationships/hyperlink" Target="https://www.immoscout24.ch/fr/maison/louer/lieu-orbe" TargetMode="External"/><Relationship Id="rId10192" Type="http://schemas.openxmlformats.org/officeDocument/2006/relationships/hyperlink" Target="https://www.immoscout24.ch/fr/appartement/louer/lieu-melchsee-frutt" TargetMode="External"/><Relationship Id="rId10193" Type="http://schemas.openxmlformats.org/officeDocument/2006/relationships/hyperlink" Target="https://www.immoscout24.ch/fr/maison/acheter/lieu-montignez" TargetMode="External"/><Relationship Id="rId10190" Type="http://schemas.openxmlformats.org/officeDocument/2006/relationships/hyperlink" Target="https://www.immoscout24.ch/fr/maison/acheter/lieu-saxeten" TargetMode="External"/><Relationship Id="rId10191" Type="http://schemas.openxmlformats.org/officeDocument/2006/relationships/hyperlink" Target="https://www.immoscout24.ch/fr/appartement/louer/lieu-melchsee-frutt" TargetMode="External"/><Relationship Id="rId10185" Type="http://schemas.openxmlformats.org/officeDocument/2006/relationships/hyperlink" Target="https://www.immoscout24.ch/fr/appartement/louer/lieu-baetterkinden" TargetMode="External"/><Relationship Id="rId10186" Type="http://schemas.openxmlformats.org/officeDocument/2006/relationships/hyperlink" Target="https://www.immoscout24.ch/fr/appartement/louer/lieu-baetterkinden" TargetMode="External"/><Relationship Id="rId10183" Type="http://schemas.openxmlformats.org/officeDocument/2006/relationships/hyperlink" Target="https://www.immoscout24.ch/fr/appartement/louer/lieu-schwerzenbach" TargetMode="External"/><Relationship Id="rId10184" Type="http://schemas.openxmlformats.org/officeDocument/2006/relationships/hyperlink" Target="https://www.immoscout24.ch/fr/appartement/louer/lieu-schwerzenbach" TargetMode="External"/><Relationship Id="rId10189" Type="http://schemas.openxmlformats.org/officeDocument/2006/relationships/hyperlink" Target="https://www.immoscout24.ch/fr/maison/acheter/lieu-saxeten" TargetMode="External"/><Relationship Id="rId10187" Type="http://schemas.openxmlformats.org/officeDocument/2006/relationships/hyperlink" Target="https://www.immoscout24.ch/fr/maison/acheter/lieu-ballens" TargetMode="External"/><Relationship Id="rId10188" Type="http://schemas.openxmlformats.org/officeDocument/2006/relationships/hyperlink" Target="https://www.immoscout24.ch/fr/maison/acheter/lieu-ballens" TargetMode="External"/><Relationship Id="rId11491" Type="http://schemas.openxmlformats.org/officeDocument/2006/relationships/hyperlink" Target="https://www.immoscout24.ch/fr/appartement/louer/lieu-st-pierre-de-clages" TargetMode="External"/><Relationship Id="rId10160" Type="http://schemas.openxmlformats.org/officeDocument/2006/relationships/hyperlink" Target="https://www.immoscout24.ch/fr/appartement/louer/lieu-emmen" TargetMode="External"/><Relationship Id="rId11490" Type="http://schemas.openxmlformats.org/officeDocument/2006/relationships/hyperlink" Target="https://www.immoscout24.ch/fr/appartement/louer/lieu-fontainemelon" TargetMode="External"/><Relationship Id="rId10158" Type="http://schemas.openxmlformats.org/officeDocument/2006/relationships/hyperlink" Target="https://www.immoscout24.ch/fr/maison/acheter/lieu-martisberg" TargetMode="External"/><Relationship Id="rId10159" Type="http://schemas.openxmlformats.org/officeDocument/2006/relationships/hyperlink" Target="https://www.immoscout24.ch/fr/appartement/louer/lieu-emmen" TargetMode="External"/><Relationship Id="rId11489" Type="http://schemas.openxmlformats.org/officeDocument/2006/relationships/hyperlink" Target="https://www.immoscout24.ch/fr/appartement/louer/lieu-fontainemelon" TargetMode="External"/><Relationship Id="rId10152" Type="http://schemas.openxmlformats.org/officeDocument/2006/relationships/hyperlink" Target="https://www.immoscout24.ch/fr/maison/acheter/lieu-gimmelwald" TargetMode="External"/><Relationship Id="rId11484" Type="http://schemas.openxmlformats.org/officeDocument/2006/relationships/hyperlink" Target="https://www.immoscout24.ch/fr/maison/acheter/lieu-oberaegeri" TargetMode="External"/><Relationship Id="rId10153" Type="http://schemas.openxmlformats.org/officeDocument/2006/relationships/hyperlink" Target="https://www.immoscout24.ch/fr/maison/louer/lieu-rorschach" TargetMode="External"/><Relationship Id="rId11483" Type="http://schemas.openxmlformats.org/officeDocument/2006/relationships/hyperlink" Target="https://www.immoscout24.ch/fr/maison/acheter/lieu-oberaegeri" TargetMode="External"/><Relationship Id="rId10150" Type="http://schemas.openxmlformats.org/officeDocument/2006/relationships/hyperlink" Target="https://www.immoscout24.ch/fr/appartement/acheter/lieu-bottmingen" TargetMode="External"/><Relationship Id="rId11482" Type="http://schemas.openxmlformats.org/officeDocument/2006/relationships/hyperlink" Target="https://www.immoscout24.ch/fr/maison/acheter/lieu-flaach" TargetMode="External"/><Relationship Id="rId10151" Type="http://schemas.openxmlformats.org/officeDocument/2006/relationships/hyperlink" Target="https://www.immoscout24.ch/fr/maison/acheter/lieu-gimmelwald" TargetMode="External"/><Relationship Id="rId11481" Type="http://schemas.openxmlformats.org/officeDocument/2006/relationships/hyperlink" Target="https://www.immoscout24.ch/fr/maison/acheter/lieu-flaach" TargetMode="External"/><Relationship Id="rId10156" Type="http://schemas.openxmlformats.org/officeDocument/2006/relationships/hyperlink" Target="https://www.immoscout24.ch/fr/appartement/louer/lieu-liebefeld" TargetMode="External"/><Relationship Id="rId11488" Type="http://schemas.openxmlformats.org/officeDocument/2006/relationships/hyperlink" Target="https://www.immoscout24.ch/fr/appartement/acheter/canton-uri" TargetMode="External"/><Relationship Id="rId10157" Type="http://schemas.openxmlformats.org/officeDocument/2006/relationships/hyperlink" Target="https://www.immoscout24.ch/fr/maison/acheter/lieu-martisberg" TargetMode="External"/><Relationship Id="rId11487" Type="http://schemas.openxmlformats.org/officeDocument/2006/relationships/hyperlink" Target="https://www.immoscout24.ch/fr/appartement/acheter/canton-uri" TargetMode="External"/><Relationship Id="rId10154" Type="http://schemas.openxmlformats.org/officeDocument/2006/relationships/hyperlink" Target="https://www.immoscout24.ch/fr/maison/louer/lieu-rorschach" TargetMode="External"/><Relationship Id="rId11486" Type="http://schemas.openxmlformats.org/officeDocument/2006/relationships/hyperlink" Target="https://www.immoscout24.ch/fr/maison/louer/lieu-lully-fr" TargetMode="External"/><Relationship Id="rId10155" Type="http://schemas.openxmlformats.org/officeDocument/2006/relationships/hyperlink" Target="https://www.immoscout24.ch/fr/appartement/louer/lieu-liebefeld" TargetMode="External"/><Relationship Id="rId11485" Type="http://schemas.openxmlformats.org/officeDocument/2006/relationships/hyperlink" Target="https://www.immoscout24.ch/fr/maison/louer/lieu-lully-fr" TargetMode="External"/><Relationship Id="rId10170" Type="http://schemas.openxmlformats.org/officeDocument/2006/relationships/hyperlink" Target="https://www.immoscout24.ch/fr/appartement/acheter/lieu-genthod" TargetMode="External"/><Relationship Id="rId10171" Type="http://schemas.openxmlformats.org/officeDocument/2006/relationships/hyperlink" Target="https://www.immoscout24.ch/fr/maison/louer/lieu-duebendorf" TargetMode="External"/><Relationship Id="rId10169" Type="http://schemas.openxmlformats.org/officeDocument/2006/relationships/hyperlink" Target="https://www.immoscout24.ch/fr/appartement/acheter/lieu-genthod" TargetMode="External"/><Relationship Id="rId10163" Type="http://schemas.openxmlformats.org/officeDocument/2006/relationships/hyperlink" Target="https://www.immoscout24.ch/fr/maison/acheter/lieu-gunten" TargetMode="External"/><Relationship Id="rId11495" Type="http://schemas.openxmlformats.org/officeDocument/2006/relationships/hyperlink" Target="https://www.immoscout24.ch/fr/maison/acheter/lieu-wolfhausen" TargetMode="External"/><Relationship Id="rId10164" Type="http://schemas.openxmlformats.org/officeDocument/2006/relationships/hyperlink" Target="https://www.immoscout24.ch/fr/maison/acheter/lieu-gunten" TargetMode="External"/><Relationship Id="rId11494" Type="http://schemas.openxmlformats.org/officeDocument/2006/relationships/hyperlink" Target="https://www.immoscout24.ch/fr/appartement/louer/lieu-faoug" TargetMode="External"/><Relationship Id="rId10161" Type="http://schemas.openxmlformats.org/officeDocument/2006/relationships/hyperlink" Target="https://www.immoscout24.ch/fr/maison/acheter/lieu-cressier-fr" TargetMode="External"/><Relationship Id="rId11493" Type="http://schemas.openxmlformats.org/officeDocument/2006/relationships/hyperlink" Target="https://www.immoscout24.ch/fr/appartement/louer/lieu-faoug" TargetMode="External"/><Relationship Id="rId10162" Type="http://schemas.openxmlformats.org/officeDocument/2006/relationships/hyperlink" Target="https://www.immoscout24.ch/fr/maison/acheter/lieu-cressier-fr" TargetMode="External"/><Relationship Id="rId11492" Type="http://schemas.openxmlformats.org/officeDocument/2006/relationships/hyperlink" Target="https://www.immoscout24.ch/fr/appartement/louer/lieu-st-pierre-de-clages" TargetMode="External"/><Relationship Id="rId10167" Type="http://schemas.openxmlformats.org/officeDocument/2006/relationships/hyperlink" Target="https://www.immoscout24.ch/fr/maison/acheter/lieu-roveredo-gr" TargetMode="External"/><Relationship Id="rId11499" Type="http://schemas.openxmlformats.org/officeDocument/2006/relationships/hyperlink" Target="https://www.immoscout24.ch/fr/maison/acheter/lieu-lauterbrunnen" TargetMode="External"/><Relationship Id="rId10168" Type="http://schemas.openxmlformats.org/officeDocument/2006/relationships/hyperlink" Target="https://www.immoscout24.ch/fr/maison/acheter/lieu-roveredo-gr" TargetMode="External"/><Relationship Id="rId11498" Type="http://schemas.openxmlformats.org/officeDocument/2006/relationships/hyperlink" Target="https://www.immoscout24.ch/fr/maison/acheter/lieu-frenkendorf" TargetMode="External"/><Relationship Id="rId10165" Type="http://schemas.openxmlformats.org/officeDocument/2006/relationships/hyperlink" Target="https://www.immoscout24.ch/fr/appartement/louer/lieu-baettwil" TargetMode="External"/><Relationship Id="rId11497" Type="http://schemas.openxmlformats.org/officeDocument/2006/relationships/hyperlink" Target="https://www.immoscout24.ch/fr/maison/acheter/lieu-frenkendorf" TargetMode="External"/><Relationship Id="rId10166" Type="http://schemas.openxmlformats.org/officeDocument/2006/relationships/hyperlink" Target="https://www.immoscout24.ch/fr/appartement/louer/lieu-baettwil" TargetMode="External"/><Relationship Id="rId11496" Type="http://schemas.openxmlformats.org/officeDocument/2006/relationships/hyperlink" Target="https://www.immoscout24.ch/fr/maison/acheter/lieu-wolfhausen" TargetMode="External"/><Relationship Id="rId10196" Type="http://schemas.openxmlformats.org/officeDocument/2006/relationships/hyperlink" Target="https://www.immoscout24.ch/fr/maison/acheter/lieu-saulcy" TargetMode="External"/><Relationship Id="rId10197" Type="http://schemas.openxmlformats.org/officeDocument/2006/relationships/hyperlink" Target="https://www.immoscout24.ch/fr/appartement/acheter/lieu-lax" TargetMode="External"/><Relationship Id="rId10194" Type="http://schemas.openxmlformats.org/officeDocument/2006/relationships/hyperlink" Target="https://www.immoscout24.ch/fr/maison/acheter/lieu-montignez" TargetMode="External"/><Relationship Id="rId10195" Type="http://schemas.openxmlformats.org/officeDocument/2006/relationships/hyperlink" Target="https://www.immoscout24.ch/fr/maison/acheter/lieu-saulcy" TargetMode="External"/><Relationship Id="rId10198" Type="http://schemas.openxmlformats.org/officeDocument/2006/relationships/hyperlink" Target="https://www.immoscout24.ch/fr/appartement/acheter/lieu-lax" TargetMode="External"/><Relationship Id="rId10199" Type="http://schemas.openxmlformats.org/officeDocument/2006/relationships/hyperlink" Target="https://www.immoscout24.ch/fr/appartement/louer/lieu-vulliens" TargetMode="External"/><Relationship Id="rId11426" Type="http://schemas.openxmlformats.org/officeDocument/2006/relationships/hyperlink" Target="https://www.immoscout24.ch/fr/appartement/louer/lieu-villars-sous-champvent" TargetMode="External"/><Relationship Id="rId11425" Type="http://schemas.openxmlformats.org/officeDocument/2006/relationships/hyperlink" Target="https://www.immoscout24.ch/fr/appartement/louer/lieu-villars-sous-champvent" TargetMode="External"/><Relationship Id="rId11424" Type="http://schemas.openxmlformats.org/officeDocument/2006/relationships/hyperlink" Target="https://www.immoscout24.ch/fr/appartement/louer/lieu-zumholz" TargetMode="External"/><Relationship Id="rId11423" Type="http://schemas.openxmlformats.org/officeDocument/2006/relationships/hyperlink" Target="https://www.immoscout24.ch/fr/appartement/louer/lieu-zumholz" TargetMode="External"/><Relationship Id="rId11429" Type="http://schemas.openxmlformats.org/officeDocument/2006/relationships/hyperlink" Target="https://www.immoscout24.ch/fr/appartement/acheter/lieu-belmont-sur-lausanne" TargetMode="External"/><Relationship Id="rId11428" Type="http://schemas.openxmlformats.org/officeDocument/2006/relationships/hyperlink" Target="https://www.immoscout24.ch/fr/maison/acheter/lieu-vaulruz" TargetMode="External"/><Relationship Id="rId11427" Type="http://schemas.openxmlformats.org/officeDocument/2006/relationships/hyperlink" Target="https://www.immoscout24.ch/fr/maison/acheter/lieu-vaulruz" TargetMode="External"/><Relationship Id="rId11422" Type="http://schemas.openxmlformats.org/officeDocument/2006/relationships/hyperlink" Target="https://www.immoscout24.ch/fr/maison/acheter/lieu-niederwil-ag" TargetMode="External"/><Relationship Id="rId11421" Type="http://schemas.openxmlformats.org/officeDocument/2006/relationships/hyperlink" Target="https://www.immoscout24.ch/fr/maison/acheter/lieu-niederwil-ag" TargetMode="External"/><Relationship Id="rId11420" Type="http://schemas.openxmlformats.org/officeDocument/2006/relationships/hyperlink" Target="https://www.immoscout24.ch/fr/maison/acheter/lieu-rothwald" TargetMode="External"/><Relationship Id="rId10105" Type="http://schemas.openxmlformats.org/officeDocument/2006/relationships/hyperlink" Target="https://www.immoscout24.ch/fr/appartement/louer/lieu-sorengo" TargetMode="External"/><Relationship Id="rId11437" Type="http://schemas.openxmlformats.org/officeDocument/2006/relationships/hyperlink" Target="https://www.immoscout24.ch/fr/appartement/louer/lieu-worblaufen" TargetMode="External"/><Relationship Id="rId10106" Type="http://schemas.openxmlformats.org/officeDocument/2006/relationships/hyperlink" Target="https://www.immoscout24.ch/fr/appartement/louer/lieu-sorengo" TargetMode="External"/><Relationship Id="rId11436" Type="http://schemas.openxmlformats.org/officeDocument/2006/relationships/hyperlink" Target="https://www.immoscout24.ch/fr/appartement/louer/lieu-buchillon" TargetMode="External"/><Relationship Id="rId10103" Type="http://schemas.openxmlformats.org/officeDocument/2006/relationships/hyperlink" Target="https://www.immoscout24.ch/fr/appartement/louer/lieu-spreitenbach" TargetMode="External"/><Relationship Id="rId11435" Type="http://schemas.openxmlformats.org/officeDocument/2006/relationships/hyperlink" Target="https://www.immoscout24.ch/fr/appartement/louer/lieu-buchillon" TargetMode="External"/><Relationship Id="rId10104" Type="http://schemas.openxmlformats.org/officeDocument/2006/relationships/hyperlink" Target="https://www.immoscout24.ch/fr/appartement/louer/lieu-spreitenbach" TargetMode="External"/><Relationship Id="rId11434" Type="http://schemas.openxmlformats.org/officeDocument/2006/relationships/hyperlink" Target="https://www.immoscout24.ch/fr/appartement/louer/lieu-ballaigues" TargetMode="External"/><Relationship Id="rId10109" Type="http://schemas.openxmlformats.org/officeDocument/2006/relationships/hyperlink" Target="https://www.immoscout24.ch/fr/appartement/acheter/lieu-areuse" TargetMode="External"/><Relationship Id="rId10107" Type="http://schemas.openxmlformats.org/officeDocument/2006/relationships/hyperlink" Target="https://www.immoscout24.ch/fr/appartement/louer/lieu-illnau" TargetMode="External"/><Relationship Id="rId11439" Type="http://schemas.openxmlformats.org/officeDocument/2006/relationships/hyperlink" Target="https://www.immoscout24.ch/fr/maison/acheter/lieu-chenaux" TargetMode="External"/><Relationship Id="rId10108" Type="http://schemas.openxmlformats.org/officeDocument/2006/relationships/hyperlink" Target="https://www.immoscout24.ch/fr/appartement/louer/lieu-illnau" TargetMode="External"/><Relationship Id="rId11438" Type="http://schemas.openxmlformats.org/officeDocument/2006/relationships/hyperlink" Target="https://www.immoscout24.ch/fr/appartement/louer/lieu-worblaufen" TargetMode="External"/><Relationship Id="rId10101" Type="http://schemas.openxmlformats.org/officeDocument/2006/relationships/hyperlink" Target="https://www.immoscout24.ch/fr/maison/acheter/lieu-seengen" TargetMode="External"/><Relationship Id="rId11433" Type="http://schemas.openxmlformats.org/officeDocument/2006/relationships/hyperlink" Target="https://www.immoscout24.ch/fr/appartement/louer/lieu-ballaigues" TargetMode="External"/><Relationship Id="rId10102" Type="http://schemas.openxmlformats.org/officeDocument/2006/relationships/hyperlink" Target="https://www.immoscout24.ch/fr/maison/acheter/lieu-seengen" TargetMode="External"/><Relationship Id="rId11432" Type="http://schemas.openxmlformats.org/officeDocument/2006/relationships/hyperlink" Target="https://www.immoscout24.ch/fr/maison/louer/canton-appenzell-ri" TargetMode="External"/><Relationship Id="rId11431" Type="http://schemas.openxmlformats.org/officeDocument/2006/relationships/hyperlink" Target="https://www.immoscout24.ch/fr/maison/louer/canton-appenzell-ri" TargetMode="External"/><Relationship Id="rId10100" Type="http://schemas.openxmlformats.org/officeDocument/2006/relationships/hyperlink" Target="https://www.immoscout24.ch/fr/appartement/louer/lieu-chalais" TargetMode="External"/><Relationship Id="rId11430" Type="http://schemas.openxmlformats.org/officeDocument/2006/relationships/hyperlink" Target="https://www.immoscout24.ch/fr/appartement/acheter/lieu-belmont-sur-lausanne" TargetMode="External"/><Relationship Id="rId9918" Type="http://schemas.openxmlformats.org/officeDocument/2006/relationships/hyperlink" Target="https://www.immoscout24.ch/fr/maison/acheter/lieu-monteggio" TargetMode="External"/><Relationship Id="rId9919" Type="http://schemas.openxmlformats.org/officeDocument/2006/relationships/hyperlink" Target="https://www.immoscout24.ch/fr/maison/acheter/lieu-grolley" TargetMode="External"/><Relationship Id="rId9914" Type="http://schemas.openxmlformats.org/officeDocument/2006/relationships/hyperlink" Target="https://www.immoscout24.ch/fr/maison/acheter/lieu-la-chaux-de-fonds" TargetMode="External"/><Relationship Id="rId9915" Type="http://schemas.openxmlformats.org/officeDocument/2006/relationships/hyperlink" Target="https://www.immoscout24.ch/fr/maison/louer/lieu-st-cergue" TargetMode="External"/><Relationship Id="rId9916" Type="http://schemas.openxmlformats.org/officeDocument/2006/relationships/hyperlink" Target="https://www.immoscout24.ch/fr/maison/louer/lieu-st-cergue" TargetMode="External"/><Relationship Id="rId9917" Type="http://schemas.openxmlformats.org/officeDocument/2006/relationships/hyperlink" Target="https://www.immoscout24.ch/fr/maison/acheter/lieu-monteggio" TargetMode="External"/><Relationship Id="rId11409" Type="http://schemas.openxmlformats.org/officeDocument/2006/relationships/hyperlink" Target="https://www.immoscout24.ch/fr/appartement/acheter/lieu-bonaduz" TargetMode="External"/><Relationship Id="rId11404" Type="http://schemas.openxmlformats.org/officeDocument/2006/relationships/hyperlink" Target="https://www.immoscout24.ch/fr/appartement/louer/lieu-melchtal" TargetMode="External"/><Relationship Id="rId11403" Type="http://schemas.openxmlformats.org/officeDocument/2006/relationships/hyperlink" Target="https://www.immoscout24.ch/fr/appartement/louer/lieu-melchtal" TargetMode="External"/><Relationship Id="rId11402" Type="http://schemas.openxmlformats.org/officeDocument/2006/relationships/hyperlink" Target="https://www.immoscout24.ch/fr/appartement/acheter/canton-fribourg" TargetMode="External"/><Relationship Id="rId11401" Type="http://schemas.openxmlformats.org/officeDocument/2006/relationships/hyperlink" Target="https://www.immoscout24.ch/fr/appartement/acheter/canton-fribourg" TargetMode="External"/><Relationship Id="rId11408" Type="http://schemas.openxmlformats.org/officeDocument/2006/relationships/hyperlink" Target="https://www.immoscout24.ch/fr/appartement/louer/lieu-intragna" TargetMode="External"/><Relationship Id="rId11407" Type="http://schemas.openxmlformats.org/officeDocument/2006/relationships/hyperlink" Target="https://www.immoscout24.ch/fr/appartement/louer/lieu-intragna" TargetMode="External"/><Relationship Id="rId11406" Type="http://schemas.openxmlformats.org/officeDocument/2006/relationships/hyperlink" Target="https://www.immoscout24.ch/fr/maison/louer/lieu-la-praz" TargetMode="External"/><Relationship Id="rId11405" Type="http://schemas.openxmlformats.org/officeDocument/2006/relationships/hyperlink" Target="https://www.immoscout24.ch/fr/maison/louer/lieu-la-praz" TargetMode="External"/><Relationship Id="rId9910" Type="http://schemas.openxmlformats.org/officeDocument/2006/relationships/hyperlink" Target="https://www.immoscout24.ch/fr/maison/louer/lieu-sales-gruyere" TargetMode="External"/><Relationship Id="rId9911" Type="http://schemas.openxmlformats.org/officeDocument/2006/relationships/hyperlink" Target="https://www.immoscout24.ch/fr/maison/acheter/lieu-etoy" TargetMode="External"/><Relationship Id="rId9912" Type="http://schemas.openxmlformats.org/officeDocument/2006/relationships/hyperlink" Target="https://www.immoscout24.ch/fr/maison/acheter/lieu-etoy" TargetMode="External"/><Relationship Id="rId9913" Type="http://schemas.openxmlformats.org/officeDocument/2006/relationships/hyperlink" Target="https://www.immoscout24.ch/fr/maison/acheter/lieu-la-chaux-de-fonds" TargetMode="External"/><Relationship Id="rId11400" Type="http://schemas.openxmlformats.org/officeDocument/2006/relationships/hyperlink" Target="https://www.immoscout24.ch/fr/maison/louer/lieu-fuellinsdorf" TargetMode="External"/><Relationship Id="rId9907" Type="http://schemas.openxmlformats.org/officeDocument/2006/relationships/hyperlink" Target="https://www.immoscout24.ch/fr/appartement/louer/lieu-fahrweid" TargetMode="External"/><Relationship Id="rId9908" Type="http://schemas.openxmlformats.org/officeDocument/2006/relationships/hyperlink" Target="https://www.immoscout24.ch/fr/appartement/louer/lieu-fahrweid" TargetMode="External"/><Relationship Id="rId9909" Type="http://schemas.openxmlformats.org/officeDocument/2006/relationships/hyperlink" Target="https://www.immoscout24.ch/fr/maison/louer/lieu-sales-gruyere" TargetMode="External"/><Relationship Id="rId9903" Type="http://schemas.openxmlformats.org/officeDocument/2006/relationships/hyperlink" Target="https://www.immoscout24.ch/fr/appartement/louer/lieu-buochs" TargetMode="External"/><Relationship Id="rId9904" Type="http://schemas.openxmlformats.org/officeDocument/2006/relationships/hyperlink" Target="https://www.immoscout24.ch/fr/appartement/louer/lieu-buochs" TargetMode="External"/><Relationship Id="rId9905" Type="http://schemas.openxmlformats.org/officeDocument/2006/relationships/hyperlink" Target="https://www.immoscout24.ch/fr/maison/louer/lieu-farvagny-le-petit" TargetMode="External"/><Relationship Id="rId9906" Type="http://schemas.openxmlformats.org/officeDocument/2006/relationships/hyperlink" Target="https://www.immoscout24.ch/fr/maison/louer/lieu-farvagny-le-petit" TargetMode="External"/><Relationship Id="rId11415" Type="http://schemas.openxmlformats.org/officeDocument/2006/relationships/hyperlink" Target="https://www.immoscout24.ch/fr/appartement/louer/lieu-erlinsbach" TargetMode="External"/><Relationship Id="rId11414" Type="http://schemas.openxmlformats.org/officeDocument/2006/relationships/hyperlink" Target="https://www.immoscout24.ch/fr/appartement/louer/lieu-villaz-st-pierre" TargetMode="External"/><Relationship Id="rId11413" Type="http://schemas.openxmlformats.org/officeDocument/2006/relationships/hyperlink" Target="https://www.immoscout24.ch/fr/appartement/louer/lieu-villaz-st-pierre" TargetMode="External"/><Relationship Id="rId11412" Type="http://schemas.openxmlformats.org/officeDocument/2006/relationships/hyperlink" Target="https://www.immoscout24.ch/fr/maison/louer/quartier-montoie-bourdonette-lausanne" TargetMode="External"/><Relationship Id="rId11419" Type="http://schemas.openxmlformats.org/officeDocument/2006/relationships/hyperlink" Target="https://www.immoscout24.ch/fr/maison/acheter/lieu-rothwald" TargetMode="External"/><Relationship Id="rId11418" Type="http://schemas.openxmlformats.org/officeDocument/2006/relationships/hyperlink" Target="https://www.immoscout24.ch/fr/appartement/louer/lieu-beatenberg" TargetMode="External"/><Relationship Id="rId11417" Type="http://schemas.openxmlformats.org/officeDocument/2006/relationships/hyperlink" Target="https://www.immoscout24.ch/fr/appartement/louer/lieu-beatenberg" TargetMode="External"/><Relationship Id="rId11416" Type="http://schemas.openxmlformats.org/officeDocument/2006/relationships/hyperlink" Target="https://www.immoscout24.ch/fr/appartement/louer/lieu-erlinsbach" TargetMode="External"/><Relationship Id="rId9900" Type="http://schemas.openxmlformats.org/officeDocument/2006/relationships/hyperlink" Target="https://www.immoscout24.ch/fr/appartement/acheter/region-bern-et-environs" TargetMode="External"/><Relationship Id="rId9901" Type="http://schemas.openxmlformats.org/officeDocument/2006/relationships/hyperlink" Target="https://www.immoscout24.ch/fr/maison/acheter/lieu-lugano" TargetMode="External"/><Relationship Id="rId9902" Type="http://schemas.openxmlformats.org/officeDocument/2006/relationships/hyperlink" Target="https://www.immoscout24.ch/fr/maison/acheter/lieu-lugano" TargetMode="External"/><Relationship Id="rId11411" Type="http://schemas.openxmlformats.org/officeDocument/2006/relationships/hyperlink" Target="https://www.immoscout24.ch/fr/maison/louer/quartier-montoie-bourdonette-lausanne" TargetMode="External"/><Relationship Id="rId11410" Type="http://schemas.openxmlformats.org/officeDocument/2006/relationships/hyperlink" Target="https://www.immoscout24.ch/fr/appartement/acheter/lieu-bonaduz" TargetMode="External"/><Relationship Id="rId10138" Type="http://schemas.openxmlformats.org/officeDocument/2006/relationships/hyperlink" Target="https://www.immoscout24.ch/fr/appartement/louer/quartier-centre-ville-lausanne" TargetMode="External"/><Relationship Id="rId10139" Type="http://schemas.openxmlformats.org/officeDocument/2006/relationships/hyperlink" Target="https://www.immoscout24.ch/fr/maison/acheter/pays-maldives" TargetMode="External"/><Relationship Id="rId11469" Type="http://schemas.openxmlformats.org/officeDocument/2006/relationships/hyperlink" Target="https://www.immoscout24.ch/fr/maison/acheter/lieu-chermignon" TargetMode="External"/><Relationship Id="rId10136" Type="http://schemas.openxmlformats.org/officeDocument/2006/relationships/hyperlink" Target="https://www.immoscout24.ch/fr/appartement/louer/lieu-biberist" TargetMode="External"/><Relationship Id="rId11468" Type="http://schemas.openxmlformats.org/officeDocument/2006/relationships/hyperlink" Target="https://www.immoscout24.ch/fr/appartement/louer/lieu-cartigny" TargetMode="External"/><Relationship Id="rId10137" Type="http://schemas.openxmlformats.org/officeDocument/2006/relationships/hyperlink" Target="https://www.immoscout24.ch/fr/appartement/louer/quartier-centre-ville-lausanne" TargetMode="External"/><Relationship Id="rId11467" Type="http://schemas.openxmlformats.org/officeDocument/2006/relationships/hyperlink" Target="https://www.immoscout24.ch/fr/appartement/louer/lieu-cartigny" TargetMode="External"/><Relationship Id="rId10130" Type="http://schemas.openxmlformats.org/officeDocument/2006/relationships/hyperlink" Target="https://www.immoscout24.ch/fr/appartement/louer/lieu-ormone-saviese" TargetMode="External"/><Relationship Id="rId11462" Type="http://schemas.openxmlformats.org/officeDocument/2006/relationships/hyperlink" Target="https://www.immoscout24.ch/fr/appartement/louer/lieu-unterseen" TargetMode="External"/><Relationship Id="rId10131" Type="http://schemas.openxmlformats.org/officeDocument/2006/relationships/hyperlink" Target="https://www.immoscout24.ch/fr/maison/acheter/lieu-areuse" TargetMode="External"/><Relationship Id="rId11461" Type="http://schemas.openxmlformats.org/officeDocument/2006/relationships/hyperlink" Target="https://www.immoscout24.ch/fr/appartement/louer/lieu-unterseen" TargetMode="External"/><Relationship Id="rId11460" Type="http://schemas.openxmlformats.org/officeDocument/2006/relationships/hyperlink" Target="https://www.immoscout24.ch/fr/maison/acheter/lieu-disentis-muster" TargetMode="External"/><Relationship Id="rId10134" Type="http://schemas.openxmlformats.org/officeDocument/2006/relationships/hyperlink" Target="https://www.immoscout24.ch/fr/appartement/acheter/lieu-pont-de-la-morge-sion" TargetMode="External"/><Relationship Id="rId11466" Type="http://schemas.openxmlformats.org/officeDocument/2006/relationships/hyperlink" Target="https://www.immoscout24.ch/fr/appartement/acheter/lieu-nax" TargetMode="External"/><Relationship Id="rId10135" Type="http://schemas.openxmlformats.org/officeDocument/2006/relationships/hyperlink" Target="https://www.immoscout24.ch/fr/appartement/louer/lieu-biberist" TargetMode="External"/><Relationship Id="rId11465" Type="http://schemas.openxmlformats.org/officeDocument/2006/relationships/hyperlink" Target="https://www.immoscout24.ch/fr/appartement/acheter/lieu-nax" TargetMode="External"/><Relationship Id="rId10132" Type="http://schemas.openxmlformats.org/officeDocument/2006/relationships/hyperlink" Target="https://www.immoscout24.ch/fr/maison/acheter/lieu-areuse" TargetMode="External"/><Relationship Id="rId11464" Type="http://schemas.openxmlformats.org/officeDocument/2006/relationships/hyperlink" Target="https://www.immoscout24.ch/fr/appartement/louer/lieu-bauma" TargetMode="External"/><Relationship Id="rId10133" Type="http://schemas.openxmlformats.org/officeDocument/2006/relationships/hyperlink" Target="https://www.immoscout24.ch/fr/appartement/acheter/lieu-pont-de-la-morge-sion" TargetMode="External"/><Relationship Id="rId11463" Type="http://schemas.openxmlformats.org/officeDocument/2006/relationships/hyperlink" Target="https://www.immoscout24.ch/fr/appartement/louer/lieu-bauma" TargetMode="External"/><Relationship Id="rId11480" Type="http://schemas.openxmlformats.org/officeDocument/2006/relationships/hyperlink" Target="https://www.immoscout24.ch/fr/appartement/louer/lieu-maroggia" TargetMode="External"/><Relationship Id="rId10149" Type="http://schemas.openxmlformats.org/officeDocument/2006/relationships/hyperlink" Target="https://www.immoscout24.ch/fr/appartement/acheter/lieu-bottmingen" TargetMode="External"/><Relationship Id="rId10147" Type="http://schemas.openxmlformats.org/officeDocument/2006/relationships/hyperlink" Target="https://www.immoscout24.ch/fr/appartement/louer/lieu-fulenbach" TargetMode="External"/><Relationship Id="rId11479" Type="http://schemas.openxmlformats.org/officeDocument/2006/relationships/hyperlink" Target="https://www.immoscout24.ch/fr/appartement/louer/lieu-maroggia" TargetMode="External"/><Relationship Id="rId10148" Type="http://schemas.openxmlformats.org/officeDocument/2006/relationships/hyperlink" Target="https://www.immoscout24.ch/fr/appartement/louer/lieu-fulenbach" TargetMode="External"/><Relationship Id="rId11478" Type="http://schemas.openxmlformats.org/officeDocument/2006/relationships/hyperlink" Target="https://www.immoscout24.ch/fr/appartement/louer/lieu-grenilles" TargetMode="External"/><Relationship Id="rId10141" Type="http://schemas.openxmlformats.org/officeDocument/2006/relationships/hyperlink" Target="https://www.immoscout24.ch/fr/appartement/acheter/quartier-allmendingen-thun" TargetMode="External"/><Relationship Id="rId11473" Type="http://schemas.openxmlformats.org/officeDocument/2006/relationships/hyperlink" Target="https://www.immoscout24.ch/fr/appartement/acheter/lieu-castel-san-pietro" TargetMode="External"/><Relationship Id="rId10142" Type="http://schemas.openxmlformats.org/officeDocument/2006/relationships/hyperlink" Target="https://www.immoscout24.ch/fr/appartement/acheter/quartier-allmendingen-thun" TargetMode="External"/><Relationship Id="rId11472" Type="http://schemas.openxmlformats.org/officeDocument/2006/relationships/hyperlink" Target="https://www.immoscout24.ch/fr/appartement/acheter/lieu-steffisburg" TargetMode="External"/><Relationship Id="rId11471" Type="http://schemas.openxmlformats.org/officeDocument/2006/relationships/hyperlink" Target="https://www.immoscout24.ch/fr/appartement/acheter/lieu-steffisburg" TargetMode="External"/><Relationship Id="rId10140" Type="http://schemas.openxmlformats.org/officeDocument/2006/relationships/hyperlink" Target="https://www.immoscout24.ch/fr/maison/acheter/pays-maldives" TargetMode="External"/><Relationship Id="rId11470" Type="http://schemas.openxmlformats.org/officeDocument/2006/relationships/hyperlink" Target="https://www.immoscout24.ch/fr/maison/acheter/lieu-chermignon" TargetMode="External"/><Relationship Id="rId10145" Type="http://schemas.openxmlformats.org/officeDocument/2006/relationships/hyperlink" Target="https://www.immoscout24.ch/fr/appartement/louer/lieu-surpierre" TargetMode="External"/><Relationship Id="rId11477" Type="http://schemas.openxmlformats.org/officeDocument/2006/relationships/hyperlink" Target="https://www.immoscout24.ch/fr/appartement/louer/lieu-grenilles" TargetMode="External"/><Relationship Id="rId10146" Type="http://schemas.openxmlformats.org/officeDocument/2006/relationships/hyperlink" Target="https://www.immoscout24.ch/fr/appartement/louer/lieu-surpierre" TargetMode="External"/><Relationship Id="rId11476" Type="http://schemas.openxmlformats.org/officeDocument/2006/relationships/hyperlink" Target="https://www.immoscout24.ch/fr/appartement/louer/lieu-seon" TargetMode="External"/><Relationship Id="rId10143" Type="http://schemas.openxmlformats.org/officeDocument/2006/relationships/hyperlink" Target="https://www.immoscout24.ch/fr/appartement/louer/lieu-eison-st-martin" TargetMode="External"/><Relationship Id="rId11475" Type="http://schemas.openxmlformats.org/officeDocument/2006/relationships/hyperlink" Target="https://www.immoscout24.ch/fr/appartement/louer/lieu-seon" TargetMode="External"/><Relationship Id="rId10144" Type="http://schemas.openxmlformats.org/officeDocument/2006/relationships/hyperlink" Target="https://www.immoscout24.ch/fr/appartement/louer/lieu-eison-st-martin" TargetMode="External"/><Relationship Id="rId11474" Type="http://schemas.openxmlformats.org/officeDocument/2006/relationships/hyperlink" Target="https://www.immoscout24.ch/fr/appartement/acheter/lieu-castel-san-pietro" TargetMode="External"/><Relationship Id="rId10116" Type="http://schemas.openxmlformats.org/officeDocument/2006/relationships/hyperlink" Target="https://www.immoscout24.ch/fr/maison/acheter/lieu-le-mont-sur-lausanne" TargetMode="External"/><Relationship Id="rId11448" Type="http://schemas.openxmlformats.org/officeDocument/2006/relationships/hyperlink" Target="https://www.immoscout24.ch/fr/appartement/louer/lieu-trient" TargetMode="External"/><Relationship Id="rId10117" Type="http://schemas.openxmlformats.org/officeDocument/2006/relationships/hyperlink" Target="https://www.immoscout24.ch/fr/appartement/acheter/lieu-epsach" TargetMode="External"/><Relationship Id="rId11447" Type="http://schemas.openxmlformats.org/officeDocument/2006/relationships/hyperlink" Target="https://www.immoscout24.ch/fr/appartement/louer/lieu-trient" TargetMode="External"/><Relationship Id="rId10114" Type="http://schemas.openxmlformats.org/officeDocument/2006/relationships/hyperlink" Target="https://www.immoscout24.ch/fr/appartement/acheter/quartier-bruderholz-bale" TargetMode="External"/><Relationship Id="rId11446" Type="http://schemas.openxmlformats.org/officeDocument/2006/relationships/hyperlink" Target="https://www.immoscout24.ch/fr/maison/acheter/lieu-arbedo" TargetMode="External"/><Relationship Id="rId10115" Type="http://schemas.openxmlformats.org/officeDocument/2006/relationships/hyperlink" Target="https://www.immoscout24.ch/fr/maison/acheter/lieu-le-mont-sur-lausanne" TargetMode="External"/><Relationship Id="rId11445" Type="http://schemas.openxmlformats.org/officeDocument/2006/relationships/hyperlink" Target="https://www.immoscout24.ch/fr/maison/acheter/lieu-arbedo" TargetMode="External"/><Relationship Id="rId10118" Type="http://schemas.openxmlformats.org/officeDocument/2006/relationships/hyperlink" Target="https://www.immoscout24.ch/fr/appartement/acheter/lieu-epsach" TargetMode="External"/><Relationship Id="rId10119" Type="http://schemas.openxmlformats.org/officeDocument/2006/relationships/hyperlink" Target="https://www.immoscout24.ch/fr/appartement/louer/lieu-bassersdorf" TargetMode="External"/><Relationship Id="rId11449" Type="http://schemas.openxmlformats.org/officeDocument/2006/relationships/hyperlink" Target="https://www.immoscout24.ch/fr/appartement/acheter/lieu-loveresse" TargetMode="External"/><Relationship Id="rId11440" Type="http://schemas.openxmlformats.org/officeDocument/2006/relationships/hyperlink" Target="https://www.immoscout24.ch/fr/maison/acheter/lieu-chenaux" TargetMode="External"/><Relationship Id="rId10112" Type="http://schemas.openxmlformats.org/officeDocument/2006/relationships/hyperlink" Target="https://www.immoscout24.ch/fr/appartement/acheter/lieu-courtelary" TargetMode="External"/><Relationship Id="rId11444" Type="http://schemas.openxmlformats.org/officeDocument/2006/relationships/hyperlink" Target="https://www.immoscout24.ch/fr/appartement/acheter/lieu-ovronnaz" TargetMode="External"/><Relationship Id="rId10113" Type="http://schemas.openxmlformats.org/officeDocument/2006/relationships/hyperlink" Target="https://www.immoscout24.ch/fr/appartement/acheter/quartier-bruderholz-bale" TargetMode="External"/><Relationship Id="rId11443" Type="http://schemas.openxmlformats.org/officeDocument/2006/relationships/hyperlink" Target="https://www.immoscout24.ch/fr/appartement/acheter/lieu-ovronnaz" TargetMode="External"/><Relationship Id="rId10110" Type="http://schemas.openxmlformats.org/officeDocument/2006/relationships/hyperlink" Target="https://www.immoscout24.ch/fr/appartement/acheter/lieu-areuse" TargetMode="External"/><Relationship Id="rId11442" Type="http://schemas.openxmlformats.org/officeDocument/2006/relationships/hyperlink" Target="https://www.immoscout24.ch/fr/appartement/acheter/lieu-villars-sur-ollon" TargetMode="External"/><Relationship Id="rId10111" Type="http://schemas.openxmlformats.org/officeDocument/2006/relationships/hyperlink" Target="https://www.immoscout24.ch/fr/appartement/acheter/lieu-courtelary" TargetMode="External"/><Relationship Id="rId11441" Type="http://schemas.openxmlformats.org/officeDocument/2006/relationships/hyperlink" Target="https://www.immoscout24.ch/fr/appartement/acheter/lieu-villars-sur-ollon" TargetMode="External"/><Relationship Id="rId10127" Type="http://schemas.openxmlformats.org/officeDocument/2006/relationships/hyperlink" Target="https://www.immoscout24.ch/fr/maison/louer/canton-fribourg" TargetMode="External"/><Relationship Id="rId11459" Type="http://schemas.openxmlformats.org/officeDocument/2006/relationships/hyperlink" Target="https://www.immoscout24.ch/fr/maison/acheter/lieu-disentis-muster" TargetMode="External"/><Relationship Id="rId10128" Type="http://schemas.openxmlformats.org/officeDocument/2006/relationships/hyperlink" Target="https://www.immoscout24.ch/fr/maison/louer/canton-fribourg" TargetMode="External"/><Relationship Id="rId11458" Type="http://schemas.openxmlformats.org/officeDocument/2006/relationships/hyperlink" Target="https://www.immoscout24.ch/fr/appartement/acheter/lieu-palezieux" TargetMode="External"/><Relationship Id="rId10125" Type="http://schemas.openxmlformats.org/officeDocument/2006/relationships/hyperlink" Target="https://www.immoscout24.ch/fr/maison/louer/lieu-crans-montana" TargetMode="External"/><Relationship Id="rId11457" Type="http://schemas.openxmlformats.org/officeDocument/2006/relationships/hyperlink" Target="https://www.immoscout24.ch/fr/appartement/acheter/lieu-palezieux" TargetMode="External"/><Relationship Id="rId10126" Type="http://schemas.openxmlformats.org/officeDocument/2006/relationships/hyperlink" Target="https://www.immoscout24.ch/fr/maison/louer/lieu-crans-montana" TargetMode="External"/><Relationship Id="rId11456" Type="http://schemas.openxmlformats.org/officeDocument/2006/relationships/hyperlink" Target="https://www.immoscout24.ch/fr/maison/acheter/lieu-tavannes" TargetMode="External"/><Relationship Id="rId10129" Type="http://schemas.openxmlformats.org/officeDocument/2006/relationships/hyperlink" Target="https://www.immoscout24.ch/fr/appartement/louer/lieu-ormone-saviese" TargetMode="External"/><Relationship Id="rId11451" Type="http://schemas.openxmlformats.org/officeDocument/2006/relationships/hyperlink" Target="https://www.immoscout24.ch/fr/maison/louer/lieu-aproz-nendaz" TargetMode="External"/><Relationship Id="rId10120" Type="http://schemas.openxmlformats.org/officeDocument/2006/relationships/hyperlink" Target="https://www.immoscout24.ch/fr/appartement/louer/lieu-bassersdorf" TargetMode="External"/><Relationship Id="rId11450" Type="http://schemas.openxmlformats.org/officeDocument/2006/relationships/hyperlink" Target="https://www.immoscout24.ch/fr/appartement/acheter/lieu-loveresse" TargetMode="External"/><Relationship Id="rId10123" Type="http://schemas.openxmlformats.org/officeDocument/2006/relationships/hyperlink" Target="https://www.immoscout24.ch/fr/maison/louer/lieu-versoix" TargetMode="External"/><Relationship Id="rId11455" Type="http://schemas.openxmlformats.org/officeDocument/2006/relationships/hyperlink" Target="https://www.immoscout24.ch/fr/maison/acheter/lieu-tavannes" TargetMode="External"/><Relationship Id="rId10124" Type="http://schemas.openxmlformats.org/officeDocument/2006/relationships/hyperlink" Target="https://www.immoscout24.ch/fr/maison/louer/lieu-versoix" TargetMode="External"/><Relationship Id="rId11454" Type="http://schemas.openxmlformats.org/officeDocument/2006/relationships/hyperlink" Target="https://www.immoscout24.ch/fr/maison/acheter/lieu-l-abergement" TargetMode="External"/><Relationship Id="rId10121" Type="http://schemas.openxmlformats.org/officeDocument/2006/relationships/hyperlink" Target="https://www.immoscout24.ch/fr/appartement/louer/lieu-vuippens" TargetMode="External"/><Relationship Id="rId11453" Type="http://schemas.openxmlformats.org/officeDocument/2006/relationships/hyperlink" Target="https://www.immoscout24.ch/fr/maison/acheter/lieu-l-abergement" TargetMode="External"/><Relationship Id="rId10122" Type="http://schemas.openxmlformats.org/officeDocument/2006/relationships/hyperlink" Target="https://www.immoscout24.ch/fr/appartement/louer/lieu-vuippens" TargetMode="External"/><Relationship Id="rId11452" Type="http://schemas.openxmlformats.org/officeDocument/2006/relationships/hyperlink" Target="https://www.immoscout24.ch/fr/maison/louer/lieu-aproz-nendaz" TargetMode="External"/><Relationship Id="rId7319" Type="http://schemas.openxmlformats.org/officeDocument/2006/relationships/hyperlink" Target="https://www.immoscout24.ch/fr/maison/acheter/lieu-gruyeres" TargetMode="External"/><Relationship Id="rId7318" Type="http://schemas.openxmlformats.org/officeDocument/2006/relationships/hyperlink" Target="https://www.immoscout24.ch/fr/maison/acheter/lieu-st-moritz" TargetMode="External"/><Relationship Id="rId8649" Type="http://schemas.openxmlformats.org/officeDocument/2006/relationships/hyperlink" Target="https://www.immoscout24.ch/fr/maison/louer/lieu-tafers" TargetMode="External"/><Relationship Id="rId9970" Type="http://schemas.openxmlformats.org/officeDocument/2006/relationships/hyperlink" Target="https://www.immoscout24.ch/fr/appartement/acheter/lieu-servion" TargetMode="External"/><Relationship Id="rId9971" Type="http://schemas.openxmlformats.org/officeDocument/2006/relationships/hyperlink" Target="https://www.immoscout24.ch/fr/maison/acheter/region-winterthu-et-environs" TargetMode="External"/><Relationship Id="rId8640" Type="http://schemas.openxmlformats.org/officeDocument/2006/relationships/hyperlink" Target="https://www.immoscout24.ch/fr/maison/acheter/pays-pologne" TargetMode="External"/><Relationship Id="rId7313" Type="http://schemas.openxmlformats.org/officeDocument/2006/relationships/hyperlink" Target="https://www.immoscout24.ch/fr/maison/louer/lieu-riddes" TargetMode="External"/><Relationship Id="rId8644" Type="http://schemas.openxmlformats.org/officeDocument/2006/relationships/hyperlink" Target="https://www.immoscout24.ch/fr/appartement/acheter/lieu-granges-de-vesin" TargetMode="External"/><Relationship Id="rId9976" Type="http://schemas.openxmlformats.org/officeDocument/2006/relationships/hyperlink" Target="https://www.immoscout24.ch/fr/appartement/louer/lieu-jussy" TargetMode="External"/><Relationship Id="rId7312" Type="http://schemas.openxmlformats.org/officeDocument/2006/relationships/hyperlink" Target="https://www.immoscout24.ch/fr/appartement/acheter/lieu-porrentruy" TargetMode="External"/><Relationship Id="rId8643" Type="http://schemas.openxmlformats.org/officeDocument/2006/relationships/hyperlink" Target="https://www.immoscout24.ch/fr/appartement/acheter/lieu-granges-de-vesin" TargetMode="External"/><Relationship Id="rId9977" Type="http://schemas.openxmlformats.org/officeDocument/2006/relationships/hyperlink" Target="https://www.immoscout24.ch/fr/appartement/acheter/lieu-saviese" TargetMode="External"/><Relationship Id="rId7311" Type="http://schemas.openxmlformats.org/officeDocument/2006/relationships/hyperlink" Target="https://www.immoscout24.ch/fr/appartement/acheter/lieu-porrentruy" TargetMode="External"/><Relationship Id="rId8642" Type="http://schemas.openxmlformats.org/officeDocument/2006/relationships/hyperlink" Target="https://www.immoscout24.ch/fr/appartement/acheter/lieu-cologny" TargetMode="External"/><Relationship Id="rId9978" Type="http://schemas.openxmlformats.org/officeDocument/2006/relationships/hyperlink" Target="https://www.immoscout24.ch/fr/appartement/acheter/lieu-saviese" TargetMode="External"/><Relationship Id="rId7310" Type="http://schemas.openxmlformats.org/officeDocument/2006/relationships/hyperlink" Target="https://www.immoscout24.ch/fr/appartement/louer/lieu-auvernier" TargetMode="External"/><Relationship Id="rId8641" Type="http://schemas.openxmlformats.org/officeDocument/2006/relationships/hyperlink" Target="https://www.immoscout24.ch/fr/appartement/acheter/lieu-cologny" TargetMode="External"/><Relationship Id="rId9979" Type="http://schemas.openxmlformats.org/officeDocument/2006/relationships/hyperlink" Target="https://www.immoscout24.ch/fr/appartement/acheter/lieu-ebikon" TargetMode="External"/><Relationship Id="rId7317" Type="http://schemas.openxmlformats.org/officeDocument/2006/relationships/hyperlink" Target="https://www.immoscout24.ch/fr/maison/acheter/lieu-st-moritz" TargetMode="External"/><Relationship Id="rId8648" Type="http://schemas.openxmlformats.org/officeDocument/2006/relationships/hyperlink" Target="https://www.immoscout24.ch/fr/maison/acheter/lieu-sirnach" TargetMode="External"/><Relationship Id="rId9972" Type="http://schemas.openxmlformats.org/officeDocument/2006/relationships/hyperlink" Target="https://www.immoscout24.ch/fr/maison/acheter/region-winterthu-et-environs" TargetMode="External"/><Relationship Id="rId7316" Type="http://schemas.openxmlformats.org/officeDocument/2006/relationships/hyperlink" Target="https://www.immoscout24.ch/fr/appartement/acheter/lieu-langnau-im-emmental" TargetMode="External"/><Relationship Id="rId8647" Type="http://schemas.openxmlformats.org/officeDocument/2006/relationships/hyperlink" Target="https://www.immoscout24.ch/fr/maison/acheter/lieu-sirnach" TargetMode="External"/><Relationship Id="rId9973" Type="http://schemas.openxmlformats.org/officeDocument/2006/relationships/hyperlink" Target="https://www.immoscout24.ch/fr/appartement/acheter/quartier-sauvabelin-lausanne" TargetMode="External"/><Relationship Id="rId7315" Type="http://schemas.openxmlformats.org/officeDocument/2006/relationships/hyperlink" Target="https://www.immoscout24.ch/fr/appartement/acheter/lieu-langnau-im-emmental" TargetMode="External"/><Relationship Id="rId8646" Type="http://schemas.openxmlformats.org/officeDocument/2006/relationships/hyperlink" Target="https://www.immoscout24.ch/fr/appartement/louer/lieu-villariaz" TargetMode="External"/><Relationship Id="rId9974" Type="http://schemas.openxmlformats.org/officeDocument/2006/relationships/hyperlink" Target="https://www.immoscout24.ch/fr/appartement/acheter/quartier-sauvabelin-lausanne" TargetMode="External"/><Relationship Id="rId7314" Type="http://schemas.openxmlformats.org/officeDocument/2006/relationships/hyperlink" Target="https://www.immoscout24.ch/fr/maison/louer/lieu-riddes" TargetMode="External"/><Relationship Id="rId8645" Type="http://schemas.openxmlformats.org/officeDocument/2006/relationships/hyperlink" Target="https://www.immoscout24.ch/fr/appartement/louer/lieu-villariaz" TargetMode="External"/><Relationship Id="rId9975" Type="http://schemas.openxmlformats.org/officeDocument/2006/relationships/hyperlink" Target="https://www.immoscout24.ch/fr/appartement/louer/lieu-jussy" TargetMode="External"/><Relationship Id="rId7309" Type="http://schemas.openxmlformats.org/officeDocument/2006/relationships/hyperlink" Target="https://www.immoscout24.ch/fr/appartement/louer/lieu-auvernier" TargetMode="External"/><Relationship Id="rId7308" Type="http://schemas.openxmlformats.org/officeDocument/2006/relationships/hyperlink" Target="https://www.immoscout24.ch/fr/appartement/louer/lieu-baeriswil-be" TargetMode="External"/><Relationship Id="rId8639" Type="http://schemas.openxmlformats.org/officeDocument/2006/relationships/hyperlink" Target="https://www.immoscout24.ch/fr/maison/acheter/pays-pologne" TargetMode="External"/><Relationship Id="rId7307" Type="http://schemas.openxmlformats.org/officeDocument/2006/relationships/hyperlink" Target="https://www.immoscout24.ch/fr/appartement/louer/lieu-baeriswil-be" TargetMode="External"/><Relationship Id="rId8638" Type="http://schemas.openxmlformats.org/officeDocument/2006/relationships/hyperlink" Target="https://www.immoscout24.ch/fr/maison/louer/lieu-belmont-sur-lausanne" TargetMode="External"/><Relationship Id="rId9969" Type="http://schemas.openxmlformats.org/officeDocument/2006/relationships/hyperlink" Target="https://www.immoscout24.ch/fr/appartement/acheter/lieu-servion" TargetMode="External"/><Relationship Id="rId9960" Type="http://schemas.openxmlformats.org/officeDocument/2006/relationships/hyperlink" Target="https://www.immoscout24.ch/fr/maison/acheter/lieu-les-mosses" TargetMode="External"/><Relationship Id="rId7302" Type="http://schemas.openxmlformats.org/officeDocument/2006/relationships/hyperlink" Target="https://www.immoscout24.ch/fr/appartement/louer/lieu-st-oyens" TargetMode="External"/><Relationship Id="rId8633" Type="http://schemas.openxmlformats.org/officeDocument/2006/relationships/hyperlink" Target="https://www.immoscout24.ch/fr/appartement/acheter/lieu-aadorf" TargetMode="External"/><Relationship Id="rId9965" Type="http://schemas.openxmlformats.org/officeDocument/2006/relationships/hyperlink" Target="https://www.immoscout24.ch/fr/maison/acheter/lieu-kloten" TargetMode="External"/><Relationship Id="rId7301" Type="http://schemas.openxmlformats.org/officeDocument/2006/relationships/hyperlink" Target="https://www.immoscout24.ch/fr/appartement/louer/lieu-st-oyens" TargetMode="External"/><Relationship Id="rId8632" Type="http://schemas.openxmlformats.org/officeDocument/2006/relationships/hyperlink" Target="https://www.immoscout24.ch/fr/maison/louer/quartier-champagne-biel-bienne" TargetMode="External"/><Relationship Id="rId9966" Type="http://schemas.openxmlformats.org/officeDocument/2006/relationships/hyperlink" Target="https://www.immoscout24.ch/fr/maison/acheter/lieu-kloten" TargetMode="External"/><Relationship Id="rId7300" Type="http://schemas.openxmlformats.org/officeDocument/2006/relationships/hyperlink" Target="https://www.immoscout24.ch/fr/appartement/louer/lieu-etagnieres" TargetMode="External"/><Relationship Id="rId8631" Type="http://schemas.openxmlformats.org/officeDocument/2006/relationships/hyperlink" Target="https://www.immoscout24.ch/fr/maison/louer/quartier-champagne-biel-bienne" TargetMode="External"/><Relationship Id="rId9967" Type="http://schemas.openxmlformats.org/officeDocument/2006/relationships/hyperlink" Target="https://www.immoscout24.ch/fr/appartement/louer/lieu-st-george" TargetMode="External"/><Relationship Id="rId8630" Type="http://schemas.openxmlformats.org/officeDocument/2006/relationships/hyperlink" Target="https://www.immoscout24.ch/fr/appartement/acheter/lieu-horgen" TargetMode="External"/><Relationship Id="rId9968" Type="http://schemas.openxmlformats.org/officeDocument/2006/relationships/hyperlink" Target="https://www.immoscout24.ch/fr/appartement/louer/lieu-st-george" TargetMode="External"/><Relationship Id="rId7306" Type="http://schemas.openxmlformats.org/officeDocument/2006/relationships/hyperlink" Target="https://www.immoscout24.ch/fr/appartement/louer/quartier-la-cluse-geneve" TargetMode="External"/><Relationship Id="rId8637" Type="http://schemas.openxmlformats.org/officeDocument/2006/relationships/hyperlink" Target="https://www.immoscout24.ch/fr/maison/louer/lieu-belmont-sur-lausanne" TargetMode="External"/><Relationship Id="rId9961" Type="http://schemas.openxmlformats.org/officeDocument/2006/relationships/hyperlink" Target="https://www.immoscout24.ch/fr/appartement/louer/lieu-veyrier" TargetMode="External"/><Relationship Id="rId7305" Type="http://schemas.openxmlformats.org/officeDocument/2006/relationships/hyperlink" Target="https://www.immoscout24.ch/fr/appartement/louer/quartier-la-cluse-geneve" TargetMode="External"/><Relationship Id="rId8636" Type="http://schemas.openxmlformats.org/officeDocument/2006/relationships/hyperlink" Target="https://www.immoscout24.ch/fr/maison/acheter/region-oberengadin-puschlav-bergell" TargetMode="External"/><Relationship Id="rId9962" Type="http://schemas.openxmlformats.org/officeDocument/2006/relationships/hyperlink" Target="https://www.immoscout24.ch/fr/appartement/louer/lieu-veyrier" TargetMode="External"/><Relationship Id="rId7304" Type="http://schemas.openxmlformats.org/officeDocument/2006/relationships/hyperlink" Target="https://www.immoscout24.ch/fr/maison/louer/lieu-cugy-fr" TargetMode="External"/><Relationship Id="rId8635" Type="http://schemas.openxmlformats.org/officeDocument/2006/relationships/hyperlink" Target="https://www.immoscout24.ch/fr/maison/acheter/region-oberengadin-puschlav-bergell" TargetMode="External"/><Relationship Id="rId9963" Type="http://schemas.openxmlformats.org/officeDocument/2006/relationships/hyperlink" Target="https://www.immoscout24.ch/fr/appartement/louer/lieu-meyrin" TargetMode="External"/><Relationship Id="rId7303" Type="http://schemas.openxmlformats.org/officeDocument/2006/relationships/hyperlink" Target="https://www.immoscout24.ch/fr/maison/louer/lieu-cugy-fr" TargetMode="External"/><Relationship Id="rId8634" Type="http://schemas.openxmlformats.org/officeDocument/2006/relationships/hyperlink" Target="https://www.immoscout24.ch/fr/appartement/acheter/lieu-aadorf" TargetMode="External"/><Relationship Id="rId9964" Type="http://schemas.openxmlformats.org/officeDocument/2006/relationships/hyperlink" Target="https://www.immoscout24.ch/fr/appartement/louer/lieu-meyrin" TargetMode="External"/><Relationship Id="rId6009" Type="http://schemas.openxmlformats.org/officeDocument/2006/relationships/hyperlink" Target="https://www.immoscout24.ch/fr/appartement/acheter/lieu-collombey" TargetMode="External"/><Relationship Id="rId9990" Type="http://schemas.openxmlformats.org/officeDocument/2006/relationships/hyperlink" Target="https://www.immoscout24.ch/fr/appartement/louer/lieu-st-jean-vs" TargetMode="External"/><Relationship Id="rId9991" Type="http://schemas.openxmlformats.org/officeDocument/2006/relationships/hyperlink" Target="https://www.immoscout24.ch/fr/appartement/louer/region-lucerne-hinterland" TargetMode="External"/><Relationship Id="rId9992" Type="http://schemas.openxmlformats.org/officeDocument/2006/relationships/hyperlink" Target="https://www.immoscout24.ch/fr/appartement/louer/region-lucerne-hinterland" TargetMode="External"/><Relationship Id="rId9993" Type="http://schemas.openxmlformats.org/officeDocument/2006/relationships/hyperlink" Target="https://www.immoscout24.ch/fr/appartement/acheter/lieu-montherod" TargetMode="External"/><Relationship Id="rId7331" Type="http://schemas.openxmlformats.org/officeDocument/2006/relationships/hyperlink" Target="https://www.immoscout24.ch/fr/maison/acheter/lieu-mase" TargetMode="External"/><Relationship Id="rId8662" Type="http://schemas.openxmlformats.org/officeDocument/2006/relationships/hyperlink" Target="https://www.immoscout24.ch/fr/maison/acheter/lieu-cries-volleges" TargetMode="External"/><Relationship Id="rId6000" Type="http://schemas.openxmlformats.org/officeDocument/2006/relationships/hyperlink" Target="https://www.immoscout24.ch/fr/maison/acheter/lieu-endingen" TargetMode="External"/><Relationship Id="rId7330" Type="http://schemas.openxmlformats.org/officeDocument/2006/relationships/hyperlink" Target="https://www.immoscout24.ch/fr/appartement/louer/lieu-sarzens" TargetMode="External"/><Relationship Id="rId8661" Type="http://schemas.openxmlformats.org/officeDocument/2006/relationships/hyperlink" Target="https://www.immoscout24.ch/fr/maison/acheter/lieu-cries-volleges" TargetMode="External"/><Relationship Id="rId8660" Type="http://schemas.openxmlformats.org/officeDocument/2006/relationships/hyperlink" Target="https://www.immoscout24.ch/fr/maison/acheter/lieu-ausserberg" TargetMode="External"/><Relationship Id="rId6003" Type="http://schemas.openxmlformats.org/officeDocument/2006/relationships/hyperlink" Target="https://www.immoscout24.ch/fr/maison/louer/lieu-vallon" TargetMode="External"/><Relationship Id="rId7335" Type="http://schemas.openxmlformats.org/officeDocument/2006/relationships/hyperlink" Target="https://www.immoscout24.ch/fr/appartement/acheter/lieu-chateau-d-oex" TargetMode="External"/><Relationship Id="rId8666" Type="http://schemas.openxmlformats.org/officeDocument/2006/relationships/hyperlink" Target="https://www.immoscout24.ch/fr/appartement/louer/region-unterengadin-val-mustair" TargetMode="External"/><Relationship Id="rId9998" Type="http://schemas.openxmlformats.org/officeDocument/2006/relationships/hyperlink" Target="https://www.immoscout24.ch/fr/maison/acheter/lieu-mayens-de-la-zour-saviese" TargetMode="External"/><Relationship Id="rId6004" Type="http://schemas.openxmlformats.org/officeDocument/2006/relationships/hyperlink" Target="https://www.immoscout24.ch/fr/maison/louer/lieu-vallon" TargetMode="External"/><Relationship Id="rId7334" Type="http://schemas.openxmlformats.org/officeDocument/2006/relationships/hyperlink" Target="https://www.immoscout24.ch/fr/maison/acheter/lieu-sornard-nendaz" TargetMode="External"/><Relationship Id="rId8665" Type="http://schemas.openxmlformats.org/officeDocument/2006/relationships/hyperlink" Target="https://www.immoscout24.ch/fr/appartement/louer/region-unterengadin-val-mustair" TargetMode="External"/><Relationship Id="rId9999" Type="http://schemas.openxmlformats.org/officeDocument/2006/relationships/hyperlink" Target="https://www.immoscout24.ch/fr/appartement/acheter/lieu-preles" TargetMode="External"/><Relationship Id="rId6001" Type="http://schemas.openxmlformats.org/officeDocument/2006/relationships/hyperlink" Target="https://www.immoscout24.ch/fr/appartement/acheter/quartier-witikon-zurich" TargetMode="External"/><Relationship Id="rId7333" Type="http://schemas.openxmlformats.org/officeDocument/2006/relationships/hyperlink" Target="https://www.immoscout24.ch/fr/maison/acheter/lieu-sornard-nendaz" TargetMode="External"/><Relationship Id="rId8664" Type="http://schemas.openxmlformats.org/officeDocument/2006/relationships/hyperlink" Target="https://www.immoscout24.ch/fr/maison/acheter/quartier-beauregard-fribourg" TargetMode="External"/><Relationship Id="rId6002" Type="http://schemas.openxmlformats.org/officeDocument/2006/relationships/hyperlink" Target="https://www.immoscout24.ch/fr/appartement/acheter/quartier-witikon-zurich" TargetMode="External"/><Relationship Id="rId7332" Type="http://schemas.openxmlformats.org/officeDocument/2006/relationships/hyperlink" Target="https://www.immoscout24.ch/fr/maison/acheter/lieu-mase" TargetMode="External"/><Relationship Id="rId8663" Type="http://schemas.openxmlformats.org/officeDocument/2006/relationships/hyperlink" Target="https://www.immoscout24.ch/fr/maison/acheter/quartier-beauregard-fribourg" TargetMode="External"/><Relationship Id="rId6007" Type="http://schemas.openxmlformats.org/officeDocument/2006/relationships/hyperlink" Target="https://www.immoscout24.ch/fr/appartement/acheter/quartier-sallaz-vennes-sechaud-lausanne" TargetMode="External"/><Relationship Id="rId7339" Type="http://schemas.openxmlformats.org/officeDocument/2006/relationships/hyperlink" Target="https://www.immoscout24.ch/fr/appartement/louer/quartier-beaulieu-grey-boisy-lausanne" TargetMode="External"/><Relationship Id="rId9994" Type="http://schemas.openxmlformats.org/officeDocument/2006/relationships/hyperlink" Target="https://www.immoscout24.ch/fr/appartement/acheter/lieu-montherod" TargetMode="External"/><Relationship Id="rId6008" Type="http://schemas.openxmlformats.org/officeDocument/2006/relationships/hyperlink" Target="https://www.immoscout24.ch/fr/appartement/acheter/quartier-sallaz-vennes-sechaud-lausanne" TargetMode="External"/><Relationship Id="rId7338" Type="http://schemas.openxmlformats.org/officeDocument/2006/relationships/hyperlink" Target="https://www.immoscout24.ch/fr/appartement/louer/pays-suisse-fl" TargetMode="External"/><Relationship Id="rId8669" Type="http://schemas.openxmlformats.org/officeDocument/2006/relationships/hyperlink" Target="https://www.immoscout24.ch/fr/appartement/acheter/lieu-grandvaux" TargetMode="External"/><Relationship Id="rId9995" Type="http://schemas.openxmlformats.org/officeDocument/2006/relationships/hyperlink" Target="https://www.immoscout24.ch/fr/appartement/louer/lieu-ursy" TargetMode="External"/><Relationship Id="rId6005" Type="http://schemas.openxmlformats.org/officeDocument/2006/relationships/hyperlink" Target="https://www.immoscout24.ch/fr/maison/acheter/lieu-lovatens" TargetMode="External"/><Relationship Id="rId7337" Type="http://schemas.openxmlformats.org/officeDocument/2006/relationships/hyperlink" Target="https://www.immoscout24.ch/fr/appartement/louer/pays-suisse-fl" TargetMode="External"/><Relationship Id="rId8668" Type="http://schemas.openxmlformats.org/officeDocument/2006/relationships/hyperlink" Target="https://www.immoscout24.ch/fr/appartement/louer/lieu-montbovon" TargetMode="External"/><Relationship Id="rId9996" Type="http://schemas.openxmlformats.org/officeDocument/2006/relationships/hyperlink" Target="https://www.immoscout24.ch/fr/appartement/louer/lieu-ursy" TargetMode="External"/><Relationship Id="rId6006" Type="http://schemas.openxmlformats.org/officeDocument/2006/relationships/hyperlink" Target="https://www.immoscout24.ch/fr/maison/acheter/lieu-lovatens" TargetMode="External"/><Relationship Id="rId7336" Type="http://schemas.openxmlformats.org/officeDocument/2006/relationships/hyperlink" Target="https://www.immoscout24.ch/fr/appartement/acheter/lieu-chateau-d-oex" TargetMode="External"/><Relationship Id="rId8667" Type="http://schemas.openxmlformats.org/officeDocument/2006/relationships/hyperlink" Target="https://www.immoscout24.ch/fr/appartement/louer/lieu-montbovon" TargetMode="External"/><Relationship Id="rId9997" Type="http://schemas.openxmlformats.org/officeDocument/2006/relationships/hyperlink" Target="https://www.immoscout24.ch/fr/maison/acheter/lieu-mayens-de-la-zour-saviese" TargetMode="External"/><Relationship Id="rId7329" Type="http://schemas.openxmlformats.org/officeDocument/2006/relationships/hyperlink" Target="https://www.immoscout24.ch/fr/appartement/louer/lieu-sarzens" TargetMode="External"/><Relationship Id="rId9980" Type="http://schemas.openxmlformats.org/officeDocument/2006/relationships/hyperlink" Target="https://www.immoscout24.ch/fr/appartement/acheter/lieu-ebikon" TargetMode="External"/><Relationship Id="rId9981" Type="http://schemas.openxmlformats.org/officeDocument/2006/relationships/hyperlink" Target="https://www.immoscout24.ch/fr/maison/acheter/lieu-fieschertal" TargetMode="External"/><Relationship Id="rId9982" Type="http://schemas.openxmlformats.org/officeDocument/2006/relationships/hyperlink" Target="https://www.immoscout24.ch/fr/maison/acheter/lieu-fieschertal" TargetMode="External"/><Relationship Id="rId7320" Type="http://schemas.openxmlformats.org/officeDocument/2006/relationships/hyperlink" Target="https://www.immoscout24.ch/fr/maison/acheter/lieu-gruyeres" TargetMode="External"/><Relationship Id="rId8651" Type="http://schemas.openxmlformats.org/officeDocument/2006/relationships/hyperlink" Target="https://www.immoscout24.ch/fr/maison/louer/lieu-haegglingen" TargetMode="External"/><Relationship Id="rId8650" Type="http://schemas.openxmlformats.org/officeDocument/2006/relationships/hyperlink" Target="https://www.immoscout24.ch/fr/maison/louer/lieu-tafers" TargetMode="External"/><Relationship Id="rId7324" Type="http://schemas.openxmlformats.org/officeDocument/2006/relationships/hyperlink" Target="https://www.immoscout24.ch/fr/maison/acheter/lieu-valeyres-sous-montagny" TargetMode="External"/><Relationship Id="rId8655" Type="http://schemas.openxmlformats.org/officeDocument/2006/relationships/hyperlink" Target="https://www.immoscout24.ch/fr/maison/acheter/lieu-hagneck" TargetMode="External"/><Relationship Id="rId9987" Type="http://schemas.openxmlformats.org/officeDocument/2006/relationships/hyperlink" Target="https://www.immoscout24.ch/fr/maison/acheter/lieu-widnau" TargetMode="External"/><Relationship Id="rId7323" Type="http://schemas.openxmlformats.org/officeDocument/2006/relationships/hyperlink" Target="https://www.immoscout24.ch/fr/maison/acheter/lieu-valeyres-sous-montagny" TargetMode="External"/><Relationship Id="rId8654" Type="http://schemas.openxmlformats.org/officeDocument/2006/relationships/hyperlink" Target="https://www.immoscout24.ch/fr/maison/acheter/lieu-richterswil" TargetMode="External"/><Relationship Id="rId9988" Type="http://schemas.openxmlformats.org/officeDocument/2006/relationships/hyperlink" Target="https://www.immoscout24.ch/fr/maison/acheter/lieu-widnau" TargetMode="External"/><Relationship Id="rId7322" Type="http://schemas.openxmlformats.org/officeDocument/2006/relationships/hyperlink" Target="https://www.immoscout24.ch/fr/maison/acheter/quartier-places-fribourg" TargetMode="External"/><Relationship Id="rId8653" Type="http://schemas.openxmlformats.org/officeDocument/2006/relationships/hyperlink" Target="https://www.immoscout24.ch/fr/maison/acheter/lieu-richterswil" TargetMode="External"/><Relationship Id="rId9989" Type="http://schemas.openxmlformats.org/officeDocument/2006/relationships/hyperlink" Target="https://www.immoscout24.ch/fr/appartement/louer/lieu-st-jean-vs" TargetMode="External"/><Relationship Id="rId7321" Type="http://schemas.openxmlformats.org/officeDocument/2006/relationships/hyperlink" Target="https://www.immoscout24.ch/fr/maison/acheter/quartier-places-fribourg" TargetMode="External"/><Relationship Id="rId8652" Type="http://schemas.openxmlformats.org/officeDocument/2006/relationships/hyperlink" Target="https://www.immoscout24.ch/fr/maison/louer/lieu-haegglingen" TargetMode="External"/><Relationship Id="rId7328" Type="http://schemas.openxmlformats.org/officeDocument/2006/relationships/hyperlink" Target="https://www.immoscout24.ch/fr/maison/acheter/lieu-vernamiege" TargetMode="External"/><Relationship Id="rId8659" Type="http://schemas.openxmlformats.org/officeDocument/2006/relationships/hyperlink" Target="https://www.immoscout24.ch/fr/maison/acheter/lieu-ausserberg" TargetMode="External"/><Relationship Id="rId9983" Type="http://schemas.openxmlformats.org/officeDocument/2006/relationships/hyperlink" Target="https://www.immoscout24.ch/fr/appartement/louer/lieu-rikon-im-toesstal" TargetMode="External"/><Relationship Id="rId7327" Type="http://schemas.openxmlformats.org/officeDocument/2006/relationships/hyperlink" Target="https://www.immoscout24.ch/fr/maison/acheter/lieu-vernamiege" TargetMode="External"/><Relationship Id="rId8658" Type="http://schemas.openxmlformats.org/officeDocument/2006/relationships/hyperlink" Target="https://www.immoscout24.ch/fr/maison/acheter/lieu-bad-ragaz" TargetMode="External"/><Relationship Id="rId9984" Type="http://schemas.openxmlformats.org/officeDocument/2006/relationships/hyperlink" Target="https://www.immoscout24.ch/fr/appartement/louer/lieu-rikon-im-toesstal" TargetMode="External"/><Relationship Id="rId7326" Type="http://schemas.openxmlformats.org/officeDocument/2006/relationships/hyperlink" Target="https://www.immoscout24.ch/fr/maison/acheter/lieu-orvin" TargetMode="External"/><Relationship Id="rId8657" Type="http://schemas.openxmlformats.org/officeDocument/2006/relationships/hyperlink" Target="https://www.immoscout24.ch/fr/maison/acheter/lieu-bad-ragaz" TargetMode="External"/><Relationship Id="rId9985" Type="http://schemas.openxmlformats.org/officeDocument/2006/relationships/hyperlink" Target="https://www.immoscout24.ch/fr/appartement/acheter/lieu-grindelwald" TargetMode="External"/><Relationship Id="rId7325" Type="http://schemas.openxmlformats.org/officeDocument/2006/relationships/hyperlink" Target="https://www.immoscout24.ch/fr/maison/acheter/lieu-orvin" TargetMode="External"/><Relationship Id="rId8656" Type="http://schemas.openxmlformats.org/officeDocument/2006/relationships/hyperlink" Target="https://www.immoscout24.ch/fr/maison/acheter/lieu-hagneck" TargetMode="External"/><Relationship Id="rId9986" Type="http://schemas.openxmlformats.org/officeDocument/2006/relationships/hyperlink" Target="https://www.immoscout24.ch/fr/appartement/acheter/lieu-grindelwald" TargetMode="External"/><Relationship Id="rId8608" Type="http://schemas.openxmlformats.org/officeDocument/2006/relationships/hyperlink" Target="https://www.immoscout24.ch/fr/appartement/louer/region-avenches-payerne" TargetMode="External"/><Relationship Id="rId8607" Type="http://schemas.openxmlformats.org/officeDocument/2006/relationships/hyperlink" Target="https://www.immoscout24.ch/fr/appartement/louer/region-avenches-payerne" TargetMode="External"/><Relationship Id="rId8606" Type="http://schemas.openxmlformats.org/officeDocument/2006/relationships/hyperlink" Target="https://www.immoscout24.ch/fr/appartement/acheter/lieu-guemligen" TargetMode="External"/><Relationship Id="rId8605" Type="http://schemas.openxmlformats.org/officeDocument/2006/relationships/hyperlink" Target="https://www.immoscout24.ch/fr/appartement/acheter/lieu-guemligen" TargetMode="External"/><Relationship Id="rId9936" Type="http://schemas.openxmlformats.org/officeDocument/2006/relationships/hyperlink" Target="https://www.immoscout24.ch/fr/appartement/acheter/lieu-pregassona" TargetMode="External"/><Relationship Id="rId9937" Type="http://schemas.openxmlformats.org/officeDocument/2006/relationships/hyperlink" Target="https://www.immoscout24.ch/fr/maison/acheter/lieu-avenches" TargetMode="External"/><Relationship Id="rId9938" Type="http://schemas.openxmlformats.org/officeDocument/2006/relationships/hyperlink" Target="https://www.immoscout24.ch/fr/maison/acheter/lieu-avenches" TargetMode="External"/><Relationship Id="rId8609" Type="http://schemas.openxmlformats.org/officeDocument/2006/relationships/hyperlink" Target="https://www.immoscout24.ch/fr/appartement/acheter/lieu-schwerzenbach" TargetMode="External"/><Relationship Id="rId9939" Type="http://schemas.openxmlformats.org/officeDocument/2006/relationships/hyperlink" Target="https://www.immoscout24.ch/fr/appartement/louer/lieu-heimenhausen" TargetMode="External"/><Relationship Id="rId8600" Type="http://schemas.openxmlformats.org/officeDocument/2006/relationships/hyperlink" Target="https://www.immoscout24.ch/fr/appartement/louer/quartier-oerlikon-zurich" TargetMode="External"/><Relationship Id="rId9932" Type="http://schemas.openxmlformats.org/officeDocument/2006/relationships/hyperlink" Target="https://www.immoscout24.ch/fr/appartement/louer/lieu-wavre" TargetMode="External"/><Relationship Id="rId9933" Type="http://schemas.openxmlformats.org/officeDocument/2006/relationships/hyperlink" Target="https://www.immoscout24.ch/fr/appartement/acheter/lieu-unterterzen" TargetMode="External"/><Relationship Id="rId9934" Type="http://schemas.openxmlformats.org/officeDocument/2006/relationships/hyperlink" Target="https://www.immoscout24.ch/fr/appartement/acheter/lieu-unterterzen" TargetMode="External"/><Relationship Id="rId9935" Type="http://schemas.openxmlformats.org/officeDocument/2006/relationships/hyperlink" Target="https://www.immoscout24.ch/fr/appartement/acheter/lieu-pregassona" TargetMode="External"/><Relationship Id="rId8604" Type="http://schemas.openxmlformats.org/officeDocument/2006/relationships/hyperlink" Target="https://www.immoscout24.ch/fr/maison/louer/lieu-conthey" TargetMode="External"/><Relationship Id="rId8603" Type="http://schemas.openxmlformats.org/officeDocument/2006/relationships/hyperlink" Target="https://www.immoscout24.ch/fr/maison/louer/lieu-conthey" TargetMode="External"/><Relationship Id="rId8602" Type="http://schemas.openxmlformats.org/officeDocument/2006/relationships/hyperlink" Target="https://www.immoscout24.ch/fr/appartement/louer/lieu-oberwil-bl" TargetMode="External"/><Relationship Id="rId9930" Type="http://schemas.openxmlformats.org/officeDocument/2006/relationships/hyperlink" Target="https://www.immoscout24.ch/fr/appartement/louer/lieu-eggenwil" TargetMode="External"/><Relationship Id="rId8601" Type="http://schemas.openxmlformats.org/officeDocument/2006/relationships/hyperlink" Target="https://www.immoscout24.ch/fr/appartement/louer/lieu-oberwil-bl" TargetMode="External"/><Relationship Id="rId9931" Type="http://schemas.openxmlformats.org/officeDocument/2006/relationships/hyperlink" Target="https://www.immoscout24.ch/fr/appartement/louer/lieu-wavre" TargetMode="External"/><Relationship Id="rId9929" Type="http://schemas.openxmlformats.org/officeDocument/2006/relationships/hyperlink" Target="https://www.immoscout24.ch/fr/appartement/louer/lieu-eggenwil" TargetMode="External"/><Relationship Id="rId9925" Type="http://schemas.openxmlformats.org/officeDocument/2006/relationships/hyperlink" Target="https://www.immoscout24.ch/fr/maison/louer/quartier-bouchet-moillebeau-geneve" TargetMode="External"/><Relationship Id="rId9926" Type="http://schemas.openxmlformats.org/officeDocument/2006/relationships/hyperlink" Target="https://www.immoscout24.ch/fr/maison/louer/quartier-bouchet-moillebeau-geneve" TargetMode="External"/><Relationship Id="rId9927" Type="http://schemas.openxmlformats.org/officeDocument/2006/relationships/hyperlink" Target="https://www.immoscout24.ch/fr/appartement/acheter/lieu-bellmund" TargetMode="External"/><Relationship Id="rId9928" Type="http://schemas.openxmlformats.org/officeDocument/2006/relationships/hyperlink" Target="https://www.immoscout24.ch/fr/appartement/acheter/lieu-bellmund" TargetMode="External"/><Relationship Id="rId9921" Type="http://schemas.openxmlformats.org/officeDocument/2006/relationships/hyperlink" Target="https://www.immoscout24.ch/fr/maison/acheter/lieu-lignieres" TargetMode="External"/><Relationship Id="rId9922" Type="http://schemas.openxmlformats.org/officeDocument/2006/relationships/hyperlink" Target="https://www.immoscout24.ch/fr/maison/acheter/lieu-lignieres" TargetMode="External"/><Relationship Id="rId9923" Type="http://schemas.openxmlformats.org/officeDocument/2006/relationships/hyperlink" Target="https://www.immoscout24.ch/fr/appartement/acheter/lieu-noville" TargetMode="External"/><Relationship Id="rId9924" Type="http://schemas.openxmlformats.org/officeDocument/2006/relationships/hyperlink" Target="https://www.immoscout24.ch/fr/appartement/acheter/lieu-noville" TargetMode="External"/><Relationship Id="rId9920" Type="http://schemas.openxmlformats.org/officeDocument/2006/relationships/hyperlink" Target="https://www.immoscout24.ch/fr/maison/acheter/lieu-grolley" TargetMode="External"/><Relationship Id="rId8629" Type="http://schemas.openxmlformats.org/officeDocument/2006/relationships/hyperlink" Target="https://www.immoscout24.ch/fr/appartement/acheter/lieu-horgen" TargetMode="External"/><Relationship Id="rId8628" Type="http://schemas.openxmlformats.org/officeDocument/2006/relationships/hyperlink" Target="https://www.immoscout24.ch/fr/appartement/louer/lieu-prilly" TargetMode="External"/><Relationship Id="rId8627" Type="http://schemas.openxmlformats.org/officeDocument/2006/relationships/hyperlink" Target="https://www.immoscout24.ch/fr/appartement/louer/lieu-prilly" TargetMode="External"/><Relationship Id="rId9958" Type="http://schemas.openxmlformats.org/officeDocument/2006/relationships/hyperlink" Target="https://www.immoscout24.ch/fr/maison/acheter/lieu-trogne-st-martin" TargetMode="External"/><Relationship Id="rId9959" Type="http://schemas.openxmlformats.org/officeDocument/2006/relationships/hyperlink" Target="https://www.immoscout24.ch/fr/maison/acheter/lieu-les-mosses" TargetMode="External"/><Relationship Id="rId8622" Type="http://schemas.openxmlformats.org/officeDocument/2006/relationships/hyperlink" Target="https://www.immoscout24.ch/fr/maison/acheter/quartier-vigneules-biel-bienne" TargetMode="External"/><Relationship Id="rId9954" Type="http://schemas.openxmlformats.org/officeDocument/2006/relationships/hyperlink" Target="https://www.immoscout24.ch/fr/appartement/acheter/lieu-duebendorf" TargetMode="External"/><Relationship Id="rId8621" Type="http://schemas.openxmlformats.org/officeDocument/2006/relationships/hyperlink" Target="https://www.immoscout24.ch/fr/maison/acheter/quartier-vigneules-biel-bienne" TargetMode="External"/><Relationship Id="rId9955" Type="http://schemas.openxmlformats.org/officeDocument/2006/relationships/hyperlink" Target="https://www.immoscout24.ch/fr/maison/acheter/lieu-jongny" TargetMode="External"/><Relationship Id="rId8620" Type="http://schemas.openxmlformats.org/officeDocument/2006/relationships/hyperlink" Target="https://www.immoscout24.ch/fr/maison/acheter/lieu-semsales" TargetMode="External"/><Relationship Id="rId9956" Type="http://schemas.openxmlformats.org/officeDocument/2006/relationships/hyperlink" Target="https://www.immoscout24.ch/fr/maison/acheter/lieu-jongny" TargetMode="External"/><Relationship Id="rId9957" Type="http://schemas.openxmlformats.org/officeDocument/2006/relationships/hyperlink" Target="https://www.immoscout24.ch/fr/maison/acheter/lieu-trogne-st-martin" TargetMode="External"/><Relationship Id="rId8626" Type="http://schemas.openxmlformats.org/officeDocument/2006/relationships/hyperlink" Target="https://www.immoscout24.ch/fr/appartement/louer/lieu-noreaz" TargetMode="External"/><Relationship Id="rId9950" Type="http://schemas.openxmlformats.org/officeDocument/2006/relationships/hyperlink" Target="https://www.immoscout24.ch/fr/appartement/louer/lieu-les-bioux" TargetMode="External"/><Relationship Id="rId8625" Type="http://schemas.openxmlformats.org/officeDocument/2006/relationships/hyperlink" Target="https://www.immoscout24.ch/fr/appartement/louer/lieu-noreaz" TargetMode="External"/><Relationship Id="rId9951" Type="http://schemas.openxmlformats.org/officeDocument/2006/relationships/hyperlink" Target="https://www.immoscout24.ch/fr/maison/acheter/lieu-lanna" TargetMode="External"/><Relationship Id="rId8624" Type="http://schemas.openxmlformats.org/officeDocument/2006/relationships/hyperlink" Target="https://www.immoscout24.ch/fr/maison/louer/lieu-cointrin" TargetMode="External"/><Relationship Id="rId9952" Type="http://schemas.openxmlformats.org/officeDocument/2006/relationships/hyperlink" Target="https://www.immoscout24.ch/fr/maison/acheter/lieu-lanna" TargetMode="External"/><Relationship Id="rId8623" Type="http://schemas.openxmlformats.org/officeDocument/2006/relationships/hyperlink" Target="https://www.immoscout24.ch/fr/maison/louer/lieu-cointrin" TargetMode="External"/><Relationship Id="rId9953" Type="http://schemas.openxmlformats.org/officeDocument/2006/relationships/hyperlink" Target="https://www.immoscout24.ch/fr/appartement/acheter/lieu-duebendorf" TargetMode="External"/><Relationship Id="rId8619" Type="http://schemas.openxmlformats.org/officeDocument/2006/relationships/hyperlink" Target="https://www.immoscout24.ch/fr/maison/acheter/lieu-semsales" TargetMode="External"/><Relationship Id="rId8618" Type="http://schemas.openxmlformats.org/officeDocument/2006/relationships/hyperlink" Target="https://www.immoscout24.ch/fr/appartement/louer/quartier-clara-bale" TargetMode="External"/><Relationship Id="rId8617" Type="http://schemas.openxmlformats.org/officeDocument/2006/relationships/hyperlink" Target="https://www.immoscout24.ch/fr/appartement/louer/quartier-clara-bale" TargetMode="External"/><Relationship Id="rId8616" Type="http://schemas.openxmlformats.org/officeDocument/2006/relationships/hyperlink" Target="https://www.immoscout24.ch/fr/appartement/acheter/lieu-sessa" TargetMode="External"/><Relationship Id="rId9947" Type="http://schemas.openxmlformats.org/officeDocument/2006/relationships/hyperlink" Target="https://www.immoscout24.ch/fr/appartement/louer/lieu-bossonnens" TargetMode="External"/><Relationship Id="rId9948" Type="http://schemas.openxmlformats.org/officeDocument/2006/relationships/hyperlink" Target="https://www.immoscout24.ch/fr/appartement/louer/lieu-bossonnens" TargetMode="External"/><Relationship Id="rId9949" Type="http://schemas.openxmlformats.org/officeDocument/2006/relationships/hyperlink" Target="https://www.immoscout24.ch/fr/appartement/louer/lieu-les-bioux" TargetMode="External"/><Relationship Id="rId8611" Type="http://schemas.openxmlformats.org/officeDocument/2006/relationships/hyperlink" Target="https://www.immoscout24.ch/fr/appartement/louer/lieu-susten" TargetMode="External"/><Relationship Id="rId9943" Type="http://schemas.openxmlformats.org/officeDocument/2006/relationships/hyperlink" Target="https://www.immoscout24.ch/fr/maison/louer/lieu-muenchwilen-tg" TargetMode="External"/><Relationship Id="rId8610" Type="http://schemas.openxmlformats.org/officeDocument/2006/relationships/hyperlink" Target="https://www.immoscout24.ch/fr/appartement/acheter/lieu-schwerzenbach" TargetMode="External"/><Relationship Id="rId9944" Type="http://schemas.openxmlformats.org/officeDocument/2006/relationships/hyperlink" Target="https://www.immoscout24.ch/fr/maison/louer/lieu-muenchwilen-tg" TargetMode="External"/><Relationship Id="rId9945" Type="http://schemas.openxmlformats.org/officeDocument/2006/relationships/hyperlink" Target="https://www.immoscout24.ch/fr/maison/acheter/lieu-les-clees" TargetMode="External"/><Relationship Id="rId9946" Type="http://schemas.openxmlformats.org/officeDocument/2006/relationships/hyperlink" Target="https://www.immoscout24.ch/fr/maison/acheter/lieu-les-clees" TargetMode="External"/><Relationship Id="rId8615" Type="http://schemas.openxmlformats.org/officeDocument/2006/relationships/hyperlink" Target="https://www.immoscout24.ch/fr/appartement/acheter/lieu-sessa" TargetMode="External"/><Relationship Id="rId8614" Type="http://schemas.openxmlformats.org/officeDocument/2006/relationships/hyperlink" Target="https://www.immoscout24.ch/fr/appartement/louer/quartier-neuwiesen-winterthur" TargetMode="External"/><Relationship Id="rId9940" Type="http://schemas.openxmlformats.org/officeDocument/2006/relationships/hyperlink" Target="https://www.immoscout24.ch/fr/appartement/louer/lieu-heimenhausen" TargetMode="External"/><Relationship Id="rId8613" Type="http://schemas.openxmlformats.org/officeDocument/2006/relationships/hyperlink" Target="https://www.immoscout24.ch/fr/appartement/louer/quartier-neuwiesen-winterthur" TargetMode="External"/><Relationship Id="rId9941" Type="http://schemas.openxmlformats.org/officeDocument/2006/relationships/hyperlink" Target="https://www.immoscout24.ch/fr/maison/acheter/region-laupen-sense" TargetMode="External"/><Relationship Id="rId8612" Type="http://schemas.openxmlformats.org/officeDocument/2006/relationships/hyperlink" Target="https://www.immoscout24.ch/fr/appartement/louer/lieu-susten" TargetMode="External"/><Relationship Id="rId9942" Type="http://schemas.openxmlformats.org/officeDocument/2006/relationships/hyperlink" Target="https://www.immoscout24.ch/fr/maison/acheter/region-laupen-sense" TargetMode="External"/><Relationship Id="rId6061" Type="http://schemas.openxmlformats.org/officeDocument/2006/relationships/hyperlink" Target="https://www.immoscout24.ch/fr/appartement/louer/lieu-allschwil" TargetMode="External"/><Relationship Id="rId7393" Type="http://schemas.openxmlformats.org/officeDocument/2006/relationships/hyperlink" Target="https://www.immoscout24.ch/fr/maison/acheter/pays-espagne" TargetMode="External"/><Relationship Id="rId6062" Type="http://schemas.openxmlformats.org/officeDocument/2006/relationships/hyperlink" Target="https://www.immoscout24.ch/fr/appartement/louer/lieu-allschwil" TargetMode="External"/><Relationship Id="rId7392" Type="http://schemas.openxmlformats.org/officeDocument/2006/relationships/hyperlink" Target="https://www.immoscout24.ch/fr/appartement/louer/region-aigle-alpes-vaudoises" TargetMode="External"/><Relationship Id="rId7391" Type="http://schemas.openxmlformats.org/officeDocument/2006/relationships/hyperlink" Target="https://www.immoscout24.ch/fr/appartement/louer/region-aigle-alpes-vaudoises" TargetMode="External"/><Relationship Id="rId6060" Type="http://schemas.openxmlformats.org/officeDocument/2006/relationships/hyperlink" Target="https://www.immoscout24.ch/fr/appartement/acheter/lieu-meinier" TargetMode="External"/><Relationship Id="rId7390" Type="http://schemas.openxmlformats.org/officeDocument/2006/relationships/hyperlink" Target="https://www.immoscout24.ch/fr/maison/louer/lieu-gimel" TargetMode="External"/><Relationship Id="rId6065" Type="http://schemas.openxmlformats.org/officeDocument/2006/relationships/hyperlink" Target="https://www.immoscout24.ch/fr/maison/acheter/lieu-sonogno" TargetMode="External"/><Relationship Id="rId7397" Type="http://schemas.openxmlformats.org/officeDocument/2006/relationships/hyperlink" Target="https://www.immoscout24.ch/fr/appartement/louer/lieu-ranzo" TargetMode="External"/><Relationship Id="rId6066" Type="http://schemas.openxmlformats.org/officeDocument/2006/relationships/hyperlink" Target="https://www.immoscout24.ch/fr/maison/acheter/lieu-sonogno" TargetMode="External"/><Relationship Id="rId7396" Type="http://schemas.openxmlformats.org/officeDocument/2006/relationships/hyperlink" Target="https://www.immoscout24.ch/fr/maison/acheter/lieu-wettingen" TargetMode="External"/><Relationship Id="rId6063" Type="http://schemas.openxmlformats.org/officeDocument/2006/relationships/hyperlink" Target="https://www.immoscout24.ch/fr/appartement/louer/lieu-bramois" TargetMode="External"/><Relationship Id="rId7395" Type="http://schemas.openxmlformats.org/officeDocument/2006/relationships/hyperlink" Target="https://www.immoscout24.ch/fr/maison/acheter/lieu-wettingen" TargetMode="External"/><Relationship Id="rId6064" Type="http://schemas.openxmlformats.org/officeDocument/2006/relationships/hyperlink" Target="https://www.immoscout24.ch/fr/appartement/louer/lieu-bramois" TargetMode="External"/><Relationship Id="rId7394" Type="http://schemas.openxmlformats.org/officeDocument/2006/relationships/hyperlink" Target="https://www.immoscout24.ch/fr/maison/acheter/pays-espagne" TargetMode="External"/><Relationship Id="rId6069" Type="http://schemas.openxmlformats.org/officeDocument/2006/relationships/hyperlink" Target="https://www.immoscout24.ch/fr/maison/acheter/lieu-villars-epeney" TargetMode="External"/><Relationship Id="rId6067" Type="http://schemas.openxmlformats.org/officeDocument/2006/relationships/hyperlink" Target="https://www.immoscout24.ch/fr/maison/acheter/lieu-montezillon" TargetMode="External"/><Relationship Id="rId7399" Type="http://schemas.openxmlformats.org/officeDocument/2006/relationships/hyperlink" Target="https://www.immoscout24.ch/fr/appartement/louer/lieu-unterbach-be" TargetMode="External"/><Relationship Id="rId6068" Type="http://schemas.openxmlformats.org/officeDocument/2006/relationships/hyperlink" Target="https://www.immoscout24.ch/fr/maison/acheter/lieu-montezillon" TargetMode="External"/><Relationship Id="rId7398" Type="http://schemas.openxmlformats.org/officeDocument/2006/relationships/hyperlink" Target="https://www.immoscout24.ch/fr/appartement/louer/lieu-ranzo" TargetMode="External"/><Relationship Id="rId6050" Type="http://schemas.openxmlformats.org/officeDocument/2006/relationships/hyperlink" Target="https://www.immoscout24.ch/fr/appartement/louer/lieu-la-croix-de-rozon" TargetMode="External"/><Relationship Id="rId7382" Type="http://schemas.openxmlformats.org/officeDocument/2006/relationships/hyperlink" Target="https://www.immoscout24.ch/fr/appartement/acheter/lieu-grone" TargetMode="External"/><Relationship Id="rId6051" Type="http://schemas.openxmlformats.org/officeDocument/2006/relationships/hyperlink" Target="https://www.immoscout24.ch/fr/maison/louer/lieu-marin-epagnier" TargetMode="External"/><Relationship Id="rId7381" Type="http://schemas.openxmlformats.org/officeDocument/2006/relationships/hyperlink" Target="https://www.immoscout24.ch/fr/appartement/acheter/lieu-grone" TargetMode="External"/><Relationship Id="rId7380" Type="http://schemas.openxmlformats.org/officeDocument/2006/relationships/hyperlink" Target="https://www.immoscout24.ch/fr/maison/acheter/lieu-asuel" TargetMode="External"/><Relationship Id="rId6054" Type="http://schemas.openxmlformats.org/officeDocument/2006/relationships/hyperlink" Target="https://www.immoscout24.ch/fr/appartement/louer/lieu-villars-tiercelin" TargetMode="External"/><Relationship Id="rId7386" Type="http://schemas.openxmlformats.org/officeDocument/2006/relationships/hyperlink" Target="https://www.immoscout24.ch/fr/maison/louer/lieu-ilanz" TargetMode="External"/><Relationship Id="rId6055" Type="http://schemas.openxmlformats.org/officeDocument/2006/relationships/hyperlink" Target="https://www.immoscout24.ch/fr/maison/louer/lieu-les-ponts-de-martel" TargetMode="External"/><Relationship Id="rId7385" Type="http://schemas.openxmlformats.org/officeDocument/2006/relationships/hyperlink" Target="https://www.immoscout24.ch/fr/maison/louer/lieu-ilanz" TargetMode="External"/><Relationship Id="rId6052" Type="http://schemas.openxmlformats.org/officeDocument/2006/relationships/hyperlink" Target="https://www.immoscout24.ch/fr/maison/louer/lieu-marin-epagnier" TargetMode="External"/><Relationship Id="rId7384" Type="http://schemas.openxmlformats.org/officeDocument/2006/relationships/hyperlink" Target="https://www.immoscout24.ch/fr/appartement/louer/lieu-areuse" TargetMode="External"/><Relationship Id="rId6053" Type="http://schemas.openxmlformats.org/officeDocument/2006/relationships/hyperlink" Target="https://www.immoscout24.ch/fr/appartement/louer/lieu-villars-tiercelin" TargetMode="External"/><Relationship Id="rId7383" Type="http://schemas.openxmlformats.org/officeDocument/2006/relationships/hyperlink" Target="https://www.immoscout24.ch/fr/appartement/louer/lieu-areuse" TargetMode="External"/><Relationship Id="rId6058" Type="http://schemas.openxmlformats.org/officeDocument/2006/relationships/hyperlink" Target="https://www.immoscout24.ch/fr/maison/acheter/lieu-isone" TargetMode="External"/><Relationship Id="rId6059" Type="http://schemas.openxmlformats.org/officeDocument/2006/relationships/hyperlink" Target="https://www.immoscout24.ch/fr/appartement/acheter/lieu-meinier" TargetMode="External"/><Relationship Id="rId7389" Type="http://schemas.openxmlformats.org/officeDocument/2006/relationships/hyperlink" Target="https://www.immoscout24.ch/fr/maison/louer/lieu-gimel" TargetMode="External"/><Relationship Id="rId6056" Type="http://schemas.openxmlformats.org/officeDocument/2006/relationships/hyperlink" Target="https://www.immoscout24.ch/fr/maison/louer/lieu-les-ponts-de-martel" TargetMode="External"/><Relationship Id="rId7388" Type="http://schemas.openxmlformats.org/officeDocument/2006/relationships/hyperlink" Target="https://www.immoscout24.ch/fr/appartement/louer/lieu-constantine" TargetMode="External"/><Relationship Id="rId6057" Type="http://schemas.openxmlformats.org/officeDocument/2006/relationships/hyperlink" Target="https://www.immoscout24.ch/fr/maison/acheter/lieu-isone" TargetMode="External"/><Relationship Id="rId7387" Type="http://schemas.openxmlformats.org/officeDocument/2006/relationships/hyperlink" Target="https://www.immoscout24.ch/fr/appartement/louer/lieu-constantine" TargetMode="External"/><Relationship Id="rId6090" Type="http://schemas.openxmlformats.org/officeDocument/2006/relationships/hyperlink" Target="https://www.immoscout24.ch/fr/maison/acheter/lieu-buesserach" TargetMode="External"/><Relationship Id="rId6091" Type="http://schemas.openxmlformats.org/officeDocument/2006/relationships/hyperlink" Target="https://www.immoscout24.ch/fr/appartement/louer/lieu-les-ecasseys" TargetMode="External"/><Relationship Id="rId6083" Type="http://schemas.openxmlformats.org/officeDocument/2006/relationships/hyperlink" Target="https://www.immoscout24.ch/fr/appartement/louer/lieu-pfungen" TargetMode="External"/><Relationship Id="rId6084" Type="http://schemas.openxmlformats.org/officeDocument/2006/relationships/hyperlink" Target="https://www.immoscout24.ch/fr/appartement/louer/lieu-pfungen" TargetMode="External"/><Relationship Id="rId6081" Type="http://schemas.openxmlformats.org/officeDocument/2006/relationships/hyperlink" Target="https://www.immoscout24.ch/fr/maison/acheter/lieu-kriechenwil" TargetMode="External"/><Relationship Id="rId6082" Type="http://schemas.openxmlformats.org/officeDocument/2006/relationships/hyperlink" Target="https://www.immoscout24.ch/fr/maison/acheter/lieu-kriechenwil" TargetMode="External"/><Relationship Id="rId6087" Type="http://schemas.openxmlformats.org/officeDocument/2006/relationships/hyperlink" Target="https://www.immoscout24.ch/fr/maison/louer/lieu-correvon" TargetMode="External"/><Relationship Id="rId6088" Type="http://schemas.openxmlformats.org/officeDocument/2006/relationships/hyperlink" Target="https://www.immoscout24.ch/fr/maison/louer/lieu-correvon" TargetMode="External"/><Relationship Id="rId6085" Type="http://schemas.openxmlformats.org/officeDocument/2006/relationships/hyperlink" Target="https://www.immoscout24.ch/fr/maison/acheter/lieu-chamby" TargetMode="External"/><Relationship Id="rId6086" Type="http://schemas.openxmlformats.org/officeDocument/2006/relationships/hyperlink" Target="https://www.immoscout24.ch/fr/maison/acheter/lieu-chamby" TargetMode="External"/><Relationship Id="rId6089" Type="http://schemas.openxmlformats.org/officeDocument/2006/relationships/hyperlink" Target="https://www.immoscout24.ch/fr/maison/acheter/lieu-buesserach" TargetMode="External"/><Relationship Id="rId6080" Type="http://schemas.openxmlformats.org/officeDocument/2006/relationships/hyperlink" Target="https://www.immoscout24.ch/fr/maison/acheter/canton-glaris" TargetMode="External"/><Relationship Id="rId6072" Type="http://schemas.openxmlformats.org/officeDocument/2006/relationships/hyperlink" Target="https://www.immoscout24.ch/fr/appartement/acheter/quartier-eaux-vives-lac-geneve" TargetMode="External"/><Relationship Id="rId6073" Type="http://schemas.openxmlformats.org/officeDocument/2006/relationships/hyperlink" Target="https://www.immoscout24.ch/fr/appartement/louer/lieu-pleigne" TargetMode="External"/><Relationship Id="rId6070" Type="http://schemas.openxmlformats.org/officeDocument/2006/relationships/hyperlink" Target="https://www.immoscout24.ch/fr/maison/acheter/lieu-villars-epeney" TargetMode="External"/><Relationship Id="rId6071" Type="http://schemas.openxmlformats.org/officeDocument/2006/relationships/hyperlink" Target="https://www.immoscout24.ch/fr/appartement/acheter/quartier-eaux-vives-lac-geneve" TargetMode="External"/><Relationship Id="rId6076" Type="http://schemas.openxmlformats.org/officeDocument/2006/relationships/hyperlink" Target="https://www.immoscout24.ch/fr/appartement/louer/lieu-jeuss" TargetMode="External"/><Relationship Id="rId6077" Type="http://schemas.openxmlformats.org/officeDocument/2006/relationships/hyperlink" Target="https://www.immoscout24.ch/fr/maison/acheter/lieu-winkel" TargetMode="External"/><Relationship Id="rId6074" Type="http://schemas.openxmlformats.org/officeDocument/2006/relationships/hyperlink" Target="https://www.immoscout24.ch/fr/appartement/louer/lieu-pleigne" TargetMode="External"/><Relationship Id="rId6075" Type="http://schemas.openxmlformats.org/officeDocument/2006/relationships/hyperlink" Target="https://www.immoscout24.ch/fr/appartement/louer/lieu-jeuss" TargetMode="External"/><Relationship Id="rId6078" Type="http://schemas.openxmlformats.org/officeDocument/2006/relationships/hyperlink" Target="https://www.immoscout24.ch/fr/maison/acheter/lieu-winkel" TargetMode="External"/><Relationship Id="rId6079" Type="http://schemas.openxmlformats.org/officeDocument/2006/relationships/hyperlink" Target="https://www.immoscout24.ch/fr/maison/acheter/canton-glaris" TargetMode="External"/><Relationship Id="rId8680" Type="http://schemas.openxmlformats.org/officeDocument/2006/relationships/hyperlink" Target="https://www.immoscout24.ch/fr/maison/acheter/lieu-vuisternens-en-ogoz" TargetMode="External"/><Relationship Id="rId6021" Type="http://schemas.openxmlformats.org/officeDocument/2006/relationships/hyperlink" Target="https://www.immoscout24.ch/fr/maison/acheter/region-sargans-et-environs" TargetMode="External"/><Relationship Id="rId7353" Type="http://schemas.openxmlformats.org/officeDocument/2006/relationships/hyperlink" Target="https://www.immoscout24.ch/fr/appartement/louer/lieu-schwaderloch" TargetMode="External"/><Relationship Id="rId8684" Type="http://schemas.openxmlformats.org/officeDocument/2006/relationships/hyperlink" Target="https://www.immoscout24.ch/fr/maison/acheter/lieu-rocourt" TargetMode="External"/><Relationship Id="rId6022" Type="http://schemas.openxmlformats.org/officeDocument/2006/relationships/hyperlink" Target="https://www.immoscout24.ch/fr/maison/acheter/region-sargans-et-environs" TargetMode="External"/><Relationship Id="rId7352" Type="http://schemas.openxmlformats.org/officeDocument/2006/relationships/hyperlink" Target="https://www.immoscout24.ch/fr/appartement/louer/lieu-confignon" TargetMode="External"/><Relationship Id="rId8683" Type="http://schemas.openxmlformats.org/officeDocument/2006/relationships/hyperlink" Target="https://www.immoscout24.ch/fr/maison/acheter/lieu-rocourt" TargetMode="External"/><Relationship Id="rId7351" Type="http://schemas.openxmlformats.org/officeDocument/2006/relationships/hyperlink" Target="https://www.immoscout24.ch/fr/appartement/louer/lieu-confignon" TargetMode="External"/><Relationship Id="rId8682" Type="http://schemas.openxmlformats.org/officeDocument/2006/relationships/hyperlink" Target="https://www.immoscout24.ch/fr/appartement/louer/lieu-hauteville" TargetMode="External"/><Relationship Id="rId6020" Type="http://schemas.openxmlformats.org/officeDocument/2006/relationships/hyperlink" Target="https://www.immoscout24.ch/fr/appartement/acheter/lieu-saxon" TargetMode="External"/><Relationship Id="rId7350" Type="http://schemas.openxmlformats.org/officeDocument/2006/relationships/hyperlink" Target="https://www.immoscout24.ch/fr/appartement/louer/region-glattal" TargetMode="External"/><Relationship Id="rId8681" Type="http://schemas.openxmlformats.org/officeDocument/2006/relationships/hyperlink" Target="https://www.immoscout24.ch/fr/appartement/louer/lieu-hauteville" TargetMode="External"/><Relationship Id="rId6025" Type="http://schemas.openxmlformats.org/officeDocument/2006/relationships/hyperlink" Target="https://www.immoscout24.ch/fr/appartement/louer/quartier-gwatt-thun" TargetMode="External"/><Relationship Id="rId7357" Type="http://schemas.openxmlformats.org/officeDocument/2006/relationships/hyperlink" Target="https://www.immoscout24.ch/fr/maison/acheter/lieu-belprahon" TargetMode="External"/><Relationship Id="rId8688" Type="http://schemas.openxmlformats.org/officeDocument/2006/relationships/hyperlink" Target="https://www.immoscout24.ch/fr/maison/acheter/lieu-penthereaz" TargetMode="External"/><Relationship Id="rId6026" Type="http://schemas.openxmlformats.org/officeDocument/2006/relationships/hyperlink" Target="https://www.immoscout24.ch/fr/appartement/louer/quartier-gwatt-thun" TargetMode="External"/><Relationship Id="rId7356" Type="http://schemas.openxmlformats.org/officeDocument/2006/relationships/hyperlink" Target="https://www.immoscout24.ch/fr/maison/acheter/canton-jura" TargetMode="External"/><Relationship Id="rId8687" Type="http://schemas.openxmlformats.org/officeDocument/2006/relationships/hyperlink" Target="https://www.immoscout24.ch/fr/maison/acheter/lieu-penthereaz" TargetMode="External"/><Relationship Id="rId6023" Type="http://schemas.openxmlformats.org/officeDocument/2006/relationships/hyperlink" Target="https://www.immoscout24.ch/fr/appartement/louer/lieu-cormoret" TargetMode="External"/><Relationship Id="rId7355" Type="http://schemas.openxmlformats.org/officeDocument/2006/relationships/hyperlink" Target="https://www.immoscout24.ch/fr/maison/acheter/canton-jura" TargetMode="External"/><Relationship Id="rId8686" Type="http://schemas.openxmlformats.org/officeDocument/2006/relationships/hyperlink" Target="https://www.immoscout24.ch/fr/appartement/louer/lieu-hindelbank" TargetMode="External"/><Relationship Id="rId6024" Type="http://schemas.openxmlformats.org/officeDocument/2006/relationships/hyperlink" Target="https://www.immoscout24.ch/fr/appartement/louer/lieu-cormoret" TargetMode="External"/><Relationship Id="rId7354" Type="http://schemas.openxmlformats.org/officeDocument/2006/relationships/hyperlink" Target="https://www.immoscout24.ch/fr/appartement/louer/lieu-schwaderloch" TargetMode="External"/><Relationship Id="rId8685" Type="http://schemas.openxmlformats.org/officeDocument/2006/relationships/hyperlink" Target="https://www.immoscout24.ch/fr/appartement/louer/lieu-hindelbank" TargetMode="External"/><Relationship Id="rId6029" Type="http://schemas.openxmlformats.org/officeDocument/2006/relationships/hyperlink" Target="https://www.immoscout24.ch/fr/maison/acheter/lieu-studen-be" TargetMode="External"/><Relationship Id="rId6027" Type="http://schemas.openxmlformats.org/officeDocument/2006/relationships/hyperlink" Target="https://www.immoscout24.ch/fr/appartement/louer/quartier-carona-lugano" TargetMode="External"/><Relationship Id="rId7359" Type="http://schemas.openxmlformats.org/officeDocument/2006/relationships/hyperlink" Target="https://www.immoscout24.ch/fr/appartement/acheter/lieu-gollion" TargetMode="External"/><Relationship Id="rId6028" Type="http://schemas.openxmlformats.org/officeDocument/2006/relationships/hyperlink" Target="https://www.immoscout24.ch/fr/appartement/louer/quartier-carona-lugano" TargetMode="External"/><Relationship Id="rId7358" Type="http://schemas.openxmlformats.org/officeDocument/2006/relationships/hyperlink" Target="https://www.immoscout24.ch/fr/maison/acheter/lieu-belprahon" TargetMode="External"/><Relationship Id="rId8689" Type="http://schemas.openxmlformats.org/officeDocument/2006/relationships/hyperlink" Target="https://www.immoscout24.ch/fr/appartement/acheter/lieu-vuisternens-en-ogoz" TargetMode="External"/><Relationship Id="rId6010" Type="http://schemas.openxmlformats.org/officeDocument/2006/relationships/hyperlink" Target="https://www.immoscout24.ch/fr/appartement/acheter/lieu-collombey" TargetMode="External"/><Relationship Id="rId7342" Type="http://schemas.openxmlformats.org/officeDocument/2006/relationships/hyperlink" Target="https://www.immoscout24.ch/fr/maison/acheter/lieu-oberbuchsiten" TargetMode="External"/><Relationship Id="rId8673" Type="http://schemas.openxmlformats.org/officeDocument/2006/relationships/hyperlink" Target="https://www.immoscout24.ch/fr/appartement/louer/lieu-zollikerberg" TargetMode="External"/><Relationship Id="rId6011" Type="http://schemas.openxmlformats.org/officeDocument/2006/relationships/hyperlink" Target="https://www.immoscout24.ch/fr/appartement/louer/lieu-meltingen" TargetMode="External"/><Relationship Id="rId7341" Type="http://schemas.openxmlformats.org/officeDocument/2006/relationships/hyperlink" Target="https://www.immoscout24.ch/fr/maison/acheter/lieu-oberbuchsiten" TargetMode="External"/><Relationship Id="rId8672" Type="http://schemas.openxmlformats.org/officeDocument/2006/relationships/hyperlink" Target="https://www.immoscout24.ch/fr/maison/acheter/quartier-buempliz-berne" TargetMode="External"/><Relationship Id="rId7340" Type="http://schemas.openxmlformats.org/officeDocument/2006/relationships/hyperlink" Target="https://www.immoscout24.ch/fr/appartement/louer/quartier-beaulieu-grey-boisy-lausanne" TargetMode="External"/><Relationship Id="rId8671" Type="http://schemas.openxmlformats.org/officeDocument/2006/relationships/hyperlink" Target="https://www.immoscout24.ch/fr/maison/acheter/quartier-buempliz-berne" TargetMode="External"/><Relationship Id="rId8670" Type="http://schemas.openxmlformats.org/officeDocument/2006/relationships/hyperlink" Target="https://www.immoscout24.ch/fr/appartement/acheter/lieu-grandvaux" TargetMode="External"/><Relationship Id="rId6014" Type="http://schemas.openxmlformats.org/officeDocument/2006/relationships/hyperlink" Target="https://www.immoscout24.ch/fr/maison/acheter/lieu-unteraegeri" TargetMode="External"/><Relationship Id="rId7346" Type="http://schemas.openxmlformats.org/officeDocument/2006/relationships/hyperlink" Target="https://www.immoscout24.ch/fr/appartement/louer/lieu-baulmes" TargetMode="External"/><Relationship Id="rId8677" Type="http://schemas.openxmlformats.org/officeDocument/2006/relationships/hyperlink" Target="https://www.immoscout24.ch/fr/maison/acheter/lieu-kyburg-buchegg" TargetMode="External"/><Relationship Id="rId6015" Type="http://schemas.openxmlformats.org/officeDocument/2006/relationships/hyperlink" Target="https://www.immoscout24.ch/fr/appartement/acheter/lieu-sembrancher" TargetMode="External"/><Relationship Id="rId7345" Type="http://schemas.openxmlformats.org/officeDocument/2006/relationships/hyperlink" Target="https://www.immoscout24.ch/fr/appartement/louer/lieu-baulmes" TargetMode="External"/><Relationship Id="rId8676" Type="http://schemas.openxmlformats.org/officeDocument/2006/relationships/hyperlink" Target="https://www.immoscout24.ch/fr/appartement/acheter/lieu-ins" TargetMode="External"/><Relationship Id="rId6012" Type="http://schemas.openxmlformats.org/officeDocument/2006/relationships/hyperlink" Target="https://www.immoscout24.ch/fr/appartement/louer/lieu-meltingen" TargetMode="External"/><Relationship Id="rId7344" Type="http://schemas.openxmlformats.org/officeDocument/2006/relationships/hyperlink" Target="https://www.immoscout24.ch/fr/appartement/louer/quartier-aldesago-lugano" TargetMode="External"/><Relationship Id="rId8675" Type="http://schemas.openxmlformats.org/officeDocument/2006/relationships/hyperlink" Target="https://www.immoscout24.ch/fr/appartement/acheter/lieu-ins" TargetMode="External"/><Relationship Id="rId6013" Type="http://schemas.openxmlformats.org/officeDocument/2006/relationships/hyperlink" Target="https://www.immoscout24.ch/fr/maison/acheter/lieu-unteraegeri" TargetMode="External"/><Relationship Id="rId7343" Type="http://schemas.openxmlformats.org/officeDocument/2006/relationships/hyperlink" Target="https://www.immoscout24.ch/fr/appartement/louer/quartier-aldesago-lugano" TargetMode="External"/><Relationship Id="rId8674" Type="http://schemas.openxmlformats.org/officeDocument/2006/relationships/hyperlink" Target="https://www.immoscout24.ch/fr/appartement/louer/lieu-zollikerberg" TargetMode="External"/><Relationship Id="rId6018" Type="http://schemas.openxmlformats.org/officeDocument/2006/relationships/hyperlink" Target="https://www.immoscout24.ch/fr/appartement/louer/lieu-echarlens" TargetMode="External"/><Relationship Id="rId6019" Type="http://schemas.openxmlformats.org/officeDocument/2006/relationships/hyperlink" Target="https://www.immoscout24.ch/fr/appartement/acheter/lieu-saxon" TargetMode="External"/><Relationship Id="rId7349" Type="http://schemas.openxmlformats.org/officeDocument/2006/relationships/hyperlink" Target="https://www.immoscout24.ch/fr/appartement/louer/region-glattal" TargetMode="External"/><Relationship Id="rId6016" Type="http://schemas.openxmlformats.org/officeDocument/2006/relationships/hyperlink" Target="https://www.immoscout24.ch/fr/appartement/acheter/lieu-sembrancher" TargetMode="External"/><Relationship Id="rId7348" Type="http://schemas.openxmlformats.org/officeDocument/2006/relationships/hyperlink" Target="https://www.immoscout24.ch/fr/appartement/louer/quartier-wollishofen-zurich" TargetMode="External"/><Relationship Id="rId8679" Type="http://schemas.openxmlformats.org/officeDocument/2006/relationships/hyperlink" Target="https://www.immoscout24.ch/fr/maison/acheter/lieu-vuisternens-en-ogoz" TargetMode="External"/><Relationship Id="rId6017" Type="http://schemas.openxmlformats.org/officeDocument/2006/relationships/hyperlink" Target="https://www.immoscout24.ch/fr/appartement/louer/lieu-echarlens" TargetMode="External"/><Relationship Id="rId7347" Type="http://schemas.openxmlformats.org/officeDocument/2006/relationships/hyperlink" Target="https://www.immoscout24.ch/fr/appartement/louer/quartier-wollishofen-zurich" TargetMode="External"/><Relationship Id="rId8678" Type="http://schemas.openxmlformats.org/officeDocument/2006/relationships/hyperlink" Target="https://www.immoscout24.ch/fr/maison/acheter/lieu-kyburg-buchegg" TargetMode="External"/><Relationship Id="rId7371" Type="http://schemas.openxmlformats.org/officeDocument/2006/relationships/hyperlink" Target="https://www.immoscout24.ch/fr/maison/acheter/lieu-andeer" TargetMode="External"/><Relationship Id="rId6040" Type="http://schemas.openxmlformats.org/officeDocument/2006/relationships/hyperlink" Target="https://www.immoscout24.ch/fr/maison/louer/lieu-etagnieres" TargetMode="External"/><Relationship Id="rId7370" Type="http://schemas.openxmlformats.org/officeDocument/2006/relationships/hyperlink" Target="https://www.immoscout24.ch/fr/appartement/louer/lieu-lopagno" TargetMode="External"/><Relationship Id="rId6043" Type="http://schemas.openxmlformats.org/officeDocument/2006/relationships/hyperlink" Target="https://www.immoscout24.ch/fr/maison/acheter/lieu-nuvilly" TargetMode="External"/><Relationship Id="rId7375" Type="http://schemas.openxmlformats.org/officeDocument/2006/relationships/hyperlink" Target="https://www.immoscout24.ch/fr/appartement/louer/region-wil-gossau" TargetMode="External"/><Relationship Id="rId6044" Type="http://schemas.openxmlformats.org/officeDocument/2006/relationships/hyperlink" Target="https://www.immoscout24.ch/fr/maison/acheter/lieu-nuvilly" TargetMode="External"/><Relationship Id="rId7374" Type="http://schemas.openxmlformats.org/officeDocument/2006/relationships/hyperlink" Target="https://www.immoscout24.ch/fr/maison/acheter/lieu-burtigny" TargetMode="External"/><Relationship Id="rId6041" Type="http://schemas.openxmlformats.org/officeDocument/2006/relationships/hyperlink" Target="https://www.immoscout24.ch/fr/appartement/acheter/lieu-crassier" TargetMode="External"/><Relationship Id="rId7373" Type="http://schemas.openxmlformats.org/officeDocument/2006/relationships/hyperlink" Target="https://www.immoscout24.ch/fr/maison/acheter/lieu-burtigny" TargetMode="External"/><Relationship Id="rId6042" Type="http://schemas.openxmlformats.org/officeDocument/2006/relationships/hyperlink" Target="https://www.immoscout24.ch/fr/appartement/acheter/lieu-crassier" TargetMode="External"/><Relationship Id="rId7372" Type="http://schemas.openxmlformats.org/officeDocument/2006/relationships/hyperlink" Target="https://www.immoscout24.ch/fr/maison/acheter/lieu-andeer" TargetMode="External"/><Relationship Id="rId6047" Type="http://schemas.openxmlformats.org/officeDocument/2006/relationships/hyperlink" Target="https://www.immoscout24.ch/fr/maison/louer/lieu-provence" TargetMode="External"/><Relationship Id="rId7379" Type="http://schemas.openxmlformats.org/officeDocument/2006/relationships/hyperlink" Target="https://www.immoscout24.ch/fr/maison/acheter/lieu-asuel" TargetMode="External"/><Relationship Id="rId6048" Type="http://schemas.openxmlformats.org/officeDocument/2006/relationships/hyperlink" Target="https://www.immoscout24.ch/fr/maison/louer/lieu-provence" TargetMode="External"/><Relationship Id="rId7378" Type="http://schemas.openxmlformats.org/officeDocument/2006/relationships/hyperlink" Target="https://www.immoscout24.ch/fr/appartement/acheter/lieu-bettens" TargetMode="External"/><Relationship Id="rId6045" Type="http://schemas.openxmlformats.org/officeDocument/2006/relationships/hyperlink" Target="https://www.immoscout24.ch/fr/appartement/louer/lieu-cortebert" TargetMode="External"/><Relationship Id="rId7377" Type="http://schemas.openxmlformats.org/officeDocument/2006/relationships/hyperlink" Target="https://www.immoscout24.ch/fr/appartement/acheter/lieu-bettens" TargetMode="External"/><Relationship Id="rId6046" Type="http://schemas.openxmlformats.org/officeDocument/2006/relationships/hyperlink" Target="https://www.immoscout24.ch/fr/appartement/louer/lieu-cortebert" TargetMode="External"/><Relationship Id="rId7376" Type="http://schemas.openxmlformats.org/officeDocument/2006/relationships/hyperlink" Target="https://www.immoscout24.ch/fr/appartement/louer/region-wil-gossau" TargetMode="External"/><Relationship Id="rId6049" Type="http://schemas.openxmlformats.org/officeDocument/2006/relationships/hyperlink" Target="https://www.immoscout24.ch/fr/appartement/louer/lieu-la-croix-de-rozon" TargetMode="External"/><Relationship Id="rId7360" Type="http://schemas.openxmlformats.org/officeDocument/2006/relationships/hyperlink" Target="https://www.immoscout24.ch/fr/appartement/acheter/lieu-gollion" TargetMode="External"/><Relationship Id="rId8691" Type="http://schemas.openxmlformats.org/officeDocument/2006/relationships/hyperlink" Target="https://www.immoscout24.ch/fr/appartement/louer/lieu-chavannes-les-forts" TargetMode="External"/><Relationship Id="rId8690" Type="http://schemas.openxmlformats.org/officeDocument/2006/relationships/hyperlink" Target="https://www.immoscout24.ch/fr/appartement/acheter/lieu-vuisternens-en-ogoz" TargetMode="External"/><Relationship Id="rId6032" Type="http://schemas.openxmlformats.org/officeDocument/2006/relationships/hyperlink" Target="https://www.immoscout24.ch/fr/maison/acheter/lieu-ursins" TargetMode="External"/><Relationship Id="rId7364" Type="http://schemas.openxmlformats.org/officeDocument/2006/relationships/hyperlink" Target="https://www.immoscout24.ch/fr/maison/acheter/lieu-middes" TargetMode="External"/><Relationship Id="rId8695" Type="http://schemas.openxmlformats.org/officeDocument/2006/relationships/hyperlink" Target="https://www.immoscout24.ch/fr/appartement/louer/lieu-juriens" TargetMode="External"/><Relationship Id="rId6033" Type="http://schemas.openxmlformats.org/officeDocument/2006/relationships/hyperlink" Target="https://www.immoscout24.ch/fr/appartement/louer/lieu-villaraboud" TargetMode="External"/><Relationship Id="rId7363" Type="http://schemas.openxmlformats.org/officeDocument/2006/relationships/hyperlink" Target="https://www.immoscout24.ch/fr/maison/acheter/lieu-middes" TargetMode="External"/><Relationship Id="rId8694" Type="http://schemas.openxmlformats.org/officeDocument/2006/relationships/hyperlink" Target="https://www.immoscout24.ch/fr/maison/louer/region-rive-gauche" TargetMode="External"/><Relationship Id="rId6030" Type="http://schemas.openxmlformats.org/officeDocument/2006/relationships/hyperlink" Target="https://www.immoscout24.ch/fr/maison/acheter/lieu-studen-be" TargetMode="External"/><Relationship Id="rId7362" Type="http://schemas.openxmlformats.org/officeDocument/2006/relationships/hyperlink" Target="https://www.immoscout24.ch/fr/maison/louer/lieu-iseltwald" TargetMode="External"/><Relationship Id="rId8693" Type="http://schemas.openxmlformats.org/officeDocument/2006/relationships/hyperlink" Target="https://www.immoscout24.ch/fr/maison/louer/region-rive-gauche" TargetMode="External"/><Relationship Id="rId6031" Type="http://schemas.openxmlformats.org/officeDocument/2006/relationships/hyperlink" Target="https://www.immoscout24.ch/fr/maison/acheter/lieu-ursins" TargetMode="External"/><Relationship Id="rId7361" Type="http://schemas.openxmlformats.org/officeDocument/2006/relationships/hyperlink" Target="https://www.immoscout24.ch/fr/maison/louer/lieu-iseltwald" TargetMode="External"/><Relationship Id="rId8692" Type="http://schemas.openxmlformats.org/officeDocument/2006/relationships/hyperlink" Target="https://www.immoscout24.ch/fr/appartement/louer/lieu-chavannes-les-forts" TargetMode="External"/><Relationship Id="rId6036" Type="http://schemas.openxmlformats.org/officeDocument/2006/relationships/hyperlink" Target="https://www.immoscout24.ch/fr/appartement/acheter/lieu-vullierens" TargetMode="External"/><Relationship Id="rId7368" Type="http://schemas.openxmlformats.org/officeDocument/2006/relationships/hyperlink" Target="https://www.immoscout24.ch/fr/maison/louer/region-lausanne-et-environs" TargetMode="External"/><Relationship Id="rId8699" Type="http://schemas.openxmlformats.org/officeDocument/2006/relationships/hyperlink" Target="https://www.immoscout24.ch/fr/appartement/acheter/lieu-granges-veveyse" TargetMode="External"/><Relationship Id="rId6037" Type="http://schemas.openxmlformats.org/officeDocument/2006/relationships/hyperlink" Target="https://www.immoscout24.ch/fr/maison/louer/lieu-porrentruy" TargetMode="External"/><Relationship Id="rId7367" Type="http://schemas.openxmlformats.org/officeDocument/2006/relationships/hyperlink" Target="https://www.immoscout24.ch/fr/maison/louer/region-lausanne-et-environs" TargetMode="External"/><Relationship Id="rId8698" Type="http://schemas.openxmlformats.org/officeDocument/2006/relationships/hyperlink" Target="https://www.immoscout24.ch/fr/appartement/louer/lieu-duillier" TargetMode="External"/><Relationship Id="rId6034" Type="http://schemas.openxmlformats.org/officeDocument/2006/relationships/hyperlink" Target="https://www.immoscout24.ch/fr/appartement/louer/lieu-villaraboud" TargetMode="External"/><Relationship Id="rId7366" Type="http://schemas.openxmlformats.org/officeDocument/2006/relationships/hyperlink" Target="https://www.immoscout24.ch/fr/maison/acheter/pays-belgique" TargetMode="External"/><Relationship Id="rId8697" Type="http://schemas.openxmlformats.org/officeDocument/2006/relationships/hyperlink" Target="https://www.immoscout24.ch/fr/appartement/louer/lieu-duillier" TargetMode="External"/><Relationship Id="rId6035" Type="http://schemas.openxmlformats.org/officeDocument/2006/relationships/hyperlink" Target="https://www.immoscout24.ch/fr/appartement/acheter/lieu-vullierens" TargetMode="External"/><Relationship Id="rId7365" Type="http://schemas.openxmlformats.org/officeDocument/2006/relationships/hyperlink" Target="https://www.immoscout24.ch/fr/maison/acheter/pays-belgique" TargetMode="External"/><Relationship Id="rId8696" Type="http://schemas.openxmlformats.org/officeDocument/2006/relationships/hyperlink" Target="https://www.immoscout24.ch/fr/appartement/louer/lieu-juriens" TargetMode="External"/><Relationship Id="rId6038" Type="http://schemas.openxmlformats.org/officeDocument/2006/relationships/hyperlink" Target="https://www.immoscout24.ch/fr/maison/louer/lieu-porrentruy" TargetMode="External"/><Relationship Id="rId6039" Type="http://schemas.openxmlformats.org/officeDocument/2006/relationships/hyperlink" Target="https://www.immoscout24.ch/fr/maison/louer/lieu-etagnieres" TargetMode="External"/><Relationship Id="rId7369" Type="http://schemas.openxmlformats.org/officeDocument/2006/relationships/hyperlink" Target="https://www.immoscout24.ch/fr/appartement/louer/lieu-lopagno" TargetMode="External"/><Relationship Id="rId10060" Type="http://schemas.openxmlformats.org/officeDocument/2006/relationships/hyperlink" Target="https://www.immoscout24.ch/fr/appartement/louer/lieu-eysins" TargetMode="External"/><Relationship Id="rId11392" Type="http://schemas.openxmlformats.org/officeDocument/2006/relationships/hyperlink" Target="https://www.immoscout24.ch/fr/appartement/louer/lieu-kuesnacht-zh" TargetMode="External"/><Relationship Id="rId10061" Type="http://schemas.openxmlformats.org/officeDocument/2006/relationships/hyperlink" Target="https://www.immoscout24.ch/fr/appartement/louer/lieu-les-sagnettes" TargetMode="External"/><Relationship Id="rId11391" Type="http://schemas.openxmlformats.org/officeDocument/2006/relationships/hyperlink" Target="https://www.immoscout24.ch/fr/appartement/louer/lieu-kuesnacht-zh" TargetMode="External"/><Relationship Id="rId11390" Type="http://schemas.openxmlformats.org/officeDocument/2006/relationships/hyperlink" Target="https://www.immoscout24.ch/fr/appartement/louer/lieu-prez-vers-noreaz" TargetMode="External"/><Relationship Id="rId10059" Type="http://schemas.openxmlformats.org/officeDocument/2006/relationships/hyperlink" Target="https://www.immoscout24.ch/fr/appartement/louer/lieu-eysins" TargetMode="External"/><Relationship Id="rId10053" Type="http://schemas.openxmlformats.org/officeDocument/2006/relationships/hyperlink" Target="https://www.immoscout24.ch/fr/maison/louer/lieu-grimisuat" TargetMode="External"/><Relationship Id="rId11385" Type="http://schemas.openxmlformats.org/officeDocument/2006/relationships/hyperlink" Target="https://www.immoscout24.ch/fr/appartement/acheter/lieu-malans-gr" TargetMode="External"/><Relationship Id="rId10054" Type="http://schemas.openxmlformats.org/officeDocument/2006/relationships/hyperlink" Target="https://www.immoscout24.ch/fr/maison/louer/lieu-grimisuat" TargetMode="External"/><Relationship Id="rId11384" Type="http://schemas.openxmlformats.org/officeDocument/2006/relationships/hyperlink" Target="https://www.immoscout24.ch/fr/appartement/louer/lieu-yvonand" TargetMode="External"/><Relationship Id="rId10051" Type="http://schemas.openxmlformats.org/officeDocument/2006/relationships/hyperlink" Target="https://www.immoscout24.ch/fr/appartement/acheter/lieu-buerchen" TargetMode="External"/><Relationship Id="rId11383" Type="http://schemas.openxmlformats.org/officeDocument/2006/relationships/hyperlink" Target="https://www.immoscout24.ch/fr/appartement/louer/lieu-yvonand" TargetMode="External"/><Relationship Id="rId10052" Type="http://schemas.openxmlformats.org/officeDocument/2006/relationships/hyperlink" Target="https://www.immoscout24.ch/fr/appartement/acheter/lieu-buerchen" TargetMode="External"/><Relationship Id="rId11382" Type="http://schemas.openxmlformats.org/officeDocument/2006/relationships/hyperlink" Target="https://www.immoscout24.ch/fr/appartement/louer/lieu-estavayer-le-lac" TargetMode="External"/><Relationship Id="rId10057" Type="http://schemas.openxmlformats.org/officeDocument/2006/relationships/hyperlink" Target="https://www.immoscout24.ch/fr/appartement/louer/lieu-rothrist" TargetMode="External"/><Relationship Id="rId11389" Type="http://schemas.openxmlformats.org/officeDocument/2006/relationships/hyperlink" Target="https://www.immoscout24.ch/fr/appartement/louer/lieu-prez-vers-noreaz" TargetMode="External"/><Relationship Id="rId10058" Type="http://schemas.openxmlformats.org/officeDocument/2006/relationships/hyperlink" Target="https://www.immoscout24.ch/fr/appartement/louer/lieu-rothrist" TargetMode="External"/><Relationship Id="rId11388" Type="http://schemas.openxmlformats.org/officeDocument/2006/relationships/hyperlink" Target="https://www.immoscout24.ch/fr/appartement/louer/lieu-kehrsatz" TargetMode="External"/><Relationship Id="rId10055" Type="http://schemas.openxmlformats.org/officeDocument/2006/relationships/hyperlink" Target="https://www.immoscout24.ch/fr/appartement/acheter/region-franches-montagnes" TargetMode="External"/><Relationship Id="rId11387" Type="http://schemas.openxmlformats.org/officeDocument/2006/relationships/hyperlink" Target="https://www.immoscout24.ch/fr/appartement/louer/lieu-kehrsatz" TargetMode="External"/><Relationship Id="rId10056" Type="http://schemas.openxmlformats.org/officeDocument/2006/relationships/hyperlink" Target="https://www.immoscout24.ch/fr/appartement/acheter/region-franches-montagnes" TargetMode="External"/><Relationship Id="rId11386" Type="http://schemas.openxmlformats.org/officeDocument/2006/relationships/hyperlink" Target="https://www.immoscout24.ch/fr/appartement/acheter/lieu-malans-gr" TargetMode="External"/><Relationship Id="rId10071" Type="http://schemas.openxmlformats.org/officeDocument/2006/relationships/hyperlink" Target="https://www.immoscout24.ch/fr/appartement/louer/lieu-galgenen" TargetMode="External"/><Relationship Id="rId10072" Type="http://schemas.openxmlformats.org/officeDocument/2006/relationships/hyperlink" Target="https://www.immoscout24.ch/fr/appartement/louer/lieu-galgenen" TargetMode="External"/><Relationship Id="rId10070" Type="http://schemas.openxmlformats.org/officeDocument/2006/relationships/hyperlink" Target="https://www.immoscout24.ch/fr/maison/acheter/lieu-cerniat-fr" TargetMode="External"/><Relationship Id="rId10064" Type="http://schemas.openxmlformats.org/officeDocument/2006/relationships/hyperlink" Target="https://www.immoscout24.ch/fr/maison/acheter/lieu-leuk-stadt" TargetMode="External"/><Relationship Id="rId11396" Type="http://schemas.openxmlformats.org/officeDocument/2006/relationships/hyperlink" Target="https://www.immoscout24.ch/fr/appartement/louer/lieu-effretikon" TargetMode="External"/><Relationship Id="rId10065" Type="http://schemas.openxmlformats.org/officeDocument/2006/relationships/hyperlink" Target="https://www.immoscout24.ch/fr/maison/louer/lieu-courtelary" TargetMode="External"/><Relationship Id="rId11395" Type="http://schemas.openxmlformats.org/officeDocument/2006/relationships/hyperlink" Target="https://www.immoscout24.ch/fr/appartement/louer/lieu-effretikon" TargetMode="External"/><Relationship Id="rId10062" Type="http://schemas.openxmlformats.org/officeDocument/2006/relationships/hyperlink" Target="https://www.immoscout24.ch/fr/appartement/louer/lieu-les-sagnettes" TargetMode="External"/><Relationship Id="rId11394" Type="http://schemas.openxmlformats.org/officeDocument/2006/relationships/hyperlink" Target="https://www.immoscout24.ch/fr/maison/louer/lieu-renens-vd" TargetMode="External"/><Relationship Id="rId10063" Type="http://schemas.openxmlformats.org/officeDocument/2006/relationships/hyperlink" Target="https://www.immoscout24.ch/fr/maison/acheter/lieu-leuk-stadt" TargetMode="External"/><Relationship Id="rId11393" Type="http://schemas.openxmlformats.org/officeDocument/2006/relationships/hyperlink" Target="https://www.immoscout24.ch/fr/maison/louer/lieu-renens-vd" TargetMode="External"/><Relationship Id="rId10068" Type="http://schemas.openxmlformats.org/officeDocument/2006/relationships/hyperlink" Target="https://www.immoscout24.ch/fr/maison/louer/region-fribourg-glane" TargetMode="External"/><Relationship Id="rId10069" Type="http://schemas.openxmlformats.org/officeDocument/2006/relationships/hyperlink" Target="https://www.immoscout24.ch/fr/maison/acheter/lieu-cerniat-fr" TargetMode="External"/><Relationship Id="rId11399" Type="http://schemas.openxmlformats.org/officeDocument/2006/relationships/hyperlink" Target="https://www.immoscout24.ch/fr/maison/louer/lieu-fuellinsdorf" TargetMode="External"/><Relationship Id="rId10066" Type="http://schemas.openxmlformats.org/officeDocument/2006/relationships/hyperlink" Target="https://www.immoscout24.ch/fr/maison/louer/lieu-courtelary" TargetMode="External"/><Relationship Id="rId11398" Type="http://schemas.openxmlformats.org/officeDocument/2006/relationships/hyperlink" Target="https://www.immoscout24.ch/fr/appartement/louer/lieu-zwillikon" TargetMode="External"/><Relationship Id="rId10067" Type="http://schemas.openxmlformats.org/officeDocument/2006/relationships/hyperlink" Target="https://www.immoscout24.ch/fr/maison/louer/region-fribourg-glane" TargetMode="External"/><Relationship Id="rId11397" Type="http://schemas.openxmlformats.org/officeDocument/2006/relationships/hyperlink" Target="https://www.immoscout24.ch/fr/appartement/louer/lieu-zwillikon" TargetMode="External"/><Relationship Id="rId11370" Type="http://schemas.openxmlformats.org/officeDocument/2006/relationships/hyperlink" Target="https://www.immoscout24.ch/fr/appartement/louer/lieu-bussigny" TargetMode="External"/><Relationship Id="rId10039" Type="http://schemas.openxmlformats.org/officeDocument/2006/relationships/hyperlink" Target="https://www.immoscout24.ch/fr/appartement/louer/lieu-herzogenbuchsee" TargetMode="External"/><Relationship Id="rId10037" Type="http://schemas.openxmlformats.org/officeDocument/2006/relationships/hyperlink" Target="https://www.immoscout24.ch/fr/maison/louer/lieu-mollens-vd" TargetMode="External"/><Relationship Id="rId11369" Type="http://schemas.openxmlformats.org/officeDocument/2006/relationships/hyperlink" Target="https://www.immoscout24.ch/fr/appartement/louer/lieu-bussigny" TargetMode="External"/><Relationship Id="rId10038" Type="http://schemas.openxmlformats.org/officeDocument/2006/relationships/hyperlink" Target="https://www.immoscout24.ch/fr/maison/louer/lieu-mollens-vd" TargetMode="External"/><Relationship Id="rId11368" Type="http://schemas.openxmlformats.org/officeDocument/2006/relationships/hyperlink" Target="https://www.immoscout24.ch/fr/maison/acheter/lieu-kappelen" TargetMode="External"/><Relationship Id="rId10031" Type="http://schemas.openxmlformats.org/officeDocument/2006/relationships/hyperlink" Target="https://www.immoscout24.ch/fr/appartement/acheter/lieu-corseaux" TargetMode="External"/><Relationship Id="rId11363" Type="http://schemas.openxmlformats.org/officeDocument/2006/relationships/hyperlink" Target="https://www.immoscout24.ch/fr/appartement/acheter/lieu-kehrsatz" TargetMode="External"/><Relationship Id="rId10032" Type="http://schemas.openxmlformats.org/officeDocument/2006/relationships/hyperlink" Target="https://www.immoscout24.ch/fr/appartement/acheter/lieu-corseaux" TargetMode="External"/><Relationship Id="rId11362" Type="http://schemas.openxmlformats.org/officeDocument/2006/relationships/hyperlink" Target="https://www.immoscout24.ch/fr/maison/louer/lieu-monthey" TargetMode="External"/><Relationship Id="rId11361" Type="http://schemas.openxmlformats.org/officeDocument/2006/relationships/hyperlink" Target="https://www.immoscout24.ch/fr/maison/louer/lieu-monthey" TargetMode="External"/><Relationship Id="rId10030" Type="http://schemas.openxmlformats.org/officeDocument/2006/relationships/hyperlink" Target="https://www.immoscout24.ch/fr/maison/louer/lieu-mies" TargetMode="External"/><Relationship Id="rId11360" Type="http://schemas.openxmlformats.org/officeDocument/2006/relationships/hyperlink" Target="https://www.immoscout24.ch/fr/maison/acheter/lieu-bruenisried" TargetMode="External"/><Relationship Id="rId10035" Type="http://schemas.openxmlformats.org/officeDocument/2006/relationships/hyperlink" Target="https://www.immoscout24.ch/fr/appartement/louer/lieu-agarn" TargetMode="External"/><Relationship Id="rId11367" Type="http://schemas.openxmlformats.org/officeDocument/2006/relationships/hyperlink" Target="https://www.immoscout24.ch/fr/maison/acheter/lieu-kappelen" TargetMode="External"/><Relationship Id="rId10036" Type="http://schemas.openxmlformats.org/officeDocument/2006/relationships/hyperlink" Target="https://www.immoscout24.ch/fr/appartement/louer/lieu-agarn" TargetMode="External"/><Relationship Id="rId11366" Type="http://schemas.openxmlformats.org/officeDocument/2006/relationships/hyperlink" Target="https://www.immoscout24.ch/fr/appartement/acheter/lieu-langenthal" TargetMode="External"/><Relationship Id="rId10033" Type="http://schemas.openxmlformats.org/officeDocument/2006/relationships/hyperlink" Target="https://www.immoscout24.ch/fr/maison/acheter/lieu-st-german" TargetMode="External"/><Relationship Id="rId11365" Type="http://schemas.openxmlformats.org/officeDocument/2006/relationships/hyperlink" Target="https://www.immoscout24.ch/fr/appartement/acheter/lieu-langenthal" TargetMode="External"/><Relationship Id="rId10034" Type="http://schemas.openxmlformats.org/officeDocument/2006/relationships/hyperlink" Target="https://www.immoscout24.ch/fr/maison/acheter/lieu-st-german" TargetMode="External"/><Relationship Id="rId11364" Type="http://schemas.openxmlformats.org/officeDocument/2006/relationships/hyperlink" Target="https://www.immoscout24.ch/fr/appartement/acheter/lieu-kehrsatz" TargetMode="External"/><Relationship Id="rId11381" Type="http://schemas.openxmlformats.org/officeDocument/2006/relationships/hyperlink" Target="https://www.immoscout24.ch/fr/appartement/louer/lieu-estavayer-le-lac" TargetMode="External"/><Relationship Id="rId10050" Type="http://schemas.openxmlformats.org/officeDocument/2006/relationships/hyperlink" Target="https://www.immoscout24.ch/fr/appartement/louer/lieu-baar" TargetMode="External"/><Relationship Id="rId11380" Type="http://schemas.openxmlformats.org/officeDocument/2006/relationships/hyperlink" Target="https://www.immoscout24.ch/fr/appartement/acheter/lieu-obergoesgen" TargetMode="External"/><Relationship Id="rId10048" Type="http://schemas.openxmlformats.org/officeDocument/2006/relationships/hyperlink" Target="https://www.immoscout24.ch/fr/appartement/acheter/lieu-st-niklaus-vs" TargetMode="External"/><Relationship Id="rId10049" Type="http://schemas.openxmlformats.org/officeDocument/2006/relationships/hyperlink" Target="https://www.immoscout24.ch/fr/appartement/louer/lieu-baar" TargetMode="External"/><Relationship Id="rId11379" Type="http://schemas.openxmlformats.org/officeDocument/2006/relationships/hyperlink" Target="https://www.immoscout24.ch/fr/appartement/acheter/lieu-obergoesgen" TargetMode="External"/><Relationship Id="rId10042" Type="http://schemas.openxmlformats.org/officeDocument/2006/relationships/hyperlink" Target="https://www.immoscout24.ch/fr/appartement/louer/lieu-gy" TargetMode="External"/><Relationship Id="rId11374" Type="http://schemas.openxmlformats.org/officeDocument/2006/relationships/hyperlink" Target="https://www.immoscout24.ch/fr/appartement/louer/lieu-fey" TargetMode="External"/><Relationship Id="rId10043" Type="http://schemas.openxmlformats.org/officeDocument/2006/relationships/hyperlink" Target="https://www.immoscout24.ch/fr/appartement/louer/lieu-l-isle" TargetMode="External"/><Relationship Id="rId11373" Type="http://schemas.openxmlformats.org/officeDocument/2006/relationships/hyperlink" Target="https://www.immoscout24.ch/fr/appartement/louer/lieu-fey" TargetMode="External"/><Relationship Id="rId10040" Type="http://schemas.openxmlformats.org/officeDocument/2006/relationships/hyperlink" Target="https://www.immoscout24.ch/fr/appartement/louer/lieu-herzogenbuchsee" TargetMode="External"/><Relationship Id="rId11372" Type="http://schemas.openxmlformats.org/officeDocument/2006/relationships/hyperlink" Target="https://www.immoscout24.ch/fr/appartement/acheter/pays-allemagne" TargetMode="External"/><Relationship Id="rId10041" Type="http://schemas.openxmlformats.org/officeDocument/2006/relationships/hyperlink" Target="https://www.immoscout24.ch/fr/appartement/louer/lieu-gy" TargetMode="External"/><Relationship Id="rId11371" Type="http://schemas.openxmlformats.org/officeDocument/2006/relationships/hyperlink" Target="https://www.immoscout24.ch/fr/appartement/acheter/pays-allemagne" TargetMode="External"/><Relationship Id="rId10046" Type="http://schemas.openxmlformats.org/officeDocument/2006/relationships/hyperlink" Target="https://www.immoscout24.ch/fr/maison/acheter/lieu-heiligenschwendi" TargetMode="External"/><Relationship Id="rId11378" Type="http://schemas.openxmlformats.org/officeDocument/2006/relationships/hyperlink" Target="https://www.immoscout24.ch/fr/maison/acheter/lieu-gansingen" TargetMode="External"/><Relationship Id="rId10047" Type="http://schemas.openxmlformats.org/officeDocument/2006/relationships/hyperlink" Target="https://www.immoscout24.ch/fr/appartement/acheter/lieu-st-niklaus-vs" TargetMode="External"/><Relationship Id="rId11377" Type="http://schemas.openxmlformats.org/officeDocument/2006/relationships/hyperlink" Target="https://www.immoscout24.ch/fr/maison/acheter/lieu-gansingen" TargetMode="External"/><Relationship Id="rId10044" Type="http://schemas.openxmlformats.org/officeDocument/2006/relationships/hyperlink" Target="https://www.immoscout24.ch/fr/appartement/louer/lieu-l-isle" TargetMode="External"/><Relationship Id="rId11376" Type="http://schemas.openxmlformats.org/officeDocument/2006/relationships/hyperlink" Target="https://www.immoscout24.ch/fr/appartement/louer/lieu-bettens" TargetMode="External"/><Relationship Id="rId10045" Type="http://schemas.openxmlformats.org/officeDocument/2006/relationships/hyperlink" Target="https://www.immoscout24.ch/fr/maison/acheter/lieu-heiligenschwendi" TargetMode="External"/><Relationship Id="rId11375" Type="http://schemas.openxmlformats.org/officeDocument/2006/relationships/hyperlink" Target="https://www.immoscout24.ch/fr/appartement/louer/lieu-bettens" TargetMode="External"/><Relationship Id="rId10097" Type="http://schemas.openxmlformats.org/officeDocument/2006/relationships/hyperlink" Target="https://www.immoscout24.ch/fr/appartement/acheter/lieu-blankenburg" TargetMode="External"/><Relationship Id="rId10098" Type="http://schemas.openxmlformats.org/officeDocument/2006/relationships/hyperlink" Target="https://www.immoscout24.ch/fr/appartement/acheter/lieu-blankenburg" TargetMode="External"/><Relationship Id="rId10095" Type="http://schemas.openxmlformats.org/officeDocument/2006/relationships/hyperlink" Target="https://www.immoscout24.ch/fr/appartement/louer/lieu-rocourt" TargetMode="External"/><Relationship Id="rId10096" Type="http://schemas.openxmlformats.org/officeDocument/2006/relationships/hyperlink" Target="https://www.immoscout24.ch/fr/appartement/louer/lieu-rocourt" TargetMode="External"/><Relationship Id="rId10099" Type="http://schemas.openxmlformats.org/officeDocument/2006/relationships/hyperlink" Target="https://www.immoscout24.ch/fr/appartement/louer/lieu-chalais" TargetMode="External"/><Relationship Id="rId6094" Type="http://schemas.openxmlformats.org/officeDocument/2006/relationships/hyperlink" Target="https://www.immoscout24.ch/fr/maison/acheter/lieu-gebenstorf" TargetMode="External"/><Relationship Id="rId6095" Type="http://schemas.openxmlformats.org/officeDocument/2006/relationships/hyperlink" Target="https://www.immoscout24.ch/fr/maison/louer/pays-suisse-fl" TargetMode="External"/><Relationship Id="rId6092" Type="http://schemas.openxmlformats.org/officeDocument/2006/relationships/hyperlink" Target="https://www.immoscout24.ch/fr/appartement/louer/lieu-les-ecasseys" TargetMode="External"/><Relationship Id="rId6093" Type="http://schemas.openxmlformats.org/officeDocument/2006/relationships/hyperlink" Target="https://www.immoscout24.ch/fr/maison/acheter/lieu-gebenstorf" TargetMode="External"/><Relationship Id="rId6098" Type="http://schemas.openxmlformats.org/officeDocument/2006/relationships/hyperlink" Target="https://www.immoscout24.ch/fr/appartement/louer/lieu-vaulion" TargetMode="External"/><Relationship Id="rId6099" Type="http://schemas.openxmlformats.org/officeDocument/2006/relationships/hyperlink" Target="https://www.immoscout24.ch/fr/maison/louer/lieu-les-posses-sur-bex" TargetMode="External"/><Relationship Id="rId6096" Type="http://schemas.openxmlformats.org/officeDocument/2006/relationships/hyperlink" Target="https://www.immoscout24.ch/fr/maison/louer/pays-suisse-fl" TargetMode="External"/><Relationship Id="rId6097" Type="http://schemas.openxmlformats.org/officeDocument/2006/relationships/hyperlink" Target="https://www.immoscout24.ch/fr/appartement/louer/lieu-vaulion" TargetMode="External"/><Relationship Id="rId10082" Type="http://schemas.openxmlformats.org/officeDocument/2006/relationships/hyperlink" Target="https://www.immoscout24.ch/fr/maison/acheter/lieu-pazzallo" TargetMode="External"/><Relationship Id="rId10083" Type="http://schemas.openxmlformats.org/officeDocument/2006/relationships/hyperlink" Target="https://www.immoscout24.ch/fr/appartement/louer/lieu-orsieres" TargetMode="External"/><Relationship Id="rId10080" Type="http://schemas.openxmlformats.org/officeDocument/2006/relationships/hyperlink" Target="https://www.immoscout24.ch/fr/appartement/louer/lieu-buonas" TargetMode="External"/><Relationship Id="rId10081" Type="http://schemas.openxmlformats.org/officeDocument/2006/relationships/hyperlink" Target="https://www.immoscout24.ch/fr/maison/acheter/lieu-pazzallo" TargetMode="External"/><Relationship Id="rId10075" Type="http://schemas.openxmlformats.org/officeDocument/2006/relationships/hyperlink" Target="https://www.immoscout24.ch/fr/maison/acheter/pays-turquie" TargetMode="External"/><Relationship Id="rId10076" Type="http://schemas.openxmlformats.org/officeDocument/2006/relationships/hyperlink" Target="https://www.immoscout24.ch/fr/maison/acheter/pays-turquie" TargetMode="External"/><Relationship Id="rId10073" Type="http://schemas.openxmlformats.org/officeDocument/2006/relationships/hyperlink" Target="https://www.immoscout24.ch/fr/appartement/louer/lieu-mervelier" TargetMode="External"/><Relationship Id="rId10074" Type="http://schemas.openxmlformats.org/officeDocument/2006/relationships/hyperlink" Target="https://www.immoscout24.ch/fr/appartement/louer/lieu-mervelier" TargetMode="External"/><Relationship Id="rId10079" Type="http://schemas.openxmlformats.org/officeDocument/2006/relationships/hyperlink" Target="https://www.immoscout24.ch/fr/appartement/louer/lieu-buonas" TargetMode="External"/><Relationship Id="rId10077" Type="http://schemas.openxmlformats.org/officeDocument/2006/relationships/hyperlink" Target="https://www.immoscout24.ch/fr/appartement/louer/lieu-gampel" TargetMode="External"/><Relationship Id="rId10078" Type="http://schemas.openxmlformats.org/officeDocument/2006/relationships/hyperlink" Target="https://www.immoscout24.ch/fr/appartement/louer/lieu-gampel" TargetMode="External"/><Relationship Id="rId10090" Type="http://schemas.openxmlformats.org/officeDocument/2006/relationships/hyperlink" Target="https://www.immoscout24.ch/fr/maison/louer/lieu-rueyres-les-pres" TargetMode="External"/><Relationship Id="rId10093" Type="http://schemas.openxmlformats.org/officeDocument/2006/relationships/hyperlink" Target="https://www.immoscout24.ch/fr/appartement/louer/lieu-porsel" TargetMode="External"/><Relationship Id="rId10094" Type="http://schemas.openxmlformats.org/officeDocument/2006/relationships/hyperlink" Target="https://www.immoscout24.ch/fr/appartement/louer/lieu-porsel" TargetMode="External"/><Relationship Id="rId10091" Type="http://schemas.openxmlformats.org/officeDocument/2006/relationships/hyperlink" Target="https://www.immoscout24.ch/fr/maison/louer/lieu-vuisternens-devant-romont" TargetMode="External"/><Relationship Id="rId10092" Type="http://schemas.openxmlformats.org/officeDocument/2006/relationships/hyperlink" Target="https://www.immoscout24.ch/fr/maison/louer/lieu-vuisternens-devant-romont" TargetMode="External"/><Relationship Id="rId10086" Type="http://schemas.openxmlformats.org/officeDocument/2006/relationships/hyperlink" Target="https://www.immoscout24.ch/fr/appartement/acheter/lieu-monthey" TargetMode="External"/><Relationship Id="rId10087" Type="http://schemas.openxmlformats.org/officeDocument/2006/relationships/hyperlink" Target="https://www.immoscout24.ch/fr/maison/acheter/lieu-genthod" TargetMode="External"/><Relationship Id="rId10084" Type="http://schemas.openxmlformats.org/officeDocument/2006/relationships/hyperlink" Target="https://www.immoscout24.ch/fr/appartement/louer/lieu-orsieres" TargetMode="External"/><Relationship Id="rId10085" Type="http://schemas.openxmlformats.org/officeDocument/2006/relationships/hyperlink" Target="https://www.immoscout24.ch/fr/appartement/acheter/lieu-monthey" TargetMode="External"/><Relationship Id="rId10088" Type="http://schemas.openxmlformats.org/officeDocument/2006/relationships/hyperlink" Target="https://www.immoscout24.ch/fr/maison/acheter/lieu-genthod" TargetMode="External"/><Relationship Id="rId10089" Type="http://schemas.openxmlformats.org/officeDocument/2006/relationships/hyperlink" Target="https://www.immoscout24.ch/fr/maison/louer/lieu-rueyres-les-pres" TargetMode="External"/><Relationship Id="rId11305" Type="http://schemas.openxmlformats.org/officeDocument/2006/relationships/hyperlink" Target="https://www.immoscout24.ch/fr/appartement/acheter/lieu-sigriswil" TargetMode="External"/><Relationship Id="rId11304" Type="http://schemas.openxmlformats.org/officeDocument/2006/relationships/hyperlink" Target="https://www.immoscout24.ch/fr/appartement/louer/lieu-villette-lavaux" TargetMode="External"/><Relationship Id="rId11303" Type="http://schemas.openxmlformats.org/officeDocument/2006/relationships/hyperlink" Target="https://www.immoscout24.ch/fr/appartement/louer/lieu-villette-lavaux" TargetMode="External"/><Relationship Id="rId11302" Type="http://schemas.openxmlformats.org/officeDocument/2006/relationships/hyperlink" Target="https://www.immoscout24.ch/fr/maison/acheter/lieu-biezwil" TargetMode="External"/><Relationship Id="rId11309" Type="http://schemas.openxmlformats.org/officeDocument/2006/relationships/hyperlink" Target="https://www.immoscout24.ch/fr/maison/acheter/lieu-oulens-sur-lucens" TargetMode="External"/><Relationship Id="rId11308" Type="http://schemas.openxmlformats.org/officeDocument/2006/relationships/hyperlink" Target="https://www.immoscout24.ch/fr/appartement/louer/lieu-les-geneveys-sur-coffrane" TargetMode="External"/><Relationship Id="rId11307" Type="http://schemas.openxmlformats.org/officeDocument/2006/relationships/hyperlink" Target="https://www.immoscout24.ch/fr/appartement/louer/lieu-les-geneveys-sur-coffrane" TargetMode="External"/><Relationship Id="rId11306" Type="http://schemas.openxmlformats.org/officeDocument/2006/relationships/hyperlink" Target="https://www.immoscout24.ch/fr/appartement/acheter/lieu-sigriswil" TargetMode="External"/><Relationship Id="rId11301" Type="http://schemas.openxmlformats.org/officeDocument/2006/relationships/hyperlink" Target="https://www.immoscout24.ch/fr/maison/acheter/lieu-biezwil" TargetMode="External"/><Relationship Id="rId11300" Type="http://schemas.openxmlformats.org/officeDocument/2006/relationships/hyperlink" Target="https://www.immoscout24.ch/fr/maison/louer/lieu-beuson-nendaz" TargetMode="External"/><Relationship Id="rId11316" Type="http://schemas.openxmlformats.org/officeDocument/2006/relationships/hyperlink" Target="https://www.immoscout24.ch/fr/appartement/acheter/lieu-bettmeralp" TargetMode="External"/><Relationship Id="rId11315" Type="http://schemas.openxmlformats.org/officeDocument/2006/relationships/hyperlink" Target="https://www.immoscout24.ch/fr/appartement/acheter/lieu-bettmeralp" TargetMode="External"/><Relationship Id="rId11314" Type="http://schemas.openxmlformats.org/officeDocument/2006/relationships/hyperlink" Target="https://www.immoscout24.ch/fr/maison/acheter/lieu-arlesheim" TargetMode="External"/><Relationship Id="rId11313" Type="http://schemas.openxmlformats.org/officeDocument/2006/relationships/hyperlink" Target="https://www.immoscout24.ch/fr/maison/acheter/lieu-arlesheim" TargetMode="External"/><Relationship Id="rId11319" Type="http://schemas.openxmlformats.org/officeDocument/2006/relationships/hyperlink" Target="https://www.immoscout24.ch/fr/maison/acheter/lieu-ludiano" TargetMode="External"/><Relationship Id="rId11318" Type="http://schemas.openxmlformats.org/officeDocument/2006/relationships/hyperlink" Target="https://www.immoscout24.ch/fr/appartement/louer/lieu-cheseaux-sur-lausanne" TargetMode="External"/><Relationship Id="rId11317" Type="http://schemas.openxmlformats.org/officeDocument/2006/relationships/hyperlink" Target="https://www.immoscout24.ch/fr/appartement/louer/lieu-cheseaux-sur-lausanne" TargetMode="External"/><Relationship Id="rId11312" Type="http://schemas.openxmlformats.org/officeDocument/2006/relationships/hyperlink" Target="https://www.immoscout24.ch/fr/maison/acheter/lieu-mund" TargetMode="External"/><Relationship Id="rId11311" Type="http://schemas.openxmlformats.org/officeDocument/2006/relationships/hyperlink" Target="https://www.immoscout24.ch/fr/maison/acheter/lieu-mund" TargetMode="External"/><Relationship Id="rId11310" Type="http://schemas.openxmlformats.org/officeDocument/2006/relationships/hyperlink" Target="https://www.immoscout24.ch/fr/maison/acheter/lieu-oulens-sur-lucens" TargetMode="External"/><Relationship Id="rId8707" Type="http://schemas.openxmlformats.org/officeDocument/2006/relationships/hyperlink" Target="https://www.immoscout24.ch/fr/maison/acheter/lieu-jussy" TargetMode="External"/><Relationship Id="rId8706" Type="http://schemas.openxmlformats.org/officeDocument/2006/relationships/hyperlink" Target="https://www.immoscout24.ch/fr/maison/acheter/lieu-villarepos" TargetMode="External"/><Relationship Id="rId8705" Type="http://schemas.openxmlformats.org/officeDocument/2006/relationships/hyperlink" Target="https://www.immoscout24.ch/fr/maison/acheter/lieu-villarepos" TargetMode="External"/><Relationship Id="rId8704" Type="http://schemas.openxmlformats.org/officeDocument/2006/relationships/hyperlink" Target="https://www.immoscout24.ch/fr/appartement/louer/quartier-sennhof-winterthur" TargetMode="External"/><Relationship Id="rId8709" Type="http://schemas.openxmlformats.org/officeDocument/2006/relationships/hyperlink" Target="https://www.immoscout24.ch/fr/appartement/louer/canton-neuchatel" TargetMode="External"/><Relationship Id="rId8708" Type="http://schemas.openxmlformats.org/officeDocument/2006/relationships/hyperlink" Target="https://www.immoscout24.ch/fr/maison/acheter/lieu-jussy" TargetMode="External"/><Relationship Id="rId8703" Type="http://schemas.openxmlformats.org/officeDocument/2006/relationships/hyperlink" Target="https://www.immoscout24.ch/fr/appartement/louer/quartier-sennhof-winterthur" TargetMode="External"/><Relationship Id="rId8702" Type="http://schemas.openxmlformats.org/officeDocument/2006/relationships/hyperlink" Target="https://www.immoscout24.ch/fr/maison/louer/lieu-les-granges-salvan" TargetMode="External"/><Relationship Id="rId8701" Type="http://schemas.openxmlformats.org/officeDocument/2006/relationships/hyperlink" Target="https://www.immoscout24.ch/fr/maison/louer/lieu-les-granges-salvan" TargetMode="External"/><Relationship Id="rId8700" Type="http://schemas.openxmlformats.org/officeDocument/2006/relationships/hyperlink" Target="https://www.immoscout24.ch/fr/appartement/acheter/lieu-granges-veveyse" TargetMode="External"/><Relationship Id="rId10017" Type="http://schemas.openxmlformats.org/officeDocument/2006/relationships/hyperlink" Target="https://www.immoscout24.ch/fr/appartement/acheter/region-bale-ville" TargetMode="External"/><Relationship Id="rId11349" Type="http://schemas.openxmlformats.org/officeDocument/2006/relationships/hyperlink" Target="https://www.immoscout24.ch/fr/appartement/louer/lieu-les-collons" TargetMode="External"/><Relationship Id="rId10018" Type="http://schemas.openxmlformats.org/officeDocument/2006/relationships/hyperlink" Target="https://www.immoscout24.ch/fr/appartement/acheter/region-bale-ville" TargetMode="External"/><Relationship Id="rId11348" Type="http://schemas.openxmlformats.org/officeDocument/2006/relationships/hyperlink" Target="https://www.immoscout24.ch/fr/appartement/acheter/quartier-delices-grottes-geneve" TargetMode="External"/><Relationship Id="rId10015" Type="http://schemas.openxmlformats.org/officeDocument/2006/relationships/hyperlink" Target="https://www.immoscout24.ch/fr/appartement/louer/lieu-massongex" TargetMode="External"/><Relationship Id="rId11347" Type="http://schemas.openxmlformats.org/officeDocument/2006/relationships/hyperlink" Target="https://www.immoscout24.ch/fr/appartement/acheter/quartier-delices-grottes-geneve" TargetMode="External"/><Relationship Id="rId10016" Type="http://schemas.openxmlformats.org/officeDocument/2006/relationships/hyperlink" Target="https://www.immoscout24.ch/fr/appartement/louer/lieu-massongex" TargetMode="External"/><Relationship Id="rId11346" Type="http://schemas.openxmlformats.org/officeDocument/2006/relationships/hyperlink" Target="https://www.immoscout24.ch/fr/maison/louer/lieu-ependes-fr" TargetMode="External"/><Relationship Id="rId10019" Type="http://schemas.openxmlformats.org/officeDocument/2006/relationships/hyperlink" Target="https://www.immoscout24.ch/fr/appartement/louer/quartier-trois-portes-neuchatel" TargetMode="External"/><Relationship Id="rId11341" Type="http://schemas.openxmlformats.org/officeDocument/2006/relationships/hyperlink" Target="https://www.immoscout24.ch/fr/appartement/acheter/quartier-vallon-bethusy-lausanne" TargetMode="External"/><Relationship Id="rId10010" Type="http://schemas.openxmlformats.org/officeDocument/2006/relationships/hyperlink" Target="https://www.immoscout24.ch/fr/maison/acheter/lieu-uvrier" TargetMode="External"/><Relationship Id="rId11340" Type="http://schemas.openxmlformats.org/officeDocument/2006/relationships/hyperlink" Target="https://www.immoscout24.ch/fr/maison/acheter/canton-neuchatel" TargetMode="External"/><Relationship Id="rId10013" Type="http://schemas.openxmlformats.org/officeDocument/2006/relationships/hyperlink" Target="https://www.immoscout24.ch/fr/appartement/louer/lieu-arisdorf" TargetMode="External"/><Relationship Id="rId11345" Type="http://schemas.openxmlformats.org/officeDocument/2006/relationships/hyperlink" Target="https://www.immoscout24.ch/fr/maison/louer/lieu-ependes-fr" TargetMode="External"/><Relationship Id="rId10014" Type="http://schemas.openxmlformats.org/officeDocument/2006/relationships/hyperlink" Target="https://www.immoscout24.ch/fr/appartement/louer/lieu-arisdorf" TargetMode="External"/><Relationship Id="rId11344" Type="http://schemas.openxmlformats.org/officeDocument/2006/relationships/hyperlink" Target="https://www.immoscout24.ch/fr/maison/acheter/lieu-st-cergue" TargetMode="External"/><Relationship Id="rId10011" Type="http://schemas.openxmlformats.org/officeDocument/2006/relationships/hyperlink" Target="https://www.immoscout24.ch/fr/appartement/louer/lieu-ollon-vs" TargetMode="External"/><Relationship Id="rId11343" Type="http://schemas.openxmlformats.org/officeDocument/2006/relationships/hyperlink" Target="https://www.immoscout24.ch/fr/maison/acheter/lieu-st-cergue" TargetMode="External"/><Relationship Id="rId10012" Type="http://schemas.openxmlformats.org/officeDocument/2006/relationships/hyperlink" Target="https://www.immoscout24.ch/fr/appartement/louer/lieu-ollon-vs" TargetMode="External"/><Relationship Id="rId11342" Type="http://schemas.openxmlformats.org/officeDocument/2006/relationships/hyperlink" Target="https://www.immoscout24.ch/fr/appartement/acheter/quartier-vallon-bethusy-lausanne" TargetMode="External"/><Relationship Id="rId10028" Type="http://schemas.openxmlformats.org/officeDocument/2006/relationships/hyperlink" Target="https://www.immoscout24.ch/fr/maison/louer/lieu-avenches" TargetMode="External"/><Relationship Id="rId10029" Type="http://schemas.openxmlformats.org/officeDocument/2006/relationships/hyperlink" Target="https://www.immoscout24.ch/fr/maison/louer/lieu-mies" TargetMode="External"/><Relationship Id="rId11359" Type="http://schemas.openxmlformats.org/officeDocument/2006/relationships/hyperlink" Target="https://www.immoscout24.ch/fr/maison/acheter/lieu-bruenisried" TargetMode="External"/><Relationship Id="rId10026" Type="http://schemas.openxmlformats.org/officeDocument/2006/relationships/hyperlink" Target="https://www.immoscout24.ch/fr/maison/acheter/lieu-commugny" TargetMode="External"/><Relationship Id="rId11358" Type="http://schemas.openxmlformats.org/officeDocument/2006/relationships/hyperlink" Target="https://www.immoscout24.ch/fr/appartement/louer/lieu-wallenwil" TargetMode="External"/><Relationship Id="rId10027" Type="http://schemas.openxmlformats.org/officeDocument/2006/relationships/hyperlink" Target="https://www.immoscout24.ch/fr/maison/louer/lieu-avenches" TargetMode="External"/><Relationship Id="rId11357" Type="http://schemas.openxmlformats.org/officeDocument/2006/relationships/hyperlink" Target="https://www.immoscout24.ch/fr/appartement/louer/lieu-wallenwil" TargetMode="External"/><Relationship Id="rId10020" Type="http://schemas.openxmlformats.org/officeDocument/2006/relationships/hyperlink" Target="https://www.immoscout24.ch/fr/appartement/louer/quartier-trois-portes-neuchatel" TargetMode="External"/><Relationship Id="rId11352" Type="http://schemas.openxmlformats.org/officeDocument/2006/relationships/hyperlink" Target="https://www.immoscout24.ch/fr/maison/acheter/lieu-oberhallau" TargetMode="External"/><Relationship Id="rId10021" Type="http://schemas.openxmlformats.org/officeDocument/2006/relationships/hyperlink" Target="https://www.immoscout24.ch/fr/maison/louer/lieu-court" TargetMode="External"/><Relationship Id="rId11351" Type="http://schemas.openxmlformats.org/officeDocument/2006/relationships/hyperlink" Target="https://www.immoscout24.ch/fr/maison/acheter/lieu-oberhallau" TargetMode="External"/><Relationship Id="rId11350" Type="http://schemas.openxmlformats.org/officeDocument/2006/relationships/hyperlink" Target="https://www.immoscout24.ch/fr/appartement/louer/lieu-les-collons" TargetMode="External"/><Relationship Id="rId10024" Type="http://schemas.openxmlformats.org/officeDocument/2006/relationships/hyperlink" Target="https://www.immoscout24.ch/fr/maison/acheter/region-aigle-alpes-vaudoises" TargetMode="External"/><Relationship Id="rId11356" Type="http://schemas.openxmlformats.org/officeDocument/2006/relationships/hyperlink" Target="https://www.immoscout24.ch/fr/maison/acheter/lieu-champvent" TargetMode="External"/><Relationship Id="rId10025" Type="http://schemas.openxmlformats.org/officeDocument/2006/relationships/hyperlink" Target="https://www.immoscout24.ch/fr/maison/acheter/lieu-commugny" TargetMode="External"/><Relationship Id="rId11355" Type="http://schemas.openxmlformats.org/officeDocument/2006/relationships/hyperlink" Target="https://www.immoscout24.ch/fr/maison/acheter/lieu-champvent" TargetMode="External"/><Relationship Id="rId10022" Type="http://schemas.openxmlformats.org/officeDocument/2006/relationships/hyperlink" Target="https://www.immoscout24.ch/fr/maison/louer/lieu-court" TargetMode="External"/><Relationship Id="rId11354" Type="http://schemas.openxmlformats.org/officeDocument/2006/relationships/hyperlink" Target="https://www.immoscout24.ch/fr/appartement/louer/lieu-sonvilier" TargetMode="External"/><Relationship Id="rId10023" Type="http://schemas.openxmlformats.org/officeDocument/2006/relationships/hyperlink" Target="https://www.immoscout24.ch/fr/maison/acheter/region-aigle-alpes-vaudoises" TargetMode="External"/><Relationship Id="rId11353" Type="http://schemas.openxmlformats.org/officeDocument/2006/relationships/hyperlink" Target="https://www.immoscout24.ch/fr/appartement/louer/lieu-sonvilier" TargetMode="External"/><Relationship Id="rId11327" Type="http://schemas.openxmlformats.org/officeDocument/2006/relationships/hyperlink" Target="https://www.immoscout24.ch/fr/appartement/louer/lieu-endingen" TargetMode="External"/><Relationship Id="rId11326" Type="http://schemas.openxmlformats.org/officeDocument/2006/relationships/hyperlink" Target="https://www.immoscout24.ch/fr/maison/acheter/lieu-interlaken" TargetMode="External"/><Relationship Id="rId11325" Type="http://schemas.openxmlformats.org/officeDocument/2006/relationships/hyperlink" Target="https://www.immoscout24.ch/fr/maison/acheter/lieu-interlaken" TargetMode="External"/><Relationship Id="rId11324" Type="http://schemas.openxmlformats.org/officeDocument/2006/relationships/hyperlink" Target="https://www.immoscout24.ch/fr/appartement/acheter/lieu-flueh" TargetMode="External"/><Relationship Id="rId11329" Type="http://schemas.openxmlformats.org/officeDocument/2006/relationships/hyperlink" Target="https://www.immoscout24.ch/fr/maison/acheter/lieu-wuerenlingen" TargetMode="External"/><Relationship Id="rId11328" Type="http://schemas.openxmlformats.org/officeDocument/2006/relationships/hyperlink" Target="https://www.immoscout24.ch/fr/appartement/louer/lieu-endingen" TargetMode="External"/><Relationship Id="rId11323" Type="http://schemas.openxmlformats.org/officeDocument/2006/relationships/hyperlink" Target="https://www.immoscout24.ch/fr/appartement/acheter/lieu-flueh" TargetMode="External"/><Relationship Id="rId11322" Type="http://schemas.openxmlformats.org/officeDocument/2006/relationships/hyperlink" Target="https://www.immoscout24.ch/fr/appartement/louer/lieu-les-verrieres" TargetMode="External"/><Relationship Id="rId11321" Type="http://schemas.openxmlformats.org/officeDocument/2006/relationships/hyperlink" Target="https://www.immoscout24.ch/fr/appartement/louer/lieu-les-verrieres" TargetMode="External"/><Relationship Id="rId11320" Type="http://schemas.openxmlformats.org/officeDocument/2006/relationships/hyperlink" Target="https://www.immoscout24.ch/fr/maison/acheter/lieu-ludiano" TargetMode="External"/><Relationship Id="rId10006" Type="http://schemas.openxmlformats.org/officeDocument/2006/relationships/hyperlink" Target="https://www.immoscout24.ch/fr/appartement/louer/lieu-gerolfingen" TargetMode="External"/><Relationship Id="rId11338" Type="http://schemas.openxmlformats.org/officeDocument/2006/relationships/hyperlink" Target="https://www.immoscout24.ch/fr/appartement/louer/lieu-morges" TargetMode="External"/><Relationship Id="rId10007" Type="http://schemas.openxmlformats.org/officeDocument/2006/relationships/hyperlink" Target="https://www.immoscout24.ch/fr/maison/acheter/lieu-hauterive-ne" TargetMode="External"/><Relationship Id="rId11337" Type="http://schemas.openxmlformats.org/officeDocument/2006/relationships/hyperlink" Target="https://www.immoscout24.ch/fr/appartement/louer/lieu-morges" TargetMode="External"/><Relationship Id="rId10004" Type="http://schemas.openxmlformats.org/officeDocument/2006/relationships/hyperlink" Target="https://www.immoscout24.ch/fr/maison/acheter/lieu-suberg" TargetMode="External"/><Relationship Id="rId11336" Type="http://schemas.openxmlformats.org/officeDocument/2006/relationships/hyperlink" Target="https://www.immoscout24.ch/fr/appartement/louer/quartier-chailly-rovereaz-lausanne" TargetMode="External"/><Relationship Id="rId10005" Type="http://schemas.openxmlformats.org/officeDocument/2006/relationships/hyperlink" Target="https://www.immoscout24.ch/fr/appartement/louer/lieu-gerolfingen" TargetMode="External"/><Relationship Id="rId11335" Type="http://schemas.openxmlformats.org/officeDocument/2006/relationships/hyperlink" Target="https://www.immoscout24.ch/fr/appartement/louer/quartier-chailly-rovereaz-lausanne" TargetMode="External"/><Relationship Id="rId10008" Type="http://schemas.openxmlformats.org/officeDocument/2006/relationships/hyperlink" Target="https://www.immoscout24.ch/fr/maison/acheter/lieu-hauterive-ne" TargetMode="External"/><Relationship Id="rId10009" Type="http://schemas.openxmlformats.org/officeDocument/2006/relationships/hyperlink" Target="https://www.immoscout24.ch/fr/maison/acheter/lieu-uvrier" TargetMode="External"/><Relationship Id="rId11339" Type="http://schemas.openxmlformats.org/officeDocument/2006/relationships/hyperlink" Target="https://www.immoscout24.ch/fr/maison/acheter/canton-neuchatel" TargetMode="External"/><Relationship Id="rId11330" Type="http://schemas.openxmlformats.org/officeDocument/2006/relationships/hyperlink" Target="https://www.immoscout24.ch/fr/maison/acheter/lieu-wuerenlingen" TargetMode="External"/><Relationship Id="rId10002" Type="http://schemas.openxmlformats.org/officeDocument/2006/relationships/hyperlink" Target="https://www.immoscout24.ch/fr/appartement/louer/lieu-les-posses-sur-bex" TargetMode="External"/><Relationship Id="rId11334" Type="http://schemas.openxmlformats.org/officeDocument/2006/relationships/hyperlink" Target="https://www.immoscout24.ch/fr/appartement/louer/lieu-fiesch" TargetMode="External"/><Relationship Id="rId10003" Type="http://schemas.openxmlformats.org/officeDocument/2006/relationships/hyperlink" Target="https://www.immoscout24.ch/fr/maison/acheter/lieu-suberg" TargetMode="External"/><Relationship Id="rId11333" Type="http://schemas.openxmlformats.org/officeDocument/2006/relationships/hyperlink" Target="https://www.immoscout24.ch/fr/appartement/louer/lieu-fiesch" TargetMode="External"/><Relationship Id="rId10000" Type="http://schemas.openxmlformats.org/officeDocument/2006/relationships/hyperlink" Target="https://www.immoscout24.ch/fr/appartement/acheter/lieu-preles" TargetMode="External"/><Relationship Id="rId11332" Type="http://schemas.openxmlformats.org/officeDocument/2006/relationships/hyperlink" Target="https://www.immoscout24.ch/fr/maison/acheter/region-baden-brugg-zurzach" TargetMode="External"/><Relationship Id="rId10001" Type="http://schemas.openxmlformats.org/officeDocument/2006/relationships/hyperlink" Target="https://www.immoscout24.ch/fr/appartement/louer/lieu-les-posses-sur-bex" TargetMode="External"/><Relationship Id="rId11331" Type="http://schemas.openxmlformats.org/officeDocument/2006/relationships/hyperlink" Target="https://www.immoscout24.ch/fr/maison/acheter/region-baden-brugg-zurzach" TargetMode="External"/><Relationship Id="rId11629" Type="http://schemas.openxmlformats.org/officeDocument/2006/relationships/hyperlink" Target="https://www.immoscout24.ch/fr/appartement/acheter/lieu-pieterlen" TargetMode="External"/><Relationship Id="rId11624" Type="http://schemas.openxmlformats.org/officeDocument/2006/relationships/hyperlink" Target="https://www.immoscout24.ch/fr/appartement/acheter/lieu-st-saphorin-lavaux" TargetMode="External"/><Relationship Id="rId11623" Type="http://schemas.openxmlformats.org/officeDocument/2006/relationships/hyperlink" Target="https://www.immoscout24.ch/fr/appartement/acheter/lieu-st-saphorin-lavaux" TargetMode="External"/><Relationship Id="rId11622" Type="http://schemas.openxmlformats.org/officeDocument/2006/relationships/hyperlink" Target="https://www.immoscout24.ch/fr/appartement/louer/region-laufenburg-rheinfelden" TargetMode="External"/><Relationship Id="rId11621" Type="http://schemas.openxmlformats.org/officeDocument/2006/relationships/hyperlink" Target="https://www.immoscout24.ch/fr/appartement/louer/region-laufenburg-rheinfelden" TargetMode="External"/><Relationship Id="rId11628" Type="http://schemas.openxmlformats.org/officeDocument/2006/relationships/hyperlink" Target="https://www.immoscout24.ch/fr/appartement/acheter/lieu-carouge-ge" TargetMode="External"/><Relationship Id="rId11627" Type="http://schemas.openxmlformats.org/officeDocument/2006/relationships/hyperlink" Target="https://www.immoscout24.ch/fr/appartement/acheter/lieu-carouge-ge" TargetMode="External"/><Relationship Id="rId11626" Type="http://schemas.openxmlformats.org/officeDocument/2006/relationships/hyperlink" Target="https://www.immoscout24.ch/fr/appartement/acheter/lieu-guettingen" TargetMode="External"/><Relationship Id="rId11625" Type="http://schemas.openxmlformats.org/officeDocument/2006/relationships/hyperlink" Target="https://www.immoscout24.ch/fr/appartement/acheter/lieu-guettingen" TargetMode="External"/><Relationship Id="rId11620" Type="http://schemas.openxmlformats.org/officeDocument/2006/relationships/hyperlink" Target="https://www.immoscout24.ch/fr/appartement/acheter/lieu-courrendlin" TargetMode="External"/><Relationship Id="rId10309" Type="http://schemas.openxmlformats.org/officeDocument/2006/relationships/hyperlink" Target="https://www.immoscout24.ch/fr/maison/acheter/lieu-cevio" TargetMode="External"/><Relationship Id="rId10303" Type="http://schemas.openxmlformats.org/officeDocument/2006/relationships/hyperlink" Target="https://www.immoscout24.ch/fr/maison/louer/lieu-troistorrents" TargetMode="External"/><Relationship Id="rId11635" Type="http://schemas.openxmlformats.org/officeDocument/2006/relationships/hyperlink" Target="https://www.immoscout24.ch/fr/appartement/louer/lieu-arcegno" TargetMode="External"/><Relationship Id="rId10304" Type="http://schemas.openxmlformats.org/officeDocument/2006/relationships/hyperlink" Target="https://www.immoscout24.ch/fr/maison/louer/lieu-troistorrents" TargetMode="External"/><Relationship Id="rId11634" Type="http://schemas.openxmlformats.org/officeDocument/2006/relationships/hyperlink" Target="https://www.immoscout24.ch/fr/appartement/louer/lieu-aarburg" TargetMode="External"/><Relationship Id="rId10301" Type="http://schemas.openxmlformats.org/officeDocument/2006/relationships/hyperlink" Target="https://www.immoscout24.ch/fr/appartement/louer/lieu-canobbio" TargetMode="External"/><Relationship Id="rId11633" Type="http://schemas.openxmlformats.org/officeDocument/2006/relationships/hyperlink" Target="https://www.immoscout24.ch/fr/appartement/louer/lieu-aarburg" TargetMode="External"/><Relationship Id="rId10302" Type="http://schemas.openxmlformats.org/officeDocument/2006/relationships/hyperlink" Target="https://www.immoscout24.ch/fr/appartement/louer/lieu-canobbio" TargetMode="External"/><Relationship Id="rId11632" Type="http://schemas.openxmlformats.org/officeDocument/2006/relationships/hyperlink" Target="https://www.immoscout24.ch/fr/appartement/acheter/lieu-hergiswil-nw" TargetMode="External"/><Relationship Id="rId10307" Type="http://schemas.openxmlformats.org/officeDocument/2006/relationships/hyperlink" Target="https://www.immoscout24.ch/fr/appartement/louer/lieu-pompaples" TargetMode="External"/><Relationship Id="rId11639" Type="http://schemas.openxmlformats.org/officeDocument/2006/relationships/hyperlink" Target="https://www.immoscout24.ch/fr/appartement/louer/lieu-regensdorf" TargetMode="External"/><Relationship Id="rId10308" Type="http://schemas.openxmlformats.org/officeDocument/2006/relationships/hyperlink" Target="https://www.immoscout24.ch/fr/appartement/louer/lieu-pompaples" TargetMode="External"/><Relationship Id="rId11638" Type="http://schemas.openxmlformats.org/officeDocument/2006/relationships/hyperlink" Target="https://www.immoscout24.ch/fr/appartement/acheter/lieu-autafond" TargetMode="External"/><Relationship Id="rId10305" Type="http://schemas.openxmlformats.org/officeDocument/2006/relationships/hyperlink" Target="https://www.immoscout24.ch/fr/appartement/louer/lieu-adlikon-b-regensdorf" TargetMode="External"/><Relationship Id="rId11637" Type="http://schemas.openxmlformats.org/officeDocument/2006/relationships/hyperlink" Target="https://www.immoscout24.ch/fr/appartement/acheter/lieu-autafond" TargetMode="External"/><Relationship Id="rId10306" Type="http://schemas.openxmlformats.org/officeDocument/2006/relationships/hyperlink" Target="https://www.immoscout24.ch/fr/appartement/louer/lieu-adlikon-b-regensdorf" TargetMode="External"/><Relationship Id="rId11636" Type="http://schemas.openxmlformats.org/officeDocument/2006/relationships/hyperlink" Target="https://www.immoscout24.ch/fr/appartement/louer/lieu-arcegno" TargetMode="External"/><Relationship Id="rId11631" Type="http://schemas.openxmlformats.org/officeDocument/2006/relationships/hyperlink" Target="https://www.immoscout24.ch/fr/appartement/acheter/lieu-hergiswil-nw" TargetMode="External"/><Relationship Id="rId10300" Type="http://schemas.openxmlformats.org/officeDocument/2006/relationships/hyperlink" Target="https://www.immoscout24.ch/fr/appartement/louer/lieu-lenzerheide-lai" TargetMode="External"/><Relationship Id="rId11630" Type="http://schemas.openxmlformats.org/officeDocument/2006/relationships/hyperlink" Target="https://www.immoscout24.ch/fr/appartement/acheter/lieu-pieterlen" TargetMode="External"/><Relationship Id="rId11609" Type="http://schemas.openxmlformats.org/officeDocument/2006/relationships/hyperlink" Target="https://www.immoscout24.ch/fr/appartement/acheter/canton-argovie" TargetMode="External"/><Relationship Id="rId11608" Type="http://schemas.openxmlformats.org/officeDocument/2006/relationships/hyperlink" Target="https://www.immoscout24.ch/fr/maison/acheter/lieu-champagne" TargetMode="External"/><Relationship Id="rId11607" Type="http://schemas.openxmlformats.org/officeDocument/2006/relationships/hyperlink" Target="https://www.immoscout24.ch/fr/maison/acheter/lieu-champagne" TargetMode="External"/><Relationship Id="rId11602" Type="http://schemas.openxmlformats.org/officeDocument/2006/relationships/hyperlink" Target="https://www.immoscout24.ch/fr/appartement/louer/lieu-st-imier" TargetMode="External"/><Relationship Id="rId11601" Type="http://schemas.openxmlformats.org/officeDocument/2006/relationships/hyperlink" Target="https://www.immoscout24.ch/fr/appartement/louer/lieu-st-imier" TargetMode="External"/><Relationship Id="rId11600" Type="http://schemas.openxmlformats.org/officeDocument/2006/relationships/hyperlink" Target="https://www.immoscout24.ch/fr/appartement/acheter/lieu-bretigny-sur-morrens" TargetMode="External"/><Relationship Id="rId11606" Type="http://schemas.openxmlformats.org/officeDocument/2006/relationships/hyperlink" Target="https://www.immoscout24.ch/fr/appartement/louer/lieu-wallenried" TargetMode="External"/><Relationship Id="rId11605" Type="http://schemas.openxmlformats.org/officeDocument/2006/relationships/hyperlink" Target="https://www.immoscout24.ch/fr/appartement/louer/lieu-wallenried" TargetMode="External"/><Relationship Id="rId11604" Type="http://schemas.openxmlformats.org/officeDocument/2006/relationships/hyperlink" Target="https://www.immoscout24.ch/fr/maison/acheter/lieu-susten" TargetMode="External"/><Relationship Id="rId11603" Type="http://schemas.openxmlformats.org/officeDocument/2006/relationships/hyperlink" Target="https://www.immoscout24.ch/fr/maison/acheter/lieu-susten" TargetMode="External"/><Relationship Id="rId11619" Type="http://schemas.openxmlformats.org/officeDocument/2006/relationships/hyperlink" Target="https://www.immoscout24.ch/fr/appartement/acheter/lieu-courrendlin" TargetMode="External"/><Relationship Id="rId11618" Type="http://schemas.openxmlformats.org/officeDocument/2006/relationships/hyperlink" Target="https://www.immoscout24.ch/fr/maison/acheter/lieu-alle" TargetMode="External"/><Relationship Id="rId11613" Type="http://schemas.openxmlformats.org/officeDocument/2006/relationships/hyperlink" Target="https://www.immoscout24.ch/fr/appartement/louer/lieu-la-chaux-des-breuleux" TargetMode="External"/><Relationship Id="rId11612" Type="http://schemas.openxmlformats.org/officeDocument/2006/relationships/hyperlink" Target="https://www.immoscout24.ch/fr/appartement/acheter/quartier-altstetten-zurich" TargetMode="External"/><Relationship Id="rId11611" Type="http://schemas.openxmlformats.org/officeDocument/2006/relationships/hyperlink" Target="https://www.immoscout24.ch/fr/appartement/acheter/quartier-altstetten-zurich" TargetMode="External"/><Relationship Id="rId11610" Type="http://schemas.openxmlformats.org/officeDocument/2006/relationships/hyperlink" Target="https://www.immoscout24.ch/fr/appartement/acheter/canton-argovie" TargetMode="External"/><Relationship Id="rId11617" Type="http://schemas.openxmlformats.org/officeDocument/2006/relationships/hyperlink" Target="https://www.immoscout24.ch/fr/maison/acheter/lieu-alle" TargetMode="External"/><Relationship Id="rId11616" Type="http://schemas.openxmlformats.org/officeDocument/2006/relationships/hyperlink" Target="https://www.immoscout24.ch/fr/appartement/louer/lieu-champagne" TargetMode="External"/><Relationship Id="rId11615" Type="http://schemas.openxmlformats.org/officeDocument/2006/relationships/hyperlink" Target="https://www.immoscout24.ch/fr/appartement/louer/lieu-champagne" TargetMode="External"/><Relationship Id="rId11614" Type="http://schemas.openxmlformats.org/officeDocument/2006/relationships/hyperlink" Target="https://www.immoscout24.ch/fr/appartement/louer/lieu-la-chaux-des-breuleux" TargetMode="External"/><Relationship Id="rId9210" Type="http://schemas.openxmlformats.org/officeDocument/2006/relationships/hyperlink" Target="https://www.immoscout24.ch/fr/appartement/louer/lieu-la-praz" TargetMode="External"/><Relationship Id="rId9211" Type="http://schemas.openxmlformats.org/officeDocument/2006/relationships/hyperlink" Target="https://www.immoscout24.ch/fr/maison/acheter/lieu-cottens-vd" TargetMode="External"/><Relationship Id="rId9212" Type="http://schemas.openxmlformats.org/officeDocument/2006/relationships/hyperlink" Target="https://www.immoscout24.ch/fr/maison/acheter/lieu-cottens-vd" TargetMode="External"/><Relationship Id="rId9217" Type="http://schemas.openxmlformats.org/officeDocument/2006/relationships/hyperlink" Target="https://www.immoscout24.ch/fr/appartement/louer/lieu-busswil-be" TargetMode="External"/><Relationship Id="rId9218" Type="http://schemas.openxmlformats.org/officeDocument/2006/relationships/hyperlink" Target="https://www.immoscout24.ch/fr/appartement/louer/lieu-busswil-be" TargetMode="External"/><Relationship Id="rId9219" Type="http://schemas.openxmlformats.org/officeDocument/2006/relationships/hyperlink" Target="https://www.immoscout24.ch/fr/maison/louer/lieu-dorenaz" TargetMode="External"/><Relationship Id="rId9213" Type="http://schemas.openxmlformats.org/officeDocument/2006/relationships/hyperlink" Target="https://www.immoscout24.ch/fr/appartement/acheter/lieu-echichens" TargetMode="External"/><Relationship Id="rId9214" Type="http://schemas.openxmlformats.org/officeDocument/2006/relationships/hyperlink" Target="https://www.immoscout24.ch/fr/appartement/acheter/lieu-echichens" TargetMode="External"/><Relationship Id="rId9215" Type="http://schemas.openxmlformats.org/officeDocument/2006/relationships/hyperlink" Target="https://www.immoscout24.ch/fr/maison/louer/region-seeland" TargetMode="External"/><Relationship Id="rId9216" Type="http://schemas.openxmlformats.org/officeDocument/2006/relationships/hyperlink" Target="https://www.immoscout24.ch/fr/maison/louer/region-seeland" TargetMode="External"/><Relationship Id="rId9200" Type="http://schemas.openxmlformats.org/officeDocument/2006/relationships/hyperlink" Target="https://www.immoscout24.ch/fr/appartement/acheter/lieu-malters" TargetMode="External"/><Relationship Id="rId9201" Type="http://schemas.openxmlformats.org/officeDocument/2006/relationships/hyperlink" Target="https://www.immoscout24.ch/fr/appartement/acheter/lieu-riddes" TargetMode="External"/><Relationship Id="rId9206" Type="http://schemas.openxmlformats.org/officeDocument/2006/relationships/hyperlink" Target="https://www.immoscout24.ch/fr/appartement/louer/lieu-liebistorf" TargetMode="External"/><Relationship Id="rId9207" Type="http://schemas.openxmlformats.org/officeDocument/2006/relationships/hyperlink" Target="https://www.immoscout24.ch/fr/appartement/louer/lieu-middes" TargetMode="External"/><Relationship Id="rId9208" Type="http://schemas.openxmlformats.org/officeDocument/2006/relationships/hyperlink" Target="https://www.immoscout24.ch/fr/appartement/louer/lieu-middes" TargetMode="External"/><Relationship Id="rId9209" Type="http://schemas.openxmlformats.org/officeDocument/2006/relationships/hyperlink" Target="https://www.immoscout24.ch/fr/appartement/louer/lieu-la-praz" TargetMode="External"/><Relationship Id="rId9202" Type="http://schemas.openxmlformats.org/officeDocument/2006/relationships/hyperlink" Target="https://www.immoscout24.ch/fr/appartement/acheter/lieu-riddes" TargetMode="External"/><Relationship Id="rId9203" Type="http://schemas.openxmlformats.org/officeDocument/2006/relationships/hyperlink" Target="https://www.immoscout24.ch/fr/maison/acheter/lieu-berlens" TargetMode="External"/><Relationship Id="rId9204" Type="http://schemas.openxmlformats.org/officeDocument/2006/relationships/hyperlink" Target="https://www.immoscout24.ch/fr/maison/acheter/lieu-berlens" TargetMode="External"/><Relationship Id="rId9205" Type="http://schemas.openxmlformats.org/officeDocument/2006/relationships/hyperlink" Target="https://www.immoscout24.ch/fr/appartement/louer/lieu-liebistorf" TargetMode="External"/><Relationship Id="rId9231" Type="http://schemas.openxmlformats.org/officeDocument/2006/relationships/hyperlink" Target="https://www.immoscout24.ch/fr/maison/acheter/lieu-romont-be" TargetMode="External"/><Relationship Id="rId9232" Type="http://schemas.openxmlformats.org/officeDocument/2006/relationships/hyperlink" Target="https://www.immoscout24.ch/fr/maison/acheter/lieu-romont-be" TargetMode="External"/><Relationship Id="rId9233" Type="http://schemas.openxmlformats.org/officeDocument/2006/relationships/hyperlink" Target="https://www.immoscout24.ch/fr/appartement/louer/lieu-kollbrunn" TargetMode="External"/><Relationship Id="rId9234" Type="http://schemas.openxmlformats.org/officeDocument/2006/relationships/hyperlink" Target="https://www.immoscout24.ch/fr/appartement/louer/lieu-kollbrunn" TargetMode="External"/><Relationship Id="rId9230" Type="http://schemas.openxmlformats.org/officeDocument/2006/relationships/hyperlink" Target="https://www.immoscout24.ch/fr/maison/acheter/lieu-chexbres" TargetMode="External"/><Relationship Id="rId9239" Type="http://schemas.openxmlformats.org/officeDocument/2006/relationships/hyperlink" Target="https://www.immoscout24.ch/fr/appartement/acheter/quartier-langstrasse-zurich" TargetMode="External"/><Relationship Id="rId9235" Type="http://schemas.openxmlformats.org/officeDocument/2006/relationships/hyperlink" Target="https://www.immoscout24.ch/fr/appartement/louer/lieu-kreuzlingen" TargetMode="External"/><Relationship Id="rId9236" Type="http://schemas.openxmlformats.org/officeDocument/2006/relationships/hyperlink" Target="https://www.immoscout24.ch/fr/appartement/louer/lieu-kreuzlingen" TargetMode="External"/><Relationship Id="rId9237" Type="http://schemas.openxmlformats.org/officeDocument/2006/relationships/hyperlink" Target="https://www.immoscout24.ch/fr/appartement/acheter/lieu-gossau-sg" TargetMode="External"/><Relationship Id="rId9238" Type="http://schemas.openxmlformats.org/officeDocument/2006/relationships/hyperlink" Target="https://www.immoscout24.ch/fr/appartement/acheter/lieu-gossau-sg" TargetMode="External"/><Relationship Id="rId9220" Type="http://schemas.openxmlformats.org/officeDocument/2006/relationships/hyperlink" Target="https://www.immoscout24.ch/fr/maison/louer/lieu-dorenaz" TargetMode="External"/><Relationship Id="rId9221" Type="http://schemas.openxmlformats.org/officeDocument/2006/relationships/hyperlink" Target="https://www.immoscout24.ch/fr/appartement/acheter/lieu-oberwald" TargetMode="External"/><Relationship Id="rId9222" Type="http://schemas.openxmlformats.org/officeDocument/2006/relationships/hyperlink" Target="https://www.immoscout24.ch/fr/appartement/acheter/lieu-oberwald" TargetMode="External"/><Relationship Id="rId9223" Type="http://schemas.openxmlformats.org/officeDocument/2006/relationships/hyperlink" Target="https://www.immoscout24.ch/fr/maison/acheter/region-bas-valais" TargetMode="External"/><Relationship Id="rId9228" Type="http://schemas.openxmlformats.org/officeDocument/2006/relationships/hyperlink" Target="https://www.immoscout24.ch/fr/appartement/louer/lieu-villarlod" TargetMode="External"/><Relationship Id="rId9229" Type="http://schemas.openxmlformats.org/officeDocument/2006/relationships/hyperlink" Target="https://www.immoscout24.ch/fr/maison/acheter/lieu-chexbres" TargetMode="External"/><Relationship Id="rId9224" Type="http://schemas.openxmlformats.org/officeDocument/2006/relationships/hyperlink" Target="https://www.immoscout24.ch/fr/maison/acheter/region-bas-valais" TargetMode="External"/><Relationship Id="rId9225" Type="http://schemas.openxmlformats.org/officeDocument/2006/relationships/hyperlink" Target="https://www.immoscout24.ch/fr/appartement/acheter/lieu-stabio" TargetMode="External"/><Relationship Id="rId9226" Type="http://schemas.openxmlformats.org/officeDocument/2006/relationships/hyperlink" Target="https://www.immoscout24.ch/fr/appartement/acheter/lieu-stabio" TargetMode="External"/><Relationship Id="rId9227" Type="http://schemas.openxmlformats.org/officeDocument/2006/relationships/hyperlink" Target="https://www.immoscout24.ch/fr/appartement/louer/lieu-villarlod" TargetMode="External"/><Relationship Id="rId9297" Type="http://schemas.openxmlformats.org/officeDocument/2006/relationships/hyperlink" Target="https://www.immoscout24.ch/fr/appartement/louer/lieu-versegeres" TargetMode="External"/><Relationship Id="rId9298" Type="http://schemas.openxmlformats.org/officeDocument/2006/relationships/hyperlink" Target="https://www.immoscout24.ch/fr/appartement/louer/lieu-versegeres" TargetMode="External"/><Relationship Id="rId9299" Type="http://schemas.openxmlformats.org/officeDocument/2006/relationships/hyperlink" Target="https://www.immoscout24.ch/fr/maison/acheter/lieu-emmetten" TargetMode="External"/><Relationship Id="rId9293" Type="http://schemas.openxmlformats.org/officeDocument/2006/relationships/hyperlink" Target="https://www.immoscout24.ch/fr/maison/acheter/lieu-scheuren" TargetMode="External"/><Relationship Id="rId9294" Type="http://schemas.openxmlformats.org/officeDocument/2006/relationships/hyperlink" Target="https://www.immoscout24.ch/fr/maison/acheter/lieu-scheuren" TargetMode="External"/><Relationship Id="rId9295" Type="http://schemas.openxmlformats.org/officeDocument/2006/relationships/hyperlink" Target="https://www.immoscout24.ch/fr/maison/acheter/lieu-maggia" TargetMode="External"/><Relationship Id="rId9296" Type="http://schemas.openxmlformats.org/officeDocument/2006/relationships/hyperlink" Target="https://www.immoscout24.ch/fr/maison/acheter/lieu-maggia" TargetMode="External"/><Relationship Id="rId9290" Type="http://schemas.openxmlformats.org/officeDocument/2006/relationships/hyperlink" Target="https://www.immoscout24.ch/fr/maison/louer/lieu-chandolin" TargetMode="External"/><Relationship Id="rId9291" Type="http://schemas.openxmlformats.org/officeDocument/2006/relationships/hyperlink" Target="https://www.immoscout24.ch/fr/maison/louer/lieu-commugny" TargetMode="External"/><Relationship Id="rId9292" Type="http://schemas.openxmlformats.org/officeDocument/2006/relationships/hyperlink" Target="https://www.immoscout24.ch/fr/maison/louer/lieu-commugny" TargetMode="External"/><Relationship Id="rId9286" Type="http://schemas.openxmlformats.org/officeDocument/2006/relationships/hyperlink" Target="https://www.immoscout24.ch/fr/appartement/louer/canton-fribourg" TargetMode="External"/><Relationship Id="rId9287" Type="http://schemas.openxmlformats.org/officeDocument/2006/relationships/hyperlink" Target="https://www.immoscout24.ch/fr/maison/acheter/lieu-villa-evolene" TargetMode="External"/><Relationship Id="rId9288" Type="http://schemas.openxmlformats.org/officeDocument/2006/relationships/hyperlink" Target="https://www.immoscout24.ch/fr/maison/acheter/lieu-villa-evolene" TargetMode="External"/><Relationship Id="rId9289" Type="http://schemas.openxmlformats.org/officeDocument/2006/relationships/hyperlink" Target="https://www.immoscout24.ch/fr/maison/louer/lieu-chandolin" TargetMode="External"/><Relationship Id="rId9282" Type="http://schemas.openxmlformats.org/officeDocument/2006/relationships/hyperlink" Target="https://www.immoscout24.ch/fr/appartement/louer/lieu-boswil" TargetMode="External"/><Relationship Id="rId9283" Type="http://schemas.openxmlformats.org/officeDocument/2006/relationships/hyperlink" Target="https://www.immoscout24.ch/fr/appartement/louer/lieu-montfaucon" TargetMode="External"/><Relationship Id="rId9284" Type="http://schemas.openxmlformats.org/officeDocument/2006/relationships/hyperlink" Target="https://www.immoscout24.ch/fr/appartement/louer/lieu-montfaucon" TargetMode="External"/><Relationship Id="rId9285" Type="http://schemas.openxmlformats.org/officeDocument/2006/relationships/hyperlink" Target="https://www.immoscout24.ch/fr/appartement/louer/canton-fribourg" TargetMode="External"/><Relationship Id="rId10394" Type="http://schemas.openxmlformats.org/officeDocument/2006/relationships/hyperlink" Target="https://www.immoscout24.ch/fr/appartement/acheter/lieu-studen-be" TargetMode="External"/><Relationship Id="rId10395" Type="http://schemas.openxmlformats.org/officeDocument/2006/relationships/hyperlink" Target="https://www.immoscout24.ch/fr/maison/louer/lieu-evilard" TargetMode="External"/><Relationship Id="rId10392" Type="http://schemas.openxmlformats.org/officeDocument/2006/relationships/hyperlink" Target="https://www.immoscout24.ch/fr/maison/acheter/lieu-seon" TargetMode="External"/><Relationship Id="rId10393" Type="http://schemas.openxmlformats.org/officeDocument/2006/relationships/hyperlink" Target="https://www.immoscout24.ch/fr/appartement/acheter/lieu-studen-be" TargetMode="External"/><Relationship Id="rId10398" Type="http://schemas.openxmlformats.org/officeDocument/2006/relationships/hyperlink" Target="https://www.immoscout24.ch/fr/appartement/acheter/lieu-aubonne" TargetMode="External"/><Relationship Id="rId10399" Type="http://schemas.openxmlformats.org/officeDocument/2006/relationships/hyperlink" Target="https://www.immoscout24.ch/fr/appartement/louer/lieu-orzens" TargetMode="External"/><Relationship Id="rId10396" Type="http://schemas.openxmlformats.org/officeDocument/2006/relationships/hyperlink" Target="https://www.immoscout24.ch/fr/maison/louer/lieu-evilard" TargetMode="External"/><Relationship Id="rId10397" Type="http://schemas.openxmlformats.org/officeDocument/2006/relationships/hyperlink" Target="https://www.immoscout24.ch/fr/appartement/acheter/lieu-aubonne" TargetMode="External"/><Relationship Id="rId9253" Type="http://schemas.openxmlformats.org/officeDocument/2006/relationships/hyperlink" Target="https://www.immoscout24.ch/fr/maison/acheter/lieu-villars-sur-glane" TargetMode="External"/><Relationship Id="rId9254" Type="http://schemas.openxmlformats.org/officeDocument/2006/relationships/hyperlink" Target="https://www.immoscout24.ch/fr/maison/acheter/lieu-villars-sur-glane" TargetMode="External"/><Relationship Id="rId9255" Type="http://schemas.openxmlformats.org/officeDocument/2006/relationships/hyperlink" Target="https://www.immoscout24.ch/fr/appartement/louer/lieu-villigen" TargetMode="External"/><Relationship Id="rId9256" Type="http://schemas.openxmlformats.org/officeDocument/2006/relationships/hyperlink" Target="https://www.immoscout24.ch/fr/appartement/louer/lieu-villigen" TargetMode="External"/><Relationship Id="rId9250" Type="http://schemas.openxmlformats.org/officeDocument/2006/relationships/hyperlink" Target="https://www.immoscout24.ch/fr/maison/acheter/lieu-s-antonino" TargetMode="External"/><Relationship Id="rId9251" Type="http://schemas.openxmlformats.org/officeDocument/2006/relationships/hyperlink" Target="https://www.immoscout24.ch/fr/maison/louer/canton-lucerne" TargetMode="External"/><Relationship Id="rId9252" Type="http://schemas.openxmlformats.org/officeDocument/2006/relationships/hyperlink" Target="https://www.immoscout24.ch/fr/maison/louer/canton-lucerne" TargetMode="External"/><Relationship Id="rId9257" Type="http://schemas.openxmlformats.org/officeDocument/2006/relationships/hyperlink" Target="https://www.immoscout24.ch/fr/maison/acheter/lieu-nax" TargetMode="External"/><Relationship Id="rId9258" Type="http://schemas.openxmlformats.org/officeDocument/2006/relationships/hyperlink" Target="https://www.immoscout24.ch/fr/maison/acheter/lieu-nax" TargetMode="External"/><Relationship Id="rId9259" Type="http://schemas.openxmlformats.org/officeDocument/2006/relationships/hyperlink" Target="https://www.immoscout24.ch/fr/appartement/acheter/lieu-davos-dorf" TargetMode="External"/><Relationship Id="rId9242" Type="http://schemas.openxmlformats.org/officeDocument/2006/relationships/hyperlink" Target="https://www.immoscout24.ch/fr/appartement/louer/lieu-belmont-sur-yverdon" TargetMode="External"/><Relationship Id="rId9243" Type="http://schemas.openxmlformats.org/officeDocument/2006/relationships/hyperlink" Target="https://www.immoscout24.ch/fr/appartement/acheter/lieu-cugy-vd" TargetMode="External"/><Relationship Id="rId9244" Type="http://schemas.openxmlformats.org/officeDocument/2006/relationships/hyperlink" Target="https://www.immoscout24.ch/fr/appartement/acheter/lieu-cugy-vd" TargetMode="External"/><Relationship Id="rId9245" Type="http://schemas.openxmlformats.org/officeDocument/2006/relationships/hyperlink" Target="https://www.immoscout24.ch/fr/appartement/acheter/lieu-crissier" TargetMode="External"/><Relationship Id="rId9240" Type="http://schemas.openxmlformats.org/officeDocument/2006/relationships/hyperlink" Target="https://www.immoscout24.ch/fr/appartement/acheter/quartier-langstrasse-zurich" TargetMode="External"/><Relationship Id="rId9241" Type="http://schemas.openxmlformats.org/officeDocument/2006/relationships/hyperlink" Target="https://www.immoscout24.ch/fr/appartement/louer/lieu-belmont-sur-yverdon" TargetMode="External"/><Relationship Id="rId9246" Type="http://schemas.openxmlformats.org/officeDocument/2006/relationships/hyperlink" Target="https://www.immoscout24.ch/fr/appartement/acheter/lieu-crissier" TargetMode="External"/><Relationship Id="rId9247" Type="http://schemas.openxmlformats.org/officeDocument/2006/relationships/hyperlink" Target="https://www.immoscout24.ch/fr/maison/acheter/lieu-vogorno" TargetMode="External"/><Relationship Id="rId9248" Type="http://schemas.openxmlformats.org/officeDocument/2006/relationships/hyperlink" Target="https://www.immoscout24.ch/fr/maison/acheter/lieu-vogorno" TargetMode="External"/><Relationship Id="rId9249" Type="http://schemas.openxmlformats.org/officeDocument/2006/relationships/hyperlink" Target="https://www.immoscout24.ch/fr/maison/acheter/lieu-s-antonino" TargetMode="External"/><Relationship Id="rId9280" Type="http://schemas.openxmlformats.org/officeDocument/2006/relationships/hyperlink" Target="https://www.immoscout24.ch/fr/appartement/acheter/lieu-bottens" TargetMode="External"/><Relationship Id="rId9281" Type="http://schemas.openxmlformats.org/officeDocument/2006/relationships/hyperlink" Target="https://www.immoscout24.ch/fr/appartement/louer/lieu-boswil" TargetMode="External"/><Relationship Id="rId9275" Type="http://schemas.openxmlformats.org/officeDocument/2006/relationships/hyperlink" Target="https://www.immoscout24.ch/fr/appartement/louer/lieu-subingen" TargetMode="External"/><Relationship Id="rId9276" Type="http://schemas.openxmlformats.org/officeDocument/2006/relationships/hyperlink" Target="https://www.immoscout24.ch/fr/appartement/louer/lieu-subingen" TargetMode="External"/><Relationship Id="rId9277" Type="http://schemas.openxmlformats.org/officeDocument/2006/relationships/hyperlink" Target="https://www.immoscout24.ch/fr/appartement/louer/lieu-wattenwil" TargetMode="External"/><Relationship Id="rId9278" Type="http://schemas.openxmlformats.org/officeDocument/2006/relationships/hyperlink" Target="https://www.immoscout24.ch/fr/appartement/louer/lieu-wattenwil" TargetMode="External"/><Relationship Id="rId9271" Type="http://schemas.openxmlformats.org/officeDocument/2006/relationships/hyperlink" Target="https://www.immoscout24.ch/fr/maison/acheter/lieu-engelberg" TargetMode="External"/><Relationship Id="rId9272" Type="http://schemas.openxmlformats.org/officeDocument/2006/relationships/hyperlink" Target="https://www.immoscout24.ch/fr/maison/acheter/lieu-engelberg" TargetMode="External"/><Relationship Id="rId9273" Type="http://schemas.openxmlformats.org/officeDocument/2006/relationships/hyperlink" Target="https://www.immoscout24.ch/fr/maison/louer/lieu-balsthal" TargetMode="External"/><Relationship Id="rId9274" Type="http://schemas.openxmlformats.org/officeDocument/2006/relationships/hyperlink" Target="https://www.immoscout24.ch/fr/maison/louer/lieu-balsthal" TargetMode="External"/><Relationship Id="rId9279" Type="http://schemas.openxmlformats.org/officeDocument/2006/relationships/hyperlink" Target="https://www.immoscout24.ch/fr/appartement/acheter/lieu-bottens" TargetMode="External"/><Relationship Id="rId9270" Type="http://schemas.openxmlformats.org/officeDocument/2006/relationships/hyperlink" Target="https://www.immoscout24.ch/fr/maison/acheter/lieu-personico" TargetMode="External"/><Relationship Id="rId9264" Type="http://schemas.openxmlformats.org/officeDocument/2006/relationships/hyperlink" Target="https://www.immoscout24.ch/fr/appartement/louer/lieu-uster" TargetMode="External"/><Relationship Id="rId9265" Type="http://schemas.openxmlformats.org/officeDocument/2006/relationships/hyperlink" Target="https://www.immoscout24.ch/fr/appartement/louer/lieu-weiach" TargetMode="External"/><Relationship Id="rId9266" Type="http://schemas.openxmlformats.org/officeDocument/2006/relationships/hyperlink" Target="https://www.immoscout24.ch/fr/appartement/louer/lieu-weiach" TargetMode="External"/><Relationship Id="rId9267" Type="http://schemas.openxmlformats.org/officeDocument/2006/relationships/hyperlink" Target="https://www.immoscout24.ch/fr/appartement/louer/quartier-gruben-schaffhouse" TargetMode="External"/><Relationship Id="rId9260" Type="http://schemas.openxmlformats.org/officeDocument/2006/relationships/hyperlink" Target="https://www.immoscout24.ch/fr/appartement/acheter/lieu-davos-dorf" TargetMode="External"/><Relationship Id="rId9261" Type="http://schemas.openxmlformats.org/officeDocument/2006/relationships/hyperlink" Target="https://www.immoscout24.ch/fr/appartement/acheter/lieu-brignon-nendaz" TargetMode="External"/><Relationship Id="rId9262" Type="http://schemas.openxmlformats.org/officeDocument/2006/relationships/hyperlink" Target="https://www.immoscout24.ch/fr/appartement/acheter/lieu-brignon-nendaz" TargetMode="External"/><Relationship Id="rId9263" Type="http://schemas.openxmlformats.org/officeDocument/2006/relationships/hyperlink" Target="https://www.immoscout24.ch/fr/appartement/louer/lieu-uster" TargetMode="External"/><Relationship Id="rId9268" Type="http://schemas.openxmlformats.org/officeDocument/2006/relationships/hyperlink" Target="https://www.immoscout24.ch/fr/appartement/louer/quartier-gruben-schaffhouse" TargetMode="External"/><Relationship Id="rId9269" Type="http://schemas.openxmlformats.org/officeDocument/2006/relationships/hyperlink" Target="https://www.immoscout24.ch/fr/maison/acheter/lieu-personico" TargetMode="External"/><Relationship Id="rId10336" Type="http://schemas.openxmlformats.org/officeDocument/2006/relationships/hyperlink" Target="https://www.immoscout24.ch/fr/appartement/louer/lieu-vaux-sur-morges" TargetMode="External"/><Relationship Id="rId11668" Type="http://schemas.openxmlformats.org/officeDocument/2006/relationships/hyperlink" Target="https://www.immoscout24.ch/fr/maison/louer/lieu-bournens" TargetMode="External"/><Relationship Id="rId10337" Type="http://schemas.openxmlformats.org/officeDocument/2006/relationships/hyperlink" Target="https://www.immoscout24.ch/fr/maison/acheter/lieu-russin" TargetMode="External"/><Relationship Id="rId11667" Type="http://schemas.openxmlformats.org/officeDocument/2006/relationships/hyperlink" Target="https://www.immoscout24.ch/fr/maison/louer/lieu-bournens" TargetMode="External"/><Relationship Id="rId10334" Type="http://schemas.openxmlformats.org/officeDocument/2006/relationships/hyperlink" Target="https://www.immoscout24.ch/fr/appartement/acheter/lieu-rheinau" TargetMode="External"/><Relationship Id="rId11666" Type="http://schemas.openxmlformats.org/officeDocument/2006/relationships/hyperlink" Target="https://www.immoscout24.ch/fr/appartement/louer/lieu-epauvillers" TargetMode="External"/><Relationship Id="rId10335" Type="http://schemas.openxmlformats.org/officeDocument/2006/relationships/hyperlink" Target="https://www.immoscout24.ch/fr/appartement/louer/lieu-vaux-sur-morges" TargetMode="External"/><Relationship Id="rId11665" Type="http://schemas.openxmlformats.org/officeDocument/2006/relationships/hyperlink" Target="https://www.immoscout24.ch/fr/appartement/louer/lieu-epauvillers" TargetMode="External"/><Relationship Id="rId10338" Type="http://schemas.openxmlformats.org/officeDocument/2006/relationships/hyperlink" Target="https://www.immoscout24.ch/fr/maison/acheter/lieu-russin" TargetMode="External"/><Relationship Id="rId10339" Type="http://schemas.openxmlformats.org/officeDocument/2006/relationships/hyperlink" Target="https://www.immoscout24.ch/fr/appartement/louer/lieu-prevonloup" TargetMode="External"/><Relationship Id="rId11669" Type="http://schemas.openxmlformats.org/officeDocument/2006/relationships/hyperlink" Target="https://www.immoscout24.ch/fr/appartement/louer/lieu-daillens" TargetMode="External"/><Relationship Id="rId11660" Type="http://schemas.openxmlformats.org/officeDocument/2006/relationships/hyperlink" Target="https://www.immoscout24.ch/fr/maison/acheter/lieu-chandon" TargetMode="External"/><Relationship Id="rId10332" Type="http://schemas.openxmlformats.org/officeDocument/2006/relationships/hyperlink" Target="https://www.immoscout24.ch/fr/appartement/acheter/lieu-buesingen" TargetMode="External"/><Relationship Id="rId11664" Type="http://schemas.openxmlformats.org/officeDocument/2006/relationships/hyperlink" Target="https://www.immoscout24.ch/fr/maison/louer/lieu-la-tour-de-peilz" TargetMode="External"/><Relationship Id="rId10333" Type="http://schemas.openxmlformats.org/officeDocument/2006/relationships/hyperlink" Target="https://www.immoscout24.ch/fr/appartement/acheter/lieu-rheinau" TargetMode="External"/><Relationship Id="rId11663" Type="http://schemas.openxmlformats.org/officeDocument/2006/relationships/hyperlink" Target="https://www.immoscout24.ch/fr/maison/louer/lieu-la-tour-de-peilz" TargetMode="External"/><Relationship Id="rId10330" Type="http://schemas.openxmlformats.org/officeDocument/2006/relationships/hyperlink" Target="https://www.immoscout24.ch/fr/appartement/acheter/canton-obwald" TargetMode="External"/><Relationship Id="rId11662" Type="http://schemas.openxmlformats.org/officeDocument/2006/relationships/hyperlink" Target="https://www.immoscout24.ch/fr/maison/acheter/lieu-villars-ste-croix" TargetMode="External"/><Relationship Id="rId10331" Type="http://schemas.openxmlformats.org/officeDocument/2006/relationships/hyperlink" Target="https://www.immoscout24.ch/fr/appartement/acheter/lieu-buesingen" TargetMode="External"/><Relationship Id="rId11661" Type="http://schemas.openxmlformats.org/officeDocument/2006/relationships/hyperlink" Target="https://www.immoscout24.ch/fr/maison/acheter/lieu-villars-ste-croix" TargetMode="External"/><Relationship Id="rId10347" Type="http://schemas.openxmlformats.org/officeDocument/2006/relationships/hyperlink" Target="https://www.immoscout24.ch/fr/appartement/acheter/lieu-granges-paccot" TargetMode="External"/><Relationship Id="rId11679" Type="http://schemas.openxmlformats.org/officeDocument/2006/relationships/hyperlink" Target="https://www.immoscout24.ch/fr/appartement/louer/lieu-chavannes-le-chene" TargetMode="External"/><Relationship Id="rId10348" Type="http://schemas.openxmlformats.org/officeDocument/2006/relationships/hyperlink" Target="https://www.immoscout24.ch/fr/appartement/acheter/lieu-granges-paccot" TargetMode="External"/><Relationship Id="rId11678" Type="http://schemas.openxmlformats.org/officeDocument/2006/relationships/hyperlink" Target="https://www.immoscout24.ch/fr/appartement/acheter/lieu-schwadernau" TargetMode="External"/><Relationship Id="rId10345" Type="http://schemas.openxmlformats.org/officeDocument/2006/relationships/hyperlink" Target="https://www.immoscout24.ch/fr/maison/acheter/lieu-mezieres-vd" TargetMode="External"/><Relationship Id="rId11677" Type="http://schemas.openxmlformats.org/officeDocument/2006/relationships/hyperlink" Target="https://www.immoscout24.ch/fr/appartement/acheter/lieu-schwadernau" TargetMode="External"/><Relationship Id="rId10346" Type="http://schemas.openxmlformats.org/officeDocument/2006/relationships/hyperlink" Target="https://www.immoscout24.ch/fr/maison/acheter/lieu-mezieres-vd" TargetMode="External"/><Relationship Id="rId11676" Type="http://schemas.openxmlformats.org/officeDocument/2006/relationships/hyperlink" Target="https://www.immoscout24.ch/fr/maison/louer/lieu-autafond" TargetMode="External"/><Relationship Id="rId10349" Type="http://schemas.openxmlformats.org/officeDocument/2006/relationships/hyperlink" Target="https://www.immoscout24.ch/fr/appartement/louer/lieu-ruemlang" TargetMode="External"/><Relationship Id="rId11671" Type="http://schemas.openxmlformats.org/officeDocument/2006/relationships/hyperlink" Target="https://www.immoscout24.ch/fr/maison/acheter/emplacement-actuel" TargetMode="External"/><Relationship Id="rId10340" Type="http://schemas.openxmlformats.org/officeDocument/2006/relationships/hyperlink" Target="https://www.immoscout24.ch/fr/appartement/louer/lieu-prevonloup" TargetMode="External"/><Relationship Id="rId11670" Type="http://schemas.openxmlformats.org/officeDocument/2006/relationships/hyperlink" Target="https://www.immoscout24.ch/fr/appartement/louer/lieu-daillens" TargetMode="External"/><Relationship Id="rId10343" Type="http://schemas.openxmlformats.org/officeDocument/2006/relationships/hyperlink" Target="https://www.immoscout24.ch/fr/appartement/acheter/quartier-alpes-neuchatel" TargetMode="External"/><Relationship Id="rId11675" Type="http://schemas.openxmlformats.org/officeDocument/2006/relationships/hyperlink" Target="https://www.immoscout24.ch/fr/maison/louer/lieu-autafond" TargetMode="External"/><Relationship Id="rId10344" Type="http://schemas.openxmlformats.org/officeDocument/2006/relationships/hyperlink" Target="https://www.immoscout24.ch/fr/appartement/acheter/quartier-alpes-neuchatel" TargetMode="External"/><Relationship Id="rId11674" Type="http://schemas.openxmlformats.org/officeDocument/2006/relationships/hyperlink" Target="https://www.immoscout24.ch/fr/appartement/louer/secteur-kreis-3" TargetMode="External"/><Relationship Id="rId10341" Type="http://schemas.openxmlformats.org/officeDocument/2006/relationships/hyperlink" Target="https://www.immoscout24.ch/fr/appartement/louer/region-zuercher-unterland" TargetMode="External"/><Relationship Id="rId11673" Type="http://schemas.openxmlformats.org/officeDocument/2006/relationships/hyperlink" Target="https://www.immoscout24.ch/fr/appartement/louer/secteur-kreis-3" TargetMode="External"/><Relationship Id="rId10342" Type="http://schemas.openxmlformats.org/officeDocument/2006/relationships/hyperlink" Target="https://www.immoscout24.ch/fr/appartement/louer/region-zuercher-unterland" TargetMode="External"/><Relationship Id="rId11672" Type="http://schemas.openxmlformats.org/officeDocument/2006/relationships/hyperlink" Target="https://www.immoscout24.ch/fr/maison/acheter/emplacement-actuel" TargetMode="External"/><Relationship Id="rId10314" Type="http://schemas.openxmlformats.org/officeDocument/2006/relationships/hyperlink" Target="https://www.immoscout24.ch/fr/appartement/acheter/lieu-schwarzsee" TargetMode="External"/><Relationship Id="rId11646" Type="http://schemas.openxmlformats.org/officeDocument/2006/relationships/hyperlink" Target="https://www.immoscout24.ch/fr/maison/acheter/lieu-mayens-de-chamoson" TargetMode="External"/><Relationship Id="rId10315" Type="http://schemas.openxmlformats.org/officeDocument/2006/relationships/hyperlink" Target="https://www.immoscout24.ch/fr/appartement/louer/quartier-westquartier-thun" TargetMode="External"/><Relationship Id="rId11645" Type="http://schemas.openxmlformats.org/officeDocument/2006/relationships/hyperlink" Target="https://www.immoscout24.ch/fr/maison/acheter/lieu-mayens-de-chamoson" TargetMode="External"/><Relationship Id="rId10312" Type="http://schemas.openxmlformats.org/officeDocument/2006/relationships/hyperlink" Target="https://www.immoscout24.ch/fr/appartement/louer/lieu-borex" TargetMode="External"/><Relationship Id="rId11644" Type="http://schemas.openxmlformats.org/officeDocument/2006/relationships/hyperlink" Target="https://www.immoscout24.ch/fr/appartement/louer/lieu-vauderens" TargetMode="External"/><Relationship Id="rId10313" Type="http://schemas.openxmlformats.org/officeDocument/2006/relationships/hyperlink" Target="https://www.immoscout24.ch/fr/appartement/acheter/lieu-schwarzsee" TargetMode="External"/><Relationship Id="rId11643" Type="http://schemas.openxmlformats.org/officeDocument/2006/relationships/hyperlink" Target="https://www.immoscout24.ch/fr/appartement/louer/lieu-vauderens" TargetMode="External"/><Relationship Id="rId10318" Type="http://schemas.openxmlformats.org/officeDocument/2006/relationships/hyperlink" Target="https://www.immoscout24.ch/fr/appartement/louer/lieu-st-saphorin-sur-morges" TargetMode="External"/><Relationship Id="rId10319" Type="http://schemas.openxmlformats.org/officeDocument/2006/relationships/hyperlink" Target="https://www.immoscout24.ch/fr/appartement/acheter/lieu-savosa" TargetMode="External"/><Relationship Id="rId11649" Type="http://schemas.openxmlformats.org/officeDocument/2006/relationships/hyperlink" Target="https://www.immoscout24.ch/fr/appartement/louer/lieu-court" TargetMode="External"/><Relationship Id="rId10316" Type="http://schemas.openxmlformats.org/officeDocument/2006/relationships/hyperlink" Target="https://www.immoscout24.ch/fr/appartement/louer/quartier-westquartier-thun" TargetMode="External"/><Relationship Id="rId11648" Type="http://schemas.openxmlformats.org/officeDocument/2006/relationships/hyperlink" Target="https://www.immoscout24.ch/fr/maison/acheter/lieu-maisprach" TargetMode="External"/><Relationship Id="rId10317" Type="http://schemas.openxmlformats.org/officeDocument/2006/relationships/hyperlink" Target="https://www.immoscout24.ch/fr/appartement/louer/lieu-st-saphorin-sur-morges" TargetMode="External"/><Relationship Id="rId11647" Type="http://schemas.openxmlformats.org/officeDocument/2006/relationships/hyperlink" Target="https://www.immoscout24.ch/fr/maison/acheter/lieu-maisprach" TargetMode="External"/><Relationship Id="rId10310" Type="http://schemas.openxmlformats.org/officeDocument/2006/relationships/hyperlink" Target="https://www.immoscout24.ch/fr/maison/acheter/lieu-cevio" TargetMode="External"/><Relationship Id="rId11642" Type="http://schemas.openxmlformats.org/officeDocument/2006/relationships/hyperlink" Target="https://www.immoscout24.ch/fr/appartement/louer/lieu-duernten" TargetMode="External"/><Relationship Id="rId10311" Type="http://schemas.openxmlformats.org/officeDocument/2006/relationships/hyperlink" Target="https://www.immoscout24.ch/fr/appartement/louer/lieu-borex" TargetMode="External"/><Relationship Id="rId11641" Type="http://schemas.openxmlformats.org/officeDocument/2006/relationships/hyperlink" Target="https://www.immoscout24.ch/fr/appartement/louer/lieu-duernten" TargetMode="External"/><Relationship Id="rId11640" Type="http://schemas.openxmlformats.org/officeDocument/2006/relationships/hyperlink" Target="https://www.immoscout24.ch/fr/appartement/louer/lieu-regensdorf" TargetMode="External"/><Relationship Id="rId10325" Type="http://schemas.openxmlformats.org/officeDocument/2006/relationships/hyperlink" Target="https://www.immoscout24.ch/fr/maison/louer/lieu-cheyres" TargetMode="External"/><Relationship Id="rId11657" Type="http://schemas.openxmlformats.org/officeDocument/2006/relationships/hyperlink" Target="https://www.immoscout24.ch/fr/maison/acheter/lieu-montagny-pres-yverdon" TargetMode="External"/><Relationship Id="rId10326" Type="http://schemas.openxmlformats.org/officeDocument/2006/relationships/hyperlink" Target="https://www.immoscout24.ch/fr/maison/louer/lieu-cheyres" TargetMode="External"/><Relationship Id="rId11656" Type="http://schemas.openxmlformats.org/officeDocument/2006/relationships/hyperlink" Target="https://www.immoscout24.ch/fr/maison/acheter/lieu-bressaucourt" TargetMode="External"/><Relationship Id="rId10323" Type="http://schemas.openxmlformats.org/officeDocument/2006/relationships/hyperlink" Target="https://www.immoscout24.ch/fr/appartement/louer/lieu-freienbach" TargetMode="External"/><Relationship Id="rId11655" Type="http://schemas.openxmlformats.org/officeDocument/2006/relationships/hyperlink" Target="https://www.immoscout24.ch/fr/maison/acheter/lieu-bressaucourt" TargetMode="External"/><Relationship Id="rId10324" Type="http://schemas.openxmlformats.org/officeDocument/2006/relationships/hyperlink" Target="https://www.immoscout24.ch/fr/appartement/louer/lieu-freienbach" TargetMode="External"/><Relationship Id="rId11654" Type="http://schemas.openxmlformats.org/officeDocument/2006/relationships/hyperlink" Target="https://www.immoscout24.ch/fr/appartement/acheter/region-knonaueramt" TargetMode="External"/><Relationship Id="rId10329" Type="http://schemas.openxmlformats.org/officeDocument/2006/relationships/hyperlink" Target="https://www.immoscout24.ch/fr/appartement/acheter/canton-obwald" TargetMode="External"/><Relationship Id="rId10327" Type="http://schemas.openxmlformats.org/officeDocument/2006/relationships/hyperlink" Target="https://www.immoscout24.ch/fr/appartement/acheter/lieu-frick" TargetMode="External"/><Relationship Id="rId11659" Type="http://schemas.openxmlformats.org/officeDocument/2006/relationships/hyperlink" Target="https://www.immoscout24.ch/fr/maison/acheter/lieu-chandon" TargetMode="External"/><Relationship Id="rId10328" Type="http://schemas.openxmlformats.org/officeDocument/2006/relationships/hyperlink" Target="https://www.immoscout24.ch/fr/appartement/acheter/lieu-frick" TargetMode="External"/><Relationship Id="rId11658" Type="http://schemas.openxmlformats.org/officeDocument/2006/relationships/hyperlink" Target="https://www.immoscout24.ch/fr/maison/acheter/lieu-montagny-pres-yverdon" TargetMode="External"/><Relationship Id="rId10321" Type="http://schemas.openxmlformats.org/officeDocument/2006/relationships/hyperlink" Target="https://www.immoscout24.ch/fr/appartement/acheter/lieu-la-chaux-cossonay" TargetMode="External"/><Relationship Id="rId11653" Type="http://schemas.openxmlformats.org/officeDocument/2006/relationships/hyperlink" Target="https://www.immoscout24.ch/fr/appartement/acheter/region-knonaueramt" TargetMode="External"/><Relationship Id="rId10322" Type="http://schemas.openxmlformats.org/officeDocument/2006/relationships/hyperlink" Target="https://www.immoscout24.ch/fr/appartement/acheter/lieu-la-chaux-cossonay" TargetMode="External"/><Relationship Id="rId11652" Type="http://schemas.openxmlformats.org/officeDocument/2006/relationships/hyperlink" Target="https://www.immoscout24.ch/fr/maison/acheter/lieu-elsau" TargetMode="External"/><Relationship Id="rId11651" Type="http://schemas.openxmlformats.org/officeDocument/2006/relationships/hyperlink" Target="https://www.immoscout24.ch/fr/maison/acheter/lieu-elsau" TargetMode="External"/><Relationship Id="rId10320" Type="http://schemas.openxmlformats.org/officeDocument/2006/relationships/hyperlink" Target="https://www.immoscout24.ch/fr/appartement/acheter/lieu-savosa" TargetMode="External"/><Relationship Id="rId11650" Type="http://schemas.openxmlformats.org/officeDocument/2006/relationships/hyperlink" Target="https://www.immoscout24.ch/fr/appartement/louer/lieu-court" TargetMode="External"/><Relationship Id="rId10380" Type="http://schemas.openxmlformats.org/officeDocument/2006/relationships/hyperlink" Target="https://www.immoscout24.ch/fr/maison/acheter/lieu-laupen-be" TargetMode="External"/><Relationship Id="rId10378" Type="http://schemas.openxmlformats.org/officeDocument/2006/relationships/hyperlink" Target="https://www.immoscout24.ch/fr/appartement/acheter/lieu-s-antonino" TargetMode="External"/><Relationship Id="rId10379" Type="http://schemas.openxmlformats.org/officeDocument/2006/relationships/hyperlink" Target="https://www.immoscout24.ch/fr/maison/acheter/lieu-laupen-be" TargetMode="External"/><Relationship Id="rId10372" Type="http://schemas.openxmlformats.org/officeDocument/2006/relationships/hyperlink" Target="https://www.immoscout24.ch/fr/maison/louer/lieu-champery" TargetMode="External"/><Relationship Id="rId10373" Type="http://schemas.openxmlformats.org/officeDocument/2006/relationships/hyperlink" Target="https://www.immoscout24.ch/fr/appartement/acheter/lieu-rennaz" TargetMode="External"/><Relationship Id="rId10370" Type="http://schemas.openxmlformats.org/officeDocument/2006/relationships/hyperlink" Target="https://www.immoscout24.ch/fr/appartement/louer/region-bale-campagne-ouest" TargetMode="External"/><Relationship Id="rId10371" Type="http://schemas.openxmlformats.org/officeDocument/2006/relationships/hyperlink" Target="https://www.immoscout24.ch/fr/maison/louer/lieu-champery" TargetMode="External"/><Relationship Id="rId10376" Type="http://schemas.openxmlformats.org/officeDocument/2006/relationships/hyperlink" Target="https://www.immoscout24.ch/fr/appartement/louer/lieu-aarau" TargetMode="External"/><Relationship Id="rId10377" Type="http://schemas.openxmlformats.org/officeDocument/2006/relationships/hyperlink" Target="https://www.immoscout24.ch/fr/appartement/acheter/lieu-s-antonino" TargetMode="External"/><Relationship Id="rId10374" Type="http://schemas.openxmlformats.org/officeDocument/2006/relationships/hyperlink" Target="https://www.immoscout24.ch/fr/appartement/acheter/lieu-rennaz" TargetMode="External"/><Relationship Id="rId10375" Type="http://schemas.openxmlformats.org/officeDocument/2006/relationships/hyperlink" Target="https://www.immoscout24.ch/fr/appartement/louer/lieu-aarau" TargetMode="External"/><Relationship Id="rId10390" Type="http://schemas.openxmlformats.org/officeDocument/2006/relationships/hyperlink" Target="https://www.immoscout24.ch/fr/maison/acheter/lieu-blignou-ayent" TargetMode="External"/><Relationship Id="rId10391" Type="http://schemas.openxmlformats.org/officeDocument/2006/relationships/hyperlink" Target="https://www.immoscout24.ch/fr/maison/acheter/lieu-seon" TargetMode="External"/><Relationship Id="rId10389" Type="http://schemas.openxmlformats.org/officeDocument/2006/relationships/hyperlink" Target="https://www.immoscout24.ch/fr/maison/acheter/lieu-blignou-ayent" TargetMode="External"/><Relationship Id="rId10383" Type="http://schemas.openxmlformats.org/officeDocument/2006/relationships/hyperlink" Target="https://www.immoscout24.ch/fr/maison/acheter/lieu-campo-vallemaggia" TargetMode="External"/><Relationship Id="rId10384" Type="http://schemas.openxmlformats.org/officeDocument/2006/relationships/hyperlink" Target="https://www.immoscout24.ch/fr/maison/acheter/lieu-campo-vallemaggia" TargetMode="External"/><Relationship Id="rId10381" Type="http://schemas.openxmlformats.org/officeDocument/2006/relationships/hyperlink" Target="https://www.immoscout24.ch/fr/appartement/acheter/canton-lucerne" TargetMode="External"/><Relationship Id="rId10382" Type="http://schemas.openxmlformats.org/officeDocument/2006/relationships/hyperlink" Target="https://www.immoscout24.ch/fr/appartement/acheter/canton-lucerne" TargetMode="External"/><Relationship Id="rId10387" Type="http://schemas.openxmlformats.org/officeDocument/2006/relationships/hyperlink" Target="https://www.immoscout24.ch/fr/maison/acheter/lieu-fechy" TargetMode="External"/><Relationship Id="rId10388" Type="http://schemas.openxmlformats.org/officeDocument/2006/relationships/hyperlink" Target="https://www.immoscout24.ch/fr/maison/acheter/lieu-fechy" TargetMode="External"/><Relationship Id="rId10385" Type="http://schemas.openxmlformats.org/officeDocument/2006/relationships/hyperlink" Target="https://www.immoscout24.ch/fr/maison/louer/lieu-ependes-vd" TargetMode="External"/><Relationship Id="rId10386" Type="http://schemas.openxmlformats.org/officeDocument/2006/relationships/hyperlink" Target="https://www.immoscout24.ch/fr/maison/louer/lieu-ependes-vd" TargetMode="External"/><Relationship Id="rId10358" Type="http://schemas.openxmlformats.org/officeDocument/2006/relationships/hyperlink" Target="https://www.immoscout24.ch/fr/appartement/louer/lieu-seengen" TargetMode="External"/><Relationship Id="rId10359" Type="http://schemas.openxmlformats.org/officeDocument/2006/relationships/hyperlink" Target="https://www.immoscout24.ch/fr/maison/acheter/lieu-anzere" TargetMode="External"/><Relationship Id="rId11689" Type="http://schemas.openxmlformats.org/officeDocument/2006/relationships/hyperlink" Target="https://www.immoscout24.ch/fr/appartement/louer/quartier-altstadt-winterthur" TargetMode="External"/><Relationship Id="rId10356" Type="http://schemas.openxmlformats.org/officeDocument/2006/relationships/hyperlink" Target="https://www.immoscout24.ch/fr/maison/louer/lieu-gockhausen" TargetMode="External"/><Relationship Id="rId11688" Type="http://schemas.openxmlformats.org/officeDocument/2006/relationships/hyperlink" Target="https://www.immoscout24.ch/fr/appartement/louer/lieu-hochdorf" TargetMode="External"/><Relationship Id="rId10357" Type="http://schemas.openxmlformats.org/officeDocument/2006/relationships/hyperlink" Target="https://www.immoscout24.ch/fr/appartement/louer/lieu-seengen" TargetMode="External"/><Relationship Id="rId11687" Type="http://schemas.openxmlformats.org/officeDocument/2006/relationships/hyperlink" Target="https://www.immoscout24.ch/fr/appartement/louer/lieu-hochdorf" TargetMode="External"/><Relationship Id="rId10350" Type="http://schemas.openxmlformats.org/officeDocument/2006/relationships/hyperlink" Target="https://www.immoscout24.ch/fr/appartement/louer/lieu-ruemlang" TargetMode="External"/><Relationship Id="rId11682" Type="http://schemas.openxmlformats.org/officeDocument/2006/relationships/hyperlink" Target="https://www.immoscout24.ch/fr/maison/louer/lieu-vetroz" TargetMode="External"/><Relationship Id="rId10351" Type="http://schemas.openxmlformats.org/officeDocument/2006/relationships/hyperlink" Target="https://www.immoscout24.ch/fr/appartement/louer/pays-bresil" TargetMode="External"/><Relationship Id="rId11681" Type="http://schemas.openxmlformats.org/officeDocument/2006/relationships/hyperlink" Target="https://www.immoscout24.ch/fr/maison/louer/lieu-vetroz" TargetMode="External"/><Relationship Id="rId11680" Type="http://schemas.openxmlformats.org/officeDocument/2006/relationships/hyperlink" Target="https://www.immoscout24.ch/fr/appartement/louer/lieu-chavannes-le-chene" TargetMode="External"/><Relationship Id="rId10354" Type="http://schemas.openxmlformats.org/officeDocument/2006/relationships/hyperlink" Target="https://www.immoscout24.ch/fr/maison/louer/lieu-cernier" TargetMode="External"/><Relationship Id="rId11686" Type="http://schemas.openxmlformats.org/officeDocument/2006/relationships/hyperlink" Target="https://www.immoscout24.ch/fr/appartement/louer/lieu-romanel-sur-lausanne" TargetMode="External"/><Relationship Id="rId10355" Type="http://schemas.openxmlformats.org/officeDocument/2006/relationships/hyperlink" Target="https://www.immoscout24.ch/fr/maison/louer/lieu-gockhausen" TargetMode="External"/><Relationship Id="rId11685" Type="http://schemas.openxmlformats.org/officeDocument/2006/relationships/hyperlink" Target="https://www.immoscout24.ch/fr/appartement/louer/lieu-romanel-sur-lausanne" TargetMode="External"/><Relationship Id="rId10352" Type="http://schemas.openxmlformats.org/officeDocument/2006/relationships/hyperlink" Target="https://www.immoscout24.ch/fr/appartement/louer/pays-bresil" TargetMode="External"/><Relationship Id="rId11684" Type="http://schemas.openxmlformats.org/officeDocument/2006/relationships/hyperlink" Target="https://www.immoscout24.ch/fr/maison/louer/quartier-bourguillon-fribourg" TargetMode="External"/><Relationship Id="rId10353" Type="http://schemas.openxmlformats.org/officeDocument/2006/relationships/hyperlink" Target="https://www.immoscout24.ch/fr/maison/louer/lieu-cernier" TargetMode="External"/><Relationship Id="rId11683" Type="http://schemas.openxmlformats.org/officeDocument/2006/relationships/hyperlink" Target="https://www.immoscout24.ch/fr/maison/louer/quartier-bourguillon-fribourg" TargetMode="External"/><Relationship Id="rId10369" Type="http://schemas.openxmlformats.org/officeDocument/2006/relationships/hyperlink" Target="https://www.immoscout24.ch/fr/appartement/louer/region-bale-campagne-ouest" TargetMode="External"/><Relationship Id="rId10367" Type="http://schemas.openxmlformats.org/officeDocument/2006/relationships/hyperlink" Target="https://www.immoscout24.ch/fr/maison/acheter/canton-zurich" TargetMode="External"/><Relationship Id="rId11699" Type="http://schemas.openxmlformats.org/officeDocument/2006/relationships/hyperlink" Target="https://www.immoscout24.ch/fr/maison/acheter/lieu-morlon" TargetMode="External"/><Relationship Id="rId10368" Type="http://schemas.openxmlformats.org/officeDocument/2006/relationships/hyperlink" Target="https://www.immoscout24.ch/fr/maison/acheter/canton-zurich" TargetMode="External"/><Relationship Id="rId11698" Type="http://schemas.openxmlformats.org/officeDocument/2006/relationships/hyperlink" Target="https://www.immoscout24.ch/fr/maison/acheter/lieu-verbier" TargetMode="External"/><Relationship Id="rId10361" Type="http://schemas.openxmlformats.org/officeDocument/2006/relationships/hyperlink" Target="https://www.immoscout24.ch/fr/maison/acheter/lieu-ennetbuergen" TargetMode="External"/><Relationship Id="rId11693" Type="http://schemas.openxmlformats.org/officeDocument/2006/relationships/hyperlink" Target="https://www.immoscout24.ch/fr/maison/acheter/lieu-luescherz" TargetMode="External"/><Relationship Id="rId10362" Type="http://schemas.openxmlformats.org/officeDocument/2006/relationships/hyperlink" Target="https://www.immoscout24.ch/fr/maison/acheter/lieu-ennetbuergen" TargetMode="External"/><Relationship Id="rId11692" Type="http://schemas.openxmlformats.org/officeDocument/2006/relationships/hyperlink" Target="https://www.immoscout24.ch/fr/appartement/acheter/lieu-suchy" TargetMode="External"/><Relationship Id="rId11691" Type="http://schemas.openxmlformats.org/officeDocument/2006/relationships/hyperlink" Target="https://www.immoscout24.ch/fr/appartement/acheter/lieu-suchy" TargetMode="External"/><Relationship Id="rId10360" Type="http://schemas.openxmlformats.org/officeDocument/2006/relationships/hyperlink" Target="https://www.immoscout24.ch/fr/maison/acheter/lieu-anzere" TargetMode="External"/><Relationship Id="rId11690" Type="http://schemas.openxmlformats.org/officeDocument/2006/relationships/hyperlink" Target="https://www.immoscout24.ch/fr/appartement/louer/quartier-altstadt-winterthur" TargetMode="External"/><Relationship Id="rId10365" Type="http://schemas.openxmlformats.org/officeDocument/2006/relationships/hyperlink" Target="https://www.immoscout24.ch/fr/maison/louer/lieu-villars-tiercelin" TargetMode="External"/><Relationship Id="rId11697" Type="http://schemas.openxmlformats.org/officeDocument/2006/relationships/hyperlink" Target="https://www.immoscout24.ch/fr/maison/acheter/lieu-verbier" TargetMode="External"/><Relationship Id="rId10366" Type="http://schemas.openxmlformats.org/officeDocument/2006/relationships/hyperlink" Target="https://www.immoscout24.ch/fr/maison/louer/lieu-villars-tiercelin" TargetMode="External"/><Relationship Id="rId11696" Type="http://schemas.openxmlformats.org/officeDocument/2006/relationships/hyperlink" Target="https://www.immoscout24.ch/fr/appartement/louer/lieu-st-aubin-sauges" TargetMode="External"/><Relationship Id="rId10363" Type="http://schemas.openxmlformats.org/officeDocument/2006/relationships/hyperlink" Target="https://www.immoscout24.ch/fr/maison/acheter/lieu-salavaux" TargetMode="External"/><Relationship Id="rId11695" Type="http://schemas.openxmlformats.org/officeDocument/2006/relationships/hyperlink" Target="https://www.immoscout24.ch/fr/appartement/louer/lieu-st-aubin-sauges" TargetMode="External"/><Relationship Id="rId10364" Type="http://schemas.openxmlformats.org/officeDocument/2006/relationships/hyperlink" Target="https://www.immoscout24.ch/fr/maison/acheter/lieu-salavaux" TargetMode="External"/><Relationship Id="rId11694" Type="http://schemas.openxmlformats.org/officeDocument/2006/relationships/hyperlink" Target="https://www.immoscout24.ch/fr/maison/acheter/lieu-luescherz" TargetMode="External"/><Relationship Id="rId11509" Type="http://schemas.openxmlformats.org/officeDocument/2006/relationships/hyperlink" Target="https://www.immoscout24.ch/fr/appartement/louer/quartier-cassarate-lugano" TargetMode="External"/><Relationship Id="rId11508" Type="http://schemas.openxmlformats.org/officeDocument/2006/relationships/hyperlink" Target="https://www.immoscout24.ch/fr/maison/acheter/lieu-fontaine-dessous-liddes" TargetMode="External"/><Relationship Id="rId11503" Type="http://schemas.openxmlformats.org/officeDocument/2006/relationships/hyperlink" Target="https://www.immoscout24.ch/fr/appartement/louer/lieu-saas-fee" TargetMode="External"/><Relationship Id="rId11502" Type="http://schemas.openxmlformats.org/officeDocument/2006/relationships/hyperlink" Target="https://www.immoscout24.ch/fr/maison/acheter/lieu-guttet-feschel" TargetMode="External"/><Relationship Id="rId11501" Type="http://schemas.openxmlformats.org/officeDocument/2006/relationships/hyperlink" Target="https://www.immoscout24.ch/fr/maison/acheter/lieu-guttet-feschel" TargetMode="External"/><Relationship Id="rId11500" Type="http://schemas.openxmlformats.org/officeDocument/2006/relationships/hyperlink" Target="https://www.immoscout24.ch/fr/maison/acheter/lieu-lauterbrunnen" TargetMode="External"/><Relationship Id="rId11507" Type="http://schemas.openxmlformats.org/officeDocument/2006/relationships/hyperlink" Target="https://www.immoscout24.ch/fr/maison/acheter/lieu-fontaine-dessous-liddes" TargetMode="External"/><Relationship Id="rId11506" Type="http://schemas.openxmlformats.org/officeDocument/2006/relationships/hyperlink" Target="https://www.immoscout24.ch/fr/maison/acheter/lieu-semione" TargetMode="External"/><Relationship Id="rId11505" Type="http://schemas.openxmlformats.org/officeDocument/2006/relationships/hyperlink" Target="https://www.immoscout24.ch/fr/maison/acheter/lieu-semione" TargetMode="External"/><Relationship Id="rId11504" Type="http://schemas.openxmlformats.org/officeDocument/2006/relationships/hyperlink" Target="https://www.immoscout24.ch/fr/appartement/louer/lieu-saas-fee" TargetMode="External"/><Relationship Id="rId11519" Type="http://schemas.openxmlformats.org/officeDocument/2006/relationships/hyperlink" Target="https://www.immoscout24.ch/fr/appartement/louer/lieu-vucherens" TargetMode="External"/><Relationship Id="rId11514" Type="http://schemas.openxmlformats.org/officeDocument/2006/relationships/hyperlink" Target="https://www.immoscout24.ch/fr/appartement/louer/lieu-amsoldingen" TargetMode="External"/><Relationship Id="rId11513" Type="http://schemas.openxmlformats.org/officeDocument/2006/relationships/hyperlink" Target="https://www.immoscout24.ch/fr/appartement/louer/lieu-amsoldingen" TargetMode="External"/><Relationship Id="rId11512" Type="http://schemas.openxmlformats.org/officeDocument/2006/relationships/hyperlink" Target="https://www.immoscout24.ch/fr/appartement/louer/lieu-emmenbruecke" TargetMode="External"/><Relationship Id="rId11511" Type="http://schemas.openxmlformats.org/officeDocument/2006/relationships/hyperlink" Target="https://www.immoscout24.ch/fr/appartement/louer/lieu-emmenbruecke" TargetMode="External"/><Relationship Id="rId11518" Type="http://schemas.openxmlformats.org/officeDocument/2006/relationships/hyperlink" Target="https://www.immoscout24.ch/fr/maison/acheter/lieu-brienz-be" TargetMode="External"/><Relationship Id="rId11517" Type="http://schemas.openxmlformats.org/officeDocument/2006/relationships/hyperlink" Target="https://www.immoscout24.ch/fr/maison/acheter/lieu-brienz-be" TargetMode="External"/><Relationship Id="rId11516" Type="http://schemas.openxmlformats.org/officeDocument/2006/relationships/hyperlink" Target="https://www.immoscout24.ch/fr/appartement/louer/region-linthebene-see" TargetMode="External"/><Relationship Id="rId11515" Type="http://schemas.openxmlformats.org/officeDocument/2006/relationships/hyperlink" Target="https://www.immoscout24.ch/fr/appartement/louer/region-linthebene-see" TargetMode="External"/><Relationship Id="rId11510" Type="http://schemas.openxmlformats.org/officeDocument/2006/relationships/hyperlink" Target="https://www.immoscout24.ch/fr/appartement/louer/quartier-cassarate-lugano" TargetMode="External"/><Relationship Id="rId9330" Type="http://schemas.openxmlformats.org/officeDocument/2006/relationships/hyperlink" Target="https://www.immoscout24.ch/fr/appartement/louer/quartier-weinegg-zurich" TargetMode="External"/><Relationship Id="rId9331" Type="http://schemas.openxmlformats.org/officeDocument/2006/relationships/hyperlink" Target="https://www.immoscout24.ch/fr/appartement/acheter/lieu-rueti-zh" TargetMode="External"/><Relationship Id="rId9332" Type="http://schemas.openxmlformats.org/officeDocument/2006/relationships/hyperlink" Target="https://www.immoscout24.ch/fr/appartement/acheter/lieu-rueti-zh" TargetMode="External"/><Relationship Id="rId9333" Type="http://schemas.openxmlformats.org/officeDocument/2006/relationships/hyperlink" Target="https://www.immoscout24.ch/fr/appartement/louer/lieu-villarepos" TargetMode="External"/><Relationship Id="rId8002" Type="http://schemas.openxmlformats.org/officeDocument/2006/relationships/hyperlink" Target="https://www.immoscout24.ch/fr/appartement/louer/quartier-brunnadern-berne" TargetMode="External"/><Relationship Id="rId8001" Type="http://schemas.openxmlformats.org/officeDocument/2006/relationships/hyperlink" Target="https://www.immoscout24.ch/fr/appartement/louer/quartier-brunnadern-berne" TargetMode="External"/><Relationship Id="rId8000" Type="http://schemas.openxmlformats.org/officeDocument/2006/relationships/hyperlink" Target="https://www.immoscout24.ch/fr/appartement/acheter/lieu-crans-montana" TargetMode="External"/><Relationship Id="rId8006" Type="http://schemas.openxmlformats.org/officeDocument/2006/relationships/hyperlink" Target="https://www.immoscout24.ch/fr/appartement/acheter/lieu-cossonay-ville" TargetMode="External"/><Relationship Id="rId9338" Type="http://schemas.openxmlformats.org/officeDocument/2006/relationships/hyperlink" Target="https://www.immoscout24.ch/fr/maison/acheter/lieu-bauma" TargetMode="External"/><Relationship Id="rId8005" Type="http://schemas.openxmlformats.org/officeDocument/2006/relationships/hyperlink" Target="https://www.immoscout24.ch/fr/appartement/acheter/lieu-cossonay-ville" TargetMode="External"/><Relationship Id="rId9339" Type="http://schemas.openxmlformats.org/officeDocument/2006/relationships/hyperlink" Target="https://www.immoscout24.ch/fr/maison/acheter/lieu-bettlach" TargetMode="External"/><Relationship Id="rId8004" Type="http://schemas.openxmlformats.org/officeDocument/2006/relationships/hyperlink" Target="https://www.immoscout24.ch/fr/appartement/louer/quartier-molino-nuovo-lugano" TargetMode="External"/><Relationship Id="rId8003" Type="http://schemas.openxmlformats.org/officeDocument/2006/relationships/hyperlink" Target="https://www.immoscout24.ch/fr/appartement/louer/quartier-molino-nuovo-lugano" TargetMode="External"/><Relationship Id="rId9334" Type="http://schemas.openxmlformats.org/officeDocument/2006/relationships/hyperlink" Target="https://www.immoscout24.ch/fr/appartement/louer/lieu-villarepos" TargetMode="External"/><Relationship Id="rId8009" Type="http://schemas.openxmlformats.org/officeDocument/2006/relationships/hyperlink" Target="https://www.immoscout24.ch/fr/appartement/louer/lieu-bazenheid" TargetMode="External"/><Relationship Id="rId9335" Type="http://schemas.openxmlformats.org/officeDocument/2006/relationships/hyperlink" Target="https://www.immoscout24.ch/fr/maison/acheter/lieu-st-sulpice-vd" TargetMode="External"/><Relationship Id="rId8008" Type="http://schemas.openxmlformats.org/officeDocument/2006/relationships/hyperlink" Target="https://www.immoscout24.ch/fr/appartement/louer/lieu-moudon" TargetMode="External"/><Relationship Id="rId9336" Type="http://schemas.openxmlformats.org/officeDocument/2006/relationships/hyperlink" Target="https://www.immoscout24.ch/fr/maison/acheter/lieu-st-sulpice-vd" TargetMode="External"/><Relationship Id="rId8007" Type="http://schemas.openxmlformats.org/officeDocument/2006/relationships/hyperlink" Target="https://www.immoscout24.ch/fr/appartement/louer/lieu-moudon" TargetMode="External"/><Relationship Id="rId9337" Type="http://schemas.openxmlformats.org/officeDocument/2006/relationships/hyperlink" Target="https://www.immoscout24.ch/fr/maison/acheter/lieu-bauma" TargetMode="External"/><Relationship Id="rId9320" Type="http://schemas.openxmlformats.org/officeDocument/2006/relationships/hyperlink" Target="https://www.immoscout24.ch/fr/maison/louer/lieu-verossaz" TargetMode="External"/><Relationship Id="rId9321" Type="http://schemas.openxmlformats.org/officeDocument/2006/relationships/hyperlink" Target="https://www.immoscout24.ch/fr/appartement/louer/region-lac-de-thoune-sud" TargetMode="External"/><Relationship Id="rId9322" Type="http://schemas.openxmlformats.org/officeDocument/2006/relationships/hyperlink" Target="https://www.immoscout24.ch/fr/appartement/louer/region-lac-de-thoune-sud" TargetMode="External"/><Relationship Id="rId9327" Type="http://schemas.openxmlformats.org/officeDocument/2006/relationships/hyperlink" Target="https://www.immoscout24.ch/fr/maison/acheter/lieu-cottens-fr" TargetMode="External"/><Relationship Id="rId9328" Type="http://schemas.openxmlformats.org/officeDocument/2006/relationships/hyperlink" Target="https://www.immoscout24.ch/fr/maison/acheter/lieu-cottens-fr" TargetMode="External"/><Relationship Id="rId9329" Type="http://schemas.openxmlformats.org/officeDocument/2006/relationships/hyperlink" Target="https://www.immoscout24.ch/fr/appartement/louer/quartier-weinegg-zurich" TargetMode="External"/><Relationship Id="rId9323" Type="http://schemas.openxmlformats.org/officeDocument/2006/relationships/hyperlink" Target="https://www.immoscout24.ch/fr/maison/acheter/lieu-bollion" TargetMode="External"/><Relationship Id="rId9324" Type="http://schemas.openxmlformats.org/officeDocument/2006/relationships/hyperlink" Target="https://www.immoscout24.ch/fr/maison/acheter/lieu-bollion" TargetMode="External"/><Relationship Id="rId9325" Type="http://schemas.openxmlformats.org/officeDocument/2006/relationships/hyperlink" Target="https://www.immoscout24.ch/fr/appartement/louer/lieu-rechthalten" TargetMode="External"/><Relationship Id="rId9326" Type="http://schemas.openxmlformats.org/officeDocument/2006/relationships/hyperlink" Target="https://www.immoscout24.ch/fr/appartement/louer/lieu-rechthalten" TargetMode="External"/><Relationship Id="rId8020" Type="http://schemas.openxmlformats.org/officeDocument/2006/relationships/hyperlink" Target="https://www.immoscout24.ch/fr/appartement/acheter/lieu-vaulruz" TargetMode="External"/><Relationship Id="rId9352" Type="http://schemas.openxmlformats.org/officeDocument/2006/relationships/hyperlink" Target="https://www.immoscout24.ch/fr/maison/acheter/region-lac-de-thoune-sud" TargetMode="External"/><Relationship Id="rId9353" Type="http://schemas.openxmlformats.org/officeDocument/2006/relationships/hyperlink" Target="https://www.immoscout24.ch/fr/appartement/louer/lieu-dulliken" TargetMode="External"/><Relationship Id="rId9354" Type="http://schemas.openxmlformats.org/officeDocument/2006/relationships/hyperlink" Target="https://www.immoscout24.ch/fr/appartement/louer/lieu-dulliken" TargetMode="External"/><Relationship Id="rId9355" Type="http://schemas.openxmlformats.org/officeDocument/2006/relationships/hyperlink" Target="https://www.immoscout24.ch/fr/maison/acheter/pays-suisse-fl" TargetMode="External"/><Relationship Id="rId8024" Type="http://schemas.openxmlformats.org/officeDocument/2006/relationships/hyperlink" Target="https://www.immoscout24.ch/fr/maison/acheter/lieu-grasswil" TargetMode="External"/><Relationship Id="rId8023" Type="http://schemas.openxmlformats.org/officeDocument/2006/relationships/hyperlink" Target="https://www.immoscout24.ch/fr/maison/acheter/lieu-grasswil" TargetMode="External"/><Relationship Id="rId8022" Type="http://schemas.openxmlformats.org/officeDocument/2006/relationships/hyperlink" Target="https://www.immoscout24.ch/fr/maison/acheter/lieu-pailly" TargetMode="External"/><Relationship Id="rId9350" Type="http://schemas.openxmlformats.org/officeDocument/2006/relationships/hyperlink" Target="https://www.immoscout24.ch/fr/maison/acheter/lieu-leissigen" TargetMode="External"/><Relationship Id="rId8021" Type="http://schemas.openxmlformats.org/officeDocument/2006/relationships/hyperlink" Target="https://www.immoscout24.ch/fr/maison/acheter/lieu-pailly" TargetMode="External"/><Relationship Id="rId9351" Type="http://schemas.openxmlformats.org/officeDocument/2006/relationships/hyperlink" Target="https://www.immoscout24.ch/fr/maison/acheter/region-lac-de-thoune-sud" TargetMode="External"/><Relationship Id="rId8028" Type="http://schemas.openxmlformats.org/officeDocument/2006/relationships/hyperlink" Target="https://www.immoscout24.ch/fr/maison/acheter/lieu-cheseaux-noreaz" TargetMode="External"/><Relationship Id="rId8027" Type="http://schemas.openxmlformats.org/officeDocument/2006/relationships/hyperlink" Target="https://www.immoscout24.ch/fr/maison/acheter/lieu-cheseaux-noreaz" TargetMode="External"/><Relationship Id="rId8026" Type="http://schemas.openxmlformats.org/officeDocument/2006/relationships/hyperlink" Target="https://www.immoscout24.ch/fr/maison/acheter/lieu-courtepin" TargetMode="External"/><Relationship Id="rId8025" Type="http://schemas.openxmlformats.org/officeDocument/2006/relationships/hyperlink" Target="https://www.immoscout24.ch/fr/maison/acheter/lieu-courtepin" TargetMode="External"/><Relationship Id="rId9356" Type="http://schemas.openxmlformats.org/officeDocument/2006/relationships/hyperlink" Target="https://www.immoscout24.ch/fr/maison/acheter/pays-suisse-fl" TargetMode="External"/><Relationship Id="rId9357" Type="http://schemas.openxmlformats.org/officeDocument/2006/relationships/hyperlink" Target="https://www.immoscout24.ch/fr/appartement/louer/quartier-hegi-winterthur" TargetMode="External"/><Relationship Id="rId9358" Type="http://schemas.openxmlformats.org/officeDocument/2006/relationships/hyperlink" Target="https://www.immoscout24.ch/fr/appartement/louer/quartier-hegi-winterthur" TargetMode="External"/><Relationship Id="rId8029" Type="http://schemas.openxmlformats.org/officeDocument/2006/relationships/hyperlink" Target="https://www.immoscout24.ch/fr/maison/acheter/lieu-stechelberg" TargetMode="External"/><Relationship Id="rId9359" Type="http://schemas.openxmlformats.org/officeDocument/2006/relationships/hyperlink" Target="https://www.immoscout24.ch/fr/maison/acheter/lieu-st-blaise" TargetMode="External"/><Relationship Id="rId9341" Type="http://schemas.openxmlformats.org/officeDocument/2006/relationships/hyperlink" Target="https://www.immoscout24.ch/fr/maison/acheter/lieu-celigny" TargetMode="External"/><Relationship Id="rId9342" Type="http://schemas.openxmlformats.org/officeDocument/2006/relationships/hyperlink" Target="https://www.immoscout24.ch/fr/maison/acheter/lieu-celigny" TargetMode="External"/><Relationship Id="rId9343" Type="http://schemas.openxmlformats.org/officeDocument/2006/relationships/hyperlink" Target="https://www.immoscout24.ch/fr/appartement/acheter/lieu-ruschein" TargetMode="External"/><Relationship Id="rId9344" Type="http://schemas.openxmlformats.org/officeDocument/2006/relationships/hyperlink" Target="https://www.immoscout24.ch/fr/appartement/acheter/lieu-ruschein" TargetMode="External"/><Relationship Id="rId8013" Type="http://schemas.openxmlformats.org/officeDocument/2006/relationships/hyperlink" Target="https://www.immoscout24.ch/fr/maison/acheter/region-valais-central" TargetMode="External"/><Relationship Id="rId8012" Type="http://schemas.openxmlformats.org/officeDocument/2006/relationships/hyperlink" Target="https://www.immoscout24.ch/fr/maison/acheter/lieu-schwarzenberg-lu" TargetMode="External"/><Relationship Id="rId8011" Type="http://schemas.openxmlformats.org/officeDocument/2006/relationships/hyperlink" Target="https://www.immoscout24.ch/fr/maison/acheter/lieu-schwarzenberg-lu" TargetMode="External"/><Relationship Id="rId8010" Type="http://schemas.openxmlformats.org/officeDocument/2006/relationships/hyperlink" Target="https://www.immoscout24.ch/fr/appartement/louer/lieu-bazenheid" TargetMode="External"/><Relationship Id="rId9340" Type="http://schemas.openxmlformats.org/officeDocument/2006/relationships/hyperlink" Target="https://www.immoscout24.ch/fr/maison/acheter/lieu-bettlach" TargetMode="External"/><Relationship Id="rId8017" Type="http://schemas.openxmlformats.org/officeDocument/2006/relationships/hyperlink" Target="https://www.immoscout24.ch/fr/maison/acheter/lieu-neunkirch" TargetMode="External"/><Relationship Id="rId9349" Type="http://schemas.openxmlformats.org/officeDocument/2006/relationships/hyperlink" Target="https://www.immoscout24.ch/fr/maison/acheter/lieu-leissigen" TargetMode="External"/><Relationship Id="rId8016" Type="http://schemas.openxmlformats.org/officeDocument/2006/relationships/hyperlink" Target="https://www.immoscout24.ch/fr/appartement/louer/lieu-la-neuveville" TargetMode="External"/><Relationship Id="rId8015" Type="http://schemas.openxmlformats.org/officeDocument/2006/relationships/hyperlink" Target="https://www.immoscout24.ch/fr/appartement/louer/lieu-la-neuveville" TargetMode="External"/><Relationship Id="rId8014" Type="http://schemas.openxmlformats.org/officeDocument/2006/relationships/hyperlink" Target="https://www.immoscout24.ch/fr/maison/acheter/region-valais-central" TargetMode="External"/><Relationship Id="rId9345" Type="http://schemas.openxmlformats.org/officeDocument/2006/relationships/hyperlink" Target="https://www.immoscout24.ch/fr/appartement/louer/lieu-obergesteln" TargetMode="External"/><Relationship Id="rId9346" Type="http://schemas.openxmlformats.org/officeDocument/2006/relationships/hyperlink" Target="https://www.immoscout24.ch/fr/appartement/louer/lieu-obergesteln" TargetMode="External"/><Relationship Id="rId8019" Type="http://schemas.openxmlformats.org/officeDocument/2006/relationships/hyperlink" Target="https://www.immoscout24.ch/fr/appartement/acheter/lieu-vaulruz" TargetMode="External"/><Relationship Id="rId9347" Type="http://schemas.openxmlformats.org/officeDocument/2006/relationships/hyperlink" Target="https://www.immoscout24.ch/fr/appartement/louer/lieu-arzier-le-muids" TargetMode="External"/><Relationship Id="rId8018" Type="http://schemas.openxmlformats.org/officeDocument/2006/relationships/hyperlink" Target="https://www.immoscout24.ch/fr/maison/acheter/lieu-neunkirch" TargetMode="External"/><Relationship Id="rId9348" Type="http://schemas.openxmlformats.org/officeDocument/2006/relationships/hyperlink" Target="https://www.immoscout24.ch/fr/appartement/louer/lieu-arzier-le-muids" TargetMode="External"/><Relationship Id="rId9310" Type="http://schemas.openxmlformats.org/officeDocument/2006/relationships/hyperlink" Target="https://www.immoscout24.ch/fr/appartement/acheter/lieu-grimentz" TargetMode="External"/><Relationship Id="rId9311" Type="http://schemas.openxmlformats.org/officeDocument/2006/relationships/hyperlink" Target="https://www.immoscout24.ch/fr/appartement/acheter/lieu-brissago" TargetMode="External"/><Relationship Id="rId9316" Type="http://schemas.openxmlformats.org/officeDocument/2006/relationships/hyperlink" Target="https://www.immoscout24.ch/fr/appartement/acheter/lieu-lugnorre" TargetMode="External"/><Relationship Id="rId9317" Type="http://schemas.openxmlformats.org/officeDocument/2006/relationships/hyperlink" Target="https://www.immoscout24.ch/fr/appartement/louer/lieu-cuarny" TargetMode="External"/><Relationship Id="rId9318" Type="http://schemas.openxmlformats.org/officeDocument/2006/relationships/hyperlink" Target="https://www.immoscout24.ch/fr/appartement/louer/lieu-cuarny" TargetMode="External"/><Relationship Id="rId9319" Type="http://schemas.openxmlformats.org/officeDocument/2006/relationships/hyperlink" Target="https://www.immoscout24.ch/fr/maison/louer/lieu-verossaz" TargetMode="External"/><Relationship Id="rId9312" Type="http://schemas.openxmlformats.org/officeDocument/2006/relationships/hyperlink" Target="https://www.immoscout24.ch/fr/appartement/acheter/lieu-brissago" TargetMode="External"/><Relationship Id="rId9313" Type="http://schemas.openxmlformats.org/officeDocument/2006/relationships/hyperlink" Target="https://www.immoscout24.ch/fr/appartement/louer/lieu-brugg-ag" TargetMode="External"/><Relationship Id="rId9314" Type="http://schemas.openxmlformats.org/officeDocument/2006/relationships/hyperlink" Target="https://www.immoscout24.ch/fr/appartement/louer/lieu-brugg-ag" TargetMode="External"/><Relationship Id="rId9315" Type="http://schemas.openxmlformats.org/officeDocument/2006/relationships/hyperlink" Target="https://www.immoscout24.ch/fr/appartement/acheter/lieu-lugnorre" TargetMode="External"/><Relationship Id="rId9309" Type="http://schemas.openxmlformats.org/officeDocument/2006/relationships/hyperlink" Target="https://www.immoscout24.ch/fr/appartement/acheter/lieu-grimentz" TargetMode="External"/><Relationship Id="rId9300" Type="http://schemas.openxmlformats.org/officeDocument/2006/relationships/hyperlink" Target="https://www.immoscout24.ch/fr/maison/acheter/lieu-emmetten" TargetMode="External"/><Relationship Id="rId9305" Type="http://schemas.openxmlformats.org/officeDocument/2006/relationships/hyperlink" Target="https://www.immoscout24.ch/fr/appartement/louer/lieu-matran" TargetMode="External"/><Relationship Id="rId9306" Type="http://schemas.openxmlformats.org/officeDocument/2006/relationships/hyperlink" Target="https://www.immoscout24.ch/fr/appartement/louer/lieu-matran" TargetMode="External"/><Relationship Id="rId9307" Type="http://schemas.openxmlformats.org/officeDocument/2006/relationships/hyperlink" Target="https://www.immoscout24.ch/fr/maison/acheter/region-zoug-lac-de-zoug" TargetMode="External"/><Relationship Id="rId9308" Type="http://schemas.openxmlformats.org/officeDocument/2006/relationships/hyperlink" Target="https://www.immoscout24.ch/fr/maison/acheter/region-zoug-lac-de-zoug" TargetMode="External"/><Relationship Id="rId9301" Type="http://schemas.openxmlformats.org/officeDocument/2006/relationships/hyperlink" Target="https://www.immoscout24.ch/fr/maison/louer/lieu-marchissy" TargetMode="External"/><Relationship Id="rId9302" Type="http://schemas.openxmlformats.org/officeDocument/2006/relationships/hyperlink" Target="https://www.immoscout24.ch/fr/maison/louer/lieu-marchissy" TargetMode="External"/><Relationship Id="rId9303" Type="http://schemas.openxmlformats.org/officeDocument/2006/relationships/hyperlink" Target="https://www.immoscout24.ch/fr/maison/acheter/lieu-gletterens" TargetMode="External"/><Relationship Id="rId9304" Type="http://schemas.openxmlformats.org/officeDocument/2006/relationships/hyperlink" Target="https://www.immoscout24.ch/fr/maison/acheter/lieu-gletterens" TargetMode="External"/><Relationship Id="rId8093" Type="http://schemas.openxmlformats.org/officeDocument/2006/relationships/hyperlink" Target="https://www.immoscout24.ch/fr/appartement/louer/lieu-brenles" TargetMode="External"/><Relationship Id="rId8092" Type="http://schemas.openxmlformats.org/officeDocument/2006/relationships/hyperlink" Target="https://www.immoscout24.ch/fr/maison/acheter/lieu-la-ferriere" TargetMode="External"/><Relationship Id="rId8091" Type="http://schemas.openxmlformats.org/officeDocument/2006/relationships/hyperlink" Target="https://www.immoscout24.ch/fr/maison/acheter/lieu-la-ferriere" TargetMode="External"/><Relationship Id="rId8090" Type="http://schemas.openxmlformats.org/officeDocument/2006/relationships/hyperlink" Target="https://www.immoscout24.ch/fr/appartement/louer/pays-autriche" TargetMode="External"/><Relationship Id="rId8086" Type="http://schemas.openxmlformats.org/officeDocument/2006/relationships/hyperlink" Target="https://www.immoscout24.ch/fr/maison/louer/lieu-lussery-villars" TargetMode="External"/><Relationship Id="rId8085" Type="http://schemas.openxmlformats.org/officeDocument/2006/relationships/hyperlink" Target="https://www.immoscout24.ch/fr/maison/louer/lieu-lussery-villars" TargetMode="External"/><Relationship Id="rId8084" Type="http://schemas.openxmlformats.org/officeDocument/2006/relationships/hyperlink" Target="https://www.immoscout24.ch/fr/maison/acheter/quartier-valcolla-lugano" TargetMode="External"/><Relationship Id="rId8083" Type="http://schemas.openxmlformats.org/officeDocument/2006/relationships/hyperlink" Target="https://www.immoscout24.ch/fr/maison/acheter/quartier-valcolla-lugano" TargetMode="External"/><Relationship Id="rId8089" Type="http://schemas.openxmlformats.org/officeDocument/2006/relationships/hyperlink" Target="https://www.immoscout24.ch/fr/appartement/louer/pays-autriche" TargetMode="External"/><Relationship Id="rId8088" Type="http://schemas.openxmlformats.org/officeDocument/2006/relationships/hyperlink" Target="https://www.immoscout24.ch/fr/maison/louer/lieu-tavannes" TargetMode="External"/><Relationship Id="rId8087" Type="http://schemas.openxmlformats.org/officeDocument/2006/relationships/hyperlink" Target="https://www.immoscout24.ch/fr/maison/louer/lieu-tavannes" TargetMode="External"/><Relationship Id="rId10295" Type="http://schemas.openxmlformats.org/officeDocument/2006/relationships/hyperlink" Target="https://www.immoscout24.ch/fr/appartement/acheter/lieu-interlaken" TargetMode="External"/><Relationship Id="rId10296" Type="http://schemas.openxmlformats.org/officeDocument/2006/relationships/hyperlink" Target="https://www.immoscout24.ch/fr/appartement/acheter/lieu-interlaken" TargetMode="External"/><Relationship Id="rId10293" Type="http://schemas.openxmlformats.org/officeDocument/2006/relationships/hyperlink" Target="https://www.immoscout24.ch/fr/maison/acheter/lieu-sessa" TargetMode="External"/><Relationship Id="rId10294" Type="http://schemas.openxmlformats.org/officeDocument/2006/relationships/hyperlink" Target="https://www.immoscout24.ch/fr/maison/acheter/lieu-sessa" TargetMode="External"/><Relationship Id="rId10299" Type="http://schemas.openxmlformats.org/officeDocument/2006/relationships/hyperlink" Target="https://www.immoscout24.ch/fr/appartement/louer/lieu-lenzerheide-lai" TargetMode="External"/><Relationship Id="rId10297" Type="http://schemas.openxmlformats.org/officeDocument/2006/relationships/hyperlink" Target="https://www.immoscout24.ch/fr/appartement/acheter/lieu-gryon" TargetMode="External"/><Relationship Id="rId10298" Type="http://schemas.openxmlformats.org/officeDocument/2006/relationships/hyperlink" Target="https://www.immoscout24.ch/fr/appartement/acheter/lieu-gryon" TargetMode="External"/><Relationship Id="rId8082" Type="http://schemas.openxmlformats.org/officeDocument/2006/relationships/hyperlink" Target="https://www.immoscout24.ch/fr/maison/acheter/lieu-pringy" TargetMode="External"/><Relationship Id="rId8081" Type="http://schemas.openxmlformats.org/officeDocument/2006/relationships/hyperlink" Target="https://www.immoscout24.ch/fr/maison/acheter/lieu-pringy" TargetMode="External"/><Relationship Id="rId8080" Type="http://schemas.openxmlformats.org/officeDocument/2006/relationships/hyperlink" Target="https://www.immoscout24.ch/fr/maison/louer/lieu-giffers" TargetMode="External"/><Relationship Id="rId8075" Type="http://schemas.openxmlformats.org/officeDocument/2006/relationships/hyperlink" Target="https://www.immoscout24.ch/fr/maison/acheter/quartier-chailly-rovereaz-lausanne" TargetMode="External"/><Relationship Id="rId8074" Type="http://schemas.openxmlformats.org/officeDocument/2006/relationships/hyperlink" Target="https://www.immoscout24.ch/fr/appartement/louer/lieu-schuepfen" TargetMode="External"/><Relationship Id="rId8073" Type="http://schemas.openxmlformats.org/officeDocument/2006/relationships/hyperlink" Target="https://www.immoscout24.ch/fr/appartement/louer/lieu-schuepfen" TargetMode="External"/><Relationship Id="rId8072" Type="http://schemas.openxmlformats.org/officeDocument/2006/relationships/hyperlink" Target="https://www.immoscout24.ch/fr/appartement/acheter/quartier-monruz-neuchatel" TargetMode="External"/><Relationship Id="rId8079" Type="http://schemas.openxmlformats.org/officeDocument/2006/relationships/hyperlink" Target="https://www.immoscout24.ch/fr/maison/louer/lieu-giffers" TargetMode="External"/><Relationship Id="rId8078" Type="http://schemas.openxmlformats.org/officeDocument/2006/relationships/hyperlink" Target="https://www.immoscout24.ch/fr/appartement/acheter/lieu-cortaillod" TargetMode="External"/><Relationship Id="rId8077" Type="http://schemas.openxmlformats.org/officeDocument/2006/relationships/hyperlink" Target="https://www.immoscout24.ch/fr/appartement/acheter/lieu-cortaillod" TargetMode="External"/><Relationship Id="rId8076" Type="http://schemas.openxmlformats.org/officeDocument/2006/relationships/hyperlink" Target="https://www.immoscout24.ch/fr/maison/acheter/quartier-chailly-rovereaz-lausanne" TargetMode="External"/><Relationship Id="rId10280" Type="http://schemas.openxmlformats.org/officeDocument/2006/relationships/hyperlink" Target="https://www.immoscout24.ch/fr/maison/louer/lieu-courgevaux" TargetMode="External"/><Relationship Id="rId10281" Type="http://schemas.openxmlformats.org/officeDocument/2006/relationships/hyperlink" Target="https://www.immoscout24.ch/fr/appartement/louer/lieu-reichenbach-im-kandertal" TargetMode="External"/><Relationship Id="rId10279" Type="http://schemas.openxmlformats.org/officeDocument/2006/relationships/hyperlink" Target="https://www.immoscout24.ch/fr/maison/louer/lieu-courgevaux" TargetMode="External"/><Relationship Id="rId10273" Type="http://schemas.openxmlformats.org/officeDocument/2006/relationships/hyperlink" Target="https://www.immoscout24.ch/fr/appartement/louer/lieu-montezillon" TargetMode="External"/><Relationship Id="rId10274" Type="http://schemas.openxmlformats.org/officeDocument/2006/relationships/hyperlink" Target="https://www.immoscout24.ch/fr/appartement/louer/lieu-montezillon" TargetMode="External"/><Relationship Id="rId10271" Type="http://schemas.openxmlformats.org/officeDocument/2006/relationships/hyperlink" Target="https://www.immoscout24.ch/fr/maison/acheter/lieu-cham" TargetMode="External"/><Relationship Id="rId10272" Type="http://schemas.openxmlformats.org/officeDocument/2006/relationships/hyperlink" Target="https://www.immoscout24.ch/fr/maison/acheter/lieu-cham" TargetMode="External"/><Relationship Id="rId10277" Type="http://schemas.openxmlformats.org/officeDocument/2006/relationships/hyperlink" Target="https://www.immoscout24.ch/fr/appartement/louer/lieu-les-paccots" TargetMode="External"/><Relationship Id="rId10278" Type="http://schemas.openxmlformats.org/officeDocument/2006/relationships/hyperlink" Target="https://www.immoscout24.ch/fr/appartement/louer/lieu-les-paccots" TargetMode="External"/><Relationship Id="rId10275" Type="http://schemas.openxmlformats.org/officeDocument/2006/relationships/hyperlink" Target="https://www.immoscout24.ch/fr/maison/louer/lieu-praz-vully" TargetMode="External"/><Relationship Id="rId10276" Type="http://schemas.openxmlformats.org/officeDocument/2006/relationships/hyperlink" Target="https://www.immoscout24.ch/fr/maison/louer/lieu-praz-vully" TargetMode="External"/><Relationship Id="rId10291" Type="http://schemas.openxmlformats.org/officeDocument/2006/relationships/hyperlink" Target="https://www.immoscout24.ch/fr/maison/acheter/lieu-guttannen" TargetMode="External"/><Relationship Id="rId10292" Type="http://schemas.openxmlformats.org/officeDocument/2006/relationships/hyperlink" Target="https://www.immoscout24.ch/fr/maison/acheter/lieu-guttannen" TargetMode="External"/><Relationship Id="rId10290" Type="http://schemas.openxmlformats.org/officeDocument/2006/relationships/hyperlink" Target="https://www.immoscout24.ch/fr/appartement/louer/lieu-montagny-pres-yverdon" TargetMode="External"/><Relationship Id="rId8097" Type="http://schemas.openxmlformats.org/officeDocument/2006/relationships/hyperlink" Target="https://www.immoscout24.ch/fr/appartement/louer/lieu-boecourt" TargetMode="External"/><Relationship Id="rId8096" Type="http://schemas.openxmlformats.org/officeDocument/2006/relationships/hyperlink" Target="https://www.immoscout24.ch/fr/maison/acheter/lieu-marin-epagnier" TargetMode="External"/><Relationship Id="rId8095" Type="http://schemas.openxmlformats.org/officeDocument/2006/relationships/hyperlink" Target="https://www.immoscout24.ch/fr/maison/acheter/lieu-marin-epagnier" TargetMode="External"/><Relationship Id="rId8094" Type="http://schemas.openxmlformats.org/officeDocument/2006/relationships/hyperlink" Target="https://www.immoscout24.ch/fr/appartement/louer/lieu-brenles" TargetMode="External"/><Relationship Id="rId8099" Type="http://schemas.openxmlformats.org/officeDocument/2006/relationships/hyperlink" Target="https://www.immoscout24.ch/fr/appartement/acheter/lieu-marin-epagnier" TargetMode="External"/><Relationship Id="rId8098" Type="http://schemas.openxmlformats.org/officeDocument/2006/relationships/hyperlink" Target="https://www.immoscout24.ch/fr/appartement/louer/lieu-boecourt" TargetMode="External"/><Relationship Id="rId10284" Type="http://schemas.openxmlformats.org/officeDocument/2006/relationships/hyperlink" Target="https://www.immoscout24.ch/fr/maison/acheter/lieu-winden" TargetMode="External"/><Relationship Id="rId10285" Type="http://schemas.openxmlformats.org/officeDocument/2006/relationships/hyperlink" Target="https://www.immoscout24.ch/fr/appartement/louer/lieu-villars-mendraz" TargetMode="External"/><Relationship Id="rId10282" Type="http://schemas.openxmlformats.org/officeDocument/2006/relationships/hyperlink" Target="https://www.immoscout24.ch/fr/appartement/louer/lieu-reichenbach-im-kandertal" TargetMode="External"/><Relationship Id="rId10283" Type="http://schemas.openxmlformats.org/officeDocument/2006/relationships/hyperlink" Target="https://www.immoscout24.ch/fr/maison/acheter/lieu-winden" TargetMode="External"/><Relationship Id="rId10288" Type="http://schemas.openxmlformats.org/officeDocument/2006/relationships/hyperlink" Target="https://www.immoscout24.ch/fr/maison/acheter/lieu-vermes" TargetMode="External"/><Relationship Id="rId10289" Type="http://schemas.openxmlformats.org/officeDocument/2006/relationships/hyperlink" Target="https://www.immoscout24.ch/fr/appartement/louer/lieu-montagny-pres-yverdon" TargetMode="External"/><Relationship Id="rId10286" Type="http://schemas.openxmlformats.org/officeDocument/2006/relationships/hyperlink" Target="https://www.immoscout24.ch/fr/appartement/louer/lieu-villars-mendraz" TargetMode="External"/><Relationship Id="rId10287" Type="http://schemas.openxmlformats.org/officeDocument/2006/relationships/hyperlink" Target="https://www.immoscout24.ch/fr/maison/acheter/lieu-vermes" TargetMode="External"/><Relationship Id="rId9380" Type="http://schemas.openxmlformats.org/officeDocument/2006/relationships/hyperlink" Target="https://www.immoscout24.ch/fr/maison/louer/lieu-winterthur" TargetMode="External"/><Relationship Id="rId8042" Type="http://schemas.openxmlformats.org/officeDocument/2006/relationships/hyperlink" Target="https://www.immoscout24.ch/fr/appartement/louer/lieu-lully-vd" TargetMode="External"/><Relationship Id="rId9374" Type="http://schemas.openxmlformats.org/officeDocument/2006/relationships/hyperlink" Target="https://www.immoscout24.ch/fr/appartement/louer/lieu-le-noirmont" TargetMode="External"/><Relationship Id="rId8041" Type="http://schemas.openxmlformats.org/officeDocument/2006/relationships/hyperlink" Target="https://www.immoscout24.ch/fr/appartement/louer/lieu-lully-vd" TargetMode="External"/><Relationship Id="rId9375" Type="http://schemas.openxmlformats.org/officeDocument/2006/relationships/hyperlink" Target="https://www.immoscout24.ch/fr/maison/acheter/lieu-lignerolle" TargetMode="External"/><Relationship Id="rId8040" Type="http://schemas.openxmlformats.org/officeDocument/2006/relationships/hyperlink" Target="https://www.immoscout24.ch/fr/appartement/louer/quartier-enge-zurich" TargetMode="External"/><Relationship Id="rId9376" Type="http://schemas.openxmlformats.org/officeDocument/2006/relationships/hyperlink" Target="https://www.immoscout24.ch/fr/maison/acheter/lieu-lignerolle" TargetMode="External"/><Relationship Id="rId9377" Type="http://schemas.openxmlformats.org/officeDocument/2006/relationships/hyperlink" Target="https://www.immoscout24.ch/fr/maison/acheter/lieu-portalban" TargetMode="External"/><Relationship Id="rId8046" Type="http://schemas.openxmlformats.org/officeDocument/2006/relationships/hyperlink" Target="https://www.immoscout24.ch/fr/maison/acheter/lieu-mezzovico" TargetMode="External"/><Relationship Id="rId9370" Type="http://schemas.openxmlformats.org/officeDocument/2006/relationships/hyperlink" Target="https://www.immoscout24.ch/fr/appartement/acheter/lieu-romanens" TargetMode="External"/><Relationship Id="rId8045" Type="http://schemas.openxmlformats.org/officeDocument/2006/relationships/hyperlink" Target="https://www.immoscout24.ch/fr/maison/acheter/lieu-mezzovico" TargetMode="External"/><Relationship Id="rId9371" Type="http://schemas.openxmlformats.org/officeDocument/2006/relationships/hyperlink" Target="https://www.immoscout24.ch/fr/appartement/louer/lieu-vetroz" TargetMode="External"/><Relationship Id="rId8044" Type="http://schemas.openxmlformats.org/officeDocument/2006/relationships/hyperlink" Target="https://www.immoscout24.ch/fr/maison/acheter/lieu-waltenschwil" TargetMode="External"/><Relationship Id="rId9372" Type="http://schemas.openxmlformats.org/officeDocument/2006/relationships/hyperlink" Target="https://www.immoscout24.ch/fr/appartement/louer/lieu-vetroz" TargetMode="External"/><Relationship Id="rId8043" Type="http://schemas.openxmlformats.org/officeDocument/2006/relationships/hyperlink" Target="https://www.immoscout24.ch/fr/maison/acheter/lieu-waltenschwil" TargetMode="External"/><Relationship Id="rId9373" Type="http://schemas.openxmlformats.org/officeDocument/2006/relationships/hyperlink" Target="https://www.immoscout24.ch/fr/appartement/louer/lieu-le-noirmont" TargetMode="External"/><Relationship Id="rId8049" Type="http://schemas.openxmlformats.org/officeDocument/2006/relationships/hyperlink" Target="https://www.immoscout24.ch/fr/appartement/louer/region-lac-majeur" TargetMode="External"/><Relationship Id="rId8048" Type="http://schemas.openxmlformats.org/officeDocument/2006/relationships/hyperlink" Target="https://www.immoscout24.ch/fr/appartement/louer/lieu-zweisimmen" TargetMode="External"/><Relationship Id="rId8047" Type="http://schemas.openxmlformats.org/officeDocument/2006/relationships/hyperlink" Target="https://www.immoscout24.ch/fr/appartement/louer/lieu-zweisimmen" TargetMode="External"/><Relationship Id="rId9378" Type="http://schemas.openxmlformats.org/officeDocument/2006/relationships/hyperlink" Target="https://www.immoscout24.ch/fr/maison/acheter/lieu-portalban" TargetMode="External"/><Relationship Id="rId9379" Type="http://schemas.openxmlformats.org/officeDocument/2006/relationships/hyperlink" Target="https://www.immoscout24.ch/fr/maison/louer/lieu-winterthur" TargetMode="External"/><Relationship Id="rId8031" Type="http://schemas.openxmlformats.org/officeDocument/2006/relationships/hyperlink" Target="https://www.immoscout24.ch/fr/appartement/louer/lieu-ins" TargetMode="External"/><Relationship Id="rId9363" Type="http://schemas.openxmlformats.org/officeDocument/2006/relationships/hyperlink" Target="https://www.immoscout24.ch/fr/appartement/acheter/lieu-turtmann" TargetMode="External"/><Relationship Id="rId8030" Type="http://schemas.openxmlformats.org/officeDocument/2006/relationships/hyperlink" Target="https://www.immoscout24.ch/fr/maison/acheter/lieu-stechelberg" TargetMode="External"/><Relationship Id="rId9364" Type="http://schemas.openxmlformats.org/officeDocument/2006/relationships/hyperlink" Target="https://www.immoscout24.ch/fr/appartement/acheter/lieu-turtmann" TargetMode="External"/><Relationship Id="rId9365" Type="http://schemas.openxmlformats.org/officeDocument/2006/relationships/hyperlink" Target="https://www.immoscout24.ch/fr/appartement/louer/lieu-salvan" TargetMode="External"/><Relationship Id="rId9366" Type="http://schemas.openxmlformats.org/officeDocument/2006/relationships/hyperlink" Target="https://www.immoscout24.ch/fr/appartement/louer/lieu-salvan" TargetMode="External"/><Relationship Id="rId8035" Type="http://schemas.openxmlformats.org/officeDocument/2006/relationships/hyperlink" Target="https://www.immoscout24.ch/fr/maison/acheter/lieu-safenwil" TargetMode="External"/><Relationship Id="rId8034" Type="http://schemas.openxmlformats.org/officeDocument/2006/relationships/hyperlink" Target="https://www.immoscout24.ch/fr/appartement/louer/lieu-muenchenwiler" TargetMode="External"/><Relationship Id="rId9360" Type="http://schemas.openxmlformats.org/officeDocument/2006/relationships/hyperlink" Target="https://www.immoscout24.ch/fr/maison/acheter/lieu-st-blaise" TargetMode="External"/><Relationship Id="rId8033" Type="http://schemas.openxmlformats.org/officeDocument/2006/relationships/hyperlink" Target="https://www.immoscout24.ch/fr/appartement/louer/lieu-muenchenwiler" TargetMode="External"/><Relationship Id="rId9361" Type="http://schemas.openxmlformats.org/officeDocument/2006/relationships/hyperlink" Target="https://www.immoscout24.ch/fr/appartement/louer/lieu-niederwangen-b-bern" TargetMode="External"/><Relationship Id="rId8032" Type="http://schemas.openxmlformats.org/officeDocument/2006/relationships/hyperlink" Target="https://www.immoscout24.ch/fr/appartement/louer/lieu-ins" TargetMode="External"/><Relationship Id="rId9362" Type="http://schemas.openxmlformats.org/officeDocument/2006/relationships/hyperlink" Target="https://www.immoscout24.ch/fr/appartement/louer/lieu-niederwangen-b-bern" TargetMode="External"/><Relationship Id="rId8039" Type="http://schemas.openxmlformats.org/officeDocument/2006/relationships/hyperlink" Target="https://www.immoscout24.ch/fr/appartement/louer/quartier-enge-zurich" TargetMode="External"/><Relationship Id="rId8038" Type="http://schemas.openxmlformats.org/officeDocument/2006/relationships/hyperlink" Target="https://www.immoscout24.ch/fr/appartement/acheter/lieu-sachseln" TargetMode="External"/><Relationship Id="rId8037" Type="http://schemas.openxmlformats.org/officeDocument/2006/relationships/hyperlink" Target="https://www.immoscout24.ch/fr/appartement/acheter/lieu-sachseln" TargetMode="External"/><Relationship Id="rId8036" Type="http://schemas.openxmlformats.org/officeDocument/2006/relationships/hyperlink" Target="https://www.immoscout24.ch/fr/maison/acheter/lieu-safenwil" TargetMode="External"/><Relationship Id="rId9367" Type="http://schemas.openxmlformats.org/officeDocument/2006/relationships/hyperlink" Target="https://www.immoscout24.ch/fr/maison/louer/lieu-studen-be" TargetMode="External"/><Relationship Id="rId9368" Type="http://schemas.openxmlformats.org/officeDocument/2006/relationships/hyperlink" Target="https://www.immoscout24.ch/fr/maison/louer/lieu-studen-be" TargetMode="External"/><Relationship Id="rId9369" Type="http://schemas.openxmlformats.org/officeDocument/2006/relationships/hyperlink" Target="https://www.immoscout24.ch/fr/appartement/acheter/lieu-romanens" TargetMode="External"/><Relationship Id="rId8071" Type="http://schemas.openxmlformats.org/officeDocument/2006/relationships/hyperlink" Target="https://www.immoscout24.ch/fr/appartement/acheter/quartier-monruz-neuchatel" TargetMode="External"/><Relationship Id="rId8070" Type="http://schemas.openxmlformats.org/officeDocument/2006/relationships/hyperlink" Target="https://www.immoscout24.ch/fr/appartement/acheter/lieu-sursee" TargetMode="External"/><Relationship Id="rId8064" Type="http://schemas.openxmlformats.org/officeDocument/2006/relationships/hyperlink" Target="https://www.immoscout24.ch/fr/appartement/louer/lieu-guettingen" TargetMode="External"/><Relationship Id="rId9396" Type="http://schemas.openxmlformats.org/officeDocument/2006/relationships/hyperlink" Target="https://www.immoscout24.ch/fr/appartement/louer/lieu-autigny" TargetMode="External"/><Relationship Id="rId8063" Type="http://schemas.openxmlformats.org/officeDocument/2006/relationships/hyperlink" Target="https://www.immoscout24.ch/fr/appartement/louer/lieu-guettingen" TargetMode="External"/><Relationship Id="rId9397" Type="http://schemas.openxmlformats.org/officeDocument/2006/relationships/hyperlink" Target="https://www.immoscout24.ch/fr/maison/acheter/lieu-veyras" TargetMode="External"/><Relationship Id="rId8062" Type="http://schemas.openxmlformats.org/officeDocument/2006/relationships/hyperlink" Target="https://www.immoscout24.ch/fr/maison/acheter/lieu-pont-la-ville" TargetMode="External"/><Relationship Id="rId9398" Type="http://schemas.openxmlformats.org/officeDocument/2006/relationships/hyperlink" Target="https://www.immoscout24.ch/fr/maison/acheter/lieu-veyras" TargetMode="External"/><Relationship Id="rId8061" Type="http://schemas.openxmlformats.org/officeDocument/2006/relationships/hyperlink" Target="https://www.immoscout24.ch/fr/maison/acheter/lieu-pont-la-ville" TargetMode="External"/><Relationship Id="rId9399" Type="http://schemas.openxmlformats.org/officeDocument/2006/relationships/hyperlink" Target="https://www.immoscout24.ch/fr/maison/louer/lieu-muttenz" TargetMode="External"/><Relationship Id="rId8068" Type="http://schemas.openxmlformats.org/officeDocument/2006/relationships/hyperlink" Target="https://www.immoscout24.ch/fr/appartement/louer/lieu-greng" TargetMode="External"/><Relationship Id="rId9392" Type="http://schemas.openxmlformats.org/officeDocument/2006/relationships/hyperlink" Target="https://www.immoscout24.ch/fr/appartement/louer/lieu-les-avants" TargetMode="External"/><Relationship Id="rId8067" Type="http://schemas.openxmlformats.org/officeDocument/2006/relationships/hyperlink" Target="https://www.immoscout24.ch/fr/appartement/louer/lieu-greng" TargetMode="External"/><Relationship Id="rId9393" Type="http://schemas.openxmlformats.org/officeDocument/2006/relationships/hyperlink" Target="https://www.immoscout24.ch/fr/maison/louer/canton-neuchatel" TargetMode="External"/><Relationship Id="rId8066" Type="http://schemas.openxmlformats.org/officeDocument/2006/relationships/hyperlink" Target="https://www.immoscout24.ch/fr/appartement/louer/lieu-levron" TargetMode="External"/><Relationship Id="rId9394" Type="http://schemas.openxmlformats.org/officeDocument/2006/relationships/hyperlink" Target="https://www.immoscout24.ch/fr/maison/louer/canton-neuchatel" TargetMode="External"/><Relationship Id="rId8065" Type="http://schemas.openxmlformats.org/officeDocument/2006/relationships/hyperlink" Target="https://www.immoscout24.ch/fr/appartement/louer/lieu-levron" TargetMode="External"/><Relationship Id="rId9395" Type="http://schemas.openxmlformats.org/officeDocument/2006/relationships/hyperlink" Target="https://www.immoscout24.ch/fr/appartement/louer/lieu-autigny" TargetMode="External"/><Relationship Id="rId8069" Type="http://schemas.openxmlformats.org/officeDocument/2006/relationships/hyperlink" Target="https://www.immoscout24.ch/fr/appartement/acheter/lieu-sursee" TargetMode="External"/><Relationship Id="rId9390" Type="http://schemas.openxmlformats.org/officeDocument/2006/relationships/hyperlink" Target="https://www.immoscout24.ch/fr/maison/acheter/lieu-im-fang" TargetMode="External"/><Relationship Id="rId9391" Type="http://schemas.openxmlformats.org/officeDocument/2006/relationships/hyperlink" Target="https://www.immoscout24.ch/fr/appartement/louer/lieu-les-avants" TargetMode="External"/><Relationship Id="rId8060" Type="http://schemas.openxmlformats.org/officeDocument/2006/relationships/hyperlink" Target="https://www.immoscout24.ch/fr/appartement/louer/lieu-grand-lancy" TargetMode="External"/><Relationship Id="rId8053" Type="http://schemas.openxmlformats.org/officeDocument/2006/relationships/hyperlink" Target="https://www.immoscout24.ch/fr/maison/acheter/region-jura-bernois" TargetMode="External"/><Relationship Id="rId9385" Type="http://schemas.openxmlformats.org/officeDocument/2006/relationships/hyperlink" Target="https://www.immoscout24.ch/fr/appartement/louer/lieu-travers" TargetMode="External"/><Relationship Id="rId8052" Type="http://schemas.openxmlformats.org/officeDocument/2006/relationships/hyperlink" Target="https://www.immoscout24.ch/fr/maison/acheter/lieu-dardagny" TargetMode="External"/><Relationship Id="rId9386" Type="http://schemas.openxmlformats.org/officeDocument/2006/relationships/hyperlink" Target="https://www.immoscout24.ch/fr/appartement/louer/lieu-travers" TargetMode="External"/><Relationship Id="rId8051" Type="http://schemas.openxmlformats.org/officeDocument/2006/relationships/hyperlink" Target="https://www.immoscout24.ch/fr/maison/acheter/lieu-dardagny" TargetMode="External"/><Relationship Id="rId9387" Type="http://schemas.openxmlformats.org/officeDocument/2006/relationships/hyperlink" Target="https://www.immoscout24.ch/fr/maison/acheter/lieu-mesocco" TargetMode="External"/><Relationship Id="rId8050" Type="http://schemas.openxmlformats.org/officeDocument/2006/relationships/hyperlink" Target="https://www.immoscout24.ch/fr/appartement/louer/region-lac-majeur" TargetMode="External"/><Relationship Id="rId9388" Type="http://schemas.openxmlformats.org/officeDocument/2006/relationships/hyperlink" Target="https://www.immoscout24.ch/fr/maison/acheter/lieu-mesocco" TargetMode="External"/><Relationship Id="rId8057" Type="http://schemas.openxmlformats.org/officeDocument/2006/relationships/hyperlink" Target="https://www.immoscout24.ch/fr/appartement/louer/lieu-root" TargetMode="External"/><Relationship Id="rId9381" Type="http://schemas.openxmlformats.org/officeDocument/2006/relationships/hyperlink" Target="https://www.immoscout24.ch/fr/appartement/acheter/lieu-rombach" TargetMode="External"/><Relationship Id="rId8056" Type="http://schemas.openxmlformats.org/officeDocument/2006/relationships/hyperlink" Target="https://www.immoscout24.ch/fr/maison/acheter/lieu-bougy-villars" TargetMode="External"/><Relationship Id="rId9382" Type="http://schemas.openxmlformats.org/officeDocument/2006/relationships/hyperlink" Target="https://www.immoscout24.ch/fr/appartement/acheter/lieu-rombach" TargetMode="External"/><Relationship Id="rId8055" Type="http://schemas.openxmlformats.org/officeDocument/2006/relationships/hyperlink" Target="https://www.immoscout24.ch/fr/maison/acheter/lieu-bougy-villars" TargetMode="External"/><Relationship Id="rId9383" Type="http://schemas.openxmlformats.org/officeDocument/2006/relationships/hyperlink" Target="https://www.immoscout24.ch/fr/appartement/acheter/quartier-buempliz-berne" TargetMode="External"/><Relationship Id="rId8054" Type="http://schemas.openxmlformats.org/officeDocument/2006/relationships/hyperlink" Target="https://www.immoscout24.ch/fr/maison/acheter/region-jura-bernois" TargetMode="External"/><Relationship Id="rId9384" Type="http://schemas.openxmlformats.org/officeDocument/2006/relationships/hyperlink" Target="https://www.immoscout24.ch/fr/appartement/acheter/quartier-buempliz-berne" TargetMode="External"/><Relationship Id="rId8059" Type="http://schemas.openxmlformats.org/officeDocument/2006/relationships/hyperlink" Target="https://www.immoscout24.ch/fr/appartement/louer/lieu-grand-lancy" TargetMode="External"/><Relationship Id="rId8058" Type="http://schemas.openxmlformats.org/officeDocument/2006/relationships/hyperlink" Target="https://www.immoscout24.ch/fr/appartement/louer/lieu-root" TargetMode="External"/><Relationship Id="rId9389" Type="http://schemas.openxmlformats.org/officeDocument/2006/relationships/hyperlink" Target="https://www.immoscout24.ch/fr/maison/acheter/lieu-im-fang" TargetMode="External"/><Relationship Id="rId10215" Type="http://schemas.openxmlformats.org/officeDocument/2006/relationships/hyperlink" Target="https://www.immoscout24.ch/fr/maison/louer/region-frauenfeld-muenchwilen" TargetMode="External"/><Relationship Id="rId11547" Type="http://schemas.openxmlformats.org/officeDocument/2006/relationships/hyperlink" Target="https://www.immoscout24.ch/fr/appartement/acheter/lieu-chezard-st-martin" TargetMode="External"/><Relationship Id="rId10216" Type="http://schemas.openxmlformats.org/officeDocument/2006/relationships/hyperlink" Target="https://www.immoscout24.ch/fr/maison/louer/region-frauenfeld-muenchwilen" TargetMode="External"/><Relationship Id="rId11546" Type="http://schemas.openxmlformats.org/officeDocument/2006/relationships/hyperlink" Target="https://www.immoscout24.ch/fr/appartement/acheter/lieu-samnaun-compatsch" TargetMode="External"/><Relationship Id="rId10213" Type="http://schemas.openxmlformats.org/officeDocument/2006/relationships/hyperlink" Target="https://www.immoscout24.ch/fr/maison/acheter/lieu-isenfluh" TargetMode="External"/><Relationship Id="rId11545" Type="http://schemas.openxmlformats.org/officeDocument/2006/relationships/hyperlink" Target="https://www.immoscout24.ch/fr/appartement/acheter/lieu-samnaun-compatsch" TargetMode="External"/><Relationship Id="rId10214" Type="http://schemas.openxmlformats.org/officeDocument/2006/relationships/hyperlink" Target="https://www.immoscout24.ch/fr/maison/acheter/lieu-isenfluh" TargetMode="External"/><Relationship Id="rId11544" Type="http://schemas.openxmlformats.org/officeDocument/2006/relationships/hyperlink" Target="https://www.immoscout24.ch/fr/appartement/louer/lieu-brig" TargetMode="External"/><Relationship Id="rId10219" Type="http://schemas.openxmlformats.org/officeDocument/2006/relationships/hyperlink" Target="https://www.immoscout24.ch/fr/appartement/louer/lieu-ederswiler" TargetMode="External"/><Relationship Id="rId10217" Type="http://schemas.openxmlformats.org/officeDocument/2006/relationships/hyperlink" Target="https://www.immoscout24.ch/fr/appartement/acheter/lieu-daerligen" TargetMode="External"/><Relationship Id="rId11549" Type="http://schemas.openxmlformats.org/officeDocument/2006/relationships/hyperlink" Target="https://www.immoscout24.ch/fr/maison/acheter/pays-italie" TargetMode="External"/><Relationship Id="rId10218" Type="http://schemas.openxmlformats.org/officeDocument/2006/relationships/hyperlink" Target="https://www.immoscout24.ch/fr/appartement/acheter/lieu-daerligen" TargetMode="External"/><Relationship Id="rId11548" Type="http://schemas.openxmlformats.org/officeDocument/2006/relationships/hyperlink" Target="https://www.immoscout24.ch/fr/appartement/acheter/lieu-chezard-st-martin" TargetMode="External"/><Relationship Id="rId10211" Type="http://schemas.openxmlformats.org/officeDocument/2006/relationships/hyperlink" Target="https://www.immoscout24.ch/fr/appartement/louer/lieu-cadenazzo" TargetMode="External"/><Relationship Id="rId11543" Type="http://schemas.openxmlformats.org/officeDocument/2006/relationships/hyperlink" Target="https://www.immoscout24.ch/fr/appartement/louer/lieu-brig" TargetMode="External"/><Relationship Id="rId10212" Type="http://schemas.openxmlformats.org/officeDocument/2006/relationships/hyperlink" Target="https://www.immoscout24.ch/fr/appartement/louer/lieu-cadenazzo" TargetMode="External"/><Relationship Id="rId11542" Type="http://schemas.openxmlformats.org/officeDocument/2006/relationships/hyperlink" Target="https://www.immoscout24.ch/fr/appartement/louer/lieu-couvet" TargetMode="External"/><Relationship Id="rId11541" Type="http://schemas.openxmlformats.org/officeDocument/2006/relationships/hyperlink" Target="https://www.immoscout24.ch/fr/appartement/louer/lieu-couvet" TargetMode="External"/><Relationship Id="rId10210" Type="http://schemas.openxmlformats.org/officeDocument/2006/relationships/hyperlink" Target="https://www.immoscout24.ch/fr/maison/acheter/lieu-fornet-dessus" TargetMode="External"/><Relationship Id="rId11540" Type="http://schemas.openxmlformats.org/officeDocument/2006/relationships/hyperlink" Target="https://www.immoscout24.ch/fr/appartement/acheter/lieu-ennetbuergen" TargetMode="External"/><Relationship Id="rId10226" Type="http://schemas.openxmlformats.org/officeDocument/2006/relationships/hyperlink" Target="https://www.immoscout24.ch/fr/appartement/acheter/canton-glaris" TargetMode="External"/><Relationship Id="rId11558" Type="http://schemas.openxmlformats.org/officeDocument/2006/relationships/hyperlink" Target="https://www.immoscout24.ch/fr/maison/acheter/lieu-agarone" TargetMode="External"/><Relationship Id="rId10227" Type="http://schemas.openxmlformats.org/officeDocument/2006/relationships/hyperlink" Target="https://www.immoscout24.ch/fr/maison/acheter/pays-uruguay" TargetMode="External"/><Relationship Id="rId11557" Type="http://schemas.openxmlformats.org/officeDocument/2006/relationships/hyperlink" Target="https://www.immoscout24.ch/fr/maison/acheter/lieu-agarone" TargetMode="External"/><Relationship Id="rId10224" Type="http://schemas.openxmlformats.org/officeDocument/2006/relationships/hyperlink" Target="https://www.immoscout24.ch/fr/appartement/louer/lieu-unteriberg" TargetMode="External"/><Relationship Id="rId11556" Type="http://schemas.openxmlformats.org/officeDocument/2006/relationships/hyperlink" Target="https://www.immoscout24.ch/fr/appartement/louer/lieu-doettingen" TargetMode="External"/><Relationship Id="rId10225" Type="http://schemas.openxmlformats.org/officeDocument/2006/relationships/hyperlink" Target="https://www.immoscout24.ch/fr/appartement/acheter/canton-glaris" TargetMode="External"/><Relationship Id="rId11555" Type="http://schemas.openxmlformats.org/officeDocument/2006/relationships/hyperlink" Target="https://www.immoscout24.ch/fr/appartement/louer/lieu-doettingen" TargetMode="External"/><Relationship Id="rId10228" Type="http://schemas.openxmlformats.org/officeDocument/2006/relationships/hyperlink" Target="https://www.immoscout24.ch/fr/maison/acheter/pays-uruguay" TargetMode="External"/><Relationship Id="rId10229" Type="http://schemas.openxmlformats.org/officeDocument/2006/relationships/hyperlink" Target="https://www.immoscout24.ch/fr/appartement/acheter/quartier-vieille-ville-biel-bienne" TargetMode="External"/><Relationship Id="rId11559" Type="http://schemas.openxmlformats.org/officeDocument/2006/relationships/hyperlink" Target="https://www.immoscout24.ch/fr/maison/acheter/canton-appenzell-ri" TargetMode="External"/><Relationship Id="rId11550" Type="http://schemas.openxmlformats.org/officeDocument/2006/relationships/hyperlink" Target="https://www.immoscout24.ch/fr/maison/acheter/pays-italie" TargetMode="External"/><Relationship Id="rId10222" Type="http://schemas.openxmlformats.org/officeDocument/2006/relationships/hyperlink" Target="https://www.immoscout24.ch/fr/appartement/louer/region-val-de-travers" TargetMode="External"/><Relationship Id="rId11554" Type="http://schemas.openxmlformats.org/officeDocument/2006/relationships/hyperlink" Target="https://www.immoscout24.ch/fr/appartement/acheter/lieu-kaltbrunn" TargetMode="External"/><Relationship Id="rId10223" Type="http://schemas.openxmlformats.org/officeDocument/2006/relationships/hyperlink" Target="https://www.immoscout24.ch/fr/appartement/louer/lieu-unteriberg" TargetMode="External"/><Relationship Id="rId11553" Type="http://schemas.openxmlformats.org/officeDocument/2006/relationships/hyperlink" Target="https://www.immoscout24.ch/fr/appartement/acheter/lieu-kaltbrunn" TargetMode="External"/><Relationship Id="rId10220" Type="http://schemas.openxmlformats.org/officeDocument/2006/relationships/hyperlink" Target="https://www.immoscout24.ch/fr/appartement/louer/lieu-ederswiler" TargetMode="External"/><Relationship Id="rId11552" Type="http://schemas.openxmlformats.org/officeDocument/2006/relationships/hyperlink" Target="https://www.immoscout24.ch/fr/appartement/louer/lieu-pont-de-la-morge-sion" TargetMode="External"/><Relationship Id="rId10221" Type="http://schemas.openxmlformats.org/officeDocument/2006/relationships/hyperlink" Target="https://www.immoscout24.ch/fr/appartement/louer/region-val-de-travers" TargetMode="External"/><Relationship Id="rId11551" Type="http://schemas.openxmlformats.org/officeDocument/2006/relationships/hyperlink" Target="https://www.immoscout24.ch/fr/appartement/louer/lieu-pont-de-la-morge-sion" TargetMode="External"/><Relationship Id="rId11525" Type="http://schemas.openxmlformats.org/officeDocument/2006/relationships/hyperlink" Target="https://www.immoscout24.ch/fr/maison/louer/lieu-bellach" TargetMode="External"/><Relationship Id="rId11524" Type="http://schemas.openxmlformats.org/officeDocument/2006/relationships/hyperlink" Target="https://www.immoscout24.ch/fr/maison/acheter/lieu-bourguillon" TargetMode="External"/><Relationship Id="rId11523" Type="http://schemas.openxmlformats.org/officeDocument/2006/relationships/hyperlink" Target="https://www.immoscout24.ch/fr/maison/acheter/lieu-bourguillon" TargetMode="External"/><Relationship Id="rId11522" Type="http://schemas.openxmlformats.org/officeDocument/2006/relationships/hyperlink" Target="https://www.immoscout24.ch/fr/appartement/acheter/quartier-unterstrass-zurich" TargetMode="External"/><Relationship Id="rId11529" Type="http://schemas.openxmlformats.org/officeDocument/2006/relationships/hyperlink" Target="https://www.immoscout24.ch/fr/appartement/louer/lieu-rohrbach" TargetMode="External"/><Relationship Id="rId11528" Type="http://schemas.openxmlformats.org/officeDocument/2006/relationships/hyperlink" Target="https://www.immoscout24.ch/fr/maison/acheter/lieu-villars-le-grand" TargetMode="External"/><Relationship Id="rId11527" Type="http://schemas.openxmlformats.org/officeDocument/2006/relationships/hyperlink" Target="https://www.immoscout24.ch/fr/maison/acheter/lieu-villars-le-grand" TargetMode="External"/><Relationship Id="rId11526" Type="http://schemas.openxmlformats.org/officeDocument/2006/relationships/hyperlink" Target="https://www.immoscout24.ch/fr/maison/louer/lieu-bellach" TargetMode="External"/><Relationship Id="rId11521" Type="http://schemas.openxmlformats.org/officeDocument/2006/relationships/hyperlink" Target="https://www.immoscout24.ch/fr/appartement/acheter/quartier-unterstrass-zurich" TargetMode="External"/><Relationship Id="rId11520" Type="http://schemas.openxmlformats.org/officeDocument/2006/relationships/hyperlink" Target="https://www.immoscout24.ch/fr/appartement/louer/lieu-vucherens" TargetMode="External"/><Relationship Id="rId10204" Type="http://schemas.openxmlformats.org/officeDocument/2006/relationships/hyperlink" Target="https://www.immoscout24.ch/fr/appartement/louer/quartier-champel-geneve" TargetMode="External"/><Relationship Id="rId11536" Type="http://schemas.openxmlformats.org/officeDocument/2006/relationships/hyperlink" Target="https://www.immoscout24.ch/fr/maison/acheter/lieu-saignelegier" TargetMode="External"/><Relationship Id="rId10205" Type="http://schemas.openxmlformats.org/officeDocument/2006/relationships/hyperlink" Target="https://www.immoscout24.ch/fr/appartement/louer/lieu-st-stephan" TargetMode="External"/><Relationship Id="rId11535" Type="http://schemas.openxmlformats.org/officeDocument/2006/relationships/hyperlink" Target="https://www.immoscout24.ch/fr/maison/acheter/lieu-saignelegier" TargetMode="External"/><Relationship Id="rId10202" Type="http://schemas.openxmlformats.org/officeDocument/2006/relationships/hyperlink" Target="https://www.immoscout24.ch/fr/maison/acheter/lieu-albinen" TargetMode="External"/><Relationship Id="rId11534" Type="http://schemas.openxmlformats.org/officeDocument/2006/relationships/hyperlink" Target="https://www.immoscout24.ch/fr/appartement/acheter/lieu-tagelswangen" TargetMode="External"/><Relationship Id="rId10203" Type="http://schemas.openxmlformats.org/officeDocument/2006/relationships/hyperlink" Target="https://www.immoscout24.ch/fr/appartement/louer/quartier-champel-geneve" TargetMode="External"/><Relationship Id="rId11533" Type="http://schemas.openxmlformats.org/officeDocument/2006/relationships/hyperlink" Target="https://www.immoscout24.ch/fr/appartement/acheter/lieu-tagelswangen" TargetMode="External"/><Relationship Id="rId10208" Type="http://schemas.openxmlformats.org/officeDocument/2006/relationships/hyperlink" Target="https://www.immoscout24.ch/fr/maison/louer/lieu-montagny-la-ville" TargetMode="External"/><Relationship Id="rId10209" Type="http://schemas.openxmlformats.org/officeDocument/2006/relationships/hyperlink" Target="https://www.immoscout24.ch/fr/maison/acheter/lieu-fornet-dessus" TargetMode="External"/><Relationship Id="rId11539" Type="http://schemas.openxmlformats.org/officeDocument/2006/relationships/hyperlink" Target="https://www.immoscout24.ch/fr/appartement/acheter/lieu-ennetbuergen" TargetMode="External"/><Relationship Id="rId10206" Type="http://schemas.openxmlformats.org/officeDocument/2006/relationships/hyperlink" Target="https://www.immoscout24.ch/fr/appartement/louer/lieu-st-stephan" TargetMode="External"/><Relationship Id="rId11538" Type="http://schemas.openxmlformats.org/officeDocument/2006/relationships/hyperlink" Target="https://www.immoscout24.ch/fr/maison/louer/lieu-colombier-ne" TargetMode="External"/><Relationship Id="rId10207" Type="http://schemas.openxmlformats.org/officeDocument/2006/relationships/hyperlink" Target="https://www.immoscout24.ch/fr/maison/louer/lieu-montagny-la-ville" TargetMode="External"/><Relationship Id="rId11537" Type="http://schemas.openxmlformats.org/officeDocument/2006/relationships/hyperlink" Target="https://www.immoscout24.ch/fr/maison/louer/lieu-colombier-ne" TargetMode="External"/><Relationship Id="rId10200" Type="http://schemas.openxmlformats.org/officeDocument/2006/relationships/hyperlink" Target="https://www.immoscout24.ch/fr/appartement/louer/lieu-vulliens" TargetMode="External"/><Relationship Id="rId11532" Type="http://schemas.openxmlformats.org/officeDocument/2006/relationships/hyperlink" Target="https://www.immoscout24.ch/fr/appartement/acheter/lieu-marsens" TargetMode="External"/><Relationship Id="rId10201" Type="http://schemas.openxmlformats.org/officeDocument/2006/relationships/hyperlink" Target="https://www.immoscout24.ch/fr/maison/acheter/lieu-albinen" TargetMode="External"/><Relationship Id="rId11531" Type="http://schemas.openxmlformats.org/officeDocument/2006/relationships/hyperlink" Target="https://www.immoscout24.ch/fr/appartement/acheter/lieu-marsens" TargetMode="External"/><Relationship Id="rId11530" Type="http://schemas.openxmlformats.org/officeDocument/2006/relationships/hyperlink" Target="https://www.immoscout24.ch/fr/appartement/louer/lieu-rohrbach" TargetMode="External"/><Relationship Id="rId11590" Type="http://schemas.openxmlformats.org/officeDocument/2006/relationships/hyperlink" Target="https://www.immoscout24.ch/fr/appartement/louer/quartier-gelbes-quartier-berne" TargetMode="External"/><Relationship Id="rId10259" Type="http://schemas.openxmlformats.org/officeDocument/2006/relationships/hyperlink" Target="https://www.immoscout24.ch/fr/appartement/acheter/quartier-la-coudre-neuchatel" TargetMode="External"/><Relationship Id="rId10257" Type="http://schemas.openxmlformats.org/officeDocument/2006/relationships/hyperlink" Target="https://www.immoscout24.ch/fr/appartement/acheter/lieu-bussy-chardonney" TargetMode="External"/><Relationship Id="rId11589" Type="http://schemas.openxmlformats.org/officeDocument/2006/relationships/hyperlink" Target="https://www.immoscout24.ch/fr/appartement/louer/quartier-gelbes-quartier-berne" TargetMode="External"/><Relationship Id="rId10258" Type="http://schemas.openxmlformats.org/officeDocument/2006/relationships/hyperlink" Target="https://www.immoscout24.ch/fr/appartement/acheter/lieu-bussy-chardonney" TargetMode="External"/><Relationship Id="rId11588" Type="http://schemas.openxmlformats.org/officeDocument/2006/relationships/hyperlink" Target="https://www.immoscout24.ch/fr/appartement/acheter/lieu-bevaix" TargetMode="External"/><Relationship Id="rId10251" Type="http://schemas.openxmlformats.org/officeDocument/2006/relationships/hyperlink" Target="https://www.immoscout24.ch/fr/maison/louer/region-oberland-ouest" TargetMode="External"/><Relationship Id="rId11583" Type="http://schemas.openxmlformats.org/officeDocument/2006/relationships/hyperlink" Target="https://www.immoscout24.ch/fr/appartement/louer/lieu-menieres" TargetMode="External"/><Relationship Id="rId10252" Type="http://schemas.openxmlformats.org/officeDocument/2006/relationships/hyperlink" Target="https://www.immoscout24.ch/fr/maison/louer/region-oberland-ouest" TargetMode="External"/><Relationship Id="rId11582" Type="http://schemas.openxmlformats.org/officeDocument/2006/relationships/hyperlink" Target="https://www.immoscout24.ch/fr/maison/acheter/lieu-gipf-oberfrick" TargetMode="External"/><Relationship Id="rId11581" Type="http://schemas.openxmlformats.org/officeDocument/2006/relationships/hyperlink" Target="https://www.immoscout24.ch/fr/maison/acheter/lieu-gipf-oberfrick" TargetMode="External"/><Relationship Id="rId10250" Type="http://schemas.openxmlformats.org/officeDocument/2006/relationships/hyperlink" Target="https://www.immoscout24.ch/fr/maison/acheter/lieu-villars-bramard" TargetMode="External"/><Relationship Id="rId11580" Type="http://schemas.openxmlformats.org/officeDocument/2006/relationships/hyperlink" Target="https://www.immoscout24.ch/fr/appartement/louer/lieu-comano" TargetMode="External"/><Relationship Id="rId10255" Type="http://schemas.openxmlformats.org/officeDocument/2006/relationships/hyperlink" Target="https://www.immoscout24.ch/fr/maison/acheter/lieu-vens-sembrancher" TargetMode="External"/><Relationship Id="rId11587" Type="http://schemas.openxmlformats.org/officeDocument/2006/relationships/hyperlink" Target="https://www.immoscout24.ch/fr/appartement/acheter/lieu-bevaix" TargetMode="External"/><Relationship Id="rId10256" Type="http://schemas.openxmlformats.org/officeDocument/2006/relationships/hyperlink" Target="https://www.immoscout24.ch/fr/maison/acheter/lieu-vens-sembrancher" TargetMode="External"/><Relationship Id="rId11586" Type="http://schemas.openxmlformats.org/officeDocument/2006/relationships/hyperlink" Target="https://www.immoscout24.ch/fr/appartement/acheter/quartier-lerchenfeld-thun" TargetMode="External"/><Relationship Id="rId10253" Type="http://schemas.openxmlformats.org/officeDocument/2006/relationships/hyperlink" Target="https://www.immoscout24.ch/fr/appartement/louer/lieu-vernate" TargetMode="External"/><Relationship Id="rId11585" Type="http://schemas.openxmlformats.org/officeDocument/2006/relationships/hyperlink" Target="https://www.immoscout24.ch/fr/appartement/acheter/quartier-lerchenfeld-thun" TargetMode="External"/><Relationship Id="rId10254" Type="http://schemas.openxmlformats.org/officeDocument/2006/relationships/hyperlink" Target="https://www.immoscout24.ch/fr/appartement/louer/lieu-vernate" TargetMode="External"/><Relationship Id="rId11584" Type="http://schemas.openxmlformats.org/officeDocument/2006/relationships/hyperlink" Target="https://www.immoscout24.ch/fr/appartement/louer/lieu-menieres" TargetMode="External"/><Relationship Id="rId10270" Type="http://schemas.openxmlformats.org/officeDocument/2006/relationships/hyperlink" Target="https://www.immoscout24.ch/fr/appartement/acheter/lieu-onex" TargetMode="External"/><Relationship Id="rId10268" Type="http://schemas.openxmlformats.org/officeDocument/2006/relationships/hyperlink" Target="https://www.immoscout24.ch/fr/appartement/acheter/lieu-naters" TargetMode="External"/><Relationship Id="rId10269" Type="http://schemas.openxmlformats.org/officeDocument/2006/relationships/hyperlink" Target="https://www.immoscout24.ch/fr/appartement/acheter/lieu-onex" TargetMode="External"/><Relationship Id="rId11599" Type="http://schemas.openxmlformats.org/officeDocument/2006/relationships/hyperlink" Target="https://www.immoscout24.ch/fr/appartement/acheter/lieu-bretigny-sur-morrens" TargetMode="External"/><Relationship Id="rId10262" Type="http://schemas.openxmlformats.org/officeDocument/2006/relationships/hyperlink" Target="https://www.immoscout24.ch/fr/maison/acheter/lieu-kirchberg-be" TargetMode="External"/><Relationship Id="rId11594" Type="http://schemas.openxmlformats.org/officeDocument/2006/relationships/hyperlink" Target="https://www.immoscout24.ch/fr/appartement/louer/lieu-le-brouillet" TargetMode="External"/><Relationship Id="rId10263" Type="http://schemas.openxmlformats.org/officeDocument/2006/relationships/hyperlink" Target="https://www.immoscout24.ch/fr/appartement/louer/lieu-curio" TargetMode="External"/><Relationship Id="rId11593" Type="http://schemas.openxmlformats.org/officeDocument/2006/relationships/hyperlink" Target="https://www.immoscout24.ch/fr/appartement/louer/lieu-le-brouillet" TargetMode="External"/><Relationship Id="rId10260" Type="http://schemas.openxmlformats.org/officeDocument/2006/relationships/hyperlink" Target="https://www.immoscout24.ch/fr/appartement/acheter/quartier-la-coudre-neuchatel" TargetMode="External"/><Relationship Id="rId11592" Type="http://schemas.openxmlformats.org/officeDocument/2006/relationships/hyperlink" Target="https://www.immoscout24.ch/fr/appartement/acheter/lieu-vinelz" TargetMode="External"/><Relationship Id="rId10261" Type="http://schemas.openxmlformats.org/officeDocument/2006/relationships/hyperlink" Target="https://www.immoscout24.ch/fr/maison/acheter/lieu-kirchberg-be" TargetMode="External"/><Relationship Id="rId11591" Type="http://schemas.openxmlformats.org/officeDocument/2006/relationships/hyperlink" Target="https://www.immoscout24.ch/fr/appartement/acheter/lieu-vinelz" TargetMode="External"/><Relationship Id="rId10266" Type="http://schemas.openxmlformats.org/officeDocument/2006/relationships/hyperlink" Target="https://www.immoscout24.ch/fr/appartement/louer/lieu-missy" TargetMode="External"/><Relationship Id="rId11598" Type="http://schemas.openxmlformats.org/officeDocument/2006/relationships/hyperlink" Target="https://www.immoscout24.ch/fr/maison/acheter/lieu-vicques" TargetMode="External"/><Relationship Id="rId10267" Type="http://schemas.openxmlformats.org/officeDocument/2006/relationships/hyperlink" Target="https://www.immoscout24.ch/fr/appartement/acheter/lieu-naters" TargetMode="External"/><Relationship Id="rId11597" Type="http://schemas.openxmlformats.org/officeDocument/2006/relationships/hyperlink" Target="https://www.immoscout24.ch/fr/maison/acheter/lieu-vicques" TargetMode="External"/><Relationship Id="rId10264" Type="http://schemas.openxmlformats.org/officeDocument/2006/relationships/hyperlink" Target="https://www.immoscout24.ch/fr/appartement/louer/lieu-curio" TargetMode="External"/><Relationship Id="rId11596" Type="http://schemas.openxmlformats.org/officeDocument/2006/relationships/hyperlink" Target="https://www.immoscout24.ch/fr/appartement/louer/lieu-oberwil-b-zug" TargetMode="External"/><Relationship Id="rId10265" Type="http://schemas.openxmlformats.org/officeDocument/2006/relationships/hyperlink" Target="https://www.immoscout24.ch/fr/appartement/louer/lieu-missy" TargetMode="External"/><Relationship Id="rId11595" Type="http://schemas.openxmlformats.org/officeDocument/2006/relationships/hyperlink" Target="https://www.immoscout24.ch/fr/appartement/louer/lieu-oberwil-b-zug" TargetMode="External"/><Relationship Id="rId10237" Type="http://schemas.openxmlformats.org/officeDocument/2006/relationships/hyperlink" Target="https://www.immoscout24.ch/fr/maison/acheter/lieu-brione-sopra-minusio" TargetMode="External"/><Relationship Id="rId11569" Type="http://schemas.openxmlformats.org/officeDocument/2006/relationships/hyperlink" Target="https://www.immoscout24.ch/fr/maison/acheter/lieu-charmey-gruyere" TargetMode="External"/><Relationship Id="rId10238" Type="http://schemas.openxmlformats.org/officeDocument/2006/relationships/hyperlink" Target="https://www.immoscout24.ch/fr/maison/acheter/lieu-brione-sopra-minusio" TargetMode="External"/><Relationship Id="rId11568" Type="http://schemas.openxmlformats.org/officeDocument/2006/relationships/hyperlink" Target="https://www.immoscout24.ch/fr/appartement/louer/lieu-la-tanne" TargetMode="External"/><Relationship Id="rId10235" Type="http://schemas.openxmlformats.org/officeDocument/2006/relationships/hyperlink" Target="https://www.immoscout24.ch/fr/appartement/louer/lieu-gimel" TargetMode="External"/><Relationship Id="rId11567" Type="http://schemas.openxmlformats.org/officeDocument/2006/relationships/hyperlink" Target="https://www.immoscout24.ch/fr/appartement/louer/lieu-la-tanne" TargetMode="External"/><Relationship Id="rId10236" Type="http://schemas.openxmlformats.org/officeDocument/2006/relationships/hyperlink" Target="https://www.immoscout24.ch/fr/appartement/louer/lieu-gimel" TargetMode="External"/><Relationship Id="rId11566" Type="http://schemas.openxmlformats.org/officeDocument/2006/relationships/hyperlink" Target="https://www.immoscout24.ch/fr/appartement/acheter/lieu-monte-carasso" TargetMode="External"/><Relationship Id="rId10239" Type="http://schemas.openxmlformats.org/officeDocument/2006/relationships/hyperlink" Target="https://www.immoscout24.ch/fr/maison/acheter/lieu-grattavache" TargetMode="External"/><Relationship Id="rId11561" Type="http://schemas.openxmlformats.org/officeDocument/2006/relationships/hyperlink" Target="https://www.immoscout24.ch/fr/maison/louer/lieu-appenzell" TargetMode="External"/><Relationship Id="rId10230" Type="http://schemas.openxmlformats.org/officeDocument/2006/relationships/hyperlink" Target="https://www.immoscout24.ch/fr/appartement/acheter/quartier-vieille-ville-biel-bienne" TargetMode="External"/><Relationship Id="rId11560" Type="http://schemas.openxmlformats.org/officeDocument/2006/relationships/hyperlink" Target="https://www.immoscout24.ch/fr/maison/acheter/canton-appenzell-ri" TargetMode="External"/><Relationship Id="rId10233" Type="http://schemas.openxmlformats.org/officeDocument/2006/relationships/hyperlink" Target="https://www.immoscout24.ch/fr/appartement/louer/lieu-varen" TargetMode="External"/><Relationship Id="rId11565" Type="http://schemas.openxmlformats.org/officeDocument/2006/relationships/hyperlink" Target="https://www.immoscout24.ch/fr/appartement/acheter/lieu-monte-carasso" TargetMode="External"/><Relationship Id="rId10234" Type="http://schemas.openxmlformats.org/officeDocument/2006/relationships/hyperlink" Target="https://www.immoscout24.ch/fr/appartement/louer/lieu-varen" TargetMode="External"/><Relationship Id="rId11564" Type="http://schemas.openxmlformats.org/officeDocument/2006/relationships/hyperlink" Target="https://www.immoscout24.ch/fr/appartement/louer/lieu-uetikon-am-see" TargetMode="External"/><Relationship Id="rId10231" Type="http://schemas.openxmlformats.org/officeDocument/2006/relationships/hyperlink" Target="https://www.immoscout24.ch/fr/maison/louer/canton-zurich" TargetMode="External"/><Relationship Id="rId11563" Type="http://schemas.openxmlformats.org/officeDocument/2006/relationships/hyperlink" Target="https://www.immoscout24.ch/fr/appartement/louer/lieu-uetikon-am-see" TargetMode="External"/><Relationship Id="rId10232" Type="http://schemas.openxmlformats.org/officeDocument/2006/relationships/hyperlink" Target="https://www.immoscout24.ch/fr/maison/louer/canton-zurich" TargetMode="External"/><Relationship Id="rId11562" Type="http://schemas.openxmlformats.org/officeDocument/2006/relationships/hyperlink" Target="https://www.immoscout24.ch/fr/maison/louer/lieu-appenzell" TargetMode="External"/><Relationship Id="rId10248" Type="http://schemas.openxmlformats.org/officeDocument/2006/relationships/hyperlink" Target="https://www.immoscout24.ch/fr/appartement/louer/lieu-lussy-fr" TargetMode="External"/><Relationship Id="rId10249" Type="http://schemas.openxmlformats.org/officeDocument/2006/relationships/hyperlink" Target="https://www.immoscout24.ch/fr/maison/acheter/lieu-villars-bramard" TargetMode="External"/><Relationship Id="rId11579" Type="http://schemas.openxmlformats.org/officeDocument/2006/relationships/hyperlink" Target="https://www.immoscout24.ch/fr/appartement/louer/lieu-comano" TargetMode="External"/><Relationship Id="rId10246" Type="http://schemas.openxmlformats.org/officeDocument/2006/relationships/hyperlink" Target="https://www.immoscout24.ch/fr/appartement/louer/lieu-trimbach" TargetMode="External"/><Relationship Id="rId11578" Type="http://schemas.openxmlformats.org/officeDocument/2006/relationships/hyperlink" Target="https://www.immoscout24.ch/fr/maison/acheter/lieu-sierre" TargetMode="External"/><Relationship Id="rId10247" Type="http://schemas.openxmlformats.org/officeDocument/2006/relationships/hyperlink" Target="https://www.immoscout24.ch/fr/appartement/louer/lieu-lussy-fr" TargetMode="External"/><Relationship Id="rId11577" Type="http://schemas.openxmlformats.org/officeDocument/2006/relationships/hyperlink" Target="https://www.immoscout24.ch/fr/maison/acheter/lieu-sierre" TargetMode="External"/><Relationship Id="rId10240" Type="http://schemas.openxmlformats.org/officeDocument/2006/relationships/hyperlink" Target="https://www.immoscout24.ch/fr/maison/acheter/lieu-grattavache" TargetMode="External"/><Relationship Id="rId11572" Type="http://schemas.openxmlformats.org/officeDocument/2006/relationships/hyperlink" Target="https://www.immoscout24.ch/fr/appartement/louer/lieu-st-prex" TargetMode="External"/><Relationship Id="rId10241" Type="http://schemas.openxmlformats.org/officeDocument/2006/relationships/hyperlink" Target="https://www.immoscout24.ch/fr/appartement/louer/lieu-kloten" TargetMode="External"/><Relationship Id="rId11571" Type="http://schemas.openxmlformats.org/officeDocument/2006/relationships/hyperlink" Target="https://www.immoscout24.ch/fr/appartement/louer/lieu-st-prex" TargetMode="External"/><Relationship Id="rId11570" Type="http://schemas.openxmlformats.org/officeDocument/2006/relationships/hyperlink" Target="https://www.immoscout24.ch/fr/maison/acheter/lieu-charmey-gruyere" TargetMode="External"/><Relationship Id="rId10244" Type="http://schemas.openxmlformats.org/officeDocument/2006/relationships/hyperlink" Target="https://www.immoscout24.ch/fr/appartement/louer/lieu-les-tailleres" TargetMode="External"/><Relationship Id="rId11576" Type="http://schemas.openxmlformats.org/officeDocument/2006/relationships/hyperlink" Target="https://www.immoscout24.ch/fr/maison/acheter/lieu-martigny-croix" TargetMode="External"/><Relationship Id="rId10245" Type="http://schemas.openxmlformats.org/officeDocument/2006/relationships/hyperlink" Target="https://www.immoscout24.ch/fr/appartement/louer/lieu-trimbach" TargetMode="External"/><Relationship Id="rId11575" Type="http://schemas.openxmlformats.org/officeDocument/2006/relationships/hyperlink" Target="https://www.immoscout24.ch/fr/maison/acheter/lieu-martigny-croix" TargetMode="External"/><Relationship Id="rId10242" Type="http://schemas.openxmlformats.org/officeDocument/2006/relationships/hyperlink" Target="https://www.immoscout24.ch/fr/appartement/louer/lieu-kloten" TargetMode="External"/><Relationship Id="rId11574" Type="http://schemas.openxmlformats.org/officeDocument/2006/relationships/hyperlink" Target="https://www.immoscout24.ch/fr/maison/louer/lieu-lignieres" TargetMode="External"/><Relationship Id="rId10243" Type="http://schemas.openxmlformats.org/officeDocument/2006/relationships/hyperlink" Target="https://www.immoscout24.ch/fr/appartement/louer/lieu-les-tailleres" TargetMode="External"/><Relationship Id="rId11573" Type="http://schemas.openxmlformats.org/officeDocument/2006/relationships/hyperlink" Target="https://www.immoscout24.ch/fr/maison/louer/lieu-lignieres" TargetMode="External"/><Relationship Id="rId190" Type="http://schemas.openxmlformats.org/officeDocument/2006/relationships/hyperlink" Target="https://www.immoscout24.ch/fr/maison/acheter/lieu-croy" TargetMode="External"/><Relationship Id="rId194" Type="http://schemas.openxmlformats.org/officeDocument/2006/relationships/hyperlink" Target="https://www.immoscout24.ch/fr/appartement/acheter/pays-montenegro" TargetMode="External"/><Relationship Id="rId193" Type="http://schemas.openxmlformats.org/officeDocument/2006/relationships/hyperlink" Target="https://www.immoscout24.ch/fr/appartement/acheter/pays-montenegro" TargetMode="External"/><Relationship Id="rId192" Type="http://schemas.openxmlformats.org/officeDocument/2006/relationships/hyperlink" Target="https://www.immoscout24.ch/fr/maison/louer/lieu-prez-vers-noreaz" TargetMode="External"/><Relationship Id="rId191" Type="http://schemas.openxmlformats.org/officeDocument/2006/relationships/hyperlink" Target="https://www.immoscout24.ch/fr/maison/louer/lieu-prez-vers-noreaz" TargetMode="External"/><Relationship Id="rId11829" Type="http://schemas.openxmlformats.org/officeDocument/2006/relationships/hyperlink" Target="https://www.immoscout24.ch/fr/appartement/acheter/lieu-murten" TargetMode="External"/><Relationship Id="rId11828" Type="http://schemas.openxmlformats.org/officeDocument/2006/relationships/hyperlink" Target="https://www.immoscout24.ch/fr/maison/acheter/lieu-noflen-be" TargetMode="External"/><Relationship Id="rId11827" Type="http://schemas.openxmlformats.org/officeDocument/2006/relationships/hyperlink" Target="https://www.immoscout24.ch/fr/maison/acheter/lieu-noflen-be" TargetMode="External"/><Relationship Id="rId11822" Type="http://schemas.openxmlformats.org/officeDocument/2006/relationships/hyperlink" Target="https://www.immoscout24.ch/fr/appartement/acheter/lieu-chavannes-pres-renens" TargetMode="External"/><Relationship Id="rId11821" Type="http://schemas.openxmlformats.org/officeDocument/2006/relationships/hyperlink" Target="https://www.immoscout24.ch/fr/appartement/acheter/lieu-chavannes-pres-renens" TargetMode="External"/><Relationship Id="rId11820" Type="http://schemas.openxmlformats.org/officeDocument/2006/relationships/hyperlink" Target="https://www.immoscout24.ch/fr/appartement/louer/lieu-veytaux" TargetMode="External"/><Relationship Id="rId11826" Type="http://schemas.openxmlformats.org/officeDocument/2006/relationships/hyperlink" Target="https://www.immoscout24.ch/fr/maison/acheter/lieu-satigny" TargetMode="External"/><Relationship Id="rId11825" Type="http://schemas.openxmlformats.org/officeDocument/2006/relationships/hyperlink" Target="https://www.immoscout24.ch/fr/maison/acheter/lieu-satigny" TargetMode="External"/><Relationship Id="rId11824" Type="http://schemas.openxmlformats.org/officeDocument/2006/relationships/hyperlink" Target="https://www.immoscout24.ch/fr/maison/acheter/lieu-chez-le-bart" TargetMode="External"/><Relationship Id="rId11823" Type="http://schemas.openxmlformats.org/officeDocument/2006/relationships/hyperlink" Target="https://www.immoscout24.ch/fr/maison/acheter/lieu-chez-le-bart" TargetMode="External"/><Relationship Id="rId187" Type="http://schemas.openxmlformats.org/officeDocument/2006/relationships/hyperlink" Target="https://www.immoscout24.ch/fr/appartement/louer/lieu-muellheim-dorf" TargetMode="External"/><Relationship Id="rId186" Type="http://schemas.openxmlformats.org/officeDocument/2006/relationships/hyperlink" Target="https://www.immoscout24.ch/fr/maison/acheter/lieu-bellinzona" TargetMode="External"/><Relationship Id="rId185" Type="http://schemas.openxmlformats.org/officeDocument/2006/relationships/hyperlink" Target="https://www.immoscout24.ch/fr/maison/acheter/lieu-bellinzona" TargetMode="External"/><Relationship Id="rId184" Type="http://schemas.openxmlformats.org/officeDocument/2006/relationships/hyperlink" Target="https://www.immoscout24.ch/fr/appartement/louer/lieu-dizy" TargetMode="External"/><Relationship Id="rId189" Type="http://schemas.openxmlformats.org/officeDocument/2006/relationships/hyperlink" Target="https://www.immoscout24.ch/fr/maison/acheter/lieu-croy" TargetMode="External"/><Relationship Id="rId188" Type="http://schemas.openxmlformats.org/officeDocument/2006/relationships/hyperlink" Target="https://www.immoscout24.ch/fr/appartement/louer/lieu-muellheim-dorf" TargetMode="External"/><Relationship Id="rId183" Type="http://schemas.openxmlformats.org/officeDocument/2006/relationships/hyperlink" Target="https://www.immoscout24.ch/fr/appartement/louer/lieu-dizy" TargetMode="External"/><Relationship Id="rId182" Type="http://schemas.openxmlformats.org/officeDocument/2006/relationships/hyperlink" Target="https://www.immoscout24.ch/fr/maison/acheter/lieu-granges-paccot" TargetMode="External"/><Relationship Id="rId181" Type="http://schemas.openxmlformats.org/officeDocument/2006/relationships/hyperlink" Target="https://www.immoscout24.ch/fr/maison/acheter/lieu-granges-paccot" TargetMode="External"/><Relationship Id="rId180" Type="http://schemas.openxmlformats.org/officeDocument/2006/relationships/hyperlink" Target="https://www.immoscout24.ch/fr/appartement/acheter/quartier-bethlehem-berne" TargetMode="External"/><Relationship Id="rId10509" Type="http://schemas.openxmlformats.org/officeDocument/2006/relationships/hyperlink" Target="https://www.immoscout24.ch/fr/maison/acheter/lieu-bursins" TargetMode="External"/><Relationship Id="rId10507" Type="http://schemas.openxmlformats.org/officeDocument/2006/relationships/hyperlink" Target="https://www.immoscout24.ch/fr/maison/acheter/lieu-grimisuat" TargetMode="External"/><Relationship Id="rId11839" Type="http://schemas.openxmlformats.org/officeDocument/2006/relationships/hyperlink" Target="https://www.immoscout24.ch/fr/maison/louer/lieu-vouvry" TargetMode="External"/><Relationship Id="rId10508" Type="http://schemas.openxmlformats.org/officeDocument/2006/relationships/hyperlink" Target="https://www.immoscout24.ch/fr/maison/acheter/lieu-grimisuat" TargetMode="External"/><Relationship Id="rId11838" Type="http://schemas.openxmlformats.org/officeDocument/2006/relationships/hyperlink" Target="https://www.immoscout24.ch/fr/maison/louer/lieu-grandevent" TargetMode="External"/><Relationship Id="rId10501" Type="http://schemas.openxmlformats.org/officeDocument/2006/relationships/hyperlink" Target="https://www.immoscout24.ch/fr/maison/acheter/lieu-morges" TargetMode="External"/><Relationship Id="rId11833" Type="http://schemas.openxmlformats.org/officeDocument/2006/relationships/hyperlink" Target="https://www.immoscout24.ch/fr/appartement/louer/lieu-taesch" TargetMode="External"/><Relationship Id="rId10502" Type="http://schemas.openxmlformats.org/officeDocument/2006/relationships/hyperlink" Target="https://www.immoscout24.ch/fr/maison/acheter/lieu-morges" TargetMode="External"/><Relationship Id="rId11832" Type="http://schemas.openxmlformats.org/officeDocument/2006/relationships/hyperlink" Target="https://www.immoscout24.ch/fr/maison/louer/lieu-la-forclaz-vd" TargetMode="External"/><Relationship Id="rId11831" Type="http://schemas.openxmlformats.org/officeDocument/2006/relationships/hyperlink" Target="https://www.immoscout24.ch/fr/maison/louer/lieu-la-forclaz-vd" TargetMode="External"/><Relationship Id="rId10500" Type="http://schemas.openxmlformats.org/officeDocument/2006/relationships/hyperlink" Target="https://www.immoscout24.ch/fr/appartement/louer/lieu-wahlen-b-laufen" TargetMode="External"/><Relationship Id="rId11830" Type="http://schemas.openxmlformats.org/officeDocument/2006/relationships/hyperlink" Target="https://www.immoscout24.ch/fr/appartement/acheter/lieu-murten" TargetMode="External"/><Relationship Id="rId10505" Type="http://schemas.openxmlformats.org/officeDocument/2006/relationships/hyperlink" Target="https://www.immoscout24.ch/fr/appartement/louer/lieu-les-brenets" TargetMode="External"/><Relationship Id="rId11837" Type="http://schemas.openxmlformats.org/officeDocument/2006/relationships/hyperlink" Target="https://www.immoscout24.ch/fr/maison/louer/lieu-grandevent" TargetMode="External"/><Relationship Id="rId10506" Type="http://schemas.openxmlformats.org/officeDocument/2006/relationships/hyperlink" Target="https://www.immoscout24.ch/fr/appartement/louer/lieu-les-brenets" TargetMode="External"/><Relationship Id="rId11836" Type="http://schemas.openxmlformats.org/officeDocument/2006/relationships/hyperlink" Target="https://www.immoscout24.ch/fr/appartement/louer/lieu-courrendlin" TargetMode="External"/><Relationship Id="rId10503" Type="http://schemas.openxmlformats.org/officeDocument/2006/relationships/hyperlink" Target="https://www.immoscout24.ch/fr/maison/louer/lieu-mathod" TargetMode="External"/><Relationship Id="rId11835" Type="http://schemas.openxmlformats.org/officeDocument/2006/relationships/hyperlink" Target="https://www.immoscout24.ch/fr/appartement/louer/lieu-courrendlin" TargetMode="External"/><Relationship Id="rId10504" Type="http://schemas.openxmlformats.org/officeDocument/2006/relationships/hyperlink" Target="https://www.immoscout24.ch/fr/maison/louer/lieu-mathod" TargetMode="External"/><Relationship Id="rId11834" Type="http://schemas.openxmlformats.org/officeDocument/2006/relationships/hyperlink" Target="https://www.immoscout24.ch/fr/appartement/louer/lieu-taesch" TargetMode="External"/><Relationship Id="rId176" Type="http://schemas.openxmlformats.org/officeDocument/2006/relationships/hyperlink" Target="https://www.immoscout24.ch/fr/maison/acheter/lieu-kaisten" TargetMode="External"/><Relationship Id="rId175" Type="http://schemas.openxmlformats.org/officeDocument/2006/relationships/hyperlink" Target="https://www.immoscout24.ch/fr/maison/acheter/lieu-kaisten" TargetMode="External"/><Relationship Id="rId174" Type="http://schemas.openxmlformats.org/officeDocument/2006/relationships/hyperlink" Target="https://www.immoscout24.ch/fr/maison/acheter/lieu-bex" TargetMode="External"/><Relationship Id="rId173" Type="http://schemas.openxmlformats.org/officeDocument/2006/relationships/hyperlink" Target="https://www.immoscout24.ch/fr/maison/acheter/lieu-bex" TargetMode="External"/><Relationship Id="rId179" Type="http://schemas.openxmlformats.org/officeDocument/2006/relationships/hyperlink" Target="https://www.immoscout24.ch/fr/appartement/acheter/quartier-bethlehem-berne" TargetMode="External"/><Relationship Id="rId178" Type="http://schemas.openxmlformats.org/officeDocument/2006/relationships/hyperlink" Target="https://www.immoscout24.ch/fr/appartement/acheter/lieu-les-charbonnieres" TargetMode="External"/><Relationship Id="rId177" Type="http://schemas.openxmlformats.org/officeDocument/2006/relationships/hyperlink" Target="https://www.immoscout24.ch/fr/appartement/acheter/lieu-les-charbonnieres" TargetMode="External"/><Relationship Id="rId11808" Type="http://schemas.openxmlformats.org/officeDocument/2006/relationships/hyperlink" Target="https://www.immoscout24.ch/fr/appartement/louer/lieu-bulle" TargetMode="External"/><Relationship Id="rId11807" Type="http://schemas.openxmlformats.org/officeDocument/2006/relationships/hyperlink" Target="https://www.immoscout24.ch/fr/appartement/louer/lieu-bulle" TargetMode="External"/><Relationship Id="rId11806" Type="http://schemas.openxmlformats.org/officeDocument/2006/relationships/hyperlink" Target="https://www.immoscout24.ch/fr/maison/acheter/lieu-rolle" TargetMode="External"/><Relationship Id="rId11805" Type="http://schemas.openxmlformats.org/officeDocument/2006/relationships/hyperlink" Target="https://www.immoscout24.ch/fr/maison/acheter/lieu-rolle" TargetMode="External"/><Relationship Id="rId11809" Type="http://schemas.openxmlformats.org/officeDocument/2006/relationships/hyperlink" Target="https://www.immoscout24.ch/fr/appartement/acheter/lieu-payerne" TargetMode="External"/><Relationship Id="rId11800" Type="http://schemas.openxmlformats.org/officeDocument/2006/relationships/hyperlink" Target="https://www.immoscout24.ch/fr/appartement/louer/lieu-wattwil" TargetMode="External"/><Relationship Id="rId11804" Type="http://schemas.openxmlformats.org/officeDocument/2006/relationships/hyperlink" Target="https://www.immoscout24.ch/fr/appartement/louer/lieu-ebmatingen" TargetMode="External"/><Relationship Id="rId11803" Type="http://schemas.openxmlformats.org/officeDocument/2006/relationships/hyperlink" Target="https://www.immoscout24.ch/fr/appartement/louer/lieu-ebmatingen" TargetMode="External"/><Relationship Id="rId11802" Type="http://schemas.openxmlformats.org/officeDocument/2006/relationships/hyperlink" Target="https://www.immoscout24.ch/fr/maison/louer/lieu-olten" TargetMode="External"/><Relationship Id="rId11801" Type="http://schemas.openxmlformats.org/officeDocument/2006/relationships/hyperlink" Target="https://www.immoscout24.ch/fr/maison/louer/lieu-olten" TargetMode="External"/><Relationship Id="rId11819" Type="http://schemas.openxmlformats.org/officeDocument/2006/relationships/hyperlink" Target="https://www.immoscout24.ch/fr/appartement/louer/lieu-veytaux" TargetMode="External"/><Relationship Id="rId11818" Type="http://schemas.openxmlformats.org/officeDocument/2006/relationships/hyperlink" Target="https://www.immoscout24.ch/fr/appartement/acheter/region-baden-brugg-zurzach" TargetMode="External"/><Relationship Id="rId11817" Type="http://schemas.openxmlformats.org/officeDocument/2006/relationships/hyperlink" Target="https://www.immoscout24.ch/fr/appartement/acheter/region-baden-brugg-zurzach" TargetMode="External"/><Relationship Id="rId11816" Type="http://schemas.openxmlformats.org/officeDocument/2006/relationships/hyperlink" Target="https://www.immoscout24.ch/fr/maison/louer/lieu-servion" TargetMode="External"/><Relationship Id="rId11811" Type="http://schemas.openxmlformats.org/officeDocument/2006/relationships/hyperlink" Target="https://www.immoscout24.ch/fr/appartement/louer/lieu-saas-almagell" TargetMode="External"/><Relationship Id="rId11810" Type="http://schemas.openxmlformats.org/officeDocument/2006/relationships/hyperlink" Target="https://www.immoscout24.ch/fr/appartement/acheter/lieu-payerne" TargetMode="External"/><Relationship Id="rId11815" Type="http://schemas.openxmlformats.org/officeDocument/2006/relationships/hyperlink" Target="https://www.immoscout24.ch/fr/maison/louer/lieu-servion" TargetMode="External"/><Relationship Id="rId11814" Type="http://schemas.openxmlformats.org/officeDocument/2006/relationships/hyperlink" Target="https://www.immoscout24.ch/fr/maison/acheter/quartier-breitfeld-berne" TargetMode="External"/><Relationship Id="rId11813" Type="http://schemas.openxmlformats.org/officeDocument/2006/relationships/hyperlink" Target="https://www.immoscout24.ch/fr/maison/acheter/quartier-breitfeld-berne" TargetMode="External"/><Relationship Id="rId11812" Type="http://schemas.openxmlformats.org/officeDocument/2006/relationships/hyperlink" Target="https://www.immoscout24.ch/fr/appartement/louer/lieu-saas-almagell" TargetMode="External"/><Relationship Id="rId198" Type="http://schemas.openxmlformats.org/officeDocument/2006/relationships/hyperlink" Target="https://www.immoscout24.ch/fr/maison/acheter/lieu-bruson" TargetMode="External"/><Relationship Id="rId197" Type="http://schemas.openxmlformats.org/officeDocument/2006/relationships/hyperlink" Target="https://www.immoscout24.ch/fr/maison/acheter/lieu-bruson" TargetMode="External"/><Relationship Id="rId196" Type="http://schemas.openxmlformats.org/officeDocument/2006/relationships/hyperlink" Target="https://www.immoscout24.ch/fr/maison/louer/region-montagnes-neuchateloises" TargetMode="External"/><Relationship Id="rId195" Type="http://schemas.openxmlformats.org/officeDocument/2006/relationships/hyperlink" Target="https://www.immoscout24.ch/fr/maison/louer/region-montagnes-neuchateloises" TargetMode="External"/><Relationship Id="rId199" Type="http://schemas.openxmlformats.org/officeDocument/2006/relationships/hyperlink" Target="https://www.immoscout24.ch/fr/maison/acheter/lieu-ballaigues" TargetMode="External"/><Relationship Id="rId150" Type="http://schemas.openxmlformats.org/officeDocument/2006/relationships/hyperlink" Target="https://www.immoscout24.ch/fr/maison/louer/lieu-rocourt" TargetMode="External"/><Relationship Id="rId10534" Type="http://schemas.openxmlformats.org/officeDocument/2006/relationships/hyperlink" Target="https://www.immoscout24.ch/fr/appartement/louer/lieu-goldau" TargetMode="External"/><Relationship Id="rId11866" Type="http://schemas.openxmlformats.org/officeDocument/2006/relationships/hyperlink" Target="https://www.immoscout24.ch/fr/appartement/louer/region-bern-et-environs" TargetMode="External"/><Relationship Id="rId10535" Type="http://schemas.openxmlformats.org/officeDocument/2006/relationships/hyperlink" Target="https://www.immoscout24.ch/fr/maison/acheter/lieu-magliaso" TargetMode="External"/><Relationship Id="rId11865" Type="http://schemas.openxmlformats.org/officeDocument/2006/relationships/hyperlink" Target="https://www.immoscout24.ch/fr/appartement/louer/region-bern-et-environs" TargetMode="External"/><Relationship Id="rId149" Type="http://schemas.openxmlformats.org/officeDocument/2006/relationships/hyperlink" Target="https://www.immoscout24.ch/fr/maison/louer/lieu-rocourt" TargetMode="External"/><Relationship Id="rId10532" Type="http://schemas.openxmlformats.org/officeDocument/2006/relationships/hyperlink" Target="https://www.immoscout24.ch/fr/maison/acheter/lieu-bretigny-sur-morrens" TargetMode="External"/><Relationship Id="rId11864" Type="http://schemas.openxmlformats.org/officeDocument/2006/relationships/hyperlink" Target="https://www.immoscout24.ch/fr/appartement/louer/lieu-konolfingen" TargetMode="External"/><Relationship Id="rId148" Type="http://schemas.openxmlformats.org/officeDocument/2006/relationships/hyperlink" Target="https://www.immoscout24.ch/fr/maison/acheter/quartier-secheron-prieure-geneve" TargetMode="External"/><Relationship Id="rId10533" Type="http://schemas.openxmlformats.org/officeDocument/2006/relationships/hyperlink" Target="https://www.immoscout24.ch/fr/appartement/louer/lieu-goldau" TargetMode="External"/><Relationship Id="rId11863" Type="http://schemas.openxmlformats.org/officeDocument/2006/relationships/hyperlink" Target="https://www.immoscout24.ch/fr/appartement/louer/lieu-konolfingen" TargetMode="External"/><Relationship Id="rId10538" Type="http://schemas.openxmlformats.org/officeDocument/2006/relationships/hyperlink" Target="https://www.immoscout24.ch/fr/appartement/louer/lieu-susch" TargetMode="External"/><Relationship Id="rId10539" Type="http://schemas.openxmlformats.org/officeDocument/2006/relationships/hyperlink" Target="https://www.immoscout24.ch/fr/appartement/louer/quartier-centre-neuchatel" TargetMode="External"/><Relationship Id="rId11869" Type="http://schemas.openxmlformats.org/officeDocument/2006/relationships/hyperlink" Target="https://www.immoscout24.ch/fr/maison/acheter/pays-bresil" TargetMode="External"/><Relationship Id="rId10536" Type="http://schemas.openxmlformats.org/officeDocument/2006/relationships/hyperlink" Target="https://www.immoscout24.ch/fr/maison/acheter/lieu-magliaso" TargetMode="External"/><Relationship Id="rId11868" Type="http://schemas.openxmlformats.org/officeDocument/2006/relationships/hyperlink" Target="https://www.immoscout24.ch/fr/appartement/louer/lieu-adligenswil" TargetMode="External"/><Relationship Id="rId10537" Type="http://schemas.openxmlformats.org/officeDocument/2006/relationships/hyperlink" Target="https://www.immoscout24.ch/fr/appartement/louer/lieu-susch" TargetMode="External"/><Relationship Id="rId11867" Type="http://schemas.openxmlformats.org/officeDocument/2006/relationships/hyperlink" Target="https://www.immoscout24.ch/fr/appartement/louer/lieu-adligenswil" TargetMode="External"/><Relationship Id="rId143" Type="http://schemas.openxmlformats.org/officeDocument/2006/relationships/hyperlink" Target="https://www.immoscout24.ch/fr/appartement/acheter/lieu-soerenberg" TargetMode="External"/><Relationship Id="rId142" Type="http://schemas.openxmlformats.org/officeDocument/2006/relationships/hyperlink" Target="https://www.immoscout24.ch/fr/maison/acheter/lieu-merligen" TargetMode="External"/><Relationship Id="rId141" Type="http://schemas.openxmlformats.org/officeDocument/2006/relationships/hyperlink" Target="https://www.immoscout24.ch/fr/maison/acheter/lieu-merligen" TargetMode="External"/><Relationship Id="rId140" Type="http://schemas.openxmlformats.org/officeDocument/2006/relationships/hyperlink" Target="https://www.immoscout24.ch/fr/appartement/louer/lieu-moutier" TargetMode="External"/><Relationship Id="rId147" Type="http://schemas.openxmlformats.org/officeDocument/2006/relationships/hyperlink" Target="https://www.immoscout24.ch/fr/maison/acheter/quartier-secheron-prieure-geneve" TargetMode="External"/><Relationship Id="rId10530" Type="http://schemas.openxmlformats.org/officeDocument/2006/relationships/hyperlink" Target="https://www.immoscout24.ch/fr/appartement/louer/quartier-places-fribourg" TargetMode="External"/><Relationship Id="rId11862" Type="http://schemas.openxmlformats.org/officeDocument/2006/relationships/hyperlink" Target="https://www.immoscout24.ch/fr/maison/louer/lieu-onnens-fr" TargetMode="External"/><Relationship Id="rId146" Type="http://schemas.openxmlformats.org/officeDocument/2006/relationships/hyperlink" Target="https://www.immoscout24.ch/fr/maison/louer/lieu-promasens" TargetMode="External"/><Relationship Id="rId10531" Type="http://schemas.openxmlformats.org/officeDocument/2006/relationships/hyperlink" Target="https://www.immoscout24.ch/fr/maison/acheter/lieu-bretigny-sur-morrens" TargetMode="External"/><Relationship Id="rId11861" Type="http://schemas.openxmlformats.org/officeDocument/2006/relationships/hyperlink" Target="https://www.immoscout24.ch/fr/maison/louer/lieu-onnens-fr" TargetMode="External"/><Relationship Id="rId145" Type="http://schemas.openxmlformats.org/officeDocument/2006/relationships/hyperlink" Target="https://www.immoscout24.ch/fr/maison/louer/lieu-promasens" TargetMode="External"/><Relationship Id="rId11860" Type="http://schemas.openxmlformats.org/officeDocument/2006/relationships/hyperlink" Target="https://www.immoscout24.ch/fr/appartement/louer/region-winterthour-ville" TargetMode="External"/><Relationship Id="rId144" Type="http://schemas.openxmlformats.org/officeDocument/2006/relationships/hyperlink" Target="https://www.immoscout24.ch/fr/appartement/acheter/lieu-soerenberg" TargetMode="External"/><Relationship Id="rId10545" Type="http://schemas.openxmlformats.org/officeDocument/2006/relationships/hyperlink" Target="https://www.immoscout24.ch/fr/maison/acheter/lieu-hallau" TargetMode="External"/><Relationship Id="rId11877" Type="http://schemas.openxmlformats.org/officeDocument/2006/relationships/hyperlink" Target="https://www.immoscout24.ch/fr/appartement/acheter/lieu-neyruz-fr" TargetMode="External"/><Relationship Id="rId139" Type="http://schemas.openxmlformats.org/officeDocument/2006/relationships/hyperlink" Target="https://www.immoscout24.ch/fr/appartement/louer/lieu-moutier" TargetMode="External"/><Relationship Id="rId10546" Type="http://schemas.openxmlformats.org/officeDocument/2006/relationships/hyperlink" Target="https://www.immoscout24.ch/fr/maison/acheter/lieu-hallau" TargetMode="External"/><Relationship Id="rId11876" Type="http://schemas.openxmlformats.org/officeDocument/2006/relationships/hyperlink" Target="https://www.immoscout24.ch/fr/maison/acheter/lieu-bodio-ti" TargetMode="External"/><Relationship Id="rId138" Type="http://schemas.openxmlformats.org/officeDocument/2006/relationships/hyperlink" Target="https://www.immoscout24.ch/fr/appartement/louer/lieu-valeyres-sous-montagny" TargetMode="External"/><Relationship Id="rId10543" Type="http://schemas.openxmlformats.org/officeDocument/2006/relationships/hyperlink" Target="https://www.immoscout24.ch/fr/appartement/louer/lieu-arbon" TargetMode="External"/><Relationship Id="rId11875" Type="http://schemas.openxmlformats.org/officeDocument/2006/relationships/hyperlink" Target="https://www.immoscout24.ch/fr/maison/acheter/lieu-bodio-ti" TargetMode="External"/><Relationship Id="rId137" Type="http://schemas.openxmlformats.org/officeDocument/2006/relationships/hyperlink" Target="https://www.immoscout24.ch/fr/appartement/louer/lieu-valeyres-sous-montagny" TargetMode="External"/><Relationship Id="rId10544" Type="http://schemas.openxmlformats.org/officeDocument/2006/relationships/hyperlink" Target="https://www.immoscout24.ch/fr/appartement/louer/lieu-arbon" TargetMode="External"/><Relationship Id="rId11874" Type="http://schemas.openxmlformats.org/officeDocument/2006/relationships/hyperlink" Target="https://www.immoscout24.ch/fr/maison/louer/lieu-le-vaud" TargetMode="External"/><Relationship Id="rId10549" Type="http://schemas.openxmlformats.org/officeDocument/2006/relationships/hyperlink" Target="https://www.immoscout24.ch/fr/appartement/louer/lieu-oberwil-b-bueren" TargetMode="External"/><Relationship Id="rId10547" Type="http://schemas.openxmlformats.org/officeDocument/2006/relationships/hyperlink" Target="https://www.immoscout24.ch/fr/appartement/louer/lieu-plagne" TargetMode="External"/><Relationship Id="rId11879" Type="http://schemas.openxmlformats.org/officeDocument/2006/relationships/hyperlink" Target="https://www.immoscout24.ch/fr/appartement/acheter/region-zurich-ville" TargetMode="External"/><Relationship Id="rId10548" Type="http://schemas.openxmlformats.org/officeDocument/2006/relationships/hyperlink" Target="https://www.immoscout24.ch/fr/appartement/louer/lieu-plagne" TargetMode="External"/><Relationship Id="rId11878" Type="http://schemas.openxmlformats.org/officeDocument/2006/relationships/hyperlink" Target="https://www.immoscout24.ch/fr/appartement/acheter/lieu-neyruz-fr" TargetMode="External"/><Relationship Id="rId132" Type="http://schemas.openxmlformats.org/officeDocument/2006/relationships/hyperlink" Target="https://www.immoscout24.ch/fr/maison/louer/lieu-kollbrunn" TargetMode="External"/><Relationship Id="rId131" Type="http://schemas.openxmlformats.org/officeDocument/2006/relationships/hyperlink" Target="https://www.immoscout24.ch/fr/maison/louer/lieu-kollbrunn" TargetMode="External"/><Relationship Id="rId130" Type="http://schemas.openxmlformats.org/officeDocument/2006/relationships/hyperlink" Target="https://www.immoscout24.ch/fr/appartement/acheter/lieu-visp" TargetMode="External"/><Relationship Id="rId136" Type="http://schemas.openxmlformats.org/officeDocument/2006/relationships/hyperlink" Target="https://www.immoscout24.ch/fr/appartement/louer/quartier-vorstaedte-bale" TargetMode="External"/><Relationship Id="rId10541" Type="http://schemas.openxmlformats.org/officeDocument/2006/relationships/hyperlink" Target="https://www.immoscout24.ch/fr/maison/louer/lieu-villeneuve-fr" TargetMode="External"/><Relationship Id="rId11873" Type="http://schemas.openxmlformats.org/officeDocument/2006/relationships/hyperlink" Target="https://www.immoscout24.ch/fr/maison/louer/lieu-le-vaud" TargetMode="External"/><Relationship Id="rId135" Type="http://schemas.openxmlformats.org/officeDocument/2006/relationships/hyperlink" Target="https://www.immoscout24.ch/fr/appartement/louer/quartier-vorstaedte-bale" TargetMode="External"/><Relationship Id="rId10542" Type="http://schemas.openxmlformats.org/officeDocument/2006/relationships/hyperlink" Target="https://www.immoscout24.ch/fr/maison/louer/lieu-villeneuve-fr" TargetMode="External"/><Relationship Id="rId11872" Type="http://schemas.openxmlformats.org/officeDocument/2006/relationships/hyperlink" Target="https://www.immoscout24.ch/fr/appartement/louer/lieu-villars-sur-ollon" TargetMode="External"/><Relationship Id="rId134" Type="http://schemas.openxmlformats.org/officeDocument/2006/relationships/hyperlink" Target="https://www.immoscout24.ch/fr/maison/acheter/lieu-assens" TargetMode="External"/><Relationship Id="rId11871" Type="http://schemas.openxmlformats.org/officeDocument/2006/relationships/hyperlink" Target="https://www.immoscout24.ch/fr/appartement/louer/lieu-villars-sur-ollon" TargetMode="External"/><Relationship Id="rId133" Type="http://schemas.openxmlformats.org/officeDocument/2006/relationships/hyperlink" Target="https://www.immoscout24.ch/fr/maison/acheter/lieu-assens" TargetMode="External"/><Relationship Id="rId10540" Type="http://schemas.openxmlformats.org/officeDocument/2006/relationships/hyperlink" Target="https://www.immoscout24.ch/fr/appartement/louer/quartier-centre-neuchatel" TargetMode="External"/><Relationship Id="rId11870" Type="http://schemas.openxmlformats.org/officeDocument/2006/relationships/hyperlink" Target="https://www.immoscout24.ch/fr/maison/acheter/pays-bresil" TargetMode="External"/><Relationship Id="rId172" Type="http://schemas.openxmlformats.org/officeDocument/2006/relationships/hyperlink" Target="https://www.immoscout24.ch/fr/appartement/louer/quartier-alt-wiedikon-zurich" TargetMode="External"/><Relationship Id="rId171" Type="http://schemas.openxmlformats.org/officeDocument/2006/relationships/hyperlink" Target="https://www.immoscout24.ch/fr/appartement/louer/quartier-alt-wiedikon-zurich" TargetMode="External"/><Relationship Id="rId170" Type="http://schemas.openxmlformats.org/officeDocument/2006/relationships/hyperlink" Target="https://www.immoscout24.ch/fr/appartement/acheter/lieu-bursins" TargetMode="External"/><Relationship Id="rId10518" Type="http://schemas.openxmlformats.org/officeDocument/2006/relationships/hyperlink" Target="https://www.immoscout24.ch/fr/appartement/louer/lieu-isone" TargetMode="External"/><Relationship Id="rId10519" Type="http://schemas.openxmlformats.org/officeDocument/2006/relationships/hyperlink" Target="https://www.immoscout24.ch/fr/maison/louer/lieu-ste-croix" TargetMode="External"/><Relationship Id="rId11849" Type="http://schemas.openxmlformats.org/officeDocument/2006/relationships/hyperlink" Target="https://www.immoscout24.ch/fr/maison/louer/lieu-grossaffoltern" TargetMode="External"/><Relationship Id="rId10512" Type="http://schemas.openxmlformats.org/officeDocument/2006/relationships/hyperlink" Target="https://www.immoscout24.ch/fr/maison/louer/lieu-satigny" TargetMode="External"/><Relationship Id="rId11844" Type="http://schemas.openxmlformats.org/officeDocument/2006/relationships/hyperlink" Target="https://www.immoscout24.ch/fr/appartement/louer/lieu-villars-ste-croix" TargetMode="External"/><Relationship Id="rId10513" Type="http://schemas.openxmlformats.org/officeDocument/2006/relationships/hyperlink" Target="https://www.immoscout24.ch/fr/maison/louer/lieu-broc" TargetMode="External"/><Relationship Id="rId11843" Type="http://schemas.openxmlformats.org/officeDocument/2006/relationships/hyperlink" Target="https://www.immoscout24.ch/fr/appartement/louer/lieu-villars-ste-croix" TargetMode="External"/><Relationship Id="rId10510" Type="http://schemas.openxmlformats.org/officeDocument/2006/relationships/hyperlink" Target="https://www.immoscout24.ch/fr/maison/acheter/lieu-bursins" TargetMode="External"/><Relationship Id="rId11842" Type="http://schemas.openxmlformats.org/officeDocument/2006/relationships/hyperlink" Target="https://www.immoscout24.ch/fr/maison/acheter/lieu-praratoud" TargetMode="External"/><Relationship Id="rId10511" Type="http://schemas.openxmlformats.org/officeDocument/2006/relationships/hyperlink" Target="https://www.immoscout24.ch/fr/maison/louer/lieu-satigny" TargetMode="External"/><Relationship Id="rId11841" Type="http://schemas.openxmlformats.org/officeDocument/2006/relationships/hyperlink" Target="https://www.immoscout24.ch/fr/maison/acheter/lieu-praratoud" TargetMode="External"/><Relationship Id="rId10516" Type="http://schemas.openxmlformats.org/officeDocument/2006/relationships/hyperlink" Target="https://www.immoscout24.ch/fr/maison/acheter/lieu-lengnau-be" TargetMode="External"/><Relationship Id="rId11848" Type="http://schemas.openxmlformats.org/officeDocument/2006/relationships/hyperlink" Target="https://www.immoscout24.ch/fr/appartement/louer/lieu-schinznach-bad" TargetMode="External"/><Relationship Id="rId10517" Type="http://schemas.openxmlformats.org/officeDocument/2006/relationships/hyperlink" Target="https://www.immoscout24.ch/fr/appartement/louer/lieu-isone" TargetMode="External"/><Relationship Id="rId11847" Type="http://schemas.openxmlformats.org/officeDocument/2006/relationships/hyperlink" Target="https://www.immoscout24.ch/fr/appartement/louer/lieu-schinznach-bad" TargetMode="External"/><Relationship Id="rId10514" Type="http://schemas.openxmlformats.org/officeDocument/2006/relationships/hyperlink" Target="https://www.immoscout24.ch/fr/maison/louer/lieu-broc" TargetMode="External"/><Relationship Id="rId11846" Type="http://schemas.openxmlformats.org/officeDocument/2006/relationships/hyperlink" Target="https://www.immoscout24.ch/fr/maison/acheter/lieu-reinach-bl" TargetMode="External"/><Relationship Id="rId10515" Type="http://schemas.openxmlformats.org/officeDocument/2006/relationships/hyperlink" Target="https://www.immoscout24.ch/fr/maison/acheter/lieu-lengnau-be" TargetMode="External"/><Relationship Id="rId11845" Type="http://schemas.openxmlformats.org/officeDocument/2006/relationships/hyperlink" Target="https://www.immoscout24.ch/fr/maison/acheter/lieu-reinach-bl" TargetMode="External"/><Relationship Id="rId165" Type="http://schemas.openxmlformats.org/officeDocument/2006/relationships/hyperlink" Target="https://www.immoscout24.ch/fr/maison/acheter/lieu-zofingen" TargetMode="External"/><Relationship Id="rId164" Type="http://schemas.openxmlformats.org/officeDocument/2006/relationships/hyperlink" Target="https://www.immoscout24.ch/fr/appartement/louer/lieu-visp" TargetMode="External"/><Relationship Id="rId163" Type="http://schemas.openxmlformats.org/officeDocument/2006/relationships/hyperlink" Target="https://www.immoscout24.ch/fr/appartement/louer/lieu-visp" TargetMode="External"/><Relationship Id="rId162" Type="http://schemas.openxmlformats.org/officeDocument/2006/relationships/hyperlink" Target="https://www.immoscout24.ch/fr/maison/acheter/lieu-wuennewil" TargetMode="External"/><Relationship Id="rId169" Type="http://schemas.openxmlformats.org/officeDocument/2006/relationships/hyperlink" Target="https://www.immoscout24.ch/fr/appartement/acheter/lieu-bursins" TargetMode="External"/><Relationship Id="rId11840" Type="http://schemas.openxmlformats.org/officeDocument/2006/relationships/hyperlink" Target="https://www.immoscout24.ch/fr/maison/louer/lieu-vouvry" TargetMode="External"/><Relationship Id="rId168" Type="http://schemas.openxmlformats.org/officeDocument/2006/relationships/hyperlink" Target="https://www.immoscout24.ch/fr/appartement/louer/lieu-pfaeffikon-zh" TargetMode="External"/><Relationship Id="rId167" Type="http://schemas.openxmlformats.org/officeDocument/2006/relationships/hyperlink" Target="https://www.immoscout24.ch/fr/appartement/louer/lieu-pfaeffikon-zh" TargetMode="External"/><Relationship Id="rId166" Type="http://schemas.openxmlformats.org/officeDocument/2006/relationships/hyperlink" Target="https://www.immoscout24.ch/fr/maison/acheter/lieu-zofingen" TargetMode="External"/><Relationship Id="rId161" Type="http://schemas.openxmlformats.org/officeDocument/2006/relationships/hyperlink" Target="https://www.immoscout24.ch/fr/maison/acheter/lieu-wuennewil" TargetMode="External"/><Relationship Id="rId160" Type="http://schemas.openxmlformats.org/officeDocument/2006/relationships/hyperlink" Target="https://www.immoscout24.ch/fr/maison/acheter/lieu-st-sulpice-ne" TargetMode="External"/><Relationship Id="rId10529" Type="http://schemas.openxmlformats.org/officeDocument/2006/relationships/hyperlink" Target="https://www.immoscout24.ch/fr/appartement/louer/quartier-places-fribourg" TargetMode="External"/><Relationship Id="rId10523" Type="http://schemas.openxmlformats.org/officeDocument/2006/relationships/hyperlink" Target="https://www.immoscout24.ch/fr/maison/louer/region-val-de-travers" TargetMode="External"/><Relationship Id="rId11855" Type="http://schemas.openxmlformats.org/officeDocument/2006/relationships/hyperlink" Target="https://www.immoscout24.ch/fr/appartement/louer/lieu-ependes-vd" TargetMode="External"/><Relationship Id="rId10524" Type="http://schemas.openxmlformats.org/officeDocument/2006/relationships/hyperlink" Target="https://www.immoscout24.ch/fr/maison/louer/region-val-de-travers" TargetMode="External"/><Relationship Id="rId11854" Type="http://schemas.openxmlformats.org/officeDocument/2006/relationships/hyperlink" Target="https://www.immoscout24.ch/fr/maison/louer/lieu-vicques" TargetMode="External"/><Relationship Id="rId10521" Type="http://schemas.openxmlformats.org/officeDocument/2006/relationships/hyperlink" Target="https://www.immoscout24.ch/fr/appartement/acheter/lieu-adlikon-b-regensdorf" TargetMode="External"/><Relationship Id="rId11853" Type="http://schemas.openxmlformats.org/officeDocument/2006/relationships/hyperlink" Target="https://www.immoscout24.ch/fr/maison/louer/lieu-vicques" TargetMode="External"/><Relationship Id="rId159" Type="http://schemas.openxmlformats.org/officeDocument/2006/relationships/hyperlink" Target="https://www.immoscout24.ch/fr/maison/acheter/lieu-st-sulpice-ne" TargetMode="External"/><Relationship Id="rId10522" Type="http://schemas.openxmlformats.org/officeDocument/2006/relationships/hyperlink" Target="https://www.immoscout24.ch/fr/appartement/acheter/lieu-adlikon-b-regensdorf" TargetMode="External"/><Relationship Id="rId11852" Type="http://schemas.openxmlformats.org/officeDocument/2006/relationships/hyperlink" Target="https://www.immoscout24.ch/fr/appartement/louer/lieu-lessoc" TargetMode="External"/><Relationship Id="rId10527" Type="http://schemas.openxmlformats.org/officeDocument/2006/relationships/hyperlink" Target="https://www.immoscout24.ch/fr/appartement/louer/lieu-coeuve" TargetMode="External"/><Relationship Id="rId11859" Type="http://schemas.openxmlformats.org/officeDocument/2006/relationships/hyperlink" Target="https://www.immoscout24.ch/fr/appartement/louer/region-winterthour-ville" TargetMode="External"/><Relationship Id="rId10528" Type="http://schemas.openxmlformats.org/officeDocument/2006/relationships/hyperlink" Target="https://www.immoscout24.ch/fr/appartement/louer/lieu-coeuve" TargetMode="External"/><Relationship Id="rId11858" Type="http://schemas.openxmlformats.org/officeDocument/2006/relationships/hyperlink" Target="https://www.immoscout24.ch/fr/appartement/louer/region-thoune-lac-de-thoune-nord" TargetMode="External"/><Relationship Id="rId10525" Type="http://schemas.openxmlformats.org/officeDocument/2006/relationships/hyperlink" Target="https://www.immoscout24.ch/fr/maison/acheter/lieu-villeneuve-vd" TargetMode="External"/><Relationship Id="rId11857" Type="http://schemas.openxmlformats.org/officeDocument/2006/relationships/hyperlink" Target="https://www.immoscout24.ch/fr/appartement/louer/region-thoune-lac-de-thoune-nord" TargetMode="External"/><Relationship Id="rId10526" Type="http://schemas.openxmlformats.org/officeDocument/2006/relationships/hyperlink" Target="https://www.immoscout24.ch/fr/maison/acheter/lieu-villeneuve-vd" TargetMode="External"/><Relationship Id="rId11856" Type="http://schemas.openxmlformats.org/officeDocument/2006/relationships/hyperlink" Target="https://www.immoscout24.ch/fr/appartement/louer/lieu-ependes-vd" TargetMode="External"/><Relationship Id="rId154" Type="http://schemas.openxmlformats.org/officeDocument/2006/relationships/hyperlink" Target="https://www.immoscout24.ch/fr/maison/louer/lieu-dompierre-fr" TargetMode="External"/><Relationship Id="rId153" Type="http://schemas.openxmlformats.org/officeDocument/2006/relationships/hyperlink" Target="https://www.immoscout24.ch/fr/maison/louer/lieu-dompierre-fr" TargetMode="External"/><Relationship Id="rId152" Type="http://schemas.openxmlformats.org/officeDocument/2006/relationships/hyperlink" Target="https://www.immoscout24.ch/fr/maison/louer/lieu-ursy" TargetMode="External"/><Relationship Id="rId151" Type="http://schemas.openxmlformats.org/officeDocument/2006/relationships/hyperlink" Target="https://www.immoscout24.ch/fr/maison/louer/lieu-ursy" TargetMode="External"/><Relationship Id="rId158" Type="http://schemas.openxmlformats.org/officeDocument/2006/relationships/hyperlink" Target="https://www.immoscout24.ch/fr/appartement/louer/lieu-dagmersellen" TargetMode="External"/><Relationship Id="rId11851" Type="http://schemas.openxmlformats.org/officeDocument/2006/relationships/hyperlink" Target="https://www.immoscout24.ch/fr/appartement/louer/lieu-lessoc" TargetMode="External"/><Relationship Id="rId157" Type="http://schemas.openxmlformats.org/officeDocument/2006/relationships/hyperlink" Target="https://www.immoscout24.ch/fr/appartement/louer/lieu-dagmersellen" TargetMode="External"/><Relationship Id="rId10520" Type="http://schemas.openxmlformats.org/officeDocument/2006/relationships/hyperlink" Target="https://www.immoscout24.ch/fr/maison/louer/lieu-ste-croix" TargetMode="External"/><Relationship Id="rId11850" Type="http://schemas.openxmlformats.org/officeDocument/2006/relationships/hyperlink" Target="https://www.immoscout24.ch/fr/maison/louer/lieu-grossaffoltern" TargetMode="External"/><Relationship Id="rId156" Type="http://schemas.openxmlformats.org/officeDocument/2006/relationships/hyperlink" Target="https://www.immoscout24.ch/fr/appartement/louer/quartier-besso-lugano" TargetMode="External"/><Relationship Id="rId155" Type="http://schemas.openxmlformats.org/officeDocument/2006/relationships/hyperlink" Target="https://www.immoscout24.ch/fr/appartement/louer/quartier-besso-lugano" TargetMode="External"/><Relationship Id="rId9451" Type="http://schemas.openxmlformats.org/officeDocument/2006/relationships/hyperlink" Target="https://www.immoscout24.ch/fr/maison/louer/lieu-vella" TargetMode="External"/><Relationship Id="rId9452" Type="http://schemas.openxmlformats.org/officeDocument/2006/relationships/hyperlink" Target="https://www.immoscout24.ch/fr/maison/louer/lieu-vella" TargetMode="External"/><Relationship Id="rId9453" Type="http://schemas.openxmlformats.org/officeDocument/2006/relationships/hyperlink" Target="https://www.immoscout24.ch/fr/maison/louer/lieu-grone" TargetMode="External"/><Relationship Id="rId9454" Type="http://schemas.openxmlformats.org/officeDocument/2006/relationships/hyperlink" Target="https://www.immoscout24.ch/fr/maison/louer/lieu-grone" TargetMode="External"/><Relationship Id="rId8123" Type="http://schemas.openxmlformats.org/officeDocument/2006/relationships/hyperlink" Target="https://www.immoscout24.ch/fr/appartement/louer/lieu-moosseedorf" TargetMode="External"/><Relationship Id="rId8122" Type="http://schemas.openxmlformats.org/officeDocument/2006/relationships/hyperlink" Target="https://www.immoscout24.ch/fr/maison/acheter/lieu-zernez" TargetMode="External"/><Relationship Id="rId8121" Type="http://schemas.openxmlformats.org/officeDocument/2006/relationships/hyperlink" Target="https://www.immoscout24.ch/fr/maison/acheter/lieu-zernez" TargetMode="External"/><Relationship Id="rId8120" Type="http://schemas.openxmlformats.org/officeDocument/2006/relationships/hyperlink" Target="https://www.immoscout24.ch/fr/maison/louer/lieu-champex-lac" TargetMode="External"/><Relationship Id="rId9450" Type="http://schemas.openxmlformats.org/officeDocument/2006/relationships/hyperlink" Target="https://www.immoscout24.ch/fr/maison/louer/lieu-panex" TargetMode="External"/><Relationship Id="rId8127" Type="http://schemas.openxmlformats.org/officeDocument/2006/relationships/hyperlink" Target="https://www.immoscout24.ch/fr/maison/acheter/lieu-la-tour-de-peilz" TargetMode="External"/><Relationship Id="rId9459" Type="http://schemas.openxmlformats.org/officeDocument/2006/relationships/hyperlink" Target="https://www.immoscout24.ch/fr/appartement/louer/lieu-bavois" TargetMode="External"/><Relationship Id="rId8126" Type="http://schemas.openxmlformats.org/officeDocument/2006/relationships/hyperlink" Target="https://www.immoscout24.ch/fr/appartement/acheter/lieu-arzier-le-muids" TargetMode="External"/><Relationship Id="rId8125" Type="http://schemas.openxmlformats.org/officeDocument/2006/relationships/hyperlink" Target="https://www.immoscout24.ch/fr/appartement/acheter/lieu-arzier-le-muids" TargetMode="External"/><Relationship Id="rId8124" Type="http://schemas.openxmlformats.org/officeDocument/2006/relationships/hyperlink" Target="https://www.immoscout24.ch/fr/appartement/louer/lieu-moosseedorf" TargetMode="External"/><Relationship Id="rId9455" Type="http://schemas.openxmlformats.org/officeDocument/2006/relationships/hyperlink" Target="https://www.immoscout24.ch/fr/maison/acheter/lieu-fetigny" TargetMode="External"/><Relationship Id="rId9456" Type="http://schemas.openxmlformats.org/officeDocument/2006/relationships/hyperlink" Target="https://www.immoscout24.ch/fr/maison/acheter/lieu-fetigny" TargetMode="External"/><Relationship Id="rId8129" Type="http://schemas.openxmlformats.org/officeDocument/2006/relationships/hyperlink" Target="https://www.immoscout24.ch/fr/appartement/louer/lieu-bremgarten-b-bern" TargetMode="External"/><Relationship Id="rId9457" Type="http://schemas.openxmlformats.org/officeDocument/2006/relationships/hyperlink" Target="https://www.immoscout24.ch/fr/appartement/louer/lieu-seewen-sz" TargetMode="External"/><Relationship Id="rId8128" Type="http://schemas.openxmlformats.org/officeDocument/2006/relationships/hyperlink" Target="https://www.immoscout24.ch/fr/maison/acheter/lieu-la-tour-de-peilz" TargetMode="External"/><Relationship Id="rId9458" Type="http://schemas.openxmlformats.org/officeDocument/2006/relationships/hyperlink" Target="https://www.immoscout24.ch/fr/appartement/louer/lieu-seewen-sz" TargetMode="External"/><Relationship Id="rId9440" Type="http://schemas.openxmlformats.org/officeDocument/2006/relationships/hyperlink" Target="https://www.immoscout24.ch/fr/maison/louer/lieu-montet-broye" TargetMode="External"/><Relationship Id="rId9441" Type="http://schemas.openxmlformats.org/officeDocument/2006/relationships/hyperlink" Target="https://www.immoscout24.ch/fr/appartement/louer/lieu-wichtrach" TargetMode="External"/><Relationship Id="rId9442" Type="http://schemas.openxmlformats.org/officeDocument/2006/relationships/hyperlink" Target="https://www.immoscout24.ch/fr/appartement/louer/lieu-wichtrach" TargetMode="External"/><Relationship Id="rId9443" Type="http://schemas.openxmlformats.org/officeDocument/2006/relationships/hyperlink" Target="https://www.immoscout24.ch/fr/appartement/louer/lieu-rossens-fr" TargetMode="External"/><Relationship Id="rId8112" Type="http://schemas.openxmlformats.org/officeDocument/2006/relationships/hyperlink" Target="https://www.immoscout24.ch/fr/appartement/louer/lieu-rueyres" TargetMode="External"/><Relationship Id="rId8111" Type="http://schemas.openxmlformats.org/officeDocument/2006/relationships/hyperlink" Target="https://www.immoscout24.ch/fr/appartement/louer/lieu-rueyres" TargetMode="External"/><Relationship Id="rId8110" Type="http://schemas.openxmlformats.org/officeDocument/2006/relationships/hyperlink" Target="https://www.immoscout24.ch/fr/maison/acheter/lieu-maglio-di-colla" TargetMode="External"/><Relationship Id="rId8116" Type="http://schemas.openxmlformats.org/officeDocument/2006/relationships/hyperlink" Target="https://www.immoscout24.ch/fr/appartement/louer/lieu-leuggern" TargetMode="External"/><Relationship Id="rId9448" Type="http://schemas.openxmlformats.org/officeDocument/2006/relationships/hyperlink" Target="https://www.immoscout24.ch/fr/appartement/louer/quartier-bruderholz-bale" TargetMode="External"/><Relationship Id="rId8115" Type="http://schemas.openxmlformats.org/officeDocument/2006/relationships/hyperlink" Target="https://www.immoscout24.ch/fr/appartement/louer/lieu-leuggern" TargetMode="External"/><Relationship Id="rId9449" Type="http://schemas.openxmlformats.org/officeDocument/2006/relationships/hyperlink" Target="https://www.immoscout24.ch/fr/maison/louer/lieu-panex" TargetMode="External"/><Relationship Id="rId8114" Type="http://schemas.openxmlformats.org/officeDocument/2006/relationships/hyperlink" Target="https://www.immoscout24.ch/fr/maison/acheter/lieu-fenin" TargetMode="External"/><Relationship Id="rId8113" Type="http://schemas.openxmlformats.org/officeDocument/2006/relationships/hyperlink" Target="https://www.immoscout24.ch/fr/maison/acheter/lieu-fenin" TargetMode="External"/><Relationship Id="rId9444" Type="http://schemas.openxmlformats.org/officeDocument/2006/relationships/hyperlink" Target="https://www.immoscout24.ch/fr/appartement/louer/lieu-rossens-fr" TargetMode="External"/><Relationship Id="rId8119" Type="http://schemas.openxmlformats.org/officeDocument/2006/relationships/hyperlink" Target="https://www.immoscout24.ch/fr/maison/louer/lieu-champex-lac" TargetMode="External"/><Relationship Id="rId9445" Type="http://schemas.openxmlformats.org/officeDocument/2006/relationships/hyperlink" Target="https://www.immoscout24.ch/fr/maison/acheter/lieu-blitzingen" TargetMode="External"/><Relationship Id="rId8118" Type="http://schemas.openxmlformats.org/officeDocument/2006/relationships/hyperlink" Target="https://www.immoscout24.ch/fr/appartement/louer/quartier-beauregard-fribourg" TargetMode="External"/><Relationship Id="rId9446" Type="http://schemas.openxmlformats.org/officeDocument/2006/relationships/hyperlink" Target="https://www.immoscout24.ch/fr/maison/acheter/lieu-blitzingen" TargetMode="External"/><Relationship Id="rId8117" Type="http://schemas.openxmlformats.org/officeDocument/2006/relationships/hyperlink" Target="https://www.immoscout24.ch/fr/appartement/louer/quartier-beauregard-fribourg" TargetMode="External"/><Relationship Id="rId9447" Type="http://schemas.openxmlformats.org/officeDocument/2006/relationships/hyperlink" Target="https://www.immoscout24.ch/fr/appartement/louer/quartier-bruderholz-bale" TargetMode="External"/><Relationship Id="rId8141" Type="http://schemas.openxmlformats.org/officeDocument/2006/relationships/hyperlink" Target="https://www.immoscout24.ch/fr/maison/acheter/lieu-corpataux-magnedens" TargetMode="External"/><Relationship Id="rId9473" Type="http://schemas.openxmlformats.org/officeDocument/2006/relationships/hyperlink" Target="https://www.immoscout24.ch/fr/appartement/louer/lieu-hennens" TargetMode="External"/><Relationship Id="rId8140" Type="http://schemas.openxmlformats.org/officeDocument/2006/relationships/hyperlink" Target="https://www.immoscout24.ch/fr/appartement/louer/lieu-ibach" TargetMode="External"/><Relationship Id="rId9474" Type="http://schemas.openxmlformats.org/officeDocument/2006/relationships/hyperlink" Target="https://www.immoscout24.ch/fr/appartement/louer/lieu-hennens" TargetMode="External"/><Relationship Id="rId9475" Type="http://schemas.openxmlformats.org/officeDocument/2006/relationships/hyperlink" Target="https://www.immoscout24.ch/fr/maison/acheter/lieu-tuescherz-alfermee" TargetMode="External"/><Relationship Id="rId9476" Type="http://schemas.openxmlformats.org/officeDocument/2006/relationships/hyperlink" Target="https://www.immoscout24.ch/fr/maison/acheter/lieu-tuescherz-alfermee" TargetMode="External"/><Relationship Id="rId8145" Type="http://schemas.openxmlformats.org/officeDocument/2006/relationships/hyperlink" Target="https://www.immoscout24.ch/fr/appartement/acheter/lieu-savigny" TargetMode="External"/><Relationship Id="rId8144" Type="http://schemas.openxmlformats.org/officeDocument/2006/relationships/hyperlink" Target="https://www.immoscout24.ch/fr/maison/acheter/region-bellinzone" TargetMode="External"/><Relationship Id="rId9470" Type="http://schemas.openxmlformats.org/officeDocument/2006/relationships/hyperlink" Target="https://www.immoscout24.ch/fr/maison/acheter/lieu-haute-nendaz" TargetMode="External"/><Relationship Id="rId8143" Type="http://schemas.openxmlformats.org/officeDocument/2006/relationships/hyperlink" Target="https://www.immoscout24.ch/fr/maison/acheter/region-bellinzone" TargetMode="External"/><Relationship Id="rId9471" Type="http://schemas.openxmlformats.org/officeDocument/2006/relationships/hyperlink" Target="https://www.immoscout24.ch/fr/appartement/louer/lieu-les-friques" TargetMode="External"/><Relationship Id="rId8142" Type="http://schemas.openxmlformats.org/officeDocument/2006/relationships/hyperlink" Target="https://www.immoscout24.ch/fr/maison/acheter/lieu-corpataux-magnedens" TargetMode="External"/><Relationship Id="rId9472" Type="http://schemas.openxmlformats.org/officeDocument/2006/relationships/hyperlink" Target="https://www.immoscout24.ch/fr/appartement/louer/lieu-les-friques" TargetMode="External"/><Relationship Id="rId8149" Type="http://schemas.openxmlformats.org/officeDocument/2006/relationships/hyperlink" Target="https://www.immoscout24.ch/fr/appartement/louer/quartier-seefeld-zurich" TargetMode="External"/><Relationship Id="rId8148" Type="http://schemas.openxmlformats.org/officeDocument/2006/relationships/hyperlink" Target="https://www.immoscout24.ch/fr/maison/louer/lieu-oron-la-ville" TargetMode="External"/><Relationship Id="rId8147" Type="http://schemas.openxmlformats.org/officeDocument/2006/relationships/hyperlink" Target="https://www.immoscout24.ch/fr/maison/louer/lieu-oron-la-ville" TargetMode="External"/><Relationship Id="rId8146" Type="http://schemas.openxmlformats.org/officeDocument/2006/relationships/hyperlink" Target="https://www.immoscout24.ch/fr/appartement/acheter/lieu-savigny" TargetMode="External"/><Relationship Id="rId9477" Type="http://schemas.openxmlformats.org/officeDocument/2006/relationships/hyperlink" Target="https://www.immoscout24.ch/fr/appartement/acheter/lieu-cudrefin" TargetMode="External"/><Relationship Id="rId9478" Type="http://schemas.openxmlformats.org/officeDocument/2006/relationships/hyperlink" Target="https://www.immoscout24.ch/fr/appartement/acheter/lieu-cudrefin" TargetMode="External"/><Relationship Id="rId9479" Type="http://schemas.openxmlformats.org/officeDocument/2006/relationships/hyperlink" Target="https://www.immoscout24.ch/fr/maison/louer/lieu-le-mont-sur-lausanne" TargetMode="External"/><Relationship Id="rId8130" Type="http://schemas.openxmlformats.org/officeDocument/2006/relationships/hyperlink" Target="https://www.immoscout24.ch/fr/appartement/louer/lieu-bremgarten-b-bern" TargetMode="External"/><Relationship Id="rId9462" Type="http://schemas.openxmlformats.org/officeDocument/2006/relationships/hyperlink" Target="https://www.immoscout24.ch/fr/appartement/acheter/lieu-les-genevez-ju" TargetMode="External"/><Relationship Id="rId9463" Type="http://schemas.openxmlformats.org/officeDocument/2006/relationships/hyperlink" Target="https://www.immoscout24.ch/fr/maison/louer/lieu-mex-vs" TargetMode="External"/><Relationship Id="rId9464" Type="http://schemas.openxmlformats.org/officeDocument/2006/relationships/hyperlink" Target="https://www.immoscout24.ch/fr/maison/louer/lieu-mex-vs" TargetMode="External"/><Relationship Id="rId9465" Type="http://schemas.openxmlformats.org/officeDocument/2006/relationships/hyperlink" Target="https://www.immoscout24.ch/fr/maison/acheter/lieu-flumserberg-bergheim" TargetMode="External"/><Relationship Id="rId8134" Type="http://schemas.openxmlformats.org/officeDocument/2006/relationships/hyperlink" Target="https://www.immoscout24.ch/fr/appartement/louer/quartier-mache-biel-bienne" TargetMode="External"/><Relationship Id="rId8133" Type="http://schemas.openxmlformats.org/officeDocument/2006/relationships/hyperlink" Target="https://www.immoscout24.ch/fr/appartement/louer/quartier-mache-biel-bienne" TargetMode="External"/><Relationship Id="rId8132" Type="http://schemas.openxmlformats.org/officeDocument/2006/relationships/hyperlink" Target="https://www.immoscout24.ch/fr/maison/acheter/lieu-attiswil" TargetMode="External"/><Relationship Id="rId9460" Type="http://schemas.openxmlformats.org/officeDocument/2006/relationships/hyperlink" Target="https://www.immoscout24.ch/fr/appartement/louer/lieu-bavois" TargetMode="External"/><Relationship Id="rId8131" Type="http://schemas.openxmlformats.org/officeDocument/2006/relationships/hyperlink" Target="https://www.immoscout24.ch/fr/maison/acheter/lieu-attiswil" TargetMode="External"/><Relationship Id="rId9461" Type="http://schemas.openxmlformats.org/officeDocument/2006/relationships/hyperlink" Target="https://www.immoscout24.ch/fr/appartement/acheter/lieu-les-genevez-ju" TargetMode="External"/><Relationship Id="rId8138" Type="http://schemas.openxmlformats.org/officeDocument/2006/relationships/hyperlink" Target="https://www.immoscout24.ch/fr/maison/acheter/region-jura-vaudois" TargetMode="External"/><Relationship Id="rId8137" Type="http://schemas.openxmlformats.org/officeDocument/2006/relationships/hyperlink" Target="https://www.immoscout24.ch/fr/maison/acheter/region-jura-vaudois" TargetMode="External"/><Relationship Id="rId8136" Type="http://schemas.openxmlformats.org/officeDocument/2006/relationships/hyperlink" Target="https://www.immoscout24.ch/fr/appartement/acheter/quartier-maupas-valency-lausanne" TargetMode="External"/><Relationship Id="rId8135" Type="http://schemas.openxmlformats.org/officeDocument/2006/relationships/hyperlink" Target="https://www.immoscout24.ch/fr/appartement/acheter/quartier-maupas-valency-lausanne" TargetMode="External"/><Relationship Id="rId9466" Type="http://schemas.openxmlformats.org/officeDocument/2006/relationships/hyperlink" Target="https://www.immoscout24.ch/fr/maison/acheter/lieu-flumserberg-bergheim" TargetMode="External"/><Relationship Id="rId9467" Type="http://schemas.openxmlformats.org/officeDocument/2006/relationships/hyperlink" Target="https://www.immoscout24.ch/fr/maison/louer/lieu-les-cullayes" TargetMode="External"/><Relationship Id="rId9468" Type="http://schemas.openxmlformats.org/officeDocument/2006/relationships/hyperlink" Target="https://www.immoscout24.ch/fr/maison/louer/lieu-les-cullayes" TargetMode="External"/><Relationship Id="rId8139" Type="http://schemas.openxmlformats.org/officeDocument/2006/relationships/hyperlink" Target="https://www.immoscout24.ch/fr/appartement/louer/lieu-ibach" TargetMode="External"/><Relationship Id="rId9469" Type="http://schemas.openxmlformats.org/officeDocument/2006/relationships/hyperlink" Target="https://www.immoscout24.ch/fr/maison/acheter/lieu-haute-nendaz" TargetMode="External"/><Relationship Id="rId9419" Type="http://schemas.openxmlformats.org/officeDocument/2006/relationships/hyperlink" Target="https://www.immoscout24.ch/fr/appartement/louer/secteur-kreis-5" TargetMode="External"/><Relationship Id="rId9410" Type="http://schemas.openxmlformats.org/officeDocument/2006/relationships/hyperlink" Target="https://www.immoscout24.ch/fr/appartement/louer/lieu-gutenswil" TargetMode="External"/><Relationship Id="rId9415" Type="http://schemas.openxmlformats.org/officeDocument/2006/relationships/hyperlink" Target="https://www.immoscout24.ch/fr/appartement/louer/lieu-verbier" TargetMode="External"/><Relationship Id="rId9416" Type="http://schemas.openxmlformats.org/officeDocument/2006/relationships/hyperlink" Target="https://www.immoscout24.ch/fr/appartement/louer/lieu-verbier" TargetMode="External"/><Relationship Id="rId9417" Type="http://schemas.openxmlformats.org/officeDocument/2006/relationships/hyperlink" Target="https://www.immoscout24.ch/fr/maison/acheter/lieu-cheserex" TargetMode="External"/><Relationship Id="rId9418" Type="http://schemas.openxmlformats.org/officeDocument/2006/relationships/hyperlink" Target="https://www.immoscout24.ch/fr/maison/acheter/lieu-cheserex" TargetMode="External"/><Relationship Id="rId9411" Type="http://schemas.openxmlformats.org/officeDocument/2006/relationships/hyperlink" Target="https://www.immoscout24.ch/fr/maison/acheter/lieu-essert-pittet" TargetMode="External"/><Relationship Id="rId9412" Type="http://schemas.openxmlformats.org/officeDocument/2006/relationships/hyperlink" Target="https://www.immoscout24.ch/fr/maison/acheter/lieu-essert-pittet" TargetMode="External"/><Relationship Id="rId9413" Type="http://schemas.openxmlformats.org/officeDocument/2006/relationships/hyperlink" Target="https://www.immoscout24.ch/fr/appartement/acheter/lieu-wallisellen" TargetMode="External"/><Relationship Id="rId9414" Type="http://schemas.openxmlformats.org/officeDocument/2006/relationships/hyperlink" Target="https://www.immoscout24.ch/fr/appartement/acheter/lieu-wallisellen" TargetMode="External"/><Relationship Id="rId9408" Type="http://schemas.openxmlformats.org/officeDocument/2006/relationships/hyperlink" Target="https://www.immoscout24.ch/fr/maison/acheter/lieu-boudevilliers" TargetMode="External"/><Relationship Id="rId9409" Type="http://schemas.openxmlformats.org/officeDocument/2006/relationships/hyperlink" Target="https://www.immoscout24.ch/fr/appartement/louer/lieu-gutenswil" TargetMode="External"/><Relationship Id="rId9404" Type="http://schemas.openxmlformats.org/officeDocument/2006/relationships/hyperlink" Target="https://www.immoscout24.ch/fr/appartement/louer/lieu-dranse-liddes" TargetMode="External"/><Relationship Id="rId9405" Type="http://schemas.openxmlformats.org/officeDocument/2006/relationships/hyperlink" Target="https://www.immoscout24.ch/fr/appartement/louer/lieu-breitenbach" TargetMode="External"/><Relationship Id="rId9406" Type="http://schemas.openxmlformats.org/officeDocument/2006/relationships/hyperlink" Target="https://www.immoscout24.ch/fr/appartement/louer/lieu-breitenbach" TargetMode="External"/><Relationship Id="rId9407" Type="http://schemas.openxmlformats.org/officeDocument/2006/relationships/hyperlink" Target="https://www.immoscout24.ch/fr/maison/acheter/lieu-boudevilliers" TargetMode="External"/><Relationship Id="rId9400" Type="http://schemas.openxmlformats.org/officeDocument/2006/relationships/hyperlink" Target="https://www.immoscout24.ch/fr/maison/louer/lieu-muttenz" TargetMode="External"/><Relationship Id="rId9401" Type="http://schemas.openxmlformats.org/officeDocument/2006/relationships/hyperlink" Target="https://www.immoscout24.ch/fr/appartement/louer/lieu-escholzmatt" TargetMode="External"/><Relationship Id="rId9402" Type="http://schemas.openxmlformats.org/officeDocument/2006/relationships/hyperlink" Target="https://www.immoscout24.ch/fr/appartement/louer/lieu-escholzmatt" TargetMode="External"/><Relationship Id="rId9403" Type="http://schemas.openxmlformats.org/officeDocument/2006/relationships/hyperlink" Target="https://www.immoscout24.ch/fr/appartement/louer/lieu-dranse-liddes" TargetMode="External"/><Relationship Id="rId9430" Type="http://schemas.openxmlformats.org/officeDocument/2006/relationships/hyperlink" Target="https://www.immoscout24.ch/fr/appartement/louer/lieu-alterswil-fr" TargetMode="External"/><Relationship Id="rId9431" Type="http://schemas.openxmlformats.org/officeDocument/2006/relationships/hyperlink" Target="https://www.immoscout24.ch/fr/appartement/louer/lieu-solduno" TargetMode="External"/><Relationship Id="rId9432" Type="http://schemas.openxmlformats.org/officeDocument/2006/relationships/hyperlink" Target="https://www.immoscout24.ch/fr/appartement/louer/lieu-solduno" TargetMode="External"/><Relationship Id="rId8101" Type="http://schemas.openxmlformats.org/officeDocument/2006/relationships/hyperlink" Target="https://www.immoscout24.ch/fr/maison/acheter/lieu-muenster-vs" TargetMode="External"/><Relationship Id="rId8100" Type="http://schemas.openxmlformats.org/officeDocument/2006/relationships/hyperlink" Target="https://www.immoscout24.ch/fr/appartement/acheter/lieu-marin-epagnier" TargetMode="External"/><Relationship Id="rId8105" Type="http://schemas.openxmlformats.org/officeDocument/2006/relationships/hyperlink" Target="https://www.immoscout24.ch/fr/maison/acheter/lieu-ramsen" TargetMode="External"/><Relationship Id="rId9437" Type="http://schemas.openxmlformats.org/officeDocument/2006/relationships/hyperlink" Target="https://www.immoscout24.ch/fr/appartement/louer/region-furttal" TargetMode="External"/><Relationship Id="rId8104" Type="http://schemas.openxmlformats.org/officeDocument/2006/relationships/hyperlink" Target="https://www.immoscout24.ch/fr/maison/acheter/lieu-dozwil" TargetMode="External"/><Relationship Id="rId9438" Type="http://schemas.openxmlformats.org/officeDocument/2006/relationships/hyperlink" Target="https://www.immoscout24.ch/fr/appartement/louer/region-furttal" TargetMode="External"/><Relationship Id="rId8103" Type="http://schemas.openxmlformats.org/officeDocument/2006/relationships/hyperlink" Target="https://www.immoscout24.ch/fr/maison/acheter/lieu-dozwil" TargetMode="External"/><Relationship Id="rId9439" Type="http://schemas.openxmlformats.org/officeDocument/2006/relationships/hyperlink" Target="https://www.immoscout24.ch/fr/maison/louer/lieu-montet-broye" TargetMode="External"/><Relationship Id="rId8102" Type="http://schemas.openxmlformats.org/officeDocument/2006/relationships/hyperlink" Target="https://www.immoscout24.ch/fr/maison/acheter/lieu-muenster-vs" TargetMode="External"/><Relationship Id="rId8109" Type="http://schemas.openxmlformats.org/officeDocument/2006/relationships/hyperlink" Target="https://www.immoscout24.ch/fr/maison/acheter/lieu-maglio-di-colla" TargetMode="External"/><Relationship Id="rId9433" Type="http://schemas.openxmlformats.org/officeDocument/2006/relationships/hyperlink" Target="https://www.immoscout24.ch/fr/appartement/louer/lieu-salins" TargetMode="External"/><Relationship Id="rId8108" Type="http://schemas.openxmlformats.org/officeDocument/2006/relationships/hyperlink" Target="https://www.immoscout24.ch/fr/maison/acheter/lieu-sutz" TargetMode="External"/><Relationship Id="rId9434" Type="http://schemas.openxmlformats.org/officeDocument/2006/relationships/hyperlink" Target="https://www.immoscout24.ch/fr/appartement/louer/lieu-salins" TargetMode="External"/><Relationship Id="rId8107" Type="http://schemas.openxmlformats.org/officeDocument/2006/relationships/hyperlink" Target="https://www.immoscout24.ch/fr/maison/acheter/lieu-sutz" TargetMode="External"/><Relationship Id="rId9435" Type="http://schemas.openxmlformats.org/officeDocument/2006/relationships/hyperlink" Target="https://www.immoscout24.ch/fr/maison/louer/lieu-la-chaux-de-fonds" TargetMode="External"/><Relationship Id="rId8106" Type="http://schemas.openxmlformats.org/officeDocument/2006/relationships/hyperlink" Target="https://www.immoscout24.ch/fr/maison/acheter/lieu-ramsen" TargetMode="External"/><Relationship Id="rId9436" Type="http://schemas.openxmlformats.org/officeDocument/2006/relationships/hyperlink" Target="https://www.immoscout24.ch/fr/maison/louer/lieu-la-chaux-de-fonds" TargetMode="External"/><Relationship Id="rId9420" Type="http://schemas.openxmlformats.org/officeDocument/2006/relationships/hyperlink" Target="https://www.immoscout24.ch/fr/appartement/louer/secteur-kreis-5" TargetMode="External"/><Relationship Id="rId9421" Type="http://schemas.openxmlformats.org/officeDocument/2006/relationships/hyperlink" Target="https://www.immoscout24.ch/fr/maison/louer/lieu-courgenay" TargetMode="External"/><Relationship Id="rId9426" Type="http://schemas.openxmlformats.org/officeDocument/2006/relationships/hyperlink" Target="https://www.immoscout24.ch/fr/appartement/louer/lieu-fehraltorf" TargetMode="External"/><Relationship Id="rId9427" Type="http://schemas.openxmlformats.org/officeDocument/2006/relationships/hyperlink" Target="https://www.immoscout24.ch/fr/appartement/louer/lieu-rueyres-treyfayes" TargetMode="External"/><Relationship Id="rId9428" Type="http://schemas.openxmlformats.org/officeDocument/2006/relationships/hyperlink" Target="https://www.immoscout24.ch/fr/appartement/louer/lieu-rueyres-treyfayes" TargetMode="External"/><Relationship Id="rId9429" Type="http://schemas.openxmlformats.org/officeDocument/2006/relationships/hyperlink" Target="https://www.immoscout24.ch/fr/appartement/louer/lieu-alterswil-fr" TargetMode="External"/><Relationship Id="rId9422" Type="http://schemas.openxmlformats.org/officeDocument/2006/relationships/hyperlink" Target="https://www.immoscout24.ch/fr/maison/louer/lieu-courgenay" TargetMode="External"/><Relationship Id="rId9423" Type="http://schemas.openxmlformats.org/officeDocument/2006/relationships/hyperlink" Target="https://www.immoscout24.ch/fr/appartement/acheter/lieu-oberwil-bl" TargetMode="External"/><Relationship Id="rId9424" Type="http://schemas.openxmlformats.org/officeDocument/2006/relationships/hyperlink" Target="https://www.immoscout24.ch/fr/appartement/acheter/lieu-oberwil-bl" TargetMode="External"/><Relationship Id="rId9425" Type="http://schemas.openxmlformats.org/officeDocument/2006/relationships/hyperlink" Target="https://www.immoscout24.ch/fr/appartement/louer/lieu-fehraltorf" TargetMode="External"/><Relationship Id="rId8196" Type="http://schemas.openxmlformats.org/officeDocument/2006/relationships/hyperlink" Target="https://www.immoscout24.ch/fr/maison/louer/region-la-cote-nyon" TargetMode="External"/><Relationship Id="rId8195" Type="http://schemas.openxmlformats.org/officeDocument/2006/relationships/hyperlink" Target="https://www.immoscout24.ch/fr/maison/louer/region-la-cote-nyon" TargetMode="External"/><Relationship Id="rId8194" Type="http://schemas.openxmlformats.org/officeDocument/2006/relationships/hyperlink" Target="https://www.immoscout24.ch/fr/maison/acheter/lieu-rossens-fr" TargetMode="External"/><Relationship Id="rId8193" Type="http://schemas.openxmlformats.org/officeDocument/2006/relationships/hyperlink" Target="https://www.immoscout24.ch/fr/maison/acheter/lieu-rossens-fr" TargetMode="External"/><Relationship Id="rId8199" Type="http://schemas.openxmlformats.org/officeDocument/2006/relationships/hyperlink" Target="https://www.immoscout24.ch/fr/appartement/acheter/region-porrentruy" TargetMode="External"/><Relationship Id="rId8198" Type="http://schemas.openxmlformats.org/officeDocument/2006/relationships/hyperlink" Target="https://www.immoscout24.ch/fr/appartement/louer/pays-maroc" TargetMode="External"/><Relationship Id="rId8197" Type="http://schemas.openxmlformats.org/officeDocument/2006/relationships/hyperlink" Target="https://www.immoscout24.ch/fr/appartement/louer/pays-maroc" TargetMode="External"/><Relationship Id="rId8170" Type="http://schemas.openxmlformats.org/officeDocument/2006/relationships/hyperlink" Target="https://www.immoscout24.ch/fr/appartement/louer/lieu-locarno" TargetMode="External"/><Relationship Id="rId8163" Type="http://schemas.openxmlformats.org/officeDocument/2006/relationships/hyperlink" Target="https://www.immoscout24.ch/fr/maison/louer/region-fribourg-ville" TargetMode="External"/><Relationship Id="rId9495" Type="http://schemas.openxmlformats.org/officeDocument/2006/relationships/hyperlink" Target="https://www.immoscout24.ch/fr/appartement/louer/region-mosa" TargetMode="External"/><Relationship Id="rId8162" Type="http://schemas.openxmlformats.org/officeDocument/2006/relationships/hyperlink" Target="https://www.immoscout24.ch/fr/maison/acheter/lieu-plan-les-ouates" TargetMode="External"/><Relationship Id="rId9496" Type="http://schemas.openxmlformats.org/officeDocument/2006/relationships/hyperlink" Target="https://www.immoscout24.ch/fr/appartement/louer/region-mosa" TargetMode="External"/><Relationship Id="rId8161" Type="http://schemas.openxmlformats.org/officeDocument/2006/relationships/hyperlink" Target="https://www.immoscout24.ch/fr/maison/acheter/lieu-plan-les-ouates" TargetMode="External"/><Relationship Id="rId9497" Type="http://schemas.openxmlformats.org/officeDocument/2006/relationships/hyperlink" Target="https://www.immoscout24.ch/fr/maison/acheter/lieu-la-brevine" TargetMode="External"/><Relationship Id="rId8160" Type="http://schemas.openxmlformats.org/officeDocument/2006/relationships/hyperlink" Target="https://www.immoscout24.ch/fr/appartement/louer/lieu-lauenen-b-gstaad" TargetMode="External"/><Relationship Id="rId9498" Type="http://schemas.openxmlformats.org/officeDocument/2006/relationships/hyperlink" Target="https://www.immoscout24.ch/fr/maison/acheter/lieu-la-brevine" TargetMode="External"/><Relationship Id="rId8167" Type="http://schemas.openxmlformats.org/officeDocument/2006/relationships/hyperlink" Target="https://www.immoscout24.ch/fr/maison/acheter/region-montagnes-neuchateloises" TargetMode="External"/><Relationship Id="rId9491" Type="http://schemas.openxmlformats.org/officeDocument/2006/relationships/hyperlink" Target="https://www.immoscout24.ch/fr/maison/acheter/lieu-worb" TargetMode="External"/><Relationship Id="rId8166" Type="http://schemas.openxmlformats.org/officeDocument/2006/relationships/hyperlink" Target="https://www.immoscout24.ch/fr/maison/acheter/lieu-arni-ag" TargetMode="External"/><Relationship Id="rId9492" Type="http://schemas.openxmlformats.org/officeDocument/2006/relationships/hyperlink" Target="https://www.immoscout24.ch/fr/maison/acheter/lieu-worb" TargetMode="External"/><Relationship Id="rId8165" Type="http://schemas.openxmlformats.org/officeDocument/2006/relationships/hyperlink" Target="https://www.immoscout24.ch/fr/maison/acheter/lieu-arni-ag" TargetMode="External"/><Relationship Id="rId9493" Type="http://schemas.openxmlformats.org/officeDocument/2006/relationships/hyperlink" Target="https://www.immoscout24.ch/fr/appartement/louer/lieu-sigriswil" TargetMode="External"/><Relationship Id="rId8164" Type="http://schemas.openxmlformats.org/officeDocument/2006/relationships/hyperlink" Target="https://www.immoscout24.ch/fr/maison/louer/region-fribourg-ville" TargetMode="External"/><Relationship Id="rId9494" Type="http://schemas.openxmlformats.org/officeDocument/2006/relationships/hyperlink" Target="https://www.immoscout24.ch/fr/appartement/louer/lieu-sigriswil" TargetMode="External"/><Relationship Id="rId8169" Type="http://schemas.openxmlformats.org/officeDocument/2006/relationships/hyperlink" Target="https://www.immoscout24.ch/fr/appartement/louer/lieu-locarno" TargetMode="External"/><Relationship Id="rId8168" Type="http://schemas.openxmlformats.org/officeDocument/2006/relationships/hyperlink" Target="https://www.immoscout24.ch/fr/maison/acheter/region-montagnes-neuchateloises" TargetMode="External"/><Relationship Id="rId9499" Type="http://schemas.openxmlformats.org/officeDocument/2006/relationships/hyperlink" Target="https://www.immoscout24.ch/fr/maison/acheter/lieu-le-grand-saconnex" TargetMode="External"/><Relationship Id="rId9490" Type="http://schemas.openxmlformats.org/officeDocument/2006/relationships/hyperlink" Target="https://www.immoscout24.ch/fr/appartement/acheter/lieu-les-bois" TargetMode="External"/><Relationship Id="rId8152" Type="http://schemas.openxmlformats.org/officeDocument/2006/relationships/hyperlink" Target="https://www.immoscout24.ch/fr/maison/louer/lieu-tentlingen" TargetMode="External"/><Relationship Id="rId9484" Type="http://schemas.openxmlformats.org/officeDocument/2006/relationships/hyperlink" Target="https://www.immoscout24.ch/fr/maison/acheter/lieu-leysin" TargetMode="External"/><Relationship Id="rId8151" Type="http://schemas.openxmlformats.org/officeDocument/2006/relationships/hyperlink" Target="https://www.immoscout24.ch/fr/maison/louer/lieu-tentlingen" TargetMode="External"/><Relationship Id="rId9485" Type="http://schemas.openxmlformats.org/officeDocument/2006/relationships/hyperlink" Target="https://www.immoscout24.ch/fr/maison/acheter/lieu-niederbipp" TargetMode="External"/><Relationship Id="rId8150" Type="http://schemas.openxmlformats.org/officeDocument/2006/relationships/hyperlink" Target="https://www.immoscout24.ch/fr/appartement/louer/quartier-seefeld-zurich" TargetMode="External"/><Relationship Id="rId9486" Type="http://schemas.openxmlformats.org/officeDocument/2006/relationships/hyperlink" Target="https://www.immoscout24.ch/fr/maison/acheter/lieu-niederbipp" TargetMode="External"/><Relationship Id="rId9487" Type="http://schemas.openxmlformats.org/officeDocument/2006/relationships/hyperlink" Target="https://www.immoscout24.ch/fr/maison/acheter/lieu-palagnedra" TargetMode="External"/><Relationship Id="rId8156" Type="http://schemas.openxmlformats.org/officeDocument/2006/relationships/hyperlink" Target="https://www.immoscout24.ch/fr/maison/acheter/lieu-oberwald" TargetMode="External"/><Relationship Id="rId9480" Type="http://schemas.openxmlformats.org/officeDocument/2006/relationships/hyperlink" Target="https://www.immoscout24.ch/fr/maison/louer/lieu-le-mont-sur-lausanne" TargetMode="External"/><Relationship Id="rId8155" Type="http://schemas.openxmlformats.org/officeDocument/2006/relationships/hyperlink" Target="https://www.immoscout24.ch/fr/maison/acheter/lieu-oberwald" TargetMode="External"/><Relationship Id="rId9481" Type="http://schemas.openxmlformats.org/officeDocument/2006/relationships/hyperlink" Target="https://www.immoscout24.ch/fr/maison/acheter/lieu-bottmingen" TargetMode="External"/><Relationship Id="rId8154" Type="http://schemas.openxmlformats.org/officeDocument/2006/relationships/hyperlink" Target="https://www.immoscout24.ch/fr/appartement/acheter/lieu-konolfingen" TargetMode="External"/><Relationship Id="rId9482" Type="http://schemas.openxmlformats.org/officeDocument/2006/relationships/hyperlink" Target="https://www.immoscout24.ch/fr/maison/acheter/lieu-bottmingen" TargetMode="External"/><Relationship Id="rId8153" Type="http://schemas.openxmlformats.org/officeDocument/2006/relationships/hyperlink" Target="https://www.immoscout24.ch/fr/appartement/acheter/lieu-konolfingen" TargetMode="External"/><Relationship Id="rId9483" Type="http://schemas.openxmlformats.org/officeDocument/2006/relationships/hyperlink" Target="https://www.immoscout24.ch/fr/maison/acheter/lieu-leysin" TargetMode="External"/><Relationship Id="rId8159" Type="http://schemas.openxmlformats.org/officeDocument/2006/relationships/hyperlink" Target="https://www.immoscout24.ch/fr/appartement/louer/lieu-lauenen-b-gstaad" TargetMode="External"/><Relationship Id="rId8158" Type="http://schemas.openxmlformats.org/officeDocument/2006/relationships/hyperlink" Target="https://www.immoscout24.ch/fr/maison/acheter/lieu-servion" TargetMode="External"/><Relationship Id="rId8157" Type="http://schemas.openxmlformats.org/officeDocument/2006/relationships/hyperlink" Target="https://www.immoscout24.ch/fr/maison/acheter/lieu-servion" TargetMode="External"/><Relationship Id="rId9488" Type="http://schemas.openxmlformats.org/officeDocument/2006/relationships/hyperlink" Target="https://www.immoscout24.ch/fr/maison/acheter/lieu-palagnedra" TargetMode="External"/><Relationship Id="rId9489" Type="http://schemas.openxmlformats.org/officeDocument/2006/relationships/hyperlink" Target="https://www.immoscout24.ch/fr/appartement/acheter/lieu-les-bois" TargetMode="External"/><Relationship Id="rId8192" Type="http://schemas.openxmlformats.org/officeDocument/2006/relationships/hyperlink" Target="https://www.immoscout24.ch/fr/maison/acheter/lieu-aegerten" TargetMode="External"/><Relationship Id="rId8191" Type="http://schemas.openxmlformats.org/officeDocument/2006/relationships/hyperlink" Target="https://www.immoscout24.ch/fr/maison/acheter/lieu-aegerten" TargetMode="External"/><Relationship Id="rId8190" Type="http://schemas.openxmlformats.org/officeDocument/2006/relationships/hyperlink" Target="https://www.immoscout24.ch/fr/appartement/acheter/lieu-gimmelwald" TargetMode="External"/><Relationship Id="rId8185" Type="http://schemas.openxmlformats.org/officeDocument/2006/relationships/hyperlink" Target="https://www.immoscout24.ch/fr/appartement/acheter/lieu-visperterminen" TargetMode="External"/><Relationship Id="rId8184" Type="http://schemas.openxmlformats.org/officeDocument/2006/relationships/hyperlink" Target="https://www.immoscout24.ch/fr/maison/acheter/lieu-treytorrens-payerne" TargetMode="External"/><Relationship Id="rId8183" Type="http://schemas.openxmlformats.org/officeDocument/2006/relationships/hyperlink" Target="https://www.immoscout24.ch/fr/maison/acheter/lieu-treytorrens-payerne" TargetMode="External"/><Relationship Id="rId8182" Type="http://schemas.openxmlformats.org/officeDocument/2006/relationships/hyperlink" Target="https://www.immoscout24.ch/fr/maison/acheter/lieu-seigneux" TargetMode="External"/><Relationship Id="rId8189" Type="http://schemas.openxmlformats.org/officeDocument/2006/relationships/hyperlink" Target="https://www.immoscout24.ch/fr/appartement/acheter/lieu-gimmelwald" TargetMode="External"/><Relationship Id="rId8188" Type="http://schemas.openxmlformats.org/officeDocument/2006/relationships/hyperlink" Target="https://www.immoscout24.ch/fr/maison/acheter/lieu-hoeri" TargetMode="External"/><Relationship Id="rId8187" Type="http://schemas.openxmlformats.org/officeDocument/2006/relationships/hyperlink" Target="https://www.immoscout24.ch/fr/maison/acheter/lieu-hoeri" TargetMode="External"/><Relationship Id="rId8186" Type="http://schemas.openxmlformats.org/officeDocument/2006/relationships/hyperlink" Target="https://www.immoscout24.ch/fr/appartement/acheter/lieu-visperterminen" TargetMode="External"/><Relationship Id="rId8181" Type="http://schemas.openxmlformats.org/officeDocument/2006/relationships/hyperlink" Target="https://www.immoscout24.ch/fr/maison/acheter/lieu-seigneux" TargetMode="External"/><Relationship Id="rId8180" Type="http://schemas.openxmlformats.org/officeDocument/2006/relationships/hyperlink" Target="https://www.immoscout24.ch/fr/appartement/acheter/lieu-ollon-vd" TargetMode="External"/><Relationship Id="rId8174" Type="http://schemas.openxmlformats.org/officeDocument/2006/relationships/hyperlink" Target="https://www.immoscout24.ch/fr/maison/acheter/lieu-chur" TargetMode="External"/><Relationship Id="rId8173" Type="http://schemas.openxmlformats.org/officeDocument/2006/relationships/hyperlink" Target="https://www.immoscout24.ch/fr/maison/acheter/lieu-chur" TargetMode="External"/><Relationship Id="rId8172" Type="http://schemas.openxmlformats.org/officeDocument/2006/relationships/hyperlink" Target="https://www.immoscout24.ch/fr/maison/louer/lieu-la-croix-lutry" TargetMode="External"/><Relationship Id="rId8171" Type="http://schemas.openxmlformats.org/officeDocument/2006/relationships/hyperlink" Target="https://www.immoscout24.ch/fr/maison/louer/lieu-la-croix-lutry" TargetMode="External"/><Relationship Id="rId8178" Type="http://schemas.openxmlformats.org/officeDocument/2006/relationships/hyperlink" Target="https://www.immoscout24.ch/fr/appartement/acheter/lieu-biglen" TargetMode="External"/><Relationship Id="rId8177" Type="http://schemas.openxmlformats.org/officeDocument/2006/relationships/hyperlink" Target="https://www.immoscout24.ch/fr/appartement/acheter/lieu-biglen" TargetMode="External"/><Relationship Id="rId8176" Type="http://schemas.openxmlformats.org/officeDocument/2006/relationships/hyperlink" Target="https://www.immoscout24.ch/fr/maison/acheter/lieu-romairon" TargetMode="External"/><Relationship Id="rId8175" Type="http://schemas.openxmlformats.org/officeDocument/2006/relationships/hyperlink" Target="https://www.immoscout24.ch/fr/maison/acheter/lieu-romairon" TargetMode="External"/><Relationship Id="rId8179" Type="http://schemas.openxmlformats.org/officeDocument/2006/relationships/hyperlink" Target="https://www.immoscout24.ch/fr/appartement/acheter/lieu-ollon-vd" TargetMode="External"/><Relationship Id="rId107" Type="http://schemas.openxmlformats.org/officeDocument/2006/relationships/hyperlink" Target="https://www.immoscout24.ch/fr/maison/louer/lieu-vandoeuvres" TargetMode="External"/><Relationship Id="rId10578" Type="http://schemas.openxmlformats.org/officeDocument/2006/relationships/hyperlink" Target="https://www.immoscout24.ch/fr/appartement/acheter/lieu-orges" TargetMode="External"/><Relationship Id="rId106" Type="http://schemas.openxmlformats.org/officeDocument/2006/relationships/hyperlink" Target="https://www.immoscout24.ch/fr/appartement/louer/lieu-chevroux" TargetMode="External"/><Relationship Id="rId10579" Type="http://schemas.openxmlformats.org/officeDocument/2006/relationships/hyperlink" Target="https://www.immoscout24.ch/fr/appartement/louer/lieu-planken" TargetMode="External"/><Relationship Id="rId105" Type="http://schemas.openxmlformats.org/officeDocument/2006/relationships/hyperlink" Target="https://www.immoscout24.ch/fr/appartement/louer/lieu-chevroux" TargetMode="External"/><Relationship Id="rId10576" Type="http://schemas.openxmlformats.org/officeDocument/2006/relationships/hyperlink" Target="https://www.immoscout24.ch/fr/maison/acheter/lieu-valangin" TargetMode="External"/><Relationship Id="rId104" Type="http://schemas.openxmlformats.org/officeDocument/2006/relationships/hyperlink" Target="https://www.immoscout24.ch/fr/appartement/louer/lieu-chermignon" TargetMode="External"/><Relationship Id="rId10577" Type="http://schemas.openxmlformats.org/officeDocument/2006/relationships/hyperlink" Target="https://www.immoscout24.ch/fr/appartement/acheter/lieu-orges" TargetMode="External"/><Relationship Id="rId109" Type="http://schemas.openxmlformats.org/officeDocument/2006/relationships/hyperlink" Target="https://www.immoscout24.ch/fr/maison/acheter/lieu-russy" TargetMode="External"/><Relationship Id="rId108" Type="http://schemas.openxmlformats.org/officeDocument/2006/relationships/hyperlink" Target="https://www.immoscout24.ch/fr/maison/louer/lieu-vandoeuvres" TargetMode="External"/><Relationship Id="rId10570" Type="http://schemas.openxmlformats.org/officeDocument/2006/relationships/hyperlink" Target="https://www.immoscout24.ch/fr/appartement/louer/region-aarau-et-environs" TargetMode="External"/><Relationship Id="rId10571" Type="http://schemas.openxmlformats.org/officeDocument/2006/relationships/hyperlink" Target="https://www.immoscout24.ch/fr/appartement/louer/lieu-mumpf" TargetMode="External"/><Relationship Id="rId103" Type="http://schemas.openxmlformats.org/officeDocument/2006/relationships/hyperlink" Target="https://www.immoscout24.ch/fr/appartement/louer/lieu-chermignon" TargetMode="External"/><Relationship Id="rId10574" Type="http://schemas.openxmlformats.org/officeDocument/2006/relationships/hyperlink" Target="https://www.immoscout24.ch/fr/appartement/louer/lieu-hagneck" TargetMode="External"/><Relationship Id="rId102" Type="http://schemas.openxmlformats.org/officeDocument/2006/relationships/hyperlink" Target="https://www.immoscout24.ch/fr/maison/acheter/lieu-eiken" TargetMode="External"/><Relationship Id="rId10575" Type="http://schemas.openxmlformats.org/officeDocument/2006/relationships/hyperlink" Target="https://www.immoscout24.ch/fr/maison/acheter/lieu-valangin" TargetMode="External"/><Relationship Id="rId101" Type="http://schemas.openxmlformats.org/officeDocument/2006/relationships/hyperlink" Target="https://www.immoscout24.ch/fr/maison/acheter/lieu-eiken" TargetMode="External"/><Relationship Id="rId10572" Type="http://schemas.openxmlformats.org/officeDocument/2006/relationships/hyperlink" Target="https://www.immoscout24.ch/fr/appartement/louer/lieu-mumpf" TargetMode="External"/><Relationship Id="rId100" Type="http://schemas.openxmlformats.org/officeDocument/2006/relationships/hyperlink" Target="https://www.immoscout24.ch/fr/appartement/louer/lieu-rheinau" TargetMode="External"/><Relationship Id="rId10573" Type="http://schemas.openxmlformats.org/officeDocument/2006/relationships/hyperlink" Target="https://www.immoscout24.ch/fr/appartement/louer/lieu-hagneck" TargetMode="External"/><Relationship Id="rId10589" Type="http://schemas.openxmlformats.org/officeDocument/2006/relationships/hyperlink" Target="https://www.immoscout24.ch/fr/maison/acheter/lieu-wiedlisbach" TargetMode="External"/><Relationship Id="rId10587" Type="http://schemas.openxmlformats.org/officeDocument/2006/relationships/hyperlink" Target="https://www.immoscout24.ch/fr/appartement/louer/lieu-ponthaux" TargetMode="External"/><Relationship Id="rId10588" Type="http://schemas.openxmlformats.org/officeDocument/2006/relationships/hyperlink" Target="https://www.immoscout24.ch/fr/appartement/louer/lieu-ponthaux" TargetMode="External"/><Relationship Id="rId10581" Type="http://schemas.openxmlformats.org/officeDocument/2006/relationships/hyperlink" Target="https://www.immoscout24.ch/fr/appartement/louer/lieu-assens" TargetMode="External"/><Relationship Id="rId10582" Type="http://schemas.openxmlformats.org/officeDocument/2006/relationships/hyperlink" Target="https://www.immoscout24.ch/fr/appartement/louer/lieu-assens" TargetMode="External"/><Relationship Id="rId10580" Type="http://schemas.openxmlformats.org/officeDocument/2006/relationships/hyperlink" Target="https://www.immoscout24.ch/fr/appartement/louer/lieu-planken" TargetMode="External"/><Relationship Id="rId10585" Type="http://schemas.openxmlformats.org/officeDocument/2006/relationships/hyperlink" Target="https://www.immoscout24.ch/fr/appartement/louer/lieu-muenchenbuchsee" TargetMode="External"/><Relationship Id="rId10586" Type="http://schemas.openxmlformats.org/officeDocument/2006/relationships/hyperlink" Target="https://www.immoscout24.ch/fr/appartement/louer/lieu-muenchenbuchsee" TargetMode="External"/><Relationship Id="rId10583" Type="http://schemas.openxmlformats.org/officeDocument/2006/relationships/hyperlink" Target="https://www.immoscout24.ch/fr/appartement/louer/lieu-bedano" TargetMode="External"/><Relationship Id="rId10584" Type="http://schemas.openxmlformats.org/officeDocument/2006/relationships/hyperlink" Target="https://www.immoscout24.ch/fr/appartement/louer/lieu-bedano" TargetMode="External"/><Relationship Id="rId129" Type="http://schemas.openxmlformats.org/officeDocument/2006/relationships/hyperlink" Target="https://www.immoscout24.ch/fr/appartement/acheter/lieu-visp" TargetMode="External"/><Relationship Id="rId10556" Type="http://schemas.openxmlformats.org/officeDocument/2006/relationships/hyperlink" Target="https://www.immoscout24.ch/fr/appartement/acheter/region-lac-de-constance" TargetMode="External"/><Relationship Id="rId11888" Type="http://schemas.openxmlformats.org/officeDocument/2006/relationships/hyperlink" Target="https://www.immoscout24.ch/fr/maison/acheter/lieu-bivio" TargetMode="External"/><Relationship Id="rId128" Type="http://schemas.openxmlformats.org/officeDocument/2006/relationships/hyperlink" Target="https://www.immoscout24.ch/fr/maison/acheter/lieu-magden" TargetMode="External"/><Relationship Id="rId10557" Type="http://schemas.openxmlformats.org/officeDocument/2006/relationships/hyperlink" Target="https://www.immoscout24.ch/fr/maison/acheter/lieu-echarlens" TargetMode="External"/><Relationship Id="rId11887" Type="http://schemas.openxmlformats.org/officeDocument/2006/relationships/hyperlink" Target="https://www.immoscout24.ch/fr/maison/acheter/lieu-bivio" TargetMode="External"/><Relationship Id="rId127" Type="http://schemas.openxmlformats.org/officeDocument/2006/relationships/hyperlink" Target="https://www.immoscout24.ch/fr/maison/acheter/lieu-magden" TargetMode="External"/><Relationship Id="rId10554" Type="http://schemas.openxmlformats.org/officeDocument/2006/relationships/hyperlink" Target="https://www.immoscout24.ch/fr/appartement/louer/lieu-geneve-15-aeroport" TargetMode="External"/><Relationship Id="rId11886" Type="http://schemas.openxmlformats.org/officeDocument/2006/relationships/hyperlink" Target="https://www.immoscout24.ch/fr/appartement/acheter/lieu-laufen" TargetMode="External"/><Relationship Id="rId126" Type="http://schemas.openxmlformats.org/officeDocument/2006/relationships/hyperlink" Target="https://www.immoscout24.ch/fr/appartement/louer/lieu-seleute" TargetMode="External"/><Relationship Id="rId10555" Type="http://schemas.openxmlformats.org/officeDocument/2006/relationships/hyperlink" Target="https://www.immoscout24.ch/fr/appartement/acheter/region-lac-de-constance" TargetMode="External"/><Relationship Id="rId11885" Type="http://schemas.openxmlformats.org/officeDocument/2006/relationships/hyperlink" Target="https://www.immoscout24.ch/fr/appartement/acheter/lieu-laufen" TargetMode="External"/><Relationship Id="rId10558" Type="http://schemas.openxmlformats.org/officeDocument/2006/relationships/hyperlink" Target="https://www.immoscout24.ch/fr/maison/acheter/lieu-echarlens" TargetMode="External"/><Relationship Id="rId10559" Type="http://schemas.openxmlformats.org/officeDocument/2006/relationships/hyperlink" Target="https://www.immoscout24.ch/fr/maison/acheter/lieu-fiez" TargetMode="External"/><Relationship Id="rId11889" Type="http://schemas.openxmlformats.org/officeDocument/2006/relationships/hyperlink" Target="https://www.immoscout24.ch/fr/maison/acheter/pays-montenegro" TargetMode="External"/><Relationship Id="rId121" Type="http://schemas.openxmlformats.org/officeDocument/2006/relationships/hyperlink" Target="https://www.immoscout24.ch/fr/maison/acheter/lieu-amriswil" TargetMode="External"/><Relationship Id="rId11880" Type="http://schemas.openxmlformats.org/officeDocument/2006/relationships/hyperlink" Target="https://www.immoscout24.ch/fr/appartement/acheter/region-zurich-ville" TargetMode="External"/><Relationship Id="rId120" Type="http://schemas.openxmlformats.org/officeDocument/2006/relationships/hyperlink" Target="https://www.immoscout24.ch/fr/appartement/louer/lieu-dompierre-fr" TargetMode="External"/><Relationship Id="rId125" Type="http://schemas.openxmlformats.org/officeDocument/2006/relationships/hyperlink" Target="https://www.immoscout24.ch/fr/appartement/louer/lieu-seleute" TargetMode="External"/><Relationship Id="rId10552" Type="http://schemas.openxmlformats.org/officeDocument/2006/relationships/hyperlink" Target="https://www.immoscout24.ch/fr/appartement/louer/lieu-mels" TargetMode="External"/><Relationship Id="rId11884" Type="http://schemas.openxmlformats.org/officeDocument/2006/relationships/hyperlink" Target="https://www.immoscout24.ch/fr/maison/louer/lieu-epalinges" TargetMode="External"/><Relationship Id="rId124" Type="http://schemas.openxmlformats.org/officeDocument/2006/relationships/hyperlink" Target="https://www.immoscout24.ch/fr/maison/louer/lieu-freienbach" TargetMode="External"/><Relationship Id="rId10553" Type="http://schemas.openxmlformats.org/officeDocument/2006/relationships/hyperlink" Target="https://www.immoscout24.ch/fr/appartement/louer/lieu-geneve-15-aeroport" TargetMode="External"/><Relationship Id="rId11883" Type="http://schemas.openxmlformats.org/officeDocument/2006/relationships/hyperlink" Target="https://www.immoscout24.ch/fr/maison/louer/lieu-epalinges" TargetMode="External"/><Relationship Id="rId123" Type="http://schemas.openxmlformats.org/officeDocument/2006/relationships/hyperlink" Target="https://www.immoscout24.ch/fr/maison/louer/lieu-freienbach" TargetMode="External"/><Relationship Id="rId10550" Type="http://schemas.openxmlformats.org/officeDocument/2006/relationships/hyperlink" Target="https://www.immoscout24.ch/fr/appartement/louer/lieu-oberwil-b-bueren" TargetMode="External"/><Relationship Id="rId11882" Type="http://schemas.openxmlformats.org/officeDocument/2006/relationships/hyperlink" Target="https://www.immoscout24.ch/fr/appartement/louer/lieu-grenchen" TargetMode="External"/><Relationship Id="rId122" Type="http://schemas.openxmlformats.org/officeDocument/2006/relationships/hyperlink" Target="https://www.immoscout24.ch/fr/maison/acheter/lieu-amriswil" TargetMode="External"/><Relationship Id="rId10551" Type="http://schemas.openxmlformats.org/officeDocument/2006/relationships/hyperlink" Target="https://www.immoscout24.ch/fr/appartement/louer/lieu-mels" TargetMode="External"/><Relationship Id="rId11881" Type="http://schemas.openxmlformats.org/officeDocument/2006/relationships/hyperlink" Target="https://www.immoscout24.ch/fr/appartement/louer/lieu-grenchen" TargetMode="External"/><Relationship Id="rId118" Type="http://schemas.openxmlformats.org/officeDocument/2006/relationships/hyperlink" Target="https://www.immoscout24.ch/fr/maison/acheter/lieu-promasens" TargetMode="External"/><Relationship Id="rId10567" Type="http://schemas.openxmlformats.org/officeDocument/2006/relationships/hyperlink" Target="https://www.immoscout24.ch/fr/appartement/acheter/lieu-chernex" TargetMode="External"/><Relationship Id="rId11899" Type="http://schemas.openxmlformats.org/officeDocument/2006/relationships/hyperlink" Target="https://www.immoscout24.ch/fr/appartement/louer/lieu-dommartin" TargetMode="External"/><Relationship Id="rId117" Type="http://schemas.openxmlformats.org/officeDocument/2006/relationships/hyperlink" Target="https://www.immoscout24.ch/fr/maison/acheter/lieu-promasens" TargetMode="External"/><Relationship Id="rId10568" Type="http://schemas.openxmlformats.org/officeDocument/2006/relationships/hyperlink" Target="https://www.immoscout24.ch/fr/appartement/acheter/lieu-chernex" TargetMode="External"/><Relationship Id="rId11898" Type="http://schemas.openxmlformats.org/officeDocument/2006/relationships/hyperlink" Target="https://www.immoscout24.ch/fr/appartement/louer/lieu-binz" TargetMode="External"/><Relationship Id="rId116" Type="http://schemas.openxmlformats.org/officeDocument/2006/relationships/hyperlink" Target="https://www.immoscout24.ch/fr/appartement/louer/lieu-saillon" TargetMode="External"/><Relationship Id="rId10565" Type="http://schemas.openxmlformats.org/officeDocument/2006/relationships/hyperlink" Target="https://www.immoscout24.ch/fr/appartement/louer/lieu-henniez" TargetMode="External"/><Relationship Id="rId11897" Type="http://schemas.openxmlformats.org/officeDocument/2006/relationships/hyperlink" Target="https://www.immoscout24.ch/fr/appartement/louer/lieu-binz" TargetMode="External"/><Relationship Id="rId115" Type="http://schemas.openxmlformats.org/officeDocument/2006/relationships/hyperlink" Target="https://www.immoscout24.ch/fr/appartement/louer/lieu-saillon" TargetMode="External"/><Relationship Id="rId10566" Type="http://schemas.openxmlformats.org/officeDocument/2006/relationships/hyperlink" Target="https://www.immoscout24.ch/fr/appartement/louer/lieu-henniez" TargetMode="External"/><Relationship Id="rId11896" Type="http://schemas.openxmlformats.org/officeDocument/2006/relationships/hyperlink" Target="https://www.immoscout24.ch/fr/appartement/acheter/lieu-iseltwald" TargetMode="External"/><Relationship Id="rId10569" Type="http://schemas.openxmlformats.org/officeDocument/2006/relationships/hyperlink" Target="https://www.immoscout24.ch/fr/appartement/louer/region-aarau-et-environs" TargetMode="External"/><Relationship Id="rId119" Type="http://schemas.openxmlformats.org/officeDocument/2006/relationships/hyperlink" Target="https://www.immoscout24.ch/fr/appartement/louer/lieu-dompierre-fr" TargetMode="External"/><Relationship Id="rId110" Type="http://schemas.openxmlformats.org/officeDocument/2006/relationships/hyperlink" Target="https://www.immoscout24.ch/fr/maison/acheter/lieu-russy" TargetMode="External"/><Relationship Id="rId11891" Type="http://schemas.openxmlformats.org/officeDocument/2006/relationships/hyperlink" Target="https://www.immoscout24.ch/fr/maison/louer/lieu-prilly" TargetMode="External"/><Relationship Id="rId10560" Type="http://schemas.openxmlformats.org/officeDocument/2006/relationships/hyperlink" Target="https://www.immoscout24.ch/fr/maison/acheter/lieu-fiez" TargetMode="External"/><Relationship Id="rId11890" Type="http://schemas.openxmlformats.org/officeDocument/2006/relationships/hyperlink" Target="https://www.immoscout24.ch/fr/maison/acheter/pays-montenegro" TargetMode="External"/><Relationship Id="rId114" Type="http://schemas.openxmlformats.org/officeDocument/2006/relationships/hyperlink" Target="https://www.immoscout24.ch/fr/maison/acheter/lieu-neuenkirch" TargetMode="External"/><Relationship Id="rId10563" Type="http://schemas.openxmlformats.org/officeDocument/2006/relationships/hyperlink" Target="https://www.immoscout24.ch/fr/maison/louer/lieu-les-rasses" TargetMode="External"/><Relationship Id="rId11895" Type="http://schemas.openxmlformats.org/officeDocument/2006/relationships/hyperlink" Target="https://www.immoscout24.ch/fr/appartement/acheter/lieu-iseltwald" TargetMode="External"/><Relationship Id="rId113" Type="http://schemas.openxmlformats.org/officeDocument/2006/relationships/hyperlink" Target="https://www.immoscout24.ch/fr/maison/acheter/lieu-neuenkirch" TargetMode="External"/><Relationship Id="rId10564" Type="http://schemas.openxmlformats.org/officeDocument/2006/relationships/hyperlink" Target="https://www.immoscout24.ch/fr/maison/louer/lieu-les-rasses" TargetMode="External"/><Relationship Id="rId11894" Type="http://schemas.openxmlformats.org/officeDocument/2006/relationships/hyperlink" Target="https://www.immoscout24.ch/fr/appartement/louer/lieu-vitznau" TargetMode="External"/><Relationship Id="rId112" Type="http://schemas.openxmlformats.org/officeDocument/2006/relationships/hyperlink" Target="https://www.immoscout24.ch/fr/appartement/acheter/lieu-dotzigen" TargetMode="External"/><Relationship Id="rId10561" Type="http://schemas.openxmlformats.org/officeDocument/2006/relationships/hyperlink" Target="https://www.immoscout24.ch/fr/maison/acheter/lieu-rigi-kulm" TargetMode="External"/><Relationship Id="rId11893" Type="http://schemas.openxmlformats.org/officeDocument/2006/relationships/hyperlink" Target="https://www.immoscout24.ch/fr/appartement/louer/lieu-vitznau" TargetMode="External"/><Relationship Id="rId111" Type="http://schemas.openxmlformats.org/officeDocument/2006/relationships/hyperlink" Target="https://www.immoscout24.ch/fr/appartement/acheter/lieu-dotzigen" TargetMode="External"/><Relationship Id="rId10562" Type="http://schemas.openxmlformats.org/officeDocument/2006/relationships/hyperlink" Target="https://www.immoscout24.ch/fr/maison/acheter/lieu-rigi-kulm" TargetMode="External"/><Relationship Id="rId11892" Type="http://schemas.openxmlformats.org/officeDocument/2006/relationships/hyperlink" Target="https://www.immoscout24.ch/fr/maison/louer/lieu-prilly" TargetMode="External"/><Relationship Id="rId10598" Type="http://schemas.openxmlformats.org/officeDocument/2006/relationships/hyperlink" Target="https://www.immoscout24.ch/fr/appartement/louer/lieu-les-evouettes" TargetMode="External"/><Relationship Id="rId10599" Type="http://schemas.openxmlformats.org/officeDocument/2006/relationships/hyperlink" Target="https://www.immoscout24.ch/fr/maison/acheter/lieu-chalais" TargetMode="External"/><Relationship Id="rId10592" Type="http://schemas.openxmlformats.org/officeDocument/2006/relationships/hyperlink" Target="https://www.immoscout24.ch/fr/maison/acheter/lieu-la-chaux-du-milieu" TargetMode="External"/><Relationship Id="rId10593" Type="http://schemas.openxmlformats.org/officeDocument/2006/relationships/hyperlink" Target="https://www.immoscout24.ch/fr/appartement/acheter/lieu-st-imier" TargetMode="External"/><Relationship Id="rId10590" Type="http://schemas.openxmlformats.org/officeDocument/2006/relationships/hyperlink" Target="https://www.immoscout24.ch/fr/maison/acheter/lieu-wiedlisbach" TargetMode="External"/><Relationship Id="rId10591" Type="http://schemas.openxmlformats.org/officeDocument/2006/relationships/hyperlink" Target="https://www.immoscout24.ch/fr/maison/acheter/lieu-la-chaux-du-milieu" TargetMode="External"/><Relationship Id="rId10596" Type="http://schemas.openxmlformats.org/officeDocument/2006/relationships/hyperlink" Target="https://www.immoscout24.ch/fr/appartement/acheter/lieu-conches" TargetMode="External"/><Relationship Id="rId10597" Type="http://schemas.openxmlformats.org/officeDocument/2006/relationships/hyperlink" Target="https://www.immoscout24.ch/fr/appartement/louer/lieu-les-evouettes" TargetMode="External"/><Relationship Id="rId10594" Type="http://schemas.openxmlformats.org/officeDocument/2006/relationships/hyperlink" Target="https://www.immoscout24.ch/fr/appartement/acheter/lieu-st-imier" TargetMode="External"/><Relationship Id="rId10595" Type="http://schemas.openxmlformats.org/officeDocument/2006/relationships/hyperlink" Target="https://www.immoscout24.ch/fr/appartement/acheter/lieu-conches" TargetMode="External"/><Relationship Id="rId11709" Type="http://schemas.openxmlformats.org/officeDocument/2006/relationships/hyperlink" Target="https://www.immoscout24.ch/fr/maison/louer/lieu-basse-nendaz" TargetMode="External"/><Relationship Id="rId11708" Type="http://schemas.openxmlformats.org/officeDocument/2006/relationships/hyperlink" Target="https://www.immoscout24.ch/fr/appartement/louer/lieu-cheyres" TargetMode="External"/><Relationship Id="rId11707" Type="http://schemas.openxmlformats.org/officeDocument/2006/relationships/hyperlink" Target="https://www.immoscout24.ch/fr/appartement/louer/lieu-cheyres" TargetMode="External"/><Relationship Id="rId11706" Type="http://schemas.openxmlformats.org/officeDocument/2006/relationships/hyperlink" Target="https://www.immoscout24.ch/fr/maison/acheter/lieu-bonfol" TargetMode="External"/><Relationship Id="rId11701" Type="http://schemas.openxmlformats.org/officeDocument/2006/relationships/hyperlink" Target="https://www.immoscout24.ch/fr/appartement/louer/region-zurich-et-environs" TargetMode="External"/><Relationship Id="rId11700" Type="http://schemas.openxmlformats.org/officeDocument/2006/relationships/hyperlink" Target="https://www.immoscout24.ch/fr/maison/acheter/lieu-morlon" TargetMode="External"/><Relationship Id="rId11705" Type="http://schemas.openxmlformats.org/officeDocument/2006/relationships/hyperlink" Target="https://www.immoscout24.ch/fr/maison/acheter/lieu-bonfol" TargetMode="External"/><Relationship Id="rId11704" Type="http://schemas.openxmlformats.org/officeDocument/2006/relationships/hyperlink" Target="https://www.immoscout24.ch/fr/appartement/louer/region-bale-ville" TargetMode="External"/><Relationship Id="rId11703" Type="http://schemas.openxmlformats.org/officeDocument/2006/relationships/hyperlink" Target="https://www.immoscout24.ch/fr/appartement/louer/region-bale-ville" TargetMode="External"/><Relationship Id="rId11702" Type="http://schemas.openxmlformats.org/officeDocument/2006/relationships/hyperlink" Target="https://www.immoscout24.ch/fr/appartement/louer/region-zurich-et-environs" TargetMode="External"/><Relationship Id="rId11719" Type="http://schemas.openxmlformats.org/officeDocument/2006/relationships/hyperlink" Target="https://www.immoscout24.ch/fr/appartement/louer/lieu-reinach-ag" TargetMode="External"/><Relationship Id="rId11718" Type="http://schemas.openxmlformats.org/officeDocument/2006/relationships/hyperlink" Target="https://www.immoscout24.ch/fr/maison/louer/canton-uri" TargetMode="External"/><Relationship Id="rId11717" Type="http://schemas.openxmlformats.org/officeDocument/2006/relationships/hyperlink" Target="https://www.immoscout24.ch/fr/maison/louer/canton-uri" TargetMode="External"/><Relationship Id="rId11712" Type="http://schemas.openxmlformats.org/officeDocument/2006/relationships/hyperlink" Target="https://www.immoscout24.ch/fr/maison/acheter/lieu-courtion" TargetMode="External"/><Relationship Id="rId11711" Type="http://schemas.openxmlformats.org/officeDocument/2006/relationships/hyperlink" Target="https://www.immoscout24.ch/fr/maison/acheter/lieu-courtion" TargetMode="External"/><Relationship Id="rId11710" Type="http://schemas.openxmlformats.org/officeDocument/2006/relationships/hyperlink" Target="https://www.immoscout24.ch/fr/maison/louer/lieu-basse-nendaz" TargetMode="External"/><Relationship Id="rId11716" Type="http://schemas.openxmlformats.org/officeDocument/2006/relationships/hyperlink" Target="https://www.immoscout24.ch/fr/maison/acheter/lieu-bovernier" TargetMode="External"/><Relationship Id="rId11715" Type="http://schemas.openxmlformats.org/officeDocument/2006/relationships/hyperlink" Target="https://www.immoscout24.ch/fr/maison/acheter/lieu-bovernier" TargetMode="External"/><Relationship Id="rId11714" Type="http://schemas.openxmlformats.org/officeDocument/2006/relationships/hyperlink" Target="https://www.immoscout24.ch/fr/appartement/acheter/lieu-mur-vully-fr" TargetMode="External"/><Relationship Id="rId11713" Type="http://schemas.openxmlformats.org/officeDocument/2006/relationships/hyperlink" Target="https://www.immoscout24.ch/fr/appartement/acheter/lieu-mur-vully-fr" TargetMode="External"/><Relationship Id="rId9518" Type="http://schemas.openxmlformats.org/officeDocument/2006/relationships/hyperlink" Target="https://www.immoscout24.ch/fr/appartement/acheter/lieu-schinznach-bad" TargetMode="External"/><Relationship Id="rId9519" Type="http://schemas.openxmlformats.org/officeDocument/2006/relationships/hyperlink" Target="https://www.immoscout24.ch/fr/appartement/acheter/lieu-emmetten" TargetMode="External"/><Relationship Id="rId9514" Type="http://schemas.openxmlformats.org/officeDocument/2006/relationships/hyperlink" Target="https://www.immoscout24.ch/fr/appartement/acheter/lieu-corin-de-la-crete" TargetMode="External"/><Relationship Id="rId9515" Type="http://schemas.openxmlformats.org/officeDocument/2006/relationships/hyperlink" Target="https://www.immoscout24.ch/fr/maison/acheter/lieu-verscio" TargetMode="External"/><Relationship Id="rId9516" Type="http://schemas.openxmlformats.org/officeDocument/2006/relationships/hyperlink" Target="https://www.immoscout24.ch/fr/maison/acheter/lieu-verscio" TargetMode="External"/><Relationship Id="rId9517" Type="http://schemas.openxmlformats.org/officeDocument/2006/relationships/hyperlink" Target="https://www.immoscout24.ch/fr/appartement/acheter/lieu-schinznach-bad" TargetMode="External"/><Relationship Id="rId9510" Type="http://schemas.openxmlformats.org/officeDocument/2006/relationships/hyperlink" Target="https://www.immoscout24.ch/fr/maison/acheter/region-delemont" TargetMode="External"/><Relationship Id="rId9511" Type="http://schemas.openxmlformats.org/officeDocument/2006/relationships/hyperlink" Target="https://www.immoscout24.ch/fr/appartement/louer/lieu-hermance" TargetMode="External"/><Relationship Id="rId9512" Type="http://schemas.openxmlformats.org/officeDocument/2006/relationships/hyperlink" Target="https://www.immoscout24.ch/fr/appartement/louer/lieu-hermance" TargetMode="External"/><Relationship Id="rId9513" Type="http://schemas.openxmlformats.org/officeDocument/2006/relationships/hyperlink" Target="https://www.immoscout24.ch/fr/appartement/acheter/lieu-corin-de-la-crete" TargetMode="External"/><Relationship Id="rId9507" Type="http://schemas.openxmlformats.org/officeDocument/2006/relationships/hyperlink" Target="https://www.immoscout24.ch/fr/appartement/louer/lieu-roggwil-be" TargetMode="External"/><Relationship Id="rId9508" Type="http://schemas.openxmlformats.org/officeDocument/2006/relationships/hyperlink" Target="https://www.immoscout24.ch/fr/appartement/louer/lieu-roggwil-be" TargetMode="External"/><Relationship Id="rId9509" Type="http://schemas.openxmlformats.org/officeDocument/2006/relationships/hyperlink" Target="https://www.immoscout24.ch/fr/maison/acheter/region-delemont" TargetMode="External"/><Relationship Id="rId9503" Type="http://schemas.openxmlformats.org/officeDocument/2006/relationships/hyperlink" Target="https://www.immoscout24.ch/fr/appartement/acheter/lieu-cugy-fr" TargetMode="External"/><Relationship Id="rId9504" Type="http://schemas.openxmlformats.org/officeDocument/2006/relationships/hyperlink" Target="https://www.immoscout24.ch/fr/appartement/acheter/lieu-cugy-fr" TargetMode="External"/><Relationship Id="rId9505" Type="http://schemas.openxmlformats.org/officeDocument/2006/relationships/hyperlink" Target="https://www.immoscout24.ch/fr/appartement/louer/region-oberland-ouest" TargetMode="External"/><Relationship Id="rId9506" Type="http://schemas.openxmlformats.org/officeDocument/2006/relationships/hyperlink" Target="https://www.immoscout24.ch/fr/appartement/louer/region-oberland-ouest" TargetMode="External"/><Relationship Id="rId9500" Type="http://schemas.openxmlformats.org/officeDocument/2006/relationships/hyperlink" Target="https://www.immoscout24.ch/fr/maison/acheter/lieu-le-grand-saconnex" TargetMode="External"/><Relationship Id="rId9501" Type="http://schemas.openxmlformats.org/officeDocument/2006/relationships/hyperlink" Target="https://www.immoscout24.ch/fr/appartement/acheter/lieu-les-ponts-de-martel" TargetMode="External"/><Relationship Id="rId9502" Type="http://schemas.openxmlformats.org/officeDocument/2006/relationships/hyperlink" Target="https://www.immoscout24.ch/fr/appartement/acheter/lieu-les-ponts-de-martel" TargetMode="External"/><Relationship Id="rId10419" Type="http://schemas.openxmlformats.org/officeDocument/2006/relationships/hyperlink" Target="https://www.immoscout24.ch/fr/maison/acheter/quartier-langensand-matthof-lucerne" TargetMode="External"/><Relationship Id="rId10413" Type="http://schemas.openxmlformats.org/officeDocument/2006/relationships/hyperlink" Target="https://www.immoscout24.ch/fr/appartement/louer/lieu-zug" TargetMode="External"/><Relationship Id="rId11745" Type="http://schemas.openxmlformats.org/officeDocument/2006/relationships/hyperlink" Target="https://www.immoscout24.ch/fr/appartement/louer/lieu-bevaix" TargetMode="External"/><Relationship Id="rId10414" Type="http://schemas.openxmlformats.org/officeDocument/2006/relationships/hyperlink" Target="https://www.immoscout24.ch/fr/appartement/louer/lieu-zug" TargetMode="External"/><Relationship Id="rId11744" Type="http://schemas.openxmlformats.org/officeDocument/2006/relationships/hyperlink" Target="https://www.immoscout24.ch/fr/appartement/acheter/lieu-cormondreche" TargetMode="External"/><Relationship Id="rId10411" Type="http://schemas.openxmlformats.org/officeDocument/2006/relationships/hyperlink" Target="https://www.immoscout24.ch/fr/appartement/acheter/lieu-denges" TargetMode="External"/><Relationship Id="rId11743" Type="http://schemas.openxmlformats.org/officeDocument/2006/relationships/hyperlink" Target="https://www.immoscout24.ch/fr/appartement/acheter/lieu-cormondreche" TargetMode="External"/><Relationship Id="rId10412" Type="http://schemas.openxmlformats.org/officeDocument/2006/relationships/hyperlink" Target="https://www.immoscout24.ch/fr/appartement/acheter/lieu-denges" TargetMode="External"/><Relationship Id="rId11742" Type="http://schemas.openxmlformats.org/officeDocument/2006/relationships/hyperlink" Target="https://www.immoscout24.ch/fr/maison/acheter/region-mosa" TargetMode="External"/><Relationship Id="rId10417" Type="http://schemas.openxmlformats.org/officeDocument/2006/relationships/hyperlink" Target="https://www.immoscout24.ch/fr/appartement/louer/lieu-greifensee" TargetMode="External"/><Relationship Id="rId11749" Type="http://schemas.openxmlformats.org/officeDocument/2006/relationships/hyperlink" Target="https://www.immoscout24.ch/fr/appartement/acheter/lieu-les-collons" TargetMode="External"/><Relationship Id="rId10418" Type="http://schemas.openxmlformats.org/officeDocument/2006/relationships/hyperlink" Target="https://www.immoscout24.ch/fr/appartement/louer/lieu-greifensee" TargetMode="External"/><Relationship Id="rId11748" Type="http://schemas.openxmlformats.org/officeDocument/2006/relationships/hyperlink" Target="https://www.immoscout24.ch/fr/maison/louer/quartier-mache-biel-bienne" TargetMode="External"/><Relationship Id="rId10415" Type="http://schemas.openxmlformats.org/officeDocument/2006/relationships/hyperlink" Target="https://www.immoscout24.ch/fr/appartement/louer/lieu-vernayaz" TargetMode="External"/><Relationship Id="rId11747" Type="http://schemas.openxmlformats.org/officeDocument/2006/relationships/hyperlink" Target="https://www.immoscout24.ch/fr/maison/louer/quartier-mache-biel-bienne" TargetMode="External"/><Relationship Id="rId10416" Type="http://schemas.openxmlformats.org/officeDocument/2006/relationships/hyperlink" Target="https://www.immoscout24.ch/fr/appartement/louer/lieu-vernayaz" TargetMode="External"/><Relationship Id="rId11746" Type="http://schemas.openxmlformats.org/officeDocument/2006/relationships/hyperlink" Target="https://www.immoscout24.ch/fr/appartement/louer/lieu-bevaix" TargetMode="External"/><Relationship Id="rId11741" Type="http://schemas.openxmlformats.org/officeDocument/2006/relationships/hyperlink" Target="https://www.immoscout24.ch/fr/maison/acheter/region-mosa" TargetMode="External"/><Relationship Id="rId10410" Type="http://schemas.openxmlformats.org/officeDocument/2006/relationships/hyperlink" Target="https://www.immoscout24.ch/fr/maison/acheter/lieu-riddes" TargetMode="External"/><Relationship Id="rId11740" Type="http://schemas.openxmlformats.org/officeDocument/2006/relationships/hyperlink" Target="https://www.immoscout24.ch/fr/appartement/acheter/lieu-regensdorf" TargetMode="External"/><Relationship Id="rId10424" Type="http://schemas.openxmlformats.org/officeDocument/2006/relationships/hyperlink" Target="https://www.immoscout24.ch/fr/maison/louer/lieu-bassecourt" TargetMode="External"/><Relationship Id="rId11756" Type="http://schemas.openxmlformats.org/officeDocument/2006/relationships/hyperlink" Target="https://www.immoscout24.ch/fr/appartement/louer/lieu-wuerenlingen" TargetMode="External"/><Relationship Id="rId10425" Type="http://schemas.openxmlformats.org/officeDocument/2006/relationships/hyperlink" Target="https://www.immoscout24.ch/fr/appartement/louer/lieu-krummenau" TargetMode="External"/><Relationship Id="rId11755" Type="http://schemas.openxmlformats.org/officeDocument/2006/relationships/hyperlink" Target="https://www.immoscout24.ch/fr/appartement/louer/lieu-wuerenlingen" TargetMode="External"/><Relationship Id="rId10422" Type="http://schemas.openxmlformats.org/officeDocument/2006/relationships/hyperlink" Target="https://www.immoscout24.ch/fr/maison/louer/lieu-bussy-fr" TargetMode="External"/><Relationship Id="rId11754" Type="http://schemas.openxmlformats.org/officeDocument/2006/relationships/hyperlink" Target="https://www.immoscout24.ch/fr/maison/acheter/quartier-jonction-plainpalais-geneve" TargetMode="External"/><Relationship Id="rId10423" Type="http://schemas.openxmlformats.org/officeDocument/2006/relationships/hyperlink" Target="https://www.immoscout24.ch/fr/maison/louer/lieu-bassecourt" TargetMode="External"/><Relationship Id="rId11753" Type="http://schemas.openxmlformats.org/officeDocument/2006/relationships/hyperlink" Target="https://www.immoscout24.ch/fr/maison/acheter/quartier-jonction-plainpalais-geneve" TargetMode="External"/><Relationship Id="rId10428" Type="http://schemas.openxmlformats.org/officeDocument/2006/relationships/hyperlink" Target="https://www.immoscout24.ch/fr/maison/acheter/region-fribourg-glane" TargetMode="External"/><Relationship Id="rId10429" Type="http://schemas.openxmlformats.org/officeDocument/2006/relationships/hyperlink" Target="https://www.immoscout24.ch/fr/maison/louer/quartier-mousquines-bellevue-lausanne" TargetMode="External"/><Relationship Id="rId11759" Type="http://schemas.openxmlformats.org/officeDocument/2006/relationships/hyperlink" Target="https://www.immoscout24.ch/fr/maison/acheter/lieu-courroux" TargetMode="External"/><Relationship Id="rId10426" Type="http://schemas.openxmlformats.org/officeDocument/2006/relationships/hyperlink" Target="https://www.immoscout24.ch/fr/appartement/louer/lieu-krummenau" TargetMode="External"/><Relationship Id="rId11758" Type="http://schemas.openxmlformats.org/officeDocument/2006/relationships/hyperlink" Target="https://www.immoscout24.ch/fr/appartement/louer/lieu-barbereche" TargetMode="External"/><Relationship Id="rId10427" Type="http://schemas.openxmlformats.org/officeDocument/2006/relationships/hyperlink" Target="https://www.immoscout24.ch/fr/maison/acheter/region-fribourg-glane" TargetMode="External"/><Relationship Id="rId11757" Type="http://schemas.openxmlformats.org/officeDocument/2006/relationships/hyperlink" Target="https://www.immoscout24.ch/fr/appartement/louer/lieu-barbereche" TargetMode="External"/><Relationship Id="rId10420" Type="http://schemas.openxmlformats.org/officeDocument/2006/relationships/hyperlink" Target="https://www.immoscout24.ch/fr/maison/acheter/quartier-langensand-matthof-lucerne" TargetMode="External"/><Relationship Id="rId11752" Type="http://schemas.openxmlformats.org/officeDocument/2006/relationships/hyperlink" Target="https://www.immoscout24.ch/fr/maison/louer/lieu-jouxtens-mezery" TargetMode="External"/><Relationship Id="rId10421" Type="http://schemas.openxmlformats.org/officeDocument/2006/relationships/hyperlink" Target="https://www.immoscout24.ch/fr/maison/louer/lieu-bussy-fr" TargetMode="External"/><Relationship Id="rId11751" Type="http://schemas.openxmlformats.org/officeDocument/2006/relationships/hyperlink" Target="https://www.immoscout24.ch/fr/maison/louer/lieu-jouxtens-mezery" TargetMode="External"/><Relationship Id="rId11750" Type="http://schemas.openxmlformats.org/officeDocument/2006/relationships/hyperlink" Target="https://www.immoscout24.ch/fr/appartement/acheter/lieu-les-collons" TargetMode="External"/><Relationship Id="rId11729" Type="http://schemas.openxmlformats.org/officeDocument/2006/relationships/hyperlink" Target="https://www.immoscout24.ch/fr/maison/acheter/lieu-champsec" TargetMode="External"/><Relationship Id="rId11728" Type="http://schemas.openxmlformats.org/officeDocument/2006/relationships/hyperlink" Target="https://www.immoscout24.ch/fr/appartement/acheter/lieu-martigny-croix" TargetMode="External"/><Relationship Id="rId11723" Type="http://schemas.openxmlformats.org/officeDocument/2006/relationships/hyperlink" Target="https://www.immoscout24.ch/fr/appartement/louer/lieu-grattavache" TargetMode="External"/><Relationship Id="rId11722" Type="http://schemas.openxmlformats.org/officeDocument/2006/relationships/hyperlink" Target="https://www.immoscout24.ch/fr/appartement/acheter/lieu-inden" TargetMode="External"/><Relationship Id="rId11721" Type="http://schemas.openxmlformats.org/officeDocument/2006/relationships/hyperlink" Target="https://www.immoscout24.ch/fr/appartement/acheter/lieu-inden" TargetMode="External"/><Relationship Id="rId11720" Type="http://schemas.openxmlformats.org/officeDocument/2006/relationships/hyperlink" Target="https://www.immoscout24.ch/fr/appartement/louer/lieu-reinach-ag" TargetMode="External"/><Relationship Id="rId11727" Type="http://schemas.openxmlformats.org/officeDocument/2006/relationships/hyperlink" Target="https://www.immoscout24.ch/fr/appartement/acheter/lieu-martigny-croix" TargetMode="External"/><Relationship Id="rId11726" Type="http://schemas.openxmlformats.org/officeDocument/2006/relationships/hyperlink" Target="https://www.immoscout24.ch/fr/appartement/acheter/region-lucerne-lac" TargetMode="External"/><Relationship Id="rId11725" Type="http://schemas.openxmlformats.org/officeDocument/2006/relationships/hyperlink" Target="https://www.immoscout24.ch/fr/appartement/acheter/region-lucerne-lac" TargetMode="External"/><Relationship Id="rId11724" Type="http://schemas.openxmlformats.org/officeDocument/2006/relationships/hyperlink" Target="https://www.immoscout24.ch/fr/appartement/louer/lieu-grattavache" TargetMode="External"/><Relationship Id="rId10408" Type="http://schemas.openxmlformats.org/officeDocument/2006/relationships/hyperlink" Target="https://www.immoscout24.ch/fr/appartement/acheter/lieu-montmollin" TargetMode="External"/><Relationship Id="rId10409" Type="http://schemas.openxmlformats.org/officeDocument/2006/relationships/hyperlink" Target="https://www.immoscout24.ch/fr/maison/acheter/lieu-riddes" TargetMode="External"/><Relationship Id="rId11739" Type="http://schemas.openxmlformats.org/officeDocument/2006/relationships/hyperlink" Target="https://www.immoscout24.ch/fr/appartement/acheter/lieu-regensdorf" TargetMode="External"/><Relationship Id="rId10402" Type="http://schemas.openxmlformats.org/officeDocument/2006/relationships/hyperlink" Target="https://www.immoscout24.ch/fr/appartement/louer/lieu-niederhasli" TargetMode="External"/><Relationship Id="rId11734" Type="http://schemas.openxmlformats.org/officeDocument/2006/relationships/hyperlink" Target="https://www.immoscout24.ch/fr/appartement/acheter/lieu-rolle" TargetMode="External"/><Relationship Id="rId10403" Type="http://schemas.openxmlformats.org/officeDocument/2006/relationships/hyperlink" Target="https://www.immoscout24.ch/fr/appartement/acheter/lieu-collonge-bellerive" TargetMode="External"/><Relationship Id="rId11733" Type="http://schemas.openxmlformats.org/officeDocument/2006/relationships/hyperlink" Target="https://www.immoscout24.ch/fr/appartement/acheter/lieu-rolle" TargetMode="External"/><Relationship Id="rId10400" Type="http://schemas.openxmlformats.org/officeDocument/2006/relationships/hyperlink" Target="https://www.immoscout24.ch/fr/appartement/louer/lieu-orzens" TargetMode="External"/><Relationship Id="rId11732" Type="http://schemas.openxmlformats.org/officeDocument/2006/relationships/hyperlink" Target="https://www.immoscout24.ch/fr/maison/acheter/lieu-ponte-tresa" TargetMode="External"/><Relationship Id="rId10401" Type="http://schemas.openxmlformats.org/officeDocument/2006/relationships/hyperlink" Target="https://www.immoscout24.ch/fr/appartement/louer/lieu-niederhasli" TargetMode="External"/><Relationship Id="rId11731" Type="http://schemas.openxmlformats.org/officeDocument/2006/relationships/hyperlink" Target="https://www.immoscout24.ch/fr/maison/acheter/lieu-ponte-tresa" TargetMode="External"/><Relationship Id="rId10406" Type="http://schemas.openxmlformats.org/officeDocument/2006/relationships/hyperlink" Target="https://www.immoscout24.ch/fr/maison/acheter/lieu-steckborn" TargetMode="External"/><Relationship Id="rId11738" Type="http://schemas.openxmlformats.org/officeDocument/2006/relationships/hyperlink" Target="https://www.immoscout24.ch/fr/maison/acheter/lieu-palezieux-village" TargetMode="External"/><Relationship Id="rId10407" Type="http://schemas.openxmlformats.org/officeDocument/2006/relationships/hyperlink" Target="https://www.immoscout24.ch/fr/appartement/acheter/lieu-montmollin" TargetMode="External"/><Relationship Id="rId11737" Type="http://schemas.openxmlformats.org/officeDocument/2006/relationships/hyperlink" Target="https://www.immoscout24.ch/fr/maison/acheter/lieu-palezieux-village" TargetMode="External"/><Relationship Id="rId10404" Type="http://schemas.openxmlformats.org/officeDocument/2006/relationships/hyperlink" Target="https://www.immoscout24.ch/fr/appartement/acheter/lieu-collonge-bellerive" TargetMode="External"/><Relationship Id="rId11736" Type="http://schemas.openxmlformats.org/officeDocument/2006/relationships/hyperlink" Target="https://www.immoscout24.ch/fr/appartement/louer/lieu-satigny" TargetMode="External"/><Relationship Id="rId10405" Type="http://schemas.openxmlformats.org/officeDocument/2006/relationships/hyperlink" Target="https://www.immoscout24.ch/fr/maison/acheter/lieu-steckborn" TargetMode="External"/><Relationship Id="rId11735" Type="http://schemas.openxmlformats.org/officeDocument/2006/relationships/hyperlink" Target="https://www.immoscout24.ch/fr/appartement/louer/lieu-satigny" TargetMode="External"/><Relationship Id="rId11730" Type="http://schemas.openxmlformats.org/officeDocument/2006/relationships/hyperlink" Target="https://www.immoscout24.ch/fr/maison/acheter/lieu-champsec" TargetMode="External"/><Relationship Id="rId8240" Type="http://schemas.openxmlformats.org/officeDocument/2006/relationships/hyperlink" Target="https://www.immoscout24.ch/fr/appartement/louer/lieu-blignou-ayent" TargetMode="External"/><Relationship Id="rId9572" Type="http://schemas.openxmlformats.org/officeDocument/2006/relationships/hyperlink" Target="https://www.immoscout24.ch/fr/appartement/louer/lieu-presinge" TargetMode="External"/><Relationship Id="rId9573" Type="http://schemas.openxmlformats.org/officeDocument/2006/relationships/hyperlink" Target="https://www.immoscout24.ch/fr/appartement/louer/lieu-menznau" TargetMode="External"/><Relationship Id="rId9574" Type="http://schemas.openxmlformats.org/officeDocument/2006/relationships/hyperlink" Target="https://www.immoscout24.ch/fr/appartement/louer/lieu-menznau" TargetMode="External"/><Relationship Id="rId9575" Type="http://schemas.openxmlformats.org/officeDocument/2006/relationships/hyperlink" Target="https://www.immoscout24.ch/fr/appartement/louer/lieu-poliez-pittet" TargetMode="External"/><Relationship Id="rId8244" Type="http://schemas.openxmlformats.org/officeDocument/2006/relationships/hyperlink" Target="https://www.immoscout24.ch/fr/appartement/louer/lieu-cham" TargetMode="External"/><Relationship Id="rId8243" Type="http://schemas.openxmlformats.org/officeDocument/2006/relationships/hyperlink" Target="https://www.immoscout24.ch/fr/appartement/louer/lieu-cham" TargetMode="External"/><Relationship Id="rId8242" Type="http://schemas.openxmlformats.org/officeDocument/2006/relationships/hyperlink" Target="https://www.immoscout24.ch/fr/appartement/louer/lieu-vinzel" TargetMode="External"/><Relationship Id="rId9570" Type="http://schemas.openxmlformats.org/officeDocument/2006/relationships/hyperlink" Target="https://www.immoscout24.ch/fr/appartement/acheter/lieu-olten" TargetMode="External"/><Relationship Id="rId8241" Type="http://schemas.openxmlformats.org/officeDocument/2006/relationships/hyperlink" Target="https://www.immoscout24.ch/fr/appartement/louer/lieu-vinzel" TargetMode="External"/><Relationship Id="rId9571" Type="http://schemas.openxmlformats.org/officeDocument/2006/relationships/hyperlink" Target="https://www.immoscout24.ch/fr/appartement/louer/lieu-presinge" TargetMode="External"/><Relationship Id="rId8248" Type="http://schemas.openxmlformats.org/officeDocument/2006/relationships/hyperlink" Target="https://www.immoscout24.ch/fr/maison/acheter/lieu-sales-gruyere" TargetMode="External"/><Relationship Id="rId8247" Type="http://schemas.openxmlformats.org/officeDocument/2006/relationships/hyperlink" Target="https://www.immoscout24.ch/fr/maison/acheter/lieu-sales-gruyere" TargetMode="External"/><Relationship Id="rId8246" Type="http://schemas.openxmlformats.org/officeDocument/2006/relationships/hyperlink" Target="https://www.immoscout24.ch/fr/maison/acheter/lieu-montagne-de-courtelary" TargetMode="External"/><Relationship Id="rId8245" Type="http://schemas.openxmlformats.org/officeDocument/2006/relationships/hyperlink" Target="https://www.immoscout24.ch/fr/maison/acheter/lieu-montagne-de-courtelary" TargetMode="External"/><Relationship Id="rId9576" Type="http://schemas.openxmlformats.org/officeDocument/2006/relationships/hyperlink" Target="https://www.immoscout24.ch/fr/appartement/louer/lieu-poliez-pittet" TargetMode="External"/><Relationship Id="rId9577" Type="http://schemas.openxmlformats.org/officeDocument/2006/relationships/hyperlink" Target="https://www.immoscout24.ch/fr/maison/louer/lieu-le-cret-du-locle" TargetMode="External"/><Relationship Id="rId9578" Type="http://schemas.openxmlformats.org/officeDocument/2006/relationships/hyperlink" Target="https://www.immoscout24.ch/fr/maison/louer/lieu-le-cret-du-locle" TargetMode="External"/><Relationship Id="rId8249" Type="http://schemas.openxmlformats.org/officeDocument/2006/relationships/hyperlink" Target="https://www.immoscout24.ch/fr/appartement/louer/lieu-pontenet" TargetMode="External"/><Relationship Id="rId9579" Type="http://schemas.openxmlformats.org/officeDocument/2006/relationships/hyperlink" Target="https://www.immoscout24.ch/fr/appartement/acheter/lieu-uitikon-waldegg" TargetMode="External"/><Relationship Id="rId9561" Type="http://schemas.openxmlformats.org/officeDocument/2006/relationships/hyperlink" Target="https://www.immoscout24.ch/fr/maison/acheter/lieu-forel-sur-lucens" TargetMode="External"/><Relationship Id="rId9562" Type="http://schemas.openxmlformats.org/officeDocument/2006/relationships/hyperlink" Target="https://www.immoscout24.ch/fr/maison/acheter/lieu-forel-sur-lucens" TargetMode="External"/><Relationship Id="rId9563" Type="http://schemas.openxmlformats.org/officeDocument/2006/relationships/hyperlink" Target="https://www.immoscout24.ch/fr/maison/acheter/lieu-boussens" TargetMode="External"/><Relationship Id="rId9564" Type="http://schemas.openxmlformats.org/officeDocument/2006/relationships/hyperlink" Target="https://www.immoscout24.ch/fr/maison/acheter/lieu-boussens" TargetMode="External"/><Relationship Id="rId8233" Type="http://schemas.openxmlformats.org/officeDocument/2006/relationships/hyperlink" Target="https://www.immoscout24.ch/fr/appartement/acheter/region-rive-gauche" TargetMode="External"/><Relationship Id="rId8232" Type="http://schemas.openxmlformats.org/officeDocument/2006/relationships/hyperlink" Target="https://www.immoscout24.ch/fr/maison/louer/lieu-cottens-vd" TargetMode="External"/><Relationship Id="rId8231" Type="http://schemas.openxmlformats.org/officeDocument/2006/relationships/hyperlink" Target="https://www.immoscout24.ch/fr/maison/louer/lieu-cottens-vd" TargetMode="External"/><Relationship Id="rId8230" Type="http://schemas.openxmlformats.org/officeDocument/2006/relationships/hyperlink" Target="https://www.immoscout24.ch/fr/appartement/louer/lieu-fischbach-goeslikon" TargetMode="External"/><Relationship Id="rId9560" Type="http://schemas.openxmlformats.org/officeDocument/2006/relationships/hyperlink" Target="https://www.immoscout24.ch/fr/maison/acheter/lieu-soulce" TargetMode="External"/><Relationship Id="rId8237" Type="http://schemas.openxmlformats.org/officeDocument/2006/relationships/hyperlink" Target="https://www.immoscout24.ch/fr/appartement/acheter/lieu-kriens" TargetMode="External"/><Relationship Id="rId9569" Type="http://schemas.openxmlformats.org/officeDocument/2006/relationships/hyperlink" Target="https://www.immoscout24.ch/fr/appartement/acheter/lieu-olten" TargetMode="External"/><Relationship Id="rId8236" Type="http://schemas.openxmlformats.org/officeDocument/2006/relationships/hyperlink" Target="https://www.immoscout24.ch/fr/maison/louer/lieu-st-romain-ayent" TargetMode="External"/><Relationship Id="rId8235" Type="http://schemas.openxmlformats.org/officeDocument/2006/relationships/hyperlink" Target="https://www.immoscout24.ch/fr/maison/louer/lieu-st-romain-ayent" TargetMode="External"/><Relationship Id="rId8234" Type="http://schemas.openxmlformats.org/officeDocument/2006/relationships/hyperlink" Target="https://www.immoscout24.ch/fr/appartement/acheter/region-rive-gauche" TargetMode="External"/><Relationship Id="rId9565" Type="http://schemas.openxmlformats.org/officeDocument/2006/relationships/hyperlink" Target="https://www.immoscout24.ch/fr/maison/acheter/region-olten-thal-gaeu-gosgen" TargetMode="External"/><Relationship Id="rId9566" Type="http://schemas.openxmlformats.org/officeDocument/2006/relationships/hyperlink" Target="https://www.immoscout24.ch/fr/maison/acheter/region-olten-thal-gaeu-gosgen" TargetMode="External"/><Relationship Id="rId8239" Type="http://schemas.openxmlformats.org/officeDocument/2006/relationships/hyperlink" Target="https://www.immoscout24.ch/fr/appartement/louer/lieu-blignou-ayent" TargetMode="External"/><Relationship Id="rId9567" Type="http://schemas.openxmlformats.org/officeDocument/2006/relationships/hyperlink" Target="https://www.immoscout24.ch/fr/maison/louer/lieu-lengnau-be" TargetMode="External"/><Relationship Id="rId8238" Type="http://schemas.openxmlformats.org/officeDocument/2006/relationships/hyperlink" Target="https://www.immoscout24.ch/fr/appartement/acheter/lieu-kriens" TargetMode="External"/><Relationship Id="rId9568" Type="http://schemas.openxmlformats.org/officeDocument/2006/relationships/hyperlink" Target="https://www.immoscout24.ch/fr/maison/louer/lieu-lengnau-be" TargetMode="External"/><Relationship Id="rId8262" Type="http://schemas.openxmlformats.org/officeDocument/2006/relationships/hyperlink" Target="https://www.immoscout24.ch/fr/appartement/louer/lieu-faulensee" TargetMode="External"/><Relationship Id="rId9594" Type="http://schemas.openxmlformats.org/officeDocument/2006/relationships/hyperlink" Target="https://www.immoscout24.ch/fr/maison/louer/lieu-jaun" TargetMode="External"/><Relationship Id="rId8261" Type="http://schemas.openxmlformats.org/officeDocument/2006/relationships/hyperlink" Target="https://www.immoscout24.ch/fr/appartement/louer/lieu-faulensee" TargetMode="External"/><Relationship Id="rId9595" Type="http://schemas.openxmlformats.org/officeDocument/2006/relationships/hyperlink" Target="https://www.immoscout24.ch/fr/appartement/louer/lieu-chambesy" TargetMode="External"/><Relationship Id="rId8260" Type="http://schemas.openxmlformats.org/officeDocument/2006/relationships/hyperlink" Target="https://www.immoscout24.ch/fr/appartement/louer/lieu-cornol" TargetMode="External"/><Relationship Id="rId9596" Type="http://schemas.openxmlformats.org/officeDocument/2006/relationships/hyperlink" Target="https://www.immoscout24.ch/fr/appartement/louer/lieu-chambesy" TargetMode="External"/><Relationship Id="rId9597" Type="http://schemas.openxmlformats.org/officeDocument/2006/relationships/hyperlink" Target="https://www.immoscout24.ch/fr/maison/acheter/lieu-buus" TargetMode="External"/><Relationship Id="rId8266" Type="http://schemas.openxmlformats.org/officeDocument/2006/relationships/hyperlink" Target="https://www.immoscout24.ch/fr/appartement/louer/lieu-diepoldsau" TargetMode="External"/><Relationship Id="rId9590" Type="http://schemas.openxmlformats.org/officeDocument/2006/relationships/hyperlink" Target="https://www.immoscout24.ch/fr/maison/acheter/lieu-bussy-chardonney" TargetMode="External"/><Relationship Id="rId8265" Type="http://schemas.openxmlformats.org/officeDocument/2006/relationships/hyperlink" Target="https://www.immoscout24.ch/fr/appartement/louer/lieu-diepoldsau" TargetMode="External"/><Relationship Id="rId9591" Type="http://schemas.openxmlformats.org/officeDocument/2006/relationships/hyperlink" Target="https://www.immoscout24.ch/fr/appartement/acheter/lieu-la-ferriere" TargetMode="External"/><Relationship Id="rId8264" Type="http://schemas.openxmlformats.org/officeDocument/2006/relationships/hyperlink" Target="https://www.immoscout24.ch/fr/maison/acheter/pays-roumanie" TargetMode="External"/><Relationship Id="rId9592" Type="http://schemas.openxmlformats.org/officeDocument/2006/relationships/hyperlink" Target="https://www.immoscout24.ch/fr/appartement/acheter/lieu-la-ferriere" TargetMode="External"/><Relationship Id="rId8263" Type="http://schemas.openxmlformats.org/officeDocument/2006/relationships/hyperlink" Target="https://www.immoscout24.ch/fr/maison/acheter/pays-roumanie" TargetMode="External"/><Relationship Id="rId9593" Type="http://schemas.openxmlformats.org/officeDocument/2006/relationships/hyperlink" Target="https://www.immoscout24.ch/fr/maison/louer/lieu-jaun" TargetMode="External"/><Relationship Id="rId8269" Type="http://schemas.openxmlformats.org/officeDocument/2006/relationships/hyperlink" Target="https://www.immoscout24.ch/fr/maison/acheter/lieu-misery" TargetMode="External"/><Relationship Id="rId8268" Type="http://schemas.openxmlformats.org/officeDocument/2006/relationships/hyperlink" Target="https://www.immoscout24.ch/fr/maison/acheter/lieu-wengen" TargetMode="External"/><Relationship Id="rId8267" Type="http://schemas.openxmlformats.org/officeDocument/2006/relationships/hyperlink" Target="https://www.immoscout24.ch/fr/maison/acheter/lieu-wengen" TargetMode="External"/><Relationship Id="rId9598" Type="http://schemas.openxmlformats.org/officeDocument/2006/relationships/hyperlink" Target="https://www.immoscout24.ch/fr/maison/acheter/lieu-buus" TargetMode="External"/><Relationship Id="rId9599" Type="http://schemas.openxmlformats.org/officeDocument/2006/relationships/hyperlink" Target="https://www.immoscout24.ch/fr/maison/acheter/lieu-gsteig-b-gstaad" TargetMode="External"/><Relationship Id="rId8251" Type="http://schemas.openxmlformats.org/officeDocument/2006/relationships/hyperlink" Target="https://www.immoscout24.ch/fr/maison/acheter/quartier-carona-lugano" TargetMode="External"/><Relationship Id="rId9583" Type="http://schemas.openxmlformats.org/officeDocument/2006/relationships/hyperlink" Target="https://www.immoscout24.ch/fr/maison/louer/region-valais-central" TargetMode="External"/><Relationship Id="rId8250" Type="http://schemas.openxmlformats.org/officeDocument/2006/relationships/hyperlink" Target="https://www.immoscout24.ch/fr/appartement/louer/lieu-pontenet" TargetMode="External"/><Relationship Id="rId9584" Type="http://schemas.openxmlformats.org/officeDocument/2006/relationships/hyperlink" Target="https://www.immoscout24.ch/fr/maison/louer/region-valais-central" TargetMode="External"/><Relationship Id="rId9585" Type="http://schemas.openxmlformats.org/officeDocument/2006/relationships/hyperlink" Target="https://www.immoscout24.ch/fr/appartement/louer/lieu-boveresse" TargetMode="External"/><Relationship Id="rId9586" Type="http://schemas.openxmlformats.org/officeDocument/2006/relationships/hyperlink" Target="https://www.immoscout24.ch/fr/appartement/louer/lieu-boveresse" TargetMode="External"/><Relationship Id="rId8255" Type="http://schemas.openxmlformats.org/officeDocument/2006/relationships/hyperlink" Target="https://www.immoscout24.ch/fr/appartement/acheter/lieu-st-gallen" TargetMode="External"/><Relationship Id="rId8254" Type="http://schemas.openxmlformats.org/officeDocument/2006/relationships/hyperlink" Target="https://www.immoscout24.ch/fr/appartement/louer/secteur-kreis-9" TargetMode="External"/><Relationship Id="rId9580" Type="http://schemas.openxmlformats.org/officeDocument/2006/relationships/hyperlink" Target="https://www.immoscout24.ch/fr/appartement/acheter/lieu-uitikon-waldegg" TargetMode="External"/><Relationship Id="rId8253" Type="http://schemas.openxmlformats.org/officeDocument/2006/relationships/hyperlink" Target="https://www.immoscout24.ch/fr/appartement/louer/secteur-kreis-9" TargetMode="External"/><Relationship Id="rId9581" Type="http://schemas.openxmlformats.org/officeDocument/2006/relationships/hyperlink" Target="https://www.immoscout24.ch/fr/appartement/louer/lieu-gerzensee" TargetMode="External"/><Relationship Id="rId8252" Type="http://schemas.openxmlformats.org/officeDocument/2006/relationships/hyperlink" Target="https://www.immoscout24.ch/fr/maison/acheter/quartier-carona-lugano" TargetMode="External"/><Relationship Id="rId9582" Type="http://schemas.openxmlformats.org/officeDocument/2006/relationships/hyperlink" Target="https://www.immoscout24.ch/fr/appartement/louer/lieu-gerzensee" TargetMode="External"/><Relationship Id="rId8259" Type="http://schemas.openxmlformats.org/officeDocument/2006/relationships/hyperlink" Target="https://www.immoscout24.ch/fr/appartement/louer/lieu-cornol" TargetMode="External"/><Relationship Id="rId8258" Type="http://schemas.openxmlformats.org/officeDocument/2006/relationships/hyperlink" Target="https://www.immoscout24.ch/fr/maison/acheter/lieu-seuzach" TargetMode="External"/><Relationship Id="rId8257" Type="http://schemas.openxmlformats.org/officeDocument/2006/relationships/hyperlink" Target="https://www.immoscout24.ch/fr/maison/acheter/lieu-seuzach" TargetMode="External"/><Relationship Id="rId8256" Type="http://schemas.openxmlformats.org/officeDocument/2006/relationships/hyperlink" Target="https://www.immoscout24.ch/fr/appartement/acheter/lieu-st-gallen" TargetMode="External"/><Relationship Id="rId9587" Type="http://schemas.openxmlformats.org/officeDocument/2006/relationships/hyperlink" Target="https://www.immoscout24.ch/fr/appartement/acheter/lieu-herisau" TargetMode="External"/><Relationship Id="rId9588" Type="http://schemas.openxmlformats.org/officeDocument/2006/relationships/hyperlink" Target="https://www.immoscout24.ch/fr/appartement/acheter/lieu-herisau" TargetMode="External"/><Relationship Id="rId9589" Type="http://schemas.openxmlformats.org/officeDocument/2006/relationships/hyperlink" Target="https://www.immoscout24.ch/fr/maison/acheter/lieu-bussy-chardonney" TargetMode="External"/><Relationship Id="rId8209" Type="http://schemas.openxmlformats.org/officeDocument/2006/relationships/hyperlink" Target="https://www.immoscout24.ch/fr/appartement/louer/lieu-vuadens" TargetMode="External"/><Relationship Id="rId9530" Type="http://schemas.openxmlformats.org/officeDocument/2006/relationships/hyperlink" Target="https://www.immoscout24.ch/fr/appartement/acheter/lieu-orpund" TargetMode="External"/><Relationship Id="rId9531" Type="http://schemas.openxmlformats.org/officeDocument/2006/relationships/hyperlink" Target="https://www.immoscout24.ch/fr/maison/acheter/lieu-le-sentier" TargetMode="External"/><Relationship Id="rId8200" Type="http://schemas.openxmlformats.org/officeDocument/2006/relationships/hyperlink" Target="https://www.immoscout24.ch/fr/appartement/acheter/region-porrentruy" TargetMode="External"/><Relationship Id="rId8204" Type="http://schemas.openxmlformats.org/officeDocument/2006/relationships/hyperlink" Target="https://www.immoscout24.ch/fr/appartement/acheter/lieu-urdorf" TargetMode="External"/><Relationship Id="rId9536" Type="http://schemas.openxmlformats.org/officeDocument/2006/relationships/hyperlink" Target="https://www.immoscout24.ch/fr/appartement/acheter/lieu-zollbrueck" TargetMode="External"/><Relationship Id="rId8203" Type="http://schemas.openxmlformats.org/officeDocument/2006/relationships/hyperlink" Target="https://www.immoscout24.ch/fr/appartement/acheter/lieu-urdorf" TargetMode="External"/><Relationship Id="rId9537" Type="http://schemas.openxmlformats.org/officeDocument/2006/relationships/hyperlink" Target="https://www.immoscout24.ch/fr/maison/acheter/lieu-muerren" TargetMode="External"/><Relationship Id="rId8202" Type="http://schemas.openxmlformats.org/officeDocument/2006/relationships/hyperlink" Target="https://www.immoscout24.ch/fr/appartement/louer/lieu-le-grand-saconnex" TargetMode="External"/><Relationship Id="rId9538" Type="http://schemas.openxmlformats.org/officeDocument/2006/relationships/hyperlink" Target="https://www.immoscout24.ch/fr/maison/acheter/lieu-muerren" TargetMode="External"/><Relationship Id="rId8201" Type="http://schemas.openxmlformats.org/officeDocument/2006/relationships/hyperlink" Target="https://www.immoscout24.ch/fr/appartement/louer/lieu-le-grand-saconnex" TargetMode="External"/><Relationship Id="rId9539" Type="http://schemas.openxmlformats.org/officeDocument/2006/relationships/hyperlink" Target="https://www.immoscout24.ch/fr/appartement/louer/lieu-wimmis" TargetMode="External"/><Relationship Id="rId8208" Type="http://schemas.openxmlformats.org/officeDocument/2006/relationships/hyperlink" Target="https://www.immoscout24.ch/fr/appartement/louer/lieu-aarwangen" TargetMode="External"/><Relationship Id="rId9532" Type="http://schemas.openxmlformats.org/officeDocument/2006/relationships/hyperlink" Target="https://www.immoscout24.ch/fr/maison/acheter/lieu-le-sentier" TargetMode="External"/><Relationship Id="rId8207" Type="http://schemas.openxmlformats.org/officeDocument/2006/relationships/hyperlink" Target="https://www.immoscout24.ch/fr/appartement/louer/lieu-aarwangen" TargetMode="External"/><Relationship Id="rId9533" Type="http://schemas.openxmlformats.org/officeDocument/2006/relationships/hyperlink" Target="https://www.immoscout24.ch/fr/appartement/louer/lieu-montherod" TargetMode="External"/><Relationship Id="rId8206" Type="http://schemas.openxmlformats.org/officeDocument/2006/relationships/hyperlink" Target="https://www.immoscout24.ch/fr/appartement/louer/lieu-st-severin" TargetMode="External"/><Relationship Id="rId9534" Type="http://schemas.openxmlformats.org/officeDocument/2006/relationships/hyperlink" Target="https://www.immoscout24.ch/fr/appartement/louer/lieu-montherod" TargetMode="External"/><Relationship Id="rId8205" Type="http://schemas.openxmlformats.org/officeDocument/2006/relationships/hyperlink" Target="https://www.immoscout24.ch/fr/appartement/louer/lieu-st-severin" TargetMode="External"/><Relationship Id="rId9535" Type="http://schemas.openxmlformats.org/officeDocument/2006/relationships/hyperlink" Target="https://www.immoscout24.ch/fr/appartement/acheter/lieu-zollbrueck" TargetMode="External"/><Relationship Id="rId9529" Type="http://schemas.openxmlformats.org/officeDocument/2006/relationships/hyperlink" Target="https://www.immoscout24.ch/fr/appartement/acheter/lieu-orpund" TargetMode="External"/><Relationship Id="rId9520" Type="http://schemas.openxmlformats.org/officeDocument/2006/relationships/hyperlink" Target="https://www.immoscout24.ch/fr/appartement/acheter/lieu-emmetten" TargetMode="External"/><Relationship Id="rId9525" Type="http://schemas.openxmlformats.org/officeDocument/2006/relationships/hyperlink" Target="https://www.immoscout24.ch/fr/appartement/louer/lieu-anglikon" TargetMode="External"/><Relationship Id="rId9526" Type="http://schemas.openxmlformats.org/officeDocument/2006/relationships/hyperlink" Target="https://www.immoscout24.ch/fr/appartement/louer/lieu-anglikon" TargetMode="External"/><Relationship Id="rId9527" Type="http://schemas.openxmlformats.org/officeDocument/2006/relationships/hyperlink" Target="https://www.immoscout24.ch/fr/maison/louer/lieu-st-gingolph" TargetMode="External"/><Relationship Id="rId9528" Type="http://schemas.openxmlformats.org/officeDocument/2006/relationships/hyperlink" Target="https://www.immoscout24.ch/fr/maison/louer/lieu-st-gingolph" TargetMode="External"/><Relationship Id="rId9521" Type="http://schemas.openxmlformats.org/officeDocument/2006/relationships/hyperlink" Target="https://www.immoscout24.ch/fr/maison/louer/canton-bale-campagne" TargetMode="External"/><Relationship Id="rId9522" Type="http://schemas.openxmlformats.org/officeDocument/2006/relationships/hyperlink" Target="https://www.immoscout24.ch/fr/maison/louer/canton-bale-campagne" TargetMode="External"/><Relationship Id="rId9523" Type="http://schemas.openxmlformats.org/officeDocument/2006/relationships/hyperlink" Target="https://www.immoscout24.ch/fr/maison/louer/lieu-flanthey" TargetMode="External"/><Relationship Id="rId9524" Type="http://schemas.openxmlformats.org/officeDocument/2006/relationships/hyperlink" Target="https://www.immoscout24.ch/fr/maison/louer/lieu-flanthey" TargetMode="External"/><Relationship Id="rId9550" Type="http://schemas.openxmlformats.org/officeDocument/2006/relationships/hyperlink" Target="https://www.immoscout24.ch/fr/appartement/louer/lieu-forch" TargetMode="External"/><Relationship Id="rId9551" Type="http://schemas.openxmlformats.org/officeDocument/2006/relationships/hyperlink" Target="https://www.immoscout24.ch/fr/appartement/louer/quartier-gotthelf-bale" TargetMode="External"/><Relationship Id="rId9552" Type="http://schemas.openxmlformats.org/officeDocument/2006/relationships/hyperlink" Target="https://www.immoscout24.ch/fr/appartement/louer/quartier-gotthelf-bale" TargetMode="External"/><Relationship Id="rId9553" Type="http://schemas.openxmlformats.org/officeDocument/2006/relationships/hyperlink" Target="https://www.immoscout24.ch/fr/maison/acheter/lieu-grandval" TargetMode="External"/><Relationship Id="rId8222" Type="http://schemas.openxmlformats.org/officeDocument/2006/relationships/hyperlink" Target="https://www.immoscout24.ch/fr/appartement/louer/lieu-embrach" TargetMode="External"/><Relationship Id="rId8221" Type="http://schemas.openxmlformats.org/officeDocument/2006/relationships/hyperlink" Target="https://www.immoscout24.ch/fr/appartement/louer/lieu-embrach" TargetMode="External"/><Relationship Id="rId8220" Type="http://schemas.openxmlformats.org/officeDocument/2006/relationships/hyperlink" Target="https://www.immoscout24.ch/fr/appartement/louer/lieu-steinach" TargetMode="External"/><Relationship Id="rId8226" Type="http://schemas.openxmlformats.org/officeDocument/2006/relationships/hyperlink" Target="https://www.immoscout24.ch/fr/appartement/louer/lieu-siviez-nendaz" TargetMode="External"/><Relationship Id="rId9558" Type="http://schemas.openxmlformats.org/officeDocument/2006/relationships/hyperlink" Target="https://www.immoscout24.ch/fr/appartement/acheter/lieu-savagnier" TargetMode="External"/><Relationship Id="rId8225" Type="http://schemas.openxmlformats.org/officeDocument/2006/relationships/hyperlink" Target="https://www.immoscout24.ch/fr/appartement/louer/lieu-siviez-nendaz" TargetMode="External"/><Relationship Id="rId9559" Type="http://schemas.openxmlformats.org/officeDocument/2006/relationships/hyperlink" Target="https://www.immoscout24.ch/fr/maison/acheter/lieu-soulce" TargetMode="External"/><Relationship Id="rId8224" Type="http://schemas.openxmlformats.org/officeDocument/2006/relationships/hyperlink" Target="https://www.immoscout24.ch/fr/appartement/louer/lieu-plasselb" TargetMode="External"/><Relationship Id="rId8223" Type="http://schemas.openxmlformats.org/officeDocument/2006/relationships/hyperlink" Target="https://www.immoscout24.ch/fr/appartement/louer/lieu-plasselb" TargetMode="External"/><Relationship Id="rId9554" Type="http://schemas.openxmlformats.org/officeDocument/2006/relationships/hyperlink" Target="https://www.immoscout24.ch/fr/maison/acheter/lieu-grandval" TargetMode="External"/><Relationship Id="rId8229" Type="http://schemas.openxmlformats.org/officeDocument/2006/relationships/hyperlink" Target="https://www.immoscout24.ch/fr/appartement/louer/lieu-fischbach-goeslikon" TargetMode="External"/><Relationship Id="rId9555" Type="http://schemas.openxmlformats.org/officeDocument/2006/relationships/hyperlink" Target="https://www.immoscout24.ch/fr/maison/acheter/lieu-regensdorf" TargetMode="External"/><Relationship Id="rId8228" Type="http://schemas.openxmlformats.org/officeDocument/2006/relationships/hyperlink" Target="https://www.immoscout24.ch/fr/appartement/acheter/lieu-fetigny" TargetMode="External"/><Relationship Id="rId9556" Type="http://schemas.openxmlformats.org/officeDocument/2006/relationships/hyperlink" Target="https://www.immoscout24.ch/fr/maison/acheter/lieu-regensdorf" TargetMode="External"/><Relationship Id="rId8227" Type="http://schemas.openxmlformats.org/officeDocument/2006/relationships/hyperlink" Target="https://www.immoscout24.ch/fr/appartement/acheter/lieu-fetigny" TargetMode="External"/><Relationship Id="rId9557" Type="http://schemas.openxmlformats.org/officeDocument/2006/relationships/hyperlink" Target="https://www.immoscout24.ch/fr/appartement/acheter/lieu-savagnier" TargetMode="External"/><Relationship Id="rId9540" Type="http://schemas.openxmlformats.org/officeDocument/2006/relationships/hyperlink" Target="https://www.immoscout24.ch/fr/appartement/louer/lieu-wimmis" TargetMode="External"/><Relationship Id="rId9541" Type="http://schemas.openxmlformats.org/officeDocument/2006/relationships/hyperlink" Target="https://www.immoscout24.ch/fr/appartement/louer/lieu-chardonne" TargetMode="External"/><Relationship Id="rId9542" Type="http://schemas.openxmlformats.org/officeDocument/2006/relationships/hyperlink" Target="https://www.immoscout24.ch/fr/appartement/louer/lieu-chardonne" TargetMode="External"/><Relationship Id="rId8211" Type="http://schemas.openxmlformats.org/officeDocument/2006/relationships/hyperlink" Target="https://www.immoscout24.ch/fr/maison/acheter/pays-argentine" TargetMode="External"/><Relationship Id="rId8210" Type="http://schemas.openxmlformats.org/officeDocument/2006/relationships/hyperlink" Target="https://www.immoscout24.ch/fr/appartement/louer/lieu-vuadens" TargetMode="External"/><Relationship Id="rId8215" Type="http://schemas.openxmlformats.org/officeDocument/2006/relationships/hyperlink" Target="https://www.immoscout24.ch/fr/appartement/louer/lieu-fraeschels" TargetMode="External"/><Relationship Id="rId9547" Type="http://schemas.openxmlformats.org/officeDocument/2006/relationships/hyperlink" Target="https://www.immoscout24.ch/fr/maison/acheter/lieu-villaz-st-pierre" TargetMode="External"/><Relationship Id="rId8214" Type="http://schemas.openxmlformats.org/officeDocument/2006/relationships/hyperlink" Target="https://www.immoscout24.ch/fr/maison/acheter/lieu-courgenay" TargetMode="External"/><Relationship Id="rId9548" Type="http://schemas.openxmlformats.org/officeDocument/2006/relationships/hyperlink" Target="https://www.immoscout24.ch/fr/maison/acheter/lieu-villaz-st-pierre" TargetMode="External"/><Relationship Id="rId8213" Type="http://schemas.openxmlformats.org/officeDocument/2006/relationships/hyperlink" Target="https://www.immoscout24.ch/fr/maison/acheter/lieu-courgenay" TargetMode="External"/><Relationship Id="rId9549" Type="http://schemas.openxmlformats.org/officeDocument/2006/relationships/hyperlink" Target="https://www.immoscout24.ch/fr/appartement/louer/lieu-forch" TargetMode="External"/><Relationship Id="rId8212" Type="http://schemas.openxmlformats.org/officeDocument/2006/relationships/hyperlink" Target="https://www.immoscout24.ch/fr/maison/acheter/pays-argentine" TargetMode="External"/><Relationship Id="rId8219" Type="http://schemas.openxmlformats.org/officeDocument/2006/relationships/hyperlink" Target="https://www.immoscout24.ch/fr/appartement/louer/lieu-steinach" TargetMode="External"/><Relationship Id="rId9543" Type="http://schemas.openxmlformats.org/officeDocument/2006/relationships/hyperlink" Target="https://www.immoscout24.ch/fr/maison/louer/lieu-baar-nendaz" TargetMode="External"/><Relationship Id="rId8218" Type="http://schemas.openxmlformats.org/officeDocument/2006/relationships/hyperlink" Target="https://www.immoscout24.ch/fr/appartement/louer/lieu-les-mosses" TargetMode="External"/><Relationship Id="rId9544" Type="http://schemas.openxmlformats.org/officeDocument/2006/relationships/hyperlink" Target="https://www.immoscout24.ch/fr/maison/louer/lieu-baar-nendaz" TargetMode="External"/><Relationship Id="rId8217" Type="http://schemas.openxmlformats.org/officeDocument/2006/relationships/hyperlink" Target="https://www.immoscout24.ch/fr/appartement/louer/lieu-les-mosses" TargetMode="External"/><Relationship Id="rId9545" Type="http://schemas.openxmlformats.org/officeDocument/2006/relationships/hyperlink" Target="https://www.immoscout24.ch/fr/maison/acheter/lieu-la-sage" TargetMode="External"/><Relationship Id="rId8216" Type="http://schemas.openxmlformats.org/officeDocument/2006/relationships/hyperlink" Target="https://www.immoscout24.ch/fr/appartement/louer/lieu-fraeschels" TargetMode="External"/><Relationship Id="rId9546" Type="http://schemas.openxmlformats.org/officeDocument/2006/relationships/hyperlink" Target="https://www.immoscout24.ch/fr/maison/acheter/lieu-la-sage" TargetMode="External"/><Relationship Id="rId8291" Type="http://schemas.openxmlformats.org/officeDocument/2006/relationships/hyperlink" Target="https://www.immoscout24.ch/fr/appartement/acheter/lieu-gilly" TargetMode="External"/><Relationship Id="rId8290" Type="http://schemas.openxmlformats.org/officeDocument/2006/relationships/hyperlink" Target="https://www.immoscout24.ch/fr/maison/acheter/lieu-jens" TargetMode="External"/><Relationship Id="rId8284" Type="http://schemas.openxmlformats.org/officeDocument/2006/relationships/hyperlink" Target="https://www.immoscout24.ch/fr/appartement/acheter/lieu-orsieres" TargetMode="External"/><Relationship Id="rId8283" Type="http://schemas.openxmlformats.org/officeDocument/2006/relationships/hyperlink" Target="https://www.immoscout24.ch/fr/appartement/acheter/lieu-orsieres" TargetMode="External"/><Relationship Id="rId8282" Type="http://schemas.openxmlformats.org/officeDocument/2006/relationships/hyperlink" Target="https://www.immoscout24.ch/fr/appartement/louer/lieu-anieres" TargetMode="External"/><Relationship Id="rId8281" Type="http://schemas.openxmlformats.org/officeDocument/2006/relationships/hyperlink" Target="https://www.immoscout24.ch/fr/appartement/louer/lieu-anieres" TargetMode="External"/><Relationship Id="rId8288" Type="http://schemas.openxmlformats.org/officeDocument/2006/relationships/hyperlink" Target="https://www.immoscout24.ch/fr/maison/acheter/lieu-minusio" TargetMode="External"/><Relationship Id="rId8287" Type="http://schemas.openxmlformats.org/officeDocument/2006/relationships/hyperlink" Target="https://www.immoscout24.ch/fr/maison/acheter/lieu-minusio" TargetMode="External"/><Relationship Id="rId8286" Type="http://schemas.openxmlformats.org/officeDocument/2006/relationships/hyperlink" Target="https://www.immoscout24.ch/fr/maison/louer/lieu-le-grand-saconnex" TargetMode="External"/><Relationship Id="rId8285" Type="http://schemas.openxmlformats.org/officeDocument/2006/relationships/hyperlink" Target="https://www.immoscout24.ch/fr/maison/louer/lieu-le-grand-saconnex" TargetMode="External"/><Relationship Id="rId8289" Type="http://schemas.openxmlformats.org/officeDocument/2006/relationships/hyperlink" Target="https://www.immoscout24.ch/fr/maison/acheter/lieu-jens" TargetMode="External"/><Relationship Id="rId8280" Type="http://schemas.openxmlformats.org/officeDocument/2006/relationships/hyperlink" Target="https://www.immoscout24.ch/fr/appartement/acheter/lieu-eich" TargetMode="External"/><Relationship Id="rId8273" Type="http://schemas.openxmlformats.org/officeDocument/2006/relationships/hyperlink" Target="https://www.immoscout24.ch/fr/maison/louer/lieu-chatillens" TargetMode="External"/><Relationship Id="rId8272" Type="http://schemas.openxmlformats.org/officeDocument/2006/relationships/hyperlink" Target="https://www.immoscout24.ch/fr/maison/acheter/lieu-remaufens" TargetMode="External"/><Relationship Id="rId8271" Type="http://schemas.openxmlformats.org/officeDocument/2006/relationships/hyperlink" Target="https://www.immoscout24.ch/fr/maison/acheter/lieu-remaufens" TargetMode="External"/><Relationship Id="rId8270" Type="http://schemas.openxmlformats.org/officeDocument/2006/relationships/hyperlink" Target="https://www.immoscout24.ch/fr/maison/acheter/lieu-misery" TargetMode="External"/><Relationship Id="rId8277" Type="http://schemas.openxmlformats.org/officeDocument/2006/relationships/hyperlink" Target="https://www.immoscout24.ch/fr/maison/acheter/lieu-st-romain-ayent" TargetMode="External"/><Relationship Id="rId8276" Type="http://schemas.openxmlformats.org/officeDocument/2006/relationships/hyperlink" Target="https://www.immoscout24.ch/fr/appartement/louer/lieu-corcelles-be" TargetMode="External"/><Relationship Id="rId8275" Type="http://schemas.openxmlformats.org/officeDocument/2006/relationships/hyperlink" Target="https://www.immoscout24.ch/fr/appartement/louer/lieu-corcelles-be" TargetMode="External"/><Relationship Id="rId8274" Type="http://schemas.openxmlformats.org/officeDocument/2006/relationships/hyperlink" Target="https://www.immoscout24.ch/fr/maison/louer/lieu-chatillens" TargetMode="External"/><Relationship Id="rId8279" Type="http://schemas.openxmlformats.org/officeDocument/2006/relationships/hyperlink" Target="https://www.immoscout24.ch/fr/appartement/acheter/lieu-eich" TargetMode="External"/><Relationship Id="rId8278" Type="http://schemas.openxmlformats.org/officeDocument/2006/relationships/hyperlink" Target="https://www.immoscout24.ch/fr/maison/acheter/lieu-st-romain-ayent" TargetMode="External"/><Relationship Id="rId8295" Type="http://schemas.openxmlformats.org/officeDocument/2006/relationships/hyperlink" Target="https://www.immoscout24.ch/fr/appartement/louer/lieu-mont-tramelan" TargetMode="External"/><Relationship Id="rId8294" Type="http://schemas.openxmlformats.org/officeDocument/2006/relationships/hyperlink" Target="https://www.immoscout24.ch/fr/maison/louer/lieu-sorens" TargetMode="External"/><Relationship Id="rId8293" Type="http://schemas.openxmlformats.org/officeDocument/2006/relationships/hyperlink" Target="https://www.immoscout24.ch/fr/maison/louer/lieu-sorens" TargetMode="External"/><Relationship Id="rId8292" Type="http://schemas.openxmlformats.org/officeDocument/2006/relationships/hyperlink" Target="https://www.immoscout24.ch/fr/appartement/acheter/lieu-gilly" TargetMode="External"/><Relationship Id="rId8299" Type="http://schemas.openxmlformats.org/officeDocument/2006/relationships/hyperlink" Target="https://www.immoscout24.ch/fr/appartement/acheter/lieu-neuenegg" TargetMode="External"/><Relationship Id="rId8298" Type="http://schemas.openxmlformats.org/officeDocument/2006/relationships/hyperlink" Target="https://www.immoscout24.ch/fr/maison/louer/lieu-sottens" TargetMode="External"/><Relationship Id="rId8297" Type="http://schemas.openxmlformats.org/officeDocument/2006/relationships/hyperlink" Target="https://www.immoscout24.ch/fr/maison/louer/lieu-sottens" TargetMode="External"/><Relationship Id="rId8296" Type="http://schemas.openxmlformats.org/officeDocument/2006/relationships/hyperlink" Target="https://www.immoscout24.ch/fr/appartement/louer/lieu-mont-tramelan" TargetMode="External"/><Relationship Id="rId10457" Type="http://schemas.openxmlformats.org/officeDocument/2006/relationships/hyperlink" Target="https://www.immoscout24.ch/fr/maison/acheter/lieu-unterbaech-vs" TargetMode="External"/><Relationship Id="rId11789" Type="http://schemas.openxmlformats.org/officeDocument/2006/relationships/hyperlink" Target="https://www.immoscout24.ch/fr/maison/acheter/lieu-st-saphorin-sur-morges" TargetMode="External"/><Relationship Id="rId10458" Type="http://schemas.openxmlformats.org/officeDocument/2006/relationships/hyperlink" Target="https://www.immoscout24.ch/fr/maison/acheter/lieu-unterbaech-vs" TargetMode="External"/><Relationship Id="rId11788" Type="http://schemas.openxmlformats.org/officeDocument/2006/relationships/hyperlink" Target="https://www.immoscout24.ch/fr/appartement/acheter/lieu-forel-lavaux" TargetMode="External"/><Relationship Id="rId10455" Type="http://schemas.openxmlformats.org/officeDocument/2006/relationships/hyperlink" Target="https://www.immoscout24.ch/fr/appartement/acheter/lieu-adelboden" TargetMode="External"/><Relationship Id="rId11787" Type="http://schemas.openxmlformats.org/officeDocument/2006/relationships/hyperlink" Target="https://www.immoscout24.ch/fr/appartement/acheter/lieu-forel-lavaux" TargetMode="External"/><Relationship Id="rId10456" Type="http://schemas.openxmlformats.org/officeDocument/2006/relationships/hyperlink" Target="https://www.immoscout24.ch/fr/appartement/acheter/lieu-adelboden" TargetMode="External"/><Relationship Id="rId11786" Type="http://schemas.openxmlformats.org/officeDocument/2006/relationships/hyperlink" Target="https://www.immoscout24.ch/fr/maison/acheter/lieu-bogis-bossey" TargetMode="External"/><Relationship Id="rId10459" Type="http://schemas.openxmlformats.org/officeDocument/2006/relationships/hyperlink" Target="https://www.immoscout24.ch/fr/appartement/louer/lieu-porrentruy" TargetMode="External"/><Relationship Id="rId11781" Type="http://schemas.openxmlformats.org/officeDocument/2006/relationships/hyperlink" Target="https://www.immoscout24.ch/fr/maison/acheter/lieu-muzzano" TargetMode="External"/><Relationship Id="rId10450" Type="http://schemas.openxmlformats.org/officeDocument/2006/relationships/hyperlink" Target="https://www.immoscout24.ch/fr/appartement/acheter/lieu-schinznach-dorf" TargetMode="External"/><Relationship Id="rId11780" Type="http://schemas.openxmlformats.org/officeDocument/2006/relationships/hyperlink" Target="https://www.immoscout24.ch/fr/maison/acheter/lieu-melchtal" TargetMode="External"/><Relationship Id="rId10453" Type="http://schemas.openxmlformats.org/officeDocument/2006/relationships/hyperlink" Target="https://www.immoscout24.ch/fr/appartement/acheter/quartier-madretsch-nord-biel-bienne" TargetMode="External"/><Relationship Id="rId11785" Type="http://schemas.openxmlformats.org/officeDocument/2006/relationships/hyperlink" Target="https://www.immoscout24.ch/fr/maison/acheter/lieu-bogis-bossey" TargetMode="External"/><Relationship Id="rId10454" Type="http://schemas.openxmlformats.org/officeDocument/2006/relationships/hyperlink" Target="https://www.immoscout24.ch/fr/appartement/acheter/quartier-madretsch-nord-biel-bienne" TargetMode="External"/><Relationship Id="rId11784" Type="http://schemas.openxmlformats.org/officeDocument/2006/relationships/hyperlink" Target="https://www.immoscout24.ch/fr/appartement/louer/lieu-chermignon-d-en-bas" TargetMode="External"/><Relationship Id="rId10451" Type="http://schemas.openxmlformats.org/officeDocument/2006/relationships/hyperlink" Target="https://www.immoscout24.ch/fr/maison/acheter/lieu-savognin" TargetMode="External"/><Relationship Id="rId11783" Type="http://schemas.openxmlformats.org/officeDocument/2006/relationships/hyperlink" Target="https://www.immoscout24.ch/fr/appartement/louer/lieu-chermignon-d-en-bas" TargetMode="External"/><Relationship Id="rId10452" Type="http://schemas.openxmlformats.org/officeDocument/2006/relationships/hyperlink" Target="https://www.immoscout24.ch/fr/maison/acheter/lieu-savognin" TargetMode="External"/><Relationship Id="rId11782" Type="http://schemas.openxmlformats.org/officeDocument/2006/relationships/hyperlink" Target="https://www.immoscout24.ch/fr/maison/acheter/lieu-muzzano" TargetMode="External"/><Relationship Id="rId10468" Type="http://schemas.openxmlformats.org/officeDocument/2006/relationships/hyperlink" Target="https://www.immoscout24.ch/fr/appartement/louer/lieu-giornico" TargetMode="External"/><Relationship Id="rId10469" Type="http://schemas.openxmlformats.org/officeDocument/2006/relationships/hyperlink" Target="https://www.immoscout24.ch/fr/appartement/acheter/lieu-chambrelien" TargetMode="External"/><Relationship Id="rId11799" Type="http://schemas.openxmlformats.org/officeDocument/2006/relationships/hyperlink" Target="https://www.immoscout24.ch/fr/appartement/louer/lieu-wattwil" TargetMode="External"/><Relationship Id="rId10466" Type="http://schemas.openxmlformats.org/officeDocument/2006/relationships/hyperlink" Target="https://www.immoscout24.ch/fr/maison/louer/lieu-le-locle" TargetMode="External"/><Relationship Id="rId11798" Type="http://schemas.openxmlformats.org/officeDocument/2006/relationships/hyperlink" Target="https://www.immoscout24.ch/fr/appartement/acheter/lieu-wil-sg" TargetMode="External"/><Relationship Id="rId10467" Type="http://schemas.openxmlformats.org/officeDocument/2006/relationships/hyperlink" Target="https://www.immoscout24.ch/fr/appartement/louer/lieu-giornico" TargetMode="External"/><Relationship Id="rId11797" Type="http://schemas.openxmlformats.org/officeDocument/2006/relationships/hyperlink" Target="https://www.immoscout24.ch/fr/appartement/acheter/lieu-wil-sg" TargetMode="External"/><Relationship Id="rId10460" Type="http://schemas.openxmlformats.org/officeDocument/2006/relationships/hyperlink" Target="https://www.immoscout24.ch/fr/appartement/louer/lieu-porrentruy" TargetMode="External"/><Relationship Id="rId11792" Type="http://schemas.openxmlformats.org/officeDocument/2006/relationships/hyperlink" Target="https://www.immoscout24.ch/fr/appartement/acheter/quartier-serrieres-neuchatel" TargetMode="External"/><Relationship Id="rId10461" Type="http://schemas.openxmlformats.org/officeDocument/2006/relationships/hyperlink" Target="https://www.immoscout24.ch/fr/maison/acheter/region-guerbetal-voralpen" TargetMode="External"/><Relationship Id="rId11791" Type="http://schemas.openxmlformats.org/officeDocument/2006/relationships/hyperlink" Target="https://www.immoscout24.ch/fr/appartement/acheter/quartier-serrieres-neuchatel" TargetMode="External"/><Relationship Id="rId11790" Type="http://schemas.openxmlformats.org/officeDocument/2006/relationships/hyperlink" Target="https://www.immoscout24.ch/fr/maison/acheter/lieu-st-saphorin-sur-morges" TargetMode="External"/><Relationship Id="rId10464" Type="http://schemas.openxmlformats.org/officeDocument/2006/relationships/hyperlink" Target="https://www.immoscout24.ch/fr/maison/acheter/lieu-villars-le-comte" TargetMode="External"/><Relationship Id="rId11796" Type="http://schemas.openxmlformats.org/officeDocument/2006/relationships/hyperlink" Target="https://www.immoscout24.ch/fr/maison/acheter/lieu-ecoteaux" TargetMode="External"/><Relationship Id="rId10465" Type="http://schemas.openxmlformats.org/officeDocument/2006/relationships/hyperlink" Target="https://www.immoscout24.ch/fr/maison/louer/lieu-le-locle" TargetMode="External"/><Relationship Id="rId11795" Type="http://schemas.openxmlformats.org/officeDocument/2006/relationships/hyperlink" Target="https://www.immoscout24.ch/fr/maison/acheter/lieu-ecoteaux" TargetMode="External"/><Relationship Id="rId10462" Type="http://schemas.openxmlformats.org/officeDocument/2006/relationships/hyperlink" Target="https://www.immoscout24.ch/fr/maison/acheter/region-guerbetal-voralpen" TargetMode="External"/><Relationship Id="rId11794" Type="http://schemas.openxmlformats.org/officeDocument/2006/relationships/hyperlink" Target="https://www.immoscout24.ch/fr/maison/louer/lieu-im-fang" TargetMode="External"/><Relationship Id="rId10463" Type="http://schemas.openxmlformats.org/officeDocument/2006/relationships/hyperlink" Target="https://www.immoscout24.ch/fr/maison/acheter/lieu-villars-le-comte" TargetMode="External"/><Relationship Id="rId11793" Type="http://schemas.openxmlformats.org/officeDocument/2006/relationships/hyperlink" Target="https://www.immoscout24.ch/fr/maison/louer/lieu-im-fang" TargetMode="External"/><Relationship Id="rId10435" Type="http://schemas.openxmlformats.org/officeDocument/2006/relationships/hyperlink" Target="https://www.immoscout24.ch/fr/appartement/acheter/lieu-donneloye" TargetMode="External"/><Relationship Id="rId11767" Type="http://schemas.openxmlformats.org/officeDocument/2006/relationships/hyperlink" Target="https://www.immoscout24.ch/fr/appartement/louer/lieu-rueegsau" TargetMode="External"/><Relationship Id="rId10436" Type="http://schemas.openxmlformats.org/officeDocument/2006/relationships/hyperlink" Target="https://www.immoscout24.ch/fr/appartement/acheter/lieu-donneloye" TargetMode="External"/><Relationship Id="rId11766" Type="http://schemas.openxmlformats.org/officeDocument/2006/relationships/hyperlink" Target="https://www.immoscout24.ch/fr/appartement/acheter/lieu-gampel" TargetMode="External"/><Relationship Id="rId10433" Type="http://schemas.openxmlformats.org/officeDocument/2006/relationships/hyperlink" Target="https://www.immoscout24.ch/fr/appartement/acheter/lieu-founex" TargetMode="External"/><Relationship Id="rId11765" Type="http://schemas.openxmlformats.org/officeDocument/2006/relationships/hyperlink" Target="https://www.immoscout24.ch/fr/appartement/acheter/lieu-gampel" TargetMode="External"/><Relationship Id="rId10434" Type="http://schemas.openxmlformats.org/officeDocument/2006/relationships/hyperlink" Target="https://www.immoscout24.ch/fr/appartement/acheter/lieu-founex" TargetMode="External"/><Relationship Id="rId11764" Type="http://schemas.openxmlformats.org/officeDocument/2006/relationships/hyperlink" Target="https://www.immoscout24.ch/fr/maison/acheter/lieu-frasses" TargetMode="External"/><Relationship Id="rId10439" Type="http://schemas.openxmlformats.org/officeDocument/2006/relationships/hyperlink" Target="https://www.immoscout24.ch/fr/appartement/louer/lieu-bellelay" TargetMode="External"/><Relationship Id="rId10437" Type="http://schemas.openxmlformats.org/officeDocument/2006/relationships/hyperlink" Target="https://www.immoscout24.ch/fr/appartement/louer/lieu-oberentfelden" TargetMode="External"/><Relationship Id="rId11769" Type="http://schemas.openxmlformats.org/officeDocument/2006/relationships/hyperlink" Target="https://www.immoscout24.ch/fr/appartement/acheter/lieu-saignelegier" TargetMode="External"/><Relationship Id="rId10438" Type="http://schemas.openxmlformats.org/officeDocument/2006/relationships/hyperlink" Target="https://www.immoscout24.ch/fr/appartement/louer/lieu-oberentfelden" TargetMode="External"/><Relationship Id="rId11768" Type="http://schemas.openxmlformats.org/officeDocument/2006/relationships/hyperlink" Target="https://www.immoscout24.ch/fr/appartement/louer/lieu-rueegsau" TargetMode="External"/><Relationship Id="rId10431" Type="http://schemas.openxmlformats.org/officeDocument/2006/relationships/hyperlink" Target="https://www.immoscout24.ch/fr/maison/louer/lieu-lonay" TargetMode="External"/><Relationship Id="rId11763" Type="http://schemas.openxmlformats.org/officeDocument/2006/relationships/hyperlink" Target="https://www.immoscout24.ch/fr/maison/acheter/lieu-frasses" TargetMode="External"/><Relationship Id="rId10432" Type="http://schemas.openxmlformats.org/officeDocument/2006/relationships/hyperlink" Target="https://www.immoscout24.ch/fr/maison/louer/lieu-lonay" TargetMode="External"/><Relationship Id="rId11762" Type="http://schemas.openxmlformats.org/officeDocument/2006/relationships/hyperlink" Target="https://www.immoscout24.ch/fr/appartement/louer/lieu-muelligen" TargetMode="External"/><Relationship Id="rId11761" Type="http://schemas.openxmlformats.org/officeDocument/2006/relationships/hyperlink" Target="https://www.immoscout24.ch/fr/appartement/louer/lieu-muelligen" TargetMode="External"/><Relationship Id="rId10430" Type="http://schemas.openxmlformats.org/officeDocument/2006/relationships/hyperlink" Target="https://www.immoscout24.ch/fr/maison/louer/quartier-mousquines-bellevue-lausanne" TargetMode="External"/><Relationship Id="rId11760" Type="http://schemas.openxmlformats.org/officeDocument/2006/relationships/hyperlink" Target="https://www.immoscout24.ch/fr/maison/acheter/lieu-courroux" TargetMode="External"/><Relationship Id="rId10446" Type="http://schemas.openxmlformats.org/officeDocument/2006/relationships/hyperlink" Target="https://www.immoscout24.ch/fr/appartement/louer/lieu-chexbres" TargetMode="External"/><Relationship Id="rId11778" Type="http://schemas.openxmlformats.org/officeDocument/2006/relationships/hyperlink" Target="https://www.immoscout24.ch/fr/appartement/acheter/canton-valais" TargetMode="External"/><Relationship Id="rId10447" Type="http://schemas.openxmlformats.org/officeDocument/2006/relationships/hyperlink" Target="https://www.immoscout24.ch/fr/maison/acheter/lieu-schoenried" TargetMode="External"/><Relationship Id="rId11777" Type="http://schemas.openxmlformats.org/officeDocument/2006/relationships/hyperlink" Target="https://www.immoscout24.ch/fr/appartement/acheter/canton-valais" TargetMode="External"/><Relationship Id="rId10444" Type="http://schemas.openxmlformats.org/officeDocument/2006/relationships/hyperlink" Target="https://www.immoscout24.ch/fr/appartement/louer/lieu-champex-lac" TargetMode="External"/><Relationship Id="rId11776" Type="http://schemas.openxmlformats.org/officeDocument/2006/relationships/hyperlink" Target="https://www.immoscout24.ch/fr/maison/acheter/lieu-oensingen" TargetMode="External"/><Relationship Id="rId10445" Type="http://schemas.openxmlformats.org/officeDocument/2006/relationships/hyperlink" Target="https://www.immoscout24.ch/fr/appartement/louer/lieu-chexbres" TargetMode="External"/><Relationship Id="rId11775" Type="http://schemas.openxmlformats.org/officeDocument/2006/relationships/hyperlink" Target="https://www.immoscout24.ch/fr/maison/acheter/lieu-oensingen" TargetMode="External"/><Relationship Id="rId10448" Type="http://schemas.openxmlformats.org/officeDocument/2006/relationships/hyperlink" Target="https://www.immoscout24.ch/fr/maison/acheter/lieu-schoenried" TargetMode="External"/><Relationship Id="rId10449" Type="http://schemas.openxmlformats.org/officeDocument/2006/relationships/hyperlink" Target="https://www.immoscout24.ch/fr/appartement/acheter/lieu-schinznach-dorf" TargetMode="External"/><Relationship Id="rId11779" Type="http://schemas.openxmlformats.org/officeDocument/2006/relationships/hyperlink" Target="https://www.immoscout24.ch/fr/maison/acheter/lieu-melchtal" TargetMode="External"/><Relationship Id="rId11770" Type="http://schemas.openxmlformats.org/officeDocument/2006/relationships/hyperlink" Target="https://www.immoscout24.ch/fr/appartement/acheter/lieu-saignelegier" TargetMode="External"/><Relationship Id="rId10442" Type="http://schemas.openxmlformats.org/officeDocument/2006/relationships/hyperlink" Target="https://www.immoscout24.ch/fr/maison/acheter/lieu-champlan-grimisuat" TargetMode="External"/><Relationship Id="rId11774" Type="http://schemas.openxmlformats.org/officeDocument/2006/relationships/hyperlink" Target="https://www.immoscout24.ch/fr/maison/acheter/lieu-prez-vers-siviriez" TargetMode="External"/><Relationship Id="rId10443" Type="http://schemas.openxmlformats.org/officeDocument/2006/relationships/hyperlink" Target="https://www.immoscout24.ch/fr/appartement/louer/lieu-champex-lac" TargetMode="External"/><Relationship Id="rId11773" Type="http://schemas.openxmlformats.org/officeDocument/2006/relationships/hyperlink" Target="https://www.immoscout24.ch/fr/maison/acheter/lieu-prez-vers-siviriez" TargetMode="External"/><Relationship Id="rId10440" Type="http://schemas.openxmlformats.org/officeDocument/2006/relationships/hyperlink" Target="https://www.immoscout24.ch/fr/appartement/louer/lieu-bellelay" TargetMode="External"/><Relationship Id="rId11772" Type="http://schemas.openxmlformats.org/officeDocument/2006/relationships/hyperlink" Target="https://www.immoscout24.ch/fr/maison/acheter/lieu-delley" TargetMode="External"/><Relationship Id="rId10441" Type="http://schemas.openxmlformats.org/officeDocument/2006/relationships/hyperlink" Target="https://www.immoscout24.ch/fr/maison/acheter/lieu-champlan-grimisuat" TargetMode="External"/><Relationship Id="rId11771" Type="http://schemas.openxmlformats.org/officeDocument/2006/relationships/hyperlink" Target="https://www.immoscout24.ch/fr/maison/acheter/lieu-delley" TargetMode="External"/><Relationship Id="rId10499" Type="http://schemas.openxmlformats.org/officeDocument/2006/relationships/hyperlink" Target="https://www.immoscout24.ch/fr/appartement/louer/lieu-wahlen-b-laufen" TargetMode="External"/><Relationship Id="rId10493" Type="http://schemas.openxmlformats.org/officeDocument/2006/relationships/hyperlink" Target="https://www.immoscout24.ch/fr/maison/acheter/lieu-les-sciernes-d-albeuve" TargetMode="External"/><Relationship Id="rId10494" Type="http://schemas.openxmlformats.org/officeDocument/2006/relationships/hyperlink" Target="https://www.immoscout24.ch/fr/maison/acheter/lieu-les-sciernes-d-albeuve" TargetMode="External"/><Relationship Id="rId10491" Type="http://schemas.openxmlformats.org/officeDocument/2006/relationships/hyperlink" Target="https://www.immoscout24.ch/fr/appartement/louer/quartier-rosenberg-winterthur" TargetMode="External"/><Relationship Id="rId10492" Type="http://schemas.openxmlformats.org/officeDocument/2006/relationships/hyperlink" Target="https://www.immoscout24.ch/fr/appartement/louer/quartier-rosenberg-winterthur" TargetMode="External"/><Relationship Id="rId10497" Type="http://schemas.openxmlformats.org/officeDocument/2006/relationships/hyperlink" Target="https://www.immoscout24.ch/fr/appartement/louer/lieu-moehlin" TargetMode="External"/><Relationship Id="rId10498" Type="http://schemas.openxmlformats.org/officeDocument/2006/relationships/hyperlink" Target="https://www.immoscout24.ch/fr/appartement/louer/lieu-moehlin" TargetMode="External"/><Relationship Id="rId10495" Type="http://schemas.openxmlformats.org/officeDocument/2006/relationships/hyperlink" Target="https://www.immoscout24.ch/fr/appartement/acheter/lieu-la-tzoumaz" TargetMode="External"/><Relationship Id="rId10496" Type="http://schemas.openxmlformats.org/officeDocument/2006/relationships/hyperlink" Target="https://www.immoscout24.ch/fr/appartement/acheter/lieu-la-tzoumaz" TargetMode="External"/><Relationship Id="rId10479" Type="http://schemas.openxmlformats.org/officeDocument/2006/relationships/hyperlink" Target="https://www.immoscout24.ch/fr/appartement/acheter/region-yverdon-grandson" TargetMode="External"/><Relationship Id="rId10477" Type="http://schemas.openxmlformats.org/officeDocument/2006/relationships/hyperlink" Target="https://www.immoscout24.ch/fr/appartement/louer/lieu-praz-de-fort" TargetMode="External"/><Relationship Id="rId10478" Type="http://schemas.openxmlformats.org/officeDocument/2006/relationships/hyperlink" Target="https://www.immoscout24.ch/fr/appartement/louer/lieu-praz-de-fort" TargetMode="External"/><Relationship Id="rId10471" Type="http://schemas.openxmlformats.org/officeDocument/2006/relationships/hyperlink" Target="https://www.immoscout24.ch/fr/appartement/acheter/lieu-muensingen" TargetMode="External"/><Relationship Id="rId10472" Type="http://schemas.openxmlformats.org/officeDocument/2006/relationships/hyperlink" Target="https://www.immoscout24.ch/fr/appartement/acheter/lieu-muensingen" TargetMode="External"/><Relationship Id="rId10470" Type="http://schemas.openxmlformats.org/officeDocument/2006/relationships/hyperlink" Target="https://www.immoscout24.ch/fr/appartement/acheter/lieu-chambrelien" TargetMode="External"/><Relationship Id="rId10475" Type="http://schemas.openxmlformats.org/officeDocument/2006/relationships/hyperlink" Target="https://www.immoscout24.ch/fr/maison/acheter/lieu-les-avants" TargetMode="External"/><Relationship Id="rId10476" Type="http://schemas.openxmlformats.org/officeDocument/2006/relationships/hyperlink" Target="https://www.immoscout24.ch/fr/maison/acheter/lieu-les-avants" TargetMode="External"/><Relationship Id="rId10473" Type="http://schemas.openxmlformats.org/officeDocument/2006/relationships/hyperlink" Target="https://www.immoscout24.ch/fr/maison/acheter/lieu-moerel" TargetMode="External"/><Relationship Id="rId10474" Type="http://schemas.openxmlformats.org/officeDocument/2006/relationships/hyperlink" Target="https://www.immoscout24.ch/fr/maison/acheter/lieu-moerel" TargetMode="External"/><Relationship Id="rId10490" Type="http://schemas.openxmlformats.org/officeDocument/2006/relationships/hyperlink" Target="https://www.immoscout24.ch/fr/appartement/louer/lieu-ependes-fr" TargetMode="External"/><Relationship Id="rId10488" Type="http://schemas.openxmlformats.org/officeDocument/2006/relationships/hyperlink" Target="https://www.immoscout24.ch/fr/appartement/louer/lieu-aarau-rohr" TargetMode="External"/><Relationship Id="rId10489" Type="http://schemas.openxmlformats.org/officeDocument/2006/relationships/hyperlink" Target="https://www.immoscout24.ch/fr/appartement/louer/lieu-ependes-fr" TargetMode="External"/><Relationship Id="rId10482" Type="http://schemas.openxmlformats.org/officeDocument/2006/relationships/hyperlink" Target="https://www.immoscout24.ch/fr/appartement/louer/lieu-les-giettes" TargetMode="External"/><Relationship Id="rId10483" Type="http://schemas.openxmlformats.org/officeDocument/2006/relationships/hyperlink" Target="https://www.immoscout24.ch/fr/maison/acheter/lieu-farvagny-le-petit" TargetMode="External"/><Relationship Id="rId10480" Type="http://schemas.openxmlformats.org/officeDocument/2006/relationships/hyperlink" Target="https://www.immoscout24.ch/fr/appartement/acheter/region-yverdon-grandson" TargetMode="External"/><Relationship Id="rId10481" Type="http://schemas.openxmlformats.org/officeDocument/2006/relationships/hyperlink" Target="https://www.immoscout24.ch/fr/appartement/louer/lieu-les-giettes" TargetMode="External"/><Relationship Id="rId10486" Type="http://schemas.openxmlformats.org/officeDocument/2006/relationships/hyperlink" Target="https://www.immoscout24.ch/fr/maison/acheter/lieu-balsthal" TargetMode="External"/><Relationship Id="rId10487" Type="http://schemas.openxmlformats.org/officeDocument/2006/relationships/hyperlink" Target="https://www.immoscout24.ch/fr/appartement/louer/lieu-aarau-rohr" TargetMode="External"/><Relationship Id="rId10484" Type="http://schemas.openxmlformats.org/officeDocument/2006/relationships/hyperlink" Target="https://www.immoscout24.ch/fr/maison/acheter/lieu-farvagny-le-petit" TargetMode="External"/><Relationship Id="rId10485" Type="http://schemas.openxmlformats.org/officeDocument/2006/relationships/hyperlink" Target="https://www.immoscout24.ch/fr/maison/acheter/lieu-balsthal" TargetMode="External"/><Relationship Id="rId10738" Type="http://schemas.openxmlformats.org/officeDocument/2006/relationships/hyperlink" Target="https://www.immoscout24.ch/fr/maison/acheter/lieu-cotterd" TargetMode="External"/><Relationship Id="rId10739" Type="http://schemas.openxmlformats.org/officeDocument/2006/relationships/hyperlink" Target="https://www.immoscout24.ch/fr/maison/acheter/lieu-leytron" TargetMode="External"/><Relationship Id="rId10732" Type="http://schemas.openxmlformats.org/officeDocument/2006/relationships/hyperlink" Target="https://www.immoscout24.ch/fr/maison/acheter/lieu-camignolo" TargetMode="External"/><Relationship Id="rId10733" Type="http://schemas.openxmlformats.org/officeDocument/2006/relationships/hyperlink" Target="https://www.immoscout24.ch/fr/maison/acheter/quartier-oberbottigen-berne" TargetMode="External"/><Relationship Id="rId10730" Type="http://schemas.openxmlformats.org/officeDocument/2006/relationships/hyperlink" Target="https://www.immoscout24.ch/fr/appartement/louer/lieu-scuol" TargetMode="External"/><Relationship Id="rId10731" Type="http://schemas.openxmlformats.org/officeDocument/2006/relationships/hyperlink" Target="https://www.immoscout24.ch/fr/maison/acheter/lieu-camignolo" TargetMode="External"/><Relationship Id="rId5251" Type="http://schemas.openxmlformats.org/officeDocument/2006/relationships/hyperlink" Target="https://www.immoscout24.ch/fr/appartement/acheter/lieu-ste-croix" TargetMode="External"/><Relationship Id="rId6582" Type="http://schemas.openxmlformats.org/officeDocument/2006/relationships/hyperlink" Target="https://www.immoscout24.ch/fr/maison/louer/lieu-romanens" TargetMode="External"/><Relationship Id="rId10736" Type="http://schemas.openxmlformats.org/officeDocument/2006/relationships/hyperlink" Target="https://www.immoscout24.ch/fr/appartement/acheter/lieu-ronco-sopra-ascona" TargetMode="External"/><Relationship Id="rId5252" Type="http://schemas.openxmlformats.org/officeDocument/2006/relationships/hyperlink" Target="https://www.immoscout24.ch/fr/appartement/acheter/lieu-ste-croix" TargetMode="External"/><Relationship Id="rId6583" Type="http://schemas.openxmlformats.org/officeDocument/2006/relationships/hyperlink" Target="https://www.immoscout24.ch/fr/appartement/louer/lieu-gingins" TargetMode="External"/><Relationship Id="rId10737" Type="http://schemas.openxmlformats.org/officeDocument/2006/relationships/hyperlink" Target="https://www.immoscout24.ch/fr/maison/acheter/lieu-cotterd" TargetMode="External"/><Relationship Id="rId6580" Type="http://schemas.openxmlformats.org/officeDocument/2006/relationships/hyperlink" Target="https://www.immoscout24.ch/fr/appartement/louer/lieu-aesch-bl" TargetMode="External"/><Relationship Id="rId10734" Type="http://schemas.openxmlformats.org/officeDocument/2006/relationships/hyperlink" Target="https://www.immoscout24.ch/fr/maison/acheter/quartier-oberbottigen-berne" TargetMode="External"/><Relationship Id="rId5250" Type="http://schemas.openxmlformats.org/officeDocument/2006/relationships/hyperlink" Target="https://www.immoscout24.ch/fr/appartement/acheter/lieu-autigny" TargetMode="External"/><Relationship Id="rId6581" Type="http://schemas.openxmlformats.org/officeDocument/2006/relationships/hyperlink" Target="https://www.immoscout24.ch/fr/maison/louer/lieu-romanens" TargetMode="External"/><Relationship Id="rId10735" Type="http://schemas.openxmlformats.org/officeDocument/2006/relationships/hyperlink" Target="https://www.immoscout24.ch/fr/appartement/acheter/lieu-ronco-sopra-ascona" TargetMode="External"/><Relationship Id="rId5255" Type="http://schemas.openxmlformats.org/officeDocument/2006/relationships/hyperlink" Target="https://www.immoscout24.ch/fr/appartement/acheter/lieu-brugg-ag" TargetMode="External"/><Relationship Id="rId6586" Type="http://schemas.openxmlformats.org/officeDocument/2006/relationships/hyperlink" Target="https://www.immoscout24.ch/fr/appartement/louer/lieu-oberaegeri" TargetMode="External"/><Relationship Id="rId5256" Type="http://schemas.openxmlformats.org/officeDocument/2006/relationships/hyperlink" Target="https://www.immoscout24.ch/fr/appartement/acheter/lieu-brugg-ag" TargetMode="External"/><Relationship Id="rId6587" Type="http://schemas.openxmlformats.org/officeDocument/2006/relationships/hyperlink" Target="https://www.immoscout24.ch/fr/appartement/acheter/lieu-romont-fr" TargetMode="External"/><Relationship Id="rId5253" Type="http://schemas.openxmlformats.org/officeDocument/2006/relationships/hyperlink" Target="https://www.immoscout24.ch/fr/appartement/acheter/lieu-essertines-sur-rolle" TargetMode="External"/><Relationship Id="rId6584" Type="http://schemas.openxmlformats.org/officeDocument/2006/relationships/hyperlink" Target="https://www.immoscout24.ch/fr/appartement/louer/lieu-gingins" TargetMode="External"/><Relationship Id="rId5254" Type="http://schemas.openxmlformats.org/officeDocument/2006/relationships/hyperlink" Target="https://www.immoscout24.ch/fr/appartement/acheter/lieu-essertines-sur-rolle" TargetMode="External"/><Relationship Id="rId6585" Type="http://schemas.openxmlformats.org/officeDocument/2006/relationships/hyperlink" Target="https://www.immoscout24.ch/fr/appartement/louer/lieu-oberaegeri" TargetMode="External"/><Relationship Id="rId5259" Type="http://schemas.openxmlformats.org/officeDocument/2006/relationships/hyperlink" Target="https://www.immoscout24.ch/fr/appartement/acheter/lieu-grossaffoltern" TargetMode="External"/><Relationship Id="rId5257" Type="http://schemas.openxmlformats.org/officeDocument/2006/relationships/hyperlink" Target="https://www.immoscout24.ch/fr/maison/acheter/lieu-vuibroye" TargetMode="External"/><Relationship Id="rId6588" Type="http://schemas.openxmlformats.org/officeDocument/2006/relationships/hyperlink" Target="https://www.immoscout24.ch/fr/appartement/acheter/lieu-romont-fr" TargetMode="External"/><Relationship Id="rId5258" Type="http://schemas.openxmlformats.org/officeDocument/2006/relationships/hyperlink" Target="https://www.immoscout24.ch/fr/maison/acheter/lieu-vuibroye" TargetMode="External"/><Relationship Id="rId6589" Type="http://schemas.openxmlformats.org/officeDocument/2006/relationships/hyperlink" Target="https://www.immoscout24.ch/fr/appartement/louer/lieu-sornetan" TargetMode="External"/><Relationship Id="rId10749" Type="http://schemas.openxmlformats.org/officeDocument/2006/relationships/hyperlink" Target="https://www.immoscout24.ch/fr/appartement/louer/lieu-zell-lu" TargetMode="External"/><Relationship Id="rId10743" Type="http://schemas.openxmlformats.org/officeDocument/2006/relationships/hyperlink" Target="https://www.immoscout24.ch/fr/maison/louer/lieu-alle" TargetMode="External"/><Relationship Id="rId10744" Type="http://schemas.openxmlformats.org/officeDocument/2006/relationships/hyperlink" Target="https://www.immoscout24.ch/fr/maison/louer/lieu-alle" TargetMode="External"/><Relationship Id="rId10741" Type="http://schemas.openxmlformats.org/officeDocument/2006/relationships/hyperlink" Target="https://www.immoscout24.ch/fr/appartement/louer/lieu-cormerod" TargetMode="External"/><Relationship Id="rId10742" Type="http://schemas.openxmlformats.org/officeDocument/2006/relationships/hyperlink" Target="https://www.immoscout24.ch/fr/appartement/louer/lieu-cormerod" TargetMode="External"/><Relationship Id="rId5240" Type="http://schemas.openxmlformats.org/officeDocument/2006/relationships/hyperlink" Target="https://www.immoscout24.ch/fr/appartement/louer/region-schaffouse-et-environs" TargetMode="External"/><Relationship Id="rId6571" Type="http://schemas.openxmlformats.org/officeDocument/2006/relationships/hyperlink" Target="https://www.immoscout24.ch/fr/maison/acheter/lieu-vinzel" TargetMode="External"/><Relationship Id="rId10747" Type="http://schemas.openxmlformats.org/officeDocument/2006/relationships/hyperlink" Target="https://www.immoscout24.ch/fr/appartement/louer/lieu-oberschrot" TargetMode="External"/><Relationship Id="rId5241" Type="http://schemas.openxmlformats.org/officeDocument/2006/relationships/hyperlink" Target="https://www.immoscout24.ch/fr/maison/louer/lieu-faoug" TargetMode="External"/><Relationship Id="rId6572" Type="http://schemas.openxmlformats.org/officeDocument/2006/relationships/hyperlink" Target="https://www.immoscout24.ch/fr/maison/acheter/lieu-vinzel" TargetMode="External"/><Relationship Id="rId10748" Type="http://schemas.openxmlformats.org/officeDocument/2006/relationships/hyperlink" Target="https://www.immoscout24.ch/fr/appartement/louer/lieu-oberschrot" TargetMode="External"/><Relationship Id="rId10745" Type="http://schemas.openxmlformats.org/officeDocument/2006/relationships/hyperlink" Target="https://www.immoscout24.ch/fr/maison/acheter/lieu-duedingen" TargetMode="External"/><Relationship Id="rId6570" Type="http://schemas.openxmlformats.org/officeDocument/2006/relationships/hyperlink" Target="https://www.immoscout24.ch/fr/appartement/louer/lieu-gsteig-b-gstaad" TargetMode="External"/><Relationship Id="rId10746" Type="http://schemas.openxmlformats.org/officeDocument/2006/relationships/hyperlink" Target="https://www.immoscout24.ch/fr/maison/acheter/lieu-duedingen" TargetMode="External"/><Relationship Id="rId5244" Type="http://schemas.openxmlformats.org/officeDocument/2006/relationships/hyperlink" Target="https://www.immoscout24.ch/fr/appartement/louer/lieu-axalp" TargetMode="External"/><Relationship Id="rId6575" Type="http://schemas.openxmlformats.org/officeDocument/2006/relationships/hyperlink" Target="https://www.immoscout24.ch/fr/appartement/louer/lieu-rueyres-st-laurent" TargetMode="External"/><Relationship Id="rId5245" Type="http://schemas.openxmlformats.org/officeDocument/2006/relationships/hyperlink" Target="https://www.immoscout24.ch/fr/appartement/acheter/lieu-puidoux" TargetMode="External"/><Relationship Id="rId6576" Type="http://schemas.openxmlformats.org/officeDocument/2006/relationships/hyperlink" Target="https://www.immoscout24.ch/fr/appartement/louer/lieu-rueyres-st-laurent" TargetMode="External"/><Relationship Id="rId5242" Type="http://schemas.openxmlformats.org/officeDocument/2006/relationships/hyperlink" Target="https://www.immoscout24.ch/fr/maison/louer/lieu-faoug" TargetMode="External"/><Relationship Id="rId6573" Type="http://schemas.openxmlformats.org/officeDocument/2006/relationships/hyperlink" Target="https://www.immoscout24.ch/fr/maison/louer/lieu-uzwil" TargetMode="External"/><Relationship Id="rId5243" Type="http://schemas.openxmlformats.org/officeDocument/2006/relationships/hyperlink" Target="https://www.immoscout24.ch/fr/appartement/louer/lieu-axalp" TargetMode="External"/><Relationship Id="rId6574" Type="http://schemas.openxmlformats.org/officeDocument/2006/relationships/hyperlink" Target="https://www.immoscout24.ch/fr/maison/louer/lieu-uzwil" TargetMode="External"/><Relationship Id="rId5248" Type="http://schemas.openxmlformats.org/officeDocument/2006/relationships/hyperlink" Target="https://www.immoscout24.ch/fr/appartement/louer/lieu-bettingen" TargetMode="External"/><Relationship Id="rId6579" Type="http://schemas.openxmlformats.org/officeDocument/2006/relationships/hyperlink" Target="https://www.immoscout24.ch/fr/appartement/louer/lieu-aesch-bl" TargetMode="External"/><Relationship Id="rId5249" Type="http://schemas.openxmlformats.org/officeDocument/2006/relationships/hyperlink" Target="https://www.immoscout24.ch/fr/appartement/acheter/lieu-autigny" TargetMode="External"/><Relationship Id="rId10740" Type="http://schemas.openxmlformats.org/officeDocument/2006/relationships/hyperlink" Target="https://www.immoscout24.ch/fr/maison/acheter/lieu-leytron" TargetMode="External"/><Relationship Id="rId5246" Type="http://schemas.openxmlformats.org/officeDocument/2006/relationships/hyperlink" Target="https://www.immoscout24.ch/fr/appartement/acheter/lieu-puidoux" TargetMode="External"/><Relationship Id="rId6577" Type="http://schemas.openxmlformats.org/officeDocument/2006/relationships/hyperlink" Target="https://www.immoscout24.ch/fr/appartement/louer/lieu-tecknau" TargetMode="External"/><Relationship Id="rId5247" Type="http://schemas.openxmlformats.org/officeDocument/2006/relationships/hyperlink" Target="https://www.immoscout24.ch/fr/appartement/louer/lieu-bettingen" TargetMode="External"/><Relationship Id="rId6578" Type="http://schemas.openxmlformats.org/officeDocument/2006/relationships/hyperlink" Target="https://www.immoscout24.ch/fr/appartement/louer/lieu-tecknau" TargetMode="External"/><Relationship Id="rId10718" Type="http://schemas.openxmlformats.org/officeDocument/2006/relationships/hyperlink" Target="https://www.immoscout24.ch/fr/appartement/louer/lieu-muenster-vs" TargetMode="External"/><Relationship Id="rId10719" Type="http://schemas.openxmlformats.org/officeDocument/2006/relationships/hyperlink" Target="https://www.immoscout24.ch/fr/appartement/louer/region-principaute-de-liechtenstein" TargetMode="External"/><Relationship Id="rId10716" Type="http://schemas.openxmlformats.org/officeDocument/2006/relationships/hyperlink" Target="https://www.immoscout24.ch/fr/appartement/louer/lieu-chatel-st-denis" TargetMode="External"/><Relationship Id="rId10717" Type="http://schemas.openxmlformats.org/officeDocument/2006/relationships/hyperlink" Target="https://www.immoscout24.ch/fr/appartement/louer/lieu-muenster-vs" TargetMode="External"/><Relationship Id="rId10710" Type="http://schemas.openxmlformats.org/officeDocument/2006/relationships/hyperlink" Target="https://www.immoscout24.ch/fr/maison/acheter/lieu-chavornay" TargetMode="External"/><Relationship Id="rId5270" Type="http://schemas.openxmlformats.org/officeDocument/2006/relationships/hyperlink" Target="https://www.immoscout24.ch/fr/maison/louer/lieu-chailly-montreux" TargetMode="External"/><Relationship Id="rId10711" Type="http://schemas.openxmlformats.org/officeDocument/2006/relationships/hyperlink" Target="https://www.immoscout24.ch/fr/appartement/acheter/lieu-pontresina" TargetMode="External"/><Relationship Id="rId5273" Type="http://schemas.openxmlformats.org/officeDocument/2006/relationships/hyperlink" Target="https://www.immoscout24.ch/fr/maison/louer/lieu-poliez-le-grand" TargetMode="External"/><Relationship Id="rId10714" Type="http://schemas.openxmlformats.org/officeDocument/2006/relationships/hyperlink" Target="https://www.immoscout24.ch/fr/appartement/acheter/lieu-flims-waldhaus" TargetMode="External"/><Relationship Id="rId5274" Type="http://schemas.openxmlformats.org/officeDocument/2006/relationships/hyperlink" Target="https://www.immoscout24.ch/fr/maison/louer/lieu-poliez-le-grand" TargetMode="External"/><Relationship Id="rId10715" Type="http://schemas.openxmlformats.org/officeDocument/2006/relationships/hyperlink" Target="https://www.immoscout24.ch/fr/appartement/louer/lieu-chatel-st-denis" TargetMode="External"/><Relationship Id="rId5271" Type="http://schemas.openxmlformats.org/officeDocument/2006/relationships/hyperlink" Target="https://www.immoscout24.ch/fr/maison/acheter/lieu-boecourt" TargetMode="External"/><Relationship Id="rId10712" Type="http://schemas.openxmlformats.org/officeDocument/2006/relationships/hyperlink" Target="https://www.immoscout24.ch/fr/appartement/acheter/lieu-pontresina" TargetMode="External"/><Relationship Id="rId5272" Type="http://schemas.openxmlformats.org/officeDocument/2006/relationships/hyperlink" Target="https://www.immoscout24.ch/fr/maison/acheter/lieu-boecourt" TargetMode="External"/><Relationship Id="rId10713" Type="http://schemas.openxmlformats.org/officeDocument/2006/relationships/hyperlink" Target="https://www.immoscout24.ch/fr/appartement/acheter/lieu-flims-waldhaus" TargetMode="External"/><Relationship Id="rId5277" Type="http://schemas.openxmlformats.org/officeDocument/2006/relationships/hyperlink" Target="https://www.immoscout24.ch/fr/maison/acheter/lieu-porsel" TargetMode="External"/><Relationship Id="rId5278" Type="http://schemas.openxmlformats.org/officeDocument/2006/relationships/hyperlink" Target="https://www.immoscout24.ch/fr/maison/acheter/lieu-porsel" TargetMode="External"/><Relationship Id="rId5275" Type="http://schemas.openxmlformats.org/officeDocument/2006/relationships/hyperlink" Target="https://www.immoscout24.ch/fr/maison/louer/lieu-apples" TargetMode="External"/><Relationship Id="rId5276" Type="http://schemas.openxmlformats.org/officeDocument/2006/relationships/hyperlink" Target="https://www.immoscout24.ch/fr/maison/louer/lieu-apples" TargetMode="External"/><Relationship Id="rId5279" Type="http://schemas.openxmlformats.org/officeDocument/2006/relationships/hyperlink" Target="https://www.immoscout24.ch/fr/appartement/acheter/lieu-mezieres-vd" TargetMode="External"/><Relationship Id="rId10729" Type="http://schemas.openxmlformats.org/officeDocument/2006/relationships/hyperlink" Target="https://www.immoscout24.ch/fr/appartement/louer/lieu-scuol" TargetMode="External"/><Relationship Id="rId10727" Type="http://schemas.openxmlformats.org/officeDocument/2006/relationships/hyperlink" Target="https://www.immoscout24.ch/fr/maison/acheter/lieu-thielle" TargetMode="External"/><Relationship Id="rId10728" Type="http://schemas.openxmlformats.org/officeDocument/2006/relationships/hyperlink" Target="https://www.immoscout24.ch/fr/maison/acheter/lieu-thielle" TargetMode="External"/><Relationship Id="rId10721" Type="http://schemas.openxmlformats.org/officeDocument/2006/relationships/hyperlink" Target="https://www.immoscout24.ch/fr/maison/acheter/lieu-kreuzlingen" TargetMode="External"/><Relationship Id="rId6590" Type="http://schemas.openxmlformats.org/officeDocument/2006/relationships/hyperlink" Target="https://www.immoscout24.ch/fr/appartement/louer/lieu-sornetan" TargetMode="External"/><Relationship Id="rId10722" Type="http://schemas.openxmlformats.org/officeDocument/2006/relationships/hyperlink" Target="https://www.immoscout24.ch/fr/maison/acheter/lieu-kreuzlingen" TargetMode="External"/><Relationship Id="rId10720" Type="http://schemas.openxmlformats.org/officeDocument/2006/relationships/hyperlink" Target="https://www.immoscout24.ch/fr/appartement/louer/region-principaute-de-liechtenstein" TargetMode="External"/><Relationship Id="rId5262" Type="http://schemas.openxmlformats.org/officeDocument/2006/relationships/hyperlink" Target="https://www.immoscout24.ch/fr/maison/acheter/lieu-fulenbach" TargetMode="External"/><Relationship Id="rId6593" Type="http://schemas.openxmlformats.org/officeDocument/2006/relationships/hyperlink" Target="https://www.immoscout24.ch/fr/appartement/louer/lieu-rubigen" TargetMode="External"/><Relationship Id="rId10725" Type="http://schemas.openxmlformats.org/officeDocument/2006/relationships/hyperlink" Target="https://www.immoscout24.ch/fr/maison/acheter/lieu-oberried-fr" TargetMode="External"/><Relationship Id="rId5263" Type="http://schemas.openxmlformats.org/officeDocument/2006/relationships/hyperlink" Target="https://www.immoscout24.ch/fr/appartement/louer/lieu-martigny-croix" TargetMode="External"/><Relationship Id="rId6594" Type="http://schemas.openxmlformats.org/officeDocument/2006/relationships/hyperlink" Target="https://www.immoscout24.ch/fr/appartement/louer/lieu-rubigen" TargetMode="External"/><Relationship Id="rId10726" Type="http://schemas.openxmlformats.org/officeDocument/2006/relationships/hyperlink" Target="https://www.immoscout24.ch/fr/maison/acheter/lieu-oberried-fr" TargetMode="External"/><Relationship Id="rId5260" Type="http://schemas.openxmlformats.org/officeDocument/2006/relationships/hyperlink" Target="https://www.immoscout24.ch/fr/appartement/acheter/lieu-grossaffoltern" TargetMode="External"/><Relationship Id="rId6591" Type="http://schemas.openxmlformats.org/officeDocument/2006/relationships/hyperlink" Target="https://www.immoscout24.ch/fr/maison/acheter/lieu-huemoz" TargetMode="External"/><Relationship Id="rId10723" Type="http://schemas.openxmlformats.org/officeDocument/2006/relationships/hyperlink" Target="https://www.immoscout24.ch/fr/appartement/louer/lieu-lengnau-ag" TargetMode="External"/><Relationship Id="rId5261" Type="http://schemas.openxmlformats.org/officeDocument/2006/relationships/hyperlink" Target="https://www.immoscout24.ch/fr/maison/acheter/lieu-fulenbach" TargetMode="External"/><Relationship Id="rId6592" Type="http://schemas.openxmlformats.org/officeDocument/2006/relationships/hyperlink" Target="https://www.immoscout24.ch/fr/maison/acheter/lieu-huemoz" TargetMode="External"/><Relationship Id="rId10724" Type="http://schemas.openxmlformats.org/officeDocument/2006/relationships/hyperlink" Target="https://www.immoscout24.ch/fr/appartement/louer/lieu-lengnau-ag" TargetMode="External"/><Relationship Id="rId5266" Type="http://schemas.openxmlformats.org/officeDocument/2006/relationships/hyperlink" Target="https://www.immoscout24.ch/fr/appartement/acheter/lieu-barbengo" TargetMode="External"/><Relationship Id="rId6597" Type="http://schemas.openxmlformats.org/officeDocument/2006/relationships/hyperlink" Target="https://www.immoscout24.ch/fr/appartement/acheter/quartier-centre-neuchatel" TargetMode="External"/><Relationship Id="rId5267" Type="http://schemas.openxmlformats.org/officeDocument/2006/relationships/hyperlink" Target="https://www.immoscout24.ch/fr/appartement/louer/lieu-oetwil-am-see" TargetMode="External"/><Relationship Id="rId6598" Type="http://schemas.openxmlformats.org/officeDocument/2006/relationships/hyperlink" Target="https://www.immoscout24.ch/fr/appartement/acheter/quartier-centre-neuchatel" TargetMode="External"/><Relationship Id="rId5264" Type="http://schemas.openxmlformats.org/officeDocument/2006/relationships/hyperlink" Target="https://www.immoscout24.ch/fr/appartement/louer/lieu-martigny-croix" TargetMode="External"/><Relationship Id="rId6595" Type="http://schemas.openxmlformats.org/officeDocument/2006/relationships/hyperlink" Target="https://www.immoscout24.ch/fr/maison/louer/region-lavaux-vevey" TargetMode="External"/><Relationship Id="rId5265" Type="http://schemas.openxmlformats.org/officeDocument/2006/relationships/hyperlink" Target="https://www.immoscout24.ch/fr/appartement/acheter/lieu-barbengo" TargetMode="External"/><Relationship Id="rId6596" Type="http://schemas.openxmlformats.org/officeDocument/2006/relationships/hyperlink" Target="https://www.immoscout24.ch/fr/maison/louer/region-lavaux-vevey" TargetMode="External"/><Relationship Id="rId5268" Type="http://schemas.openxmlformats.org/officeDocument/2006/relationships/hyperlink" Target="https://www.immoscout24.ch/fr/appartement/louer/lieu-oetwil-am-see" TargetMode="External"/><Relationship Id="rId6599" Type="http://schemas.openxmlformats.org/officeDocument/2006/relationships/hyperlink" Target="https://www.immoscout24.ch/fr/appartement/louer/lieu-emmetten" TargetMode="External"/><Relationship Id="rId5269" Type="http://schemas.openxmlformats.org/officeDocument/2006/relationships/hyperlink" Target="https://www.immoscout24.ch/fr/maison/louer/lieu-chailly-montreux" TargetMode="External"/><Relationship Id="rId5219" Type="http://schemas.openxmlformats.org/officeDocument/2006/relationships/hyperlink" Target="https://www.immoscout24.ch/fr/maison/acheter/lieu-saxonne-ayent" TargetMode="External"/><Relationship Id="rId5217" Type="http://schemas.openxmlformats.org/officeDocument/2006/relationships/hyperlink" Target="https://www.immoscout24.ch/fr/maison/acheter/lieu-grone" TargetMode="External"/><Relationship Id="rId6548" Type="http://schemas.openxmlformats.org/officeDocument/2006/relationships/hyperlink" Target="https://www.immoscout24.ch/fr/maison/louer/region-vallemaggia" TargetMode="External"/><Relationship Id="rId5218" Type="http://schemas.openxmlformats.org/officeDocument/2006/relationships/hyperlink" Target="https://www.immoscout24.ch/fr/maison/acheter/lieu-grone" TargetMode="External"/><Relationship Id="rId6549" Type="http://schemas.openxmlformats.org/officeDocument/2006/relationships/hyperlink" Target="https://www.immoscout24.ch/fr/maison/louer/lieu-puidoux" TargetMode="External"/><Relationship Id="rId7879" Type="http://schemas.openxmlformats.org/officeDocument/2006/relationships/hyperlink" Target="https://www.immoscout24.ch/fr/maison/acheter/lieu-allschwil" TargetMode="External"/><Relationship Id="rId392" Type="http://schemas.openxmlformats.org/officeDocument/2006/relationships/hyperlink" Target="https://www.immoscout24.ch/fr/appartement/louer/quartier-gandria-lugano" TargetMode="External"/><Relationship Id="rId391" Type="http://schemas.openxmlformats.org/officeDocument/2006/relationships/hyperlink" Target="https://www.immoscout24.ch/fr/appartement/louer/quartier-gandria-lugano" TargetMode="External"/><Relationship Id="rId390" Type="http://schemas.openxmlformats.org/officeDocument/2006/relationships/hyperlink" Target="https://www.immoscout24.ch/fr/maison/acheter/pays-croatie" TargetMode="External"/><Relationship Id="rId10776" Type="http://schemas.openxmlformats.org/officeDocument/2006/relationships/hyperlink" Target="https://www.immoscout24.ch/fr/maison/louer/lieu-saxon" TargetMode="External"/><Relationship Id="rId10777" Type="http://schemas.openxmlformats.org/officeDocument/2006/relationships/hyperlink" Target="https://www.immoscout24.ch/fr/maison/acheter/lieu-villars-mendraz" TargetMode="External"/><Relationship Id="rId10774" Type="http://schemas.openxmlformats.org/officeDocument/2006/relationships/hyperlink" Target="https://www.immoscout24.ch/fr/appartement/acheter/lieu-dagmersellen" TargetMode="External"/><Relationship Id="rId10775" Type="http://schemas.openxmlformats.org/officeDocument/2006/relationships/hyperlink" Target="https://www.immoscout24.ch/fr/maison/louer/lieu-saxon" TargetMode="External"/><Relationship Id="rId7870" Type="http://schemas.openxmlformats.org/officeDocument/2006/relationships/hyperlink" Target="https://www.immoscout24.ch/fr/maison/acheter/lieu-schoenenbuch" TargetMode="External"/><Relationship Id="rId10778" Type="http://schemas.openxmlformats.org/officeDocument/2006/relationships/hyperlink" Target="https://www.immoscout24.ch/fr/maison/acheter/lieu-villars-mendraz" TargetMode="External"/><Relationship Id="rId10779" Type="http://schemas.openxmlformats.org/officeDocument/2006/relationships/hyperlink" Target="https://www.immoscout24.ch/fr/maison/louer/quartier-la-coudre-neuchatel" TargetMode="External"/><Relationship Id="rId385" Type="http://schemas.openxmlformats.org/officeDocument/2006/relationships/hyperlink" Target="https://www.immoscout24.ch/fr/maison/louer/lieu-bossonnens" TargetMode="External"/><Relationship Id="rId5211" Type="http://schemas.openxmlformats.org/officeDocument/2006/relationships/hyperlink" Target="https://www.immoscout24.ch/fr/appartement/acheter/region-geneve-ville" TargetMode="External"/><Relationship Id="rId6542" Type="http://schemas.openxmlformats.org/officeDocument/2006/relationships/hyperlink" Target="https://www.immoscout24.ch/fr/maison/louer/lieu-muenchenstein" TargetMode="External"/><Relationship Id="rId7874" Type="http://schemas.openxmlformats.org/officeDocument/2006/relationships/hyperlink" Target="https://www.immoscout24.ch/fr/maison/acheter/lieu-st-aubin-fr" TargetMode="External"/><Relationship Id="rId384" Type="http://schemas.openxmlformats.org/officeDocument/2006/relationships/hyperlink" Target="https://www.immoscout24.ch/fr/maison/acheter/lieu-fuellinsdorf" TargetMode="External"/><Relationship Id="rId5212" Type="http://schemas.openxmlformats.org/officeDocument/2006/relationships/hyperlink" Target="https://www.immoscout24.ch/fr/appartement/acheter/region-geneve-ville" TargetMode="External"/><Relationship Id="rId6543" Type="http://schemas.openxmlformats.org/officeDocument/2006/relationships/hyperlink" Target="https://www.immoscout24.ch/fr/appartement/louer/lieu-magnedens" TargetMode="External"/><Relationship Id="rId7873" Type="http://schemas.openxmlformats.org/officeDocument/2006/relationships/hyperlink" Target="https://www.immoscout24.ch/fr/maison/acheter/lieu-st-aubin-fr" TargetMode="External"/><Relationship Id="rId383" Type="http://schemas.openxmlformats.org/officeDocument/2006/relationships/hyperlink" Target="https://www.immoscout24.ch/fr/maison/acheter/lieu-fuellinsdorf" TargetMode="External"/><Relationship Id="rId6540" Type="http://schemas.openxmlformats.org/officeDocument/2006/relationships/hyperlink" Target="https://www.immoscout24.ch/fr/appartement/louer/lieu-biel-bienne" TargetMode="External"/><Relationship Id="rId7872" Type="http://schemas.openxmlformats.org/officeDocument/2006/relationships/hyperlink" Target="https://www.immoscout24.ch/fr/maison/acheter/lieu-agra" TargetMode="External"/><Relationship Id="rId382" Type="http://schemas.openxmlformats.org/officeDocument/2006/relationships/hyperlink" Target="https://www.immoscout24.ch/fr/appartement/acheter/lieu-baden" TargetMode="External"/><Relationship Id="rId5210" Type="http://schemas.openxmlformats.org/officeDocument/2006/relationships/hyperlink" Target="https://www.immoscout24.ch/fr/appartement/louer/lieu-seftigen" TargetMode="External"/><Relationship Id="rId6541" Type="http://schemas.openxmlformats.org/officeDocument/2006/relationships/hyperlink" Target="https://www.immoscout24.ch/fr/maison/louer/lieu-muenchenstein" TargetMode="External"/><Relationship Id="rId7871" Type="http://schemas.openxmlformats.org/officeDocument/2006/relationships/hyperlink" Target="https://www.immoscout24.ch/fr/maison/acheter/lieu-agra" TargetMode="External"/><Relationship Id="rId389" Type="http://schemas.openxmlformats.org/officeDocument/2006/relationships/hyperlink" Target="https://www.immoscout24.ch/fr/maison/acheter/pays-croatie" TargetMode="External"/><Relationship Id="rId5215" Type="http://schemas.openxmlformats.org/officeDocument/2006/relationships/hyperlink" Target="https://www.immoscout24.ch/fr/maison/acheter/lieu-tatroz" TargetMode="External"/><Relationship Id="rId6546" Type="http://schemas.openxmlformats.org/officeDocument/2006/relationships/hyperlink" Target="https://www.immoscout24.ch/fr/maison/acheter/lieu-estavannens" TargetMode="External"/><Relationship Id="rId7878" Type="http://schemas.openxmlformats.org/officeDocument/2006/relationships/hyperlink" Target="https://www.immoscout24.ch/fr/maison/louer/lieu-delemont" TargetMode="External"/><Relationship Id="rId10772" Type="http://schemas.openxmlformats.org/officeDocument/2006/relationships/hyperlink" Target="https://www.immoscout24.ch/fr/maison/louer/lieu-arbaz" TargetMode="External"/><Relationship Id="rId388" Type="http://schemas.openxmlformats.org/officeDocument/2006/relationships/hyperlink" Target="https://www.immoscout24.ch/fr/appartement/louer/region-bischofszell-weinfelden" TargetMode="External"/><Relationship Id="rId5216" Type="http://schemas.openxmlformats.org/officeDocument/2006/relationships/hyperlink" Target="https://www.immoscout24.ch/fr/maison/acheter/lieu-tatroz" TargetMode="External"/><Relationship Id="rId6547" Type="http://schemas.openxmlformats.org/officeDocument/2006/relationships/hyperlink" Target="https://www.immoscout24.ch/fr/maison/louer/region-vallemaggia" TargetMode="External"/><Relationship Id="rId7877" Type="http://schemas.openxmlformats.org/officeDocument/2006/relationships/hyperlink" Target="https://www.immoscout24.ch/fr/maison/louer/lieu-delemont" TargetMode="External"/><Relationship Id="rId10773" Type="http://schemas.openxmlformats.org/officeDocument/2006/relationships/hyperlink" Target="https://www.immoscout24.ch/fr/appartement/acheter/lieu-dagmersellen" TargetMode="External"/><Relationship Id="rId387" Type="http://schemas.openxmlformats.org/officeDocument/2006/relationships/hyperlink" Target="https://www.immoscout24.ch/fr/appartement/louer/region-bischofszell-weinfelden" TargetMode="External"/><Relationship Id="rId5213" Type="http://schemas.openxmlformats.org/officeDocument/2006/relationships/hyperlink" Target="https://www.immoscout24.ch/fr/maison/acheter/lieu-wallenbuch" TargetMode="External"/><Relationship Id="rId6544" Type="http://schemas.openxmlformats.org/officeDocument/2006/relationships/hyperlink" Target="https://www.immoscout24.ch/fr/appartement/louer/lieu-magnedens" TargetMode="External"/><Relationship Id="rId7876" Type="http://schemas.openxmlformats.org/officeDocument/2006/relationships/hyperlink" Target="https://www.immoscout24.ch/fr/maison/louer/lieu-muenchenbuchsee" TargetMode="External"/><Relationship Id="rId10770" Type="http://schemas.openxmlformats.org/officeDocument/2006/relationships/hyperlink" Target="https://www.immoscout24.ch/fr/maison/acheter/canton-argovie" TargetMode="External"/><Relationship Id="rId386" Type="http://schemas.openxmlformats.org/officeDocument/2006/relationships/hyperlink" Target="https://www.immoscout24.ch/fr/maison/louer/lieu-bossonnens" TargetMode="External"/><Relationship Id="rId5214" Type="http://schemas.openxmlformats.org/officeDocument/2006/relationships/hyperlink" Target="https://www.immoscout24.ch/fr/maison/acheter/lieu-wallenbuch" TargetMode="External"/><Relationship Id="rId6545" Type="http://schemas.openxmlformats.org/officeDocument/2006/relationships/hyperlink" Target="https://www.immoscout24.ch/fr/maison/acheter/lieu-estavannens" TargetMode="External"/><Relationship Id="rId7875" Type="http://schemas.openxmlformats.org/officeDocument/2006/relationships/hyperlink" Target="https://www.immoscout24.ch/fr/maison/louer/lieu-muenchenbuchsee" TargetMode="External"/><Relationship Id="rId10771" Type="http://schemas.openxmlformats.org/officeDocument/2006/relationships/hyperlink" Target="https://www.immoscout24.ch/fr/maison/louer/lieu-arbaz" TargetMode="External"/><Relationship Id="rId5208" Type="http://schemas.openxmlformats.org/officeDocument/2006/relationships/hyperlink" Target="https://www.immoscout24.ch/fr/appartement/louer/lieu-albeuve" TargetMode="External"/><Relationship Id="rId6539" Type="http://schemas.openxmlformats.org/officeDocument/2006/relationships/hyperlink" Target="https://www.immoscout24.ch/fr/appartement/louer/lieu-biel-bienne" TargetMode="External"/><Relationship Id="rId5209" Type="http://schemas.openxmlformats.org/officeDocument/2006/relationships/hyperlink" Target="https://www.immoscout24.ch/fr/appartement/louer/lieu-seftigen" TargetMode="External"/><Relationship Id="rId5206" Type="http://schemas.openxmlformats.org/officeDocument/2006/relationships/hyperlink" Target="https://www.immoscout24.ch/fr/maison/acheter/lieu-les-verrieres" TargetMode="External"/><Relationship Id="rId6537" Type="http://schemas.openxmlformats.org/officeDocument/2006/relationships/hyperlink" Target="https://www.immoscout24.ch/fr/appartement/acheter/lieu-ruvigliana" TargetMode="External"/><Relationship Id="rId7869" Type="http://schemas.openxmlformats.org/officeDocument/2006/relationships/hyperlink" Target="https://www.immoscout24.ch/fr/maison/acheter/lieu-schoenenbuch" TargetMode="External"/><Relationship Id="rId5207" Type="http://schemas.openxmlformats.org/officeDocument/2006/relationships/hyperlink" Target="https://www.immoscout24.ch/fr/appartement/louer/lieu-albeuve" TargetMode="External"/><Relationship Id="rId6538" Type="http://schemas.openxmlformats.org/officeDocument/2006/relationships/hyperlink" Target="https://www.immoscout24.ch/fr/appartement/acheter/lieu-ruvigliana" TargetMode="External"/><Relationship Id="rId7868" Type="http://schemas.openxmlformats.org/officeDocument/2006/relationships/hyperlink" Target="https://www.immoscout24.ch/fr/appartement/acheter/lieu-oberrohrdorf" TargetMode="External"/><Relationship Id="rId381" Type="http://schemas.openxmlformats.org/officeDocument/2006/relationships/hyperlink" Target="https://www.immoscout24.ch/fr/appartement/acheter/lieu-baden" TargetMode="External"/><Relationship Id="rId380" Type="http://schemas.openxmlformats.org/officeDocument/2006/relationships/hyperlink" Target="https://www.immoscout24.ch/fr/maison/louer/lieu-fiaugeres" TargetMode="External"/><Relationship Id="rId10787" Type="http://schemas.openxmlformats.org/officeDocument/2006/relationships/hyperlink" Target="https://www.immoscout24.ch/fr/maison/acheter/lieu-gandria" TargetMode="External"/><Relationship Id="rId10788" Type="http://schemas.openxmlformats.org/officeDocument/2006/relationships/hyperlink" Target="https://www.immoscout24.ch/fr/maison/acheter/lieu-gandria" TargetMode="External"/><Relationship Id="rId10785" Type="http://schemas.openxmlformats.org/officeDocument/2006/relationships/hyperlink" Target="https://www.immoscout24.ch/fr/appartement/louer/lieu-aclens" TargetMode="External"/><Relationship Id="rId379" Type="http://schemas.openxmlformats.org/officeDocument/2006/relationships/hyperlink" Target="https://www.immoscout24.ch/fr/maison/louer/lieu-fiaugeres" TargetMode="External"/><Relationship Id="rId10786" Type="http://schemas.openxmlformats.org/officeDocument/2006/relationships/hyperlink" Target="https://www.immoscout24.ch/fr/appartement/louer/lieu-aclens" TargetMode="External"/><Relationship Id="rId10789" Type="http://schemas.openxmlformats.org/officeDocument/2006/relationships/hyperlink" Target="https://www.immoscout24.ch/fr/appartement/acheter/lieu-condemines-nendaz" TargetMode="External"/><Relationship Id="rId374" Type="http://schemas.openxmlformats.org/officeDocument/2006/relationships/hyperlink" Target="https://www.immoscout24.ch/fr/maison/acheter/lieu-chiasso" TargetMode="External"/><Relationship Id="rId5200" Type="http://schemas.openxmlformats.org/officeDocument/2006/relationships/hyperlink" Target="https://www.immoscout24.ch/fr/maison/louer/lieu-collonge-bellerive" TargetMode="External"/><Relationship Id="rId6531" Type="http://schemas.openxmlformats.org/officeDocument/2006/relationships/hyperlink" Target="https://www.immoscout24.ch/fr/maison/acheter/lieu-ins" TargetMode="External"/><Relationship Id="rId7863" Type="http://schemas.openxmlformats.org/officeDocument/2006/relationships/hyperlink" Target="https://www.immoscout24.ch/fr/appartement/louer/lieu-niederlenz" TargetMode="External"/><Relationship Id="rId373" Type="http://schemas.openxmlformats.org/officeDocument/2006/relationships/hyperlink" Target="https://www.immoscout24.ch/fr/maison/acheter/lieu-chiasso" TargetMode="External"/><Relationship Id="rId5201" Type="http://schemas.openxmlformats.org/officeDocument/2006/relationships/hyperlink" Target="https://www.immoscout24.ch/fr/appartement/louer/quartier-niederscherli-koeniz" TargetMode="External"/><Relationship Id="rId6532" Type="http://schemas.openxmlformats.org/officeDocument/2006/relationships/hyperlink" Target="https://www.immoscout24.ch/fr/maison/acheter/lieu-ins" TargetMode="External"/><Relationship Id="rId7862" Type="http://schemas.openxmlformats.org/officeDocument/2006/relationships/hyperlink" Target="https://www.immoscout24.ch/fr/appartement/louer/lieu-rueti-zh" TargetMode="External"/><Relationship Id="rId10780" Type="http://schemas.openxmlformats.org/officeDocument/2006/relationships/hyperlink" Target="https://www.immoscout24.ch/fr/maison/louer/quartier-la-coudre-neuchatel" TargetMode="External"/><Relationship Id="rId372" Type="http://schemas.openxmlformats.org/officeDocument/2006/relationships/hyperlink" Target="https://www.immoscout24.ch/fr/maison/acheter/lieu-yvorne" TargetMode="External"/><Relationship Id="rId7861" Type="http://schemas.openxmlformats.org/officeDocument/2006/relationships/hyperlink" Target="https://www.immoscout24.ch/fr/appartement/louer/lieu-rueti-zh" TargetMode="External"/><Relationship Id="rId371" Type="http://schemas.openxmlformats.org/officeDocument/2006/relationships/hyperlink" Target="https://www.immoscout24.ch/fr/maison/acheter/lieu-yvorne" TargetMode="External"/><Relationship Id="rId6530" Type="http://schemas.openxmlformats.org/officeDocument/2006/relationships/hyperlink" Target="https://www.immoscout24.ch/fr/appartement/louer/lieu-origlio" TargetMode="External"/><Relationship Id="rId7860" Type="http://schemas.openxmlformats.org/officeDocument/2006/relationships/hyperlink" Target="https://www.immoscout24.ch/fr/appartement/acheter/quartier-sous-gare-ouchy-lausanne" TargetMode="External"/><Relationship Id="rId378" Type="http://schemas.openxmlformats.org/officeDocument/2006/relationships/hyperlink" Target="https://www.immoscout24.ch/fr/appartement/louer/lieu-riddes" TargetMode="External"/><Relationship Id="rId5204" Type="http://schemas.openxmlformats.org/officeDocument/2006/relationships/hyperlink" Target="https://www.immoscout24.ch/fr/appartement/louer/lieu-weisslingen" TargetMode="External"/><Relationship Id="rId6535" Type="http://schemas.openxmlformats.org/officeDocument/2006/relationships/hyperlink" Target="https://www.immoscout24.ch/fr/maison/louer/lieu-matran" TargetMode="External"/><Relationship Id="rId7867" Type="http://schemas.openxmlformats.org/officeDocument/2006/relationships/hyperlink" Target="https://www.immoscout24.ch/fr/appartement/acheter/lieu-oberrohrdorf" TargetMode="External"/><Relationship Id="rId10783" Type="http://schemas.openxmlformats.org/officeDocument/2006/relationships/hyperlink" Target="https://www.immoscout24.ch/fr/appartement/louer/lieu-galmiz" TargetMode="External"/><Relationship Id="rId377" Type="http://schemas.openxmlformats.org/officeDocument/2006/relationships/hyperlink" Target="https://www.immoscout24.ch/fr/appartement/louer/lieu-riddes" TargetMode="External"/><Relationship Id="rId5205" Type="http://schemas.openxmlformats.org/officeDocument/2006/relationships/hyperlink" Target="https://www.immoscout24.ch/fr/maison/acheter/lieu-les-verrieres" TargetMode="External"/><Relationship Id="rId6536" Type="http://schemas.openxmlformats.org/officeDocument/2006/relationships/hyperlink" Target="https://www.immoscout24.ch/fr/maison/louer/lieu-matran" TargetMode="External"/><Relationship Id="rId7866" Type="http://schemas.openxmlformats.org/officeDocument/2006/relationships/hyperlink" Target="https://www.immoscout24.ch/fr/maison/acheter/lieu-bassins" TargetMode="External"/><Relationship Id="rId10784" Type="http://schemas.openxmlformats.org/officeDocument/2006/relationships/hyperlink" Target="https://www.immoscout24.ch/fr/appartement/louer/lieu-galmiz" TargetMode="External"/><Relationship Id="rId376" Type="http://schemas.openxmlformats.org/officeDocument/2006/relationships/hyperlink" Target="https://www.immoscout24.ch/fr/appartement/acheter/lieu-gy" TargetMode="External"/><Relationship Id="rId5202" Type="http://schemas.openxmlformats.org/officeDocument/2006/relationships/hyperlink" Target="https://www.immoscout24.ch/fr/appartement/louer/quartier-niederscherli-koeniz" TargetMode="External"/><Relationship Id="rId6533" Type="http://schemas.openxmlformats.org/officeDocument/2006/relationships/hyperlink" Target="https://www.immoscout24.ch/fr/maison/acheter/quartier-nouvelle-ville-nord-biel-bienne" TargetMode="External"/><Relationship Id="rId7865" Type="http://schemas.openxmlformats.org/officeDocument/2006/relationships/hyperlink" Target="https://www.immoscout24.ch/fr/maison/acheter/lieu-bassins" TargetMode="External"/><Relationship Id="rId10781" Type="http://schemas.openxmlformats.org/officeDocument/2006/relationships/hyperlink" Target="https://www.immoscout24.ch/fr/maison/louer/lieu-caux" TargetMode="External"/><Relationship Id="rId375" Type="http://schemas.openxmlformats.org/officeDocument/2006/relationships/hyperlink" Target="https://www.immoscout24.ch/fr/appartement/acheter/lieu-gy" TargetMode="External"/><Relationship Id="rId5203" Type="http://schemas.openxmlformats.org/officeDocument/2006/relationships/hyperlink" Target="https://www.immoscout24.ch/fr/appartement/louer/lieu-weisslingen" TargetMode="External"/><Relationship Id="rId6534" Type="http://schemas.openxmlformats.org/officeDocument/2006/relationships/hyperlink" Target="https://www.immoscout24.ch/fr/maison/acheter/quartier-nouvelle-ville-nord-biel-bienne" TargetMode="External"/><Relationship Id="rId7864" Type="http://schemas.openxmlformats.org/officeDocument/2006/relationships/hyperlink" Target="https://www.immoscout24.ch/fr/appartement/louer/lieu-niederlenz" TargetMode="External"/><Relationship Id="rId10782" Type="http://schemas.openxmlformats.org/officeDocument/2006/relationships/hyperlink" Target="https://www.immoscout24.ch/fr/maison/louer/lieu-caux" TargetMode="External"/><Relationship Id="rId5239" Type="http://schemas.openxmlformats.org/officeDocument/2006/relationships/hyperlink" Target="https://www.immoscout24.ch/fr/appartement/louer/region-schaffouse-et-environs" TargetMode="External"/><Relationship Id="rId10754" Type="http://schemas.openxmlformats.org/officeDocument/2006/relationships/hyperlink" Target="https://www.immoscout24.ch/fr/appartement/acheter/lieu-morlon" TargetMode="External"/><Relationship Id="rId10755" Type="http://schemas.openxmlformats.org/officeDocument/2006/relationships/hyperlink" Target="https://www.immoscout24.ch/fr/appartement/louer/lieu-perrefitte" TargetMode="External"/><Relationship Id="rId10752" Type="http://schemas.openxmlformats.org/officeDocument/2006/relationships/hyperlink" Target="https://www.immoscout24.ch/fr/maison/acheter/lieu-gstaad" TargetMode="External"/><Relationship Id="rId10753" Type="http://schemas.openxmlformats.org/officeDocument/2006/relationships/hyperlink" Target="https://www.immoscout24.ch/fr/appartement/acheter/lieu-morlon" TargetMode="External"/><Relationship Id="rId6560" Type="http://schemas.openxmlformats.org/officeDocument/2006/relationships/hyperlink" Target="https://www.immoscout24.ch/fr/maison/louer/lieu-arosa" TargetMode="External"/><Relationship Id="rId7892" Type="http://schemas.openxmlformats.org/officeDocument/2006/relationships/hyperlink" Target="https://www.immoscout24.ch/fr/maison/acheter/lieu-bilten" TargetMode="External"/><Relationship Id="rId10758" Type="http://schemas.openxmlformats.org/officeDocument/2006/relationships/hyperlink" Target="https://www.immoscout24.ch/fr/appartement/louer/lieu-willerzell" TargetMode="External"/><Relationship Id="rId5230" Type="http://schemas.openxmlformats.org/officeDocument/2006/relationships/hyperlink" Target="https://www.immoscout24.ch/fr/maison/acheter/lieu-reichenbach-im-kandertal" TargetMode="External"/><Relationship Id="rId6561" Type="http://schemas.openxmlformats.org/officeDocument/2006/relationships/hyperlink" Target="https://www.immoscout24.ch/fr/appartement/louer/lieu-menziken" TargetMode="External"/><Relationship Id="rId7891" Type="http://schemas.openxmlformats.org/officeDocument/2006/relationships/hyperlink" Target="https://www.immoscout24.ch/fr/maison/acheter/lieu-bilten" TargetMode="External"/><Relationship Id="rId10759" Type="http://schemas.openxmlformats.org/officeDocument/2006/relationships/hyperlink" Target="https://www.immoscout24.ch/fr/maison/acheter/lieu-le-mouret" TargetMode="External"/><Relationship Id="rId7890" Type="http://schemas.openxmlformats.org/officeDocument/2006/relationships/hyperlink" Target="https://www.immoscout24.ch/fr/appartement/acheter/lieu-bioggio" TargetMode="External"/><Relationship Id="rId10756" Type="http://schemas.openxmlformats.org/officeDocument/2006/relationships/hyperlink" Target="https://www.immoscout24.ch/fr/appartement/louer/lieu-perrefitte" TargetMode="External"/><Relationship Id="rId10757" Type="http://schemas.openxmlformats.org/officeDocument/2006/relationships/hyperlink" Target="https://www.immoscout24.ch/fr/appartement/louer/lieu-willerzell" TargetMode="External"/><Relationship Id="rId5233" Type="http://schemas.openxmlformats.org/officeDocument/2006/relationships/hyperlink" Target="https://www.immoscout24.ch/fr/maison/acheter/lieu-st-cierges" TargetMode="External"/><Relationship Id="rId6564" Type="http://schemas.openxmlformats.org/officeDocument/2006/relationships/hyperlink" Target="https://www.immoscout24.ch/fr/appartement/acheter/region-schaffouse-et-environs" TargetMode="External"/><Relationship Id="rId7896" Type="http://schemas.openxmlformats.org/officeDocument/2006/relationships/hyperlink" Target="https://www.immoscout24.ch/fr/appartement/acheter/lieu-morges" TargetMode="External"/><Relationship Id="rId5234" Type="http://schemas.openxmlformats.org/officeDocument/2006/relationships/hyperlink" Target="https://www.immoscout24.ch/fr/maison/acheter/lieu-st-cierges" TargetMode="External"/><Relationship Id="rId6565" Type="http://schemas.openxmlformats.org/officeDocument/2006/relationships/hyperlink" Target="https://www.immoscout24.ch/fr/appartement/louer/lieu-muttenz" TargetMode="External"/><Relationship Id="rId7895" Type="http://schemas.openxmlformats.org/officeDocument/2006/relationships/hyperlink" Target="https://www.immoscout24.ch/fr/appartement/acheter/lieu-morges" TargetMode="External"/><Relationship Id="rId5231" Type="http://schemas.openxmlformats.org/officeDocument/2006/relationships/hyperlink" Target="https://www.immoscout24.ch/fr/maison/acheter/lieu-montcherand" TargetMode="External"/><Relationship Id="rId6562" Type="http://schemas.openxmlformats.org/officeDocument/2006/relationships/hyperlink" Target="https://www.immoscout24.ch/fr/appartement/louer/lieu-menziken" TargetMode="External"/><Relationship Id="rId7894" Type="http://schemas.openxmlformats.org/officeDocument/2006/relationships/hyperlink" Target="https://www.immoscout24.ch/fr/maison/acheter/lieu-mezieres-fr" TargetMode="External"/><Relationship Id="rId5232" Type="http://schemas.openxmlformats.org/officeDocument/2006/relationships/hyperlink" Target="https://www.immoscout24.ch/fr/maison/acheter/lieu-montcherand" TargetMode="External"/><Relationship Id="rId6563" Type="http://schemas.openxmlformats.org/officeDocument/2006/relationships/hyperlink" Target="https://www.immoscout24.ch/fr/appartement/acheter/region-schaffouse-et-environs" TargetMode="External"/><Relationship Id="rId7893" Type="http://schemas.openxmlformats.org/officeDocument/2006/relationships/hyperlink" Target="https://www.immoscout24.ch/fr/maison/acheter/lieu-mezieres-fr" TargetMode="External"/><Relationship Id="rId5237" Type="http://schemas.openxmlformats.org/officeDocument/2006/relationships/hyperlink" Target="https://www.immoscout24.ch/fr/appartement/louer/lieu-salmsach" TargetMode="External"/><Relationship Id="rId6568" Type="http://schemas.openxmlformats.org/officeDocument/2006/relationships/hyperlink" Target="https://www.immoscout24.ch/fr/maison/acheter/lieu-walenstadtberg" TargetMode="External"/><Relationship Id="rId10750" Type="http://schemas.openxmlformats.org/officeDocument/2006/relationships/hyperlink" Target="https://www.immoscout24.ch/fr/appartement/louer/lieu-zell-lu" TargetMode="External"/><Relationship Id="rId5238" Type="http://schemas.openxmlformats.org/officeDocument/2006/relationships/hyperlink" Target="https://www.immoscout24.ch/fr/appartement/louer/lieu-salmsach" TargetMode="External"/><Relationship Id="rId6569" Type="http://schemas.openxmlformats.org/officeDocument/2006/relationships/hyperlink" Target="https://www.immoscout24.ch/fr/appartement/louer/lieu-gsteig-b-gstaad" TargetMode="External"/><Relationship Id="rId7899" Type="http://schemas.openxmlformats.org/officeDocument/2006/relationships/hyperlink" Target="https://www.immoscout24.ch/fr/appartement/louer/lieu-bueren-an-der-aare" TargetMode="External"/><Relationship Id="rId10751" Type="http://schemas.openxmlformats.org/officeDocument/2006/relationships/hyperlink" Target="https://www.immoscout24.ch/fr/maison/acheter/lieu-gstaad" TargetMode="External"/><Relationship Id="rId5235" Type="http://schemas.openxmlformats.org/officeDocument/2006/relationships/hyperlink" Target="https://www.immoscout24.ch/fr/maison/acheter/lieu-winterthur" TargetMode="External"/><Relationship Id="rId6566" Type="http://schemas.openxmlformats.org/officeDocument/2006/relationships/hyperlink" Target="https://www.immoscout24.ch/fr/appartement/louer/lieu-muttenz" TargetMode="External"/><Relationship Id="rId7898" Type="http://schemas.openxmlformats.org/officeDocument/2006/relationships/hyperlink" Target="https://www.immoscout24.ch/fr/appartement/louer/lieu-boll" TargetMode="External"/><Relationship Id="rId5236" Type="http://schemas.openxmlformats.org/officeDocument/2006/relationships/hyperlink" Target="https://www.immoscout24.ch/fr/maison/acheter/lieu-winterthur" TargetMode="External"/><Relationship Id="rId6567" Type="http://schemas.openxmlformats.org/officeDocument/2006/relationships/hyperlink" Target="https://www.immoscout24.ch/fr/maison/acheter/lieu-walenstadtberg" TargetMode="External"/><Relationship Id="rId7897" Type="http://schemas.openxmlformats.org/officeDocument/2006/relationships/hyperlink" Target="https://www.immoscout24.ch/fr/appartement/louer/lieu-boll" TargetMode="External"/><Relationship Id="rId5228" Type="http://schemas.openxmlformats.org/officeDocument/2006/relationships/hyperlink" Target="https://www.immoscout24.ch/fr/appartement/louer/region-valais-central" TargetMode="External"/><Relationship Id="rId6559" Type="http://schemas.openxmlformats.org/officeDocument/2006/relationships/hyperlink" Target="https://www.immoscout24.ch/fr/maison/louer/lieu-arosa" TargetMode="External"/><Relationship Id="rId5229" Type="http://schemas.openxmlformats.org/officeDocument/2006/relationships/hyperlink" Target="https://www.immoscout24.ch/fr/maison/acheter/lieu-reichenbach-im-kandertal" TargetMode="External"/><Relationship Id="rId10765" Type="http://schemas.openxmlformats.org/officeDocument/2006/relationships/hyperlink" Target="https://www.immoscout24.ch/fr/maison/acheter/lieu-zollikerberg" TargetMode="External"/><Relationship Id="rId10766" Type="http://schemas.openxmlformats.org/officeDocument/2006/relationships/hyperlink" Target="https://www.immoscout24.ch/fr/maison/acheter/lieu-zollikerberg" TargetMode="External"/><Relationship Id="rId10763" Type="http://schemas.openxmlformats.org/officeDocument/2006/relationships/hyperlink" Target="https://www.immoscout24.ch/fr/maison/acheter/lieu-veyrier" TargetMode="External"/><Relationship Id="rId10764" Type="http://schemas.openxmlformats.org/officeDocument/2006/relationships/hyperlink" Target="https://www.immoscout24.ch/fr/maison/acheter/lieu-veyrier" TargetMode="External"/><Relationship Id="rId7881" Type="http://schemas.openxmlformats.org/officeDocument/2006/relationships/hyperlink" Target="https://www.immoscout24.ch/fr/maison/louer/lieu-wohlen-ag" TargetMode="External"/><Relationship Id="rId10769" Type="http://schemas.openxmlformats.org/officeDocument/2006/relationships/hyperlink" Target="https://www.immoscout24.ch/fr/maison/acheter/canton-argovie" TargetMode="External"/><Relationship Id="rId6550" Type="http://schemas.openxmlformats.org/officeDocument/2006/relationships/hyperlink" Target="https://www.immoscout24.ch/fr/maison/louer/lieu-puidoux" TargetMode="External"/><Relationship Id="rId7880" Type="http://schemas.openxmlformats.org/officeDocument/2006/relationships/hyperlink" Target="https://www.immoscout24.ch/fr/maison/acheter/lieu-allschwil" TargetMode="External"/><Relationship Id="rId10767" Type="http://schemas.openxmlformats.org/officeDocument/2006/relationships/hyperlink" Target="https://www.immoscout24.ch/fr/appartement/louer/lieu-les-monts-de-corsier" TargetMode="External"/><Relationship Id="rId10768" Type="http://schemas.openxmlformats.org/officeDocument/2006/relationships/hyperlink" Target="https://www.immoscout24.ch/fr/appartement/louer/lieu-les-monts-de-corsier" TargetMode="External"/><Relationship Id="rId396" Type="http://schemas.openxmlformats.org/officeDocument/2006/relationships/hyperlink" Target="https://www.immoscout24.ch/fr/appartement/louer/lieu-oberburg" TargetMode="External"/><Relationship Id="rId5222" Type="http://schemas.openxmlformats.org/officeDocument/2006/relationships/hyperlink" Target="https://www.immoscout24.ch/fr/appartement/louer/lieu-egg-b-zuerich" TargetMode="External"/><Relationship Id="rId6553" Type="http://schemas.openxmlformats.org/officeDocument/2006/relationships/hyperlink" Target="https://www.immoscout24.ch/fr/maison/louer/lieu-suchy" TargetMode="External"/><Relationship Id="rId7885" Type="http://schemas.openxmlformats.org/officeDocument/2006/relationships/hyperlink" Target="https://www.immoscout24.ch/fr/maison/acheter/lieu-chemin" TargetMode="External"/><Relationship Id="rId395" Type="http://schemas.openxmlformats.org/officeDocument/2006/relationships/hyperlink" Target="https://www.immoscout24.ch/fr/appartement/louer/lieu-oberburg" TargetMode="External"/><Relationship Id="rId5223" Type="http://schemas.openxmlformats.org/officeDocument/2006/relationships/hyperlink" Target="https://www.immoscout24.ch/fr/appartement/acheter/lieu-aire-la-ville" TargetMode="External"/><Relationship Id="rId6554" Type="http://schemas.openxmlformats.org/officeDocument/2006/relationships/hyperlink" Target="https://www.immoscout24.ch/fr/maison/louer/lieu-suchy" TargetMode="External"/><Relationship Id="rId7884" Type="http://schemas.openxmlformats.org/officeDocument/2006/relationships/hyperlink" Target="https://www.immoscout24.ch/fr/appartement/acheter/lieu-les-breuleux" TargetMode="External"/><Relationship Id="rId394" Type="http://schemas.openxmlformats.org/officeDocument/2006/relationships/hyperlink" Target="https://www.immoscout24.ch/fr/appartement/louer/lieu-muri-ag" TargetMode="External"/><Relationship Id="rId5220" Type="http://schemas.openxmlformats.org/officeDocument/2006/relationships/hyperlink" Target="https://www.immoscout24.ch/fr/maison/acheter/lieu-saxonne-ayent" TargetMode="External"/><Relationship Id="rId6551" Type="http://schemas.openxmlformats.org/officeDocument/2006/relationships/hyperlink" Target="https://www.immoscout24.ch/fr/appartement/louer/lieu-bofflens" TargetMode="External"/><Relationship Id="rId7883" Type="http://schemas.openxmlformats.org/officeDocument/2006/relationships/hyperlink" Target="https://www.immoscout24.ch/fr/appartement/acheter/lieu-les-breuleux" TargetMode="External"/><Relationship Id="rId393" Type="http://schemas.openxmlformats.org/officeDocument/2006/relationships/hyperlink" Target="https://www.immoscout24.ch/fr/appartement/louer/lieu-muri-ag" TargetMode="External"/><Relationship Id="rId5221" Type="http://schemas.openxmlformats.org/officeDocument/2006/relationships/hyperlink" Target="https://www.immoscout24.ch/fr/appartement/louer/lieu-egg-b-zuerich" TargetMode="External"/><Relationship Id="rId6552" Type="http://schemas.openxmlformats.org/officeDocument/2006/relationships/hyperlink" Target="https://www.immoscout24.ch/fr/appartement/louer/lieu-bofflens" TargetMode="External"/><Relationship Id="rId7882" Type="http://schemas.openxmlformats.org/officeDocument/2006/relationships/hyperlink" Target="https://www.immoscout24.ch/fr/maison/louer/lieu-wohlen-ag" TargetMode="External"/><Relationship Id="rId5226" Type="http://schemas.openxmlformats.org/officeDocument/2006/relationships/hyperlink" Target="https://www.immoscout24.ch/fr/appartement/louer/quartier-vernand-lausanne" TargetMode="External"/><Relationship Id="rId6557" Type="http://schemas.openxmlformats.org/officeDocument/2006/relationships/hyperlink" Target="https://www.immoscout24.ch/fr/appartement/acheter/lieu-treyvaux" TargetMode="External"/><Relationship Id="rId7889" Type="http://schemas.openxmlformats.org/officeDocument/2006/relationships/hyperlink" Target="https://www.immoscout24.ch/fr/appartement/acheter/lieu-bioggio" TargetMode="External"/><Relationship Id="rId10761" Type="http://schemas.openxmlformats.org/officeDocument/2006/relationships/hyperlink" Target="https://www.immoscout24.ch/fr/appartement/acheter/lieu-la-neuveville" TargetMode="External"/><Relationship Id="rId399" Type="http://schemas.openxmlformats.org/officeDocument/2006/relationships/hyperlink" Target="https://www.immoscout24.ch/fr/appartement/louer/lieu-la-muraz-saviese" TargetMode="External"/><Relationship Id="rId5227" Type="http://schemas.openxmlformats.org/officeDocument/2006/relationships/hyperlink" Target="https://www.immoscout24.ch/fr/appartement/louer/region-valais-central" TargetMode="External"/><Relationship Id="rId6558" Type="http://schemas.openxmlformats.org/officeDocument/2006/relationships/hyperlink" Target="https://www.immoscout24.ch/fr/appartement/acheter/lieu-treyvaux" TargetMode="External"/><Relationship Id="rId7888" Type="http://schemas.openxmlformats.org/officeDocument/2006/relationships/hyperlink" Target="https://www.immoscout24.ch/fr/appartement/louer/lieu-la-tzoumaz" TargetMode="External"/><Relationship Id="rId10762" Type="http://schemas.openxmlformats.org/officeDocument/2006/relationships/hyperlink" Target="https://www.immoscout24.ch/fr/appartement/acheter/lieu-la-neuveville" TargetMode="External"/><Relationship Id="rId398" Type="http://schemas.openxmlformats.org/officeDocument/2006/relationships/hyperlink" Target="https://www.immoscout24.ch/fr/appartement/louer/lieu-onnens-fr" TargetMode="External"/><Relationship Id="rId5224" Type="http://schemas.openxmlformats.org/officeDocument/2006/relationships/hyperlink" Target="https://www.immoscout24.ch/fr/appartement/acheter/lieu-aire-la-ville" TargetMode="External"/><Relationship Id="rId6555" Type="http://schemas.openxmlformats.org/officeDocument/2006/relationships/hyperlink" Target="https://www.immoscout24.ch/fr/maison/acheter/lieu-les-pres-d-orvin" TargetMode="External"/><Relationship Id="rId7887" Type="http://schemas.openxmlformats.org/officeDocument/2006/relationships/hyperlink" Target="https://www.immoscout24.ch/fr/appartement/louer/lieu-la-tzoumaz" TargetMode="External"/><Relationship Id="rId397" Type="http://schemas.openxmlformats.org/officeDocument/2006/relationships/hyperlink" Target="https://www.immoscout24.ch/fr/appartement/louer/lieu-onnens-fr" TargetMode="External"/><Relationship Id="rId5225" Type="http://schemas.openxmlformats.org/officeDocument/2006/relationships/hyperlink" Target="https://www.immoscout24.ch/fr/appartement/louer/quartier-vernand-lausanne" TargetMode="External"/><Relationship Id="rId6556" Type="http://schemas.openxmlformats.org/officeDocument/2006/relationships/hyperlink" Target="https://www.immoscout24.ch/fr/maison/acheter/lieu-les-pres-d-orvin" TargetMode="External"/><Relationship Id="rId7886" Type="http://schemas.openxmlformats.org/officeDocument/2006/relationships/hyperlink" Target="https://www.immoscout24.ch/fr/maison/acheter/lieu-chemin" TargetMode="External"/><Relationship Id="rId10760" Type="http://schemas.openxmlformats.org/officeDocument/2006/relationships/hyperlink" Target="https://www.immoscout24.ch/fr/maison/acheter/lieu-le-mouret" TargetMode="External"/><Relationship Id="rId5291" Type="http://schemas.openxmlformats.org/officeDocument/2006/relationships/hyperlink" Target="https://www.immoscout24.ch/fr/maison/acheter/lieu-unterseen" TargetMode="External"/><Relationship Id="rId5292" Type="http://schemas.openxmlformats.org/officeDocument/2006/relationships/hyperlink" Target="https://www.immoscout24.ch/fr/maison/acheter/lieu-unterseen" TargetMode="External"/><Relationship Id="rId5290" Type="http://schemas.openxmlformats.org/officeDocument/2006/relationships/hyperlink" Target="https://www.immoscout24.ch/fr/appartement/louer/lieu-marnand" TargetMode="External"/><Relationship Id="rId5295" Type="http://schemas.openxmlformats.org/officeDocument/2006/relationships/hyperlink" Target="https://www.immoscout24.ch/fr/appartement/louer/lieu-meikirch" TargetMode="External"/><Relationship Id="rId5296" Type="http://schemas.openxmlformats.org/officeDocument/2006/relationships/hyperlink" Target="https://www.immoscout24.ch/fr/appartement/louer/lieu-meikirch" TargetMode="External"/><Relationship Id="rId5293" Type="http://schemas.openxmlformats.org/officeDocument/2006/relationships/hyperlink" Target="https://www.immoscout24.ch/fr/appartement/louer/lieu-oberbipp" TargetMode="External"/><Relationship Id="rId5294" Type="http://schemas.openxmlformats.org/officeDocument/2006/relationships/hyperlink" Target="https://www.immoscout24.ch/fr/appartement/louer/lieu-oberbipp" TargetMode="External"/><Relationship Id="rId5299" Type="http://schemas.openxmlformats.org/officeDocument/2006/relationships/hyperlink" Target="https://www.immoscout24.ch/fr/appartement/louer/lieu-reconvilier" TargetMode="External"/><Relationship Id="rId5297" Type="http://schemas.openxmlformats.org/officeDocument/2006/relationships/hyperlink" Target="https://www.immoscout24.ch/fr/maison/acheter/lieu-la-verrerie" TargetMode="External"/><Relationship Id="rId5298" Type="http://schemas.openxmlformats.org/officeDocument/2006/relationships/hyperlink" Target="https://www.immoscout24.ch/fr/maison/acheter/lieu-la-verrerie" TargetMode="External"/><Relationship Id="rId10707" Type="http://schemas.openxmlformats.org/officeDocument/2006/relationships/hyperlink" Target="https://www.immoscout24.ch/fr/maison/louer/lieu-erlinsbach" TargetMode="External"/><Relationship Id="rId10708" Type="http://schemas.openxmlformats.org/officeDocument/2006/relationships/hyperlink" Target="https://www.immoscout24.ch/fr/maison/louer/lieu-erlinsbach" TargetMode="External"/><Relationship Id="rId10705" Type="http://schemas.openxmlformats.org/officeDocument/2006/relationships/hyperlink" Target="https://www.immoscout24.ch/fr/maison/acheter/lieu-giumaglio" TargetMode="External"/><Relationship Id="rId10706" Type="http://schemas.openxmlformats.org/officeDocument/2006/relationships/hyperlink" Target="https://www.immoscout24.ch/fr/maison/acheter/lieu-giumaglio" TargetMode="External"/><Relationship Id="rId10709" Type="http://schemas.openxmlformats.org/officeDocument/2006/relationships/hyperlink" Target="https://www.immoscout24.ch/fr/maison/acheter/lieu-chavornay" TargetMode="External"/><Relationship Id="rId5280" Type="http://schemas.openxmlformats.org/officeDocument/2006/relationships/hyperlink" Target="https://www.immoscout24.ch/fr/appartement/acheter/lieu-mezieres-vd" TargetMode="External"/><Relationship Id="rId5281" Type="http://schemas.openxmlformats.org/officeDocument/2006/relationships/hyperlink" Target="https://www.immoscout24.ch/fr/maison/louer/lieu-grandvaux" TargetMode="External"/><Relationship Id="rId10700" Type="http://schemas.openxmlformats.org/officeDocument/2006/relationships/hyperlink" Target="https://www.immoscout24.ch/fr/appartement/louer/lieu-lajoux-ju" TargetMode="External"/><Relationship Id="rId5284" Type="http://schemas.openxmlformats.org/officeDocument/2006/relationships/hyperlink" Target="https://www.immoscout24.ch/fr/appartement/acheter/region-oberland-ouest" TargetMode="External"/><Relationship Id="rId10703" Type="http://schemas.openxmlformats.org/officeDocument/2006/relationships/hyperlink" Target="https://www.immoscout24.ch/fr/maison/louer/lieu-frenieres-sur-bex" TargetMode="External"/><Relationship Id="rId5285" Type="http://schemas.openxmlformats.org/officeDocument/2006/relationships/hyperlink" Target="https://www.immoscout24.ch/fr/maison/acheter/lieu-fully" TargetMode="External"/><Relationship Id="rId10704" Type="http://schemas.openxmlformats.org/officeDocument/2006/relationships/hyperlink" Target="https://www.immoscout24.ch/fr/maison/louer/lieu-frenieres-sur-bex" TargetMode="External"/><Relationship Id="rId5282" Type="http://schemas.openxmlformats.org/officeDocument/2006/relationships/hyperlink" Target="https://www.immoscout24.ch/fr/maison/louer/lieu-grandvaux" TargetMode="External"/><Relationship Id="rId10701" Type="http://schemas.openxmlformats.org/officeDocument/2006/relationships/hyperlink" Target="https://www.immoscout24.ch/fr/appartement/acheter/lieu-uzwil" TargetMode="External"/><Relationship Id="rId5283" Type="http://schemas.openxmlformats.org/officeDocument/2006/relationships/hyperlink" Target="https://www.immoscout24.ch/fr/appartement/acheter/region-oberland-ouest" TargetMode="External"/><Relationship Id="rId10702" Type="http://schemas.openxmlformats.org/officeDocument/2006/relationships/hyperlink" Target="https://www.immoscout24.ch/fr/appartement/acheter/lieu-uzwil" TargetMode="External"/><Relationship Id="rId5288" Type="http://schemas.openxmlformats.org/officeDocument/2006/relationships/hyperlink" Target="https://www.immoscout24.ch/fr/maison/louer/lieu-saviese" TargetMode="External"/><Relationship Id="rId5289" Type="http://schemas.openxmlformats.org/officeDocument/2006/relationships/hyperlink" Target="https://www.immoscout24.ch/fr/appartement/louer/lieu-marnand" TargetMode="External"/><Relationship Id="rId5286" Type="http://schemas.openxmlformats.org/officeDocument/2006/relationships/hyperlink" Target="https://www.immoscout24.ch/fr/maison/acheter/lieu-fully" TargetMode="External"/><Relationship Id="rId5287" Type="http://schemas.openxmlformats.org/officeDocument/2006/relationships/hyperlink" Target="https://www.immoscout24.ch/fr/maison/louer/lieu-saviese" TargetMode="External"/><Relationship Id="rId40" Type="http://schemas.openxmlformats.org/officeDocument/2006/relationships/hyperlink" Target="https://www.immoscout24.ch/fr/maison/acheter/lieu-curio" TargetMode="External"/><Relationship Id="rId42" Type="http://schemas.openxmlformats.org/officeDocument/2006/relationships/hyperlink" Target="https://www.immoscout24.ch/fr/maison/acheter/lieu-le-noirmont" TargetMode="External"/><Relationship Id="rId41" Type="http://schemas.openxmlformats.org/officeDocument/2006/relationships/hyperlink" Target="https://www.immoscout24.ch/fr/maison/acheter/lieu-le-noirmont" TargetMode="External"/><Relationship Id="rId44" Type="http://schemas.openxmlformats.org/officeDocument/2006/relationships/hyperlink" Target="https://www.immoscout24.ch/fr/appartement/louer/lieu-wollerau" TargetMode="External"/><Relationship Id="rId43" Type="http://schemas.openxmlformats.org/officeDocument/2006/relationships/hyperlink" Target="https://www.immoscout24.ch/fr/appartement/louer/lieu-wollerau" TargetMode="External"/><Relationship Id="rId46" Type="http://schemas.openxmlformats.org/officeDocument/2006/relationships/hyperlink" Target="https://www.immoscout24.ch/fr/appartement/louer/lieu-daettwil-ag" TargetMode="External"/><Relationship Id="rId45" Type="http://schemas.openxmlformats.org/officeDocument/2006/relationships/hyperlink" Target="https://www.immoscout24.ch/fr/appartement/louer/lieu-daettwil-ag" TargetMode="External"/><Relationship Id="rId48" Type="http://schemas.openxmlformats.org/officeDocument/2006/relationships/hyperlink" Target="https://www.immoscout24.ch/fr/appartement/louer/lieu-les-breuleux" TargetMode="External"/><Relationship Id="rId47" Type="http://schemas.openxmlformats.org/officeDocument/2006/relationships/hyperlink" Target="https://www.immoscout24.ch/fr/appartement/louer/lieu-les-breuleux" TargetMode="External"/><Relationship Id="rId49" Type="http://schemas.openxmlformats.org/officeDocument/2006/relationships/hyperlink" Target="https://www.immoscout24.ch/fr/maison/acheter/lieu-marly" TargetMode="External"/><Relationship Id="rId31" Type="http://schemas.openxmlformats.org/officeDocument/2006/relationships/hyperlink" Target="https://www.immoscout24.ch/fr/appartement/louer/lieu-pratteln" TargetMode="External"/><Relationship Id="rId30" Type="http://schemas.openxmlformats.org/officeDocument/2006/relationships/hyperlink" Target="https://www.immoscout24.ch/fr/appartement/louer/lieu-diesse" TargetMode="External"/><Relationship Id="rId33" Type="http://schemas.openxmlformats.org/officeDocument/2006/relationships/hyperlink" Target="https://www.immoscout24.ch/fr/appartement/louer/lieu-schwarzenberg-lu" TargetMode="External"/><Relationship Id="rId32" Type="http://schemas.openxmlformats.org/officeDocument/2006/relationships/hyperlink" Target="https://www.immoscout24.ch/fr/appartement/louer/lieu-pratteln" TargetMode="External"/><Relationship Id="rId35" Type="http://schemas.openxmlformats.org/officeDocument/2006/relationships/hyperlink" Target="https://www.immoscout24.ch/fr/appartement/louer/lieu-pailly" TargetMode="External"/><Relationship Id="rId34" Type="http://schemas.openxmlformats.org/officeDocument/2006/relationships/hyperlink" Target="https://www.immoscout24.ch/fr/appartement/louer/lieu-schwarzenberg-lu" TargetMode="External"/><Relationship Id="rId37" Type="http://schemas.openxmlformats.org/officeDocument/2006/relationships/hyperlink" Target="https://www.immoscout24.ch/fr/appartement/acheter/lieu-bussnang" TargetMode="External"/><Relationship Id="rId36" Type="http://schemas.openxmlformats.org/officeDocument/2006/relationships/hyperlink" Target="https://www.immoscout24.ch/fr/appartement/louer/lieu-pailly" TargetMode="External"/><Relationship Id="rId39" Type="http://schemas.openxmlformats.org/officeDocument/2006/relationships/hyperlink" Target="https://www.immoscout24.ch/fr/maison/acheter/lieu-curio" TargetMode="External"/><Relationship Id="rId38" Type="http://schemas.openxmlformats.org/officeDocument/2006/relationships/hyperlink" Target="https://www.immoscout24.ch/fr/appartement/acheter/lieu-bussnang" TargetMode="External"/><Relationship Id="rId20" Type="http://schemas.openxmlformats.org/officeDocument/2006/relationships/hyperlink" Target="https://www.immoscout24.ch/fr/appartement/louer/lieu-risch" TargetMode="External"/><Relationship Id="rId22" Type="http://schemas.openxmlformats.org/officeDocument/2006/relationships/hyperlink" Target="https://www.immoscout24.ch/fr/maison/acheter/lieu-kandersteg" TargetMode="External"/><Relationship Id="rId21" Type="http://schemas.openxmlformats.org/officeDocument/2006/relationships/hyperlink" Target="https://www.immoscout24.ch/fr/maison/acheter/lieu-kandersteg" TargetMode="External"/><Relationship Id="rId24" Type="http://schemas.openxmlformats.org/officeDocument/2006/relationships/hyperlink" Target="https://www.immoscout24.ch/fr/appartement/louer/quartier-monruz-neuchatel" TargetMode="External"/><Relationship Id="rId23" Type="http://schemas.openxmlformats.org/officeDocument/2006/relationships/hyperlink" Target="https://www.immoscout24.ch/fr/appartement/louer/quartier-monruz-neuchatel" TargetMode="External"/><Relationship Id="rId26" Type="http://schemas.openxmlformats.org/officeDocument/2006/relationships/hyperlink" Target="https://www.immoscout24.ch/fr/maison/acheter/lieu-iseo" TargetMode="External"/><Relationship Id="rId25" Type="http://schemas.openxmlformats.org/officeDocument/2006/relationships/hyperlink" Target="https://www.immoscout24.ch/fr/maison/acheter/lieu-iseo" TargetMode="External"/><Relationship Id="rId28" Type="http://schemas.openxmlformats.org/officeDocument/2006/relationships/hyperlink" Target="https://www.immoscout24.ch/fr/appartement/louer/lieu-alchenflueh" TargetMode="External"/><Relationship Id="rId27" Type="http://schemas.openxmlformats.org/officeDocument/2006/relationships/hyperlink" Target="https://www.immoscout24.ch/fr/appartement/louer/lieu-alchenflueh" TargetMode="External"/><Relationship Id="rId29" Type="http://schemas.openxmlformats.org/officeDocument/2006/relationships/hyperlink" Target="https://www.immoscout24.ch/fr/appartement/louer/lieu-diesse" TargetMode="External"/><Relationship Id="rId11" Type="http://schemas.openxmlformats.org/officeDocument/2006/relationships/hyperlink" Target="https://www.immoscout24.ch/fr/appartement/acheter/region-olten-thal-gaeu-gosgen" TargetMode="External"/><Relationship Id="rId10" Type="http://schemas.openxmlformats.org/officeDocument/2006/relationships/hyperlink" Target="https://www.immoscout24.ch/fr/appartement/acheter/lieu-unterseen" TargetMode="External"/><Relationship Id="rId13" Type="http://schemas.openxmlformats.org/officeDocument/2006/relationships/hyperlink" Target="https://www.immoscout24.ch/fr/appartement/louer/quartier-stoeckacker-berne" TargetMode="External"/><Relationship Id="rId12" Type="http://schemas.openxmlformats.org/officeDocument/2006/relationships/hyperlink" Target="https://www.immoscout24.ch/fr/appartement/acheter/region-olten-thal-gaeu-gosgen" TargetMode="External"/><Relationship Id="rId15" Type="http://schemas.openxmlformats.org/officeDocument/2006/relationships/hyperlink" Target="https://www.immoscout24.ch/fr/appartement/acheter/lieu-losone" TargetMode="External"/><Relationship Id="rId14" Type="http://schemas.openxmlformats.org/officeDocument/2006/relationships/hyperlink" Target="https://www.immoscout24.ch/fr/appartement/louer/quartier-stoeckacker-berne" TargetMode="External"/><Relationship Id="rId17" Type="http://schemas.openxmlformats.org/officeDocument/2006/relationships/hyperlink" Target="https://www.immoscout24.ch/fr/appartement/louer/lieu-hermenches" TargetMode="External"/><Relationship Id="rId16" Type="http://schemas.openxmlformats.org/officeDocument/2006/relationships/hyperlink" Target="https://www.immoscout24.ch/fr/appartement/acheter/lieu-losone" TargetMode="External"/><Relationship Id="rId19" Type="http://schemas.openxmlformats.org/officeDocument/2006/relationships/hyperlink" Target="https://www.immoscout24.ch/fr/appartement/louer/lieu-risch" TargetMode="External"/><Relationship Id="rId18" Type="http://schemas.openxmlformats.org/officeDocument/2006/relationships/hyperlink" Target="https://www.immoscout24.ch/fr/appartement/louer/lieu-hermenches" TargetMode="External"/><Relationship Id="rId84" Type="http://schemas.openxmlformats.org/officeDocument/2006/relationships/hyperlink" Target="https://www.immoscout24.ch/fr/maison/acheter/lieu-villeneuve-fr" TargetMode="External"/><Relationship Id="rId83" Type="http://schemas.openxmlformats.org/officeDocument/2006/relationships/hyperlink" Target="https://www.immoscout24.ch/fr/maison/acheter/lieu-villeneuve-fr" TargetMode="External"/><Relationship Id="rId86" Type="http://schemas.openxmlformats.org/officeDocument/2006/relationships/hyperlink" Target="https://www.immoscout24.ch/fr/appartement/acheter/lieu-arolla" TargetMode="External"/><Relationship Id="rId85" Type="http://schemas.openxmlformats.org/officeDocument/2006/relationships/hyperlink" Target="https://www.immoscout24.ch/fr/appartement/acheter/lieu-arolla" TargetMode="External"/><Relationship Id="rId88" Type="http://schemas.openxmlformats.org/officeDocument/2006/relationships/hyperlink" Target="https://www.immoscout24.ch/fr/maison/acheter/lieu-gumefens" TargetMode="External"/><Relationship Id="rId87" Type="http://schemas.openxmlformats.org/officeDocument/2006/relationships/hyperlink" Target="https://www.immoscout24.ch/fr/maison/acheter/lieu-gumefens" TargetMode="External"/><Relationship Id="rId89" Type="http://schemas.openxmlformats.org/officeDocument/2006/relationships/hyperlink" Target="https://www.immoscout24.ch/fr/maison/acheter/lieu-engi" TargetMode="External"/><Relationship Id="rId80" Type="http://schemas.openxmlformats.org/officeDocument/2006/relationships/hyperlink" Target="https://www.immoscout24.ch/fr/appartement/acheter/lieu-finhaut" TargetMode="External"/><Relationship Id="rId82" Type="http://schemas.openxmlformats.org/officeDocument/2006/relationships/hyperlink" Target="https://www.immoscout24.ch/fr/appartement/acheter/lieu-stoos-sz" TargetMode="External"/><Relationship Id="rId81" Type="http://schemas.openxmlformats.org/officeDocument/2006/relationships/hyperlink" Target="https://www.immoscout24.ch/fr/appartement/acheter/lieu-stoos-sz" TargetMode="External"/><Relationship Id="rId73" Type="http://schemas.openxmlformats.org/officeDocument/2006/relationships/hyperlink" Target="https://www.immoscout24.ch/fr/maison/acheter/lieu-grandfontaine" TargetMode="External"/><Relationship Id="rId72" Type="http://schemas.openxmlformats.org/officeDocument/2006/relationships/hyperlink" Target="https://www.immoscout24.ch/fr/maison/acheter/lieu-fregiecourt" TargetMode="External"/><Relationship Id="rId75" Type="http://schemas.openxmlformats.org/officeDocument/2006/relationships/hyperlink" Target="https://www.immoscout24.ch/fr/maison/acheter/lieu-carabietta" TargetMode="External"/><Relationship Id="rId74" Type="http://schemas.openxmlformats.org/officeDocument/2006/relationships/hyperlink" Target="https://www.immoscout24.ch/fr/maison/acheter/lieu-grandfontaine" TargetMode="External"/><Relationship Id="rId77" Type="http://schemas.openxmlformats.org/officeDocument/2006/relationships/hyperlink" Target="https://www.immoscout24.ch/fr/appartement/louer/lieu-haag-rheintal" TargetMode="External"/><Relationship Id="rId76" Type="http://schemas.openxmlformats.org/officeDocument/2006/relationships/hyperlink" Target="https://www.immoscout24.ch/fr/maison/acheter/lieu-carabietta" TargetMode="External"/><Relationship Id="rId79" Type="http://schemas.openxmlformats.org/officeDocument/2006/relationships/hyperlink" Target="https://www.immoscout24.ch/fr/appartement/acheter/lieu-finhaut" TargetMode="External"/><Relationship Id="rId78" Type="http://schemas.openxmlformats.org/officeDocument/2006/relationships/hyperlink" Target="https://www.immoscout24.ch/fr/appartement/louer/lieu-haag-rheintal" TargetMode="External"/><Relationship Id="rId71" Type="http://schemas.openxmlformats.org/officeDocument/2006/relationships/hyperlink" Target="https://www.immoscout24.ch/fr/maison/acheter/lieu-fregiecourt" TargetMode="External"/><Relationship Id="rId70" Type="http://schemas.openxmlformats.org/officeDocument/2006/relationships/hyperlink" Target="https://www.immoscout24.ch/fr/appartement/louer/lieu-boningen" TargetMode="External"/><Relationship Id="rId62" Type="http://schemas.openxmlformats.org/officeDocument/2006/relationships/hyperlink" Target="https://www.immoscout24.ch/fr/maison/acheter/lieu-fontaines-sur-grandson" TargetMode="External"/><Relationship Id="rId61" Type="http://schemas.openxmlformats.org/officeDocument/2006/relationships/hyperlink" Target="https://www.immoscout24.ch/fr/maison/acheter/lieu-fontaines-sur-grandson" TargetMode="External"/><Relationship Id="rId64" Type="http://schemas.openxmlformats.org/officeDocument/2006/relationships/hyperlink" Target="https://www.immoscout24.ch/fr/appartement/louer/lieu-oberiberg" TargetMode="External"/><Relationship Id="rId63" Type="http://schemas.openxmlformats.org/officeDocument/2006/relationships/hyperlink" Target="https://www.immoscout24.ch/fr/appartement/louer/lieu-oberiberg" TargetMode="External"/><Relationship Id="rId66" Type="http://schemas.openxmlformats.org/officeDocument/2006/relationships/hyperlink" Target="https://www.immoscout24.ch/fr/appartement/acheter/lieu-tramelan" TargetMode="External"/><Relationship Id="rId65" Type="http://schemas.openxmlformats.org/officeDocument/2006/relationships/hyperlink" Target="https://www.immoscout24.ch/fr/appartement/acheter/lieu-tramelan" TargetMode="External"/><Relationship Id="rId68" Type="http://schemas.openxmlformats.org/officeDocument/2006/relationships/hyperlink" Target="https://www.immoscout24.ch/fr/maison/louer/quartier-jura-fribourg" TargetMode="External"/><Relationship Id="rId67" Type="http://schemas.openxmlformats.org/officeDocument/2006/relationships/hyperlink" Target="https://www.immoscout24.ch/fr/maison/louer/quartier-jura-fribourg" TargetMode="External"/><Relationship Id="rId60" Type="http://schemas.openxmlformats.org/officeDocument/2006/relationships/hyperlink" Target="https://www.immoscout24.ch/fr/appartement/acheter/lieu-thonex" TargetMode="External"/><Relationship Id="rId69" Type="http://schemas.openxmlformats.org/officeDocument/2006/relationships/hyperlink" Target="https://www.immoscout24.ch/fr/appartement/louer/lieu-boningen" TargetMode="External"/><Relationship Id="rId51" Type="http://schemas.openxmlformats.org/officeDocument/2006/relationships/hyperlink" Target="https://www.immoscout24.ch/fr/maison/louer/region-olten-thal-gaeu-gosgen" TargetMode="External"/><Relationship Id="rId50" Type="http://schemas.openxmlformats.org/officeDocument/2006/relationships/hyperlink" Target="https://www.immoscout24.ch/fr/maison/acheter/lieu-marly" TargetMode="External"/><Relationship Id="rId53" Type="http://schemas.openxmlformats.org/officeDocument/2006/relationships/hyperlink" Target="https://www.immoscout24.ch/fr/appartement/louer/quartier-bossons-blecherette-lausanne" TargetMode="External"/><Relationship Id="rId52" Type="http://schemas.openxmlformats.org/officeDocument/2006/relationships/hyperlink" Target="https://www.immoscout24.ch/fr/maison/louer/region-olten-thal-gaeu-gosgen" TargetMode="External"/><Relationship Id="rId55" Type="http://schemas.openxmlformats.org/officeDocument/2006/relationships/hyperlink" Target="https://www.immoscout24.ch/fr/maison/acheter/lieu-montfaucon" TargetMode="External"/><Relationship Id="rId54" Type="http://schemas.openxmlformats.org/officeDocument/2006/relationships/hyperlink" Target="https://www.immoscout24.ch/fr/appartement/louer/quartier-bossons-blecherette-lausanne" TargetMode="External"/><Relationship Id="rId57" Type="http://schemas.openxmlformats.org/officeDocument/2006/relationships/hyperlink" Target="https://www.immoscout24.ch/fr/appartement/acheter/lieu-ecuvillens" TargetMode="External"/><Relationship Id="rId56" Type="http://schemas.openxmlformats.org/officeDocument/2006/relationships/hyperlink" Target="https://www.immoscout24.ch/fr/maison/acheter/lieu-montfaucon" TargetMode="External"/><Relationship Id="rId59" Type="http://schemas.openxmlformats.org/officeDocument/2006/relationships/hyperlink" Target="https://www.immoscout24.ch/fr/appartement/acheter/lieu-thonex" TargetMode="External"/><Relationship Id="rId58" Type="http://schemas.openxmlformats.org/officeDocument/2006/relationships/hyperlink" Target="https://www.immoscout24.ch/fr/appartement/acheter/lieu-ecuvillens" TargetMode="External"/><Relationship Id="rId6627" Type="http://schemas.openxmlformats.org/officeDocument/2006/relationships/hyperlink" Target="https://www.immoscout24.ch/fr/appartement/louer/quartier-muehlebach-zurich" TargetMode="External"/><Relationship Id="rId7959" Type="http://schemas.openxmlformats.org/officeDocument/2006/relationships/hyperlink" Target="https://www.immoscout24.ch/fr/appartement/acheter/secteur-kreis-7" TargetMode="External"/><Relationship Id="rId6628" Type="http://schemas.openxmlformats.org/officeDocument/2006/relationships/hyperlink" Target="https://www.immoscout24.ch/fr/appartement/louer/quartier-muehlebach-zurich" TargetMode="External"/><Relationship Id="rId7958" Type="http://schemas.openxmlformats.org/officeDocument/2006/relationships/hyperlink" Target="https://www.immoscout24.ch/fr/maison/louer/lieu-gampelen" TargetMode="External"/><Relationship Id="rId6625" Type="http://schemas.openxmlformats.org/officeDocument/2006/relationships/hyperlink" Target="https://www.immoscout24.ch/fr/appartement/louer/lieu-les-hauderes" TargetMode="External"/><Relationship Id="rId7957" Type="http://schemas.openxmlformats.org/officeDocument/2006/relationships/hyperlink" Target="https://www.immoscout24.ch/fr/maison/louer/lieu-gampelen" TargetMode="External"/><Relationship Id="rId6626" Type="http://schemas.openxmlformats.org/officeDocument/2006/relationships/hyperlink" Target="https://www.immoscout24.ch/fr/appartement/louer/lieu-les-hauderes" TargetMode="External"/><Relationship Id="rId7956" Type="http://schemas.openxmlformats.org/officeDocument/2006/relationships/hyperlink" Target="https://www.immoscout24.ch/fr/maison/louer/lieu-hinwil" TargetMode="External"/><Relationship Id="rId6629" Type="http://schemas.openxmlformats.org/officeDocument/2006/relationships/hyperlink" Target="https://www.immoscout24.ch/fr/maison/acheter/lieu-corjolens" TargetMode="External"/><Relationship Id="rId349" Type="http://schemas.openxmlformats.org/officeDocument/2006/relationships/hyperlink" Target="https://www.immoscout24.ch/fr/appartement/acheter/lieu-sierre" TargetMode="External"/><Relationship Id="rId348" Type="http://schemas.openxmlformats.org/officeDocument/2006/relationships/hyperlink" Target="https://www.immoscout24.ch/fr/maison/acheter/lieu-confignon" TargetMode="External"/><Relationship Id="rId347" Type="http://schemas.openxmlformats.org/officeDocument/2006/relationships/hyperlink" Target="https://www.immoscout24.ch/fr/maison/acheter/lieu-confignon" TargetMode="External"/><Relationship Id="rId346" Type="http://schemas.openxmlformats.org/officeDocument/2006/relationships/hyperlink" Target="https://www.immoscout24.ch/fr/maison/acheter/lieu-braggio" TargetMode="External"/><Relationship Id="rId341" Type="http://schemas.openxmlformats.org/officeDocument/2006/relationships/hyperlink" Target="https://www.immoscout24.ch/fr/appartement/louer/lieu-rose" TargetMode="External"/><Relationship Id="rId7951" Type="http://schemas.openxmlformats.org/officeDocument/2006/relationships/hyperlink" Target="https://www.immoscout24.ch/fr/maison/acheter/lieu-champery" TargetMode="External"/><Relationship Id="rId340" Type="http://schemas.openxmlformats.org/officeDocument/2006/relationships/hyperlink" Target="https://www.immoscout24.ch/fr/maison/acheter/pays-canada" TargetMode="External"/><Relationship Id="rId6620" Type="http://schemas.openxmlformats.org/officeDocument/2006/relationships/hyperlink" Target="https://www.immoscout24.ch/fr/maison/acheter/lieu-rougemont" TargetMode="External"/><Relationship Id="rId7950" Type="http://schemas.openxmlformats.org/officeDocument/2006/relationships/hyperlink" Target="https://www.immoscout24.ch/fr/maison/louer/lieu-trey" TargetMode="External"/><Relationship Id="rId345" Type="http://schemas.openxmlformats.org/officeDocument/2006/relationships/hyperlink" Target="https://www.immoscout24.ch/fr/maison/acheter/lieu-braggio" TargetMode="External"/><Relationship Id="rId6623" Type="http://schemas.openxmlformats.org/officeDocument/2006/relationships/hyperlink" Target="https://www.immoscout24.ch/fr/appartement/louer/lieu-herisau" TargetMode="External"/><Relationship Id="rId7955" Type="http://schemas.openxmlformats.org/officeDocument/2006/relationships/hyperlink" Target="https://www.immoscout24.ch/fr/maison/louer/lieu-hinwil" TargetMode="External"/><Relationship Id="rId344" Type="http://schemas.openxmlformats.org/officeDocument/2006/relationships/hyperlink" Target="https://www.immoscout24.ch/fr/maison/louer/lieu-ferpicloz" TargetMode="External"/><Relationship Id="rId6624" Type="http://schemas.openxmlformats.org/officeDocument/2006/relationships/hyperlink" Target="https://www.immoscout24.ch/fr/appartement/louer/lieu-herisau" TargetMode="External"/><Relationship Id="rId7954" Type="http://schemas.openxmlformats.org/officeDocument/2006/relationships/hyperlink" Target="https://www.immoscout24.ch/fr/appartement/louer/lieu-aefligen" TargetMode="External"/><Relationship Id="rId343" Type="http://schemas.openxmlformats.org/officeDocument/2006/relationships/hyperlink" Target="https://www.immoscout24.ch/fr/maison/louer/lieu-ferpicloz" TargetMode="External"/><Relationship Id="rId6621" Type="http://schemas.openxmlformats.org/officeDocument/2006/relationships/hyperlink" Target="https://www.immoscout24.ch/fr/maison/acheter/lieu-la-cote-aux-fees" TargetMode="External"/><Relationship Id="rId7953" Type="http://schemas.openxmlformats.org/officeDocument/2006/relationships/hyperlink" Target="https://www.immoscout24.ch/fr/appartement/louer/lieu-aefligen" TargetMode="External"/><Relationship Id="rId342" Type="http://schemas.openxmlformats.org/officeDocument/2006/relationships/hyperlink" Target="https://www.immoscout24.ch/fr/appartement/louer/lieu-rose" TargetMode="External"/><Relationship Id="rId6622" Type="http://schemas.openxmlformats.org/officeDocument/2006/relationships/hyperlink" Target="https://www.immoscout24.ch/fr/maison/acheter/lieu-la-cote-aux-fees" TargetMode="External"/><Relationship Id="rId7952" Type="http://schemas.openxmlformats.org/officeDocument/2006/relationships/hyperlink" Target="https://www.immoscout24.ch/fr/maison/acheter/lieu-champery" TargetMode="External"/><Relationship Id="rId6616" Type="http://schemas.openxmlformats.org/officeDocument/2006/relationships/hyperlink" Target="https://www.immoscout24.ch/fr/maison/acheter/lieu-montherod" TargetMode="External"/><Relationship Id="rId7948" Type="http://schemas.openxmlformats.org/officeDocument/2006/relationships/hyperlink" Target="https://www.immoscout24.ch/fr/appartement/louer/secteur-kreis-10" TargetMode="External"/><Relationship Id="rId6617" Type="http://schemas.openxmlformats.org/officeDocument/2006/relationships/hyperlink" Target="https://www.immoscout24.ch/fr/maison/acheter/region-davos-praettigau" TargetMode="External"/><Relationship Id="rId7947" Type="http://schemas.openxmlformats.org/officeDocument/2006/relationships/hyperlink" Target="https://www.immoscout24.ch/fr/appartement/louer/secteur-kreis-10" TargetMode="External"/><Relationship Id="rId6614" Type="http://schemas.openxmlformats.org/officeDocument/2006/relationships/hyperlink" Target="https://www.immoscout24.ch/fr/maison/louer/lieu-autavaux" TargetMode="External"/><Relationship Id="rId7946" Type="http://schemas.openxmlformats.org/officeDocument/2006/relationships/hyperlink" Target="https://www.immoscout24.ch/fr/appartement/acheter/lieu-la-croix-lutry" TargetMode="External"/><Relationship Id="rId6615" Type="http://schemas.openxmlformats.org/officeDocument/2006/relationships/hyperlink" Target="https://www.immoscout24.ch/fr/maison/acheter/lieu-montherod" TargetMode="External"/><Relationship Id="rId7945" Type="http://schemas.openxmlformats.org/officeDocument/2006/relationships/hyperlink" Target="https://www.immoscout24.ch/fr/appartement/acheter/lieu-la-croix-lutry" TargetMode="External"/><Relationship Id="rId6618" Type="http://schemas.openxmlformats.org/officeDocument/2006/relationships/hyperlink" Target="https://www.immoscout24.ch/fr/maison/acheter/region-davos-praettigau" TargetMode="External"/><Relationship Id="rId6619" Type="http://schemas.openxmlformats.org/officeDocument/2006/relationships/hyperlink" Target="https://www.immoscout24.ch/fr/maison/acheter/lieu-rougemont" TargetMode="External"/><Relationship Id="rId7949" Type="http://schemas.openxmlformats.org/officeDocument/2006/relationships/hyperlink" Target="https://www.immoscout24.ch/fr/maison/louer/lieu-trey" TargetMode="External"/><Relationship Id="rId338" Type="http://schemas.openxmlformats.org/officeDocument/2006/relationships/hyperlink" Target="https://www.immoscout24.ch/fr/appartement/louer/lieu-rances" TargetMode="External"/><Relationship Id="rId337" Type="http://schemas.openxmlformats.org/officeDocument/2006/relationships/hyperlink" Target="https://www.immoscout24.ch/fr/appartement/louer/lieu-rances" TargetMode="External"/><Relationship Id="rId336" Type="http://schemas.openxmlformats.org/officeDocument/2006/relationships/hyperlink" Target="https://www.immoscout24.ch/fr/maison/acheter/lieu-rebeuvelier" TargetMode="External"/><Relationship Id="rId335" Type="http://schemas.openxmlformats.org/officeDocument/2006/relationships/hyperlink" Target="https://www.immoscout24.ch/fr/maison/acheter/lieu-rebeuvelier" TargetMode="External"/><Relationship Id="rId339" Type="http://schemas.openxmlformats.org/officeDocument/2006/relationships/hyperlink" Target="https://www.immoscout24.ch/fr/maison/acheter/pays-canada" TargetMode="External"/><Relationship Id="rId330" Type="http://schemas.openxmlformats.org/officeDocument/2006/relationships/hyperlink" Target="https://www.immoscout24.ch/fr/maison/louer/lieu-farvagny" TargetMode="External"/><Relationship Id="rId7940" Type="http://schemas.openxmlformats.org/officeDocument/2006/relationships/hyperlink" Target="https://www.immoscout24.ch/fr/appartement/acheter/lieu-benken-zh" TargetMode="External"/><Relationship Id="rId334" Type="http://schemas.openxmlformats.org/officeDocument/2006/relationships/hyperlink" Target="https://www.immoscout24.ch/fr/appartement/acheter/lieu-simplon-dorf" TargetMode="External"/><Relationship Id="rId6612" Type="http://schemas.openxmlformats.org/officeDocument/2006/relationships/hyperlink" Target="https://www.immoscout24.ch/fr/maison/acheter/lieu-geroldswil" TargetMode="External"/><Relationship Id="rId7944" Type="http://schemas.openxmlformats.org/officeDocument/2006/relationships/hyperlink" Target="https://www.immoscout24.ch/fr/appartement/louer/lieu-schoetz" TargetMode="External"/><Relationship Id="rId333" Type="http://schemas.openxmlformats.org/officeDocument/2006/relationships/hyperlink" Target="https://www.immoscout24.ch/fr/appartement/acheter/lieu-simplon-dorf" TargetMode="External"/><Relationship Id="rId6613" Type="http://schemas.openxmlformats.org/officeDocument/2006/relationships/hyperlink" Target="https://www.immoscout24.ch/fr/maison/louer/lieu-autavaux" TargetMode="External"/><Relationship Id="rId7943" Type="http://schemas.openxmlformats.org/officeDocument/2006/relationships/hyperlink" Target="https://www.immoscout24.ch/fr/appartement/louer/lieu-schoetz" TargetMode="External"/><Relationship Id="rId332" Type="http://schemas.openxmlformats.org/officeDocument/2006/relationships/hyperlink" Target="https://www.immoscout24.ch/fr/appartement/acheter/lieu-lengnau-be" TargetMode="External"/><Relationship Id="rId6610" Type="http://schemas.openxmlformats.org/officeDocument/2006/relationships/hyperlink" Target="https://www.immoscout24.ch/fr/appartement/louer/lieu-fontaines-ne" TargetMode="External"/><Relationship Id="rId7942" Type="http://schemas.openxmlformats.org/officeDocument/2006/relationships/hyperlink" Target="https://www.immoscout24.ch/fr/maison/acheter/lieu-ebmatingen" TargetMode="External"/><Relationship Id="rId331" Type="http://schemas.openxmlformats.org/officeDocument/2006/relationships/hyperlink" Target="https://www.immoscout24.ch/fr/appartement/acheter/lieu-lengnau-be" TargetMode="External"/><Relationship Id="rId6611" Type="http://schemas.openxmlformats.org/officeDocument/2006/relationships/hyperlink" Target="https://www.immoscout24.ch/fr/maison/acheter/lieu-geroldswil" TargetMode="External"/><Relationship Id="rId7941" Type="http://schemas.openxmlformats.org/officeDocument/2006/relationships/hyperlink" Target="https://www.immoscout24.ch/fr/maison/acheter/lieu-ebmatingen" TargetMode="External"/><Relationship Id="rId5318" Type="http://schemas.openxmlformats.org/officeDocument/2006/relationships/hyperlink" Target="https://www.immoscout24.ch/fr/maison/acheter/lieu-oppens" TargetMode="External"/><Relationship Id="rId6649" Type="http://schemas.openxmlformats.org/officeDocument/2006/relationships/hyperlink" Target="https://www.immoscout24.ch/fr/maison/acheter/lieu-cerentino" TargetMode="External"/><Relationship Id="rId5319" Type="http://schemas.openxmlformats.org/officeDocument/2006/relationships/hyperlink" Target="https://www.immoscout24.ch/fr/appartement/acheter/canton-vaud" TargetMode="External"/><Relationship Id="rId5316" Type="http://schemas.openxmlformats.org/officeDocument/2006/relationships/hyperlink" Target="https://www.immoscout24.ch/fr/maison/louer/lieu-guemligen" TargetMode="External"/><Relationship Id="rId6647" Type="http://schemas.openxmlformats.org/officeDocument/2006/relationships/hyperlink" Target="https://www.immoscout24.ch/fr/maison/acheter/lieu-beatenberg" TargetMode="External"/><Relationship Id="rId7979" Type="http://schemas.openxmlformats.org/officeDocument/2006/relationships/hyperlink" Target="https://www.immoscout24.ch/fr/maison/acheter/pays-hongrie" TargetMode="External"/><Relationship Id="rId5317" Type="http://schemas.openxmlformats.org/officeDocument/2006/relationships/hyperlink" Target="https://www.immoscout24.ch/fr/maison/acheter/lieu-oppens" TargetMode="External"/><Relationship Id="rId6648" Type="http://schemas.openxmlformats.org/officeDocument/2006/relationships/hyperlink" Target="https://www.immoscout24.ch/fr/maison/acheter/lieu-beatenberg" TargetMode="External"/><Relationship Id="rId7978" Type="http://schemas.openxmlformats.org/officeDocument/2006/relationships/hyperlink" Target="https://www.immoscout24.ch/fr/maison/louer/lieu-pieterlen" TargetMode="External"/><Relationship Id="rId370" Type="http://schemas.openxmlformats.org/officeDocument/2006/relationships/hyperlink" Target="https://www.immoscout24.ch/fr/appartement/louer/lieu-bronschhofen" TargetMode="External"/><Relationship Id="rId10798" Type="http://schemas.openxmlformats.org/officeDocument/2006/relationships/hyperlink" Target="https://www.immoscout24.ch/fr/appartement/louer/quartier-littau-dorf-lucerne" TargetMode="External"/><Relationship Id="rId10799" Type="http://schemas.openxmlformats.org/officeDocument/2006/relationships/hyperlink" Target="https://www.immoscout24.ch/fr/appartement/louer/lieu-brienz-be" TargetMode="External"/><Relationship Id="rId369" Type="http://schemas.openxmlformats.org/officeDocument/2006/relationships/hyperlink" Target="https://www.immoscout24.ch/fr/appartement/louer/lieu-bronschhofen" TargetMode="External"/><Relationship Id="rId10796" Type="http://schemas.openxmlformats.org/officeDocument/2006/relationships/hyperlink" Target="https://www.immoscout24.ch/fr/appartement/louer/lieu-epesses" TargetMode="External"/><Relationship Id="rId368" Type="http://schemas.openxmlformats.org/officeDocument/2006/relationships/hyperlink" Target="https://www.immoscout24.ch/fr/appartement/louer/lieu-verscio" TargetMode="External"/><Relationship Id="rId10797" Type="http://schemas.openxmlformats.org/officeDocument/2006/relationships/hyperlink" Target="https://www.immoscout24.ch/fr/appartement/louer/quartier-littau-dorf-lucerne" TargetMode="External"/><Relationship Id="rId363" Type="http://schemas.openxmlformats.org/officeDocument/2006/relationships/hyperlink" Target="https://www.immoscout24.ch/fr/appartement/louer/lieu-zollikon" TargetMode="External"/><Relationship Id="rId5310" Type="http://schemas.openxmlformats.org/officeDocument/2006/relationships/hyperlink" Target="https://www.immoscout24.ch/fr/maison/acheter/lieu-le-lieu" TargetMode="External"/><Relationship Id="rId6641" Type="http://schemas.openxmlformats.org/officeDocument/2006/relationships/hyperlink" Target="https://www.immoscout24.ch/fr/appartement/louer/lieu-le-sentier" TargetMode="External"/><Relationship Id="rId7973" Type="http://schemas.openxmlformats.org/officeDocument/2006/relationships/hyperlink" Target="https://www.immoscout24.ch/fr/appartement/louer/lieu-steckborn" TargetMode="External"/><Relationship Id="rId10790" Type="http://schemas.openxmlformats.org/officeDocument/2006/relationships/hyperlink" Target="https://www.immoscout24.ch/fr/appartement/acheter/lieu-condemines-nendaz" TargetMode="External"/><Relationship Id="rId362" Type="http://schemas.openxmlformats.org/officeDocument/2006/relationships/hyperlink" Target="https://www.immoscout24.ch/fr/appartement/louer/region-guerbetal-voralpen" TargetMode="External"/><Relationship Id="rId5311" Type="http://schemas.openxmlformats.org/officeDocument/2006/relationships/hyperlink" Target="https://www.immoscout24.ch/fr/maison/acheter/lieu-begnins" TargetMode="External"/><Relationship Id="rId6642" Type="http://schemas.openxmlformats.org/officeDocument/2006/relationships/hyperlink" Target="https://www.immoscout24.ch/fr/appartement/louer/lieu-le-sentier" TargetMode="External"/><Relationship Id="rId7972" Type="http://schemas.openxmlformats.org/officeDocument/2006/relationships/hyperlink" Target="https://www.immoscout24.ch/fr/appartement/acheter/lieu-tenero" TargetMode="External"/><Relationship Id="rId10791" Type="http://schemas.openxmlformats.org/officeDocument/2006/relationships/hyperlink" Target="https://www.immoscout24.ch/fr/appartement/louer/lieu-wald-zh" TargetMode="External"/><Relationship Id="rId361" Type="http://schemas.openxmlformats.org/officeDocument/2006/relationships/hyperlink" Target="https://www.immoscout24.ch/fr/appartement/louer/region-guerbetal-voralpen" TargetMode="External"/><Relationship Id="rId7971" Type="http://schemas.openxmlformats.org/officeDocument/2006/relationships/hyperlink" Target="https://www.immoscout24.ch/fr/appartement/acheter/lieu-tenero" TargetMode="External"/><Relationship Id="rId360" Type="http://schemas.openxmlformats.org/officeDocument/2006/relationships/hyperlink" Target="https://www.immoscout24.ch/fr/maison/louer/lieu-jongny" TargetMode="External"/><Relationship Id="rId6640" Type="http://schemas.openxmlformats.org/officeDocument/2006/relationships/hyperlink" Target="https://www.immoscout24.ch/fr/appartement/louer/lieu-la-vraconnaz" TargetMode="External"/><Relationship Id="rId7970" Type="http://schemas.openxmlformats.org/officeDocument/2006/relationships/hyperlink" Target="https://www.immoscout24.ch/fr/appartement/acheter/lieu-bassecourt" TargetMode="External"/><Relationship Id="rId367" Type="http://schemas.openxmlformats.org/officeDocument/2006/relationships/hyperlink" Target="https://www.immoscout24.ch/fr/appartement/louer/lieu-verscio" TargetMode="External"/><Relationship Id="rId5314" Type="http://schemas.openxmlformats.org/officeDocument/2006/relationships/hyperlink" Target="https://www.immoscout24.ch/fr/appartement/louer/lieu-wangen-b-olten" TargetMode="External"/><Relationship Id="rId6645" Type="http://schemas.openxmlformats.org/officeDocument/2006/relationships/hyperlink" Target="https://www.immoscout24.ch/fr/appartement/louer/lieu-veyras" TargetMode="External"/><Relationship Id="rId7977" Type="http://schemas.openxmlformats.org/officeDocument/2006/relationships/hyperlink" Target="https://www.immoscout24.ch/fr/maison/louer/lieu-pieterlen" TargetMode="External"/><Relationship Id="rId10794" Type="http://schemas.openxmlformats.org/officeDocument/2006/relationships/hyperlink" Target="https://www.immoscout24.ch/fr/appartement/louer/lieu-melide" TargetMode="External"/><Relationship Id="rId366" Type="http://schemas.openxmlformats.org/officeDocument/2006/relationships/hyperlink" Target="https://www.immoscout24.ch/fr/maison/acheter/lieu-dornach" TargetMode="External"/><Relationship Id="rId5315" Type="http://schemas.openxmlformats.org/officeDocument/2006/relationships/hyperlink" Target="https://www.immoscout24.ch/fr/maison/louer/lieu-guemligen" TargetMode="External"/><Relationship Id="rId6646" Type="http://schemas.openxmlformats.org/officeDocument/2006/relationships/hyperlink" Target="https://www.immoscout24.ch/fr/appartement/louer/lieu-veyras" TargetMode="External"/><Relationship Id="rId7976" Type="http://schemas.openxmlformats.org/officeDocument/2006/relationships/hyperlink" Target="https://www.immoscout24.ch/fr/appartement/louer/lieu-thalwil" TargetMode="External"/><Relationship Id="rId10795" Type="http://schemas.openxmlformats.org/officeDocument/2006/relationships/hyperlink" Target="https://www.immoscout24.ch/fr/appartement/louer/lieu-epesses" TargetMode="External"/><Relationship Id="rId365" Type="http://schemas.openxmlformats.org/officeDocument/2006/relationships/hyperlink" Target="https://www.immoscout24.ch/fr/maison/acheter/lieu-dornach" TargetMode="External"/><Relationship Id="rId5312" Type="http://schemas.openxmlformats.org/officeDocument/2006/relationships/hyperlink" Target="https://www.immoscout24.ch/fr/maison/acheter/lieu-begnins" TargetMode="External"/><Relationship Id="rId6643" Type="http://schemas.openxmlformats.org/officeDocument/2006/relationships/hyperlink" Target="https://www.immoscout24.ch/fr/appartement/louer/lieu-champlan-grimisuat" TargetMode="External"/><Relationship Id="rId7975" Type="http://schemas.openxmlformats.org/officeDocument/2006/relationships/hyperlink" Target="https://www.immoscout24.ch/fr/appartement/louer/lieu-thalwil" TargetMode="External"/><Relationship Id="rId10792" Type="http://schemas.openxmlformats.org/officeDocument/2006/relationships/hyperlink" Target="https://www.immoscout24.ch/fr/appartement/louer/lieu-wald-zh" TargetMode="External"/><Relationship Id="rId364" Type="http://schemas.openxmlformats.org/officeDocument/2006/relationships/hyperlink" Target="https://www.immoscout24.ch/fr/appartement/louer/lieu-zollikon" TargetMode="External"/><Relationship Id="rId5313" Type="http://schemas.openxmlformats.org/officeDocument/2006/relationships/hyperlink" Target="https://www.immoscout24.ch/fr/appartement/louer/lieu-wangen-b-olten" TargetMode="External"/><Relationship Id="rId6644" Type="http://schemas.openxmlformats.org/officeDocument/2006/relationships/hyperlink" Target="https://www.immoscout24.ch/fr/appartement/louer/lieu-champlan-grimisuat" TargetMode="External"/><Relationship Id="rId7974" Type="http://schemas.openxmlformats.org/officeDocument/2006/relationships/hyperlink" Target="https://www.immoscout24.ch/fr/appartement/louer/lieu-steckborn" TargetMode="External"/><Relationship Id="rId10793" Type="http://schemas.openxmlformats.org/officeDocument/2006/relationships/hyperlink" Target="https://www.immoscout24.ch/fr/appartement/louer/lieu-melide" TargetMode="External"/><Relationship Id="rId95" Type="http://schemas.openxmlformats.org/officeDocument/2006/relationships/hyperlink" Target="https://www.immoscout24.ch/fr/appartement/louer/lieu-koelliken" TargetMode="External"/><Relationship Id="rId5307" Type="http://schemas.openxmlformats.org/officeDocument/2006/relationships/hyperlink" Target="https://www.immoscout24.ch/fr/maison/acheter/lieu-meyrin" TargetMode="External"/><Relationship Id="rId6638" Type="http://schemas.openxmlformats.org/officeDocument/2006/relationships/hyperlink" Target="https://www.immoscout24.ch/fr/maison/acheter/lieu-athenaz-avusy" TargetMode="External"/><Relationship Id="rId94" Type="http://schemas.openxmlformats.org/officeDocument/2006/relationships/hyperlink" Target="https://www.immoscout24.ch/fr/appartement/acheter/lieu-freienbach" TargetMode="External"/><Relationship Id="rId5308" Type="http://schemas.openxmlformats.org/officeDocument/2006/relationships/hyperlink" Target="https://www.immoscout24.ch/fr/maison/acheter/lieu-meyrin" TargetMode="External"/><Relationship Id="rId6639" Type="http://schemas.openxmlformats.org/officeDocument/2006/relationships/hyperlink" Target="https://www.immoscout24.ch/fr/appartement/louer/lieu-la-vraconnaz" TargetMode="External"/><Relationship Id="rId7969" Type="http://schemas.openxmlformats.org/officeDocument/2006/relationships/hyperlink" Target="https://www.immoscout24.ch/fr/appartement/acheter/lieu-bassecourt" TargetMode="External"/><Relationship Id="rId97" Type="http://schemas.openxmlformats.org/officeDocument/2006/relationships/hyperlink" Target="https://www.immoscout24.ch/fr/maison/acheter/lieu-gerra-verzasca" TargetMode="External"/><Relationship Id="rId5305" Type="http://schemas.openxmlformats.org/officeDocument/2006/relationships/hyperlink" Target="https://www.immoscout24.ch/fr/appartement/louer/lieu-daellikon" TargetMode="External"/><Relationship Id="rId6636" Type="http://schemas.openxmlformats.org/officeDocument/2006/relationships/hyperlink" Target="https://www.immoscout24.ch/fr/maison/louer/lieu-font" TargetMode="External"/><Relationship Id="rId7968" Type="http://schemas.openxmlformats.org/officeDocument/2006/relationships/hyperlink" Target="https://www.immoscout24.ch/fr/maison/acheter/lieu-adelboden" TargetMode="External"/><Relationship Id="rId96" Type="http://schemas.openxmlformats.org/officeDocument/2006/relationships/hyperlink" Target="https://www.immoscout24.ch/fr/appartement/louer/lieu-koelliken" TargetMode="External"/><Relationship Id="rId5306" Type="http://schemas.openxmlformats.org/officeDocument/2006/relationships/hyperlink" Target="https://www.immoscout24.ch/fr/appartement/louer/lieu-daellikon" TargetMode="External"/><Relationship Id="rId6637" Type="http://schemas.openxmlformats.org/officeDocument/2006/relationships/hyperlink" Target="https://www.immoscout24.ch/fr/maison/acheter/lieu-athenaz-avusy" TargetMode="External"/><Relationship Id="rId7967" Type="http://schemas.openxmlformats.org/officeDocument/2006/relationships/hyperlink" Target="https://www.immoscout24.ch/fr/maison/acheter/lieu-adelboden" TargetMode="External"/><Relationship Id="rId99" Type="http://schemas.openxmlformats.org/officeDocument/2006/relationships/hyperlink" Target="https://www.immoscout24.ch/fr/appartement/louer/lieu-rheinau" TargetMode="External"/><Relationship Id="rId98" Type="http://schemas.openxmlformats.org/officeDocument/2006/relationships/hyperlink" Target="https://www.immoscout24.ch/fr/maison/acheter/lieu-gerra-verzasca" TargetMode="External"/><Relationship Id="rId5309" Type="http://schemas.openxmlformats.org/officeDocument/2006/relationships/hyperlink" Target="https://www.immoscout24.ch/fr/maison/acheter/lieu-le-lieu" TargetMode="External"/><Relationship Id="rId91" Type="http://schemas.openxmlformats.org/officeDocument/2006/relationships/hyperlink" Target="https://www.immoscout24.ch/fr/appartement/acheter/lieu-jonen" TargetMode="External"/><Relationship Id="rId90" Type="http://schemas.openxmlformats.org/officeDocument/2006/relationships/hyperlink" Target="https://www.immoscout24.ch/fr/maison/acheter/lieu-engi" TargetMode="External"/><Relationship Id="rId93" Type="http://schemas.openxmlformats.org/officeDocument/2006/relationships/hyperlink" Target="https://www.immoscout24.ch/fr/appartement/acheter/lieu-freienbach" TargetMode="External"/><Relationship Id="rId92" Type="http://schemas.openxmlformats.org/officeDocument/2006/relationships/hyperlink" Target="https://www.immoscout24.ch/fr/appartement/acheter/lieu-jonen" TargetMode="External"/><Relationship Id="rId359" Type="http://schemas.openxmlformats.org/officeDocument/2006/relationships/hyperlink" Target="https://www.immoscout24.ch/fr/maison/louer/lieu-jongny" TargetMode="External"/><Relationship Id="rId358" Type="http://schemas.openxmlformats.org/officeDocument/2006/relationships/hyperlink" Target="https://www.immoscout24.ch/fr/appartement/louer/lieu-gachnang" TargetMode="External"/><Relationship Id="rId357" Type="http://schemas.openxmlformats.org/officeDocument/2006/relationships/hyperlink" Target="https://www.immoscout24.ch/fr/appartement/louer/lieu-gachnang" TargetMode="External"/><Relationship Id="rId352" Type="http://schemas.openxmlformats.org/officeDocument/2006/relationships/hyperlink" Target="https://www.immoscout24.ch/fr/maison/louer/lieu-aarburg" TargetMode="External"/><Relationship Id="rId6630" Type="http://schemas.openxmlformats.org/officeDocument/2006/relationships/hyperlink" Target="https://www.immoscout24.ch/fr/maison/acheter/lieu-corjolens" TargetMode="External"/><Relationship Id="rId7962" Type="http://schemas.openxmlformats.org/officeDocument/2006/relationships/hyperlink" Target="https://www.immoscout24.ch/fr/maison/louer/lieu-villars-sur-ollon" TargetMode="External"/><Relationship Id="rId351" Type="http://schemas.openxmlformats.org/officeDocument/2006/relationships/hyperlink" Target="https://www.immoscout24.ch/fr/maison/louer/lieu-aarburg" TargetMode="External"/><Relationship Id="rId5300" Type="http://schemas.openxmlformats.org/officeDocument/2006/relationships/hyperlink" Target="https://www.immoscout24.ch/fr/appartement/louer/lieu-reconvilier" TargetMode="External"/><Relationship Id="rId6631" Type="http://schemas.openxmlformats.org/officeDocument/2006/relationships/hyperlink" Target="https://www.immoscout24.ch/fr/appartement/acheter/lieu-bellerive-vd" TargetMode="External"/><Relationship Id="rId7961" Type="http://schemas.openxmlformats.org/officeDocument/2006/relationships/hyperlink" Target="https://www.immoscout24.ch/fr/maison/louer/lieu-villars-sur-ollon" TargetMode="External"/><Relationship Id="rId350" Type="http://schemas.openxmlformats.org/officeDocument/2006/relationships/hyperlink" Target="https://www.immoscout24.ch/fr/appartement/acheter/lieu-sierre" TargetMode="External"/><Relationship Id="rId7960" Type="http://schemas.openxmlformats.org/officeDocument/2006/relationships/hyperlink" Target="https://www.immoscout24.ch/fr/appartement/acheter/secteur-kreis-7" TargetMode="External"/><Relationship Id="rId356" Type="http://schemas.openxmlformats.org/officeDocument/2006/relationships/hyperlink" Target="https://www.immoscout24.ch/fr/maison/acheter/lieu-vaulion" TargetMode="External"/><Relationship Id="rId5303" Type="http://schemas.openxmlformats.org/officeDocument/2006/relationships/hyperlink" Target="https://www.immoscout24.ch/fr/appartement/acheter/quartier-montriond-cour-lausanne" TargetMode="External"/><Relationship Id="rId6634" Type="http://schemas.openxmlformats.org/officeDocument/2006/relationships/hyperlink" Target="https://www.immoscout24.ch/fr/appartement/acheter/lieu-icogne" TargetMode="External"/><Relationship Id="rId7966" Type="http://schemas.openxmlformats.org/officeDocument/2006/relationships/hyperlink" Target="https://www.immoscout24.ch/fr/appartement/acheter/lieu-graechen" TargetMode="External"/><Relationship Id="rId355" Type="http://schemas.openxmlformats.org/officeDocument/2006/relationships/hyperlink" Target="https://www.immoscout24.ch/fr/maison/acheter/lieu-vaulion" TargetMode="External"/><Relationship Id="rId5304" Type="http://schemas.openxmlformats.org/officeDocument/2006/relationships/hyperlink" Target="https://www.immoscout24.ch/fr/appartement/acheter/quartier-montriond-cour-lausanne" TargetMode="External"/><Relationship Id="rId6635" Type="http://schemas.openxmlformats.org/officeDocument/2006/relationships/hyperlink" Target="https://www.immoscout24.ch/fr/maison/louer/lieu-font" TargetMode="External"/><Relationship Id="rId7965" Type="http://schemas.openxmlformats.org/officeDocument/2006/relationships/hyperlink" Target="https://www.immoscout24.ch/fr/appartement/acheter/lieu-graechen" TargetMode="External"/><Relationship Id="rId354" Type="http://schemas.openxmlformats.org/officeDocument/2006/relationships/hyperlink" Target="https://www.immoscout24.ch/fr/appartement/louer/lieu-courtedoux" TargetMode="External"/><Relationship Id="rId5301" Type="http://schemas.openxmlformats.org/officeDocument/2006/relationships/hyperlink" Target="https://www.immoscout24.ch/fr/appartement/acheter/quartier-grand-pre-vermont-geneve" TargetMode="External"/><Relationship Id="rId6632" Type="http://schemas.openxmlformats.org/officeDocument/2006/relationships/hyperlink" Target="https://www.immoscout24.ch/fr/appartement/acheter/lieu-bellerive-vd" TargetMode="External"/><Relationship Id="rId7964" Type="http://schemas.openxmlformats.org/officeDocument/2006/relationships/hyperlink" Target="https://www.immoscout24.ch/fr/appartement/louer/lieu-arconciel" TargetMode="External"/><Relationship Id="rId353" Type="http://schemas.openxmlformats.org/officeDocument/2006/relationships/hyperlink" Target="https://www.immoscout24.ch/fr/appartement/louer/lieu-courtedoux" TargetMode="External"/><Relationship Id="rId5302" Type="http://schemas.openxmlformats.org/officeDocument/2006/relationships/hyperlink" Target="https://www.immoscout24.ch/fr/appartement/acheter/quartier-grand-pre-vermont-geneve" TargetMode="External"/><Relationship Id="rId6633" Type="http://schemas.openxmlformats.org/officeDocument/2006/relationships/hyperlink" Target="https://www.immoscout24.ch/fr/appartement/acheter/lieu-icogne" TargetMode="External"/><Relationship Id="rId7963" Type="http://schemas.openxmlformats.org/officeDocument/2006/relationships/hyperlink" Target="https://www.immoscout24.ch/fr/appartement/louer/lieu-arconciel" TargetMode="External"/><Relationship Id="rId7915" Type="http://schemas.openxmlformats.org/officeDocument/2006/relationships/hyperlink" Target="https://www.immoscout24.ch/fr/appartement/louer/lieu-morcote" TargetMode="External"/><Relationship Id="rId7914" Type="http://schemas.openxmlformats.org/officeDocument/2006/relationships/hyperlink" Target="https://www.immoscout24.ch/fr/appartement/acheter/lieu-lenk-im-simmental" TargetMode="External"/><Relationship Id="rId7913" Type="http://schemas.openxmlformats.org/officeDocument/2006/relationships/hyperlink" Target="https://www.immoscout24.ch/fr/appartement/acheter/lieu-lenk-im-simmental" TargetMode="External"/><Relationship Id="rId7912" Type="http://schemas.openxmlformats.org/officeDocument/2006/relationships/hyperlink" Target="https://www.immoscout24.ch/fr/maison/louer/lieu-st-aubin-fr" TargetMode="External"/><Relationship Id="rId7919" Type="http://schemas.openxmlformats.org/officeDocument/2006/relationships/hyperlink" Target="https://www.immoscout24.ch/fr/appartement/acheter/lieu-monte-bre-sopra-locarno" TargetMode="External"/><Relationship Id="rId7918" Type="http://schemas.openxmlformats.org/officeDocument/2006/relationships/hyperlink" Target="https://www.immoscout24.ch/fr/maison/louer/lieu-vissoie" TargetMode="External"/><Relationship Id="rId7917" Type="http://schemas.openxmlformats.org/officeDocument/2006/relationships/hyperlink" Target="https://www.immoscout24.ch/fr/maison/louer/lieu-vissoie" TargetMode="External"/><Relationship Id="rId7916" Type="http://schemas.openxmlformats.org/officeDocument/2006/relationships/hyperlink" Target="https://www.immoscout24.ch/fr/appartement/louer/lieu-morcote" TargetMode="External"/><Relationship Id="rId305" Type="http://schemas.openxmlformats.org/officeDocument/2006/relationships/hyperlink" Target="https://www.immoscout24.ch/fr/maison/acheter/lieu-ostermundigen" TargetMode="External"/><Relationship Id="rId304" Type="http://schemas.openxmlformats.org/officeDocument/2006/relationships/hyperlink" Target="https://www.immoscout24.ch/fr/appartement/louer/lieu-thierachern" TargetMode="External"/><Relationship Id="rId303" Type="http://schemas.openxmlformats.org/officeDocument/2006/relationships/hyperlink" Target="https://www.immoscout24.ch/fr/appartement/louer/lieu-thierachern" TargetMode="External"/><Relationship Id="rId302" Type="http://schemas.openxmlformats.org/officeDocument/2006/relationships/hyperlink" Target="https://www.immoscout24.ch/fr/appartement/acheter/lieu-fiez" TargetMode="External"/><Relationship Id="rId309" Type="http://schemas.openxmlformats.org/officeDocument/2006/relationships/hyperlink" Target="https://www.immoscout24.ch/fr/maison/acheter/region-toggenburg" TargetMode="External"/><Relationship Id="rId308" Type="http://schemas.openxmlformats.org/officeDocument/2006/relationships/hyperlink" Target="https://www.immoscout24.ch/fr/maison/louer/lieu-boll" TargetMode="External"/><Relationship Id="rId307" Type="http://schemas.openxmlformats.org/officeDocument/2006/relationships/hyperlink" Target="https://www.immoscout24.ch/fr/maison/louer/lieu-boll" TargetMode="External"/><Relationship Id="rId306" Type="http://schemas.openxmlformats.org/officeDocument/2006/relationships/hyperlink" Target="https://www.immoscout24.ch/fr/maison/acheter/lieu-ostermundigen" TargetMode="External"/><Relationship Id="rId301" Type="http://schemas.openxmlformats.org/officeDocument/2006/relationships/hyperlink" Target="https://www.immoscout24.ch/fr/appartement/acheter/lieu-fiez" TargetMode="External"/><Relationship Id="rId7911" Type="http://schemas.openxmlformats.org/officeDocument/2006/relationships/hyperlink" Target="https://www.immoscout24.ch/fr/maison/louer/lieu-st-aubin-fr" TargetMode="External"/><Relationship Id="rId300" Type="http://schemas.openxmlformats.org/officeDocument/2006/relationships/hyperlink" Target="https://www.immoscout24.ch/fr/appartement/acheter/lieu-disentis-muster" TargetMode="External"/><Relationship Id="rId7910" Type="http://schemas.openxmlformats.org/officeDocument/2006/relationships/hyperlink" Target="https://www.immoscout24.ch/fr/appartement/louer/region-montagnes-neuchateloises" TargetMode="External"/><Relationship Id="rId7904" Type="http://schemas.openxmlformats.org/officeDocument/2006/relationships/hyperlink" Target="https://www.immoscout24.ch/fr/appartement/louer/quartier-batie-acacias-geneve" TargetMode="External"/><Relationship Id="rId7903" Type="http://schemas.openxmlformats.org/officeDocument/2006/relationships/hyperlink" Target="https://www.immoscout24.ch/fr/appartement/louer/quartier-batie-acacias-geneve" TargetMode="External"/><Relationship Id="rId7902" Type="http://schemas.openxmlformats.org/officeDocument/2006/relationships/hyperlink" Target="https://www.immoscout24.ch/fr/appartement/louer/lieu-uebeschi" TargetMode="External"/><Relationship Id="rId7901" Type="http://schemas.openxmlformats.org/officeDocument/2006/relationships/hyperlink" Target="https://www.immoscout24.ch/fr/appartement/louer/lieu-uebeschi" TargetMode="External"/><Relationship Id="rId7908" Type="http://schemas.openxmlformats.org/officeDocument/2006/relationships/hyperlink" Target="https://www.immoscout24.ch/fr/maison/acheter/lieu-wichtrach" TargetMode="External"/><Relationship Id="rId7907" Type="http://schemas.openxmlformats.org/officeDocument/2006/relationships/hyperlink" Target="https://www.immoscout24.ch/fr/maison/acheter/lieu-wichtrach" TargetMode="External"/><Relationship Id="rId7906" Type="http://schemas.openxmlformats.org/officeDocument/2006/relationships/hyperlink" Target="https://www.immoscout24.ch/fr/appartement/louer/lieu-epalinges" TargetMode="External"/><Relationship Id="rId7905" Type="http://schemas.openxmlformats.org/officeDocument/2006/relationships/hyperlink" Target="https://www.immoscout24.ch/fr/appartement/louer/lieu-epalinges" TargetMode="External"/><Relationship Id="rId7909" Type="http://schemas.openxmlformats.org/officeDocument/2006/relationships/hyperlink" Target="https://www.immoscout24.ch/fr/appartement/louer/region-montagnes-neuchateloises" TargetMode="External"/><Relationship Id="rId7900" Type="http://schemas.openxmlformats.org/officeDocument/2006/relationships/hyperlink" Target="https://www.immoscout24.ch/fr/appartement/louer/lieu-bueren-an-der-aare" TargetMode="External"/><Relationship Id="rId6605" Type="http://schemas.openxmlformats.org/officeDocument/2006/relationships/hyperlink" Target="https://www.immoscout24.ch/fr/maison/louer/canton-jura" TargetMode="External"/><Relationship Id="rId7937" Type="http://schemas.openxmlformats.org/officeDocument/2006/relationships/hyperlink" Target="https://www.immoscout24.ch/fr/maison/acheter/lieu-lungern" TargetMode="External"/><Relationship Id="rId6606" Type="http://schemas.openxmlformats.org/officeDocument/2006/relationships/hyperlink" Target="https://www.immoscout24.ch/fr/maison/louer/canton-jura" TargetMode="External"/><Relationship Id="rId7936" Type="http://schemas.openxmlformats.org/officeDocument/2006/relationships/hyperlink" Target="https://www.immoscout24.ch/fr/maison/acheter/lieu-thoerishaus" TargetMode="External"/><Relationship Id="rId6603" Type="http://schemas.openxmlformats.org/officeDocument/2006/relationships/hyperlink" Target="https://www.immoscout24.ch/fr/appartement/acheter/region-rorschach-st-gallen" TargetMode="External"/><Relationship Id="rId7935" Type="http://schemas.openxmlformats.org/officeDocument/2006/relationships/hyperlink" Target="https://www.immoscout24.ch/fr/maison/acheter/lieu-thoerishaus" TargetMode="External"/><Relationship Id="rId6604" Type="http://schemas.openxmlformats.org/officeDocument/2006/relationships/hyperlink" Target="https://www.immoscout24.ch/fr/appartement/acheter/region-rorschach-st-gallen" TargetMode="External"/><Relationship Id="rId7934" Type="http://schemas.openxmlformats.org/officeDocument/2006/relationships/hyperlink" Target="https://www.immoscout24.ch/fr/appartement/acheter/lieu-oberaegeri" TargetMode="External"/><Relationship Id="rId6609" Type="http://schemas.openxmlformats.org/officeDocument/2006/relationships/hyperlink" Target="https://www.immoscout24.ch/fr/appartement/louer/lieu-fontaines-ne" TargetMode="External"/><Relationship Id="rId6607" Type="http://schemas.openxmlformats.org/officeDocument/2006/relationships/hyperlink" Target="https://www.immoscout24.ch/fr/maison/louer/lieu-portalban" TargetMode="External"/><Relationship Id="rId7939" Type="http://schemas.openxmlformats.org/officeDocument/2006/relationships/hyperlink" Target="https://www.immoscout24.ch/fr/appartement/acheter/lieu-benken-zh" TargetMode="External"/><Relationship Id="rId6608" Type="http://schemas.openxmlformats.org/officeDocument/2006/relationships/hyperlink" Target="https://www.immoscout24.ch/fr/maison/louer/lieu-portalban" TargetMode="External"/><Relationship Id="rId7938" Type="http://schemas.openxmlformats.org/officeDocument/2006/relationships/hyperlink" Target="https://www.immoscout24.ch/fr/maison/acheter/lieu-lungern" TargetMode="External"/><Relationship Id="rId327" Type="http://schemas.openxmlformats.org/officeDocument/2006/relationships/hyperlink" Target="https://www.immoscout24.ch/fr/maison/acheter/lieu-eich" TargetMode="External"/><Relationship Id="rId326" Type="http://schemas.openxmlformats.org/officeDocument/2006/relationships/hyperlink" Target="https://www.immoscout24.ch/fr/appartement/louer/lieu-st-blaise" TargetMode="External"/><Relationship Id="rId325" Type="http://schemas.openxmlformats.org/officeDocument/2006/relationships/hyperlink" Target="https://www.immoscout24.ch/fr/appartement/louer/lieu-st-blaise" TargetMode="External"/><Relationship Id="rId324" Type="http://schemas.openxmlformats.org/officeDocument/2006/relationships/hyperlink" Target="https://www.immoscout24.ch/fr/appartement/acheter/lieu-grandcour" TargetMode="External"/><Relationship Id="rId329" Type="http://schemas.openxmlformats.org/officeDocument/2006/relationships/hyperlink" Target="https://www.immoscout24.ch/fr/maison/louer/lieu-farvagny" TargetMode="External"/><Relationship Id="rId328" Type="http://schemas.openxmlformats.org/officeDocument/2006/relationships/hyperlink" Target="https://www.immoscout24.ch/fr/maison/acheter/lieu-eich" TargetMode="External"/><Relationship Id="rId323" Type="http://schemas.openxmlformats.org/officeDocument/2006/relationships/hyperlink" Target="https://www.immoscout24.ch/fr/appartement/acheter/lieu-grandcour" TargetMode="External"/><Relationship Id="rId6601" Type="http://schemas.openxmlformats.org/officeDocument/2006/relationships/hyperlink" Target="https://www.immoscout24.ch/fr/maison/acheter/lieu-kuesnacht-zh" TargetMode="External"/><Relationship Id="rId7933" Type="http://schemas.openxmlformats.org/officeDocument/2006/relationships/hyperlink" Target="https://www.immoscout24.ch/fr/appartement/acheter/lieu-oberaegeri" TargetMode="External"/><Relationship Id="rId322" Type="http://schemas.openxmlformats.org/officeDocument/2006/relationships/hyperlink" Target="https://www.immoscout24.ch/fr/appartement/acheter/pays-espagne" TargetMode="External"/><Relationship Id="rId6602" Type="http://schemas.openxmlformats.org/officeDocument/2006/relationships/hyperlink" Target="https://www.immoscout24.ch/fr/maison/acheter/lieu-kuesnacht-zh" TargetMode="External"/><Relationship Id="rId7932" Type="http://schemas.openxmlformats.org/officeDocument/2006/relationships/hyperlink" Target="https://www.immoscout24.ch/fr/appartement/louer/quartier-kirchenfeld-berne" TargetMode="External"/><Relationship Id="rId321" Type="http://schemas.openxmlformats.org/officeDocument/2006/relationships/hyperlink" Target="https://www.immoscout24.ch/fr/appartement/acheter/pays-espagne" TargetMode="External"/><Relationship Id="rId7931" Type="http://schemas.openxmlformats.org/officeDocument/2006/relationships/hyperlink" Target="https://www.immoscout24.ch/fr/appartement/louer/quartier-kirchenfeld-berne" TargetMode="External"/><Relationship Id="rId320" Type="http://schemas.openxmlformats.org/officeDocument/2006/relationships/hyperlink" Target="https://www.immoscout24.ch/fr/appartement/louer/quartier-rotmonten-st-gall" TargetMode="External"/><Relationship Id="rId6600" Type="http://schemas.openxmlformats.org/officeDocument/2006/relationships/hyperlink" Target="https://www.immoscout24.ch/fr/appartement/louer/lieu-emmetten" TargetMode="External"/><Relationship Id="rId7930" Type="http://schemas.openxmlformats.org/officeDocument/2006/relationships/hyperlink" Target="https://www.immoscout24.ch/fr/maison/acheter/lieu-grafenried" TargetMode="External"/><Relationship Id="rId7926" Type="http://schemas.openxmlformats.org/officeDocument/2006/relationships/hyperlink" Target="https://www.immoscout24.ch/fr/maison/acheter/lieu-vallon" TargetMode="External"/><Relationship Id="rId7925" Type="http://schemas.openxmlformats.org/officeDocument/2006/relationships/hyperlink" Target="https://www.immoscout24.ch/fr/maison/acheter/lieu-vallon" TargetMode="External"/><Relationship Id="rId7924" Type="http://schemas.openxmlformats.org/officeDocument/2006/relationships/hyperlink" Target="https://www.immoscout24.ch/fr/maison/louer/lieu-corminboeuf" TargetMode="External"/><Relationship Id="rId7923" Type="http://schemas.openxmlformats.org/officeDocument/2006/relationships/hyperlink" Target="https://www.immoscout24.ch/fr/maison/louer/lieu-corminboeuf" TargetMode="External"/><Relationship Id="rId7929" Type="http://schemas.openxmlformats.org/officeDocument/2006/relationships/hyperlink" Target="https://www.immoscout24.ch/fr/maison/acheter/lieu-grafenried" TargetMode="External"/><Relationship Id="rId7928" Type="http://schemas.openxmlformats.org/officeDocument/2006/relationships/hyperlink" Target="https://www.immoscout24.ch/fr/appartement/acheter/lieu-belfaux" TargetMode="External"/><Relationship Id="rId7927" Type="http://schemas.openxmlformats.org/officeDocument/2006/relationships/hyperlink" Target="https://www.immoscout24.ch/fr/appartement/acheter/lieu-belfaux" TargetMode="External"/><Relationship Id="rId316" Type="http://schemas.openxmlformats.org/officeDocument/2006/relationships/hyperlink" Target="https://www.immoscout24.ch/fr/appartement/louer/lieu-fenin" TargetMode="External"/><Relationship Id="rId315" Type="http://schemas.openxmlformats.org/officeDocument/2006/relationships/hyperlink" Target="https://www.immoscout24.ch/fr/appartement/louer/lieu-fenin" TargetMode="External"/><Relationship Id="rId314" Type="http://schemas.openxmlformats.org/officeDocument/2006/relationships/hyperlink" Target="https://www.immoscout24.ch/fr/maison/louer/lieu-bramois" TargetMode="External"/><Relationship Id="rId313" Type="http://schemas.openxmlformats.org/officeDocument/2006/relationships/hyperlink" Target="https://www.immoscout24.ch/fr/maison/louer/lieu-bramois" TargetMode="External"/><Relationship Id="rId319" Type="http://schemas.openxmlformats.org/officeDocument/2006/relationships/hyperlink" Target="https://www.immoscout24.ch/fr/appartement/louer/quartier-rotmonten-st-gall" TargetMode="External"/><Relationship Id="rId318" Type="http://schemas.openxmlformats.org/officeDocument/2006/relationships/hyperlink" Target="https://www.immoscout24.ch/fr/appartement/louer/lieu-st-cergue" TargetMode="External"/><Relationship Id="rId317" Type="http://schemas.openxmlformats.org/officeDocument/2006/relationships/hyperlink" Target="https://www.immoscout24.ch/fr/appartement/louer/lieu-st-cergue" TargetMode="External"/><Relationship Id="rId312" Type="http://schemas.openxmlformats.org/officeDocument/2006/relationships/hyperlink" Target="https://www.immoscout24.ch/fr/maison/louer/canton-geneve" TargetMode="External"/><Relationship Id="rId7922" Type="http://schemas.openxmlformats.org/officeDocument/2006/relationships/hyperlink" Target="https://www.immoscout24.ch/fr/appartement/louer/quartier-paquis-geneve" TargetMode="External"/><Relationship Id="rId311" Type="http://schemas.openxmlformats.org/officeDocument/2006/relationships/hyperlink" Target="https://www.immoscout24.ch/fr/maison/louer/canton-geneve" TargetMode="External"/><Relationship Id="rId7921" Type="http://schemas.openxmlformats.org/officeDocument/2006/relationships/hyperlink" Target="https://www.immoscout24.ch/fr/appartement/louer/quartier-paquis-geneve" TargetMode="External"/><Relationship Id="rId310" Type="http://schemas.openxmlformats.org/officeDocument/2006/relationships/hyperlink" Target="https://www.immoscout24.ch/fr/maison/acheter/region-toggenburg" TargetMode="External"/><Relationship Id="rId7920" Type="http://schemas.openxmlformats.org/officeDocument/2006/relationships/hyperlink" Target="https://www.immoscout24.ch/fr/appartement/acheter/lieu-monte-bre-sopra-locarno" TargetMode="External"/><Relationship Id="rId10619" Type="http://schemas.openxmlformats.org/officeDocument/2006/relationships/hyperlink" Target="https://www.immoscout24.ch/fr/appartement/louer/lieu-rickenbach-b-schwyz" TargetMode="External"/><Relationship Id="rId10617" Type="http://schemas.openxmlformats.org/officeDocument/2006/relationships/hyperlink" Target="https://www.immoscout24.ch/fr/appartement/acheter/lieu-villars-tiercelin" TargetMode="External"/><Relationship Id="rId11949" Type="http://schemas.openxmlformats.org/officeDocument/2006/relationships/hyperlink" Target="https://www.immoscout24.ch/fr/appartement/louer/lieu-le-cret-du-locle" TargetMode="External"/><Relationship Id="rId10618" Type="http://schemas.openxmlformats.org/officeDocument/2006/relationships/hyperlink" Target="https://www.immoscout24.ch/fr/appartement/acheter/lieu-villars-tiercelin" TargetMode="External"/><Relationship Id="rId11948" Type="http://schemas.openxmlformats.org/officeDocument/2006/relationships/hyperlink" Target="https://www.immoscout24.ch/fr/maison/louer/lieu-presinge" TargetMode="External"/><Relationship Id="rId10611" Type="http://schemas.openxmlformats.org/officeDocument/2006/relationships/hyperlink" Target="https://www.immoscout24.ch/fr/maison/acheter/lieu-varen" TargetMode="External"/><Relationship Id="rId11943" Type="http://schemas.openxmlformats.org/officeDocument/2006/relationships/hyperlink" Target="https://www.immoscout24.ch/fr/maison/acheter/lieu-sarnen" TargetMode="External"/><Relationship Id="rId10612" Type="http://schemas.openxmlformats.org/officeDocument/2006/relationships/hyperlink" Target="https://www.immoscout24.ch/fr/maison/acheter/lieu-varen" TargetMode="External"/><Relationship Id="rId11942" Type="http://schemas.openxmlformats.org/officeDocument/2006/relationships/hyperlink" Target="https://www.immoscout24.ch/fr/maison/louer/lieu-st-prex" TargetMode="External"/><Relationship Id="rId11941" Type="http://schemas.openxmlformats.org/officeDocument/2006/relationships/hyperlink" Target="https://www.immoscout24.ch/fr/maison/louer/lieu-st-prex" TargetMode="External"/><Relationship Id="rId10610" Type="http://schemas.openxmlformats.org/officeDocument/2006/relationships/hyperlink" Target="https://www.immoscout24.ch/fr/maison/acheter/lieu-bern" TargetMode="External"/><Relationship Id="rId11940" Type="http://schemas.openxmlformats.org/officeDocument/2006/relationships/hyperlink" Target="https://www.immoscout24.ch/fr/appartement/acheter/lieu-luzern" TargetMode="External"/><Relationship Id="rId4040" Type="http://schemas.openxmlformats.org/officeDocument/2006/relationships/hyperlink" Target="https://www.immoscout24.ch/fr/appartement/louer/quartier-ruche-la-chaux-de-fonds" TargetMode="External"/><Relationship Id="rId5372" Type="http://schemas.openxmlformats.org/officeDocument/2006/relationships/hyperlink" Target="https://www.immoscout24.ch/fr/appartement/louer/lieu-loc" TargetMode="External"/><Relationship Id="rId10615" Type="http://schemas.openxmlformats.org/officeDocument/2006/relationships/hyperlink" Target="https://www.immoscout24.ch/fr/maison/acheter/lieu-renan-be" TargetMode="External"/><Relationship Id="rId11947" Type="http://schemas.openxmlformats.org/officeDocument/2006/relationships/hyperlink" Target="https://www.immoscout24.ch/fr/maison/louer/lieu-presinge" TargetMode="External"/><Relationship Id="rId5373" Type="http://schemas.openxmlformats.org/officeDocument/2006/relationships/hyperlink" Target="https://www.immoscout24.ch/fr/maison/acheter/lieu-carouge-ge" TargetMode="External"/><Relationship Id="rId10616" Type="http://schemas.openxmlformats.org/officeDocument/2006/relationships/hyperlink" Target="https://www.immoscout24.ch/fr/maison/acheter/lieu-renan-be" TargetMode="External"/><Relationship Id="rId11946" Type="http://schemas.openxmlformats.org/officeDocument/2006/relationships/hyperlink" Target="https://www.immoscout24.ch/fr/maison/louer/lieu-frick" TargetMode="External"/><Relationship Id="rId4042" Type="http://schemas.openxmlformats.org/officeDocument/2006/relationships/hyperlink" Target="https://www.immoscout24.ch/fr/appartement/louer/lieu-montalchez" TargetMode="External"/><Relationship Id="rId5370" Type="http://schemas.openxmlformats.org/officeDocument/2006/relationships/hyperlink" Target="https://www.immoscout24.ch/fr/appartement/louer/lieu-madulain" TargetMode="External"/><Relationship Id="rId10613" Type="http://schemas.openxmlformats.org/officeDocument/2006/relationships/hyperlink" Target="https://www.immoscout24.ch/fr/appartement/acheter/lieu-dottikon" TargetMode="External"/><Relationship Id="rId11945" Type="http://schemas.openxmlformats.org/officeDocument/2006/relationships/hyperlink" Target="https://www.immoscout24.ch/fr/maison/louer/lieu-frick" TargetMode="External"/><Relationship Id="rId4041" Type="http://schemas.openxmlformats.org/officeDocument/2006/relationships/hyperlink" Target="https://www.immoscout24.ch/fr/appartement/louer/lieu-montalchez" TargetMode="External"/><Relationship Id="rId5371" Type="http://schemas.openxmlformats.org/officeDocument/2006/relationships/hyperlink" Target="https://www.immoscout24.ch/fr/appartement/louer/lieu-loc" TargetMode="External"/><Relationship Id="rId10614" Type="http://schemas.openxmlformats.org/officeDocument/2006/relationships/hyperlink" Target="https://www.immoscout24.ch/fr/appartement/acheter/lieu-dottikon" TargetMode="External"/><Relationship Id="rId11944" Type="http://schemas.openxmlformats.org/officeDocument/2006/relationships/hyperlink" Target="https://www.immoscout24.ch/fr/maison/acheter/lieu-sarnen" TargetMode="External"/><Relationship Id="rId4044" Type="http://schemas.openxmlformats.org/officeDocument/2006/relationships/hyperlink" Target="https://www.immoscout24.ch/fr/appartement/louer/quartier-hottingen-zurich" TargetMode="External"/><Relationship Id="rId5376" Type="http://schemas.openxmlformats.org/officeDocument/2006/relationships/hyperlink" Target="https://www.immoscout24.ch/fr/appartement/acheter/lieu-laax-gr" TargetMode="External"/><Relationship Id="rId4043" Type="http://schemas.openxmlformats.org/officeDocument/2006/relationships/hyperlink" Target="https://www.immoscout24.ch/fr/appartement/louer/quartier-hottingen-zurich" TargetMode="External"/><Relationship Id="rId5377" Type="http://schemas.openxmlformats.org/officeDocument/2006/relationships/hyperlink" Target="https://www.immoscout24.ch/fr/appartement/louer/lieu-muntelier" TargetMode="External"/><Relationship Id="rId4046" Type="http://schemas.openxmlformats.org/officeDocument/2006/relationships/hyperlink" Target="https://www.immoscout24.ch/fr/appartement/louer/canton-geneve" TargetMode="External"/><Relationship Id="rId5374" Type="http://schemas.openxmlformats.org/officeDocument/2006/relationships/hyperlink" Target="https://www.immoscout24.ch/fr/maison/acheter/lieu-carouge-ge" TargetMode="External"/><Relationship Id="rId4045" Type="http://schemas.openxmlformats.org/officeDocument/2006/relationships/hyperlink" Target="https://www.immoscout24.ch/fr/appartement/louer/canton-geneve" TargetMode="External"/><Relationship Id="rId5375" Type="http://schemas.openxmlformats.org/officeDocument/2006/relationships/hyperlink" Target="https://www.immoscout24.ch/fr/appartement/acheter/lieu-laax-gr" TargetMode="External"/><Relationship Id="rId4048" Type="http://schemas.openxmlformats.org/officeDocument/2006/relationships/hyperlink" Target="https://www.immoscout24.ch/fr/maison/louer/lieu-tramelan" TargetMode="External"/><Relationship Id="rId4047" Type="http://schemas.openxmlformats.org/officeDocument/2006/relationships/hyperlink" Target="https://www.immoscout24.ch/fr/maison/louer/lieu-tramelan" TargetMode="External"/><Relationship Id="rId5378" Type="http://schemas.openxmlformats.org/officeDocument/2006/relationships/hyperlink" Target="https://www.immoscout24.ch/fr/appartement/louer/lieu-muntelier" TargetMode="External"/><Relationship Id="rId4049" Type="http://schemas.openxmlformats.org/officeDocument/2006/relationships/hyperlink" Target="https://www.immoscout24.ch/fr/appartement/louer/lieu-les-clees" TargetMode="External"/><Relationship Id="rId5379" Type="http://schemas.openxmlformats.org/officeDocument/2006/relationships/hyperlink" Target="https://www.immoscout24.ch/fr/appartement/louer/canton-valais" TargetMode="External"/><Relationship Id="rId10628" Type="http://schemas.openxmlformats.org/officeDocument/2006/relationships/hyperlink" Target="https://www.immoscout24.ch/fr/appartement/louer/lieu-sarnen" TargetMode="External"/><Relationship Id="rId10629" Type="http://schemas.openxmlformats.org/officeDocument/2006/relationships/hyperlink" Target="https://www.immoscout24.ch/fr/appartement/louer/lieu-gerlafingen" TargetMode="External"/><Relationship Id="rId11959" Type="http://schemas.openxmlformats.org/officeDocument/2006/relationships/hyperlink" Target="https://www.immoscout24.ch/fr/maison/acheter/lieu-combremont-le-grand" TargetMode="External"/><Relationship Id="rId10622" Type="http://schemas.openxmlformats.org/officeDocument/2006/relationships/hyperlink" Target="https://www.immoscout24.ch/fr/appartement/louer/lieu-cournillens" TargetMode="External"/><Relationship Id="rId11954" Type="http://schemas.openxmlformats.org/officeDocument/2006/relationships/hyperlink" Target="https://www.immoscout24.ch/fr/maison/louer/lieu-bern" TargetMode="External"/><Relationship Id="rId10623" Type="http://schemas.openxmlformats.org/officeDocument/2006/relationships/hyperlink" Target="https://www.immoscout24.ch/fr/maison/louer/lieu-roche-vd" TargetMode="External"/><Relationship Id="rId11953" Type="http://schemas.openxmlformats.org/officeDocument/2006/relationships/hyperlink" Target="https://www.immoscout24.ch/fr/maison/louer/lieu-bern" TargetMode="External"/><Relationship Id="rId10620" Type="http://schemas.openxmlformats.org/officeDocument/2006/relationships/hyperlink" Target="https://www.immoscout24.ch/fr/appartement/louer/lieu-rickenbach-b-schwyz" TargetMode="External"/><Relationship Id="rId11952" Type="http://schemas.openxmlformats.org/officeDocument/2006/relationships/hyperlink" Target="https://www.immoscout24.ch/fr/appartement/louer/lieu-cressier-fr" TargetMode="External"/><Relationship Id="rId10621" Type="http://schemas.openxmlformats.org/officeDocument/2006/relationships/hyperlink" Target="https://www.immoscout24.ch/fr/appartement/louer/lieu-cournillens" TargetMode="External"/><Relationship Id="rId11951" Type="http://schemas.openxmlformats.org/officeDocument/2006/relationships/hyperlink" Target="https://www.immoscout24.ch/fr/appartement/louer/lieu-cressier-fr" TargetMode="External"/><Relationship Id="rId5361" Type="http://schemas.openxmlformats.org/officeDocument/2006/relationships/hyperlink" Target="https://www.immoscout24.ch/fr/maison/acheter/lieu-biere" TargetMode="External"/><Relationship Id="rId6692" Type="http://schemas.openxmlformats.org/officeDocument/2006/relationships/hyperlink" Target="https://www.immoscout24.ch/fr/appartement/acheter/quartier-cassarate-lugano" TargetMode="External"/><Relationship Id="rId10626" Type="http://schemas.openxmlformats.org/officeDocument/2006/relationships/hyperlink" Target="https://www.immoscout24.ch/fr/appartement/louer/lieu-le-locle" TargetMode="External"/><Relationship Id="rId11958" Type="http://schemas.openxmlformats.org/officeDocument/2006/relationships/hyperlink" Target="https://www.immoscout24.ch/fr/maison/acheter/lieu-horgen" TargetMode="External"/><Relationship Id="rId5362" Type="http://schemas.openxmlformats.org/officeDocument/2006/relationships/hyperlink" Target="https://www.immoscout24.ch/fr/maison/acheter/lieu-biere" TargetMode="External"/><Relationship Id="rId6693" Type="http://schemas.openxmlformats.org/officeDocument/2006/relationships/hyperlink" Target="https://www.immoscout24.ch/fr/appartement/louer/lieu-sottens" TargetMode="External"/><Relationship Id="rId10627" Type="http://schemas.openxmlformats.org/officeDocument/2006/relationships/hyperlink" Target="https://www.immoscout24.ch/fr/appartement/louer/lieu-sarnen" TargetMode="External"/><Relationship Id="rId11957" Type="http://schemas.openxmlformats.org/officeDocument/2006/relationships/hyperlink" Target="https://www.immoscout24.ch/fr/maison/acheter/lieu-horgen" TargetMode="External"/><Relationship Id="rId4031" Type="http://schemas.openxmlformats.org/officeDocument/2006/relationships/hyperlink" Target="https://www.immoscout24.ch/fr/appartement/louer/lieu-orient" TargetMode="External"/><Relationship Id="rId6690" Type="http://schemas.openxmlformats.org/officeDocument/2006/relationships/hyperlink" Target="https://www.immoscout24.ch/fr/maison/acheter/lieu-bramois" TargetMode="External"/><Relationship Id="rId10624" Type="http://schemas.openxmlformats.org/officeDocument/2006/relationships/hyperlink" Target="https://www.immoscout24.ch/fr/maison/louer/lieu-roche-vd" TargetMode="External"/><Relationship Id="rId11956" Type="http://schemas.openxmlformats.org/officeDocument/2006/relationships/hyperlink" Target="https://www.immoscout24.ch/fr/maison/louer/lieu-martigny" TargetMode="External"/><Relationship Id="rId4030" Type="http://schemas.openxmlformats.org/officeDocument/2006/relationships/hyperlink" Target="https://www.immoscout24.ch/fr/appartement/acheter/lieu-rovio" TargetMode="External"/><Relationship Id="rId5360" Type="http://schemas.openxmlformats.org/officeDocument/2006/relationships/hyperlink" Target="https://www.immoscout24.ch/fr/appartement/acheter/lieu-soral" TargetMode="External"/><Relationship Id="rId6691" Type="http://schemas.openxmlformats.org/officeDocument/2006/relationships/hyperlink" Target="https://www.immoscout24.ch/fr/appartement/acheter/quartier-cassarate-lugano" TargetMode="External"/><Relationship Id="rId10625" Type="http://schemas.openxmlformats.org/officeDocument/2006/relationships/hyperlink" Target="https://www.immoscout24.ch/fr/appartement/louer/lieu-le-locle" TargetMode="External"/><Relationship Id="rId11955" Type="http://schemas.openxmlformats.org/officeDocument/2006/relationships/hyperlink" Target="https://www.immoscout24.ch/fr/maison/louer/lieu-martigny" TargetMode="External"/><Relationship Id="rId297" Type="http://schemas.openxmlformats.org/officeDocument/2006/relationships/hyperlink" Target="https://www.immoscout24.ch/fr/appartement/louer/lieu-puidoux" TargetMode="External"/><Relationship Id="rId4033" Type="http://schemas.openxmlformats.org/officeDocument/2006/relationships/hyperlink" Target="https://www.immoscout24.ch/fr/appartement/louer/lieu-lommiswil" TargetMode="External"/><Relationship Id="rId5365" Type="http://schemas.openxmlformats.org/officeDocument/2006/relationships/hyperlink" Target="https://www.immoscout24.ch/fr/appartement/acheter/lieu-comano" TargetMode="External"/><Relationship Id="rId6696" Type="http://schemas.openxmlformats.org/officeDocument/2006/relationships/hyperlink" Target="https://www.immoscout24.ch/fr/appartement/louer/lieu-lostorf" TargetMode="External"/><Relationship Id="rId296" Type="http://schemas.openxmlformats.org/officeDocument/2006/relationships/hyperlink" Target="https://www.immoscout24.ch/fr/appartement/louer/lieu-brignon-nendaz" TargetMode="External"/><Relationship Id="rId4032" Type="http://schemas.openxmlformats.org/officeDocument/2006/relationships/hyperlink" Target="https://www.immoscout24.ch/fr/appartement/louer/lieu-orient" TargetMode="External"/><Relationship Id="rId5366" Type="http://schemas.openxmlformats.org/officeDocument/2006/relationships/hyperlink" Target="https://www.immoscout24.ch/fr/appartement/acheter/lieu-comano" TargetMode="External"/><Relationship Id="rId6697" Type="http://schemas.openxmlformats.org/officeDocument/2006/relationships/hyperlink" Target="https://www.immoscout24.ch/fr/maison/acheter/lieu-le-fuet" TargetMode="External"/><Relationship Id="rId295" Type="http://schemas.openxmlformats.org/officeDocument/2006/relationships/hyperlink" Target="https://www.immoscout24.ch/fr/appartement/louer/lieu-brignon-nendaz" TargetMode="External"/><Relationship Id="rId4035" Type="http://schemas.openxmlformats.org/officeDocument/2006/relationships/hyperlink" Target="https://www.immoscout24.ch/fr/appartement/louer/lieu-ogens" TargetMode="External"/><Relationship Id="rId5363" Type="http://schemas.openxmlformats.org/officeDocument/2006/relationships/hyperlink" Target="https://www.immoscout24.ch/fr/maison/acheter/lieu-lavigny" TargetMode="External"/><Relationship Id="rId6694" Type="http://schemas.openxmlformats.org/officeDocument/2006/relationships/hyperlink" Target="https://www.immoscout24.ch/fr/appartement/louer/lieu-sottens" TargetMode="External"/><Relationship Id="rId294" Type="http://schemas.openxmlformats.org/officeDocument/2006/relationships/hyperlink" Target="https://www.immoscout24.ch/fr/appartement/acheter/lieu-st-legier-la-chiesaz" TargetMode="External"/><Relationship Id="rId4034" Type="http://schemas.openxmlformats.org/officeDocument/2006/relationships/hyperlink" Target="https://www.immoscout24.ch/fr/appartement/louer/lieu-lommiswil" TargetMode="External"/><Relationship Id="rId5364" Type="http://schemas.openxmlformats.org/officeDocument/2006/relationships/hyperlink" Target="https://www.immoscout24.ch/fr/maison/acheter/lieu-lavigny" TargetMode="External"/><Relationship Id="rId6695" Type="http://schemas.openxmlformats.org/officeDocument/2006/relationships/hyperlink" Target="https://www.immoscout24.ch/fr/appartement/louer/lieu-lostorf" TargetMode="External"/><Relationship Id="rId4037" Type="http://schemas.openxmlformats.org/officeDocument/2006/relationships/hyperlink" Target="https://www.immoscout24.ch/fr/appartement/louer/lieu-zermatt" TargetMode="External"/><Relationship Id="rId5369" Type="http://schemas.openxmlformats.org/officeDocument/2006/relationships/hyperlink" Target="https://www.immoscout24.ch/fr/appartement/louer/lieu-madulain" TargetMode="External"/><Relationship Id="rId11950" Type="http://schemas.openxmlformats.org/officeDocument/2006/relationships/hyperlink" Target="https://www.immoscout24.ch/fr/appartement/louer/lieu-le-cret-du-locle" TargetMode="External"/><Relationship Id="rId4036" Type="http://schemas.openxmlformats.org/officeDocument/2006/relationships/hyperlink" Target="https://www.immoscout24.ch/fr/appartement/louer/lieu-ogens" TargetMode="External"/><Relationship Id="rId299" Type="http://schemas.openxmlformats.org/officeDocument/2006/relationships/hyperlink" Target="https://www.immoscout24.ch/fr/appartement/acheter/lieu-disentis-muster" TargetMode="External"/><Relationship Id="rId4039" Type="http://schemas.openxmlformats.org/officeDocument/2006/relationships/hyperlink" Target="https://www.immoscout24.ch/fr/appartement/louer/quartier-ruche-la-chaux-de-fonds" TargetMode="External"/><Relationship Id="rId5367" Type="http://schemas.openxmlformats.org/officeDocument/2006/relationships/hyperlink" Target="https://www.immoscout24.ch/fr/appartement/acheter/lieu-la-sarraz" TargetMode="External"/><Relationship Id="rId6698" Type="http://schemas.openxmlformats.org/officeDocument/2006/relationships/hyperlink" Target="https://www.immoscout24.ch/fr/maison/acheter/lieu-le-fuet" TargetMode="External"/><Relationship Id="rId298" Type="http://schemas.openxmlformats.org/officeDocument/2006/relationships/hyperlink" Target="https://www.immoscout24.ch/fr/appartement/louer/lieu-puidoux" TargetMode="External"/><Relationship Id="rId4038" Type="http://schemas.openxmlformats.org/officeDocument/2006/relationships/hyperlink" Target="https://www.immoscout24.ch/fr/appartement/louer/lieu-zermatt" TargetMode="External"/><Relationship Id="rId5368" Type="http://schemas.openxmlformats.org/officeDocument/2006/relationships/hyperlink" Target="https://www.immoscout24.ch/fr/appartement/acheter/lieu-la-sarraz" TargetMode="External"/><Relationship Id="rId6699" Type="http://schemas.openxmlformats.org/officeDocument/2006/relationships/hyperlink" Target="https://www.immoscout24.ch/fr/maison/acheter/lieu-arogno" TargetMode="External"/><Relationship Id="rId11929" Type="http://schemas.openxmlformats.org/officeDocument/2006/relationships/hyperlink" Target="https://www.immoscout24.ch/fr/appartement/louer/lieu-dardagny" TargetMode="External"/><Relationship Id="rId11928" Type="http://schemas.openxmlformats.org/officeDocument/2006/relationships/hyperlink" Target="https://www.immoscout24.ch/fr/appartement/louer/lieu-arlesheim" TargetMode="External"/><Relationship Id="rId11927" Type="http://schemas.openxmlformats.org/officeDocument/2006/relationships/hyperlink" Target="https://www.immoscout24.ch/fr/appartement/louer/lieu-arlesheim" TargetMode="External"/><Relationship Id="rId11926" Type="http://schemas.openxmlformats.org/officeDocument/2006/relationships/hyperlink" Target="https://www.immoscout24.ch/fr/appartement/louer/region-bremgarten-lenzburg-muri-kulm" TargetMode="External"/><Relationship Id="rId5390" Type="http://schemas.openxmlformats.org/officeDocument/2006/relationships/hyperlink" Target="https://www.immoscout24.ch/fr/appartement/louer/lieu-twann" TargetMode="External"/><Relationship Id="rId11921" Type="http://schemas.openxmlformats.org/officeDocument/2006/relationships/hyperlink" Target="https://www.immoscout24.ch/fr/appartement/louer/lieu-icogne" TargetMode="External"/><Relationship Id="rId5391" Type="http://schemas.openxmlformats.org/officeDocument/2006/relationships/hyperlink" Target="https://www.immoscout24.ch/fr/appartement/acheter/lieu-erde" TargetMode="External"/><Relationship Id="rId11920" Type="http://schemas.openxmlformats.org/officeDocument/2006/relationships/hyperlink" Target="https://www.immoscout24.ch/fr/appartement/acheter/lieu-muri-b-bern" TargetMode="External"/><Relationship Id="rId4060" Type="http://schemas.openxmlformats.org/officeDocument/2006/relationships/hyperlink" Target="https://www.immoscout24.ch/fr/maison/acheter/lieu-mannens" TargetMode="External"/><Relationship Id="rId4062" Type="http://schemas.openxmlformats.org/officeDocument/2006/relationships/hyperlink" Target="https://www.immoscout24.ch/fr/appartement/louer/lieu-colombier-ne" TargetMode="External"/><Relationship Id="rId5394" Type="http://schemas.openxmlformats.org/officeDocument/2006/relationships/hyperlink" Target="https://www.immoscout24.ch/fr/appartement/louer/lieu-windlach" TargetMode="External"/><Relationship Id="rId11925" Type="http://schemas.openxmlformats.org/officeDocument/2006/relationships/hyperlink" Target="https://www.immoscout24.ch/fr/appartement/louer/region-bremgarten-lenzburg-muri-kulm" TargetMode="External"/><Relationship Id="rId4061" Type="http://schemas.openxmlformats.org/officeDocument/2006/relationships/hyperlink" Target="https://www.immoscout24.ch/fr/appartement/louer/lieu-colombier-ne" TargetMode="External"/><Relationship Id="rId5395" Type="http://schemas.openxmlformats.org/officeDocument/2006/relationships/hyperlink" Target="https://www.immoscout24.ch/fr/appartement/acheter/lieu-saanen" TargetMode="External"/><Relationship Id="rId11924" Type="http://schemas.openxmlformats.org/officeDocument/2006/relationships/hyperlink" Target="https://www.immoscout24.ch/fr/appartement/acheter/lieu-berlens" TargetMode="External"/><Relationship Id="rId4064" Type="http://schemas.openxmlformats.org/officeDocument/2006/relationships/hyperlink" Target="https://www.immoscout24.ch/fr/maison/acheter/quartier-champagne-biel-bienne" TargetMode="External"/><Relationship Id="rId5392" Type="http://schemas.openxmlformats.org/officeDocument/2006/relationships/hyperlink" Target="https://www.immoscout24.ch/fr/appartement/acheter/lieu-erde" TargetMode="External"/><Relationship Id="rId11923" Type="http://schemas.openxmlformats.org/officeDocument/2006/relationships/hyperlink" Target="https://www.immoscout24.ch/fr/appartement/acheter/lieu-berlens" TargetMode="External"/><Relationship Id="rId4063" Type="http://schemas.openxmlformats.org/officeDocument/2006/relationships/hyperlink" Target="https://www.immoscout24.ch/fr/maison/acheter/quartier-champagne-biel-bienne" TargetMode="External"/><Relationship Id="rId5393" Type="http://schemas.openxmlformats.org/officeDocument/2006/relationships/hyperlink" Target="https://www.immoscout24.ch/fr/appartement/louer/lieu-windlach" TargetMode="External"/><Relationship Id="rId11922" Type="http://schemas.openxmlformats.org/officeDocument/2006/relationships/hyperlink" Target="https://www.immoscout24.ch/fr/appartement/louer/lieu-icogne" TargetMode="External"/><Relationship Id="rId4066" Type="http://schemas.openxmlformats.org/officeDocument/2006/relationships/hyperlink" Target="https://www.immoscout24.ch/fr/appartement/acheter/region-bas-valais" TargetMode="External"/><Relationship Id="rId5398" Type="http://schemas.openxmlformats.org/officeDocument/2006/relationships/hyperlink" Target="https://www.immoscout24.ch/fr/maison/acheter/lieu-payerne" TargetMode="External"/><Relationship Id="rId4065" Type="http://schemas.openxmlformats.org/officeDocument/2006/relationships/hyperlink" Target="https://www.immoscout24.ch/fr/appartement/acheter/region-bas-valais" TargetMode="External"/><Relationship Id="rId5399" Type="http://schemas.openxmlformats.org/officeDocument/2006/relationships/hyperlink" Target="https://www.immoscout24.ch/fr/appartement/louer/lieu-baden" TargetMode="External"/><Relationship Id="rId4068" Type="http://schemas.openxmlformats.org/officeDocument/2006/relationships/hyperlink" Target="https://www.immoscout24.ch/fr/maison/acheter/lieu-courgevaux" TargetMode="External"/><Relationship Id="rId5396" Type="http://schemas.openxmlformats.org/officeDocument/2006/relationships/hyperlink" Target="https://www.immoscout24.ch/fr/appartement/acheter/lieu-saanen" TargetMode="External"/><Relationship Id="rId4067" Type="http://schemas.openxmlformats.org/officeDocument/2006/relationships/hyperlink" Target="https://www.immoscout24.ch/fr/maison/acheter/lieu-courgevaux" TargetMode="External"/><Relationship Id="rId5397" Type="http://schemas.openxmlformats.org/officeDocument/2006/relationships/hyperlink" Target="https://www.immoscout24.ch/fr/maison/acheter/lieu-payerne" TargetMode="External"/><Relationship Id="rId4069" Type="http://schemas.openxmlformats.org/officeDocument/2006/relationships/hyperlink" Target="https://www.immoscout24.ch/fr/appartement/louer/lieu-liesberg-dorf" TargetMode="External"/><Relationship Id="rId10608" Type="http://schemas.openxmlformats.org/officeDocument/2006/relationships/hyperlink" Target="https://www.immoscout24.ch/fr/appartement/louer/lieu-altstaetten-sg" TargetMode="External"/><Relationship Id="rId10609" Type="http://schemas.openxmlformats.org/officeDocument/2006/relationships/hyperlink" Target="https://www.immoscout24.ch/fr/maison/acheter/lieu-bern" TargetMode="External"/><Relationship Id="rId11939" Type="http://schemas.openxmlformats.org/officeDocument/2006/relationships/hyperlink" Target="https://www.immoscout24.ch/fr/appartement/acheter/lieu-luzern" TargetMode="External"/><Relationship Id="rId10606" Type="http://schemas.openxmlformats.org/officeDocument/2006/relationships/hyperlink" Target="https://www.immoscout24.ch/fr/maison/acheter/lieu-massonnens" TargetMode="External"/><Relationship Id="rId11938" Type="http://schemas.openxmlformats.org/officeDocument/2006/relationships/hyperlink" Target="https://www.immoscout24.ch/fr/appartement/louer/lieu-corserey" TargetMode="External"/><Relationship Id="rId10607" Type="http://schemas.openxmlformats.org/officeDocument/2006/relationships/hyperlink" Target="https://www.immoscout24.ch/fr/appartement/louer/lieu-altstaetten-sg" TargetMode="External"/><Relationship Id="rId11937" Type="http://schemas.openxmlformats.org/officeDocument/2006/relationships/hyperlink" Target="https://www.immoscout24.ch/fr/appartement/louer/lieu-corserey" TargetMode="External"/><Relationship Id="rId10600" Type="http://schemas.openxmlformats.org/officeDocument/2006/relationships/hyperlink" Target="https://www.immoscout24.ch/fr/maison/acheter/lieu-chalais" TargetMode="External"/><Relationship Id="rId11932" Type="http://schemas.openxmlformats.org/officeDocument/2006/relationships/hyperlink" Target="https://www.immoscout24.ch/fr/appartement/louer/quartier-nouvelle-ville-nord-biel-bienne" TargetMode="External"/><Relationship Id="rId5380" Type="http://schemas.openxmlformats.org/officeDocument/2006/relationships/hyperlink" Target="https://www.immoscout24.ch/fr/appartement/louer/canton-valais" TargetMode="External"/><Relationship Id="rId10601" Type="http://schemas.openxmlformats.org/officeDocument/2006/relationships/hyperlink" Target="https://www.immoscout24.ch/fr/maison/louer/lieu-zuerich" TargetMode="External"/><Relationship Id="rId11931" Type="http://schemas.openxmlformats.org/officeDocument/2006/relationships/hyperlink" Target="https://www.immoscout24.ch/fr/appartement/louer/quartier-nouvelle-ville-nord-biel-bienne" TargetMode="External"/><Relationship Id="rId11930" Type="http://schemas.openxmlformats.org/officeDocument/2006/relationships/hyperlink" Target="https://www.immoscout24.ch/fr/appartement/louer/lieu-dardagny" TargetMode="External"/><Relationship Id="rId4051" Type="http://schemas.openxmlformats.org/officeDocument/2006/relationships/hyperlink" Target="https://www.immoscout24.ch/fr/maison/acheter/lieu-lessoc" TargetMode="External"/><Relationship Id="rId5383" Type="http://schemas.openxmlformats.org/officeDocument/2006/relationships/hyperlink" Target="https://www.immoscout24.ch/fr/maison/acheter/lieu-laufenburg" TargetMode="External"/><Relationship Id="rId10604" Type="http://schemas.openxmlformats.org/officeDocument/2006/relationships/hyperlink" Target="https://www.immoscout24.ch/fr/maison/louer/lieu-eisten" TargetMode="External"/><Relationship Id="rId11936" Type="http://schemas.openxmlformats.org/officeDocument/2006/relationships/hyperlink" Target="https://www.immoscout24.ch/fr/appartement/acheter/lieu-montcherand" TargetMode="External"/><Relationship Id="rId4050" Type="http://schemas.openxmlformats.org/officeDocument/2006/relationships/hyperlink" Target="https://www.immoscout24.ch/fr/appartement/louer/lieu-les-clees" TargetMode="External"/><Relationship Id="rId5384" Type="http://schemas.openxmlformats.org/officeDocument/2006/relationships/hyperlink" Target="https://www.immoscout24.ch/fr/maison/acheter/lieu-laufenburg" TargetMode="External"/><Relationship Id="rId10605" Type="http://schemas.openxmlformats.org/officeDocument/2006/relationships/hyperlink" Target="https://www.immoscout24.ch/fr/maison/acheter/lieu-massonnens" TargetMode="External"/><Relationship Id="rId11935" Type="http://schemas.openxmlformats.org/officeDocument/2006/relationships/hyperlink" Target="https://www.immoscout24.ch/fr/appartement/acheter/lieu-montcherand" TargetMode="External"/><Relationship Id="rId4053" Type="http://schemas.openxmlformats.org/officeDocument/2006/relationships/hyperlink" Target="https://www.immoscout24.ch/fr/appartement/louer/lieu-damvant" TargetMode="External"/><Relationship Id="rId5381" Type="http://schemas.openxmlformats.org/officeDocument/2006/relationships/hyperlink" Target="https://www.immoscout24.ch/fr/maison/acheter/lieu-staldenried" TargetMode="External"/><Relationship Id="rId10602" Type="http://schemas.openxmlformats.org/officeDocument/2006/relationships/hyperlink" Target="https://www.immoscout24.ch/fr/maison/louer/lieu-zuerich" TargetMode="External"/><Relationship Id="rId11934" Type="http://schemas.openxmlformats.org/officeDocument/2006/relationships/hyperlink" Target="https://www.immoscout24.ch/fr/maison/acheter/lieu-vergeletto" TargetMode="External"/><Relationship Id="rId4052" Type="http://schemas.openxmlformats.org/officeDocument/2006/relationships/hyperlink" Target="https://www.immoscout24.ch/fr/maison/acheter/lieu-lessoc" TargetMode="External"/><Relationship Id="rId5382" Type="http://schemas.openxmlformats.org/officeDocument/2006/relationships/hyperlink" Target="https://www.immoscout24.ch/fr/maison/acheter/lieu-staldenried" TargetMode="External"/><Relationship Id="rId10603" Type="http://schemas.openxmlformats.org/officeDocument/2006/relationships/hyperlink" Target="https://www.immoscout24.ch/fr/maison/louer/lieu-eisten" TargetMode="External"/><Relationship Id="rId11933" Type="http://schemas.openxmlformats.org/officeDocument/2006/relationships/hyperlink" Target="https://www.immoscout24.ch/fr/maison/acheter/lieu-vergeletto" TargetMode="External"/><Relationship Id="rId4055" Type="http://schemas.openxmlformats.org/officeDocument/2006/relationships/hyperlink" Target="https://www.immoscout24.ch/fr/maison/acheter/lieu-rossiniere" TargetMode="External"/><Relationship Id="rId5387" Type="http://schemas.openxmlformats.org/officeDocument/2006/relationships/hyperlink" Target="https://www.immoscout24.ch/fr/appartement/louer/lieu-le-pont" TargetMode="External"/><Relationship Id="rId4054" Type="http://schemas.openxmlformats.org/officeDocument/2006/relationships/hyperlink" Target="https://www.immoscout24.ch/fr/appartement/louer/lieu-damvant" TargetMode="External"/><Relationship Id="rId5388" Type="http://schemas.openxmlformats.org/officeDocument/2006/relationships/hyperlink" Target="https://www.immoscout24.ch/fr/appartement/louer/lieu-le-pont" TargetMode="External"/><Relationship Id="rId4057" Type="http://schemas.openxmlformats.org/officeDocument/2006/relationships/hyperlink" Target="https://www.immoscout24.ch/fr/appartement/louer/lieu-biberstein" TargetMode="External"/><Relationship Id="rId5385" Type="http://schemas.openxmlformats.org/officeDocument/2006/relationships/hyperlink" Target="https://www.immoscout24.ch/fr/appartement/acheter/region-delemont" TargetMode="External"/><Relationship Id="rId4056" Type="http://schemas.openxmlformats.org/officeDocument/2006/relationships/hyperlink" Target="https://www.immoscout24.ch/fr/maison/acheter/lieu-rossiniere" TargetMode="External"/><Relationship Id="rId5386" Type="http://schemas.openxmlformats.org/officeDocument/2006/relationships/hyperlink" Target="https://www.immoscout24.ch/fr/appartement/acheter/region-delemont" TargetMode="External"/><Relationship Id="rId4059" Type="http://schemas.openxmlformats.org/officeDocument/2006/relationships/hyperlink" Target="https://www.immoscout24.ch/fr/maison/acheter/lieu-mannens" TargetMode="External"/><Relationship Id="rId4058" Type="http://schemas.openxmlformats.org/officeDocument/2006/relationships/hyperlink" Target="https://www.immoscout24.ch/fr/appartement/louer/lieu-biberstein" TargetMode="External"/><Relationship Id="rId5389" Type="http://schemas.openxmlformats.org/officeDocument/2006/relationships/hyperlink" Target="https://www.immoscout24.ch/fr/appartement/louer/lieu-twann" TargetMode="External"/><Relationship Id="rId4008" Type="http://schemas.openxmlformats.org/officeDocument/2006/relationships/hyperlink" Target="https://www.immoscout24.ch/fr/maison/acheter/lieu-chevenez" TargetMode="External"/><Relationship Id="rId4007" Type="http://schemas.openxmlformats.org/officeDocument/2006/relationships/hyperlink" Target="https://www.immoscout24.ch/fr/maison/acheter/lieu-chevenez" TargetMode="External"/><Relationship Id="rId5338" Type="http://schemas.openxmlformats.org/officeDocument/2006/relationships/hyperlink" Target="https://www.immoscout24.ch/fr/maison/acheter/lieu-troistorrents" TargetMode="External"/><Relationship Id="rId6669" Type="http://schemas.openxmlformats.org/officeDocument/2006/relationships/hyperlink" Target="https://www.immoscout24.ch/fr/maison/louer/quartier-forges-endroits-la-chaux-de-fonds" TargetMode="External"/><Relationship Id="rId4009" Type="http://schemas.openxmlformats.org/officeDocument/2006/relationships/hyperlink" Target="https://www.immoscout24.ch/fr/maison/louer/lieu-corin-de-la-crete" TargetMode="External"/><Relationship Id="rId5339" Type="http://schemas.openxmlformats.org/officeDocument/2006/relationships/hyperlink" Target="https://www.immoscout24.ch/fr/maison/acheter/lieu-moosseedorf" TargetMode="External"/><Relationship Id="rId271" Type="http://schemas.openxmlformats.org/officeDocument/2006/relationships/hyperlink" Target="https://www.immoscout24.ch/fr/appartement/louer/lieu-portalban" TargetMode="External"/><Relationship Id="rId270" Type="http://schemas.openxmlformats.org/officeDocument/2006/relationships/hyperlink" Target="https://www.immoscout24.ch/fr/appartement/louer/lieu-huttwil" TargetMode="External"/><Relationship Id="rId10655" Type="http://schemas.openxmlformats.org/officeDocument/2006/relationships/hyperlink" Target="https://www.immoscout24.ch/fr/maison/acheter/quartier-secteur-forain-ouest-la-chaux-de-fonds" TargetMode="External"/><Relationship Id="rId11987" Type="http://schemas.openxmlformats.org/officeDocument/2006/relationships/hyperlink" Target="https://www.immoscout24.ch/fr/appartement/louer/lieu-frinvillier" TargetMode="External"/><Relationship Id="rId10656" Type="http://schemas.openxmlformats.org/officeDocument/2006/relationships/hyperlink" Target="https://www.immoscout24.ch/fr/maison/acheter/quartier-secteur-forain-ouest-la-chaux-de-fonds" TargetMode="External"/><Relationship Id="rId11986" Type="http://schemas.openxmlformats.org/officeDocument/2006/relationships/hyperlink" Target="https://www.immoscout24.ch/fr/appartement/louer/lieu-servion" TargetMode="External"/><Relationship Id="rId10653" Type="http://schemas.openxmlformats.org/officeDocument/2006/relationships/hyperlink" Target="https://www.immoscout24.ch/fr/appartement/louer/lieu-horgen" TargetMode="External"/><Relationship Id="rId11985" Type="http://schemas.openxmlformats.org/officeDocument/2006/relationships/hyperlink" Target="https://www.immoscout24.ch/fr/appartement/louer/lieu-servion" TargetMode="External"/><Relationship Id="rId269" Type="http://schemas.openxmlformats.org/officeDocument/2006/relationships/hyperlink" Target="https://www.immoscout24.ch/fr/appartement/louer/lieu-huttwil" TargetMode="External"/><Relationship Id="rId10654" Type="http://schemas.openxmlformats.org/officeDocument/2006/relationships/hyperlink" Target="https://www.immoscout24.ch/fr/appartement/louer/lieu-horgen" TargetMode="External"/><Relationship Id="rId11984" Type="http://schemas.openxmlformats.org/officeDocument/2006/relationships/hyperlink" Target="https://www.immoscout24.ch/fr/appartement/louer/lieu-bullet" TargetMode="External"/><Relationship Id="rId7991" Type="http://schemas.openxmlformats.org/officeDocument/2006/relationships/hyperlink" Target="https://www.immoscout24.ch/fr/appartement/acheter/lieu-champfer" TargetMode="External"/><Relationship Id="rId10659" Type="http://schemas.openxmlformats.org/officeDocument/2006/relationships/hyperlink" Target="https://www.immoscout24.ch/fr/appartement/louer/region-frauenfeld-muenchwilen" TargetMode="External"/><Relationship Id="rId6660" Type="http://schemas.openxmlformats.org/officeDocument/2006/relationships/hyperlink" Target="https://www.immoscout24.ch/fr/maison/louer/lieu-gryon" TargetMode="External"/><Relationship Id="rId7990" Type="http://schemas.openxmlformats.org/officeDocument/2006/relationships/hyperlink" Target="https://www.immoscout24.ch/fr/appartement/louer/lieu-muehleberg" TargetMode="External"/><Relationship Id="rId10657" Type="http://schemas.openxmlformats.org/officeDocument/2006/relationships/hyperlink" Target="https://www.immoscout24.ch/fr/appartement/louer/lieu-aubonne" TargetMode="External"/><Relationship Id="rId11989" Type="http://schemas.openxmlformats.org/officeDocument/2006/relationships/hyperlink" Target="https://www.immoscout24.ch/fr/appartement/louer/lieu-muensingen" TargetMode="External"/><Relationship Id="rId10658" Type="http://schemas.openxmlformats.org/officeDocument/2006/relationships/hyperlink" Target="https://www.immoscout24.ch/fr/appartement/louer/lieu-aubonne" TargetMode="External"/><Relationship Id="rId11988" Type="http://schemas.openxmlformats.org/officeDocument/2006/relationships/hyperlink" Target="https://www.immoscout24.ch/fr/appartement/louer/lieu-frinvillier" TargetMode="External"/><Relationship Id="rId264" Type="http://schemas.openxmlformats.org/officeDocument/2006/relationships/hyperlink" Target="https://www.immoscout24.ch/fr/maison/louer/region-rive-droite" TargetMode="External"/><Relationship Id="rId4000" Type="http://schemas.openxmlformats.org/officeDocument/2006/relationships/hyperlink" Target="https://www.immoscout24.ch/fr/maison/louer/lieu-diesse" TargetMode="External"/><Relationship Id="rId5332" Type="http://schemas.openxmlformats.org/officeDocument/2006/relationships/hyperlink" Target="https://www.immoscout24.ch/fr/appartement/acheter/lieu-endingen" TargetMode="External"/><Relationship Id="rId6663" Type="http://schemas.openxmlformats.org/officeDocument/2006/relationships/hyperlink" Target="https://www.immoscout24.ch/fr/maison/acheter/lieu-tschugg" TargetMode="External"/><Relationship Id="rId7995" Type="http://schemas.openxmlformats.org/officeDocument/2006/relationships/hyperlink" Target="https://www.immoscout24.ch/fr/appartement/acheter/lieu-corsier-sur-vevey" TargetMode="External"/><Relationship Id="rId263" Type="http://schemas.openxmlformats.org/officeDocument/2006/relationships/hyperlink" Target="https://www.immoscout24.ch/fr/maison/louer/region-rive-droite" TargetMode="External"/><Relationship Id="rId5333" Type="http://schemas.openxmlformats.org/officeDocument/2006/relationships/hyperlink" Target="https://www.immoscout24.ch/fr/maison/acheter/lieu-besencens" TargetMode="External"/><Relationship Id="rId6664" Type="http://schemas.openxmlformats.org/officeDocument/2006/relationships/hyperlink" Target="https://www.immoscout24.ch/fr/maison/acheter/lieu-tschugg" TargetMode="External"/><Relationship Id="rId7994" Type="http://schemas.openxmlformats.org/officeDocument/2006/relationships/hyperlink" Target="https://www.immoscout24.ch/fr/maison/acheter/lieu-arbaz" TargetMode="External"/><Relationship Id="rId262" Type="http://schemas.openxmlformats.org/officeDocument/2006/relationships/hyperlink" Target="https://www.immoscout24.ch/fr/maison/acheter/lieu-klosters" TargetMode="External"/><Relationship Id="rId4002" Type="http://schemas.openxmlformats.org/officeDocument/2006/relationships/hyperlink" Target="https://www.immoscout24.ch/fr/maison/acheter/lieu-damvant" TargetMode="External"/><Relationship Id="rId5330" Type="http://schemas.openxmlformats.org/officeDocument/2006/relationships/hyperlink" Target="https://www.immoscout24.ch/fr/maison/acheter/lieu-winterberg-zh" TargetMode="External"/><Relationship Id="rId6661" Type="http://schemas.openxmlformats.org/officeDocument/2006/relationships/hyperlink" Target="https://www.immoscout24.ch/fr/appartement/louer/lieu-les-moulins" TargetMode="External"/><Relationship Id="rId7993" Type="http://schemas.openxmlformats.org/officeDocument/2006/relationships/hyperlink" Target="https://www.immoscout24.ch/fr/maison/acheter/lieu-arbaz" TargetMode="External"/><Relationship Id="rId261" Type="http://schemas.openxmlformats.org/officeDocument/2006/relationships/hyperlink" Target="https://www.immoscout24.ch/fr/maison/acheter/lieu-klosters" TargetMode="External"/><Relationship Id="rId4001" Type="http://schemas.openxmlformats.org/officeDocument/2006/relationships/hyperlink" Target="https://www.immoscout24.ch/fr/maison/acheter/lieu-damvant" TargetMode="External"/><Relationship Id="rId5331" Type="http://schemas.openxmlformats.org/officeDocument/2006/relationships/hyperlink" Target="https://www.immoscout24.ch/fr/appartement/acheter/lieu-endingen" TargetMode="External"/><Relationship Id="rId6662" Type="http://schemas.openxmlformats.org/officeDocument/2006/relationships/hyperlink" Target="https://www.immoscout24.ch/fr/appartement/louer/lieu-les-moulins" TargetMode="External"/><Relationship Id="rId7992" Type="http://schemas.openxmlformats.org/officeDocument/2006/relationships/hyperlink" Target="https://www.immoscout24.ch/fr/appartement/acheter/lieu-champfer" TargetMode="External"/><Relationship Id="rId268" Type="http://schemas.openxmlformats.org/officeDocument/2006/relationships/hyperlink" Target="https://www.immoscout24.ch/fr/appartement/louer/lieu-givrins" TargetMode="External"/><Relationship Id="rId4004" Type="http://schemas.openxmlformats.org/officeDocument/2006/relationships/hyperlink" Target="https://www.immoscout24.ch/fr/maison/acheter/lieu-erlinsbach" TargetMode="External"/><Relationship Id="rId5336" Type="http://schemas.openxmlformats.org/officeDocument/2006/relationships/hyperlink" Target="https://www.immoscout24.ch/fr/maison/acheter/quartier-serrieres-neuchatel" TargetMode="External"/><Relationship Id="rId6667" Type="http://schemas.openxmlformats.org/officeDocument/2006/relationships/hyperlink" Target="https://www.immoscout24.ch/fr/maison/louer/lieu-st-saphorin-lavaux" TargetMode="External"/><Relationship Id="rId7999" Type="http://schemas.openxmlformats.org/officeDocument/2006/relationships/hyperlink" Target="https://www.immoscout24.ch/fr/appartement/acheter/lieu-crans-montana" TargetMode="External"/><Relationship Id="rId10651" Type="http://schemas.openxmlformats.org/officeDocument/2006/relationships/hyperlink" Target="https://www.immoscout24.ch/fr/maison/louer/lieu-baech-sz" TargetMode="External"/><Relationship Id="rId11983" Type="http://schemas.openxmlformats.org/officeDocument/2006/relationships/hyperlink" Target="https://www.immoscout24.ch/fr/appartement/louer/lieu-bullet" TargetMode="External"/><Relationship Id="rId267" Type="http://schemas.openxmlformats.org/officeDocument/2006/relationships/hyperlink" Target="https://www.immoscout24.ch/fr/appartement/louer/lieu-givrins" TargetMode="External"/><Relationship Id="rId4003" Type="http://schemas.openxmlformats.org/officeDocument/2006/relationships/hyperlink" Target="https://www.immoscout24.ch/fr/maison/acheter/lieu-erlinsbach" TargetMode="External"/><Relationship Id="rId5337" Type="http://schemas.openxmlformats.org/officeDocument/2006/relationships/hyperlink" Target="https://www.immoscout24.ch/fr/maison/acheter/lieu-troistorrents" TargetMode="External"/><Relationship Id="rId6668" Type="http://schemas.openxmlformats.org/officeDocument/2006/relationships/hyperlink" Target="https://www.immoscout24.ch/fr/maison/louer/lieu-st-saphorin-lavaux" TargetMode="External"/><Relationship Id="rId7998" Type="http://schemas.openxmlformats.org/officeDocument/2006/relationships/hyperlink" Target="https://www.immoscout24.ch/fr/maison/acheter/lieu-bretonnieres" TargetMode="External"/><Relationship Id="rId10652" Type="http://schemas.openxmlformats.org/officeDocument/2006/relationships/hyperlink" Target="https://www.immoscout24.ch/fr/maison/louer/lieu-baech-sz" TargetMode="External"/><Relationship Id="rId11982" Type="http://schemas.openxmlformats.org/officeDocument/2006/relationships/hyperlink" Target="https://www.immoscout24.ch/fr/appartement/louer/lieu-essertines-sur-rolle" TargetMode="External"/><Relationship Id="rId266" Type="http://schemas.openxmlformats.org/officeDocument/2006/relationships/hyperlink" Target="https://www.immoscout24.ch/fr/maison/acheter/quartier-auge-fribourg" TargetMode="External"/><Relationship Id="rId4006" Type="http://schemas.openxmlformats.org/officeDocument/2006/relationships/hyperlink" Target="https://www.immoscout24.ch/fr/appartement/louer/lieu-riedholz" TargetMode="External"/><Relationship Id="rId5334" Type="http://schemas.openxmlformats.org/officeDocument/2006/relationships/hyperlink" Target="https://www.immoscout24.ch/fr/maison/acheter/lieu-besencens" TargetMode="External"/><Relationship Id="rId6665" Type="http://schemas.openxmlformats.org/officeDocument/2006/relationships/hyperlink" Target="https://www.immoscout24.ch/fr/maison/acheter/lieu-borgnone" TargetMode="External"/><Relationship Id="rId7997" Type="http://schemas.openxmlformats.org/officeDocument/2006/relationships/hyperlink" Target="https://www.immoscout24.ch/fr/maison/acheter/lieu-bretonnieres" TargetMode="External"/><Relationship Id="rId11981" Type="http://schemas.openxmlformats.org/officeDocument/2006/relationships/hyperlink" Target="https://www.immoscout24.ch/fr/appartement/louer/lieu-essertines-sur-rolle" TargetMode="External"/><Relationship Id="rId265" Type="http://schemas.openxmlformats.org/officeDocument/2006/relationships/hyperlink" Target="https://www.immoscout24.ch/fr/maison/acheter/quartier-auge-fribourg" TargetMode="External"/><Relationship Id="rId4005" Type="http://schemas.openxmlformats.org/officeDocument/2006/relationships/hyperlink" Target="https://www.immoscout24.ch/fr/appartement/louer/lieu-riedholz" TargetMode="External"/><Relationship Id="rId5335" Type="http://schemas.openxmlformats.org/officeDocument/2006/relationships/hyperlink" Target="https://www.immoscout24.ch/fr/maison/acheter/quartier-serrieres-neuchatel" TargetMode="External"/><Relationship Id="rId6666" Type="http://schemas.openxmlformats.org/officeDocument/2006/relationships/hyperlink" Target="https://www.immoscout24.ch/fr/maison/acheter/lieu-borgnone" TargetMode="External"/><Relationship Id="rId7996" Type="http://schemas.openxmlformats.org/officeDocument/2006/relationships/hyperlink" Target="https://www.immoscout24.ch/fr/appartement/acheter/lieu-corsier-sur-vevey" TargetMode="External"/><Relationship Id="rId10650" Type="http://schemas.openxmlformats.org/officeDocument/2006/relationships/hyperlink" Target="https://www.immoscout24.ch/fr/appartement/acheter/lieu-rheinfelden" TargetMode="External"/><Relationship Id="rId11980" Type="http://schemas.openxmlformats.org/officeDocument/2006/relationships/hyperlink" Target="https://www.immoscout24.ch/fr/appartement/louer/lieu-opfikon" TargetMode="External"/><Relationship Id="rId5329" Type="http://schemas.openxmlformats.org/officeDocument/2006/relationships/hyperlink" Target="https://www.immoscout24.ch/fr/maison/acheter/lieu-winterberg-zh" TargetMode="External"/><Relationship Id="rId5327" Type="http://schemas.openxmlformats.org/officeDocument/2006/relationships/hyperlink" Target="https://www.immoscout24.ch/fr/maison/acheter/lieu-auboranges" TargetMode="External"/><Relationship Id="rId6658" Type="http://schemas.openxmlformats.org/officeDocument/2006/relationships/hyperlink" Target="https://www.immoscout24.ch/fr/appartement/louer/lieu-sugiez" TargetMode="External"/><Relationship Id="rId5328" Type="http://schemas.openxmlformats.org/officeDocument/2006/relationships/hyperlink" Target="https://www.immoscout24.ch/fr/maison/acheter/lieu-auboranges" TargetMode="External"/><Relationship Id="rId6659" Type="http://schemas.openxmlformats.org/officeDocument/2006/relationships/hyperlink" Target="https://www.immoscout24.ch/fr/maison/louer/lieu-gryon" TargetMode="External"/><Relationship Id="rId7989" Type="http://schemas.openxmlformats.org/officeDocument/2006/relationships/hyperlink" Target="https://www.immoscout24.ch/fr/appartement/louer/lieu-muehleberg" TargetMode="External"/><Relationship Id="rId260" Type="http://schemas.openxmlformats.org/officeDocument/2006/relationships/hyperlink" Target="https://www.immoscout24.ch/fr/appartement/louer/lieu-lully-fr" TargetMode="External"/><Relationship Id="rId10666" Type="http://schemas.openxmlformats.org/officeDocument/2006/relationships/hyperlink" Target="https://www.immoscout24.ch/fr/appartement/acheter/lieu-saas-almagell" TargetMode="External"/><Relationship Id="rId11998" Type="http://schemas.openxmlformats.org/officeDocument/2006/relationships/hyperlink" Target="https://www.immoscout24.ch/fr/appartement/louer/lieu-ballens" TargetMode="External"/><Relationship Id="rId10667" Type="http://schemas.openxmlformats.org/officeDocument/2006/relationships/hyperlink" Target="https://www.immoscout24.ch/fr/appartement/louer/lieu-luterbach" TargetMode="External"/><Relationship Id="rId11997" Type="http://schemas.openxmlformats.org/officeDocument/2006/relationships/hyperlink" Target="https://www.immoscout24.ch/fr/appartement/louer/lieu-ballens" TargetMode="External"/><Relationship Id="rId259" Type="http://schemas.openxmlformats.org/officeDocument/2006/relationships/hyperlink" Target="https://www.immoscout24.ch/fr/appartement/louer/lieu-lully-fr" TargetMode="External"/><Relationship Id="rId10664" Type="http://schemas.openxmlformats.org/officeDocument/2006/relationships/hyperlink" Target="https://www.immoscout24.ch/fr/maison/acheter/lieu-neuchatel" TargetMode="External"/><Relationship Id="rId11996" Type="http://schemas.openxmlformats.org/officeDocument/2006/relationships/hyperlink" Target="https://www.immoscout24.ch/fr/maison/acheter/lieu-ogens" TargetMode="External"/><Relationship Id="rId258" Type="http://schemas.openxmlformats.org/officeDocument/2006/relationships/hyperlink" Target="https://www.immoscout24.ch/fr/maison/acheter/lieu-quinten" TargetMode="External"/><Relationship Id="rId10665" Type="http://schemas.openxmlformats.org/officeDocument/2006/relationships/hyperlink" Target="https://www.immoscout24.ch/fr/appartement/acheter/lieu-saas-almagell" TargetMode="External"/><Relationship Id="rId11995" Type="http://schemas.openxmlformats.org/officeDocument/2006/relationships/hyperlink" Target="https://www.immoscout24.ch/fr/maison/acheter/lieu-ogens" TargetMode="External"/><Relationship Id="rId7980" Type="http://schemas.openxmlformats.org/officeDocument/2006/relationships/hyperlink" Target="https://www.immoscout24.ch/fr/maison/acheter/pays-hongrie" TargetMode="External"/><Relationship Id="rId10668" Type="http://schemas.openxmlformats.org/officeDocument/2006/relationships/hyperlink" Target="https://www.immoscout24.ch/fr/appartement/louer/lieu-luterbach" TargetMode="External"/><Relationship Id="rId10669" Type="http://schemas.openxmlformats.org/officeDocument/2006/relationships/hyperlink" Target="https://www.immoscout24.ch/fr/maison/acheter/lieu-lausanne" TargetMode="External"/><Relationship Id="rId11999" Type="http://schemas.openxmlformats.org/officeDocument/2006/relationships/hyperlink" Target="https://www.immoscout24.ch/fr/appartement/acheter/lieu-beromuenster" TargetMode="External"/><Relationship Id="rId253" Type="http://schemas.openxmlformats.org/officeDocument/2006/relationships/hyperlink" Target="https://www.immoscout24.ch/fr/appartement/louer/region-jura-vaudois" TargetMode="External"/><Relationship Id="rId5321" Type="http://schemas.openxmlformats.org/officeDocument/2006/relationships/hyperlink" Target="https://www.immoscout24.ch/fr/maison/acheter/lieu-hondrich" TargetMode="External"/><Relationship Id="rId6652" Type="http://schemas.openxmlformats.org/officeDocument/2006/relationships/hyperlink" Target="https://www.immoscout24.ch/fr/appartement/louer/lieu-liez-st-martin" TargetMode="External"/><Relationship Id="rId7984" Type="http://schemas.openxmlformats.org/officeDocument/2006/relationships/hyperlink" Target="https://www.immoscout24.ch/fr/appartement/louer/lieu-sorvilier" TargetMode="External"/><Relationship Id="rId11990" Type="http://schemas.openxmlformats.org/officeDocument/2006/relationships/hyperlink" Target="https://www.immoscout24.ch/fr/appartement/louer/lieu-muensingen" TargetMode="External"/><Relationship Id="rId252" Type="http://schemas.openxmlformats.org/officeDocument/2006/relationships/hyperlink" Target="https://www.immoscout24.ch/fr/maison/acheter/lieu-buchillon" TargetMode="External"/><Relationship Id="rId5322" Type="http://schemas.openxmlformats.org/officeDocument/2006/relationships/hyperlink" Target="https://www.immoscout24.ch/fr/maison/acheter/lieu-hondrich" TargetMode="External"/><Relationship Id="rId6653" Type="http://schemas.openxmlformats.org/officeDocument/2006/relationships/hyperlink" Target="https://www.immoscout24.ch/fr/appartement/louer/lieu-villeneuve-fr" TargetMode="External"/><Relationship Id="rId7983" Type="http://schemas.openxmlformats.org/officeDocument/2006/relationships/hyperlink" Target="https://www.immoscout24.ch/fr/appartement/louer/lieu-sorvilier" TargetMode="External"/><Relationship Id="rId251" Type="http://schemas.openxmlformats.org/officeDocument/2006/relationships/hyperlink" Target="https://www.immoscout24.ch/fr/maison/acheter/lieu-buchillon" TargetMode="External"/><Relationship Id="rId6650" Type="http://schemas.openxmlformats.org/officeDocument/2006/relationships/hyperlink" Target="https://www.immoscout24.ch/fr/maison/acheter/lieu-cerentino" TargetMode="External"/><Relationship Id="rId7982" Type="http://schemas.openxmlformats.org/officeDocument/2006/relationships/hyperlink" Target="https://www.immoscout24.ch/fr/appartement/acheter/lieu-binningen" TargetMode="External"/><Relationship Id="rId250" Type="http://schemas.openxmlformats.org/officeDocument/2006/relationships/hyperlink" Target="https://www.immoscout24.ch/fr/appartement/acheter/lieu-staldenried" TargetMode="External"/><Relationship Id="rId5320" Type="http://schemas.openxmlformats.org/officeDocument/2006/relationships/hyperlink" Target="https://www.immoscout24.ch/fr/appartement/acheter/canton-vaud" TargetMode="External"/><Relationship Id="rId6651" Type="http://schemas.openxmlformats.org/officeDocument/2006/relationships/hyperlink" Target="https://www.immoscout24.ch/fr/appartement/louer/lieu-liez-st-martin" TargetMode="External"/><Relationship Id="rId7981" Type="http://schemas.openxmlformats.org/officeDocument/2006/relationships/hyperlink" Target="https://www.immoscout24.ch/fr/appartement/acheter/lieu-binningen" TargetMode="External"/><Relationship Id="rId257" Type="http://schemas.openxmlformats.org/officeDocument/2006/relationships/hyperlink" Target="https://www.immoscout24.ch/fr/maison/acheter/lieu-quinten" TargetMode="External"/><Relationship Id="rId5325" Type="http://schemas.openxmlformats.org/officeDocument/2006/relationships/hyperlink" Target="https://www.immoscout24.ch/fr/appartement/louer/lieu-buttes" TargetMode="External"/><Relationship Id="rId6656" Type="http://schemas.openxmlformats.org/officeDocument/2006/relationships/hyperlink" Target="https://www.immoscout24.ch/fr/appartement/acheter/pays-albanie" TargetMode="External"/><Relationship Id="rId7988" Type="http://schemas.openxmlformats.org/officeDocument/2006/relationships/hyperlink" Target="https://www.immoscout24.ch/fr/appartement/louer/lieu-yens" TargetMode="External"/><Relationship Id="rId10662" Type="http://schemas.openxmlformats.org/officeDocument/2006/relationships/hyperlink" Target="https://www.immoscout24.ch/fr/maison/louer/lieu-yvonand" TargetMode="External"/><Relationship Id="rId11994" Type="http://schemas.openxmlformats.org/officeDocument/2006/relationships/hyperlink" Target="https://www.immoscout24.ch/fr/appartement/louer/lieu-villars-sur-glane" TargetMode="External"/><Relationship Id="rId256" Type="http://schemas.openxmlformats.org/officeDocument/2006/relationships/hyperlink" Target="https://www.immoscout24.ch/fr/appartement/louer/lieu-l-abbaye" TargetMode="External"/><Relationship Id="rId5326" Type="http://schemas.openxmlformats.org/officeDocument/2006/relationships/hyperlink" Target="https://www.immoscout24.ch/fr/appartement/louer/lieu-buttes" TargetMode="External"/><Relationship Id="rId6657" Type="http://schemas.openxmlformats.org/officeDocument/2006/relationships/hyperlink" Target="https://www.immoscout24.ch/fr/appartement/louer/lieu-sugiez" TargetMode="External"/><Relationship Id="rId7987" Type="http://schemas.openxmlformats.org/officeDocument/2006/relationships/hyperlink" Target="https://www.immoscout24.ch/fr/appartement/louer/lieu-yens" TargetMode="External"/><Relationship Id="rId10663" Type="http://schemas.openxmlformats.org/officeDocument/2006/relationships/hyperlink" Target="https://www.immoscout24.ch/fr/maison/acheter/lieu-neuchatel" TargetMode="External"/><Relationship Id="rId11993" Type="http://schemas.openxmlformats.org/officeDocument/2006/relationships/hyperlink" Target="https://www.immoscout24.ch/fr/appartement/louer/lieu-villars-sur-glane" TargetMode="External"/><Relationship Id="rId255" Type="http://schemas.openxmlformats.org/officeDocument/2006/relationships/hyperlink" Target="https://www.immoscout24.ch/fr/appartement/louer/lieu-l-abbaye" TargetMode="External"/><Relationship Id="rId5323" Type="http://schemas.openxmlformats.org/officeDocument/2006/relationships/hyperlink" Target="https://www.immoscout24.ch/fr/appartement/acheter/lieu-vessy" TargetMode="External"/><Relationship Id="rId6654" Type="http://schemas.openxmlformats.org/officeDocument/2006/relationships/hyperlink" Target="https://www.immoscout24.ch/fr/appartement/louer/lieu-villeneuve-fr" TargetMode="External"/><Relationship Id="rId7986" Type="http://schemas.openxmlformats.org/officeDocument/2006/relationships/hyperlink" Target="https://www.immoscout24.ch/fr/appartement/louer/lieu-randogne" TargetMode="External"/><Relationship Id="rId10660" Type="http://schemas.openxmlformats.org/officeDocument/2006/relationships/hyperlink" Target="https://www.immoscout24.ch/fr/appartement/louer/region-frauenfeld-muenchwilen" TargetMode="External"/><Relationship Id="rId11992" Type="http://schemas.openxmlformats.org/officeDocument/2006/relationships/hyperlink" Target="https://www.immoscout24.ch/fr/maison/acheter/lieu-ittigen" TargetMode="External"/><Relationship Id="rId254" Type="http://schemas.openxmlformats.org/officeDocument/2006/relationships/hyperlink" Target="https://www.immoscout24.ch/fr/appartement/louer/region-jura-vaudois" TargetMode="External"/><Relationship Id="rId5324" Type="http://schemas.openxmlformats.org/officeDocument/2006/relationships/hyperlink" Target="https://www.immoscout24.ch/fr/appartement/acheter/lieu-vessy" TargetMode="External"/><Relationship Id="rId6655" Type="http://schemas.openxmlformats.org/officeDocument/2006/relationships/hyperlink" Target="https://www.immoscout24.ch/fr/appartement/acheter/pays-albanie" TargetMode="External"/><Relationship Id="rId7985" Type="http://schemas.openxmlformats.org/officeDocument/2006/relationships/hyperlink" Target="https://www.immoscout24.ch/fr/appartement/louer/lieu-randogne" TargetMode="External"/><Relationship Id="rId10661" Type="http://schemas.openxmlformats.org/officeDocument/2006/relationships/hyperlink" Target="https://www.immoscout24.ch/fr/maison/louer/lieu-yvonand" TargetMode="External"/><Relationship Id="rId11991" Type="http://schemas.openxmlformats.org/officeDocument/2006/relationships/hyperlink" Target="https://www.immoscout24.ch/fr/maison/acheter/lieu-ittigen" TargetMode="External"/><Relationship Id="rId4029" Type="http://schemas.openxmlformats.org/officeDocument/2006/relationships/hyperlink" Target="https://www.immoscout24.ch/fr/appartement/acheter/lieu-rovio" TargetMode="External"/><Relationship Id="rId293" Type="http://schemas.openxmlformats.org/officeDocument/2006/relationships/hyperlink" Target="https://www.immoscout24.ch/fr/appartement/acheter/lieu-st-legier-la-chiesaz" TargetMode="External"/><Relationship Id="rId292" Type="http://schemas.openxmlformats.org/officeDocument/2006/relationships/hyperlink" Target="https://www.immoscout24.ch/fr/maison/acheter/lieu-bueetigen" TargetMode="External"/><Relationship Id="rId291" Type="http://schemas.openxmlformats.org/officeDocument/2006/relationships/hyperlink" Target="https://www.immoscout24.ch/fr/maison/acheter/lieu-bueetigen" TargetMode="External"/><Relationship Id="rId290" Type="http://schemas.openxmlformats.org/officeDocument/2006/relationships/hyperlink" Target="https://www.immoscout24.ch/fr/maison/acheter/lieu-biembach-im-emmental" TargetMode="External"/><Relationship Id="rId10639" Type="http://schemas.openxmlformats.org/officeDocument/2006/relationships/hyperlink" Target="https://www.immoscout24.ch/fr/appartement/louer/region-oberengadin-puschlav-bergell" TargetMode="External"/><Relationship Id="rId10633" Type="http://schemas.openxmlformats.org/officeDocument/2006/relationships/hyperlink" Target="https://www.immoscout24.ch/fr/appartement/acheter/lieu-dompierre-fr" TargetMode="External"/><Relationship Id="rId11965" Type="http://schemas.openxmlformats.org/officeDocument/2006/relationships/hyperlink" Target="https://www.immoscout24.ch/fr/appartement/louer/lieu-mezieres-fr" TargetMode="External"/><Relationship Id="rId10634" Type="http://schemas.openxmlformats.org/officeDocument/2006/relationships/hyperlink" Target="https://www.immoscout24.ch/fr/appartement/acheter/lieu-dompierre-fr" TargetMode="External"/><Relationship Id="rId11964" Type="http://schemas.openxmlformats.org/officeDocument/2006/relationships/hyperlink" Target="https://www.immoscout24.ch/fr/appartement/louer/lieu-villard-sur-chamby" TargetMode="External"/><Relationship Id="rId10631" Type="http://schemas.openxmlformats.org/officeDocument/2006/relationships/hyperlink" Target="https://www.immoscout24.ch/fr/maison/acheter/lieu-moiry-vd" TargetMode="External"/><Relationship Id="rId11963" Type="http://schemas.openxmlformats.org/officeDocument/2006/relationships/hyperlink" Target="https://www.immoscout24.ch/fr/appartement/louer/lieu-villard-sur-chamby" TargetMode="External"/><Relationship Id="rId10632" Type="http://schemas.openxmlformats.org/officeDocument/2006/relationships/hyperlink" Target="https://www.immoscout24.ch/fr/maison/acheter/lieu-moiry-vd" TargetMode="External"/><Relationship Id="rId11962" Type="http://schemas.openxmlformats.org/officeDocument/2006/relationships/hyperlink" Target="https://www.immoscout24.ch/fr/appartement/acheter/lieu-choex" TargetMode="External"/><Relationship Id="rId5350" Type="http://schemas.openxmlformats.org/officeDocument/2006/relationships/hyperlink" Target="https://www.immoscout24.ch/fr/maison/louer/lieu-pensier" TargetMode="External"/><Relationship Id="rId6681" Type="http://schemas.openxmlformats.org/officeDocument/2006/relationships/hyperlink" Target="https://www.immoscout24.ch/fr/appartement/louer/lieu-agriswil" TargetMode="External"/><Relationship Id="rId10637" Type="http://schemas.openxmlformats.org/officeDocument/2006/relationships/hyperlink" Target="https://www.immoscout24.ch/fr/appartement/louer/lieu-bauen" TargetMode="External"/><Relationship Id="rId11969" Type="http://schemas.openxmlformats.org/officeDocument/2006/relationships/hyperlink" Target="https://www.immoscout24.ch/fr/maison/acheter/lieu-evilard" TargetMode="External"/><Relationship Id="rId5351" Type="http://schemas.openxmlformats.org/officeDocument/2006/relationships/hyperlink" Target="https://www.immoscout24.ch/fr/appartement/louer/lieu-langnau-am-albis" TargetMode="External"/><Relationship Id="rId6682" Type="http://schemas.openxmlformats.org/officeDocument/2006/relationships/hyperlink" Target="https://www.immoscout24.ch/fr/appartement/louer/lieu-agriswil" TargetMode="External"/><Relationship Id="rId10638" Type="http://schemas.openxmlformats.org/officeDocument/2006/relationships/hyperlink" Target="https://www.immoscout24.ch/fr/appartement/louer/lieu-bauen" TargetMode="External"/><Relationship Id="rId11968" Type="http://schemas.openxmlformats.org/officeDocument/2006/relationships/hyperlink" Target="https://www.immoscout24.ch/fr/appartement/louer/lieu-montpreveyres" TargetMode="External"/><Relationship Id="rId4020" Type="http://schemas.openxmlformats.org/officeDocument/2006/relationships/hyperlink" Target="https://www.immoscout24.ch/fr/maison/acheter/lieu-villard-sur-chamby" TargetMode="External"/><Relationship Id="rId10635" Type="http://schemas.openxmlformats.org/officeDocument/2006/relationships/hyperlink" Target="https://www.immoscout24.ch/fr/appartement/louer/lieu-suchy" TargetMode="External"/><Relationship Id="rId11967" Type="http://schemas.openxmlformats.org/officeDocument/2006/relationships/hyperlink" Target="https://www.immoscout24.ch/fr/appartement/louer/lieu-montpreveyres" TargetMode="External"/><Relationship Id="rId6680" Type="http://schemas.openxmlformats.org/officeDocument/2006/relationships/hyperlink" Target="https://www.immoscout24.ch/fr/appartement/louer/lieu-pfaeffikon-sz" TargetMode="External"/><Relationship Id="rId10636" Type="http://schemas.openxmlformats.org/officeDocument/2006/relationships/hyperlink" Target="https://www.immoscout24.ch/fr/appartement/louer/lieu-suchy" TargetMode="External"/><Relationship Id="rId11966" Type="http://schemas.openxmlformats.org/officeDocument/2006/relationships/hyperlink" Target="https://www.immoscout24.ch/fr/appartement/louer/lieu-mezieres-fr" TargetMode="External"/><Relationship Id="rId286" Type="http://schemas.openxmlformats.org/officeDocument/2006/relationships/hyperlink" Target="https://www.immoscout24.ch/fr/appartement/louer/lieu-montagny-la-ville" TargetMode="External"/><Relationship Id="rId4022" Type="http://schemas.openxmlformats.org/officeDocument/2006/relationships/hyperlink" Target="https://www.immoscout24.ch/fr/appartement/acheter/lieu-tuescherz-alfermee" TargetMode="External"/><Relationship Id="rId5354" Type="http://schemas.openxmlformats.org/officeDocument/2006/relationships/hyperlink" Target="https://www.immoscout24.ch/fr/appartement/louer/quartier-lorraine-berne" TargetMode="External"/><Relationship Id="rId6685" Type="http://schemas.openxmlformats.org/officeDocument/2006/relationships/hyperlink" Target="https://www.immoscout24.ch/fr/appartement/louer/lieu-mont-sur-rolle" TargetMode="External"/><Relationship Id="rId285" Type="http://schemas.openxmlformats.org/officeDocument/2006/relationships/hyperlink" Target="https://www.immoscout24.ch/fr/appartement/louer/lieu-montagny-la-ville" TargetMode="External"/><Relationship Id="rId4021" Type="http://schemas.openxmlformats.org/officeDocument/2006/relationships/hyperlink" Target="https://www.immoscout24.ch/fr/appartement/acheter/lieu-tuescherz-alfermee" TargetMode="External"/><Relationship Id="rId5355" Type="http://schemas.openxmlformats.org/officeDocument/2006/relationships/hyperlink" Target="https://www.immoscout24.ch/fr/maison/acheter/lieu-bassecourt" TargetMode="External"/><Relationship Id="rId6686" Type="http://schemas.openxmlformats.org/officeDocument/2006/relationships/hyperlink" Target="https://www.immoscout24.ch/fr/appartement/louer/lieu-mont-sur-rolle" TargetMode="External"/><Relationship Id="rId284" Type="http://schemas.openxmlformats.org/officeDocument/2006/relationships/hyperlink" Target="https://www.immoscout24.ch/fr/appartement/louer/lieu-aran" TargetMode="External"/><Relationship Id="rId4024" Type="http://schemas.openxmlformats.org/officeDocument/2006/relationships/hyperlink" Target="https://www.immoscout24.ch/fr/appartement/louer/lieu-zeiningen" TargetMode="External"/><Relationship Id="rId5352" Type="http://schemas.openxmlformats.org/officeDocument/2006/relationships/hyperlink" Target="https://www.immoscout24.ch/fr/appartement/louer/lieu-langnau-am-albis" TargetMode="External"/><Relationship Id="rId6683" Type="http://schemas.openxmlformats.org/officeDocument/2006/relationships/hyperlink" Target="https://www.immoscout24.ch/fr/appartement/louer/lieu-courtaman" TargetMode="External"/><Relationship Id="rId283" Type="http://schemas.openxmlformats.org/officeDocument/2006/relationships/hyperlink" Target="https://www.immoscout24.ch/fr/appartement/louer/lieu-aran" TargetMode="External"/><Relationship Id="rId4023" Type="http://schemas.openxmlformats.org/officeDocument/2006/relationships/hyperlink" Target="https://www.immoscout24.ch/fr/appartement/louer/lieu-zeiningen" TargetMode="External"/><Relationship Id="rId5353" Type="http://schemas.openxmlformats.org/officeDocument/2006/relationships/hyperlink" Target="https://www.immoscout24.ch/fr/appartement/louer/quartier-lorraine-berne" TargetMode="External"/><Relationship Id="rId6684" Type="http://schemas.openxmlformats.org/officeDocument/2006/relationships/hyperlink" Target="https://www.immoscout24.ch/fr/appartement/louer/lieu-courtaman" TargetMode="External"/><Relationship Id="rId4026" Type="http://schemas.openxmlformats.org/officeDocument/2006/relationships/hyperlink" Target="https://www.immoscout24.ch/fr/appartement/louer/lieu-leytron" TargetMode="External"/><Relationship Id="rId5358" Type="http://schemas.openxmlformats.org/officeDocument/2006/relationships/hyperlink" Target="https://www.immoscout24.ch/fr/appartement/acheter/region-emmental" TargetMode="External"/><Relationship Id="rId6689" Type="http://schemas.openxmlformats.org/officeDocument/2006/relationships/hyperlink" Target="https://www.immoscout24.ch/fr/maison/acheter/lieu-bramois" TargetMode="External"/><Relationship Id="rId11961" Type="http://schemas.openxmlformats.org/officeDocument/2006/relationships/hyperlink" Target="https://www.immoscout24.ch/fr/appartement/acheter/lieu-choex" TargetMode="External"/><Relationship Id="rId289" Type="http://schemas.openxmlformats.org/officeDocument/2006/relationships/hyperlink" Target="https://www.immoscout24.ch/fr/maison/acheter/lieu-biembach-im-emmental" TargetMode="External"/><Relationship Id="rId4025" Type="http://schemas.openxmlformats.org/officeDocument/2006/relationships/hyperlink" Target="https://www.immoscout24.ch/fr/appartement/louer/lieu-leytron" TargetMode="External"/><Relationship Id="rId5359" Type="http://schemas.openxmlformats.org/officeDocument/2006/relationships/hyperlink" Target="https://www.immoscout24.ch/fr/appartement/acheter/lieu-soral" TargetMode="External"/><Relationship Id="rId10630" Type="http://schemas.openxmlformats.org/officeDocument/2006/relationships/hyperlink" Target="https://www.immoscout24.ch/fr/appartement/louer/lieu-gerlafingen" TargetMode="External"/><Relationship Id="rId11960" Type="http://schemas.openxmlformats.org/officeDocument/2006/relationships/hyperlink" Target="https://www.immoscout24.ch/fr/maison/acheter/lieu-combremont-le-grand" TargetMode="External"/><Relationship Id="rId288" Type="http://schemas.openxmlformats.org/officeDocument/2006/relationships/hyperlink" Target="https://www.immoscout24.ch/fr/maison/louer/lieu-champtauroz" TargetMode="External"/><Relationship Id="rId4028" Type="http://schemas.openxmlformats.org/officeDocument/2006/relationships/hyperlink" Target="https://www.immoscout24.ch/fr/maison/acheter/lieu-hermrigen" TargetMode="External"/><Relationship Id="rId5356" Type="http://schemas.openxmlformats.org/officeDocument/2006/relationships/hyperlink" Target="https://www.immoscout24.ch/fr/maison/acheter/lieu-bassecourt" TargetMode="External"/><Relationship Id="rId6687" Type="http://schemas.openxmlformats.org/officeDocument/2006/relationships/hyperlink" Target="https://www.immoscout24.ch/fr/appartement/louer/lieu-vissoie" TargetMode="External"/><Relationship Id="rId287" Type="http://schemas.openxmlformats.org/officeDocument/2006/relationships/hyperlink" Target="https://www.immoscout24.ch/fr/maison/louer/lieu-champtauroz" TargetMode="External"/><Relationship Id="rId4027" Type="http://schemas.openxmlformats.org/officeDocument/2006/relationships/hyperlink" Target="https://www.immoscout24.ch/fr/maison/acheter/lieu-hermrigen" TargetMode="External"/><Relationship Id="rId5357" Type="http://schemas.openxmlformats.org/officeDocument/2006/relationships/hyperlink" Target="https://www.immoscout24.ch/fr/appartement/acheter/region-emmental" TargetMode="External"/><Relationship Id="rId6688" Type="http://schemas.openxmlformats.org/officeDocument/2006/relationships/hyperlink" Target="https://www.immoscout24.ch/fr/appartement/louer/lieu-vissoie" TargetMode="External"/><Relationship Id="rId4019" Type="http://schemas.openxmlformats.org/officeDocument/2006/relationships/hyperlink" Target="https://www.immoscout24.ch/fr/maison/acheter/lieu-villard-sur-chamby" TargetMode="External"/><Relationship Id="rId4018" Type="http://schemas.openxmlformats.org/officeDocument/2006/relationships/hyperlink" Target="https://www.immoscout24.ch/fr/appartement/louer/quartier-pambio-noranco-lugano" TargetMode="External"/><Relationship Id="rId5349" Type="http://schemas.openxmlformats.org/officeDocument/2006/relationships/hyperlink" Target="https://www.immoscout24.ch/fr/maison/louer/lieu-pensier" TargetMode="External"/><Relationship Id="rId282" Type="http://schemas.openxmlformats.org/officeDocument/2006/relationships/hyperlink" Target="https://www.immoscout24.ch/fr/appartement/louer/lieu-nidau" TargetMode="External"/><Relationship Id="rId281" Type="http://schemas.openxmlformats.org/officeDocument/2006/relationships/hyperlink" Target="https://www.immoscout24.ch/fr/appartement/louer/lieu-nidau" TargetMode="External"/><Relationship Id="rId280" Type="http://schemas.openxmlformats.org/officeDocument/2006/relationships/hyperlink" Target="https://www.immoscout24.ch/fr/appartement/louer/region-bas-valais" TargetMode="External"/><Relationship Id="rId10644" Type="http://schemas.openxmlformats.org/officeDocument/2006/relationships/hyperlink" Target="https://www.immoscout24.ch/fr/appartement/louer/lieu-vufflens-le-chateau" TargetMode="External"/><Relationship Id="rId11976" Type="http://schemas.openxmlformats.org/officeDocument/2006/relationships/hyperlink" Target="https://www.immoscout24.ch/fr/maison/acheter/lieu-aubonne" TargetMode="External"/><Relationship Id="rId10645" Type="http://schemas.openxmlformats.org/officeDocument/2006/relationships/hyperlink" Target="https://www.immoscout24.ch/fr/appartement/louer/lieu-kriegstetten" TargetMode="External"/><Relationship Id="rId11975" Type="http://schemas.openxmlformats.org/officeDocument/2006/relationships/hyperlink" Target="https://www.immoscout24.ch/fr/maison/acheter/lieu-aubonne" TargetMode="External"/><Relationship Id="rId10642" Type="http://schemas.openxmlformats.org/officeDocument/2006/relationships/hyperlink" Target="https://www.immoscout24.ch/fr/appartement/louer/lieu-gorduno" TargetMode="External"/><Relationship Id="rId11974" Type="http://schemas.openxmlformats.org/officeDocument/2006/relationships/hyperlink" Target="https://www.immoscout24.ch/fr/maison/louer/lieu-avegno" TargetMode="External"/><Relationship Id="rId10643" Type="http://schemas.openxmlformats.org/officeDocument/2006/relationships/hyperlink" Target="https://www.immoscout24.ch/fr/appartement/louer/lieu-vufflens-le-chateau" TargetMode="External"/><Relationship Id="rId11973" Type="http://schemas.openxmlformats.org/officeDocument/2006/relationships/hyperlink" Target="https://www.immoscout24.ch/fr/maison/louer/lieu-avegno" TargetMode="External"/><Relationship Id="rId6670" Type="http://schemas.openxmlformats.org/officeDocument/2006/relationships/hyperlink" Target="https://www.immoscout24.ch/fr/maison/louer/quartier-forges-endroits-la-chaux-de-fonds" TargetMode="External"/><Relationship Id="rId10648" Type="http://schemas.openxmlformats.org/officeDocument/2006/relationships/hyperlink" Target="https://www.immoscout24.ch/fr/appartement/louer/lieu-corin-de-la-crete" TargetMode="External"/><Relationship Id="rId5340" Type="http://schemas.openxmlformats.org/officeDocument/2006/relationships/hyperlink" Target="https://www.immoscout24.ch/fr/maison/acheter/lieu-moosseedorf" TargetMode="External"/><Relationship Id="rId6671" Type="http://schemas.openxmlformats.org/officeDocument/2006/relationships/hyperlink" Target="https://www.immoscout24.ch/fr/maison/acheter/lieu-courrendlin" TargetMode="External"/><Relationship Id="rId10649" Type="http://schemas.openxmlformats.org/officeDocument/2006/relationships/hyperlink" Target="https://www.immoscout24.ch/fr/appartement/acheter/lieu-rheinfelden" TargetMode="External"/><Relationship Id="rId11979" Type="http://schemas.openxmlformats.org/officeDocument/2006/relationships/hyperlink" Target="https://www.immoscout24.ch/fr/appartement/louer/lieu-opfikon" TargetMode="External"/><Relationship Id="rId10646" Type="http://schemas.openxmlformats.org/officeDocument/2006/relationships/hyperlink" Target="https://www.immoscout24.ch/fr/appartement/louer/lieu-kriegstetten" TargetMode="External"/><Relationship Id="rId11978" Type="http://schemas.openxmlformats.org/officeDocument/2006/relationships/hyperlink" Target="https://www.immoscout24.ch/fr/appartement/louer/lieu-romont-fr" TargetMode="External"/><Relationship Id="rId10647" Type="http://schemas.openxmlformats.org/officeDocument/2006/relationships/hyperlink" Target="https://www.immoscout24.ch/fr/appartement/louer/lieu-corin-de-la-crete" TargetMode="External"/><Relationship Id="rId11977" Type="http://schemas.openxmlformats.org/officeDocument/2006/relationships/hyperlink" Target="https://www.immoscout24.ch/fr/appartement/louer/lieu-romont-fr" TargetMode="External"/><Relationship Id="rId275" Type="http://schemas.openxmlformats.org/officeDocument/2006/relationships/hyperlink" Target="https://www.immoscout24.ch/fr/appartement/louer/quartier-st-jakob-st-gall" TargetMode="External"/><Relationship Id="rId4011" Type="http://schemas.openxmlformats.org/officeDocument/2006/relationships/hyperlink" Target="https://www.immoscout24.ch/fr/appartement/acheter/lieu-vernier" TargetMode="External"/><Relationship Id="rId5343" Type="http://schemas.openxmlformats.org/officeDocument/2006/relationships/hyperlink" Target="https://www.immoscout24.ch/fr/appartement/louer/lieu-dornach" TargetMode="External"/><Relationship Id="rId6674" Type="http://schemas.openxmlformats.org/officeDocument/2006/relationships/hyperlink" Target="https://www.immoscout24.ch/fr/appartement/louer/quartier-secheron-geneve" TargetMode="External"/><Relationship Id="rId274" Type="http://schemas.openxmlformats.org/officeDocument/2006/relationships/hyperlink" Target="https://www.immoscout24.ch/fr/maison/acheter/lieu-villarbeney" TargetMode="External"/><Relationship Id="rId4010" Type="http://schemas.openxmlformats.org/officeDocument/2006/relationships/hyperlink" Target="https://www.immoscout24.ch/fr/maison/louer/lieu-corin-de-la-crete" TargetMode="External"/><Relationship Id="rId5344" Type="http://schemas.openxmlformats.org/officeDocument/2006/relationships/hyperlink" Target="https://www.immoscout24.ch/fr/appartement/louer/lieu-dornach" TargetMode="External"/><Relationship Id="rId6675" Type="http://schemas.openxmlformats.org/officeDocument/2006/relationships/hyperlink" Target="https://www.immoscout24.ch/fr/appartement/louer/lieu-lugano" TargetMode="External"/><Relationship Id="rId273" Type="http://schemas.openxmlformats.org/officeDocument/2006/relationships/hyperlink" Target="https://www.immoscout24.ch/fr/maison/acheter/lieu-villarbeney" TargetMode="External"/><Relationship Id="rId4013" Type="http://schemas.openxmlformats.org/officeDocument/2006/relationships/hyperlink" Target="https://www.immoscout24.ch/fr/maison/acheter/lieu-termine" TargetMode="External"/><Relationship Id="rId5341" Type="http://schemas.openxmlformats.org/officeDocument/2006/relationships/hyperlink" Target="https://www.immoscout24.ch/fr/maison/louer/lieu-les-geneveys-sur-coffrane" TargetMode="External"/><Relationship Id="rId6672" Type="http://schemas.openxmlformats.org/officeDocument/2006/relationships/hyperlink" Target="https://www.immoscout24.ch/fr/maison/acheter/lieu-courrendlin" TargetMode="External"/><Relationship Id="rId272" Type="http://schemas.openxmlformats.org/officeDocument/2006/relationships/hyperlink" Target="https://www.immoscout24.ch/fr/appartement/louer/lieu-portalban" TargetMode="External"/><Relationship Id="rId4012" Type="http://schemas.openxmlformats.org/officeDocument/2006/relationships/hyperlink" Target="https://www.immoscout24.ch/fr/appartement/acheter/lieu-vernier" TargetMode="External"/><Relationship Id="rId5342" Type="http://schemas.openxmlformats.org/officeDocument/2006/relationships/hyperlink" Target="https://www.immoscout24.ch/fr/maison/louer/lieu-les-geneveys-sur-coffrane" TargetMode="External"/><Relationship Id="rId6673" Type="http://schemas.openxmlformats.org/officeDocument/2006/relationships/hyperlink" Target="https://www.immoscout24.ch/fr/appartement/louer/quartier-secheron-geneve" TargetMode="External"/><Relationship Id="rId279" Type="http://schemas.openxmlformats.org/officeDocument/2006/relationships/hyperlink" Target="https://www.immoscout24.ch/fr/appartement/louer/region-bas-valais" TargetMode="External"/><Relationship Id="rId4015" Type="http://schemas.openxmlformats.org/officeDocument/2006/relationships/hyperlink" Target="https://www.immoscout24.ch/fr/appartement/acheter/lieu-le-chatelard-vs" TargetMode="External"/><Relationship Id="rId5347" Type="http://schemas.openxmlformats.org/officeDocument/2006/relationships/hyperlink" Target="https://www.immoscout24.ch/fr/appartement/louer/lieu-bad-ragaz" TargetMode="External"/><Relationship Id="rId6678" Type="http://schemas.openxmlformats.org/officeDocument/2006/relationships/hyperlink" Target="https://www.immoscout24.ch/fr/appartement/louer/quartier-viganello-lugano" TargetMode="External"/><Relationship Id="rId10640" Type="http://schemas.openxmlformats.org/officeDocument/2006/relationships/hyperlink" Target="https://www.immoscout24.ch/fr/appartement/louer/region-oberengadin-puschlav-bergell" TargetMode="External"/><Relationship Id="rId11972" Type="http://schemas.openxmlformats.org/officeDocument/2006/relationships/hyperlink" Target="https://www.immoscout24.ch/fr/maison/acheter/region-lucerne-lac" TargetMode="External"/><Relationship Id="rId278" Type="http://schemas.openxmlformats.org/officeDocument/2006/relationships/hyperlink" Target="https://www.immoscout24.ch/fr/appartement/acheter/lieu-lyss" TargetMode="External"/><Relationship Id="rId4014" Type="http://schemas.openxmlformats.org/officeDocument/2006/relationships/hyperlink" Target="https://www.immoscout24.ch/fr/maison/acheter/lieu-termine" TargetMode="External"/><Relationship Id="rId5348" Type="http://schemas.openxmlformats.org/officeDocument/2006/relationships/hyperlink" Target="https://www.immoscout24.ch/fr/appartement/louer/lieu-bad-ragaz" TargetMode="External"/><Relationship Id="rId6679" Type="http://schemas.openxmlformats.org/officeDocument/2006/relationships/hyperlink" Target="https://www.immoscout24.ch/fr/appartement/louer/lieu-pfaeffikon-sz" TargetMode="External"/><Relationship Id="rId10641" Type="http://schemas.openxmlformats.org/officeDocument/2006/relationships/hyperlink" Target="https://www.immoscout24.ch/fr/appartement/louer/lieu-gorduno" TargetMode="External"/><Relationship Id="rId11971" Type="http://schemas.openxmlformats.org/officeDocument/2006/relationships/hyperlink" Target="https://www.immoscout24.ch/fr/maison/acheter/region-lucerne-lac" TargetMode="External"/><Relationship Id="rId277" Type="http://schemas.openxmlformats.org/officeDocument/2006/relationships/hyperlink" Target="https://www.immoscout24.ch/fr/appartement/acheter/lieu-lyss" TargetMode="External"/><Relationship Id="rId4017" Type="http://schemas.openxmlformats.org/officeDocument/2006/relationships/hyperlink" Target="https://www.immoscout24.ch/fr/appartement/louer/quartier-pambio-noranco-lugano" TargetMode="External"/><Relationship Id="rId5345" Type="http://schemas.openxmlformats.org/officeDocument/2006/relationships/hyperlink" Target="https://www.immoscout24.ch/fr/appartement/acheter/lieu-broc" TargetMode="External"/><Relationship Id="rId6676" Type="http://schemas.openxmlformats.org/officeDocument/2006/relationships/hyperlink" Target="https://www.immoscout24.ch/fr/appartement/louer/lieu-lugano" TargetMode="External"/><Relationship Id="rId11970" Type="http://schemas.openxmlformats.org/officeDocument/2006/relationships/hyperlink" Target="https://www.immoscout24.ch/fr/maison/acheter/lieu-evilard" TargetMode="External"/><Relationship Id="rId276" Type="http://schemas.openxmlformats.org/officeDocument/2006/relationships/hyperlink" Target="https://www.immoscout24.ch/fr/appartement/louer/quartier-st-jakob-st-gall" TargetMode="External"/><Relationship Id="rId4016" Type="http://schemas.openxmlformats.org/officeDocument/2006/relationships/hyperlink" Target="https://www.immoscout24.ch/fr/appartement/acheter/lieu-le-chatelard-vs" TargetMode="External"/><Relationship Id="rId5346" Type="http://schemas.openxmlformats.org/officeDocument/2006/relationships/hyperlink" Target="https://www.immoscout24.ch/fr/appartement/acheter/lieu-broc" TargetMode="External"/><Relationship Id="rId6677" Type="http://schemas.openxmlformats.org/officeDocument/2006/relationships/hyperlink" Target="https://www.immoscout24.ch/fr/appartement/louer/quartier-viganello-lugano" TargetMode="External"/><Relationship Id="rId11907" Type="http://schemas.openxmlformats.org/officeDocument/2006/relationships/hyperlink" Target="https://www.immoscout24.ch/fr/appartement/acheter/quartier-vers-chez-les-blanc-lausanne" TargetMode="External"/><Relationship Id="rId11906" Type="http://schemas.openxmlformats.org/officeDocument/2006/relationships/hyperlink" Target="https://www.immoscout24.ch/fr/maison/louer/lieu-glovelier" TargetMode="External"/><Relationship Id="rId11905" Type="http://schemas.openxmlformats.org/officeDocument/2006/relationships/hyperlink" Target="https://www.immoscout24.ch/fr/maison/louer/lieu-glovelier" TargetMode="External"/><Relationship Id="rId11904" Type="http://schemas.openxmlformats.org/officeDocument/2006/relationships/hyperlink" Target="https://www.immoscout24.ch/fr/appartement/louer/lieu-waengi" TargetMode="External"/><Relationship Id="rId11909" Type="http://schemas.openxmlformats.org/officeDocument/2006/relationships/hyperlink" Target="https://www.immoscout24.ch/fr/appartement/louer/lieu-gebenstorf" TargetMode="External"/><Relationship Id="rId11908" Type="http://schemas.openxmlformats.org/officeDocument/2006/relationships/hyperlink" Target="https://www.immoscout24.ch/fr/appartement/acheter/quartier-vers-chez-les-blanc-lausanne" TargetMode="External"/><Relationship Id="rId4080" Type="http://schemas.openxmlformats.org/officeDocument/2006/relationships/hyperlink" Target="https://www.immoscout24.ch/fr/appartement/louer/lieu-tavannes" TargetMode="External"/><Relationship Id="rId4082" Type="http://schemas.openxmlformats.org/officeDocument/2006/relationships/hyperlink" Target="https://www.immoscout24.ch/fr/maison/acheter/quartier-ville-ancienne-la-chaux-de-fonds" TargetMode="External"/><Relationship Id="rId4081" Type="http://schemas.openxmlformats.org/officeDocument/2006/relationships/hyperlink" Target="https://www.immoscout24.ch/fr/maison/acheter/quartier-ville-ancienne-la-chaux-de-fonds" TargetMode="External"/><Relationship Id="rId4084" Type="http://schemas.openxmlformats.org/officeDocument/2006/relationships/hyperlink" Target="https://www.immoscout24.ch/fr/maison/louer/lieu-erlach" TargetMode="External"/><Relationship Id="rId11903" Type="http://schemas.openxmlformats.org/officeDocument/2006/relationships/hyperlink" Target="https://www.immoscout24.ch/fr/appartement/louer/lieu-waengi" TargetMode="External"/><Relationship Id="rId4083" Type="http://schemas.openxmlformats.org/officeDocument/2006/relationships/hyperlink" Target="https://www.immoscout24.ch/fr/maison/louer/lieu-erlach" TargetMode="External"/><Relationship Id="rId11902" Type="http://schemas.openxmlformats.org/officeDocument/2006/relationships/hyperlink" Target="https://www.immoscout24.ch/fr/maison/louer/lieu-epagny" TargetMode="External"/><Relationship Id="rId4086" Type="http://schemas.openxmlformats.org/officeDocument/2006/relationships/hyperlink" Target="https://www.immoscout24.ch/fr/maison/acheter/lieu-corcelles-be" TargetMode="External"/><Relationship Id="rId11901" Type="http://schemas.openxmlformats.org/officeDocument/2006/relationships/hyperlink" Target="https://www.immoscout24.ch/fr/maison/louer/lieu-epagny" TargetMode="External"/><Relationship Id="rId4085" Type="http://schemas.openxmlformats.org/officeDocument/2006/relationships/hyperlink" Target="https://www.immoscout24.ch/fr/maison/acheter/lieu-corcelles-be" TargetMode="External"/><Relationship Id="rId11900" Type="http://schemas.openxmlformats.org/officeDocument/2006/relationships/hyperlink" Target="https://www.immoscout24.ch/fr/appartement/louer/lieu-dommartin" TargetMode="External"/><Relationship Id="rId4088" Type="http://schemas.openxmlformats.org/officeDocument/2006/relationships/hyperlink" Target="https://www.immoscout24.ch/fr/maison/acheter/lieu-arnex-sur-orbe" TargetMode="External"/><Relationship Id="rId4087" Type="http://schemas.openxmlformats.org/officeDocument/2006/relationships/hyperlink" Target="https://www.immoscout24.ch/fr/maison/acheter/lieu-arnex-sur-orbe" TargetMode="External"/><Relationship Id="rId4089" Type="http://schemas.openxmlformats.org/officeDocument/2006/relationships/hyperlink" Target="https://www.immoscout24.ch/fr/maison/acheter/lieu-seiry" TargetMode="External"/><Relationship Id="rId11918" Type="http://schemas.openxmlformats.org/officeDocument/2006/relationships/hyperlink" Target="https://www.immoscout24.ch/fr/appartement/louer/lieu-taeuffelen" TargetMode="External"/><Relationship Id="rId11917" Type="http://schemas.openxmlformats.org/officeDocument/2006/relationships/hyperlink" Target="https://www.immoscout24.ch/fr/appartement/louer/lieu-taeuffelen" TargetMode="External"/><Relationship Id="rId11916" Type="http://schemas.openxmlformats.org/officeDocument/2006/relationships/hyperlink" Target="https://www.immoscout24.ch/fr/appartement/louer/lieu-le-fuet" TargetMode="External"/><Relationship Id="rId11915" Type="http://schemas.openxmlformats.org/officeDocument/2006/relationships/hyperlink" Target="https://www.immoscout24.ch/fr/appartement/louer/lieu-le-fuet" TargetMode="External"/><Relationship Id="rId11919" Type="http://schemas.openxmlformats.org/officeDocument/2006/relationships/hyperlink" Target="https://www.immoscout24.ch/fr/appartement/acheter/lieu-muri-b-bern" TargetMode="External"/><Relationship Id="rId11910" Type="http://schemas.openxmlformats.org/officeDocument/2006/relationships/hyperlink" Target="https://www.immoscout24.ch/fr/appartement/louer/lieu-gebenstorf" TargetMode="External"/><Relationship Id="rId4071" Type="http://schemas.openxmlformats.org/officeDocument/2006/relationships/hyperlink" Target="https://www.immoscout24.ch/fr/appartement/acheter/lieu-troinex" TargetMode="External"/><Relationship Id="rId4070" Type="http://schemas.openxmlformats.org/officeDocument/2006/relationships/hyperlink" Target="https://www.immoscout24.ch/fr/appartement/louer/lieu-liesberg-dorf" TargetMode="External"/><Relationship Id="rId4073" Type="http://schemas.openxmlformats.org/officeDocument/2006/relationships/hyperlink" Target="https://www.immoscout24.ch/fr/appartement/louer/lieu-graechen" TargetMode="External"/><Relationship Id="rId11914" Type="http://schemas.openxmlformats.org/officeDocument/2006/relationships/hyperlink" Target="https://www.immoscout24.ch/fr/appartement/louer/lieu-crassier" TargetMode="External"/><Relationship Id="rId4072" Type="http://schemas.openxmlformats.org/officeDocument/2006/relationships/hyperlink" Target="https://www.immoscout24.ch/fr/appartement/acheter/lieu-troinex" TargetMode="External"/><Relationship Id="rId11913" Type="http://schemas.openxmlformats.org/officeDocument/2006/relationships/hyperlink" Target="https://www.immoscout24.ch/fr/appartement/louer/lieu-crassier" TargetMode="External"/><Relationship Id="rId4075" Type="http://schemas.openxmlformats.org/officeDocument/2006/relationships/hyperlink" Target="https://www.immoscout24.ch/fr/maison/acheter/quartier-schonberg-fribourg" TargetMode="External"/><Relationship Id="rId11912" Type="http://schemas.openxmlformats.org/officeDocument/2006/relationships/hyperlink" Target="https://www.immoscout24.ch/fr/appartement/louer/lieu-allenwinden" TargetMode="External"/><Relationship Id="rId4074" Type="http://schemas.openxmlformats.org/officeDocument/2006/relationships/hyperlink" Target="https://www.immoscout24.ch/fr/appartement/louer/lieu-graechen" TargetMode="External"/><Relationship Id="rId11911" Type="http://schemas.openxmlformats.org/officeDocument/2006/relationships/hyperlink" Target="https://www.immoscout24.ch/fr/appartement/louer/lieu-allenwinden" TargetMode="External"/><Relationship Id="rId4077" Type="http://schemas.openxmlformats.org/officeDocument/2006/relationships/hyperlink" Target="https://www.immoscout24.ch/fr/appartement/louer/lieu-movelier" TargetMode="External"/><Relationship Id="rId4076" Type="http://schemas.openxmlformats.org/officeDocument/2006/relationships/hyperlink" Target="https://www.immoscout24.ch/fr/maison/acheter/quartier-schonberg-fribourg" TargetMode="External"/><Relationship Id="rId4079" Type="http://schemas.openxmlformats.org/officeDocument/2006/relationships/hyperlink" Target="https://www.immoscout24.ch/fr/appartement/louer/lieu-tavannes" TargetMode="External"/><Relationship Id="rId4078" Type="http://schemas.openxmlformats.org/officeDocument/2006/relationships/hyperlink" Target="https://www.immoscout24.ch/fr/appartement/louer/lieu-movelier" TargetMode="External"/><Relationship Id="rId4091" Type="http://schemas.openxmlformats.org/officeDocument/2006/relationships/hyperlink" Target="https://www.immoscout24.ch/fr/appartement/acheter/lieu-belalp" TargetMode="External"/><Relationship Id="rId4090" Type="http://schemas.openxmlformats.org/officeDocument/2006/relationships/hyperlink" Target="https://www.immoscout24.ch/fr/maison/acheter/lieu-seiry" TargetMode="External"/><Relationship Id="rId4093" Type="http://schemas.openxmlformats.org/officeDocument/2006/relationships/hyperlink" Target="https://www.immoscout24.ch/fr/appartement/louer/lieu-capolago" TargetMode="External"/><Relationship Id="rId4092" Type="http://schemas.openxmlformats.org/officeDocument/2006/relationships/hyperlink" Target="https://www.immoscout24.ch/fr/appartement/acheter/lieu-belalp" TargetMode="External"/><Relationship Id="rId4095" Type="http://schemas.openxmlformats.org/officeDocument/2006/relationships/hyperlink" Target="https://www.immoscout24.ch/fr/appartement/louer/region-jura-bernois" TargetMode="External"/><Relationship Id="rId4094" Type="http://schemas.openxmlformats.org/officeDocument/2006/relationships/hyperlink" Target="https://www.immoscout24.ch/fr/appartement/louer/lieu-capolago" TargetMode="External"/><Relationship Id="rId4097" Type="http://schemas.openxmlformats.org/officeDocument/2006/relationships/hyperlink" Target="https://www.immoscout24.ch/fr/appartement/acheter/lieu-seedorf-be" TargetMode="External"/><Relationship Id="rId4096" Type="http://schemas.openxmlformats.org/officeDocument/2006/relationships/hyperlink" Target="https://www.immoscout24.ch/fr/appartement/louer/region-jura-bernois" TargetMode="External"/><Relationship Id="rId4099" Type="http://schemas.openxmlformats.org/officeDocument/2006/relationships/hyperlink" Target="https://www.immoscout24.ch/fr/appartement/louer/lieu-remaufens" TargetMode="External"/><Relationship Id="rId4098" Type="http://schemas.openxmlformats.org/officeDocument/2006/relationships/hyperlink" Target="https://www.immoscout24.ch/fr/appartement/acheter/lieu-seedorf-be" TargetMode="External"/><Relationship Id="rId5417" Type="http://schemas.openxmlformats.org/officeDocument/2006/relationships/hyperlink" Target="https://www.immoscout24.ch/fr/appartement/acheter/lieu-la-chaux-du-milieu" TargetMode="External"/><Relationship Id="rId6748" Type="http://schemas.openxmlformats.org/officeDocument/2006/relationships/hyperlink" Target="https://www.immoscout24.ch/fr/maison/acheter/lieu-suchy" TargetMode="External"/><Relationship Id="rId5418" Type="http://schemas.openxmlformats.org/officeDocument/2006/relationships/hyperlink" Target="https://www.immoscout24.ch/fr/appartement/acheter/lieu-la-chaux-du-milieu" TargetMode="External"/><Relationship Id="rId6749" Type="http://schemas.openxmlformats.org/officeDocument/2006/relationships/hyperlink" Target="https://www.immoscout24.ch/fr/maison/acheter/lieu-oberems" TargetMode="External"/><Relationship Id="rId5415" Type="http://schemas.openxmlformats.org/officeDocument/2006/relationships/hyperlink" Target="https://www.immoscout24.ch/fr/maison/acheter/lieu-montmollin" TargetMode="External"/><Relationship Id="rId6746" Type="http://schemas.openxmlformats.org/officeDocument/2006/relationships/hyperlink" Target="https://www.immoscout24.ch/fr/maison/acheter/lieu-epautheyres" TargetMode="External"/><Relationship Id="rId5416" Type="http://schemas.openxmlformats.org/officeDocument/2006/relationships/hyperlink" Target="https://www.immoscout24.ch/fr/maison/acheter/lieu-montmollin" TargetMode="External"/><Relationship Id="rId6747" Type="http://schemas.openxmlformats.org/officeDocument/2006/relationships/hyperlink" Target="https://www.immoscout24.ch/fr/maison/acheter/lieu-suchy" TargetMode="External"/><Relationship Id="rId5419" Type="http://schemas.openxmlformats.org/officeDocument/2006/relationships/hyperlink" Target="https://www.immoscout24.ch/fr/appartement/acheter/quartier-chailly-rovereaz-lausanne" TargetMode="External"/><Relationship Id="rId228" Type="http://schemas.openxmlformats.org/officeDocument/2006/relationships/hyperlink" Target="https://www.immoscout24.ch/fr/appartement/acheter/lieu-montet-glane" TargetMode="External"/><Relationship Id="rId10699" Type="http://schemas.openxmlformats.org/officeDocument/2006/relationships/hyperlink" Target="https://www.immoscout24.ch/fr/appartement/louer/lieu-lajoux-ju" TargetMode="External"/><Relationship Id="rId227" Type="http://schemas.openxmlformats.org/officeDocument/2006/relationships/hyperlink" Target="https://www.immoscout24.ch/fr/appartement/acheter/lieu-montet-glane" TargetMode="External"/><Relationship Id="rId226" Type="http://schemas.openxmlformats.org/officeDocument/2006/relationships/hyperlink" Target="https://www.immoscout24.ch/fr/maison/acheter/quartier-kleinhueningen-bale" TargetMode="External"/><Relationship Id="rId10697" Type="http://schemas.openxmlformats.org/officeDocument/2006/relationships/hyperlink" Target="https://www.immoscout24.ch/fr/appartement/louer/lieu-heimberg" TargetMode="External"/><Relationship Id="rId225" Type="http://schemas.openxmlformats.org/officeDocument/2006/relationships/hyperlink" Target="https://www.immoscout24.ch/fr/maison/acheter/quartier-kleinhueningen-bale" TargetMode="External"/><Relationship Id="rId10698" Type="http://schemas.openxmlformats.org/officeDocument/2006/relationships/hyperlink" Target="https://www.immoscout24.ch/fr/appartement/louer/lieu-heimberg" TargetMode="External"/><Relationship Id="rId229" Type="http://schemas.openxmlformats.org/officeDocument/2006/relationships/hyperlink" Target="https://www.immoscout24.ch/fr/maison/acheter/lieu-glis" TargetMode="External"/><Relationship Id="rId220" Type="http://schemas.openxmlformats.org/officeDocument/2006/relationships/hyperlink" Target="https://www.immoscout24.ch/fr/appartement/acheter/lieu-sullens" TargetMode="External"/><Relationship Id="rId6740" Type="http://schemas.openxmlformats.org/officeDocument/2006/relationships/hyperlink" Target="https://www.immoscout24.ch/fr/appartement/louer/lieu-saanen" TargetMode="External"/><Relationship Id="rId10691" Type="http://schemas.openxmlformats.org/officeDocument/2006/relationships/hyperlink" Target="https://www.immoscout24.ch/fr/appartement/louer/lieu-schlieren" TargetMode="External"/><Relationship Id="rId5410" Type="http://schemas.openxmlformats.org/officeDocument/2006/relationships/hyperlink" Target="https://www.immoscout24.ch/fr/appartement/louer/region-seeland" TargetMode="External"/><Relationship Id="rId6741" Type="http://schemas.openxmlformats.org/officeDocument/2006/relationships/hyperlink" Target="https://www.immoscout24.ch/fr/appartement/louer/lieu-oberdorf-bl" TargetMode="External"/><Relationship Id="rId10692" Type="http://schemas.openxmlformats.org/officeDocument/2006/relationships/hyperlink" Target="https://www.immoscout24.ch/fr/appartement/louer/lieu-schlieren" TargetMode="External"/><Relationship Id="rId10690" Type="http://schemas.openxmlformats.org/officeDocument/2006/relationships/hyperlink" Target="https://www.immoscout24.ch/fr/appartement/louer/lieu-ecuvillens" TargetMode="External"/><Relationship Id="rId224" Type="http://schemas.openxmlformats.org/officeDocument/2006/relationships/hyperlink" Target="https://www.immoscout24.ch/fr/appartement/acheter/lieu-giffers" TargetMode="External"/><Relationship Id="rId5413" Type="http://schemas.openxmlformats.org/officeDocument/2006/relationships/hyperlink" Target="https://www.immoscout24.ch/fr/appartement/louer/lieu-rorschach" TargetMode="External"/><Relationship Id="rId6744" Type="http://schemas.openxmlformats.org/officeDocument/2006/relationships/hyperlink" Target="https://www.immoscout24.ch/fr/maison/acheter/lieu-frenieres-sur-bex" TargetMode="External"/><Relationship Id="rId10695" Type="http://schemas.openxmlformats.org/officeDocument/2006/relationships/hyperlink" Target="https://www.immoscout24.ch/fr/appartement/louer/lieu-bogis-bossey" TargetMode="External"/><Relationship Id="rId223" Type="http://schemas.openxmlformats.org/officeDocument/2006/relationships/hyperlink" Target="https://www.immoscout24.ch/fr/appartement/acheter/lieu-giffers" TargetMode="External"/><Relationship Id="rId5414" Type="http://schemas.openxmlformats.org/officeDocument/2006/relationships/hyperlink" Target="https://www.immoscout24.ch/fr/appartement/louer/lieu-rorschach" TargetMode="External"/><Relationship Id="rId6745" Type="http://schemas.openxmlformats.org/officeDocument/2006/relationships/hyperlink" Target="https://www.immoscout24.ch/fr/maison/acheter/lieu-epautheyres" TargetMode="External"/><Relationship Id="rId10696" Type="http://schemas.openxmlformats.org/officeDocument/2006/relationships/hyperlink" Target="https://www.immoscout24.ch/fr/appartement/louer/lieu-bogis-bossey" TargetMode="External"/><Relationship Id="rId222" Type="http://schemas.openxmlformats.org/officeDocument/2006/relationships/hyperlink" Target="https://www.immoscout24.ch/fr/maison/acheter/lieu-cully" TargetMode="External"/><Relationship Id="rId5411" Type="http://schemas.openxmlformats.org/officeDocument/2006/relationships/hyperlink" Target="https://www.immoscout24.ch/fr/maison/louer/lieu-posieux" TargetMode="External"/><Relationship Id="rId6742" Type="http://schemas.openxmlformats.org/officeDocument/2006/relationships/hyperlink" Target="https://www.immoscout24.ch/fr/appartement/louer/lieu-oberdorf-bl" TargetMode="External"/><Relationship Id="rId10693" Type="http://schemas.openxmlformats.org/officeDocument/2006/relationships/hyperlink" Target="https://www.immoscout24.ch/fr/maison/acheter/lieu-uttwil" TargetMode="External"/><Relationship Id="rId221" Type="http://schemas.openxmlformats.org/officeDocument/2006/relationships/hyperlink" Target="https://www.immoscout24.ch/fr/maison/acheter/lieu-cully" TargetMode="External"/><Relationship Id="rId5412" Type="http://schemas.openxmlformats.org/officeDocument/2006/relationships/hyperlink" Target="https://www.immoscout24.ch/fr/maison/louer/lieu-posieux" TargetMode="External"/><Relationship Id="rId6743" Type="http://schemas.openxmlformats.org/officeDocument/2006/relationships/hyperlink" Target="https://www.immoscout24.ch/fr/maison/acheter/lieu-frenieres-sur-bex" TargetMode="External"/><Relationship Id="rId10694" Type="http://schemas.openxmlformats.org/officeDocument/2006/relationships/hyperlink" Target="https://www.immoscout24.ch/fr/maison/acheter/lieu-uttwil" TargetMode="External"/><Relationship Id="rId5406" Type="http://schemas.openxmlformats.org/officeDocument/2006/relationships/hyperlink" Target="https://www.immoscout24.ch/fr/appartement/louer/lieu-schoenenbuch" TargetMode="External"/><Relationship Id="rId6737" Type="http://schemas.openxmlformats.org/officeDocument/2006/relationships/hyperlink" Target="https://www.immoscout24.ch/fr/maison/acheter/lieu-menziken" TargetMode="External"/><Relationship Id="rId5407" Type="http://schemas.openxmlformats.org/officeDocument/2006/relationships/hyperlink" Target="https://www.immoscout24.ch/fr/appartement/louer/lieu-valangin" TargetMode="External"/><Relationship Id="rId6738" Type="http://schemas.openxmlformats.org/officeDocument/2006/relationships/hyperlink" Target="https://www.immoscout24.ch/fr/maison/acheter/lieu-menziken" TargetMode="External"/><Relationship Id="rId5404" Type="http://schemas.openxmlformats.org/officeDocument/2006/relationships/hyperlink" Target="https://www.immoscout24.ch/fr/appartement/louer/lieu-buchs-ag" TargetMode="External"/><Relationship Id="rId6735" Type="http://schemas.openxmlformats.org/officeDocument/2006/relationships/hyperlink" Target="https://www.immoscout24.ch/fr/maison/acheter/lieu-posat" TargetMode="External"/><Relationship Id="rId5405" Type="http://schemas.openxmlformats.org/officeDocument/2006/relationships/hyperlink" Target="https://www.immoscout24.ch/fr/appartement/louer/lieu-schoenenbuch" TargetMode="External"/><Relationship Id="rId6736" Type="http://schemas.openxmlformats.org/officeDocument/2006/relationships/hyperlink" Target="https://www.immoscout24.ch/fr/maison/acheter/lieu-posat" TargetMode="External"/><Relationship Id="rId5408" Type="http://schemas.openxmlformats.org/officeDocument/2006/relationships/hyperlink" Target="https://www.immoscout24.ch/fr/appartement/louer/lieu-valangin" TargetMode="External"/><Relationship Id="rId6739" Type="http://schemas.openxmlformats.org/officeDocument/2006/relationships/hyperlink" Target="https://www.immoscout24.ch/fr/appartement/louer/lieu-saanen" TargetMode="External"/><Relationship Id="rId5409" Type="http://schemas.openxmlformats.org/officeDocument/2006/relationships/hyperlink" Target="https://www.immoscout24.ch/fr/appartement/louer/region-seeland" TargetMode="External"/><Relationship Id="rId217" Type="http://schemas.openxmlformats.org/officeDocument/2006/relationships/hyperlink" Target="https://www.immoscout24.ch/fr/maison/acheter/lieu-pensier" TargetMode="External"/><Relationship Id="rId216" Type="http://schemas.openxmlformats.org/officeDocument/2006/relationships/hyperlink" Target="https://www.immoscout24.ch/fr/appartement/louer/lieu-la-plaine" TargetMode="External"/><Relationship Id="rId215" Type="http://schemas.openxmlformats.org/officeDocument/2006/relationships/hyperlink" Target="https://www.immoscout24.ch/fr/appartement/louer/lieu-la-plaine" TargetMode="External"/><Relationship Id="rId214" Type="http://schemas.openxmlformats.org/officeDocument/2006/relationships/hyperlink" Target="https://www.immoscout24.ch/fr/appartement/acheter/lieu-ostermundigen" TargetMode="External"/><Relationship Id="rId219" Type="http://schemas.openxmlformats.org/officeDocument/2006/relationships/hyperlink" Target="https://www.immoscout24.ch/fr/appartement/acheter/lieu-sullens" TargetMode="External"/><Relationship Id="rId218" Type="http://schemas.openxmlformats.org/officeDocument/2006/relationships/hyperlink" Target="https://www.immoscout24.ch/fr/maison/acheter/lieu-pensier" TargetMode="External"/><Relationship Id="rId6730" Type="http://schemas.openxmlformats.org/officeDocument/2006/relationships/hyperlink" Target="https://www.immoscout24.ch/fr/maison/acheter/lieu-charrat" TargetMode="External"/><Relationship Id="rId213" Type="http://schemas.openxmlformats.org/officeDocument/2006/relationships/hyperlink" Target="https://www.immoscout24.ch/fr/appartement/acheter/lieu-ostermundigen" TargetMode="External"/><Relationship Id="rId5402" Type="http://schemas.openxmlformats.org/officeDocument/2006/relationships/hyperlink" Target="https://www.immoscout24.ch/fr/maison/acheter/lieu-saxon" TargetMode="External"/><Relationship Id="rId6733" Type="http://schemas.openxmlformats.org/officeDocument/2006/relationships/hyperlink" Target="https://www.immoscout24.ch/fr/appartement/louer/lieu-boulens" TargetMode="External"/><Relationship Id="rId212" Type="http://schemas.openxmlformats.org/officeDocument/2006/relationships/hyperlink" Target="https://www.immoscout24.ch/fr/appartement/acheter/lieu-luterbach" TargetMode="External"/><Relationship Id="rId5403" Type="http://schemas.openxmlformats.org/officeDocument/2006/relationships/hyperlink" Target="https://www.immoscout24.ch/fr/appartement/louer/lieu-buchs-ag" TargetMode="External"/><Relationship Id="rId6734" Type="http://schemas.openxmlformats.org/officeDocument/2006/relationships/hyperlink" Target="https://www.immoscout24.ch/fr/appartement/louer/lieu-boulens" TargetMode="External"/><Relationship Id="rId211" Type="http://schemas.openxmlformats.org/officeDocument/2006/relationships/hyperlink" Target="https://www.immoscout24.ch/fr/appartement/acheter/lieu-luterbach" TargetMode="External"/><Relationship Id="rId5400" Type="http://schemas.openxmlformats.org/officeDocument/2006/relationships/hyperlink" Target="https://www.immoscout24.ch/fr/appartement/louer/lieu-baden" TargetMode="External"/><Relationship Id="rId6731" Type="http://schemas.openxmlformats.org/officeDocument/2006/relationships/hyperlink" Target="https://www.immoscout24.ch/fr/maison/acheter/lieu-la-fouly-vs" TargetMode="External"/><Relationship Id="rId210" Type="http://schemas.openxmlformats.org/officeDocument/2006/relationships/hyperlink" Target="https://www.immoscout24.ch/fr/appartement/louer/lieu-kirchberg-be" TargetMode="External"/><Relationship Id="rId5401" Type="http://schemas.openxmlformats.org/officeDocument/2006/relationships/hyperlink" Target="https://www.immoscout24.ch/fr/maison/acheter/lieu-saxon" TargetMode="External"/><Relationship Id="rId6732" Type="http://schemas.openxmlformats.org/officeDocument/2006/relationships/hyperlink" Target="https://www.immoscout24.ch/fr/maison/acheter/lieu-la-fouly-vs" TargetMode="External"/><Relationship Id="rId4107" Type="http://schemas.openxmlformats.org/officeDocument/2006/relationships/hyperlink" Target="https://www.immoscout24.ch/fr/appartement/louer/lieu-boesingen" TargetMode="External"/><Relationship Id="rId5439" Type="http://schemas.openxmlformats.org/officeDocument/2006/relationships/hyperlink" Target="https://www.immoscout24.ch/fr/maison/acheter/lieu-bossonnens" TargetMode="External"/><Relationship Id="rId4106" Type="http://schemas.openxmlformats.org/officeDocument/2006/relationships/hyperlink" Target="https://www.immoscout24.ch/fr/appartement/louer/quartier-beundenfeld-berne" TargetMode="External"/><Relationship Id="rId4109" Type="http://schemas.openxmlformats.org/officeDocument/2006/relationships/hyperlink" Target="https://www.immoscout24.ch/fr/appartement/acheter/lieu-le-vaud" TargetMode="External"/><Relationship Id="rId5437" Type="http://schemas.openxmlformats.org/officeDocument/2006/relationships/hyperlink" Target="https://www.immoscout24.ch/fr/maison/acheter/lieu-koeniz" TargetMode="External"/><Relationship Id="rId6768" Type="http://schemas.openxmlformats.org/officeDocument/2006/relationships/hyperlink" Target="https://www.immoscout24.ch/fr/appartement/louer/lieu-meisterschwanden" TargetMode="External"/><Relationship Id="rId4108" Type="http://schemas.openxmlformats.org/officeDocument/2006/relationships/hyperlink" Target="https://www.immoscout24.ch/fr/appartement/louer/lieu-boesingen" TargetMode="External"/><Relationship Id="rId5438" Type="http://schemas.openxmlformats.org/officeDocument/2006/relationships/hyperlink" Target="https://www.immoscout24.ch/fr/maison/acheter/lieu-koeniz" TargetMode="External"/><Relationship Id="rId6769" Type="http://schemas.openxmlformats.org/officeDocument/2006/relationships/hyperlink" Target="https://www.immoscout24.ch/fr/appartement/louer/quartier-st-jean-aire-geneve" TargetMode="External"/><Relationship Id="rId10677" Type="http://schemas.openxmlformats.org/officeDocument/2006/relationships/hyperlink" Target="https://www.immoscout24.ch/fr/appartement/acheter/lieu-rueschlikon" TargetMode="External"/><Relationship Id="rId249" Type="http://schemas.openxmlformats.org/officeDocument/2006/relationships/hyperlink" Target="https://www.immoscout24.ch/fr/appartement/acheter/lieu-staldenried" TargetMode="External"/><Relationship Id="rId10678" Type="http://schemas.openxmlformats.org/officeDocument/2006/relationships/hyperlink" Target="https://www.immoscout24.ch/fr/appartement/acheter/lieu-rueschlikon" TargetMode="External"/><Relationship Id="rId248" Type="http://schemas.openxmlformats.org/officeDocument/2006/relationships/hyperlink" Target="https://www.immoscout24.ch/fr/maison/louer/lieu-murist" TargetMode="External"/><Relationship Id="rId10675" Type="http://schemas.openxmlformats.org/officeDocument/2006/relationships/hyperlink" Target="https://www.immoscout24.ch/fr/appartement/louer/lieu-dietlikon" TargetMode="External"/><Relationship Id="rId247" Type="http://schemas.openxmlformats.org/officeDocument/2006/relationships/hyperlink" Target="https://www.immoscout24.ch/fr/maison/louer/lieu-murist" TargetMode="External"/><Relationship Id="rId10676" Type="http://schemas.openxmlformats.org/officeDocument/2006/relationships/hyperlink" Target="https://www.immoscout24.ch/fr/appartement/louer/lieu-dietlikon" TargetMode="External"/><Relationship Id="rId10679" Type="http://schemas.openxmlformats.org/officeDocument/2006/relationships/hyperlink" Target="https://www.immoscout24.ch/fr/maison/acheter/lieu-le-brassus" TargetMode="External"/><Relationship Id="rId242" Type="http://schemas.openxmlformats.org/officeDocument/2006/relationships/hyperlink" Target="https://www.immoscout24.ch/fr/appartement/louer/lieu-vira-gambarogno" TargetMode="External"/><Relationship Id="rId5431" Type="http://schemas.openxmlformats.org/officeDocument/2006/relationships/hyperlink" Target="https://www.immoscout24.ch/fr/maison/louer/lieu-niederhasli" TargetMode="External"/><Relationship Id="rId6762" Type="http://schemas.openxmlformats.org/officeDocument/2006/relationships/hyperlink" Target="https://www.immoscout24.ch/fr/maison/louer/lieu-port" TargetMode="External"/><Relationship Id="rId241" Type="http://schemas.openxmlformats.org/officeDocument/2006/relationships/hyperlink" Target="https://www.immoscout24.ch/fr/appartement/louer/lieu-vira-gambarogno" TargetMode="External"/><Relationship Id="rId5432" Type="http://schemas.openxmlformats.org/officeDocument/2006/relationships/hyperlink" Target="https://www.immoscout24.ch/fr/maison/louer/lieu-niederhasli" TargetMode="External"/><Relationship Id="rId6763" Type="http://schemas.openxmlformats.org/officeDocument/2006/relationships/hyperlink" Target="https://www.immoscout24.ch/fr/maison/acheter/lieu-les-verines-chamoson" TargetMode="External"/><Relationship Id="rId10670" Type="http://schemas.openxmlformats.org/officeDocument/2006/relationships/hyperlink" Target="https://www.immoscout24.ch/fr/maison/acheter/lieu-lausanne" TargetMode="External"/><Relationship Id="rId240" Type="http://schemas.openxmlformats.org/officeDocument/2006/relationships/hyperlink" Target="https://www.immoscout24.ch/fr/appartement/louer/lieu-muehledorf-so" TargetMode="External"/><Relationship Id="rId4101" Type="http://schemas.openxmlformats.org/officeDocument/2006/relationships/hyperlink" Target="https://www.immoscout24.ch/fr/maison/acheter/lieu-villars-tiercelin" TargetMode="External"/><Relationship Id="rId6760" Type="http://schemas.openxmlformats.org/officeDocument/2006/relationships/hyperlink" Target="https://www.immoscout24.ch/fr/appartement/acheter/lieu-zollikon" TargetMode="External"/><Relationship Id="rId4100" Type="http://schemas.openxmlformats.org/officeDocument/2006/relationships/hyperlink" Target="https://www.immoscout24.ch/fr/appartement/louer/lieu-remaufens" TargetMode="External"/><Relationship Id="rId5430" Type="http://schemas.openxmlformats.org/officeDocument/2006/relationships/hyperlink" Target="https://www.immoscout24.ch/fr/maison/acheter/lieu-muolen" TargetMode="External"/><Relationship Id="rId6761" Type="http://schemas.openxmlformats.org/officeDocument/2006/relationships/hyperlink" Target="https://www.immoscout24.ch/fr/maison/louer/lieu-port" TargetMode="External"/><Relationship Id="rId246" Type="http://schemas.openxmlformats.org/officeDocument/2006/relationships/hyperlink" Target="https://www.immoscout24.ch/fr/maison/acheter/lieu-orny" TargetMode="External"/><Relationship Id="rId4103" Type="http://schemas.openxmlformats.org/officeDocument/2006/relationships/hyperlink" Target="https://www.immoscout24.ch/fr/maison/acheter/lieu-aarau" TargetMode="External"/><Relationship Id="rId5435" Type="http://schemas.openxmlformats.org/officeDocument/2006/relationships/hyperlink" Target="https://www.immoscout24.ch/fr/maison/acheter/lieu-eischoll" TargetMode="External"/><Relationship Id="rId6766" Type="http://schemas.openxmlformats.org/officeDocument/2006/relationships/hyperlink" Target="https://www.immoscout24.ch/fr/appartement/acheter/lieu-bellach" TargetMode="External"/><Relationship Id="rId10673" Type="http://schemas.openxmlformats.org/officeDocument/2006/relationships/hyperlink" Target="https://www.immoscout24.ch/fr/appartement/louer/lieu-burtigny" TargetMode="External"/><Relationship Id="rId245" Type="http://schemas.openxmlformats.org/officeDocument/2006/relationships/hyperlink" Target="https://www.immoscout24.ch/fr/maison/acheter/lieu-orny" TargetMode="External"/><Relationship Id="rId4102" Type="http://schemas.openxmlformats.org/officeDocument/2006/relationships/hyperlink" Target="https://www.immoscout24.ch/fr/maison/acheter/lieu-villars-tiercelin" TargetMode="External"/><Relationship Id="rId5436" Type="http://schemas.openxmlformats.org/officeDocument/2006/relationships/hyperlink" Target="https://www.immoscout24.ch/fr/maison/acheter/lieu-eischoll" TargetMode="External"/><Relationship Id="rId6767" Type="http://schemas.openxmlformats.org/officeDocument/2006/relationships/hyperlink" Target="https://www.immoscout24.ch/fr/appartement/louer/lieu-meisterschwanden" TargetMode="External"/><Relationship Id="rId10674" Type="http://schemas.openxmlformats.org/officeDocument/2006/relationships/hyperlink" Target="https://www.immoscout24.ch/fr/appartement/louer/lieu-burtigny" TargetMode="External"/><Relationship Id="rId244" Type="http://schemas.openxmlformats.org/officeDocument/2006/relationships/hyperlink" Target="https://www.immoscout24.ch/fr/maison/acheter/lieu-damphreux" TargetMode="External"/><Relationship Id="rId4105" Type="http://schemas.openxmlformats.org/officeDocument/2006/relationships/hyperlink" Target="https://www.immoscout24.ch/fr/appartement/louer/quartier-beundenfeld-berne" TargetMode="External"/><Relationship Id="rId5433" Type="http://schemas.openxmlformats.org/officeDocument/2006/relationships/hyperlink" Target="https://www.immoscout24.ch/fr/appartement/louer/lieu-pomy" TargetMode="External"/><Relationship Id="rId6764" Type="http://schemas.openxmlformats.org/officeDocument/2006/relationships/hyperlink" Target="https://www.immoscout24.ch/fr/maison/acheter/lieu-les-verines-chamoson" TargetMode="External"/><Relationship Id="rId10671" Type="http://schemas.openxmlformats.org/officeDocument/2006/relationships/hyperlink" Target="https://www.immoscout24.ch/fr/maison/acheter/region-herisau-ville" TargetMode="External"/><Relationship Id="rId243" Type="http://schemas.openxmlformats.org/officeDocument/2006/relationships/hyperlink" Target="https://www.immoscout24.ch/fr/maison/acheter/lieu-damphreux" TargetMode="External"/><Relationship Id="rId4104" Type="http://schemas.openxmlformats.org/officeDocument/2006/relationships/hyperlink" Target="https://www.immoscout24.ch/fr/maison/acheter/lieu-aarau" TargetMode="External"/><Relationship Id="rId5434" Type="http://schemas.openxmlformats.org/officeDocument/2006/relationships/hyperlink" Target="https://www.immoscout24.ch/fr/appartement/louer/lieu-pomy" TargetMode="External"/><Relationship Id="rId6765" Type="http://schemas.openxmlformats.org/officeDocument/2006/relationships/hyperlink" Target="https://www.immoscout24.ch/fr/appartement/acheter/lieu-bellach" TargetMode="External"/><Relationship Id="rId10672" Type="http://schemas.openxmlformats.org/officeDocument/2006/relationships/hyperlink" Target="https://www.immoscout24.ch/fr/maison/acheter/region-herisau-ville" TargetMode="External"/><Relationship Id="rId5428" Type="http://schemas.openxmlformats.org/officeDocument/2006/relationships/hyperlink" Target="https://www.immoscout24.ch/fr/maison/acheter/lieu-soral" TargetMode="External"/><Relationship Id="rId6759" Type="http://schemas.openxmlformats.org/officeDocument/2006/relationships/hyperlink" Target="https://www.immoscout24.ch/fr/appartement/acheter/lieu-zollikon" TargetMode="External"/><Relationship Id="rId5429" Type="http://schemas.openxmlformats.org/officeDocument/2006/relationships/hyperlink" Target="https://www.immoscout24.ch/fr/maison/acheter/lieu-muolen" TargetMode="External"/><Relationship Id="rId5426" Type="http://schemas.openxmlformats.org/officeDocument/2006/relationships/hyperlink" Target="https://www.immoscout24.ch/fr/appartement/louer/lieu-gumefens" TargetMode="External"/><Relationship Id="rId6757" Type="http://schemas.openxmlformats.org/officeDocument/2006/relationships/hyperlink" Target="https://www.immoscout24.ch/fr/appartement/louer/lieu-cheseaux-noreaz" TargetMode="External"/><Relationship Id="rId5427" Type="http://schemas.openxmlformats.org/officeDocument/2006/relationships/hyperlink" Target="https://www.immoscout24.ch/fr/maison/acheter/lieu-soral" TargetMode="External"/><Relationship Id="rId6758" Type="http://schemas.openxmlformats.org/officeDocument/2006/relationships/hyperlink" Target="https://www.immoscout24.ch/fr/appartement/louer/lieu-cheseaux-noreaz" TargetMode="External"/><Relationship Id="rId239" Type="http://schemas.openxmlformats.org/officeDocument/2006/relationships/hyperlink" Target="https://www.immoscout24.ch/fr/appartement/louer/lieu-muehledorf-so" TargetMode="External"/><Relationship Id="rId10688" Type="http://schemas.openxmlformats.org/officeDocument/2006/relationships/hyperlink" Target="https://www.immoscout24.ch/fr/appartement/acheter/lieu-ipsach" TargetMode="External"/><Relationship Id="rId238" Type="http://schemas.openxmlformats.org/officeDocument/2006/relationships/hyperlink" Target="https://www.immoscout24.ch/fr/maison/louer/lieu-l-abbaye" TargetMode="External"/><Relationship Id="rId10689" Type="http://schemas.openxmlformats.org/officeDocument/2006/relationships/hyperlink" Target="https://www.immoscout24.ch/fr/appartement/louer/lieu-ecuvillens" TargetMode="External"/><Relationship Id="rId237" Type="http://schemas.openxmlformats.org/officeDocument/2006/relationships/hyperlink" Target="https://www.immoscout24.ch/fr/maison/louer/lieu-l-abbaye" TargetMode="External"/><Relationship Id="rId10686" Type="http://schemas.openxmlformats.org/officeDocument/2006/relationships/hyperlink" Target="https://www.immoscout24.ch/fr/maison/acheter/lieu-suhr" TargetMode="External"/><Relationship Id="rId236" Type="http://schemas.openxmlformats.org/officeDocument/2006/relationships/hyperlink" Target="https://www.immoscout24.ch/fr/appartement/louer/lieu-appenzell" TargetMode="External"/><Relationship Id="rId10687" Type="http://schemas.openxmlformats.org/officeDocument/2006/relationships/hyperlink" Target="https://www.immoscout24.ch/fr/appartement/acheter/lieu-ipsach" TargetMode="External"/><Relationship Id="rId231" Type="http://schemas.openxmlformats.org/officeDocument/2006/relationships/hyperlink" Target="https://www.immoscout24.ch/fr/appartement/louer/lieu-eggiwil" TargetMode="External"/><Relationship Id="rId5420" Type="http://schemas.openxmlformats.org/officeDocument/2006/relationships/hyperlink" Target="https://www.immoscout24.ch/fr/appartement/acheter/quartier-chailly-rovereaz-lausanne" TargetMode="External"/><Relationship Id="rId6751" Type="http://schemas.openxmlformats.org/officeDocument/2006/relationships/hyperlink" Target="https://www.immoscout24.ch/fr/maison/acheter/lieu-arconciel" TargetMode="External"/><Relationship Id="rId10680" Type="http://schemas.openxmlformats.org/officeDocument/2006/relationships/hyperlink" Target="https://www.immoscout24.ch/fr/maison/acheter/lieu-le-brassus" TargetMode="External"/><Relationship Id="rId230" Type="http://schemas.openxmlformats.org/officeDocument/2006/relationships/hyperlink" Target="https://www.immoscout24.ch/fr/maison/acheter/lieu-glis" TargetMode="External"/><Relationship Id="rId5421" Type="http://schemas.openxmlformats.org/officeDocument/2006/relationships/hyperlink" Target="https://www.immoscout24.ch/fr/maison/louer/lieu-orny" TargetMode="External"/><Relationship Id="rId6752" Type="http://schemas.openxmlformats.org/officeDocument/2006/relationships/hyperlink" Target="https://www.immoscout24.ch/fr/maison/acheter/lieu-arconciel" TargetMode="External"/><Relationship Id="rId10681" Type="http://schemas.openxmlformats.org/officeDocument/2006/relationships/hyperlink" Target="https://www.immoscout24.ch/fr/appartement/louer/lieu-gonten" TargetMode="External"/><Relationship Id="rId6750" Type="http://schemas.openxmlformats.org/officeDocument/2006/relationships/hyperlink" Target="https://www.immoscout24.ch/fr/maison/acheter/lieu-oberems" TargetMode="External"/><Relationship Id="rId235" Type="http://schemas.openxmlformats.org/officeDocument/2006/relationships/hyperlink" Target="https://www.immoscout24.ch/fr/appartement/louer/lieu-appenzell" TargetMode="External"/><Relationship Id="rId5424" Type="http://schemas.openxmlformats.org/officeDocument/2006/relationships/hyperlink" Target="https://www.immoscout24.ch/fr/appartement/acheter/lieu-buelach" TargetMode="External"/><Relationship Id="rId6755" Type="http://schemas.openxmlformats.org/officeDocument/2006/relationships/hyperlink" Target="https://www.immoscout24.ch/fr/appartement/louer/lieu-frenkendorf" TargetMode="External"/><Relationship Id="rId10684" Type="http://schemas.openxmlformats.org/officeDocument/2006/relationships/hyperlink" Target="https://www.immoscout24.ch/fr/appartement/louer/secteur-kreis-4" TargetMode="External"/><Relationship Id="rId234" Type="http://schemas.openxmlformats.org/officeDocument/2006/relationships/hyperlink" Target="https://www.immoscout24.ch/fr/appartement/acheter/lieu-l-etivaz" TargetMode="External"/><Relationship Id="rId5425" Type="http://schemas.openxmlformats.org/officeDocument/2006/relationships/hyperlink" Target="https://www.immoscout24.ch/fr/appartement/louer/lieu-gumefens" TargetMode="External"/><Relationship Id="rId6756" Type="http://schemas.openxmlformats.org/officeDocument/2006/relationships/hyperlink" Target="https://www.immoscout24.ch/fr/appartement/louer/lieu-frenkendorf" TargetMode="External"/><Relationship Id="rId10685" Type="http://schemas.openxmlformats.org/officeDocument/2006/relationships/hyperlink" Target="https://www.immoscout24.ch/fr/maison/acheter/lieu-suhr" TargetMode="External"/><Relationship Id="rId233" Type="http://schemas.openxmlformats.org/officeDocument/2006/relationships/hyperlink" Target="https://www.immoscout24.ch/fr/appartement/acheter/lieu-l-etivaz" TargetMode="External"/><Relationship Id="rId5422" Type="http://schemas.openxmlformats.org/officeDocument/2006/relationships/hyperlink" Target="https://www.immoscout24.ch/fr/maison/louer/lieu-orny" TargetMode="External"/><Relationship Id="rId6753" Type="http://schemas.openxmlformats.org/officeDocument/2006/relationships/hyperlink" Target="https://www.immoscout24.ch/fr/appartement/acheter/lieu-saas-balen" TargetMode="External"/><Relationship Id="rId10682" Type="http://schemas.openxmlformats.org/officeDocument/2006/relationships/hyperlink" Target="https://www.immoscout24.ch/fr/appartement/louer/lieu-gonten" TargetMode="External"/><Relationship Id="rId232" Type="http://schemas.openxmlformats.org/officeDocument/2006/relationships/hyperlink" Target="https://www.immoscout24.ch/fr/appartement/louer/lieu-eggiwil" TargetMode="External"/><Relationship Id="rId5423" Type="http://schemas.openxmlformats.org/officeDocument/2006/relationships/hyperlink" Target="https://www.immoscout24.ch/fr/appartement/acheter/lieu-buelach" TargetMode="External"/><Relationship Id="rId6754" Type="http://schemas.openxmlformats.org/officeDocument/2006/relationships/hyperlink" Target="https://www.immoscout24.ch/fr/appartement/acheter/lieu-saas-balen" TargetMode="External"/><Relationship Id="rId10683" Type="http://schemas.openxmlformats.org/officeDocument/2006/relationships/hyperlink" Target="https://www.immoscout24.ch/fr/appartement/louer/secteur-kreis-4" TargetMode="External"/><Relationship Id="rId6704" Type="http://schemas.openxmlformats.org/officeDocument/2006/relationships/hyperlink" Target="https://www.immoscout24.ch/fr/appartement/louer/lieu-misery" TargetMode="External"/><Relationship Id="rId6705" Type="http://schemas.openxmlformats.org/officeDocument/2006/relationships/hyperlink" Target="https://www.immoscout24.ch/fr/maison/acheter/quartier-bruderholz-bale" TargetMode="External"/><Relationship Id="rId6702" Type="http://schemas.openxmlformats.org/officeDocument/2006/relationships/hyperlink" Target="https://www.immoscout24.ch/fr/maison/acheter/lieu-intragna" TargetMode="External"/><Relationship Id="rId6703" Type="http://schemas.openxmlformats.org/officeDocument/2006/relationships/hyperlink" Target="https://www.immoscout24.ch/fr/appartement/louer/lieu-misery" TargetMode="External"/><Relationship Id="rId6708" Type="http://schemas.openxmlformats.org/officeDocument/2006/relationships/hyperlink" Target="https://www.immoscout24.ch/fr/appartement/acheter/lieu-bubikon" TargetMode="External"/><Relationship Id="rId6709" Type="http://schemas.openxmlformats.org/officeDocument/2006/relationships/hyperlink" Target="https://www.immoscout24.ch/fr/appartement/louer/lieu-le-mouret" TargetMode="External"/><Relationship Id="rId6706" Type="http://schemas.openxmlformats.org/officeDocument/2006/relationships/hyperlink" Target="https://www.immoscout24.ch/fr/maison/acheter/quartier-bruderholz-bale" TargetMode="External"/><Relationship Id="rId6707" Type="http://schemas.openxmlformats.org/officeDocument/2006/relationships/hyperlink" Target="https://www.immoscout24.ch/fr/appartement/acheter/lieu-bubikon" TargetMode="External"/><Relationship Id="rId6700" Type="http://schemas.openxmlformats.org/officeDocument/2006/relationships/hyperlink" Target="https://www.immoscout24.ch/fr/maison/acheter/lieu-arogno" TargetMode="External"/><Relationship Id="rId6701" Type="http://schemas.openxmlformats.org/officeDocument/2006/relationships/hyperlink" Target="https://www.immoscout24.ch/fr/maison/acheter/lieu-intragna" TargetMode="External"/><Relationship Id="rId6726" Type="http://schemas.openxmlformats.org/officeDocument/2006/relationships/hyperlink" Target="https://www.immoscout24.ch/fr/maison/acheter/quartier-bel-air-la-chaux-de-fonds" TargetMode="External"/><Relationship Id="rId6727" Type="http://schemas.openxmlformats.org/officeDocument/2006/relationships/hyperlink" Target="https://www.immoscout24.ch/fr/appartement/louer/lieu-thuernen" TargetMode="External"/><Relationship Id="rId6724" Type="http://schemas.openxmlformats.org/officeDocument/2006/relationships/hyperlink" Target="https://www.immoscout24.ch/fr/appartement/louer/lieu-villars-sous-mont" TargetMode="External"/><Relationship Id="rId6725" Type="http://schemas.openxmlformats.org/officeDocument/2006/relationships/hyperlink" Target="https://www.immoscout24.ch/fr/maison/acheter/quartier-bel-air-la-chaux-de-fonds" TargetMode="External"/><Relationship Id="rId6728" Type="http://schemas.openxmlformats.org/officeDocument/2006/relationships/hyperlink" Target="https://www.immoscout24.ch/fr/appartement/louer/lieu-thuernen" TargetMode="External"/><Relationship Id="rId6729" Type="http://schemas.openxmlformats.org/officeDocument/2006/relationships/hyperlink" Target="https://www.immoscout24.ch/fr/maison/acheter/lieu-charrat" TargetMode="External"/><Relationship Id="rId206" Type="http://schemas.openxmlformats.org/officeDocument/2006/relationships/hyperlink" Target="https://www.immoscout24.ch/fr/maison/louer/lieu-cormagens" TargetMode="External"/><Relationship Id="rId205" Type="http://schemas.openxmlformats.org/officeDocument/2006/relationships/hyperlink" Target="https://www.immoscout24.ch/fr/maison/louer/lieu-cormagens" TargetMode="External"/><Relationship Id="rId204" Type="http://schemas.openxmlformats.org/officeDocument/2006/relationships/hyperlink" Target="https://www.immoscout24.ch/fr/appartement/acheter/lieu-muttenz" TargetMode="External"/><Relationship Id="rId203" Type="http://schemas.openxmlformats.org/officeDocument/2006/relationships/hyperlink" Target="https://www.immoscout24.ch/fr/appartement/acheter/lieu-muttenz" TargetMode="External"/><Relationship Id="rId209" Type="http://schemas.openxmlformats.org/officeDocument/2006/relationships/hyperlink" Target="https://www.immoscout24.ch/fr/appartement/louer/lieu-kirchberg-be" TargetMode="External"/><Relationship Id="rId208" Type="http://schemas.openxmlformats.org/officeDocument/2006/relationships/hyperlink" Target="https://www.immoscout24.ch/fr/maison/louer/region-rorschach-st-gallen" TargetMode="External"/><Relationship Id="rId207" Type="http://schemas.openxmlformats.org/officeDocument/2006/relationships/hyperlink" Target="https://www.immoscout24.ch/fr/maison/louer/region-rorschach-st-gallen" TargetMode="External"/><Relationship Id="rId202" Type="http://schemas.openxmlformats.org/officeDocument/2006/relationships/hyperlink" Target="https://www.immoscout24.ch/fr/appartement/louer/lieu-muriaux" TargetMode="External"/><Relationship Id="rId6722" Type="http://schemas.openxmlformats.org/officeDocument/2006/relationships/hyperlink" Target="https://www.immoscout24.ch/fr/appartement/louer/lieu-sumiswald" TargetMode="External"/><Relationship Id="rId201" Type="http://schemas.openxmlformats.org/officeDocument/2006/relationships/hyperlink" Target="https://www.immoscout24.ch/fr/appartement/louer/lieu-muriaux" TargetMode="External"/><Relationship Id="rId6723" Type="http://schemas.openxmlformats.org/officeDocument/2006/relationships/hyperlink" Target="https://www.immoscout24.ch/fr/appartement/louer/lieu-villars-sous-mont" TargetMode="External"/><Relationship Id="rId200" Type="http://schemas.openxmlformats.org/officeDocument/2006/relationships/hyperlink" Target="https://www.immoscout24.ch/fr/maison/acheter/lieu-ballaigues" TargetMode="External"/><Relationship Id="rId6720" Type="http://schemas.openxmlformats.org/officeDocument/2006/relationships/hyperlink" Target="https://www.immoscout24.ch/fr/appartement/acheter/lieu-gimel" TargetMode="External"/><Relationship Id="rId6721" Type="http://schemas.openxmlformats.org/officeDocument/2006/relationships/hyperlink" Target="https://www.immoscout24.ch/fr/appartement/louer/lieu-sumiswald" TargetMode="External"/><Relationship Id="rId6715" Type="http://schemas.openxmlformats.org/officeDocument/2006/relationships/hyperlink" Target="https://www.immoscout24.ch/fr/appartement/louer/lieu-grandsivaz" TargetMode="External"/><Relationship Id="rId6716" Type="http://schemas.openxmlformats.org/officeDocument/2006/relationships/hyperlink" Target="https://www.immoscout24.ch/fr/appartement/louer/lieu-grandsivaz" TargetMode="External"/><Relationship Id="rId6713" Type="http://schemas.openxmlformats.org/officeDocument/2006/relationships/hyperlink" Target="https://www.immoscout24.ch/fr/maison/louer/lieu-chateau-d-oex" TargetMode="External"/><Relationship Id="rId6714" Type="http://schemas.openxmlformats.org/officeDocument/2006/relationships/hyperlink" Target="https://www.immoscout24.ch/fr/maison/louer/lieu-chateau-d-oex" TargetMode="External"/><Relationship Id="rId6719" Type="http://schemas.openxmlformats.org/officeDocument/2006/relationships/hyperlink" Target="https://www.immoscout24.ch/fr/appartement/acheter/lieu-gimel" TargetMode="External"/><Relationship Id="rId6717" Type="http://schemas.openxmlformats.org/officeDocument/2006/relationships/hyperlink" Target="https://www.immoscout24.ch/fr/maison/acheter/lieu-breitenbach" TargetMode="External"/><Relationship Id="rId6718" Type="http://schemas.openxmlformats.org/officeDocument/2006/relationships/hyperlink" Target="https://www.immoscout24.ch/fr/maison/acheter/lieu-breitenbach" TargetMode="External"/><Relationship Id="rId6711" Type="http://schemas.openxmlformats.org/officeDocument/2006/relationships/hyperlink" Target="https://www.immoscout24.ch/fr/maison/acheter/lieu-preverenges" TargetMode="External"/><Relationship Id="rId6712" Type="http://schemas.openxmlformats.org/officeDocument/2006/relationships/hyperlink" Target="https://www.immoscout24.ch/fr/maison/acheter/lieu-preverenges" TargetMode="External"/><Relationship Id="rId6710" Type="http://schemas.openxmlformats.org/officeDocument/2006/relationships/hyperlink" Target="https://www.immoscout24.ch/fr/appartement/louer/lieu-le-mouret" TargetMode="External"/><Relationship Id="rId10974" Type="http://schemas.openxmlformats.org/officeDocument/2006/relationships/hyperlink" Target="https://www.immoscout24.ch/fr/maison/acheter/lieu-haegendorf" TargetMode="External"/><Relationship Id="rId5490" Type="http://schemas.openxmlformats.org/officeDocument/2006/relationships/hyperlink" Target="https://www.immoscout24.ch/fr/maison/acheter/lieu-gerlafingen" TargetMode="External"/><Relationship Id="rId10975" Type="http://schemas.openxmlformats.org/officeDocument/2006/relationships/hyperlink" Target="https://www.immoscout24.ch/fr/maison/acheter/lieu-vira-gambarogno" TargetMode="External"/><Relationship Id="rId10972" Type="http://schemas.openxmlformats.org/officeDocument/2006/relationships/hyperlink" Target="https://www.immoscout24.ch/fr/appartement/acheter/quartier-castagnola-lugano" TargetMode="External"/><Relationship Id="rId10973" Type="http://schemas.openxmlformats.org/officeDocument/2006/relationships/hyperlink" Target="https://www.immoscout24.ch/fr/maison/acheter/lieu-haegendorf" TargetMode="External"/><Relationship Id="rId4161" Type="http://schemas.openxmlformats.org/officeDocument/2006/relationships/hyperlink" Target="https://www.immoscout24.ch/fr/maison/louer/lieu-la-neuveville" TargetMode="External"/><Relationship Id="rId5493" Type="http://schemas.openxmlformats.org/officeDocument/2006/relationships/hyperlink" Target="https://www.immoscout24.ch/fr/appartement/louer/lieu-brontallo" TargetMode="External"/><Relationship Id="rId10978" Type="http://schemas.openxmlformats.org/officeDocument/2006/relationships/hyperlink" Target="https://www.immoscout24.ch/fr/maison/acheter/lieu-oron-le-chatel" TargetMode="External"/><Relationship Id="rId4160" Type="http://schemas.openxmlformats.org/officeDocument/2006/relationships/hyperlink" Target="https://www.immoscout24.ch/fr/appartement/louer/lieu-cries-volleges" TargetMode="External"/><Relationship Id="rId5494" Type="http://schemas.openxmlformats.org/officeDocument/2006/relationships/hyperlink" Target="https://www.immoscout24.ch/fr/appartement/louer/lieu-brontallo" TargetMode="External"/><Relationship Id="rId10979" Type="http://schemas.openxmlformats.org/officeDocument/2006/relationships/hyperlink" Target="https://www.immoscout24.ch/fr/appartement/acheter/quartier-gruenes-quartier-berne" TargetMode="External"/><Relationship Id="rId4163" Type="http://schemas.openxmlformats.org/officeDocument/2006/relationships/hyperlink" Target="https://www.immoscout24.ch/fr/appartement/acheter/lieu-lens" TargetMode="External"/><Relationship Id="rId5491" Type="http://schemas.openxmlformats.org/officeDocument/2006/relationships/hyperlink" Target="https://www.immoscout24.ch/fr/appartement/acheter/lieu-geneve" TargetMode="External"/><Relationship Id="rId10976" Type="http://schemas.openxmlformats.org/officeDocument/2006/relationships/hyperlink" Target="https://www.immoscout24.ch/fr/maison/acheter/lieu-vira-gambarogno" TargetMode="External"/><Relationship Id="rId4162" Type="http://schemas.openxmlformats.org/officeDocument/2006/relationships/hyperlink" Target="https://www.immoscout24.ch/fr/maison/louer/lieu-la-neuveville" TargetMode="External"/><Relationship Id="rId5492" Type="http://schemas.openxmlformats.org/officeDocument/2006/relationships/hyperlink" Target="https://www.immoscout24.ch/fr/appartement/acheter/lieu-geneve" TargetMode="External"/><Relationship Id="rId10977" Type="http://schemas.openxmlformats.org/officeDocument/2006/relationships/hyperlink" Target="https://www.immoscout24.ch/fr/maison/acheter/lieu-oron-le-chatel" TargetMode="External"/><Relationship Id="rId4165" Type="http://schemas.openxmlformats.org/officeDocument/2006/relationships/hyperlink" Target="https://www.immoscout24.ch/fr/appartement/louer/lieu-roggenburg" TargetMode="External"/><Relationship Id="rId5497" Type="http://schemas.openxmlformats.org/officeDocument/2006/relationships/hyperlink" Target="https://www.immoscout24.ch/fr/maison/acheter/lieu-val-d-illiez" TargetMode="External"/><Relationship Id="rId4164" Type="http://schemas.openxmlformats.org/officeDocument/2006/relationships/hyperlink" Target="https://www.immoscout24.ch/fr/appartement/acheter/lieu-lens" TargetMode="External"/><Relationship Id="rId5498" Type="http://schemas.openxmlformats.org/officeDocument/2006/relationships/hyperlink" Target="https://www.immoscout24.ch/fr/maison/acheter/lieu-val-d-illiez" TargetMode="External"/><Relationship Id="rId4167" Type="http://schemas.openxmlformats.org/officeDocument/2006/relationships/hyperlink" Target="https://www.immoscout24.ch/fr/appartement/louer/lieu-cremin" TargetMode="External"/><Relationship Id="rId5495" Type="http://schemas.openxmlformats.org/officeDocument/2006/relationships/hyperlink" Target="https://www.immoscout24.ch/fr/maison/acheter/lieu-vitznau" TargetMode="External"/><Relationship Id="rId4166" Type="http://schemas.openxmlformats.org/officeDocument/2006/relationships/hyperlink" Target="https://www.immoscout24.ch/fr/appartement/louer/lieu-roggenburg" TargetMode="External"/><Relationship Id="rId5496" Type="http://schemas.openxmlformats.org/officeDocument/2006/relationships/hyperlink" Target="https://www.immoscout24.ch/fr/maison/acheter/lieu-vitznau" TargetMode="External"/><Relationship Id="rId4169" Type="http://schemas.openxmlformats.org/officeDocument/2006/relationships/hyperlink" Target="https://www.immoscout24.ch/fr/appartement/louer/lieu-riex" TargetMode="External"/><Relationship Id="rId10970" Type="http://schemas.openxmlformats.org/officeDocument/2006/relationships/hyperlink" Target="https://www.immoscout24.ch/fr/appartement/acheter/lieu-bad-ragaz" TargetMode="External"/><Relationship Id="rId4168" Type="http://schemas.openxmlformats.org/officeDocument/2006/relationships/hyperlink" Target="https://www.immoscout24.ch/fr/appartement/louer/lieu-cremin" TargetMode="External"/><Relationship Id="rId10971" Type="http://schemas.openxmlformats.org/officeDocument/2006/relationships/hyperlink" Target="https://www.immoscout24.ch/fr/appartement/acheter/quartier-castagnola-lugano" TargetMode="External"/><Relationship Id="rId5499" Type="http://schemas.openxmlformats.org/officeDocument/2006/relationships/hyperlink" Target="https://www.immoscout24.ch/fr/maison/louer/lieu-allaman" TargetMode="External"/><Relationship Id="rId10985" Type="http://schemas.openxmlformats.org/officeDocument/2006/relationships/hyperlink" Target="https://www.immoscout24.ch/fr/appartement/acheter/lieu-basse-nendaz" TargetMode="External"/><Relationship Id="rId10986" Type="http://schemas.openxmlformats.org/officeDocument/2006/relationships/hyperlink" Target="https://www.immoscout24.ch/fr/appartement/acheter/lieu-basse-nendaz" TargetMode="External"/><Relationship Id="rId10983" Type="http://schemas.openxmlformats.org/officeDocument/2006/relationships/hyperlink" Target="https://www.immoscout24.ch/fr/maison/acheter/lieu-samedan" TargetMode="External"/><Relationship Id="rId10984" Type="http://schemas.openxmlformats.org/officeDocument/2006/relationships/hyperlink" Target="https://www.immoscout24.ch/fr/maison/acheter/lieu-samedan" TargetMode="External"/><Relationship Id="rId4150" Type="http://schemas.openxmlformats.org/officeDocument/2006/relationships/hyperlink" Target="https://www.immoscout24.ch/fr/maison/acheter/lieu-mossel" TargetMode="External"/><Relationship Id="rId5482" Type="http://schemas.openxmlformats.org/officeDocument/2006/relationships/hyperlink" Target="https://www.immoscout24.ch/fr/appartement/acheter/region-bremgarten-lenzburg-muri-kulm" TargetMode="External"/><Relationship Id="rId10989" Type="http://schemas.openxmlformats.org/officeDocument/2006/relationships/hyperlink" Target="https://www.immoscout24.ch/fr/appartement/louer/lieu-st-cierges" TargetMode="External"/><Relationship Id="rId5483" Type="http://schemas.openxmlformats.org/officeDocument/2006/relationships/hyperlink" Target="https://www.immoscout24.ch/fr/appartement/louer/lieu-erlenbach-zh" TargetMode="External"/><Relationship Id="rId4152" Type="http://schemas.openxmlformats.org/officeDocument/2006/relationships/hyperlink" Target="https://www.immoscout24.ch/fr/appartement/louer/quartier-borde-bellevaux-lausanne" TargetMode="External"/><Relationship Id="rId5480" Type="http://schemas.openxmlformats.org/officeDocument/2006/relationships/hyperlink" Target="https://www.immoscout24.ch/fr/maison/acheter/lieu-arch" TargetMode="External"/><Relationship Id="rId10987" Type="http://schemas.openxmlformats.org/officeDocument/2006/relationships/hyperlink" Target="https://www.immoscout24.ch/fr/appartement/louer/lieu-s-chanf" TargetMode="External"/><Relationship Id="rId4151" Type="http://schemas.openxmlformats.org/officeDocument/2006/relationships/hyperlink" Target="https://www.immoscout24.ch/fr/appartement/louer/quartier-borde-bellevaux-lausanne" TargetMode="External"/><Relationship Id="rId5481" Type="http://schemas.openxmlformats.org/officeDocument/2006/relationships/hyperlink" Target="https://www.immoscout24.ch/fr/appartement/acheter/region-bremgarten-lenzburg-muri-kulm" TargetMode="External"/><Relationship Id="rId10988" Type="http://schemas.openxmlformats.org/officeDocument/2006/relationships/hyperlink" Target="https://www.immoscout24.ch/fr/appartement/louer/lieu-s-chanf" TargetMode="External"/><Relationship Id="rId4154" Type="http://schemas.openxmlformats.org/officeDocument/2006/relationships/hyperlink" Target="https://www.immoscout24.ch/fr/appartement/louer/lieu-le-paquier-montbarry" TargetMode="External"/><Relationship Id="rId5486" Type="http://schemas.openxmlformats.org/officeDocument/2006/relationships/hyperlink" Target="https://www.immoscout24.ch/fr/appartement/acheter/lieu-gerra-gambarogno" TargetMode="External"/><Relationship Id="rId4153" Type="http://schemas.openxmlformats.org/officeDocument/2006/relationships/hyperlink" Target="https://www.immoscout24.ch/fr/appartement/louer/lieu-le-paquier-montbarry" TargetMode="External"/><Relationship Id="rId5487" Type="http://schemas.openxmlformats.org/officeDocument/2006/relationships/hyperlink" Target="https://www.immoscout24.ch/fr/appartement/louer/lieu-prevondavaux" TargetMode="External"/><Relationship Id="rId4156" Type="http://schemas.openxmlformats.org/officeDocument/2006/relationships/hyperlink" Target="https://www.immoscout24.ch/fr/maison/acheter/lieu-schoenenwerd" TargetMode="External"/><Relationship Id="rId5484" Type="http://schemas.openxmlformats.org/officeDocument/2006/relationships/hyperlink" Target="https://www.immoscout24.ch/fr/appartement/louer/lieu-erlenbach-zh" TargetMode="External"/><Relationship Id="rId4155" Type="http://schemas.openxmlformats.org/officeDocument/2006/relationships/hyperlink" Target="https://www.immoscout24.ch/fr/maison/acheter/lieu-schoenenwerd" TargetMode="External"/><Relationship Id="rId5485" Type="http://schemas.openxmlformats.org/officeDocument/2006/relationships/hyperlink" Target="https://www.immoscout24.ch/fr/appartement/acheter/lieu-gerra-gambarogno" TargetMode="External"/><Relationship Id="rId4158" Type="http://schemas.openxmlformats.org/officeDocument/2006/relationships/hyperlink" Target="https://www.immoscout24.ch/fr/maison/louer/lieu-gurmels" TargetMode="External"/><Relationship Id="rId10981" Type="http://schemas.openxmlformats.org/officeDocument/2006/relationships/hyperlink" Target="https://www.immoscout24.ch/fr/maison/acheter/lieu-riedholz" TargetMode="External"/><Relationship Id="rId4157" Type="http://schemas.openxmlformats.org/officeDocument/2006/relationships/hyperlink" Target="https://www.immoscout24.ch/fr/maison/louer/lieu-gurmels" TargetMode="External"/><Relationship Id="rId10982" Type="http://schemas.openxmlformats.org/officeDocument/2006/relationships/hyperlink" Target="https://www.immoscout24.ch/fr/maison/acheter/lieu-riedholz" TargetMode="External"/><Relationship Id="rId5488" Type="http://schemas.openxmlformats.org/officeDocument/2006/relationships/hyperlink" Target="https://www.immoscout24.ch/fr/appartement/louer/lieu-prevondavaux" TargetMode="External"/><Relationship Id="rId4159" Type="http://schemas.openxmlformats.org/officeDocument/2006/relationships/hyperlink" Target="https://www.immoscout24.ch/fr/appartement/louer/lieu-cries-volleges" TargetMode="External"/><Relationship Id="rId5489" Type="http://schemas.openxmlformats.org/officeDocument/2006/relationships/hyperlink" Target="https://www.immoscout24.ch/fr/maison/acheter/lieu-gerlafingen" TargetMode="External"/><Relationship Id="rId10980" Type="http://schemas.openxmlformats.org/officeDocument/2006/relationships/hyperlink" Target="https://www.immoscout24.ch/fr/appartement/acheter/quartier-gruenes-quartier-berne" TargetMode="External"/><Relationship Id="rId10958" Type="http://schemas.openxmlformats.org/officeDocument/2006/relationships/hyperlink" Target="https://www.immoscout24.ch/fr/appartement/louer/region-limmattal" TargetMode="External"/><Relationship Id="rId10959" Type="http://schemas.openxmlformats.org/officeDocument/2006/relationships/hyperlink" Target="https://www.immoscout24.ch/fr/appartement/acheter/lieu-kilchberg-zh" TargetMode="External"/><Relationship Id="rId10952" Type="http://schemas.openxmlformats.org/officeDocument/2006/relationships/hyperlink" Target="https://www.immoscout24.ch/fr/maison/acheter/lieu-roche-d-or" TargetMode="External"/><Relationship Id="rId10953" Type="http://schemas.openxmlformats.org/officeDocument/2006/relationships/hyperlink" Target="https://www.immoscout24.ch/fr/appartement/louer/lieu-fribourg" TargetMode="External"/><Relationship Id="rId4181" Type="http://schemas.openxmlformats.org/officeDocument/2006/relationships/hyperlink" Target="https://www.immoscout24.ch/fr/appartement/louer/lieu-muenchenstein" TargetMode="External"/><Relationship Id="rId10950" Type="http://schemas.openxmlformats.org/officeDocument/2006/relationships/hyperlink" Target="https://www.immoscout24.ch/fr/appartement/acheter/lieu-yverdon-les-bains" TargetMode="External"/><Relationship Id="rId4180" Type="http://schemas.openxmlformats.org/officeDocument/2006/relationships/hyperlink" Target="https://www.immoscout24.ch/fr/appartement/acheter/lieu-leytron" TargetMode="External"/><Relationship Id="rId10951" Type="http://schemas.openxmlformats.org/officeDocument/2006/relationships/hyperlink" Target="https://www.immoscout24.ch/fr/maison/acheter/lieu-roche-d-or" TargetMode="External"/><Relationship Id="rId4183" Type="http://schemas.openxmlformats.org/officeDocument/2006/relationships/hyperlink" Target="https://www.immoscout24.ch/fr/maison/louer/lieu-morges" TargetMode="External"/><Relationship Id="rId10956" Type="http://schemas.openxmlformats.org/officeDocument/2006/relationships/hyperlink" Target="https://www.immoscout24.ch/fr/appartement/louer/lieu-sennwald" TargetMode="External"/><Relationship Id="rId4182" Type="http://schemas.openxmlformats.org/officeDocument/2006/relationships/hyperlink" Target="https://www.immoscout24.ch/fr/appartement/louer/lieu-muenchenstein" TargetMode="External"/><Relationship Id="rId10957" Type="http://schemas.openxmlformats.org/officeDocument/2006/relationships/hyperlink" Target="https://www.immoscout24.ch/fr/appartement/louer/region-limmattal" TargetMode="External"/><Relationship Id="rId4185" Type="http://schemas.openxmlformats.org/officeDocument/2006/relationships/hyperlink" Target="https://www.immoscout24.ch/fr/appartement/louer/lieu-mollens-vs" TargetMode="External"/><Relationship Id="rId10954" Type="http://schemas.openxmlformats.org/officeDocument/2006/relationships/hyperlink" Target="https://www.immoscout24.ch/fr/appartement/louer/lieu-fribourg" TargetMode="External"/><Relationship Id="rId4184" Type="http://schemas.openxmlformats.org/officeDocument/2006/relationships/hyperlink" Target="https://www.immoscout24.ch/fr/maison/louer/lieu-morges" TargetMode="External"/><Relationship Id="rId10955" Type="http://schemas.openxmlformats.org/officeDocument/2006/relationships/hyperlink" Target="https://www.immoscout24.ch/fr/appartement/louer/lieu-sennwald" TargetMode="External"/><Relationship Id="rId4187" Type="http://schemas.openxmlformats.org/officeDocument/2006/relationships/hyperlink" Target="https://www.immoscout24.ch/fr/appartement/louer/lieu-ardon" TargetMode="External"/><Relationship Id="rId4186" Type="http://schemas.openxmlformats.org/officeDocument/2006/relationships/hyperlink" Target="https://www.immoscout24.ch/fr/appartement/louer/lieu-mollens-vs" TargetMode="External"/><Relationship Id="rId4189" Type="http://schemas.openxmlformats.org/officeDocument/2006/relationships/hyperlink" Target="https://www.immoscout24.ch/fr/appartement/louer/lieu-onnens-vd" TargetMode="External"/><Relationship Id="rId4188" Type="http://schemas.openxmlformats.org/officeDocument/2006/relationships/hyperlink" Target="https://www.immoscout24.ch/fr/appartement/louer/lieu-ardon" TargetMode="External"/><Relationship Id="rId10969" Type="http://schemas.openxmlformats.org/officeDocument/2006/relationships/hyperlink" Target="https://www.immoscout24.ch/fr/appartement/acheter/lieu-bad-ragaz" TargetMode="External"/><Relationship Id="rId10963" Type="http://schemas.openxmlformats.org/officeDocument/2006/relationships/hyperlink" Target="https://www.immoscout24.ch/fr/maison/louer/lieu-stadel-b-niederglatt" TargetMode="External"/><Relationship Id="rId10964" Type="http://schemas.openxmlformats.org/officeDocument/2006/relationships/hyperlink" Target="https://www.immoscout24.ch/fr/maison/louer/lieu-stadel-b-niederglatt" TargetMode="External"/><Relationship Id="rId4170" Type="http://schemas.openxmlformats.org/officeDocument/2006/relationships/hyperlink" Target="https://www.immoscout24.ch/fr/appartement/louer/lieu-riex" TargetMode="External"/><Relationship Id="rId10961" Type="http://schemas.openxmlformats.org/officeDocument/2006/relationships/hyperlink" Target="https://www.immoscout24.ch/fr/maison/louer/lieu-marly" TargetMode="External"/><Relationship Id="rId10962" Type="http://schemas.openxmlformats.org/officeDocument/2006/relationships/hyperlink" Target="https://www.immoscout24.ch/fr/maison/louer/lieu-marly" TargetMode="External"/><Relationship Id="rId4172" Type="http://schemas.openxmlformats.org/officeDocument/2006/relationships/hyperlink" Target="https://www.immoscout24.ch/fr/appartement/louer/lieu-les-vieux-pres" TargetMode="External"/><Relationship Id="rId10967" Type="http://schemas.openxmlformats.org/officeDocument/2006/relationships/hyperlink" Target="https://www.immoscout24.ch/fr/appartement/acheter/lieu-le-grand-saconnex" TargetMode="External"/><Relationship Id="rId4171" Type="http://schemas.openxmlformats.org/officeDocument/2006/relationships/hyperlink" Target="https://www.immoscout24.ch/fr/appartement/louer/lieu-les-vieux-pres" TargetMode="External"/><Relationship Id="rId10968" Type="http://schemas.openxmlformats.org/officeDocument/2006/relationships/hyperlink" Target="https://www.immoscout24.ch/fr/appartement/acheter/lieu-le-grand-saconnex" TargetMode="External"/><Relationship Id="rId4174" Type="http://schemas.openxmlformats.org/officeDocument/2006/relationships/hyperlink" Target="https://www.immoscout24.ch/fr/maison/acheter/lieu-cordast" TargetMode="External"/><Relationship Id="rId10965" Type="http://schemas.openxmlformats.org/officeDocument/2006/relationships/hyperlink" Target="https://www.immoscout24.ch/fr/maison/louer/lieu-le-pont" TargetMode="External"/><Relationship Id="rId4173" Type="http://schemas.openxmlformats.org/officeDocument/2006/relationships/hyperlink" Target="https://www.immoscout24.ch/fr/maison/acheter/lieu-cordast" TargetMode="External"/><Relationship Id="rId10966" Type="http://schemas.openxmlformats.org/officeDocument/2006/relationships/hyperlink" Target="https://www.immoscout24.ch/fr/maison/louer/lieu-le-pont" TargetMode="External"/><Relationship Id="rId4176" Type="http://schemas.openxmlformats.org/officeDocument/2006/relationships/hyperlink" Target="https://www.immoscout24.ch/fr/appartement/louer/lieu-courgenay" TargetMode="External"/><Relationship Id="rId4175" Type="http://schemas.openxmlformats.org/officeDocument/2006/relationships/hyperlink" Target="https://www.immoscout24.ch/fr/appartement/louer/lieu-courgenay" TargetMode="External"/><Relationship Id="rId4178" Type="http://schemas.openxmlformats.org/officeDocument/2006/relationships/hyperlink" Target="https://www.immoscout24.ch/fr/appartement/louer/lieu-wilderswil" TargetMode="External"/><Relationship Id="rId4177" Type="http://schemas.openxmlformats.org/officeDocument/2006/relationships/hyperlink" Target="https://www.immoscout24.ch/fr/appartement/louer/lieu-wilderswil" TargetMode="External"/><Relationship Id="rId4179" Type="http://schemas.openxmlformats.org/officeDocument/2006/relationships/hyperlink" Target="https://www.immoscout24.ch/fr/appartement/acheter/lieu-leytron" TargetMode="External"/><Relationship Id="rId10960" Type="http://schemas.openxmlformats.org/officeDocument/2006/relationships/hyperlink" Target="https://www.immoscout24.ch/fr/appartement/acheter/lieu-kilchberg-zh" TargetMode="External"/><Relationship Id="rId4129" Type="http://schemas.openxmlformats.org/officeDocument/2006/relationships/hyperlink" Target="https://www.immoscout24.ch/fr/maison/acheter/lieu-mairengo" TargetMode="External"/><Relationship Id="rId4128" Type="http://schemas.openxmlformats.org/officeDocument/2006/relationships/hyperlink" Target="https://www.immoscout24.ch/fr/appartement/louer/lieu-corpataux-magnedens" TargetMode="External"/><Relationship Id="rId5459" Type="http://schemas.openxmlformats.org/officeDocument/2006/relationships/hyperlink" Target="https://www.immoscout24.ch/fr/appartement/louer/lieu-lucelle" TargetMode="External"/><Relationship Id="rId6780" Type="http://schemas.openxmlformats.org/officeDocument/2006/relationships/hyperlink" Target="https://www.immoscout24.ch/fr/appartement/louer/lieu-berneck" TargetMode="External"/><Relationship Id="rId5450" Type="http://schemas.openxmlformats.org/officeDocument/2006/relationships/hyperlink" Target="https://www.immoscout24.ch/fr/appartement/louer/lieu-genthod" TargetMode="External"/><Relationship Id="rId6781" Type="http://schemas.openxmlformats.org/officeDocument/2006/relationships/hyperlink" Target="https://www.immoscout24.ch/fr/maison/acheter/lieu-buix" TargetMode="External"/><Relationship Id="rId4121" Type="http://schemas.openxmlformats.org/officeDocument/2006/relationships/hyperlink" Target="https://www.immoscout24.ch/fr/appartement/louer/lieu-russin" TargetMode="External"/><Relationship Id="rId5453" Type="http://schemas.openxmlformats.org/officeDocument/2006/relationships/hyperlink" Target="https://www.immoscout24.ch/fr/maison/louer/lieu-syens" TargetMode="External"/><Relationship Id="rId6784" Type="http://schemas.openxmlformats.org/officeDocument/2006/relationships/hyperlink" Target="https://www.immoscout24.ch/fr/maison/acheter/lieu-giubiasco" TargetMode="External"/><Relationship Id="rId4120" Type="http://schemas.openxmlformats.org/officeDocument/2006/relationships/hyperlink" Target="https://www.immoscout24.ch/fr/maison/acheter/lieu-st-legier-la-chiesaz" TargetMode="External"/><Relationship Id="rId5454" Type="http://schemas.openxmlformats.org/officeDocument/2006/relationships/hyperlink" Target="https://www.immoscout24.ch/fr/maison/louer/lieu-syens" TargetMode="External"/><Relationship Id="rId6785" Type="http://schemas.openxmlformats.org/officeDocument/2006/relationships/hyperlink" Target="https://www.immoscout24.ch/fr/maison/acheter/quartier-cassarate-lugano" TargetMode="External"/><Relationship Id="rId4123" Type="http://schemas.openxmlformats.org/officeDocument/2006/relationships/hyperlink" Target="https://www.immoscout24.ch/fr/maison/acheter/lieu-corcelles-pres-concise" TargetMode="External"/><Relationship Id="rId5451" Type="http://schemas.openxmlformats.org/officeDocument/2006/relationships/hyperlink" Target="https://www.immoscout24.ch/fr/appartement/louer/lieu-troinex" TargetMode="External"/><Relationship Id="rId6782" Type="http://schemas.openxmlformats.org/officeDocument/2006/relationships/hyperlink" Target="https://www.immoscout24.ch/fr/maison/acheter/lieu-buix" TargetMode="External"/><Relationship Id="rId4122" Type="http://schemas.openxmlformats.org/officeDocument/2006/relationships/hyperlink" Target="https://www.immoscout24.ch/fr/appartement/louer/lieu-russin" TargetMode="External"/><Relationship Id="rId5452" Type="http://schemas.openxmlformats.org/officeDocument/2006/relationships/hyperlink" Target="https://www.immoscout24.ch/fr/appartement/louer/lieu-troinex" TargetMode="External"/><Relationship Id="rId6783" Type="http://schemas.openxmlformats.org/officeDocument/2006/relationships/hyperlink" Target="https://www.immoscout24.ch/fr/maison/acheter/lieu-giubiasco" TargetMode="External"/><Relationship Id="rId4125" Type="http://schemas.openxmlformats.org/officeDocument/2006/relationships/hyperlink" Target="https://www.immoscout24.ch/fr/appartement/louer/lieu-les-planchettes" TargetMode="External"/><Relationship Id="rId5457" Type="http://schemas.openxmlformats.org/officeDocument/2006/relationships/hyperlink" Target="https://www.immoscout24.ch/fr/appartement/acheter/lieu-haute-nendaz" TargetMode="External"/><Relationship Id="rId6788" Type="http://schemas.openxmlformats.org/officeDocument/2006/relationships/hyperlink" Target="https://www.immoscout24.ch/fr/maison/acheter/lieu-zinal" TargetMode="External"/><Relationship Id="rId4124" Type="http://schemas.openxmlformats.org/officeDocument/2006/relationships/hyperlink" Target="https://www.immoscout24.ch/fr/maison/acheter/lieu-corcelles-pres-concise" TargetMode="External"/><Relationship Id="rId5458" Type="http://schemas.openxmlformats.org/officeDocument/2006/relationships/hyperlink" Target="https://www.immoscout24.ch/fr/appartement/acheter/lieu-haute-nendaz" TargetMode="External"/><Relationship Id="rId6789" Type="http://schemas.openxmlformats.org/officeDocument/2006/relationships/hyperlink" Target="https://www.immoscout24.ch/fr/maison/louer/lieu-montfaucon" TargetMode="External"/><Relationship Id="rId4127" Type="http://schemas.openxmlformats.org/officeDocument/2006/relationships/hyperlink" Target="https://www.immoscout24.ch/fr/appartement/louer/lieu-corpataux-magnedens" TargetMode="External"/><Relationship Id="rId5455" Type="http://schemas.openxmlformats.org/officeDocument/2006/relationships/hyperlink" Target="https://www.immoscout24.ch/fr/maison/acheter/lieu-mur-vully-vd" TargetMode="External"/><Relationship Id="rId6786" Type="http://schemas.openxmlformats.org/officeDocument/2006/relationships/hyperlink" Target="https://www.immoscout24.ch/fr/maison/acheter/quartier-cassarate-lugano" TargetMode="External"/><Relationship Id="rId4126" Type="http://schemas.openxmlformats.org/officeDocument/2006/relationships/hyperlink" Target="https://www.immoscout24.ch/fr/appartement/louer/lieu-les-planchettes" TargetMode="External"/><Relationship Id="rId5456" Type="http://schemas.openxmlformats.org/officeDocument/2006/relationships/hyperlink" Target="https://www.immoscout24.ch/fr/maison/acheter/lieu-mur-vully-vd" TargetMode="External"/><Relationship Id="rId6787" Type="http://schemas.openxmlformats.org/officeDocument/2006/relationships/hyperlink" Target="https://www.immoscout24.ch/fr/maison/acheter/lieu-zinal" TargetMode="External"/><Relationship Id="rId4118" Type="http://schemas.openxmlformats.org/officeDocument/2006/relationships/hyperlink" Target="https://www.immoscout24.ch/fr/appartement/acheter/pays-italie" TargetMode="External"/><Relationship Id="rId4117" Type="http://schemas.openxmlformats.org/officeDocument/2006/relationships/hyperlink" Target="https://www.immoscout24.ch/fr/appartement/acheter/pays-italie" TargetMode="External"/><Relationship Id="rId5448" Type="http://schemas.openxmlformats.org/officeDocument/2006/relationships/hyperlink" Target="https://www.immoscout24.ch/fr/appartement/louer/lieu-oleyres" TargetMode="External"/><Relationship Id="rId6779" Type="http://schemas.openxmlformats.org/officeDocument/2006/relationships/hyperlink" Target="https://www.immoscout24.ch/fr/appartement/louer/lieu-berneck" TargetMode="External"/><Relationship Id="rId4119" Type="http://schemas.openxmlformats.org/officeDocument/2006/relationships/hyperlink" Target="https://www.immoscout24.ch/fr/maison/acheter/lieu-st-legier-la-chiesaz" TargetMode="External"/><Relationship Id="rId5449" Type="http://schemas.openxmlformats.org/officeDocument/2006/relationships/hyperlink" Target="https://www.immoscout24.ch/fr/appartement/louer/lieu-genthod" TargetMode="External"/><Relationship Id="rId6770" Type="http://schemas.openxmlformats.org/officeDocument/2006/relationships/hyperlink" Target="https://www.immoscout24.ch/fr/appartement/louer/quartier-st-jean-aire-geneve" TargetMode="External"/><Relationship Id="rId4110" Type="http://schemas.openxmlformats.org/officeDocument/2006/relationships/hyperlink" Target="https://www.immoscout24.ch/fr/appartement/acheter/lieu-le-vaud" TargetMode="External"/><Relationship Id="rId5442" Type="http://schemas.openxmlformats.org/officeDocument/2006/relationships/hyperlink" Target="https://www.immoscout24.ch/fr/maison/louer/region-singine-sarine-lac" TargetMode="External"/><Relationship Id="rId6773" Type="http://schemas.openxmlformats.org/officeDocument/2006/relationships/hyperlink" Target="https://www.immoscout24.ch/fr/appartement/acheter/lieu-s-bernardino" TargetMode="External"/><Relationship Id="rId5443" Type="http://schemas.openxmlformats.org/officeDocument/2006/relationships/hyperlink" Target="https://www.immoscout24.ch/fr/maison/acheter/pays-perou" TargetMode="External"/><Relationship Id="rId6774" Type="http://schemas.openxmlformats.org/officeDocument/2006/relationships/hyperlink" Target="https://www.immoscout24.ch/fr/appartement/acheter/lieu-s-bernardino" TargetMode="External"/><Relationship Id="rId4112" Type="http://schemas.openxmlformats.org/officeDocument/2006/relationships/hyperlink" Target="https://www.immoscout24.ch/fr/appartement/louer/lieu-villmergen" TargetMode="External"/><Relationship Id="rId5440" Type="http://schemas.openxmlformats.org/officeDocument/2006/relationships/hyperlink" Target="https://www.immoscout24.ch/fr/maison/acheter/lieu-bossonnens" TargetMode="External"/><Relationship Id="rId6771" Type="http://schemas.openxmlformats.org/officeDocument/2006/relationships/hyperlink" Target="https://www.immoscout24.ch/fr/appartement/louer/lieu-frauenkappelen" TargetMode="External"/><Relationship Id="rId4111" Type="http://schemas.openxmlformats.org/officeDocument/2006/relationships/hyperlink" Target="https://www.immoscout24.ch/fr/appartement/louer/lieu-villmergen" TargetMode="External"/><Relationship Id="rId5441" Type="http://schemas.openxmlformats.org/officeDocument/2006/relationships/hyperlink" Target="https://www.immoscout24.ch/fr/maison/louer/region-singine-sarine-lac" TargetMode="External"/><Relationship Id="rId6772" Type="http://schemas.openxmlformats.org/officeDocument/2006/relationships/hyperlink" Target="https://www.immoscout24.ch/fr/appartement/louer/lieu-frauenkappelen" TargetMode="External"/><Relationship Id="rId4114" Type="http://schemas.openxmlformats.org/officeDocument/2006/relationships/hyperlink" Target="https://www.immoscout24.ch/fr/maison/acheter/lieu-liebefeld" TargetMode="External"/><Relationship Id="rId5446" Type="http://schemas.openxmlformats.org/officeDocument/2006/relationships/hyperlink" Target="https://www.immoscout24.ch/fr/appartement/acheter/lieu-richterswil" TargetMode="External"/><Relationship Id="rId6777" Type="http://schemas.openxmlformats.org/officeDocument/2006/relationships/hyperlink" Target="https://www.immoscout24.ch/fr/maison/acheter/lieu-suscevaz" TargetMode="External"/><Relationship Id="rId4113" Type="http://schemas.openxmlformats.org/officeDocument/2006/relationships/hyperlink" Target="https://www.immoscout24.ch/fr/maison/acheter/lieu-liebefeld" TargetMode="External"/><Relationship Id="rId5447" Type="http://schemas.openxmlformats.org/officeDocument/2006/relationships/hyperlink" Target="https://www.immoscout24.ch/fr/appartement/louer/lieu-oleyres" TargetMode="External"/><Relationship Id="rId6778" Type="http://schemas.openxmlformats.org/officeDocument/2006/relationships/hyperlink" Target="https://www.immoscout24.ch/fr/maison/acheter/lieu-suscevaz" TargetMode="External"/><Relationship Id="rId4116" Type="http://schemas.openxmlformats.org/officeDocument/2006/relationships/hyperlink" Target="https://www.immoscout24.ch/fr/appartement/acheter/lieu-taesch" TargetMode="External"/><Relationship Id="rId5444" Type="http://schemas.openxmlformats.org/officeDocument/2006/relationships/hyperlink" Target="https://www.immoscout24.ch/fr/maison/acheter/pays-perou" TargetMode="External"/><Relationship Id="rId6775" Type="http://schemas.openxmlformats.org/officeDocument/2006/relationships/hyperlink" Target="https://www.immoscout24.ch/fr/appartement/louer/lieu-wolfenschiessen" TargetMode="External"/><Relationship Id="rId4115" Type="http://schemas.openxmlformats.org/officeDocument/2006/relationships/hyperlink" Target="https://www.immoscout24.ch/fr/appartement/acheter/lieu-taesch" TargetMode="External"/><Relationship Id="rId5445" Type="http://schemas.openxmlformats.org/officeDocument/2006/relationships/hyperlink" Target="https://www.immoscout24.ch/fr/appartement/acheter/lieu-richterswil" TargetMode="External"/><Relationship Id="rId6776" Type="http://schemas.openxmlformats.org/officeDocument/2006/relationships/hyperlink" Target="https://www.immoscout24.ch/fr/appartement/louer/lieu-wolfenschiessen" TargetMode="External"/><Relationship Id="rId10996" Type="http://schemas.openxmlformats.org/officeDocument/2006/relationships/hyperlink" Target="https://www.immoscout24.ch/fr/maison/acheter/lieu-villars-sur-fontenais" TargetMode="External"/><Relationship Id="rId10997" Type="http://schemas.openxmlformats.org/officeDocument/2006/relationships/hyperlink" Target="https://www.immoscout24.ch/fr/maison/louer/lieu-charmey-gruyere" TargetMode="External"/><Relationship Id="rId10994" Type="http://schemas.openxmlformats.org/officeDocument/2006/relationships/hyperlink" Target="https://www.immoscout24.ch/fr/appartement/louer/quartier-stadtbach-berne" TargetMode="External"/><Relationship Id="rId10995" Type="http://schemas.openxmlformats.org/officeDocument/2006/relationships/hyperlink" Target="https://www.immoscout24.ch/fr/maison/acheter/lieu-villars-sur-fontenais" TargetMode="External"/><Relationship Id="rId5471" Type="http://schemas.openxmlformats.org/officeDocument/2006/relationships/hyperlink" Target="https://www.immoscout24.ch/fr/maison/acheter/lieu-binningen" TargetMode="External"/><Relationship Id="rId5472" Type="http://schemas.openxmlformats.org/officeDocument/2006/relationships/hyperlink" Target="https://www.immoscout24.ch/fr/maison/acheter/lieu-binningen" TargetMode="External"/><Relationship Id="rId4141" Type="http://schemas.openxmlformats.org/officeDocument/2006/relationships/hyperlink" Target="https://www.immoscout24.ch/fr/maison/acheter/lieu-les-breuleux" TargetMode="External"/><Relationship Id="rId10998" Type="http://schemas.openxmlformats.org/officeDocument/2006/relationships/hyperlink" Target="https://www.immoscout24.ch/fr/maison/louer/lieu-charmey-gruyere" TargetMode="External"/><Relationship Id="rId4140" Type="http://schemas.openxmlformats.org/officeDocument/2006/relationships/hyperlink" Target="https://www.immoscout24.ch/fr/appartement/acheter/lieu-wavre" TargetMode="External"/><Relationship Id="rId5470" Type="http://schemas.openxmlformats.org/officeDocument/2006/relationships/hyperlink" Target="https://www.immoscout24.ch/fr/appartement/acheter/lieu-pampigny" TargetMode="External"/><Relationship Id="rId10999" Type="http://schemas.openxmlformats.org/officeDocument/2006/relationships/hyperlink" Target="https://www.immoscout24.ch/fr/appartement/acheter/lieu-denezy" TargetMode="External"/><Relationship Id="rId4143" Type="http://schemas.openxmlformats.org/officeDocument/2006/relationships/hyperlink" Target="https://www.immoscout24.ch/fr/maison/louer/region-oberaargau" TargetMode="External"/><Relationship Id="rId5475" Type="http://schemas.openxmlformats.org/officeDocument/2006/relationships/hyperlink" Target="https://www.immoscout24.ch/fr/appartement/louer/lieu-niederuzwil" TargetMode="External"/><Relationship Id="rId4142" Type="http://schemas.openxmlformats.org/officeDocument/2006/relationships/hyperlink" Target="https://www.immoscout24.ch/fr/maison/acheter/lieu-les-breuleux" TargetMode="External"/><Relationship Id="rId5476" Type="http://schemas.openxmlformats.org/officeDocument/2006/relationships/hyperlink" Target="https://www.immoscout24.ch/fr/appartement/louer/lieu-niederuzwil" TargetMode="External"/><Relationship Id="rId4145" Type="http://schemas.openxmlformats.org/officeDocument/2006/relationships/hyperlink" Target="https://www.immoscout24.ch/fr/appartement/louer/lieu-rolle" TargetMode="External"/><Relationship Id="rId5473" Type="http://schemas.openxmlformats.org/officeDocument/2006/relationships/hyperlink" Target="https://www.immoscout24.ch/fr/appartement/louer/lieu-jaun" TargetMode="External"/><Relationship Id="rId4144" Type="http://schemas.openxmlformats.org/officeDocument/2006/relationships/hyperlink" Target="https://www.immoscout24.ch/fr/maison/louer/region-oberaargau" TargetMode="External"/><Relationship Id="rId5474" Type="http://schemas.openxmlformats.org/officeDocument/2006/relationships/hyperlink" Target="https://www.immoscout24.ch/fr/appartement/louer/lieu-jaun" TargetMode="External"/><Relationship Id="rId4147" Type="http://schemas.openxmlformats.org/officeDocument/2006/relationships/hyperlink" Target="https://www.immoscout24.ch/fr/appartement/louer/lieu-trub" TargetMode="External"/><Relationship Id="rId5479" Type="http://schemas.openxmlformats.org/officeDocument/2006/relationships/hyperlink" Target="https://www.immoscout24.ch/fr/maison/acheter/lieu-arch" TargetMode="External"/><Relationship Id="rId10992" Type="http://schemas.openxmlformats.org/officeDocument/2006/relationships/hyperlink" Target="https://www.immoscout24.ch/fr/appartement/acheter/canton-zurich" TargetMode="External"/><Relationship Id="rId4146" Type="http://schemas.openxmlformats.org/officeDocument/2006/relationships/hyperlink" Target="https://www.immoscout24.ch/fr/appartement/louer/lieu-rolle" TargetMode="External"/><Relationship Id="rId10993" Type="http://schemas.openxmlformats.org/officeDocument/2006/relationships/hyperlink" Target="https://www.immoscout24.ch/fr/appartement/louer/quartier-stadtbach-berne" TargetMode="External"/><Relationship Id="rId4149" Type="http://schemas.openxmlformats.org/officeDocument/2006/relationships/hyperlink" Target="https://www.immoscout24.ch/fr/maison/acheter/lieu-mossel" TargetMode="External"/><Relationship Id="rId5477" Type="http://schemas.openxmlformats.org/officeDocument/2006/relationships/hyperlink" Target="https://www.immoscout24.ch/fr/appartement/acheter/lieu-petit-lancy" TargetMode="External"/><Relationship Id="rId10990" Type="http://schemas.openxmlformats.org/officeDocument/2006/relationships/hyperlink" Target="https://www.immoscout24.ch/fr/appartement/louer/lieu-st-cierges" TargetMode="External"/><Relationship Id="rId4148" Type="http://schemas.openxmlformats.org/officeDocument/2006/relationships/hyperlink" Target="https://www.immoscout24.ch/fr/appartement/louer/lieu-trub" TargetMode="External"/><Relationship Id="rId5478" Type="http://schemas.openxmlformats.org/officeDocument/2006/relationships/hyperlink" Target="https://www.immoscout24.ch/fr/appartement/acheter/lieu-petit-lancy" TargetMode="External"/><Relationship Id="rId10991" Type="http://schemas.openxmlformats.org/officeDocument/2006/relationships/hyperlink" Target="https://www.immoscout24.ch/fr/appartement/acheter/canton-zurich" TargetMode="External"/><Relationship Id="rId4139" Type="http://schemas.openxmlformats.org/officeDocument/2006/relationships/hyperlink" Target="https://www.immoscout24.ch/fr/appartement/acheter/lieu-wavre" TargetMode="External"/><Relationship Id="rId5460" Type="http://schemas.openxmlformats.org/officeDocument/2006/relationships/hyperlink" Target="https://www.immoscout24.ch/fr/appartement/louer/lieu-lucelle" TargetMode="External"/><Relationship Id="rId6791" Type="http://schemas.openxmlformats.org/officeDocument/2006/relationships/hyperlink" Target="https://www.immoscout24.ch/fr/maison/acheter/lieu-dommartin" TargetMode="External"/><Relationship Id="rId5461" Type="http://schemas.openxmlformats.org/officeDocument/2006/relationships/hyperlink" Target="https://www.immoscout24.ch/fr/appartement/acheter/lieu-albinen" TargetMode="External"/><Relationship Id="rId6792" Type="http://schemas.openxmlformats.org/officeDocument/2006/relationships/hyperlink" Target="https://www.immoscout24.ch/fr/maison/acheter/lieu-dommartin" TargetMode="External"/><Relationship Id="rId4130" Type="http://schemas.openxmlformats.org/officeDocument/2006/relationships/hyperlink" Target="https://www.immoscout24.ch/fr/maison/acheter/lieu-mairengo" TargetMode="External"/><Relationship Id="rId6790" Type="http://schemas.openxmlformats.org/officeDocument/2006/relationships/hyperlink" Target="https://www.immoscout24.ch/fr/maison/louer/lieu-montfaucon" TargetMode="External"/><Relationship Id="rId4132" Type="http://schemas.openxmlformats.org/officeDocument/2006/relationships/hyperlink" Target="https://www.immoscout24.ch/fr/maison/acheter/quartier-sebeillon-malley-lausanne" TargetMode="External"/><Relationship Id="rId5464" Type="http://schemas.openxmlformats.org/officeDocument/2006/relationships/hyperlink" Target="https://www.immoscout24.ch/fr/appartement/louer/quartier-cadro-lugano" TargetMode="External"/><Relationship Id="rId6795" Type="http://schemas.openxmlformats.org/officeDocument/2006/relationships/hyperlink" Target="https://www.immoscout24.ch/fr/appartement/louer/lieu-salgesch" TargetMode="External"/><Relationship Id="rId4131" Type="http://schemas.openxmlformats.org/officeDocument/2006/relationships/hyperlink" Target="https://www.immoscout24.ch/fr/maison/acheter/quartier-sebeillon-malley-lausanne" TargetMode="External"/><Relationship Id="rId5465" Type="http://schemas.openxmlformats.org/officeDocument/2006/relationships/hyperlink" Target="https://www.immoscout24.ch/fr/maison/acheter/quartier-forges-endroits-la-chaux-de-fonds" TargetMode="External"/><Relationship Id="rId6796" Type="http://schemas.openxmlformats.org/officeDocument/2006/relationships/hyperlink" Target="https://www.immoscout24.ch/fr/appartement/louer/lieu-salgesch" TargetMode="External"/><Relationship Id="rId4134" Type="http://schemas.openxmlformats.org/officeDocument/2006/relationships/hyperlink" Target="https://www.immoscout24.ch/fr/appartement/louer/region-porrentruy" TargetMode="External"/><Relationship Id="rId5462" Type="http://schemas.openxmlformats.org/officeDocument/2006/relationships/hyperlink" Target="https://www.immoscout24.ch/fr/appartement/acheter/lieu-albinen" TargetMode="External"/><Relationship Id="rId6793" Type="http://schemas.openxmlformats.org/officeDocument/2006/relationships/hyperlink" Target="https://www.immoscout24.ch/fr/appartement/acheter/lieu-chardonne" TargetMode="External"/><Relationship Id="rId4133" Type="http://schemas.openxmlformats.org/officeDocument/2006/relationships/hyperlink" Target="https://www.immoscout24.ch/fr/appartement/louer/region-porrentruy" TargetMode="External"/><Relationship Id="rId5463" Type="http://schemas.openxmlformats.org/officeDocument/2006/relationships/hyperlink" Target="https://www.immoscout24.ch/fr/appartement/louer/quartier-cadro-lugano" TargetMode="External"/><Relationship Id="rId6794" Type="http://schemas.openxmlformats.org/officeDocument/2006/relationships/hyperlink" Target="https://www.immoscout24.ch/fr/appartement/acheter/lieu-chardonne" TargetMode="External"/><Relationship Id="rId4136" Type="http://schemas.openxmlformats.org/officeDocument/2006/relationships/hyperlink" Target="https://www.immoscout24.ch/fr/appartement/acheter/lieu-sorengo" TargetMode="External"/><Relationship Id="rId5468" Type="http://schemas.openxmlformats.org/officeDocument/2006/relationships/hyperlink" Target="https://www.immoscout24.ch/fr/maison/acheter/lieu-gerolfingen" TargetMode="External"/><Relationship Id="rId6799" Type="http://schemas.openxmlformats.org/officeDocument/2006/relationships/hyperlink" Target="https://www.immoscout24.ch/fr/maison/acheter/lieu-bennwil" TargetMode="External"/><Relationship Id="rId4135" Type="http://schemas.openxmlformats.org/officeDocument/2006/relationships/hyperlink" Target="https://www.immoscout24.ch/fr/appartement/acheter/lieu-sorengo" TargetMode="External"/><Relationship Id="rId5469" Type="http://schemas.openxmlformats.org/officeDocument/2006/relationships/hyperlink" Target="https://www.immoscout24.ch/fr/appartement/acheter/lieu-pampigny" TargetMode="External"/><Relationship Id="rId4138" Type="http://schemas.openxmlformats.org/officeDocument/2006/relationships/hyperlink" Target="https://www.immoscout24.ch/fr/appartement/louer/lieu-inwil" TargetMode="External"/><Relationship Id="rId5466" Type="http://schemas.openxmlformats.org/officeDocument/2006/relationships/hyperlink" Target="https://www.immoscout24.ch/fr/maison/acheter/quartier-forges-endroits-la-chaux-de-fonds" TargetMode="External"/><Relationship Id="rId6797" Type="http://schemas.openxmlformats.org/officeDocument/2006/relationships/hyperlink" Target="https://www.immoscout24.ch/fr/appartement/louer/lieu-combremont-le-grand" TargetMode="External"/><Relationship Id="rId4137" Type="http://schemas.openxmlformats.org/officeDocument/2006/relationships/hyperlink" Target="https://www.immoscout24.ch/fr/appartement/louer/lieu-inwil" TargetMode="External"/><Relationship Id="rId5467" Type="http://schemas.openxmlformats.org/officeDocument/2006/relationships/hyperlink" Target="https://www.immoscout24.ch/fr/maison/acheter/lieu-gerolfingen" TargetMode="External"/><Relationship Id="rId6798" Type="http://schemas.openxmlformats.org/officeDocument/2006/relationships/hyperlink" Target="https://www.immoscout24.ch/fr/appartement/louer/lieu-combremont-le-grand" TargetMode="External"/><Relationship Id="rId10905" Type="http://schemas.openxmlformats.org/officeDocument/2006/relationships/hyperlink" Target="https://www.immoscout24.ch/fr/maison/acheter/lieu-signese-ayent" TargetMode="External"/><Relationship Id="rId10906" Type="http://schemas.openxmlformats.org/officeDocument/2006/relationships/hyperlink" Target="https://www.immoscout24.ch/fr/maison/acheter/lieu-signese-ayent" TargetMode="External"/><Relationship Id="rId10903" Type="http://schemas.openxmlformats.org/officeDocument/2006/relationships/hyperlink" Target="https://www.immoscout24.ch/fr/maison/acheter/lieu-praz-de-fort" TargetMode="External"/><Relationship Id="rId10904" Type="http://schemas.openxmlformats.org/officeDocument/2006/relationships/hyperlink" Target="https://www.immoscout24.ch/fr/maison/acheter/lieu-praz-de-fort" TargetMode="External"/><Relationship Id="rId10909" Type="http://schemas.openxmlformats.org/officeDocument/2006/relationships/hyperlink" Target="https://www.immoscout24.ch/fr/appartement/louer/lieu-muhen" TargetMode="External"/><Relationship Id="rId10907" Type="http://schemas.openxmlformats.org/officeDocument/2006/relationships/hyperlink" Target="https://www.immoscout24.ch/fr/maison/acheter/lieu-lupsingen" TargetMode="External"/><Relationship Id="rId10908" Type="http://schemas.openxmlformats.org/officeDocument/2006/relationships/hyperlink" Target="https://www.immoscout24.ch/fr/maison/acheter/lieu-lupsingen" TargetMode="External"/><Relationship Id="rId10901" Type="http://schemas.openxmlformats.org/officeDocument/2006/relationships/hyperlink" Target="https://www.immoscout24.ch/fr/maison/acheter/lieu-cernier" TargetMode="External"/><Relationship Id="rId10902" Type="http://schemas.openxmlformats.org/officeDocument/2006/relationships/hyperlink" Target="https://www.immoscout24.ch/fr/maison/acheter/lieu-cernier" TargetMode="External"/><Relationship Id="rId10900" Type="http://schemas.openxmlformats.org/officeDocument/2006/relationships/hyperlink" Target="https://www.immoscout24.ch/fr/maison/acheter/lieu-mont-la-ville" TargetMode="External"/><Relationship Id="rId10938" Type="http://schemas.openxmlformats.org/officeDocument/2006/relationships/hyperlink" Target="https://www.immoscout24.ch/fr/maison/acheter/lieu-essert-sous-champvent" TargetMode="External"/><Relationship Id="rId10939" Type="http://schemas.openxmlformats.org/officeDocument/2006/relationships/hyperlink" Target="https://www.immoscout24.ch/fr/appartement/louer/lieu-sala-capriasca" TargetMode="External"/><Relationship Id="rId10936" Type="http://schemas.openxmlformats.org/officeDocument/2006/relationships/hyperlink" Target="https://www.immoscout24.ch/fr/appartement/acheter/lieu-hauterive-ne" TargetMode="External"/><Relationship Id="rId10937" Type="http://schemas.openxmlformats.org/officeDocument/2006/relationships/hyperlink" Target="https://www.immoscout24.ch/fr/maison/acheter/lieu-essert-sous-champvent" TargetMode="External"/><Relationship Id="rId10930" Type="http://schemas.openxmlformats.org/officeDocument/2006/relationships/hyperlink" Target="https://www.immoscout24.ch/fr/appartement/louer/lieu-tumegl-tomils" TargetMode="External"/><Relationship Id="rId10931" Type="http://schemas.openxmlformats.org/officeDocument/2006/relationships/hyperlink" Target="https://www.immoscout24.ch/fr/appartement/louer/lieu-paudex" TargetMode="External"/><Relationship Id="rId10934" Type="http://schemas.openxmlformats.org/officeDocument/2006/relationships/hyperlink" Target="https://www.immoscout24.ch/fr/maison/acheter/lieu-blonay" TargetMode="External"/><Relationship Id="rId10935" Type="http://schemas.openxmlformats.org/officeDocument/2006/relationships/hyperlink" Target="https://www.immoscout24.ch/fr/appartement/acheter/lieu-hauterive-ne" TargetMode="External"/><Relationship Id="rId10932" Type="http://schemas.openxmlformats.org/officeDocument/2006/relationships/hyperlink" Target="https://www.immoscout24.ch/fr/appartement/louer/lieu-paudex" TargetMode="External"/><Relationship Id="rId10933" Type="http://schemas.openxmlformats.org/officeDocument/2006/relationships/hyperlink" Target="https://www.immoscout24.ch/fr/maison/acheter/lieu-blonay" TargetMode="External"/><Relationship Id="rId10949" Type="http://schemas.openxmlformats.org/officeDocument/2006/relationships/hyperlink" Target="https://www.immoscout24.ch/fr/appartement/acheter/lieu-yverdon-les-bains" TargetMode="External"/><Relationship Id="rId10947" Type="http://schemas.openxmlformats.org/officeDocument/2006/relationships/hyperlink" Target="https://www.immoscout24.ch/fr/appartement/acheter/lieu-watt" TargetMode="External"/><Relationship Id="rId10948" Type="http://schemas.openxmlformats.org/officeDocument/2006/relationships/hyperlink" Target="https://www.immoscout24.ch/fr/appartement/acheter/lieu-watt" TargetMode="External"/><Relationship Id="rId4190" Type="http://schemas.openxmlformats.org/officeDocument/2006/relationships/hyperlink" Target="https://www.immoscout24.ch/fr/appartement/louer/lieu-onnens-vd" TargetMode="External"/><Relationship Id="rId10941" Type="http://schemas.openxmlformats.org/officeDocument/2006/relationships/hyperlink" Target="https://www.immoscout24.ch/fr/maison/acheter/lieu-oberbalm" TargetMode="External"/><Relationship Id="rId10942" Type="http://schemas.openxmlformats.org/officeDocument/2006/relationships/hyperlink" Target="https://www.immoscout24.ch/fr/maison/acheter/lieu-oberbalm" TargetMode="External"/><Relationship Id="rId4192" Type="http://schemas.openxmlformats.org/officeDocument/2006/relationships/hyperlink" Target="https://www.immoscout24.ch/fr/maison/acheter/lieu-courcelon" TargetMode="External"/><Relationship Id="rId4191" Type="http://schemas.openxmlformats.org/officeDocument/2006/relationships/hyperlink" Target="https://www.immoscout24.ch/fr/maison/acheter/lieu-courcelon" TargetMode="External"/><Relationship Id="rId10940" Type="http://schemas.openxmlformats.org/officeDocument/2006/relationships/hyperlink" Target="https://www.immoscout24.ch/fr/appartement/louer/lieu-sala-capriasca" TargetMode="External"/><Relationship Id="rId4194" Type="http://schemas.openxmlformats.org/officeDocument/2006/relationships/hyperlink" Target="https://www.immoscout24.ch/fr/appartement/louer/region-campagne-rive-droite" TargetMode="External"/><Relationship Id="rId10945" Type="http://schemas.openxmlformats.org/officeDocument/2006/relationships/hyperlink" Target="https://www.immoscout24.ch/fr/appartement/louer/lieu-sierre" TargetMode="External"/><Relationship Id="rId4193" Type="http://schemas.openxmlformats.org/officeDocument/2006/relationships/hyperlink" Target="https://www.immoscout24.ch/fr/appartement/louer/region-campagne-rive-droite" TargetMode="External"/><Relationship Id="rId10946" Type="http://schemas.openxmlformats.org/officeDocument/2006/relationships/hyperlink" Target="https://www.immoscout24.ch/fr/appartement/louer/lieu-sierre" TargetMode="External"/><Relationship Id="rId4196" Type="http://schemas.openxmlformats.org/officeDocument/2006/relationships/hyperlink" Target="https://www.immoscout24.ch/fr/appartement/louer/lieu-poliez-le-grand" TargetMode="External"/><Relationship Id="rId10943" Type="http://schemas.openxmlformats.org/officeDocument/2006/relationships/hyperlink" Target="https://www.immoscout24.ch/fr/appartement/acheter/lieu-birsfelden" TargetMode="External"/><Relationship Id="rId4195" Type="http://schemas.openxmlformats.org/officeDocument/2006/relationships/hyperlink" Target="https://www.immoscout24.ch/fr/appartement/louer/lieu-poliez-le-grand" TargetMode="External"/><Relationship Id="rId10944" Type="http://schemas.openxmlformats.org/officeDocument/2006/relationships/hyperlink" Target="https://www.immoscout24.ch/fr/appartement/acheter/lieu-birsfelden" TargetMode="External"/><Relationship Id="rId4198" Type="http://schemas.openxmlformats.org/officeDocument/2006/relationships/hyperlink" Target="https://www.immoscout24.ch/fr/appartement/louer/lieu-dombresson" TargetMode="External"/><Relationship Id="rId4197" Type="http://schemas.openxmlformats.org/officeDocument/2006/relationships/hyperlink" Target="https://www.immoscout24.ch/fr/appartement/louer/lieu-dombresson" TargetMode="External"/><Relationship Id="rId4199" Type="http://schemas.openxmlformats.org/officeDocument/2006/relationships/hyperlink" Target="https://www.immoscout24.ch/fr/maison/acheter/lieu-bruettelen" TargetMode="External"/><Relationship Id="rId10916" Type="http://schemas.openxmlformats.org/officeDocument/2006/relationships/hyperlink" Target="https://www.immoscout24.ch/fr/appartement/louer/lieu-zernez" TargetMode="External"/><Relationship Id="rId10917" Type="http://schemas.openxmlformats.org/officeDocument/2006/relationships/hyperlink" Target="https://www.immoscout24.ch/fr/appartement/louer/region-soleure" TargetMode="External"/><Relationship Id="rId10914" Type="http://schemas.openxmlformats.org/officeDocument/2006/relationships/hyperlink" Target="https://www.immoscout24.ch/fr/maison/acheter/region-vallemaggia" TargetMode="External"/><Relationship Id="rId10915" Type="http://schemas.openxmlformats.org/officeDocument/2006/relationships/hyperlink" Target="https://www.immoscout24.ch/fr/appartement/louer/lieu-zernez" TargetMode="External"/><Relationship Id="rId10918" Type="http://schemas.openxmlformats.org/officeDocument/2006/relationships/hyperlink" Target="https://www.immoscout24.ch/fr/appartement/louer/region-soleure" TargetMode="External"/><Relationship Id="rId10919" Type="http://schemas.openxmlformats.org/officeDocument/2006/relationships/hyperlink" Target="https://www.immoscout24.ch/fr/maison/louer/region-geneve-ville" TargetMode="External"/><Relationship Id="rId10912" Type="http://schemas.openxmlformats.org/officeDocument/2006/relationships/hyperlink" Target="https://www.immoscout24.ch/fr/maison/acheter/lieu-salins" TargetMode="External"/><Relationship Id="rId10913" Type="http://schemas.openxmlformats.org/officeDocument/2006/relationships/hyperlink" Target="https://www.immoscout24.ch/fr/maison/acheter/region-vallemaggia" TargetMode="External"/><Relationship Id="rId10910" Type="http://schemas.openxmlformats.org/officeDocument/2006/relationships/hyperlink" Target="https://www.immoscout24.ch/fr/appartement/louer/lieu-muhen" TargetMode="External"/><Relationship Id="rId10911" Type="http://schemas.openxmlformats.org/officeDocument/2006/relationships/hyperlink" Target="https://www.immoscout24.ch/fr/maison/acheter/lieu-salins" TargetMode="External"/><Relationship Id="rId10927" Type="http://schemas.openxmlformats.org/officeDocument/2006/relationships/hyperlink" Target="https://www.immoscout24.ch/fr/appartement/louer/lieu-bonnefontaine" TargetMode="External"/><Relationship Id="rId10928" Type="http://schemas.openxmlformats.org/officeDocument/2006/relationships/hyperlink" Target="https://www.immoscout24.ch/fr/appartement/louer/lieu-bonnefontaine" TargetMode="External"/><Relationship Id="rId10925" Type="http://schemas.openxmlformats.org/officeDocument/2006/relationships/hyperlink" Target="https://www.immoscout24.ch/fr/maison/acheter/lieu-montricher" TargetMode="External"/><Relationship Id="rId10926" Type="http://schemas.openxmlformats.org/officeDocument/2006/relationships/hyperlink" Target="https://www.immoscout24.ch/fr/maison/acheter/lieu-montricher" TargetMode="External"/><Relationship Id="rId10929" Type="http://schemas.openxmlformats.org/officeDocument/2006/relationships/hyperlink" Target="https://www.immoscout24.ch/fr/appartement/louer/lieu-tumegl-tomils" TargetMode="External"/><Relationship Id="rId10920" Type="http://schemas.openxmlformats.org/officeDocument/2006/relationships/hyperlink" Target="https://www.immoscout24.ch/fr/maison/louer/region-geneve-ville" TargetMode="External"/><Relationship Id="rId10923" Type="http://schemas.openxmlformats.org/officeDocument/2006/relationships/hyperlink" Target="https://www.immoscout24.ch/fr/maison/louer/lieu-maules" TargetMode="External"/><Relationship Id="rId10924" Type="http://schemas.openxmlformats.org/officeDocument/2006/relationships/hyperlink" Target="https://www.immoscout24.ch/fr/maison/louer/lieu-maules" TargetMode="External"/><Relationship Id="rId10921" Type="http://schemas.openxmlformats.org/officeDocument/2006/relationships/hyperlink" Target="https://www.immoscout24.ch/fr/appartement/louer/lieu-beuson-nendaz" TargetMode="External"/><Relationship Id="rId10922" Type="http://schemas.openxmlformats.org/officeDocument/2006/relationships/hyperlink" Target="https://www.immoscout24.ch/fr/appartement/louer/lieu-beuson-nendaz" TargetMode="External"/><Relationship Id="rId509" Type="http://schemas.openxmlformats.org/officeDocument/2006/relationships/hyperlink" Target="https://www.immoscout24.ch/fr/maison/acheter/lieu-wallisellen" TargetMode="External"/><Relationship Id="rId508" Type="http://schemas.openxmlformats.org/officeDocument/2006/relationships/hyperlink" Target="https://www.immoscout24.ch/fr/appartement/louer/lieu-jegenstorf" TargetMode="External"/><Relationship Id="rId503" Type="http://schemas.openxmlformats.org/officeDocument/2006/relationships/hyperlink" Target="https://www.immoscout24.ch/fr/appartement/louer/lieu-nods" TargetMode="External"/><Relationship Id="rId502" Type="http://schemas.openxmlformats.org/officeDocument/2006/relationships/hyperlink" Target="https://www.immoscout24.ch/fr/appartement/acheter/lieu-chesopelloz" TargetMode="External"/><Relationship Id="rId501" Type="http://schemas.openxmlformats.org/officeDocument/2006/relationships/hyperlink" Target="https://www.immoscout24.ch/fr/appartement/acheter/lieu-chesopelloz" TargetMode="External"/><Relationship Id="rId500" Type="http://schemas.openxmlformats.org/officeDocument/2006/relationships/hyperlink" Target="https://www.immoscout24.ch/fr/appartement/acheter/lieu-villars-ste-croix" TargetMode="External"/><Relationship Id="rId507" Type="http://schemas.openxmlformats.org/officeDocument/2006/relationships/hyperlink" Target="https://www.immoscout24.ch/fr/appartement/louer/lieu-jegenstorf" TargetMode="External"/><Relationship Id="rId506" Type="http://schemas.openxmlformats.org/officeDocument/2006/relationships/hyperlink" Target="https://www.immoscout24.ch/fr/appartement/louer/lieu-cresuz" TargetMode="External"/><Relationship Id="rId505" Type="http://schemas.openxmlformats.org/officeDocument/2006/relationships/hyperlink" Target="https://www.immoscout24.ch/fr/appartement/louer/lieu-cresuz" TargetMode="External"/><Relationship Id="rId504" Type="http://schemas.openxmlformats.org/officeDocument/2006/relationships/hyperlink" Target="https://www.immoscout24.ch/fr/appartement/louer/lieu-nods" TargetMode="External"/><Relationship Id="rId6803" Type="http://schemas.openxmlformats.org/officeDocument/2006/relationships/hyperlink" Target="https://www.immoscout24.ch/fr/appartement/acheter/lieu-les-crosets" TargetMode="External"/><Relationship Id="rId6804" Type="http://schemas.openxmlformats.org/officeDocument/2006/relationships/hyperlink" Target="https://www.immoscout24.ch/fr/appartement/acheter/lieu-les-crosets" TargetMode="External"/><Relationship Id="rId6801" Type="http://schemas.openxmlformats.org/officeDocument/2006/relationships/hyperlink" Target="https://www.immoscout24.ch/fr/appartement/acheter/lieu-fenin" TargetMode="External"/><Relationship Id="rId6802" Type="http://schemas.openxmlformats.org/officeDocument/2006/relationships/hyperlink" Target="https://www.immoscout24.ch/fr/appartement/acheter/lieu-fenin" TargetMode="External"/><Relationship Id="rId6807" Type="http://schemas.openxmlformats.org/officeDocument/2006/relationships/hyperlink" Target="https://www.immoscout24.ch/fr/appartement/louer/lieu-kappelen" TargetMode="External"/><Relationship Id="rId6808" Type="http://schemas.openxmlformats.org/officeDocument/2006/relationships/hyperlink" Target="https://www.immoscout24.ch/fr/appartement/louer/lieu-kappelen" TargetMode="External"/><Relationship Id="rId6805" Type="http://schemas.openxmlformats.org/officeDocument/2006/relationships/hyperlink" Target="https://www.immoscout24.ch/fr/maison/acheter/lieu-la-tour-de-treme" TargetMode="External"/><Relationship Id="rId6806" Type="http://schemas.openxmlformats.org/officeDocument/2006/relationships/hyperlink" Target="https://www.immoscout24.ch/fr/maison/acheter/lieu-la-tour-de-treme" TargetMode="External"/><Relationship Id="rId6809" Type="http://schemas.openxmlformats.org/officeDocument/2006/relationships/hyperlink" Target="https://www.immoscout24.ch/fr/maison/acheter/lieu-gorgier" TargetMode="External"/><Relationship Id="rId525" Type="http://schemas.openxmlformats.org/officeDocument/2006/relationships/hyperlink" Target="https://www.immoscout24.ch/fr/maison/louer/lieu-allschwil" TargetMode="External"/><Relationship Id="rId524" Type="http://schemas.openxmlformats.org/officeDocument/2006/relationships/hyperlink" Target="https://www.immoscout24.ch/fr/appartement/louer/lieu-heremence" TargetMode="External"/><Relationship Id="rId523" Type="http://schemas.openxmlformats.org/officeDocument/2006/relationships/hyperlink" Target="https://www.immoscout24.ch/fr/appartement/louer/lieu-heremence" TargetMode="External"/><Relationship Id="rId522" Type="http://schemas.openxmlformats.org/officeDocument/2006/relationships/hyperlink" Target="https://www.immoscout24.ch/fr/maison/acheter/lieu-courtedoux" TargetMode="External"/><Relationship Id="rId529" Type="http://schemas.openxmlformats.org/officeDocument/2006/relationships/hyperlink" Target="https://www.immoscout24.ch/fr/maison/acheter/lieu-selzach" TargetMode="External"/><Relationship Id="rId528" Type="http://schemas.openxmlformats.org/officeDocument/2006/relationships/hyperlink" Target="https://www.immoscout24.ch/fr/appartement/acheter/lieu-vuisternens-devant-romont" TargetMode="External"/><Relationship Id="rId527" Type="http://schemas.openxmlformats.org/officeDocument/2006/relationships/hyperlink" Target="https://www.immoscout24.ch/fr/appartement/acheter/lieu-vuisternens-devant-romont" TargetMode="External"/><Relationship Id="rId526" Type="http://schemas.openxmlformats.org/officeDocument/2006/relationships/hyperlink" Target="https://www.immoscout24.ch/fr/maison/louer/lieu-allschwil" TargetMode="External"/><Relationship Id="rId521" Type="http://schemas.openxmlformats.org/officeDocument/2006/relationships/hyperlink" Target="https://www.immoscout24.ch/fr/maison/acheter/lieu-courtedoux" TargetMode="External"/><Relationship Id="rId520" Type="http://schemas.openxmlformats.org/officeDocument/2006/relationships/hyperlink" Target="https://www.immoscout24.ch/fr/appartement/louer/lieu-vordemwald" TargetMode="External"/><Relationship Id="rId6800" Type="http://schemas.openxmlformats.org/officeDocument/2006/relationships/hyperlink" Target="https://www.immoscout24.ch/fr/maison/acheter/lieu-bennwil" TargetMode="External"/><Relationship Id="rId519" Type="http://schemas.openxmlformats.org/officeDocument/2006/relationships/hyperlink" Target="https://www.immoscout24.ch/fr/appartement/louer/lieu-vordemwald" TargetMode="External"/><Relationship Id="rId514" Type="http://schemas.openxmlformats.org/officeDocument/2006/relationships/hyperlink" Target="https://www.immoscout24.ch/fr/maison/louer/quartier-rotmonten-st-gall" TargetMode="External"/><Relationship Id="rId513" Type="http://schemas.openxmlformats.org/officeDocument/2006/relationships/hyperlink" Target="https://www.immoscout24.ch/fr/maison/louer/quartier-rotmonten-st-gall" TargetMode="External"/><Relationship Id="rId512" Type="http://schemas.openxmlformats.org/officeDocument/2006/relationships/hyperlink" Target="https://www.immoscout24.ch/fr/appartement/acheter/lieu-sementina" TargetMode="External"/><Relationship Id="rId511" Type="http://schemas.openxmlformats.org/officeDocument/2006/relationships/hyperlink" Target="https://www.immoscout24.ch/fr/appartement/acheter/lieu-sementina" TargetMode="External"/><Relationship Id="rId518" Type="http://schemas.openxmlformats.org/officeDocument/2006/relationships/hyperlink" Target="https://www.immoscout24.ch/fr/maison/acheter/lieu-buergenstock" TargetMode="External"/><Relationship Id="rId517" Type="http://schemas.openxmlformats.org/officeDocument/2006/relationships/hyperlink" Target="https://www.immoscout24.ch/fr/maison/acheter/lieu-buergenstock" TargetMode="External"/><Relationship Id="rId516" Type="http://schemas.openxmlformats.org/officeDocument/2006/relationships/hyperlink" Target="https://www.immoscout24.ch/fr/maison/louer/lieu-st-legier-la-chiesaz" TargetMode="External"/><Relationship Id="rId515" Type="http://schemas.openxmlformats.org/officeDocument/2006/relationships/hyperlink" Target="https://www.immoscout24.ch/fr/maison/louer/lieu-st-legier-la-chiesaz" TargetMode="External"/><Relationship Id="rId510" Type="http://schemas.openxmlformats.org/officeDocument/2006/relationships/hyperlink" Target="https://www.immoscout24.ch/fr/maison/acheter/lieu-wallisellen" TargetMode="External"/><Relationship Id="rId4206" Type="http://schemas.openxmlformats.org/officeDocument/2006/relationships/hyperlink" Target="https://www.immoscout24.ch/fr/appartement/acheter/lieu-fischbach-goeslikon" TargetMode="External"/><Relationship Id="rId5538" Type="http://schemas.openxmlformats.org/officeDocument/2006/relationships/hyperlink" Target="https://www.immoscout24.ch/fr/appartement/louer/lieu-bioley-magnoux" TargetMode="External"/><Relationship Id="rId6869" Type="http://schemas.openxmlformats.org/officeDocument/2006/relationships/hyperlink" Target="https://www.immoscout24.ch/fr/maison/louer/lieu-choulex" TargetMode="External"/><Relationship Id="rId4205" Type="http://schemas.openxmlformats.org/officeDocument/2006/relationships/hyperlink" Target="https://www.immoscout24.ch/fr/appartement/acheter/lieu-fischbach-goeslikon" TargetMode="External"/><Relationship Id="rId5539" Type="http://schemas.openxmlformats.org/officeDocument/2006/relationships/hyperlink" Target="https://www.immoscout24.ch/fr/maison/acheter/lieu-grindelwald" TargetMode="External"/><Relationship Id="rId4208" Type="http://schemas.openxmlformats.org/officeDocument/2006/relationships/hyperlink" Target="https://www.immoscout24.ch/fr/appartement/louer/lieu-schindellegi" TargetMode="External"/><Relationship Id="rId5536" Type="http://schemas.openxmlformats.org/officeDocument/2006/relationships/hyperlink" Target="https://www.immoscout24.ch/fr/appartement/louer/canton-bale-campagne" TargetMode="External"/><Relationship Id="rId6867" Type="http://schemas.openxmlformats.org/officeDocument/2006/relationships/hyperlink" Target="https://www.immoscout24.ch/fr/maison/acheter/region-franches-montagnes" TargetMode="External"/><Relationship Id="rId4207" Type="http://schemas.openxmlformats.org/officeDocument/2006/relationships/hyperlink" Target="https://www.immoscout24.ch/fr/appartement/louer/lieu-schindellegi" TargetMode="External"/><Relationship Id="rId5537" Type="http://schemas.openxmlformats.org/officeDocument/2006/relationships/hyperlink" Target="https://www.immoscout24.ch/fr/appartement/louer/lieu-bioley-magnoux" TargetMode="External"/><Relationship Id="rId6868" Type="http://schemas.openxmlformats.org/officeDocument/2006/relationships/hyperlink" Target="https://www.immoscout24.ch/fr/maison/acheter/region-franches-montagnes" TargetMode="External"/><Relationship Id="rId590" Type="http://schemas.openxmlformats.org/officeDocument/2006/relationships/hyperlink" Target="https://www.immoscout24.ch/fr/appartement/louer/lieu-palezieux" TargetMode="External"/><Relationship Id="rId4209" Type="http://schemas.openxmlformats.org/officeDocument/2006/relationships/hyperlink" Target="https://www.immoscout24.ch/fr/appartement/louer/lieu-monible" TargetMode="External"/><Relationship Id="rId589" Type="http://schemas.openxmlformats.org/officeDocument/2006/relationships/hyperlink" Target="https://www.immoscout24.ch/fr/appartement/louer/lieu-palezieux" TargetMode="External"/><Relationship Id="rId588" Type="http://schemas.openxmlformats.org/officeDocument/2006/relationships/hyperlink" Target="https://www.immoscout24.ch/fr/appartement/louer/lieu-bodio-ti" TargetMode="External"/><Relationship Id="rId583" Type="http://schemas.openxmlformats.org/officeDocument/2006/relationships/hyperlink" Target="https://www.immoscout24.ch/fr/appartement/acheter/lieu-wohlen-ag" TargetMode="External"/><Relationship Id="rId5530" Type="http://schemas.openxmlformats.org/officeDocument/2006/relationships/hyperlink" Target="https://www.immoscout24.ch/fr/maison/louer/canton-obwald" TargetMode="External"/><Relationship Id="rId6861" Type="http://schemas.openxmlformats.org/officeDocument/2006/relationships/hyperlink" Target="https://www.immoscout24.ch/fr/maison/acheter/lieu-bernex" TargetMode="External"/><Relationship Id="rId582" Type="http://schemas.openxmlformats.org/officeDocument/2006/relationships/hyperlink" Target="https://www.immoscout24.ch/fr/appartement/louer/lieu-ruggell" TargetMode="External"/><Relationship Id="rId5531" Type="http://schemas.openxmlformats.org/officeDocument/2006/relationships/hyperlink" Target="https://www.immoscout24.ch/fr/maison/acheter/lieu-vernayaz" TargetMode="External"/><Relationship Id="rId6862" Type="http://schemas.openxmlformats.org/officeDocument/2006/relationships/hyperlink" Target="https://www.immoscout24.ch/fr/maison/acheter/lieu-bernex" TargetMode="External"/><Relationship Id="rId581" Type="http://schemas.openxmlformats.org/officeDocument/2006/relationships/hyperlink" Target="https://www.immoscout24.ch/fr/appartement/louer/lieu-ruggell" TargetMode="External"/><Relationship Id="rId4200" Type="http://schemas.openxmlformats.org/officeDocument/2006/relationships/hyperlink" Target="https://www.immoscout24.ch/fr/maison/acheter/lieu-bruettelen" TargetMode="External"/><Relationship Id="rId580" Type="http://schemas.openxmlformats.org/officeDocument/2006/relationships/hyperlink" Target="https://www.immoscout24.ch/fr/maison/acheter/lieu-krauchthal" TargetMode="External"/><Relationship Id="rId6860" Type="http://schemas.openxmlformats.org/officeDocument/2006/relationships/hyperlink" Target="https://www.immoscout24.ch/fr/maison/acheter/pays-chine" TargetMode="External"/><Relationship Id="rId587" Type="http://schemas.openxmlformats.org/officeDocument/2006/relationships/hyperlink" Target="https://www.immoscout24.ch/fr/appartement/louer/lieu-bodio-ti" TargetMode="External"/><Relationship Id="rId4202" Type="http://schemas.openxmlformats.org/officeDocument/2006/relationships/hyperlink" Target="https://www.immoscout24.ch/fr/maison/acheter/lieu-cormoret" TargetMode="External"/><Relationship Id="rId5534" Type="http://schemas.openxmlformats.org/officeDocument/2006/relationships/hyperlink" Target="https://www.immoscout24.ch/fr/maison/louer/canton-tessin" TargetMode="External"/><Relationship Id="rId6865" Type="http://schemas.openxmlformats.org/officeDocument/2006/relationships/hyperlink" Target="https://www.immoscout24.ch/fr/maison/acheter/lieu-morens-fr" TargetMode="External"/><Relationship Id="rId586" Type="http://schemas.openxmlformats.org/officeDocument/2006/relationships/hyperlink" Target="https://www.immoscout24.ch/fr/appartement/louer/lieu-basse-nendaz" TargetMode="External"/><Relationship Id="rId4201" Type="http://schemas.openxmlformats.org/officeDocument/2006/relationships/hyperlink" Target="https://www.immoscout24.ch/fr/maison/acheter/lieu-cormoret" TargetMode="External"/><Relationship Id="rId5535" Type="http://schemas.openxmlformats.org/officeDocument/2006/relationships/hyperlink" Target="https://www.immoscout24.ch/fr/appartement/louer/canton-bale-campagne" TargetMode="External"/><Relationship Id="rId6866" Type="http://schemas.openxmlformats.org/officeDocument/2006/relationships/hyperlink" Target="https://www.immoscout24.ch/fr/maison/acheter/lieu-morens-fr" TargetMode="External"/><Relationship Id="rId585" Type="http://schemas.openxmlformats.org/officeDocument/2006/relationships/hyperlink" Target="https://www.immoscout24.ch/fr/appartement/louer/lieu-basse-nendaz" TargetMode="External"/><Relationship Id="rId4204" Type="http://schemas.openxmlformats.org/officeDocument/2006/relationships/hyperlink" Target="https://www.immoscout24.ch/fr/maison/acheter/lieu-fahy" TargetMode="External"/><Relationship Id="rId5532" Type="http://schemas.openxmlformats.org/officeDocument/2006/relationships/hyperlink" Target="https://www.immoscout24.ch/fr/maison/acheter/lieu-vernayaz" TargetMode="External"/><Relationship Id="rId6863" Type="http://schemas.openxmlformats.org/officeDocument/2006/relationships/hyperlink" Target="https://www.immoscout24.ch/fr/maison/acheter/lieu-villarsiviriaux" TargetMode="External"/><Relationship Id="rId584" Type="http://schemas.openxmlformats.org/officeDocument/2006/relationships/hyperlink" Target="https://www.immoscout24.ch/fr/appartement/acheter/lieu-wohlen-ag" TargetMode="External"/><Relationship Id="rId4203" Type="http://schemas.openxmlformats.org/officeDocument/2006/relationships/hyperlink" Target="https://www.immoscout24.ch/fr/maison/acheter/lieu-fahy" TargetMode="External"/><Relationship Id="rId5533" Type="http://schemas.openxmlformats.org/officeDocument/2006/relationships/hyperlink" Target="https://www.immoscout24.ch/fr/maison/louer/canton-tessin" TargetMode="External"/><Relationship Id="rId6864" Type="http://schemas.openxmlformats.org/officeDocument/2006/relationships/hyperlink" Target="https://www.immoscout24.ch/fr/maison/acheter/lieu-villarsiviriaux" TargetMode="External"/><Relationship Id="rId5527" Type="http://schemas.openxmlformats.org/officeDocument/2006/relationships/hyperlink" Target="https://www.immoscout24.ch/fr/appartement/louer/lieu-ittigen" TargetMode="External"/><Relationship Id="rId6858" Type="http://schemas.openxmlformats.org/officeDocument/2006/relationships/hyperlink" Target="https://www.immoscout24.ch/fr/maison/acheter/lieu-les-hauderes" TargetMode="External"/><Relationship Id="rId5528" Type="http://schemas.openxmlformats.org/officeDocument/2006/relationships/hyperlink" Target="https://www.immoscout24.ch/fr/appartement/louer/lieu-ittigen" TargetMode="External"/><Relationship Id="rId6859" Type="http://schemas.openxmlformats.org/officeDocument/2006/relationships/hyperlink" Target="https://www.immoscout24.ch/fr/maison/acheter/pays-chine" TargetMode="External"/><Relationship Id="rId5525" Type="http://schemas.openxmlformats.org/officeDocument/2006/relationships/hyperlink" Target="https://www.immoscout24.ch/fr/appartement/acheter/lieu-mollens-vs" TargetMode="External"/><Relationship Id="rId6856" Type="http://schemas.openxmlformats.org/officeDocument/2006/relationships/hyperlink" Target="https://www.immoscout24.ch/fr/appartement/louer/lieu-lavigny" TargetMode="External"/><Relationship Id="rId5526" Type="http://schemas.openxmlformats.org/officeDocument/2006/relationships/hyperlink" Target="https://www.immoscout24.ch/fr/appartement/acheter/lieu-mollens-vs" TargetMode="External"/><Relationship Id="rId6857" Type="http://schemas.openxmlformats.org/officeDocument/2006/relationships/hyperlink" Target="https://www.immoscout24.ch/fr/maison/acheter/lieu-les-hauderes" TargetMode="External"/><Relationship Id="rId5529" Type="http://schemas.openxmlformats.org/officeDocument/2006/relationships/hyperlink" Target="https://www.immoscout24.ch/fr/maison/louer/canton-obwald" TargetMode="External"/><Relationship Id="rId579" Type="http://schemas.openxmlformats.org/officeDocument/2006/relationships/hyperlink" Target="https://www.immoscout24.ch/fr/maison/acheter/lieu-krauchthal" TargetMode="External"/><Relationship Id="rId578" Type="http://schemas.openxmlformats.org/officeDocument/2006/relationships/hyperlink" Target="https://www.immoscout24.ch/fr/appartement/louer/lieu-torgon" TargetMode="External"/><Relationship Id="rId577" Type="http://schemas.openxmlformats.org/officeDocument/2006/relationships/hyperlink" Target="https://www.immoscout24.ch/fr/appartement/louer/lieu-torgon" TargetMode="External"/><Relationship Id="rId572" Type="http://schemas.openxmlformats.org/officeDocument/2006/relationships/hyperlink" Target="https://www.immoscout24.ch/fr/appartement/acheter/lieu-evolene" TargetMode="External"/><Relationship Id="rId6850" Type="http://schemas.openxmlformats.org/officeDocument/2006/relationships/hyperlink" Target="https://www.immoscout24.ch/fr/appartement/acheter/lieu-begnins" TargetMode="External"/><Relationship Id="rId571" Type="http://schemas.openxmlformats.org/officeDocument/2006/relationships/hyperlink" Target="https://www.immoscout24.ch/fr/appartement/acheter/lieu-evolene" TargetMode="External"/><Relationship Id="rId5520" Type="http://schemas.openxmlformats.org/officeDocument/2006/relationships/hyperlink" Target="https://www.immoscout24.ch/fr/maison/louer/lieu-riedholz" TargetMode="External"/><Relationship Id="rId6851" Type="http://schemas.openxmlformats.org/officeDocument/2006/relationships/hyperlink" Target="https://www.immoscout24.ch/fr/maison/acheter/lieu-taegerwilen" TargetMode="External"/><Relationship Id="rId570" Type="http://schemas.openxmlformats.org/officeDocument/2006/relationships/hyperlink" Target="https://www.immoscout24.ch/fr/appartement/acheter/lieu-allschwil" TargetMode="External"/><Relationship Id="rId576" Type="http://schemas.openxmlformats.org/officeDocument/2006/relationships/hyperlink" Target="https://www.immoscout24.ch/fr/maison/acheter/lieu-belmont-sur-lausanne" TargetMode="External"/><Relationship Id="rId5523" Type="http://schemas.openxmlformats.org/officeDocument/2006/relationships/hyperlink" Target="https://www.immoscout24.ch/fr/maison/louer/lieu-martigny-croix" TargetMode="External"/><Relationship Id="rId6854" Type="http://schemas.openxmlformats.org/officeDocument/2006/relationships/hyperlink" Target="https://www.immoscout24.ch/fr/maison/acheter/pays-maroc" TargetMode="External"/><Relationship Id="rId575" Type="http://schemas.openxmlformats.org/officeDocument/2006/relationships/hyperlink" Target="https://www.immoscout24.ch/fr/maison/acheter/lieu-belmont-sur-lausanne" TargetMode="External"/><Relationship Id="rId5524" Type="http://schemas.openxmlformats.org/officeDocument/2006/relationships/hyperlink" Target="https://www.immoscout24.ch/fr/maison/louer/lieu-martigny-croix" TargetMode="External"/><Relationship Id="rId6855" Type="http://schemas.openxmlformats.org/officeDocument/2006/relationships/hyperlink" Target="https://www.immoscout24.ch/fr/appartement/louer/lieu-lavigny" TargetMode="External"/><Relationship Id="rId574" Type="http://schemas.openxmlformats.org/officeDocument/2006/relationships/hyperlink" Target="https://www.immoscout24.ch/fr/appartement/louer/quartier-sandrain-berne" TargetMode="External"/><Relationship Id="rId5521" Type="http://schemas.openxmlformats.org/officeDocument/2006/relationships/hyperlink" Target="https://www.immoscout24.ch/fr/maison/acheter/lieu-guarda" TargetMode="External"/><Relationship Id="rId6852" Type="http://schemas.openxmlformats.org/officeDocument/2006/relationships/hyperlink" Target="https://www.immoscout24.ch/fr/maison/acheter/lieu-taegerwilen" TargetMode="External"/><Relationship Id="rId573" Type="http://schemas.openxmlformats.org/officeDocument/2006/relationships/hyperlink" Target="https://www.immoscout24.ch/fr/appartement/louer/quartier-sandrain-berne" TargetMode="External"/><Relationship Id="rId5522" Type="http://schemas.openxmlformats.org/officeDocument/2006/relationships/hyperlink" Target="https://www.immoscout24.ch/fr/maison/acheter/lieu-guarda" TargetMode="External"/><Relationship Id="rId6853" Type="http://schemas.openxmlformats.org/officeDocument/2006/relationships/hyperlink" Target="https://www.immoscout24.ch/fr/maison/acheter/pays-maroc" TargetMode="External"/><Relationship Id="rId4228" Type="http://schemas.openxmlformats.org/officeDocument/2006/relationships/hyperlink" Target="https://www.immoscout24.ch/fr/appartement/acheter/lieu-poliez-pittet" TargetMode="External"/><Relationship Id="rId4227" Type="http://schemas.openxmlformats.org/officeDocument/2006/relationships/hyperlink" Target="https://www.immoscout24.ch/fr/appartement/acheter/lieu-poliez-pittet" TargetMode="External"/><Relationship Id="rId5558" Type="http://schemas.openxmlformats.org/officeDocument/2006/relationships/hyperlink" Target="https://www.immoscout24.ch/fr/appartement/acheter/region-campagne-rive-droite" TargetMode="External"/><Relationship Id="rId6889" Type="http://schemas.openxmlformats.org/officeDocument/2006/relationships/hyperlink" Target="https://www.immoscout24.ch/fr/appartement/louer/lieu-donatyre" TargetMode="External"/><Relationship Id="rId4229" Type="http://schemas.openxmlformats.org/officeDocument/2006/relationships/hyperlink" Target="https://www.immoscout24.ch/fr/maison/acheter/lieu-chavannes-des-bois" TargetMode="External"/><Relationship Id="rId5559" Type="http://schemas.openxmlformats.org/officeDocument/2006/relationships/hyperlink" Target="https://www.immoscout24.ch/fr/maison/acheter/lieu-crassier" TargetMode="External"/><Relationship Id="rId6880" Type="http://schemas.openxmlformats.org/officeDocument/2006/relationships/hyperlink" Target="https://www.immoscout24.ch/fr/appartement/acheter/lieu-botterens" TargetMode="External"/><Relationship Id="rId4220" Type="http://schemas.openxmlformats.org/officeDocument/2006/relationships/hyperlink" Target="https://www.immoscout24.ch/fr/appartement/louer/lieu-s-nazzaro" TargetMode="External"/><Relationship Id="rId5552" Type="http://schemas.openxmlformats.org/officeDocument/2006/relationships/hyperlink" Target="https://www.immoscout24.ch/fr/appartement/louer/lieu-hurden" TargetMode="External"/><Relationship Id="rId6883" Type="http://schemas.openxmlformats.org/officeDocument/2006/relationships/hyperlink" Target="https://www.immoscout24.ch/fr/appartement/louer/lieu-morlon" TargetMode="External"/><Relationship Id="rId5553" Type="http://schemas.openxmlformats.org/officeDocument/2006/relationships/hyperlink" Target="https://www.immoscout24.ch/fr/maison/acheter/lieu-welschenrohr" TargetMode="External"/><Relationship Id="rId6884" Type="http://schemas.openxmlformats.org/officeDocument/2006/relationships/hyperlink" Target="https://www.immoscout24.ch/fr/appartement/louer/lieu-morlon" TargetMode="External"/><Relationship Id="rId4222" Type="http://schemas.openxmlformats.org/officeDocument/2006/relationships/hyperlink" Target="https://www.immoscout24.ch/fr/maison/acheter/lieu-burgdorf" TargetMode="External"/><Relationship Id="rId5550" Type="http://schemas.openxmlformats.org/officeDocument/2006/relationships/hyperlink" Target="https://www.immoscout24.ch/fr/appartement/louer/lieu-goldiwil-thun" TargetMode="External"/><Relationship Id="rId6881" Type="http://schemas.openxmlformats.org/officeDocument/2006/relationships/hyperlink" Target="https://www.immoscout24.ch/fr/maison/acheter/lieu-montavon" TargetMode="External"/><Relationship Id="rId4221" Type="http://schemas.openxmlformats.org/officeDocument/2006/relationships/hyperlink" Target="https://www.immoscout24.ch/fr/maison/acheter/lieu-burgdorf" TargetMode="External"/><Relationship Id="rId5551" Type="http://schemas.openxmlformats.org/officeDocument/2006/relationships/hyperlink" Target="https://www.immoscout24.ch/fr/appartement/louer/lieu-hurden" TargetMode="External"/><Relationship Id="rId6882" Type="http://schemas.openxmlformats.org/officeDocument/2006/relationships/hyperlink" Target="https://www.immoscout24.ch/fr/maison/acheter/lieu-montavon" TargetMode="External"/><Relationship Id="rId4224" Type="http://schemas.openxmlformats.org/officeDocument/2006/relationships/hyperlink" Target="https://www.immoscout24.ch/fr/appartement/louer/lieu-turtmann" TargetMode="External"/><Relationship Id="rId5556" Type="http://schemas.openxmlformats.org/officeDocument/2006/relationships/hyperlink" Target="https://www.immoscout24.ch/fr/maison/louer/lieu-villars-sur-fontenais" TargetMode="External"/><Relationship Id="rId6887" Type="http://schemas.openxmlformats.org/officeDocument/2006/relationships/hyperlink" Target="https://www.immoscout24.ch/fr/appartement/acheter/quartier-rosenberg-st-gall" TargetMode="External"/><Relationship Id="rId4223" Type="http://schemas.openxmlformats.org/officeDocument/2006/relationships/hyperlink" Target="https://www.immoscout24.ch/fr/appartement/louer/lieu-turtmann" TargetMode="External"/><Relationship Id="rId5557" Type="http://schemas.openxmlformats.org/officeDocument/2006/relationships/hyperlink" Target="https://www.immoscout24.ch/fr/appartement/acheter/region-campagne-rive-droite" TargetMode="External"/><Relationship Id="rId6888" Type="http://schemas.openxmlformats.org/officeDocument/2006/relationships/hyperlink" Target="https://www.immoscout24.ch/fr/appartement/acheter/quartier-rosenberg-st-gall" TargetMode="External"/><Relationship Id="rId4226" Type="http://schemas.openxmlformats.org/officeDocument/2006/relationships/hyperlink" Target="https://www.immoscout24.ch/fr/appartement/louer/lieu-salvenach" TargetMode="External"/><Relationship Id="rId5554" Type="http://schemas.openxmlformats.org/officeDocument/2006/relationships/hyperlink" Target="https://www.immoscout24.ch/fr/maison/acheter/lieu-welschenrohr" TargetMode="External"/><Relationship Id="rId6885" Type="http://schemas.openxmlformats.org/officeDocument/2006/relationships/hyperlink" Target="https://www.immoscout24.ch/fr/maison/acheter/lieu-morcles" TargetMode="External"/><Relationship Id="rId4225" Type="http://schemas.openxmlformats.org/officeDocument/2006/relationships/hyperlink" Target="https://www.immoscout24.ch/fr/appartement/louer/lieu-salvenach" TargetMode="External"/><Relationship Id="rId5555" Type="http://schemas.openxmlformats.org/officeDocument/2006/relationships/hyperlink" Target="https://www.immoscout24.ch/fr/maison/louer/lieu-villars-sur-fontenais" TargetMode="External"/><Relationship Id="rId6886" Type="http://schemas.openxmlformats.org/officeDocument/2006/relationships/hyperlink" Target="https://www.immoscout24.ch/fr/maison/acheter/lieu-morcles" TargetMode="External"/><Relationship Id="rId4217" Type="http://schemas.openxmlformats.org/officeDocument/2006/relationships/hyperlink" Target="https://www.immoscout24.ch/fr/appartement/louer/lieu-romanshorn" TargetMode="External"/><Relationship Id="rId5549" Type="http://schemas.openxmlformats.org/officeDocument/2006/relationships/hyperlink" Target="https://www.immoscout24.ch/fr/appartement/louer/lieu-goldiwil-thun" TargetMode="External"/><Relationship Id="rId4216" Type="http://schemas.openxmlformats.org/officeDocument/2006/relationships/hyperlink" Target="https://www.immoscout24.ch/fr/maison/acheter/lieu-la-croix-de-rozon" TargetMode="External"/><Relationship Id="rId4219" Type="http://schemas.openxmlformats.org/officeDocument/2006/relationships/hyperlink" Target="https://www.immoscout24.ch/fr/appartement/louer/lieu-s-nazzaro" TargetMode="External"/><Relationship Id="rId5547" Type="http://schemas.openxmlformats.org/officeDocument/2006/relationships/hyperlink" Target="https://www.immoscout24.ch/fr/maison/acheter/region-bischofszell-weinfelden" TargetMode="External"/><Relationship Id="rId6878" Type="http://schemas.openxmlformats.org/officeDocument/2006/relationships/hyperlink" Target="https://www.immoscout24.ch/fr/appartement/acheter/lieu-yens" TargetMode="External"/><Relationship Id="rId4218" Type="http://schemas.openxmlformats.org/officeDocument/2006/relationships/hyperlink" Target="https://www.immoscout24.ch/fr/appartement/louer/lieu-romanshorn" TargetMode="External"/><Relationship Id="rId5548" Type="http://schemas.openxmlformats.org/officeDocument/2006/relationships/hyperlink" Target="https://www.immoscout24.ch/fr/maison/acheter/region-bischofszell-weinfelden" TargetMode="External"/><Relationship Id="rId6879" Type="http://schemas.openxmlformats.org/officeDocument/2006/relationships/hyperlink" Target="https://www.immoscout24.ch/fr/appartement/acheter/lieu-botterens" TargetMode="External"/><Relationship Id="rId599" Type="http://schemas.openxmlformats.org/officeDocument/2006/relationships/hyperlink" Target="https://www.immoscout24.ch/fr/appartement/acheter/lieu-bolligen" TargetMode="External"/><Relationship Id="rId594" Type="http://schemas.openxmlformats.org/officeDocument/2006/relationships/hyperlink" Target="https://www.immoscout24.ch/fr/maison/louer/lieu-nesselnbach" TargetMode="External"/><Relationship Id="rId5541" Type="http://schemas.openxmlformats.org/officeDocument/2006/relationships/hyperlink" Target="https://www.immoscout24.ch/fr/maison/louer/lieu-corgemont" TargetMode="External"/><Relationship Id="rId6872" Type="http://schemas.openxmlformats.org/officeDocument/2006/relationships/hyperlink" Target="https://www.immoscout24.ch/fr/appartement/acheter/lieu-wangen-sz" TargetMode="External"/><Relationship Id="rId593" Type="http://schemas.openxmlformats.org/officeDocument/2006/relationships/hyperlink" Target="https://www.immoscout24.ch/fr/maison/louer/lieu-nesselnbach" TargetMode="External"/><Relationship Id="rId5542" Type="http://schemas.openxmlformats.org/officeDocument/2006/relationships/hyperlink" Target="https://www.immoscout24.ch/fr/maison/louer/lieu-corgemont" TargetMode="External"/><Relationship Id="rId6873" Type="http://schemas.openxmlformats.org/officeDocument/2006/relationships/hyperlink" Target="https://www.immoscout24.ch/fr/maison/acheter/lieu-saviese" TargetMode="External"/><Relationship Id="rId592" Type="http://schemas.openxmlformats.org/officeDocument/2006/relationships/hyperlink" Target="https://www.immoscout24.ch/fr/maison/acheter/lieu-la-sarraz" TargetMode="External"/><Relationship Id="rId4211" Type="http://schemas.openxmlformats.org/officeDocument/2006/relationships/hyperlink" Target="https://www.immoscout24.ch/fr/maison/louer/lieu-chancy" TargetMode="External"/><Relationship Id="rId6870" Type="http://schemas.openxmlformats.org/officeDocument/2006/relationships/hyperlink" Target="https://www.immoscout24.ch/fr/maison/louer/lieu-choulex" TargetMode="External"/><Relationship Id="rId591" Type="http://schemas.openxmlformats.org/officeDocument/2006/relationships/hyperlink" Target="https://www.immoscout24.ch/fr/maison/acheter/lieu-la-sarraz" TargetMode="External"/><Relationship Id="rId4210" Type="http://schemas.openxmlformats.org/officeDocument/2006/relationships/hyperlink" Target="https://www.immoscout24.ch/fr/appartement/louer/lieu-monible" TargetMode="External"/><Relationship Id="rId5540" Type="http://schemas.openxmlformats.org/officeDocument/2006/relationships/hyperlink" Target="https://www.immoscout24.ch/fr/maison/acheter/lieu-grindelwald" TargetMode="External"/><Relationship Id="rId6871" Type="http://schemas.openxmlformats.org/officeDocument/2006/relationships/hyperlink" Target="https://www.immoscout24.ch/fr/appartement/acheter/lieu-wangen-sz" TargetMode="External"/><Relationship Id="rId598" Type="http://schemas.openxmlformats.org/officeDocument/2006/relationships/hyperlink" Target="https://www.immoscout24.ch/fr/appartement/louer/quartier-secteur-forain-est-la-chaux-de-fonds" TargetMode="External"/><Relationship Id="rId4213" Type="http://schemas.openxmlformats.org/officeDocument/2006/relationships/hyperlink" Target="https://www.immoscout24.ch/fr/maison/louer/lieu-schmitten-fr" TargetMode="External"/><Relationship Id="rId5545" Type="http://schemas.openxmlformats.org/officeDocument/2006/relationships/hyperlink" Target="https://www.immoscout24.ch/fr/appartement/louer/lieu-bettlach" TargetMode="External"/><Relationship Id="rId6876" Type="http://schemas.openxmlformats.org/officeDocument/2006/relationships/hyperlink" Target="https://www.immoscout24.ch/fr/maison/acheter/lieu-montpreveyres" TargetMode="External"/><Relationship Id="rId597" Type="http://schemas.openxmlformats.org/officeDocument/2006/relationships/hyperlink" Target="https://www.immoscout24.ch/fr/appartement/louer/quartier-secteur-forain-est-la-chaux-de-fonds" TargetMode="External"/><Relationship Id="rId4212" Type="http://schemas.openxmlformats.org/officeDocument/2006/relationships/hyperlink" Target="https://www.immoscout24.ch/fr/maison/louer/lieu-chancy" TargetMode="External"/><Relationship Id="rId5546" Type="http://schemas.openxmlformats.org/officeDocument/2006/relationships/hyperlink" Target="https://www.immoscout24.ch/fr/appartement/louer/lieu-bettlach" TargetMode="External"/><Relationship Id="rId6877" Type="http://schemas.openxmlformats.org/officeDocument/2006/relationships/hyperlink" Target="https://www.immoscout24.ch/fr/appartement/acheter/lieu-yens" TargetMode="External"/><Relationship Id="rId596" Type="http://schemas.openxmlformats.org/officeDocument/2006/relationships/hyperlink" Target="https://www.immoscout24.ch/fr/maison/louer/region-littoral-neuchatelois" TargetMode="External"/><Relationship Id="rId4215" Type="http://schemas.openxmlformats.org/officeDocument/2006/relationships/hyperlink" Target="https://www.immoscout24.ch/fr/maison/acheter/lieu-la-croix-de-rozon" TargetMode="External"/><Relationship Id="rId5543" Type="http://schemas.openxmlformats.org/officeDocument/2006/relationships/hyperlink" Target="https://www.immoscout24.ch/fr/appartement/louer/region-mendrisiotto" TargetMode="External"/><Relationship Id="rId6874" Type="http://schemas.openxmlformats.org/officeDocument/2006/relationships/hyperlink" Target="https://www.immoscout24.ch/fr/maison/acheter/lieu-saviese" TargetMode="External"/><Relationship Id="rId595" Type="http://schemas.openxmlformats.org/officeDocument/2006/relationships/hyperlink" Target="https://www.immoscout24.ch/fr/maison/louer/region-littoral-neuchatelois" TargetMode="External"/><Relationship Id="rId4214" Type="http://schemas.openxmlformats.org/officeDocument/2006/relationships/hyperlink" Target="https://www.immoscout24.ch/fr/maison/louer/lieu-schmitten-fr" TargetMode="External"/><Relationship Id="rId5544" Type="http://schemas.openxmlformats.org/officeDocument/2006/relationships/hyperlink" Target="https://www.immoscout24.ch/fr/appartement/louer/region-mendrisiotto" TargetMode="External"/><Relationship Id="rId6875" Type="http://schemas.openxmlformats.org/officeDocument/2006/relationships/hyperlink" Target="https://www.immoscout24.ch/fr/maison/acheter/lieu-montpreveyres" TargetMode="External"/><Relationship Id="rId6825" Type="http://schemas.openxmlformats.org/officeDocument/2006/relationships/hyperlink" Target="https://www.immoscout24.ch/fr/appartement/louer/quartier-st-gervais-chantepoulet-geneve" TargetMode="External"/><Relationship Id="rId6826" Type="http://schemas.openxmlformats.org/officeDocument/2006/relationships/hyperlink" Target="https://www.immoscout24.ch/fr/appartement/louer/quartier-st-gervais-chantepoulet-geneve" TargetMode="External"/><Relationship Id="rId6823" Type="http://schemas.openxmlformats.org/officeDocument/2006/relationships/hyperlink" Target="https://www.immoscout24.ch/fr/maison/acheter/lieu-st-luc" TargetMode="External"/><Relationship Id="rId6824" Type="http://schemas.openxmlformats.org/officeDocument/2006/relationships/hyperlink" Target="https://www.immoscout24.ch/fr/maison/acheter/lieu-st-luc" TargetMode="External"/><Relationship Id="rId6829" Type="http://schemas.openxmlformats.org/officeDocument/2006/relationships/hyperlink" Target="https://www.immoscout24.ch/fr/appartement/louer/lieu-liesberg" TargetMode="External"/><Relationship Id="rId6827" Type="http://schemas.openxmlformats.org/officeDocument/2006/relationships/hyperlink" Target="https://www.immoscout24.ch/fr/appartement/louer/lieu-kirchlindach" TargetMode="External"/><Relationship Id="rId6828" Type="http://schemas.openxmlformats.org/officeDocument/2006/relationships/hyperlink" Target="https://www.immoscout24.ch/fr/appartement/louer/lieu-kirchlindach" TargetMode="External"/><Relationship Id="rId547" Type="http://schemas.openxmlformats.org/officeDocument/2006/relationships/hyperlink" Target="https://www.immoscout24.ch/fr/appartement/louer/lieu-bellevue" TargetMode="External"/><Relationship Id="rId546" Type="http://schemas.openxmlformats.org/officeDocument/2006/relationships/hyperlink" Target="https://www.immoscout24.ch/fr/appartement/louer/lieu-vuisternens-en-ogoz" TargetMode="External"/><Relationship Id="rId545" Type="http://schemas.openxmlformats.org/officeDocument/2006/relationships/hyperlink" Target="https://www.immoscout24.ch/fr/appartement/louer/lieu-vuisternens-en-ogoz" TargetMode="External"/><Relationship Id="rId544" Type="http://schemas.openxmlformats.org/officeDocument/2006/relationships/hyperlink" Target="https://www.immoscout24.ch/fr/maison/acheter/lieu-dompierre-vd" TargetMode="External"/><Relationship Id="rId549" Type="http://schemas.openxmlformats.org/officeDocument/2006/relationships/hyperlink" Target="https://www.immoscout24.ch/fr/appartement/louer/lieu-treycovagnes" TargetMode="External"/><Relationship Id="rId548" Type="http://schemas.openxmlformats.org/officeDocument/2006/relationships/hyperlink" Target="https://www.immoscout24.ch/fr/appartement/louer/lieu-bellevue" TargetMode="External"/><Relationship Id="rId543" Type="http://schemas.openxmlformats.org/officeDocument/2006/relationships/hyperlink" Target="https://www.immoscout24.ch/fr/maison/acheter/lieu-dompierre-vd" TargetMode="External"/><Relationship Id="rId6821" Type="http://schemas.openxmlformats.org/officeDocument/2006/relationships/hyperlink" Target="https://www.immoscout24.ch/fr/appartement/louer/quartier-alpes-neuchatel" TargetMode="External"/><Relationship Id="rId542" Type="http://schemas.openxmlformats.org/officeDocument/2006/relationships/hyperlink" Target="https://www.immoscout24.ch/fr/appartement/louer/lieu-st-ursanne" TargetMode="External"/><Relationship Id="rId6822" Type="http://schemas.openxmlformats.org/officeDocument/2006/relationships/hyperlink" Target="https://www.immoscout24.ch/fr/appartement/louer/quartier-alpes-neuchatel" TargetMode="External"/><Relationship Id="rId541" Type="http://schemas.openxmlformats.org/officeDocument/2006/relationships/hyperlink" Target="https://www.immoscout24.ch/fr/appartement/louer/lieu-st-ursanne" TargetMode="External"/><Relationship Id="rId540" Type="http://schemas.openxmlformats.org/officeDocument/2006/relationships/hyperlink" Target="https://www.immoscout24.ch/fr/maison/acheter/lieu-pontenet" TargetMode="External"/><Relationship Id="rId6820" Type="http://schemas.openxmlformats.org/officeDocument/2006/relationships/hyperlink" Target="https://www.immoscout24.ch/fr/appartement/acheter/lieu-magnedens" TargetMode="External"/><Relationship Id="rId6814" Type="http://schemas.openxmlformats.org/officeDocument/2006/relationships/hyperlink" Target="https://www.immoscout24.ch/fr/maison/acheter/lieu-rechthalten" TargetMode="External"/><Relationship Id="rId6815" Type="http://schemas.openxmlformats.org/officeDocument/2006/relationships/hyperlink" Target="https://www.immoscout24.ch/fr/appartement/acheter/lieu-solothurn" TargetMode="External"/><Relationship Id="rId6812" Type="http://schemas.openxmlformats.org/officeDocument/2006/relationships/hyperlink" Target="https://www.immoscout24.ch/fr/appartement/louer/lieu-corbieres" TargetMode="External"/><Relationship Id="rId6813" Type="http://schemas.openxmlformats.org/officeDocument/2006/relationships/hyperlink" Target="https://www.immoscout24.ch/fr/maison/acheter/lieu-rechthalten" TargetMode="External"/><Relationship Id="rId6818" Type="http://schemas.openxmlformats.org/officeDocument/2006/relationships/hyperlink" Target="https://www.immoscout24.ch/fr/appartement/louer/lieu-praz-vully" TargetMode="External"/><Relationship Id="rId6819" Type="http://schemas.openxmlformats.org/officeDocument/2006/relationships/hyperlink" Target="https://www.immoscout24.ch/fr/appartement/acheter/lieu-magnedens" TargetMode="External"/><Relationship Id="rId6816" Type="http://schemas.openxmlformats.org/officeDocument/2006/relationships/hyperlink" Target="https://www.immoscout24.ch/fr/appartement/acheter/lieu-solothurn" TargetMode="External"/><Relationship Id="rId6817" Type="http://schemas.openxmlformats.org/officeDocument/2006/relationships/hyperlink" Target="https://www.immoscout24.ch/fr/appartement/louer/lieu-praz-vully" TargetMode="External"/><Relationship Id="rId536" Type="http://schemas.openxmlformats.org/officeDocument/2006/relationships/hyperlink" Target="https://www.immoscout24.ch/fr/maison/louer/lieu-lentigny" TargetMode="External"/><Relationship Id="rId535" Type="http://schemas.openxmlformats.org/officeDocument/2006/relationships/hyperlink" Target="https://www.immoscout24.ch/fr/maison/louer/lieu-lentigny" TargetMode="External"/><Relationship Id="rId534" Type="http://schemas.openxmlformats.org/officeDocument/2006/relationships/hyperlink" Target="https://www.immoscout24.ch/fr/appartement/louer/lieu-domat-ems" TargetMode="External"/><Relationship Id="rId533" Type="http://schemas.openxmlformats.org/officeDocument/2006/relationships/hyperlink" Target="https://www.immoscout24.ch/fr/appartement/louer/lieu-domat-ems" TargetMode="External"/><Relationship Id="rId539" Type="http://schemas.openxmlformats.org/officeDocument/2006/relationships/hyperlink" Target="https://www.immoscout24.ch/fr/maison/acheter/lieu-pontenet" TargetMode="External"/><Relationship Id="rId538" Type="http://schemas.openxmlformats.org/officeDocument/2006/relationships/hyperlink" Target="https://www.immoscout24.ch/fr/maison/louer/lieu-vionnaz" TargetMode="External"/><Relationship Id="rId537" Type="http://schemas.openxmlformats.org/officeDocument/2006/relationships/hyperlink" Target="https://www.immoscout24.ch/fr/maison/louer/lieu-vionnaz" TargetMode="External"/><Relationship Id="rId532" Type="http://schemas.openxmlformats.org/officeDocument/2006/relationships/hyperlink" Target="https://www.immoscout24.ch/fr/maison/acheter/lieu-cari" TargetMode="External"/><Relationship Id="rId6810" Type="http://schemas.openxmlformats.org/officeDocument/2006/relationships/hyperlink" Target="https://www.immoscout24.ch/fr/maison/acheter/lieu-gorgier" TargetMode="External"/><Relationship Id="rId531" Type="http://schemas.openxmlformats.org/officeDocument/2006/relationships/hyperlink" Target="https://www.immoscout24.ch/fr/maison/acheter/lieu-cari" TargetMode="External"/><Relationship Id="rId6811" Type="http://schemas.openxmlformats.org/officeDocument/2006/relationships/hyperlink" Target="https://www.immoscout24.ch/fr/appartement/louer/lieu-corbieres" TargetMode="External"/><Relationship Id="rId530" Type="http://schemas.openxmlformats.org/officeDocument/2006/relationships/hyperlink" Target="https://www.immoscout24.ch/fr/maison/acheter/lieu-selzach" TargetMode="External"/><Relationship Id="rId5516" Type="http://schemas.openxmlformats.org/officeDocument/2006/relationships/hyperlink" Target="https://www.immoscout24.ch/fr/appartement/acheter/lieu-lavigny" TargetMode="External"/><Relationship Id="rId6847" Type="http://schemas.openxmlformats.org/officeDocument/2006/relationships/hyperlink" Target="https://www.immoscout24.ch/fr/appartement/louer/lieu-gams" TargetMode="External"/><Relationship Id="rId5517" Type="http://schemas.openxmlformats.org/officeDocument/2006/relationships/hyperlink" Target="https://www.immoscout24.ch/fr/appartement/louer/pays-portugal" TargetMode="External"/><Relationship Id="rId6848" Type="http://schemas.openxmlformats.org/officeDocument/2006/relationships/hyperlink" Target="https://www.immoscout24.ch/fr/appartement/louer/lieu-gams" TargetMode="External"/><Relationship Id="rId5514" Type="http://schemas.openxmlformats.org/officeDocument/2006/relationships/hyperlink" Target="https://www.immoscout24.ch/fr/maison/acheter/lieu-ligerz" TargetMode="External"/><Relationship Id="rId6845" Type="http://schemas.openxmlformats.org/officeDocument/2006/relationships/hyperlink" Target="https://www.immoscout24.ch/fr/appartement/acheter/pays-autriche" TargetMode="External"/><Relationship Id="rId5515" Type="http://schemas.openxmlformats.org/officeDocument/2006/relationships/hyperlink" Target="https://www.immoscout24.ch/fr/appartement/acheter/lieu-lavigny" TargetMode="External"/><Relationship Id="rId6846" Type="http://schemas.openxmlformats.org/officeDocument/2006/relationships/hyperlink" Target="https://www.immoscout24.ch/fr/appartement/acheter/pays-autriche" TargetMode="External"/><Relationship Id="rId5518" Type="http://schemas.openxmlformats.org/officeDocument/2006/relationships/hyperlink" Target="https://www.immoscout24.ch/fr/appartement/louer/pays-portugal" TargetMode="External"/><Relationship Id="rId6849" Type="http://schemas.openxmlformats.org/officeDocument/2006/relationships/hyperlink" Target="https://www.immoscout24.ch/fr/appartement/acheter/lieu-begnins" TargetMode="External"/><Relationship Id="rId5519" Type="http://schemas.openxmlformats.org/officeDocument/2006/relationships/hyperlink" Target="https://www.immoscout24.ch/fr/maison/louer/lieu-riedholz" TargetMode="External"/><Relationship Id="rId569" Type="http://schemas.openxmlformats.org/officeDocument/2006/relationships/hyperlink" Target="https://www.immoscout24.ch/fr/appartement/acheter/lieu-allschwil" TargetMode="External"/><Relationship Id="rId568" Type="http://schemas.openxmlformats.org/officeDocument/2006/relationships/hyperlink" Target="https://www.immoscout24.ch/fr/appartement/louer/lieu-siebnen" TargetMode="External"/><Relationship Id="rId567" Type="http://schemas.openxmlformats.org/officeDocument/2006/relationships/hyperlink" Target="https://www.immoscout24.ch/fr/appartement/louer/lieu-siebnen" TargetMode="External"/><Relationship Id="rId566" Type="http://schemas.openxmlformats.org/officeDocument/2006/relationships/hyperlink" Target="https://www.immoscout24.ch/fr/maison/acheter/lieu-coglio" TargetMode="External"/><Relationship Id="rId561" Type="http://schemas.openxmlformats.org/officeDocument/2006/relationships/hyperlink" Target="https://www.immoscout24.ch/fr/appartement/louer/quartier-sonvico-lugano" TargetMode="External"/><Relationship Id="rId560" Type="http://schemas.openxmlformats.org/officeDocument/2006/relationships/hyperlink" Target="https://www.immoscout24.ch/fr/maison/acheter/lieu-gruenenmatt" TargetMode="External"/><Relationship Id="rId6840" Type="http://schemas.openxmlformats.org/officeDocument/2006/relationships/hyperlink" Target="https://www.immoscout24.ch/fr/maison/acheter/region-thayngen-stein" TargetMode="External"/><Relationship Id="rId565" Type="http://schemas.openxmlformats.org/officeDocument/2006/relationships/hyperlink" Target="https://www.immoscout24.ch/fr/maison/acheter/lieu-coglio" TargetMode="External"/><Relationship Id="rId5512" Type="http://schemas.openxmlformats.org/officeDocument/2006/relationships/hyperlink" Target="https://www.immoscout24.ch/fr/appartement/acheter/lieu-schafisheim" TargetMode="External"/><Relationship Id="rId6843" Type="http://schemas.openxmlformats.org/officeDocument/2006/relationships/hyperlink" Target="https://www.immoscout24.ch/fr/appartement/louer/lieu-lausanne" TargetMode="External"/><Relationship Id="rId564" Type="http://schemas.openxmlformats.org/officeDocument/2006/relationships/hyperlink" Target="https://www.immoscout24.ch/fr/maison/louer/lieu-echallens" TargetMode="External"/><Relationship Id="rId5513" Type="http://schemas.openxmlformats.org/officeDocument/2006/relationships/hyperlink" Target="https://www.immoscout24.ch/fr/maison/acheter/lieu-ligerz" TargetMode="External"/><Relationship Id="rId6844" Type="http://schemas.openxmlformats.org/officeDocument/2006/relationships/hyperlink" Target="https://www.immoscout24.ch/fr/appartement/louer/lieu-lausanne" TargetMode="External"/><Relationship Id="rId563" Type="http://schemas.openxmlformats.org/officeDocument/2006/relationships/hyperlink" Target="https://www.immoscout24.ch/fr/maison/louer/lieu-echallens" TargetMode="External"/><Relationship Id="rId5510" Type="http://schemas.openxmlformats.org/officeDocument/2006/relationships/hyperlink" Target="https://www.immoscout24.ch/fr/appartement/acheter/quartier-jura-fribourg" TargetMode="External"/><Relationship Id="rId6841" Type="http://schemas.openxmlformats.org/officeDocument/2006/relationships/hyperlink" Target="https://www.immoscout24.ch/fr/appartement/louer/lieu-schangnau" TargetMode="External"/><Relationship Id="rId562" Type="http://schemas.openxmlformats.org/officeDocument/2006/relationships/hyperlink" Target="https://www.immoscout24.ch/fr/appartement/louer/quartier-sonvico-lugano" TargetMode="External"/><Relationship Id="rId5511" Type="http://schemas.openxmlformats.org/officeDocument/2006/relationships/hyperlink" Target="https://www.immoscout24.ch/fr/appartement/acheter/lieu-schafisheim" TargetMode="External"/><Relationship Id="rId6842" Type="http://schemas.openxmlformats.org/officeDocument/2006/relationships/hyperlink" Target="https://www.immoscout24.ch/fr/appartement/louer/lieu-schangnau" TargetMode="External"/><Relationship Id="rId5505" Type="http://schemas.openxmlformats.org/officeDocument/2006/relationships/hyperlink" Target="https://www.immoscout24.ch/fr/appartement/louer/region-rhone-arve" TargetMode="External"/><Relationship Id="rId6836" Type="http://schemas.openxmlformats.org/officeDocument/2006/relationships/hyperlink" Target="https://www.immoscout24.ch/fr/maison/louer/lieu-chenens" TargetMode="External"/><Relationship Id="rId5506" Type="http://schemas.openxmlformats.org/officeDocument/2006/relationships/hyperlink" Target="https://www.immoscout24.ch/fr/appartement/louer/region-rhone-arve" TargetMode="External"/><Relationship Id="rId6837" Type="http://schemas.openxmlformats.org/officeDocument/2006/relationships/hyperlink" Target="https://www.immoscout24.ch/fr/maison/acheter/lieu-uster" TargetMode="External"/><Relationship Id="rId5503" Type="http://schemas.openxmlformats.org/officeDocument/2006/relationships/hyperlink" Target="https://www.immoscout24.ch/fr/appartement/acheter/lieu-zuoz" TargetMode="External"/><Relationship Id="rId6834" Type="http://schemas.openxmlformats.org/officeDocument/2006/relationships/hyperlink" Target="https://www.immoscout24.ch/fr/maison/louer/lieu-kerzers" TargetMode="External"/><Relationship Id="rId5504" Type="http://schemas.openxmlformats.org/officeDocument/2006/relationships/hyperlink" Target="https://www.immoscout24.ch/fr/appartement/acheter/lieu-zuoz" TargetMode="External"/><Relationship Id="rId6835" Type="http://schemas.openxmlformats.org/officeDocument/2006/relationships/hyperlink" Target="https://www.immoscout24.ch/fr/maison/louer/lieu-chenens" TargetMode="External"/><Relationship Id="rId5509" Type="http://schemas.openxmlformats.org/officeDocument/2006/relationships/hyperlink" Target="https://www.immoscout24.ch/fr/appartement/acheter/quartier-jura-fribourg" TargetMode="External"/><Relationship Id="rId5507" Type="http://schemas.openxmlformats.org/officeDocument/2006/relationships/hyperlink" Target="https://www.immoscout24.ch/fr/maison/acheter/lieu-breil-brigels" TargetMode="External"/><Relationship Id="rId6838" Type="http://schemas.openxmlformats.org/officeDocument/2006/relationships/hyperlink" Target="https://www.immoscout24.ch/fr/maison/acheter/lieu-uster" TargetMode="External"/><Relationship Id="rId5508" Type="http://schemas.openxmlformats.org/officeDocument/2006/relationships/hyperlink" Target="https://www.immoscout24.ch/fr/maison/acheter/lieu-breil-brigels" TargetMode="External"/><Relationship Id="rId6839" Type="http://schemas.openxmlformats.org/officeDocument/2006/relationships/hyperlink" Target="https://www.immoscout24.ch/fr/maison/acheter/region-thayngen-stein" TargetMode="External"/><Relationship Id="rId558" Type="http://schemas.openxmlformats.org/officeDocument/2006/relationships/hyperlink" Target="https://www.immoscout24.ch/fr/maison/louer/lieu-assens" TargetMode="External"/><Relationship Id="rId557" Type="http://schemas.openxmlformats.org/officeDocument/2006/relationships/hyperlink" Target="https://www.immoscout24.ch/fr/maison/louer/lieu-assens" TargetMode="External"/><Relationship Id="rId556" Type="http://schemas.openxmlformats.org/officeDocument/2006/relationships/hyperlink" Target="https://www.immoscout24.ch/fr/maison/acheter/lieu-bussigny" TargetMode="External"/><Relationship Id="rId555" Type="http://schemas.openxmlformats.org/officeDocument/2006/relationships/hyperlink" Target="https://www.immoscout24.ch/fr/maison/acheter/lieu-bussigny" TargetMode="External"/><Relationship Id="rId559" Type="http://schemas.openxmlformats.org/officeDocument/2006/relationships/hyperlink" Target="https://www.immoscout24.ch/fr/maison/acheter/lieu-gruenenmatt" TargetMode="External"/><Relationship Id="rId550" Type="http://schemas.openxmlformats.org/officeDocument/2006/relationships/hyperlink" Target="https://www.immoscout24.ch/fr/appartement/louer/lieu-treycovagnes" TargetMode="External"/><Relationship Id="rId554" Type="http://schemas.openxmlformats.org/officeDocument/2006/relationships/hyperlink" Target="https://www.immoscout24.ch/fr/appartement/acheter/lieu-therwil" TargetMode="External"/><Relationship Id="rId5501" Type="http://schemas.openxmlformats.org/officeDocument/2006/relationships/hyperlink" Target="https://www.immoscout24.ch/fr/appartement/louer/lieu-beringen" TargetMode="External"/><Relationship Id="rId6832" Type="http://schemas.openxmlformats.org/officeDocument/2006/relationships/hyperlink" Target="https://www.immoscout24.ch/fr/appartement/louer/lieu-burgistein" TargetMode="External"/><Relationship Id="rId553" Type="http://schemas.openxmlformats.org/officeDocument/2006/relationships/hyperlink" Target="https://www.immoscout24.ch/fr/appartement/acheter/lieu-therwil" TargetMode="External"/><Relationship Id="rId5502" Type="http://schemas.openxmlformats.org/officeDocument/2006/relationships/hyperlink" Target="https://www.immoscout24.ch/fr/appartement/louer/lieu-beringen" TargetMode="External"/><Relationship Id="rId6833" Type="http://schemas.openxmlformats.org/officeDocument/2006/relationships/hyperlink" Target="https://www.immoscout24.ch/fr/maison/louer/lieu-kerzers" TargetMode="External"/><Relationship Id="rId552" Type="http://schemas.openxmlformats.org/officeDocument/2006/relationships/hyperlink" Target="https://www.immoscout24.ch/fr/maison/acheter/lieu-chevilly" TargetMode="External"/><Relationship Id="rId6830" Type="http://schemas.openxmlformats.org/officeDocument/2006/relationships/hyperlink" Target="https://www.immoscout24.ch/fr/appartement/louer/lieu-liesberg" TargetMode="External"/><Relationship Id="rId551" Type="http://schemas.openxmlformats.org/officeDocument/2006/relationships/hyperlink" Target="https://www.immoscout24.ch/fr/maison/acheter/lieu-chevilly" TargetMode="External"/><Relationship Id="rId5500" Type="http://schemas.openxmlformats.org/officeDocument/2006/relationships/hyperlink" Target="https://www.immoscout24.ch/fr/maison/louer/lieu-allaman" TargetMode="External"/><Relationship Id="rId6831" Type="http://schemas.openxmlformats.org/officeDocument/2006/relationships/hyperlink" Target="https://www.immoscout24.ch/fr/appartement/louer/lieu-burgistein" TargetMode="External"/><Relationship Id="rId10859" Type="http://schemas.openxmlformats.org/officeDocument/2006/relationships/hyperlink" Target="https://www.immoscout24.ch/fr/maison/acheter/lieu-corminboeuf" TargetMode="External"/><Relationship Id="rId10853" Type="http://schemas.openxmlformats.org/officeDocument/2006/relationships/hyperlink" Target="https://www.immoscout24.ch/fr/appartement/louer/lieu-mettembert" TargetMode="External"/><Relationship Id="rId10854" Type="http://schemas.openxmlformats.org/officeDocument/2006/relationships/hyperlink" Target="https://www.immoscout24.ch/fr/appartement/louer/lieu-mettembert" TargetMode="External"/><Relationship Id="rId4280" Type="http://schemas.openxmlformats.org/officeDocument/2006/relationships/hyperlink" Target="https://www.immoscout24.ch/fr/appartement/louer/lieu-reinach-bl" TargetMode="External"/><Relationship Id="rId10851" Type="http://schemas.openxmlformats.org/officeDocument/2006/relationships/hyperlink" Target="https://www.immoscout24.ch/fr/appartement/louer/lieu-moerel" TargetMode="External"/><Relationship Id="rId10852" Type="http://schemas.openxmlformats.org/officeDocument/2006/relationships/hyperlink" Target="https://www.immoscout24.ch/fr/appartement/louer/lieu-moerel" TargetMode="External"/><Relationship Id="rId4282" Type="http://schemas.openxmlformats.org/officeDocument/2006/relationships/hyperlink" Target="https://www.immoscout24.ch/fr/appartement/acheter/lieu-duedingen" TargetMode="External"/><Relationship Id="rId10857" Type="http://schemas.openxmlformats.org/officeDocument/2006/relationships/hyperlink" Target="https://www.immoscout24.ch/fr/appartement/louer/lieu-belmont-sur-lausanne" TargetMode="External"/><Relationship Id="rId4281" Type="http://schemas.openxmlformats.org/officeDocument/2006/relationships/hyperlink" Target="https://www.immoscout24.ch/fr/appartement/acheter/lieu-duedingen" TargetMode="External"/><Relationship Id="rId10858" Type="http://schemas.openxmlformats.org/officeDocument/2006/relationships/hyperlink" Target="https://www.immoscout24.ch/fr/appartement/louer/lieu-belmont-sur-lausanne" TargetMode="External"/><Relationship Id="rId4284" Type="http://schemas.openxmlformats.org/officeDocument/2006/relationships/hyperlink" Target="https://www.immoscout24.ch/fr/appartement/louer/quartier-liebefeld-koeniz" TargetMode="External"/><Relationship Id="rId10855" Type="http://schemas.openxmlformats.org/officeDocument/2006/relationships/hyperlink" Target="https://www.immoscout24.ch/fr/appartement/louer/lieu-port" TargetMode="External"/><Relationship Id="rId4283" Type="http://schemas.openxmlformats.org/officeDocument/2006/relationships/hyperlink" Target="https://www.immoscout24.ch/fr/appartement/louer/quartier-liebefeld-koeniz" TargetMode="External"/><Relationship Id="rId10856" Type="http://schemas.openxmlformats.org/officeDocument/2006/relationships/hyperlink" Target="https://www.immoscout24.ch/fr/appartement/louer/lieu-port" TargetMode="External"/><Relationship Id="rId4286" Type="http://schemas.openxmlformats.org/officeDocument/2006/relationships/hyperlink" Target="https://www.immoscout24.ch/fr/maison/louer/lieu-cudrefin" TargetMode="External"/><Relationship Id="rId4285" Type="http://schemas.openxmlformats.org/officeDocument/2006/relationships/hyperlink" Target="https://www.immoscout24.ch/fr/maison/louer/lieu-cudrefin" TargetMode="External"/><Relationship Id="rId4288" Type="http://schemas.openxmlformats.org/officeDocument/2006/relationships/hyperlink" Target="https://www.immoscout24.ch/fr/appartement/acheter/lieu-confignon" TargetMode="External"/><Relationship Id="rId4287" Type="http://schemas.openxmlformats.org/officeDocument/2006/relationships/hyperlink" Target="https://www.immoscout24.ch/fr/appartement/acheter/lieu-confignon" TargetMode="External"/><Relationship Id="rId4289" Type="http://schemas.openxmlformats.org/officeDocument/2006/relationships/hyperlink" Target="https://www.immoscout24.ch/fr/appartement/louer/lieu-flanthey" TargetMode="External"/><Relationship Id="rId10850" Type="http://schemas.openxmlformats.org/officeDocument/2006/relationships/hyperlink" Target="https://www.immoscout24.ch/fr/appartement/louer/lieu-tafers" TargetMode="External"/><Relationship Id="rId10864" Type="http://schemas.openxmlformats.org/officeDocument/2006/relationships/hyperlink" Target="https://www.immoscout24.ch/fr/maison/acheter/lieu-font" TargetMode="External"/><Relationship Id="rId10865" Type="http://schemas.openxmlformats.org/officeDocument/2006/relationships/hyperlink" Target="https://www.immoscout24.ch/fr/maison/acheter/lieu-faulensee" TargetMode="External"/><Relationship Id="rId10862" Type="http://schemas.openxmlformats.org/officeDocument/2006/relationships/hyperlink" Target="https://www.immoscout24.ch/fr/maison/louer/lieu-brot-plamboz" TargetMode="External"/><Relationship Id="rId10863" Type="http://schemas.openxmlformats.org/officeDocument/2006/relationships/hyperlink" Target="https://www.immoscout24.ch/fr/maison/acheter/lieu-font" TargetMode="External"/><Relationship Id="rId4271" Type="http://schemas.openxmlformats.org/officeDocument/2006/relationships/hyperlink" Target="https://www.immoscout24.ch/fr/appartement/louer/lieu-iserables" TargetMode="External"/><Relationship Id="rId10868" Type="http://schemas.openxmlformats.org/officeDocument/2006/relationships/hyperlink" Target="https://www.immoscout24.ch/fr/maison/acheter/lieu-montet-broye" TargetMode="External"/><Relationship Id="rId4270" Type="http://schemas.openxmlformats.org/officeDocument/2006/relationships/hyperlink" Target="https://www.immoscout24.ch/fr/appartement/louer/lieu-seiry" TargetMode="External"/><Relationship Id="rId10869" Type="http://schemas.openxmlformats.org/officeDocument/2006/relationships/hyperlink" Target="https://www.immoscout24.ch/fr/maison/acheter/lieu-beinwil-freiamt" TargetMode="External"/><Relationship Id="rId4273" Type="http://schemas.openxmlformats.org/officeDocument/2006/relationships/hyperlink" Target="https://www.immoscout24.ch/fr/appartement/acheter/lieu-muentschemier" TargetMode="External"/><Relationship Id="rId10866" Type="http://schemas.openxmlformats.org/officeDocument/2006/relationships/hyperlink" Target="https://www.immoscout24.ch/fr/maison/acheter/lieu-faulensee" TargetMode="External"/><Relationship Id="rId4272" Type="http://schemas.openxmlformats.org/officeDocument/2006/relationships/hyperlink" Target="https://www.immoscout24.ch/fr/appartement/louer/lieu-iserables" TargetMode="External"/><Relationship Id="rId10867" Type="http://schemas.openxmlformats.org/officeDocument/2006/relationships/hyperlink" Target="https://www.immoscout24.ch/fr/maison/acheter/lieu-montet-broye" TargetMode="External"/><Relationship Id="rId4275" Type="http://schemas.openxmlformats.org/officeDocument/2006/relationships/hyperlink" Target="https://www.immoscout24.ch/fr/maison/acheter/lieu-hofstetten-so" TargetMode="External"/><Relationship Id="rId4274" Type="http://schemas.openxmlformats.org/officeDocument/2006/relationships/hyperlink" Target="https://www.immoscout24.ch/fr/appartement/acheter/lieu-muentschemier" TargetMode="External"/><Relationship Id="rId4277" Type="http://schemas.openxmlformats.org/officeDocument/2006/relationships/hyperlink" Target="https://www.immoscout24.ch/fr/appartement/louer/lieu-arbedo" TargetMode="External"/><Relationship Id="rId4276" Type="http://schemas.openxmlformats.org/officeDocument/2006/relationships/hyperlink" Target="https://www.immoscout24.ch/fr/maison/acheter/lieu-hofstetten-so" TargetMode="External"/><Relationship Id="rId4279" Type="http://schemas.openxmlformats.org/officeDocument/2006/relationships/hyperlink" Target="https://www.immoscout24.ch/fr/appartement/louer/lieu-reinach-bl" TargetMode="External"/><Relationship Id="rId10860" Type="http://schemas.openxmlformats.org/officeDocument/2006/relationships/hyperlink" Target="https://www.immoscout24.ch/fr/maison/acheter/lieu-corminboeuf" TargetMode="External"/><Relationship Id="rId4278" Type="http://schemas.openxmlformats.org/officeDocument/2006/relationships/hyperlink" Target="https://www.immoscout24.ch/fr/appartement/louer/lieu-arbedo" TargetMode="External"/><Relationship Id="rId10861" Type="http://schemas.openxmlformats.org/officeDocument/2006/relationships/hyperlink" Target="https://www.immoscout24.ch/fr/maison/louer/lieu-brot-plamboz" TargetMode="External"/><Relationship Id="rId10839" Type="http://schemas.openxmlformats.org/officeDocument/2006/relationships/hyperlink" Target="https://www.immoscout24.ch/fr/appartement/louer/lieu-guggisberg" TargetMode="External"/><Relationship Id="rId10837" Type="http://schemas.openxmlformats.org/officeDocument/2006/relationships/hyperlink" Target="https://www.immoscout24.ch/fr/appartement/acheter/lieu-fontainemelon" TargetMode="External"/><Relationship Id="rId10838" Type="http://schemas.openxmlformats.org/officeDocument/2006/relationships/hyperlink" Target="https://www.immoscout24.ch/fr/appartement/acheter/lieu-fontainemelon" TargetMode="External"/><Relationship Id="rId10831" Type="http://schemas.openxmlformats.org/officeDocument/2006/relationships/hyperlink" Target="https://www.immoscout24.ch/fr/appartement/louer/lieu-tentlingen" TargetMode="External"/><Relationship Id="rId10832" Type="http://schemas.openxmlformats.org/officeDocument/2006/relationships/hyperlink" Target="https://www.immoscout24.ch/fr/appartement/louer/lieu-tentlingen" TargetMode="External"/><Relationship Id="rId10830" Type="http://schemas.openxmlformats.org/officeDocument/2006/relationships/hyperlink" Target="https://www.immoscout24.ch/fr/maison/acheter/lieu-monnaz" TargetMode="External"/><Relationship Id="rId10835" Type="http://schemas.openxmlformats.org/officeDocument/2006/relationships/hyperlink" Target="https://www.immoscout24.ch/fr/maison/louer/lieu-chapelle-glane" TargetMode="External"/><Relationship Id="rId10836" Type="http://schemas.openxmlformats.org/officeDocument/2006/relationships/hyperlink" Target="https://www.immoscout24.ch/fr/maison/louer/lieu-chapelle-glane" TargetMode="External"/><Relationship Id="rId10833" Type="http://schemas.openxmlformats.org/officeDocument/2006/relationships/hyperlink" Target="https://www.immoscout24.ch/fr/maison/acheter/lieu-safnern" TargetMode="External"/><Relationship Id="rId10834" Type="http://schemas.openxmlformats.org/officeDocument/2006/relationships/hyperlink" Target="https://www.immoscout24.ch/fr/maison/acheter/lieu-safnern" TargetMode="External"/><Relationship Id="rId10848" Type="http://schemas.openxmlformats.org/officeDocument/2006/relationships/hyperlink" Target="https://www.immoscout24.ch/fr/maison/louer/lieu-vercorin" TargetMode="External"/><Relationship Id="rId10849" Type="http://schemas.openxmlformats.org/officeDocument/2006/relationships/hyperlink" Target="https://www.immoscout24.ch/fr/appartement/louer/lieu-tafers" TargetMode="External"/><Relationship Id="rId10842" Type="http://schemas.openxmlformats.org/officeDocument/2006/relationships/hyperlink" Target="https://www.immoscout24.ch/fr/maison/acheter/lieu-buchs-ag" TargetMode="External"/><Relationship Id="rId10843" Type="http://schemas.openxmlformats.org/officeDocument/2006/relationships/hyperlink" Target="https://www.immoscout24.ch/fr/maison/louer/lieu-weingarten-kalthaeusern" TargetMode="External"/><Relationship Id="rId4291" Type="http://schemas.openxmlformats.org/officeDocument/2006/relationships/hyperlink" Target="https://www.immoscout24.ch/fr/maison/acheter/lieu-prahins" TargetMode="External"/><Relationship Id="rId10840" Type="http://schemas.openxmlformats.org/officeDocument/2006/relationships/hyperlink" Target="https://www.immoscout24.ch/fr/appartement/louer/lieu-guggisberg" TargetMode="External"/><Relationship Id="rId4290" Type="http://schemas.openxmlformats.org/officeDocument/2006/relationships/hyperlink" Target="https://www.immoscout24.ch/fr/appartement/louer/lieu-flanthey" TargetMode="External"/><Relationship Id="rId10841" Type="http://schemas.openxmlformats.org/officeDocument/2006/relationships/hyperlink" Target="https://www.immoscout24.ch/fr/maison/acheter/lieu-buchs-ag" TargetMode="External"/><Relationship Id="rId4293" Type="http://schemas.openxmlformats.org/officeDocument/2006/relationships/hyperlink" Target="https://www.immoscout24.ch/fr/appartement/acheter/lieu-sonceboz-sombeval" TargetMode="External"/><Relationship Id="rId10846" Type="http://schemas.openxmlformats.org/officeDocument/2006/relationships/hyperlink" Target="https://www.immoscout24.ch/fr/maison/louer/lieu-troinex" TargetMode="External"/><Relationship Id="rId4292" Type="http://schemas.openxmlformats.org/officeDocument/2006/relationships/hyperlink" Target="https://www.immoscout24.ch/fr/maison/acheter/lieu-prahins" TargetMode="External"/><Relationship Id="rId10847" Type="http://schemas.openxmlformats.org/officeDocument/2006/relationships/hyperlink" Target="https://www.immoscout24.ch/fr/maison/louer/lieu-vercorin" TargetMode="External"/><Relationship Id="rId4295" Type="http://schemas.openxmlformats.org/officeDocument/2006/relationships/hyperlink" Target="https://www.immoscout24.ch/fr/appartement/louer/lieu-riniken" TargetMode="External"/><Relationship Id="rId10844" Type="http://schemas.openxmlformats.org/officeDocument/2006/relationships/hyperlink" Target="https://www.immoscout24.ch/fr/maison/louer/lieu-weingarten-kalthaeusern" TargetMode="External"/><Relationship Id="rId4294" Type="http://schemas.openxmlformats.org/officeDocument/2006/relationships/hyperlink" Target="https://www.immoscout24.ch/fr/appartement/acheter/lieu-sonceboz-sombeval" TargetMode="External"/><Relationship Id="rId10845" Type="http://schemas.openxmlformats.org/officeDocument/2006/relationships/hyperlink" Target="https://www.immoscout24.ch/fr/maison/louer/lieu-troinex" TargetMode="External"/><Relationship Id="rId4297" Type="http://schemas.openxmlformats.org/officeDocument/2006/relationships/hyperlink" Target="https://www.immoscout24.ch/fr/maison/louer/lieu-travers" TargetMode="External"/><Relationship Id="rId4296" Type="http://schemas.openxmlformats.org/officeDocument/2006/relationships/hyperlink" Target="https://www.immoscout24.ch/fr/appartement/louer/lieu-riniken" TargetMode="External"/><Relationship Id="rId4299" Type="http://schemas.openxmlformats.org/officeDocument/2006/relationships/hyperlink" Target="https://www.immoscout24.ch/fr/maison/acheter/lieu-hilterfingen" TargetMode="External"/><Relationship Id="rId4298" Type="http://schemas.openxmlformats.org/officeDocument/2006/relationships/hyperlink" Target="https://www.immoscout24.ch/fr/maison/louer/lieu-travers" TargetMode="External"/><Relationship Id="rId4249" Type="http://schemas.openxmlformats.org/officeDocument/2006/relationships/hyperlink" Target="https://www.immoscout24.ch/fr/maison/louer/lieu-buix" TargetMode="External"/><Relationship Id="rId10897" Type="http://schemas.openxmlformats.org/officeDocument/2006/relationships/hyperlink" Target="https://www.immoscout24.ch/fr/appartement/louer/lieu-sonceboz-sombeval" TargetMode="External"/><Relationship Id="rId10898" Type="http://schemas.openxmlformats.org/officeDocument/2006/relationships/hyperlink" Target="https://www.immoscout24.ch/fr/appartement/louer/lieu-sonceboz-sombeval" TargetMode="External"/><Relationship Id="rId10895" Type="http://schemas.openxmlformats.org/officeDocument/2006/relationships/hyperlink" Target="https://www.immoscout24.ch/fr/maison/acheter/lieu-muenchenbuchsee" TargetMode="External"/><Relationship Id="rId10896" Type="http://schemas.openxmlformats.org/officeDocument/2006/relationships/hyperlink" Target="https://www.immoscout24.ch/fr/maison/acheter/lieu-muenchenbuchsee" TargetMode="External"/><Relationship Id="rId5570" Type="http://schemas.openxmlformats.org/officeDocument/2006/relationships/hyperlink" Target="https://www.immoscout24.ch/fr/appartement/acheter/lieu-genolier" TargetMode="External"/><Relationship Id="rId5571" Type="http://schemas.openxmlformats.org/officeDocument/2006/relationships/hyperlink" Target="https://www.immoscout24.ch/fr/appartement/louer/lieu-sachseln" TargetMode="External"/><Relationship Id="rId4240" Type="http://schemas.openxmlformats.org/officeDocument/2006/relationships/hyperlink" Target="https://www.immoscout24.ch/fr/appartement/louer/lieu-buelach" TargetMode="External"/><Relationship Id="rId10899" Type="http://schemas.openxmlformats.org/officeDocument/2006/relationships/hyperlink" Target="https://www.immoscout24.ch/fr/maison/acheter/lieu-mont-la-ville" TargetMode="External"/><Relationship Id="rId4242" Type="http://schemas.openxmlformats.org/officeDocument/2006/relationships/hyperlink" Target="https://www.immoscout24.ch/fr/maison/acheter/lieu-brent" TargetMode="External"/><Relationship Id="rId5574" Type="http://schemas.openxmlformats.org/officeDocument/2006/relationships/hyperlink" Target="https://www.immoscout24.ch/fr/maison/acheter/lieu-massongex" TargetMode="External"/><Relationship Id="rId4241" Type="http://schemas.openxmlformats.org/officeDocument/2006/relationships/hyperlink" Target="https://www.immoscout24.ch/fr/maison/acheter/lieu-brent" TargetMode="External"/><Relationship Id="rId5575" Type="http://schemas.openxmlformats.org/officeDocument/2006/relationships/hyperlink" Target="https://www.immoscout24.ch/fr/appartement/louer/lieu-schoenried" TargetMode="External"/><Relationship Id="rId10890" Type="http://schemas.openxmlformats.org/officeDocument/2006/relationships/hyperlink" Target="https://www.immoscout24.ch/fr/maison/acheter/lieu-stalden-vs" TargetMode="External"/><Relationship Id="rId4244" Type="http://schemas.openxmlformats.org/officeDocument/2006/relationships/hyperlink" Target="https://www.immoscout24.ch/fr/appartement/louer/canton-bale-ville" TargetMode="External"/><Relationship Id="rId5572" Type="http://schemas.openxmlformats.org/officeDocument/2006/relationships/hyperlink" Target="https://www.immoscout24.ch/fr/appartement/louer/lieu-sachseln" TargetMode="External"/><Relationship Id="rId4243" Type="http://schemas.openxmlformats.org/officeDocument/2006/relationships/hyperlink" Target="https://www.immoscout24.ch/fr/appartement/louer/canton-bale-ville" TargetMode="External"/><Relationship Id="rId5573" Type="http://schemas.openxmlformats.org/officeDocument/2006/relationships/hyperlink" Target="https://www.immoscout24.ch/fr/maison/acheter/lieu-massongex" TargetMode="External"/><Relationship Id="rId4246" Type="http://schemas.openxmlformats.org/officeDocument/2006/relationships/hyperlink" Target="https://www.immoscout24.ch/fr/appartement/acheter/lieu-goumoens-la-ville" TargetMode="External"/><Relationship Id="rId5578" Type="http://schemas.openxmlformats.org/officeDocument/2006/relationships/hyperlink" Target="https://www.immoscout24.ch/fr/appartement/louer/lieu-wangen-sz" TargetMode="External"/><Relationship Id="rId10893" Type="http://schemas.openxmlformats.org/officeDocument/2006/relationships/hyperlink" Target="https://www.immoscout24.ch/fr/maison/acheter/lieu-avry-devant-pont" TargetMode="External"/><Relationship Id="rId4245" Type="http://schemas.openxmlformats.org/officeDocument/2006/relationships/hyperlink" Target="https://www.immoscout24.ch/fr/appartement/acheter/lieu-goumoens-la-ville" TargetMode="External"/><Relationship Id="rId5579" Type="http://schemas.openxmlformats.org/officeDocument/2006/relationships/hyperlink" Target="https://www.immoscout24.ch/fr/appartement/louer/lieu-la-cure" TargetMode="External"/><Relationship Id="rId10894" Type="http://schemas.openxmlformats.org/officeDocument/2006/relationships/hyperlink" Target="https://www.immoscout24.ch/fr/maison/acheter/lieu-avry-devant-pont" TargetMode="External"/><Relationship Id="rId4248" Type="http://schemas.openxmlformats.org/officeDocument/2006/relationships/hyperlink" Target="https://www.immoscout24.ch/fr/appartement/louer/lieu-gossau-sg" TargetMode="External"/><Relationship Id="rId5576" Type="http://schemas.openxmlformats.org/officeDocument/2006/relationships/hyperlink" Target="https://www.immoscout24.ch/fr/appartement/louer/lieu-schoenried" TargetMode="External"/><Relationship Id="rId10891" Type="http://schemas.openxmlformats.org/officeDocument/2006/relationships/hyperlink" Target="https://www.immoscout24.ch/fr/maison/acheter/lieu-la-rippe" TargetMode="External"/><Relationship Id="rId4247" Type="http://schemas.openxmlformats.org/officeDocument/2006/relationships/hyperlink" Target="https://www.immoscout24.ch/fr/appartement/louer/lieu-gossau-sg" TargetMode="External"/><Relationship Id="rId5577" Type="http://schemas.openxmlformats.org/officeDocument/2006/relationships/hyperlink" Target="https://www.immoscout24.ch/fr/appartement/louer/lieu-wangen-sz" TargetMode="External"/><Relationship Id="rId10892" Type="http://schemas.openxmlformats.org/officeDocument/2006/relationships/hyperlink" Target="https://www.immoscout24.ch/fr/maison/acheter/lieu-la-rippe" TargetMode="External"/><Relationship Id="rId4239" Type="http://schemas.openxmlformats.org/officeDocument/2006/relationships/hyperlink" Target="https://www.immoscout24.ch/fr/appartement/louer/lieu-buelach" TargetMode="External"/><Relationship Id="rId4238" Type="http://schemas.openxmlformats.org/officeDocument/2006/relationships/hyperlink" Target="https://www.immoscout24.ch/fr/appartement/acheter/lieu-aproz-nendaz" TargetMode="External"/><Relationship Id="rId5569" Type="http://schemas.openxmlformats.org/officeDocument/2006/relationships/hyperlink" Target="https://www.immoscout24.ch/fr/appartement/acheter/lieu-genolier" TargetMode="External"/><Relationship Id="rId6890" Type="http://schemas.openxmlformats.org/officeDocument/2006/relationships/hyperlink" Target="https://www.immoscout24.ch/fr/appartement/louer/lieu-donatyre" TargetMode="External"/><Relationship Id="rId5560" Type="http://schemas.openxmlformats.org/officeDocument/2006/relationships/hyperlink" Target="https://www.immoscout24.ch/fr/maison/acheter/lieu-crassier" TargetMode="External"/><Relationship Id="rId6891" Type="http://schemas.openxmlformats.org/officeDocument/2006/relationships/hyperlink" Target="https://www.immoscout24.ch/fr/appartement/louer/region-oberland-est" TargetMode="External"/><Relationship Id="rId495" Type="http://schemas.openxmlformats.org/officeDocument/2006/relationships/hyperlink" Target="https://www.immoscout24.ch/fr/maison/louer/lieu-chardonne" TargetMode="External"/><Relationship Id="rId4231" Type="http://schemas.openxmlformats.org/officeDocument/2006/relationships/hyperlink" Target="https://www.immoscout24.ch/fr/maison/louer/lieu-chevroux" TargetMode="External"/><Relationship Id="rId5563" Type="http://schemas.openxmlformats.org/officeDocument/2006/relationships/hyperlink" Target="https://www.immoscout24.ch/fr/appartement/louer/lieu-grone2%20pieces" TargetMode="External"/><Relationship Id="rId6894" Type="http://schemas.openxmlformats.org/officeDocument/2006/relationships/hyperlink" Target="https://www.immoscout24.ch/fr/appartement/louer/lieu-sulz-ag" TargetMode="External"/><Relationship Id="rId494" Type="http://schemas.openxmlformats.org/officeDocument/2006/relationships/hyperlink" Target="https://www.immoscout24.ch/fr/appartement/louer/lieu-leukerbad" TargetMode="External"/><Relationship Id="rId4230" Type="http://schemas.openxmlformats.org/officeDocument/2006/relationships/hyperlink" Target="https://www.immoscout24.ch/fr/maison/acheter/lieu-chavannes-des-bois" TargetMode="External"/><Relationship Id="rId5564" Type="http://schemas.openxmlformats.org/officeDocument/2006/relationships/hyperlink" Target="https://www.immoscout24.ch/fr/appartement/louer/lieu-grone2%20pieces" TargetMode="External"/><Relationship Id="rId6895" Type="http://schemas.openxmlformats.org/officeDocument/2006/relationships/hyperlink" Target="https://www.immoscout24.ch/fr/appartement/louer/lieu-bretigny-sur-morrens" TargetMode="External"/><Relationship Id="rId493" Type="http://schemas.openxmlformats.org/officeDocument/2006/relationships/hyperlink" Target="https://www.immoscout24.ch/fr/appartement/louer/lieu-leukerbad" TargetMode="External"/><Relationship Id="rId4233" Type="http://schemas.openxmlformats.org/officeDocument/2006/relationships/hyperlink" Target="https://www.immoscout24.ch/fr/appartement/louer/lieu-schwarzenbach-sg" TargetMode="External"/><Relationship Id="rId5561" Type="http://schemas.openxmlformats.org/officeDocument/2006/relationships/hyperlink" Target="https://www.immoscout24.ch/fr/maison/louer/lieu-langenthal" TargetMode="External"/><Relationship Id="rId6892" Type="http://schemas.openxmlformats.org/officeDocument/2006/relationships/hyperlink" Target="https://www.immoscout24.ch/fr/appartement/louer/region-oberland-est" TargetMode="External"/><Relationship Id="rId492" Type="http://schemas.openxmlformats.org/officeDocument/2006/relationships/hyperlink" Target="https://www.immoscout24.ch/fr/appartement/acheter/lieu-baech-sz" TargetMode="External"/><Relationship Id="rId4232" Type="http://schemas.openxmlformats.org/officeDocument/2006/relationships/hyperlink" Target="https://www.immoscout24.ch/fr/maison/louer/lieu-chevroux" TargetMode="External"/><Relationship Id="rId5562" Type="http://schemas.openxmlformats.org/officeDocument/2006/relationships/hyperlink" Target="https://www.immoscout24.ch/fr/maison/louer/lieu-langenthal" TargetMode="External"/><Relationship Id="rId6893" Type="http://schemas.openxmlformats.org/officeDocument/2006/relationships/hyperlink" Target="https://www.immoscout24.ch/fr/appartement/louer/lieu-sulz-ag" TargetMode="External"/><Relationship Id="rId499" Type="http://schemas.openxmlformats.org/officeDocument/2006/relationships/hyperlink" Target="https://www.immoscout24.ch/fr/appartement/acheter/lieu-villars-ste-croix" TargetMode="External"/><Relationship Id="rId4235" Type="http://schemas.openxmlformats.org/officeDocument/2006/relationships/hyperlink" Target="https://www.immoscout24.ch/fr/appartement/acheter/lieu-mund" TargetMode="External"/><Relationship Id="rId5567" Type="http://schemas.openxmlformats.org/officeDocument/2006/relationships/hyperlink" Target="https://www.immoscout24.ch/fr/appartement/louer/lieu-oppens" TargetMode="External"/><Relationship Id="rId6898" Type="http://schemas.openxmlformats.org/officeDocument/2006/relationships/hyperlink" Target="https://www.immoscout24.ch/fr/maison/louer/lieu-volleges" TargetMode="External"/><Relationship Id="rId498" Type="http://schemas.openxmlformats.org/officeDocument/2006/relationships/hyperlink" Target="https://www.immoscout24.ch/fr/maison/acheter/quartier-jura-fribourg" TargetMode="External"/><Relationship Id="rId4234" Type="http://schemas.openxmlformats.org/officeDocument/2006/relationships/hyperlink" Target="https://www.immoscout24.ch/fr/appartement/louer/lieu-schwarzenbach-sg" TargetMode="External"/><Relationship Id="rId5568" Type="http://schemas.openxmlformats.org/officeDocument/2006/relationships/hyperlink" Target="https://www.immoscout24.ch/fr/appartement/louer/lieu-oppens" TargetMode="External"/><Relationship Id="rId6899" Type="http://schemas.openxmlformats.org/officeDocument/2006/relationships/hyperlink" Target="https://www.immoscout24.ch/fr/appartement/acheter/lieu-evilard" TargetMode="External"/><Relationship Id="rId497" Type="http://schemas.openxmlformats.org/officeDocument/2006/relationships/hyperlink" Target="https://www.immoscout24.ch/fr/maison/acheter/quartier-jura-fribourg" TargetMode="External"/><Relationship Id="rId4237" Type="http://schemas.openxmlformats.org/officeDocument/2006/relationships/hyperlink" Target="https://www.immoscout24.ch/fr/appartement/acheter/lieu-aproz-nendaz" TargetMode="External"/><Relationship Id="rId5565" Type="http://schemas.openxmlformats.org/officeDocument/2006/relationships/hyperlink" Target="https://www.immoscout24.ch/fr/appartement/louer/quartier-wuerzenbach-schaedrueti-lucerne" TargetMode="External"/><Relationship Id="rId6896" Type="http://schemas.openxmlformats.org/officeDocument/2006/relationships/hyperlink" Target="https://www.immoscout24.ch/fr/appartement/louer/lieu-bretigny-sur-morrens" TargetMode="External"/><Relationship Id="rId496" Type="http://schemas.openxmlformats.org/officeDocument/2006/relationships/hyperlink" Target="https://www.immoscout24.ch/fr/maison/louer/lieu-chardonne" TargetMode="External"/><Relationship Id="rId4236" Type="http://schemas.openxmlformats.org/officeDocument/2006/relationships/hyperlink" Target="https://www.immoscout24.ch/fr/appartement/acheter/lieu-mund" TargetMode="External"/><Relationship Id="rId5566" Type="http://schemas.openxmlformats.org/officeDocument/2006/relationships/hyperlink" Target="https://www.immoscout24.ch/fr/appartement/louer/quartier-wuerzenbach-schaedrueti-lucerne" TargetMode="External"/><Relationship Id="rId6897" Type="http://schemas.openxmlformats.org/officeDocument/2006/relationships/hyperlink" Target="https://www.immoscout24.ch/fr/maison/louer/lieu-volleges" TargetMode="External"/><Relationship Id="rId10875" Type="http://schemas.openxmlformats.org/officeDocument/2006/relationships/hyperlink" Target="https://www.immoscout24.ch/fr/maison/acheter/lieu-crans-montana" TargetMode="External"/><Relationship Id="rId10876" Type="http://schemas.openxmlformats.org/officeDocument/2006/relationships/hyperlink" Target="https://www.immoscout24.ch/fr/maison/acheter/lieu-crans-montana" TargetMode="External"/><Relationship Id="rId10873" Type="http://schemas.openxmlformats.org/officeDocument/2006/relationships/hyperlink" Target="https://www.immoscout24.ch/fr/appartement/louer/lieu-sassel" TargetMode="External"/><Relationship Id="rId10874" Type="http://schemas.openxmlformats.org/officeDocument/2006/relationships/hyperlink" Target="https://www.immoscout24.ch/fr/appartement/louer/lieu-sassel" TargetMode="External"/><Relationship Id="rId4260" Type="http://schemas.openxmlformats.org/officeDocument/2006/relationships/hyperlink" Target="https://www.immoscout24.ch/fr/maison/acheter/lieu-boll" TargetMode="External"/><Relationship Id="rId5592" Type="http://schemas.openxmlformats.org/officeDocument/2006/relationships/hyperlink" Target="https://www.immoscout24.ch/fr/appartement/louer/lieu-mendrisio" TargetMode="External"/><Relationship Id="rId10879" Type="http://schemas.openxmlformats.org/officeDocument/2006/relationships/hyperlink" Target="https://www.immoscout24.ch/fr/maison/acheter/lieu-gryon" TargetMode="External"/><Relationship Id="rId5593" Type="http://schemas.openxmlformats.org/officeDocument/2006/relationships/hyperlink" Target="https://www.immoscout24.ch/fr/appartement/acheter/lieu-caslano" TargetMode="External"/><Relationship Id="rId4262" Type="http://schemas.openxmlformats.org/officeDocument/2006/relationships/hyperlink" Target="https://www.immoscout24.ch/fr/appartement/louer/lieu-leuk-stadt" TargetMode="External"/><Relationship Id="rId5590" Type="http://schemas.openxmlformats.org/officeDocument/2006/relationships/hyperlink" Target="https://www.immoscout24.ch/fr/appartement/acheter/quartier-croix-federale-la-chaux-de-fonds" TargetMode="External"/><Relationship Id="rId10877" Type="http://schemas.openxmlformats.org/officeDocument/2006/relationships/hyperlink" Target="https://www.immoscout24.ch/fr/appartement/acheter/region-aigle-alpes-vaudoises" TargetMode="External"/><Relationship Id="rId4261" Type="http://schemas.openxmlformats.org/officeDocument/2006/relationships/hyperlink" Target="https://www.immoscout24.ch/fr/appartement/louer/lieu-leuk-stadt" TargetMode="External"/><Relationship Id="rId5591" Type="http://schemas.openxmlformats.org/officeDocument/2006/relationships/hyperlink" Target="https://www.immoscout24.ch/fr/appartement/louer/lieu-mendrisio" TargetMode="External"/><Relationship Id="rId10878" Type="http://schemas.openxmlformats.org/officeDocument/2006/relationships/hyperlink" Target="https://www.immoscout24.ch/fr/appartement/acheter/region-aigle-alpes-vaudoises" TargetMode="External"/><Relationship Id="rId4264" Type="http://schemas.openxmlformats.org/officeDocument/2006/relationships/hyperlink" Target="https://www.immoscout24.ch/fr/appartement/louer/region-ayent" TargetMode="External"/><Relationship Id="rId5596" Type="http://schemas.openxmlformats.org/officeDocument/2006/relationships/hyperlink" Target="https://www.immoscout24.ch/fr/appartement/louer/lieu-klosters" TargetMode="External"/><Relationship Id="rId4263" Type="http://schemas.openxmlformats.org/officeDocument/2006/relationships/hyperlink" Target="https://www.immoscout24.ch/fr/appartement/louer/region-ayent" TargetMode="External"/><Relationship Id="rId5597" Type="http://schemas.openxmlformats.org/officeDocument/2006/relationships/hyperlink" Target="https://www.immoscout24.ch/fr/maison/louer/lieu-willisau" TargetMode="External"/><Relationship Id="rId4266" Type="http://schemas.openxmlformats.org/officeDocument/2006/relationships/hyperlink" Target="https://www.immoscout24.ch/fr/appartement/louer/lieu-commugny" TargetMode="External"/><Relationship Id="rId5594" Type="http://schemas.openxmlformats.org/officeDocument/2006/relationships/hyperlink" Target="https://www.immoscout24.ch/fr/appartement/acheter/lieu-caslano" TargetMode="External"/><Relationship Id="rId4265" Type="http://schemas.openxmlformats.org/officeDocument/2006/relationships/hyperlink" Target="https://www.immoscout24.ch/fr/appartement/louer/lieu-commugny" TargetMode="External"/><Relationship Id="rId5595" Type="http://schemas.openxmlformats.org/officeDocument/2006/relationships/hyperlink" Target="https://www.immoscout24.ch/fr/appartement/louer/lieu-klosters" TargetMode="External"/><Relationship Id="rId4268" Type="http://schemas.openxmlformats.org/officeDocument/2006/relationships/hyperlink" Target="https://www.immoscout24.ch/fr/appartement/louer/lieu-rossenges" TargetMode="External"/><Relationship Id="rId10871" Type="http://schemas.openxmlformats.org/officeDocument/2006/relationships/hyperlink" Target="https://www.immoscout24.ch/fr/appartement/louer/quartier-guggenbuehl-winterthur" TargetMode="External"/><Relationship Id="rId4267" Type="http://schemas.openxmlformats.org/officeDocument/2006/relationships/hyperlink" Target="https://www.immoscout24.ch/fr/appartement/louer/lieu-rossenges" TargetMode="External"/><Relationship Id="rId10872" Type="http://schemas.openxmlformats.org/officeDocument/2006/relationships/hyperlink" Target="https://www.immoscout24.ch/fr/appartement/louer/quartier-guggenbuehl-winterthur" TargetMode="External"/><Relationship Id="rId5598" Type="http://schemas.openxmlformats.org/officeDocument/2006/relationships/hyperlink" Target="https://www.immoscout24.ch/fr/maison/louer/lieu-willisau" TargetMode="External"/><Relationship Id="rId4269" Type="http://schemas.openxmlformats.org/officeDocument/2006/relationships/hyperlink" Target="https://www.immoscout24.ch/fr/appartement/louer/lieu-seiry" TargetMode="External"/><Relationship Id="rId5599" Type="http://schemas.openxmlformats.org/officeDocument/2006/relationships/hyperlink" Target="https://www.immoscout24.ch/fr/appartement/acheter/lieu-rosshaeusern" TargetMode="External"/><Relationship Id="rId10870" Type="http://schemas.openxmlformats.org/officeDocument/2006/relationships/hyperlink" Target="https://www.immoscout24.ch/fr/maison/acheter/lieu-beinwil-freiamt" TargetMode="External"/><Relationship Id="rId10886" Type="http://schemas.openxmlformats.org/officeDocument/2006/relationships/hyperlink" Target="https://www.immoscout24.ch/fr/maison/acheter/lieu-poliez-pittet" TargetMode="External"/><Relationship Id="rId10887" Type="http://schemas.openxmlformats.org/officeDocument/2006/relationships/hyperlink" Target="https://www.immoscout24.ch/fr/maison/acheter/lieu-quartino" TargetMode="External"/><Relationship Id="rId10884" Type="http://schemas.openxmlformats.org/officeDocument/2006/relationships/hyperlink" Target="https://www.immoscout24.ch/fr/appartement/louer/lieu-choex" TargetMode="External"/><Relationship Id="rId10885" Type="http://schemas.openxmlformats.org/officeDocument/2006/relationships/hyperlink" Target="https://www.immoscout24.ch/fr/maison/acheter/lieu-poliez-pittet" TargetMode="External"/><Relationship Id="rId5581" Type="http://schemas.openxmlformats.org/officeDocument/2006/relationships/hyperlink" Target="https://www.immoscout24.ch/fr/appartement/louer/lieu-aumont" TargetMode="External"/><Relationship Id="rId5582" Type="http://schemas.openxmlformats.org/officeDocument/2006/relationships/hyperlink" Target="https://www.immoscout24.ch/fr/appartement/louer/lieu-aumont" TargetMode="External"/><Relationship Id="rId4251" Type="http://schemas.openxmlformats.org/officeDocument/2006/relationships/hyperlink" Target="https://www.immoscout24.ch/fr/appartement/louer/lieu-rigi-kaltbad" TargetMode="External"/><Relationship Id="rId10888" Type="http://schemas.openxmlformats.org/officeDocument/2006/relationships/hyperlink" Target="https://www.immoscout24.ch/fr/maison/acheter/lieu-quartino" TargetMode="External"/><Relationship Id="rId4250" Type="http://schemas.openxmlformats.org/officeDocument/2006/relationships/hyperlink" Target="https://www.immoscout24.ch/fr/maison/louer/lieu-buix" TargetMode="External"/><Relationship Id="rId5580" Type="http://schemas.openxmlformats.org/officeDocument/2006/relationships/hyperlink" Target="https://www.immoscout24.ch/fr/appartement/louer/lieu-la-cure" TargetMode="External"/><Relationship Id="rId10889" Type="http://schemas.openxmlformats.org/officeDocument/2006/relationships/hyperlink" Target="https://www.immoscout24.ch/fr/maison/acheter/lieu-stalden-vs" TargetMode="External"/><Relationship Id="rId4253" Type="http://schemas.openxmlformats.org/officeDocument/2006/relationships/hyperlink" Target="https://www.immoscout24.ch/fr/maison/acheter/lieu-pompaples" TargetMode="External"/><Relationship Id="rId5585" Type="http://schemas.openxmlformats.org/officeDocument/2006/relationships/hyperlink" Target="https://www.immoscout24.ch/fr/maison/acheter/pays-mexique" TargetMode="External"/><Relationship Id="rId4252" Type="http://schemas.openxmlformats.org/officeDocument/2006/relationships/hyperlink" Target="https://www.immoscout24.ch/fr/appartement/louer/lieu-rigi-kaltbad" TargetMode="External"/><Relationship Id="rId5586" Type="http://schemas.openxmlformats.org/officeDocument/2006/relationships/hyperlink" Target="https://www.immoscout24.ch/fr/maison/acheter/pays-mexique" TargetMode="External"/><Relationship Id="rId4255" Type="http://schemas.openxmlformats.org/officeDocument/2006/relationships/hyperlink" Target="https://www.immoscout24.ch/fr/appartement/louer/quartier-bre-lugano" TargetMode="External"/><Relationship Id="rId5583" Type="http://schemas.openxmlformats.org/officeDocument/2006/relationships/hyperlink" Target="https://www.immoscout24.ch/fr/appartement/louer/lieu-luzern" TargetMode="External"/><Relationship Id="rId4254" Type="http://schemas.openxmlformats.org/officeDocument/2006/relationships/hyperlink" Target="https://www.immoscout24.ch/fr/maison/acheter/lieu-pompaples" TargetMode="External"/><Relationship Id="rId5584" Type="http://schemas.openxmlformats.org/officeDocument/2006/relationships/hyperlink" Target="https://www.immoscout24.ch/fr/appartement/louer/lieu-luzern" TargetMode="External"/><Relationship Id="rId4257" Type="http://schemas.openxmlformats.org/officeDocument/2006/relationships/hyperlink" Target="https://www.immoscout24.ch/fr/maison/acheter/lieu-luthern" TargetMode="External"/><Relationship Id="rId5589" Type="http://schemas.openxmlformats.org/officeDocument/2006/relationships/hyperlink" Target="https://www.immoscout24.ch/fr/appartement/acheter/quartier-croix-federale-la-chaux-de-fonds" TargetMode="External"/><Relationship Id="rId10882" Type="http://schemas.openxmlformats.org/officeDocument/2006/relationships/hyperlink" Target="https://www.immoscout24.ch/fr/appartement/acheter/pays-portugal" TargetMode="External"/><Relationship Id="rId4256" Type="http://schemas.openxmlformats.org/officeDocument/2006/relationships/hyperlink" Target="https://www.immoscout24.ch/fr/appartement/louer/quartier-bre-lugano" TargetMode="External"/><Relationship Id="rId10883" Type="http://schemas.openxmlformats.org/officeDocument/2006/relationships/hyperlink" Target="https://www.immoscout24.ch/fr/appartement/louer/lieu-choex" TargetMode="External"/><Relationship Id="rId4259" Type="http://schemas.openxmlformats.org/officeDocument/2006/relationships/hyperlink" Target="https://www.immoscout24.ch/fr/maison/acheter/lieu-boll" TargetMode="External"/><Relationship Id="rId5587" Type="http://schemas.openxmlformats.org/officeDocument/2006/relationships/hyperlink" Target="https://www.immoscout24.ch/fr/maison/acheter/lieu-magglingen-macolin" TargetMode="External"/><Relationship Id="rId10880" Type="http://schemas.openxmlformats.org/officeDocument/2006/relationships/hyperlink" Target="https://www.immoscout24.ch/fr/maison/acheter/lieu-gryon" TargetMode="External"/><Relationship Id="rId4258" Type="http://schemas.openxmlformats.org/officeDocument/2006/relationships/hyperlink" Target="https://www.immoscout24.ch/fr/maison/acheter/lieu-luthern" TargetMode="External"/><Relationship Id="rId5588" Type="http://schemas.openxmlformats.org/officeDocument/2006/relationships/hyperlink" Target="https://www.immoscout24.ch/fr/maison/acheter/lieu-magglingen-macolin" TargetMode="External"/><Relationship Id="rId10881" Type="http://schemas.openxmlformats.org/officeDocument/2006/relationships/hyperlink" Target="https://www.immoscout24.ch/fr/appartement/acheter/pays-portugal" TargetMode="External"/><Relationship Id="rId10817" Type="http://schemas.openxmlformats.org/officeDocument/2006/relationships/hyperlink" Target="https://www.immoscout24.ch/fr/maison/acheter/lieu-fruthwilen" TargetMode="External"/><Relationship Id="rId10818" Type="http://schemas.openxmlformats.org/officeDocument/2006/relationships/hyperlink" Target="https://www.immoscout24.ch/fr/maison/acheter/lieu-fruthwilen" TargetMode="External"/><Relationship Id="rId10815" Type="http://schemas.openxmlformats.org/officeDocument/2006/relationships/hyperlink" Target="https://www.immoscout24.ch/fr/appartement/acheter/lieu-epesses" TargetMode="External"/><Relationship Id="rId10816" Type="http://schemas.openxmlformats.org/officeDocument/2006/relationships/hyperlink" Target="https://www.immoscout24.ch/fr/appartement/acheter/lieu-epesses" TargetMode="External"/><Relationship Id="rId10819" Type="http://schemas.openxmlformats.org/officeDocument/2006/relationships/hyperlink" Target="https://www.immoscout24.ch/fr/appartement/acheter/lieu-salvan" TargetMode="External"/><Relationship Id="rId10810" Type="http://schemas.openxmlformats.org/officeDocument/2006/relationships/hyperlink" Target="https://www.immoscout24.ch/fr/appartement/louer/lieu-le-mont-sur-lausanne" TargetMode="External"/><Relationship Id="rId10813" Type="http://schemas.openxmlformats.org/officeDocument/2006/relationships/hyperlink" Target="https://www.immoscout24.ch/fr/maison/louer/lieu-damphreux" TargetMode="External"/><Relationship Id="rId10814" Type="http://schemas.openxmlformats.org/officeDocument/2006/relationships/hyperlink" Target="https://www.immoscout24.ch/fr/maison/louer/lieu-damphreux" TargetMode="External"/><Relationship Id="rId10811" Type="http://schemas.openxmlformats.org/officeDocument/2006/relationships/hyperlink" Target="https://www.immoscout24.ch/fr/maison/acheter/lieu-chambrelien" TargetMode="External"/><Relationship Id="rId10812" Type="http://schemas.openxmlformats.org/officeDocument/2006/relationships/hyperlink" Target="https://www.immoscout24.ch/fr/maison/acheter/lieu-chambrelien" TargetMode="External"/><Relationship Id="rId10828" Type="http://schemas.openxmlformats.org/officeDocument/2006/relationships/hyperlink" Target="https://www.immoscout24.ch/fr/appartement/acheter/quartier-madretsch-sued-biel-bienne" TargetMode="External"/><Relationship Id="rId10829" Type="http://schemas.openxmlformats.org/officeDocument/2006/relationships/hyperlink" Target="https://www.immoscout24.ch/fr/maison/acheter/lieu-monnaz" TargetMode="External"/><Relationship Id="rId10826" Type="http://schemas.openxmlformats.org/officeDocument/2006/relationships/hyperlink" Target="https://www.immoscout24.ch/fr/maison/acheter/lieu-bevilard" TargetMode="External"/><Relationship Id="rId10827" Type="http://schemas.openxmlformats.org/officeDocument/2006/relationships/hyperlink" Target="https://www.immoscout24.ch/fr/appartement/acheter/quartier-madretsch-sued-biel-bienne" TargetMode="External"/><Relationship Id="rId10820" Type="http://schemas.openxmlformats.org/officeDocument/2006/relationships/hyperlink" Target="https://www.immoscout24.ch/fr/appartement/acheter/lieu-salvan" TargetMode="External"/><Relationship Id="rId10821" Type="http://schemas.openxmlformats.org/officeDocument/2006/relationships/hyperlink" Target="https://www.immoscout24.ch/fr/appartement/louer/lieu-uettligen" TargetMode="External"/><Relationship Id="rId10824" Type="http://schemas.openxmlformats.org/officeDocument/2006/relationships/hyperlink" Target="https://www.immoscout24.ch/fr/maison/acheter/lieu-finsterhennen" TargetMode="External"/><Relationship Id="rId10825" Type="http://schemas.openxmlformats.org/officeDocument/2006/relationships/hyperlink" Target="https://www.immoscout24.ch/fr/maison/acheter/lieu-bevilard" TargetMode="External"/><Relationship Id="rId10822" Type="http://schemas.openxmlformats.org/officeDocument/2006/relationships/hyperlink" Target="https://www.immoscout24.ch/fr/appartement/louer/lieu-uettligen" TargetMode="External"/><Relationship Id="rId10823" Type="http://schemas.openxmlformats.org/officeDocument/2006/relationships/hyperlink" Target="https://www.immoscout24.ch/fr/maison/acheter/lieu-finsterhennen" TargetMode="External"/><Relationship Id="rId10806" Type="http://schemas.openxmlformats.org/officeDocument/2006/relationships/hyperlink" Target="https://www.immoscout24.ch/fr/appartement/louer/canton-vaud" TargetMode="External"/><Relationship Id="rId10807" Type="http://schemas.openxmlformats.org/officeDocument/2006/relationships/hyperlink" Target="https://www.immoscout24.ch/fr/appartement/louer/lieu-laufenburg" TargetMode="External"/><Relationship Id="rId10804" Type="http://schemas.openxmlformats.org/officeDocument/2006/relationships/hyperlink" Target="https://www.immoscout24.ch/fr/appartement/acheter/lieu-cornaux-ne" TargetMode="External"/><Relationship Id="rId10805" Type="http://schemas.openxmlformats.org/officeDocument/2006/relationships/hyperlink" Target="https://www.immoscout24.ch/fr/appartement/louer/canton-vaud" TargetMode="External"/><Relationship Id="rId10808" Type="http://schemas.openxmlformats.org/officeDocument/2006/relationships/hyperlink" Target="https://www.immoscout24.ch/fr/appartement/louer/lieu-laufenburg" TargetMode="External"/><Relationship Id="rId10809" Type="http://schemas.openxmlformats.org/officeDocument/2006/relationships/hyperlink" Target="https://www.immoscout24.ch/fr/appartement/louer/lieu-le-mont-sur-lausanne" TargetMode="External"/><Relationship Id="rId10802" Type="http://schemas.openxmlformats.org/officeDocument/2006/relationships/hyperlink" Target="https://www.immoscout24.ch/fr/appartement/louer/lieu-corsier-ge" TargetMode="External"/><Relationship Id="rId10803" Type="http://schemas.openxmlformats.org/officeDocument/2006/relationships/hyperlink" Target="https://www.immoscout24.ch/fr/appartement/acheter/lieu-cornaux-ne" TargetMode="External"/><Relationship Id="rId10800" Type="http://schemas.openxmlformats.org/officeDocument/2006/relationships/hyperlink" Target="https://www.immoscout24.ch/fr/appartement/louer/lieu-brienz-be" TargetMode="External"/><Relationship Id="rId10801" Type="http://schemas.openxmlformats.org/officeDocument/2006/relationships/hyperlink" Target="https://www.immoscout24.ch/fr/appartement/louer/lieu-corsier-ge" TargetMode="External"/><Relationship Id="rId6902" Type="http://schemas.openxmlformats.org/officeDocument/2006/relationships/hyperlink" Target="https://www.immoscout24.ch/fr/maison/acheter/lieu-aproz-nendaz" TargetMode="External"/><Relationship Id="rId6903" Type="http://schemas.openxmlformats.org/officeDocument/2006/relationships/hyperlink" Target="https://www.immoscout24.ch/fr/maison/louer/lieu-geneve" TargetMode="External"/><Relationship Id="rId6900" Type="http://schemas.openxmlformats.org/officeDocument/2006/relationships/hyperlink" Target="https://www.immoscout24.ch/fr/appartement/acheter/lieu-evilard" TargetMode="External"/><Relationship Id="rId6901" Type="http://schemas.openxmlformats.org/officeDocument/2006/relationships/hyperlink" Target="https://www.immoscout24.ch/fr/maison/acheter/lieu-aproz-nendaz" TargetMode="External"/><Relationship Id="rId6906" Type="http://schemas.openxmlformats.org/officeDocument/2006/relationships/hyperlink" Target="https://www.immoscout24.ch/fr/appartement/louer/lieu-sales-gruyere" TargetMode="External"/><Relationship Id="rId6907" Type="http://schemas.openxmlformats.org/officeDocument/2006/relationships/hyperlink" Target="https://www.immoscout24.ch/fr/maison/acheter/lieu-onex" TargetMode="External"/><Relationship Id="rId6904" Type="http://schemas.openxmlformats.org/officeDocument/2006/relationships/hyperlink" Target="https://www.immoscout24.ch/fr/maison/louer/lieu-geneve" TargetMode="External"/><Relationship Id="rId6905" Type="http://schemas.openxmlformats.org/officeDocument/2006/relationships/hyperlink" Target="https://www.immoscout24.ch/fr/appartement/louer/lieu-sales-gruyere" TargetMode="External"/><Relationship Id="rId6908" Type="http://schemas.openxmlformats.org/officeDocument/2006/relationships/hyperlink" Target="https://www.immoscout24.ch/fr/maison/acheter/lieu-onex" TargetMode="External"/><Relationship Id="rId6909" Type="http://schemas.openxmlformats.org/officeDocument/2006/relationships/hyperlink" Target="https://www.immoscout24.ch/fr/appartement/louer/region-geneve-ville" TargetMode="External"/><Relationship Id="rId6924" Type="http://schemas.openxmlformats.org/officeDocument/2006/relationships/hyperlink" Target="https://www.immoscout24.ch/fr/appartement/acheter/lieu-lully-fr" TargetMode="External"/><Relationship Id="rId6925" Type="http://schemas.openxmlformats.org/officeDocument/2006/relationships/hyperlink" Target="https://www.immoscout24.ch/fr/appartement/louer/lieu-brot-dessous" TargetMode="External"/><Relationship Id="rId6922" Type="http://schemas.openxmlformats.org/officeDocument/2006/relationships/hyperlink" Target="https://www.immoscout24.ch/fr/maison/acheter/lieu-menznau" TargetMode="External"/><Relationship Id="rId6923" Type="http://schemas.openxmlformats.org/officeDocument/2006/relationships/hyperlink" Target="https://www.immoscout24.ch/fr/appartement/acheter/lieu-lully-fr" TargetMode="External"/><Relationship Id="rId6928" Type="http://schemas.openxmlformats.org/officeDocument/2006/relationships/hyperlink" Target="https://www.immoscout24.ch/fr/maison/acheter/lieu-chavannes-pres-renens" TargetMode="External"/><Relationship Id="rId6929" Type="http://schemas.openxmlformats.org/officeDocument/2006/relationships/hyperlink" Target="https://www.immoscout24.ch/fr/appartement/louer/lieu-sedeilles" TargetMode="External"/><Relationship Id="rId6926" Type="http://schemas.openxmlformats.org/officeDocument/2006/relationships/hyperlink" Target="https://www.immoscout24.ch/fr/appartement/louer/lieu-brot-dessous" TargetMode="External"/><Relationship Id="rId6927" Type="http://schemas.openxmlformats.org/officeDocument/2006/relationships/hyperlink" Target="https://www.immoscout24.ch/fr/maison/acheter/lieu-chavannes-pres-renens" TargetMode="External"/><Relationship Id="rId409" Type="http://schemas.openxmlformats.org/officeDocument/2006/relationships/hyperlink" Target="https://www.immoscout24.ch/fr/appartement/acheter/lieu-chenens" TargetMode="External"/><Relationship Id="rId404" Type="http://schemas.openxmlformats.org/officeDocument/2006/relationships/hyperlink" Target="https://www.immoscout24.ch/fr/maison/acheter/lieu-kilchberg-zh" TargetMode="External"/><Relationship Id="rId403" Type="http://schemas.openxmlformats.org/officeDocument/2006/relationships/hyperlink" Target="https://www.immoscout24.ch/fr/maison/acheter/lieu-kilchberg-zh" TargetMode="External"/><Relationship Id="rId402" Type="http://schemas.openxmlformats.org/officeDocument/2006/relationships/hyperlink" Target="https://www.immoscout24.ch/fr/appartement/louer/lieu-souboz" TargetMode="External"/><Relationship Id="rId401" Type="http://schemas.openxmlformats.org/officeDocument/2006/relationships/hyperlink" Target="https://www.immoscout24.ch/fr/appartement/louer/lieu-souboz" TargetMode="External"/><Relationship Id="rId408" Type="http://schemas.openxmlformats.org/officeDocument/2006/relationships/hyperlink" Target="https://www.immoscout24.ch/fr/appartement/louer/lieu-taverne" TargetMode="External"/><Relationship Id="rId407" Type="http://schemas.openxmlformats.org/officeDocument/2006/relationships/hyperlink" Target="https://www.immoscout24.ch/fr/appartement/louer/lieu-taverne" TargetMode="External"/><Relationship Id="rId406" Type="http://schemas.openxmlformats.org/officeDocument/2006/relationships/hyperlink" Target="https://www.immoscout24.ch/fr/appartement/louer/lieu-sembrancher" TargetMode="External"/><Relationship Id="rId405" Type="http://schemas.openxmlformats.org/officeDocument/2006/relationships/hyperlink" Target="https://www.immoscout24.ch/fr/appartement/louer/lieu-sembrancher" TargetMode="External"/><Relationship Id="rId400" Type="http://schemas.openxmlformats.org/officeDocument/2006/relationships/hyperlink" Target="https://www.immoscout24.ch/fr/appartement/louer/lieu-la-muraz-saviese" TargetMode="External"/><Relationship Id="rId6920" Type="http://schemas.openxmlformats.org/officeDocument/2006/relationships/hyperlink" Target="https://www.immoscout24.ch/fr/maison/louer/region-zuercher-oberland" TargetMode="External"/><Relationship Id="rId6921" Type="http://schemas.openxmlformats.org/officeDocument/2006/relationships/hyperlink" Target="https://www.immoscout24.ch/fr/maison/acheter/lieu-menznau" TargetMode="External"/><Relationship Id="rId6913" Type="http://schemas.openxmlformats.org/officeDocument/2006/relationships/hyperlink" Target="https://www.immoscout24.ch/fr/appartement/louer/quartier-onu-rigot-geneve" TargetMode="External"/><Relationship Id="rId6914" Type="http://schemas.openxmlformats.org/officeDocument/2006/relationships/hyperlink" Target="https://www.immoscout24.ch/fr/appartement/louer/quartier-onu-rigot-geneve" TargetMode="External"/><Relationship Id="rId6911" Type="http://schemas.openxmlformats.org/officeDocument/2006/relationships/hyperlink" Target="https://www.immoscout24.ch/fr/appartement/louer/lieu-luescherz" TargetMode="External"/><Relationship Id="rId6912" Type="http://schemas.openxmlformats.org/officeDocument/2006/relationships/hyperlink" Target="https://www.immoscout24.ch/fr/appartement/louer/lieu-luescherz" TargetMode="External"/><Relationship Id="rId6917" Type="http://schemas.openxmlformats.org/officeDocument/2006/relationships/hyperlink" Target="https://www.immoscout24.ch/fr/maison/acheter/lieu-kiental" TargetMode="External"/><Relationship Id="rId6918" Type="http://schemas.openxmlformats.org/officeDocument/2006/relationships/hyperlink" Target="https://www.immoscout24.ch/fr/maison/acheter/lieu-kiental" TargetMode="External"/><Relationship Id="rId6915" Type="http://schemas.openxmlformats.org/officeDocument/2006/relationships/hyperlink" Target="https://www.immoscout24.ch/fr/appartement/louer/lieu-grandcour" TargetMode="External"/><Relationship Id="rId6916" Type="http://schemas.openxmlformats.org/officeDocument/2006/relationships/hyperlink" Target="https://www.immoscout24.ch/fr/appartement/louer/lieu-grandcour" TargetMode="External"/><Relationship Id="rId6919" Type="http://schemas.openxmlformats.org/officeDocument/2006/relationships/hyperlink" Target="https://www.immoscout24.ch/fr/maison/louer/region-zuercher-oberland" TargetMode="External"/><Relationship Id="rId6910" Type="http://schemas.openxmlformats.org/officeDocument/2006/relationships/hyperlink" Target="https://www.immoscout24.ch/fr/appartement/louer/region-geneve-ville" TargetMode="External"/><Relationship Id="rId4327" Type="http://schemas.openxmlformats.org/officeDocument/2006/relationships/hyperlink" Target="https://www.immoscout24.ch/fr/maison/louer/lieu-fully" TargetMode="External"/><Relationship Id="rId5659" Type="http://schemas.openxmlformats.org/officeDocument/2006/relationships/hyperlink" Target="https://www.immoscout24.ch/fr/maison/acheter/lieu-chapelle-broye" TargetMode="External"/><Relationship Id="rId4326" Type="http://schemas.openxmlformats.org/officeDocument/2006/relationships/hyperlink" Target="https://www.immoscout24.ch/fr/maison/acheter/lieu-chermignon-d-en-bas" TargetMode="External"/><Relationship Id="rId4329" Type="http://schemas.openxmlformats.org/officeDocument/2006/relationships/hyperlink" Target="https://www.immoscout24.ch/fr/appartement/louer/quartier-draizes-vauseyon-neuchatel" TargetMode="External"/><Relationship Id="rId5657" Type="http://schemas.openxmlformats.org/officeDocument/2006/relationships/hyperlink" Target="https://www.immoscout24.ch/fr/appartement/acheter/lieu-immensee" TargetMode="External"/><Relationship Id="rId6988" Type="http://schemas.openxmlformats.org/officeDocument/2006/relationships/hyperlink" Target="https://www.immoscout24.ch/fr/appartement/louer/lieu-seigneux" TargetMode="External"/><Relationship Id="rId4328" Type="http://schemas.openxmlformats.org/officeDocument/2006/relationships/hyperlink" Target="https://www.immoscout24.ch/fr/maison/louer/lieu-fully" TargetMode="External"/><Relationship Id="rId5658" Type="http://schemas.openxmlformats.org/officeDocument/2006/relationships/hyperlink" Target="https://www.immoscout24.ch/fr/appartement/acheter/lieu-immensee" TargetMode="External"/><Relationship Id="rId6989" Type="http://schemas.openxmlformats.org/officeDocument/2006/relationships/hyperlink" Target="https://www.immoscout24.ch/fr/maison/louer/lieu-pully" TargetMode="External"/><Relationship Id="rId469" Type="http://schemas.openxmlformats.org/officeDocument/2006/relationships/hyperlink" Target="https://www.immoscout24.ch/fr/maison/acheter/lieu-orsieres" TargetMode="External"/><Relationship Id="rId468" Type="http://schemas.openxmlformats.org/officeDocument/2006/relationships/hyperlink" Target="https://www.immoscout24.ch/fr/appartement/louer/lieu-bonvillars" TargetMode="External"/><Relationship Id="rId467" Type="http://schemas.openxmlformats.org/officeDocument/2006/relationships/hyperlink" Target="https://www.immoscout24.ch/fr/appartement/louer/lieu-bonvillars" TargetMode="External"/><Relationship Id="rId462" Type="http://schemas.openxmlformats.org/officeDocument/2006/relationships/hyperlink" Target="https://www.immoscout24.ch/fr/appartement/louer/quartier-laenggasse-berne" TargetMode="External"/><Relationship Id="rId5651" Type="http://schemas.openxmlformats.org/officeDocument/2006/relationships/hyperlink" Target="https://www.immoscout24.ch/fr/maison/acheter/lieu-gordevio" TargetMode="External"/><Relationship Id="rId6982" Type="http://schemas.openxmlformats.org/officeDocument/2006/relationships/hyperlink" Target="https://www.immoscout24.ch/fr/appartement/louer/lieu-blumenstein" TargetMode="External"/><Relationship Id="rId461" Type="http://schemas.openxmlformats.org/officeDocument/2006/relationships/hyperlink" Target="https://www.immoscout24.ch/fr/appartement/louer/quartier-laenggasse-berne" TargetMode="External"/><Relationship Id="rId5652" Type="http://schemas.openxmlformats.org/officeDocument/2006/relationships/hyperlink" Target="https://www.immoscout24.ch/fr/maison/acheter/lieu-gordevio" TargetMode="External"/><Relationship Id="rId6983" Type="http://schemas.openxmlformats.org/officeDocument/2006/relationships/hyperlink" Target="https://www.immoscout24.ch/fr/maison/louer/quartier-eaux-vives-lac-geneve" TargetMode="External"/><Relationship Id="rId460" Type="http://schemas.openxmlformats.org/officeDocument/2006/relationships/hyperlink" Target="https://www.immoscout24.ch/fr/appartement/louer/lieu-spiez" TargetMode="External"/><Relationship Id="rId4321" Type="http://schemas.openxmlformats.org/officeDocument/2006/relationships/hyperlink" Target="https://www.immoscout24.ch/fr/maison/louer/lieu-corsier-ge" TargetMode="External"/><Relationship Id="rId6980" Type="http://schemas.openxmlformats.org/officeDocument/2006/relationships/hyperlink" Target="https://www.immoscout24.ch/fr/appartement/louer/lieu-eschenbach-sg" TargetMode="External"/><Relationship Id="rId4320" Type="http://schemas.openxmlformats.org/officeDocument/2006/relationships/hyperlink" Target="https://www.immoscout24.ch/fr/appartement/louer/lieu-grolley" TargetMode="External"/><Relationship Id="rId5650" Type="http://schemas.openxmlformats.org/officeDocument/2006/relationships/hyperlink" Target="https://www.immoscout24.ch/fr/appartement/acheter/lieu-roche-vd" TargetMode="External"/><Relationship Id="rId6981" Type="http://schemas.openxmlformats.org/officeDocument/2006/relationships/hyperlink" Target="https://www.immoscout24.ch/fr/appartement/louer/lieu-blumenstein" TargetMode="External"/><Relationship Id="rId466" Type="http://schemas.openxmlformats.org/officeDocument/2006/relationships/hyperlink" Target="https://www.immoscout24.ch/fr/appartement/acheter/lieu-diesse" TargetMode="External"/><Relationship Id="rId4323" Type="http://schemas.openxmlformats.org/officeDocument/2006/relationships/hyperlink" Target="https://www.immoscout24.ch/fr/appartement/acheter/lieu-crans-pres-celigny" TargetMode="External"/><Relationship Id="rId5655" Type="http://schemas.openxmlformats.org/officeDocument/2006/relationships/hyperlink" Target="https://www.immoscout24.ch/fr/appartement/louer/lieu-siselen-be" TargetMode="External"/><Relationship Id="rId6986" Type="http://schemas.openxmlformats.org/officeDocument/2006/relationships/hyperlink" Target="https://www.immoscout24.ch/fr/appartement/louer/lieu-muehlau" TargetMode="External"/><Relationship Id="rId465" Type="http://schemas.openxmlformats.org/officeDocument/2006/relationships/hyperlink" Target="https://www.immoscout24.ch/fr/appartement/acheter/lieu-diesse" TargetMode="External"/><Relationship Id="rId4322" Type="http://schemas.openxmlformats.org/officeDocument/2006/relationships/hyperlink" Target="https://www.immoscout24.ch/fr/maison/louer/lieu-corsier-ge" TargetMode="External"/><Relationship Id="rId5656" Type="http://schemas.openxmlformats.org/officeDocument/2006/relationships/hyperlink" Target="https://www.immoscout24.ch/fr/appartement/louer/lieu-siselen-be" TargetMode="External"/><Relationship Id="rId6987" Type="http://schemas.openxmlformats.org/officeDocument/2006/relationships/hyperlink" Target="https://www.immoscout24.ch/fr/appartement/louer/lieu-seigneux" TargetMode="External"/><Relationship Id="rId464" Type="http://schemas.openxmlformats.org/officeDocument/2006/relationships/hyperlink" Target="https://www.immoscout24.ch/fr/maison/acheter/lieu-schlans" TargetMode="External"/><Relationship Id="rId4325" Type="http://schemas.openxmlformats.org/officeDocument/2006/relationships/hyperlink" Target="https://www.immoscout24.ch/fr/maison/acheter/lieu-chermignon-d-en-bas" TargetMode="External"/><Relationship Id="rId5653" Type="http://schemas.openxmlformats.org/officeDocument/2006/relationships/hyperlink" Target="https://www.immoscout24.ch/fr/maison/acheter/lieu-heremence" TargetMode="External"/><Relationship Id="rId6984" Type="http://schemas.openxmlformats.org/officeDocument/2006/relationships/hyperlink" Target="https://www.immoscout24.ch/fr/maison/louer/quartier-eaux-vives-lac-geneve" TargetMode="External"/><Relationship Id="rId463" Type="http://schemas.openxmlformats.org/officeDocument/2006/relationships/hyperlink" Target="https://www.immoscout24.ch/fr/maison/acheter/lieu-schlans" TargetMode="External"/><Relationship Id="rId4324" Type="http://schemas.openxmlformats.org/officeDocument/2006/relationships/hyperlink" Target="https://www.immoscout24.ch/fr/appartement/acheter/lieu-crans-pres-celigny" TargetMode="External"/><Relationship Id="rId5654" Type="http://schemas.openxmlformats.org/officeDocument/2006/relationships/hyperlink" Target="https://www.immoscout24.ch/fr/maison/acheter/lieu-heremence" TargetMode="External"/><Relationship Id="rId6985" Type="http://schemas.openxmlformats.org/officeDocument/2006/relationships/hyperlink" Target="https://www.immoscout24.ch/fr/appartement/louer/lieu-muehlau" TargetMode="External"/><Relationship Id="rId4316" Type="http://schemas.openxmlformats.org/officeDocument/2006/relationships/hyperlink" Target="https://www.immoscout24.ch/fr/appartement/louer/lieu-beromuenster" TargetMode="External"/><Relationship Id="rId5648" Type="http://schemas.openxmlformats.org/officeDocument/2006/relationships/hyperlink" Target="https://www.immoscout24.ch/fr/maison/acheter/lieu-chenens" TargetMode="External"/><Relationship Id="rId6979" Type="http://schemas.openxmlformats.org/officeDocument/2006/relationships/hyperlink" Target="https://www.immoscout24.ch/fr/appartement/louer/lieu-eschenbach-sg" TargetMode="External"/><Relationship Id="rId4315" Type="http://schemas.openxmlformats.org/officeDocument/2006/relationships/hyperlink" Target="https://www.immoscout24.ch/fr/appartement/louer/lieu-beromuenster" TargetMode="External"/><Relationship Id="rId5649" Type="http://schemas.openxmlformats.org/officeDocument/2006/relationships/hyperlink" Target="https://www.immoscout24.ch/fr/appartement/acheter/lieu-roche-vd" TargetMode="External"/><Relationship Id="rId4318" Type="http://schemas.openxmlformats.org/officeDocument/2006/relationships/hyperlink" Target="https://www.immoscout24.ch/fr/appartement/acheter/quartier-vinet-pontaise-lausanne" TargetMode="External"/><Relationship Id="rId5646" Type="http://schemas.openxmlformats.org/officeDocument/2006/relationships/hyperlink" Target="https://www.immoscout24.ch/fr/maison/acheter/region-haut-valais" TargetMode="External"/><Relationship Id="rId6977" Type="http://schemas.openxmlformats.org/officeDocument/2006/relationships/hyperlink" Target="https://www.immoscout24.ch/fr/appartement/louer/lieu-anzere" TargetMode="External"/><Relationship Id="rId4317" Type="http://schemas.openxmlformats.org/officeDocument/2006/relationships/hyperlink" Target="https://www.immoscout24.ch/fr/appartement/acheter/quartier-vinet-pontaise-lausanne" TargetMode="External"/><Relationship Id="rId5647" Type="http://schemas.openxmlformats.org/officeDocument/2006/relationships/hyperlink" Target="https://www.immoscout24.ch/fr/maison/acheter/lieu-chenens" TargetMode="External"/><Relationship Id="rId6978" Type="http://schemas.openxmlformats.org/officeDocument/2006/relationships/hyperlink" Target="https://www.immoscout24.ch/fr/appartement/louer/lieu-anzere" TargetMode="External"/><Relationship Id="rId4319" Type="http://schemas.openxmlformats.org/officeDocument/2006/relationships/hyperlink" Target="https://www.immoscout24.ch/fr/appartement/louer/lieu-grolley" TargetMode="External"/><Relationship Id="rId459" Type="http://schemas.openxmlformats.org/officeDocument/2006/relationships/hyperlink" Target="https://www.immoscout24.ch/fr/appartement/louer/lieu-spiez" TargetMode="External"/><Relationship Id="rId458" Type="http://schemas.openxmlformats.org/officeDocument/2006/relationships/hyperlink" Target="https://www.immoscout24.ch/fr/maison/acheter/lieu-ruedlingen" TargetMode="External"/><Relationship Id="rId457" Type="http://schemas.openxmlformats.org/officeDocument/2006/relationships/hyperlink" Target="https://www.immoscout24.ch/fr/maison/acheter/lieu-ruedlingen" TargetMode="External"/><Relationship Id="rId456" Type="http://schemas.openxmlformats.org/officeDocument/2006/relationships/hyperlink" Target="https://www.immoscout24.ch/fr/appartement/acheter/lieu-zollikofen" TargetMode="External"/><Relationship Id="rId451" Type="http://schemas.openxmlformats.org/officeDocument/2006/relationships/hyperlink" Target="https://www.immoscout24.ch/fr/appartement/louer/lieu-penthalaz" TargetMode="External"/><Relationship Id="rId5640" Type="http://schemas.openxmlformats.org/officeDocument/2006/relationships/hyperlink" Target="https://www.immoscout24.ch/fr/maison/acheter/lieu-lavertezzo" TargetMode="External"/><Relationship Id="rId6971" Type="http://schemas.openxmlformats.org/officeDocument/2006/relationships/hyperlink" Target="https://www.immoscout24.ch/fr/appartement/louer/quartier-cretets-la-chaux-de-fonds" TargetMode="External"/><Relationship Id="rId450" Type="http://schemas.openxmlformats.org/officeDocument/2006/relationships/hyperlink" Target="https://www.immoscout24.ch/fr/appartement/louer/lieu-auboranges" TargetMode="External"/><Relationship Id="rId5641" Type="http://schemas.openxmlformats.org/officeDocument/2006/relationships/hyperlink" Target="https://www.immoscout24.ch/fr/appartement/acheter/lieu-boll" TargetMode="External"/><Relationship Id="rId6972" Type="http://schemas.openxmlformats.org/officeDocument/2006/relationships/hyperlink" Target="https://www.immoscout24.ch/fr/appartement/louer/quartier-cretets-la-chaux-de-fonds" TargetMode="External"/><Relationship Id="rId4310" Type="http://schemas.openxmlformats.org/officeDocument/2006/relationships/hyperlink" Target="https://www.immoscout24.ch/fr/appartement/louer/lieu-wuennewil" TargetMode="External"/><Relationship Id="rId6970" Type="http://schemas.openxmlformats.org/officeDocument/2006/relationships/hyperlink" Target="https://www.immoscout24.ch/fr/appartement/louer/lieu-lignieres" TargetMode="External"/><Relationship Id="rId455" Type="http://schemas.openxmlformats.org/officeDocument/2006/relationships/hyperlink" Target="https://www.immoscout24.ch/fr/appartement/acheter/lieu-zollikofen" TargetMode="External"/><Relationship Id="rId4312" Type="http://schemas.openxmlformats.org/officeDocument/2006/relationships/hyperlink" Target="https://www.immoscout24.ch/fr/appartement/louer/quartier-montriond-cour-lausanne" TargetMode="External"/><Relationship Id="rId5644" Type="http://schemas.openxmlformats.org/officeDocument/2006/relationships/hyperlink" Target="https://www.immoscout24.ch/fr/appartement/louer/region-entlebuch" TargetMode="External"/><Relationship Id="rId6975" Type="http://schemas.openxmlformats.org/officeDocument/2006/relationships/hyperlink" Target="https://www.immoscout24.ch/fr/maison/acheter/lieu-rechy" TargetMode="External"/><Relationship Id="rId454" Type="http://schemas.openxmlformats.org/officeDocument/2006/relationships/hyperlink" Target="https://www.immoscout24.ch/fr/maison/louer/lieu-bursinel" TargetMode="External"/><Relationship Id="rId4311" Type="http://schemas.openxmlformats.org/officeDocument/2006/relationships/hyperlink" Target="https://www.immoscout24.ch/fr/appartement/louer/quartier-montriond-cour-lausanne" TargetMode="External"/><Relationship Id="rId5645" Type="http://schemas.openxmlformats.org/officeDocument/2006/relationships/hyperlink" Target="https://www.immoscout24.ch/fr/maison/acheter/region-haut-valais" TargetMode="External"/><Relationship Id="rId6976" Type="http://schemas.openxmlformats.org/officeDocument/2006/relationships/hyperlink" Target="https://www.immoscout24.ch/fr/maison/acheter/lieu-rechy" TargetMode="External"/><Relationship Id="rId453" Type="http://schemas.openxmlformats.org/officeDocument/2006/relationships/hyperlink" Target="https://www.immoscout24.ch/fr/maison/louer/lieu-bursinel" TargetMode="External"/><Relationship Id="rId4314" Type="http://schemas.openxmlformats.org/officeDocument/2006/relationships/hyperlink" Target="https://www.immoscout24.ch/fr/appartement/louer/lieu-chaneaz" TargetMode="External"/><Relationship Id="rId5642" Type="http://schemas.openxmlformats.org/officeDocument/2006/relationships/hyperlink" Target="https://www.immoscout24.ch/fr/appartement/acheter/lieu-boll" TargetMode="External"/><Relationship Id="rId6973" Type="http://schemas.openxmlformats.org/officeDocument/2006/relationships/hyperlink" Target="https://www.immoscout24.ch/fr/maison/acheter/lieu-surpierre" TargetMode="External"/><Relationship Id="rId452" Type="http://schemas.openxmlformats.org/officeDocument/2006/relationships/hyperlink" Target="https://www.immoscout24.ch/fr/appartement/louer/lieu-penthalaz" TargetMode="External"/><Relationship Id="rId4313" Type="http://schemas.openxmlformats.org/officeDocument/2006/relationships/hyperlink" Target="https://www.immoscout24.ch/fr/appartement/louer/lieu-chaneaz" TargetMode="External"/><Relationship Id="rId5643" Type="http://schemas.openxmlformats.org/officeDocument/2006/relationships/hyperlink" Target="https://www.immoscout24.ch/fr/appartement/louer/region-entlebuch" TargetMode="External"/><Relationship Id="rId6974" Type="http://schemas.openxmlformats.org/officeDocument/2006/relationships/hyperlink" Target="https://www.immoscout24.ch/fr/maison/acheter/lieu-surpierre" TargetMode="External"/><Relationship Id="rId3018" Type="http://schemas.openxmlformats.org/officeDocument/2006/relationships/hyperlink" Target="https://www.immoscout24.ch/fr/maison/acheter/lieu-brenles" TargetMode="External"/><Relationship Id="rId4349" Type="http://schemas.openxmlformats.org/officeDocument/2006/relationships/hyperlink" Target="https://www.immoscout24.ch/fr/appartement/louer/lieu-aldesago" TargetMode="External"/><Relationship Id="rId3017" Type="http://schemas.openxmlformats.org/officeDocument/2006/relationships/hyperlink" Target="https://www.immoscout24.ch/fr/maison/acheter/lieu-brenles" TargetMode="External"/><Relationship Id="rId4348" Type="http://schemas.openxmlformats.org/officeDocument/2006/relationships/hyperlink" Target="https://www.immoscout24.ch/fr/appartement/louer/lieu-weissbad" TargetMode="External"/><Relationship Id="rId5679" Type="http://schemas.openxmlformats.org/officeDocument/2006/relationships/hyperlink" Target="https://www.immoscout24.ch/fr/maison/louer/lieu-binningen" TargetMode="External"/><Relationship Id="rId3019" Type="http://schemas.openxmlformats.org/officeDocument/2006/relationships/hyperlink" Target="https://www.immoscout24.ch/fr/appartement/louer/lieu-rossemaison" TargetMode="External"/><Relationship Id="rId491" Type="http://schemas.openxmlformats.org/officeDocument/2006/relationships/hyperlink" Target="https://www.immoscout24.ch/fr/appartement/acheter/lieu-baech-sz" TargetMode="External"/><Relationship Id="rId490" Type="http://schemas.openxmlformats.org/officeDocument/2006/relationships/hyperlink" Target="https://www.immoscout24.ch/fr/maison/acheter/lieu-sassel" TargetMode="External"/><Relationship Id="rId489" Type="http://schemas.openxmlformats.org/officeDocument/2006/relationships/hyperlink" Target="https://www.immoscout24.ch/fr/maison/acheter/lieu-sassel" TargetMode="External"/><Relationship Id="rId5670" Type="http://schemas.openxmlformats.org/officeDocument/2006/relationships/hyperlink" Target="https://www.immoscout24.ch/fr/maison/acheter/lieu-pieterlen" TargetMode="External"/><Relationship Id="rId484" Type="http://schemas.openxmlformats.org/officeDocument/2006/relationships/hyperlink" Target="https://www.immoscout24.ch/fr/appartement/acheter/lieu-kuesnacht-zh" TargetMode="External"/><Relationship Id="rId3010" Type="http://schemas.openxmlformats.org/officeDocument/2006/relationships/hyperlink" Target="https://www.immoscout24.ch/fr/appartement/louer/lieu-signau" TargetMode="External"/><Relationship Id="rId4341" Type="http://schemas.openxmlformats.org/officeDocument/2006/relationships/hyperlink" Target="https://www.immoscout24.ch/fr/appartement/louer/lieu-renens-vd" TargetMode="External"/><Relationship Id="rId5673" Type="http://schemas.openxmlformats.org/officeDocument/2006/relationships/hyperlink" Target="https://www.immoscout24.ch/fr/maison/acheter/region-yverdon-grandson" TargetMode="External"/><Relationship Id="rId483" Type="http://schemas.openxmlformats.org/officeDocument/2006/relationships/hyperlink" Target="https://www.immoscout24.ch/fr/appartement/acheter/lieu-kuesnacht-zh" TargetMode="External"/><Relationship Id="rId4340" Type="http://schemas.openxmlformats.org/officeDocument/2006/relationships/hyperlink" Target="https://www.immoscout24.ch/fr/maison/acheter/lieu-ovronnaz" TargetMode="External"/><Relationship Id="rId5674" Type="http://schemas.openxmlformats.org/officeDocument/2006/relationships/hyperlink" Target="https://www.immoscout24.ch/fr/maison/acheter/region-yverdon-grandson" TargetMode="External"/><Relationship Id="rId482" Type="http://schemas.openxmlformats.org/officeDocument/2006/relationships/hyperlink" Target="https://www.immoscout24.ch/fr/maison/acheter/lieu-flawil" TargetMode="External"/><Relationship Id="rId3012" Type="http://schemas.openxmlformats.org/officeDocument/2006/relationships/hyperlink" Target="https://www.immoscout24.ch/fr/maison/louer/lieu-heiligenschwendi" TargetMode="External"/><Relationship Id="rId4343" Type="http://schemas.openxmlformats.org/officeDocument/2006/relationships/hyperlink" Target="https://www.immoscout24.ch/fr/maison/louer/region-laupen-sense" TargetMode="External"/><Relationship Id="rId5671" Type="http://schemas.openxmlformats.org/officeDocument/2006/relationships/hyperlink" Target="https://www.immoscout24.ch/fr/appartement/louer/lieu-weinfelden" TargetMode="External"/><Relationship Id="rId481" Type="http://schemas.openxmlformats.org/officeDocument/2006/relationships/hyperlink" Target="https://www.immoscout24.ch/fr/maison/acheter/lieu-flawil" TargetMode="External"/><Relationship Id="rId3011" Type="http://schemas.openxmlformats.org/officeDocument/2006/relationships/hyperlink" Target="https://www.immoscout24.ch/fr/maison/louer/lieu-heiligenschwendi" TargetMode="External"/><Relationship Id="rId4342" Type="http://schemas.openxmlformats.org/officeDocument/2006/relationships/hyperlink" Target="https://www.immoscout24.ch/fr/appartement/louer/lieu-renens-vd" TargetMode="External"/><Relationship Id="rId5672" Type="http://schemas.openxmlformats.org/officeDocument/2006/relationships/hyperlink" Target="https://www.immoscout24.ch/fr/appartement/louer/lieu-weinfelden" TargetMode="External"/><Relationship Id="rId488" Type="http://schemas.openxmlformats.org/officeDocument/2006/relationships/hyperlink" Target="https://www.immoscout24.ch/fr/appartement/acheter/lieu-wabern" TargetMode="External"/><Relationship Id="rId3014" Type="http://schemas.openxmlformats.org/officeDocument/2006/relationships/hyperlink" Target="https://www.immoscout24.ch/fr/maison/acheter/lieu-bettmeralp" TargetMode="External"/><Relationship Id="rId4345" Type="http://schemas.openxmlformats.org/officeDocument/2006/relationships/hyperlink" Target="https://www.immoscout24.ch/fr/appartement/louer/region-nidwald" TargetMode="External"/><Relationship Id="rId5677" Type="http://schemas.openxmlformats.org/officeDocument/2006/relationships/hyperlink" Target="https://www.immoscout24.ch/fr/maison/acheter/lieu-liddes" TargetMode="External"/><Relationship Id="rId487" Type="http://schemas.openxmlformats.org/officeDocument/2006/relationships/hyperlink" Target="https://www.immoscout24.ch/fr/appartement/acheter/lieu-wabern" TargetMode="External"/><Relationship Id="rId3013" Type="http://schemas.openxmlformats.org/officeDocument/2006/relationships/hyperlink" Target="https://www.immoscout24.ch/fr/maison/acheter/lieu-bettmeralp" TargetMode="External"/><Relationship Id="rId4344" Type="http://schemas.openxmlformats.org/officeDocument/2006/relationships/hyperlink" Target="https://www.immoscout24.ch/fr/maison/louer/region-laupen-sense" TargetMode="External"/><Relationship Id="rId5678" Type="http://schemas.openxmlformats.org/officeDocument/2006/relationships/hyperlink" Target="https://www.immoscout24.ch/fr/maison/acheter/lieu-liddes" TargetMode="External"/><Relationship Id="rId486" Type="http://schemas.openxmlformats.org/officeDocument/2006/relationships/hyperlink" Target="https://www.immoscout24.ch/fr/maison/acheter/lieu-bourg-st-pierre" TargetMode="External"/><Relationship Id="rId3016" Type="http://schemas.openxmlformats.org/officeDocument/2006/relationships/hyperlink" Target="https://www.immoscout24.ch/fr/appartement/louer/lieu-malleray" TargetMode="External"/><Relationship Id="rId4347" Type="http://schemas.openxmlformats.org/officeDocument/2006/relationships/hyperlink" Target="https://www.immoscout24.ch/fr/appartement/louer/lieu-weissbad" TargetMode="External"/><Relationship Id="rId5675" Type="http://schemas.openxmlformats.org/officeDocument/2006/relationships/hyperlink" Target="https://www.immoscout24.ch/fr/maison/acheter/pays-costa-rica" TargetMode="External"/><Relationship Id="rId485" Type="http://schemas.openxmlformats.org/officeDocument/2006/relationships/hyperlink" Target="https://www.immoscout24.ch/fr/maison/acheter/lieu-bourg-st-pierre" TargetMode="External"/><Relationship Id="rId3015" Type="http://schemas.openxmlformats.org/officeDocument/2006/relationships/hyperlink" Target="https://www.immoscout24.ch/fr/appartement/louer/lieu-malleray" TargetMode="External"/><Relationship Id="rId4346" Type="http://schemas.openxmlformats.org/officeDocument/2006/relationships/hyperlink" Target="https://www.immoscout24.ch/fr/appartement/louer/region-nidwald" TargetMode="External"/><Relationship Id="rId5676" Type="http://schemas.openxmlformats.org/officeDocument/2006/relationships/hyperlink" Target="https://www.immoscout24.ch/fr/maison/acheter/pays-costa-rica" TargetMode="External"/><Relationship Id="rId3007" Type="http://schemas.openxmlformats.org/officeDocument/2006/relationships/hyperlink" Target="https://www.immoscout24.ch/fr/maison/louer/lieu-plaffeien" TargetMode="External"/><Relationship Id="rId4338" Type="http://schemas.openxmlformats.org/officeDocument/2006/relationships/hyperlink" Target="https://www.immoscout24.ch/fr/appartement/acheter/lieu-chavannes-sous-orsonnens" TargetMode="External"/><Relationship Id="rId3006" Type="http://schemas.openxmlformats.org/officeDocument/2006/relationships/hyperlink" Target="https://www.immoscout24.ch/fr/maison/acheter/lieu-rueyres-treyfayes" TargetMode="External"/><Relationship Id="rId4337" Type="http://schemas.openxmlformats.org/officeDocument/2006/relationships/hyperlink" Target="https://www.immoscout24.ch/fr/appartement/acheter/lieu-chavannes-sous-orsonnens" TargetMode="External"/><Relationship Id="rId3009" Type="http://schemas.openxmlformats.org/officeDocument/2006/relationships/hyperlink" Target="https://www.immoscout24.ch/fr/appartement/louer/lieu-signau" TargetMode="External"/><Relationship Id="rId5668" Type="http://schemas.openxmlformats.org/officeDocument/2006/relationships/hyperlink" Target="https://www.immoscout24.ch/fr/appartement/louer/lieu-ferreyres" TargetMode="External"/><Relationship Id="rId6999" Type="http://schemas.openxmlformats.org/officeDocument/2006/relationships/hyperlink" Target="https://www.immoscout24.ch/fr/appartement/louer/quartier-schosshalde-berne" TargetMode="External"/><Relationship Id="rId3008" Type="http://schemas.openxmlformats.org/officeDocument/2006/relationships/hyperlink" Target="https://www.immoscout24.ch/fr/maison/louer/lieu-plaffeien" TargetMode="External"/><Relationship Id="rId4339" Type="http://schemas.openxmlformats.org/officeDocument/2006/relationships/hyperlink" Target="https://www.immoscout24.ch/fr/maison/acheter/lieu-ovronnaz" TargetMode="External"/><Relationship Id="rId5669" Type="http://schemas.openxmlformats.org/officeDocument/2006/relationships/hyperlink" Target="https://www.immoscout24.ch/fr/maison/acheter/lieu-pieterlen" TargetMode="External"/><Relationship Id="rId480" Type="http://schemas.openxmlformats.org/officeDocument/2006/relationships/hyperlink" Target="https://www.immoscout24.ch/fr/maison/louer/quartier-serrieres-neuchatel" TargetMode="External"/><Relationship Id="rId479" Type="http://schemas.openxmlformats.org/officeDocument/2006/relationships/hyperlink" Target="https://www.immoscout24.ch/fr/maison/louer/quartier-serrieres-neuchatel" TargetMode="External"/><Relationship Id="rId478" Type="http://schemas.openxmlformats.org/officeDocument/2006/relationships/hyperlink" Target="https://www.immoscout24.ch/fr/maison/louer/lieu-crissier" TargetMode="External"/><Relationship Id="rId6990" Type="http://schemas.openxmlformats.org/officeDocument/2006/relationships/hyperlink" Target="https://www.immoscout24.ch/fr/maison/louer/lieu-pully" TargetMode="External"/><Relationship Id="rId473" Type="http://schemas.openxmlformats.org/officeDocument/2006/relationships/hyperlink" Target="https://www.immoscout24.ch/fr/appartement/acheter/canton-appenzell-ri" TargetMode="External"/><Relationship Id="rId4330" Type="http://schemas.openxmlformats.org/officeDocument/2006/relationships/hyperlink" Target="https://www.immoscout24.ch/fr/appartement/louer/quartier-draizes-vauseyon-neuchatel" TargetMode="External"/><Relationship Id="rId5662" Type="http://schemas.openxmlformats.org/officeDocument/2006/relationships/hyperlink" Target="https://www.immoscout24.ch/fr/maison/acheter/lieu-peccia" TargetMode="External"/><Relationship Id="rId6993" Type="http://schemas.openxmlformats.org/officeDocument/2006/relationships/hyperlink" Target="https://www.immoscout24.ch/fr/appartement/louer/lieu-schwyz" TargetMode="External"/><Relationship Id="rId472" Type="http://schemas.openxmlformats.org/officeDocument/2006/relationships/hyperlink" Target="https://www.immoscout24.ch/fr/appartement/acheter/lieu-salgesch" TargetMode="External"/><Relationship Id="rId5663" Type="http://schemas.openxmlformats.org/officeDocument/2006/relationships/hyperlink" Target="https://www.immoscout24.ch/fr/appartement/acheter/pays-suisse-fl" TargetMode="External"/><Relationship Id="rId6994" Type="http://schemas.openxmlformats.org/officeDocument/2006/relationships/hyperlink" Target="https://www.immoscout24.ch/fr/appartement/louer/lieu-schwyz" TargetMode="External"/><Relationship Id="rId471" Type="http://schemas.openxmlformats.org/officeDocument/2006/relationships/hyperlink" Target="https://www.immoscout24.ch/fr/appartement/acheter/lieu-salgesch" TargetMode="External"/><Relationship Id="rId3001" Type="http://schemas.openxmlformats.org/officeDocument/2006/relationships/hyperlink" Target="https://www.immoscout24.ch/fr/appartement/louer/lieu-villarsel-le-gibloux" TargetMode="External"/><Relationship Id="rId4332" Type="http://schemas.openxmlformats.org/officeDocument/2006/relationships/hyperlink" Target="https://www.immoscout24.ch/fr/appartement/louer/lieu-yverdon-les-bains" TargetMode="External"/><Relationship Id="rId5660" Type="http://schemas.openxmlformats.org/officeDocument/2006/relationships/hyperlink" Target="https://www.immoscout24.ch/fr/maison/acheter/lieu-chapelle-broye" TargetMode="External"/><Relationship Id="rId6991" Type="http://schemas.openxmlformats.org/officeDocument/2006/relationships/hyperlink" Target="https://www.immoscout24.ch/fr/appartement/louer/lieu-neirivue" TargetMode="External"/><Relationship Id="rId470" Type="http://schemas.openxmlformats.org/officeDocument/2006/relationships/hyperlink" Target="https://www.immoscout24.ch/fr/maison/acheter/lieu-orsieres" TargetMode="External"/><Relationship Id="rId3000" Type="http://schemas.openxmlformats.org/officeDocument/2006/relationships/hyperlink" Target="https://www.immoscout24.ch/fr/appartement/louer/lieu-maracon" TargetMode="External"/><Relationship Id="rId4331" Type="http://schemas.openxmlformats.org/officeDocument/2006/relationships/hyperlink" Target="https://www.immoscout24.ch/fr/appartement/louer/lieu-yverdon-les-bains" TargetMode="External"/><Relationship Id="rId5661" Type="http://schemas.openxmlformats.org/officeDocument/2006/relationships/hyperlink" Target="https://www.immoscout24.ch/fr/maison/acheter/lieu-peccia" TargetMode="External"/><Relationship Id="rId6992" Type="http://schemas.openxmlformats.org/officeDocument/2006/relationships/hyperlink" Target="https://www.immoscout24.ch/fr/appartement/louer/lieu-neirivue" TargetMode="External"/><Relationship Id="rId477" Type="http://schemas.openxmlformats.org/officeDocument/2006/relationships/hyperlink" Target="https://www.immoscout24.ch/fr/maison/louer/lieu-crissier" TargetMode="External"/><Relationship Id="rId3003" Type="http://schemas.openxmlformats.org/officeDocument/2006/relationships/hyperlink" Target="https://www.immoscout24.ch/fr/appartement/acheter/lieu-aarau" TargetMode="External"/><Relationship Id="rId4334" Type="http://schemas.openxmlformats.org/officeDocument/2006/relationships/hyperlink" Target="https://www.immoscout24.ch/fr/appartement/louer/lieu-corminboeuf" TargetMode="External"/><Relationship Id="rId5666" Type="http://schemas.openxmlformats.org/officeDocument/2006/relationships/hyperlink" Target="https://www.immoscout24.ch/fr/appartement/louer/lieu-turin-salins" TargetMode="External"/><Relationship Id="rId6997" Type="http://schemas.openxmlformats.org/officeDocument/2006/relationships/hyperlink" Target="https://www.immoscout24.ch/fr/appartement/louer/quartier-chaumont-neuchatel" TargetMode="External"/><Relationship Id="rId476" Type="http://schemas.openxmlformats.org/officeDocument/2006/relationships/hyperlink" Target="https://www.immoscout24.ch/fr/maison/acheter/lieu-lauperswil" TargetMode="External"/><Relationship Id="rId3002" Type="http://schemas.openxmlformats.org/officeDocument/2006/relationships/hyperlink" Target="https://www.immoscout24.ch/fr/appartement/louer/lieu-villarsel-le-gibloux" TargetMode="External"/><Relationship Id="rId4333" Type="http://schemas.openxmlformats.org/officeDocument/2006/relationships/hyperlink" Target="https://www.immoscout24.ch/fr/appartement/louer/lieu-corminboeuf" TargetMode="External"/><Relationship Id="rId5667" Type="http://schemas.openxmlformats.org/officeDocument/2006/relationships/hyperlink" Target="https://www.immoscout24.ch/fr/appartement/louer/lieu-ferreyres" TargetMode="External"/><Relationship Id="rId6998" Type="http://schemas.openxmlformats.org/officeDocument/2006/relationships/hyperlink" Target="https://www.immoscout24.ch/fr/appartement/louer/quartier-chaumont-neuchatel" TargetMode="External"/><Relationship Id="rId475" Type="http://schemas.openxmlformats.org/officeDocument/2006/relationships/hyperlink" Target="https://www.immoscout24.ch/fr/maison/acheter/lieu-lauperswil" TargetMode="External"/><Relationship Id="rId3005" Type="http://schemas.openxmlformats.org/officeDocument/2006/relationships/hyperlink" Target="https://www.immoscout24.ch/fr/maison/acheter/lieu-rueyres-treyfayes" TargetMode="External"/><Relationship Id="rId4336" Type="http://schemas.openxmlformats.org/officeDocument/2006/relationships/hyperlink" Target="https://www.immoscout24.ch/fr/appartement/louer/lieu-euseigne" TargetMode="External"/><Relationship Id="rId5664" Type="http://schemas.openxmlformats.org/officeDocument/2006/relationships/hyperlink" Target="https://www.immoscout24.ch/fr/appartement/acheter/pays-suisse-fl" TargetMode="External"/><Relationship Id="rId6995" Type="http://schemas.openxmlformats.org/officeDocument/2006/relationships/hyperlink" Target="https://www.immoscout24.ch/fr/maison/acheter/lieu-stein-am-rhein" TargetMode="External"/><Relationship Id="rId474" Type="http://schemas.openxmlformats.org/officeDocument/2006/relationships/hyperlink" Target="https://www.immoscout24.ch/fr/appartement/acheter/canton-appenzell-ri" TargetMode="External"/><Relationship Id="rId3004" Type="http://schemas.openxmlformats.org/officeDocument/2006/relationships/hyperlink" Target="https://www.immoscout24.ch/fr/appartement/acheter/lieu-aarau" TargetMode="External"/><Relationship Id="rId4335" Type="http://schemas.openxmlformats.org/officeDocument/2006/relationships/hyperlink" Target="https://www.immoscout24.ch/fr/appartement/louer/lieu-euseigne" TargetMode="External"/><Relationship Id="rId5665" Type="http://schemas.openxmlformats.org/officeDocument/2006/relationships/hyperlink" Target="https://www.immoscout24.ch/fr/appartement/louer/lieu-turin-salins" TargetMode="External"/><Relationship Id="rId6996" Type="http://schemas.openxmlformats.org/officeDocument/2006/relationships/hyperlink" Target="https://www.immoscout24.ch/fr/maison/acheter/lieu-stein-am-rhein" TargetMode="External"/><Relationship Id="rId5615" Type="http://schemas.openxmlformats.org/officeDocument/2006/relationships/hyperlink" Target="https://www.immoscout24.ch/fr/maison/acheter/lieu-vetroz" TargetMode="External"/><Relationship Id="rId6946" Type="http://schemas.openxmlformats.org/officeDocument/2006/relationships/hyperlink" Target="https://www.immoscout24.ch/fr/maison/louer/lieu-iserables" TargetMode="External"/><Relationship Id="rId5616" Type="http://schemas.openxmlformats.org/officeDocument/2006/relationships/hyperlink" Target="https://www.immoscout24.ch/fr/maison/acheter/lieu-vetroz" TargetMode="External"/><Relationship Id="rId6947" Type="http://schemas.openxmlformats.org/officeDocument/2006/relationships/hyperlink" Target="https://www.immoscout24.ch/fr/maison/louer/region-bas-valais" TargetMode="External"/><Relationship Id="rId5613" Type="http://schemas.openxmlformats.org/officeDocument/2006/relationships/hyperlink" Target="https://www.immoscout24.ch/fr/maison/acheter/lieu-bofflens" TargetMode="External"/><Relationship Id="rId6944" Type="http://schemas.openxmlformats.org/officeDocument/2006/relationships/hyperlink" Target="https://www.immoscout24.ch/fr/maison/acheter/lieu-romainmotier" TargetMode="External"/><Relationship Id="rId5614" Type="http://schemas.openxmlformats.org/officeDocument/2006/relationships/hyperlink" Target="https://www.immoscout24.ch/fr/maison/acheter/lieu-bofflens" TargetMode="External"/><Relationship Id="rId6945" Type="http://schemas.openxmlformats.org/officeDocument/2006/relationships/hyperlink" Target="https://www.immoscout24.ch/fr/maison/louer/lieu-iserables" TargetMode="External"/><Relationship Id="rId5619" Type="http://schemas.openxmlformats.org/officeDocument/2006/relationships/hyperlink" Target="https://www.immoscout24.ch/fr/maison/acheter/lieu-neuenegg" TargetMode="External"/><Relationship Id="rId5617" Type="http://schemas.openxmlformats.org/officeDocument/2006/relationships/hyperlink" Target="https://www.immoscout24.ch/fr/appartement/acheter/lieu-menziken" TargetMode="External"/><Relationship Id="rId6948" Type="http://schemas.openxmlformats.org/officeDocument/2006/relationships/hyperlink" Target="https://www.immoscout24.ch/fr/maison/louer/region-bas-valais" TargetMode="External"/><Relationship Id="rId5618" Type="http://schemas.openxmlformats.org/officeDocument/2006/relationships/hyperlink" Target="https://www.immoscout24.ch/fr/appartement/acheter/lieu-menziken" TargetMode="External"/><Relationship Id="rId6949" Type="http://schemas.openxmlformats.org/officeDocument/2006/relationships/hyperlink" Target="https://www.immoscout24.ch/fr/appartement/acheter/lieu-les-monts-de-corsier" TargetMode="External"/><Relationship Id="rId426" Type="http://schemas.openxmlformats.org/officeDocument/2006/relationships/hyperlink" Target="https://www.immoscout24.ch/fr/appartement/acheter/lieu-twann" TargetMode="External"/><Relationship Id="rId425" Type="http://schemas.openxmlformats.org/officeDocument/2006/relationships/hyperlink" Target="https://www.immoscout24.ch/fr/appartement/acheter/lieu-twann" TargetMode="External"/><Relationship Id="rId424" Type="http://schemas.openxmlformats.org/officeDocument/2006/relationships/hyperlink" Target="https://www.immoscout24.ch/fr/appartement/louer/lieu-montagnola" TargetMode="External"/><Relationship Id="rId423" Type="http://schemas.openxmlformats.org/officeDocument/2006/relationships/hyperlink" Target="https://www.immoscout24.ch/fr/appartement/louer/lieu-montagnola" TargetMode="External"/><Relationship Id="rId429" Type="http://schemas.openxmlformats.org/officeDocument/2006/relationships/hyperlink" Target="https://www.immoscout24.ch/fr/appartement/louer/lieu-villars-le-terroir" TargetMode="External"/><Relationship Id="rId428" Type="http://schemas.openxmlformats.org/officeDocument/2006/relationships/hyperlink" Target="https://www.immoscout24.ch/fr/maison/louer/lieu-combremont-le-petit" TargetMode="External"/><Relationship Id="rId427" Type="http://schemas.openxmlformats.org/officeDocument/2006/relationships/hyperlink" Target="https://www.immoscout24.ch/fr/maison/louer/lieu-combremont-le-petit" TargetMode="External"/><Relationship Id="rId422" Type="http://schemas.openxmlformats.org/officeDocument/2006/relationships/hyperlink" Target="https://www.immoscout24.ch/fr/maison/louer/lieu-les-valettes-bovernier" TargetMode="External"/><Relationship Id="rId5611" Type="http://schemas.openxmlformats.org/officeDocument/2006/relationships/hyperlink" Target="https://www.immoscout24.ch/fr/maison/acheter/lieu-cugy-vd" TargetMode="External"/><Relationship Id="rId6942" Type="http://schemas.openxmlformats.org/officeDocument/2006/relationships/hyperlink" Target="https://www.immoscout24.ch/fr/appartement/louer/lieu-les-reussilles" TargetMode="External"/><Relationship Id="rId421" Type="http://schemas.openxmlformats.org/officeDocument/2006/relationships/hyperlink" Target="https://www.immoscout24.ch/fr/maison/louer/lieu-les-valettes-bovernier" TargetMode="External"/><Relationship Id="rId5612" Type="http://schemas.openxmlformats.org/officeDocument/2006/relationships/hyperlink" Target="https://www.immoscout24.ch/fr/maison/acheter/lieu-cugy-vd" TargetMode="External"/><Relationship Id="rId6943" Type="http://schemas.openxmlformats.org/officeDocument/2006/relationships/hyperlink" Target="https://www.immoscout24.ch/fr/maison/acheter/lieu-romainmotier" TargetMode="External"/><Relationship Id="rId420" Type="http://schemas.openxmlformats.org/officeDocument/2006/relationships/hyperlink" Target="https://www.immoscout24.ch/fr/appartement/louer/lieu-la-sarraz" TargetMode="External"/><Relationship Id="rId6940" Type="http://schemas.openxmlformats.org/officeDocument/2006/relationships/hyperlink" Target="https://www.immoscout24.ch/fr/appartement/acheter/lieu-vex" TargetMode="External"/><Relationship Id="rId5610" Type="http://schemas.openxmlformats.org/officeDocument/2006/relationships/hyperlink" Target="https://www.immoscout24.ch/fr/appartement/louer/lieu-yvorne" TargetMode="External"/><Relationship Id="rId6941" Type="http://schemas.openxmlformats.org/officeDocument/2006/relationships/hyperlink" Target="https://www.immoscout24.ch/fr/appartement/louer/lieu-les-reussilles" TargetMode="External"/><Relationship Id="rId5604" Type="http://schemas.openxmlformats.org/officeDocument/2006/relationships/hyperlink" Target="https://www.immoscout24.ch/fr/appartement/louer/lieu-aproz-nendaz" TargetMode="External"/><Relationship Id="rId6935" Type="http://schemas.openxmlformats.org/officeDocument/2006/relationships/hyperlink" Target="https://www.immoscout24.ch/fr/maison/louer/lieu-mase" TargetMode="External"/><Relationship Id="rId5605" Type="http://schemas.openxmlformats.org/officeDocument/2006/relationships/hyperlink" Target="https://www.immoscout24.ch/fr/appartement/acheter/lieu-plan-les-ouates" TargetMode="External"/><Relationship Id="rId6936" Type="http://schemas.openxmlformats.org/officeDocument/2006/relationships/hyperlink" Target="https://www.immoscout24.ch/fr/maison/louer/lieu-mase" TargetMode="External"/><Relationship Id="rId5602" Type="http://schemas.openxmlformats.org/officeDocument/2006/relationships/hyperlink" Target="https://www.immoscout24.ch/fr/maison/acheter/lieu-meilen" TargetMode="External"/><Relationship Id="rId6933" Type="http://schemas.openxmlformats.org/officeDocument/2006/relationships/hyperlink" Target="https://www.immoscout24.ch/fr/maison/acheter/lieu-montagny-la-ville" TargetMode="External"/><Relationship Id="rId5603" Type="http://schemas.openxmlformats.org/officeDocument/2006/relationships/hyperlink" Target="https://www.immoscout24.ch/fr/appartement/louer/lieu-aproz-nendaz" TargetMode="External"/><Relationship Id="rId6934" Type="http://schemas.openxmlformats.org/officeDocument/2006/relationships/hyperlink" Target="https://www.immoscout24.ch/fr/maison/acheter/lieu-montagny-la-ville" TargetMode="External"/><Relationship Id="rId5608" Type="http://schemas.openxmlformats.org/officeDocument/2006/relationships/hyperlink" Target="https://www.immoscout24.ch/fr/appartement/acheter/lieu-torny-le-grand" TargetMode="External"/><Relationship Id="rId6939" Type="http://schemas.openxmlformats.org/officeDocument/2006/relationships/hyperlink" Target="https://www.immoscout24.ch/fr/appartement/acheter/lieu-vex" TargetMode="External"/><Relationship Id="rId5609" Type="http://schemas.openxmlformats.org/officeDocument/2006/relationships/hyperlink" Target="https://www.immoscout24.ch/fr/appartement/louer/lieu-yvorne" TargetMode="External"/><Relationship Id="rId5606" Type="http://schemas.openxmlformats.org/officeDocument/2006/relationships/hyperlink" Target="https://www.immoscout24.ch/fr/appartement/acheter/lieu-plan-les-ouates" TargetMode="External"/><Relationship Id="rId6937" Type="http://schemas.openxmlformats.org/officeDocument/2006/relationships/hyperlink" Target="https://www.immoscout24.ch/fr/maison/acheter/lieu-cointrin" TargetMode="External"/><Relationship Id="rId5607" Type="http://schemas.openxmlformats.org/officeDocument/2006/relationships/hyperlink" Target="https://www.immoscout24.ch/fr/appartement/acheter/lieu-torny-le-grand" TargetMode="External"/><Relationship Id="rId6938" Type="http://schemas.openxmlformats.org/officeDocument/2006/relationships/hyperlink" Target="https://www.immoscout24.ch/fr/maison/acheter/lieu-cointrin" TargetMode="External"/><Relationship Id="rId415" Type="http://schemas.openxmlformats.org/officeDocument/2006/relationships/hyperlink" Target="https://www.immoscout24.ch/fr/maison/louer/lieu-seuzach" TargetMode="External"/><Relationship Id="rId414" Type="http://schemas.openxmlformats.org/officeDocument/2006/relationships/hyperlink" Target="https://www.immoscout24.ch/fr/maison/acheter/lieu-fontenais" TargetMode="External"/><Relationship Id="rId413" Type="http://schemas.openxmlformats.org/officeDocument/2006/relationships/hyperlink" Target="https://www.immoscout24.ch/fr/maison/acheter/lieu-fontenais" TargetMode="External"/><Relationship Id="rId412" Type="http://schemas.openxmlformats.org/officeDocument/2006/relationships/hyperlink" Target="https://www.immoscout24.ch/fr/maison/louer/lieu-villmergen" TargetMode="External"/><Relationship Id="rId419" Type="http://schemas.openxmlformats.org/officeDocument/2006/relationships/hyperlink" Target="https://www.immoscout24.ch/fr/appartement/louer/lieu-la-sarraz" TargetMode="External"/><Relationship Id="rId418" Type="http://schemas.openxmlformats.org/officeDocument/2006/relationships/hyperlink" Target="https://www.immoscout24.ch/fr/maison/acheter/lieu-tschingel-ob-gunten" TargetMode="External"/><Relationship Id="rId417" Type="http://schemas.openxmlformats.org/officeDocument/2006/relationships/hyperlink" Target="https://www.immoscout24.ch/fr/maison/acheter/lieu-tschingel-ob-gunten" TargetMode="External"/><Relationship Id="rId416" Type="http://schemas.openxmlformats.org/officeDocument/2006/relationships/hyperlink" Target="https://www.immoscout24.ch/fr/maison/louer/lieu-seuzach" TargetMode="External"/><Relationship Id="rId411" Type="http://schemas.openxmlformats.org/officeDocument/2006/relationships/hyperlink" Target="https://www.immoscout24.ch/fr/maison/louer/lieu-villmergen" TargetMode="External"/><Relationship Id="rId5600" Type="http://schemas.openxmlformats.org/officeDocument/2006/relationships/hyperlink" Target="https://www.immoscout24.ch/fr/appartement/acheter/lieu-rosshaeusern" TargetMode="External"/><Relationship Id="rId6931" Type="http://schemas.openxmlformats.org/officeDocument/2006/relationships/hyperlink" Target="https://www.immoscout24.ch/fr/appartement/louer/lieu-clarmont" TargetMode="External"/><Relationship Id="rId410" Type="http://schemas.openxmlformats.org/officeDocument/2006/relationships/hyperlink" Target="https://www.immoscout24.ch/fr/appartement/acheter/lieu-chenens" TargetMode="External"/><Relationship Id="rId5601" Type="http://schemas.openxmlformats.org/officeDocument/2006/relationships/hyperlink" Target="https://www.immoscout24.ch/fr/maison/acheter/lieu-meilen" TargetMode="External"/><Relationship Id="rId6932" Type="http://schemas.openxmlformats.org/officeDocument/2006/relationships/hyperlink" Target="https://www.immoscout24.ch/fr/appartement/louer/lieu-clarmont" TargetMode="External"/><Relationship Id="rId6930" Type="http://schemas.openxmlformats.org/officeDocument/2006/relationships/hyperlink" Target="https://www.immoscout24.ch/fr/appartement/louer/lieu-sedeilles" TargetMode="External"/><Relationship Id="rId4305" Type="http://schemas.openxmlformats.org/officeDocument/2006/relationships/hyperlink" Target="https://www.immoscout24.ch/fr/maison/acheter/lieu-oleyres" TargetMode="External"/><Relationship Id="rId5637" Type="http://schemas.openxmlformats.org/officeDocument/2006/relationships/hyperlink" Target="https://www.immoscout24.ch/fr/appartement/acheter/lieu-stalden-vs" TargetMode="External"/><Relationship Id="rId6968" Type="http://schemas.openxmlformats.org/officeDocument/2006/relationships/hyperlink" Target="https://www.immoscout24.ch/fr/appartement/acheter/lieu-ecublens-vd" TargetMode="External"/><Relationship Id="rId4304" Type="http://schemas.openxmlformats.org/officeDocument/2006/relationships/hyperlink" Target="https://www.immoscout24.ch/fr/maison/louer/lieu-montana" TargetMode="External"/><Relationship Id="rId5638" Type="http://schemas.openxmlformats.org/officeDocument/2006/relationships/hyperlink" Target="https://www.immoscout24.ch/fr/appartement/acheter/lieu-stalden-vs" TargetMode="External"/><Relationship Id="rId6969" Type="http://schemas.openxmlformats.org/officeDocument/2006/relationships/hyperlink" Target="https://www.immoscout24.ch/fr/appartement/louer/lieu-lignieres" TargetMode="External"/><Relationship Id="rId4307" Type="http://schemas.openxmlformats.org/officeDocument/2006/relationships/hyperlink" Target="https://www.immoscout24.ch/fr/maison/louer/lieu-echandens" TargetMode="External"/><Relationship Id="rId5635" Type="http://schemas.openxmlformats.org/officeDocument/2006/relationships/hyperlink" Target="https://www.immoscout24.ch/fr/appartement/louer/lieu-neuchatel" TargetMode="External"/><Relationship Id="rId6966" Type="http://schemas.openxmlformats.org/officeDocument/2006/relationships/hyperlink" Target="https://www.immoscout24.ch/fr/maison/acheter/lieu-sala-capriasca" TargetMode="External"/><Relationship Id="rId4306" Type="http://schemas.openxmlformats.org/officeDocument/2006/relationships/hyperlink" Target="https://www.immoscout24.ch/fr/maison/acheter/lieu-oleyres" TargetMode="External"/><Relationship Id="rId5636" Type="http://schemas.openxmlformats.org/officeDocument/2006/relationships/hyperlink" Target="https://www.immoscout24.ch/fr/appartement/louer/lieu-neuchatel" TargetMode="External"/><Relationship Id="rId6967" Type="http://schemas.openxmlformats.org/officeDocument/2006/relationships/hyperlink" Target="https://www.immoscout24.ch/fr/appartement/acheter/lieu-ecublens-vd" TargetMode="External"/><Relationship Id="rId4309" Type="http://schemas.openxmlformats.org/officeDocument/2006/relationships/hyperlink" Target="https://www.immoscout24.ch/fr/appartement/louer/lieu-wuennewil" TargetMode="External"/><Relationship Id="rId4308" Type="http://schemas.openxmlformats.org/officeDocument/2006/relationships/hyperlink" Target="https://www.immoscout24.ch/fr/maison/louer/lieu-echandens" TargetMode="External"/><Relationship Id="rId5639" Type="http://schemas.openxmlformats.org/officeDocument/2006/relationships/hyperlink" Target="https://www.immoscout24.ch/fr/maison/acheter/lieu-lavertezzo" TargetMode="External"/><Relationship Id="rId448" Type="http://schemas.openxmlformats.org/officeDocument/2006/relationships/hyperlink" Target="https://www.immoscout24.ch/fr/appartement/louer/quartier-secteur-forain-nord-la-chaux-de-fonds" TargetMode="External"/><Relationship Id="rId447" Type="http://schemas.openxmlformats.org/officeDocument/2006/relationships/hyperlink" Target="https://www.immoscout24.ch/fr/appartement/louer/quartier-secteur-forain-nord-la-chaux-de-fonds" TargetMode="External"/><Relationship Id="rId446" Type="http://schemas.openxmlformats.org/officeDocument/2006/relationships/hyperlink" Target="https://www.immoscout24.ch/fr/appartement/acheter/lieu-bevilard" TargetMode="External"/><Relationship Id="rId445" Type="http://schemas.openxmlformats.org/officeDocument/2006/relationships/hyperlink" Target="https://www.immoscout24.ch/fr/appartement/acheter/lieu-bevilard" TargetMode="External"/><Relationship Id="rId449" Type="http://schemas.openxmlformats.org/officeDocument/2006/relationships/hyperlink" Target="https://www.immoscout24.ch/fr/appartement/louer/lieu-auboranges" TargetMode="External"/><Relationship Id="rId440" Type="http://schemas.openxmlformats.org/officeDocument/2006/relationships/hyperlink" Target="https://www.immoscout24.ch/fr/maison/acheter/lieu-vessy" TargetMode="External"/><Relationship Id="rId6960" Type="http://schemas.openxmlformats.org/officeDocument/2006/relationships/hyperlink" Target="https://www.immoscout24.ch/fr/appartement/louer/lieu-feuerthalen" TargetMode="External"/><Relationship Id="rId5630" Type="http://schemas.openxmlformats.org/officeDocument/2006/relationships/hyperlink" Target="https://www.immoscout24.ch/fr/maison/louer/region-aigle-alpes-vaudoises" TargetMode="External"/><Relationship Id="rId6961" Type="http://schemas.openxmlformats.org/officeDocument/2006/relationships/hyperlink" Target="https://www.immoscout24.ch/fr/maison/acheter/lieu-bussigny-sur-oron" TargetMode="External"/><Relationship Id="rId444" Type="http://schemas.openxmlformats.org/officeDocument/2006/relationships/hyperlink" Target="https://www.immoscout24.ch/fr/appartement/acheter/lieu-belp" TargetMode="External"/><Relationship Id="rId4301" Type="http://schemas.openxmlformats.org/officeDocument/2006/relationships/hyperlink" Target="https://www.immoscout24.ch/fr/maison/acheter/lieu-ocourt" TargetMode="External"/><Relationship Id="rId5633" Type="http://schemas.openxmlformats.org/officeDocument/2006/relationships/hyperlink" Target="https://www.immoscout24.ch/fr/appartement/louer/lieu-senarclens" TargetMode="External"/><Relationship Id="rId6964" Type="http://schemas.openxmlformats.org/officeDocument/2006/relationships/hyperlink" Target="https://www.immoscout24.ch/fr/appartement/acheter/lieu-bivio" TargetMode="External"/><Relationship Id="rId443" Type="http://schemas.openxmlformats.org/officeDocument/2006/relationships/hyperlink" Target="https://www.immoscout24.ch/fr/appartement/acheter/lieu-belp" TargetMode="External"/><Relationship Id="rId4300" Type="http://schemas.openxmlformats.org/officeDocument/2006/relationships/hyperlink" Target="https://www.immoscout24.ch/fr/maison/acheter/lieu-hilterfingen" TargetMode="External"/><Relationship Id="rId5634" Type="http://schemas.openxmlformats.org/officeDocument/2006/relationships/hyperlink" Target="https://www.immoscout24.ch/fr/appartement/louer/lieu-senarclens" TargetMode="External"/><Relationship Id="rId6965" Type="http://schemas.openxmlformats.org/officeDocument/2006/relationships/hyperlink" Target="https://www.immoscout24.ch/fr/maison/acheter/lieu-sala-capriasca" TargetMode="External"/><Relationship Id="rId442" Type="http://schemas.openxmlformats.org/officeDocument/2006/relationships/hyperlink" Target="https://www.immoscout24.ch/fr/maison/acheter/lieu-chene-bougeries" TargetMode="External"/><Relationship Id="rId4303" Type="http://schemas.openxmlformats.org/officeDocument/2006/relationships/hyperlink" Target="https://www.immoscout24.ch/fr/maison/louer/lieu-montana" TargetMode="External"/><Relationship Id="rId5631" Type="http://schemas.openxmlformats.org/officeDocument/2006/relationships/hyperlink" Target="https://www.immoscout24.ch/fr/appartement/louer/lieu-la-garde-sembrancher" TargetMode="External"/><Relationship Id="rId6962" Type="http://schemas.openxmlformats.org/officeDocument/2006/relationships/hyperlink" Target="https://www.immoscout24.ch/fr/maison/acheter/lieu-bussigny-sur-oron" TargetMode="External"/><Relationship Id="rId441" Type="http://schemas.openxmlformats.org/officeDocument/2006/relationships/hyperlink" Target="https://www.immoscout24.ch/fr/maison/acheter/lieu-chene-bougeries" TargetMode="External"/><Relationship Id="rId4302" Type="http://schemas.openxmlformats.org/officeDocument/2006/relationships/hyperlink" Target="https://www.immoscout24.ch/fr/maison/acheter/lieu-ocourt" TargetMode="External"/><Relationship Id="rId5632" Type="http://schemas.openxmlformats.org/officeDocument/2006/relationships/hyperlink" Target="https://www.immoscout24.ch/fr/appartement/louer/lieu-la-garde-sembrancher" TargetMode="External"/><Relationship Id="rId6963" Type="http://schemas.openxmlformats.org/officeDocument/2006/relationships/hyperlink" Target="https://www.immoscout24.ch/fr/appartement/acheter/lieu-bivio" TargetMode="External"/><Relationship Id="rId5626" Type="http://schemas.openxmlformats.org/officeDocument/2006/relationships/hyperlink" Target="https://www.immoscout24.ch/fr/appartement/acheter/lieu-les-avanchets" TargetMode="External"/><Relationship Id="rId6957" Type="http://schemas.openxmlformats.org/officeDocument/2006/relationships/hyperlink" Target="https://www.immoscout24.ch/fr/appartement/louer/lieu-sementina" TargetMode="External"/><Relationship Id="rId5627" Type="http://schemas.openxmlformats.org/officeDocument/2006/relationships/hyperlink" Target="https://www.immoscout24.ch/fr/appartement/acheter/lieu-posieux" TargetMode="External"/><Relationship Id="rId6958" Type="http://schemas.openxmlformats.org/officeDocument/2006/relationships/hyperlink" Target="https://www.immoscout24.ch/fr/appartement/louer/lieu-sementina" TargetMode="External"/><Relationship Id="rId5624" Type="http://schemas.openxmlformats.org/officeDocument/2006/relationships/hyperlink" Target="https://www.immoscout24.ch/fr/appartement/louer/lieu-breganzona" TargetMode="External"/><Relationship Id="rId6955" Type="http://schemas.openxmlformats.org/officeDocument/2006/relationships/hyperlink" Target="https://www.immoscout24.ch/fr/maison/acheter/lieu-romanel-sur-morges" TargetMode="External"/><Relationship Id="rId5625" Type="http://schemas.openxmlformats.org/officeDocument/2006/relationships/hyperlink" Target="https://www.immoscout24.ch/fr/appartement/acheter/lieu-les-avanchets" TargetMode="External"/><Relationship Id="rId6956" Type="http://schemas.openxmlformats.org/officeDocument/2006/relationships/hyperlink" Target="https://www.immoscout24.ch/fr/maison/acheter/lieu-romanel-sur-morges" TargetMode="External"/><Relationship Id="rId5628" Type="http://schemas.openxmlformats.org/officeDocument/2006/relationships/hyperlink" Target="https://www.immoscout24.ch/fr/appartement/acheter/lieu-posieux" TargetMode="External"/><Relationship Id="rId6959" Type="http://schemas.openxmlformats.org/officeDocument/2006/relationships/hyperlink" Target="https://www.immoscout24.ch/fr/appartement/louer/lieu-feuerthalen" TargetMode="External"/><Relationship Id="rId5629" Type="http://schemas.openxmlformats.org/officeDocument/2006/relationships/hyperlink" Target="https://www.immoscout24.ch/fr/maison/louer/region-aigle-alpes-vaudoises" TargetMode="External"/><Relationship Id="rId437" Type="http://schemas.openxmlformats.org/officeDocument/2006/relationships/hyperlink" Target="https://www.immoscout24.ch/fr/appartement/acheter/lieu-bremgarten-ag" TargetMode="External"/><Relationship Id="rId436" Type="http://schemas.openxmlformats.org/officeDocument/2006/relationships/hyperlink" Target="https://www.immoscout24.ch/fr/appartement/louer/lieu-schmitten-fr" TargetMode="External"/><Relationship Id="rId435" Type="http://schemas.openxmlformats.org/officeDocument/2006/relationships/hyperlink" Target="https://www.immoscout24.ch/fr/appartement/louer/lieu-schmitten-fr" TargetMode="External"/><Relationship Id="rId434" Type="http://schemas.openxmlformats.org/officeDocument/2006/relationships/hyperlink" Target="https://www.immoscout24.ch/fr/maison/acheter/lieu-la-russille" TargetMode="External"/><Relationship Id="rId439" Type="http://schemas.openxmlformats.org/officeDocument/2006/relationships/hyperlink" Target="https://www.immoscout24.ch/fr/maison/acheter/lieu-vessy" TargetMode="External"/><Relationship Id="rId438" Type="http://schemas.openxmlformats.org/officeDocument/2006/relationships/hyperlink" Target="https://www.immoscout24.ch/fr/appartement/acheter/lieu-bremgarten-ag" TargetMode="External"/><Relationship Id="rId6950" Type="http://schemas.openxmlformats.org/officeDocument/2006/relationships/hyperlink" Target="https://www.immoscout24.ch/fr/appartement/acheter/lieu-les-monts-de-corsier" TargetMode="External"/><Relationship Id="rId433" Type="http://schemas.openxmlformats.org/officeDocument/2006/relationships/hyperlink" Target="https://www.immoscout24.ch/fr/maison/acheter/lieu-la-russille" TargetMode="External"/><Relationship Id="rId5622" Type="http://schemas.openxmlformats.org/officeDocument/2006/relationships/hyperlink" Target="https://www.immoscout24.ch/fr/maison/louer/lieu-athenaz-avusy" TargetMode="External"/><Relationship Id="rId6953" Type="http://schemas.openxmlformats.org/officeDocument/2006/relationships/hyperlink" Target="https://www.immoscout24.ch/fr/appartement/louer/lieu-lucens" TargetMode="External"/><Relationship Id="rId432" Type="http://schemas.openxmlformats.org/officeDocument/2006/relationships/hyperlink" Target="https://www.immoscout24.ch/fr/appartement/louer/lieu-martigny" TargetMode="External"/><Relationship Id="rId5623" Type="http://schemas.openxmlformats.org/officeDocument/2006/relationships/hyperlink" Target="https://www.immoscout24.ch/fr/appartement/louer/lieu-breganzona" TargetMode="External"/><Relationship Id="rId6954" Type="http://schemas.openxmlformats.org/officeDocument/2006/relationships/hyperlink" Target="https://www.immoscout24.ch/fr/appartement/louer/lieu-lucens" TargetMode="External"/><Relationship Id="rId431" Type="http://schemas.openxmlformats.org/officeDocument/2006/relationships/hyperlink" Target="https://www.immoscout24.ch/fr/appartement/louer/lieu-martigny" TargetMode="External"/><Relationship Id="rId5620" Type="http://schemas.openxmlformats.org/officeDocument/2006/relationships/hyperlink" Target="https://www.immoscout24.ch/fr/maison/acheter/lieu-neuenegg" TargetMode="External"/><Relationship Id="rId6951" Type="http://schemas.openxmlformats.org/officeDocument/2006/relationships/hyperlink" Target="https://www.immoscout24.ch/fr/appartement/acheter/lieu-soyhieres" TargetMode="External"/><Relationship Id="rId430" Type="http://schemas.openxmlformats.org/officeDocument/2006/relationships/hyperlink" Target="https://www.immoscout24.ch/fr/appartement/louer/lieu-villars-le-terroir" TargetMode="External"/><Relationship Id="rId5621" Type="http://schemas.openxmlformats.org/officeDocument/2006/relationships/hyperlink" Target="https://www.immoscout24.ch/fr/maison/louer/lieu-athenaz-avusy" TargetMode="External"/><Relationship Id="rId6952" Type="http://schemas.openxmlformats.org/officeDocument/2006/relationships/hyperlink" Target="https://www.immoscout24.ch/fr/appartement/acheter/lieu-soyhieres" TargetMode="External"/><Relationship Id="rId6108" Type="http://schemas.openxmlformats.org/officeDocument/2006/relationships/hyperlink" Target="https://www.immoscout24.ch/fr/maison/louer/lieu-perroy" TargetMode="External"/><Relationship Id="rId6109" Type="http://schemas.openxmlformats.org/officeDocument/2006/relationships/hyperlink" Target="https://www.immoscout24.ch/fr/appartement/acheter/lieu-chexbres" TargetMode="External"/><Relationship Id="rId7439" Type="http://schemas.openxmlformats.org/officeDocument/2006/relationships/hyperlink" Target="https://www.immoscout24.ch/fr/appartement/louer/quartier-linsebuehl-dreilinden-st-gall" TargetMode="External"/><Relationship Id="rId7430" Type="http://schemas.openxmlformats.org/officeDocument/2006/relationships/hyperlink" Target="https://www.immoscout24.ch/fr/appartement/louer/lieu-mollis" TargetMode="External"/><Relationship Id="rId8761" Type="http://schemas.openxmlformats.org/officeDocument/2006/relationships/hyperlink" Target="https://www.immoscout24.ch/fr/maison/acheter/lieu-muenchenstein" TargetMode="External"/><Relationship Id="rId8760" Type="http://schemas.openxmlformats.org/officeDocument/2006/relationships/hyperlink" Target="https://www.immoscout24.ch/fr/appartement/louer/lieu-wauwil" TargetMode="External"/><Relationship Id="rId6102" Type="http://schemas.openxmlformats.org/officeDocument/2006/relationships/hyperlink" Target="https://www.immoscout24.ch/fr/maison/louer/lieu-l-abergement" TargetMode="External"/><Relationship Id="rId7434" Type="http://schemas.openxmlformats.org/officeDocument/2006/relationships/hyperlink" Target="https://www.immoscout24.ch/fr/appartement/acheter/lieu-biel-bienne" TargetMode="External"/><Relationship Id="rId8765" Type="http://schemas.openxmlformats.org/officeDocument/2006/relationships/hyperlink" Target="https://www.immoscout24.ch/fr/maison/acheter/lieu-starrkirch-wil" TargetMode="External"/><Relationship Id="rId6103" Type="http://schemas.openxmlformats.org/officeDocument/2006/relationships/hyperlink" Target="https://www.immoscout24.ch/fr/appartement/louer/lieu-unterentfelden" TargetMode="External"/><Relationship Id="rId7433" Type="http://schemas.openxmlformats.org/officeDocument/2006/relationships/hyperlink" Target="https://www.immoscout24.ch/fr/appartement/acheter/lieu-biel-bienne" TargetMode="External"/><Relationship Id="rId8764" Type="http://schemas.openxmlformats.org/officeDocument/2006/relationships/hyperlink" Target="https://www.immoscout24.ch/fr/appartement/louer/lieu-wohlen-b-bern" TargetMode="External"/><Relationship Id="rId6100" Type="http://schemas.openxmlformats.org/officeDocument/2006/relationships/hyperlink" Target="https://www.immoscout24.ch/fr/maison/louer/lieu-les-posses-sur-bex" TargetMode="External"/><Relationship Id="rId7432" Type="http://schemas.openxmlformats.org/officeDocument/2006/relationships/hyperlink" Target="https://www.immoscout24.ch/fr/appartement/louer/lieu-montcherand" TargetMode="External"/><Relationship Id="rId8763" Type="http://schemas.openxmlformats.org/officeDocument/2006/relationships/hyperlink" Target="https://www.immoscout24.ch/fr/appartement/louer/lieu-wohlen-b-bern" TargetMode="External"/><Relationship Id="rId6101" Type="http://schemas.openxmlformats.org/officeDocument/2006/relationships/hyperlink" Target="https://www.immoscout24.ch/fr/maison/louer/lieu-l-abergement" TargetMode="External"/><Relationship Id="rId7431" Type="http://schemas.openxmlformats.org/officeDocument/2006/relationships/hyperlink" Target="https://www.immoscout24.ch/fr/appartement/louer/lieu-montcherand" TargetMode="External"/><Relationship Id="rId8762" Type="http://schemas.openxmlformats.org/officeDocument/2006/relationships/hyperlink" Target="https://www.immoscout24.ch/fr/maison/acheter/lieu-muenchenstein" TargetMode="External"/><Relationship Id="rId6106" Type="http://schemas.openxmlformats.org/officeDocument/2006/relationships/hyperlink" Target="https://www.immoscout24.ch/fr/appartement/louer/lieu-faellanden" TargetMode="External"/><Relationship Id="rId7438" Type="http://schemas.openxmlformats.org/officeDocument/2006/relationships/hyperlink" Target="https://www.immoscout24.ch/fr/appartement/acheter/lieu-koppigen" TargetMode="External"/><Relationship Id="rId8769" Type="http://schemas.openxmlformats.org/officeDocument/2006/relationships/hyperlink" Target="https://www.immoscout24.ch/fr/maison/acheter/lieu-rueyres-st-laurent" TargetMode="External"/><Relationship Id="rId6107" Type="http://schemas.openxmlformats.org/officeDocument/2006/relationships/hyperlink" Target="https://www.immoscout24.ch/fr/maison/louer/lieu-perroy" TargetMode="External"/><Relationship Id="rId7437" Type="http://schemas.openxmlformats.org/officeDocument/2006/relationships/hyperlink" Target="https://www.immoscout24.ch/fr/appartement/acheter/lieu-koppigen" TargetMode="External"/><Relationship Id="rId8768" Type="http://schemas.openxmlformats.org/officeDocument/2006/relationships/hyperlink" Target="https://www.immoscout24.ch/fr/maison/louer/lieu-lucens" TargetMode="External"/><Relationship Id="rId6104" Type="http://schemas.openxmlformats.org/officeDocument/2006/relationships/hyperlink" Target="https://www.immoscout24.ch/fr/appartement/louer/lieu-unterentfelden" TargetMode="External"/><Relationship Id="rId7436" Type="http://schemas.openxmlformats.org/officeDocument/2006/relationships/hyperlink" Target="https://www.immoscout24.ch/fr/appartement/louer/lieu-geneve" TargetMode="External"/><Relationship Id="rId8767" Type="http://schemas.openxmlformats.org/officeDocument/2006/relationships/hyperlink" Target="https://www.immoscout24.ch/fr/maison/louer/lieu-lucens" TargetMode="External"/><Relationship Id="rId6105" Type="http://schemas.openxmlformats.org/officeDocument/2006/relationships/hyperlink" Target="https://www.immoscout24.ch/fr/appartement/louer/lieu-faellanden" TargetMode="External"/><Relationship Id="rId7435" Type="http://schemas.openxmlformats.org/officeDocument/2006/relationships/hyperlink" Target="https://www.immoscout24.ch/fr/appartement/louer/lieu-geneve" TargetMode="External"/><Relationship Id="rId8766" Type="http://schemas.openxmlformats.org/officeDocument/2006/relationships/hyperlink" Target="https://www.immoscout24.ch/fr/maison/acheter/lieu-starrkirch-wil" TargetMode="External"/><Relationship Id="rId7429" Type="http://schemas.openxmlformats.org/officeDocument/2006/relationships/hyperlink" Target="https://www.immoscout24.ch/fr/appartement/louer/lieu-mollis" TargetMode="External"/><Relationship Id="rId7428" Type="http://schemas.openxmlformats.org/officeDocument/2006/relationships/hyperlink" Target="https://www.immoscout24.ch/fr/maison/louer/lieu-etoy" TargetMode="External"/><Relationship Id="rId8759" Type="http://schemas.openxmlformats.org/officeDocument/2006/relationships/hyperlink" Target="https://www.immoscout24.ch/fr/appartement/louer/lieu-wauwil" TargetMode="External"/><Relationship Id="rId8750" Type="http://schemas.openxmlformats.org/officeDocument/2006/relationships/hyperlink" Target="https://www.immoscout24.ch/fr/appartement/louer/lieu-bottmingen" TargetMode="External"/><Relationship Id="rId7423" Type="http://schemas.openxmlformats.org/officeDocument/2006/relationships/hyperlink" Target="https://www.immoscout24.ch/fr/appartement/louer/lieu-donneloye" TargetMode="External"/><Relationship Id="rId8754" Type="http://schemas.openxmlformats.org/officeDocument/2006/relationships/hyperlink" Target="https://www.immoscout24.ch/fr/appartement/acheter/lieu-muraz-sierre" TargetMode="External"/><Relationship Id="rId7422" Type="http://schemas.openxmlformats.org/officeDocument/2006/relationships/hyperlink" Target="https://www.immoscout24.ch/fr/appartement/acheter/lieu-melano" TargetMode="External"/><Relationship Id="rId8753" Type="http://schemas.openxmlformats.org/officeDocument/2006/relationships/hyperlink" Target="https://www.immoscout24.ch/fr/appartement/acheter/lieu-muraz-sierre" TargetMode="External"/><Relationship Id="rId7421" Type="http://schemas.openxmlformats.org/officeDocument/2006/relationships/hyperlink" Target="https://www.immoscout24.ch/fr/appartement/acheter/lieu-melano" TargetMode="External"/><Relationship Id="rId8752" Type="http://schemas.openxmlformats.org/officeDocument/2006/relationships/hyperlink" Target="https://www.immoscout24.ch/fr/maison/acheter/lieu-menieres" TargetMode="External"/><Relationship Id="rId7420" Type="http://schemas.openxmlformats.org/officeDocument/2006/relationships/hyperlink" Target="https://www.immoscout24.ch/fr/appartement/louer/lieu-vallorbe" TargetMode="External"/><Relationship Id="rId8751" Type="http://schemas.openxmlformats.org/officeDocument/2006/relationships/hyperlink" Target="https://www.immoscout24.ch/fr/maison/acheter/lieu-menieres" TargetMode="External"/><Relationship Id="rId7427" Type="http://schemas.openxmlformats.org/officeDocument/2006/relationships/hyperlink" Target="https://www.immoscout24.ch/fr/maison/louer/lieu-etoy" TargetMode="External"/><Relationship Id="rId8758" Type="http://schemas.openxmlformats.org/officeDocument/2006/relationships/hyperlink" Target="https://www.immoscout24.ch/fr/appartement/louer/lieu-bournens" TargetMode="External"/><Relationship Id="rId7426" Type="http://schemas.openxmlformats.org/officeDocument/2006/relationships/hyperlink" Target="https://www.immoscout24.ch/fr/maison/acheter/lieu-la-neuveville" TargetMode="External"/><Relationship Id="rId8757" Type="http://schemas.openxmlformats.org/officeDocument/2006/relationships/hyperlink" Target="https://www.immoscout24.ch/fr/appartement/louer/lieu-bournens" TargetMode="External"/><Relationship Id="rId7425" Type="http://schemas.openxmlformats.org/officeDocument/2006/relationships/hyperlink" Target="https://www.immoscout24.ch/fr/maison/acheter/lieu-la-neuveville" TargetMode="External"/><Relationship Id="rId8756" Type="http://schemas.openxmlformats.org/officeDocument/2006/relationships/hyperlink" Target="https://www.immoscout24.ch/fr/maison/acheter/lieu-cheiry" TargetMode="External"/><Relationship Id="rId7424" Type="http://schemas.openxmlformats.org/officeDocument/2006/relationships/hyperlink" Target="https://www.immoscout24.ch/fr/appartement/louer/lieu-donneloye" TargetMode="External"/><Relationship Id="rId8755" Type="http://schemas.openxmlformats.org/officeDocument/2006/relationships/hyperlink" Target="https://www.immoscout24.ch/fr/maison/acheter/lieu-cheiry" TargetMode="External"/><Relationship Id="rId6120" Type="http://schemas.openxmlformats.org/officeDocument/2006/relationships/hyperlink" Target="https://www.immoscout24.ch/fr/maison/acheter/lieu-oberschrot" TargetMode="External"/><Relationship Id="rId7452" Type="http://schemas.openxmlformats.org/officeDocument/2006/relationships/hyperlink" Target="https://www.immoscout24.ch/fr/appartement/acheter/lieu-lostorf" TargetMode="External"/><Relationship Id="rId8783" Type="http://schemas.openxmlformats.org/officeDocument/2006/relationships/hyperlink" Target="https://www.immoscout24.ch/fr/maison/acheter/lieu-nunningen" TargetMode="External"/><Relationship Id="rId6121" Type="http://schemas.openxmlformats.org/officeDocument/2006/relationships/hyperlink" Target="https://www.immoscout24.ch/fr/maison/louer/lieu-massongex" TargetMode="External"/><Relationship Id="rId7451" Type="http://schemas.openxmlformats.org/officeDocument/2006/relationships/hyperlink" Target="https://www.immoscout24.ch/fr/appartement/acheter/lieu-lostorf" TargetMode="External"/><Relationship Id="rId8782" Type="http://schemas.openxmlformats.org/officeDocument/2006/relationships/hyperlink" Target="https://www.immoscout24.ch/fr/maison/acheter/lieu-birmenstorf-ag" TargetMode="External"/><Relationship Id="rId7450" Type="http://schemas.openxmlformats.org/officeDocument/2006/relationships/hyperlink" Target="https://www.immoscout24.ch/fr/appartement/acheter/lieu-chavannes-des-bois" TargetMode="External"/><Relationship Id="rId8781" Type="http://schemas.openxmlformats.org/officeDocument/2006/relationships/hyperlink" Target="https://www.immoscout24.ch/fr/maison/acheter/lieu-birmenstorf-ag" TargetMode="External"/><Relationship Id="rId8780" Type="http://schemas.openxmlformats.org/officeDocument/2006/relationships/hyperlink" Target="https://www.immoscout24.ch/fr/appartement/louer/quartier-gryphenhuebeli-berne" TargetMode="External"/><Relationship Id="rId6124" Type="http://schemas.openxmlformats.org/officeDocument/2006/relationships/hyperlink" Target="https://www.immoscout24.ch/fr/maison/acheter/lieu-fusio" TargetMode="External"/><Relationship Id="rId7456" Type="http://schemas.openxmlformats.org/officeDocument/2006/relationships/hyperlink" Target="https://www.immoscout24.ch/fr/maison/louer/lieu-develier" TargetMode="External"/><Relationship Id="rId8787" Type="http://schemas.openxmlformats.org/officeDocument/2006/relationships/hyperlink" Target="https://www.immoscout24.ch/fr/appartement/louer/quartier-langstrasse-zurich" TargetMode="External"/><Relationship Id="rId6125" Type="http://schemas.openxmlformats.org/officeDocument/2006/relationships/hyperlink" Target="https://www.immoscout24.ch/fr/maison/acheter/lieu-coffrane" TargetMode="External"/><Relationship Id="rId7455" Type="http://schemas.openxmlformats.org/officeDocument/2006/relationships/hyperlink" Target="https://www.immoscout24.ch/fr/maison/louer/lieu-develier" TargetMode="External"/><Relationship Id="rId8786" Type="http://schemas.openxmlformats.org/officeDocument/2006/relationships/hyperlink" Target="https://www.immoscout24.ch/fr/maison/acheter/lieu-moutier" TargetMode="External"/><Relationship Id="rId6122" Type="http://schemas.openxmlformats.org/officeDocument/2006/relationships/hyperlink" Target="https://www.immoscout24.ch/fr/maison/louer/lieu-massongex" TargetMode="External"/><Relationship Id="rId7454" Type="http://schemas.openxmlformats.org/officeDocument/2006/relationships/hyperlink" Target="https://www.immoscout24.ch/fr/appartement/louer/lieu-gelfingen" TargetMode="External"/><Relationship Id="rId8785" Type="http://schemas.openxmlformats.org/officeDocument/2006/relationships/hyperlink" Target="https://www.immoscout24.ch/fr/maison/acheter/lieu-moutier" TargetMode="External"/><Relationship Id="rId6123" Type="http://schemas.openxmlformats.org/officeDocument/2006/relationships/hyperlink" Target="https://www.immoscout24.ch/fr/maison/acheter/lieu-fusio" TargetMode="External"/><Relationship Id="rId7453" Type="http://schemas.openxmlformats.org/officeDocument/2006/relationships/hyperlink" Target="https://www.immoscout24.ch/fr/appartement/louer/lieu-gelfingen" TargetMode="External"/><Relationship Id="rId8784" Type="http://schemas.openxmlformats.org/officeDocument/2006/relationships/hyperlink" Target="https://www.immoscout24.ch/fr/maison/acheter/lieu-nunningen" TargetMode="External"/><Relationship Id="rId6128" Type="http://schemas.openxmlformats.org/officeDocument/2006/relationships/hyperlink" Target="https://www.immoscout24.ch/fr/appartement/louer/lieu-cronay" TargetMode="External"/><Relationship Id="rId6129" Type="http://schemas.openxmlformats.org/officeDocument/2006/relationships/hyperlink" Target="https://www.immoscout24.ch/fr/maison/louer/lieu-fenin" TargetMode="External"/><Relationship Id="rId7459" Type="http://schemas.openxmlformats.org/officeDocument/2006/relationships/hyperlink" Target="https://www.immoscout24.ch/fr/appartement/louer/region-fribourg-glane" TargetMode="External"/><Relationship Id="rId6126" Type="http://schemas.openxmlformats.org/officeDocument/2006/relationships/hyperlink" Target="https://www.immoscout24.ch/fr/maison/acheter/lieu-coffrane" TargetMode="External"/><Relationship Id="rId7458" Type="http://schemas.openxmlformats.org/officeDocument/2006/relationships/hyperlink" Target="https://www.immoscout24.ch/fr/appartement/louer/lieu-les-charbonnieres" TargetMode="External"/><Relationship Id="rId8789" Type="http://schemas.openxmlformats.org/officeDocument/2006/relationships/hyperlink" Target="https://www.immoscout24.ch/fr/appartement/louer/lieu-roche-vd" TargetMode="External"/><Relationship Id="rId6127" Type="http://schemas.openxmlformats.org/officeDocument/2006/relationships/hyperlink" Target="https://www.immoscout24.ch/fr/appartement/louer/lieu-cronay" TargetMode="External"/><Relationship Id="rId7457" Type="http://schemas.openxmlformats.org/officeDocument/2006/relationships/hyperlink" Target="https://www.immoscout24.ch/fr/appartement/louer/lieu-les-charbonnieres" TargetMode="External"/><Relationship Id="rId8788" Type="http://schemas.openxmlformats.org/officeDocument/2006/relationships/hyperlink" Target="https://www.immoscout24.ch/fr/appartement/louer/quartier-langstrasse-zurich" TargetMode="External"/><Relationship Id="rId6119" Type="http://schemas.openxmlformats.org/officeDocument/2006/relationships/hyperlink" Target="https://www.immoscout24.ch/fr/maison/acheter/lieu-oberschrot" TargetMode="External"/><Relationship Id="rId7441" Type="http://schemas.openxmlformats.org/officeDocument/2006/relationships/hyperlink" Target="https://www.immoscout24.ch/fr/appartement/louer/lieu-stabio" TargetMode="External"/><Relationship Id="rId8772" Type="http://schemas.openxmlformats.org/officeDocument/2006/relationships/hyperlink" Target="https://www.immoscout24.ch/fr/maison/acheter/lieu-granges-veveyse" TargetMode="External"/><Relationship Id="rId6110" Type="http://schemas.openxmlformats.org/officeDocument/2006/relationships/hyperlink" Target="https://www.immoscout24.ch/fr/appartement/acheter/lieu-chexbres" TargetMode="External"/><Relationship Id="rId7440" Type="http://schemas.openxmlformats.org/officeDocument/2006/relationships/hyperlink" Target="https://www.immoscout24.ch/fr/appartement/louer/quartier-linsebuehl-dreilinden-st-gall" TargetMode="External"/><Relationship Id="rId8771" Type="http://schemas.openxmlformats.org/officeDocument/2006/relationships/hyperlink" Target="https://www.immoscout24.ch/fr/maison/acheter/lieu-granges-veveyse" TargetMode="External"/><Relationship Id="rId8770" Type="http://schemas.openxmlformats.org/officeDocument/2006/relationships/hyperlink" Target="https://www.immoscout24.ch/fr/maison/acheter/lieu-rueyres-st-laurent" TargetMode="External"/><Relationship Id="rId6113" Type="http://schemas.openxmlformats.org/officeDocument/2006/relationships/hyperlink" Target="https://www.immoscout24.ch/fr/maison/louer/lieu-le-sentier" TargetMode="External"/><Relationship Id="rId7445" Type="http://schemas.openxmlformats.org/officeDocument/2006/relationships/hyperlink" Target="https://www.immoscout24.ch/fr/maison/acheter/lieu-caslano" TargetMode="External"/><Relationship Id="rId8776" Type="http://schemas.openxmlformats.org/officeDocument/2006/relationships/hyperlink" Target="https://www.immoscout24.ch/fr/maison/acheter/lieu-chernex" TargetMode="External"/><Relationship Id="rId6114" Type="http://schemas.openxmlformats.org/officeDocument/2006/relationships/hyperlink" Target="https://www.immoscout24.ch/fr/maison/louer/lieu-le-sentier" TargetMode="External"/><Relationship Id="rId7444" Type="http://schemas.openxmlformats.org/officeDocument/2006/relationships/hyperlink" Target="https://www.immoscout24.ch/fr/appartement/louer/lieu-l-auberson" TargetMode="External"/><Relationship Id="rId8775" Type="http://schemas.openxmlformats.org/officeDocument/2006/relationships/hyperlink" Target="https://www.immoscout24.ch/fr/maison/acheter/lieu-chernex" TargetMode="External"/><Relationship Id="rId6111" Type="http://schemas.openxmlformats.org/officeDocument/2006/relationships/hyperlink" Target="https://www.immoscout24.ch/fr/maison/acheter/lieu-berikon" TargetMode="External"/><Relationship Id="rId7443" Type="http://schemas.openxmlformats.org/officeDocument/2006/relationships/hyperlink" Target="https://www.immoscout24.ch/fr/appartement/louer/lieu-l-auberson" TargetMode="External"/><Relationship Id="rId8774" Type="http://schemas.openxmlformats.org/officeDocument/2006/relationships/hyperlink" Target="https://www.immoscout24.ch/fr/appartement/louer/lieu-silvaplana-surlej" TargetMode="External"/><Relationship Id="rId6112" Type="http://schemas.openxmlformats.org/officeDocument/2006/relationships/hyperlink" Target="https://www.immoscout24.ch/fr/maison/acheter/lieu-berikon" TargetMode="External"/><Relationship Id="rId7442" Type="http://schemas.openxmlformats.org/officeDocument/2006/relationships/hyperlink" Target="https://www.immoscout24.ch/fr/appartement/louer/lieu-stabio" TargetMode="External"/><Relationship Id="rId8773" Type="http://schemas.openxmlformats.org/officeDocument/2006/relationships/hyperlink" Target="https://www.immoscout24.ch/fr/appartement/louer/lieu-silvaplana-surlej" TargetMode="External"/><Relationship Id="rId6117" Type="http://schemas.openxmlformats.org/officeDocument/2006/relationships/hyperlink" Target="https://www.immoscout24.ch/fr/maison/acheter/lieu-charmoille" TargetMode="External"/><Relationship Id="rId7449" Type="http://schemas.openxmlformats.org/officeDocument/2006/relationships/hyperlink" Target="https://www.immoscout24.ch/fr/appartement/acheter/lieu-chavannes-des-bois" TargetMode="External"/><Relationship Id="rId6118" Type="http://schemas.openxmlformats.org/officeDocument/2006/relationships/hyperlink" Target="https://www.immoscout24.ch/fr/maison/acheter/lieu-charmoille" TargetMode="External"/><Relationship Id="rId7448" Type="http://schemas.openxmlformats.org/officeDocument/2006/relationships/hyperlink" Target="https://www.immoscout24.ch/fr/maison/acheter/lieu-sumvitg" TargetMode="External"/><Relationship Id="rId8779" Type="http://schemas.openxmlformats.org/officeDocument/2006/relationships/hyperlink" Target="https://www.immoscout24.ch/fr/appartement/louer/quartier-gryphenhuebeli-berne" TargetMode="External"/><Relationship Id="rId6115" Type="http://schemas.openxmlformats.org/officeDocument/2006/relationships/hyperlink" Target="https://www.immoscout24.ch/fr/appartement/acheter/lieu-speicher" TargetMode="External"/><Relationship Id="rId7447" Type="http://schemas.openxmlformats.org/officeDocument/2006/relationships/hyperlink" Target="https://www.immoscout24.ch/fr/maison/acheter/lieu-sumvitg" TargetMode="External"/><Relationship Id="rId8778" Type="http://schemas.openxmlformats.org/officeDocument/2006/relationships/hyperlink" Target="https://www.immoscout24.ch/fr/appartement/louer/lieu-wangen-an-der-aare" TargetMode="External"/><Relationship Id="rId6116" Type="http://schemas.openxmlformats.org/officeDocument/2006/relationships/hyperlink" Target="https://www.immoscout24.ch/fr/appartement/acheter/lieu-speicher" TargetMode="External"/><Relationship Id="rId7446" Type="http://schemas.openxmlformats.org/officeDocument/2006/relationships/hyperlink" Target="https://www.immoscout24.ch/fr/maison/acheter/lieu-caslano" TargetMode="External"/><Relationship Id="rId8777" Type="http://schemas.openxmlformats.org/officeDocument/2006/relationships/hyperlink" Target="https://www.immoscout24.ch/fr/appartement/louer/lieu-wangen-an-der-aare" TargetMode="External"/><Relationship Id="rId8729" Type="http://schemas.openxmlformats.org/officeDocument/2006/relationships/hyperlink" Target="https://www.immoscout24.ch/fr/appartement/louer/lieu-magglingen-macolin" TargetMode="External"/><Relationship Id="rId8728" Type="http://schemas.openxmlformats.org/officeDocument/2006/relationships/hyperlink" Target="https://www.immoscout24.ch/fr/appartement/louer/quartier-ville-ancienne-la-chaux-de-fonds" TargetMode="External"/><Relationship Id="rId8727" Type="http://schemas.openxmlformats.org/officeDocument/2006/relationships/hyperlink" Target="https://www.immoscout24.ch/fr/appartement/louer/quartier-ville-ancienne-la-chaux-de-fonds" TargetMode="External"/><Relationship Id="rId8726" Type="http://schemas.openxmlformats.org/officeDocument/2006/relationships/hyperlink" Target="https://www.immoscout24.ch/fr/maison/louer/lieu-grand-lancy" TargetMode="External"/><Relationship Id="rId8721" Type="http://schemas.openxmlformats.org/officeDocument/2006/relationships/hyperlink" Target="https://www.immoscout24.ch/fr/maison/acheter/lieu-zuoz" TargetMode="External"/><Relationship Id="rId8720" Type="http://schemas.openxmlformats.org/officeDocument/2006/relationships/hyperlink" Target="https://www.immoscout24.ch/fr/maison/louer/lieu-ovronnaz" TargetMode="External"/><Relationship Id="rId8725" Type="http://schemas.openxmlformats.org/officeDocument/2006/relationships/hyperlink" Target="https://www.immoscout24.ch/fr/maison/louer/lieu-grand-lancy" TargetMode="External"/><Relationship Id="rId8724" Type="http://schemas.openxmlformats.org/officeDocument/2006/relationships/hyperlink" Target="https://www.immoscout24.ch/fr/appartement/louer/quartier-pouillerel-postiers-chevreuils-la-chaux-de-fonds" TargetMode="External"/><Relationship Id="rId8723" Type="http://schemas.openxmlformats.org/officeDocument/2006/relationships/hyperlink" Target="https://www.immoscout24.ch/fr/appartement/louer/quartier-pouillerel-postiers-chevreuils-la-chaux-de-fonds" TargetMode="External"/><Relationship Id="rId8722" Type="http://schemas.openxmlformats.org/officeDocument/2006/relationships/hyperlink" Target="https://www.immoscout24.ch/fr/maison/acheter/lieu-zuoz" TargetMode="External"/><Relationship Id="rId8718" Type="http://schemas.openxmlformats.org/officeDocument/2006/relationships/hyperlink" Target="https://www.immoscout24.ch/fr/maison/louer/lieu-murten" TargetMode="External"/><Relationship Id="rId8717" Type="http://schemas.openxmlformats.org/officeDocument/2006/relationships/hyperlink" Target="https://www.immoscout24.ch/fr/maison/louer/lieu-murten" TargetMode="External"/><Relationship Id="rId8716" Type="http://schemas.openxmlformats.org/officeDocument/2006/relationships/hyperlink" Target="https://www.immoscout24.ch/fr/appartement/louer/lieu-fortunau-ayent" TargetMode="External"/><Relationship Id="rId8715" Type="http://schemas.openxmlformats.org/officeDocument/2006/relationships/hyperlink" Target="https://www.immoscout24.ch/fr/appartement/louer/lieu-fortunau-ayent" TargetMode="External"/><Relationship Id="rId8719" Type="http://schemas.openxmlformats.org/officeDocument/2006/relationships/hyperlink" Target="https://www.immoscout24.ch/fr/maison/louer/lieu-ovronnaz" TargetMode="External"/><Relationship Id="rId8710" Type="http://schemas.openxmlformats.org/officeDocument/2006/relationships/hyperlink" Target="https://www.immoscout24.ch/fr/appartement/louer/canton-neuchatel" TargetMode="External"/><Relationship Id="rId8714" Type="http://schemas.openxmlformats.org/officeDocument/2006/relationships/hyperlink" Target="https://www.immoscout24.ch/fr/maison/louer/lieu-birmensdorf-zh" TargetMode="External"/><Relationship Id="rId8713" Type="http://schemas.openxmlformats.org/officeDocument/2006/relationships/hyperlink" Target="https://www.immoscout24.ch/fr/maison/louer/lieu-birmensdorf-zh" TargetMode="External"/><Relationship Id="rId8712" Type="http://schemas.openxmlformats.org/officeDocument/2006/relationships/hyperlink" Target="https://www.immoscout24.ch/fr/maison/acheter/lieu-froideville" TargetMode="External"/><Relationship Id="rId8711" Type="http://schemas.openxmlformats.org/officeDocument/2006/relationships/hyperlink" Target="https://www.immoscout24.ch/fr/maison/acheter/lieu-froideville" TargetMode="External"/><Relationship Id="rId7419" Type="http://schemas.openxmlformats.org/officeDocument/2006/relationships/hyperlink" Target="https://www.immoscout24.ch/fr/appartement/louer/lieu-vallorbe" TargetMode="External"/><Relationship Id="rId7418" Type="http://schemas.openxmlformats.org/officeDocument/2006/relationships/hyperlink" Target="https://www.immoscout24.ch/fr/maison/acheter/lieu-st-livres" TargetMode="External"/><Relationship Id="rId8749" Type="http://schemas.openxmlformats.org/officeDocument/2006/relationships/hyperlink" Target="https://www.immoscout24.ch/fr/appartement/louer/lieu-bottmingen" TargetMode="External"/><Relationship Id="rId7417" Type="http://schemas.openxmlformats.org/officeDocument/2006/relationships/hyperlink" Target="https://www.immoscout24.ch/fr/maison/acheter/lieu-st-livres" TargetMode="External"/><Relationship Id="rId8748" Type="http://schemas.openxmlformats.org/officeDocument/2006/relationships/hyperlink" Target="https://www.immoscout24.ch/fr/maison/louer/lieu-leuzigen" TargetMode="External"/><Relationship Id="rId7412" Type="http://schemas.openxmlformats.org/officeDocument/2006/relationships/hyperlink" Target="https://www.immoscout24.ch/fr/appartement/louer/lieu-le-mont-pelerin" TargetMode="External"/><Relationship Id="rId8743" Type="http://schemas.openxmlformats.org/officeDocument/2006/relationships/hyperlink" Target="https://www.immoscout24.ch/fr/maison/acheter/lieu-pampigny" TargetMode="External"/><Relationship Id="rId7411" Type="http://schemas.openxmlformats.org/officeDocument/2006/relationships/hyperlink" Target="https://www.immoscout24.ch/fr/appartement/louer/lieu-le-mont-pelerin" TargetMode="External"/><Relationship Id="rId8742" Type="http://schemas.openxmlformats.org/officeDocument/2006/relationships/hyperlink" Target="https://www.immoscout24.ch/fr/maison/acheter/lieu-chene-paquier" TargetMode="External"/><Relationship Id="rId7410" Type="http://schemas.openxmlformats.org/officeDocument/2006/relationships/hyperlink" Target="https://www.immoscout24.ch/fr/maison/acheter/lieu-bieudron-nendaz" TargetMode="External"/><Relationship Id="rId8741" Type="http://schemas.openxmlformats.org/officeDocument/2006/relationships/hyperlink" Target="https://www.immoscout24.ch/fr/maison/acheter/lieu-chene-paquier" TargetMode="External"/><Relationship Id="rId8740" Type="http://schemas.openxmlformats.org/officeDocument/2006/relationships/hyperlink" Target="https://www.immoscout24.ch/fr/appartement/acheter/lieu-cheserex" TargetMode="External"/><Relationship Id="rId7416" Type="http://schemas.openxmlformats.org/officeDocument/2006/relationships/hyperlink" Target="https://www.immoscout24.ch/fr/maison/acheter/lieu-st-martin-vs" TargetMode="External"/><Relationship Id="rId8747" Type="http://schemas.openxmlformats.org/officeDocument/2006/relationships/hyperlink" Target="https://www.immoscout24.ch/fr/maison/louer/lieu-leuzigen" TargetMode="External"/><Relationship Id="rId7415" Type="http://schemas.openxmlformats.org/officeDocument/2006/relationships/hyperlink" Target="https://www.immoscout24.ch/fr/maison/acheter/lieu-st-martin-vs" TargetMode="External"/><Relationship Id="rId8746" Type="http://schemas.openxmlformats.org/officeDocument/2006/relationships/hyperlink" Target="https://www.immoscout24.ch/fr/maison/acheter/lieu-villariaz" TargetMode="External"/><Relationship Id="rId7414" Type="http://schemas.openxmlformats.org/officeDocument/2006/relationships/hyperlink" Target="https://www.immoscout24.ch/fr/maison/acheter/lieu-prevonloup" TargetMode="External"/><Relationship Id="rId8745" Type="http://schemas.openxmlformats.org/officeDocument/2006/relationships/hyperlink" Target="https://www.immoscout24.ch/fr/maison/acheter/lieu-villariaz" TargetMode="External"/><Relationship Id="rId7413" Type="http://schemas.openxmlformats.org/officeDocument/2006/relationships/hyperlink" Target="https://www.immoscout24.ch/fr/maison/acheter/lieu-prevonloup" TargetMode="External"/><Relationship Id="rId8744" Type="http://schemas.openxmlformats.org/officeDocument/2006/relationships/hyperlink" Target="https://www.immoscout24.ch/fr/maison/acheter/lieu-pampigny" TargetMode="External"/><Relationship Id="rId7409" Type="http://schemas.openxmlformats.org/officeDocument/2006/relationships/hyperlink" Target="https://www.immoscout24.ch/fr/maison/acheter/lieu-bieudron-nendaz" TargetMode="External"/><Relationship Id="rId7408" Type="http://schemas.openxmlformats.org/officeDocument/2006/relationships/hyperlink" Target="https://www.immoscout24.ch/fr/appartement/louer/lieu-grabs" TargetMode="External"/><Relationship Id="rId8739" Type="http://schemas.openxmlformats.org/officeDocument/2006/relationships/hyperlink" Target="https://www.immoscout24.ch/fr/appartement/acheter/lieu-cheserex" TargetMode="External"/><Relationship Id="rId7407" Type="http://schemas.openxmlformats.org/officeDocument/2006/relationships/hyperlink" Target="https://www.immoscout24.ch/fr/appartement/louer/lieu-grabs" TargetMode="External"/><Relationship Id="rId8738" Type="http://schemas.openxmlformats.org/officeDocument/2006/relationships/hyperlink" Target="https://www.immoscout24.ch/fr/appartement/louer/lieu-tartegnin" TargetMode="External"/><Relationship Id="rId7406" Type="http://schemas.openxmlformats.org/officeDocument/2006/relationships/hyperlink" Target="https://www.immoscout24.ch/fr/appartement/louer/lieu-leissigen" TargetMode="External"/><Relationship Id="rId8737" Type="http://schemas.openxmlformats.org/officeDocument/2006/relationships/hyperlink" Target="https://www.immoscout24.ch/fr/appartement/louer/lieu-tartegnin" TargetMode="External"/><Relationship Id="rId7401" Type="http://schemas.openxmlformats.org/officeDocument/2006/relationships/hyperlink" Target="https://www.immoscout24.ch/fr/appartement/louer/lieu-estavayer-le-gibloux" TargetMode="External"/><Relationship Id="rId8732" Type="http://schemas.openxmlformats.org/officeDocument/2006/relationships/hyperlink" Target="https://www.immoscout24.ch/fr/maison/acheter/region-geneve-ville" TargetMode="External"/><Relationship Id="rId7400" Type="http://schemas.openxmlformats.org/officeDocument/2006/relationships/hyperlink" Target="https://www.immoscout24.ch/fr/appartement/louer/lieu-unterbach-be" TargetMode="External"/><Relationship Id="rId8731" Type="http://schemas.openxmlformats.org/officeDocument/2006/relationships/hyperlink" Target="https://www.immoscout24.ch/fr/maison/acheter/region-geneve-ville" TargetMode="External"/><Relationship Id="rId8730" Type="http://schemas.openxmlformats.org/officeDocument/2006/relationships/hyperlink" Target="https://www.immoscout24.ch/fr/appartement/louer/lieu-magglingen-macolin" TargetMode="External"/><Relationship Id="rId7405" Type="http://schemas.openxmlformats.org/officeDocument/2006/relationships/hyperlink" Target="https://www.immoscout24.ch/fr/appartement/louer/lieu-leissigen" TargetMode="External"/><Relationship Id="rId8736" Type="http://schemas.openxmlformats.org/officeDocument/2006/relationships/hyperlink" Target="https://www.immoscout24.ch/fr/appartement/louer/quartier-vieille-ville-biel-bienne" TargetMode="External"/><Relationship Id="rId7404" Type="http://schemas.openxmlformats.org/officeDocument/2006/relationships/hyperlink" Target="https://www.immoscout24.ch/fr/appartement/louer/lieu-piotta" TargetMode="External"/><Relationship Id="rId8735" Type="http://schemas.openxmlformats.org/officeDocument/2006/relationships/hyperlink" Target="https://www.immoscout24.ch/fr/appartement/louer/quartier-vieille-ville-biel-bienne" TargetMode="External"/><Relationship Id="rId7403" Type="http://schemas.openxmlformats.org/officeDocument/2006/relationships/hyperlink" Target="https://www.immoscout24.ch/fr/appartement/louer/lieu-piotta" TargetMode="External"/><Relationship Id="rId8734" Type="http://schemas.openxmlformats.org/officeDocument/2006/relationships/hyperlink" Target="https://www.immoscout24.ch/fr/appartement/louer/lieu-farvagny" TargetMode="External"/><Relationship Id="rId7402" Type="http://schemas.openxmlformats.org/officeDocument/2006/relationships/hyperlink" Target="https://www.immoscout24.ch/fr/appartement/louer/lieu-estavayer-le-gibloux" TargetMode="External"/><Relationship Id="rId8733" Type="http://schemas.openxmlformats.org/officeDocument/2006/relationships/hyperlink" Target="https://www.immoscout24.ch/fr/appartement/louer/lieu-farvagny" TargetMode="External"/><Relationship Id="rId6190" Type="http://schemas.openxmlformats.org/officeDocument/2006/relationships/hyperlink" Target="https://www.immoscout24.ch/fr/appartement/acheter/lieu-castagnola" TargetMode="External"/><Relationship Id="rId6182" Type="http://schemas.openxmlformats.org/officeDocument/2006/relationships/hyperlink" Target="https://www.immoscout24.ch/fr/maison/acheter/lieu-nidfurn" TargetMode="External"/><Relationship Id="rId6183" Type="http://schemas.openxmlformats.org/officeDocument/2006/relationships/hyperlink" Target="https://www.immoscout24.ch/fr/appartement/acheter/lieu-thun" TargetMode="External"/><Relationship Id="rId6180" Type="http://schemas.openxmlformats.org/officeDocument/2006/relationships/hyperlink" Target="https://www.immoscout24.ch/fr/maison/acheter/lieu-konolfingen" TargetMode="External"/><Relationship Id="rId6181" Type="http://schemas.openxmlformats.org/officeDocument/2006/relationships/hyperlink" Target="https://www.immoscout24.ch/fr/maison/acheter/lieu-nidfurn" TargetMode="External"/><Relationship Id="rId6186" Type="http://schemas.openxmlformats.org/officeDocument/2006/relationships/hyperlink" Target="https://www.immoscout24.ch/fr/appartement/louer/lieu-zollbrueck" TargetMode="External"/><Relationship Id="rId6187" Type="http://schemas.openxmlformats.org/officeDocument/2006/relationships/hyperlink" Target="https://www.immoscout24.ch/fr/maison/louer/lieu-mollie-margot" TargetMode="External"/><Relationship Id="rId6184" Type="http://schemas.openxmlformats.org/officeDocument/2006/relationships/hyperlink" Target="https://www.immoscout24.ch/fr/appartement/acheter/lieu-thun" TargetMode="External"/><Relationship Id="rId6185" Type="http://schemas.openxmlformats.org/officeDocument/2006/relationships/hyperlink" Target="https://www.immoscout24.ch/fr/appartement/louer/lieu-zollbrueck" TargetMode="External"/><Relationship Id="rId6188" Type="http://schemas.openxmlformats.org/officeDocument/2006/relationships/hyperlink" Target="https://www.immoscout24.ch/fr/maison/louer/lieu-mollie-margot" TargetMode="External"/><Relationship Id="rId6189" Type="http://schemas.openxmlformats.org/officeDocument/2006/relationships/hyperlink" Target="https://www.immoscout24.ch/fr/appartement/acheter/lieu-castagnola" TargetMode="External"/><Relationship Id="rId6171" Type="http://schemas.openxmlformats.org/officeDocument/2006/relationships/hyperlink" Target="https://www.immoscout24.ch/fr/appartement/louer/lieu-mathod" TargetMode="External"/><Relationship Id="rId6172" Type="http://schemas.openxmlformats.org/officeDocument/2006/relationships/hyperlink" Target="https://www.immoscout24.ch/fr/appartement/louer/lieu-mathod" TargetMode="External"/><Relationship Id="rId6170" Type="http://schemas.openxmlformats.org/officeDocument/2006/relationships/hyperlink" Target="https://www.immoscout24.ch/fr/maison/acheter/lieu-fahrwangen" TargetMode="External"/><Relationship Id="rId6175" Type="http://schemas.openxmlformats.org/officeDocument/2006/relationships/hyperlink" Target="https://www.immoscout24.ch/fr/appartement/louer/lieu-les-cullayes" TargetMode="External"/><Relationship Id="rId6176" Type="http://schemas.openxmlformats.org/officeDocument/2006/relationships/hyperlink" Target="https://www.immoscout24.ch/fr/appartement/louer/lieu-les-cullayes" TargetMode="External"/><Relationship Id="rId6173" Type="http://schemas.openxmlformats.org/officeDocument/2006/relationships/hyperlink" Target="https://www.immoscout24.ch/fr/appartement/acheter/lieu-chermignon" TargetMode="External"/><Relationship Id="rId6174" Type="http://schemas.openxmlformats.org/officeDocument/2006/relationships/hyperlink" Target="https://www.immoscout24.ch/fr/appartement/acheter/lieu-chermignon" TargetMode="External"/><Relationship Id="rId6179" Type="http://schemas.openxmlformats.org/officeDocument/2006/relationships/hyperlink" Target="https://www.immoscout24.ch/fr/maison/acheter/lieu-konolfingen" TargetMode="External"/><Relationship Id="rId6177" Type="http://schemas.openxmlformats.org/officeDocument/2006/relationships/hyperlink" Target="https://www.immoscout24.ch/fr/maison/acheter/lieu-vugelles-la-mothe" TargetMode="External"/><Relationship Id="rId6178" Type="http://schemas.openxmlformats.org/officeDocument/2006/relationships/hyperlink" Target="https://www.immoscout24.ch/fr/maison/acheter/lieu-vugelles-la-mothe" TargetMode="External"/><Relationship Id="rId808" Type="http://schemas.openxmlformats.org/officeDocument/2006/relationships/hyperlink" Target="https://www.immoscout24.ch/fr/maison/acheter/lieu-saules-be" TargetMode="External"/><Relationship Id="rId807" Type="http://schemas.openxmlformats.org/officeDocument/2006/relationships/hyperlink" Target="https://www.immoscout24.ch/fr/maison/acheter/lieu-saules-be" TargetMode="External"/><Relationship Id="rId806" Type="http://schemas.openxmlformats.org/officeDocument/2006/relationships/hyperlink" Target="https://www.immoscout24.ch/fr/maison/acheter/lieu-forel-fr" TargetMode="External"/><Relationship Id="rId805" Type="http://schemas.openxmlformats.org/officeDocument/2006/relationships/hyperlink" Target="https://www.immoscout24.ch/fr/maison/acheter/lieu-forel-fr" TargetMode="External"/><Relationship Id="rId809" Type="http://schemas.openxmlformats.org/officeDocument/2006/relationships/hyperlink" Target="https://www.immoscout24.ch/fr/maison/acheter/lieu-volleges" TargetMode="External"/><Relationship Id="rId800" Type="http://schemas.openxmlformats.org/officeDocument/2006/relationships/hyperlink" Target="https://www.immoscout24.ch/fr/maison/acheter/lieu-vernier" TargetMode="External"/><Relationship Id="rId804" Type="http://schemas.openxmlformats.org/officeDocument/2006/relationships/hyperlink" Target="https://www.immoscout24.ch/fr/maison/louer/lieu-reichenbach-im-kandertal" TargetMode="External"/><Relationship Id="rId803" Type="http://schemas.openxmlformats.org/officeDocument/2006/relationships/hyperlink" Target="https://www.immoscout24.ch/fr/maison/louer/lieu-reichenbach-im-kandertal" TargetMode="External"/><Relationship Id="rId802" Type="http://schemas.openxmlformats.org/officeDocument/2006/relationships/hyperlink" Target="https://www.immoscout24.ch/fr/appartement/louer/lieu-cordast" TargetMode="External"/><Relationship Id="rId801" Type="http://schemas.openxmlformats.org/officeDocument/2006/relationships/hyperlink" Target="https://www.immoscout24.ch/fr/appartement/louer/lieu-cordast" TargetMode="External"/><Relationship Id="rId6193" Type="http://schemas.openxmlformats.org/officeDocument/2006/relationships/hyperlink" Target="https://www.immoscout24.ch/fr/appartement/louer/lieu-bourg-st-pierre" TargetMode="External"/><Relationship Id="rId6194" Type="http://schemas.openxmlformats.org/officeDocument/2006/relationships/hyperlink" Target="https://www.immoscout24.ch/fr/appartement/louer/lieu-bourg-st-pierre" TargetMode="External"/><Relationship Id="rId6191" Type="http://schemas.openxmlformats.org/officeDocument/2006/relationships/hyperlink" Target="https://www.immoscout24.ch/fr/appartement/louer/lieu-ennetbuergen" TargetMode="External"/><Relationship Id="rId6192" Type="http://schemas.openxmlformats.org/officeDocument/2006/relationships/hyperlink" Target="https://www.immoscout24.ch/fr/appartement/louer/lieu-ennetbuergen" TargetMode="External"/><Relationship Id="rId6197" Type="http://schemas.openxmlformats.org/officeDocument/2006/relationships/hyperlink" Target="https://www.immoscout24.ch/fr/maison/acheter/lieu-aranno" TargetMode="External"/><Relationship Id="rId6198" Type="http://schemas.openxmlformats.org/officeDocument/2006/relationships/hyperlink" Target="https://www.immoscout24.ch/fr/maison/acheter/lieu-aranno" TargetMode="External"/><Relationship Id="rId6195" Type="http://schemas.openxmlformats.org/officeDocument/2006/relationships/hyperlink" Target="https://www.immoscout24.ch/fr/appartement/acheter/lieu-surpierre" TargetMode="External"/><Relationship Id="rId6196" Type="http://schemas.openxmlformats.org/officeDocument/2006/relationships/hyperlink" Target="https://www.immoscout24.ch/fr/appartement/acheter/lieu-surpierre" TargetMode="External"/><Relationship Id="rId6199" Type="http://schemas.openxmlformats.org/officeDocument/2006/relationships/hyperlink" Target="https://www.immoscout24.ch/fr/appartement/louer/lieu-neyruz-fr" TargetMode="External"/><Relationship Id="rId7470" Type="http://schemas.openxmlformats.org/officeDocument/2006/relationships/hyperlink" Target="https://www.immoscout24.ch/fr/maison/louer/lieu-corcelles-pres-payerne" TargetMode="External"/><Relationship Id="rId6142" Type="http://schemas.openxmlformats.org/officeDocument/2006/relationships/hyperlink" Target="https://www.immoscout24.ch/fr/appartement/acheter/region-sion-sierre-et-environs" TargetMode="External"/><Relationship Id="rId7474" Type="http://schemas.openxmlformats.org/officeDocument/2006/relationships/hyperlink" Target="https://www.immoscout24.ch/fr/appartement/acheter/canton-nidwald" TargetMode="External"/><Relationship Id="rId6143" Type="http://schemas.openxmlformats.org/officeDocument/2006/relationships/hyperlink" Target="https://www.immoscout24.ch/fr/maison/acheter/lieu-vallamand" TargetMode="External"/><Relationship Id="rId7473" Type="http://schemas.openxmlformats.org/officeDocument/2006/relationships/hyperlink" Target="https://www.immoscout24.ch/fr/appartement/acheter/canton-nidwald" TargetMode="External"/><Relationship Id="rId6140" Type="http://schemas.openxmlformats.org/officeDocument/2006/relationships/hyperlink" Target="https://www.immoscout24.ch/fr/maison/acheter/lieu-lonay" TargetMode="External"/><Relationship Id="rId7472" Type="http://schemas.openxmlformats.org/officeDocument/2006/relationships/hyperlink" Target="https://www.immoscout24.ch/fr/appartement/acheter/lieu-perroy" TargetMode="External"/><Relationship Id="rId6141" Type="http://schemas.openxmlformats.org/officeDocument/2006/relationships/hyperlink" Target="https://www.immoscout24.ch/fr/appartement/acheter/region-sion-sierre-et-environs" TargetMode="External"/><Relationship Id="rId7471" Type="http://schemas.openxmlformats.org/officeDocument/2006/relationships/hyperlink" Target="https://www.immoscout24.ch/fr/appartement/acheter/lieu-perroy" TargetMode="External"/><Relationship Id="rId6146" Type="http://schemas.openxmlformats.org/officeDocument/2006/relationships/hyperlink" Target="https://www.immoscout24.ch/fr/maison/acheter/lieu-wirzweli" TargetMode="External"/><Relationship Id="rId7478" Type="http://schemas.openxmlformats.org/officeDocument/2006/relationships/hyperlink" Target="https://www.immoscout24.ch/fr/maison/acheter/region-einsiedeln" TargetMode="External"/><Relationship Id="rId6147" Type="http://schemas.openxmlformats.org/officeDocument/2006/relationships/hyperlink" Target="https://www.immoscout24.ch/fr/appartement/louer/lieu-villargiroud" TargetMode="External"/><Relationship Id="rId7477" Type="http://schemas.openxmlformats.org/officeDocument/2006/relationships/hyperlink" Target="https://www.immoscout24.ch/fr/maison/acheter/region-einsiedeln" TargetMode="External"/><Relationship Id="rId6144" Type="http://schemas.openxmlformats.org/officeDocument/2006/relationships/hyperlink" Target="https://www.immoscout24.ch/fr/maison/acheter/lieu-vallamand" TargetMode="External"/><Relationship Id="rId7476" Type="http://schemas.openxmlformats.org/officeDocument/2006/relationships/hyperlink" Target="https://www.immoscout24.ch/fr/appartement/acheter/lieu-glion" TargetMode="External"/><Relationship Id="rId6145" Type="http://schemas.openxmlformats.org/officeDocument/2006/relationships/hyperlink" Target="https://www.immoscout24.ch/fr/maison/acheter/lieu-wirzweli" TargetMode="External"/><Relationship Id="rId7475" Type="http://schemas.openxmlformats.org/officeDocument/2006/relationships/hyperlink" Target="https://www.immoscout24.ch/fr/appartement/acheter/lieu-glion" TargetMode="External"/><Relationship Id="rId6148" Type="http://schemas.openxmlformats.org/officeDocument/2006/relationships/hyperlink" Target="https://www.immoscout24.ch/fr/appartement/louer/lieu-villargiroud" TargetMode="External"/><Relationship Id="rId6149" Type="http://schemas.openxmlformats.org/officeDocument/2006/relationships/hyperlink" Target="https://www.immoscout24.ch/fr/appartement/louer/quartier-riethuesli-st-gall" TargetMode="External"/><Relationship Id="rId7479" Type="http://schemas.openxmlformats.org/officeDocument/2006/relationships/hyperlink" Target="https://www.immoscout24.ch/fr/maison/louer/lieu-sornard-nendaz" TargetMode="External"/><Relationship Id="rId8790" Type="http://schemas.openxmlformats.org/officeDocument/2006/relationships/hyperlink" Target="https://www.immoscout24.ch/fr/appartement/louer/lieu-roche-vd" TargetMode="External"/><Relationship Id="rId6131" Type="http://schemas.openxmlformats.org/officeDocument/2006/relationships/hyperlink" Target="https://www.immoscout24.ch/fr/appartement/acheter/lieu-suhr" TargetMode="External"/><Relationship Id="rId7463" Type="http://schemas.openxmlformats.org/officeDocument/2006/relationships/hyperlink" Target="https://www.immoscout24.ch/fr/appartement/louer/lieu-lyss" TargetMode="External"/><Relationship Id="rId8794" Type="http://schemas.openxmlformats.org/officeDocument/2006/relationships/hyperlink" Target="https://www.immoscout24.ch/fr/appartement/louer/lieu-nyon" TargetMode="External"/><Relationship Id="rId6132" Type="http://schemas.openxmlformats.org/officeDocument/2006/relationships/hyperlink" Target="https://www.immoscout24.ch/fr/appartement/acheter/lieu-suhr" TargetMode="External"/><Relationship Id="rId7462" Type="http://schemas.openxmlformats.org/officeDocument/2006/relationships/hyperlink" Target="https://www.immoscout24.ch/fr/appartement/louer/lieu-enney" TargetMode="External"/><Relationship Id="rId8793" Type="http://schemas.openxmlformats.org/officeDocument/2006/relationships/hyperlink" Target="https://www.immoscout24.ch/fr/appartement/louer/lieu-nyon" TargetMode="External"/><Relationship Id="rId7461" Type="http://schemas.openxmlformats.org/officeDocument/2006/relationships/hyperlink" Target="https://www.immoscout24.ch/fr/appartement/louer/lieu-enney" TargetMode="External"/><Relationship Id="rId8792" Type="http://schemas.openxmlformats.org/officeDocument/2006/relationships/hyperlink" Target="https://www.immoscout24.ch/fr/appartement/acheter/lieu-veysonnaz" TargetMode="External"/><Relationship Id="rId6130" Type="http://schemas.openxmlformats.org/officeDocument/2006/relationships/hyperlink" Target="https://www.immoscout24.ch/fr/maison/louer/lieu-fenin" TargetMode="External"/><Relationship Id="rId7460" Type="http://schemas.openxmlformats.org/officeDocument/2006/relationships/hyperlink" Target="https://www.immoscout24.ch/fr/appartement/louer/region-fribourg-glane" TargetMode="External"/><Relationship Id="rId8791" Type="http://schemas.openxmlformats.org/officeDocument/2006/relationships/hyperlink" Target="https://www.immoscout24.ch/fr/appartement/acheter/lieu-veysonnaz" TargetMode="External"/><Relationship Id="rId6135" Type="http://schemas.openxmlformats.org/officeDocument/2006/relationships/hyperlink" Target="https://www.immoscout24.ch/fr/appartement/louer/pays-roumanie" TargetMode="External"/><Relationship Id="rId7467" Type="http://schemas.openxmlformats.org/officeDocument/2006/relationships/hyperlink" Target="https://www.immoscout24.ch/fr/maison/acheter/lieu-gingins" TargetMode="External"/><Relationship Id="rId8798" Type="http://schemas.openxmlformats.org/officeDocument/2006/relationships/hyperlink" Target="https://www.immoscout24.ch/fr/maison/louer/lieu-yvorne" TargetMode="External"/><Relationship Id="rId6136" Type="http://schemas.openxmlformats.org/officeDocument/2006/relationships/hyperlink" Target="https://www.immoscout24.ch/fr/appartement/louer/pays-roumanie" TargetMode="External"/><Relationship Id="rId7466" Type="http://schemas.openxmlformats.org/officeDocument/2006/relationships/hyperlink" Target="https://www.immoscout24.ch/fr/appartement/louer/lieu-la-vernaz-les-agettes" TargetMode="External"/><Relationship Id="rId8797" Type="http://schemas.openxmlformats.org/officeDocument/2006/relationships/hyperlink" Target="https://www.immoscout24.ch/fr/maison/louer/lieu-yvorne" TargetMode="External"/><Relationship Id="rId6133" Type="http://schemas.openxmlformats.org/officeDocument/2006/relationships/hyperlink" Target="https://www.immoscout24.ch/fr/maison/louer/lieu-st-george" TargetMode="External"/><Relationship Id="rId7465" Type="http://schemas.openxmlformats.org/officeDocument/2006/relationships/hyperlink" Target="https://www.immoscout24.ch/fr/appartement/louer/lieu-la-vernaz-les-agettes" TargetMode="External"/><Relationship Id="rId8796" Type="http://schemas.openxmlformats.org/officeDocument/2006/relationships/hyperlink" Target="https://www.immoscout24.ch/fr/appartement/acheter/lieu-st-luc" TargetMode="External"/><Relationship Id="rId6134" Type="http://schemas.openxmlformats.org/officeDocument/2006/relationships/hyperlink" Target="https://www.immoscout24.ch/fr/maison/louer/lieu-st-george" TargetMode="External"/><Relationship Id="rId7464" Type="http://schemas.openxmlformats.org/officeDocument/2006/relationships/hyperlink" Target="https://www.immoscout24.ch/fr/appartement/louer/lieu-lyss" TargetMode="External"/><Relationship Id="rId8795" Type="http://schemas.openxmlformats.org/officeDocument/2006/relationships/hyperlink" Target="https://www.immoscout24.ch/fr/appartement/acheter/lieu-st-luc" TargetMode="External"/><Relationship Id="rId6139" Type="http://schemas.openxmlformats.org/officeDocument/2006/relationships/hyperlink" Target="https://www.immoscout24.ch/fr/maison/acheter/lieu-lonay" TargetMode="External"/><Relationship Id="rId6137" Type="http://schemas.openxmlformats.org/officeDocument/2006/relationships/hyperlink" Target="https://www.immoscout24.ch/fr/appartement/acheter/lieu-cully" TargetMode="External"/><Relationship Id="rId7469" Type="http://schemas.openxmlformats.org/officeDocument/2006/relationships/hyperlink" Target="https://www.immoscout24.ch/fr/maison/louer/lieu-corcelles-pres-payerne" TargetMode="External"/><Relationship Id="rId6138" Type="http://schemas.openxmlformats.org/officeDocument/2006/relationships/hyperlink" Target="https://www.immoscout24.ch/fr/appartement/acheter/lieu-cully" TargetMode="External"/><Relationship Id="rId7468" Type="http://schemas.openxmlformats.org/officeDocument/2006/relationships/hyperlink" Target="https://www.immoscout24.ch/fr/maison/acheter/lieu-gingins" TargetMode="External"/><Relationship Id="rId8799" Type="http://schemas.openxmlformats.org/officeDocument/2006/relationships/hyperlink" Target="https://www.immoscout24.ch/fr/maison/acheter/lieu-bellelay" TargetMode="External"/><Relationship Id="rId6160" Type="http://schemas.openxmlformats.org/officeDocument/2006/relationships/hyperlink" Target="https://www.immoscout24.ch/fr/maison/acheter/pays-la-slovenie" TargetMode="External"/><Relationship Id="rId7492" Type="http://schemas.openxmlformats.org/officeDocument/2006/relationships/hyperlink" Target="https://www.immoscout24.ch/fr/maison/acheter/lieu-orbe" TargetMode="External"/><Relationship Id="rId6161" Type="http://schemas.openxmlformats.org/officeDocument/2006/relationships/hyperlink" Target="https://www.immoscout24.ch/fr/maison/louer/lieu-bouloz" TargetMode="External"/><Relationship Id="rId7491" Type="http://schemas.openxmlformats.org/officeDocument/2006/relationships/hyperlink" Target="https://www.immoscout24.ch/fr/maison/acheter/lieu-orbe" TargetMode="External"/><Relationship Id="rId7490" Type="http://schemas.openxmlformats.org/officeDocument/2006/relationships/hyperlink" Target="https://www.immoscout24.ch/fr/maison/acheter/lieu-corbieres" TargetMode="External"/><Relationship Id="rId6164" Type="http://schemas.openxmlformats.org/officeDocument/2006/relationships/hyperlink" Target="https://www.immoscout24.ch/fr/maison/acheter/lieu-preles" TargetMode="External"/><Relationship Id="rId7496" Type="http://schemas.openxmlformats.org/officeDocument/2006/relationships/hyperlink" Target="https://www.immoscout24.ch/fr/maison/acheter/lieu-bruegg-be" TargetMode="External"/><Relationship Id="rId6165" Type="http://schemas.openxmlformats.org/officeDocument/2006/relationships/hyperlink" Target="https://www.immoscout24.ch/fr/maison/acheter/lieu-gentilino" TargetMode="External"/><Relationship Id="rId7495" Type="http://schemas.openxmlformats.org/officeDocument/2006/relationships/hyperlink" Target="https://www.immoscout24.ch/fr/maison/acheter/lieu-bruegg-be" TargetMode="External"/><Relationship Id="rId6162" Type="http://schemas.openxmlformats.org/officeDocument/2006/relationships/hyperlink" Target="https://www.immoscout24.ch/fr/maison/louer/lieu-bouloz" TargetMode="External"/><Relationship Id="rId7494" Type="http://schemas.openxmlformats.org/officeDocument/2006/relationships/hyperlink" Target="https://www.immoscout24.ch/fr/maison/acheter/lieu-linthal" TargetMode="External"/><Relationship Id="rId6163" Type="http://schemas.openxmlformats.org/officeDocument/2006/relationships/hyperlink" Target="https://www.immoscout24.ch/fr/maison/acheter/lieu-preles" TargetMode="External"/><Relationship Id="rId7493" Type="http://schemas.openxmlformats.org/officeDocument/2006/relationships/hyperlink" Target="https://www.immoscout24.ch/fr/maison/acheter/lieu-linthal" TargetMode="External"/><Relationship Id="rId6168" Type="http://schemas.openxmlformats.org/officeDocument/2006/relationships/hyperlink" Target="https://www.immoscout24.ch/fr/appartement/louer/lieu-bougy-villars" TargetMode="External"/><Relationship Id="rId6169" Type="http://schemas.openxmlformats.org/officeDocument/2006/relationships/hyperlink" Target="https://www.immoscout24.ch/fr/maison/acheter/lieu-fahrwangen" TargetMode="External"/><Relationship Id="rId7499" Type="http://schemas.openxmlformats.org/officeDocument/2006/relationships/hyperlink" Target="https://www.immoscout24.ch/fr/maison/louer/lieu-arnex-sur-orbe" TargetMode="External"/><Relationship Id="rId6166" Type="http://schemas.openxmlformats.org/officeDocument/2006/relationships/hyperlink" Target="https://www.immoscout24.ch/fr/maison/acheter/lieu-gentilino" TargetMode="External"/><Relationship Id="rId7498" Type="http://schemas.openxmlformats.org/officeDocument/2006/relationships/hyperlink" Target="https://www.immoscout24.ch/fr/appartement/louer/lieu-soral" TargetMode="External"/><Relationship Id="rId6167" Type="http://schemas.openxmlformats.org/officeDocument/2006/relationships/hyperlink" Target="https://www.immoscout24.ch/fr/appartement/louer/lieu-bougy-villars" TargetMode="External"/><Relationship Id="rId7497" Type="http://schemas.openxmlformats.org/officeDocument/2006/relationships/hyperlink" Target="https://www.immoscout24.ch/fr/appartement/louer/lieu-soral" TargetMode="External"/><Relationship Id="rId7481" Type="http://schemas.openxmlformats.org/officeDocument/2006/relationships/hyperlink" Target="https://www.immoscout24.ch/fr/appartement/louer/lieu-epagny" TargetMode="External"/><Relationship Id="rId6150" Type="http://schemas.openxmlformats.org/officeDocument/2006/relationships/hyperlink" Target="https://www.immoscout24.ch/fr/appartement/louer/quartier-riethuesli-st-gall" TargetMode="External"/><Relationship Id="rId7480" Type="http://schemas.openxmlformats.org/officeDocument/2006/relationships/hyperlink" Target="https://www.immoscout24.ch/fr/maison/louer/lieu-sornard-nendaz" TargetMode="External"/><Relationship Id="rId6153" Type="http://schemas.openxmlformats.org/officeDocument/2006/relationships/hyperlink" Target="https://www.immoscout24.ch/fr/maison/louer/lieu-leysin" TargetMode="External"/><Relationship Id="rId7485" Type="http://schemas.openxmlformats.org/officeDocument/2006/relationships/hyperlink" Target="https://www.immoscout24.ch/fr/maison/acheter/lieu-mathod" TargetMode="External"/><Relationship Id="rId6154" Type="http://schemas.openxmlformats.org/officeDocument/2006/relationships/hyperlink" Target="https://www.immoscout24.ch/fr/maison/louer/lieu-leysin" TargetMode="External"/><Relationship Id="rId7484" Type="http://schemas.openxmlformats.org/officeDocument/2006/relationships/hyperlink" Target="https://www.immoscout24.ch/fr/appartement/louer/lieu-chenaux" TargetMode="External"/><Relationship Id="rId6151" Type="http://schemas.openxmlformats.org/officeDocument/2006/relationships/hyperlink" Target="https://www.immoscout24.ch/fr/appartement/louer/lieu-thyon" TargetMode="External"/><Relationship Id="rId7483" Type="http://schemas.openxmlformats.org/officeDocument/2006/relationships/hyperlink" Target="https://www.immoscout24.ch/fr/appartement/louer/lieu-chenaux" TargetMode="External"/><Relationship Id="rId6152" Type="http://schemas.openxmlformats.org/officeDocument/2006/relationships/hyperlink" Target="https://www.immoscout24.ch/fr/appartement/louer/lieu-thyon" TargetMode="External"/><Relationship Id="rId7482" Type="http://schemas.openxmlformats.org/officeDocument/2006/relationships/hyperlink" Target="https://www.immoscout24.ch/fr/appartement/louer/lieu-epagny" TargetMode="External"/><Relationship Id="rId6157" Type="http://schemas.openxmlformats.org/officeDocument/2006/relationships/hyperlink" Target="https://www.immoscout24.ch/fr/appartement/louer/lieu-fionnay" TargetMode="External"/><Relationship Id="rId7489" Type="http://schemas.openxmlformats.org/officeDocument/2006/relationships/hyperlink" Target="https://www.immoscout24.ch/fr/maison/acheter/lieu-corbieres" TargetMode="External"/><Relationship Id="rId6158" Type="http://schemas.openxmlformats.org/officeDocument/2006/relationships/hyperlink" Target="https://www.immoscout24.ch/fr/appartement/louer/lieu-fionnay" TargetMode="External"/><Relationship Id="rId7488" Type="http://schemas.openxmlformats.org/officeDocument/2006/relationships/hyperlink" Target="https://www.immoscout24.ch/fr/maison/acheter/lieu-casima" TargetMode="External"/><Relationship Id="rId6155" Type="http://schemas.openxmlformats.org/officeDocument/2006/relationships/hyperlink" Target="https://www.immoscout24.ch/fr/maison/acheter/region-singine-sarine-lac" TargetMode="External"/><Relationship Id="rId7487" Type="http://schemas.openxmlformats.org/officeDocument/2006/relationships/hyperlink" Target="https://www.immoscout24.ch/fr/maison/acheter/lieu-casima" TargetMode="External"/><Relationship Id="rId6156" Type="http://schemas.openxmlformats.org/officeDocument/2006/relationships/hyperlink" Target="https://www.immoscout24.ch/fr/maison/acheter/region-singine-sarine-lac" TargetMode="External"/><Relationship Id="rId7486" Type="http://schemas.openxmlformats.org/officeDocument/2006/relationships/hyperlink" Target="https://www.immoscout24.ch/fr/maison/acheter/lieu-mathod" TargetMode="External"/><Relationship Id="rId6159" Type="http://schemas.openxmlformats.org/officeDocument/2006/relationships/hyperlink" Target="https://www.immoscout24.ch/fr/maison/acheter/pays-la-slovenie" TargetMode="External"/><Relationship Id="rId745" Type="http://schemas.openxmlformats.org/officeDocument/2006/relationships/hyperlink" Target="https://www.immoscout24.ch/fr/maison/acheter/lieu-bubendorf" TargetMode="External"/><Relationship Id="rId744" Type="http://schemas.openxmlformats.org/officeDocument/2006/relationships/hyperlink" Target="https://www.immoscout24.ch/fr/maison/acheter/lieu-boulens" TargetMode="External"/><Relationship Id="rId743" Type="http://schemas.openxmlformats.org/officeDocument/2006/relationships/hyperlink" Target="https://www.immoscout24.ch/fr/maison/acheter/lieu-boulens" TargetMode="External"/><Relationship Id="rId742" Type="http://schemas.openxmlformats.org/officeDocument/2006/relationships/hyperlink" Target="https://www.immoscout24.ch/fr/maison/acheter/lieu-la-comballaz" TargetMode="External"/><Relationship Id="rId749" Type="http://schemas.openxmlformats.org/officeDocument/2006/relationships/hyperlink" Target="https://www.immoscout24.ch/fr/appartement/acheter/lieu-bioley-orjulaz" TargetMode="External"/><Relationship Id="rId748" Type="http://schemas.openxmlformats.org/officeDocument/2006/relationships/hyperlink" Target="https://www.immoscout24.ch/fr/appartement/louer/lieu-schwadernau" TargetMode="External"/><Relationship Id="rId747" Type="http://schemas.openxmlformats.org/officeDocument/2006/relationships/hyperlink" Target="https://www.immoscout24.ch/fr/appartement/louer/lieu-schwadernau" TargetMode="External"/><Relationship Id="rId746" Type="http://schemas.openxmlformats.org/officeDocument/2006/relationships/hyperlink" Target="https://www.immoscout24.ch/fr/maison/acheter/lieu-bubendorf" TargetMode="External"/><Relationship Id="rId741" Type="http://schemas.openxmlformats.org/officeDocument/2006/relationships/hyperlink" Target="https://www.immoscout24.ch/fr/maison/acheter/lieu-la-comballaz" TargetMode="External"/><Relationship Id="rId740" Type="http://schemas.openxmlformats.org/officeDocument/2006/relationships/hyperlink" Target="https://www.immoscout24.ch/fr/appartement/acheter/lieu-faulensee" TargetMode="External"/><Relationship Id="rId739" Type="http://schemas.openxmlformats.org/officeDocument/2006/relationships/hyperlink" Target="https://www.immoscout24.ch/fr/appartement/acheter/lieu-faulensee" TargetMode="External"/><Relationship Id="rId734" Type="http://schemas.openxmlformats.org/officeDocument/2006/relationships/hyperlink" Target="https://www.immoscout24.ch/fr/appartement/louer/lieu-hedingen" TargetMode="External"/><Relationship Id="rId733" Type="http://schemas.openxmlformats.org/officeDocument/2006/relationships/hyperlink" Target="https://www.immoscout24.ch/fr/appartement/louer/lieu-hedingen" TargetMode="External"/><Relationship Id="rId732" Type="http://schemas.openxmlformats.org/officeDocument/2006/relationships/hyperlink" Target="https://www.immoscout24.ch/fr/appartement/acheter/lieu-brunnen" TargetMode="External"/><Relationship Id="rId731" Type="http://schemas.openxmlformats.org/officeDocument/2006/relationships/hyperlink" Target="https://www.immoscout24.ch/fr/appartement/acheter/lieu-brunnen" TargetMode="External"/><Relationship Id="rId738" Type="http://schemas.openxmlformats.org/officeDocument/2006/relationships/hyperlink" Target="https://www.immoscout24.ch/fr/maison/acheter/lieu-schaan" TargetMode="External"/><Relationship Id="rId737" Type="http://schemas.openxmlformats.org/officeDocument/2006/relationships/hyperlink" Target="https://www.immoscout24.ch/fr/maison/acheter/lieu-schaan" TargetMode="External"/><Relationship Id="rId736" Type="http://schemas.openxmlformats.org/officeDocument/2006/relationships/hyperlink" Target="https://www.immoscout24.ch/fr/appartement/louer/lieu-vionnaz" TargetMode="External"/><Relationship Id="rId735" Type="http://schemas.openxmlformats.org/officeDocument/2006/relationships/hyperlink" Target="https://www.immoscout24.ch/fr/appartement/louer/lieu-vionnaz" TargetMode="External"/><Relationship Id="rId730" Type="http://schemas.openxmlformats.org/officeDocument/2006/relationships/hyperlink" Target="https://www.immoscout24.ch/fr/maison/acheter/lieu-trimbach" TargetMode="External"/><Relationship Id="rId767" Type="http://schemas.openxmlformats.org/officeDocument/2006/relationships/hyperlink" Target="https://www.immoscout24.ch/fr/maison/louer/lieu-gumefens" TargetMode="External"/><Relationship Id="rId766" Type="http://schemas.openxmlformats.org/officeDocument/2006/relationships/hyperlink" Target="https://www.immoscout24.ch/fr/maison/acheter/lieu-les-moulins" TargetMode="External"/><Relationship Id="rId765" Type="http://schemas.openxmlformats.org/officeDocument/2006/relationships/hyperlink" Target="https://www.immoscout24.ch/fr/maison/acheter/lieu-les-moulins" TargetMode="External"/><Relationship Id="rId764" Type="http://schemas.openxmlformats.org/officeDocument/2006/relationships/hyperlink" Target="https://www.immoscout24.ch/fr/appartement/louer/lieu-oberhofen-am-thunersee" TargetMode="External"/><Relationship Id="rId769" Type="http://schemas.openxmlformats.org/officeDocument/2006/relationships/hyperlink" Target="https://www.immoscout24.ch/fr/appartement/acheter/lieu-vich" TargetMode="External"/><Relationship Id="rId768" Type="http://schemas.openxmlformats.org/officeDocument/2006/relationships/hyperlink" Target="https://www.immoscout24.ch/fr/maison/louer/lieu-gumefens" TargetMode="External"/><Relationship Id="rId763" Type="http://schemas.openxmlformats.org/officeDocument/2006/relationships/hyperlink" Target="https://www.immoscout24.ch/fr/appartement/louer/lieu-oberhofen-am-thunersee" TargetMode="External"/><Relationship Id="rId762" Type="http://schemas.openxmlformats.org/officeDocument/2006/relationships/hyperlink" Target="https://www.immoscout24.ch/fr/maison/louer/lieu-ravoire" TargetMode="External"/><Relationship Id="rId761" Type="http://schemas.openxmlformats.org/officeDocument/2006/relationships/hyperlink" Target="https://www.immoscout24.ch/fr/maison/louer/lieu-ravoire" TargetMode="External"/><Relationship Id="rId760" Type="http://schemas.openxmlformats.org/officeDocument/2006/relationships/hyperlink" Target="https://www.immoscout24.ch/fr/appartement/acheter/region-bellinzone" TargetMode="External"/><Relationship Id="rId756" Type="http://schemas.openxmlformats.org/officeDocument/2006/relationships/hyperlink" Target="https://www.immoscout24.ch/fr/appartement/acheter/lieu-ottenbach" TargetMode="External"/><Relationship Id="rId755" Type="http://schemas.openxmlformats.org/officeDocument/2006/relationships/hyperlink" Target="https://www.immoscout24.ch/fr/appartement/acheter/lieu-ottenbach" TargetMode="External"/><Relationship Id="rId754" Type="http://schemas.openxmlformats.org/officeDocument/2006/relationships/hyperlink" Target="https://www.immoscout24.ch/fr/maison/louer/lieu-gy" TargetMode="External"/><Relationship Id="rId753" Type="http://schemas.openxmlformats.org/officeDocument/2006/relationships/hyperlink" Target="https://www.immoscout24.ch/fr/maison/louer/lieu-gy" TargetMode="External"/><Relationship Id="rId759" Type="http://schemas.openxmlformats.org/officeDocument/2006/relationships/hyperlink" Target="https://www.immoscout24.ch/fr/appartement/acheter/region-bellinzone" TargetMode="External"/><Relationship Id="rId758" Type="http://schemas.openxmlformats.org/officeDocument/2006/relationships/hyperlink" Target="https://www.immoscout24.ch/fr/maison/acheter/quartier-maladiere-mail-neuchatel" TargetMode="External"/><Relationship Id="rId757" Type="http://schemas.openxmlformats.org/officeDocument/2006/relationships/hyperlink" Target="https://www.immoscout24.ch/fr/maison/acheter/quartier-maladiere-mail-neuchatel" TargetMode="External"/><Relationship Id="rId752" Type="http://schemas.openxmlformats.org/officeDocument/2006/relationships/hyperlink" Target="https://www.immoscout24.ch/fr/maison/acheter/lieu-prangins" TargetMode="External"/><Relationship Id="rId751" Type="http://schemas.openxmlformats.org/officeDocument/2006/relationships/hyperlink" Target="https://www.immoscout24.ch/fr/maison/acheter/lieu-prangins" TargetMode="External"/><Relationship Id="rId750" Type="http://schemas.openxmlformats.org/officeDocument/2006/relationships/hyperlink" Target="https://www.immoscout24.ch/fr/appartement/acheter/lieu-bioley-orjulaz" TargetMode="External"/><Relationship Id="rId709" Type="http://schemas.openxmlformats.org/officeDocument/2006/relationships/hyperlink" Target="https://www.immoscout24.ch/fr/maison/louer/lieu-pery" TargetMode="External"/><Relationship Id="rId708" Type="http://schemas.openxmlformats.org/officeDocument/2006/relationships/hyperlink" Target="https://www.immoscout24.ch/fr/appartement/louer/lieu-st-luc" TargetMode="External"/><Relationship Id="rId707" Type="http://schemas.openxmlformats.org/officeDocument/2006/relationships/hyperlink" Target="https://www.immoscout24.ch/fr/appartement/louer/lieu-st-luc" TargetMode="External"/><Relationship Id="rId706" Type="http://schemas.openxmlformats.org/officeDocument/2006/relationships/hyperlink" Target="https://www.immoscout24.ch/fr/maison/acheter/lieu-corsier-ge" TargetMode="External"/><Relationship Id="rId701" Type="http://schemas.openxmlformats.org/officeDocument/2006/relationships/hyperlink" Target="https://www.immoscout24.ch/fr/appartement/acheter/lieu-vuadens" TargetMode="External"/><Relationship Id="rId700" Type="http://schemas.openxmlformats.org/officeDocument/2006/relationships/hyperlink" Target="https://www.immoscout24.ch/fr/appartement/louer/lieu-le-chatelard-vs" TargetMode="External"/><Relationship Id="rId705" Type="http://schemas.openxmlformats.org/officeDocument/2006/relationships/hyperlink" Target="https://www.immoscout24.ch/fr/maison/acheter/lieu-corsier-ge" TargetMode="External"/><Relationship Id="rId704" Type="http://schemas.openxmlformats.org/officeDocument/2006/relationships/hyperlink" Target="https://www.immoscout24.ch/fr/appartement/louer/lieu-sursee" TargetMode="External"/><Relationship Id="rId703" Type="http://schemas.openxmlformats.org/officeDocument/2006/relationships/hyperlink" Target="https://www.immoscout24.ch/fr/appartement/louer/lieu-sursee" TargetMode="External"/><Relationship Id="rId702" Type="http://schemas.openxmlformats.org/officeDocument/2006/relationships/hyperlink" Target="https://www.immoscout24.ch/fr/appartement/acheter/lieu-vuadens" TargetMode="External"/><Relationship Id="rId729" Type="http://schemas.openxmlformats.org/officeDocument/2006/relationships/hyperlink" Target="https://www.immoscout24.ch/fr/maison/acheter/lieu-trimbach" TargetMode="External"/><Relationship Id="rId728" Type="http://schemas.openxmlformats.org/officeDocument/2006/relationships/hyperlink" Target="https://www.immoscout24.ch/fr/appartement/louer/quartier-sous-gare-ouchy-lausanne" TargetMode="External"/><Relationship Id="rId723" Type="http://schemas.openxmlformats.org/officeDocument/2006/relationships/hyperlink" Target="https://www.immoscout24.ch/fr/maison/louer/pays-liechtenstein" TargetMode="External"/><Relationship Id="rId722" Type="http://schemas.openxmlformats.org/officeDocument/2006/relationships/hyperlink" Target="https://www.immoscout24.ch/fr/maison/acheter/lieu-montagnola" TargetMode="External"/><Relationship Id="rId721" Type="http://schemas.openxmlformats.org/officeDocument/2006/relationships/hyperlink" Target="https://www.immoscout24.ch/fr/maison/acheter/lieu-montagnola" TargetMode="External"/><Relationship Id="rId720" Type="http://schemas.openxmlformats.org/officeDocument/2006/relationships/hyperlink" Target="https://www.immoscout24.ch/fr/maison/acheter/quartier-monbijou-berne" TargetMode="External"/><Relationship Id="rId727" Type="http://schemas.openxmlformats.org/officeDocument/2006/relationships/hyperlink" Target="https://www.immoscout24.ch/fr/appartement/louer/quartier-sous-gare-ouchy-lausanne" TargetMode="External"/><Relationship Id="rId726" Type="http://schemas.openxmlformats.org/officeDocument/2006/relationships/hyperlink" Target="https://www.immoscout24.ch/fr/appartement/louer/lieu-delley" TargetMode="External"/><Relationship Id="rId725" Type="http://schemas.openxmlformats.org/officeDocument/2006/relationships/hyperlink" Target="https://www.immoscout24.ch/fr/appartement/louer/lieu-delley" TargetMode="External"/><Relationship Id="rId724" Type="http://schemas.openxmlformats.org/officeDocument/2006/relationships/hyperlink" Target="https://www.immoscout24.ch/fr/maison/louer/pays-liechtenstein" TargetMode="External"/><Relationship Id="rId719" Type="http://schemas.openxmlformats.org/officeDocument/2006/relationships/hyperlink" Target="https://www.immoscout24.ch/fr/maison/acheter/quartier-monbijou-berne" TargetMode="External"/><Relationship Id="rId718" Type="http://schemas.openxmlformats.org/officeDocument/2006/relationships/hyperlink" Target="https://www.immoscout24.ch/fr/maison/acheter/lieu-les-giettes" TargetMode="External"/><Relationship Id="rId717" Type="http://schemas.openxmlformats.org/officeDocument/2006/relationships/hyperlink" Target="https://www.immoscout24.ch/fr/maison/acheter/lieu-les-giettes" TargetMode="External"/><Relationship Id="rId712" Type="http://schemas.openxmlformats.org/officeDocument/2006/relationships/hyperlink" Target="https://www.immoscout24.ch/fr/appartement/acheter/lieu-les-bayards" TargetMode="External"/><Relationship Id="rId711" Type="http://schemas.openxmlformats.org/officeDocument/2006/relationships/hyperlink" Target="https://www.immoscout24.ch/fr/appartement/acheter/lieu-les-bayards" TargetMode="External"/><Relationship Id="rId710" Type="http://schemas.openxmlformats.org/officeDocument/2006/relationships/hyperlink" Target="https://www.immoscout24.ch/fr/maison/louer/lieu-pery" TargetMode="External"/><Relationship Id="rId716" Type="http://schemas.openxmlformats.org/officeDocument/2006/relationships/hyperlink" Target="https://www.immoscout24.ch/fr/maison/acheter/lieu-chironico" TargetMode="External"/><Relationship Id="rId715" Type="http://schemas.openxmlformats.org/officeDocument/2006/relationships/hyperlink" Target="https://www.immoscout24.ch/fr/maison/acheter/lieu-chironico" TargetMode="External"/><Relationship Id="rId714" Type="http://schemas.openxmlformats.org/officeDocument/2006/relationships/hyperlink" Target="https://www.immoscout24.ch/fr/maison/acheter/lieu-lumino" TargetMode="External"/><Relationship Id="rId713" Type="http://schemas.openxmlformats.org/officeDocument/2006/relationships/hyperlink" Target="https://www.immoscout24.ch/fr/maison/acheter/lieu-lumino" TargetMode="External"/><Relationship Id="rId8806" Type="http://schemas.openxmlformats.org/officeDocument/2006/relationships/hyperlink" Target="https://www.immoscout24.ch/fr/appartement/louer/lieu-lamone" TargetMode="External"/><Relationship Id="rId8805" Type="http://schemas.openxmlformats.org/officeDocument/2006/relationships/hyperlink" Target="https://www.immoscout24.ch/fr/appartement/louer/lieu-lamone" TargetMode="External"/><Relationship Id="rId8804" Type="http://schemas.openxmlformats.org/officeDocument/2006/relationships/hyperlink" Target="https://www.immoscout24.ch/fr/appartement/louer/lieu-tegna" TargetMode="External"/><Relationship Id="rId8803" Type="http://schemas.openxmlformats.org/officeDocument/2006/relationships/hyperlink" Target="https://www.immoscout24.ch/fr/appartement/louer/lieu-tegna" TargetMode="External"/><Relationship Id="rId8809" Type="http://schemas.openxmlformats.org/officeDocument/2006/relationships/hyperlink" Target="https://www.immoscout24.ch/fr/appartement/acheter/lieu-porsel" TargetMode="External"/><Relationship Id="rId8808" Type="http://schemas.openxmlformats.org/officeDocument/2006/relationships/hyperlink" Target="https://www.immoscout24.ch/fr/appartement/louer/lieu-sergey" TargetMode="External"/><Relationship Id="rId8807" Type="http://schemas.openxmlformats.org/officeDocument/2006/relationships/hyperlink" Target="https://www.immoscout24.ch/fr/appartement/louer/lieu-sergey" TargetMode="External"/><Relationship Id="rId8802" Type="http://schemas.openxmlformats.org/officeDocument/2006/relationships/hyperlink" Target="https://www.immoscout24.ch/fr/maison/louer/lieu-mur-vully-fr" TargetMode="External"/><Relationship Id="rId8801" Type="http://schemas.openxmlformats.org/officeDocument/2006/relationships/hyperlink" Target="https://www.immoscout24.ch/fr/maison/louer/lieu-mur-vully-fr" TargetMode="External"/><Relationship Id="rId8800" Type="http://schemas.openxmlformats.org/officeDocument/2006/relationships/hyperlink" Target="https://www.immoscout24.ch/fr/maison/acheter/lieu-bellelay" TargetMode="External"/><Relationship Id="rId8828" Type="http://schemas.openxmlformats.org/officeDocument/2006/relationships/hyperlink" Target="https://www.immoscout24.ch/fr/appartement/acheter/lieu-gurmels" TargetMode="External"/><Relationship Id="rId8827" Type="http://schemas.openxmlformats.org/officeDocument/2006/relationships/hyperlink" Target="https://www.immoscout24.ch/fr/appartement/acheter/lieu-gurmels" TargetMode="External"/><Relationship Id="rId8826" Type="http://schemas.openxmlformats.org/officeDocument/2006/relationships/hyperlink" Target="https://www.immoscout24.ch/fr/maison/louer/region-haut-valais" TargetMode="External"/><Relationship Id="rId8825" Type="http://schemas.openxmlformats.org/officeDocument/2006/relationships/hyperlink" Target="https://www.immoscout24.ch/fr/maison/louer/region-haut-valais" TargetMode="External"/><Relationship Id="rId8829" Type="http://schemas.openxmlformats.org/officeDocument/2006/relationships/hyperlink" Target="https://www.immoscout24.ch/fr/appartement/acheter/lieu-volleges" TargetMode="External"/><Relationship Id="rId8820" Type="http://schemas.openxmlformats.org/officeDocument/2006/relationships/hyperlink" Target="https://www.immoscout24.ch/fr/maison/acheter/lieu-chaneaz" TargetMode="External"/><Relationship Id="rId8824" Type="http://schemas.openxmlformats.org/officeDocument/2006/relationships/hyperlink" Target="https://www.immoscout24.ch/fr/maison/acheter/quartier-sallaz-vennes-sechaud-lausanne" TargetMode="External"/><Relationship Id="rId8823" Type="http://schemas.openxmlformats.org/officeDocument/2006/relationships/hyperlink" Target="https://www.immoscout24.ch/fr/maison/acheter/quartier-sallaz-vennes-sechaud-lausanne" TargetMode="External"/><Relationship Id="rId8822" Type="http://schemas.openxmlformats.org/officeDocument/2006/relationships/hyperlink" Target="https://www.immoscout24.ch/fr/maison/acheter/lieu-guettingen" TargetMode="External"/><Relationship Id="rId8821" Type="http://schemas.openxmlformats.org/officeDocument/2006/relationships/hyperlink" Target="https://www.immoscout24.ch/fr/maison/acheter/lieu-guettingen" TargetMode="External"/><Relationship Id="rId8817" Type="http://schemas.openxmlformats.org/officeDocument/2006/relationships/hyperlink" Target="https://www.immoscout24.ch/fr/appartement/louer/quartier-barbengo-lugano" TargetMode="External"/><Relationship Id="rId8816" Type="http://schemas.openxmlformats.org/officeDocument/2006/relationships/hyperlink" Target="https://www.immoscout24.ch/fr/appartement/acheter/lieu-chene-bourg" TargetMode="External"/><Relationship Id="rId8815" Type="http://schemas.openxmlformats.org/officeDocument/2006/relationships/hyperlink" Target="https://www.immoscout24.ch/fr/appartement/acheter/lieu-chene-bourg" TargetMode="External"/><Relationship Id="rId8814" Type="http://schemas.openxmlformats.org/officeDocument/2006/relationships/hyperlink" Target="https://www.immoscout24.ch/fr/appartement/acheter/region-aarau-et-environs" TargetMode="External"/><Relationship Id="rId8819" Type="http://schemas.openxmlformats.org/officeDocument/2006/relationships/hyperlink" Target="https://www.immoscout24.ch/fr/maison/acheter/lieu-chaneaz" TargetMode="External"/><Relationship Id="rId8818" Type="http://schemas.openxmlformats.org/officeDocument/2006/relationships/hyperlink" Target="https://www.immoscout24.ch/fr/appartement/louer/quartier-barbengo-lugano" TargetMode="External"/><Relationship Id="rId8813" Type="http://schemas.openxmlformats.org/officeDocument/2006/relationships/hyperlink" Target="https://www.immoscout24.ch/fr/appartement/acheter/region-aarau-et-environs" TargetMode="External"/><Relationship Id="rId8812" Type="http://schemas.openxmlformats.org/officeDocument/2006/relationships/hyperlink" Target="https://www.immoscout24.ch/fr/maison/acheter/lieu-losone" TargetMode="External"/><Relationship Id="rId8811" Type="http://schemas.openxmlformats.org/officeDocument/2006/relationships/hyperlink" Target="https://www.immoscout24.ch/fr/maison/acheter/lieu-losone" TargetMode="External"/><Relationship Id="rId8810" Type="http://schemas.openxmlformats.org/officeDocument/2006/relationships/hyperlink" Target="https://www.immoscout24.ch/fr/appartement/acheter/lieu-porsel" TargetMode="External"/><Relationship Id="rId789" Type="http://schemas.openxmlformats.org/officeDocument/2006/relationships/hyperlink" Target="https://www.immoscout24.ch/fr/appartement/louer/lieu-neuenegg" TargetMode="External"/><Relationship Id="rId788" Type="http://schemas.openxmlformats.org/officeDocument/2006/relationships/hyperlink" Target="https://www.immoscout24.ch/fr/maison/acheter/lieu-mergoscia" TargetMode="External"/><Relationship Id="rId787" Type="http://schemas.openxmlformats.org/officeDocument/2006/relationships/hyperlink" Target="https://www.immoscout24.ch/fr/maison/acheter/lieu-mergoscia" TargetMode="External"/><Relationship Id="rId786" Type="http://schemas.openxmlformats.org/officeDocument/2006/relationships/hyperlink" Target="https://www.immoscout24.ch/fr/maison/acheter/lieu-mies" TargetMode="External"/><Relationship Id="rId781" Type="http://schemas.openxmlformats.org/officeDocument/2006/relationships/hyperlink" Target="https://www.immoscout24.ch/fr/appartement/louer/quartier-croix-federale-la-chaux-de-fonds" TargetMode="External"/><Relationship Id="rId780" Type="http://schemas.openxmlformats.org/officeDocument/2006/relationships/hyperlink" Target="https://www.immoscout24.ch/fr/maison/louer/lieu-richterswil" TargetMode="External"/><Relationship Id="rId785" Type="http://schemas.openxmlformats.org/officeDocument/2006/relationships/hyperlink" Target="https://www.immoscout24.ch/fr/maison/acheter/lieu-mies" TargetMode="External"/><Relationship Id="rId784" Type="http://schemas.openxmlformats.org/officeDocument/2006/relationships/hyperlink" Target="https://www.immoscout24.ch/fr/maison/louer/canton-nidwald" TargetMode="External"/><Relationship Id="rId783" Type="http://schemas.openxmlformats.org/officeDocument/2006/relationships/hyperlink" Target="https://www.immoscout24.ch/fr/maison/louer/canton-nidwald" TargetMode="External"/><Relationship Id="rId782" Type="http://schemas.openxmlformats.org/officeDocument/2006/relationships/hyperlink" Target="https://www.immoscout24.ch/fr/appartement/louer/quartier-croix-federale-la-chaux-de-fonds" TargetMode="External"/><Relationship Id="rId778" Type="http://schemas.openxmlformats.org/officeDocument/2006/relationships/hyperlink" Target="https://www.immoscout24.ch/fr/maison/louer/lieu-seedorf-be" TargetMode="External"/><Relationship Id="rId777" Type="http://schemas.openxmlformats.org/officeDocument/2006/relationships/hyperlink" Target="https://www.immoscout24.ch/fr/maison/louer/lieu-seedorf-be" TargetMode="External"/><Relationship Id="rId776" Type="http://schemas.openxmlformats.org/officeDocument/2006/relationships/hyperlink" Target="https://www.immoscout24.ch/fr/appartement/louer/lieu-ponte-capriasca" TargetMode="External"/><Relationship Id="rId775" Type="http://schemas.openxmlformats.org/officeDocument/2006/relationships/hyperlink" Target="https://www.immoscout24.ch/fr/appartement/louer/lieu-ponte-capriasca" TargetMode="External"/><Relationship Id="rId779" Type="http://schemas.openxmlformats.org/officeDocument/2006/relationships/hyperlink" Target="https://www.immoscout24.ch/fr/maison/louer/lieu-richterswil" TargetMode="External"/><Relationship Id="rId770" Type="http://schemas.openxmlformats.org/officeDocument/2006/relationships/hyperlink" Target="https://www.immoscout24.ch/fr/appartement/acheter/lieu-vich" TargetMode="External"/><Relationship Id="rId774" Type="http://schemas.openxmlformats.org/officeDocument/2006/relationships/hyperlink" Target="https://www.immoscout24.ch/fr/appartement/louer/quartier-hoengg-zurich" TargetMode="External"/><Relationship Id="rId773" Type="http://schemas.openxmlformats.org/officeDocument/2006/relationships/hyperlink" Target="https://www.immoscout24.ch/fr/appartement/louer/quartier-hoengg-zurich" TargetMode="External"/><Relationship Id="rId772" Type="http://schemas.openxmlformats.org/officeDocument/2006/relationships/hyperlink" Target="https://www.immoscout24.ch/fr/appartement/acheter/region-val-de-travers" TargetMode="External"/><Relationship Id="rId771" Type="http://schemas.openxmlformats.org/officeDocument/2006/relationships/hyperlink" Target="https://www.immoscout24.ch/fr/appartement/acheter/region-val-de-travers" TargetMode="External"/><Relationship Id="rId799" Type="http://schemas.openxmlformats.org/officeDocument/2006/relationships/hyperlink" Target="https://www.immoscout24.ch/fr/maison/acheter/lieu-vernier" TargetMode="External"/><Relationship Id="rId798" Type="http://schemas.openxmlformats.org/officeDocument/2006/relationships/hyperlink" Target="https://www.immoscout24.ch/fr/maison/acheter/lieu-cremin" TargetMode="External"/><Relationship Id="rId797" Type="http://schemas.openxmlformats.org/officeDocument/2006/relationships/hyperlink" Target="https://www.immoscout24.ch/fr/maison/acheter/lieu-cremin" TargetMode="External"/><Relationship Id="rId792" Type="http://schemas.openxmlformats.org/officeDocument/2006/relationships/hyperlink" Target="https://www.immoscout24.ch/fr/maison/louer/lieu-granges-veveyse" TargetMode="External"/><Relationship Id="rId791" Type="http://schemas.openxmlformats.org/officeDocument/2006/relationships/hyperlink" Target="https://www.immoscout24.ch/fr/maison/louer/lieu-granges-veveyse" TargetMode="External"/><Relationship Id="rId790" Type="http://schemas.openxmlformats.org/officeDocument/2006/relationships/hyperlink" Target="https://www.immoscout24.ch/fr/appartement/louer/lieu-neuenegg" TargetMode="External"/><Relationship Id="rId796" Type="http://schemas.openxmlformats.org/officeDocument/2006/relationships/hyperlink" Target="https://www.immoscout24.ch/fr/maison/acheter/lieu-bremgarten-ag" TargetMode="External"/><Relationship Id="rId795" Type="http://schemas.openxmlformats.org/officeDocument/2006/relationships/hyperlink" Target="https://www.immoscout24.ch/fr/maison/acheter/lieu-bremgarten-ag" TargetMode="External"/><Relationship Id="rId794" Type="http://schemas.openxmlformats.org/officeDocument/2006/relationships/hyperlink" Target="https://www.immoscout24.ch/fr/maison/acheter/lieu-doettingen" TargetMode="External"/><Relationship Id="rId793" Type="http://schemas.openxmlformats.org/officeDocument/2006/relationships/hyperlink" Target="https://www.immoscout24.ch/fr/maison/acheter/lieu-doettingen" TargetMode="External"/><Relationship Id="rId6229" Type="http://schemas.openxmlformats.org/officeDocument/2006/relationships/hyperlink" Target="https://www.immoscout24.ch/fr/maison/louer/lieu-veyras" TargetMode="External"/><Relationship Id="rId7551" Type="http://schemas.openxmlformats.org/officeDocument/2006/relationships/hyperlink" Target="https://www.immoscout24.ch/fr/appartement/louer/lieu-koppigen" TargetMode="External"/><Relationship Id="rId8882" Type="http://schemas.openxmlformats.org/officeDocument/2006/relationships/hyperlink" Target="https://www.immoscout24.ch/fr/appartement/acheter/lieu-le-pont" TargetMode="External"/><Relationship Id="rId6220" Type="http://schemas.openxmlformats.org/officeDocument/2006/relationships/hyperlink" Target="https://www.immoscout24.ch/fr/maison/acheter/quartier-witikon-zurich" TargetMode="External"/><Relationship Id="rId7550" Type="http://schemas.openxmlformats.org/officeDocument/2006/relationships/hyperlink" Target="https://www.immoscout24.ch/fr/appartement/acheter/lieu-lugano" TargetMode="External"/><Relationship Id="rId8881" Type="http://schemas.openxmlformats.org/officeDocument/2006/relationships/hyperlink" Target="https://www.immoscout24.ch/fr/appartement/acheter/lieu-le-pont" TargetMode="External"/><Relationship Id="rId8880" Type="http://schemas.openxmlformats.org/officeDocument/2006/relationships/hyperlink" Target="https://www.immoscout24.ch/fr/appartement/louer/lieu-vaz-obervaz" TargetMode="External"/><Relationship Id="rId6223" Type="http://schemas.openxmlformats.org/officeDocument/2006/relationships/hyperlink" Target="https://www.immoscout24.ch/fr/appartement/louer/lieu-ruswil" TargetMode="External"/><Relationship Id="rId7555" Type="http://schemas.openxmlformats.org/officeDocument/2006/relationships/hyperlink" Target="https://www.immoscout24.ch/fr/appartement/acheter/lieu-moudon" TargetMode="External"/><Relationship Id="rId8886" Type="http://schemas.openxmlformats.org/officeDocument/2006/relationships/hyperlink" Target="https://www.immoscout24.ch/fr/maison/acheter/lieu-gunzwil" TargetMode="External"/><Relationship Id="rId6224" Type="http://schemas.openxmlformats.org/officeDocument/2006/relationships/hyperlink" Target="https://www.immoscout24.ch/fr/appartement/louer/lieu-ruswil" TargetMode="External"/><Relationship Id="rId7554" Type="http://schemas.openxmlformats.org/officeDocument/2006/relationships/hyperlink" Target="https://www.immoscout24.ch/fr/maison/acheter/lieu-vex" TargetMode="External"/><Relationship Id="rId8885" Type="http://schemas.openxmlformats.org/officeDocument/2006/relationships/hyperlink" Target="https://www.immoscout24.ch/fr/maison/acheter/lieu-gunzwil" TargetMode="External"/><Relationship Id="rId6221" Type="http://schemas.openxmlformats.org/officeDocument/2006/relationships/hyperlink" Target="https://www.immoscout24.ch/fr/appartement/acheter/lieu-stein-ag" TargetMode="External"/><Relationship Id="rId7553" Type="http://schemas.openxmlformats.org/officeDocument/2006/relationships/hyperlink" Target="https://www.immoscout24.ch/fr/maison/acheter/lieu-vex" TargetMode="External"/><Relationship Id="rId8884" Type="http://schemas.openxmlformats.org/officeDocument/2006/relationships/hyperlink" Target="https://www.immoscout24.ch/fr/maison/acheter/lieu-la-cure" TargetMode="External"/><Relationship Id="rId6222" Type="http://schemas.openxmlformats.org/officeDocument/2006/relationships/hyperlink" Target="https://www.immoscout24.ch/fr/appartement/acheter/lieu-stein-ag" TargetMode="External"/><Relationship Id="rId7552" Type="http://schemas.openxmlformats.org/officeDocument/2006/relationships/hyperlink" Target="https://www.immoscout24.ch/fr/appartement/louer/lieu-koppigen" TargetMode="External"/><Relationship Id="rId8883" Type="http://schemas.openxmlformats.org/officeDocument/2006/relationships/hyperlink" Target="https://www.immoscout24.ch/fr/maison/acheter/lieu-la-cure" TargetMode="External"/><Relationship Id="rId6227" Type="http://schemas.openxmlformats.org/officeDocument/2006/relationships/hyperlink" Target="https://www.immoscout24.ch/fr/appartement/louer/lieu-les-thioleyres" TargetMode="External"/><Relationship Id="rId7559" Type="http://schemas.openxmlformats.org/officeDocument/2006/relationships/hyperlink" Target="https://www.immoscout24.ch/fr/maison/acheter/lieu-mex-vd" TargetMode="External"/><Relationship Id="rId6228" Type="http://schemas.openxmlformats.org/officeDocument/2006/relationships/hyperlink" Target="https://www.immoscout24.ch/fr/appartement/louer/lieu-les-thioleyres" TargetMode="External"/><Relationship Id="rId7558" Type="http://schemas.openxmlformats.org/officeDocument/2006/relationships/hyperlink" Target="https://www.immoscout24.ch/fr/appartement/acheter/lieu-vira-gambarogno" TargetMode="External"/><Relationship Id="rId8889" Type="http://schemas.openxmlformats.org/officeDocument/2006/relationships/hyperlink" Target="https://www.immoscout24.ch/fr/maison/acheter/lieu-st-severin" TargetMode="External"/><Relationship Id="rId6225" Type="http://schemas.openxmlformats.org/officeDocument/2006/relationships/hyperlink" Target="https://www.immoscout24.ch/fr/appartement/acheter/lieu-la-fouly-vs" TargetMode="External"/><Relationship Id="rId7557" Type="http://schemas.openxmlformats.org/officeDocument/2006/relationships/hyperlink" Target="https://www.immoscout24.ch/fr/appartement/acheter/lieu-vira-gambarogno" TargetMode="External"/><Relationship Id="rId8888" Type="http://schemas.openxmlformats.org/officeDocument/2006/relationships/hyperlink" Target="https://www.immoscout24.ch/fr/maison/acheter/lieu-grandvaux" TargetMode="External"/><Relationship Id="rId6226" Type="http://schemas.openxmlformats.org/officeDocument/2006/relationships/hyperlink" Target="https://www.immoscout24.ch/fr/appartement/acheter/lieu-la-fouly-vs" TargetMode="External"/><Relationship Id="rId7556" Type="http://schemas.openxmlformats.org/officeDocument/2006/relationships/hyperlink" Target="https://www.immoscout24.ch/fr/appartement/acheter/lieu-moudon" TargetMode="External"/><Relationship Id="rId8887" Type="http://schemas.openxmlformats.org/officeDocument/2006/relationships/hyperlink" Target="https://www.immoscout24.ch/fr/maison/acheter/lieu-grandvaux" TargetMode="External"/><Relationship Id="rId6218" Type="http://schemas.openxmlformats.org/officeDocument/2006/relationships/hyperlink" Target="https://www.immoscout24.ch/fr/appartement/louer/lieu-staefa" TargetMode="External"/><Relationship Id="rId6219" Type="http://schemas.openxmlformats.org/officeDocument/2006/relationships/hyperlink" Target="https://www.immoscout24.ch/fr/maison/acheter/quartier-witikon-zurich" TargetMode="External"/><Relationship Id="rId7549" Type="http://schemas.openxmlformats.org/officeDocument/2006/relationships/hyperlink" Target="https://www.immoscout24.ch/fr/appartement/acheter/lieu-lugano" TargetMode="External"/><Relationship Id="rId7540" Type="http://schemas.openxmlformats.org/officeDocument/2006/relationships/hyperlink" Target="https://www.immoscout24.ch/fr/appartement/acheter/lieu-evionnaz" TargetMode="External"/><Relationship Id="rId8871" Type="http://schemas.openxmlformats.org/officeDocument/2006/relationships/hyperlink" Target="https://www.immoscout24.ch/fr/appartement/louer/quartier-wettstein-bale" TargetMode="External"/><Relationship Id="rId8870" Type="http://schemas.openxmlformats.org/officeDocument/2006/relationships/hyperlink" Target="https://www.immoscout24.ch/fr/appartement/louer/lieu-gossau-zh" TargetMode="External"/><Relationship Id="rId6212" Type="http://schemas.openxmlformats.org/officeDocument/2006/relationships/hyperlink" Target="https://www.immoscout24.ch/fr/maison/acheter/region-obwalden" TargetMode="External"/><Relationship Id="rId7544" Type="http://schemas.openxmlformats.org/officeDocument/2006/relationships/hyperlink" Target="https://www.immoscout24.ch/fr/maison/acheter/quartier-secteur-forain-est-la-chaux-de-fonds" TargetMode="External"/><Relationship Id="rId8875" Type="http://schemas.openxmlformats.org/officeDocument/2006/relationships/hyperlink" Target="https://www.immoscout24.ch/fr/appartement/acheter/lieu-prangins" TargetMode="External"/><Relationship Id="rId6213" Type="http://schemas.openxmlformats.org/officeDocument/2006/relationships/hyperlink" Target="https://www.immoscout24.ch/fr/appartement/louer/quartier-vers-chez-les-blanc-lausanne" TargetMode="External"/><Relationship Id="rId7543" Type="http://schemas.openxmlformats.org/officeDocument/2006/relationships/hyperlink" Target="https://www.immoscout24.ch/fr/maison/acheter/quartier-secteur-forain-est-la-chaux-de-fonds" TargetMode="External"/><Relationship Id="rId8874" Type="http://schemas.openxmlformats.org/officeDocument/2006/relationships/hyperlink" Target="https://www.immoscout24.ch/fr/appartement/acheter/lieu-sarnen" TargetMode="External"/><Relationship Id="rId6210" Type="http://schemas.openxmlformats.org/officeDocument/2006/relationships/hyperlink" Target="https://www.immoscout24.ch/fr/appartement/acheter/lieu-celerina-schlarigna" TargetMode="External"/><Relationship Id="rId7542" Type="http://schemas.openxmlformats.org/officeDocument/2006/relationships/hyperlink" Target="https://www.immoscout24.ch/fr/appartement/louer/lieu-klosters-dorf" TargetMode="External"/><Relationship Id="rId8873" Type="http://schemas.openxmlformats.org/officeDocument/2006/relationships/hyperlink" Target="https://www.immoscout24.ch/fr/appartement/acheter/lieu-sarnen" TargetMode="External"/><Relationship Id="rId6211" Type="http://schemas.openxmlformats.org/officeDocument/2006/relationships/hyperlink" Target="https://www.immoscout24.ch/fr/maison/acheter/region-obwalden" TargetMode="External"/><Relationship Id="rId7541" Type="http://schemas.openxmlformats.org/officeDocument/2006/relationships/hyperlink" Target="https://www.immoscout24.ch/fr/appartement/louer/lieu-klosters-dorf" TargetMode="External"/><Relationship Id="rId8872" Type="http://schemas.openxmlformats.org/officeDocument/2006/relationships/hyperlink" Target="https://www.immoscout24.ch/fr/appartement/louer/quartier-wettstein-bale" TargetMode="External"/><Relationship Id="rId6216" Type="http://schemas.openxmlformats.org/officeDocument/2006/relationships/hyperlink" Target="https://www.immoscout24.ch/fr/appartement/louer/lieu-sullens" TargetMode="External"/><Relationship Id="rId7548" Type="http://schemas.openxmlformats.org/officeDocument/2006/relationships/hyperlink" Target="https://www.immoscout24.ch/fr/appartement/louer/lieu-maur" TargetMode="External"/><Relationship Id="rId8879" Type="http://schemas.openxmlformats.org/officeDocument/2006/relationships/hyperlink" Target="https://www.immoscout24.ch/fr/appartement/louer/lieu-vaz-obervaz" TargetMode="External"/><Relationship Id="rId6217" Type="http://schemas.openxmlformats.org/officeDocument/2006/relationships/hyperlink" Target="https://www.immoscout24.ch/fr/appartement/louer/lieu-staefa" TargetMode="External"/><Relationship Id="rId7547" Type="http://schemas.openxmlformats.org/officeDocument/2006/relationships/hyperlink" Target="https://www.immoscout24.ch/fr/appartement/louer/lieu-maur" TargetMode="External"/><Relationship Id="rId8878" Type="http://schemas.openxmlformats.org/officeDocument/2006/relationships/hyperlink" Target="https://www.immoscout24.ch/fr/appartement/acheter/lieu-massonnens" TargetMode="External"/><Relationship Id="rId6214" Type="http://schemas.openxmlformats.org/officeDocument/2006/relationships/hyperlink" Target="https://www.immoscout24.ch/fr/appartement/louer/quartier-vers-chez-les-blanc-lausanne" TargetMode="External"/><Relationship Id="rId7546" Type="http://schemas.openxmlformats.org/officeDocument/2006/relationships/hyperlink" Target="https://www.immoscout24.ch/fr/maison/acheter/region-seeland" TargetMode="External"/><Relationship Id="rId8877" Type="http://schemas.openxmlformats.org/officeDocument/2006/relationships/hyperlink" Target="https://www.immoscout24.ch/fr/appartement/acheter/lieu-massonnens" TargetMode="External"/><Relationship Id="rId6215" Type="http://schemas.openxmlformats.org/officeDocument/2006/relationships/hyperlink" Target="https://www.immoscout24.ch/fr/appartement/louer/lieu-sullens" TargetMode="External"/><Relationship Id="rId7545" Type="http://schemas.openxmlformats.org/officeDocument/2006/relationships/hyperlink" Target="https://www.immoscout24.ch/fr/maison/acheter/region-seeland" TargetMode="External"/><Relationship Id="rId8876" Type="http://schemas.openxmlformats.org/officeDocument/2006/relationships/hyperlink" Target="https://www.immoscout24.ch/fr/appartement/acheter/lieu-prangins" TargetMode="External"/><Relationship Id="rId6241" Type="http://schemas.openxmlformats.org/officeDocument/2006/relationships/hyperlink" Target="https://www.immoscout24.ch/fr/maison/acheter/lieu-lopagno" TargetMode="External"/><Relationship Id="rId7573" Type="http://schemas.openxmlformats.org/officeDocument/2006/relationships/hyperlink" Target="https://www.immoscout24.ch/fr/maison/acheter/pays-tunisie" TargetMode="External"/><Relationship Id="rId6242" Type="http://schemas.openxmlformats.org/officeDocument/2006/relationships/hyperlink" Target="https://www.immoscout24.ch/fr/maison/acheter/lieu-lopagno" TargetMode="External"/><Relationship Id="rId7572" Type="http://schemas.openxmlformats.org/officeDocument/2006/relationships/hyperlink" Target="https://www.immoscout24.ch/fr/maison/acheter/lieu-plasselb" TargetMode="External"/><Relationship Id="rId7571" Type="http://schemas.openxmlformats.org/officeDocument/2006/relationships/hyperlink" Target="https://www.immoscout24.ch/fr/maison/acheter/lieu-plasselb" TargetMode="External"/><Relationship Id="rId6240" Type="http://schemas.openxmlformats.org/officeDocument/2006/relationships/hyperlink" Target="https://www.immoscout24.ch/fr/appartement/acheter/quartier-bouchet-moillebeau-geneve" TargetMode="External"/><Relationship Id="rId7570" Type="http://schemas.openxmlformats.org/officeDocument/2006/relationships/hyperlink" Target="https://www.immoscout24.ch/fr/appartement/acheter/lieu-beuson-nendaz" TargetMode="External"/><Relationship Id="rId6245" Type="http://schemas.openxmlformats.org/officeDocument/2006/relationships/hyperlink" Target="https://www.immoscout24.ch/fr/maison/acheter/lieu-cortebert" TargetMode="External"/><Relationship Id="rId7577" Type="http://schemas.openxmlformats.org/officeDocument/2006/relationships/hyperlink" Target="https://www.immoscout24.ch/fr/appartement/louer/quartier-grand-pre-vermont-geneve" TargetMode="External"/><Relationship Id="rId6246" Type="http://schemas.openxmlformats.org/officeDocument/2006/relationships/hyperlink" Target="https://www.immoscout24.ch/fr/maison/acheter/lieu-cortebert" TargetMode="External"/><Relationship Id="rId7576" Type="http://schemas.openxmlformats.org/officeDocument/2006/relationships/hyperlink" Target="https://www.immoscout24.ch/fr/maison/acheter/lieu-la-lecherette" TargetMode="External"/><Relationship Id="rId6243" Type="http://schemas.openxmlformats.org/officeDocument/2006/relationships/hyperlink" Target="https://www.immoscout24.ch/fr/appartement/louer/lieu-coppet" TargetMode="External"/><Relationship Id="rId7575" Type="http://schemas.openxmlformats.org/officeDocument/2006/relationships/hyperlink" Target="https://www.immoscout24.ch/fr/maison/acheter/lieu-la-lecherette" TargetMode="External"/><Relationship Id="rId6244" Type="http://schemas.openxmlformats.org/officeDocument/2006/relationships/hyperlink" Target="https://www.immoscout24.ch/fr/appartement/louer/lieu-coppet" TargetMode="External"/><Relationship Id="rId7574" Type="http://schemas.openxmlformats.org/officeDocument/2006/relationships/hyperlink" Target="https://www.immoscout24.ch/fr/maison/acheter/pays-tunisie" TargetMode="External"/><Relationship Id="rId6249" Type="http://schemas.openxmlformats.org/officeDocument/2006/relationships/hyperlink" Target="https://www.immoscout24.ch/fr/appartement/acheter/lieu-anzere" TargetMode="External"/><Relationship Id="rId6247" Type="http://schemas.openxmlformats.org/officeDocument/2006/relationships/hyperlink" Target="https://www.immoscout24.ch/fr/maison/acheter/lieu-menzonio" TargetMode="External"/><Relationship Id="rId7579" Type="http://schemas.openxmlformats.org/officeDocument/2006/relationships/hyperlink" Target="https://www.immoscout24.ch/fr/maison/acheter/lieu-le-predame" TargetMode="External"/><Relationship Id="rId6248" Type="http://schemas.openxmlformats.org/officeDocument/2006/relationships/hyperlink" Target="https://www.immoscout24.ch/fr/maison/acheter/lieu-menzonio" TargetMode="External"/><Relationship Id="rId7578" Type="http://schemas.openxmlformats.org/officeDocument/2006/relationships/hyperlink" Target="https://www.immoscout24.ch/fr/appartement/louer/quartier-grand-pre-vermont-geneve" TargetMode="External"/><Relationship Id="rId6230" Type="http://schemas.openxmlformats.org/officeDocument/2006/relationships/hyperlink" Target="https://www.immoscout24.ch/fr/maison/louer/lieu-veyras" TargetMode="External"/><Relationship Id="rId7562" Type="http://schemas.openxmlformats.org/officeDocument/2006/relationships/hyperlink" Target="https://www.immoscout24.ch/fr/appartement/acheter/lieu-commugny" TargetMode="External"/><Relationship Id="rId8893" Type="http://schemas.openxmlformats.org/officeDocument/2006/relationships/hyperlink" Target="https://www.immoscout24.ch/fr/appartement/louer/quartier-mattenhof-berne" TargetMode="External"/><Relationship Id="rId6231" Type="http://schemas.openxmlformats.org/officeDocument/2006/relationships/hyperlink" Target="https://www.immoscout24.ch/fr/appartement/louer/lieu-posat" TargetMode="External"/><Relationship Id="rId7561" Type="http://schemas.openxmlformats.org/officeDocument/2006/relationships/hyperlink" Target="https://www.immoscout24.ch/fr/appartement/acheter/lieu-commugny" TargetMode="External"/><Relationship Id="rId8892" Type="http://schemas.openxmlformats.org/officeDocument/2006/relationships/hyperlink" Target="https://www.immoscout24.ch/fr/maison/louer/lieu-le-landeron" TargetMode="External"/><Relationship Id="rId7560" Type="http://schemas.openxmlformats.org/officeDocument/2006/relationships/hyperlink" Target="https://www.immoscout24.ch/fr/maison/acheter/lieu-mex-vd" TargetMode="External"/><Relationship Id="rId8891" Type="http://schemas.openxmlformats.org/officeDocument/2006/relationships/hyperlink" Target="https://www.immoscout24.ch/fr/maison/louer/lieu-le-landeron" TargetMode="External"/><Relationship Id="rId8890" Type="http://schemas.openxmlformats.org/officeDocument/2006/relationships/hyperlink" Target="https://www.immoscout24.ch/fr/maison/acheter/lieu-st-severin" TargetMode="External"/><Relationship Id="rId6234" Type="http://schemas.openxmlformats.org/officeDocument/2006/relationships/hyperlink" Target="https://www.immoscout24.ch/fr/maison/acheter/lieu-morgins" TargetMode="External"/><Relationship Id="rId7566" Type="http://schemas.openxmlformats.org/officeDocument/2006/relationships/hyperlink" Target="https://www.immoscout24.ch/fr/maison/acheter/lieu-tesserete" TargetMode="External"/><Relationship Id="rId8897" Type="http://schemas.openxmlformats.org/officeDocument/2006/relationships/hyperlink" Target="https://www.immoscout24.ch/fr/maison/acheter/lieu-noville" TargetMode="External"/><Relationship Id="rId6235" Type="http://schemas.openxmlformats.org/officeDocument/2006/relationships/hyperlink" Target="https://www.immoscout24.ch/fr/maison/acheter/region-sion-sierre-et-environs" TargetMode="External"/><Relationship Id="rId7565" Type="http://schemas.openxmlformats.org/officeDocument/2006/relationships/hyperlink" Target="https://www.immoscout24.ch/fr/maison/acheter/lieu-tesserete" TargetMode="External"/><Relationship Id="rId8896" Type="http://schemas.openxmlformats.org/officeDocument/2006/relationships/hyperlink" Target="https://www.immoscout24.ch/fr/appartement/louer/lieu-forel-fr" TargetMode="External"/><Relationship Id="rId6232" Type="http://schemas.openxmlformats.org/officeDocument/2006/relationships/hyperlink" Target="https://www.immoscout24.ch/fr/appartement/louer/lieu-posat" TargetMode="External"/><Relationship Id="rId7564" Type="http://schemas.openxmlformats.org/officeDocument/2006/relationships/hyperlink" Target="https://www.immoscout24.ch/fr/maison/acheter/lieu-pfeffingen" TargetMode="External"/><Relationship Id="rId8895" Type="http://schemas.openxmlformats.org/officeDocument/2006/relationships/hyperlink" Target="https://www.immoscout24.ch/fr/appartement/louer/lieu-forel-fr" TargetMode="External"/><Relationship Id="rId6233" Type="http://schemas.openxmlformats.org/officeDocument/2006/relationships/hyperlink" Target="https://www.immoscout24.ch/fr/maison/acheter/lieu-morgins" TargetMode="External"/><Relationship Id="rId7563" Type="http://schemas.openxmlformats.org/officeDocument/2006/relationships/hyperlink" Target="https://www.immoscout24.ch/fr/maison/acheter/lieu-pfeffingen" TargetMode="External"/><Relationship Id="rId8894" Type="http://schemas.openxmlformats.org/officeDocument/2006/relationships/hyperlink" Target="https://www.immoscout24.ch/fr/appartement/louer/quartier-mattenhof-berne" TargetMode="External"/><Relationship Id="rId6238" Type="http://schemas.openxmlformats.org/officeDocument/2006/relationships/hyperlink" Target="https://www.immoscout24.ch/fr/maison/acheter/lieu-chamoille-sembrancher" TargetMode="External"/><Relationship Id="rId6239" Type="http://schemas.openxmlformats.org/officeDocument/2006/relationships/hyperlink" Target="https://www.immoscout24.ch/fr/appartement/acheter/quartier-bouchet-moillebeau-geneve" TargetMode="External"/><Relationship Id="rId7569" Type="http://schemas.openxmlformats.org/officeDocument/2006/relationships/hyperlink" Target="https://www.immoscout24.ch/fr/appartement/acheter/lieu-beuson-nendaz" TargetMode="External"/><Relationship Id="rId6236" Type="http://schemas.openxmlformats.org/officeDocument/2006/relationships/hyperlink" Target="https://www.immoscout24.ch/fr/maison/acheter/region-sion-sierre-et-environs" TargetMode="External"/><Relationship Id="rId7568" Type="http://schemas.openxmlformats.org/officeDocument/2006/relationships/hyperlink" Target="https://www.immoscout24.ch/fr/appartement/louer/region-zoug-lac-de-zoug" TargetMode="External"/><Relationship Id="rId8899" Type="http://schemas.openxmlformats.org/officeDocument/2006/relationships/hyperlink" Target="https://www.immoscout24.ch/fr/appartement/louer/lieu-altdorf-ur" TargetMode="External"/><Relationship Id="rId6237" Type="http://schemas.openxmlformats.org/officeDocument/2006/relationships/hyperlink" Target="https://www.immoscout24.ch/fr/maison/acheter/lieu-chamoille-sembrancher" TargetMode="External"/><Relationship Id="rId7567" Type="http://schemas.openxmlformats.org/officeDocument/2006/relationships/hyperlink" Target="https://www.immoscout24.ch/fr/appartement/louer/region-zoug-lac-de-zoug" TargetMode="External"/><Relationship Id="rId8898" Type="http://schemas.openxmlformats.org/officeDocument/2006/relationships/hyperlink" Target="https://www.immoscout24.ch/fr/maison/acheter/lieu-noville" TargetMode="External"/><Relationship Id="rId7519" Type="http://schemas.openxmlformats.org/officeDocument/2006/relationships/hyperlink" Target="https://www.immoscout24.ch/fr/appartement/acheter/lieu-monteiller-saviese" TargetMode="External"/><Relationship Id="rId7518" Type="http://schemas.openxmlformats.org/officeDocument/2006/relationships/hyperlink" Target="https://www.immoscout24.ch/fr/maison/acheter/lieu-naters" TargetMode="External"/><Relationship Id="rId8849" Type="http://schemas.openxmlformats.org/officeDocument/2006/relationships/hyperlink" Target="https://www.immoscout24.ch/fr/appartement/louer/lieu-mettmenstetten" TargetMode="External"/><Relationship Id="rId7517" Type="http://schemas.openxmlformats.org/officeDocument/2006/relationships/hyperlink" Target="https://www.immoscout24.ch/fr/maison/acheter/lieu-naters" TargetMode="External"/><Relationship Id="rId8848" Type="http://schemas.openxmlformats.org/officeDocument/2006/relationships/hyperlink" Target="https://www.immoscout24.ch/fr/appartement/louer/lieu-estavannens" TargetMode="External"/><Relationship Id="rId7516" Type="http://schemas.openxmlformats.org/officeDocument/2006/relationships/hyperlink" Target="https://www.immoscout24.ch/fr/appartement/louer/lieu-ecublens-fr" TargetMode="External"/><Relationship Id="rId8847" Type="http://schemas.openxmlformats.org/officeDocument/2006/relationships/hyperlink" Target="https://www.immoscout24.ch/fr/appartement/louer/lieu-estavannens" TargetMode="External"/><Relationship Id="rId7511" Type="http://schemas.openxmlformats.org/officeDocument/2006/relationships/hyperlink" Target="https://www.immoscout24.ch/fr/appartement/acheter/canton-geneve" TargetMode="External"/><Relationship Id="rId8842" Type="http://schemas.openxmlformats.org/officeDocument/2006/relationships/hyperlink" Target="https://www.immoscout24.ch/fr/appartement/louer/lieu-semsales" TargetMode="External"/><Relationship Id="rId7510" Type="http://schemas.openxmlformats.org/officeDocument/2006/relationships/hyperlink" Target="https://www.immoscout24.ch/fr/appartement/louer/lieu-diessbach-b-bueren" TargetMode="External"/><Relationship Id="rId8841" Type="http://schemas.openxmlformats.org/officeDocument/2006/relationships/hyperlink" Target="https://www.immoscout24.ch/fr/appartement/louer/lieu-semsales" TargetMode="External"/><Relationship Id="rId8840" Type="http://schemas.openxmlformats.org/officeDocument/2006/relationships/hyperlink" Target="https://www.immoscout24.ch/fr/maison/acheter/lieu-niva-vallemaggia" TargetMode="External"/><Relationship Id="rId7515" Type="http://schemas.openxmlformats.org/officeDocument/2006/relationships/hyperlink" Target="https://www.immoscout24.ch/fr/appartement/louer/lieu-ecublens-fr" TargetMode="External"/><Relationship Id="rId8846" Type="http://schemas.openxmlformats.org/officeDocument/2006/relationships/hyperlink" Target="https://www.immoscout24.ch/fr/appartement/louer/lieu-leysin" TargetMode="External"/><Relationship Id="rId7514" Type="http://schemas.openxmlformats.org/officeDocument/2006/relationships/hyperlink" Target="https://www.immoscout24.ch/fr/appartement/louer/lieu-balerna" TargetMode="External"/><Relationship Id="rId8845" Type="http://schemas.openxmlformats.org/officeDocument/2006/relationships/hyperlink" Target="https://www.immoscout24.ch/fr/appartement/louer/lieu-leysin" TargetMode="External"/><Relationship Id="rId7513" Type="http://schemas.openxmlformats.org/officeDocument/2006/relationships/hyperlink" Target="https://www.immoscout24.ch/fr/appartement/louer/lieu-balerna" TargetMode="External"/><Relationship Id="rId8844" Type="http://schemas.openxmlformats.org/officeDocument/2006/relationships/hyperlink" Target="https://www.immoscout24.ch/fr/appartement/louer/lieu-ste-croix" TargetMode="External"/><Relationship Id="rId7512" Type="http://schemas.openxmlformats.org/officeDocument/2006/relationships/hyperlink" Target="https://www.immoscout24.ch/fr/appartement/acheter/canton-geneve" TargetMode="External"/><Relationship Id="rId8843" Type="http://schemas.openxmlformats.org/officeDocument/2006/relationships/hyperlink" Target="https://www.immoscout24.ch/fr/appartement/louer/lieu-ste-croix" TargetMode="External"/><Relationship Id="rId7508" Type="http://schemas.openxmlformats.org/officeDocument/2006/relationships/hyperlink" Target="https://www.immoscout24.ch/fr/appartement/louer/lieu-les-agettes" TargetMode="External"/><Relationship Id="rId8839" Type="http://schemas.openxmlformats.org/officeDocument/2006/relationships/hyperlink" Target="https://www.immoscout24.ch/fr/maison/acheter/lieu-niva-vallemaggia" TargetMode="External"/><Relationship Id="rId7507" Type="http://schemas.openxmlformats.org/officeDocument/2006/relationships/hyperlink" Target="https://www.immoscout24.ch/fr/appartement/louer/lieu-les-agettes" TargetMode="External"/><Relationship Id="rId8838" Type="http://schemas.openxmlformats.org/officeDocument/2006/relationships/hyperlink" Target="https://www.immoscout24.ch/fr/appartement/acheter/pays-thailand" TargetMode="External"/><Relationship Id="rId7506" Type="http://schemas.openxmlformats.org/officeDocument/2006/relationships/hyperlink" Target="https://www.immoscout24.ch/fr/maison/acheter/lieu-corgemont" TargetMode="External"/><Relationship Id="rId8837" Type="http://schemas.openxmlformats.org/officeDocument/2006/relationships/hyperlink" Target="https://www.immoscout24.ch/fr/appartement/acheter/pays-thailand" TargetMode="External"/><Relationship Id="rId7505" Type="http://schemas.openxmlformats.org/officeDocument/2006/relationships/hyperlink" Target="https://www.immoscout24.ch/fr/maison/acheter/lieu-corgemont" TargetMode="External"/><Relationship Id="rId8836" Type="http://schemas.openxmlformats.org/officeDocument/2006/relationships/hyperlink" Target="https://www.immoscout24.ch/fr/maison/acheter/lieu-glion" TargetMode="External"/><Relationship Id="rId7509" Type="http://schemas.openxmlformats.org/officeDocument/2006/relationships/hyperlink" Target="https://www.immoscout24.ch/fr/appartement/louer/lieu-diessbach-b-bueren" TargetMode="External"/><Relationship Id="rId7500" Type="http://schemas.openxmlformats.org/officeDocument/2006/relationships/hyperlink" Target="https://www.immoscout24.ch/fr/maison/louer/lieu-arnex-sur-orbe" TargetMode="External"/><Relationship Id="rId8831" Type="http://schemas.openxmlformats.org/officeDocument/2006/relationships/hyperlink" Target="https://www.immoscout24.ch/fr/maison/louer/lieu-lausanne" TargetMode="External"/><Relationship Id="rId8830" Type="http://schemas.openxmlformats.org/officeDocument/2006/relationships/hyperlink" Target="https://www.immoscout24.ch/fr/appartement/acheter/lieu-volleges" TargetMode="External"/><Relationship Id="rId7504" Type="http://schemas.openxmlformats.org/officeDocument/2006/relationships/hyperlink" Target="https://www.immoscout24.ch/fr/maison/acheter/pays-bosnie-herzegovine" TargetMode="External"/><Relationship Id="rId8835" Type="http://schemas.openxmlformats.org/officeDocument/2006/relationships/hyperlink" Target="https://www.immoscout24.ch/fr/maison/acheter/lieu-glion" TargetMode="External"/><Relationship Id="rId7503" Type="http://schemas.openxmlformats.org/officeDocument/2006/relationships/hyperlink" Target="https://www.immoscout24.ch/fr/maison/acheter/pays-bosnie-herzegovine" TargetMode="External"/><Relationship Id="rId8834" Type="http://schemas.openxmlformats.org/officeDocument/2006/relationships/hyperlink" Target="https://www.immoscout24.ch/fr/maison/acheter/lieu-montbovon" TargetMode="External"/><Relationship Id="rId7502" Type="http://schemas.openxmlformats.org/officeDocument/2006/relationships/hyperlink" Target="https://www.immoscout24.ch/fr/maison/acheter/lieu-goldingen" TargetMode="External"/><Relationship Id="rId8833" Type="http://schemas.openxmlformats.org/officeDocument/2006/relationships/hyperlink" Target="https://www.immoscout24.ch/fr/maison/acheter/lieu-montbovon" TargetMode="External"/><Relationship Id="rId7501" Type="http://schemas.openxmlformats.org/officeDocument/2006/relationships/hyperlink" Target="https://www.immoscout24.ch/fr/maison/acheter/lieu-goldingen" TargetMode="External"/><Relationship Id="rId8832" Type="http://schemas.openxmlformats.org/officeDocument/2006/relationships/hyperlink" Target="https://www.immoscout24.ch/fr/maison/louer/lieu-lausanne" TargetMode="External"/><Relationship Id="rId6209" Type="http://schemas.openxmlformats.org/officeDocument/2006/relationships/hyperlink" Target="https://www.immoscout24.ch/fr/appartement/acheter/lieu-celerina-schlarigna" TargetMode="External"/><Relationship Id="rId6207" Type="http://schemas.openxmlformats.org/officeDocument/2006/relationships/hyperlink" Target="https://www.immoscout24.ch/fr/appartement/louer/lieu-hagendorn" TargetMode="External"/><Relationship Id="rId7539" Type="http://schemas.openxmlformats.org/officeDocument/2006/relationships/hyperlink" Target="https://www.immoscout24.ch/fr/appartement/acheter/lieu-evionnaz" TargetMode="External"/><Relationship Id="rId6208" Type="http://schemas.openxmlformats.org/officeDocument/2006/relationships/hyperlink" Target="https://www.immoscout24.ch/fr/appartement/louer/lieu-hagendorn" TargetMode="External"/><Relationship Id="rId7538" Type="http://schemas.openxmlformats.org/officeDocument/2006/relationships/hyperlink" Target="https://www.immoscout24.ch/fr/appartement/louer/lieu-les-marecottes" TargetMode="External"/><Relationship Id="rId8869" Type="http://schemas.openxmlformats.org/officeDocument/2006/relationships/hyperlink" Target="https://www.immoscout24.ch/fr/appartement/louer/lieu-gossau-zh" TargetMode="External"/><Relationship Id="rId8860" Type="http://schemas.openxmlformats.org/officeDocument/2006/relationships/hyperlink" Target="https://www.immoscout24.ch/fr/maison/acheter/lieu-niederwangen-b-bern" TargetMode="External"/><Relationship Id="rId6201" Type="http://schemas.openxmlformats.org/officeDocument/2006/relationships/hyperlink" Target="https://www.immoscout24.ch/fr/appartement/acheter/lieu-dizy" TargetMode="External"/><Relationship Id="rId7533" Type="http://schemas.openxmlformats.org/officeDocument/2006/relationships/hyperlink" Target="https://www.immoscout24.ch/fr/appartement/acheter/lieu-vernamiege" TargetMode="External"/><Relationship Id="rId8864" Type="http://schemas.openxmlformats.org/officeDocument/2006/relationships/hyperlink" Target="https://www.immoscout24.ch/fr/maison/acheter/lieu-ascona" TargetMode="External"/><Relationship Id="rId6202" Type="http://schemas.openxmlformats.org/officeDocument/2006/relationships/hyperlink" Target="https://www.immoscout24.ch/fr/appartement/acheter/lieu-dizy" TargetMode="External"/><Relationship Id="rId7532" Type="http://schemas.openxmlformats.org/officeDocument/2006/relationships/hyperlink" Target="https://www.immoscout24.ch/fr/maison/acheter/lieu-les-valettes-bovernier" TargetMode="External"/><Relationship Id="rId8863" Type="http://schemas.openxmlformats.org/officeDocument/2006/relationships/hyperlink" Target="https://www.immoscout24.ch/fr/maison/acheter/lieu-ascona" TargetMode="External"/><Relationship Id="rId7531" Type="http://schemas.openxmlformats.org/officeDocument/2006/relationships/hyperlink" Target="https://www.immoscout24.ch/fr/maison/acheter/lieu-les-valettes-bovernier" TargetMode="External"/><Relationship Id="rId8862" Type="http://schemas.openxmlformats.org/officeDocument/2006/relationships/hyperlink" Target="https://www.immoscout24.ch/fr/appartement/louer/lieu-stein-am-rhein" TargetMode="External"/><Relationship Id="rId6200" Type="http://schemas.openxmlformats.org/officeDocument/2006/relationships/hyperlink" Target="https://www.immoscout24.ch/fr/appartement/louer/lieu-neyruz-fr" TargetMode="External"/><Relationship Id="rId7530" Type="http://schemas.openxmlformats.org/officeDocument/2006/relationships/hyperlink" Target="https://www.immoscout24.ch/fr/appartement/acheter/quartier-forges-endroits-la-chaux-de-fonds" TargetMode="External"/><Relationship Id="rId8861" Type="http://schemas.openxmlformats.org/officeDocument/2006/relationships/hyperlink" Target="https://www.immoscout24.ch/fr/appartement/louer/lieu-stein-am-rhein" TargetMode="External"/><Relationship Id="rId6205" Type="http://schemas.openxmlformats.org/officeDocument/2006/relationships/hyperlink" Target="https://www.immoscout24.ch/fr/appartement/acheter/lieu-conthey" TargetMode="External"/><Relationship Id="rId7537" Type="http://schemas.openxmlformats.org/officeDocument/2006/relationships/hyperlink" Target="https://www.immoscout24.ch/fr/appartement/louer/lieu-les-marecottes" TargetMode="External"/><Relationship Id="rId8868" Type="http://schemas.openxmlformats.org/officeDocument/2006/relationships/hyperlink" Target="https://www.immoscout24.ch/fr/appartement/louer/lieu-boudevilliers" TargetMode="External"/><Relationship Id="rId6206" Type="http://schemas.openxmlformats.org/officeDocument/2006/relationships/hyperlink" Target="https://www.immoscout24.ch/fr/appartement/acheter/lieu-conthey" TargetMode="External"/><Relationship Id="rId7536" Type="http://schemas.openxmlformats.org/officeDocument/2006/relationships/hyperlink" Target="https://www.immoscout24.ch/fr/appartement/louer/canton-turgovie" TargetMode="External"/><Relationship Id="rId8867" Type="http://schemas.openxmlformats.org/officeDocument/2006/relationships/hyperlink" Target="https://www.immoscout24.ch/fr/appartement/louer/lieu-boudevilliers" TargetMode="External"/><Relationship Id="rId6203" Type="http://schemas.openxmlformats.org/officeDocument/2006/relationships/hyperlink" Target="https://www.immoscout24.ch/fr/appartement/louer/lieu-grosshoechstetten" TargetMode="External"/><Relationship Id="rId7535" Type="http://schemas.openxmlformats.org/officeDocument/2006/relationships/hyperlink" Target="https://www.immoscout24.ch/fr/appartement/louer/canton-turgovie" TargetMode="External"/><Relationship Id="rId8866" Type="http://schemas.openxmlformats.org/officeDocument/2006/relationships/hyperlink" Target="https://www.immoscout24.ch/fr/appartement/louer/canton-tessin" TargetMode="External"/><Relationship Id="rId6204" Type="http://schemas.openxmlformats.org/officeDocument/2006/relationships/hyperlink" Target="https://www.immoscout24.ch/fr/appartement/louer/lieu-grosshoechstetten" TargetMode="External"/><Relationship Id="rId7534" Type="http://schemas.openxmlformats.org/officeDocument/2006/relationships/hyperlink" Target="https://www.immoscout24.ch/fr/appartement/acheter/lieu-vernamiege" TargetMode="External"/><Relationship Id="rId8865" Type="http://schemas.openxmlformats.org/officeDocument/2006/relationships/hyperlink" Target="https://www.immoscout24.ch/fr/appartement/louer/canton-tessin" TargetMode="External"/><Relationship Id="rId7529" Type="http://schemas.openxmlformats.org/officeDocument/2006/relationships/hyperlink" Target="https://www.immoscout24.ch/fr/appartement/acheter/quartier-forges-endroits-la-chaux-de-fonds" TargetMode="External"/><Relationship Id="rId7528" Type="http://schemas.openxmlformats.org/officeDocument/2006/relationships/hyperlink" Target="https://www.immoscout24.ch/fr/maison/acheter/canton-lucerne" TargetMode="External"/><Relationship Id="rId8859" Type="http://schemas.openxmlformats.org/officeDocument/2006/relationships/hyperlink" Target="https://www.immoscout24.ch/fr/maison/acheter/lieu-niederwangen-b-bern" TargetMode="External"/><Relationship Id="rId7527" Type="http://schemas.openxmlformats.org/officeDocument/2006/relationships/hyperlink" Target="https://www.immoscout24.ch/fr/maison/acheter/canton-lucerne" TargetMode="External"/><Relationship Id="rId8858" Type="http://schemas.openxmlformats.org/officeDocument/2006/relationships/hyperlink" Target="https://www.immoscout24.ch/fr/maison/louer/lieu-surpierre" TargetMode="External"/><Relationship Id="rId7522" Type="http://schemas.openxmlformats.org/officeDocument/2006/relationships/hyperlink" Target="https://www.immoscout24.ch/fr/maison/acheter/lieu-spreitenbach" TargetMode="External"/><Relationship Id="rId8853" Type="http://schemas.openxmlformats.org/officeDocument/2006/relationships/hyperlink" Target="https://www.immoscout24.ch/fr/appartement/acheter/lieu-la-chaux-de-fonds" TargetMode="External"/><Relationship Id="rId7521" Type="http://schemas.openxmlformats.org/officeDocument/2006/relationships/hyperlink" Target="https://www.immoscout24.ch/fr/maison/acheter/lieu-spreitenbach" TargetMode="External"/><Relationship Id="rId8852" Type="http://schemas.openxmlformats.org/officeDocument/2006/relationships/hyperlink" Target="https://www.immoscout24.ch/fr/maison/acheter/pays-seychelles" TargetMode="External"/><Relationship Id="rId7520" Type="http://schemas.openxmlformats.org/officeDocument/2006/relationships/hyperlink" Target="https://www.immoscout24.ch/fr/appartement/acheter/lieu-monteiller-saviese" TargetMode="External"/><Relationship Id="rId8851" Type="http://schemas.openxmlformats.org/officeDocument/2006/relationships/hyperlink" Target="https://www.immoscout24.ch/fr/maison/acheter/pays-seychelles" TargetMode="External"/><Relationship Id="rId8850" Type="http://schemas.openxmlformats.org/officeDocument/2006/relationships/hyperlink" Target="https://www.immoscout24.ch/fr/appartement/louer/lieu-mettmenstetten" TargetMode="External"/><Relationship Id="rId7526" Type="http://schemas.openxmlformats.org/officeDocument/2006/relationships/hyperlink" Target="https://www.immoscout24.ch/fr/appartement/louer/lieu-horw" TargetMode="External"/><Relationship Id="rId8857" Type="http://schemas.openxmlformats.org/officeDocument/2006/relationships/hyperlink" Target="https://www.immoscout24.ch/fr/maison/louer/lieu-surpierre" TargetMode="External"/><Relationship Id="rId7525" Type="http://schemas.openxmlformats.org/officeDocument/2006/relationships/hyperlink" Target="https://www.immoscout24.ch/fr/appartement/louer/lieu-horw" TargetMode="External"/><Relationship Id="rId8856" Type="http://schemas.openxmlformats.org/officeDocument/2006/relationships/hyperlink" Target="https://www.immoscout24.ch/fr/appartement/louer/region-lavaux-vevey" TargetMode="External"/><Relationship Id="rId7524" Type="http://schemas.openxmlformats.org/officeDocument/2006/relationships/hyperlink" Target="https://www.immoscout24.ch/fr/appartement/louer/lieu-roumaz-saviese" TargetMode="External"/><Relationship Id="rId8855" Type="http://schemas.openxmlformats.org/officeDocument/2006/relationships/hyperlink" Target="https://www.immoscout24.ch/fr/appartement/louer/region-lavaux-vevey" TargetMode="External"/><Relationship Id="rId7523" Type="http://schemas.openxmlformats.org/officeDocument/2006/relationships/hyperlink" Target="https://www.immoscout24.ch/fr/appartement/louer/lieu-roumaz-saviese" TargetMode="External"/><Relationship Id="rId8854" Type="http://schemas.openxmlformats.org/officeDocument/2006/relationships/hyperlink" Target="https://www.immoscout24.ch/fr/appartement/acheter/lieu-la-chaux-de-fonds" TargetMode="External"/><Relationship Id="rId6292" Type="http://schemas.openxmlformats.org/officeDocument/2006/relationships/hyperlink" Target="https://www.immoscout24.ch/fr/appartement/louer/lieu-ovronnaz" TargetMode="External"/><Relationship Id="rId6293" Type="http://schemas.openxmlformats.org/officeDocument/2006/relationships/hyperlink" Target="https://www.immoscout24.ch/fr/maison/acheter/lieu-chamoson" TargetMode="External"/><Relationship Id="rId6290" Type="http://schemas.openxmlformats.org/officeDocument/2006/relationships/hyperlink" Target="https://www.immoscout24.ch/fr/maison/acheter/lieu-collonge-bellerive" TargetMode="External"/><Relationship Id="rId6291" Type="http://schemas.openxmlformats.org/officeDocument/2006/relationships/hyperlink" Target="https://www.immoscout24.ch/fr/appartement/louer/lieu-ovronnaz" TargetMode="External"/><Relationship Id="rId6296" Type="http://schemas.openxmlformats.org/officeDocument/2006/relationships/hyperlink" Target="https://www.immoscout24.ch/fr/appartement/louer/lieu-corjolens" TargetMode="External"/><Relationship Id="rId6297" Type="http://schemas.openxmlformats.org/officeDocument/2006/relationships/hyperlink" Target="https://www.immoscout24.ch/fr/maison/louer/lieu-sonvilier" TargetMode="External"/><Relationship Id="rId6294" Type="http://schemas.openxmlformats.org/officeDocument/2006/relationships/hyperlink" Target="https://www.immoscout24.ch/fr/maison/acheter/lieu-chamoson" TargetMode="External"/><Relationship Id="rId6295" Type="http://schemas.openxmlformats.org/officeDocument/2006/relationships/hyperlink" Target="https://www.immoscout24.ch/fr/appartement/louer/lieu-corjolens" TargetMode="External"/><Relationship Id="rId6298" Type="http://schemas.openxmlformats.org/officeDocument/2006/relationships/hyperlink" Target="https://www.immoscout24.ch/fr/maison/louer/lieu-sonvilier" TargetMode="External"/><Relationship Id="rId6299" Type="http://schemas.openxmlformats.org/officeDocument/2006/relationships/hyperlink" Target="https://www.immoscout24.ch/fr/maison/louer/lieu-vallorbe" TargetMode="External"/><Relationship Id="rId7591" Type="http://schemas.openxmlformats.org/officeDocument/2006/relationships/hyperlink" Target="https://www.immoscout24.ch/fr/appartement/louer/lieu-thierrens" TargetMode="External"/><Relationship Id="rId6260" Type="http://schemas.openxmlformats.org/officeDocument/2006/relationships/hyperlink" Target="https://www.immoscout24.ch/fr/maison/acheter/lieu-thyon" TargetMode="External"/><Relationship Id="rId7590" Type="http://schemas.openxmlformats.org/officeDocument/2006/relationships/hyperlink" Target="https://www.immoscout24.ch/fr/appartement/louer/lieu-lutry" TargetMode="External"/><Relationship Id="rId6263" Type="http://schemas.openxmlformats.org/officeDocument/2006/relationships/hyperlink" Target="https://www.immoscout24.ch/fr/maison/louer/canton-zoug" TargetMode="External"/><Relationship Id="rId7595" Type="http://schemas.openxmlformats.org/officeDocument/2006/relationships/hyperlink" Target="https://www.immoscout24.ch/fr/appartement/louer/canton-st-gall" TargetMode="External"/><Relationship Id="rId6264" Type="http://schemas.openxmlformats.org/officeDocument/2006/relationships/hyperlink" Target="https://www.immoscout24.ch/fr/maison/louer/canton-zoug" TargetMode="External"/><Relationship Id="rId7594" Type="http://schemas.openxmlformats.org/officeDocument/2006/relationships/hyperlink" Target="https://www.immoscout24.ch/fr/appartement/acheter/lieu-gsteig-b-gstaad" TargetMode="External"/><Relationship Id="rId6261" Type="http://schemas.openxmlformats.org/officeDocument/2006/relationships/hyperlink" Target="https://www.immoscout24.ch/fr/appartement/acheter/lieu-zermatt" TargetMode="External"/><Relationship Id="rId7593" Type="http://schemas.openxmlformats.org/officeDocument/2006/relationships/hyperlink" Target="https://www.immoscout24.ch/fr/appartement/acheter/lieu-gsteig-b-gstaad" TargetMode="External"/><Relationship Id="rId6262" Type="http://schemas.openxmlformats.org/officeDocument/2006/relationships/hyperlink" Target="https://www.immoscout24.ch/fr/appartement/acheter/lieu-zermatt" TargetMode="External"/><Relationship Id="rId7592" Type="http://schemas.openxmlformats.org/officeDocument/2006/relationships/hyperlink" Target="https://www.immoscout24.ch/fr/appartement/louer/lieu-thierrens" TargetMode="External"/><Relationship Id="rId6267" Type="http://schemas.openxmlformats.org/officeDocument/2006/relationships/hyperlink" Target="https://www.immoscout24.ch/fr/maison/acheter/lieu-versam" TargetMode="External"/><Relationship Id="rId7599" Type="http://schemas.openxmlformats.org/officeDocument/2006/relationships/hyperlink" Target="https://www.immoscout24.ch/fr/appartement/louer/lieu-botterens" TargetMode="External"/><Relationship Id="rId6268" Type="http://schemas.openxmlformats.org/officeDocument/2006/relationships/hyperlink" Target="https://www.immoscout24.ch/fr/maison/acheter/lieu-versam" TargetMode="External"/><Relationship Id="rId7598" Type="http://schemas.openxmlformats.org/officeDocument/2006/relationships/hyperlink" Target="https://www.immoscout24.ch/fr/appartement/louer/lieu-vufflens-la-ville" TargetMode="External"/><Relationship Id="rId6265" Type="http://schemas.openxmlformats.org/officeDocument/2006/relationships/hyperlink" Target="https://www.immoscout24.ch/fr/maison/louer/lieu-savagnier" TargetMode="External"/><Relationship Id="rId7597" Type="http://schemas.openxmlformats.org/officeDocument/2006/relationships/hyperlink" Target="https://www.immoscout24.ch/fr/appartement/louer/lieu-vufflens-la-ville" TargetMode="External"/><Relationship Id="rId6266" Type="http://schemas.openxmlformats.org/officeDocument/2006/relationships/hyperlink" Target="https://www.immoscout24.ch/fr/maison/louer/lieu-savagnier" TargetMode="External"/><Relationship Id="rId7596" Type="http://schemas.openxmlformats.org/officeDocument/2006/relationships/hyperlink" Target="https://www.immoscout24.ch/fr/appartement/louer/canton-st-gall" TargetMode="External"/><Relationship Id="rId6269" Type="http://schemas.openxmlformats.org/officeDocument/2006/relationships/hyperlink" Target="https://www.immoscout24.ch/fr/maison/louer/lieu-forel-fr" TargetMode="External"/><Relationship Id="rId7580" Type="http://schemas.openxmlformats.org/officeDocument/2006/relationships/hyperlink" Target="https://www.immoscout24.ch/fr/maison/acheter/lieu-le-predame" TargetMode="External"/><Relationship Id="rId6252" Type="http://schemas.openxmlformats.org/officeDocument/2006/relationships/hyperlink" Target="https://www.immoscout24.ch/fr/appartement/acheter/lieu-effretikon" TargetMode="External"/><Relationship Id="rId7584" Type="http://schemas.openxmlformats.org/officeDocument/2006/relationships/hyperlink" Target="https://www.immoscout24.ch/fr/appartement/louer/lieu-montagnon-leytron" TargetMode="External"/><Relationship Id="rId6253" Type="http://schemas.openxmlformats.org/officeDocument/2006/relationships/hyperlink" Target="https://www.immoscout24.ch/fr/appartement/acheter/quartier-alt-wiedikon-zurich" TargetMode="External"/><Relationship Id="rId7583" Type="http://schemas.openxmlformats.org/officeDocument/2006/relationships/hyperlink" Target="https://www.immoscout24.ch/fr/appartement/louer/lieu-montagnon-leytron" TargetMode="External"/><Relationship Id="rId6250" Type="http://schemas.openxmlformats.org/officeDocument/2006/relationships/hyperlink" Target="https://www.immoscout24.ch/fr/appartement/acheter/lieu-anzere" TargetMode="External"/><Relationship Id="rId7582" Type="http://schemas.openxmlformats.org/officeDocument/2006/relationships/hyperlink" Target="https://www.immoscout24.ch/fr/appartement/louer/lieu-meinisberg" TargetMode="External"/><Relationship Id="rId6251" Type="http://schemas.openxmlformats.org/officeDocument/2006/relationships/hyperlink" Target="https://www.immoscout24.ch/fr/appartement/acheter/lieu-effretikon" TargetMode="External"/><Relationship Id="rId7581" Type="http://schemas.openxmlformats.org/officeDocument/2006/relationships/hyperlink" Target="https://www.immoscout24.ch/fr/appartement/louer/lieu-meinisberg" TargetMode="External"/><Relationship Id="rId6256" Type="http://schemas.openxmlformats.org/officeDocument/2006/relationships/hyperlink" Target="https://www.immoscout24.ch/fr/maison/acheter/lieu-dombresson" TargetMode="External"/><Relationship Id="rId7588" Type="http://schemas.openxmlformats.org/officeDocument/2006/relationships/hyperlink" Target="https://www.immoscout24.ch/fr/appartement/acheter/lieu-turin-salins" TargetMode="External"/><Relationship Id="rId6257" Type="http://schemas.openxmlformats.org/officeDocument/2006/relationships/hyperlink" Target="https://www.immoscout24.ch/fr/maison/acheter/lieu-wangen-b-olten" TargetMode="External"/><Relationship Id="rId7587" Type="http://schemas.openxmlformats.org/officeDocument/2006/relationships/hyperlink" Target="https://www.immoscout24.ch/fr/appartement/acheter/lieu-turin-salins" TargetMode="External"/><Relationship Id="rId6254" Type="http://schemas.openxmlformats.org/officeDocument/2006/relationships/hyperlink" Target="https://www.immoscout24.ch/fr/appartement/acheter/quartier-alt-wiedikon-zurich" TargetMode="External"/><Relationship Id="rId7586" Type="http://schemas.openxmlformats.org/officeDocument/2006/relationships/hyperlink" Target="https://www.immoscout24.ch/fr/maison/louer/lieu-gland" TargetMode="External"/><Relationship Id="rId6255" Type="http://schemas.openxmlformats.org/officeDocument/2006/relationships/hyperlink" Target="https://www.immoscout24.ch/fr/maison/acheter/lieu-dombresson" TargetMode="External"/><Relationship Id="rId7585" Type="http://schemas.openxmlformats.org/officeDocument/2006/relationships/hyperlink" Target="https://www.immoscout24.ch/fr/maison/louer/lieu-gland" TargetMode="External"/><Relationship Id="rId6258" Type="http://schemas.openxmlformats.org/officeDocument/2006/relationships/hyperlink" Target="https://www.immoscout24.ch/fr/maison/acheter/lieu-wangen-b-olten" TargetMode="External"/><Relationship Id="rId6259" Type="http://schemas.openxmlformats.org/officeDocument/2006/relationships/hyperlink" Target="https://www.immoscout24.ch/fr/maison/acheter/lieu-thyon" TargetMode="External"/><Relationship Id="rId7589" Type="http://schemas.openxmlformats.org/officeDocument/2006/relationships/hyperlink" Target="https://www.immoscout24.ch/fr/appartement/louer/lieu-lutry" TargetMode="External"/><Relationship Id="rId6281" Type="http://schemas.openxmlformats.org/officeDocument/2006/relationships/hyperlink" Target="https://www.immoscout24.ch/fr/appartement/louer/quartier-stgeorgen-st-gall" TargetMode="External"/><Relationship Id="rId6282" Type="http://schemas.openxmlformats.org/officeDocument/2006/relationships/hyperlink" Target="https://www.immoscout24.ch/fr/appartement/louer/quartier-stgeorgen-st-gall" TargetMode="External"/><Relationship Id="rId6280" Type="http://schemas.openxmlformats.org/officeDocument/2006/relationships/hyperlink" Target="https://www.immoscout24.ch/fr/appartement/acheter/lieu-oberburg" TargetMode="External"/><Relationship Id="rId6285" Type="http://schemas.openxmlformats.org/officeDocument/2006/relationships/hyperlink" Target="https://www.immoscout24.ch/fr/maison/acheter/lieu-cerniaz-vd" TargetMode="External"/><Relationship Id="rId6286" Type="http://schemas.openxmlformats.org/officeDocument/2006/relationships/hyperlink" Target="https://www.immoscout24.ch/fr/maison/acheter/lieu-cerniaz-vd" TargetMode="External"/><Relationship Id="rId6283" Type="http://schemas.openxmlformats.org/officeDocument/2006/relationships/hyperlink" Target="https://www.immoscout24.ch/fr/maison/louer/lieu-riaz" TargetMode="External"/><Relationship Id="rId6284" Type="http://schemas.openxmlformats.org/officeDocument/2006/relationships/hyperlink" Target="https://www.immoscout24.ch/fr/maison/louer/lieu-riaz" TargetMode="External"/><Relationship Id="rId6289" Type="http://schemas.openxmlformats.org/officeDocument/2006/relationships/hyperlink" Target="https://www.immoscout24.ch/fr/maison/acheter/lieu-collonge-bellerive" TargetMode="External"/><Relationship Id="rId6287" Type="http://schemas.openxmlformats.org/officeDocument/2006/relationships/hyperlink" Target="https://www.immoscout24.ch/fr/maison/louer/lieu-la-sagne-ne" TargetMode="External"/><Relationship Id="rId6288" Type="http://schemas.openxmlformats.org/officeDocument/2006/relationships/hyperlink" Target="https://www.immoscout24.ch/fr/maison/louer/lieu-la-sagne-ne" TargetMode="External"/><Relationship Id="rId6270" Type="http://schemas.openxmlformats.org/officeDocument/2006/relationships/hyperlink" Target="https://www.immoscout24.ch/fr/maison/louer/lieu-forel-fr" TargetMode="External"/><Relationship Id="rId6271" Type="http://schemas.openxmlformats.org/officeDocument/2006/relationships/hyperlink" Target="https://www.immoscout24.ch/fr/appartement/louer/lieu-orsonnens" TargetMode="External"/><Relationship Id="rId6274" Type="http://schemas.openxmlformats.org/officeDocument/2006/relationships/hyperlink" Target="https://www.immoscout24.ch/fr/appartement/louer/lieu-cressier-ne" TargetMode="External"/><Relationship Id="rId6275" Type="http://schemas.openxmlformats.org/officeDocument/2006/relationships/hyperlink" Target="https://www.immoscout24.ch/fr/appartement/acheter/lieu-ascona" TargetMode="External"/><Relationship Id="rId6272" Type="http://schemas.openxmlformats.org/officeDocument/2006/relationships/hyperlink" Target="https://www.immoscout24.ch/fr/appartement/louer/lieu-orsonnens" TargetMode="External"/><Relationship Id="rId6273" Type="http://schemas.openxmlformats.org/officeDocument/2006/relationships/hyperlink" Target="https://www.immoscout24.ch/fr/appartement/louer/lieu-cressier-ne" TargetMode="External"/><Relationship Id="rId6278" Type="http://schemas.openxmlformats.org/officeDocument/2006/relationships/hyperlink" Target="https://www.immoscout24.ch/fr/appartement/louer/lieu-solothurn" TargetMode="External"/><Relationship Id="rId6279" Type="http://schemas.openxmlformats.org/officeDocument/2006/relationships/hyperlink" Target="https://www.immoscout24.ch/fr/appartement/acheter/lieu-oberburg" TargetMode="External"/><Relationship Id="rId6276" Type="http://schemas.openxmlformats.org/officeDocument/2006/relationships/hyperlink" Target="https://www.immoscout24.ch/fr/appartement/acheter/lieu-ascona" TargetMode="External"/><Relationship Id="rId6277" Type="http://schemas.openxmlformats.org/officeDocument/2006/relationships/hyperlink" Target="https://www.immoscout24.ch/fr/appartement/louer/lieu-solothurn" TargetMode="External"/><Relationship Id="rId629" Type="http://schemas.openxmlformats.org/officeDocument/2006/relationships/hyperlink" Target="https://www.immoscout24.ch/fr/maison/acheter/lieu-lechelles" TargetMode="External"/><Relationship Id="rId624" Type="http://schemas.openxmlformats.org/officeDocument/2006/relationships/hyperlink" Target="https://www.immoscout24.ch/fr/appartement/acheter/lieu-corgemont" TargetMode="External"/><Relationship Id="rId623" Type="http://schemas.openxmlformats.org/officeDocument/2006/relationships/hyperlink" Target="https://www.immoscout24.ch/fr/appartement/acheter/lieu-corgemont" TargetMode="External"/><Relationship Id="rId622" Type="http://schemas.openxmlformats.org/officeDocument/2006/relationships/hyperlink" Target="https://www.immoscout24.ch/fr/appartement/louer/lieu-luetzelflueh-goldbach" TargetMode="External"/><Relationship Id="rId621" Type="http://schemas.openxmlformats.org/officeDocument/2006/relationships/hyperlink" Target="https://www.immoscout24.ch/fr/appartement/louer/lieu-luetzelflueh-goldbach" TargetMode="External"/><Relationship Id="rId628" Type="http://schemas.openxmlformats.org/officeDocument/2006/relationships/hyperlink" Target="https://www.immoscout24.ch/fr/maison/acheter/lieu-cimadera" TargetMode="External"/><Relationship Id="rId627" Type="http://schemas.openxmlformats.org/officeDocument/2006/relationships/hyperlink" Target="https://www.immoscout24.ch/fr/maison/acheter/lieu-cimadera" TargetMode="External"/><Relationship Id="rId626" Type="http://schemas.openxmlformats.org/officeDocument/2006/relationships/hyperlink" Target="https://www.immoscout24.ch/fr/appartement/louer/lieu-sent" TargetMode="External"/><Relationship Id="rId625" Type="http://schemas.openxmlformats.org/officeDocument/2006/relationships/hyperlink" Target="https://www.immoscout24.ch/fr/appartement/louer/lieu-sent" TargetMode="External"/><Relationship Id="rId620" Type="http://schemas.openxmlformats.org/officeDocument/2006/relationships/hyperlink" Target="https://www.immoscout24.ch/fr/maison/acheter/lieu-biasca" TargetMode="External"/><Relationship Id="rId619" Type="http://schemas.openxmlformats.org/officeDocument/2006/relationships/hyperlink" Target="https://www.immoscout24.ch/fr/maison/acheter/lieu-biasca" TargetMode="External"/><Relationship Id="rId618" Type="http://schemas.openxmlformats.org/officeDocument/2006/relationships/hyperlink" Target="https://www.immoscout24.ch/fr/appartement/acheter/lieu-champlan-grimisuat" TargetMode="External"/><Relationship Id="rId613" Type="http://schemas.openxmlformats.org/officeDocument/2006/relationships/hyperlink" Target="https://www.immoscout24.ch/fr/appartement/louer/lieu-bern" TargetMode="External"/><Relationship Id="rId612" Type="http://schemas.openxmlformats.org/officeDocument/2006/relationships/hyperlink" Target="https://www.immoscout24.ch/fr/appartement/louer/lieu-ocourt" TargetMode="External"/><Relationship Id="rId611" Type="http://schemas.openxmlformats.org/officeDocument/2006/relationships/hyperlink" Target="https://www.immoscout24.ch/fr/appartement/louer/lieu-ocourt" TargetMode="External"/><Relationship Id="rId610" Type="http://schemas.openxmlformats.org/officeDocument/2006/relationships/hyperlink" Target="https://www.immoscout24.ch/fr/appartement/louer/lieu-les-genevez-ju" TargetMode="External"/><Relationship Id="rId617" Type="http://schemas.openxmlformats.org/officeDocument/2006/relationships/hyperlink" Target="https://www.immoscout24.ch/fr/appartement/acheter/lieu-champlan-grimisuat" TargetMode="External"/><Relationship Id="rId616" Type="http://schemas.openxmlformats.org/officeDocument/2006/relationships/hyperlink" Target="https://www.immoscout24.ch/fr/appartement/acheter/quartier-perolles-fribourg" TargetMode="External"/><Relationship Id="rId615" Type="http://schemas.openxmlformats.org/officeDocument/2006/relationships/hyperlink" Target="https://www.immoscout24.ch/fr/appartement/acheter/quartier-perolles-fribourg" TargetMode="External"/><Relationship Id="rId614" Type="http://schemas.openxmlformats.org/officeDocument/2006/relationships/hyperlink" Target="https://www.immoscout24.ch/fr/appartement/louer/lieu-bern" TargetMode="External"/><Relationship Id="rId646" Type="http://schemas.openxmlformats.org/officeDocument/2006/relationships/hyperlink" Target="https://www.immoscout24.ch/fr/maison/louer/lieu-lens" TargetMode="External"/><Relationship Id="rId645" Type="http://schemas.openxmlformats.org/officeDocument/2006/relationships/hyperlink" Target="https://www.immoscout24.ch/fr/maison/louer/lieu-lens" TargetMode="External"/><Relationship Id="rId644" Type="http://schemas.openxmlformats.org/officeDocument/2006/relationships/hyperlink" Target="https://www.immoscout24.ch/fr/appartement/louer/quartier-niederwangen-koeniz" TargetMode="External"/><Relationship Id="rId643" Type="http://schemas.openxmlformats.org/officeDocument/2006/relationships/hyperlink" Target="https://www.immoscout24.ch/fr/appartement/louer/quartier-niederwangen-koeniz" TargetMode="External"/><Relationship Id="rId649" Type="http://schemas.openxmlformats.org/officeDocument/2006/relationships/hyperlink" Target="https://www.immoscout24.ch/fr/appartement/louer/lieu-viganello" TargetMode="External"/><Relationship Id="rId648" Type="http://schemas.openxmlformats.org/officeDocument/2006/relationships/hyperlink" Target="https://www.immoscout24.ch/fr/appartement/louer/region-rive-droite" TargetMode="External"/><Relationship Id="rId647" Type="http://schemas.openxmlformats.org/officeDocument/2006/relationships/hyperlink" Target="https://www.immoscout24.ch/fr/appartement/louer/region-rive-droite" TargetMode="External"/><Relationship Id="rId642" Type="http://schemas.openxmlformats.org/officeDocument/2006/relationships/hyperlink" Target="https://www.immoscout24.ch/fr/appartement/louer/lieu-treiten" TargetMode="External"/><Relationship Id="rId641" Type="http://schemas.openxmlformats.org/officeDocument/2006/relationships/hyperlink" Target="https://www.immoscout24.ch/fr/appartement/louer/lieu-treiten" TargetMode="External"/><Relationship Id="rId640" Type="http://schemas.openxmlformats.org/officeDocument/2006/relationships/hyperlink" Target="https://www.immoscout24.ch/fr/maison/acheter/lieu-chatillon-fr" TargetMode="External"/><Relationship Id="rId635" Type="http://schemas.openxmlformats.org/officeDocument/2006/relationships/hyperlink" Target="https://www.immoscout24.ch/fr/appartement/acheter/pays-bresil" TargetMode="External"/><Relationship Id="rId634" Type="http://schemas.openxmlformats.org/officeDocument/2006/relationships/hyperlink" Target="https://www.immoscout24.ch/fr/appartement/louer/lieu-reckingen-vs" TargetMode="External"/><Relationship Id="rId633" Type="http://schemas.openxmlformats.org/officeDocument/2006/relationships/hyperlink" Target="https://www.immoscout24.ch/fr/appartement/louer/lieu-reckingen-vs" TargetMode="External"/><Relationship Id="rId632" Type="http://schemas.openxmlformats.org/officeDocument/2006/relationships/hyperlink" Target="https://www.immoscout24.ch/fr/appartement/acheter/lieu-gordola" TargetMode="External"/><Relationship Id="rId639" Type="http://schemas.openxmlformats.org/officeDocument/2006/relationships/hyperlink" Target="https://www.immoscout24.ch/fr/maison/acheter/lieu-chatillon-fr" TargetMode="External"/><Relationship Id="rId638" Type="http://schemas.openxmlformats.org/officeDocument/2006/relationships/hyperlink" Target="https://www.immoscout24.ch/fr/maison/acheter/lieu-zeneggen" TargetMode="External"/><Relationship Id="rId637" Type="http://schemas.openxmlformats.org/officeDocument/2006/relationships/hyperlink" Target="https://www.immoscout24.ch/fr/maison/acheter/lieu-zeneggen" TargetMode="External"/><Relationship Id="rId636" Type="http://schemas.openxmlformats.org/officeDocument/2006/relationships/hyperlink" Target="https://www.immoscout24.ch/fr/appartement/acheter/pays-bresil" TargetMode="External"/><Relationship Id="rId631" Type="http://schemas.openxmlformats.org/officeDocument/2006/relationships/hyperlink" Target="https://www.immoscout24.ch/fr/appartement/acheter/lieu-gordola" TargetMode="External"/><Relationship Id="rId630" Type="http://schemas.openxmlformats.org/officeDocument/2006/relationships/hyperlink" Target="https://www.immoscout24.ch/fr/maison/acheter/lieu-lechelles" TargetMode="External"/><Relationship Id="rId609" Type="http://schemas.openxmlformats.org/officeDocument/2006/relationships/hyperlink" Target="https://www.immoscout24.ch/fr/appartement/louer/lieu-les-genevez-ju" TargetMode="External"/><Relationship Id="rId608" Type="http://schemas.openxmlformats.org/officeDocument/2006/relationships/hyperlink" Target="https://www.immoscout24.ch/fr/appartement/louer/lieu-rueschegg-heubach" TargetMode="External"/><Relationship Id="rId607" Type="http://schemas.openxmlformats.org/officeDocument/2006/relationships/hyperlink" Target="https://www.immoscout24.ch/fr/appartement/louer/lieu-rueschegg-heubach" TargetMode="External"/><Relationship Id="rId602" Type="http://schemas.openxmlformats.org/officeDocument/2006/relationships/hyperlink" Target="https://www.immoscout24.ch/fr/appartement/louer/lieu-bubikon" TargetMode="External"/><Relationship Id="rId601" Type="http://schemas.openxmlformats.org/officeDocument/2006/relationships/hyperlink" Target="https://www.immoscout24.ch/fr/appartement/louer/lieu-bubikon" TargetMode="External"/><Relationship Id="rId600" Type="http://schemas.openxmlformats.org/officeDocument/2006/relationships/hyperlink" Target="https://www.immoscout24.ch/fr/appartement/acheter/lieu-bolligen" TargetMode="External"/><Relationship Id="rId606" Type="http://schemas.openxmlformats.org/officeDocument/2006/relationships/hyperlink" Target="https://www.immoscout24.ch/fr/maison/louer/lieu-cressier-fr" TargetMode="External"/><Relationship Id="rId605" Type="http://schemas.openxmlformats.org/officeDocument/2006/relationships/hyperlink" Target="https://www.immoscout24.ch/fr/maison/louer/lieu-cressier-fr" TargetMode="External"/><Relationship Id="rId604" Type="http://schemas.openxmlformats.org/officeDocument/2006/relationships/hyperlink" Target="https://www.immoscout24.ch/fr/appartement/louer/lieu-petit-lancy" TargetMode="External"/><Relationship Id="rId603" Type="http://schemas.openxmlformats.org/officeDocument/2006/relationships/hyperlink" Target="https://www.immoscout24.ch/fr/appartement/louer/lieu-petit-lancy" TargetMode="External"/><Relationship Id="rId8927" Type="http://schemas.openxmlformats.org/officeDocument/2006/relationships/hyperlink" Target="https://www.immoscout24.ch/fr/appartement/acheter/lieu-carrouge-vd" TargetMode="External"/><Relationship Id="rId8926" Type="http://schemas.openxmlformats.org/officeDocument/2006/relationships/hyperlink" Target="https://www.immoscout24.ch/fr/appartement/acheter/lieu-assens" TargetMode="External"/><Relationship Id="rId8925" Type="http://schemas.openxmlformats.org/officeDocument/2006/relationships/hyperlink" Target="https://www.immoscout24.ch/fr/appartement/acheter/lieu-assens" TargetMode="External"/><Relationship Id="rId8924" Type="http://schemas.openxmlformats.org/officeDocument/2006/relationships/hyperlink" Target="https://www.immoscout24.ch/fr/maison/acheter/lieu-preonzo" TargetMode="External"/><Relationship Id="rId8929" Type="http://schemas.openxmlformats.org/officeDocument/2006/relationships/hyperlink" Target="https://www.immoscout24.ch/fr/maison/acheter/lieu-bellwald" TargetMode="External"/><Relationship Id="rId8928" Type="http://schemas.openxmlformats.org/officeDocument/2006/relationships/hyperlink" Target="https://www.immoscout24.ch/fr/appartement/acheter/lieu-carrouge-vd" TargetMode="External"/><Relationship Id="rId8923" Type="http://schemas.openxmlformats.org/officeDocument/2006/relationships/hyperlink" Target="https://www.immoscout24.ch/fr/maison/acheter/lieu-preonzo" TargetMode="External"/><Relationship Id="rId8922" Type="http://schemas.openxmlformats.org/officeDocument/2006/relationships/hyperlink" Target="https://www.immoscout24.ch/fr/maison/acheter/lieu-agiez" TargetMode="External"/><Relationship Id="rId8921" Type="http://schemas.openxmlformats.org/officeDocument/2006/relationships/hyperlink" Target="https://www.immoscout24.ch/fr/maison/acheter/lieu-agiez" TargetMode="External"/><Relationship Id="rId8920" Type="http://schemas.openxmlformats.org/officeDocument/2006/relationships/hyperlink" Target="https://www.immoscout24.ch/fr/appartement/louer/lieu-corcelles-ne" TargetMode="External"/><Relationship Id="rId8916" Type="http://schemas.openxmlformats.org/officeDocument/2006/relationships/hyperlink" Target="https://www.immoscout24.ch/fr/appartement/louer/lieu-roches-be" TargetMode="External"/><Relationship Id="rId8915" Type="http://schemas.openxmlformats.org/officeDocument/2006/relationships/hyperlink" Target="https://www.immoscout24.ch/fr/appartement/louer/lieu-roches-be" TargetMode="External"/><Relationship Id="rId8914" Type="http://schemas.openxmlformats.org/officeDocument/2006/relationships/hyperlink" Target="https://www.immoscout24.ch/fr/maison/acheter/lieu-aeschi-b-spiez" TargetMode="External"/><Relationship Id="rId8913" Type="http://schemas.openxmlformats.org/officeDocument/2006/relationships/hyperlink" Target="https://www.immoscout24.ch/fr/maison/acheter/lieu-aeschi-b-spiez" TargetMode="External"/><Relationship Id="rId8919" Type="http://schemas.openxmlformats.org/officeDocument/2006/relationships/hyperlink" Target="https://www.immoscout24.ch/fr/appartement/louer/lieu-corcelles-ne" TargetMode="External"/><Relationship Id="rId8918" Type="http://schemas.openxmlformats.org/officeDocument/2006/relationships/hyperlink" Target="https://www.immoscout24.ch/fr/maison/louer/lieu-la-croix-de-rozon" TargetMode="External"/><Relationship Id="rId8917" Type="http://schemas.openxmlformats.org/officeDocument/2006/relationships/hyperlink" Target="https://www.immoscout24.ch/fr/maison/louer/lieu-la-croix-de-rozon" TargetMode="External"/><Relationship Id="rId699" Type="http://schemas.openxmlformats.org/officeDocument/2006/relationships/hyperlink" Target="https://www.immoscout24.ch/fr/appartement/louer/lieu-le-chatelard-vs" TargetMode="External"/><Relationship Id="rId698" Type="http://schemas.openxmlformats.org/officeDocument/2006/relationships/hyperlink" Target="https://www.immoscout24.ch/fr/appartement/louer/lieu-denges" TargetMode="External"/><Relationship Id="rId693" Type="http://schemas.openxmlformats.org/officeDocument/2006/relationships/hyperlink" Target="https://www.immoscout24.ch/fr/maison/acheter/lieu-grimentz" TargetMode="External"/><Relationship Id="rId692" Type="http://schemas.openxmlformats.org/officeDocument/2006/relationships/hyperlink" Target="https://www.immoscout24.ch/fr/appartement/acheter/lieu-locarno" TargetMode="External"/><Relationship Id="rId691" Type="http://schemas.openxmlformats.org/officeDocument/2006/relationships/hyperlink" Target="https://www.immoscout24.ch/fr/appartement/acheter/lieu-locarno" TargetMode="External"/><Relationship Id="rId690" Type="http://schemas.openxmlformats.org/officeDocument/2006/relationships/hyperlink" Target="https://www.immoscout24.ch/fr/appartement/louer/lieu-vauffelin" TargetMode="External"/><Relationship Id="rId697" Type="http://schemas.openxmlformats.org/officeDocument/2006/relationships/hyperlink" Target="https://www.immoscout24.ch/fr/appartement/louer/lieu-denges" TargetMode="External"/><Relationship Id="rId8912" Type="http://schemas.openxmlformats.org/officeDocument/2006/relationships/hyperlink" Target="https://www.immoscout24.ch/fr/appartement/louer/lieu-langwiesen" TargetMode="External"/><Relationship Id="rId696" Type="http://schemas.openxmlformats.org/officeDocument/2006/relationships/hyperlink" Target="https://www.immoscout24.ch/fr/maison/louer/lieu-vordemwald" TargetMode="External"/><Relationship Id="rId8911" Type="http://schemas.openxmlformats.org/officeDocument/2006/relationships/hyperlink" Target="https://www.immoscout24.ch/fr/appartement/louer/lieu-langwiesen" TargetMode="External"/><Relationship Id="rId695" Type="http://schemas.openxmlformats.org/officeDocument/2006/relationships/hyperlink" Target="https://www.immoscout24.ch/fr/maison/louer/lieu-vordemwald" TargetMode="External"/><Relationship Id="rId8910" Type="http://schemas.openxmlformats.org/officeDocument/2006/relationships/hyperlink" Target="https://www.immoscout24.ch/fr/maison/acheter/region-ar-vorderland" TargetMode="External"/><Relationship Id="rId694" Type="http://schemas.openxmlformats.org/officeDocument/2006/relationships/hyperlink" Target="https://www.immoscout24.ch/fr/maison/acheter/lieu-grimentz" TargetMode="External"/><Relationship Id="rId7618" Type="http://schemas.openxmlformats.org/officeDocument/2006/relationships/hyperlink" Target="https://www.immoscout24.ch/fr/appartement/acheter/quartier-ruche-la-chaux-de-fonds" TargetMode="External"/><Relationship Id="rId8949" Type="http://schemas.openxmlformats.org/officeDocument/2006/relationships/hyperlink" Target="https://www.immoscout24.ch/fr/maison/acheter/lieu-riederalp" TargetMode="External"/><Relationship Id="rId7617" Type="http://schemas.openxmlformats.org/officeDocument/2006/relationships/hyperlink" Target="https://www.immoscout24.ch/fr/appartement/acheter/quartier-ruche-la-chaux-de-fonds" TargetMode="External"/><Relationship Id="rId8948" Type="http://schemas.openxmlformats.org/officeDocument/2006/relationships/hyperlink" Target="https://www.immoscout24.ch/fr/appartement/louer/lieu-niederurnen" TargetMode="External"/><Relationship Id="rId7616" Type="http://schemas.openxmlformats.org/officeDocument/2006/relationships/hyperlink" Target="https://www.immoscout24.ch/fr/maison/acheter/lieu-windisch" TargetMode="External"/><Relationship Id="rId8947" Type="http://schemas.openxmlformats.org/officeDocument/2006/relationships/hyperlink" Target="https://www.immoscout24.ch/fr/appartement/louer/lieu-niederurnen" TargetMode="External"/><Relationship Id="rId7615" Type="http://schemas.openxmlformats.org/officeDocument/2006/relationships/hyperlink" Target="https://www.immoscout24.ch/fr/maison/acheter/lieu-windisch" TargetMode="External"/><Relationship Id="rId8946" Type="http://schemas.openxmlformats.org/officeDocument/2006/relationships/hyperlink" Target="https://www.immoscout24.ch/fr/appartement/acheter/lieu-fribourg" TargetMode="External"/><Relationship Id="rId7619" Type="http://schemas.openxmlformats.org/officeDocument/2006/relationships/hyperlink" Target="https://www.immoscout24.ch/fr/maison/acheter/quartier-st-gervais-chantepoulet-geneve" TargetMode="External"/><Relationship Id="rId7610" Type="http://schemas.openxmlformats.org/officeDocument/2006/relationships/hyperlink" Target="https://www.immoscout24.ch/fr/appartement/louer/lieu-vesenaz" TargetMode="External"/><Relationship Id="rId8941" Type="http://schemas.openxmlformats.org/officeDocument/2006/relationships/hyperlink" Target="https://www.immoscout24.ch/fr/appartement/louer/quartier-spitalacker-berne" TargetMode="External"/><Relationship Id="rId8940" Type="http://schemas.openxmlformats.org/officeDocument/2006/relationships/hyperlink" Target="https://www.immoscout24.ch/fr/maison/acheter/quartier-cretets-la-chaux-de-fonds" TargetMode="External"/><Relationship Id="rId7614" Type="http://schemas.openxmlformats.org/officeDocument/2006/relationships/hyperlink" Target="https://www.immoscout24.ch/fr/appartement/acheter/lieu-lussery-villars" TargetMode="External"/><Relationship Id="rId8945" Type="http://schemas.openxmlformats.org/officeDocument/2006/relationships/hyperlink" Target="https://www.immoscout24.ch/fr/appartement/acheter/lieu-fribourg" TargetMode="External"/><Relationship Id="rId7613" Type="http://schemas.openxmlformats.org/officeDocument/2006/relationships/hyperlink" Target="https://www.immoscout24.ch/fr/appartement/acheter/lieu-lussery-villars" TargetMode="External"/><Relationship Id="rId8944" Type="http://schemas.openxmlformats.org/officeDocument/2006/relationships/hyperlink" Target="https://www.immoscout24.ch/fr/maison/acheter/lieu-wynau" TargetMode="External"/><Relationship Id="rId7612" Type="http://schemas.openxmlformats.org/officeDocument/2006/relationships/hyperlink" Target="https://www.immoscout24.ch/fr/appartement/louer/lieu-oron-la-ville" TargetMode="External"/><Relationship Id="rId8943" Type="http://schemas.openxmlformats.org/officeDocument/2006/relationships/hyperlink" Target="https://www.immoscout24.ch/fr/maison/acheter/lieu-wynau" TargetMode="External"/><Relationship Id="rId7611" Type="http://schemas.openxmlformats.org/officeDocument/2006/relationships/hyperlink" Target="https://www.immoscout24.ch/fr/appartement/louer/lieu-oron-la-ville" TargetMode="External"/><Relationship Id="rId8942" Type="http://schemas.openxmlformats.org/officeDocument/2006/relationships/hyperlink" Target="https://www.immoscout24.ch/fr/appartement/louer/quartier-spitalacker-berne" TargetMode="External"/><Relationship Id="rId7607" Type="http://schemas.openxmlformats.org/officeDocument/2006/relationships/hyperlink" Target="https://www.immoscout24.ch/fr/appartement/acheter/lieu-aldesago" TargetMode="External"/><Relationship Id="rId8938" Type="http://schemas.openxmlformats.org/officeDocument/2006/relationships/hyperlink" Target="https://www.immoscout24.ch/fr/appartement/louer/lieu-niederbipp" TargetMode="External"/><Relationship Id="rId7606" Type="http://schemas.openxmlformats.org/officeDocument/2006/relationships/hyperlink" Target="https://www.immoscout24.ch/fr/maison/acheter/lieu-niouc" TargetMode="External"/><Relationship Id="rId8937" Type="http://schemas.openxmlformats.org/officeDocument/2006/relationships/hyperlink" Target="https://www.immoscout24.ch/fr/appartement/louer/lieu-niederbipp" TargetMode="External"/><Relationship Id="rId7605" Type="http://schemas.openxmlformats.org/officeDocument/2006/relationships/hyperlink" Target="https://www.immoscout24.ch/fr/maison/acheter/lieu-niouc" TargetMode="External"/><Relationship Id="rId8936" Type="http://schemas.openxmlformats.org/officeDocument/2006/relationships/hyperlink" Target="https://www.immoscout24.ch/fr/appartement/louer/lieu-clebes-nendaz" TargetMode="External"/><Relationship Id="rId7604" Type="http://schemas.openxmlformats.org/officeDocument/2006/relationships/hyperlink" Target="https://www.immoscout24.ch/fr/maison/acheter/lieu-aigle" TargetMode="External"/><Relationship Id="rId8935" Type="http://schemas.openxmlformats.org/officeDocument/2006/relationships/hyperlink" Target="https://www.immoscout24.ch/fr/appartement/louer/lieu-clebes-nendaz" TargetMode="External"/><Relationship Id="rId7609" Type="http://schemas.openxmlformats.org/officeDocument/2006/relationships/hyperlink" Target="https://www.immoscout24.ch/fr/appartement/louer/lieu-vesenaz" TargetMode="External"/><Relationship Id="rId7608" Type="http://schemas.openxmlformats.org/officeDocument/2006/relationships/hyperlink" Target="https://www.immoscout24.ch/fr/appartement/acheter/lieu-aldesago" TargetMode="External"/><Relationship Id="rId8939" Type="http://schemas.openxmlformats.org/officeDocument/2006/relationships/hyperlink" Target="https://www.immoscout24.ch/fr/maison/acheter/quartier-cretets-la-chaux-de-fonds" TargetMode="External"/><Relationship Id="rId8930" Type="http://schemas.openxmlformats.org/officeDocument/2006/relationships/hyperlink" Target="https://www.immoscout24.ch/fr/maison/acheter/lieu-bellwald" TargetMode="External"/><Relationship Id="rId7603" Type="http://schemas.openxmlformats.org/officeDocument/2006/relationships/hyperlink" Target="https://www.immoscout24.ch/fr/maison/acheter/lieu-aigle" TargetMode="External"/><Relationship Id="rId8934" Type="http://schemas.openxmlformats.org/officeDocument/2006/relationships/hyperlink" Target="https://www.immoscout24.ch/fr/maison/acheter/lieu-bure" TargetMode="External"/><Relationship Id="rId7602" Type="http://schemas.openxmlformats.org/officeDocument/2006/relationships/hyperlink" Target="https://www.immoscout24.ch/fr/appartement/louer/lieu-kriens" TargetMode="External"/><Relationship Id="rId8933" Type="http://schemas.openxmlformats.org/officeDocument/2006/relationships/hyperlink" Target="https://www.immoscout24.ch/fr/maison/acheter/lieu-bure" TargetMode="External"/><Relationship Id="rId7601" Type="http://schemas.openxmlformats.org/officeDocument/2006/relationships/hyperlink" Target="https://www.immoscout24.ch/fr/appartement/louer/lieu-kriens" TargetMode="External"/><Relationship Id="rId8932" Type="http://schemas.openxmlformats.org/officeDocument/2006/relationships/hyperlink" Target="https://www.immoscout24.ch/fr/maison/acheter/lieu-evionnaz" TargetMode="External"/><Relationship Id="rId7600" Type="http://schemas.openxmlformats.org/officeDocument/2006/relationships/hyperlink" Target="https://www.immoscout24.ch/fr/appartement/louer/lieu-botterens" TargetMode="External"/><Relationship Id="rId8931" Type="http://schemas.openxmlformats.org/officeDocument/2006/relationships/hyperlink" Target="https://www.immoscout24.ch/fr/maison/acheter/lieu-evionnaz" TargetMode="External"/><Relationship Id="rId668" Type="http://schemas.openxmlformats.org/officeDocument/2006/relationships/hyperlink" Target="https://www.immoscout24.ch/fr/maison/acheter/lieu-les-emibois" TargetMode="External"/><Relationship Id="rId667" Type="http://schemas.openxmlformats.org/officeDocument/2006/relationships/hyperlink" Target="https://www.immoscout24.ch/fr/maison/acheter/lieu-les-emibois" TargetMode="External"/><Relationship Id="rId666" Type="http://schemas.openxmlformats.org/officeDocument/2006/relationships/hyperlink" Target="https://www.immoscout24.ch/fr/appartement/acheter/lieu-le-mouret" TargetMode="External"/><Relationship Id="rId665" Type="http://schemas.openxmlformats.org/officeDocument/2006/relationships/hyperlink" Target="https://www.immoscout24.ch/fr/appartement/acheter/lieu-le-mouret" TargetMode="External"/><Relationship Id="rId669" Type="http://schemas.openxmlformats.org/officeDocument/2006/relationships/hyperlink" Target="https://www.immoscout24.ch/fr/appartement/acheter/lieu-reinach-bl" TargetMode="External"/><Relationship Id="rId660" Type="http://schemas.openxmlformats.org/officeDocument/2006/relationships/hyperlink" Target="https://www.immoscout24.ch/fr/appartement/louer/lieu-ponte-tresa" TargetMode="External"/><Relationship Id="rId664" Type="http://schemas.openxmlformats.org/officeDocument/2006/relationships/hyperlink" Target="https://www.immoscout24.ch/fr/maison/acheter/lieu-villarlod" TargetMode="External"/><Relationship Id="rId663" Type="http://schemas.openxmlformats.org/officeDocument/2006/relationships/hyperlink" Target="https://www.immoscout24.ch/fr/maison/acheter/lieu-villarlod" TargetMode="External"/><Relationship Id="rId662" Type="http://schemas.openxmlformats.org/officeDocument/2006/relationships/hyperlink" Target="https://www.immoscout24.ch/fr/maison/acheter/lieu-leontica" TargetMode="External"/><Relationship Id="rId661" Type="http://schemas.openxmlformats.org/officeDocument/2006/relationships/hyperlink" Target="https://www.immoscout24.ch/fr/maison/acheter/lieu-leontica" TargetMode="External"/><Relationship Id="rId657" Type="http://schemas.openxmlformats.org/officeDocument/2006/relationships/hyperlink" Target="https://www.immoscout24.ch/fr/appartement/louer/lieu-vex" TargetMode="External"/><Relationship Id="rId656" Type="http://schemas.openxmlformats.org/officeDocument/2006/relationships/hyperlink" Target="https://www.immoscout24.ch/fr/maison/louer/lieu-waldstatt" TargetMode="External"/><Relationship Id="rId655" Type="http://schemas.openxmlformats.org/officeDocument/2006/relationships/hyperlink" Target="https://www.immoscout24.ch/fr/maison/louer/lieu-waldstatt" TargetMode="External"/><Relationship Id="rId654" Type="http://schemas.openxmlformats.org/officeDocument/2006/relationships/hyperlink" Target="https://www.immoscout24.ch/fr/appartement/louer/lieu-massonnens" TargetMode="External"/><Relationship Id="rId659" Type="http://schemas.openxmlformats.org/officeDocument/2006/relationships/hyperlink" Target="https://www.immoscout24.ch/fr/appartement/louer/lieu-ponte-tresa" TargetMode="External"/><Relationship Id="rId658" Type="http://schemas.openxmlformats.org/officeDocument/2006/relationships/hyperlink" Target="https://www.immoscout24.ch/fr/appartement/louer/lieu-vex" TargetMode="External"/><Relationship Id="rId653" Type="http://schemas.openxmlformats.org/officeDocument/2006/relationships/hyperlink" Target="https://www.immoscout24.ch/fr/appartement/louer/lieu-massonnens" TargetMode="External"/><Relationship Id="rId652" Type="http://schemas.openxmlformats.org/officeDocument/2006/relationships/hyperlink" Target="https://www.immoscout24.ch/fr/maison/louer/lieu-romanel-sur-lausanne" TargetMode="External"/><Relationship Id="rId651" Type="http://schemas.openxmlformats.org/officeDocument/2006/relationships/hyperlink" Target="https://www.immoscout24.ch/fr/maison/louer/lieu-romanel-sur-lausanne" TargetMode="External"/><Relationship Id="rId650" Type="http://schemas.openxmlformats.org/officeDocument/2006/relationships/hyperlink" Target="https://www.immoscout24.ch/fr/appartement/louer/lieu-viganello" TargetMode="External"/><Relationship Id="rId8905" Type="http://schemas.openxmlformats.org/officeDocument/2006/relationships/hyperlink" Target="https://www.immoscout24.ch/fr/maison/acheter/lieu-la-chaux-des-breuleux" TargetMode="External"/><Relationship Id="rId8904" Type="http://schemas.openxmlformats.org/officeDocument/2006/relationships/hyperlink" Target="https://www.immoscout24.ch/fr/appartement/louer/lieu-monte-carasso" TargetMode="External"/><Relationship Id="rId8903" Type="http://schemas.openxmlformats.org/officeDocument/2006/relationships/hyperlink" Target="https://www.immoscout24.ch/fr/appartement/louer/lieu-monte-carasso" TargetMode="External"/><Relationship Id="rId8902" Type="http://schemas.openxmlformats.org/officeDocument/2006/relationships/hyperlink" Target="https://www.immoscout24.ch/fr/maison/acheter/lieu-ponthaux" TargetMode="External"/><Relationship Id="rId8909" Type="http://schemas.openxmlformats.org/officeDocument/2006/relationships/hyperlink" Target="https://www.immoscout24.ch/fr/maison/acheter/region-ar-vorderland" TargetMode="External"/><Relationship Id="rId8908" Type="http://schemas.openxmlformats.org/officeDocument/2006/relationships/hyperlink" Target="https://www.immoscout24.ch/fr/maison/acheter/lieu-les-enfers" TargetMode="External"/><Relationship Id="rId8907" Type="http://schemas.openxmlformats.org/officeDocument/2006/relationships/hyperlink" Target="https://www.immoscout24.ch/fr/maison/acheter/lieu-les-enfers" TargetMode="External"/><Relationship Id="rId8906" Type="http://schemas.openxmlformats.org/officeDocument/2006/relationships/hyperlink" Target="https://www.immoscout24.ch/fr/maison/acheter/lieu-la-chaux-des-breuleux" TargetMode="External"/><Relationship Id="rId689" Type="http://schemas.openxmlformats.org/officeDocument/2006/relationships/hyperlink" Target="https://www.immoscout24.ch/fr/appartement/louer/lieu-vauffelin" TargetMode="External"/><Relationship Id="rId688" Type="http://schemas.openxmlformats.org/officeDocument/2006/relationships/hyperlink" Target="https://www.immoscout24.ch/fr/appartement/louer/lieu-le-bry" TargetMode="External"/><Relationship Id="rId687" Type="http://schemas.openxmlformats.org/officeDocument/2006/relationships/hyperlink" Target="https://www.immoscout24.ch/fr/appartement/louer/lieu-le-bry" TargetMode="External"/><Relationship Id="rId682" Type="http://schemas.openxmlformats.org/officeDocument/2006/relationships/hyperlink" Target="https://www.immoscout24.ch/fr/appartement/acheter/lieu-st-george" TargetMode="External"/><Relationship Id="rId681" Type="http://schemas.openxmlformats.org/officeDocument/2006/relationships/hyperlink" Target="https://www.immoscout24.ch/fr/appartement/acheter/lieu-st-george" TargetMode="External"/><Relationship Id="rId680" Type="http://schemas.openxmlformats.org/officeDocument/2006/relationships/hyperlink" Target="https://www.immoscout24.ch/fr/appartement/acheter/lieu-corpataux-magnedens" TargetMode="External"/><Relationship Id="rId686" Type="http://schemas.openxmlformats.org/officeDocument/2006/relationships/hyperlink" Target="https://www.immoscout24.ch/fr/appartement/louer/lieu-riaz" TargetMode="External"/><Relationship Id="rId8901" Type="http://schemas.openxmlformats.org/officeDocument/2006/relationships/hyperlink" Target="https://www.immoscout24.ch/fr/maison/acheter/lieu-ponthaux" TargetMode="External"/><Relationship Id="rId685" Type="http://schemas.openxmlformats.org/officeDocument/2006/relationships/hyperlink" Target="https://www.immoscout24.ch/fr/appartement/louer/lieu-riaz" TargetMode="External"/><Relationship Id="rId8900" Type="http://schemas.openxmlformats.org/officeDocument/2006/relationships/hyperlink" Target="https://www.immoscout24.ch/fr/appartement/louer/lieu-altdorf-ur" TargetMode="External"/><Relationship Id="rId684" Type="http://schemas.openxmlformats.org/officeDocument/2006/relationships/hyperlink" Target="https://www.immoscout24.ch/fr/appartement/louer/lieu-giubiasco" TargetMode="External"/><Relationship Id="rId683" Type="http://schemas.openxmlformats.org/officeDocument/2006/relationships/hyperlink" Target="https://www.immoscout24.ch/fr/appartement/louer/lieu-giubiasco" TargetMode="External"/><Relationship Id="rId679" Type="http://schemas.openxmlformats.org/officeDocument/2006/relationships/hyperlink" Target="https://www.immoscout24.ch/fr/appartement/acheter/lieu-corpataux-magnedens" TargetMode="External"/><Relationship Id="rId678" Type="http://schemas.openxmlformats.org/officeDocument/2006/relationships/hyperlink" Target="https://www.immoscout24.ch/fr/maison/acheter/lieu-elgg" TargetMode="External"/><Relationship Id="rId677" Type="http://schemas.openxmlformats.org/officeDocument/2006/relationships/hyperlink" Target="https://www.immoscout24.ch/fr/maison/acheter/lieu-elgg" TargetMode="External"/><Relationship Id="rId676" Type="http://schemas.openxmlformats.org/officeDocument/2006/relationships/hyperlink" Target="https://www.immoscout24.ch/fr/maison/acheter/lieu-corin-de-la-crete" TargetMode="External"/><Relationship Id="rId671" Type="http://schemas.openxmlformats.org/officeDocument/2006/relationships/hyperlink" Target="https://www.immoscout24.ch/fr/maison/acheter/lieu-wangen-b-duebendorf" TargetMode="External"/><Relationship Id="rId670" Type="http://schemas.openxmlformats.org/officeDocument/2006/relationships/hyperlink" Target="https://www.immoscout24.ch/fr/appartement/acheter/lieu-reinach-bl" TargetMode="External"/><Relationship Id="rId675" Type="http://schemas.openxmlformats.org/officeDocument/2006/relationships/hyperlink" Target="https://www.immoscout24.ch/fr/maison/acheter/lieu-corin-de-la-crete" TargetMode="External"/><Relationship Id="rId674" Type="http://schemas.openxmlformats.org/officeDocument/2006/relationships/hyperlink" Target="https://www.immoscout24.ch/fr/maison/acheter/lieu-reinach-ag" TargetMode="External"/><Relationship Id="rId673" Type="http://schemas.openxmlformats.org/officeDocument/2006/relationships/hyperlink" Target="https://www.immoscout24.ch/fr/maison/acheter/lieu-reinach-ag" TargetMode="External"/><Relationship Id="rId672" Type="http://schemas.openxmlformats.org/officeDocument/2006/relationships/hyperlink" Target="https://www.immoscout24.ch/fr/maison/acheter/lieu-wangen-b-duebendorf" TargetMode="External"/><Relationship Id="rId5019" Type="http://schemas.openxmlformats.org/officeDocument/2006/relationships/hyperlink" Target="https://www.immoscout24.ch/fr/maison/acheter/lieu-salvenach" TargetMode="External"/><Relationship Id="rId6340" Type="http://schemas.openxmlformats.org/officeDocument/2006/relationships/hyperlink" Target="https://www.immoscout24.ch/fr/maison/acheter/lieu-derendingen" TargetMode="External"/><Relationship Id="rId7672" Type="http://schemas.openxmlformats.org/officeDocument/2006/relationships/hyperlink" Target="https://www.immoscout24.ch/fr/appartement/louer/lieu-les-enfers" TargetMode="External"/><Relationship Id="rId5010" Type="http://schemas.openxmlformats.org/officeDocument/2006/relationships/hyperlink" Target="https://www.immoscout24.ch/fr/appartement/louer/lieu-tscheppach" TargetMode="External"/><Relationship Id="rId6341" Type="http://schemas.openxmlformats.org/officeDocument/2006/relationships/hyperlink" Target="https://www.immoscout24.ch/fr/maison/louer/lieu-st-ursanne" TargetMode="External"/><Relationship Id="rId7671" Type="http://schemas.openxmlformats.org/officeDocument/2006/relationships/hyperlink" Target="https://www.immoscout24.ch/fr/appartement/louer/lieu-les-enfers" TargetMode="External"/><Relationship Id="rId7670" Type="http://schemas.openxmlformats.org/officeDocument/2006/relationships/hyperlink" Target="https://www.immoscout24.ch/fr/appartement/louer/quartier-monbijou-berne" TargetMode="External"/><Relationship Id="rId5013" Type="http://schemas.openxmlformats.org/officeDocument/2006/relationships/hyperlink" Target="https://www.immoscout24.ch/fr/appartement/louer/lieu-boudry" TargetMode="External"/><Relationship Id="rId6344" Type="http://schemas.openxmlformats.org/officeDocument/2006/relationships/hyperlink" Target="https://www.immoscout24.ch/fr/appartement/acheter/lieu-dierikon" TargetMode="External"/><Relationship Id="rId7676" Type="http://schemas.openxmlformats.org/officeDocument/2006/relationships/hyperlink" Target="https://www.immoscout24.ch/fr/appartement/louer/lieu-bourguillon" TargetMode="External"/><Relationship Id="rId5014" Type="http://schemas.openxmlformats.org/officeDocument/2006/relationships/hyperlink" Target="https://www.immoscout24.ch/fr/appartement/louer/lieu-boudry" TargetMode="External"/><Relationship Id="rId6345" Type="http://schemas.openxmlformats.org/officeDocument/2006/relationships/hyperlink" Target="https://www.immoscout24.ch/fr/maison/acheter/lieu-erde" TargetMode="External"/><Relationship Id="rId7675" Type="http://schemas.openxmlformats.org/officeDocument/2006/relationships/hyperlink" Target="https://www.immoscout24.ch/fr/appartement/louer/lieu-bourguillon" TargetMode="External"/><Relationship Id="rId5011" Type="http://schemas.openxmlformats.org/officeDocument/2006/relationships/hyperlink" Target="https://www.immoscout24.ch/fr/maison/acheter/lieu-binn" TargetMode="External"/><Relationship Id="rId6342" Type="http://schemas.openxmlformats.org/officeDocument/2006/relationships/hyperlink" Target="https://www.immoscout24.ch/fr/maison/louer/lieu-st-ursanne" TargetMode="External"/><Relationship Id="rId7674" Type="http://schemas.openxmlformats.org/officeDocument/2006/relationships/hyperlink" Target="https://www.immoscout24.ch/fr/maison/louer/lieu-marsens" TargetMode="External"/><Relationship Id="rId5012" Type="http://schemas.openxmlformats.org/officeDocument/2006/relationships/hyperlink" Target="https://www.immoscout24.ch/fr/maison/acheter/lieu-binn" TargetMode="External"/><Relationship Id="rId6343" Type="http://schemas.openxmlformats.org/officeDocument/2006/relationships/hyperlink" Target="https://www.immoscout24.ch/fr/appartement/acheter/lieu-dierikon" TargetMode="External"/><Relationship Id="rId7673" Type="http://schemas.openxmlformats.org/officeDocument/2006/relationships/hyperlink" Target="https://www.immoscout24.ch/fr/maison/louer/lieu-marsens" TargetMode="External"/><Relationship Id="rId5017" Type="http://schemas.openxmlformats.org/officeDocument/2006/relationships/hyperlink" Target="https://www.immoscout24.ch/fr/appartement/acheter/lieu-siviez-nendaz" TargetMode="External"/><Relationship Id="rId6348" Type="http://schemas.openxmlformats.org/officeDocument/2006/relationships/hyperlink" Target="https://www.immoscout24.ch/fr/maison/acheter/lieu-engollon" TargetMode="External"/><Relationship Id="rId5018" Type="http://schemas.openxmlformats.org/officeDocument/2006/relationships/hyperlink" Target="https://www.immoscout24.ch/fr/appartement/acheter/lieu-siviez-nendaz" TargetMode="External"/><Relationship Id="rId6349" Type="http://schemas.openxmlformats.org/officeDocument/2006/relationships/hyperlink" Target="https://www.immoscout24.ch/fr/maison/acheter/lieu-hochdorf" TargetMode="External"/><Relationship Id="rId7679" Type="http://schemas.openxmlformats.org/officeDocument/2006/relationships/hyperlink" Target="https://www.immoscout24.ch/fr/appartement/louer/lieu-gilly" TargetMode="External"/><Relationship Id="rId5015" Type="http://schemas.openxmlformats.org/officeDocument/2006/relationships/hyperlink" Target="https://www.immoscout24.ch/fr/appartement/louer/secteur-kreis-6" TargetMode="External"/><Relationship Id="rId6346" Type="http://schemas.openxmlformats.org/officeDocument/2006/relationships/hyperlink" Target="https://www.immoscout24.ch/fr/maison/acheter/lieu-erde" TargetMode="External"/><Relationship Id="rId7678" Type="http://schemas.openxmlformats.org/officeDocument/2006/relationships/hyperlink" Target="https://www.immoscout24.ch/fr/appartement/louer/lieu-aegerten" TargetMode="External"/><Relationship Id="rId5016" Type="http://schemas.openxmlformats.org/officeDocument/2006/relationships/hyperlink" Target="https://www.immoscout24.ch/fr/appartement/louer/secteur-kreis-6" TargetMode="External"/><Relationship Id="rId6347" Type="http://schemas.openxmlformats.org/officeDocument/2006/relationships/hyperlink" Target="https://www.immoscout24.ch/fr/maison/acheter/lieu-engollon" TargetMode="External"/><Relationship Id="rId7677" Type="http://schemas.openxmlformats.org/officeDocument/2006/relationships/hyperlink" Target="https://www.immoscout24.ch/fr/appartement/louer/lieu-aegerten" TargetMode="External"/><Relationship Id="rId5008" Type="http://schemas.openxmlformats.org/officeDocument/2006/relationships/hyperlink" Target="https://www.immoscout24.ch/fr/appartement/acheter/lieu-le-bry" TargetMode="External"/><Relationship Id="rId6339" Type="http://schemas.openxmlformats.org/officeDocument/2006/relationships/hyperlink" Target="https://www.immoscout24.ch/fr/maison/acheter/lieu-derendingen" TargetMode="External"/><Relationship Id="rId5009" Type="http://schemas.openxmlformats.org/officeDocument/2006/relationships/hyperlink" Target="https://www.immoscout24.ch/fr/appartement/louer/lieu-tscheppach" TargetMode="External"/><Relationship Id="rId7661" Type="http://schemas.openxmlformats.org/officeDocument/2006/relationships/hyperlink" Target="https://www.immoscout24.ch/fr/appartement/louer/lieu-molondin" TargetMode="External"/><Relationship Id="rId8992" Type="http://schemas.openxmlformats.org/officeDocument/2006/relationships/hyperlink" Target="https://www.immoscout24.ch/fr/appartement/acheter/lieu-longirod" TargetMode="External"/><Relationship Id="rId6330" Type="http://schemas.openxmlformats.org/officeDocument/2006/relationships/hyperlink" Target="https://www.immoscout24.ch/fr/appartement/acheter/pays-costa-rica" TargetMode="External"/><Relationship Id="rId7660" Type="http://schemas.openxmlformats.org/officeDocument/2006/relationships/hyperlink" Target="https://www.immoscout24.ch/fr/appartement/acheter/lieu-les-monts-de-pully" TargetMode="External"/><Relationship Id="rId8991" Type="http://schemas.openxmlformats.org/officeDocument/2006/relationships/hyperlink" Target="https://www.immoscout24.ch/fr/appartement/acheter/lieu-longirod" TargetMode="External"/><Relationship Id="rId8990" Type="http://schemas.openxmlformats.org/officeDocument/2006/relationships/hyperlink" Target="https://www.immoscout24.ch/fr/appartement/louer/lieu-st-leonard" TargetMode="External"/><Relationship Id="rId5002" Type="http://schemas.openxmlformats.org/officeDocument/2006/relationships/hyperlink" Target="https://www.immoscout24.ch/fr/appartement/louer/lieu-killwangen" TargetMode="External"/><Relationship Id="rId6333" Type="http://schemas.openxmlformats.org/officeDocument/2006/relationships/hyperlink" Target="https://www.immoscout24.ch/fr/appartement/acheter/lieu-arosa" TargetMode="External"/><Relationship Id="rId7665" Type="http://schemas.openxmlformats.org/officeDocument/2006/relationships/hyperlink" Target="https://www.immoscout24.ch/fr/appartement/acheter/lieu-wollerau" TargetMode="External"/><Relationship Id="rId8996" Type="http://schemas.openxmlformats.org/officeDocument/2006/relationships/hyperlink" Target="https://www.immoscout24.ch/fr/maison/acheter/lieu-villars-sur-ollon" TargetMode="External"/><Relationship Id="rId5003" Type="http://schemas.openxmlformats.org/officeDocument/2006/relationships/hyperlink" Target="https://www.immoscout24.ch/fr/maison/acheter/lieu-les-paccots" TargetMode="External"/><Relationship Id="rId6334" Type="http://schemas.openxmlformats.org/officeDocument/2006/relationships/hyperlink" Target="https://www.immoscout24.ch/fr/appartement/acheter/lieu-arosa" TargetMode="External"/><Relationship Id="rId7664" Type="http://schemas.openxmlformats.org/officeDocument/2006/relationships/hyperlink" Target="https://www.immoscout24.ch/fr/maison/acheter/lieu-lossy" TargetMode="External"/><Relationship Id="rId8995" Type="http://schemas.openxmlformats.org/officeDocument/2006/relationships/hyperlink" Target="https://www.immoscout24.ch/fr/maison/acheter/lieu-villars-sur-ollon" TargetMode="External"/><Relationship Id="rId5000" Type="http://schemas.openxmlformats.org/officeDocument/2006/relationships/hyperlink" Target="https://www.immoscout24.ch/fr/maison/acheter/lieu-biberist" TargetMode="External"/><Relationship Id="rId6331" Type="http://schemas.openxmlformats.org/officeDocument/2006/relationships/hyperlink" Target="https://www.immoscout24.ch/fr/appartement/louer/lieu-cugy-fr" TargetMode="External"/><Relationship Id="rId7663" Type="http://schemas.openxmlformats.org/officeDocument/2006/relationships/hyperlink" Target="https://www.immoscout24.ch/fr/maison/acheter/lieu-lossy" TargetMode="External"/><Relationship Id="rId8994" Type="http://schemas.openxmlformats.org/officeDocument/2006/relationships/hyperlink" Target="https://www.immoscout24.ch/fr/appartement/louer/lieu-vallamand" TargetMode="External"/><Relationship Id="rId5001" Type="http://schemas.openxmlformats.org/officeDocument/2006/relationships/hyperlink" Target="https://www.immoscout24.ch/fr/appartement/louer/lieu-killwangen" TargetMode="External"/><Relationship Id="rId6332" Type="http://schemas.openxmlformats.org/officeDocument/2006/relationships/hyperlink" Target="https://www.immoscout24.ch/fr/appartement/louer/lieu-cugy-fr" TargetMode="External"/><Relationship Id="rId7662" Type="http://schemas.openxmlformats.org/officeDocument/2006/relationships/hyperlink" Target="https://www.immoscout24.ch/fr/appartement/louer/lieu-molondin" TargetMode="External"/><Relationship Id="rId8993" Type="http://schemas.openxmlformats.org/officeDocument/2006/relationships/hyperlink" Target="https://www.immoscout24.ch/fr/appartement/louer/lieu-vallamand" TargetMode="External"/><Relationship Id="rId5006" Type="http://schemas.openxmlformats.org/officeDocument/2006/relationships/hyperlink" Target="https://www.immoscout24.ch/fr/appartement/louer/lieu-villiers" TargetMode="External"/><Relationship Id="rId6337" Type="http://schemas.openxmlformats.org/officeDocument/2006/relationships/hyperlink" Target="https://www.immoscout24.ch/fr/maison/acheter/lieu-chesalles-sur-oron" TargetMode="External"/><Relationship Id="rId7669" Type="http://schemas.openxmlformats.org/officeDocument/2006/relationships/hyperlink" Target="https://www.immoscout24.ch/fr/appartement/louer/quartier-monbijou-berne" TargetMode="External"/><Relationship Id="rId5007" Type="http://schemas.openxmlformats.org/officeDocument/2006/relationships/hyperlink" Target="https://www.immoscout24.ch/fr/appartement/acheter/lieu-le-bry" TargetMode="External"/><Relationship Id="rId6338" Type="http://schemas.openxmlformats.org/officeDocument/2006/relationships/hyperlink" Target="https://www.immoscout24.ch/fr/maison/acheter/lieu-chesalles-sur-oron" TargetMode="External"/><Relationship Id="rId7668" Type="http://schemas.openxmlformats.org/officeDocument/2006/relationships/hyperlink" Target="https://www.immoscout24.ch/fr/appartement/louer/lieu-chippis" TargetMode="External"/><Relationship Id="rId8999" Type="http://schemas.openxmlformats.org/officeDocument/2006/relationships/hyperlink" Target="https://www.immoscout24.ch/fr/appartement/louer/lieu-albinen" TargetMode="External"/><Relationship Id="rId5004" Type="http://schemas.openxmlformats.org/officeDocument/2006/relationships/hyperlink" Target="https://www.immoscout24.ch/fr/maison/acheter/lieu-les-paccots" TargetMode="External"/><Relationship Id="rId6335" Type="http://schemas.openxmlformats.org/officeDocument/2006/relationships/hyperlink" Target="https://www.immoscout24.ch/fr/appartement/louer/quartier-innenstadt-st-gall" TargetMode="External"/><Relationship Id="rId7667" Type="http://schemas.openxmlformats.org/officeDocument/2006/relationships/hyperlink" Target="https://www.immoscout24.ch/fr/appartement/louer/lieu-chippis" TargetMode="External"/><Relationship Id="rId8998" Type="http://schemas.openxmlformats.org/officeDocument/2006/relationships/hyperlink" Target="https://www.immoscout24.ch/fr/appartement/louer/quartier-maupas-valency-lausanne" TargetMode="External"/><Relationship Id="rId5005" Type="http://schemas.openxmlformats.org/officeDocument/2006/relationships/hyperlink" Target="https://www.immoscout24.ch/fr/appartement/louer/lieu-villiers" TargetMode="External"/><Relationship Id="rId6336" Type="http://schemas.openxmlformats.org/officeDocument/2006/relationships/hyperlink" Target="https://www.immoscout24.ch/fr/appartement/louer/quartier-innenstadt-st-gall" TargetMode="External"/><Relationship Id="rId7666" Type="http://schemas.openxmlformats.org/officeDocument/2006/relationships/hyperlink" Target="https://www.immoscout24.ch/fr/appartement/acheter/lieu-wollerau" TargetMode="External"/><Relationship Id="rId8997" Type="http://schemas.openxmlformats.org/officeDocument/2006/relationships/hyperlink" Target="https://www.immoscout24.ch/fr/appartement/louer/quartier-maupas-valency-lausanne" TargetMode="External"/><Relationship Id="rId7690" Type="http://schemas.openxmlformats.org/officeDocument/2006/relationships/hyperlink" Target="https://www.immoscout24.ch/fr/appartement/louer/lieu-evolene" TargetMode="External"/><Relationship Id="rId5031" Type="http://schemas.openxmlformats.org/officeDocument/2006/relationships/hyperlink" Target="https://www.immoscout24.ch/fr/appartement/louer/region-lucerne-lac" TargetMode="External"/><Relationship Id="rId6362" Type="http://schemas.openxmlformats.org/officeDocument/2006/relationships/hyperlink" Target="https://www.immoscout24.ch/fr/maison/acheter/lieu-russo" TargetMode="External"/><Relationship Id="rId7694" Type="http://schemas.openxmlformats.org/officeDocument/2006/relationships/hyperlink" Target="https://www.immoscout24.ch/fr/appartement/acheter/lieu-pompaples" TargetMode="External"/><Relationship Id="rId5032" Type="http://schemas.openxmlformats.org/officeDocument/2006/relationships/hyperlink" Target="https://www.immoscout24.ch/fr/appartement/louer/region-lucerne-lac" TargetMode="External"/><Relationship Id="rId6363" Type="http://schemas.openxmlformats.org/officeDocument/2006/relationships/hyperlink" Target="https://www.immoscout24.ch/fr/maison/acheter/lieu-pianezzo" TargetMode="External"/><Relationship Id="rId7693" Type="http://schemas.openxmlformats.org/officeDocument/2006/relationships/hyperlink" Target="https://www.immoscout24.ch/fr/appartement/acheter/lieu-pompaples" TargetMode="External"/><Relationship Id="rId6360" Type="http://schemas.openxmlformats.org/officeDocument/2006/relationships/hyperlink" Target="https://www.immoscout24.ch/fr/appartement/louer/quartier-oberstrass-zurich" TargetMode="External"/><Relationship Id="rId7692" Type="http://schemas.openxmlformats.org/officeDocument/2006/relationships/hyperlink" Target="https://www.immoscout24.ch/fr/maison/acheter/lieu-aclens" TargetMode="External"/><Relationship Id="rId5030" Type="http://schemas.openxmlformats.org/officeDocument/2006/relationships/hyperlink" Target="https://www.immoscout24.ch/fr/maison/acheter/region-rhone-arve" TargetMode="External"/><Relationship Id="rId6361" Type="http://schemas.openxmlformats.org/officeDocument/2006/relationships/hyperlink" Target="https://www.immoscout24.ch/fr/maison/acheter/lieu-russo" TargetMode="External"/><Relationship Id="rId7691" Type="http://schemas.openxmlformats.org/officeDocument/2006/relationships/hyperlink" Target="https://www.immoscout24.ch/fr/maison/acheter/lieu-aclens" TargetMode="External"/><Relationship Id="rId5035" Type="http://schemas.openxmlformats.org/officeDocument/2006/relationships/hyperlink" Target="https://www.immoscout24.ch/fr/appartement/louer/lieu-laax-gr" TargetMode="External"/><Relationship Id="rId6366" Type="http://schemas.openxmlformats.org/officeDocument/2006/relationships/hyperlink" Target="https://www.immoscout24.ch/fr/maison/acheter/lieu-lugnez" TargetMode="External"/><Relationship Id="rId7698" Type="http://schemas.openxmlformats.org/officeDocument/2006/relationships/hyperlink" Target="https://www.immoscout24.ch/fr/maison/louer/lieu-enney" TargetMode="External"/><Relationship Id="rId5036" Type="http://schemas.openxmlformats.org/officeDocument/2006/relationships/hyperlink" Target="https://www.immoscout24.ch/fr/appartement/louer/lieu-laax-gr" TargetMode="External"/><Relationship Id="rId6367" Type="http://schemas.openxmlformats.org/officeDocument/2006/relationships/hyperlink" Target="https://www.immoscout24.ch/fr/appartement/louer/quartier-florissant-malagnou-geneve" TargetMode="External"/><Relationship Id="rId7697" Type="http://schemas.openxmlformats.org/officeDocument/2006/relationships/hyperlink" Target="https://www.immoscout24.ch/fr/maison/louer/lieu-enney" TargetMode="External"/><Relationship Id="rId5033" Type="http://schemas.openxmlformats.org/officeDocument/2006/relationships/hyperlink" Target="https://www.immoscout24.ch/fr/maison/louer/quartier-bre-lugano" TargetMode="External"/><Relationship Id="rId6364" Type="http://schemas.openxmlformats.org/officeDocument/2006/relationships/hyperlink" Target="https://www.immoscout24.ch/fr/maison/acheter/lieu-pianezzo" TargetMode="External"/><Relationship Id="rId7696" Type="http://schemas.openxmlformats.org/officeDocument/2006/relationships/hyperlink" Target="https://www.immoscout24.ch/fr/maison/acheter/lieu-st-antoenien" TargetMode="External"/><Relationship Id="rId5034" Type="http://schemas.openxmlformats.org/officeDocument/2006/relationships/hyperlink" Target="https://www.immoscout24.ch/fr/maison/louer/quartier-bre-lugano" TargetMode="External"/><Relationship Id="rId6365" Type="http://schemas.openxmlformats.org/officeDocument/2006/relationships/hyperlink" Target="https://www.immoscout24.ch/fr/maison/acheter/lieu-lugnez" TargetMode="External"/><Relationship Id="rId7695" Type="http://schemas.openxmlformats.org/officeDocument/2006/relationships/hyperlink" Target="https://www.immoscout24.ch/fr/maison/acheter/lieu-st-antoenien" TargetMode="External"/><Relationship Id="rId5039" Type="http://schemas.openxmlformats.org/officeDocument/2006/relationships/hyperlink" Target="https://www.immoscout24.ch/fr/maison/acheter/lieu-villaraboud" TargetMode="External"/><Relationship Id="rId5037" Type="http://schemas.openxmlformats.org/officeDocument/2006/relationships/hyperlink" Target="https://www.immoscout24.ch/fr/maison/acheter/lieu-turtmann" TargetMode="External"/><Relationship Id="rId6368" Type="http://schemas.openxmlformats.org/officeDocument/2006/relationships/hyperlink" Target="https://www.immoscout24.ch/fr/appartement/louer/quartier-florissant-malagnou-geneve" TargetMode="External"/><Relationship Id="rId5038" Type="http://schemas.openxmlformats.org/officeDocument/2006/relationships/hyperlink" Target="https://www.immoscout24.ch/fr/maison/acheter/lieu-turtmann" TargetMode="External"/><Relationship Id="rId6369" Type="http://schemas.openxmlformats.org/officeDocument/2006/relationships/hyperlink" Target="https://www.immoscout24.ch/fr/appartement/acheter/region-nidwald" TargetMode="External"/><Relationship Id="rId7699" Type="http://schemas.openxmlformats.org/officeDocument/2006/relationships/hyperlink" Target="https://www.immoscout24.ch/fr/maison/louer/lieu-genolier" TargetMode="External"/><Relationship Id="rId5020" Type="http://schemas.openxmlformats.org/officeDocument/2006/relationships/hyperlink" Target="https://www.immoscout24.ch/fr/maison/acheter/lieu-salvenach" TargetMode="External"/><Relationship Id="rId6351" Type="http://schemas.openxmlformats.org/officeDocument/2006/relationships/hyperlink" Target="https://www.immoscout24.ch/fr/maison/louer/lieu-fey" TargetMode="External"/><Relationship Id="rId7683" Type="http://schemas.openxmlformats.org/officeDocument/2006/relationships/hyperlink" Target="https://www.immoscout24.ch/fr/appartement/louer/lieu-urtenen-schoenbuehl" TargetMode="External"/><Relationship Id="rId5021" Type="http://schemas.openxmlformats.org/officeDocument/2006/relationships/hyperlink" Target="https://www.immoscout24.ch/fr/appartement/louer/lieu-chene-paquier" TargetMode="External"/><Relationship Id="rId6352" Type="http://schemas.openxmlformats.org/officeDocument/2006/relationships/hyperlink" Target="https://www.immoscout24.ch/fr/maison/louer/lieu-fey" TargetMode="External"/><Relationship Id="rId7682" Type="http://schemas.openxmlformats.org/officeDocument/2006/relationships/hyperlink" Target="https://www.immoscout24.ch/fr/appartement/louer/lieu-les-hauts-geneveys" TargetMode="External"/><Relationship Id="rId7681" Type="http://schemas.openxmlformats.org/officeDocument/2006/relationships/hyperlink" Target="https://www.immoscout24.ch/fr/appartement/louer/lieu-les-hauts-geneveys" TargetMode="External"/><Relationship Id="rId6350" Type="http://schemas.openxmlformats.org/officeDocument/2006/relationships/hyperlink" Target="https://www.immoscout24.ch/fr/maison/acheter/lieu-hochdorf" TargetMode="External"/><Relationship Id="rId7680" Type="http://schemas.openxmlformats.org/officeDocument/2006/relationships/hyperlink" Target="https://www.immoscout24.ch/fr/appartement/louer/lieu-gilly" TargetMode="External"/><Relationship Id="rId5024" Type="http://schemas.openxmlformats.org/officeDocument/2006/relationships/hyperlink" Target="https://www.immoscout24.ch/fr/appartement/acheter/region-montagnes-neuchateloises" TargetMode="External"/><Relationship Id="rId6355" Type="http://schemas.openxmlformats.org/officeDocument/2006/relationships/hyperlink" Target="https://www.immoscout24.ch/fr/appartement/louer/lieu-aadorf" TargetMode="External"/><Relationship Id="rId7687" Type="http://schemas.openxmlformats.org/officeDocument/2006/relationships/hyperlink" Target="https://www.immoscout24.ch/fr/appartement/acheter/lieu-courtetelle" TargetMode="External"/><Relationship Id="rId5025" Type="http://schemas.openxmlformats.org/officeDocument/2006/relationships/hyperlink" Target="https://www.immoscout24.ch/fr/appartement/louer/lieu-maules" TargetMode="External"/><Relationship Id="rId6356" Type="http://schemas.openxmlformats.org/officeDocument/2006/relationships/hyperlink" Target="https://www.immoscout24.ch/fr/appartement/louer/lieu-aadorf" TargetMode="External"/><Relationship Id="rId7686" Type="http://schemas.openxmlformats.org/officeDocument/2006/relationships/hyperlink" Target="https://www.immoscout24.ch/fr/appartement/acheter/lieu-middes" TargetMode="External"/><Relationship Id="rId5022" Type="http://schemas.openxmlformats.org/officeDocument/2006/relationships/hyperlink" Target="https://www.immoscout24.ch/fr/appartement/louer/lieu-chene-paquier" TargetMode="External"/><Relationship Id="rId6353" Type="http://schemas.openxmlformats.org/officeDocument/2006/relationships/hyperlink" Target="https://www.immoscout24.ch/fr/maison/acheter/lieu-claro" TargetMode="External"/><Relationship Id="rId7685" Type="http://schemas.openxmlformats.org/officeDocument/2006/relationships/hyperlink" Target="https://www.immoscout24.ch/fr/appartement/acheter/lieu-middes" TargetMode="External"/><Relationship Id="rId5023" Type="http://schemas.openxmlformats.org/officeDocument/2006/relationships/hyperlink" Target="https://www.immoscout24.ch/fr/appartement/acheter/region-montagnes-neuchateloises" TargetMode="External"/><Relationship Id="rId6354" Type="http://schemas.openxmlformats.org/officeDocument/2006/relationships/hyperlink" Target="https://www.immoscout24.ch/fr/maison/acheter/lieu-claro" TargetMode="External"/><Relationship Id="rId7684" Type="http://schemas.openxmlformats.org/officeDocument/2006/relationships/hyperlink" Target="https://www.immoscout24.ch/fr/appartement/louer/lieu-urtenen-schoenbuehl" TargetMode="External"/><Relationship Id="rId5028" Type="http://schemas.openxmlformats.org/officeDocument/2006/relationships/hyperlink" Target="https://www.immoscout24.ch/fr/maison/acheter/lieu-goumoens-le-jux" TargetMode="External"/><Relationship Id="rId6359" Type="http://schemas.openxmlformats.org/officeDocument/2006/relationships/hyperlink" Target="https://www.immoscout24.ch/fr/appartement/louer/quartier-oberstrass-zurich" TargetMode="External"/><Relationship Id="rId5029" Type="http://schemas.openxmlformats.org/officeDocument/2006/relationships/hyperlink" Target="https://www.immoscout24.ch/fr/maison/acheter/region-rhone-arve" TargetMode="External"/><Relationship Id="rId5026" Type="http://schemas.openxmlformats.org/officeDocument/2006/relationships/hyperlink" Target="https://www.immoscout24.ch/fr/appartement/louer/lieu-maules" TargetMode="External"/><Relationship Id="rId6357" Type="http://schemas.openxmlformats.org/officeDocument/2006/relationships/hyperlink" Target="https://www.immoscout24.ch/fr/appartement/louer/lieu-echallens" TargetMode="External"/><Relationship Id="rId7689" Type="http://schemas.openxmlformats.org/officeDocument/2006/relationships/hyperlink" Target="https://www.immoscout24.ch/fr/appartement/louer/lieu-evolene" TargetMode="External"/><Relationship Id="rId5027" Type="http://schemas.openxmlformats.org/officeDocument/2006/relationships/hyperlink" Target="https://www.immoscout24.ch/fr/maison/acheter/lieu-goumoens-le-jux" TargetMode="External"/><Relationship Id="rId6358" Type="http://schemas.openxmlformats.org/officeDocument/2006/relationships/hyperlink" Target="https://www.immoscout24.ch/fr/appartement/louer/lieu-echallens" TargetMode="External"/><Relationship Id="rId7688" Type="http://schemas.openxmlformats.org/officeDocument/2006/relationships/hyperlink" Target="https://www.immoscout24.ch/fr/appartement/acheter/lieu-courtetelle" TargetMode="External"/><Relationship Id="rId6308" Type="http://schemas.openxmlformats.org/officeDocument/2006/relationships/hyperlink" Target="https://www.immoscout24.ch/fr/maison/acheter/lieu-vevey" TargetMode="External"/><Relationship Id="rId6309" Type="http://schemas.openxmlformats.org/officeDocument/2006/relationships/hyperlink" Target="https://www.immoscout24.ch/fr/maison/acheter/lieu-vesenaz" TargetMode="External"/><Relationship Id="rId7639" Type="http://schemas.openxmlformats.org/officeDocument/2006/relationships/hyperlink" Target="https://www.immoscout24.ch/fr/appartement/acheter/lieu-coldrerio" TargetMode="External"/><Relationship Id="rId6306" Type="http://schemas.openxmlformats.org/officeDocument/2006/relationships/hyperlink" Target="https://www.immoscout24.ch/fr/maison/louer/canton-berne" TargetMode="External"/><Relationship Id="rId7638" Type="http://schemas.openxmlformats.org/officeDocument/2006/relationships/hyperlink" Target="https://www.immoscout24.ch/fr/maison/acheter/region-aarau-et-environs" TargetMode="External"/><Relationship Id="rId8969" Type="http://schemas.openxmlformats.org/officeDocument/2006/relationships/hyperlink" Target="https://www.immoscout24.ch/fr/appartement/acheter/lieu-paudex" TargetMode="External"/><Relationship Id="rId6307" Type="http://schemas.openxmlformats.org/officeDocument/2006/relationships/hyperlink" Target="https://www.immoscout24.ch/fr/maison/acheter/lieu-vevey" TargetMode="External"/><Relationship Id="rId7637" Type="http://schemas.openxmlformats.org/officeDocument/2006/relationships/hyperlink" Target="https://www.immoscout24.ch/fr/maison/acheter/region-aarau-et-environs" TargetMode="External"/><Relationship Id="rId8968" Type="http://schemas.openxmlformats.org/officeDocument/2006/relationships/hyperlink" Target="https://www.immoscout24.ch/fr/appartement/louer/lieu-undervelier" TargetMode="External"/><Relationship Id="rId6300" Type="http://schemas.openxmlformats.org/officeDocument/2006/relationships/hyperlink" Target="https://www.immoscout24.ch/fr/maison/louer/lieu-vallorbe" TargetMode="External"/><Relationship Id="rId7632" Type="http://schemas.openxmlformats.org/officeDocument/2006/relationships/hyperlink" Target="https://www.immoscout24.ch/fr/appartement/louer/lieu-villeneuve-vd" TargetMode="External"/><Relationship Id="rId8963" Type="http://schemas.openxmlformats.org/officeDocument/2006/relationships/hyperlink" Target="https://www.immoscout24.ch/fr/appartement/louer/lieu-bussy-fr" TargetMode="External"/><Relationship Id="rId6301" Type="http://schemas.openxmlformats.org/officeDocument/2006/relationships/hyperlink" Target="https://www.immoscout24.ch/fr/maison/acheter/quartier-eaux-vives-lac-geneve" TargetMode="External"/><Relationship Id="rId7631" Type="http://schemas.openxmlformats.org/officeDocument/2006/relationships/hyperlink" Target="https://www.immoscout24.ch/fr/appartement/louer/lieu-villeneuve-vd" TargetMode="External"/><Relationship Id="rId8962" Type="http://schemas.openxmlformats.org/officeDocument/2006/relationships/hyperlink" Target="https://www.immoscout24.ch/fr/appartement/acheter/quartier-charmilles-chatelaine-geneve" TargetMode="External"/><Relationship Id="rId7630" Type="http://schemas.openxmlformats.org/officeDocument/2006/relationships/hyperlink" Target="https://www.immoscout24.ch/fr/maison/acheter/lieu-romanel-sur-lausanne" TargetMode="External"/><Relationship Id="rId8961" Type="http://schemas.openxmlformats.org/officeDocument/2006/relationships/hyperlink" Target="https://www.immoscout24.ch/fr/appartement/acheter/quartier-charmilles-chatelaine-geneve" TargetMode="External"/><Relationship Id="rId8960" Type="http://schemas.openxmlformats.org/officeDocument/2006/relationships/hyperlink" Target="https://www.immoscout24.ch/fr/maison/acheter/lieu-courchapoix" TargetMode="External"/><Relationship Id="rId6304" Type="http://schemas.openxmlformats.org/officeDocument/2006/relationships/hyperlink" Target="https://www.immoscout24.ch/fr/appartement/louer/lieu-seuzach" TargetMode="External"/><Relationship Id="rId7636" Type="http://schemas.openxmlformats.org/officeDocument/2006/relationships/hyperlink" Target="https://www.immoscout24.ch/fr/maison/acheter/lieu-estavayer-le-lac" TargetMode="External"/><Relationship Id="rId8967" Type="http://schemas.openxmlformats.org/officeDocument/2006/relationships/hyperlink" Target="https://www.immoscout24.ch/fr/appartement/louer/lieu-undervelier" TargetMode="External"/><Relationship Id="rId6305" Type="http://schemas.openxmlformats.org/officeDocument/2006/relationships/hyperlink" Target="https://www.immoscout24.ch/fr/maison/louer/canton-berne" TargetMode="External"/><Relationship Id="rId7635" Type="http://schemas.openxmlformats.org/officeDocument/2006/relationships/hyperlink" Target="https://www.immoscout24.ch/fr/maison/acheter/lieu-estavayer-le-lac" TargetMode="External"/><Relationship Id="rId8966" Type="http://schemas.openxmlformats.org/officeDocument/2006/relationships/hyperlink" Target="https://www.immoscout24.ch/fr/maison/acheter/lieu-laufen" TargetMode="External"/><Relationship Id="rId6302" Type="http://schemas.openxmlformats.org/officeDocument/2006/relationships/hyperlink" Target="https://www.immoscout24.ch/fr/maison/acheter/quartier-eaux-vives-lac-geneve" TargetMode="External"/><Relationship Id="rId7634" Type="http://schemas.openxmlformats.org/officeDocument/2006/relationships/hyperlink" Target="https://www.immoscout24.ch/fr/appartement/louer/lieu-wildegg" TargetMode="External"/><Relationship Id="rId8965" Type="http://schemas.openxmlformats.org/officeDocument/2006/relationships/hyperlink" Target="https://www.immoscout24.ch/fr/maison/acheter/lieu-laufen" TargetMode="External"/><Relationship Id="rId6303" Type="http://schemas.openxmlformats.org/officeDocument/2006/relationships/hyperlink" Target="https://www.immoscout24.ch/fr/appartement/louer/lieu-seuzach" TargetMode="External"/><Relationship Id="rId7633" Type="http://schemas.openxmlformats.org/officeDocument/2006/relationships/hyperlink" Target="https://www.immoscout24.ch/fr/appartement/louer/lieu-wildegg" TargetMode="External"/><Relationship Id="rId8964" Type="http://schemas.openxmlformats.org/officeDocument/2006/relationships/hyperlink" Target="https://www.immoscout24.ch/fr/appartement/louer/lieu-bussy-fr" TargetMode="External"/><Relationship Id="rId7629" Type="http://schemas.openxmlformats.org/officeDocument/2006/relationships/hyperlink" Target="https://www.immoscout24.ch/fr/maison/acheter/lieu-romanel-sur-lausanne" TargetMode="External"/><Relationship Id="rId7628" Type="http://schemas.openxmlformats.org/officeDocument/2006/relationships/hyperlink" Target="https://www.immoscout24.ch/fr/appartement/louer/lieu-saubraz" TargetMode="External"/><Relationship Id="rId8959" Type="http://schemas.openxmlformats.org/officeDocument/2006/relationships/hyperlink" Target="https://www.immoscout24.ch/fr/maison/acheter/lieu-courchapoix" TargetMode="External"/><Relationship Id="rId7627" Type="http://schemas.openxmlformats.org/officeDocument/2006/relationships/hyperlink" Target="https://www.immoscout24.ch/fr/appartement/louer/lieu-saubraz" TargetMode="External"/><Relationship Id="rId8958" Type="http://schemas.openxmlformats.org/officeDocument/2006/relationships/hyperlink" Target="https://www.immoscout24.ch/fr/maison/louer/region-delemont" TargetMode="External"/><Relationship Id="rId7626" Type="http://schemas.openxmlformats.org/officeDocument/2006/relationships/hyperlink" Target="https://www.immoscout24.ch/fr/maison/louer/lieu-neyruz-fr" TargetMode="External"/><Relationship Id="rId8957" Type="http://schemas.openxmlformats.org/officeDocument/2006/relationships/hyperlink" Target="https://www.immoscout24.ch/fr/maison/louer/region-delemont" TargetMode="External"/><Relationship Id="rId7621" Type="http://schemas.openxmlformats.org/officeDocument/2006/relationships/hyperlink" Target="https://www.immoscout24.ch/fr/maison/acheter/lieu-diolly-saviese" TargetMode="External"/><Relationship Id="rId8952" Type="http://schemas.openxmlformats.org/officeDocument/2006/relationships/hyperlink" Target="https://www.immoscout24.ch/fr/appartement/louer/lieu-colombier-vd" TargetMode="External"/><Relationship Id="rId7620" Type="http://schemas.openxmlformats.org/officeDocument/2006/relationships/hyperlink" Target="https://www.immoscout24.ch/fr/maison/acheter/quartier-st-gervais-chantepoulet-geneve" TargetMode="External"/><Relationship Id="rId8951" Type="http://schemas.openxmlformats.org/officeDocument/2006/relationships/hyperlink" Target="https://www.immoscout24.ch/fr/appartement/louer/lieu-colombier-vd" TargetMode="External"/><Relationship Id="rId8950" Type="http://schemas.openxmlformats.org/officeDocument/2006/relationships/hyperlink" Target="https://www.immoscout24.ch/fr/maison/acheter/lieu-riederalp" TargetMode="External"/><Relationship Id="rId7625" Type="http://schemas.openxmlformats.org/officeDocument/2006/relationships/hyperlink" Target="https://www.immoscout24.ch/fr/maison/louer/lieu-neyruz-fr" TargetMode="External"/><Relationship Id="rId8956" Type="http://schemas.openxmlformats.org/officeDocument/2006/relationships/hyperlink" Target="https://www.immoscout24.ch/fr/maison/acheter/lieu-rive-haute-liddes" TargetMode="External"/><Relationship Id="rId7624" Type="http://schemas.openxmlformats.org/officeDocument/2006/relationships/hyperlink" Target="https://www.immoscout24.ch/fr/appartement/louer/lieu-kaiseraugst" TargetMode="External"/><Relationship Id="rId8955" Type="http://schemas.openxmlformats.org/officeDocument/2006/relationships/hyperlink" Target="https://www.immoscout24.ch/fr/maison/acheter/lieu-rive-haute-liddes" TargetMode="External"/><Relationship Id="rId7623" Type="http://schemas.openxmlformats.org/officeDocument/2006/relationships/hyperlink" Target="https://www.immoscout24.ch/fr/appartement/louer/lieu-kaiseraugst" TargetMode="External"/><Relationship Id="rId8954" Type="http://schemas.openxmlformats.org/officeDocument/2006/relationships/hyperlink" Target="https://www.immoscout24.ch/fr/maison/louer/lieu-kestenholz" TargetMode="External"/><Relationship Id="rId7622" Type="http://schemas.openxmlformats.org/officeDocument/2006/relationships/hyperlink" Target="https://www.immoscout24.ch/fr/maison/acheter/lieu-diolly-saviese" TargetMode="External"/><Relationship Id="rId8953" Type="http://schemas.openxmlformats.org/officeDocument/2006/relationships/hyperlink" Target="https://www.immoscout24.ch/fr/maison/louer/lieu-kestenholz" TargetMode="External"/><Relationship Id="rId6328" Type="http://schemas.openxmlformats.org/officeDocument/2006/relationships/hyperlink" Target="https://www.immoscout24.ch/fr/maison/louer/lieu-hauterive-ne" TargetMode="External"/><Relationship Id="rId6329" Type="http://schemas.openxmlformats.org/officeDocument/2006/relationships/hyperlink" Target="https://www.immoscout24.ch/fr/appartement/acheter/pays-costa-rica" TargetMode="External"/><Relationship Id="rId7659" Type="http://schemas.openxmlformats.org/officeDocument/2006/relationships/hyperlink" Target="https://www.immoscout24.ch/fr/appartement/acheter/lieu-les-monts-de-pully" TargetMode="External"/><Relationship Id="rId7650" Type="http://schemas.openxmlformats.org/officeDocument/2006/relationships/hyperlink" Target="https://www.immoscout24.ch/fr/maison/acheter/lieu-baden" TargetMode="External"/><Relationship Id="rId8981" Type="http://schemas.openxmlformats.org/officeDocument/2006/relationships/hyperlink" Target="https://www.immoscout24.ch/fr/appartement/acheter/lieu-wilen-sarnen" TargetMode="External"/><Relationship Id="rId8980" Type="http://schemas.openxmlformats.org/officeDocument/2006/relationships/hyperlink" Target="https://www.immoscout24.ch/fr/appartement/louer/lieu-frick" TargetMode="External"/><Relationship Id="rId6322" Type="http://schemas.openxmlformats.org/officeDocument/2006/relationships/hyperlink" Target="https://www.immoscout24.ch/fr/appartement/acheter/lieu-seelisberg" TargetMode="External"/><Relationship Id="rId7654" Type="http://schemas.openxmlformats.org/officeDocument/2006/relationships/hyperlink" Target="https://www.immoscout24.ch/fr/maison/acheter/lieu-val-d'illiez" TargetMode="External"/><Relationship Id="rId8985" Type="http://schemas.openxmlformats.org/officeDocument/2006/relationships/hyperlink" Target="https://www.immoscout24.ch/fr/maison/acheter/lieu-court" TargetMode="External"/><Relationship Id="rId6323" Type="http://schemas.openxmlformats.org/officeDocument/2006/relationships/hyperlink" Target="https://www.immoscout24.ch/fr/maison/louer/lieu-minusio" TargetMode="External"/><Relationship Id="rId7653" Type="http://schemas.openxmlformats.org/officeDocument/2006/relationships/hyperlink" Target="https://www.immoscout24.ch/fr/maison/acheter/lieu-val-d'illiez" TargetMode="External"/><Relationship Id="rId8984" Type="http://schemas.openxmlformats.org/officeDocument/2006/relationships/hyperlink" Target="https://www.immoscout24.ch/fr/maison/acheter/lieu-boveresse" TargetMode="External"/><Relationship Id="rId6320" Type="http://schemas.openxmlformats.org/officeDocument/2006/relationships/hyperlink" Target="https://www.immoscout24.ch/fr/maison/acheter/lieu-moudon" TargetMode="External"/><Relationship Id="rId7652" Type="http://schemas.openxmlformats.org/officeDocument/2006/relationships/hyperlink" Target="https://www.immoscout24.ch/fr/appartement/acheter/lieu-grandevent" TargetMode="External"/><Relationship Id="rId8983" Type="http://schemas.openxmlformats.org/officeDocument/2006/relationships/hyperlink" Target="https://www.immoscout24.ch/fr/maison/acheter/lieu-boveresse" TargetMode="External"/><Relationship Id="rId6321" Type="http://schemas.openxmlformats.org/officeDocument/2006/relationships/hyperlink" Target="https://www.immoscout24.ch/fr/appartement/acheter/lieu-seelisberg" TargetMode="External"/><Relationship Id="rId7651" Type="http://schemas.openxmlformats.org/officeDocument/2006/relationships/hyperlink" Target="https://www.immoscout24.ch/fr/appartement/acheter/lieu-grandevent" TargetMode="External"/><Relationship Id="rId8982" Type="http://schemas.openxmlformats.org/officeDocument/2006/relationships/hyperlink" Target="https://www.immoscout24.ch/fr/appartement/acheter/lieu-wilen-sarnen" TargetMode="External"/><Relationship Id="rId6326" Type="http://schemas.openxmlformats.org/officeDocument/2006/relationships/hyperlink" Target="https://www.immoscout24.ch/fr/appartement/louer/lieu-courtetelle" TargetMode="External"/><Relationship Id="rId7658" Type="http://schemas.openxmlformats.org/officeDocument/2006/relationships/hyperlink" Target="https://www.immoscout24.ch/fr/maison/acheter/lieu-grengiols" TargetMode="External"/><Relationship Id="rId8989" Type="http://schemas.openxmlformats.org/officeDocument/2006/relationships/hyperlink" Target="https://www.immoscout24.ch/fr/appartement/louer/lieu-st-leonard" TargetMode="External"/><Relationship Id="rId6327" Type="http://schemas.openxmlformats.org/officeDocument/2006/relationships/hyperlink" Target="https://www.immoscout24.ch/fr/maison/louer/lieu-hauterive-ne" TargetMode="External"/><Relationship Id="rId7657" Type="http://schemas.openxmlformats.org/officeDocument/2006/relationships/hyperlink" Target="https://www.immoscout24.ch/fr/maison/acheter/lieu-grengiols" TargetMode="External"/><Relationship Id="rId8988" Type="http://schemas.openxmlformats.org/officeDocument/2006/relationships/hyperlink" Target="https://www.immoscout24.ch/fr/appartement/acheter/lieu-worben" TargetMode="External"/><Relationship Id="rId6324" Type="http://schemas.openxmlformats.org/officeDocument/2006/relationships/hyperlink" Target="https://www.immoscout24.ch/fr/maison/louer/lieu-minusio" TargetMode="External"/><Relationship Id="rId7656" Type="http://schemas.openxmlformats.org/officeDocument/2006/relationships/hyperlink" Target="https://www.immoscout24.ch/fr/maison/acheter/lieu-villarsel-le-gibloux" TargetMode="External"/><Relationship Id="rId8987" Type="http://schemas.openxmlformats.org/officeDocument/2006/relationships/hyperlink" Target="https://www.immoscout24.ch/fr/appartement/acheter/lieu-worben" TargetMode="External"/><Relationship Id="rId6325" Type="http://schemas.openxmlformats.org/officeDocument/2006/relationships/hyperlink" Target="https://www.immoscout24.ch/fr/appartement/louer/lieu-courtetelle" TargetMode="External"/><Relationship Id="rId7655" Type="http://schemas.openxmlformats.org/officeDocument/2006/relationships/hyperlink" Target="https://www.immoscout24.ch/fr/maison/acheter/lieu-villarsel-le-gibloux" TargetMode="External"/><Relationship Id="rId8986" Type="http://schemas.openxmlformats.org/officeDocument/2006/relationships/hyperlink" Target="https://www.immoscout24.ch/fr/maison/acheter/lieu-court" TargetMode="External"/><Relationship Id="rId6319" Type="http://schemas.openxmlformats.org/officeDocument/2006/relationships/hyperlink" Target="https://www.immoscout24.ch/fr/maison/acheter/lieu-moudon" TargetMode="External"/><Relationship Id="rId6317" Type="http://schemas.openxmlformats.org/officeDocument/2006/relationships/hyperlink" Target="https://www.immoscout24.ch/fr/appartement/louer/lieu-asuel" TargetMode="External"/><Relationship Id="rId7649" Type="http://schemas.openxmlformats.org/officeDocument/2006/relationships/hyperlink" Target="https://www.immoscout24.ch/fr/maison/acheter/lieu-baden" TargetMode="External"/><Relationship Id="rId6318" Type="http://schemas.openxmlformats.org/officeDocument/2006/relationships/hyperlink" Target="https://www.immoscout24.ch/fr/appartement/louer/lieu-asuel" TargetMode="External"/><Relationship Id="rId7648" Type="http://schemas.openxmlformats.org/officeDocument/2006/relationships/hyperlink" Target="https://www.immoscout24.ch/fr/appartement/louer/lieu-chamby" TargetMode="External"/><Relationship Id="rId8979" Type="http://schemas.openxmlformats.org/officeDocument/2006/relationships/hyperlink" Target="https://www.immoscout24.ch/fr/appartement/louer/lieu-frick" TargetMode="External"/><Relationship Id="rId8970" Type="http://schemas.openxmlformats.org/officeDocument/2006/relationships/hyperlink" Target="https://www.immoscout24.ch/fr/appartement/acheter/lieu-paudex" TargetMode="External"/><Relationship Id="rId6311" Type="http://schemas.openxmlformats.org/officeDocument/2006/relationships/hyperlink" Target="https://www.immoscout24.ch/fr/appartement/louer/lieu-st-silvester" TargetMode="External"/><Relationship Id="rId7643" Type="http://schemas.openxmlformats.org/officeDocument/2006/relationships/hyperlink" Target="https://www.immoscout24.ch/fr/maison/acheter/lieu-sobrio" TargetMode="External"/><Relationship Id="rId8974" Type="http://schemas.openxmlformats.org/officeDocument/2006/relationships/hyperlink" Target="https://www.immoscout24.ch/fr/appartement/louer/lieu-broc" TargetMode="External"/><Relationship Id="rId6312" Type="http://schemas.openxmlformats.org/officeDocument/2006/relationships/hyperlink" Target="https://www.immoscout24.ch/fr/appartement/louer/lieu-st-silvester" TargetMode="External"/><Relationship Id="rId7642" Type="http://schemas.openxmlformats.org/officeDocument/2006/relationships/hyperlink" Target="https://www.immoscout24.ch/fr/appartement/acheter/lieu-vionnaz" TargetMode="External"/><Relationship Id="rId8973" Type="http://schemas.openxmlformats.org/officeDocument/2006/relationships/hyperlink" Target="https://www.immoscout24.ch/fr/appartement/louer/lieu-broc" TargetMode="External"/><Relationship Id="rId7641" Type="http://schemas.openxmlformats.org/officeDocument/2006/relationships/hyperlink" Target="https://www.immoscout24.ch/fr/appartement/acheter/lieu-vionnaz" TargetMode="External"/><Relationship Id="rId8972" Type="http://schemas.openxmlformats.org/officeDocument/2006/relationships/hyperlink" Target="https://www.immoscout24.ch/fr/maison/acheter/lieu-les-rasses" TargetMode="External"/><Relationship Id="rId6310" Type="http://schemas.openxmlformats.org/officeDocument/2006/relationships/hyperlink" Target="https://www.immoscout24.ch/fr/maison/acheter/lieu-vesenaz" TargetMode="External"/><Relationship Id="rId7640" Type="http://schemas.openxmlformats.org/officeDocument/2006/relationships/hyperlink" Target="https://www.immoscout24.ch/fr/appartement/acheter/lieu-coldrerio" TargetMode="External"/><Relationship Id="rId8971" Type="http://schemas.openxmlformats.org/officeDocument/2006/relationships/hyperlink" Target="https://www.immoscout24.ch/fr/maison/acheter/lieu-les-rasses" TargetMode="External"/><Relationship Id="rId6315" Type="http://schemas.openxmlformats.org/officeDocument/2006/relationships/hyperlink" Target="https://www.immoscout24.ch/fr/maison/acheter/lieu-le-bemont-ju" TargetMode="External"/><Relationship Id="rId7647" Type="http://schemas.openxmlformats.org/officeDocument/2006/relationships/hyperlink" Target="https://www.immoscout24.ch/fr/appartement/louer/lieu-chamby" TargetMode="External"/><Relationship Id="rId8978" Type="http://schemas.openxmlformats.org/officeDocument/2006/relationships/hyperlink" Target="https://www.immoscout24.ch/fr/maison/acheter/lieu-fey-nendaz" TargetMode="External"/><Relationship Id="rId6316" Type="http://schemas.openxmlformats.org/officeDocument/2006/relationships/hyperlink" Target="https://www.immoscout24.ch/fr/maison/acheter/lieu-le-bemont-ju" TargetMode="External"/><Relationship Id="rId7646" Type="http://schemas.openxmlformats.org/officeDocument/2006/relationships/hyperlink" Target="https://www.immoscout24.ch/fr/appartement/louer/lieu-schoenenwerd" TargetMode="External"/><Relationship Id="rId8977" Type="http://schemas.openxmlformats.org/officeDocument/2006/relationships/hyperlink" Target="https://www.immoscout24.ch/fr/maison/acheter/lieu-fey-nendaz" TargetMode="External"/><Relationship Id="rId6313" Type="http://schemas.openxmlformats.org/officeDocument/2006/relationships/hyperlink" Target="https://www.immoscout24.ch/fr/appartement/louer/lieu-derendingen" TargetMode="External"/><Relationship Id="rId7645" Type="http://schemas.openxmlformats.org/officeDocument/2006/relationships/hyperlink" Target="https://www.immoscout24.ch/fr/appartement/louer/lieu-schoenenwerd" TargetMode="External"/><Relationship Id="rId8976" Type="http://schemas.openxmlformats.org/officeDocument/2006/relationships/hyperlink" Target="https://www.immoscout24.ch/fr/appartement/acheter/region-littoral-neuchatelois" TargetMode="External"/><Relationship Id="rId6314" Type="http://schemas.openxmlformats.org/officeDocument/2006/relationships/hyperlink" Target="https://www.immoscout24.ch/fr/appartement/louer/lieu-derendingen" TargetMode="External"/><Relationship Id="rId7644" Type="http://schemas.openxmlformats.org/officeDocument/2006/relationships/hyperlink" Target="https://www.immoscout24.ch/fr/maison/acheter/lieu-sobrio" TargetMode="External"/><Relationship Id="rId8975" Type="http://schemas.openxmlformats.org/officeDocument/2006/relationships/hyperlink" Target="https://www.immoscout24.ch/fr/appartement/acheter/region-littoral-neuchatelois" TargetMode="External"/><Relationship Id="rId5093" Type="http://schemas.openxmlformats.org/officeDocument/2006/relationships/hyperlink" Target="https://www.immoscout24.ch/fr/appartement/louer/lieu-territet" TargetMode="External"/><Relationship Id="rId5094" Type="http://schemas.openxmlformats.org/officeDocument/2006/relationships/hyperlink" Target="https://www.immoscout24.ch/fr/appartement/louer/lieu-territet" TargetMode="External"/><Relationship Id="rId5091" Type="http://schemas.openxmlformats.org/officeDocument/2006/relationships/hyperlink" Target="https://www.immoscout24.ch/fr/appartement/louer/lieu-wettingen" TargetMode="External"/><Relationship Id="rId5092" Type="http://schemas.openxmlformats.org/officeDocument/2006/relationships/hyperlink" Target="https://www.immoscout24.ch/fr/appartement/louer/lieu-wettingen" TargetMode="External"/><Relationship Id="rId5097" Type="http://schemas.openxmlformats.org/officeDocument/2006/relationships/hyperlink" Target="https://www.immoscout24.ch/fr/appartement/louer/quartier-klybeck-bale" TargetMode="External"/><Relationship Id="rId5098" Type="http://schemas.openxmlformats.org/officeDocument/2006/relationships/hyperlink" Target="https://www.immoscout24.ch/fr/appartement/louer/quartier-klybeck-bale" TargetMode="External"/><Relationship Id="rId5095" Type="http://schemas.openxmlformats.org/officeDocument/2006/relationships/hyperlink" Target="https://www.immoscout24.ch/fr/maison/acheter/lieu-cadempino" TargetMode="External"/><Relationship Id="rId5096" Type="http://schemas.openxmlformats.org/officeDocument/2006/relationships/hyperlink" Target="https://www.immoscout24.ch/fr/maison/acheter/lieu-cadempino" TargetMode="External"/><Relationship Id="rId5099" Type="http://schemas.openxmlformats.org/officeDocument/2006/relationships/hyperlink" Target="https://www.immoscout24.ch/fr/appartement/louer/lieu-uetendorf" TargetMode="External"/><Relationship Id="rId5090" Type="http://schemas.openxmlformats.org/officeDocument/2006/relationships/hyperlink" Target="https://www.immoscout24.ch/fr/maison/louer/lieu-pringy" TargetMode="External"/><Relationship Id="rId5082" Type="http://schemas.openxmlformats.org/officeDocument/2006/relationships/hyperlink" Target="https://www.immoscout24.ch/fr/appartement/acheter/lieu-vauderens" TargetMode="External"/><Relationship Id="rId5083" Type="http://schemas.openxmlformats.org/officeDocument/2006/relationships/hyperlink" Target="https://www.immoscout24.ch/fr/maison/acheter/lieu-la-croix-lutry" TargetMode="External"/><Relationship Id="rId5080" Type="http://schemas.openxmlformats.org/officeDocument/2006/relationships/hyperlink" Target="https://www.immoscout24.ch/fr/maison/acheter/lieu-conthey" TargetMode="External"/><Relationship Id="rId5081" Type="http://schemas.openxmlformats.org/officeDocument/2006/relationships/hyperlink" Target="https://www.immoscout24.ch/fr/appartement/acheter/lieu-vauderens" TargetMode="External"/><Relationship Id="rId5086" Type="http://schemas.openxmlformats.org/officeDocument/2006/relationships/hyperlink" Target="https://www.immoscout24.ch/fr/appartement/louer/lieu-la-corbaz" TargetMode="External"/><Relationship Id="rId5087" Type="http://schemas.openxmlformats.org/officeDocument/2006/relationships/hyperlink" Target="https://www.immoscout24.ch/fr/appartement/louer/lieu-ramsen" TargetMode="External"/><Relationship Id="rId5084" Type="http://schemas.openxmlformats.org/officeDocument/2006/relationships/hyperlink" Target="https://www.immoscout24.ch/fr/maison/acheter/lieu-la-croix-lutry" TargetMode="External"/><Relationship Id="rId5085" Type="http://schemas.openxmlformats.org/officeDocument/2006/relationships/hyperlink" Target="https://www.immoscout24.ch/fr/appartement/louer/lieu-la-corbaz" TargetMode="External"/><Relationship Id="rId5088" Type="http://schemas.openxmlformats.org/officeDocument/2006/relationships/hyperlink" Target="https://www.immoscout24.ch/fr/appartement/louer/lieu-ramsen" TargetMode="External"/><Relationship Id="rId5089" Type="http://schemas.openxmlformats.org/officeDocument/2006/relationships/hyperlink" Target="https://www.immoscout24.ch/fr/maison/louer/lieu-pringy" TargetMode="External"/><Relationship Id="rId6380" Type="http://schemas.openxmlformats.org/officeDocument/2006/relationships/hyperlink" Target="https://www.immoscout24.ch/fr/appartement/louer/lieu-sins" TargetMode="External"/><Relationship Id="rId5050" Type="http://schemas.openxmlformats.org/officeDocument/2006/relationships/hyperlink" Target="https://www.immoscout24.ch/fr/maison/acheter/lieu-lottigna" TargetMode="External"/><Relationship Id="rId6381" Type="http://schemas.openxmlformats.org/officeDocument/2006/relationships/hyperlink" Target="https://www.immoscout24.ch/fr/maison/acheter/lieu-etziken" TargetMode="External"/><Relationship Id="rId5053" Type="http://schemas.openxmlformats.org/officeDocument/2006/relationships/hyperlink" Target="https://www.immoscout24.ch/fr/appartement/louer/lieu-curtilles" TargetMode="External"/><Relationship Id="rId6384" Type="http://schemas.openxmlformats.org/officeDocument/2006/relationships/hyperlink" Target="https://www.immoscout24.ch/fr/maison/louer/quartier-vers-chez-les-blanc-lausanne" TargetMode="External"/><Relationship Id="rId5054" Type="http://schemas.openxmlformats.org/officeDocument/2006/relationships/hyperlink" Target="https://www.immoscout24.ch/fr/appartement/louer/lieu-curtilles" TargetMode="External"/><Relationship Id="rId6385" Type="http://schemas.openxmlformats.org/officeDocument/2006/relationships/hyperlink" Target="https://www.immoscout24.ch/fr/appartement/louer/region-st-gall-ville" TargetMode="External"/><Relationship Id="rId5051" Type="http://schemas.openxmlformats.org/officeDocument/2006/relationships/hyperlink" Target="https://www.immoscout24.ch/fr/maison/acheter/lieu-kehrsatz" TargetMode="External"/><Relationship Id="rId6382" Type="http://schemas.openxmlformats.org/officeDocument/2006/relationships/hyperlink" Target="https://www.immoscout24.ch/fr/maison/acheter/lieu-etziken" TargetMode="External"/><Relationship Id="rId5052" Type="http://schemas.openxmlformats.org/officeDocument/2006/relationships/hyperlink" Target="https://www.immoscout24.ch/fr/maison/acheter/lieu-kehrsatz" TargetMode="External"/><Relationship Id="rId6383" Type="http://schemas.openxmlformats.org/officeDocument/2006/relationships/hyperlink" Target="https://www.immoscout24.ch/fr/maison/louer/quartier-vers-chez-les-blanc-lausanne" TargetMode="External"/><Relationship Id="rId5057" Type="http://schemas.openxmlformats.org/officeDocument/2006/relationships/hyperlink" Target="https://www.immoscout24.ch/fr/appartement/louer/lieu-pfaffnau" TargetMode="External"/><Relationship Id="rId6388" Type="http://schemas.openxmlformats.org/officeDocument/2006/relationships/hyperlink" Target="https://www.immoscout24.ch/fr/maison/acheter/lieu-toffen" TargetMode="External"/><Relationship Id="rId5058" Type="http://schemas.openxmlformats.org/officeDocument/2006/relationships/hyperlink" Target="https://www.immoscout24.ch/fr/appartement/louer/lieu-pfaffnau" TargetMode="External"/><Relationship Id="rId6389" Type="http://schemas.openxmlformats.org/officeDocument/2006/relationships/hyperlink" Target="https://www.immoscout24.ch/fr/appartement/acheter/lieu-vandoeuvres" TargetMode="External"/><Relationship Id="rId5055" Type="http://schemas.openxmlformats.org/officeDocument/2006/relationships/hyperlink" Target="https://www.immoscout24.ch/fr/maison/acheter/lieu-nods" TargetMode="External"/><Relationship Id="rId6386" Type="http://schemas.openxmlformats.org/officeDocument/2006/relationships/hyperlink" Target="https://www.immoscout24.ch/fr/appartement/louer/region-st-gall-ville" TargetMode="External"/><Relationship Id="rId5056" Type="http://schemas.openxmlformats.org/officeDocument/2006/relationships/hyperlink" Target="https://www.immoscout24.ch/fr/maison/acheter/lieu-nods" TargetMode="External"/><Relationship Id="rId6387" Type="http://schemas.openxmlformats.org/officeDocument/2006/relationships/hyperlink" Target="https://www.immoscout24.ch/fr/maison/acheter/lieu-toffen" TargetMode="External"/><Relationship Id="rId5059" Type="http://schemas.openxmlformats.org/officeDocument/2006/relationships/hyperlink" Target="https://www.immoscout24.ch/fr/maison/acheter/lieu-miege" TargetMode="External"/><Relationship Id="rId6370" Type="http://schemas.openxmlformats.org/officeDocument/2006/relationships/hyperlink" Target="https://www.immoscout24.ch/fr/appartement/acheter/region-nidwald" TargetMode="External"/><Relationship Id="rId5042" Type="http://schemas.openxmlformats.org/officeDocument/2006/relationships/hyperlink" Target="https://www.immoscout24.ch/fr/maison/acheter/lieu-bremgarten-b-bern" TargetMode="External"/><Relationship Id="rId6373" Type="http://schemas.openxmlformats.org/officeDocument/2006/relationships/hyperlink" Target="https://www.immoscout24.ch/fr/maison/louer/lieu-petit-vicheres-liddes" TargetMode="External"/><Relationship Id="rId5043" Type="http://schemas.openxmlformats.org/officeDocument/2006/relationships/hyperlink" Target="https://www.immoscout24.ch/fr/maison/acheter/lieu-rueras" TargetMode="External"/><Relationship Id="rId6374" Type="http://schemas.openxmlformats.org/officeDocument/2006/relationships/hyperlink" Target="https://www.immoscout24.ch/fr/maison/louer/lieu-petit-vicheres-liddes" TargetMode="External"/><Relationship Id="rId5040" Type="http://schemas.openxmlformats.org/officeDocument/2006/relationships/hyperlink" Target="https://www.immoscout24.ch/fr/maison/acheter/lieu-villaraboud" TargetMode="External"/><Relationship Id="rId6371" Type="http://schemas.openxmlformats.org/officeDocument/2006/relationships/hyperlink" Target="https://www.immoscout24.ch/fr/maison/louer/lieu-les-diablerets" TargetMode="External"/><Relationship Id="rId5041" Type="http://schemas.openxmlformats.org/officeDocument/2006/relationships/hyperlink" Target="https://www.immoscout24.ch/fr/maison/acheter/lieu-bremgarten-b-bern" TargetMode="External"/><Relationship Id="rId6372" Type="http://schemas.openxmlformats.org/officeDocument/2006/relationships/hyperlink" Target="https://www.immoscout24.ch/fr/maison/louer/lieu-les-diablerets" TargetMode="External"/><Relationship Id="rId5046" Type="http://schemas.openxmlformats.org/officeDocument/2006/relationships/hyperlink" Target="https://www.immoscout24.ch/fr/appartement/louer/lieu-gorgier" TargetMode="External"/><Relationship Id="rId6377" Type="http://schemas.openxmlformats.org/officeDocument/2006/relationships/hyperlink" Target="https://www.immoscout24.ch/fr/maison/louer/canton-schwyz" TargetMode="External"/><Relationship Id="rId5047" Type="http://schemas.openxmlformats.org/officeDocument/2006/relationships/hyperlink" Target="https://www.immoscout24.ch/fr/appartement/louer/quartier-madretsch-nord-biel-bienne" TargetMode="External"/><Relationship Id="rId6378" Type="http://schemas.openxmlformats.org/officeDocument/2006/relationships/hyperlink" Target="https://www.immoscout24.ch/fr/maison/louer/canton-schwyz" TargetMode="External"/><Relationship Id="rId5044" Type="http://schemas.openxmlformats.org/officeDocument/2006/relationships/hyperlink" Target="https://www.immoscout24.ch/fr/maison/acheter/lieu-rueras" TargetMode="External"/><Relationship Id="rId6375" Type="http://schemas.openxmlformats.org/officeDocument/2006/relationships/hyperlink" Target="https://www.immoscout24.ch/fr/maison/acheter/lieu-lugnorre" TargetMode="External"/><Relationship Id="rId5045" Type="http://schemas.openxmlformats.org/officeDocument/2006/relationships/hyperlink" Target="https://www.immoscout24.ch/fr/appartement/louer/lieu-gorgier" TargetMode="External"/><Relationship Id="rId6376" Type="http://schemas.openxmlformats.org/officeDocument/2006/relationships/hyperlink" Target="https://www.immoscout24.ch/fr/maison/acheter/lieu-lugnorre" TargetMode="External"/><Relationship Id="rId5048" Type="http://schemas.openxmlformats.org/officeDocument/2006/relationships/hyperlink" Target="https://www.immoscout24.ch/fr/appartement/louer/quartier-madretsch-nord-biel-bienne" TargetMode="External"/><Relationship Id="rId6379" Type="http://schemas.openxmlformats.org/officeDocument/2006/relationships/hyperlink" Target="https://www.immoscout24.ch/fr/appartement/louer/lieu-sins" TargetMode="External"/><Relationship Id="rId5049" Type="http://schemas.openxmlformats.org/officeDocument/2006/relationships/hyperlink" Target="https://www.immoscout24.ch/fr/maison/acheter/lieu-lottigna" TargetMode="External"/><Relationship Id="rId5071" Type="http://schemas.openxmlformats.org/officeDocument/2006/relationships/hyperlink" Target="https://www.immoscout24.ch/fr/maison/acheter/lieu-baulmes" TargetMode="External"/><Relationship Id="rId5072" Type="http://schemas.openxmlformats.org/officeDocument/2006/relationships/hyperlink" Target="https://www.immoscout24.ch/fr/maison/acheter/lieu-baulmes" TargetMode="External"/><Relationship Id="rId5070" Type="http://schemas.openxmlformats.org/officeDocument/2006/relationships/hyperlink" Target="https://www.immoscout24.ch/fr/appartement/louer/lieu-beinwil-freiamt" TargetMode="External"/><Relationship Id="rId5075" Type="http://schemas.openxmlformats.org/officeDocument/2006/relationships/hyperlink" Target="https://www.immoscout24.ch/fr/maison/acheter/lieu-randogne" TargetMode="External"/><Relationship Id="rId5076" Type="http://schemas.openxmlformats.org/officeDocument/2006/relationships/hyperlink" Target="https://www.immoscout24.ch/fr/maison/acheter/lieu-randogne" TargetMode="External"/><Relationship Id="rId5073" Type="http://schemas.openxmlformats.org/officeDocument/2006/relationships/hyperlink" Target="https://www.immoscout24.ch/fr/appartement/acheter/lieu-vetroz" TargetMode="External"/><Relationship Id="rId5074" Type="http://schemas.openxmlformats.org/officeDocument/2006/relationships/hyperlink" Target="https://www.immoscout24.ch/fr/appartement/acheter/lieu-vetroz" TargetMode="External"/><Relationship Id="rId5079" Type="http://schemas.openxmlformats.org/officeDocument/2006/relationships/hyperlink" Target="https://www.immoscout24.ch/fr/maison/acheter/lieu-conthey" TargetMode="External"/><Relationship Id="rId5077" Type="http://schemas.openxmlformats.org/officeDocument/2006/relationships/hyperlink" Target="https://www.immoscout24.ch/fr/appartement/acheter/lieu-bubendorf" TargetMode="External"/><Relationship Id="rId5078" Type="http://schemas.openxmlformats.org/officeDocument/2006/relationships/hyperlink" Target="https://www.immoscout24.ch/fr/appartement/acheter/lieu-bubendorf" TargetMode="External"/><Relationship Id="rId5060" Type="http://schemas.openxmlformats.org/officeDocument/2006/relationships/hyperlink" Target="https://www.immoscout24.ch/fr/maison/acheter/lieu-miege" TargetMode="External"/><Relationship Id="rId6391" Type="http://schemas.openxmlformats.org/officeDocument/2006/relationships/hyperlink" Target="https://www.immoscout24.ch/fr/maison/acheter/lieu-vico-morcote" TargetMode="External"/><Relationship Id="rId5061" Type="http://schemas.openxmlformats.org/officeDocument/2006/relationships/hyperlink" Target="https://www.immoscout24.ch/fr/appartement/acheter/lieu-ermatingen" TargetMode="External"/><Relationship Id="rId6392" Type="http://schemas.openxmlformats.org/officeDocument/2006/relationships/hyperlink" Target="https://www.immoscout24.ch/fr/maison/acheter/lieu-vico-morcote" TargetMode="External"/><Relationship Id="rId6390" Type="http://schemas.openxmlformats.org/officeDocument/2006/relationships/hyperlink" Target="https://www.immoscout24.ch/fr/appartement/acheter/lieu-vandoeuvres" TargetMode="External"/><Relationship Id="rId5064" Type="http://schemas.openxmlformats.org/officeDocument/2006/relationships/hyperlink" Target="https://www.immoscout24.ch/fr/appartement/acheter/lieu-hermance" TargetMode="External"/><Relationship Id="rId6395" Type="http://schemas.openxmlformats.org/officeDocument/2006/relationships/hyperlink" Target="https://www.immoscout24.ch/fr/maison/acheter/lieu-dorenaz" TargetMode="External"/><Relationship Id="rId5065" Type="http://schemas.openxmlformats.org/officeDocument/2006/relationships/hyperlink" Target="https://www.immoscout24.ch/fr/maison/acheter/lieu-beurnevesin" TargetMode="External"/><Relationship Id="rId6396" Type="http://schemas.openxmlformats.org/officeDocument/2006/relationships/hyperlink" Target="https://www.immoscout24.ch/fr/maison/acheter/lieu-dorenaz" TargetMode="External"/><Relationship Id="rId5062" Type="http://schemas.openxmlformats.org/officeDocument/2006/relationships/hyperlink" Target="https://www.immoscout24.ch/fr/appartement/acheter/lieu-ermatingen" TargetMode="External"/><Relationship Id="rId6393" Type="http://schemas.openxmlformats.org/officeDocument/2006/relationships/hyperlink" Target="https://www.immoscout24.ch/fr/appartement/acheter/lieu-bussy-fr" TargetMode="External"/><Relationship Id="rId5063" Type="http://schemas.openxmlformats.org/officeDocument/2006/relationships/hyperlink" Target="https://www.immoscout24.ch/fr/appartement/acheter/lieu-hermance" TargetMode="External"/><Relationship Id="rId6394" Type="http://schemas.openxmlformats.org/officeDocument/2006/relationships/hyperlink" Target="https://www.immoscout24.ch/fr/appartement/acheter/lieu-bussy-fr" TargetMode="External"/><Relationship Id="rId5068" Type="http://schemas.openxmlformats.org/officeDocument/2006/relationships/hyperlink" Target="https://www.immoscout24.ch/fr/appartement/louer/lieu-schoeftland" TargetMode="External"/><Relationship Id="rId6399" Type="http://schemas.openxmlformats.org/officeDocument/2006/relationships/hyperlink" Target="https://www.immoscout24.ch/fr/appartement/acheter/lieu-feusisberg" TargetMode="External"/><Relationship Id="rId5069" Type="http://schemas.openxmlformats.org/officeDocument/2006/relationships/hyperlink" Target="https://www.immoscout24.ch/fr/appartement/louer/lieu-beinwil-freiamt" TargetMode="External"/><Relationship Id="rId5066" Type="http://schemas.openxmlformats.org/officeDocument/2006/relationships/hyperlink" Target="https://www.immoscout24.ch/fr/maison/acheter/lieu-beurnevesin" TargetMode="External"/><Relationship Id="rId6397" Type="http://schemas.openxmlformats.org/officeDocument/2006/relationships/hyperlink" Target="https://www.immoscout24.ch/fr/maison/acheter/lieu-aadorf" TargetMode="External"/><Relationship Id="rId5067" Type="http://schemas.openxmlformats.org/officeDocument/2006/relationships/hyperlink" Target="https://www.immoscout24.ch/fr/appartement/louer/lieu-schoeftland" TargetMode="External"/><Relationship Id="rId6398" Type="http://schemas.openxmlformats.org/officeDocument/2006/relationships/hyperlink" Target="https://www.immoscout24.ch/fr/maison/acheter/lieu-aadorf" TargetMode="External"/><Relationship Id="rId987" Type="http://schemas.openxmlformats.org/officeDocument/2006/relationships/hyperlink" Target="https://www.immoscout24.ch/fr/appartement/louer/lieu-lotzwil" TargetMode="External"/><Relationship Id="rId986" Type="http://schemas.openxmlformats.org/officeDocument/2006/relationships/hyperlink" Target="https://www.immoscout24.ch/fr/appartement/louer/lieu-gisikon" TargetMode="External"/><Relationship Id="rId985" Type="http://schemas.openxmlformats.org/officeDocument/2006/relationships/hyperlink" Target="https://www.immoscout24.ch/fr/appartement/louer/lieu-gisikon" TargetMode="External"/><Relationship Id="rId984" Type="http://schemas.openxmlformats.org/officeDocument/2006/relationships/hyperlink" Target="https://www.immoscout24.ch/fr/appartement/louer/lieu-kilchberg-zh" TargetMode="External"/><Relationship Id="rId989" Type="http://schemas.openxmlformats.org/officeDocument/2006/relationships/hyperlink" Target="https://www.immoscout24.ch/fr/maison/acheter/lieu-bre-sopra-lugano" TargetMode="External"/><Relationship Id="rId988" Type="http://schemas.openxmlformats.org/officeDocument/2006/relationships/hyperlink" Target="https://www.immoscout24.ch/fr/appartement/louer/lieu-lotzwil" TargetMode="External"/><Relationship Id="rId983" Type="http://schemas.openxmlformats.org/officeDocument/2006/relationships/hyperlink" Target="https://www.immoscout24.ch/fr/appartement/louer/lieu-kilchberg-zh" TargetMode="External"/><Relationship Id="rId982" Type="http://schemas.openxmlformats.org/officeDocument/2006/relationships/hyperlink" Target="https://www.immoscout24.ch/fr/appartement/acheter/quartier-florimont-chissiez-lausanne" TargetMode="External"/><Relationship Id="rId981" Type="http://schemas.openxmlformats.org/officeDocument/2006/relationships/hyperlink" Target="https://www.immoscout24.ch/fr/appartement/acheter/quartier-florimont-chissiez-lausanne" TargetMode="External"/><Relationship Id="rId980" Type="http://schemas.openxmlformats.org/officeDocument/2006/relationships/hyperlink" Target="https://www.immoscout24.ch/fr/maison/acheter/pays-portugal" TargetMode="External"/><Relationship Id="rId976" Type="http://schemas.openxmlformats.org/officeDocument/2006/relationships/hyperlink" Target="https://www.immoscout24.ch/fr/maison/louer/lieu-villarbeney" TargetMode="External"/><Relationship Id="rId975" Type="http://schemas.openxmlformats.org/officeDocument/2006/relationships/hyperlink" Target="https://www.immoscout24.ch/fr/maison/louer/lieu-villarbeney" TargetMode="External"/><Relationship Id="rId974" Type="http://schemas.openxmlformats.org/officeDocument/2006/relationships/hyperlink" Target="https://www.immoscout24.ch/fr/appartement/louer/lieu-gordola" TargetMode="External"/><Relationship Id="rId973" Type="http://schemas.openxmlformats.org/officeDocument/2006/relationships/hyperlink" Target="https://www.immoscout24.ch/fr/appartement/louer/lieu-gordola" TargetMode="External"/><Relationship Id="rId979" Type="http://schemas.openxmlformats.org/officeDocument/2006/relationships/hyperlink" Target="https://www.immoscout24.ch/fr/maison/acheter/pays-portugal" TargetMode="External"/><Relationship Id="rId978" Type="http://schemas.openxmlformats.org/officeDocument/2006/relationships/hyperlink" Target="https://www.immoscout24.ch/fr/maison/acheter/lieu-nussbaumen-ag" TargetMode="External"/><Relationship Id="rId977" Type="http://schemas.openxmlformats.org/officeDocument/2006/relationships/hyperlink" Target="https://www.immoscout24.ch/fr/maison/acheter/lieu-nussbaumen-ag" TargetMode="External"/><Relationship Id="rId972" Type="http://schemas.openxmlformats.org/officeDocument/2006/relationships/hyperlink" Target="https://www.immoscout24.ch/fr/appartement/acheter/lieu-montet-broye" TargetMode="External"/><Relationship Id="rId971" Type="http://schemas.openxmlformats.org/officeDocument/2006/relationships/hyperlink" Target="https://www.immoscout24.ch/fr/appartement/acheter/lieu-montet-broye" TargetMode="External"/><Relationship Id="rId970" Type="http://schemas.openxmlformats.org/officeDocument/2006/relationships/hyperlink" Target="https://www.immoscout24.ch/fr/maison/acheter/quartier-perolles-fribourg" TargetMode="External"/><Relationship Id="rId998" Type="http://schemas.openxmlformats.org/officeDocument/2006/relationships/hyperlink" Target="https://www.immoscout24.ch/fr/maison/louer/lieu-les-pontins" TargetMode="External"/><Relationship Id="rId997" Type="http://schemas.openxmlformats.org/officeDocument/2006/relationships/hyperlink" Target="https://www.immoscout24.ch/fr/maison/louer/lieu-les-pontins" TargetMode="External"/><Relationship Id="rId996" Type="http://schemas.openxmlformats.org/officeDocument/2006/relationships/hyperlink" Target="https://www.immoscout24.ch/fr/maison/acheter/lieu-eison-st-martin" TargetMode="External"/><Relationship Id="rId995" Type="http://schemas.openxmlformats.org/officeDocument/2006/relationships/hyperlink" Target="https://www.immoscout24.ch/fr/maison/acheter/lieu-eison-st-martin" TargetMode="External"/><Relationship Id="rId999" Type="http://schemas.openxmlformats.org/officeDocument/2006/relationships/hyperlink" Target="https://www.immoscout24.ch/fr/maison/acheter/lieu-lenzerheide-lai" TargetMode="External"/><Relationship Id="rId990" Type="http://schemas.openxmlformats.org/officeDocument/2006/relationships/hyperlink" Target="https://www.immoscout24.ch/fr/maison/acheter/lieu-bre-sopra-lugano" TargetMode="External"/><Relationship Id="rId994" Type="http://schemas.openxmlformats.org/officeDocument/2006/relationships/hyperlink" Target="https://www.immoscout24.ch/fr/appartement/acheter/pays-france" TargetMode="External"/><Relationship Id="rId993" Type="http://schemas.openxmlformats.org/officeDocument/2006/relationships/hyperlink" Target="https://www.immoscout24.ch/fr/appartement/acheter/pays-france" TargetMode="External"/><Relationship Id="rId992" Type="http://schemas.openxmlformats.org/officeDocument/2006/relationships/hyperlink" Target="https://www.immoscout24.ch/fr/maison/acheter/lieu-saclentse" TargetMode="External"/><Relationship Id="rId991" Type="http://schemas.openxmlformats.org/officeDocument/2006/relationships/hyperlink" Target="https://www.immoscout24.ch/fr/maison/acheter/lieu-saclentse" TargetMode="External"/><Relationship Id="rId949" Type="http://schemas.openxmlformats.org/officeDocument/2006/relationships/hyperlink" Target="https://www.immoscout24.ch/fr/appartement/louer/lieu-flaach" TargetMode="External"/><Relationship Id="rId948" Type="http://schemas.openxmlformats.org/officeDocument/2006/relationships/hyperlink" Target="https://www.immoscout24.ch/fr/appartement/louer/lieu-goppisberg" TargetMode="External"/><Relationship Id="rId943" Type="http://schemas.openxmlformats.org/officeDocument/2006/relationships/hyperlink" Target="https://www.immoscout24.ch/fr/maison/louer/lieu-lossy" TargetMode="External"/><Relationship Id="rId942" Type="http://schemas.openxmlformats.org/officeDocument/2006/relationships/hyperlink" Target="https://www.immoscout24.ch/fr/appartement/louer/lieu-elgg" TargetMode="External"/><Relationship Id="rId941" Type="http://schemas.openxmlformats.org/officeDocument/2006/relationships/hyperlink" Target="https://www.immoscout24.ch/fr/appartement/louer/lieu-elgg" TargetMode="External"/><Relationship Id="rId940" Type="http://schemas.openxmlformats.org/officeDocument/2006/relationships/hyperlink" Target="https://www.immoscout24.ch/fr/appartement/acheter/lieu-eschenbach-sg" TargetMode="External"/><Relationship Id="rId947" Type="http://schemas.openxmlformats.org/officeDocument/2006/relationships/hyperlink" Target="https://www.immoscout24.ch/fr/appartement/louer/lieu-goppisberg" TargetMode="External"/><Relationship Id="rId946" Type="http://schemas.openxmlformats.org/officeDocument/2006/relationships/hyperlink" Target="https://www.immoscout24.ch/fr/maison/acheter/lieu-rheinfelden" TargetMode="External"/><Relationship Id="rId945" Type="http://schemas.openxmlformats.org/officeDocument/2006/relationships/hyperlink" Target="https://www.immoscout24.ch/fr/maison/acheter/lieu-rheinfelden" TargetMode="External"/><Relationship Id="rId944" Type="http://schemas.openxmlformats.org/officeDocument/2006/relationships/hyperlink" Target="https://www.immoscout24.ch/fr/maison/louer/lieu-lossy" TargetMode="External"/><Relationship Id="rId939" Type="http://schemas.openxmlformats.org/officeDocument/2006/relationships/hyperlink" Target="https://www.immoscout24.ch/fr/appartement/acheter/lieu-eschenbach-sg" TargetMode="External"/><Relationship Id="rId938" Type="http://schemas.openxmlformats.org/officeDocument/2006/relationships/hyperlink" Target="https://www.immoscout24.ch/fr/maison/louer/region-val-de-ruz" TargetMode="External"/><Relationship Id="rId937" Type="http://schemas.openxmlformats.org/officeDocument/2006/relationships/hyperlink" Target="https://www.immoscout24.ch/fr/maison/louer/region-val-de-ruz" TargetMode="External"/><Relationship Id="rId932" Type="http://schemas.openxmlformats.org/officeDocument/2006/relationships/hyperlink" Target="https://www.immoscout24.ch/fr/maison/acheter/lieu-crans-pres-celigny" TargetMode="External"/><Relationship Id="rId931" Type="http://schemas.openxmlformats.org/officeDocument/2006/relationships/hyperlink" Target="https://www.immoscout24.ch/fr/maison/acheter/lieu-crans-pres-celigny" TargetMode="External"/><Relationship Id="rId930" Type="http://schemas.openxmlformats.org/officeDocument/2006/relationships/hyperlink" Target="https://www.immoscout24.ch/fr/appartement/louer/lieu-vuiteboeuf" TargetMode="External"/><Relationship Id="rId936" Type="http://schemas.openxmlformats.org/officeDocument/2006/relationships/hyperlink" Target="https://www.immoscout24.ch/fr/maison/acheter/lieu-giornico" TargetMode="External"/><Relationship Id="rId935" Type="http://schemas.openxmlformats.org/officeDocument/2006/relationships/hyperlink" Target="https://www.immoscout24.ch/fr/maison/acheter/lieu-giornico" TargetMode="External"/><Relationship Id="rId934" Type="http://schemas.openxmlformats.org/officeDocument/2006/relationships/hyperlink" Target="https://www.immoscout24.ch/fr/maison/acheter/lieu-ipsach" TargetMode="External"/><Relationship Id="rId933" Type="http://schemas.openxmlformats.org/officeDocument/2006/relationships/hyperlink" Target="https://www.immoscout24.ch/fr/maison/acheter/lieu-ipsach" TargetMode="External"/><Relationship Id="rId965" Type="http://schemas.openxmlformats.org/officeDocument/2006/relationships/hyperlink" Target="https://www.immoscout24.ch/fr/maison/acheter/lieu-praz-vully" TargetMode="External"/><Relationship Id="rId964" Type="http://schemas.openxmlformats.org/officeDocument/2006/relationships/hyperlink" Target="https://www.immoscout24.ch/fr/maison/acheter/lieu-hermance" TargetMode="External"/><Relationship Id="rId963" Type="http://schemas.openxmlformats.org/officeDocument/2006/relationships/hyperlink" Target="https://www.immoscout24.ch/fr/maison/acheter/lieu-hermance" TargetMode="External"/><Relationship Id="rId962" Type="http://schemas.openxmlformats.org/officeDocument/2006/relationships/hyperlink" Target="https://www.immoscout24.ch/fr/maison/acheter/lieu-hellikon" TargetMode="External"/><Relationship Id="rId969" Type="http://schemas.openxmlformats.org/officeDocument/2006/relationships/hyperlink" Target="https://www.immoscout24.ch/fr/maison/acheter/quartier-perolles-fribourg" TargetMode="External"/><Relationship Id="rId968" Type="http://schemas.openxmlformats.org/officeDocument/2006/relationships/hyperlink" Target="https://www.immoscout24.ch/fr/maison/acheter/lieu-vauderens" TargetMode="External"/><Relationship Id="rId967" Type="http://schemas.openxmlformats.org/officeDocument/2006/relationships/hyperlink" Target="https://www.immoscout24.ch/fr/maison/acheter/lieu-vauderens" TargetMode="External"/><Relationship Id="rId966" Type="http://schemas.openxmlformats.org/officeDocument/2006/relationships/hyperlink" Target="https://www.immoscout24.ch/fr/maison/acheter/lieu-praz-vully" TargetMode="External"/><Relationship Id="rId961" Type="http://schemas.openxmlformats.org/officeDocument/2006/relationships/hyperlink" Target="https://www.immoscout24.ch/fr/maison/acheter/lieu-hellikon" TargetMode="External"/><Relationship Id="rId960" Type="http://schemas.openxmlformats.org/officeDocument/2006/relationships/hyperlink" Target="https://www.immoscout24.ch/fr/appartement/louer/quartier-weissenbuehl-berne" TargetMode="External"/><Relationship Id="rId959" Type="http://schemas.openxmlformats.org/officeDocument/2006/relationships/hyperlink" Target="https://www.immoscout24.ch/fr/appartement/louer/quartier-weissenbuehl-berne" TargetMode="External"/><Relationship Id="rId954" Type="http://schemas.openxmlformats.org/officeDocument/2006/relationships/hyperlink" Target="https://www.immoscout24.ch/fr/maison/acheter/lieu-agno" TargetMode="External"/><Relationship Id="rId953" Type="http://schemas.openxmlformats.org/officeDocument/2006/relationships/hyperlink" Target="https://www.immoscout24.ch/fr/maison/acheter/lieu-agno" TargetMode="External"/><Relationship Id="rId952" Type="http://schemas.openxmlformats.org/officeDocument/2006/relationships/hyperlink" Target="https://www.immoscout24.ch/fr/appartement/louer/lieu-bourrignon" TargetMode="External"/><Relationship Id="rId951" Type="http://schemas.openxmlformats.org/officeDocument/2006/relationships/hyperlink" Target="https://www.immoscout24.ch/fr/appartement/louer/lieu-bourrignon" TargetMode="External"/><Relationship Id="rId958" Type="http://schemas.openxmlformats.org/officeDocument/2006/relationships/hyperlink" Target="https://www.immoscout24.ch/fr/maison/acheter/lieu-graechen" TargetMode="External"/><Relationship Id="rId957" Type="http://schemas.openxmlformats.org/officeDocument/2006/relationships/hyperlink" Target="https://www.immoscout24.ch/fr/maison/acheter/lieu-graechen" TargetMode="External"/><Relationship Id="rId956" Type="http://schemas.openxmlformats.org/officeDocument/2006/relationships/hyperlink" Target="https://www.immoscout24.ch/fr/appartement/acheter/lieu-la-conversion" TargetMode="External"/><Relationship Id="rId955" Type="http://schemas.openxmlformats.org/officeDocument/2006/relationships/hyperlink" Target="https://www.immoscout24.ch/fr/appartement/acheter/lieu-la-conversion" TargetMode="External"/><Relationship Id="rId950" Type="http://schemas.openxmlformats.org/officeDocument/2006/relationships/hyperlink" Target="https://www.immoscout24.ch/fr/appartement/louer/lieu-flaach" TargetMode="External"/><Relationship Id="rId7717" Type="http://schemas.openxmlformats.org/officeDocument/2006/relationships/hyperlink" Target="https://www.immoscout24.ch/fr/maison/acheter/lieu-eschert" TargetMode="External"/><Relationship Id="rId7716" Type="http://schemas.openxmlformats.org/officeDocument/2006/relationships/hyperlink" Target="https://www.immoscout24.ch/fr/appartement/louer/region-toggenburg" TargetMode="External"/><Relationship Id="rId7715" Type="http://schemas.openxmlformats.org/officeDocument/2006/relationships/hyperlink" Target="https://www.immoscout24.ch/fr/appartement/louer/region-toggenburg" TargetMode="External"/><Relationship Id="rId7714" Type="http://schemas.openxmlformats.org/officeDocument/2006/relationships/hyperlink" Target="https://www.immoscout24.ch/fr/appartement/acheter/region-rive-droite" TargetMode="External"/><Relationship Id="rId7719" Type="http://schemas.openxmlformats.org/officeDocument/2006/relationships/hyperlink" Target="https://www.immoscout24.ch/fr/appartement/louer/lieu-chesieres" TargetMode="External"/><Relationship Id="rId7718" Type="http://schemas.openxmlformats.org/officeDocument/2006/relationships/hyperlink" Target="https://www.immoscout24.ch/fr/maison/acheter/lieu-eschert" TargetMode="External"/><Relationship Id="rId7713" Type="http://schemas.openxmlformats.org/officeDocument/2006/relationships/hyperlink" Target="https://www.immoscout24.ch/fr/appartement/acheter/region-rive-droite" TargetMode="External"/><Relationship Id="rId7712" Type="http://schemas.openxmlformats.org/officeDocument/2006/relationships/hyperlink" Target="https://www.immoscout24.ch/fr/appartement/louer/lieu-spiegel-b-bern" TargetMode="External"/><Relationship Id="rId7711" Type="http://schemas.openxmlformats.org/officeDocument/2006/relationships/hyperlink" Target="https://www.immoscout24.ch/fr/appartement/louer/lieu-spiegel-b-bern" TargetMode="External"/><Relationship Id="rId7710" Type="http://schemas.openxmlformats.org/officeDocument/2006/relationships/hyperlink" Target="https://www.immoscout24.ch/fr/appartement/acheter/lieu-randogne" TargetMode="External"/><Relationship Id="rId7706" Type="http://schemas.openxmlformats.org/officeDocument/2006/relationships/hyperlink" Target="https://www.immoscout24.ch/fr/maison/acheter/lieu-chandonne-liddes" TargetMode="External"/><Relationship Id="rId7705" Type="http://schemas.openxmlformats.org/officeDocument/2006/relationships/hyperlink" Target="https://www.immoscout24.ch/fr/maison/acheter/lieu-chandonne-liddes" TargetMode="External"/><Relationship Id="rId7704" Type="http://schemas.openxmlformats.org/officeDocument/2006/relationships/hyperlink" Target="https://www.immoscout24.ch/fr/maison/acheter/lieu-chesieres" TargetMode="External"/><Relationship Id="rId7703" Type="http://schemas.openxmlformats.org/officeDocument/2006/relationships/hyperlink" Target="https://www.immoscout24.ch/fr/maison/acheter/lieu-chesieres" TargetMode="External"/><Relationship Id="rId7709" Type="http://schemas.openxmlformats.org/officeDocument/2006/relationships/hyperlink" Target="https://www.immoscout24.ch/fr/appartement/acheter/lieu-randogne" TargetMode="External"/><Relationship Id="rId7708" Type="http://schemas.openxmlformats.org/officeDocument/2006/relationships/hyperlink" Target="https://www.immoscout24.ch/fr/appartement/louer/lieu-courtelary" TargetMode="External"/><Relationship Id="rId7707" Type="http://schemas.openxmlformats.org/officeDocument/2006/relationships/hyperlink" Target="https://www.immoscout24.ch/fr/appartement/louer/lieu-courtelary" TargetMode="External"/><Relationship Id="rId7702" Type="http://schemas.openxmlformats.org/officeDocument/2006/relationships/hyperlink" Target="https://www.immoscout24.ch/fr/appartement/louer/canton-zurich" TargetMode="External"/><Relationship Id="rId7701" Type="http://schemas.openxmlformats.org/officeDocument/2006/relationships/hyperlink" Target="https://www.immoscout24.ch/fr/appartement/louer/canton-zurich" TargetMode="External"/><Relationship Id="rId7700" Type="http://schemas.openxmlformats.org/officeDocument/2006/relationships/hyperlink" Target="https://www.immoscout24.ch/fr/maison/louer/lieu-genolier" TargetMode="External"/><Relationship Id="rId6407" Type="http://schemas.openxmlformats.org/officeDocument/2006/relationships/hyperlink" Target="https://www.immoscout24.ch/fr/maison/acheter/quartier-beaux-arts-neuchatel" TargetMode="External"/><Relationship Id="rId7739" Type="http://schemas.openxmlformats.org/officeDocument/2006/relationships/hyperlink" Target="https://www.immoscout24.ch/fr/maison/acheter/lieu-vers-chez-perrin" TargetMode="External"/><Relationship Id="rId6408" Type="http://schemas.openxmlformats.org/officeDocument/2006/relationships/hyperlink" Target="https://www.immoscout24.ch/fr/maison/acheter/quartier-beaux-arts-neuchatel" TargetMode="External"/><Relationship Id="rId7738" Type="http://schemas.openxmlformats.org/officeDocument/2006/relationships/hyperlink" Target="https://www.immoscout24.ch/fr/maison/acheter/lieu-sementina" TargetMode="External"/><Relationship Id="rId6405" Type="http://schemas.openxmlformats.org/officeDocument/2006/relationships/hyperlink" Target="https://www.immoscout24.ch/fr/appartement/acheter/lieu-lussy-sur-morges" TargetMode="External"/><Relationship Id="rId7737" Type="http://schemas.openxmlformats.org/officeDocument/2006/relationships/hyperlink" Target="https://www.immoscout24.ch/fr/maison/acheter/lieu-sementina" TargetMode="External"/><Relationship Id="rId6406" Type="http://schemas.openxmlformats.org/officeDocument/2006/relationships/hyperlink" Target="https://www.immoscout24.ch/fr/appartement/acheter/lieu-lussy-sur-morges" TargetMode="External"/><Relationship Id="rId7736" Type="http://schemas.openxmlformats.org/officeDocument/2006/relationships/hyperlink" Target="https://www.immoscout24.ch/fr/maison/acheter/lieu-mendrisio" TargetMode="External"/><Relationship Id="rId6409" Type="http://schemas.openxmlformats.org/officeDocument/2006/relationships/hyperlink" Target="https://www.immoscout24.ch/fr/appartement/louer/lieu-niederwil-ag" TargetMode="External"/><Relationship Id="rId7731" Type="http://schemas.openxmlformats.org/officeDocument/2006/relationships/hyperlink" Target="https://www.immoscout24.ch/fr/appartement/louer/lieu-la-sagne-ste-croix" TargetMode="External"/><Relationship Id="rId6400" Type="http://schemas.openxmlformats.org/officeDocument/2006/relationships/hyperlink" Target="https://www.immoscout24.ch/fr/appartement/acheter/lieu-feusisberg" TargetMode="External"/><Relationship Id="rId7730" Type="http://schemas.openxmlformats.org/officeDocument/2006/relationships/hyperlink" Target="https://www.immoscout24.ch/fr/appartement/acheter/lieu-brig" TargetMode="External"/><Relationship Id="rId6403" Type="http://schemas.openxmlformats.org/officeDocument/2006/relationships/hyperlink" Target="https://www.immoscout24.ch/fr/appartement/louer/lieu-pont-la-ville" TargetMode="External"/><Relationship Id="rId7735" Type="http://schemas.openxmlformats.org/officeDocument/2006/relationships/hyperlink" Target="https://www.immoscout24.ch/fr/maison/acheter/lieu-mendrisio" TargetMode="External"/><Relationship Id="rId6404" Type="http://schemas.openxmlformats.org/officeDocument/2006/relationships/hyperlink" Target="https://www.immoscout24.ch/fr/appartement/louer/lieu-pont-la-ville" TargetMode="External"/><Relationship Id="rId7734" Type="http://schemas.openxmlformats.org/officeDocument/2006/relationships/hyperlink" Target="https://www.immoscout24.ch/fr/appartement/louer/region-bale-campagne-est" TargetMode="External"/><Relationship Id="rId6401" Type="http://schemas.openxmlformats.org/officeDocument/2006/relationships/hyperlink" Target="https://www.immoscout24.ch/fr/appartement/louer/lieu-arbaz" TargetMode="External"/><Relationship Id="rId7733" Type="http://schemas.openxmlformats.org/officeDocument/2006/relationships/hyperlink" Target="https://www.immoscout24.ch/fr/appartement/louer/region-bale-campagne-est" TargetMode="External"/><Relationship Id="rId6402" Type="http://schemas.openxmlformats.org/officeDocument/2006/relationships/hyperlink" Target="https://www.immoscout24.ch/fr/appartement/louer/lieu-arbaz" TargetMode="External"/><Relationship Id="rId7732" Type="http://schemas.openxmlformats.org/officeDocument/2006/relationships/hyperlink" Target="https://www.immoscout24.ch/fr/appartement/louer/lieu-la-sagne-ste-croix" TargetMode="External"/><Relationship Id="rId7728" Type="http://schemas.openxmlformats.org/officeDocument/2006/relationships/hyperlink" Target="https://www.immoscout24.ch/fr/appartement/louer/lieu-uvrier" TargetMode="External"/><Relationship Id="rId7727" Type="http://schemas.openxmlformats.org/officeDocument/2006/relationships/hyperlink" Target="https://www.immoscout24.ch/fr/appartement/louer/lieu-uvrier" TargetMode="External"/><Relationship Id="rId7726" Type="http://schemas.openxmlformats.org/officeDocument/2006/relationships/hyperlink" Target="https://www.immoscout24.ch/fr/appartement/acheter/lieu-clarens" TargetMode="External"/><Relationship Id="rId7725" Type="http://schemas.openxmlformats.org/officeDocument/2006/relationships/hyperlink" Target="https://www.immoscout24.ch/fr/appartement/acheter/lieu-clarens" TargetMode="External"/><Relationship Id="rId7729" Type="http://schemas.openxmlformats.org/officeDocument/2006/relationships/hyperlink" Target="https://www.immoscout24.ch/fr/appartement/acheter/lieu-brig" TargetMode="External"/><Relationship Id="rId7720" Type="http://schemas.openxmlformats.org/officeDocument/2006/relationships/hyperlink" Target="https://www.immoscout24.ch/fr/appartement/louer/lieu-chesieres" TargetMode="External"/><Relationship Id="rId7724" Type="http://schemas.openxmlformats.org/officeDocument/2006/relationships/hyperlink" Target="https://www.immoscout24.ch/fr/maison/acheter/lieu-grossaffoltern" TargetMode="External"/><Relationship Id="rId7723" Type="http://schemas.openxmlformats.org/officeDocument/2006/relationships/hyperlink" Target="https://www.immoscout24.ch/fr/maison/acheter/lieu-grossaffoltern" TargetMode="External"/><Relationship Id="rId7722" Type="http://schemas.openxmlformats.org/officeDocument/2006/relationships/hyperlink" Target="https://www.immoscout24.ch/fr/maison/acheter/lieu-la-sagne-ste-croix" TargetMode="External"/><Relationship Id="rId7721" Type="http://schemas.openxmlformats.org/officeDocument/2006/relationships/hyperlink" Target="https://www.immoscout24.ch/fr/maison/acheter/lieu-la-sagne-ste-croix" TargetMode="External"/><Relationship Id="rId5130" Type="http://schemas.openxmlformats.org/officeDocument/2006/relationships/hyperlink" Target="https://www.immoscout24.ch/fr/appartement/louer/lieu-oberkirch-lu" TargetMode="External"/><Relationship Id="rId6461" Type="http://schemas.openxmlformats.org/officeDocument/2006/relationships/hyperlink" Target="https://www.immoscout24.ch/fr/maison/louer/canton-turgovie" TargetMode="External"/><Relationship Id="rId7793" Type="http://schemas.openxmlformats.org/officeDocument/2006/relationships/hyperlink" Target="https://www.immoscout24.ch/fr/appartement/louer/quartier-vignoble-biel-bienne" TargetMode="External"/><Relationship Id="rId5131" Type="http://schemas.openxmlformats.org/officeDocument/2006/relationships/hyperlink" Target="https://www.immoscout24.ch/fr/appartement/louer/lieu-les-mayens-de-sion" TargetMode="External"/><Relationship Id="rId6462" Type="http://schemas.openxmlformats.org/officeDocument/2006/relationships/hyperlink" Target="https://www.immoscout24.ch/fr/maison/louer/canton-turgovie" TargetMode="External"/><Relationship Id="rId7792" Type="http://schemas.openxmlformats.org/officeDocument/2006/relationships/hyperlink" Target="https://www.immoscout24.ch/fr/appartement/louer/lieu-soerenberg" TargetMode="External"/><Relationship Id="rId7791" Type="http://schemas.openxmlformats.org/officeDocument/2006/relationships/hyperlink" Target="https://www.immoscout24.ch/fr/appartement/louer/lieu-soerenberg" TargetMode="External"/><Relationship Id="rId6460" Type="http://schemas.openxmlformats.org/officeDocument/2006/relationships/hyperlink" Target="https://www.immoscout24.ch/fr/maison/louer/pays-espagne" TargetMode="External"/><Relationship Id="rId7790" Type="http://schemas.openxmlformats.org/officeDocument/2006/relationships/hyperlink" Target="https://www.immoscout24.ch/fr/appartement/louer/lieu-engelberg" TargetMode="External"/><Relationship Id="rId5134" Type="http://schemas.openxmlformats.org/officeDocument/2006/relationships/hyperlink" Target="https://www.immoscout24.ch/fr/maison/acheter/lieu-le-chateau-de-ste-croix" TargetMode="External"/><Relationship Id="rId6465" Type="http://schemas.openxmlformats.org/officeDocument/2006/relationships/hyperlink" Target="https://www.immoscout24.ch/fr/maison/acheter/lieu-lanzenhaeusern" TargetMode="External"/><Relationship Id="rId7797" Type="http://schemas.openxmlformats.org/officeDocument/2006/relationships/hyperlink" Target="https://www.immoscout24.ch/fr/maison/acheter/lieu-loveresse" TargetMode="External"/><Relationship Id="rId5135" Type="http://schemas.openxmlformats.org/officeDocument/2006/relationships/hyperlink" Target="https://www.immoscout24.ch/fr/maison/acheter/pays-suede" TargetMode="External"/><Relationship Id="rId6466" Type="http://schemas.openxmlformats.org/officeDocument/2006/relationships/hyperlink" Target="https://www.immoscout24.ch/fr/maison/acheter/lieu-lanzenhaeusern" TargetMode="External"/><Relationship Id="rId7796" Type="http://schemas.openxmlformats.org/officeDocument/2006/relationships/hyperlink" Target="https://www.immoscout24.ch/fr/appartement/louer/lieu-vuarrens" TargetMode="External"/><Relationship Id="rId5132" Type="http://schemas.openxmlformats.org/officeDocument/2006/relationships/hyperlink" Target="https://www.immoscout24.ch/fr/appartement/louer/lieu-les-mayens-de-sion" TargetMode="External"/><Relationship Id="rId6463" Type="http://schemas.openxmlformats.org/officeDocument/2006/relationships/hyperlink" Target="https://www.immoscout24.ch/fr/appartement/louer/lieu-rueti-b-bueren" TargetMode="External"/><Relationship Id="rId7795" Type="http://schemas.openxmlformats.org/officeDocument/2006/relationships/hyperlink" Target="https://www.immoscout24.ch/fr/appartement/louer/lieu-vuarrens" TargetMode="External"/><Relationship Id="rId5133" Type="http://schemas.openxmlformats.org/officeDocument/2006/relationships/hyperlink" Target="https://www.immoscout24.ch/fr/maison/acheter/lieu-le-chateau-de-ste-croix" TargetMode="External"/><Relationship Id="rId6464" Type="http://schemas.openxmlformats.org/officeDocument/2006/relationships/hyperlink" Target="https://www.immoscout24.ch/fr/appartement/louer/lieu-rueti-b-bueren" TargetMode="External"/><Relationship Id="rId7794" Type="http://schemas.openxmlformats.org/officeDocument/2006/relationships/hyperlink" Target="https://www.immoscout24.ch/fr/appartement/louer/quartier-vignoble-biel-bienne" TargetMode="External"/><Relationship Id="rId5138" Type="http://schemas.openxmlformats.org/officeDocument/2006/relationships/hyperlink" Target="https://www.immoscout24.ch/fr/maison/acheter/lieu-wettswil" TargetMode="External"/><Relationship Id="rId6469" Type="http://schemas.openxmlformats.org/officeDocument/2006/relationships/hyperlink" Target="https://www.immoscout24.ch/fr/appartement/louer/lieu-grimentz" TargetMode="External"/><Relationship Id="rId5139" Type="http://schemas.openxmlformats.org/officeDocument/2006/relationships/hyperlink" Target="https://www.immoscout24.ch/fr/maison/acheter/lieu-rossemaison" TargetMode="External"/><Relationship Id="rId5136" Type="http://schemas.openxmlformats.org/officeDocument/2006/relationships/hyperlink" Target="https://www.immoscout24.ch/fr/maison/acheter/pays-suede" TargetMode="External"/><Relationship Id="rId6467" Type="http://schemas.openxmlformats.org/officeDocument/2006/relationships/hyperlink" Target="https://www.immoscout24.ch/fr/appartement/louer/lieu-erlen" TargetMode="External"/><Relationship Id="rId7799" Type="http://schemas.openxmlformats.org/officeDocument/2006/relationships/hyperlink" Target="https://www.immoscout24.ch/fr/appartement/louer/lieu-epautheyres" TargetMode="External"/><Relationship Id="rId5137" Type="http://schemas.openxmlformats.org/officeDocument/2006/relationships/hyperlink" Target="https://www.immoscout24.ch/fr/maison/acheter/lieu-wettswil" TargetMode="External"/><Relationship Id="rId6468" Type="http://schemas.openxmlformats.org/officeDocument/2006/relationships/hyperlink" Target="https://www.immoscout24.ch/fr/appartement/louer/lieu-erlen" TargetMode="External"/><Relationship Id="rId7798" Type="http://schemas.openxmlformats.org/officeDocument/2006/relationships/hyperlink" Target="https://www.immoscout24.ch/fr/maison/acheter/lieu-loveresse" TargetMode="External"/><Relationship Id="rId5129" Type="http://schemas.openxmlformats.org/officeDocument/2006/relationships/hyperlink" Target="https://www.immoscout24.ch/fr/appartement/louer/lieu-oberkirch-lu" TargetMode="External"/><Relationship Id="rId6450" Type="http://schemas.openxmlformats.org/officeDocument/2006/relationships/hyperlink" Target="https://www.immoscout24.ch/fr/appartement/louer/lieu-signese-ayent" TargetMode="External"/><Relationship Id="rId7782" Type="http://schemas.openxmlformats.org/officeDocument/2006/relationships/hyperlink" Target="https://www.immoscout24.ch/fr/appartement/acheter/lieu-rochefort" TargetMode="External"/><Relationship Id="rId5120" Type="http://schemas.openxmlformats.org/officeDocument/2006/relationships/hyperlink" Target="https://www.immoscout24.ch/fr/maison/louer/region-franches-montagnes" TargetMode="External"/><Relationship Id="rId6451" Type="http://schemas.openxmlformats.org/officeDocument/2006/relationships/hyperlink" Target="https://www.immoscout24.ch/fr/appartement/louer/lieu-echandens" TargetMode="External"/><Relationship Id="rId7781" Type="http://schemas.openxmlformats.org/officeDocument/2006/relationships/hyperlink" Target="https://www.immoscout24.ch/fr/appartement/acheter/lieu-rochefort" TargetMode="External"/><Relationship Id="rId7780" Type="http://schemas.openxmlformats.org/officeDocument/2006/relationships/hyperlink" Target="https://www.immoscout24.ch/fr/appartement/louer/lieu-sissach" TargetMode="External"/><Relationship Id="rId5123" Type="http://schemas.openxmlformats.org/officeDocument/2006/relationships/hyperlink" Target="https://www.immoscout24.ch/fr/maison/acheter/lieu-vandoeuvres" TargetMode="External"/><Relationship Id="rId6454" Type="http://schemas.openxmlformats.org/officeDocument/2006/relationships/hyperlink" Target="https://www.immoscout24.ch/fr/maison/louer/lieu-semsales" TargetMode="External"/><Relationship Id="rId7786" Type="http://schemas.openxmlformats.org/officeDocument/2006/relationships/hyperlink" Target="https://www.immoscout24.ch/fr/maison/acheter/lieu-koblenz" TargetMode="External"/><Relationship Id="rId5124" Type="http://schemas.openxmlformats.org/officeDocument/2006/relationships/hyperlink" Target="https://www.immoscout24.ch/fr/maison/acheter/lieu-vandoeuvres" TargetMode="External"/><Relationship Id="rId6455" Type="http://schemas.openxmlformats.org/officeDocument/2006/relationships/hyperlink" Target="https://www.immoscout24.ch/fr/appartement/louer/region-haut-valais" TargetMode="External"/><Relationship Id="rId7785" Type="http://schemas.openxmlformats.org/officeDocument/2006/relationships/hyperlink" Target="https://www.immoscout24.ch/fr/maison/acheter/lieu-koblenz" TargetMode="External"/><Relationship Id="rId5121" Type="http://schemas.openxmlformats.org/officeDocument/2006/relationships/hyperlink" Target="https://www.immoscout24.ch/fr/appartement/acheter/lieu-territet" TargetMode="External"/><Relationship Id="rId6452" Type="http://schemas.openxmlformats.org/officeDocument/2006/relationships/hyperlink" Target="https://www.immoscout24.ch/fr/appartement/louer/lieu-echandens" TargetMode="External"/><Relationship Id="rId7784" Type="http://schemas.openxmlformats.org/officeDocument/2006/relationships/hyperlink" Target="https://www.immoscout24.ch/fr/appartement/louer/region-aegerisee" TargetMode="External"/><Relationship Id="rId5122" Type="http://schemas.openxmlformats.org/officeDocument/2006/relationships/hyperlink" Target="https://www.immoscout24.ch/fr/appartement/acheter/lieu-territet" TargetMode="External"/><Relationship Id="rId6453" Type="http://schemas.openxmlformats.org/officeDocument/2006/relationships/hyperlink" Target="https://www.immoscout24.ch/fr/maison/louer/lieu-semsales" TargetMode="External"/><Relationship Id="rId7783" Type="http://schemas.openxmlformats.org/officeDocument/2006/relationships/hyperlink" Target="https://www.immoscout24.ch/fr/appartement/louer/region-aegerisee" TargetMode="External"/><Relationship Id="rId5127" Type="http://schemas.openxmlformats.org/officeDocument/2006/relationships/hyperlink" Target="https://www.immoscout24.ch/fr/appartement/acheter/lieu-la-croix-de-rozon" TargetMode="External"/><Relationship Id="rId6458" Type="http://schemas.openxmlformats.org/officeDocument/2006/relationships/hyperlink" Target="https://www.immoscout24.ch/fr/maison/acheter/lieu-zwischenflueh" TargetMode="External"/><Relationship Id="rId5128" Type="http://schemas.openxmlformats.org/officeDocument/2006/relationships/hyperlink" Target="https://www.immoscout24.ch/fr/appartement/acheter/lieu-la-croix-de-rozon" TargetMode="External"/><Relationship Id="rId6459" Type="http://schemas.openxmlformats.org/officeDocument/2006/relationships/hyperlink" Target="https://www.immoscout24.ch/fr/maison/louer/pays-espagne" TargetMode="External"/><Relationship Id="rId7789" Type="http://schemas.openxmlformats.org/officeDocument/2006/relationships/hyperlink" Target="https://www.immoscout24.ch/fr/appartement/louer/lieu-engelberg" TargetMode="External"/><Relationship Id="rId5125" Type="http://schemas.openxmlformats.org/officeDocument/2006/relationships/hyperlink" Target="https://www.immoscout24.ch/fr/appartement/louer/lieu-muemliswil" TargetMode="External"/><Relationship Id="rId6456" Type="http://schemas.openxmlformats.org/officeDocument/2006/relationships/hyperlink" Target="https://www.immoscout24.ch/fr/appartement/louer/region-haut-valais" TargetMode="External"/><Relationship Id="rId7788" Type="http://schemas.openxmlformats.org/officeDocument/2006/relationships/hyperlink" Target="https://www.immoscout24.ch/fr/maison/acheter/lieu-cheyres" TargetMode="External"/><Relationship Id="rId5126" Type="http://schemas.openxmlformats.org/officeDocument/2006/relationships/hyperlink" Target="https://www.immoscout24.ch/fr/appartement/louer/lieu-muemliswil" TargetMode="External"/><Relationship Id="rId6457" Type="http://schemas.openxmlformats.org/officeDocument/2006/relationships/hyperlink" Target="https://www.immoscout24.ch/fr/maison/acheter/lieu-zwischenflueh" TargetMode="External"/><Relationship Id="rId7787" Type="http://schemas.openxmlformats.org/officeDocument/2006/relationships/hyperlink" Target="https://www.immoscout24.ch/fr/maison/acheter/lieu-cheyres" TargetMode="External"/><Relationship Id="rId6480" Type="http://schemas.openxmlformats.org/officeDocument/2006/relationships/hyperlink" Target="https://www.immoscout24.ch/fr/maison/acheter/lieu-la-magne" TargetMode="External"/><Relationship Id="rId5152" Type="http://schemas.openxmlformats.org/officeDocument/2006/relationships/hyperlink" Target="https://www.immoscout24.ch/fr/appartement/acheter/lieu-magliaso" TargetMode="External"/><Relationship Id="rId6483" Type="http://schemas.openxmlformats.org/officeDocument/2006/relationships/hyperlink" Target="https://www.immoscout24.ch/fr/maison/acheter/quartier-boujean-biel-bienne" TargetMode="External"/><Relationship Id="rId5153" Type="http://schemas.openxmlformats.org/officeDocument/2006/relationships/hyperlink" Target="https://www.immoscout24.ch/fr/maison/acheter/lieu-oberentfelden" TargetMode="External"/><Relationship Id="rId6484" Type="http://schemas.openxmlformats.org/officeDocument/2006/relationships/hyperlink" Target="https://www.immoscout24.ch/fr/maison/acheter/quartier-boujean-biel-bienne" TargetMode="External"/><Relationship Id="rId5150" Type="http://schemas.openxmlformats.org/officeDocument/2006/relationships/hyperlink" Target="https://www.immoscout24.ch/fr/maison/acheter/lieu-le-locle" TargetMode="External"/><Relationship Id="rId6481" Type="http://schemas.openxmlformats.org/officeDocument/2006/relationships/hyperlink" Target="https://www.immoscout24.ch/fr/appartement/acheter/canton-tessin" TargetMode="External"/><Relationship Id="rId5151" Type="http://schemas.openxmlformats.org/officeDocument/2006/relationships/hyperlink" Target="https://www.immoscout24.ch/fr/appartement/acheter/lieu-magliaso" TargetMode="External"/><Relationship Id="rId6482" Type="http://schemas.openxmlformats.org/officeDocument/2006/relationships/hyperlink" Target="https://www.immoscout24.ch/fr/appartement/acheter/canton-tessin" TargetMode="External"/><Relationship Id="rId5156" Type="http://schemas.openxmlformats.org/officeDocument/2006/relationships/hyperlink" Target="https://www.immoscout24.ch/fr/maison/acheter/lieu-auddes-sur-riddes" TargetMode="External"/><Relationship Id="rId6487" Type="http://schemas.openxmlformats.org/officeDocument/2006/relationships/hyperlink" Target="https://www.immoscout24.ch/fr/maison/acheter/lieu-torgon" TargetMode="External"/><Relationship Id="rId5157" Type="http://schemas.openxmlformats.org/officeDocument/2006/relationships/hyperlink" Target="https://www.immoscout24.ch/fr/maison/louer/lieu-nussbaumen-ag" TargetMode="External"/><Relationship Id="rId6488" Type="http://schemas.openxmlformats.org/officeDocument/2006/relationships/hyperlink" Target="https://www.immoscout24.ch/fr/maison/acheter/lieu-torgon" TargetMode="External"/><Relationship Id="rId5154" Type="http://schemas.openxmlformats.org/officeDocument/2006/relationships/hyperlink" Target="https://www.immoscout24.ch/fr/maison/acheter/lieu-oberentfelden" TargetMode="External"/><Relationship Id="rId6485" Type="http://schemas.openxmlformats.org/officeDocument/2006/relationships/hyperlink" Target="https://www.immoscout24.ch/fr/maison/acheter/lieu-marsens" TargetMode="External"/><Relationship Id="rId5155" Type="http://schemas.openxmlformats.org/officeDocument/2006/relationships/hyperlink" Target="https://www.immoscout24.ch/fr/maison/acheter/lieu-auddes-sur-riddes" TargetMode="External"/><Relationship Id="rId6486" Type="http://schemas.openxmlformats.org/officeDocument/2006/relationships/hyperlink" Target="https://www.immoscout24.ch/fr/maison/acheter/lieu-marsens" TargetMode="External"/><Relationship Id="rId5158" Type="http://schemas.openxmlformats.org/officeDocument/2006/relationships/hyperlink" Target="https://www.immoscout24.ch/fr/maison/louer/lieu-nussbaumen-ag" TargetMode="External"/><Relationship Id="rId6489" Type="http://schemas.openxmlformats.org/officeDocument/2006/relationships/hyperlink" Target="https://www.immoscout24.ch/fr/maison/acheter/lieu-noreaz" TargetMode="External"/><Relationship Id="rId5159" Type="http://schemas.openxmlformats.org/officeDocument/2006/relationships/hyperlink" Target="https://www.immoscout24.ch/fr/appartement/acheter/lieu-saillon" TargetMode="External"/><Relationship Id="rId5141" Type="http://schemas.openxmlformats.org/officeDocument/2006/relationships/hyperlink" Target="https://www.immoscout24.ch/fr/appartement/acheter/lieu-windisch" TargetMode="External"/><Relationship Id="rId6472" Type="http://schemas.openxmlformats.org/officeDocument/2006/relationships/hyperlink" Target="https://www.immoscout24.ch/fr/appartement/louer/quartier-spiegel-koeniz" TargetMode="External"/><Relationship Id="rId5142" Type="http://schemas.openxmlformats.org/officeDocument/2006/relationships/hyperlink" Target="https://www.immoscout24.ch/fr/appartement/acheter/lieu-windisch" TargetMode="External"/><Relationship Id="rId6473" Type="http://schemas.openxmlformats.org/officeDocument/2006/relationships/hyperlink" Target="https://www.immoscout24.ch/fr/appartement/louer/lieu-le-lieu" TargetMode="External"/><Relationship Id="rId6470" Type="http://schemas.openxmlformats.org/officeDocument/2006/relationships/hyperlink" Target="https://www.immoscout24.ch/fr/appartement/louer/lieu-grimentz" TargetMode="External"/><Relationship Id="rId5140" Type="http://schemas.openxmlformats.org/officeDocument/2006/relationships/hyperlink" Target="https://www.immoscout24.ch/fr/maison/acheter/lieu-rossemaison" TargetMode="External"/><Relationship Id="rId6471" Type="http://schemas.openxmlformats.org/officeDocument/2006/relationships/hyperlink" Target="https://www.immoscout24.ch/fr/appartement/louer/quartier-spiegel-koeniz" TargetMode="External"/><Relationship Id="rId5145" Type="http://schemas.openxmlformats.org/officeDocument/2006/relationships/hyperlink" Target="https://www.immoscout24.ch/fr/maison/acheter/lieu-aarberg" TargetMode="External"/><Relationship Id="rId6476" Type="http://schemas.openxmlformats.org/officeDocument/2006/relationships/hyperlink" Target="https://www.immoscout24.ch/fr/maison/acheter/lieu-l-abbaye" TargetMode="External"/><Relationship Id="rId5146" Type="http://schemas.openxmlformats.org/officeDocument/2006/relationships/hyperlink" Target="https://www.immoscout24.ch/fr/maison/acheter/lieu-aarberg" TargetMode="External"/><Relationship Id="rId6477" Type="http://schemas.openxmlformats.org/officeDocument/2006/relationships/hyperlink" Target="https://www.immoscout24.ch/fr/appartement/acheter/canton-soleure" TargetMode="External"/><Relationship Id="rId5143" Type="http://schemas.openxmlformats.org/officeDocument/2006/relationships/hyperlink" Target="https://www.immoscout24.ch/fr/appartement/louer/lieu-tamins" TargetMode="External"/><Relationship Id="rId6474" Type="http://schemas.openxmlformats.org/officeDocument/2006/relationships/hyperlink" Target="https://www.immoscout24.ch/fr/appartement/louer/lieu-le-lieu" TargetMode="External"/><Relationship Id="rId5144" Type="http://schemas.openxmlformats.org/officeDocument/2006/relationships/hyperlink" Target="https://www.immoscout24.ch/fr/appartement/louer/lieu-tamins" TargetMode="External"/><Relationship Id="rId6475" Type="http://schemas.openxmlformats.org/officeDocument/2006/relationships/hyperlink" Target="https://www.immoscout24.ch/fr/maison/acheter/lieu-l-abbaye" TargetMode="External"/><Relationship Id="rId5149" Type="http://schemas.openxmlformats.org/officeDocument/2006/relationships/hyperlink" Target="https://www.immoscout24.ch/fr/maison/acheter/lieu-le-locle" TargetMode="External"/><Relationship Id="rId5147" Type="http://schemas.openxmlformats.org/officeDocument/2006/relationships/hyperlink" Target="https://www.immoscout24.ch/fr/maison/acheter/lieu-missy" TargetMode="External"/><Relationship Id="rId6478" Type="http://schemas.openxmlformats.org/officeDocument/2006/relationships/hyperlink" Target="https://www.immoscout24.ch/fr/appartement/acheter/canton-soleure" TargetMode="External"/><Relationship Id="rId5148" Type="http://schemas.openxmlformats.org/officeDocument/2006/relationships/hyperlink" Target="https://www.immoscout24.ch/fr/maison/acheter/lieu-missy" TargetMode="External"/><Relationship Id="rId6479" Type="http://schemas.openxmlformats.org/officeDocument/2006/relationships/hyperlink" Target="https://www.immoscout24.ch/fr/maison/acheter/lieu-la-magne" TargetMode="External"/><Relationship Id="rId6429" Type="http://schemas.openxmlformats.org/officeDocument/2006/relationships/hyperlink" Target="https://www.immoscout24.ch/fr/maison/acheter/lieu-morcote" TargetMode="External"/><Relationship Id="rId6427" Type="http://schemas.openxmlformats.org/officeDocument/2006/relationships/hyperlink" Target="https://www.immoscout24.ch/fr/appartement/acheter/lieu-uttwil" TargetMode="External"/><Relationship Id="rId7759" Type="http://schemas.openxmlformats.org/officeDocument/2006/relationships/hyperlink" Target="https://www.immoscout24.ch/fr/appartement/louer/lieu-erde" TargetMode="External"/><Relationship Id="rId6428" Type="http://schemas.openxmlformats.org/officeDocument/2006/relationships/hyperlink" Target="https://www.immoscout24.ch/fr/appartement/acheter/lieu-uttwil" TargetMode="External"/><Relationship Id="rId7758" Type="http://schemas.openxmlformats.org/officeDocument/2006/relationships/hyperlink" Target="https://www.immoscout24.ch/fr/maison/acheter/lieu-vuarmarens" TargetMode="External"/><Relationship Id="rId6421" Type="http://schemas.openxmlformats.org/officeDocument/2006/relationships/hyperlink" Target="https://www.immoscout24.ch/fr/maison/acheter/lieu-hirzel" TargetMode="External"/><Relationship Id="rId7753" Type="http://schemas.openxmlformats.org/officeDocument/2006/relationships/hyperlink" Target="https://www.immoscout24.ch/fr/maison/acheter/lieu-rotkreuz" TargetMode="External"/><Relationship Id="rId6422" Type="http://schemas.openxmlformats.org/officeDocument/2006/relationships/hyperlink" Target="https://www.immoscout24.ch/fr/maison/acheter/lieu-hirzel" TargetMode="External"/><Relationship Id="rId7752" Type="http://schemas.openxmlformats.org/officeDocument/2006/relationships/hyperlink" Target="https://www.immoscout24.ch/fr/maison/acheter/lieu-liesberg-dorf" TargetMode="External"/><Relationship Id="rId7751" Type="http://schemas.openxmlformats.org/officeDocument/2006/relationships/hyperlink" Target="https://www.immoscout24.ch/fr/maison/acheter/lieu-liesberg-dorf" TargetMode="External"/><Relationship Id="rId6420" Type="http://schemas.openxmlformats.org/officeDocument/2006/relationships/hyperlink" Target="https://www.immoscout24.ch/fr/appartement/acheter/lieu-buch-am-irchel" TargetMode="External"/><Relationship Id="rId7750" Type="http://schemas.openxmlformats.org/officeDocument/2006/relationships/hyperlink" Target="https://www.immoscout24.ch/fr/appartement/louer/lieu-posieux" TargetMode="External"/><Relationship Id="rId6425" Type="http://schemas.openxmlformats.org/officeDocument/2006/relationships/hyperlink" Target="https://www.immoscout24.ch/fr/appartement/acheter/lieu-moleson-sur-gruyeres" TargetMode="External"/><Relationship Id="rId7757" Type="http://schemas.openxmlformats.org/officeDocument/2006/relationships/hyperlink" Target="https://www.immoscout24.ch/fr/maison/acheter/lieu-vuarmarens" TargetMode="External"/><Relationship Id="rId6426" Type="http://schemas.openxmlformats.org/officeDocument/2006/relationships/hyperlink" Target="https://www.immoscout24.ch/fr/appartement/acheter/lieu-moleson-sur-gruyeres" TargetMode="External"/><Relationship Id="rId7756" Type="http://schemas.openxmlformats.org/officeDocument/2006/relationships/hyperlink" Target="https://www.immoscout24.ch/fr/appartement/louer/lieu-chernex" TargetMode="External"/><Relationship Id="rId6423" Type="http://schemas.openxmlformats.org/officeDocument/2006/relationships/hyperlink" Target="https://www.immoscout24.ch/fr/maison/louer/lieu-romanshorn" TargetMode="External"/><Relationship Id="rId7755" Type="http://schemas.openxmlformats.org/officeDocument/2006/relationships/hyperlink" Target="https://www.immoscout24.ch/fr/appartement/louer/lieu-chernex" TargetMode="External"/><Relationship Id="rId6424" Type="http://schemas.openxmlformats.org/officeDocument/2006/relationships/hyperlink" Target="https://www.immoscout24.ch/fr/maison/louer/lieu-romanshorn" TargetMode="External"/><Relationship Id="rId7754" Type="http://schemas.openxmlformats.org/officeDocument/2006/relationships/hyperlink" Target="https://www.immoscout24.ch/fr/maison/acheter/lieu-rotkreuz" TargetMode="External"/><Relationship Id="rId6418" Type="http://schemas.openxmlformats.org/officeDocument/2006/relationships/hyperlink" Target="https://www.immoscout24.ch/fr/appartement/louer/quartier-jonction-plainpalais-geneve" TargetMode="External"/><Relationship Id="rId6419" Type="http://schemas.openxmlformats.org/officeDocument/2006/relationships/hyperlink" Target="https://www.immoscout24.ch/fr/appartement/acheter/lieu-buch-am-irchel" TargetMode="External"/><Relationship Id="rId7749" Type="http://schemas.openxmlformats.org/officeDocument/2006/relationships/hyperlink" Target="https://www.immoscout24.ch/fr/appartement/louer/lieu-posieux" TargetMode="External"/><Relationship Id="rId6416" Type="http://schemas.openxmlformats.org/officeDocument/2006/relationships/hyperlink" Target="https://www.immoscout24.ch/fr/maison/acheter/lieu-clarmont" TargetMode="External"/><Relationship Id="rId7748" Type="http://schemas.openxmlformats.org/officeDocument/2006/relationships/hyperlink" Target="https://www.immoscout24.ch/fr/maison/acheter/lieu-l-isle" TargetMode="External"/><Relationship Id="rId6417" Type="http://schemas.openxmlformats.org/officeDocument/2006/relationships/hyperlink" Target="https://www.immoscout24.ch/fr/appartement/louer/quartier-jonction-plainpalais-geneve" TargetMode="External"/><Relationship Id="rId7747" Type="http://schemas.openxmlformats.org/officeDocument/2006/relationships/hyperlink" Target="https://www.immoscout24.ch/fr/maison/acheter/lieu-l-isle" TargetMode="External"/><Relationship Id="rId6410" Type="http://schemas.openxmlformats.org/officeDocument/2006/relationships/hyperlink" Target="https://www.immoscout24.ch/fr/appartement/louer/lieu-niederwil-ag" TargetMode="External"/><Relationship Id="rId7742" Type="http://schemas.openxmlformats.org/officeDocument/2006/relationships/hyperlink" Target="https://www.immoscout24.ch/fr/appartement/louer/quartier-affoltern-zurich" TargetMode="External"/><Relationship Id="rId6411" Type="http://schemas.openxmlformats.org/officeDocument/2006/relationships/hyperlink" Target="https://www.immoscout24.ch/fr/maison/acheter/lieu-leukerbad" TargetMode="External"/><Relationship Id="rId7741" Type="http://schemas.openxmlformats.org/officeDocument/2006/relationships/hyperlink" Target="https://www.immoscout24.ch/fr/appartement/louer/quartier-affoltern-zurich" TargetMode="External"/><Relationship Id="rId7740" Type="http://schemas.openxmlformats.org/officeDocument/2006/relationships/hyperlink" Target="https://www.immoscout24.ch/fr/maison/acheter/lieu-vers-chez-perrin" TargetMode="External"/><Relationship Id="rId6414" Type="http://schemas.openxmlformats.org/officeDocument/2006/relationships/hyperlink" Target="https://www.immoscout24.ch/fr/appartement/louer/lieu-palezieux-village" TargetMode="External"/><Relationship Id="rId7746" Type="http://schemas.openxmlformats.org/officeDocument/2006/relationships/hyperlink" Target="https://www.immoscout24.ch/fr/appartement/louer/lieu-wiesendangen" TargetMode="External"/><Relationship Id="rId6415" Type="http://schemas.openxmlformats.org/officeDocument/2006/relationships/hyperlink" Target="https://www.immoscout24.ch/fr/maison/acheter/lieu-clarmont" TargetMode="External"/><Relationship Id="rId7745" Type="http://schemas.openxmlformats.org/officeDocument/2006/relationships/hyperlink" Target="https://www.immoscout24.ch/fr/appartement/louer/lieu-wiesendangen" TargetMode="External"/><Relationship Id="rId6412" Type="http://schemas.openxmlformats.org/officeDocument/2006/relationships/hyperlink" Target="https://www.immoscout24.ch/fr/maison/acheter/lieu-leukerbad" TargetMode="External"/><Relationship Id="rId7744" Type="http://schemas.openxmlformats.org/officeDocument/2006/relationships/hyperlink" Target="https://www.immoscout24.ch/fr/maison/acheter/lieu-vendlincourt" TargetMode="External"/><Relationship Id="rId6413" Type="http://schemas.openxmlformats.org/officeDocument/2006/relationships/hyperlink" Target="https://www.immoscout24.ch/fr/appartement/louer/lieu-palezieux-village" TargetMode="External"/><Relationship Id="rId7743" Type="http://schemas.openxmlformats.org/officeDocument/2006/relationships/hyperlink" Target="https://www.immoscout24.ch/fr/maison/acheter/lieu-vendlincourt" TargetMode="External"/><Relationship Id="rId5118" Type="http://schemas.openxmlformats.org/officeDocument/2006/relationships/hyperlink" Target="https://www.immoscout24.ch/fr/appartement/louer/lieu-begnins" TargetMode="External"/><Relationship Id="rId6449" Type="http://schemas.openxmlformats.org/officeDocument/2006/relationships/hyperlink" Target="https://www.immoscout24.ch/fr/appartement/louer/lieu-signese-ayent" TargetMode="External"/><Relationship Id="rId5119" Type="http://schemas.openxmlformats.org/officeDocument/2006/relationships/hyperlink" Target="https://www.immoscout24.ch/fr/maison/louer/region-franches-montagnes" TargetMode="External"/><Relationship Id="rId7771" Type="http://schemas.openxmlformats.org/officeDocument/2006/relationships/hyperlink" Target="https://www.immoscout24.ch/fr/maison/louer/lieu-maracon" TargetMode="External"/><Relationship Id="rId6440" Type="http://schemas.openxmlformats.org/officeDocument/2006/relationships/hyperlink" Target="https://www.immoscout24.ch/fr/maison/acheter/lieu-rue" TargetMode="External"/><Relationship Id="rId7770" Type="http://schemas.openxmlformats.org/officeDocument/2006/relationships/hyperlink" Target="https://www.immoscout24.ch/fr/maison/acheter/lieu-miecourt" TargetMode="External"/><Relationship Id="rId5112" Type="http://schemas.openxmlformats.org/officeDocument/2006/relationships/hyperlink" Target="https://www.immoscout24.ch/fr/maison/louer/lieu-moudon" TargetMode="External"/><Relationship Id="rId6443" Type="http://schemas.openxmlformats.org/officeDocument/2006/relationships/hyperlink" Target="https://www.immoscout24.ch/fr/maison/acheter/lieu-ballwil" TargetMode="External"/><Relationship Id="rId7775" Type="http://schemas.openxmlformats.org/officeDocument/2006/relationships/hyperlink" Target="https://www.immoscout24.ch/fr/appartement/louer/lieu-plaffeien" TargetMode="External"/><Relationship Id="rId5113" Type="http://schemas.openxmlformats.org/officeDocument/2006/relationships/hyperlink" Target="https://www.immoscout24.ch/fr/appartement/louer/lieu-nussbaumen-ag" TargetMode="External"/><Relationship Id="rId6444" Type="http://schemas.openxmlformats.org/officeDocument/2006/relationships/hyperlink" Target="https://www.immoscout24.ch/fr/maison/acheter/lieu-ballwil" TargetMode="External"/><Relationship Id="rId7774" Type="http://schemas.openxmlformats.org/officeDocument/2006/relationships/hyperlink" Target="https://www.immoscout24.ch/fr/appartement/louer/lieu-vevey" TargetMode="External"/><Relationship Id="rId5110" Type="http://schemas.openxmlformats.org/officeDocument/2006/relationships/hyperlink" Target="https://www.immoscout24.ch/fr/appartement/louer/lieu-thusis" TargetMode="External"/><Relationship Id="rId6441" Type="http://schemas.openxmlformats.org/officeDocument/2006/relationships/hyperlink" Target="https://www.immoscout24.ch/fr/appartement/acheter/canton-schwyz" TargetMode="External"/><Relationship Id="rId7773" Type="http://schemas.openxmlformats.org/officeDocument/2006/relationships/hyperlink" Target="https://www.immoscout24.ch/fr/appartement/louer/lieu-vevey" TargetMode="External"/><Relationship Id="rId5111" Type="http://schemas.openxmlformats.org/officeDocument/2006/relationships/hyperlink" Target="https://www.immoscout24.ch/fr/maison/louer/lieu-moudon" TargetMode="External"/><Relationship Id="rId6442" Type="http://schemas.openxmlformats.org/officeDocument/2006/relationships/hyperlink" Target="https://www.immoscout24.ch/fr/appartement/acheter/canton-schwyz" TargetMode="External"/><Relationship Id="rId7772" Type="http://schemas.openxmlformats.org/officeDocument/2006/relationships/hyperlink" Target="https://www.immoscout24.ch/fr/maison/louer/lieu-maracon" TargetMode="External"/><Relationship Id="rId5116" Type="http://schemas.openxmlformats.org/officeDocument/2006/relationships/hyperlink" Target="https://www.immoscout24.ch/fr/appartement/louer/lieu-villars-epeney" TargetMode="External"/><Relationship Id="rId6447" Type="http://schemas.openxmlformats.org/officeDocument/2006/relationships/hyperlink" Target="https://www.immoscout24.ch/fr/maison/acheter/canton-grisons" TargetMode="External"/><Relationship Id="rId7779" Type="http://schemas.openxmlformats.org/officeDocument/2006/relationships/hyperlink" Target="https://www.immoscout24.ch/fr/appartement/louer/lieu-sissach" TargetMode="External"/><Relationship Id="rId5117" Type="http://schemas.openxmlformats.org/officeDocument/2006/relationships/hyperlink" Target="https://www.immoscout24.ch/fr/appartement/louer/lieu-begnins" TargetMode="External"/><Relationship Id="rId6448" Type="http://schemas.openxmlformats.org/officeDocument/2006/relationships/hyperlink" Target="https://www.immoscout24.ch/fr/maison/acheter/canton-grisons" TargetMode="External"/><Relationship Id="rId7778" Type="http://schemas.openxmlformats.org/officeDocument/2006/relationships/hyperlink" Target="https://www.immoscout24.ch/fr/maison/acheter/lieu-corcelles-pres-payerne" TargetMode="External"/><Relationship Id="rId5114" Type="http://schemas.openxmlformats.org/officeDocument/2006/relationships/hyperlink" Target="https://www.immoscout24.ch/fr/appartement/louer/lieu-nussbaumen-ag" TargetMode="External"/><Relationship Id="rId6445" Type="http://schemas.openxmlformats.org/officeDocument/2006/relationships/hyperlink" Target="https://www.immoscout24.ch/fr/maison/louer/lieu-laconnex" TargetMode="External"/><Relationship Id="rId7777" Type="http://schemas.openxmlformats.org/officeDocument/2006/relationships/hyperlink" Target="https://www.immoscout24.ch/fr/maison/acheter/lieu-corcelles-pres-payerne" TargetMode="External"/><Relationship Id="rId5115" Type="http://schemas.openxmlformats.org/officeDocument/2006/relationships/hyperlink" Target="https://www.immoscout24.ch/fr/appartement/louer/lieu-villars-epeney" TargetMode="External"/><Relationship Id="rId6446" Type="http://schemas.openxmlformats.org/officeDocument/2006/relationships/hyperlink" Target="https://www.immoscout24.ch/fr/maison/louer/lieu-laconnex" TargetMode="External"/><Relationship Id="rId7776" Type="http://schemas.openxmlformats.org/officeDocument/2006/relationships/hyperlink" Target="https://www.immoscout24.ch/fr/appartement/louer/lieu-plaffeien" TargetMode="External"/><Relationship Id="rId5109" Type="http://schemas.openxmlformats.org/officeDocument/2006/relationships/hyperlink" Target="https://www.immoscout24.ch/fr/appartement/louer/lieu-thusis" TargetMode="External"/><Relationship Id="rId5107" Type="http://schemas.openxmlformats.org/officeDocument/2006/relationships/hyperlink" Target="https://www.immoscout24.ch/fr/appartement/louer/quartier-eaux-vives-lac-geneve" TargetMode="External"/><Relationship Id="rId6438" Type="http://schemas.openxmlformats.org/officeDocument/2006/relationships/hyperlink" Target="https://www.immoscout24.ch/fr/maison/acheter/lieu-gockhausen" TargetMode="External"/><Relationship Id="rId5108" Type="http://schemas.openxmlformats.org/officeDocument/2006/relationships/hyperlink" Target="https://www.immoscout24.ch/fr/appartement/louer/quartier-eaux-vives-lac-geneve" TargetMode="External"/><Relationship Id="rId6439" Type="http://schemas.openxmlformats.org/officeDocument/2006/relationships/hyperlink" Target="https://www.immoscout24.ch/fr/maison/acheter/lieu-rue" TargetMode="External"/><Relationship Id="rId7769" Type="http://schemas.openxmlformats.org/officeDocument/2006/relationships/hyperlink" Target="https://www.immoscout24.ch/fr/maison/acheter/lieu-miecourt" TargetMode="External"/><Relationship Id="rId7760" Type="http://schemas.openxmlformats.org/officeDocument/2006/relationships/hyperlink" Target="https://www.immoscout24.ch/fr/appartement/louer/lieu-erde" TargetMode="External"/><Relationship Id="rId5101" Type="http://schemas.openxmlformats.org/officeDocument/2006/relationships/hyperlink" Target="https://www.immoscout24.ch/fr/appartement/louer/lieu-niederscherli" TargetMode="External"/><Relationship Id="rId6432" Type="http://schemas.openxmlformats.org/officeDocument/2006/relationships/hyperlink" Target="https://www.immoscout24.ch/fr/appartement/acheter/lieu-aclens" TargetMode="External"/><Relationship Id="rId7764" Type="http://schemas.openxmlformats.org/officeDocument/2006/relationships/hyperlink" Target="https://www.immoscout24.ch/fr/maison/acheter/lieu-la-corbaz" TargetMode="External"/><Relationship Id="rId5102" Type="http://schemas.openxmlformats.org/officeDocument/2006/relationships/hyperlink" Target="https://www.immoscout24.ch/fr/appartement/louer/lieu-niederscherli" TargetMode="External"/><Relationship Id="rId6433" Type="http://schemas.openxmlformats.org/officeDocument/2006/relationships/hyperlink" Target="https://www.immoscout24.ch/fr/appartement/louer/lieu-ascona" TargetMode="External"/><Relationship Id="rId7763" Type="http://schemas.openxmlformats.org/officeDocument/2006/relationships/hyperlink" Target="https://www.immoscout24.ch/fr/maison/acheter/lieu-la-corbaz" TargetMode="External"/><Relationship Id="rId6430" Type="http://schemas.openxmlformats.org/officeDocument/2006/relationships/hyperlink" Target="https://www.immoscout24.ch/fr/maison/acheter/lieu-morcote" TargetMode="External"/><Relationship Id="rId7762" Type="http://schemas.openxmlformats.org/officeDocument/2006/relationships/hyperlink" Target="https://www.immoscout24.ch/fr/maison/louer/lieu-biel-bienne" TargetMode="External"/><Relationship Id="rId5100" Type="http://schemas.openxmlformats.org/officeDocument/2006/relationships/hyperlink" Target="https://www.immoscout24.ch/fr/appartement/louer/lieu-uetendorf" TargetMode="External"/><Relationship Id="rId6431" Type="http://schemas.openxmlformats.org/officeDocument/2006/relationships/hyperlink" Target="https://www.immoscout24.ch/fr/appartement/acheter/lieu-aclens" TargetMode="External"/><Relationship Id="rId7761" Type="http://schemas.openxmlformats.org/officeDocument/2006/relationships/hyperlink" Target="https://www.immoscout24.ch/fr/maison/louer/lieu-biel-bienne" TargetMode="External"/><Relationship Id="rId5105" Type="http://schemas.openxmlformats.org/officeDocument/2006/relationships/hyperlink" Target="https://www.immoscout24.ch/fr/appartement/louer/secteur-kreis-7" TargetMode="External"/><Relationship Id="rId6436" Type="http://schemas.openxmlformats.org/officeDocument/2006/relationships/hyperlink" Target="https://www.immoscout24.ch/fr/appartement/acheter/lieu-botyre-ayent" TargetMode="External"/><Relationship Id="rId7768" Type="http://schemas.openxmlformats.org/officeDocument/2006/relationships/hyperlink" Target="https://www.immoscout24.ch/fr/maison/acheter/lieu-perroy" TargetMode="External"/><Relationship Id="rId5106" Type="http://schemas.openxmlformats.org/officeDocument/2006/relationships/hyperlink" Target="https://www.immoscout24.ch/fr/appartement/louer/secteur-kreis-7" TargetMode="External"/><Relationship Id="rId6437" Type="http://schemas.openxmlformats.org/officeDocument/2006/relationships/hyperlink" Target="https://www.immoscout24.ch/fr/maison/acheter/lieu-gockhausen" TargetMode="External"/><Relationship Id="rId7767" Type="http://schemas.openxmlformats.org/officeDocument/2006/relationships/hyperlink" Target="https://www.immoscout24.ch/fr/maison/acheter/lieu-perroy" TargetMode="External"/><Relationship Id="rId5103" Type="http://schemas.openxmlformats.org/officeDocument/2006/relationships/hyperlink" Target="https://www.immoscout24.ch/fr/appartement/acheter/lieu-lantsch-lenz" TargetMode="External"/><Relationship Id="rId6434" Type="http://schemas.openxmlformats.org/officeDocument/2006/relationships/hyperlink" Target="https://www.immoscout24.ch/fr/appartement/louer/lieu-ascona" TargetMode="External"/><Relationship Id="rId7766" Type="http://schemas.openxmlformats.org/officeDocument/2006/relationships/hyperlink" Target="https://www.immoscout24.ch/fr/appartement/louer/lieu-puplinge" TargetMode="External"/><Relationship Id="rId5104" Type="http://schemas.openxmlformats.org/officeDocument/2006/relationships/hyperlink" Target="https://www.immoscout24.ch/fr/appartement/acheter/lieu-lantsch-lenz" TargetMode="External"/><Relationship Id="rId6435" Type="http://schemas.openxmlformats.org/officeDocument/2006/relationships/hyperlink" Target="https://www.immoscout24.ch/fr/appartement/acheter/lieu-botyre-ayent" TargetMode="External"/><Relationship Id="rId7765" Type="http://schemas.openxmlformats.org/officeDocument/2006/relationships/hyperlink" Target="https://www.immoscout24.ch/fr/appartement/louer/lieu-puplinge" TargetMode="External"/><Relationship Id="rId907" Type="http://schemas.openxmlformats.org/officeDocument/2006/relationships/hyperlink" Target="https://www.immoscout24.ch/fr/maison/acheter/lieu-hochwald" TargetMode="External"/><Relationship Id="rId906" Type="http://schemas.openxmlformats.org/officeDocument/2006/relationships/hyperlink" Target="https://www.immoscout24.ch/fr/maison/louer/region-bale-campagne-ouest" TargetMode="External"/><Relationship Id="rId905" Type="http://schemas.openxmlformats.org/officeDocument/2006/relationships/hyperlink" Target="https://www.immoscout24.ch/fr/maison/louer/region-bale-campagne-ouest" TargetMode="External"/><Relationship Id="rId904" Type="http://schemas.openxmlformats.org/officeDocument/2006/relationships/hyperlink" Target="https://www.immoscout24.ch/fr/appartement/acheter/lieu-boussens" TargetMode="External"/><Relationship Id="rId909" Type="http://schemas.openxmlformats.org/officeDocument/2006/relationships/hyperlink" Target="https://www.immoscout24.ch/fr/appartement/louer/lieu-la-punt-chamues-ch" TargetMode="External"/><Relationship Id="rId908" Type="http://schemas.openxmlformats.org/officeDocument/2006/relationships/hyperlink" Target="https://www.immoscout24.ch/fr/maison/acheter/lieu-hochwald" TargetMode="External"/><Relationship Id="rId903" Type="http://schemas.openxmlformats.org/officeDocument/2006/relationships/hyperlink" Target="https://www.immoscout24.ch/fr/appartement/acheter/lieu-boussens" TargetMode="External"/><Relationship Id="rId902" Type="http://schemas.openxmlformats.org/officeDocument/2006/relationships/hyperlink" Target="https://www.immoscout24.ch/fr/maison/acheter/lieu-cugnasco" TargetMode="External"/><Relationship Id="rId901" Type="http://schemas.openxmlformats.org/officeDocument/2006/relationships/hyperlink" Target="https://www.immoscout24.ch/fr/maison/acheter/lieu-cugnasco" TargetMode="External"/><Relationship Id="rId900" Type="http://schemas.openxmlformats.org/officeDocument/2006/relationships/hyperlink" Target="https://www.immoscout24.ch/fr/maison/acheter/lieu-bioley-orjulaz" TargetMode="External"/><Relationship Id="rId929" Type="http://schemas.openxmlformats.org/officeDocument/2006/relationships/hyperlink" Target="https://www.immoscout24.ch/fr/appartement/louer/lieu-vuiteboeuf" TargetMode="External"/><Relationship Id="rId928" Type="http://schemas.openxmlformats.org/officeDocument/2006/relationships/hyperlink" Target="https://www.immoscout24.ch/fr/appartement/louer/pays-france" TargetMode="External"/><Relationship Id="rId927" Type="http://schemas.openxmlformats.org/officeDocument/2006/relationships/hyperlink" Target="https://www.immoscout24.ch/fr/appartement/louer/pays-france" TargetMode="External"/><Relationship Id="rId926" Type="http://schemas.openxmlformats.org/officeDocument/2006/relationships/hyperlink" Target="https://www.immoscout24.ch/fr/maison/louer/lieu-la-rippe" TargetMode="External"/><Relationship Id="rId921" Type="http://schemas.openxmlformats.org/officeDocument/2006/relationships/hyperlink" Target="https://www.immoscout24.ch/fr/maison/louer/lieu-la-ferriere" TargetMode="External"/><Relationship Id="rId920" Type="http://schemas.openxmlformats.org/officeDocument/2006/relationships/hyperlink" Target="https://www.immoscout24.ch/fr/appartement/acheter/region-valais-central" TargetMode="External"/><Relationship Id="rId925" Type="http://schemas.openxmlformats.org/officeDocument/2006/relationships/hyperlink" Target="https://www.immoscout24.ch/fr/maison/louer/lieu-la-rippe" TargetMode="External"/><Relationship Id="rId924" Type="http://schemas.openxmlformats.org/officeDocument/2006/relationships/hyperlink" Target="https://www.immoscout24.ch/fr/appartement/acheter/lieu-miege" TargetMode="External"/><Relationship Id="rId923" Type="http://schemas.openxmlformats.org/officeDocument/2006/relationships/hyperlink" Target="https://www.immoscout24.ch/fr/appartement/acheter/lieu-miege" TargetMode="External"/><Relationship Id="rId922" Type="http://schemas.openxmlformats.org/officeDocument/2006/relationships/hyperlink" Target="https://www.immoscout24.ch/fr/maison/louer/lieu-la-ferriere" TargetMode="External"/><Relationship Id="rId918" Type="http://schemas.openxmlformats.org/officeDocument/2006/relationships/hyperlink" Target="https://www.immoscout24.ch/fr/maison/acheter/lieu-yvonand" TargetMode="External"/><Relationship Id="rId917" Type="http://schemas.openxmlformats.org/officeDocument/2006/relationships/hyperlink" Target="https://www.immoscout24.ch/fr/maison/acheter/lieu-yvonand" TargetMode="External"/><Relationship Id="rId916" Type="http://schemas.openxmlformats.org/officeDocument/2006/relationships/hyperlink" Target="https://www.immoscout24.ch/fr/maison/louer/lieu-hagneck" TargetMode="External"/><Relationship Id="rId915" Type="http://schemas.openxmlformats.org/officeDocument/2006/relationships/hyperlink" Target="https://www.immoscout24.ch/fr/maison/louer/lieu-hagneck" TargetMode="External"/><Relationship Id="rId919" Type="http://schemas.openxmlformats.org/officeDocument/2006/relationships/hyperlink" Target="https://www.immoscout24.ch/fr/appartement/acheter/region-valais-central" TargetMode="External"/><Relationship Id="rId910" Type="http://schemas.openxmlformats.org/officeDocument/2006/relationships/hyperlink" Target="https://www.immoscout24.ch/fr/appartement/louer/lieu-la-punt-chamues-ch" TargetMode="External"/><Relationship Id="rId914" Type="http://schemas.openxmlformats.org/officeDocument/2006/relationships/hyperlink" Target="https://www.immoscout24.ch/fr/maison/acheter/lieu-rorschacherberg" TargetMode="External"/><Relationship Id="rId913" Type="http://schemas.openxmlformats.org/officeDocument/2006/relationships/hyperlink" Target="https://www.immoscout24.ch/fr/maison/acheter/lieu-rorschacherberg" TargetMode="External"/><Relationship Id="rId912" Type="http://schemas.openxmlformats.org/officeDocument/2006/relationships/hyperlink" Target="https://www.immoscout24.ch/fr/maison/louer/lieu-volketswil" TargetMode="External"/><Relationship Id="rId911" Type="http://schemas.openxmlformats.org/officeDocument/2006/relationships/hyperlink" Target="https://www.immoscout24.ch/fr/maison/louer/lieu-volketswil" TargetMode="External"/><Relationship Id="rId5170" Type="http://schemas.openxmlformats.org/officeDocument/2006/relationships/hyperlink" Target="https://www.immoscout24.ch/fr/maison/acheter/region-gruyere-la-broye-lac-veveyse" TargetMode="External"/><Relationship Id="rId5171" Type="http://schemas.openxmlformats.org/officeDocument/2006/relationships/hyperlink" Target="https://www.immoscout24.ch/fr/maison/louer/lieu-mezieres-vd" TargetMode="External"/><Relationship Id="rId5174" Type="http://schemas.openxmlformats.org/officeDocument/2006/relationships/hyperlink" Target="https://www.immoscout24.ch/fr/maison/acheter/lieu-hittnau" TargetMode="External"/><Relationship Id="rId5175" Type="http://schemas.openxmlformats.org/officeDocument/2006/relationships/hyperlink" Target="https://www.immoscout24.ch/fr/maison/acheter/lieu-vouvry" TargetMode="External"/><Relationship Id="rId5172" Type="http://schemas.openxmlformats.org/officeDocument/2006/relationships/hyperlink" Target="https://www.immoscout24.ch/fr/maison/louer/lieu-mezieres-vd" TargetMode="External"/><Relationship Id="rId5173" Type="http://schemas.openxmlformats.org/officeDocument/2006/relationships/hyperlink" Target="https://www.immoscout24.ch/fr/maison/acheter/lieu-hittnau" TargetMode="External"/><Relationship Id="rId5178" Type="http://schemas.openxmlformats.org/officeDocument/2006/relationships/hyperlink" Target="https://www.immoscout24.ch/fr/appartement/louer/lieu-corbeyrier" TargetMode="External"/><Relationship Id="rId5179" Type="http://schemas.openxmlformats.org/officeDocument/2006/relationships/hyperlink" Target="https://www.immoscout24.ch/fr/maison/acheter/lieu-condemines-nendaz" TargetMode="External"/><Relationship Id="rId5176" Type="http://schemas.openxmlformats.org/officeDocument/2006/relationships/hyperlink" Target="https://www.immoscout24.ch/fr/maison/acheter/lieu-vouvry" TargetMode="External"/><Relationship Id="rId5177" Type="http://schemas.openxmlformats.org/officeDocument/2006/relationships/hyperlink" Target="https://www.immoscout24.ch/fr/appartement/louer/lieu-corbeyrier" TargetMode="External"/><Relationship Id="rId6490" Type="http://schemas.openxmlformats.org/officeDocument/2006/relationships/hyperlink" Target="https://www.immoscout24.ch/fr/maison/acheter/lieu-noreaz" TargetMode="External"/><Relationship Id="rId5160" Type="http://schemas.openxmlformats.org/officeDocument/2006/relationships/hyperlink" Target="https://www.immoscout24.ch/fr/appartement/acheter/lieu-saillon" TargetMode="External"/><Relationship Id="rId6491" Type="http://schemas.openxmlformats.org/officeDocument/2006/relationships/hyperlink" Target="https://www.immoscout24.ch/fr/maison/acheter/lieu-raron" TargetMode="External"/><Relationship Id="rId5163" Type="http://schemas.openxmlformats.org/officeDocument/2006/relationships/hyperlink" Target="https://www.immoscout24.ch/fr/maison/acheter/lieu-camorino" TargetMode="External"/><Relationship Id="rId6494" Type="http://schemas.openxmlformats.org/officeDocument/2006/relationships/hyperlink" Target="https://www.immoscout24.ch/fr/appartement/louer/canton-obwald" TargetMode="External"/><Relationship Id="rId5164" Type="http://schemas.openxmlformats.org/officeDocument/2006/relationships/hyperlink" Target="https://www.immoscout24.ch/fr/maison/acheter/lieu-camorino" TargetMode="External"/><Relationship Id="rId6495" Type="http://schemas.openxmlformats.org/officeDocument/2006/relationships/hyperlink" Target="https://www.immoscout24.ch/fr/appartement/louer/lieu-la-forclaz-vd" TargetMode="External"/><Relationship Id="rId5161" Type="http://schemas.openxmlformats.org/officeDocument/2006/relationships/hyperlink" Target="https://www.immoscout24.ch/fr/appartement/acheter/lieu-wilen-b-wollerau" TargetMode="External"/><Relationship Id="rId6492" Type="http://schemas.openxmlformats.org/officeDocument/2006/relationships/hyperlink" Target="https://www.immoscout24.ch/fr/maison/acheter/lieu-raron" TargetMode="External"/><Relationship Id="rId5162" Type="http://schemas.openxmlformats.org/officeDocument/2006/relationships/hyperlink" Target="https://www.immoscout24.ch/fr/appartement/acheter/lieu-wilen-b-wollerau" TargetMode="External"/><Relationship Id="rId6493" Type="http://schemas.openxmlformats.org/officeDocument/2006/relationships/hyperlink" Target="https://www.immoscout24.ch/fr/appartement/louer/canton-obwald" TargetMode="External"/><Relationship Id="rId5167" Type="http://schemas.openxmlformats.org/officeDocument/2006/relationships/hyperlink" Target="https://www.immoscout24.ch/fr/maison/acheter/lieu-herrenschwanden" TargetMode="External"/><Relationship Id="rId6498" Type="http://schemas.openxmlformats.org/officeDocument/2006/relationships/hyperlink" Target="https://www.immoscout24.ch/fr/appartement/acheter/lieu-fey" TargetMode="External"/><Relationship Id="rId5168" Type="http://schemas.openxmlformats.org/officeDocument/2006/relationships/hyperlink" Target="https://www.immoscout24.ch/fr/maison/acheter/lieu-herrenschwanden" TargetMode="External"/><Relationship Id="rId6499" Type="http://schemas.openxmlformats.org/officeDocument/2006/relationships/hyperlink" Target="https://www.immoscout24.ch/fr/appartement/acheter/lieu-schmitten-fr" TargetMode="External"/><Relationship Id="rId5165" Type="http://schemas.openxmlformats.org/officeDocument/2006/relationships/hyperlink" Target="https://www.immoscout24.ch/fr/maison/acheter/lieu-triengen" TargetMode="External"/><Relationship Id="rId6496" Type="http://schemas.openxmlformats.org/officeDocument/2006/relationships/hyperlink" Target="https://www.immoscout24.ch/fr/appartement/louer/lieu-la-forclaz-vd" TargetMode="External"/><Relationship Id="rId5166" Type="http://schemas.openxmlformats.org/officeDocument/2006/relationships/hyperlink" Target="https://www.immoscout24.ch/fr/maison/acheter/lieu-triengen" TargetMode="External"/><Relationship Id="rId6497" Type="http://schemas.openxmlformats.org/officeDocument/2006/relationships/hyperlink" Target="https://www.immoscout24.ch/fr/appartement/acheter/lieu-fey" TargetMode="External"/><Relationship Id="rId5169" Type="http://schemas.openxmlformats.org/officeDocument/2006/relationships/hyperlink" Target="https://www.immoscout24.ch/fr/maison/acheter/region-gruyere-la-broye-lac-veveyse" TargetMode="External"/><Relationship Id="rId5192" Type="http://schemas.openxmlformats.org/officeDocument/2006/relationships/hyperlink" Target="https://www.immoscout24.ch/fr/appartement/acheter/lieu-choulex" TargetMode="External"/><Relationship Id="rId5193" Type="http://schemas.openxmlformats.org/officeDocument/2006/relationships/hyperlink" Target="https://www.immoscout24.ch/fr/appartement/louer/lieu-vaulruz" TargetMode="External"/><Relationship Id="rId5190" Type="http://schemas.openxmlformats.org/officeDocument/2006/relationships/hyperlink" Target="https://www.immoscout24.ch/fr/maison/acheter/lieu-levron" TargetMode="External"/><Relationship Id="rId5191" Type="http://schemas.openxmlformats.org/officeDocument/2006/relationships/hyperlink" Target="https://www.immoscout24.ch/fr/appartement/acheter/lieu-choulex" TargetMode="External"/><Relationship Id="rId5196" Type="http://schemas.openxmlformats.org/officeDocument/2006/relationships/hyperlink" Target="https://www.immoscout24.ch/fr/appartement/louer/lieu-vaduz" TargetMode="External"/><Relationship Id="rId5197" Type="http://schemas.openxmlformats.org/officeDocument/2006/relationships/hyperlink" Target="https://www.immoscout24.ch/fr/maison/acheter/lieu-mollis" TargetMode="External"/><Relationship Id="rId5194" Type="http://schemas.openxmlformats.org/officeDocument/2006/relationships/hyperlink" Target="https://www.immoscout24.ch/fr/appartement/louer/lieu-vaulruz" TargetMode="External"/><Relationship Id="rId5195" Type="http://schemas.openxmlformats.org/officeDocument/2006/relationships/hyperlink" Target="https://www.immoscout24.ch/fr/appartement/louer/lieu-vaduz" TargetMode="External"/><Relationship Id="rId5198" Type="http://schemas.openxmlformats.org/officeDocument/2006/relationships/hyperlink" Target="https://www.immoscout24.ch/fr/maison/acheter/lieu-mollis" TargetMode="External"/><Relationship Id="rId5199" Type="http://schemas.openxmlformats.org/officeDocument/2006/relationships/hyperlink" Target="https://www.immoscout24.ch/fr/maison/louer/lieu-collonge-bellerive" TargetMode="External"/><Relationship Id="rId5181" Type="http://schemas.openxmlformats.org/officeDocument/2006/relationships/hyperlink" Target="https://www.immoscout24.ch/fr/appartement/louer/lieu-saviese" TargetMode="External"/><Relationship Id="rId5182" Type="http://schemas.openxmlformats.org/officeDocument/2006/relationships/hyperlink" Target="https://www.immoscout24.ch/fr/appartement/louer/lieu-saviese" TargetMode="External"/><Relationship Id="rId5180" Type="http://schemas.openxmlformats.org/officeDocument/2006/relationships/hyperlink" Target="https://www.immoscout24.ch/fr/maison/acheter/lieu-condemines-nendaz" TargetMode="External"/><Relationship Id="rId5185" Type="http://schemas.openxmlformats.org/officeDocument/2006/relationships/hyperlink" Target="https://www.immoscout24.ch/fr/appartement/acheter/lieu-muerren" TargetMode="External"/><Relationship Id="rId5186" Type="http://schemas.openxmlformats.org/officeDocument/2006/relationships/hyperlink" Target="https://www.immoscout24.ch/fr/appartement/acheter/lieu-muerren" TargetMode="External"/><Relationship Id="rId5183" Type="http://schemas.openxmlformats.org/officeDocument/2006/relationships/hyperlink" Target="https://www.immoscout24.ch/fr/maison/acheter/lieu-forel-lavaux" TargetMode="External"/><Relationship Id="rId5184" Type="http://schemas.openxmlformats.org/officeDocument/2006/relationships/hyperlink" Target="https://www.immoscout24.ch/fr/maison/acheter/lieu-forel-lavaux" TargetMode="External"/><Relationship Id="rId5189" Type="http://schemas.openxmlformats.org/officeDocument/2006/relationships/hyperlink" Target="https://www.immoscout24.ch/fr/maison/acheter/lieu-levron" TargetMode="External"/><Relationship Id="rId5187" Type="http://schemas.openxmlformats.org/officeDocument/2006/relationships/hyperlink" Target="https://www.immoscout24.ch/fr/appartement/louer/lieu-stettlen" TargetMode="External"/><Relationship Id="rId5188" Type="http://schemas.openxmlformats.org/officeDocument/2006/relationships/hyperlink" Target="https://www.immoscout24.ch/fr/appartement/louer/lieu-stettlen" TargetMode="External"/><Relationship Id="rId866" Type="http://schemas.openxmlformats.org/officeDocument/2006/relationships/hyperlink" Target="https://www.immoscout24.ch/fr/maison/acheter/lieu-sevaz" TargetMode="External"/><Relationship Id="rId865" Type="http://schemas.openxmlformats.org/officeDocument/2006/relationships/hyperlink" Target="https://www.immoscout24.ch/fr/maison/acheter/lieu-sevaz" TargetMode="External"/><Relationship Id="rId864" Type="http://schemas.openxmlformats.org/officeDocument/2006/relationships/hyperlink" Target="https://www.immoscout24.ch/fr/appartement/louer/lieu-pfyn" TargetMode="External"/><Relationship Id="rId863" Type="http://schemas.openxmlformats.org/officeDocument/2006/relationships/hyperlink" Target="https://www.immoscout24.ch/fr/appartement/louer/lieu-pfyn" TargetMode="External"/><Relationship Id="rId869" Type="http://schemas.openxmlformats.org/officeDocument/2006/relationships/hyperlink" Target="https://www.immoscout24.ch/fr/appartement/louer/lieu-gals" TargetMode="External"/><Relationship Id="rId868" Type="http://schemas.openxmlformats.org/officeDocument/2006/relationships/hyperlink" Target="https://www.immoscout24.ch/fr/appartement/acheter/quartier-vernand-lausanne" TargetMode="External"/><Relationship Id="rId867" Type="http://schemas.openxmlformats.org/officeDocument/2006/relationships/hyperlink" Target="https://www.immoscout24.ch/fr/appartement/acheter/quartier-vernand-lausanne" TargetMode="External"/><Relationship Id="rId862" Type="http://schemas.openxmlformats.org/officeDocument/2006/relationships/hyperlink" Target="https://www.immoscout24.ch/fr/maison/louer/lieu-givrins" TargetMode="External"/><Relationship Id="rId861" Type="http://schemas.openxmlformats.org/officeDocument/2006/relationships/hyperlink" Target="https://www.immoscout24.ch/fr/maison/louer/lieu-givrins" TargetMode="External"/><Relationship Id="rId860" Type="http://schemas.openxmlformats.org/officeDocument/2006/relationships/hyperlink" Target="https://www.immoscout24.ch/fr/maison/acheter/lieu-renens-vd" TargetMode="External"/><Relationship Id="rId855" Type="http://schemas.openxmlformats.org/officeDocument/2006/relationships/hyperlink" Target="https://www.immoscout24.ch/fr/appartement/acheter/lieu-schaffhausen" TargetMode="External"/><Relationship Id="rId854" Type="http://schemas.openxmlformats.org/officeDocument/2006/relationships/hyperlink" Target="https://www.immoscout24.ch/fr/appartement/acheter/lieu-massagno" TargetMode="External"/><Relationship Id="rId853" Type="http://schemas.openxmlformats.org/officeDocument/2006/relationships/hyperlink" Target="https://www.immoscout24.ch/fr/appartement/acheter/lieu-massagno" TargetMode="External"/><Relationship Id="rId852" Type="http://schemas.openxmlformats.org/officeDocument/2006/relationships/hyperlink" Target="https://www.immoscout24.ch/fr/maison/acheter/lieu-vercorin" TargetMode="External"/><Relationship Id="rId859" Type="http://schemas.openxmlformats.org/officeDocument/2006/relationships/hyperlink" Target="https://www.immoscout24.ch/fr/maison/acheter/lieu-renens-vd" TargetMode="External"/><Relationship Id="rId858" Type="http://schemas.openxmlformats.org/officeDocument/2006/relationships/hyperlink" Target="https://www.immoscout24.ch/fr/appartement/louer/lieu-ruefenacht-be" TargetMode="External"/><Relationship Id="rId857" Type="http://schemas.openxmlformats.org/officeDocument/2006/relationships/hyperlink" Target="https://www.immoscout24.ch/fr/appartement/louer/lieu-ruefenacht-be" TargetMode="External"/><Relationship Id="rId856" Type="http://schemas.openxmlformats.org/officeDocument/2006/relationships/hyperlink" Target="https://www.immoscout24.ch/fr/appartement/acheter/lieu-schaffhausen" TargetMode="External"/><Relationship Id="rId851" Type="http://schemas.openxmlformats.org/officeDocument/2006/relationships/hyperlink" Target="https://www.immoscout24.ch/fr/maison/acheter/lieu-vercorin" TargetMode="External"/><Relationship Id="rId850" Type="http://schemas.openxmlformats.org/officeDocument/2006/relationships/hyperlink" Target="https://www.immoscout24.ch/fr/appartement/acheter/lieu-volketswil" TargetMode="External"/><Relationship Id="rId888" Type="http://schemas.openxmlformats.org/officeDocument/2006/relationships/hyperlink" Target="https://www.immoscout24.ch/fr/appartement/louer/lieu-allaman" TargetMode="External"/><Relationship Id="rId887" Type="http://schemas.openxmlformats.org/officeDocument/2006/relationships/hyperlink" Target="https://www.immoscout24.ch/fr/appartement/louer/lieu-allaman" TargetMode="External"/><Relationship Id="rId886" Type="http://schemas.openxmlformats.org/officeDocument/2006/relationships/hyperlink" Target="https://www.immoscout24.ch/fr/appartement/louer/lieu-eggerberg" TargetMode="External"/><Relationship Id="rId885" Type="http://schemas.openxmlformats.org/officeDocument/2006/relationships/hyperlink" Target="https://www.immoscout24.ch/fr/appartement/louer/lieu-eggerberg" TargetMode="External"/><Relationship Id="rId889" Type="http://schemas.openxmlformats.org/officeDocument/2006/relationships/hyperlink" Target="https://www.immoscout24.ch/fr/appartement/louer/lieu-le-sechey" TargetMode="External"/><Relationship Id="rId880" Type="http://schemas.openxmlformats.org/officeDocument/2006/relationships/hyperlink" Target="https://www.immoscout24.ch/fr/maison/louer/lieu-nax" TargetMode="External"/><Relationship Id="rId884" Type="http://schemas.openxmlformats.org/officeDocument/2006/relationships/hyperlink" Target="https://www.immoscout24.ch/fr/maison/acheter/region-zueri-obersee" TargetMode="External"/><Relationship Id="rId883" Type="http://schemas.openxmlformats.org/officeDocument/2006/relationships/hyperlink" Target="https://www.immoscout24.ch/fr/maison/acheter/region-zueri-obersee" TargetMode="External"/><Relationship Id="rId882" Type="http://schemas.openxmlformats.org/officeDocument/2006/relationships/hyperlink" Target="https://www.immoscout24.ch/fr/maison/acheter/lieu-gurmels" TargetMode="External"/><Relationship Id="rId881" Type="http://schemas.openxmlformats.org/officeDocument/2006/relationships/hyperlink" Target="https://www.immoscout24.ch/fr/maison/acheter/lieu-gurmels" TargetMode="External"/><Relationship Id="rId877" Type="http://schemas.openxmlformats.org/officeDocument/2006/relationships/hyperlink" Target="https://www.immoscout24.ch/fr/maison/acheter/lieu-les-hauts-geneveys" TargetMode="External"/><Relationship Id="rId876" Type="http://schemas.openxmlformats.org/officeDocument/2006/relationships/hyperlink" Target="https://www.immoscout24.ch/fr/appartement/acheter/lieu-schoenenbuch" TargetMode="External"/><Relationship Id="rId875" Type="http://schemas.openxmlformats.org/officeDocument/2006/relationships/hyperlink" Target="https://www.immoscout24.ch/fr/appartement/acheter/lieu-schoenenbuch" TargetMode="External"/><Relationship Id="rId874" Type="http://schemas.openxmlformats.org/officeDocument/2006/relationships/hyperlink" Target="https://www.immoscout24.ch/fr/appartement/louer/lieu-treytorrens-payerne" TargetMode="External"/><Relationship Id="rId879" Type="http://schemas.openxmlformats.org/officeDocument/2006/relationships/hyperlink" Target="https://www.immoscout24.ch/fr/maison/louer/lieu-nax" TargetMode="External"/><Relationship Id="rId878" Type="http://schemas.openxmlformats.org/officeDocument/2006/relationships/hyperlink" Target="https://www.immoscout24.ch/fr/maison/acheter/lieu-les-hauts-geneveys" TargetMode="External"/><Relationship Id="rId873" Type="http://schemas.openxmlformats.org/officeDocument/2006/relationships/hyperlink" Target="https://www.immoscout24.ch/fr/appartement/louer/lieu-treytorrens-payerne" TargetMode="External"/><Relationship Id="rId872" Type="http://schemas.openxmlformats.org/officeDocument/2006/relationships/hyperlink" Target="https://www.immoscout24.ch/fr/appartement/louer/lieu-chavannes-sur-moudon" TargetMode="External"/><Relationship Id="rId871" Type="http://schemas.openxmlformats.org/officeDocument/2006/relationships/hyperlink" Target="https://www.immoscout24.ch/fr/appartement/louer/lieu-chavannes-sur-moudon" TargetMode="External"/><Relationship Id="rId870" Type="http://schemas.openxmlformats.org/officeDocument/2006/relationships/hyperlink" Target="https://www.immoscout24.ch/fr/appartement/louer/lieu-gals" TargetMode="External"/><Relationship Id="rId829" Type="http://schemas.openxmlformats.org/officeDocument/2006/relationships/hyperlink" Target="https://www.immoscout24.ch/fr/appartement/acheter/lieu-gals" TargetMode="External"/><Relationship Id="rId828" Type="http://schemas.openxmlformats.org/officeDocument/2006/relationships/hyperlink" Target="https://www.immoscout24.ch/fr/appartement/louer/lieu-les-sciernes-d-albeuve" TargetMode="External"/><Relationship Id="rId827" Type="http://schemas.openxmlformats.org/officeDocument/2006/relationships/hyperlink" Target="https://www.immoscout24.ch/fr/appartement/louer/lieu-les-sciernes-d-albeuve" TargetMode="External"/><Relationship Id="rId822" Type="http://schemas.openxmlformats.org/officeDocument/2006/relationships/hyperlink" Target="https://www.immoscout24.ch/fr/maison/acheter/lieu-chippis" TargetMode="External"/><Relationship Id="rId821" Type="http://schemas.openxmlformats.org/officeDocument/2006/relationships/hyperlink" Target="https://www.immoscout24.ch/fr/maison/acheter/lieu-chippis" TargetMode="External"/><Relationship Id="rId820" Type="http://schemas.openxmlformats.org/officeDocument/2006/relationships/hyperlink" Target="https://www.immoscout24.ch/fr/maison/acheter/lieu-faoug" TargetMode="External"/><Relationship Id="rId826" Type="http://schemas.openxmlformats.org/officeDocument/2006/relationships/hyperlink" Target="https://www.immoscout24.ch/fr/maison/acheter/lieu-le-chatelard-pres-romont" TargetMode="External"/><Relationship Id="rId825" Type="http://schemas.openxmlformats.org/officeDocument/2006/relationships/hyperlink" Target="https://www.immoscout24.ch/fr/maison/acheter/lieu-le-chatelard-pres-romont" TargetMode="External"/><Relationship Id="rId824" Type="http://schemas.openxmlformats.org/officeDocument/2006/relationships/hyperlink" Target="https://www.immoscout24.ch/fr/maison/acheter/lieu-brugg-ag" TargetMode="External"/><Relationship Id="rId823" Type="http://schemas.openxmlformats.org/officeDocument/2006/relationships/hyperlink" Target="https://www.immoscout24.ch/fr/maison/acheter/lieu-brugg-ag" TargetMode="External"/><Relationship Id="rId819" Type="http://schemas.openxmlformats.org/officeDocument/2006/relationships/hyperlink" Target="https://www.immoscout24.ch/fr/maison/acheter/lieu-faoug" TargetMode="External"/><Relationship Id="rId818" Type="http://schemas.openxmlformats.org/officeDocument/2006/relationships/hyperlink" Target="https://www.immoscout24.ch/fr/maison/acheter/lieu-orges" TargetMode="External"/><Relationship Id="rId817" Type="http://schemas.openxmlformats.org/officeDocument/2006/relationships/hyperlink" Target="https://www.immoscout24.ch/fr/maison/acheter/lieu-orges" TargetMode="External"/><Relationship Id="rId816" Type="http://schemas.openxmlformats.org/officeDocument/2006/relationships/hyperlink" Target="https://www.immoscout24.ch/fr/appartement/louer/lieu-schafisheim" TargetMode="External"/><Relationship Id="rId811" Type="http://schemas.openxmlformats.org/officeDocument/2006/relationships/hyperlink" Target="https://www.immoscout24.ch/fr/appartement/acheter/lieu-chalais" TargetMode="External"/><Relationship Id="rId810" Type="http://schemas.openxmlformats.org/officeDocument/2006/relationships/hyperlink" Target="https://www.immoscout24.ch/fr/maison/acheter/lieu-volleges" TargetMode="External"/><Relationship Id="rId815" Type="http://schemas.openxmlformats.org/officeDocument/2006/relationships/hyperlink" Target="https://www.immoscout24.ch/fr/appartement/louer/lieu-schafisheim" TargetMode="External"/><Relationship Id="rId814" Type="http://schemas.openxmlformats.org/officeDocument/2006/relationships/hyperlink" Target="https://www.immoscout24.ch/fr/maison/louer/lieu-luterbach" TargetMode="External"/><Relationship Id="rId813" Type="http://schemas.openxmlformats.org/officeDocument/2006/relationships/hyperlink" Target="https://www.immoscout24.ch/fr/maison/louer/lieu-luterbach" TargetMode="External"/><Relationship Id="rId812" Type="http://schemas.openxmlformats.org/officeDocument/2006/relationships/hyperlink" Target="https://www.immoscout24.ch/fr/appartement/acheter/lieu-chalais" TargetMode="External"/><Relationship Id="rId849" Type="http://schemas.openxmlformats.org/officeDocument/2006/relationships/hyperlink" Target="https://www.immoscout24.ch/fr/appartement/acheter/lieu-volketswil" TargetMode="External"/><Relationship Id="rId844" Type="http://schemas.openxmlformats.org/officeDocument/2006/relationships/hyperlink" Target="https://www.immoscout24.ch/fr/appartement/louer/lieu-chiasso" TargetMode="External"/><Relationship Id="rId843" Type="http://schemas.openxmlformats.org/officeDocument/2006/relationships/hyperlink" Target="https://www.immoscout24.ch/fr/appartement/louer/lieu-chiasso" TargetMode="External"/><Relationship Id="rId842" Type="http://schemas.openxmlformats.org/officeDocument/2006/relationships/hyperlink" Target="https://www.immoscout24.ch/fr/maison/louer/lieu-crassier" TargetMode="External"/><Relationship Id="rId841" Type="http://schemas.openxmlformats.org/officeDocument/2006/relationships/hyperlink" Target="https://www.immoscout24.ch/fr/maison/louer/lieu-crassier" TargetMode="External"/><Relationship Id="rId848" Type="http://schemas.openxmlformats.org/officeDocument/2006/relationships/hyperlink" Target="https://www.immoscout24.ch/fr/maison/louer/region-campagne-gros-de-vaud" TargetMode="External"/><Relationship Id="rId847" Type="http://schemas.openxmlformats.org/officeDocument/2006/relationships/hyperlink" Target="https://www.immoscout24.ch/fr/maison/louer/region-campagne-gros-de-vaud" TargetMode="External"/><Relationship Id="rId846" Type="http://schemas.openxmlformats.org/officeDocument/2006/relationships/hyperlink" Target="https://www.immoscout24.ch/fr/appartement/louer/lieu-la-sage" TargetMode="External"/><Relationship Id="rId845" Type="http://schemas.openxmlformats.org/officeDocument/2006/relationships/hyperlink" Target="https://www.immoscout24.ch/fr/appartement/louer/lieu-la-sage" TargetMode="External"/><Relationship Id="rId840" Type="http://schemas.openxmlformats.org/officeDocument/2006/relationships/hyperlink" Target="https://www.immoscout24.ch/fr/maison/louer/lieu-champagne" TargetMode="External"/><Relationship Id="rId839" Type="http://schemas.openxmlformats.org/officeDocument/2006/relationships/hyperlink" Target="https://www.immoscout24.ch/fr/maison/louer/lieu-champagne" TargetMode="External"/><Relationship Id="rId838" Type="http://schemas.openxmlformats.org/officeDocument/2006/relationships/hyperlink" Target="https://www.immoscout24.ch/fr/appartement/acheter/lieu-st-aubin-fr" TargetMode="External"/><Relationship Id="rId833" Type="http://schemas.openxmlformats.org/officeDocument/2006/relationships/hyperlink" Target="https://www.immoscout24.ch/fr/appartement/acheter/lieu-vitznau" TargetMode="External"/><Relationship Id="rId832" Type="http://schemas.openxmlformats.org/officeDocument/2006/relationships/hyperlink" Target="https://www.immoscout24.ch/fr/appartement/louer/lieu-murgenthal" TargetMode="External"/><Relationship Id="rId831" Type="http://schemas.openxmlformats.org/officeDocument/2006/relationships/hyperlink" Target="https://www.immoscout24.ch/fr/appartement/louer/lieu-murgenthal" TargetMode="External"/><Relationship Id="rId830" Type="http://schemas.openxmlformats.org/officeDocument/2006/relationships/hyperlink" Target="https://www.immoscout24.ch/fr/appartement/acheter/lieu-gals" TargetMode="External"/><Relationship Id="rId837" Type="http://schemas.openxmlformats.org/officeDocument/2006/relationships/hyperlink" Target="https://www.immoscout24.ch/fr/appartement/acheter/lieu-st-aubin-fr" TargetMode="External"/><Relationship Id="rId836" Type="http://schemas.openxmlformats.org/officeDocument/2006/relationships/hyperlink" Target="https://www.immoscout24.ch/fr/maison/acheter/lieu-nemiaz-chamoson" TargetMode="External"/><Relationship Id="rId835" Type="http://schemas.openxmlformats.org/officeDocument/2006/relationships/hyperlink" Target="https://www.immoscout24.ch/fr/maison/acheter/lieu-nemiaz-chamoson" TargetMode="External"/><Relationship Id="rId834" Type="http://schemas.openxmlformats.org/officeDocument/2006/relationships/hyperlink" Target="https://www.immoscout24.ch/fr/appartement/acheter/lieu-vitznau" TargetMode="External"/><Relationship Id="rId6506" Type="http://schemas.openxmlformats.org/officeDocument/2006/relationships/hyperlink" Target="https://www.immoscout24.ch/fr/maison/acheter/lieu-lauenen-b-gstaad" TargetMode="External"/><Relationship Id="rId7838" Type="http://schemas.openxmlformats.org/officeDocument/2006/relationships/hyperlink" Target="https://www.immoscout24.ch/fr/appartement/louer/lieu-la-brevine" TargetMode="External"/><Relationship Id="rId6507" Type="http://schemas.openxmlformats.org/officeDocument/2006/relationships/hyperlink" Target="https://www.immoscout24.ch/fr/appartement/acheter/lieu-biere" TargetMode="External"/><Relationship Id="rId7837" Type="http://schemas.openxmlformats.org/officeDocument/2006/relationships/hyperlink" Target="https://www.immoscout24.ch/fr/appartement/louer/lieu-la-brevine" TargetMode="External"/><Relationship Id="rId6504" Type="http://schemas.openxmlformats.org/officeDocument/2006/relationships/hyperlink" Target="https://www.immoscout24.ch/fr/appartement/louer/lieu-chailly-montreux" TargetMode="External"/><Relationship Id="rId7836" Type="http://schemas.openxmlformats.org/officeDocument/2006/relationships/hyperlink" Target="https://www.immoscout24.ch/fr/maison/acheter/lieu-les-crosets" TargetMode="External"/><Relationship Id="rId6505" Type="http://schemas.openxmlformats.org/officeDocument/2006/relationships/hyperlink" Target="https://www.immoscout24.ch/fr/maison/acheter/lieu-lauenen-b-gstaad" TargetMode="External"/><Relationship Id="rId7835" Type="http://schemas.openxmlformats.org/officeDocument/2006/relationships/hyperlink" Target="https://www.immoscout24.ch/fr/maison/acheter/lieu-les-crosets" TargetMode="External"/><Relationship Id="rId6508" Type="http://schemas.openxmlformats.org/officeDocument/2006/relationships/hyperlink" Target="https://www.immoscout24.ch/fr/appartement/acheter/lieu-biere" TargetMode="External"/><Relationship Id="rId6509" Type="http://schemas.openxmlformats.org/officeDocument/2006/relationships/hyperlink" Target="https://www.immoscout24.ch/fr/maison/acheter/lieu-aumont" TargetMode="External"/><Relationship Id="rId7839" Type="http://schemas.openxmlformats.org/officeDocument/2006/relationships/hyperlink" Target="https://www.immoscout24.ch/fr/appartement/louer/lieu-champoz" TargetMode="External"/><Relationship Id="rId7830" Type="http://schemas.openxmlformats.org/officeDocument/2006/relationships/hyperlink" Target="https://www.immoscout24.ch/fr/appartement/acheter/lieu-bramois" TargetMode="External"/><Relationship Id="rId6502" Type="http://schemas.openxmlformats.org/officeDocument/2006/relationships/hyperlink" Target="https://www.immoscout24.ch/fr/appartement/louer/lieu-promasens" TargetMode="External"/><Relationship Id="rId7834" Type="http://schemas.openxmlformats.org/officeDocument/2006/relationships/hyperlink" Target="https://www.immoscout24.ch/fr/appartement/louer/lieu-bursinel" TargetMode="External"/><Relationship Id="rId6503" Type="http://schemas.openxmlformats.org/officeDocument/2006/relationships/hyperlink" Target="https://www.immoscout24.ch/fr/appartement/louer/lieu-chailly-montreux" TargetMode="External"/><Relationship Id="rId7833" Type="http://schemas.openxmlformats.org/officeDocument/2006/relationships/hyperlink" Target="https://www.immoscout24.ch/fr/appartement/louer/lieu-bursinel" TargetMode="External"/><Relationship Id="rId6500" Type="http://schemas.openxmlformats.org/officeDocument/2006/relationships/hyperlink" Target="https://www.immoscout24.ch/fr/appartement/acheter/lieu-schmitten-fr" TargetMode="External"/><Relationship Id="rId7832" Type="http://schemas.openxmlformats.org/officeDocument/2006/relationships/hyperlink" Target="https://www.immoscout24.ch/fr/maison/acheter/region-glattal" TargetMode="External"/><Relationship Id="rId6501" Type="http://schemas.openxmlformats.org/officeDocument/2006/relationships/hyperlink" Target="https://www.immoscout24.ch/fr/appartement/louer/lieu-promasens" TargetMode="External"/><Relationship Id="rId7831" Type="http://schemas.openxmlformats.org/officeDocument/2006/relationships/hyperlink" Target="https://www.immoscout24.ch/fr/maison/acheter/region-glattal" TargetMode="External"/><Relationship Id="rId7827" Type="http://schemas.openxmlformats.org/officeDocument/2006/relationships/hyperlink" Target="https://www.immoscout24.ch/fr/appartement/louer/lieu-vendlincourt" TargetMode="External"/><Relationship Id="rId7826" Type="http://schemas.openxmlformats.org/officeDocument/2006/relationships/hyperlink" Target="https://www.immoscout24.ch/fr/appartement/acheter/lieu-oberdorf-so" TargetMode="External"/><Relationship Id="rId7825" Type="http://schemas.openxmlformats.org/officeDocument/2006/relationships/hyperlink" Target="https://www.immoscout24.ch/fr/appartement/acheter/lieu-oberdorf-so" TargetMode="External"/><Relationship Id="rId7824" Type="http://schemas.openxmlformats.org/officeDocument/2006/relationships/hyperlink" Target="https://www.immoscout24.ch/fr/appartement/louer/canton-berne" TargetMode="External"/><Relationship Id="rId7829" Type="http://schemas.openxmlformats.org/officeDocument/2006/relationships/hyperlink" Target="https://www.immoscout24.ch/fr/appartement/acheter/lieu-bramois" TargetMode="External"/><Relationship Id="rId7828" Type="http://schemas.openxmlformats.org/officeDocument/2006/relationships/hyperlink" Target="https://www.immoscout24.ch/fr/appartement/louer/lieu-vendlincourt" TargetMode="External"/><Relationship Id="rId7823" Type="http://schemas.openxmlformats.org/officeDocument/2006/relationships/hyperlink" Target="https://www.immoscout24.ch/fr/appartement/louer/canton-berne" TargetMode="External"/><Relationship Id="rId7822" Type="http://schemas.openxmlformats.org/officeDocument/2006/relationships/hyperlink" Target="https://www.immoscout24.ch/fr/appartement/louer/lieu-concise" TargetMode="External"/><Relationship Id="rId7821" Type="http://schemas.openxmlformats.org/officeDocument/2006/relationships/hyperlink" Target="https://www.immoscout24.ch/fr/appartement/louer/lieu-concise" TargetMode="External"/><Relationship Id="rId7820" Type="http://schemas.openxmlformats.org/officeDocument/2006/relationships/hyperlink" Target="https://www.immoscout24.ch/fr/appartement/louer/lieu-balsthal" TargetMode="External"/><Relationship Id="rId6528" Type="http://schemas.openxmlformats.org/officeDocument/2006/relationships/hyperlink" Target="https://www.immoscout24.ch/fr/maison/louer/lieu-chermignon" TargetMode="External"/><Relationship Id="rId6529" Type="http://schemas.openxmlformats.org/officeDocument/2006/relationships/hyperlink" Target="https://www.immoscout24.ch/fr/appartement/louer/lieu-origlio" TargetMode="External"/><Relationship Id="rId7859" Type="http://schemas.openxmlformats.org/officeDocument/2006/relationships/hyperlink" Target="https://www.immoscout24.ch/fr/appartement/acheter/quartier-sous-gare-ouchy-lausanne" TargetMode="External"/><Relationship Id="rId6526" Type="http://schemas.openxmlformats.org/officeDocument/2006/relationships/hyperlink" Target="https://www.immoscout24.ch/fr/maison/acheter/lieu-bole" TargetMode="External"/><Relationship Id="rId7858" Type="http://schemas.openxmlformats.org/officeDocument/2006/relationships/hyperlink" Target="https://www.immoscout24.ch/fr/maison/acheter/lieu-lamboing" TargetMode="External"/><Relationship Id="rId6527" Type="http://schemas.openxmlformats.org/officeDocument/2006/relationships/hyperlink" Target="https://www.immoscout24.ch/fr/maison/louer/lieu-chermignon" TargetMode="External"/><Relationship Id="rId7857" Type="http://schemas.openxmlformats.org/officeDocument/2006/relationships/hyperlink" Target="https://www.immoscout24.ch/fr/maison/acheter/lieu-lamboing" TargetMode="External"/><Relationship Id="rId6520" Type="http://schemas.openxmlformats.org/officeDocument/2006/relationships/hyperlink" Target="https://www.immoscout24.ch/fr/maison/acheter/lieu-boningen" TargetMode="External"/><Relationship Id="rId7852" Type="http://schemas.openxmlformats.org/officeDocument/2006/relationships/hyperlink" Target="https://www.immoscout24.ch/fr/appartement/louer/lieu-schwanden-gl" TargetMode="External"/><Relationship Id="rId6521" Type="http://schemas.openxmlformats.org/officeDocument/2006/relationships/hyperlink" Target="https://www.immoscout24.ch/fr/appartement/louer/quartier-baselstrasse-bernstrasse-lucerne" TargetMode="External"/><Relationship Id="rId7851" Type="http://schemas.openxmlformats.org/officeDocument/2006/relationships/hyperlink" Target="https://www.immoscout24.ch/fr/appartement/louer/lieu-schwanden-gl" TargetMode="External"/><Relationship Id="rId7850" Type="http://schemas.openxmlformats.org/officeDocument/2006/relationships/hyperlink" Target="https://www.immoscout24.ch/fr/maison/acheter/lieu-colla" TargetMode="External"/><Relationship Id="rId6524" Type="http://schemas.openxmlformats.org/officeDocument/2006/relationships/hyperlink" Target="https://www.immoscout24.ch/fr/maison/acheter/quartier-alpes-neuchatel" TargetMode="External"/><Relationship Id="rId7856" Type="http://schemas.openxmlformats.org/officeDocument/2006/relationships/hyperlink" Target="https://www.immoscout24.ch/fr/appartement/louer/lieu-corban" TargetMode="External"/><Relationship Id="rId6525" Type="http://schemas.openxmlformats.org/officeDocument/2006/relationships/hyperlink" Target="https://www.immoscout24.ch/fr/maison/acheter/lieu-bole" TargetMode="External"/><Relationship Id="rId7855" Type="http://schemas.openxmlformats.org/officeDocument/2006/relationships/hyperlink" Target="https://www.immoscout24.ch/fr/appartement/louer/lieu-corban" TargetMode="External"/><Relationship Id="rId6522" Type="http://schemas.openxmlformats.org/officeDocument/2006/relationships/hyperlink" Target="https://www.immoscout24.ch/fr/appartement/louer/quartier-baselstrasse-bernstrasse-lucerne" TargetMode="External"/><Relationship Id="rId7854" Type="http://schemas.openxmlformats.org/officeDocument/2006/relationships/hyperlink" Target="https://www.immoscout24.ch/fr/appartement/louer/lieu-sevelen" TargetMode="External"/><Relationship Id="rId6523" Type="http://schemas.openxmlformats.org/officeDocument/2006/relationships/hyperlink" Target="https://www.immoscout24.ch/fr/maison/acheter/quartier-alpes-neuchatel" TargetMode="External"/><Relationship Id="rId7853" Type="http://schemas.openxmlformats.org/officeDocument/2006/relationships/hyperlink" Target="https://www.immoscout24.ch/fr/appartement/louer/lieu-sevelen" TargetMode="External"/><Relationship Id="rId6517" Type="http://schemas.openxmlformats.org/officeDocument/2006/relationships/hyperlink" Target="https://www.immoscout24.ch/fr/appartement/acheter/lieu-gumefens" TargetMode="External"/><Relationship Id="rId7849" Type="http://schemas.openxmlformats.org/officeDocument/2006/relationships/hyperlink" Target="https://www.immoscout24.ch/fr/maison/acheter/lieu-colla" TargetMode="External"/><Relationship Id="rId6518" Type="http://schemas.openxmlformats.org/officeDocument/2006/relationships/hyperlink" Target="https://www.immoscout24.ch/fr/appartement/acheter/lieu-gumefens" TargetMode="External"/><Relationship Id="rId7848" Type="http://schemas.openxmlformats.org/officeDocument/2006/relationships/hyperlink" Target="https://www.immoscout24.ch/fr/maison/acheter/region-mendrisiotto" TargetMode="External"/><Relationship Id="rId6515" Type="http://schemas.openxmlformats.org/officeDocument/2006/relationships/hyperlink" Target="https://www.immoscout24.ch/fr/maison/acheter/lieu-grenilles" TargetMode="External"/><Relationship Id="rId7847" Type="http://schemas.openxmlformats.org/officeDocument/2006/relationships/hyperlink" Target="https://www.immoscout24.ch/fr/maison/acheter/region-mendrisiotto" TargetMode="External"/><Relationship Id="rId6516" Type="http://schemas.openxmlformats.org/officeDocument/2006/relationships/hyperlink" Target="https://www.immoscout24.ch/fr/maison/acheter/lieu-grenilles" TargetMode="External"/><Relationship Id="rId7846" Type="http://schemas.openxmlformats.org/officeDocument/2006/relationships/hyperlink" Target="https://www.immoscout24.ch/fr/maison/acheter/lieu-merzligen" TargetMode="External"/><Relationship Id="rId6519" Type="http://schemas.openxmlformats.org/officeDocument/2006/relationships/hyperlink" Target="https://www.immoscout24.ch/fr/maison/acheter/lieu-boningen" TargetMode="External"/><Relationship Id="rId7841" Type="http://schemas.openxmlformats.org/officeDocument/2006/relationships/hyperlink" Target="https://www.immoscout24.ch/fr/appartement/louer/lieu-gempenach" TargetMode="External"/><Relationship Id="rId6510" Type="http://schemas.openxmlformats.org/officeDocument/2006/relationships/hyperlink" Target="https://www.immoscout24.ch/fr/maison/acheter/lieu-aumont" TargetMode="External"/><Relationship Id="rId7840" Type="http://schemas.openxmlformats.org/officeDocument/2006/relationships/hyperlink" Target="https://www.immoscout24.ch/fr/appartement/louer/lieu-champoz" TargetMode="External"/><Relationship Id="rId6513" Type="http://schemas.openxmlformats.org/officeDocument/2006/relationships/hyperlink" Target="https://www.immoscout24.ch/fr/appartement/louer/lieu-caux" TargetMode="External"/><Relationship Id="rId7845" Type="http://schemas.openxmlformats.org/officeDocument/2006/relationships/hyperlink" Target="https://www.immoscout24.ch/fr/maison/acheter/lieu-merzligen" TargetMode="External"/><Relationship Id="rId6514" Type="http://schemas.openxmlformats.org/officeDocument/2006/relationships/hyperlink" Target="https://www.immoscout24.ch/fr/appartement/louer/lieu-caux" TargetMode="External"/><Relationship Id="rId7844" Type="http://schemas.openxmlformats.org/officeDocument/2006/relationships/hyperlink" Target="https://www.immoscout24.ch/fr/maison/louer/lieu-thonex" TargetMode="External"/><Relationship Id="rId6511" Type="http://schemas.openxmlformats.org/officeDocument/2006/relationships/hyperlink" Target="https://www.immoscout24.ch/fr/maison/louer/lieu-steinhausen" TargetMode="External"/><Relationship Id="rId7843" Type="http://schemas.openxmlformats.org/officeDocument/2006/relationships/hyperlink" Target="https://www.immoscout24.ch/fr/maison/louer/lieu-thonex" TargetMode="External"/><Relationship Id="rId6512" Type="http://schemas.openxmlformats.org/officeDocument/2006/relationships/hyperlink" Target="https://www.immoscout24.ch/fr/maison/louer/lieu-steinhausen" TargetMode="External"/><Relationship Id="rId7842" Type="http://schemas.openxmlformats.org/officeDocument/2006/relationships/hyperlink" Target="https://www.immoscout24.ch/fr/appartement/louer/lieu-gempenach" TargetMode="External"/><Relationship Id="rId899" Type="http://schemas.openxmlformats.org/officeDocument/2006/relationships/hyperlink" Target="https://www.immoscout24.ch/fr/maison/acheter/lieu-bioley-orjulaz" TargetMode="External"/><Relationship Id="rId898" Type="http://schemas.openxmlformats.org/officeDocument/2006/relationships/hyperlink" Target="https://www.immoscout24.ch/fr/maison/louer/lieu-meinier" TargetMode="External"/><Relationship Id="rId897" Type="http://schemas.openxmlformats.org/officeDocument/2006/relationships/hyperlink" Target="https://www.immoscout24.ch/fr/maison/louer/lieu-meinier" TargetMode="External"/><Relationship Id="rId896" Type="http://schemas.openxmlformats.org/officeDocument/2006/relationships/hyperlink" Target="https://www.immoscout24.ch/fr/appartement/louer/lieu-biasca" TargetMode="External"/><Relationship Id="rId891" Type="http://schemas.openxmlformats.org/officeDocument/2006/relationships/hyperlink" Target="https://www.immoscout24.ch/fr/appartement/louer/lieu-guemligen" TargetMode="External"/><Relationship Id="rId890" Type="http://schemas.openxmlformats.org/officeDocument/2006/relationships/hyperlink" Target="https://www.immoscout24.ch/fr/appartement/louer/lieu-le-sechey" TargetMode="External"/><Relationship Id="rId895" Type="http://schemas.openxmlformats.org/officeDocument/2006/relationships/hyperlink" Target="https://www.immoscout24.ch/fr/appartement/louer/lieu-biasca" TargetMode="External"/><Relationship Id="rId894" Type="http://schemas.openxmlformats.org/officeDocument/2006/relationships/hyperlink" Target="https://www.immoscout24.ch/fr/appartement/acheter/lieu-dachsen" TargetMode="External"/><Relationship Id="rId893" Type="http://schemas.openxmlformats.org/officeDocument/2006/relationships/hyperlink" Target="https://www.immoscout24.ch/fr/appartement/acheter/lieu-dachsen" TargetMode="External"/><Relationship Id="rId892" Type="http://schemas.openxmlformats.org/officeDocument/2006/relationships/hyperlink" Target="https://www.immoscout24.ch/fr/appartement/louer/lieu-guemligen" TargetMode="External"/><Relationship Id="rId7816" Type="http://schemas.openxmlformats.org/officeDocument/2006/relationships/hyperlink" Target="https://www.immoscout24.ch/fr/maison/acheter/lieu-axalp" TargetMode="External"/><Relationship Id="rId7815" Type="http://schemas.openxmlformats.org/officeDocument/2006/relationships/hyperlink" Target="https://www.immoscout24.ch/fr/maison/acheter/lieu-axalp" TargetMode="External"/><Relationship Id="rId7814" Type="http://schemas.openxmlformats.org/officeDocument/2006/relationships/hyperlink" Target="https://www.immoscout24.ch/fr/appartement/acheter/region-ayent" TargetMode="External"/><Relationship Id="rId7813" Type="http://schemas.openxmlformats.org/officeDocument/2006/relationships/hyperlink" Target="https://www.immoscout24.ch/fr/appartement/acheter/region-ayent" TargetMode="External"/><Relationship Id="rId7819" Type="http://schemas.openxmlformats.org/officeDocument/2006/relationships/hyperlink" Target="https://www.immoscout24.ch/fr/appartement/louer/lieu-balsthal" TargetMode="External"/><Relationship Id="rId7818" Type="http://schemas.openxmlformats.org/officeDocument/2006/relationships/hyperlink" Target="https://www.immoscout24.ch/fr/appartement/louer/lieu-saas-grund" TargetMode="External"/><Relationship Id="rId7817" Type="http://schemas.openxmlformats.org/officeDocument/2006/relationships/hyperlink" Target="https://www.immoscout24.ch/fr/appartement/louer/lieu-saas-grund" TargetMode="External"/><Relationship Id="rId7812" Type="http://schemas.openxmlformats.org/officeDocument/2006/relationships/hyperlink" Target="https://www.immoscout24.ch/fr/appartement/louer/lieu-bad-zurzach" TargetMode="External"/><Relationship Id="rId7811" Type="http://schemas.openxmlformats.org/officeDocument/2006/relationships/hyperlink" Target="https://www.immoscout24.ch/fr/appartement/louer/lieu-bad-zurzach" TargetMode="External"/><Relationship Id="rId7810" Type="http://schemas.openxmlformats.org/officeDocument/2006/relationships/hyperlink" Target="https://www.immoscout24.ch/fr/maison/acheter/lieu-fornex-liddes" TargetMode="External"/><Relationship Id="rId7805" Type="http://schemas.openxmlformats.org/officeDocument/2006/relationships/hyperlink" Target="https://www.immoscout24.ch/fr/appartement/louer/lieu-villarimboud" TargetMode="External"/><Relationship Id="rId7804" Type="http://schemas.openxmlformats.org/officeDocument/2006/relationships/hyperlink" Target="https://www.immoscout24.ch/fr/appartement/acheter/lieu-leysin" TargetMode="External"/><Relationship Id="rId7803" Type="http://schemas.openxmlformats.org/officeDocument/2006/relationships/hyperlink" Target="https://www.immoscout24.ch/fr/appartement/acheter/lieu-leysin" TargetMode="External"/><Relationship Id="rId7802" Type="http://schemas.openxmlformats.org/officeDocument/2006/relationships/hyperlink" Target="https://www.immoscout24.ch/fr/appartement/acheter/lieu-provence" TargetMode="External"/><Relationship Id="rId7809" Type="http://schemas.openxmlformats.org/officeDocument/2006/relationships/hyperlink" Target="https://www.immoscout24.ch/fr/maison/acheter/lieu-fornex-liddes" TargetMode="External"/><Relationship Id="rId7808" Type="http://schemas.openxmlformats.org/officeDocument/2006/relationships/hyperlink" Target="https://www.immoscout24.ch/fr/appartement/louer/quartier-paquis-navigation-geneve" TargetMode="External"/><Relationship Id="rId7807" Type="http://schemas.openxmlformats.org/officeDocument/2006/relationships/hyperlink" Target="https://www.immoscout24.ch/fr/appartement/louer/quartier-paquis-navigation-geneve" TargetMode="External"/><Relationship Id="rId7806" Type="http://schemas.openxmlformats.org/officeDocument/2006/relationships/hyperlink" Target="https://www.immoscout24.ch/fr/appartement/louer/lieu-villarimboud" TargetMode="External"/><Relationship Id="rId7801" Type="http://schemas.openxmlformats.org/officeDocument/2006/relationships/hyperlink" Target="https://www.immoscout24.ch/fr/appartement/acheter/lieu-provence" TargetMode="External"/><Relationship Id="rId7800" Type="http://schemas.openxmlformats.org/officeDocument/2006/relationships/hyperlink" Target="https://www.immoscout24.ch/fr/appartement/louer/lieu-epautheyres" TargetMode="External"/><Relationship Id="rId2180" Type="http://schemas.openxmlformats.org/officeDocument/2006/relationships/hyperlink" Target="https://www.immoscout24.ch/fr/appartement/acheter/region-laupen-sense" TargetMode="External"/><Relationship Id="rId2181" Type="http://schemas.openxmlformats.org/officeDocument/2006/relationships/hyperlink" Target="https://www.immoscout24.ch/fr/appartement/louer/lieu-hausen-ag" TargetMode="External"/><Relationship Id="rId2182" Type="http://schemas.openxmlformats.org/officeDocument/2006/relationships/hyperlink" Target="https://www.immoscout24.ch/fr/appartement/louer/lieu-hausen-ag" TargetMode="External"/><Relationship Id="rId2183" Type="http://schemas.openxmlformats.org/officeDocument/2006/relationships/hyperlink" Target="https://www.immoscout24.ch/fr/maison/louer/lieu-autigny" TargetMode="External"/><Relationship Id="rId2184" Type="http://schemas.openxmlformats.org/officeDocument/2006/relationships/hyperlink" Target="https://www.immoscout24.ch/fr/maison/louer/lieu-autigny" TargetMode="External"/><Relationship Id="rId2185" Type="http://schemas.openxmlformats.org/officeDocument/2006/relationships/hyperlink" Target="https://www.immoscout24.ch/fr/appartement/louer/lieu-starrkirch-wil" TargetMode="External"/><Relationship Id="rId2186" Type="http://schemas.openxmlformats.org/officeDocument/2006/relationships/hyperlink" Target="https://www.immoscout24.ch/fr/appartement/louer/lieu-starrkirch-wil" TargetMode="External"/><Relationship Id="rId2187" Type="http://schemas.openxmlformats.org/officeDocument/2006/relationships/hyperlink" Target="https://www.immoscout24.ch/fr/maison/louer/lieu-oulens-sous-echallens" TargetMode="External"/><Relationship Id="rId2188" Type="http://schemas.openxmlformats.org/officeDocument/2006/relationships/hyperlink" Target="https://www.immoscout24.ch/fr/maison/louer/lieu-oulens-sous-echallens" TargetMode="External"/><Relationship Id="rId2189" Type="http://schemas.openxmlformats.org/officeDocument/2006/relationships/hyperlink" Target="https://www.immoscout24.ch/fr/maison/acheter/region-unterengadin-val-mustair" TargetMode="External"/><Relationship Id="rId2170" Type="http://schemas.openxmlformats.org/officeDocument/2006/relationships/hyperlink" Target="https://www.immoscout24.ch/fr/maison/acheter/lieu-cremines" TargetMode="External"/><Relationship Id="rId2171" Type="http://schemas.openxmlformats.org/officeDocument/2006/relationships/hyperlink" Target="https://www.immoscout24.ch/fr/maison/acheter/lieu-st-gingolph" TargetMode="External"/><Relationship Id="rId2172" Type="http://schemas.openxmlformats.org/officeDocument/2006/relationships/hyperlink" Target="https://www.immoscout24.ch/fr/maison/acheter/lieu-st-gingolph" TargetMode="External"/><Relationship Id="rId2173" Type="http://schemas.openxmlformats.org/officeDocument/2006/relationships/hyperlink" Target="https://www.immoscout24.ch/fr/appartement/louer/lieu-belp" TargetMode="External"/><Relationship Id="rId2174" Type="http://schemas.openxmlformats.org/officeDocument/2006/relationships/hyperlink" Target="https://www.immoscout24.ch/fr/appartement/louer/lieu-belp" TargetMode="External"/><Relationship Id="rId2175" Type="http://schemas.openxmlformats.org/officeDocument/2006/relationships/hyperlink" Target="https://www.immoscout24.ch/fr/appartement/louer/lieu-lugnorre" TargetMode="External"/><Relationship Id="rId2176" Type="http://schemas.openxmlformats.org/officeDocument/2006/relationships/hyperlink" Target="https://www.immoscout24.ch/fr/appartement/louer/lieu-lugnorre" TargetMode="External"/><Relationship Id="rId2177" Type="http://schemas.openxmlformats.org/officeDocument/2006/relationships/hyperlink" Target="https://www.immoscout24.ch/fr/appartement/acheter/lieu-affoltern-am-albis" TargetMode="External"/><Relationship Id="rId2178" Type="http://schemas.openxmlformats.org/officeDocument/2006/relationships/hyperlink" Target="https://www.immoscout24.ch/fr/appartement/acheter/lieu-affoltern-am-albis" TargetMode="External"/><Relationship Id="rId2179" Type="http://schemas.openxmlformats.org/officeDocument/2006/relationships/hyperlink" Target="https://www.immoscout24.ch/fr/appartement/acheter/region-laupen-sense" TargetMode="External"/><Relationship Id="rId2190" Type="http://schemas.openxmlformats.org/officeDocument/2006/relationships/hyperlink" Target="https://www.immoscout24.ch/fr/maison/acheter/region-unterengadin-val-mustair" TargetMode="External"/><Relationship Id="rId2191" Type="http://schemas.openxmlformats.org/officeDocument/2006/relationships/hyperlink" Target="https://www.immoscout24.ch/fr/appartement/louer/lieu-vercorin" TargetMode="External"/><Relationship Id="rId2192" Type="http://schemas.openxmlformats.org/officeDocument/2006/relationships/hyperlink" Target="https://www.immoscout24.ch/fr/appartement/louer/lieu-vercorin" TargetMode="External"/><Relationship Id="rId2193" Type="http://schemas.openxmlformats.org/officeDocument/2006/relationships/hyperlink" Target="https://www.immoscout24.ch/fr/maison/acheter/lieu-reiden" TargetMode="External"/><Relationship Id="rId2194" Type="http://schemas.openxmlformats.org/officeDocument/2006/relationships/hyperlink" Target="https://www.immoscout24.ch/fr/maison/acheter/lieu-reiden" TargetMode="External"/><Relationship Id="rId2195" Type="http://schemas.openxmlformats.org/officeDocument/2006/relationships/hyperlink" Target="https://www.immoscout24.ch/fr/maison/louer/region-yverdon-grandson" TargetMode="External"/><Relationship Id="rId2196" Type="http://schemas.openxmlformats.org/officeDocument/2006/relationships/hyperlink" Target="https://www.immoscout24.ch/fr/maison/louer/region-yverdon-grandson" TargetMode="External"/><Relationship Id="rId2197" Type="http://schemas.openxmlformats.org/officeDocument/2006/relationships/hyperlink" Target="https://www.immoscout24.ch/fr/maison/acheter/lieu-la-forclaz-vd" TargetMode="External"/><Relationship Id="rId2198" Type="http://schemas.openxmlformats.org/officeDocument/2006/relationships/hyperlink" Target="https://www.immoscout24.ch/fr/maison/acheter/lieu-la-forclaz-vd" TargetMode="External"/><Relationship Id="rId2199" Type="http://schemas.openxmlformats.org/officeDocument/2006/relationships/hyperlink" Target="https://www.immoscout24.ch/fr/appartement/louer/lieu-gstaad" TargetMode="External"/><Relationship Id="rId3513" Type="http://schemas.openxmlformats.org/officeDocument/2006/relationships/hyperlink" Target="https://www.immoscout24.ch/fr/maison/acheter/lieu-inden" TargetMode="External"/><Relationship Id="rId4844" Type="http://schemas.openxmlformats.org/officeDocument/2006/relationships/hyperlink" Target="https://www.immoscout24.ch/fr/appartement/louer/lieu-cormagens" TargetMode="External"/><Relationship Id="rId3512" Type="http://schemas.openxmlformats.org/officeDocument/2006/relationships/hyperlink" Target="https://www.immoscout24.ch/fr/maison/louer/quartier-centre-ville-lausanne" TargetMode="External"/><Relationship Id="rId4843" Type="http://schemas.openxmlformats.org/officeDocument/2006/relationships/hyperlink" Target="https://www.immoscout24.ch/fr/appartement/louer/lieu-cormagens" TargetMode="External"/><Relationship Id="rId3515" Type="http://schemas.openxmlformats.org/officeDocument/2006/relationships/hyperlink" Target="https://www.immoscout24.ch/fr/maison/louer/lieu-haute-nendaz" TargetMode="External"/><Relationship Id="rId4846" Type="http://schemas.openxmlformats.org/officeDocument/2006/relationships/hyperlink" Target="https://www.immoscout24.ch/fr/appartement/louer/quartier-florimont-chissiez-lausanne" TargetMode="External"/><Relationship Id="rId3514" Type="http://schemas.openxmlformats.org/officeDocument/2006/relationships/hyperlink" Target="https://www.immoscout24.ch/fr/maison/acheter/lieu-inden" TargetMode="External"/><Relationship Id="rId4845" Type="http://schemas.openxmlformats.org/officeDocument/2006/relationships/hyperlink" Target="https://www.immoscout24.ch/fr/appartement/louer/quartier-florimont-chissiez-lausanne" TargetMode="External"/><Relationship Id="rId3517" Type="http://schemas.openxmlformats.org/officeDocument/2006/relationships/hyperlink" Target="https://www.immoscout24.ch/fr/maison/acheter/lieu-dalpe" TargetMode="External"/><Relationship Id="rId4848" Type="http://schemas.openxmlformats.org/officeDocument/2006/relationships/hyperlink" Target="https://www.immoscout24.ch/fr/appartement/louer/lieu-signy" TargetMode="External"/><Relationship Id="rId3516" Type="http://schemas.openxmlformats.org/officeDocument/2006/relationships/hyperlink" Target="https://www.immoscout24.ch/fr/maison/louer/lieu-haute-nendaz" TargetMode="External"/><Relationship Id="rId4847" Type="http://schemas.openxmlformats.org/officeDocument/2006/relationships/hyperlink" Target="https://www.immoscout24.ch/fr/appartement/louer/lieu-signy" TargetMode="External"/><Relationship Id="rId3519" Type="http://schemas.openxmlformats.org/officeDocument/2006/relationships/hyperlink" Target="https://www.immoscout24.ch/fr/appartement/acheter/lieu-sissach" TargetMode="External"/><Relationship Id="rId3518" Type="http://schemas.openxmlformats.org/officeDocument/2006/relationships/hyperlink" Target="https://www.immoscout24.ch/fr/maison/acheter/lieu-dalpe" TargetMode="External"/><Relationship Id="rId4849" Type="http://schemas.openxmlformats.org/officeDocument/2006/relationships/hyperlink" Target="https://www.immoscout24.ch/fr/maison/acheter/lieu-chables-fr" TargetMode="External"/><Relationship Id="rId4840" Type="http://schemas.openxmlformats.org/officeDocument/2006/relationships/hyperlink" Target="https://www.immoscout24.ch/fr/maison/louer/canton-grisons" TargetMode="External"/><Relationship Id="rId3511" Type="http://schemas.openxmlformats.org/officeDocument/2006/relationships/hyperlink" Target="https://www.immoscout24.ch/fr/maison/louer/quartier-centre-ville-lausanne" TargetMode="External"/><Relationship Id="rId4842" Type="http://schemas.openxmlformats.org/officeDocument/2006/relationships/hyperlink" Target="https://www.immoscout24.ch/fr/maison/acheter/lieu-chesalles-sur-moudon" TargetMode="External"/><Relationship Id="rId3510" Type="http://schemas.openxmlformats.org/officeDocument/2006/relationships/hyperlink" Target="https://www.immoscout24.ch/fr/appartement/acheter/lieu-ardez" TargetMode="External"/><Relationship Id="rId4841" Type="http://schemas.openxmlformats.org/officeDocument/2006/relationships/hyperlink" Target="https://www.immoscout24.ch/fr/maison/acheter/lieu-chesalles-sur-moudon" TargetMode="External"/><Relationship Id="rId3502" Type="http://schemas.openxmlformats.org/officeDocument/2006/relationships/hyperlink" Target="https://www.immoscout24.ch/fr/appartement/louer/lieu-champzabe" TargetMode="External"/><Relationship Id="rId4833" Type="http://schemas.openxmlformats.org/officeDocument/2006/relationships/hyperlink" Target="https://www.immoscout24.ch/fr/appartement/louer/quartier-neufeld-berne" TargetMode="External"/><Relationship Id="rId3501" Type="http://schemas.openxmlformats.org/officeDocument/2006/relationships/hyperlink" Target="https://www.immoscout24.ch/fr/appartement/louer/lieu-champzabe" TargetMode="External"/><Relationship Id="rId4832" Type="http://schemas.openxmlformats.org/officeDocument/2006/relationships/hyperlink" Target="https://www.immoscout24.ch/fr/appartement/louer/lieu-wagen" TargetMode="External"/><Relationship Id="rId3504" Type="http://schemas.openxmlformats.org/officeDocument/2006/relationships/hyperlink" Target="https://www.immoscout24.ch/fr/maison/acheter/lieu-collonges" TargetMode="External"/><Relationship Id="rId4835" Type="http://schemas.openxmlformats.org/officeDocument/2006/relationships/hyperlink" Target="https://www.immoscout24.ch/fr/appartement/louer/lieu-marsens" TargetMode="External"/><Relationship Id="rId3503" Type="http://schemas.openxmlformats.org/officeDocument/2006/relationships/hyperlink" Target="https://www.immoscout24.ch/fr/maison/acheter/lieu-collonges" TargetMode="External"/><Relationship Id="rId4834" Type="http://schemas.openxmlformats.org/officeDocument/2006/relationships/hyperlink" Target="https://www.immoscout24.ch/fr/appartement/louer/quartier-neufeld-berne" TargetMode="External"/><Relationship Id="rId3506" Type="http://schemas.openxmlformats.org/officeDocument/2006/relationships/hyperlink" Target="https://www.immoscout24.ch/fr/maison/louer/quartier-onu-rigot-geneve" TargetMode="External"/><Relationship Id="rId4837" Type="http://schemas.openxmlformats.org/officeDocument/2006/relationships/hyperlink" Target="https://www.immoscout24.ch/fr/maison/acheter/quartier-mousquines-bellevue-lausanne" TargetMode="External"/><Relationship Id="rId3505" Type="http://schemas.openxmlformats.org/officeDocument/2006/relationships/hyperlink" Target="https://www.immoscout24.ch/fr/maison/louer/quartier-onu-rigot-geneve" TargetMode="External"/><Relationship Id="rId4836" Type="http://schemas.openxmlformats.org/officeDocument/2006/relationships/hyperlink" Target="https://www.immoscout24.ch/fr/appartement/louer/lieu-marsens" TargetMode="External"/><Relationship Id="rId3508" Type="http://schemas.openxmlformats.org/officeDocument/2006/relationships/hyperlink" Target="https://www.immoscout24.ch/fr/appartement/louer/lieu-kappel-so" TargetMode="External"/><Relationship Id="rId4839" Type="http://schemas.openxmlformats.org/officeDocument/2006/relationships/hyperlink" Target="https://www.immoscout24.ch/fr/maison/louer/canton-grisons" TargetMode="External"/><Relationship Id="rId3507" Type="http://schemas.openxmlformats.org/officeDocument/2006/relationships/hyperlink" Target="https://www.immoscout24.ch/fr/appartement/louer/lieu-kappel-so" TargetMode="External"/><Relationship Id="rId4838" Type="http://schemas.openxmlformats.org/officeDocument/2006/relationships/hyperlink" Target="https://www.immoscout24.ch/fr/maison/acheter/quartier-mousquines-bellevue-lausanne" TargetMode="External"/><Relationship Id="rId3509" Type="http://schemas.openxmlformats.org/officeDocument/2006/relationships/hyperlink" Target="https://www.immoscout24.ch/fr/appartement/acheter/lieu-ardez" TargetMode="External"/><Relationship Id="rId3500" Type="http://schemas.openxmlformats.org/officeDocument/2006/relationships/hyperlink" Target="https://www.immoscout24.ch/fr/appartement/louer/quartier-bourguillon-fribourg" TargetMode="External"/><Relationship Id="rId4831" Type="http://schemas.openxmlformats.org/officeDocument/2006/relationships/hyperlink" Target="https://www.immoscout24.ch/fr/appartement/louer/lieu-wagen" TargetMode="External"/><Relationship Id="rId4830" Type="http://schemas.openxmlformats.org/officeDocument/2006/relationships/hyperlink" Target="https://www.immoscout24.ch/fr/appartement/louer/lieu-alle" TargetMode="External"/><Relationship Id="rId2203" Type="http://schemas.openxmlformats.org/officeDocument/2006/relationships/hyperlink" Target="https://www.immoscout24.ch/fr/appartement/acheter/lieu-mont-sur-rolle" TargetMode="External"/><Relationship Id="rId3535" Type="http://schemas.openxmlformats.org/officeDocument/2006/relationships/hyperlink" Target="https://www.immoscout24.ch/fr/maison/louer/lieu-bavois" TargetMode="External"/><Relationship Id="rId4866" Type="http://schemas.openxmlformats.org/officeDocument/2006/relationships/hyperlink" Target="https://www.immoscout24.ch/fr/maison/acheter/canton-uri" TargetMode="External"/><Relationship Id="rId2204" Type="http://schemas.openxmlformats.org/officeDocument/2006/relationships/hyperlink" Target="https://www.immoscout24.ch/fr/appartement/acheter/lieu-mont-sur-rolle" TargetMode="External"/><Relationship Id="rId3534" Type="http://schemas.openxmlformats.org/officeDocument/2006/relationships/hyperlink" Target="https://www.immoscout24.ch/fr/appartement/louer/quartier-altstadt-wey-lucerne" TargetMode="External"/><Relationship Id="rId4865" Type="http://schemas.openxmlformats.org/officeDocument/2006/relationships/hyperlink" Target="https://www.immoscout24.ch/fr/maison/acheter/canton-uri" TargetMode="External"/><Relationship Id="rId2205" Type="http://schemas.openxmlformats.org/officeDocument/2006/relationships/hyperlink" Target="https://www.immoscout24.ch/fr/maison/acheter/lieu-krattigen" TargetMode="External"/><Relationship Id="rId3537" Type="http://schemas.openxmlformats.org/officeDocument/2006/relationships/hyperlink" Target="https://www.immoscout24.ch/fr/maison/acheter/lieu-molondin" TargetMode="External"/><Relationship Id="rId4868" Type="http://schemas.openxmlformats.org/officeDocument/2006/relationships/hyperlink" Target="https://www.immoscout24.ch/fr/maison/louer/lieu-biberist" TargetMode="External"/><Relationship Id="rId2206" Type="http://schemas.openxmlformats.org/officeDocument/2006/relationships/hyperlink" Target="https://www.immoscout24.ch/fr/maison/acheter/lieu-krattigen" TargetMode="External"/><Relationship Id="rId3536" Type="http://schemas.openxmlformats.org/officeDocument/2006/relationships/hyperlink" Target="https://www.immoscout24.ch/fr/maison/louer/lieu-bavois" TargetMode="External"/><Relationship Id="rId4867" Type="http://schemas.openxmlformats.org/officeDocument/2006/relationships/hyperlink" Target="https://www.immoscout24.ch/fr/maison/louer/lieu-biberist" TargetMode="External"/><Relationship Id="rId2207" Type="http://schemas.openxmlformats.org/officeDocument/2006/relationships/hyperlink" Target="https://www.immoscout24.ch/fr/maison/acheter/lieu-donatyre" TargetMode="External"/><Relationship Id="rId3539" Type="http://schemas.openxmlformats.org/officeDocument/2006/relationships/hyperlink" Target="https://www.immoscout24.ch/fr/appartement/acheter/lieu-bassersdorf" TargetMode="External"/><Relationship Id="rId2208" Type="http://schemas.openxmlformats.org/officeDocument/2006/relationships/hyperlink" Target="https://www.immoscout24.ch/fr/maison/acheter/lieu-donatyre" TargetMode="External"/><Relationship Id="rId3538" Type="http://schemas.openxmlformats.org/officeDocument/2006/relationships/hyperlink" Target="https://www.immoscout24.ch/fr/maison/acheter/lieu-molondin" TargetMode="External"/><Relationship Id="rId4869" Type="http://schemas.openxmlformats.org/officeDocument/2006/relationships/hyperlink" Target="https://www.immoscout24.ch/fr/appartement/louer/lieu-vuarmarens" TargetMode="External"/><Relationship Id="rId2209" Type="http://schemas.openxmlformats.org/officeDocument/2006/relationships/hyperlink" Target="https://www.immoscout24.ch/fr/appartement/louer/lieu-cortaillod" TargetMode="External"/><Relationship Id="rId4860" Type="http://schemas.openxmlformats.org/officeDocument/2006/relationships/hyperlink" Target="https://www.immoscout24.ch/fr/maison/louer/lieu-aigle" TargetMode="External"/><Relationship Id="rId3531" Type="http://schemas.openxmlformats.org/officeDocument/2006/relationships/hyperlink" Target="https://www.immoscout24.ch/fr/appartement/louer/lieu-courtemautruy" TargetMode="External"/><Relationship Id="rId4862" Type="http://schemas.openxmlformats.org/officeDocument/2006/relationships/hyperlink" Target="https://www.immoscout24.ch/fr/appartement/louer/lieu-hergiswil-nw" TargetMode="External"/><Relationship Id="rId2200" Type="http://schemas.openxmlformats.org/officeDocument/2006/relationships/hyperlink" Target="https://www.immoscout24.ch/fr/appartement/louer/lieu-gstaad" TargetMode="External"/><Relationship Id="rId3530" Type="http://schemas.openxmlformats.org/officeDocument/2006/relationships/hyperlink" Target="https://www.immoscout24.ch/fr/appartement/louer/lieu-daeniken-so" TargetMode="External"/><Relationship Id="rId4861" Type="http://schemas.openxmlformats.org/officeDocument/2006/relationships/hyperlink" Target="https://www.immoscout24.ch/fr/appartement/louer/lieu-hergiswil-nw" TargetMode="External"/><Relationship Id="rId2201" Type="http://schemas.openxmlformats.org/officeDocument/2006/relationships/hyperlink" Target="https://www.immoscout24.ch/fr/maison/acheter/lieu-chateau-d-oex" TargetMode="External"/><Relationship Id="rId3533" Type="http://schemas.openxmlformats.org/officeDocument/2006/relationships/hyperlink" Target="https://www.immoscout24.ch/fr/appartement/louer/quartier-altstadt-wey-lucerne" TargetMode="External"/><Relationship Id="rId4864" Type="http://schemas.openxmlformats.org/officeDocument/2006/relationships/hyperlink" Target="https://www.immoscout24.ch/fr/appartement/louer/lieu-crans-pres-celigny" TargetMode="External"/><Relationship Id="rId2202" Type="http://schemas.openxmlformats.org/officeDocument/2006/relationships/hyperlink" Target="https://www.immoscout24.ch/fr/maison/acheter/lieu-chateau-d-oex" TargetMode="External"/><Relationship Id="rId3532" Type="http://schemas.openxmlformats.org/officeDocument/2006/relationships/hyperlink" Target="https://www.immoscout24.ch/fr/appartement/louer/lieu-courtemautruy" TargetMode="External"/><Relationship Id="rId4863" Type="http://schemas.openxmlformats.org/officeDocument/2006/relationships/hyperlink" Target="https://www.immoscout24.ch/fr/appartement/louer/lieu-crans-pres-celigny" TargetMode="External"/><Relationship Id="rId3524" Type="http://schemas.openxmlformats.org/officeDocument/2006/relationships/hyperlink" Target="https://www.immoscout24.ch/fr/appartement/louer/lieu-gressy" TargetMode="External"/><Relationship Id="rId4855" Type="http://schemas.openxmlformats.org/officeDocument/2006/relationships/hyperlink" Target="https://www.immoscout24.ch/fr/appartement/acheter/lieu-constantine" TargetMode="External"/><Relationship Id="rId3523" Type="http://schemas.openxmlformats.org/officeDocument/2006/relationships/hyperlink" Target="https://www.immoscout24.ch/fr/appartement/louer/lieu-gressy" TargetMode="External"/><Relationship Id="rId4854" Type="http://schemas.openxmlformats.org/officeDocument/2006/relationships/hyperlink" Target="https://www.immoscout24.ch/fr/appartement/louer/lieu-bouloz" TargetMode="External"/><Relationship Id="rId3526" Type="http://schemas.openxmlformats.org/officeDocument/2006/relationships/hyperlink" Target="https://www.immoscout24.ch/fr/appartement/louer/lieu-founex" TargetMode="External"/><Relationship Id="rId4857" Type="http://schemas.openxmlformats.org/officeDocument/2006/relationships/hyperlink" Target="https://www.immoscout24.ch/fr/appartement/louer/lieu-bachenbuelach" TargetMode="External"/><Relationship Id="rId3525" Type="http://schemas.openxmlformats.org/officeDocument/2006/relationships/hyperlink" Target="https://www.immoscout24.ch/fr/appartement/louer/lieu-founex" TargetMode="External"/><Relationship Id="rId4856" Type="http://schemas.openxmlformats.org/officeDocument/2006/relationships/hyperlink" Target="https://www.immoscout24.ch/fr/appartement/acheter/lieu-constantine" TargetMode="External"/><Relationship Id="rId3528" Type="http://schemas.openxmlformats.org/officeDocument/2006/relationships/hyperlink" Target="https://www.immoscout24.ch/fr/appartement/louer/lieu-trey" TargetMode="External"/><Relationship Id="rId4859" Type="http://schemas.openxmlformats.org/officeDocument/2006/relationships/hyperlink" Target="https://www.immoscout24.ch/fr/maison/louer/lieu-aigle" TargetMode="External"/><Relationship Id="rId3527" Type="http://schemas.openxmlformats.org/officeDocument/2006/relationships/hyperlink" Target="https://www.immoscout24.ch/fr/appartement/louer/lieu-trey" TargetMode="External"/><Relationship Id="rId4858" Type="http://schemas.openxmlformats.org/officeDocument/2006/relationships/hyperlink" Target="https://www.immoscout24.ch/fr/appartement/louer/lieu-bachenbuelach" TargetMode="External"/><Relationship Id="rId3529" Type="http://schemas.openxmlformats.org/officeDocument/2006/relationships/hyperlink" Target="https://www.immoscout24.ch/fr/appartement/louer/lieu-daeniken-so" TargetMode="External"/><Relationship Id="rId3520" Type="http://schemas.openxmlformats.org/officeDocument/2006/relationships/hyperlink" Target="https://www.immoscout24.ch/fr/appartement/acheter/lieu-sissach" TargetMode="External"/><Relationship Id="rId4851" Type="http://schemas.openxmlformats.org/officeDocument/2006/relationships/hyperlink" Target="https://www.immoscout24.ch/fr/appartement/acheter/lieu-rose" TargetMode="External"/><Relationship Id="rId4850" Type="http://schemas.openxmlformats.org/officeDocument/2006/relationships/hyperlink" Target="https://www.immoscout24.ch/fr/maison/acheter/lieu-chables-fr" TargetMode="External"/><Relationship Id="rId3522" Type="http://schemas.openxmlformats.org/officeDocument/2006/relationships/hyperlink" Target="https://www.immoscout24.ch/fr/appartement/louer/lieu-grindelwald" TargetMode="External"/><Relationship Id="rId4853" Type="http://schemas.openxmlformats.org/officeDocument/2006/relationships/hyperlink" Target="https://www.immoscout24.ch/fr/appartement/louer/lieu-bouloz" TargetMode="External"/><Relationship Id="rId3521" Type="http://schemas.openxmlformats.org/officeDocument/2006/relationships/hyperlink" Target="https://www.immoscout24.ch/fr/appartement/louer/lieu-grindelwald" TargetMode="External"/><Relationship Id="rId4852" Type="http://schemas.openxmlformats.org/officeDocument/2006/relationships/hyperlink" Target="https://www.immoscout24.ch/fr/appartement/acheter/lieu-rose" TargetMode="External"/><Relationship Id="rId4800" Type="http://schemas.openxmlformats.org/officeDocument/2006/relationships/hyperlink" Target="https://www.immoscout24.ch/fr/appartement/louer/lieu-fetigny" TargetMode="External"/><Relationship Id="rId4802" Type="http://schemas.openxmlformats.org/officeDocument/2006/relationships/hyperlink" Target="https://www.immoscout24.ch/fr/appartement/acheter/lieu-giubiasco" TargetMode="External"/><Relationship Id="rId4801" Type="http://schemas.openxmlformats.org/officeDocument/2006/relationships/hyperlink" Target="https://www.immoscout24.ch/fr/appartement/acheter/lieu-giubiasco" TargetMode="External"/><Relationship Id="rId4804" Type="http://schemas.openxmlformats.org/officeDocument/2006/relationships/hyperlink" Target="https://www.immoscout24.ch/fr/maison/louer/region-porrentruy" TargetMode="External"/><Relationship Id="rId4803" Type="http://schemas.openxmlformats.org/officeDocument/2006/relationships/hyperlink" Target="https://www.immoscout24.ch/fr/maison/louer/region-porrentruy" TargetMode="External"/><Relationship Id="rId4806" Type="http://schemas.openxmlformats.org/officeDocument/2006/relationships/hyperlink" Target="https://www.immoscout24.ch/fr/maison/acheter/lieu-chigny" TargetMode="External"/><Relationship Id="rId4805" Type="http://schemas.openxmlformats.org/officeDocument/2006/relationships/hyperlink" Target="https://www.immoscout24.ch/fr/maison/acheter/lieu-chigny" TargetMode="External"/><Relationship Id="rId4808" Type="http://schemas.openxmlformats.org/officeDocument/2006/relationships/hyperlink" Target="https://www.immoscout24.ch/fr/maison/louer/lieu-sion" TargetMode="External"/><Relationship Id="rId4807" Type="http://schemas.openxmlformats.org/officeDocument/2006/relationships/hyperlink" Target="https://www.immoscout24.ch/fr/maison/louer/lieu-sion" TargetMode="External"/><Relationship Id="rId4809" Type="http://schemas.openxmlformats.org/officeDocument/2006/relationships/hyperlink" Target="https://www.immoscout24.ch/fr/appartement/louer/lieu-dino" TargetMode="External"/><Relationship Id="rId4822" Type="http://schemas.openxmlformats.org/officeDocument/2006/relationships/hyperlink" Target="https://www.immoscout24.ch/fr/maison/acheter/lieu-les-vieux-pres" TargetMode="External"/><Relationship Id="rId4821" Type="http://schemas.openxmlformats.org/officeDocument/2006/relationships/hyperlink" Target="https://www.immoscout24.ch/fr/maison/acheter/lieu-les-vieux-pres" TargetMode="External"/><Relationship Id="rId4824" Type="http://schemas.openxmlformats.org/officeDocument/2006/relationships/hyperlink" Target="https://www.immoscout24.ch/fr/appartement/acheter/lieu-wengen" TargetMode="External"/><Relationship Id="rId4823" Type="http://schemas.openxmlformats.org/officeDocument/2006/relationships/hyperlink" Target="https://www.immoscout24.ch/fr/appartement/acheter/lieu-wengen" TargetMode="External"/><Relationship Id="rId4826" Type="http://schemas.openxmlformats.org/officeDocument/2006/relationships/hyperlink" Target="https://www.immoscout24.ch/fr/appartement/louer/lieu-vens-sembrancher" TargetMode="External"/><Relationship Id="rId4825" Type="http://schemas.openxmlformats.org/officeDocument/2006/relationships/hyperlink" Target="https://www.immoscout24.ch/fr/appartement/louer/lieu-vens-sembrancher" TargetMode="External"/><Relationship Id="rId4828" Type="http://schemas.openxmlformats.org/officeDocument/2006/relationships/hyperlink" Target="https://www.immoscout24.ch/fr/maison/acheter/lieu-delemont" TargetMode="External"/><Relationship Id="rId4827" Type="http://schemas.openxmlformats.org/officeDocument/2006/relationships/hyperlink" Target="https://www.immoscout24.ch/fr/maison/acheter/lieu-delemont" TargetMode="External"/><Relationship Id="rId4829" Type="http://schemas.openxmlformats.org/officeDocument/2006/relationships/hyperlink" Target="https://www.immoscout24.ch/fr/appartement/louer/lieu-alle" TargetMode="External"/><Relationship Id="rId4820" Type="http://schemas.openxmlformats.org/officeDocument/2006/relationships/hyperlink" Target="https://www.immoscout24.ch/fr/maison/acheter/lieu-grangettes-pres-romont" TargetMode="External"/><Relationship Id="rId4811" Type="http://schemas.openxmlformats.org/officeDocument/2006/relationships/hyperlink" Target="https://www.immoscout24.ch/fr/appartement/louer/lieu-baltschieder" TargetMode="External"/><Relationship Id="rId4810" Type="http://schemas.openxmlformats.org/officeDocument/2006/relationships/hyperlink" Target="https://www.immoscout24.ch/fr/appartement/louer/lieu-dino" TargetMode="External"/><Relationship Id="rId4813" Type="http://schemas.openxmlformats.org/officeDocument/2006/relationships/hyperlink" Target="https://www.immoscout24.ch/fr/maison/acheter/lieu-zuerich" TargetMode="External"/><Relationship Id="rId4812" Type="http://schemas.openxmlformats.org/officeDocument/2006/relationships/hyperlink" Target="https://www.immoscout24.ch/fr/appartement/louer/lieu-baltschieder" TargetMode="External"/><Relationship Id="rId4815" Type="http://schemas.openxmlformats.org/officeDocument/2006/relationships/hyperlink" Target="https://www.immoscout24.ch/fr/appartement/acheter/lieu-zug" TargetMode="External"/><Relationship Id="rId4814" Type="http://schemas.openxmlformats.org/officeDocument/2006/relationships/hyperlink" Target="https://www.immoscout24.ch/fr/maison/acheter/lieu-zuerich" TargetMode="External"/><Relationship Id="rId4817" Type="http://schemas.openxmlformats.org/officeDocument/2006/relationships/hyperlink" Target="https://www.immoscout24.ch/fr/appartement/louer/lieu-fontaines-sur-grandson" TargetMode="External"/><Relationship Id="rId4816" Type="http://schemas.openxmlformats.org/officeDocument/2006/relationships/hyperlink" Target="https://www.immoscout24.ch/fr/appartement/acheter/lieu-zug" TargetMode="External"/><Relationship Id="rId4819" Type="http://schemas.openxmlformats.org/officeDocument/2006/relationships/hyperlink" Target="https://www.immoscout24.ch/fr/maison/acheter/lieu-grangettes-pres-romont" TargetMode="External"/><Relationship Id="rId4818" Type="http://schemas.openxmlformats.org/officeDocument/2006/relationships/hyperlink" Target="https://www.immoscout24.ch/fr/appartement/louer/lieu-fontaines-sur-grandson" TargetMode="External"/><Relationship Id="rId2269" Type="http://schemas.openxmlformats.org/officeDocument/2006/relationships/hyperlink" Target="https://www.immoscout24.ch/fr/maison/louer/quartier-wipkingen-zurich" TargetMode="External"/><Relationship Id="rId3591" Type="http://schemas.openxmlformats.org/officeDocument/2006/relationships/hyperlink" Target="https://www.immoscout24.ch/fr/maison/acheter/lieu-villars-bozon" TargetMode="External"/><Relationship Id="rId2260" Type="http://schemas.openxmlformats.org/officeDocument/2006/relationships/hyperlink" Target="https://www.immoscout24.ch/fr/maison/louer/lieu-pont-de-la-morge-sion" TargetMode="External"/><Relationship Id="rId3590" Type="http://schemas.openxmlformats.org/officeDocument/2006/relationships/hyperlink" Target="https://www.immoscout24.ch/fr/appartement/louer/lieu-liddes" TargetMode="External"/><Relationship Id="rId2261" Type="http://schemas.openxmlformats.org/officeDocument/2006/relationships/hyperlink" Target="https://www.immoscout24.ch/fr/maison/louer/lieu-veyrier" TargetMode="External"/><Relationship Id="rId3593" Type="http://schemas.openxmlformats.org/officeDocument/2006/relationships/hyperlink" Target="https://www.immoscout24.ch/fr/maison/acheter/lieu-epiquerez" TargetMode="External"/><Relationship Id="rId2262" Type="http://schemas.openxmlformats.org/officeDocument/2006/relationships/hyperlink" Target="https://www.immoscout24.ch/fr/maison/louer/lieu-veyrier" TargetMode="External"/><Relationship Id="rId3592" Type="http://schemas.openxmlformats.org/officeDocument/2006/relationships/hyperlink" Target="https://www.immoscout24.ch/fr/maison/acheter/lieu-villars-bozon" TargetMode="External"/><Relationship Id="rId2263" Type="http://schemas.openxmlformats.org/officeDocument/2006/relationships/hyperlink" Target="https://www.immoscout24.ch/fr/appartement/acheter/lieu-nyon" TargetMode="External"/><Relationship Id="rId3595" Type="http://schemas.openxmlformats.org/officeDocument/2006/relationships/hyperlink" Target="https://www.immoscout24.ch/fr/maison/acheter/lieu-sins" TargetMode="External"/><Relationship Id="rId2264" Type="http://schemas.openxmlformats.org/officeDocument/2006/relationships/hyperlink" Target="https://www.immoscout24.ch/fr/appartement/acheter/lieu-nyon" TargetMode="External"/><Relationship Id="rId3594" Type="http://schemas.openxmlformats.org/officeDocument/2006/relationships/hyperlink" Target="https://www.immoscout24.ch/fr/maison/acheter/lieu-epiquerez" TargetMode="External"/><Relationship Id="rId2265" Type="http://schemas.openxmlformats.org/officeDocument/2006/relationships/hyperlink" Target="https://www.immoscout24.ch/fr/appartement/louer/lieu-les-tavernes" TargetMode="External"/><Relationship Id="rId3597" Type="http://schemas.openxmlformats.org/officeDocument/2006/relationships/hyperlink" Target="https://www.immoscout24.ch/fr/appartement/acheter/lieu-fully" TargetMode="External"/><Relationship Id="rId2266" Type="http://schemas.openxmlformats.org/officeDocument/2006/relationships/hyperlink" Target="https://www.immoscout24.ch/fr/appartement/louer/lieu-les-tavernes" TargetMode="External"/><Relationship Id="rId3596" Type="http://schemas.openxmlformats.org/officeDocument/2006/relationships/hyperlink" Target="https://www.immoscout24.ch/fr/maison/acheter/lieu-sins" TargetMode="External"/><Relationship Id="rId2267" Type="http://schemas.openxmlformats.org/officeDocument/2006/relationships/hyperlink" Target="https://www.immoscout24.ch/fr/maison/louer/lieu-vuibroye" TargetMode="External"/><Relationship Id="rId3599" Type="http://schemas.openxmlformats.org/officeDocument/2006/relationships/hyperlink" Target="https://www.immoscout24.ch/fr/appartement/louer/lieu-kerzers" TargetMode="External"/><Relationship Id="rId2268" Type="http://schemas.openxmlformats.org/officeDocument/2006/relationships/hyperlink" Target="https://www.immoscout24.ch/fr/maison/louer/lieu-vuibroye" TargetMode="External"/><Relationship Id="rId3598" Type="http://schemas.openxmlformats.org/officeDocument/2006/relationships/hyperlink" Target="https://www.immoscout24.ch/fr/appartement/acheter/lieu-fully" TargetMode="External"/><Relationship Id="rId2258" Type="http://schemas.openxmlformats.org/officeDocument/2006/relationships/hyperlink" Target="https://www.immoscout24.ch/fr/appartement/louer/lieu-baar-nendaz" TargetMode="External"/><Relationship Id="rId2259" Type="http://schemas.openxmlformats.org/officeDocument/2006/relationships/hyperlink" Target="https://www.immoscout24.ch/fr/maison/louer/lieu-pont-de-la-morge-sion" TargetMode="External"/><Relationship Id="rId3589" Type="http://schemas.openxmlformats.org/officeDocument/2006/relationships/hyperlink" Target="https://www.immoscout24.ch/fr/appartement/louer/lieu-liddes" TargetMode="External"/><Relationship Id="rId3580" Type="http://schemas.openxmlformats.org/officeDocument/2006/relationships/hyperlink" Target="https://www.immoscout24.ch/fr/appartement/louer/lieu-renan-be" TargetMode="External"/><Relationship Id="rId2250" Type="http://schemas.openxmlformats.org/officeDocument/2006/relationships/hyperlink" Target="https://www.immoscout24.ch/fr/appartement/louer/lieu-limpach" TargetMode="External"/><Relationship Id="rId3582" Type="http://schemas.openxmlformats.org/officeDocument/2006/relationships/hyperlink" Target="https://www.immoscout24.ch/fr/maison/acheter/lieu-yverdon-les-bains" TargetMode="External"/><Relationship Id="rId2251" Type="http://schemas.openxmlformats.org/officeDocument/2006/relationships/hyperlink" Target="https://www.immoscout24.ch/fr/appartement/louer/lieu-sax" TargetMode="External"/><Relationship Id="rId3581" Type="http://schemas.openxmlformats.org/officeDocument/2006/relationships/hyperlink" Target="https://www.immoscout24.ch/fr/maison/acheter/lieu-yverdon-les-bains" TargetMode="External"/><Relationship Id="rId2252" Type="http://schemas.openxmlformats.org/officeDocument/2006/relationships/hyperlink" Target="https://www.immoscout24.ch/fr/appartement/louer/lieu-sax" TargetMode="External"/><Relationship Id="rId3584" Type="http://schemas.openxmlformats.org/officeDocument/2006/relationships/hyperlink" Target="https://www.immoscout24.ch/fr/maison/acheter/lieu-chavannes-sur-moudon" TargetMode="External"/><Relationship Id="rId2253" Type="http://schemas.openxmlformats.org/officeDocument/2006/relationships/hyperlink" Target="https://www.immoscout24.ch/fr/maison/acheter/lieu-movelier" TargetMode="External"/><Relationship Id="rId3583" Type="http://schemas.openxmlformats.org/officeDocument/2006/relationships/hyperlink" Target="https://www.immoscout24.ch/fr/maison/acheter/lieu-chavannes-sur-moudon" TargetMode="External"/><Relationship Id="rId2254" Type="http://schemas.openxmlformats.org/officeDocument/2006/relationships/hyperlink" Target="https://www.immoscout24.ch/fr/maison/acheter/lieu-movelier" TargetMode="External"/><Relationship Id="rId3586" Type="http://schemas.openxmlformats.org/officeDocument/2006/relationships/hyperlink" Target="https://www.immoscout24.ch/fr/appartement/louer/lieu-cugnasco" TargetMode="External"/><Relationship Id="rId2255" Type="http://schemas.openxmlformats.org/officeDocument/2006/relationships/hyperlink" Target="https://www.immoscout24.ch/fr/appartement/louer/lieu-fechy" TargetMode="External"/><Relationship Id="rId3585" Type="http://schemas.openxmlformats.org/officeDocument/2006/relationships/hyperlink" Target="https://www.immoscout24.ch/fr/appartement/louer/lieu-cugnasco" TargetMode="External"/><Relationship Id="rId2256" Type="http://schemas.openxmlformats.org/officeDocument/2006/relationships/hyperlink" Target="https://www.immoscout24.ch/fr/appartement/louer/lieu-fechy" TargetMode="External"/><Relationship Id="rId3588" Type="http://schemas.openxmlformats.org/officeDocument/2006/relationships/hyperlink" Target="https://www.immoscout24.ch/fr/maison/acheter/lieu-plaffeien" TargetMode="External"/><Relationship Id="rId2257" Type="http://schemas.openxmlformats.org/officeDocument/2006/relationships/hyperlink" Target="https://www.immoscout24.ch/fr/appartement/louer/lieu-baar-nendaz" TargetMode="External"/><Relationship Id="rId3587" Type="http://schemas.openxmlformats.org/officeDocument/2006/relationships/hyperlink" Target="https://www.immoscout24.ch/fr/maison/acheter/lieu-plaffeien" TargetMode="External"/><Relationship Id="rId2280" Type="http://schemas.openxmlformats.org/officeDocument/2006/relationships/hyperlink" Target="https://www.immoscout24.ch/fr/appartement/louer/lieu-madiswil" TargetMode="External"/><Relationship Id="rId2281" Type="http://schemas.openxmlformats.org/officeDocument/2006/relationships/hyperlink" Target="https://www.immoscout24.ch/fr/maison/acheter/pays-luxembourg" TargetMode="External"/><Relationship Id="rId2282" Type="http://schemas.openxmlformats.org/officeDocument/2006/relationships/hyperlink" Target="https://www.immoscout24.ch/fr/maison/acheter/pays-luxembourg" TargetMode="External"/><Relationship Id="rId2283" Type="http://schemas.openxmlformats.org/officeDocument/2006/relationships/hyperlink" Target="https://www.immoscout24.ch/fr/maison/acheter/lieu-develier" TargetMode="External"/><Relationship Id="rId2284" Type="http://schemas.openxmlformats.org/officeDocument/2006/relationships/hyperlink" Target="https://www.immoscout24.ch/fr/maison/acheter/lieu-develier" TargetMode="External"/><Relationship Id="rId2285" Type="http://schemas.openxmlformats.org/officeDocument/2006/relationships/hyperlink" Target="https://www.immoscout24.ch/fr/appartement/louer/lieu-charmey-gruyere" TargetMode="External"/><Relationship Id="rId2286" Type="http://schemas.openxmlformats.org/officeDocument/2006/relationships/hyperlink" Target="https://www.immoscout24.ch/fr/appartement/louer/lieu-charmey-gruyere" TargetMode="External"/><Relationship Id="rId2287" Type="http://schemas.openxmlformats.org/officeDocument/2006/relationships/hyperlink" Target="https://www.immoscout24.ch/fr/appartement/louer/lieu-muenchwilen-tg" TargetMode="External"/><Relationship Id="rId2288" Type="http://schemas.openxmlformats.org/officeDocument/2006/relationships/hyperlink" Target="https://www.immoscout24.ch/fr/appartement/louer/lieu-muenchwilen-tg" TargetMode="External"/><Relationship Id="rId2289" Type="http://schemas.openxmlformats.org/officeDocument/2006/relationships/hyperlink" Target="https://www.immoscout24.ch/fr/appartement/louer/lieu-reverolle" TargetMode="External"/><Relationship Id="rId2270" Type="http://schemas.openxmlformats.org/officeDocument/2006/relationships/hyperlink" Target="https://www.immoscout24.ch/fr/maison/louer/quartier-wipkingen-zurich" TargetMode="External"/><Relationship Id="rId2271" Type="http://schemas.openxmlformats.org/officeDocument/2006/relationships/hyperlink" Target="https://www.immoscout24.ch/fr/appartement/louer/lieu-mex-vs" TargetMode="External"/><Relationship Id="rId2272" Type="http://schemas.openxmlformats.org/officeDocument/2006/relationships/hyperlink" Target="https://www.immoscout24.ch/fr/appartement/louer/lieu-mex-vs" TargetMode="External"/><Relationship Id="rId2273" Type="http://schemas.openxmlformats.org/officeDocument/2006/relationships/hyperlink" Target="https://www.immoscout24.ch/fr/maison/acheter/lieu-cossonay-ville" TargetMode="External"/><Relationship Id="rId2274" Type="http://schemas.openxmlformats.org/officeDocument/2006/relationships/hyperlink" Target="https://www.immoscout24.ch/fr/maison/acheter/lieu-cossonay-ville" TargetMode="External"/><Relationship Id="rId2275" Type="http://schemas.openxmlformats.org/officeDocument/2006/relationships/hyperlink" Target="https://www.immoscout24.ch/fr/appartement/acheter/lieu-attalens" TargetMode="External"/><Relationship Id="rId2276" Type="http://schemas.openxmlformats.org/officeDocument/2006/relationships/hyperlink" Target="https://www.immoscout24.ch/fr/appartement/acheter/lieu-attalens" TargetMode="External"/><Relationship Id="rId2277" Type="http://schemas.openxmlformats.org/officeDocument/2006/relationships/hyperlink" Target="https://www.immoscout24.ch/fr/appartement/louer/lieu-noiraigue" TargetMode="External"/><Relationship Id="rId2278" Type="http://schemas.openxmlformats.org/officeDocument/2006/relationships/hyperlink" Target="https://www.immoscout24.ch/fr/appartement/louer/lieu-noiraigue" TargetMode="External"/><Relationship Id="rId2279" Type="http://schemas.openxmlformats.org/officeDocument/2006/relationships/hyperlink" Target="https://www.immoscout24.ch/fr/appartement/louer/lieu-madiswil" TargetMode="External"/><Relationship Id="rId2225" Type="http://schemas.openxmlformats.org/officeDocument/2006/relationships/hyperlink" Target="https://www.immoscout24.ch/fr/maison/louer/lieu-courtepin" TargetMode="External"/><Relationship Id="rId3557" Type="http://schemas.openxmlformats.org/officeDocument/2006/relationships/hyperlink" Target="https://www.immoscout24.ch/fr/appartement/louer/lieu-courtemaiche" TargetMode="External"/><Relationship Id="rId4888" Type="http://schemas.openxmlformats.org/officeDocument/2006/relationships/hyperlink" Target="https://www.immoscout24.ch/fr/appartement/louer/lieu-treyvaux" TargetMode="External"/><Relationship Id="rId2226" Type="http://schemas.openxmlformats.org/officeDocument/2006/relationships/hyperlink" Target="https://www.immoscout24.ch/fr/maison/louer/lieu-courtepin" TargetMode="External"/><Relationship Id="rId3556" Type="http://schemas.openxmlformats.org/officeDocument/2006/relationships/hyperlink" Target="https://www.immoscout24.ch/fr/appartement/louer/lieu-feldbrunnen" TargetMode="External"/><Relationship Id="rId4887" Type="http://schemas.openxmlformats.org/officeDocument/2006/relationships/hyperlink" Target="https://www.immoscout24.ch/fr/appartement/louer/lieu-treyvaux" TargetMode="External"/><Relationship Id="rId2227" Type="http://schemas.openxmlformats.org/officeDocument/2006/relationships/hyperlink" Target="https://www.immoscout24.ch/fr/maison/acheter/lieu-speicher" TargetMode="External"/><Relationship Id="rId3559" Type="http://schemas.openxmlformats.org/officeDocument/2006/relationships/hyperlink" Target="https://www.immoscout24.ch/fr/maison/acheter/lieu-nyon" TargetMode="External"/><Relationship Id="rId2228" Type="http://schemas.openxmlformats.org/officeDocument/2006/relationships/hyperlink" Target="https://www.immoscout24.ch/fr/maison/acheter/lieu-speicher" TargetMode="External"/><Relationship Id="rId3558" Type="http://schemas.openxmlformats.org/officeDocument/2006/relationships/hyperlink" Target="https://www.immoscout24.ch/fr/appartement/louer/lieu-courtemaiche" TargetMode="External"/><Relationship Id="rId4889" Type="http://schemas.openxmlformats.org/officeDocument/2006/relationships/hyperlink" Target="https://www.immoscout24.ch/fr/maison/acheter/lieu-besazio" TargetMode="External"/><Relationship Id="rId2229" Type="http://schemas.openxmlformats.org/officeDocument/2006/relationships/hyperlink" Target="https://www.immoscout24.ch/fr/maison/acheter/lieu-les-monts-de-corsier" TargetMode="External"/><Relationship Id="rId4880" Type="http://schemas.openxmlformats.org/officeDocument/2006/relationships/hyperlink" Target="https://www.immoscout24.ch/fr/appartement/louer/lieu-grangettes-pres-romont" TargetMode="External"/><Relationship Id="rId3551" Type="http://schemas.openxmlformats.org/officeDocument/2006/relationships/hyperlink" Target="https://www.immoscout24.ch/fr/maison/acheter/lieu-obergerlafingen" TargetMode="External"/><Relationship Id="rId4882" Type="http://schemas.openxmlformats.org/officeDocument/2006/relationships/hyperlink" Target="https://www.immoscout24.ch/fr/maison/acheter/lieu-boudry" TargetMode="External"/><Relationship Id="rId2220" Type="http://schemas.openxmlformats.org/officeDocument/2006/relationships/hyperlink" Target="https://www.immoscout24.ch/fr/maison/acheter/lieu-vacallo" TargetMode="External"/><Relationship Id="rId3550" Type="http://schemas.openxmlformats.org/officeDocument/2006/relationships/hyperlink" Target="https://www.immoscout24.ch/fr/maison/acheter/lieu-purasca" TargetMode="External"/><Relationship Id="rId4881" Type="http://schemas.openxmlformats.org/officeDocument/2006/relationships/hyperlink" Target="https://www.immoscout24.ch/fr/maison/acheter/lieu-boudry" TargetMode="External"/><Relationship Id="rId2221" Type="http://schemas.openxmlformats.org/officeDocument/2006/relationships/hyperlink" Target="https://www.immoscout24.ch/fr/appartement/acheter/lieu-pully" TargetMode="External"/><Relationship Id="rId3553" Type="http://schemas.openxmlformats.org/officeDocument/2006/relationships/hyperlink" Target="https://www.immoscout24.ch/fr/appartement/acheter/lieu-pery" TargetMode="External"/><Relationship Id="rId4884" Type="http://schemas.openxmlformats.org/officeDocument/2006/relationships/hyperlink" Target="https://www.immoscout24.ch/fr/appartement/louer/region-la-cote-nyon" TargetMode="External"/><Relationship Id="rId2222" Type="http://schemas.openxmlformats.org/officeDocument/2006/relationships/hyperlink" Target="https://www.immoscout24.ch/fr/appartement/acheter/lieu-pully" TargetMode="External"/><Relationship Id="rId3552" Type="http://schemas.openxmlformats.org/officeDocument/2006/relationships/hyperlink" Target="https://www.immoscout24.ch/fr/maison/acheter/lieu-obergerlafingen" TargetMode="External"/><Relationship Id="rId4883" Type="http://schemas.openxmlformats.org/officeDocument/2006/relationships/hyperlink" Target="https://www.immoscout24.ch/fr/appartement/louer/region-la-cote-nyon" TargetMode="External"/><Relationship Id="rId2223" Type="http://schemas.openxmlformats.org/officeDocument/2006/relationships/hyperlink" Target="https://www.immoscout24.ch/fr/appartement/acheter/lieu-le-locle" TargetMode="External"/><Relationship Id="rId3555" Type="http://schemas.openxmlformats.org/officeDocument/2006/relationships/hyperlink" Target="https://www.immoscout24.ch/fr/appartement/louer/lieu-feldbrunnen" TargetMode="External"/><Relationship Id="rId4886" Type="http://schemas.openxmlformats.org/officeDocument/2006/relationships/hyperlink" Target="https://www.immoscout24.ch/fr/maison/acheter/lieu-vuarrens" TargetMode="External"/><Relationship Id="rId2224" Type="http://schemas.openxmlformats.org/officeDocument/2006/relationships/hyperlink" Target="https://www.immoscout24.ch/fr/appartement/acheter/lieu-le-locle" TargetMode="External"/><Relationship Id="rId3554" Type="http://schemas.openxmlformats.org/officeDocument/2006/relationships/hyperlink" Target="https://www.immoscout24.ch/fr/appartement/acheter/lieu-pery" TargetMode="External"/><Relationship Id="rId4885" Type="http://schemas.openxmlformats.org/officeDocument/2006/relationships/hyperlink" Target="https://www.immoscout24.ch/fr/maison/acheter/lieu-vuarrens" TargetMode="External"/><Relationship Id="rId2214" Type="http://schemas.openxmlformats.org/officeDocument/2006/relationships/hyperlink" Target="https://www.immoscout24.ch/fr/appartement/acheter/lieu-frutigen" TargetMode="External"/><Relationship Id="rId3546" Type="http://schemas.openxmlformats.org/officeDocument/2006/relationships/hyperlink" Target="https://www.immoscout24.ch/fr/maison/acheter/quartier-florissant-malagnou-geneve" TargetMode="External"/><Relationship Id="rId4877" Type="http://schemas.openxmlformats.org/officeDocument/2006/relationships/hyperlink" Target="https://www.immoscout24.ch/fr/appartement/louer/lieu-les-pommerats" TargetMode="External"/><Relationship Id="rId2215" Type="http://schemas.openxmlformats.org/officeDocument/2006/relationships/hyperlink" Target="https://www.immoscout24.ch/fr/appartement/louer/lieu-grone" TargetMode="External"/><Relationship Id="rId3545" Type="http://schemas.openxmlformats.org/officeDocument/2006/relationships/hyperlink" Target="https://www.immoscout24.ch/fr/maison/acheter/quartier-florissant-malagnou-geneve" TargetMode="External"/><Relationship Id="rId4876" Type="http://schemas.openxmlformats.org/officeDocument/2006/relationships/hyperlink" Target="https://www.immoscout24.ch/fr/appartement/acheter/lieu-riaz" TargetMode="External"/><Relationship Id="rId2216" Type="http://schemas.openxmlformats.org/officeDocument/2006/relationships/hyperlink" Target="https://www.immoscout24.ch/fr/appartement/louer/lieu-grone" TargetMode="External"/><Relationship Id="rId3548" Type="http://schemas.openxmlformats.org/officeDocument/2006/relationships/hyperlink" Target="https://www.immoscout24.ch/fr/maison/louer/lieu-preles" TargetMode="External"/><Relationship Id="rId4879" Type="http://schemas.openxmlformats.org/officeDocument/2006/relationships/hyperlink" Target="https://www.immoscout24.ch/fr/appartement/louer/lieu-grangettes-pres-romont" TargetMode="External"/><Relationship Id="rId2217" Type="http://schemas.openxmlformats.org/officeDocument/2006/relationships/hyperlink" Target="https://www.immoscout24.ch/fr/maison/louer/quartier-sallaz-vennes-sechaud-lausanne" TargetMode="External"/><Relationship Id="rId3547" Type="http://schemas.openxmlformats.org/officeDocument/2006/relationships/hyperlink" Target="https://www.immoscout24.ch/fr/maison/louer/lieu-preles" TargetMode="External"/><Relationship Id="rId4878" Type="http://schemas.openxmlformats.org/officeDocument/2006/relationships/hyperlink" Target="https://www.immoscout24.ch/fr/appartement/louer/lieu-les-pommerats" TargetMode="External"/><Relationship Id="rId2218" Type="http://schemas.openxmlformats.org/officeDocument/2006/relationships/hyperlink" Target="https://www.immoscout24.ch/fr/maison/louer/quartier-sallaz-vennes-sechaud-lausanne" TargetMode="External"/><Relationship Id="rId2219" Type="http://schemas.openxmlformats.org/officeDocument/2006/relationships/hyperlink" Target="https://www.immoscout24.ch/fr/maison/acheter/lieu-vacallo" TargetMode="External"/><Relationship Id="rId3549" Type="http://schemas.openxmlformats.org/officeDocument/2006/relationships/hyperlink" Target="https://www.immoscout24.ch/fr/maison/acheter/lieu-purasca" TargetMode="External"/><Relationship Id="rId3540" Type="http://schemas.openxmlformats.org/officeDocument/2006/relationships/hyperlink" Target="https://www.immoscout24.ch/fr/appartement/acheter/lieu-bassersdorf" TargetMode="External"/><Relationship Id="rId4871" Type="http://schemas.openxmlformats.org/officeDocument/2006/relationships/hyperlink" Target="https://www.immoscout24.ch/fr/appartement/louer/lieu-la-cote-aux-fees" TargetMode="External"/><Relationship Id="rId4870" Type="http://schemas.openxmlformats.org/officeDocument/2006/relationships/hyperlink" Target="https://www.immoscout24.ch/fr/appartement/louer/lieu-vuarmarens" TargetMode="External"/><Relationship Id="rId2210" Type="http://schemas.openxmlformats.org/officeDocument/2006/relationships/hyperlink" Target="https://www.immoscout24.ch/fr/appartement/louer/lieu-cortaillod" TargetMode="External"/><Relationship Id="rId3542" Type="http://schemas.openxmlformats.org/officeDocument/2006/relationships/hyperlink" Target="https://www.immoscout24.ch/fr/maison/louer/lieu-neuenkirch" TargetMode="External"/><Relationship Id="rId4873" Type="http://schemas.openxmlformats.org/officeDocument/2006/relationships/hyperlink" Target="https://www.immoscout24.ch/fr/maison/louer/lieu-oberburg" TargetMode="External"/><Relationship Id="rId2211" Type="http://schemas.openxmlformats.org/officeDocument/2006/relationships/hyperlink" Target="https://www.immoscout24.ch/fr/appartement/acheter/region-appenzell-et-environs" TargetMode="External"/><Relationship Id="rId3541" Type="http://schemas.openxmlformats.org/officeDocument/2006/relationships/hyperlink" Target="https://www.immoscout24.ch/fr/maison/louer/lieu-neuenkirch" TargetMode="External"/><Relationship Id="rId4872" Type="http://schemas.openxmlformats.org/officeDocument/2006/relationships/hyperlink" Target="https://www.immoscout24.ch/fr/appartement/louer/lieu-la-cote-aux-fees" TargetMode="External"/><Relationship Id="rId2212" Type="http://schemas.openxmlformats.org/officeDocument/2006/relationships/hyperlink" Target="https://www.immoscout24.ch/fr/appartement/acheter/region-appenzell-et-environs" TargetMode="External"/><Relationship Id="rId3544" Type="http://schemas.openxmlformats.org/officeDocument/2006/relationships/hyperlink" Target="https://www.immoscout24.ch/fr/maison/acheter/lieu-le-pont" TargetMode="External"/><Relationship Id="rId4875" Type="http://schemas.openxmlformats.org/officeDocument/2006/relationships/hyperlink" Target="https://www.immoscout24.ch/fr/appartement/acheter/lieu-riaz" TargetMode="External"/><Relationship Id="rId2213" Type="http://schemas.openxmlformats.org/officeDocument/2006/relationships/hyperlink" Target="https://www.immoscout24.ch/fr/appartement/acheter/lieu-frutigen" TargetMode="External"/><Relationship Id="rId3543" Type="http://schemas.openxmlformats.org/officeDocument/2006/relationships/hyperlink" Target="https://www.immoscout24.ch/fr/maison/acheter/lieu-le-pont" TargetMode="External"/><Relationship Id="rId4874" Type="http://schemas.openxmlformats.org/officeDocument/2006/relationships/hyperlink" Target="https://www.immoscout24.ch/fr/maison/louer/lieu-oberburg" TargetMode="External"/><Relationship Id="rId2247" Type="http://schemas.openxmlformats.org/officeDocument/2006/relationships/hyperlink" Target="https://www.immoscout24.ch/fr/maison/acheter/lieu-apples" TargetMode="External"/><Relationship Id="rId3579" Type="http://schemas.openxmlformats.org/officeDocument/2006/relationships/hyperlink" Target="https://www.immoscout24.ch/fr/appartement/louer/lieu-renan-be" TargetMode="External"/><Relationship Id="rId2248" Type="http://schemas.openxmlformats.org/officeDocument/2006/relationships/hyperlink" Target="https://www.immoscout24.ch/fr/maison/acheter/lieu-apples" TargetMode="External"/><Relationship Id="rId3578" Type="http://schemas.openxmlformats.org/officeDocument/2006/relationships/hyperlink" Target="https://www.immoscout24.ch/fr/appartement/acheter/lieu-st-stephan" TargetMode="External"/><Relationship Id="rId2249" Type="http://schemas.openxmlformats.org/officeDocument/2006/relationships/hyperlink" Target="https://www.immoscout24.ch/fr/appartement/louer/lieu-limpach" TargetMode="External"/><Relationship Id="rId3571" Type="http://schemas.openxmlformats.org/officeDocument/2006/relationships/hyperlink" Target="https://www.immoscout24.ch/fr/maison/acheter/lieu-gollion" TargetMode="External"/><Relationship Id="rId2240" Type="http://schemas.openxmlformats.org/officeDocument/2006/relationships/hyperlink" Target="https://www.immoscout24.ch/fr/appartement/acheter/lieu-kesswil" TargetMode="External"/><Relationship Id="rId3570" Type="http://schemas.openxmlformats.org/officeDocument/2006/relationships/hyperlink" Target="https://www.immoscout24.ch/fr/maison/louer/lieu-leytron" TargetMode="External"/><Relationship Id="rId2241" Type="http://schemas.openxmlformats.org/officeDocument/2006/relationships/hyperlink" Target="https://www.immoscout24.ch/fr/appartement/louer/lieu-collex" TargetMode="External"/><Relationship Id="rId3573" Type="http://schemas.openxmlformats.org/officeDocument/2006/relationships/hyperlink" Target="https://www.immoscout24.ch/fr/appartement/louer/lieu-venthone" TargetMode="External"/><Relationship Id="rId2242" Type="http://schemas.openxmlformats.org/officeDocument/2006/relationships/hyperlink" Target="https://www.immoscout24.ch/fr/appartement/louer/lieu-collex" TargetMode="External"/><Relationship Id="rId3572" Type="http://schemas.openxmlformats.org/officeDocument/2006/relationships/hyperlink" Target="https://www.immoscout24.ch/fr/maison/acheter/lieu-gollion" TargetMode="External"/><Relationship Id="rId2243" Type="http://schemas.openxmlformats.org/officeDocument/2006/relationships/hyperlink" Target="https://www.immoscout24.ch/fr/appartement/louer/lieu-gysenstein" TargetMode="External"/><Relationship Id="rId3575" Type="http://schemas.openxmlformats.org/officeDocument/2006/relationships/hyperlink" Target="https://www.immoscout24.ch/fr/appartement/louer/lieu-zunzgen" TargetMode="External"/><Relationship Id="rId2244" Type="http://schemas.openxmlformats.org/officeDocument/2006/relationships/hyperlink" Target="https://www.immoscout24.ch/fr/appartement/louer/lieu-gysenstein" TargetMode="External"/><Relationship Id="rId3574" Type="http://schemas.openxmlformats.org/officeDocument/2006/relationships/hyperlink" Target="https://www.immoscout24.ch/fr/appartement/louer/lieu-venthone" TargetMode="External"/><Relationship Id="rId2245" Type="http://schemas.openxmlformats.org/officeDocument/2006/relationships/hyperlink" Target="https://www.immoscout24.ch/fr/appartement/louer/lieu-rheinfelden" TargetMode="External"/><Relationship Id="rId3577" Type="http://schemas.openxmlformats.org/officeDocument/2006/relationships/hyperlink" Target="https://www.immoscout24.ch/fr/appartement/acheter/lieu-st-stephan" TargetMode="External"/><Relationship Id="rId2246" Type="http://schemas.openxmlformats.org/officeDocument/2006/relationships/hyperlink" Target="https://www.immoscout24.ch/fr/appartement/louer/lieu-rheinfelden" TargetMode="External"/><Relationship Id="rId3576" Type="http://schemas.openxmlformats.org/officeDocument/2006/relationships/hyperlink" Target="https://www.immoscout24.ch/fr/appartement/louer/lieu-zunzgen" TargetMode="External"/><Relationship Id="rId2236" Type="http://schemas.openxmlformats.org/officeDocument/2006/relationships/hyperlink" Target="https://www.immoscout24.ch/fr/appartement/louer/lieu-cossonay-ville" TargetMode="External"/><Relationship Id="rId3568" Type="http://schemas.openxmlformats.org/officeDocument/2006/relationships/hyperlink" Target="https://www.immoscout24.ch/fr/appartement/louer/quartier-breitfeld-berne" TargetMode="External"/><Relationship Id="rId4899" Type="http://schemas.openxmlformats.org/officeDocument/2006/relationships/hyperlink" Target="https://www.immoscout24.ch/fr/appartement/louer/lieu-villars-sur-fontenais" TargetMode="External"/><Relationship Id="rId2237" Type="http://schemas.openxmlformats.org/officeDocument/2006/relationships/hyperlink" Target="https://www.immoscout24.ch/fr/maison/acheter/lieu-stans" TargetMode="External"/><Relationship Id="rId3567" Type="http://schemas.openxmlformats.org/officeDocument/2006/relationships/hyperlink" Target="https://www.immoscout24.ch/fr/appartement/louer/quartier-breitfeld-berne" TargetMode="External"/><Relationship Id="rId4898" Type="http://schemas.openxmlformats.org/officeDocument/2006/relationships/hyperlink" Target="https://www.immoscout24.ch/fr/appartement/acheter/lieu-epalinges" TargetMode="External"/><Relationship Id="rId2238" Type="http://schemas.openxmlformats.org/officeDocument/2006/relationships/hyperlink" Target="https://www.immoscout24.ch/fr/maison/acheter/lieu-stans" TargetMode="External"/><Relationship Id="rId2239" Type="http://schemas.openxmlformats.org/officeDocument/2006/relationships/hyperlink" Target="https://www.immoscout24.ch/fr/appartement/acheter/lieu-kesswil" TargetMode="External"/><Relationship Id="rId3569" Type="http://schemas.openxmlformats.org/officeDocument/2006/relationships/hyperlink" Target="https://www.immoscout24.ch/fr/maison/louer/lieu-leytron" TargetMode="External"/><Relationship Id="rId3560" Type="http://schemas.openxmlformats.org/officeDocument/2006/relationships/hyperlink" Target="https://www.immoscout24.ch/fr/maison/acheter/lieu-nyon" TargetMode="External"/><Relationship Id="rId4891" Type="http://schemas.openxmlformats.org/officeDocument/2006/relationships/hyperlink" Target="https://www.immoscout24.ch/fr/appartement/acheter/region-lac-majeur" TargetMode="External"/><Relationship Id="rId4890" Type="http://schemas.openxmlformats.org/officeDocument/2006/relationships/hyperlink" Target="https://www.immoscout24.ch/fr/maison/acheter/lieu-besazio" TargetMode="External"/><Relationship Id="rId2230" Type="http://schemas.openxmlformats.org/officeDocument/2006/relationships/hyperlink" Target="https://www.immoscout24.ch/fr/maison/acheter/lieu-les-monts-de-corsier" TargetMode="External"/><Relationship Id="rId3562" Type="http://schemas.openxmlformats.org/officeDocument/2006/relationships/hyperlink" Target="https://www.immoscout24.ch/fr/appartement/louer/canton-jura" TargetMode="External"/><Relationship Id="rId4893" Type="http://schemas.openxmlformats.org/officeDocument/2006/relationships/hyperlink" Target="https://www.immoscout24.ch/fr/maison/acheter/lieu-st-brais" TargetMode="External"/><Relationship Id="rId2231" Type="http://schemas.openxmlformats.org/officeDocument/2006/relationships/hyperlink" Target="https://www.immoscout24.ch/fr/maison/acheter/lieu-rivera" TargetMode="External"/><Relationship Id="rId3561" Type="http://schemas.openxmlformats.org/officeDocument/2006/relationships/hyperlink" Target="https://www.immoscout24.ch/fr/appartement/louer/canton-jura" TargetMode="External"/><Relationship Id="rId4892" Type="http://schemas.openxmlformats.org/officeDocument/2006/relationships/hyperlink" Target="https://www.immoscout24.ch/fr/appartement/acheter/region-lac-majeur" TargetMode="External"/><Relationship Id="rId2232" Type="http://schemas.openxmlformats.org/officeDocument/2006/relationships/hyperlink" Target="https://www.immoscout24.ch/fr/maison/acheter/lieu-rivera" TargetMode="External"/><Relationship Id="rId3564" Type="http://schemas.openxmlformats.org/officeDocument/2006/relationships/hyperlink" Target="https://www.immoscout24.ch/fr/appartement/louer/lieu-glattfelden" TargetMode="External"/><Relationship Id="rId4895" Type="http://schemas.openxmlformats.org/officeDocument/2006/relationships/hyperlink" Target="https://www.immoscout24.ch/fr/appartement/acheter/lieu-les-mosses" TargetMode="External"/><Relationship Id="rId2233" Type="http://schemas.openxmlformats.org/officeDocument/2006/relationships/hyperlink" Target="https://www.immoscout24.ch/fr/appartement/louer/lieu-gland" TargetMode="External"/><Relationship Id="rId3563" Type="http://schemas.openxmlformats.org/officeDocument/2006/relationships/hyperlink" Target="https://www.immoscout24.ch/fr/appartement/louer/lieu-glattfelden" TargetMode="External"/><Relationship Id="rId4894" Type="http://schemas.openxmlformats.org/officeDocument/2006/relationships/hyperlink" Target="https://www.immoscout24.ch/fr/maison/acheter/lieu-st-brais" TargetMode="External"/><Relationship Id="rId2234" Type="http://schemas.openxmlformats.org/officeDocument/2006/relationships/hyperlink" Target="https://www.immoscout24.ch/fr/appartement/louer/lieu-gland" TargetMode="External"/><Relationship Id="rId3566" Type="http://schemas.openxmlformats.org/officeDocument/2006/relationships/hyperlink" Target="https://www.immoscout24.ch/fr/appartement/louer/lieu-corcelles-pres-payerne" TargetMode="External"/><Relationship Id="rId4897" Type="http://schemas.openxmlformats.org/officeDocument/2006/relationships/hyperlink" Target="https://www.immoscout24.ch/fr/appartement/acheter/lieu-epalinges" TargetMode="External"/><Relationship Id="rId2235" Type="http://schemas.openxmlformats.org/officeDocument/2006/relationships/hyperlink" Target="https://www.immoscout24.ch/fr/appartement/louer/lieu-cossonay-ville" TargetMode="External"/><Relationship Id="rId3565" Type="http://schemas.openxmlformats.org/officeDocument/2006/relationships/hyperlink" Target="https://www.immoscout24.ch/fr/appartement/louer/lieu-corcelles-pres-payerne" TargetMode="External"/><Relationship Id="rId4896" Type="http://schemas.openxmlformats.org/officeDocument/2006/relationships/hyperlink" Target="https://www.immoscout24.ch/fr/appartement/acheter/lieu-les-mosses" TargetMode="External"/><Relationship Id="rId2290" Type="http://schemas.openxmlformats.org/officeDocument/2006/relationships/hyperlink" Target="https://www.immoscout24.ch/fr/appartement/louer/lieu-reverolle" TargetMode="External"/><Relationship Id="rId2291" Type="http://schemas.openxmlformats.org/officeDocument/2006/relationships/hyperlink" Target="https://www.immoscout24.ch/fr/maison/acheter/lieu-bolligen" TargetMode="External"/><Relationship Id="rId2292" Type="http://schemas.openxmlformats.org/officeDocument/2006/relationships/hyperlink" Target="https://www.immoscout24.ch/fr/maison/acheter/lieu-bolligen" TargetMode="External"/><Relationship Id="rId2293" Type="http://schemas.openxmlformats.org/officeDocument/2006/relationships/hyperlink" Target="https://www.immoscout24.ch/fr/appartement/louer/lieu-saanenmoeser" TargetMode="External"/><Relationship Id="rId2294" Type="http://schemas.openxmlformats.org/officeDocument/2006/relationships/hyperlink" Target="https://www.immoscout24.ch/fr/appartement/louer/lieu-saanenmoeser" TargetMode="External"/><Relationship Id="rId2295" Type="http://schemas.openxmlformats.org/officeDocument/2006/relationships/hyperlink" Target="https://www.immoscout24.ch/fr/appartement/louer/lieu-lengnau-be" TargetMode="External"/><Relationship Id="rId2296" Type="http://schemas.openxmlformats.org/officeDocument/2006/relationships/hyperlink" Target="https://www.immoscout24.ch/fr/appartement/louer/lieu-lengnau-be" TargetMode="External"/><Relationship Id="rId2297" Type="http://schemas.openxmlformats.org/officeDocument/2006/relationships/hyperlink" Target="https://www.immoscout24.ch/fr/maison/acheter/lieu-blausee-mitholz" TargetMode="External"/><Relationship Id="rId2298" Type="http://schemas.openxmlformats.org/officeDocument/2006/relationships/hyperlink" Target="https://www.immoscout24.ch/fr/maison/acheter/lieu-blausee-mitholz" TargetMode="External"/><Relationship Id="rId2299" Type="http://schemas.openxmlformats.org/officeDocument/2006/relationships/hyperlink" Target="https://www.immoscout24.ch/fr/maison/acheter/lieu-riaz" TargetMode="External"/><Relationship Id="rId4901" Type="http://schemas.openxmlformats.org/officeDocument/2006/relationships/hyperlink" Target="https://www.immoscout24.ch/fr/maison/acheter/region-bale-ville" TargetMode="External"/><Relationship Id="rId4900" Type="http://schemas.openxmlformats.org/officeDocument/2006/relationships/hyperlink" Target="https://www.immoscout24.ch/fr/appartement/louer/lieu-villars-sur-fontenais" TargetMode="External"/><Relationship Id="rId4903" Type="http://schemas.openxmlformats.org/officeDocument/2006/relationships/hyperlink" Target="https://www.immoscout24.ch/fr/maison/acheter/lieu-vinelz" TargetMode="External"/><Relationship Id="rId4902" Type="http://schemas.openxmlformats.org/officeDocument/2006/relationships/hyperlink" Target="https://www.immoscout24.ch/fr/maison/acheter/region-bale-ville" TargetMode="External"/><Relationship Id="rId4905" Type="http://schemas.openxmlformats.org/officeDocument/2006/relationships/hyperlink" Target="https://www.immoscout24.ch/fr/appartement/acheter/lieu-veyrier" TargetMode="External"/><Relationship Id="rId4904" Type="http://schemas.openxmlformats.org/officeDocument/2006/relationships/hyperlink" Target="https://www.immoscout24.ch/fr/maison/acheter/lieu-vinelz" TargetMode="External"/><Relationship Id="rId4907" Type="http://schemas.openxmlformats.org/officeDocument/2006/relationships/hyperlink" Target="https://www.immoscout24.ch/fr/maison/acheter/canton-schwyz" TargetMode="External"/><Relationship Id="rId4906" Type="http://schemas.openxmlformats.org/officeDocument/2006/relationships/hyperlink" Target="https://www.immoscout24.ch/fr/appartement/acheter/lieu-veyrier" TargetMode="External"/><Relationship Id="rId4909" Type="http://schemas.openxmlformats.org/officeDocument/2006/relationships/hyperlink" Target="https://www.immoscout24.ch/fr/maison/acheter/lieu-tentlingen" TargetMode="External"/><Relationship Id="rId4908" Type="http://schemas.openxmlformats.org/officeDocument/2006/relationships/hyperlink" Target="https://www.immoscout24.ch/fr/maison/acheter/canton-schwyz" TargetMode="External"/><Relationship Id="rId2302" Type="http://schemas.openxmlformats.org/officeDocument/2006/relationships/hyperlink" Target="https://www.immoscout24.ch/fr/maison/acheter/lieu-chatel-sur-montsalvens" TargetMode="External"/><Relationship Id="rId3634" Type="http://schemas.openxmlformats.org/officeDocument/2006/relationships/hyperlink" Target="https://www.immoscout24.ch/fr/maison/acheter/lieu-essertines-sur-yverdon" TargetMode="External"/><Relationship Id="rId4965" Type="http://schemas.openxmlformats.org/officeDocument/2006/relationships/hyperlink" Target="https://www.immoscout24.ch/fr/appartement/louer/quartier-bramberg-stkarli-lucerne" TargetMode="External"/><Relationship Id="rId2303" Type="http://schemas.openxmlformats.org/officeDocument/2006/relationships/hyperlink" Target="https://www.immoscout24.ch/fr/appartement/acheter/lieu-winterthur" TargetMode="External"/><Relationship Id="rId3633" Type="http://schemas.openxmlformats.org/officeDocument/2006/relationships/hyperlink" Target="https://www.immoscout24.ch/fr/maison/acheter/lieu-essertines-sur-yverdon" TargetMode="External"/><Relationship Id="rId4964" Type="http://schemas.openxmlformats.org/officeDocument/2006/relationships/hyperlink" Target="https://www.immoscout24.ch/fr/appartement/louer/lieu-pieterlen" TargetMode="External"/><Relationship Id="rId2304" Type="http://schemas.openxmlformats.org/officeDocument/2006/relationships/hyperlink" Target="https://www.immoscout24.ch/fr/appartement/acheter/lieu-winterthur" TargetMode="External"/><Relationship Id="rId3636" Type="http://schemas.openxmlformats.org/officeDocument/2006/relationships/hyperlink" Target="https://www.immoscout24.ch/fr/appartement/acheter/lieu-andermatt" TargetMode="External"/><Relationship Id="rId4967" Type="http://schemas.openxmlformats.org/officeDocument/2006/relationships/hyperlink" Target="https://www.immoscout24.ch/fr/maison/louer/lieu-lussy-sur-morges" TargetMode="External"/><Relationship Id="rId2305" Type="http://schemas.openxmlformats.org/officeDocument/2006/relationships/hyperlink" Target="https://www.immoscout24.ch/fr/maison/acheter/lieu-wohlen-ag" TargetMode="External"/><Relationship Id="rId3635" Type="http://schemas.openxmlformats.org/officeDocument/2006/relationships/hyperlink" Target="https://www.immoscout24.ch/fr/appartement/acheter/lieu-andermatt" TargetMode="External"/><Relationship Id="rId4966" Type="http://schemas.openxmlformats.org/officeDocument/2006/relationships/hyperlink" Target="https://www.immoscout24.ch/fr/appartement/louer/quartier-bramberg-stkarli-lucerne" TargetMode="External"/><Relationship Id="rId2306" Type="http://schemas.openxmlformats.org/officeDocument/2006/relationships/hyperlink" Target="https://www.immoscout24.ch/fr/maison/acheter/lieu-wohlen-ag" TargetMode="External"/><Relationship Id="rId3638" Type="http://schemas.openxmlformats.org/officeDocument/2006/relationships/hyperlink" Target="https://www.immoscout24.ch/fr/appartement/louer/pays-liechtenstein" TargetMode="External"/><Relationship Id="rId4969" Type="http://schemas.openxmlformats.org/officeDocument/2006/relationships/hyperlink" Target="https://www.immoscout24.ch/fr/appartement/acheter/lieu-reconvilier" TargetMode="External"/><Relationship Id="rId2307" Type="http://schemas.openxmlformats.org/officeDocument/2006/relationships/hyperlink" Target="https://www.immoscout24.ch/fr/maison/acheter/lieu-glovelier" TargetMode="External"/><Relationship Id="rId3637" Type="http://schemas.openxmlformats.org/officeDocument/2006/relationships/hyperlink" Target="https://www.immoscout24.ch/fr/appartement/louer/pays-liechtenstein" TargetMode="External"/><Relationship Id="rId4968" Type="http://schemas.openxmlformats.org/officeDocument/2006/relationships/hyperlink" Target="https://www.immoscout24.ch/fr/maison/louer/lieu-lussy-sur-morges" TargetMode="External"/><Relationship Id="rId2308" Type="http://schemas.openxmlformats.org/officeDocument/2006/relationships/hyperlink" Target="https://www.immoscout24.ch/fr/maison/acheter/lieu-glovelier" TargetMode="External"/><Relationship Id="rId2309" Type="http://schemas.openxmlformats.org/officeDocument/2006/relationships/hyperlink" Target="https://www.immoscout24.ch/fr/appartement/louer/lieu-samstagern" TargetMode="External"/><Relationship Id="rId3639" Type="http://schemas.openxmlformats.org/officeDocument/2006/relationships/hyperlink" Target="https://www.immoscout24.ch/fr/maison/acheter/quartier-pregassona-lugano" TargetMode="External"/><Relationship Id="rId3630" Type="http://schemas.openxmlformats.org/officeDocument/2006/relationships/hyperlink" Target="https://www.immoscout24.ch/fr/appartement/acheter/lieu-ulrichen" TargetMode="External"/><Relationship Id="rId4961" Type="http://schemas.openxmlformats.org/officeDocument/2006/relationships/hyperlink" Target="https://www.immoscout24.ch/fr/appartement/louer/lieu-chez-le-bart" TargetMode="External"/><Relationship Id="rId4960" Type="http://schemas.openxmlformats.org/officeDocument/2006/relationships/hyperlink" Target="https://www.immoscout24.ch/fr/maison/acheter/lieu-ravoire" TargetMode="External"/><Relationship Id="rId2300" Type="http://schemas.openxmlformats.org/officeDocument/2006/relationships/hyperlink" Target="https://www.immoscout24.ch/fr/maison/acheter/lieu-riaz" TargetMode="External"/><Relationship Id="rId3632" Type="http://schemas.openxmlformats.org/officeDocument/2006/relationships/hyperlink" Target="https://www.immoscout24.ch/fr/appartement/louer/lieu-buchs-zh" TargetMode="External"/><Relationship Id="rId4963" Type="http://schemas.openxmlformats.org/officeDocument/2006/relationships/hyperlink" Target="https://www.immoscout24.ch/fr/appartement/louer/lieu-pieterlen" TargetMode="External"/><Relationship Id="rId2301" Type="http://schemas.openxmlformats.org/officeDocument/2006/relationships/hyperlink" Target="https://www.immoscout24.ch/fr/maison/acheter/lieu-chatel-sur-montsalvens" TargetMode="External"/><Relationship Id="rId3631" Type="http://schemas.openxmlformats.org/officeDocument/2006/relationships/hyperlink" Target="https://www.immoscout24.ch/fr/appartement/louer/lieu-buchs-zh" TargetMode="External"/><Relationship Id="rId4962" Type="http://schemas.openxmlformats.org/officeDocument/2006/relationships/hyperlink" Target="https://www.immoscout24.ch/fr/appartement/louer/lieu-chez-le-bart" TargetMode="External"/><Relationship Id="rId3623" Type="http://schemas.openxmlformats.org/officeDocument/2006/relationships/hyperlink" Target="https://www.immoscout24.ch/fr/appartement/louer/lieu-courchavon" TargetMode="External"/><Relationship Id="rId4954" Type="http://schemas.openxmlformats.org/officeDocument/2006/relationships/hyperlink" Target="https://www.immoscout24.ch/fr/appartement/acheter/lieu-couvet" TargetMode="External"/><Relationship Id="rId3622" Type="http://schemas.openxmlformats.org/officeDocument/2006/relationships/hyperlink" Target="https://www.immoscout24.ch/fr/appartement/louer/lieu-essert-pittet" TargetMode="External"/><Relationship Id="rId4953" Type="http://schemas.openxmlformats.org/officeDocument/2006/relationships/hyperlink" Target="https://www.immoscout24.ch/fr/appartement/acheter/lieu-couvet" TargetMode="External"/><Relationship Id="rId3625" Type="http://schemas.openxmlformats.org/officeDocument/2006/relationships/hyperlink" Target="https://www.immoscout24.ch/fr/maison/louer/lieu-brig" TargetMode="External"/><Relationship Id="rId4956" Type="http://schemas.openxmlformats.org/officeDocument/2006/relationships/hyperlink" Target="https://www.immoscout24.ch/fr/appartement/louer/lieu-syens" TargetMode="External"/><Relationship Id="rId3624" Type="http://schemas.openxmlformats.org/officeDocument/2006/relationships/hyperlink" Target="https://www.immoscout24.ch/fr/appartement/louer/lieu-courchavon" TargetMode="External"/><Relationship Id="rId4955" Type="http://schemas.openxmlformats.org/officeDocument/2006/relationships/hyperlink" Target="https://www.immoscout24.ch/fr/appartement/louer/lieu-syens" TargetMode="External"/><Relationship Id="rId3627" Type="http://schemas.openxmlformats.org/officeDocument/2006/relationships/hyperlink" Target="https://www.immoscout24.ch/fr/appartement/louer/lieu-rothenburg" TargetMode="External"/><Relationship Id="rId4958" Type="http://schemas.openxmlformats.org/officeDocument/2006/relationships/hyperlink" Target="https://www.immoscout24.ch/fr/maison/acheter/lieu-corcelles-sur-chavornay" TargetMode="External"/><Relationship Id="rId3626" Type="http://schemas.openxmlformats.org/officeDocument/2006/relationships/hyperlink" Target="https://www.immoscout24.ch/fr/maison/louer/lieu-brig" TargetMode="External"/><Relationship Id="rId4957" Type="http://schemas.openxmlformats.org/officeDocument/2006/relationships/hyperlink" Target="https://www.immoscout24.ch/fr/maison/acheter/lieu-corcelles-sur-chavornay" TargetMode="External"/><Relationship Id="rId3629" Type="http://schemas.openxmlformats.org/officeDocument/2006/relationships/hyperlink" Target="https://www.immoscout24.ch/fr/appartement/acheter/lieu-ulrichen" TargetMode="External"/><Relationship Id="rId3628" Type="http://schemas.openxmlformats.org/officeDocument/2006/relationships/hyperlink" Target="https://www.immoscout24.ch/fr/appartement/louer/lieu-rothenburg" TargetMode="External"/><Relationship Id="rId4959" Type="http://schemas.openxmlformats.org/officeDocument/2006/relationships/hyperlink" Target="https://www.immoscout24.ch/fr/maison/acheter/lieu-ravoire" TargetMode="External"/><Relationship Id="rId4950" Type="http://schemas.openxmlformats.org/officeDocument/2006/relationships/hyperlink" Target="https://www.immoscout24.ch/fr/appartement/acheter/lieu-preverenges" TargetMode="External"/><Relationship Id="rId3621" Type="http://schemas.openxmlformats.org/officeDocument/2006/relationships/hyperlink" Target="https://www.immoscout24.ch/fr/appartement/louer/lieu-essert-pittet" TargetMode="External"/><Relationship Id="rId4952" Type="http://schemas.openxmlformats.org/officeDocument/2006/relationships/hyperlink" Target="https://www.immoscout24.ch/fr/appartement/louer/lieu-preverenges" TargetMode="External"/><Relationship Id="rId3620" Type="http://schemas.openxmlformats.org/officeDocument/2006/relationships/hyperlink" Target="https://www.immoscout24.ch/fr/maison/acheter/lieu-novaggio" TargetMode="External"/><Relationship Id="rId4951" Type="http://schemas.openxmlformats.org/officeDocument/2006/relationships/hyperlink" Target="https://www.immoscout24.ch/fr/appartement/louer/lieu-preverenges" TargetMode="External"/><Relationship Id="rId2324" Type="http://schemas.openxmlformats.org/officeDocument/2006/relationships/hyperlink" Target="https://www.immoscout24.ch/fr/appartement/louer/region-delemont" TargetMode="External"/><Relationship Id="rId3656" Type="http://schemas.openxmlformats.org/officeDocument/2006/relationships/hyperlink" Target="https://www.immoscout24.ch/fr/maison/acheter/lieu-choulex" TargetMode="External"/><Relationship Id="rId4987" Type="http://schemas.openxmlformats.org/officeDocument/2006/relationships/hyperlink" Target="https://www.immoscout24.ch/fr/maison/acheter/lieu-champtauroz" TargetMode="External"/><Relationship Id="rId2325" Type="http://schemas.openxmlformats.org/officeDocument/2006/relationships/hyperlink" Target="https://www.immoscout24.ch/fr/appartement/acheter/lieu-chapelle-sur-moudon" TargetMode="External"/><Relationship Id="rId3655" Type="http://schemas.openxmlformats.org/officeDocument/2006/relationships/hyperlink" Target="https://www.immoscout24.ch/fr/maison/acheter/lieu-choulex" TargetMode="External"/><Relationship Id="rId4986" Type="http://schemas.openxmlformats.org/officeDocument/2006/relationships/hyperlink" Target="https://www.immoscout24.ch/fr/appartement/acheter/lieu-coppet" TargetMode="External"/><Relationship Id="rId2326" Type="http://schemas.openxmlformats.org/officeDocument/2006/relationships/hyperlink" Target="https://www.immoscout24.ch/fr/appartement/acheter/lieu-chapelle-sur-moudon" TargetMode="External"/><Relationship Id="rId3658" Type="http://schemas.openxmlformats.org/officeDocument/2006/relationships/hyperlink" Target="https://www.immoscout24.ch/fr/maison/acheter/lieu-bidogno" TargetMode="External"/><Relationship Id="rId4989" Type="http://schemas.openxmlformats.org/officeDocument/2006/relationships/hyperlink" Target="https://www.immoscout24.ch/fr/maison/acheter/lieu-la-sagne-ne" TargetMode="External"/><Relationship Id="rId2327" Type="http://schemas.openxmlformats.org/officeDocument/2006/relationships/hyperlink" Target="https://www.immoscout24.ch/fr/appartement/acheter/region-soleure" TargetMode="External"/><Relationship Id="rId3657" Type="http://schemas.openxmlformats.org/officeDocument/2006/relationships/hyperlink" Target="https://www.immoscout24.ch/fr/maison/acheter/lieu-bidogno" TargetMode="External"/><Relationship Id="rId4988" Type="http://schemas.openxmlformats.org/officeDocument/2006/relationships/hyperlink" Target="https://www.immoscout24.ch/fr/maison/acheter/lieu-champtauroz" TargetMode="External"/><Relationship Id="rId2328" Type="http://schemas.openxmlformats.org/officeDocument/2006/relationships/hyperlink" Target="https://www.immoscout24.ch/fr/appartement/acheter/region-soleure" TargetMode="External"/><Relationship Id="rId2329" Type="http://schemas.openxmlformats.org/officeDocument/2006/relationships/hyperlink" Target="https://www.immoscout24.ch/fr/appartement/louer/lieu-la-tour-de-peilz" TargetMode="External"/><Relationship Id="rId3659" Type="http://schemas.openxmlformats.org/officeDocument/2006/relationships/hyperlink" Target="https://www.immoscout24.ch/fr/appartement/acheter/canton-zoug" TargetMode="External"/><Relationship Id="rId3650" Type="http://schemas.openxmlformats.org/officeDocument/2006/relationships/hyperlink" Target="https://www.immoscout24.ch/fr/appartement/louer/lieu-genolier" TargetMode="External"/><Relationship Id="rId4981" Type="http://schemas.openxmlformats.org/officeDocument/2006/relationships/hyperlink" Target="https://www.immoscout24.ch/fr/appartement/acheter/lieu-bruson" TargetMode="External"/><Relationship Id="rId4980" Type="http://schemas.openxmlformats.org/officeDocument/2006/relationships/hyperlink" Target="https://www.immoscout24.ch/fr/maison/acheter/lieu-schwarzenburg" TargetMode="External"/><Relationship Id="rId2320" Type="http://schemas.openxmlformats.org/officeDocument/2006/relationships/hyperlink" Target="https://www.immoscout24.ch/fr/appartement/louer/lieu-naters" TargetMode="External"/><Relationship Id="rId3652" Type="http://schemas.openxmlformats.org/officeDocument/2006/relationships/hyperlink" Target="https://www.immoscout24.ch/fr/appartement/louer/lieu-st-legier-la-chiesaz" TargetMode="External"/><Relationship Id="rId4983" Type="http://schemas.openxmlformats.org/officeDocument/2006/relationships/hyperlink" Target="https://www.immoscout24.ch/fr/maison/acheter/lieu-aldesago" TargetMode="External"/><Relationship Id="rId2321" Type="http://schemas.openxmlformats.org/officeDocument/2006/relationships/hyperlink" Target="https://www.immoscout24.ch/fr/appartement/louer/quartier-bethlehem-berne" TargetMode="External"/><Relationship Id="rId3651" Type="http://schemas.openxmlformats.org/officeDocument/2006/relationships/hyperlink" Target="https://www.immoscout24.ch/fr/appartement/louer/lieu-st-legier-la-chiesaz" TargetMode="External"/><Relationship Id="rId4982" Type="http://schemas.openxmlformats.org/officeDocument/2006/relationships/hyperlink" Target="https://www.immoscout24.ch/fr/appartement/acheter/lieu-bruson" TargetMode="External"/><Relationship Id="rId2322" Type="http://schemas.openxmlformats.org/officeDocument/2006/relationships/hyperlink" Target="https://www.immoscout24.ch/fr/appartement/louer/quartier-bethlehem-berne" TargetMode="External"/><Relationship Id="rId3654" Type="http://schemas.openxmlformats.org/officeDocument/2006/relationships/hyperlink" Target="https://www.immoscout24.ch/fr/maison/acheter/lieu-rueyres" TargetMode="External"/><Relationship Id="rId4985" Type="http://schemas.openxmlformats.org/officeDocument/2006/relationships/hyperlink" Target="https://www.immoscout24.ch/fr/appartement/acheter/lieu-coppet" TargetMode="External"/><Relationship Id="rId2323" Type="http://schemas.openxmlformats.org/officeDocument/2006/relationships/hyperlink" Target="https://www.immoscout24.ch/fr/appartement/louer/region-delemont" TargetMode="External"/><Relationship Id="rId3653" Type="http://schemas.openxmlformats.org/officeDocument/2006/relationships/hyperlink" Target="https://www.immoscout24.ch/fr/maison/acheter/lieu-rueyres" TargetMode="External"/><Relationship Id="rId4984" Type="http://schemas.openxmlformats.org/officeDocument/2006/relationships/hyperlink" Target="https://www.immoscout24.ch/fr/maison/acheter/lieu-aldesago" TargetMode="External"/><Relationship Id="rId2313" Type="http://schemas.openxmlformats.org/officeDocument/2006/relationships/hyperlink" Target="https://www.immoscout24.ch/fr/appartement/louer/canton-soleure" TargetMode="External"/><Relationship Id="rId3645" Type="http://schemas.openxmlformats.org/officeDocument/2006/relationships/hyperlink" Target="https://www.immoscout24.ch/fr/appartement/louer/lieu-vezia" TargetMode="External"/><Relationship Id="rId4976" Type="http://schemas.openxmlformats.org/officeDocument/2006/relationships/hyperlink" Target="https://www.immoscout24.ch/fr/appartement/louer/lieu-tschugg" TargetMode="External"/><Relationship Id="rId2314" Type="http://schemas.openxmlformats.org/officeDocument/2006/relationships/hyperlink" Target="https://www.immoscout24.ch/fr/appartement/louer/canton-soleure" TargetMode="External"/><Relationship Id="rId3644" Type="http://schemas.openxmlformats.org/officeDocument/2006/relationships/hyperlink" Target="https://www.immoscout24.ch/fr/maison/louer/lieu-genthod" TargetMode="External"/><Relationship Id="rId4975" Type="http://schemas.openxmlformats.org/officeDocument/2006/relationships/hyperlink" Target="https://www.immoscout24.ch/fr/appartement/louer/lieu-tschugg" TargetMode="External"/><Relationship Id="rId2315" Type="http://schemas.openxmlformats.org/officeDocument/2006/relationships/hyperlink" Target="https://www.immoscout24.ch/fr/maison/acheter/lieu-champ-du-moulin" TargetMode="External"/><Relationship Id="rId3647" Type="http://schemas.openxmlformats.org/officeDocument/2006/relationships/hyperlink" Target="https://www.immoscout24.ch/fr/appartement/acheter/lieu-yvonand" TargetMode="External"/><Relationship Id="rId4978" Type="http://schemas.openxmlformats.org/officeDocument/2006/relationships/hyperlink" Target="https://www.immoscout24.ch/fr/appartement/louer/quartier-langensand-matthof-lucerne" TargetMode="External"/><Relationship Id="rId2316" Type="http://schemas.openxmlformats.org/officeDocument/2006/relationships/hyperlink" Target="https://www.immoscout24.ch/fr/maison/acheter/lieu-champ-du-moulin" TargetMode="External"/><Relationship Id="rId3646" Type="http://schemas.openxmlformats.org/officeDocument/2006/relationships/hyperlink" Target="https://www.immoscout24.ch/fr/appartement/louer/lieu-vezia" TargetMode="External"/><Relationship Id="rId4977" Type="http://schemas.openxmlformats.org/officeDocument/2006/relationships/hyperlink" Target="https://www.immoscout24.ch/fr/appartement/louer/quartier-langensand-matthof-lucerne" TargetMode="External"/><Relationship Id="rId2317" Type="http://schemas.openxmlformats.org/officeDocument/2006/relationships/hyperlink" Target="https://www.immoscout24.ch/fr/appartement/louer/lieu-belfaux" TargetMode="External"/><Relationship Id="rId3649" Type="http://schemas.openxmlformats.org/officeDocument/2006/relationships/hyperlink" Target="https://www.immoscout24.ch/fr/appartement/louer/lieu-genolier" TargetMode="External"/><Relationship Id="rId2318" Type="http://schemas.openxmlformats.org/officeDocument/2006/relationships/hyperlink" Target="https://www.immoscout24.ch/fr/appartement/louer/lieu-belfaux" TargetMode="External"/><Relationship Id="rId3648" Type="http://schemas.openxmlformats.org/officeDocument/2006/relationships/hyperlink" Target="https://www.immoscout24.ch/fr/appartement/acheter/lieu-yvonand" TargetMode="External"/><Relationship Id="rId4979" Type="http://schemas.openxmlformats.org/officeDocument/2006/relationships/hyperlink" Target="https://www.immoscout24.ch/fr/maison/acheter/lieu-schwarzenburg" TargetMode="External"/><Relationship Id="rId2319" Type="http://schemas.openxmlformats.org/officeDocument/2006/relationships/hyperlink" Target="https://www.immoscout24.ch/fr/appartement/louer/lieu-naters" TargetMode="External"/><Relationship Id="rId4970" Type="http://schemas.openxmlformats.org/officeDocument/2006/relationships/hyperlink" Target="https://www.immoscout24.ch/fr/appartement/acheter/lieu-reconvilier" TargetMode="External"/><Relationship Id="rId3641" Type="http://schemas.openxmlformats.org/officeDocument/2006/relationships/hyperlink" Target="https://www.immoscout24.ch/fr/appartement/acheter/pays-roumanie" TargetMode="External"/><Relationship Id="rId4972" Type="http://schemas.openxmlformats.org/officeDocument/2006/relationships/hyperlink" Target="https://www.immoscout24.ch/fr/appartement/louer/quartier-charmilles-chatelaine-geneve" TargetMode="External"/><Relationship Id="rId2310" Type="http://schemas.openxmlformats.org/officeDocument/2006/relationships/hyperlink" Target="https://www.immoscout24.ch/fr/appartement/louer/lieu-samstagern" TargetMode="External"/><Relationship Id="rId3640" Type="http://schemas.openxmlformats.org/officeDocument/2006/relationships/hyperlink" Target="https://www.immoscout24.ch/fr/maison/acheter/quartier-pregassona-lugano" TargetMode="External"/><Relationship Id="rId4971" Type="http://schemas.openxmlformats.org/officeDocument/2006/relationships/hyperlink" Target="https://www.immoscout24.ch/fr/appartement/louer/quartier-charmilles-chatelaine-geneve" TargetMode="External"/><Relationship Id="rId2311" Type="http://schemas.openxmlformats.org/officeDocument/2006/relationships/hyperlink" Target="https://www.immoscout24.ch/fr/appartement/acheter/lieu-le-paquier-montbarry" TargetMode="External"/><Relationship Id="rId3643" Type="http://schemas.openxmlformats.org/officeDocument/2006/relationships/hyperlink" Target="https://www.immoscout24.ch/fr/maison/louer/lieu-genthod" TargetMode="External"/><Relationship Id="rId4974" Type="http://schemas.openxmlformats.org/officeDocument/2006/relationships/hyperlink" Target="https://www.immoscout24.ch/fr/maison/louer/lieu-sedeilles" TargetMode="External"/><Relationship Id="rId2312" Type="http://schemas.openxmlformats.org/officeDocument/2006/relationships/hyperlink" Target="https://www.immoscout24.ch/fr/appartement/acheter/lieu-le-paquier-montbarry" TargetMode="External"/><Relationship Id="rId3642" Type="http://schemas.openxmlformats.org/officeDocument/2006/relationships/hyperlink" Target="https://www.immoscout24.ch/fr/appartement/acheter/pays-roumanie" TargetMode="External"/><Relationship Id="rId4973" Type="http://schemas.openxmlformats.org/officeDocument/2006/relationships/hyperlink" Target="https://www.immoscout24.ch/fr/maison/louer/lieu-sedeilles" TargetMode="External"/><Relationship Id="rId4921" Type="http://schemas.openxmlformats.org/officeDocument/2006/relationships/hyperlink" Target="https://www.immoscout24.ch/fr/maison/acheter/lieu-eriz" TargetMode="External"/><Relationship Id="rId4920" Type="http://schemas.openxmlformats.org/officeDocument/2006/relationships/hyperlink" Target="https://www.immoscout24.ch/fr/appartement/louer/lieu-bueren-nw" TargetMode="External"/><Relationship Id="rId4923" Type="http://schemas.openxmlformats.org/officeDocument/2006/relationships/hyperlink" Target="https://www.immoscout24.ch/fr/appartement/louer/quartier-iselin-bale" TargetMode="External"/><Relationship Id="rId4922" Type="http://schemas.openxmlformats.org/officeDocument/2006/relationships/hyperlink" Target="https://www.immoscout24.ch/fr/maison/acheter/lieu-eriz" TargetMode="External"/><Relationship Id="rId4925" Type="http://schemas.openxmlformats.org/officeDocument/2006/relationships/hyperlink" Target="https://www.immoscout24.ch/fr/maison/acheter/lieu-montaubion-chardonney" TargetMode="External"/><Relationship Id="rId4924" Type="http://schemas.openxmlformats.org/officeDocument/2006/relationships/hyperlink" Target="https://www.immoscout24.ch/fr/appartement/louer/quartier-iselin-bale" TargetMode="External"/><Relationship Id="rId4927" Type="http://schemas.openxmlformats.org/officeDocument/2006/relationships/hyperlink" Target="https://www.immoscout24.ch/fr/maison/acheter/lieu-oberhof" TargetMode="External"/><Relationship Id="rId4926" Type="http://schemas.openxmlformats.org/officeDocument/2006/relationships/hyperlink" Target="https://www.immoscout24.ch/fr/maison/acheter/lieu-montaubion-chardonney" TargetMode="External"/><Relationship Id="rId4929" Type="http://schemas.openxmlformats.org/officeDocument/2006/relationships/hyperlink" Target="https://www.immoscout24.ch/fr/appartement/louer/lieu-bissone" TargetMode="External"/><Relationship Id="rId4928" Type="http://schemas.openxmlformats.org/officeDocument/2006/relationships/hyperlink" Target="https://www.immoscout24.ch/fr/maison/acheter/lieu-oberhof" TargetMode="External"/><Relationship Id="rId4910" Type="http://schemas.openxmlformats.org/officeDocument/2006/relationships/hyperlink" Target="https://www.immoscout24.ch/fr/maison/acheter/lieu-tentlingen" TargetMode="External"/><Relationship Id="rId4912" Type="http://schemas.openxmlformats.org/officeDocument/2006/relationships/hyperlink" Target="https://www.immoscout24.ch/fr/appartement/louer/lieu-attiswil" TargetMode="External"/><Relationship Id="rId4911" Type="http://schemas.openxmlformats.org/officeDocument/2006/relationships/hyperlink" Target="https://www.immoscout24.ch/fr/appartement/louer/lieu-attiswil" TargetMode="External"/><Relationship Id="rId4914" Type="http://schemas.openxmlformats.org/officeDocument/2006/relationships/hyperlink" Target="https://www.immoscout24.ch/fr/appartement/louer/lieu-lechelles" TargetMode="External"/><Relationship Id="rId4913" Type="http://schemas.openxmlformats.org/officeDocument/2006/relationships/hyperlink" Target="https://www.immoscout24.ch/fr/appartement/louer/lieu-lechelles" TargetMode="External"/><Relationship Id="rId4916" Type="http://schemas.openxmlformats.org/officeDocument/2006/relationships/hyperlink" Target="https://www.immoscout24.ch/fr/maison/acheter/canton-turgovie" TargetMode="External"/><Relationship Id="rId4915" Type="http://schemas.openxmlformats.org/officeDocument/2006/relationships/hyperlink" Target="https://www.immoscout24.ch/fr/maison/acheter/canton-turgovie" TargetMode="External"/><Relationship Id="rId4918" Type="http://schemas.openxmlformats.org/officeDocument/2006/relationships/hyperlink" Target="https://www.immoscout24.ch/fr/appartement/acheter/lieu-etoy" TargetMode="External"/><Relationship Id="rId4917" Type="http://schemas.openxmlformats.org/officeDocument/2006/relationships/hyperlink" Target="https://www.immoscout24.ch/fr/appartement/acheter/lieu-etoy" TargetMode="External"/><Relationship Id="rId4919" Type="http://schemas.openxmlformats.org/officeDocument/2006/relationships/hyperlink" Target="https://www.immoscout24.ch/fr/appartement/louer/lieu-bueren-nw" TargetMode="External"/><Relationship Id="rId3612" Type="http://schemas.openxmlformats.org/officeDocument/2006/relationships/hyperlink" Target="https://www.immoscout24.ch/fr/maison/louer/lieu-losone" TargetMode="External"/><Relationship Id="rId4943" Type="http://schemas.openxmlformats.org/officeDocument/2006/relationships/hyperlink" Target="https://www.immoscout24.ch/fr/appartement/louer/region-lac-de-constance" TargetMode="External"/><Relationship Id="rId3611" Type="http://schemas.openxmlformats.org/officeDocument/2006/relationships/hyperlink" Target="https://www.immoscout24.ch/fr/maison/louer/lieu-losone" TargetMode="External"/><Relationship Id="rId4942" Type="http://schemas.openxmlformats.org/officeDocument/2006/relationships/hyperlink" Target="https://www.immoscout24.ch/fr/appartement/louer/lieu-pleujouse" TargetMode="External"/><Relationship Id="rId3614" Type="http://schemas.openxmlformats.org/officeDocument/2006/relationships/hyperlink" Target="https://www.immoscout24.ch/fr/maison/louer/lieu-oberried-fr" TargetMode="External"/><Relationship Id="rId4945" Type="http://schemas.openxmlformats.org/officeDocument/2006/relationships/hyperlink" Target="https://www.immoscout24.ch/fr/appartement/acheter/lieu-sempach-station" TargetMode="External"/><Relationship Id="rId3613" Type="http://schemas.openxmlformats.org/officeDocument/2006/relationships/hyperlink" Target="https://www.immoscout24.ch/fr/maison/louer/lieu-oberried-fr" TargetMode="External"/><Relationship Id="rId4944" Type="http://schemas.openxmlformats.org/officeDocument/2006/relationships/hyperlink" Target="https://www.immoscout24.ch/fr/appartement/louer/region-lac-de-constance" TargetMode="External"/><Relationship Id="rId3616" Type="http://schemas.openxmlformats.org/officeDocument/2006/relationships/hyperlink" Target="https://www.immoscout24.ch/fr/appartement/acheter/lieu-altdorf-ur" TargetMode="External"/><Relationship Id="rId4947" Type="http://schemas.openxmlformats.org/officeDocument/2006/relationships/hyperlink" Target="https://www.immoscout24.ch/fr/appartement/acheter/quartier-auge-fribourg" TargetMode="External"/><Relationship Id="rId3615" Type="http://schemas.openxmlformats.org/officeDocument/2006/relationships/hyperlink" Target="https://www.immoscout24.ch/fr/appartement/acheter/lieu-altdorf-ur" TargetMode="External"/><Relationship Id="rId4946" Type="http://schemas.openxmlformats.org/officeDocument/2006/relationships/hyperlink" Target="https://www.immoscout24.ch/fr/appartement/acheter/lieu-sempach-station" TargetMode="External"/><Relationship Id="rId3618" Type="http://schemas.openxmlformats.org/officeDocument/2006/relationships/hyperlink" Target="https://www.immoscout24.ch/fr/appartement/louer/lieu-vernamiege" TargetMode="External"/><Relationship Id="rId4949" Type="http://schemas.openxmlformats.org/officeDocument/2006/relationships/hyperlink" Target="https://www.immoscout24.ch/fr/appartement/acheter/lieu-preverenges" TargetMode="External"/><Relationship Id="rId3617" Type="http://schemas.openxmlformats.org/officeDocument/2006/relationships/hyperlink" Target="https://www.immoscout24.ch/fr/appartement/louer/lieu-vernamiege" TargetMode="External"/><Relationship Id="rId4948" Type="http://schemas.openxmlformats.org/officeDocument/2006/relationships/hyperlink" Target="https://www.immoscout24.ch/fr/appartement/acheter/quartier-auge-fribourg" TargetMode="External"/><Relationship Id="rId3619" Type="http://schemas.openxmlformats.org/officeDocument/2006/relationships/hyperlink" Target="https://www.immoscout24.ch/fr/maison/acheter/lieu-novaggio" TargetMode="External"/><Relationship Id="rId3610" Type="http://schemas.openxmlformats.org/officeDocument/2006/relationships/hyperlink" Target="https://www.immoscout24.ch/fr/appartement/acheter/lieu-vaduz" TargetMode="External"/><Relationship Id="rId4941" Type="http://schemas.openxmlformats.org/officeDocument/2006/relationships/hyperlink" Target="https://www.immoscout24.ch/fr/appartement/louer/lieu-pleujouse" TargetMode="External"/><Relationship Id="rId4940" Type="http://schemas.openxmlformats.org/officeDocument/2006/relationships/hyperlink" Target="https://www.immoscout24.ch/fr/maison/acheter/lieu-ueken" TargetMode="External"/><Relationship Id="rId3601" Type="http://schemas.openxmlformats.org/officeDocument/2006/relationships/hyperlink" Target="https://www.immoscout24.ch/fr/appartement/louer/lieu-vellerat" TargetMode="External"/><Relationship Id="rId4932" Type="http://schemas.openxmlformats.org/officeDocument/2006/relationships/hyperlink" Target="https://www.immoscout24.ch/fr/maison/acheter/quartier-delices-grottes-geneve" TargetMode="External"/><Relationship Id="rId3600" Type="http://schemas.openxmlformats.org/officeDocument/2006/relationships/hyperlink" Target="https://www.immoscout24.ch/fr/appartement/louer/lieu-kerzers" TargetMode="External"/><Relationship Id="rId4931" Type="http://schemas.openxmlformats.org/officeDocument/2006/relationships/hyperlink" Target="https://www.immoscout24.ch/fr/maison/acheter/quartier-delices-grottes-geneve" TargetMode="External"/><Relationship Id="rId3603" Type="http://schemas.openxmlformats.org/officeDocument/2006/relationships/hyperlink" Target="https://www.immoscout24.ch/fr/maison/acheter/lieu-saas-im-praettigau" TargetMode="External"/><Relationship Id="rId4934" Type="http://schemas.openxmlformats.org/officeDocument/2006/relationships/hyperlink" Target="https://www.immoscout24.ch/fr/maison/acheter/lieu-turbach" TargetMode="External"/><Relationship Id="rId3602" Type="http://schemas.openxmlformats.org/officeDocument/2006/relationships/hyperlink" Target="https://www.immoscout24.ch/fr/appartement/louer/lieu-vellerat" TargetMode="External"/><Relationship Id="rId4933" Type="http://schemas.openxmlformats.org/officeDocument/2006/relationships/hyperlink" Target="https://www.immoscout24.ch/fr/maison/acheter/lieu-turbach" TargetMode="External"/><Relationship Id="rId3605" Type="http://schemas.openxmlformats.org/officeDocument/2006/relationships/hyperlink" Target="https://www.immoscout24.ch/fr/maison/acheter/lieu-zweisimmen" TargetMode="External"/><Relationship Id="rId4936" Type="http://schemas.openxmlformats.org/officeDocument/2006/relationships/hyperlink" Target="https://www.immoscout24.ch/fr/appartement/louer/lieu-lenzburg" TargetMode="External"/><Relationship Id="rId3604" Type="http://schemas.openxmlformats.org/officeDocument/2006/relationships/hyperlink" Target="https://www.immoscout24.ch/fr/maison/acheter/lieu-saas-im-praettigau" TargetMode="External"/><Relationship Id="rId4935" Type="http://schemas.openxmlformats.org/officeDocument/2006/relationships/hyperlink" Target="https://www.immoscout24.ch/fr/appartement/louer/lieu-lenzburg" TargetMode="External"/><Relationship Id="rId3607" Type="http://schemas.openxmlformats.org/officeDocument/2006/relationships/hyperlink" Target="https://www.immoscout24.ch/fr/appartement/acheter/pays-tunisie" TargetMode="External"/><Relationship Id="rId4938" Type="http://schemas.openxmlformats.org/officeDocument/2006/relationships/hyperlink" Target="https://www.immoscout24.ch/fr/appartement/acheter/lieu-iserables" TargetMode="External"/><Relationship Id="rId3606" Type="http://schemas.openxmlformats.org/officeDocument/2006/relationships/hyperlink" Target="https://www.immoscout24.ch/fr/maison/acheter/lieu-zweisimmen" TargetMode="External"/><Relationship Id="rId4937" Type="http://schemas.openxmlformats.org/officeDocument/2006/relationships/hyperlink" Target="https://www.immoscout24.ch/fr/appartement/acheter/lieu-iserables" TargetMode="External"/><Relationship Id="rId3609" Type="http://schemas.openxmlformats.org/officeDocument/2006/relationships/hyperlink" Target="https://www.immoscout24.ch/fr/appartement/acheter/lieu-vaduz" TargetMode="External"/><Relationship Id="rId3608" Type="http://schemas.openxmlformats.org/officeDocument/2006/relationships/hyperlink" Target="https://www.immoscout24.ch/fr/appartement/acheter/pays-tunisie" TargetMode="External"/><Relationship Id="rId4939" Type="http://schemas.openxmlformats.org/officeDocument/2006/relationships/hyperlink" Target="https://www.immoscout24.ch/fr/maison/acheter/lieu-ueken" TargetMode="External"/><Relationship Id="rId4930" Type="http://schemas.openxmlformats.org/officeDocument/2006/relationships/hyperlink" Target="https://www.immoscout24.ch/fr/appartement/louer/lieu-bissone" TargetMode="External"/><Relationship Id="rId1059" Type="http://schemas.openxmlformats.org/officeDocument/2006/relationships/hyperlink" Target="https://www.immoscout24.ch/fr/maison/acheter/lieu-oftringen" TargetMode="External"/><Relationship Id="rId2380" Type="http://schemas.openxmlformats.org/officeDocument/2006/relationships/hyperlink" Target="https://www.immoscout24.ch/fr/appartement/louer/lieu-studen-be" TargetMode="External"/><Relationship Id="rId1050" Type="http://schemas.openxmlformats.org/officeDocument/2006/relationships/hyperlink" Target="https://www.immoscout24.ch/fr/appartement/louer/lieu-grancia" TargetMode="External"/><Relationship Id="rId2381" Type="http://schemas.openxmlformats.org/officeDocument/2006/relationships/hyperlink" Target="https://www.immoscout24.ch/fr/maison/acheter/lieu-arzo" TargetMode="External"/><Relationship Id="rId1051" Type="http://schemas.openxmlformats.org/officeDocument/2006/relationships/hyperlink" Target="https://www.immoscout24.ch/fr/appartement/acheter/lieu-herzogenbuchsee" TargetMode="External"/><Relationship Id="rId2382" Type="http://schemas.openxmlformats.org/officeDocument/2006/relationships/hyperlink" Target="https://www.immoscout24.ch/fr/maison/acheter/lieu-arzo" TargetMode="External"/><Relationship Id="rId1052" Type="http://schemas.openxmlformats.org/officeDocument/2006/relationships/hyperlink" Target="https://www.immoscout24.ch/fr/appartement/acheter/lieu-herzogenbuchsee" TargetMode="External"/><Relationship Id="rId2383" Type="http://schemas.openxmlformats.org/officeDocument/2006/relationships/hyperlink" Target="https://www.immoscout24.ch/fr/maison/louer/lieu-lyss" TargetMode="External"/><Relationship Id="rId1053" Type="http://schemas.openxmlformats.org/officeDocument/2006/relationships/hyperlink" Target="https://www.immoscout24.ch/fr/maison/acheter/lieu-bevaix" TargetMode="External"/><Relationship Id="rId2384" Type="http://schemas.openxmlformats.org/officeDocument/2006/relationships/hyperlink" Target="https://www.immoscout24.ch/fr/maison/louer/lieu-lyss" TargetMode="External"/><Relationship Id="rId1054" Type="http://schemas.openxmlformats.org/officeDocument/2006/relationships/hyperlink" Target="https://www.immoscout24.ch/fr/maison/acheter/lieu-bevaix" TargetMode="External"/><Relationship Id="rId2385" Type="http://schemas.openxmlformats.org/officeDocument/2006/relationships/hyperlink" Target="https://www.immoscout24.ch/fr/appartement/acheter/lieu-vercorin" TargetMode="External"/><Relationship Id="rId1055" Type="http://schemas.openxmlformats.org/officeDocument/2006/relationships/hyperlink" Target="https://www.immoscout24.ch/fr/appartement/acheter/lieu-plasselb" TargetMode="External"/><Relationship Id="rId2386" Type="http://schemas.openxmlformats.org/officeDocument/2006/relationships/hyperlink" Target="https://www.immoscout24.ch/fr/appartement/acheter/lieu-vercorin" TargetMode="External"/><Relationship Id="rId1056" Type="http://schemas.openxmlformats.org/officeDocument/2006/relationships/hyperlink" Target="https://www.immoscout24.ch/fr/appartement/acheter/lieu-plasselb" TargetMode="External"/><Relationship Id="rId2387" Type="http://schemas.openxmlformats.org/officeDocument/2006/relationships/hyperlink" Target="https://www.immoscout24.ch/fr/maison/acheter/lieu-sommentier" TargetMode="External"/><Relationship Id="rId1057" Type="http://schemas.openxmlformats.org/officeDocument/2006/relationships/hyperlink" Target="https://www.immoscout24.ch/fr/appartement/acheter/lieu-glattpark-opfikon" TargetMode="External"/><Relationship Id="rId2388" Type="http://schemas.openxmlformats.org/officeDocument/2006/relationships/hyperlink" Target="https://www.immoscout24.ch/fr/maison/acheter/lieu-sommentier" TargetMode="External"/><Relationship Id="rId1058" Type="http://schemas.openxmlformats.org/officeDocument/2006/relationships/hyperlink" Target="https://www.immoscout24.ch/fr/appartement/acheter/lieu-glattpark-opfikon" TargetMode="External"/><Relationship Id="rId2389" Type="http://schemas.openxmlformats.org/officeDocument/2006/relationships/hyperlink" Target="https://www.immoscout24.ch/fr/appartement/acheter/lieu-motier-vully" TargetMode="External"/><Relationship Id="rId1048" Type="http://schemas.openxmlformats.org/officeDocument/2006/relationships/hyperlink" Target="https://www.immoscout24.ch/fr/appartement/acheter/lieu-morrens-vd" TargetMode="External"/><Relationship Id="rId2379" Type="http://schemas.openxmlformats.org/officeDocument/2006/relationships/hyperlink" Target="https://www.immoscout24.ch/fr/appartement/louer/lieu-studen-be" TargetMode="External"/><Relationship Id="rId1049" Type="http://schemas.openxmlformats.org/officeDocument/2006/relationships/hyperlink" Target="https://www.immoscout24.ch/fr/appartement/louer/lieu-grancia" TargetMode="External"/><Relationship Id="rId2370" Type="http://schemas.openxmlformats.org/officeDocument/2006/relationships/hyperlink" Target="https://www.immoscout24.ch/fr/maison/acheter/lieu-montet-glane" TargetMode="External"/><Relationship Id="rId1040" Type="http://schemas.openxmlformats.org/officeDocument/2006/relationships/hyperlink" Target="https://www.immoscout24.ch/fr/appartement/louer/region-laupen-sense" TargetMode="External"/><Relationship Id="rId2371" Type="http://schemas.openxmlformats.org/officeDocument/2006/relationships/hyperlink" Target="https://www.immoscout24.ch/fr/maison/acheter/lieu-romont-fr" TargetMode="External"/><Relationship Id="rId1041" Type="http://schemas.openxmlformats.org/officeDocument/2006/relationships/hyperlink" Target="https://www.immoscout24.ch/fr/maison/acheter/lieu-concise" TargetMode="External"/><Relationship Id="rId2372" Type="http://schemas.openxmlformats.org/officeDocument/2006/relationships/hyperlink" Target="https://www.immoscout24.ch/fr/maison/acheter/lieu-romont-fr" TargetMode="External"/><Relationship Id="rId1042" Type="http://schemas.openxmlformats.org/officeDocument/2006/relationships/hyperlink" Target="https://www.immoscout24.ch/fr/maison/acheter/lieu-concise" TargetMode="External"/><Relationship Id="rId2373" Type="http://schemas.openxmlformats.org/officeDocument/2006/relationships/hyperlink" Target="https://www.immoscout24.ch/fr/maison/louer/lieu-grandval" TargetMode="External"/><Relationship Id="rId1043" Type="http://schemas.openxmlformats.org/officeDocument/2006/relationships/hyperlink" Target="https://www.immoscout24.ch/fr/maison/acheter/lieu-treyvaux" TargetMode="External"/><Relationship Id="rId2374" Type="http://schemas.openxmlformats.org/officeDocument/2006/relationships/hyperlink" Target="https://www.immoscout24.ch/fr/maison/louer/lieu-grandval" TargetMode="External"/><Relationship Id="rId1044" Type="http://schemas.openxmlformats.org/officeDocument/2006/relationships/hyperlink" Target="https://www.immoscout24.ch/fr/maison/acheter/lieu-treyvaux" TargetMode="External"/><Relationship Id="rId2375" Type="http://schemas.openxmlformats.org/officeDocument/2006/relationships/hyperlink" Target="https://www.immoscout24.ch/fr/maison/acheter/lieu-gals" TargetMode="External"/><Relationship Id="rId1045" Type="http://schemas.openxmlformats.org/officeDocument/2006/relationships/hyperlink" Target="https://www.immoscout24.ch/fr/appartement/acheter/quartier-bossons-blecherette-lausanne" TargetMode="External"/><Relationship Id="rId2376" Type="http://schemas.openxmlformats.org/officeDocument/2006/relationships/hyperlink" Target="https://www.immoscout24.ch/fr/maison/acheter/lieu-gals" TargetMode="External"/><Relationship Id="rId1046" Type="http://schemas.openxmlformats.org/officeDocument/2006/relationships/hyperlink" Target="https://www.immoscout24.ch/fr/appartement/acheter/quartier-bossons-blecherette-lausanne" TargetMode="External"/><Relationship Id="rId2377" Type="http://schemas.openxmlformats.org/officeDocument/2006/relationships/hyperlink" Target="https://www.immoscout24.ch/fr/appartement/acheter/lieu-cheyres" TargetMode="External"/><Relationship Id="rId1047" Type="http://schemas.openxmlformats.org/officeDocument/2006/relationships/hyperlink" Target="https://www.immoscout24.ch/fr/appartement/acheter/lieu-morrens-vd" TargetMode="External"/><Relationship Id="rId2378" Type="http://schemas.openxmlformats.org/officeDocument/2006/relationships/hyperlink" Target="https://www.immoscout24.ch/fr/appartement/acheter/lieu-cheyres" TargetMode="External"/><Relationship Id="rId1070" Type="http://schemas.openxmlformats.org/officeDocument/2006/relationships/hyperlink" Target="https://www.immoscout24.ch/fr/maison/acheter/lieu-isenthal" TargetMode="External"/><Relationship Id="rId1071" Type="http://schemas.openxmlformats.org/officeDocument/2006/relationships/hyperlink" Target="https://www.immoscout24.ch/fr/appartement/acheter/region-campagne-gros-de-vaud" TargetMode="External"/><Relationship Id="rId1072" Type="http://schemas.openxmlformats.org/officeDocument/2006/relationships/hyperlink" Target="https://www.immoscout24.ch/fr/appartement/acheter/region-campagne-gros-de-vaud" TargetMode="External"/><Relationship Id="rId1073" Type="http://schemas.openxmlformats.org/officeDocument/2006/relationships/hyperlink" Target="https://www.immoscout24.ch/fr/appartement/louer/lieu-neyruz-sur-moudon" TargetMode="External"/><Relationship Id="rId1074" Type="http://schemas.openxmlformats.org/officeDocument/2006/relationships/hyperlink" Target="https://www.immoscout24.ch/fr/appartement/louer/lieu-neyruz-sur-moudon" TargetMode="External"/><Relationship Id="rId1075" Type="http://schemas.openxmlformats.org/officeDocument/2006/relationships/hyperlink" Target="https://www.immoscout24.ch/fr/appartement/louer/lieu-chables-fr" TargetMode="External"/><Relationship Id="rId1076" Type="http://schemas.openxmlformats.org/officeDocument/2006/relationships/hyperlink" Target="https://www.immoscout24.ch/fr/appartement/louer/lieu-chables-fr" TargetMode="External"/><Relationship Id="rId1077" Type="http://schemas.openxmlformats.org/officeDocument/2006/relationships/hyperlink" Target="https://www.immoscout24.ch/fr/maison/louer/lieu-gingins" TargetMode="External"/><Relationship Id="rId1078" Type="http://schemas.openxmlformats.org/officeDocument/2006/relationships/hyperlink" Target="https://www.immoscout24.ch/fr/maison/louer/lieu-gingins" TargetMode="External"/><Relationship Id="rId1079" Type="http://schemas.openxmlformats.org/officeDocument/2006/relationships/hyperlink" Target="https://www.immoscout24.ch/fr/maison/louer/lieu-sala-capriasca" TargetMode="External"/><Relationship Id="rId2390" Type="http://schemas.openxmlformats.org/officeDocument/2006/relationships/hyperlink" Target="https://www.immoscout24.ch/fr/appartement/acheter/lieu-motier-vully" TargetMode="External"/><Relationship Id="rId1060" Type="http://schemas.openxmlformats.org/officeDocument/2006/relationships/hyperlink" Target="https://www.immoscout24.ch/fr/maison/acheter/lieu-oftringen" TargetMode="External"/><Relationship Id="rId2391" Type="http://schemas.openxmlformats.org/officeDocument/2006/relationships/hyperlink" Target="https://www.immoscout24.ch/fr/appartement/louer/quartier-charriere-la-chaux-de-fonds" TargetMode="External"/><Relationship Id="rId1061" Type="http://schemas.openxmlformats.org/officeDocument/2006/relationships/hyperlink" Target="https://www.immoscout24.ch/fr/maison/acheter/lieu-contra" TargetMode="External"/><Relationship Id="rId2392" Type="http://schemas.openxmlformats.org/officeDocument/2006/relationships/hyperlink" Target="https://www.immoscout24.ch/fr/appartement/louer/quartier-charriere-la-chaux-de-fonds" TargetMode="External"/><Relationship Id="rId1062" Type="http://schemas.openxmlformats.org/officeDocument/2006/relationships/hyperlink" Target="https://www.immoscout24.ch/fr/maison/acheter/lieu-contra" TargetMode="External"/><Relationship Id="rId2393" Type="http://schemas.openxmlformats.org/officeDocument/2006/relationships/hyperlink" Target="https://www.immoscout24.ch/fr/maison/acheter/lieu-seltisberg" TargetMode="External"/><Relationship Id="rId1063" Type="http://schemas.openxmlformats.org/officeDocument/2006/relationships/hyperlink" Target="https://www.immoscout24.ch/fr/maison/acheter/canton-bale-campagne" TargetMode="External"/><Relationship Id="rId2394" Type="http://schemas.openxmlformats.org/officeDocument/2006/relationships/hyperlink" Target="https://www.immoscout24.ch/fr/maison/acheter/lieu-seltisberg" TargetMode="External"/><Relationship Id="rId1064" Type="http://schemas.openxmlformats.org/officeDocument/2006/relationships/hyperlink" Target="https://www.immoscout24.ch/fr/maison/acheter/canton-bale-campagne" TargetMode="External"/><Relationship Id="rId2395" Type="http://schemas.openxmlformats.org/officeDocument/2006/relationships/hyperlink" Target="https://www.immoscout24.ch/fr/appartement/louer/lieu-cerniat-fr" TargetMode="External"/><Relationship Id="rId1065" Type="http://schemas.openxmlformats.org/officeDocument/2006/relationships/hyperlink" Target="https://www.immoscout24.ch/fr/maison/louer/lieu-trelex" TargetMode="External"/><Relationship Id="rId2396" Type="http://schemas.openxmlformats.org/officeDocument/2006/relationships/hyperlink" Target="https://www.immoscout24.ch/fr/appartement/louer/lieu-cerniat-fr" TargetMode="External"/><Relationship Id="rId1066" Type="http://schemas.openxmlformats.org/officeDocument/2006/relationships/hyperlink" Target="https://www.immoscout24.ch/fr/maison/louer/lieu-trelex" TargetMode="External"/><Relationship Id="rId2397" Type="http://schemas.openxmlformats.org/officeDocument/2006/relationships/hyperlink" Target="https://www.immoscout24.ch/fr/maison/acheter/lieu-cousset" TargetMode="External"/><Relationship Id="rId1067" Type="http://schemas.openxmlformats.org/officeDocument/2006/relationships/hyperlink" Target="https://www.immoscout24.ch/fr/appartement/louer/lieu-mur-vully-vd" TargetMode="External"/><Relationship Id="rId2398" Type="http://schemas.openxmlformats.org/officeDocument/2006/relationships/hyperlink" Target="https://www.immoscout24.ch/fr/maison/acheter/lieu-cousset" TargetMode="External"/><Relationship Id="rId1068" Type="http://schemas.openxmlformats.org/officeDocument/2006/relationships/hyperlink" Target="https://www.immoscout24.ch/fr/appartement/louer/lieu-mur-vully-vd" TargetMode="External"/><Relationship Id="rId2399" Type="http://schemas.openxmlformats.org/officeDocument/2006/relationships/hyperlink" Target="https://www.immoscout24.ch/fr/appartement/louer/lieu-petit-vicheres-liddes" TargetMode="External"/><Relationship Id="rId1069" Type="http://schemas.openxmlformats.org/officeDocument/2006/relationships/hyperlink" Target="https://www.immoscout24.ch/fr/maison/acheter/lieu-isenthal" TargetMode="External"/><Relationship Id="rId1015" Type="http://schemas.openxmlformats.org/officeDocument/2006/relationships/hyperlink" Target="https://www.immoscout24.ch/fr/appartement/louer/lieu-courroux" TargetMode="External"/><Relationship Id="rId2346" Type="http://schemas.openxmlformats.org/officeDocument/2006/relationships/hyperlink" Target="https://www.immoscout24.ch/fr/appartement/acheter/lieu-gettnau" TargetMode="External"/><Relationship Id="rId3678" Type="http://schemas.openxmlformats.org/officeDocument/2006/relationships/hyperlink" Target="https://www.immoscout24.ch/fr/maison/acheter/lieu-dully" TargetMode="External"/><Relationship Id="rId1016" Type="http://schemas.openxmlformats.org/officeDocument/2006/relationships/hyperlink" Target="https://www.immoscout24.ch/fr/appartement/louer/lieu-courroux" TargetMode="External"/><Relationship Id="rId2347" Type="http://schemas.openxmlformats.org/officeDocument/2006/relationships/hyperlink" Target="https://www.immoscout24.ch/fr/appartement/acheter/canton-appenzell-re" TargetMode="External"/><Relationship Id="rId3677" Type="http://schemas.openxmlformats.org/officeDocument/2006/relationships/hyperlink" Target="https://www.immoscout24.ch/fr/maison/acheter/lieu-dully" TargetMode="External"/><Relationship Id="rId1017" Type="http://schemas.openxmlformats.org/officeDocument/2006/relationships/hyperlink" Target="https://www.immoscout24.ch/fr/appartement/louer/lieu-drone-saviese" TargetMode="External"/><Relationship Id="rId2348" Type="http://schemas.openxmlformats.org/officeDocument/2006/relationships/hyperlink" Target="https://www.immoscout24.ch/fr/appartement/acheter/canton-appenzell-re" TargetMode="External"/><Relationship Id="rId1018" Type="http://schemas.openxmlformats.org/officeDocument/2006/relationships/hyperlink" Target="https://www.immoscout24.ch/fr/appartement/louer/lieu-drone-saviese" TargetMode="External"/><Relationship Id="rId2349" Type="http://schemas.openxmlformats.org/officeDocument/2006/relationships/hyperlink" Target="https://www.immoscout24.ch/fr/maison/acheter/lieu-st-jean-vs" TargetMode="External"/><Relationship Id="rId3679" Type="http://schemas.openxmlformats.org/officeDocument/2006/relationships/hyperlink" Target="https://www.immoscout24.ch/fr/maison/acheter/lieu-motiers-ne" TargetMode="External"/><Relationship Id="rId1019" Type="http://schemas.openxmlformats.org/officeDocument/2006/relationships/hyperlink" Target="https://www.immoscout24.ch/fr/maison/acheter/lieu-coinsins" TargetMode="External"/><Relationship Id="rId3670" Type="http://schemas.openxmlformats.org/officeDocument/2006/relationships/hyperlink" Target="https://www.immoscout24.ch/fr/appartement/acheter/lieu-goldach" TargetMode="External"/><Relationship Id="rId2340" Type="http://schemas.openxmlformats.org/officeDocument/2006/relationships/hyperlink" Target="https://www.immoscout24.ch/fr/maison/acheter/lieu-arvillard-salins" TargetMode="External"/><Relationship Id="rId3672" Type="http://schemas.openxmlformats.org/officeDocument/2006/relationships/hyperlink" Target="https://www.immoscout24.ch/fr/appartement/louer/lieu-senedes" TargetMode="External"/><Relationship Id="rId1010" Type="http://schemas.openxmlformats.org/officeDocument/2006/relationships/hyperlink" Target="https://www.immoscout24.ch/fr/maison/louer/lieu-chatonnaye" TargetMode="External"/><Relationship Id="rId2341" Type="http://schemas.openxmlformats.org/officeDocument/2006/relationships/hyperlink" Target="https://www.immoscout24.ch/fr/maison/acheter/lieu-coppet" TargetMode="External"/><Relationship Id="rId3671" Type="http://schemas.openxmlformats.org/officeDocument/2006/relationships/hyperlink" Target="https://www.immoscout24.ch/fr/appartement/louer/lieu-senedes" TargetMode="External"/><Relationship Id="rId1011" Type="http://schemas.openxmlformats.org/officeDocument/2006/relationships/hyperlink" Target="https://www.immoscout24.ch/fr/appartement/louer/lieu-feusisberg" TargetMode="External"/><Relationship Id="rId2342" Type="http://schemas.openxmlformats.org/officeDocument/2006/relationships/hyperlink" Target="https://www.immoscout24.ch/fr/maison/acheter/lieu-coppet" TargetMode="External"/><Relationship Id="rId3674" Type="http://schemas.openxmlformats.org/officeDocument/2006/relationships/hyperlink" Target="https://www.immoscout24.ch/fr/appartement/acheter/lieu-bilten" TargetMode="External"/><Relationship Id="rId1012" Type="http://schemas.openxmlformats.org/officeDocument/2006/relationships/hyperlink" Target="https://www.immoscout24.ch/fr/appartement/louer/lieu-feusisberg" TargetMode="External"/><Relationship Id="rId2343" Type="http://schemas.openxmlformats.org/officeDocument/2006/relationships/hyperlink" Target="https://www.immoscout24.ch/fr/appartement/acheter/lieu-montpreveyres" TargetMode="External"/><Relationship Id="rId3673" Type="http://schemas.openxmlformats.org/officeDocument/2006/relationships/hyperlink" Target="https://www.immoscout24.ch/fr/appartement/acheter/lieu-bilten" TargetMode="External"/><Relationship Id="rId1013" Type="http://schemas.openxmlformats.org/officeDocument/2006/relationships/hyperlink" Target="https://www.immoscout24.ch/fr/maison/acheter/lieu-st-ursanne" TargetMode="External"/><Relationship Id="rId2344" Type="http://schemas.openxmlformats.org/officeDocument/2006/relationships/hyperlink" Target="https://www.immoscout24.ch/fr/appartement/acheter/lieu-montpreveyres" TargetMode="External"/><Relationship Id="rId3676" Type="http://schemas.openxmlformats.org/officeDocument/2006/relationships/hyperlink" Target="https://www.immoscout24.ch/fr/maison/acheter/lieu-orselina" TargetMode="External"/><Relationship Id="rId1014" Type="http://schemas.openxmlformats.org/officeDocument/2006/relationships/hyperlink" Target="https://www.immoscout24.ch/fr/maison/acheter/lieu-st-ursanne" TargetMode="External"/><Relationship Id="rId2345" Type="http://schemas.openxmlformats.org/officeDocument/2006/relationships/hyperlink" Target="https://www.immoscout24.ch/fr/appartement/acheter/lieu-gettnau" TargetMode="External"/><Relationship Id="rId3675" Type="http://schemas.openxmlformats.org/officeDocument/2006/relationships/hyperlink" Target="https://www.immoscout24.ch/fr/maison/acheter/lieu-orselina" TargetMode="External"/><Relationship Id="rId1004" Type="http://schemas.openxmlformats.org/officeDocument/2006/relationships/hyperlink" Target="https://www.immoscout24.ch/fr/appartement/louer/lieu-montana" TargetMode="External"/><Relationship Id="rId2335" Type="http://schemas.openxmlformats.org/officeDocument/2006/relationships/hyperlink" Target="https://www.immoscout24.ch/fr/maison/acheter/lieu-wil-sg" TargetMode="External"/><Relationship Id="rId3667" Type="http://schemas.openxmlformats.org/officeDocument/2006/relationships/hyperlink" Target="https://www.immoscout24.ch/fr/maison/acheter/lieu-oberwil-bl" TargetMode="External"/><Relationship Id="rId4998" Type="http://schemas.openxmlformats.org/officeDocument/2006/relationships/hyperlink" Target="https://www.immoscout24.ch/fr/maison/acheter/lieu-glarus" TargetMode="External"/><Relationship Id="rId1005" Type="http://schemas.openxmlformats.org/officeDocument/2006/relationships/hyperlink" Target="https://www.immoscout24.ch/fr/appartement/acheter/lieu-neuenhof" TargetMode="External"/><Relationship Id="rId2336" Type="http://schemas.openxmlformats.org/officeDocument/2006/relationships/hyperlink" Target="https://www.immoscout24.ch/fr/maison/acheter/lieu-wil-sg" TargetMode="External"/><Relationship Id="rId3666" Type="http://schemas.openxmlformats.org/officeDocument/2006/relationships/hyperlink" Target="https://www.immoscout24.ch/fr/appartement/louer/quartier-abeilles-numa-droz-la-chaux-de-fonds" TargetMode="External"/><Relationship Id="rId4997" Type="http://schemas.openxmlformats.org/officeDocument/2006/relationships/hyperlink" Target="https://www.immoscout24.ch/fr/maison/acheter/lieu-glarus" TargetMode="External"/><Relationship Id="rId1006" Type="http://schemas.openxmlformats.org/officeDocument/2006/relationships/hyperlink" Target="https://www.immoscout24.ch/fr/appartement/acheter/lieu-neuenhof" TargetMode="External"/><Relationship Id="rId2337" Type="http://schemas.openxmlformats.org/officeDocument/2006/relationships/hyperlink" Target="https://www.immoscout24.ch/fr/appartement/acheter/lieu-gingins" TargetMode="External"/><Relationship Id="rId3669" Type="http://schemas.openxmlformats.org/officeDocument/2006/relationships/hyperlink" Target="https://www.immoscout24.ch/fr/appartement/acheter/lieu-goldach" TargetMode="External"/><Relationship Id="rId1007" Type="http://schemas.openxmlformats.org/officeDocument/2006/relationships/hyperlink" Target="https://www.immoscout24.ch/fr/appartement/acheter/lieu-mels" TargetMode="External"/><Relationship Id="rId2338" Type="http://schemas.openxmlformats.org/officeDocument/2006/relationships/hyperlink" Target="https://www.immoscout24.ch/fr/appartement/acheter/lieu-gingins" TargetMode="External"/><Relationship Id="rId3668" Type="http://schemas.openxmlformats.org/officeDocument/2006/relationships/hyperlink" Target="https://www.immoscout24.ch/fr/maison/acheter/lieu-oberwil-bl" TargetMode="External"/><Relationship Id="rId4999" Type="http://schemas.openxmlformats.org/officeDocument/2006/relationships/hyperlink" Target="https://www.immoscout24.ch/fr/maison/acheter/lieu-biberist" TargetMode="External"/><Relationship Id="rId1008" Type="http://schemas.openxmlformats.org/officeDocument/2006/relationships/hyperlink" Target="https://www.immoscout24.ch/fr/appartement/acheter/lieu-mels" TargetMode="External"/><Relationship Id="rId2339" Type="http://schemas.openxmlformats.org/officeDocument/2006/relationships/hyperlink" Target="https://www.immoscout24.ch/fr/maison/acheter/lieu-arvillard-salins" TargetMode="External"/><Relationship Id="rId1009" Type="http://schemas.openxmlformats.org/officeDocument/2006/relationships/hyperlink" Target="https://www.immoscout24.ch/fr/maison/louer/lieu-chatonnaye" TargetMode="External"/><Relationship Id="rId4990" Type="http://schemas.openxmlformats.org/officeDocument/2006/relationships/hyperlink" Target="https://www.immoscout24.ch/fr/maison/acheter/lieu-la-sagne-ne" TargetMode="External"/><Relationship Id="rId3661" Type="http://schemas.openxmlformats.org/officeDocument/2006/relationships/hyperlink" Target="https://www.immoscout24.ch/fr/appartement/louer/lieu-pringy" TargetMode="External"/><Relationship Id="rId4992" Type="http://schemas.openxmlformats.org/officeDocument/2006/relationships/hyperlink" Target="https://www.immoscout24.ch/fr/maison/acheter/lieu-castagnola" TargetMode="External"/><Relationship Id="rId2330" Type="http://schemas.openxmlformats.org/officeDocument/2006/relationships/hyperlink" Target="https://www.immoscout24.ch/fr/appartement/louer/lieu-la-tour-de-peilz" TargetMode="External"/><Relationship Id="rId3660" Type="http://schemas.openxmlformats.org/officeDocument/2006/relationships/hyperlink" Target="https://www.immoscout24.ch/fr/appartement/acheter/canton-zoug" TargetMode="External"/><Relationship Id="rId4991" Type="http://schemas.openxmlformats.org/officeDocument/2006/relationships/hyperlink" Target="https://www.immoscout24.ch/fr/maison/acheter/lieu-castagnola" TargetMode="External"/><Relationship Id="rId1000" Type="http://schemas.openxmlformats.org/officeDocument/2006/relationships/hyperlink" Target="https://www.immoscout24.ch/fr/maison/acheter/lieu-lenzerheide-lai" TargetMode="External"/><Relationship Id="rId2331" Type="http://schemas.openxmlformats.org/officeDocument/2006/relationships/hyperlink" Target="https://www.immoscout24.ch/fr/maison/acheter/lieu-matran" TargetMode="External"/><Relationship Id="rId3663" Type="http://schemas.openxmlformats.org/officeDocument/2006/relationships/hyperlink" Target="https://www.immoscout24.ch/fr/appartement/louer/lieu-duebendorf" TargetMode="External"/><Relationship Id="rId4994" Type="http://schemas.openxmlformats.org/officeDocument/2006/relationships/hyperlink" Target="https://www.immoscout24.ch/fr/maison/louer/lieu-bussigny" TargetMode="External"/><Relationship Id="rId1001" Type="http://schemas.openxmlformats.org/officeDocument/2006/relationships/hyperlink" Target="https://www.immoscout24.ch/fr/maison/louer/quartier-chaumont-neuchatel" TargetMode="External"/><Relationship Id="rId2332" Type="http://schemas.openxmlformats.org/officeDocument/2006/relationships/hyperlink" Target="https://www.immoscout24.ch/fr/maison/acheter/lieu-matran" TargetMode="External"/><Relationship Id="rId3662" Type="http://schemas.openxmlformats.org/officeDocument/2006/relationships/hyperlink" Target="https://www.immoscout24.ch/fr/appartement/louer/lieu-pringy" TargetMode="External"/><Relationship Id="rId4993" Type="http://schemas.openxmlformats.org/officeDocument/2006/relationships/hyperlink" Target="https://www.immoscout24.ch/fr/maison/louer/lieu-bussigny" TargetMode="External"/><Relationship Id="rId1002" Type="http://schemas.openxmlformats.org/officeDocument/2006/relationships/hyperlink" Target="https://www.immoscout24.ch/fr/maison/louer/quartier-chaumont-neuchatel" TargetMode="External"/><Relationship Id="rId2333" Type="http://schemas.openxmlformats.org/officeDocument/2006/relationships/hyperlink" Target="https://www.immoscout24.ch/fr/appartement/acheter/lieu-thyon" TargetMode="External"/><Relationship Id="rId3665" Type="http://schemas.openxmlformats.org/officeDocument/2006/relationships/hyperlink" Target="https://www.immoscout24.ch/fr/appartement/louer/quartier-abeilles-numa-droz-la-chaux-de-fonds" TargetMode="External"/><Relationship Id="rId4996" Type="http://schemas.openxmlformats.org/officeDocument/2006/relationships/hyperlink" Target="https://www.immoscout24.ch/fr/maison/louer/lieu-gruyeres" TargetMode="External"/><Relationship Id="rId1003" Type="http://schemas.openxmlformats.org/officeDocument/2006/relationships/hyperlink" Target="https://www.immoscout24.ch/fr/appartement/louer/lieu-montana" TargetMode="External"/><Relationship Id="rId2334" Type="http://schemas.openxmlformats.org/officeDocument/2006/relationships/hyperlink" Target="https://www.immoscout24.ch/fr/appartement/acheter/lieu-thyon" TargetMode="External"/><Relationship Id="rId3664" Type="http://schemas.openxmlformats.org/officeDocument/2006/relationships/hyperlink" Target="https://www.immoscout24.ch/fr/appartement/louer/lieu-duebendorf" TargetMode="External"/><Relationship Id="rId4995" Type="http://schemas.openxmlformats.org/officeDocument/2006/relationships/hyperlink" Target="https://www.immoscout24.ch/fr/maison/louer/lieu-gruyeres" TargetMode="External"/><Relationship Id="rId1037" Type="http://schemas.openxmlformats.org/officeDocument/2006/relationships/hyperlink" Target="https://www.immoscout24.ch/fr/maison/acheter/lieu-lausanne-25" TargetMode="External"/><Relationship Id="rId2368" Type="http://schemas.openxmlformats.org/officeDocument/2006/relationships/hyperlink" Target="https://www.immoscout24.ch/fr/maison/acheter/lieu-uitikon-waldegg" TargetMode="External"/><Relationship Id="rId1038" Type="http://schemas.openxmlformats.org/officeDocument/2006/relationships/hyperlink" Target="https://www.immoscout24.ch/fr/maison/acheter/lieu-lausanne-25" TargetMode="External"/><Relationship Id="rId2369" Type="http://schemas.openxmlformats.org/officeDocument/2006/relationships/hyperlink" Target="https://www.immoscout24.ch/fr/maison/acheter/lieu-montet-glane" TargetMode="External"/><Relationship Id="rId3699" Type="http://schemas.openxmlformats.org/officeDocument/2006/relationships/hyperlink" Target="https://www.immoscout24.ch/fr/appartement/louer/lieu-meyriez" TargetMode="External"/><Relationship Id="rId1039" Type="http://schemas.openxmlformats.org/officeDocument/2006/relationships/hyperlink" Target="https://www.immoscout24.ch/fr/appartement/louer/region-laupen-sense" TargetMode="External"/><Relationship Id="rId3690" Type="http://schemas.openxmlformats.org/officeDocument/2006/relationships/hyperlink" Target="https://www.immoscout24.ch/fr/maison/acheter/lieu-indemini" TargetMode="External"/><Relationship Id="rId2360" Type="http://schemas.openxmlformats.org/officeDocument/2006/relationships/hyperlink" Target="https://www.immoscout24.ch/fr/maison/acheter/lieu-arnex-sur-nyon" TargetMode="External"/><Relationship Id="rId3692" Type="http://schemas.openxmlformats.org/officeDocument/2006/relationships/hyperlink" Target="https://www.immoscout24.ch/fr/appartement/acheter/lieu-courtepin" TargetMode="External"/><Relationship Id="rId1030" Type="http://schemas.openxmlformats.org/officeDocument/2006/relationships/hyperlink" Target="https://www.immoscout24.ch/fr/maison/louer/lieu-asuel" TargetMode="External"/><Relationship Id="rId2361" Type="http://schemas.openxmlformats.org/officeDocument/2006/relationships/hyperlink" Target="https://www.immoscout24.ch/fr/appartement/louer/lieu-sarreyer" TargetMode="External"/><Relationship Id="rId3691" Type="http://schemas.openxmlformats.org/officeDocument/2006/relationships/hyperlink" Target="https://www.immoscout24.ch/fr/appartement/acheter/lieu-courtepin" TargetMode="External"/><Relationship Id="rId1031" Type="http://schemas.openxmlformats.org/officeDocument/2006/relationships/hyperlink" Target="https://www.immoscout24.ch/fr/appartement/acheter/lieu-gampelen" TargetMode="External"/><Relationship Id="rId2362" Type="http://schemas.openxmlformats.org/officeDocument/2006/relationships/hyperlink" Target="https://www.immoscout24.ch/fr/appartement/louer/lieu-sarreyer" TargetMode="External"/><Relationship Id="rId3694" Type="http://schemas.openxmlformats.org/officeDocument/2006/relationships/hyperlink" Target="https://www.immoscout24.ch/fr/maison/acheter/lieu-mollens-vd" TargetMode="External"/><Relationship Id="rId1032" Type="http://schemas.openxmlformats.org/officeDocument/2006/relationships/hyperlink" Target="https://www.immoscout24.ch/fr/appartement/acheter/lieu-gampelen" TargetMode="External"/><Relationship Id="rId2363" Type="http://schemas.openxmlformats.org/officeDocument/2006/relationships/hyperlink" Target="https://www.immoscout24.ch/fr/appartement/louer/lieu-sessa" TargetMode="External"/><Relationship Id="rId3693" Type="http://schemas.openxmlformats.org/officeDocument/2006/relationships/hyperlink" Target="https://www.immoscout24.ch/fr/maison/acheter/lieu-mollens-vd" TargetMode="External"/><Relationship Id="rId1033" Type="http://schemas.openxmlformats.org/officeDocument/2006/relationships/hyperlink" Target="https://www.immoscout24.ch/fr/appartement/acheter/lieu-les-geneveys-sur-coffrane" TargetMode="External"/><Relationship Id="rId2364" Type="http://schemas.openxmlformats.org/officeDocument/2006/relationships/hyperlink" Target="https://www.immoscout24.ch/fr/appartement/louer/lieu-sessa" TargetMode="External"/><Relationship Id="rId3696" Type="http://schemas.openxmlformats.org/officeDocument/2006/relationships/hyperlink" Target="https://www.immoscout24.ch/fr/appartement/louer/lieu-obernau" TargetMode="External"/><Relationship Id="rId1034" Type="http://schemas.openxmlformats.org/officeDocument/2006/relationships/hyperlink" Target="https://www.immoscout24.ch/fr/appartement/acheter/lieu-les-geneveys-sur-coffrane" TargetMode="External"/><Relationship Id="rId2365" Type="http://schemas.openxmlformats.org/officeDocument/2006/relationships/hyperlink" Target="https://www.immoscout24.ch/fr/appartement/louer/lieu-monnaz" TargetMode="External"/><Relationship Id="rId3695" Type="http://schemas.openxmlformats.org/officeDocument/2006/relationships/hyperlink" Target="https://www.immoscout24.ch/fr/appartement/louer/lieu-obernau" TargetMode="External"/><Relationship Id="rId1035" Type="http://schemas.openxmlformats.org/officeDocument/2006/relationships/hyperlink" Target="https://www.immoscout24.ch/fr/appartement/louer/lieu-miege" TargetMode="External"/><Relationship Id="rId2366" Type="http://schemas.openxmlformats.org/officeDocument/2006/relationships/hyperlink" Target="https://www.immoscout24.ch/fr/appartement/louer/lieu-monnaz" TargetMode="External"/><Relationship Id="rId3698" Type="http://schemas.openxmlformats.org/officeDocument/2006/relationships/hyperlink" Target="https://www.immoscout24.ch/fr/appartement/louer/lieu-erlach" TargetMode="External"/><Relationship Id="rId1036" Type="http://schemas.openxmlformats.org/officeDocument/2006/relationships/hyperlink" Target="https://www.immoscout24.ch/fr/appartement/louer/lieu-miege" TargetMode="External"/><Relationship Id="rId2367" Type="http://schemas.openxmlformats.org/officeDocument/2006/relationships/hyperlink" Target="https://www.immoscout24.ch/fr/maison/acheter/lieu-uitikon-waldegg" TargetMode="External"/><Relationship Id="rId3697" Type="http://schemas.openxmlformats.org/officeDocument/2006/relationships/hyperlink" Target="https://www.immoscout24.ch/fr/appartement/louer/lieu-erlach" TargetMode="External"/><Relationship Id="rId1026" Type="http://schemas.openxmlformats.org/officeDocument/2006/relationships/hyperlink" Target="https://www.immoscout24.ch/fr/appartement/acheter/lieu-echallens" TargetMode="External"/><Relationship Id="rId2357" Type="http://schemas.openxmlformats.org/officeDocument/2006/relationships/hyperlink" Target="https://www.immoscout24.ch/fr/appartement/louer/lieu-mex-vd" TargetMode="External"/><Relationship Id="rId3689" Type="http://schemas.openxmlformats.org/officeDocument/2006/relationships/hyperlink" Target="https://www.immoscout24.ch/fr/maison/acheter/lieu-indemini" TargetMode="External"/><Relationship Id="rId1027" Type="http://schemas.openxmlformats.org/officeDocument/2006/relationships/hyperlink" Target="https://www.immoscout24.ch/fr/maison/acheter/pays-usa" TargetMode="External"/><Relationship Id="rId2358" Type="http://schemas.openxmlformats.org/officeDocument/2006/relationships/hyperlink" Target="https://www.immoscout24.ch/fr/appartement/louer/lieu-mex-vd" TargetMode="External"/><Relationship Id="rId3688" Type="http://schemas.openxmlformats.org/officeDocument/2006/relationships/hyperlink" Target="https://www.immoscout24.ch/fr/appartement/louer/quartier-weisses-quartier-berne" TargetMode="External"/><Relationship Id="rId1028" Type="http://schemas.openxmlformats.org/officeDocument/2006/relationships/hyperlink" Target="https://www.immoscout24.ch/fr/maison/acheter/pays-usa" TargetMode="External"/><Relationship Id="rId2359" Type="http://schemas.openxmlformats.org/officeDocument/2006/relationships/hyperlink" Target="https://www.immoscout24.ch/fr/maison/acheter/lieu-arnex-sur-nyon" TargetMode="External"/><Relationship Id="rId1029" Type="http://schemas.openxmlformats.org/officeDocument/2006/relationships/hyperlink" Target="https://www.immoscout24.ch/fr/maison/louer/lieu-asuel" TargetMode="External"/><Relationship Id="rId3681" Type="http://schemas.openxmlformats.org/officeDocument/2006/relationships/hyperlink" Target="https://www.immoscout24.ch/fr/appartement/louer/lieu-romanel-sur-morges" TargetMode="External"/><Relationship Id="rId2350" Type="http://schemas.openxmlformats.org/officeDocument/2006/relationships/hyperlink" Target="https://www.immoscout24.ch/fr/maison/acheter/lieu-st-jean-vs" TargetMode="External"/><Relationship Id="rId3680" Type="http://schemas.openxmlformats.org/officeDocument/2006/relationships/hyperlink" Target="https://www.immoscout24.ch/fr/maison/acheter/lieu-motiers-ne" TargetMode="External"/><Relationship Id="rId1020" Type="http://schemas.openxmlformats.org/officeDocument/2006/relationships/hyperlink" Target="https://www.immoscout24.ch/fr/maison/acheter/lieu-coinsins" TargetMode="External"/><Relationship Id="rId2351" Type="http://schemas.openxmlformats.org/officeDocument/2006/relationships/hyperlink" Target="https://www.immoscout24.ch/fr/appartement/louer/lieu-mauborget" TargetMode="External"/><Relationship Id="rId3683" Type="http://schemas.openxmlformats.org/officeDocument/2006/relationships/hyperlink" Target="https://www.immoscout24.ch/fr/appartement/louer/lieu-la-verrerie" TargetMode="External"/><Relationship Id="rId1021" Type="http://schemas.openxmlformats.org/officeDocument/2006/relationships/hyperlink" Target="https://www.immoscout24.ch/fr/maison/acheter/lieu-st-gallen" TargetMode="External"/><Relationship Id="rId2352" Type="http://schemas.openxmlformats.org/officeDocument/2006/relationships/hyperlink" Target="https://www.immoscout24.ch/fr/appartement/louer/lieu-mauborget" TargetMode="External"/><Relationship Id="rId3682" Type="http://schemas.openxmlformats.org/officeDocument/2006/relationships/hyperlink" Target="https://www.immoscout24.ch/fr/appartement/louer/lieu-romanel-sur-morges" TargetMode="External"/><Relationship Id="rId1022" Type="http://schemas.openxmlformats.org/officeDocument/2006/relationships/hyperlink" Target="https://www.immoscout24.ch/fr/maison/acheter/lieu-st-gallen" TargetMode="External"/><Relationship Id="rId2353" Type="http://schemas.openxmlformats.org/officeDocument/2006/relationships/hyperlink" Target="https://www.immoscout24.ch/fr/appartement/louer/lieu-tann" TargetMode="External"/><Relationship Id="rId3685" Type="http://schemas.openxmlformats.org/officeDocument/2006/relationships/hyperlink" Target="https://www.immoscout24.ch/fr/appartement/louer/lieu-lossy" TargetMode="External"/><Relationship Id="rId1023" Type="http://schemas.openxmlformats.org/officeDocument/2006/relationships/hyperlink" Target="https://www.immoscout24.ch/fr/appartement/louer/lieu-vals" TargetMode="External"/><Relationship Id="rId2354" Type="http://schemas.openxmlformats.org/officeDocument/2006/relationships/hyperlink" Target="https://www.immoscout24.ch/fr/appartement/louer/lieu-tann" TargetMode="External"/><Relationship Id="rId3684" Type="http://schemas.openxmlformats.org/officeDocument/2006/relationships/hyperlink" Target="https://www.immoscout24.ch/fr/appartement/louer/lieu-la-verrerie" TargetMode="External"/><Relationship Id="rId1024" Type="http://schemas.openxmlformats.org/officeDocument/2006/relationships/hyperlink" Target="https://www.immoscout24.ch/fr/appartement/louer/lieu-vals" TargetMode="External"/><Relationship Id="rId2355" Type="http://schemas.openxmlformats.org/officeDocument/2006/relationships/hyperlink" Target="https://www.immoscout24.ch/fr/maison/acheter/lieu-aarburg" TargetMode="External"/><Relationship Id="rId3687" Type="http://schemas.openxmlformats.org/officeDocument/2006/relationships/hyperlink" Target="https://www.immoscout24.ch/fr/appartement/louer/quartier-weisses-quartier-berne" TargetMode="External"/><Relationship Id="rId1025" Type="http://schemas.openxmlformats.org/officeDocument/2006/relationships/hyperlink" Target="https://www.immoscout24.ch/fr/appartement/acheter/lieu-echallens" TargetMode="External"/><Relationship Id="rId2356" Type="http://schemas.openxmlformats.org/officeDocument/2006/relationships/hyperlink" Target="https://www.immoscout24.ch/fr/maison/acheter/lieu-aarburg" TargetMode="External"/><Relationship Id="rId3686" Type="http://schemas.openxmlformats.org/officeDocument/2006/relationships/hyperlink" Target="https://www.immoscout24.ch/fr/appartement/louer/lieu-lossy" TargetMode="External"/><Relationship Id="rId1090" Type="http://schemas.openxmlformats.org/officeDocument/2006/relationships/hyperlink" Target="https://www.immoscout24.ch/fr/appartement/louer/lieu-corseaux" TargetMode="External"/><Relationship Id="rId1091" Type="http://schemas.openxmlformats.org/officeDocument/2006/relationships/hyperlink" Target="https://www.immoscout24.ch/fr/appartement/louer/lieu-glion" TargetMode="External"/><Relationship Id="rId1092" Type="http://schemas.openxmlformats.org/officeDocument/2006/relationships/hyperlink" Target="https://www.immoscout24.ch/fr/appartement/louer/lieu-glion" TargetMode="External"/><Relationship Id="rId1093" Type="http://schemas.openxmlformats.org/officeDocument/2006/relationships/hyperlink" Target="https://www.immoscout24.ch/fr/appartement/louer/quartier-buempliz-berne" TargetMode="External"/><Relationship Id="rId1094" Type="http://schemas.openxmlformats.org/officeDocument/2006/relationships/hyperlink" Target="https://www.immoscout24.ch/fr/appartement/louer/quartier-buempliz-berne" TargetMode="External"/><Relationship Id="rId1095" Type="http://schemas.openxmlformats.org/officeDocument/2006/relationships/hyperlink" Target="https://www.immoscout24.ch/fr/appartement/louer/lieu-sion" TargetMode="External"/><Relationship Id="rId1096" Type="http://schemas.openxmlformats.org/officeDocument/2006/relationships/hyperlink" Target="https://www.immoscout24.ch/fr/appartement/louer/lieu-sion" TargetMode="External"/><Relationship Id="rId1097" Type="http://schemas.openxmlformats.org/officeDocument/2006/relationships/hyperlink" Target="https://www.immoscout24.ch/fr/maison/acheter/lieu-neirivue" TargetMode="External"/><Relationship Id="rId1098" Type="http://schemas.openxmlformats.org/officeDocument/2006/relationships/hyperlink" Target="https://www.immoscout24.ch/fr/maison/acheter/lieu-neirivue" TargetMode="External"/><Relationship Id="rId1099" Type="http://schemas.openxmlformats.org/officeDocument/2006/relationships/hyperlink" Target="https://www.immoscout24.ch/fr/appartement/louer/region-emmental" TargetMode="External"/><Relationship Id="rId1080" Type="http://schemas.openxmlformats.org/officeDocument/2006/relationships/hyperlink" Target="https://www.immoscout24.ch/fr/maison/louer/lieu-sala-capriasca" TargetMode="External"/><Relationship Id="rId1081" Type="http://schemas.openxmlformats.org/officeDocument/2006/relationships/hyperlink" Target="https://www.immoscout24.ch/fr/appartement/louer/lieu-olten" TargetMode="External"/><Relationship Id="rId1082" Type="http://schemas.openxmlformats.org/officeDocument/2006/relationships/hyperlink" Target="https://www.immoscout24.ch/fr/appartement/louer/lieu-olten" TargetMode="External"/><Relationship Id="rId1083" Type="http://schemas.openxmlformats.org/officeDocument/2006/relationships/hyperlink" Target="https://www.immoscout24.ch/fr/maison/louer/lieu-sonceboz-sombeval" TargetMode="External"/><Relationship Id="rId1084" Type="http://schemas.openxmlformats.org/officeDocument/2006/relationships/hyperlink" Target="https://www.immoscout24.ch/fr/maison/louer/lieu-sonceboz-sombeval" TargetMode="External"/><Relationship Id="rId1085" Type="http://schemas.openxmlformats.org/officeDocument/2006/relationships/hyperlink" Target="https://www.immoscout24.ch/fr/maison/acheter/lieu-bellevue" TargetMode="External"/><Relationship Id="rId1086" Type="http://schemas.openxmlformats.org/officeDocument/2006/relationships/hyperlink" Target="https://www.immoscout24.ch/fr/maison/acheter/lieu-bellevue" TargetMode="External"/><Relationship Id="rId1087" Type="http://schemas.openxmlformats.org/officeDocument/2006/relationships/hyperlink" Target="https://www.immoscout24.ch/fr/maison/acheter/lieu-matzendorf" TargetMode="External"/><Relationship Id="rId1088" Type="http://schemas.openxmlformats.org/officeDocument/2006/relationships/hyperlink" Target="https://www.immoscout24.ch/fr/maison/acheter/lieu-matzendorf" TargetMode="External"/><Relationship Id="rId1089" Type="http://schemas.openxmlformats.org/officeDocument/2006/relationships/hyperlink" Target="https://www.immoscout24.ch/fr/appartement/louer/lieu-corseaux" TargetMode="External"/><Relationship Id="rId2423" Type="http://schemas.openxmlformats.org/officeDocument/2006/relationships/hyperlink" Target="https://www.immoscout24.ch/fr/appartement/louer/lieu-flims-dorf" TargetMode="External"/><Relationship Id="rId3755" Type="http://schemas.openxmlformats.org/officeDocument/2006/relationships/hyperlink" Target="https://www.immoscout24.ch/fr/appartement/acheter/lieu-riggisberg" TargetMode="External"/><Relationship Id="rId2424" Type="http://schemas.openxmlformats.org/officeDocument/2006/relationships/hyperlink" Target="https://www.immoscout24.ch/fr/appartement/louer/lieu-flims-dorf" TargetMode="External"/><Relationship Id="rId3754" Type="http://schemas.openxmlformats.org/officeDocument/2006/relationships/hyperlink" Target="https://www.immoscout24.ch/fr/appartement/louer/lieu-therwil" TargetMode="External"/><Relationship Id="rId2425" Type="http://schemas.openxmlformats.org/officeDocument/2006/relationships/hyperlink" Target="https://www.immoscout24.ch/fr/maison/acheter/pays-irlande" TargetMode="External"/><Relationship Id="rId3757" Type="http://schemas.openxmlformats.org/officeDocument/2006/relationships/hyperlink" Target="https://www.immoscout24.ch/fr/appartement/louer/lieu-vich" TargetMode="External"/><Relationship Id="rId2426" Type="http://schemas.openxmlformats.org/officeDocument/2006/relationships/hyperlink" Target="https://www.immoscout24.ch/fr/maison/acheter/pays-irlande" TargetMode="External"/><Relationship Id="rId3756" Type="http://schemas.openxmlformats.org/officeDocument/2006/relationships/hyperlink" Target="https://www.immoscout24.ch/fr/appartement/acheter/lieu-riggisberg" TargetMode="External"/><Relationship Id="rId2427" Type="http://schemas.openxmlformats.org/officeDocument/2006/relationships/hyperlink" Target="https://www.immoscout24.ch/fr/appartement/louer/lieu-stalden-vs" TargetMode="External"/><Relationship Id="rId3759" Type="http://schemas.openxmlformats.org/officeDocument/2006/relationships/hyperlink" Target="https://www.immoscout24.ch/fr/maison/acheter/region-la-cote-nyon" TargetMode="External"/><Relationship Id="rId2428" Type="http://schemas.openxmlformats.org/officeDocument/2006/relationships/hyperlink" Target="https://www.immoscout24.ch/fr/appartement/louer/lieu-stalden-vs" TargetMode="External"/><Relationship Id="rId3758" Type="http://schemas.openxmlformats.org/officeDocument/2006/relationships/hyperlink" Target="https://www.immoscout24.ch/fr/appartement/louer/lieu-vich" TargetMode="External"/><Relationship Id="rId2429" Type="http://schemas.openxmlformats.org/officeDocument/2006/relationships/hyperlink" Target="https://www.immoscout24.ch/fr/appartement/acheter/lieu-villars-le-terroir" TargetMode="External"/><Relationship Id="rId3751" Type="http://schemas.openxmlformats.org/officeDocument/2006/relationships/hyperlink" Target="https://www.immoscout24.ch/fr/maison/acheter/lieu-les-posses-sur-bex" TargetMode="External"/><Relationship Id="rId2420" Type="http://schemas.openxmlformats.org/officeDocument/2006/relationships/hyperlink" Target="https://www.immoscout24.ch/fr/appartement/louer/lieu-orpund" TargetMode="External"/><Relationship Id="rId3750" Type="http://schemas.openxmlformats.org/officeDocument/2006/relationships/hyperlink" Target="https://www.immoscout24.ch/fr/maison/acheter/lieu-saillon" TargetMode="External"/><Relationship Id="rId2421" Type="http://schemas.openxmlformats.org/officeDocument/2006/relationships/hyperlink" Target="https://www.immoscout24.ch/fr/appartement/louer/lieu-hauterive-ne" TargetMode="External"/><Relationship Id="rId3753" Type="http://schemas.openxmlformats.org/officeDocument/2006/relationships/hyperlink" Target="https://www.immoscout24.ch/fr/appartement/louer/lieu-therwil" TargetMode="External"/><Relationship Id="rId2422" Type="http://schemas.openxmlformats.org/officeDocument/2006/relationships/hyperlink" Target="https://www.immoscout24.ch/fr/appartement/louer/lieu-hauterive-ne" TargetMode="External"/><Relationship Id="rId3752" Type="http://schemas.openxmlformats.org/officeDocument/2006/relationships/hyperlink" Target="https://www.immoscout24.ch/fr/maison/acheter/lieu-les-posses-sur-bex" TargetMode="External"/><Relationship Id="rId2412" Type="http://schemas.openxmlformats.org/officeDocument/2006/relationships/hyperlink" Target="https://www.immoscout24.ch/fr/maison/acheter/lieu-kriegstetten" TargetMode="External"/><Relationship Id="rId3744" Type="http://schemas.openxmlformats.org/officeDocument/2006/relationships/hyperlink" Target="https://www.immoscout24.ch/fr/appartement/louer/lieu-dotzigen" TargetMode="External"/><Relationship Id="rId2413" Type="http://schemas.openxmlformats.org/officeDocument/2006/relationships/hyperlink" Target="https://www.immoscout24.ch/fr/appartement/acheter/lieu-lonay" TargetMode="External"/><Relationship Id="rId3743" Type="http://schemas.openxmlformats.org/officeDocument/2006/relationships/hyperlink" Target="https://www.immoscout24.ch/fr/appartement/louer/lieu-dotzigen" TargetMode="External"/><Relationship Id="rId2414" Type="http://schemas.openxmlformats.org/officeDocument/2006/relationships/hyperlink" Target="https://www.immoscout24.ch/fr/appartement/acheter/lieu-lonay" TargetMode="External"/><Relationship Id="rId3746" Type="http://schemas.openxmlformats.org/officeDocument/2006/relationships/hyperlink" Target="https://www.immoscout24.ch/fr/maison/acheter/lieu-evolene" TargetMode="External"/><Relationship Id="rId2415" Type="http://schemas.openxmlformats.org/officeDocument/2006/relationships/hyperlink" Target="https://www.immoscout24.ch/fr/maison/acheter/lieu-walenstadt" TargetMode="External"/><Relationship Id="rId3745" Type="http://schemas.openxmlformats.org/officeDocument/2006/relationships/hyperlink" Target="https://www.immoscout24.ch/fr/maison/acheter/lieu-evolene" TargetMode="External"/><Relationship Id="rId2416" Type="http://schemas.openxmlformats.org/officeDocument/2006/relationships/hyperlink" Target="https://www.immoscout24.ch/fr/maison/acheter/lieu-walenstadt" TargetMode="External"/><Relationship Id="rId3748" Type="http://schemas.openxmlformats.org/officeDocument/2006/relationships/hyperlink" Target="https://www.immoscout24.ch/fr/maison/acheter/lieu-echichens" TargetMode="External"/><Relationship Id="rId2417" Type="http://schemas.openxmlformats.org/officeDocument/2006/relationships/hyperlink" Target="https://www.immoscout24.ch/fr/appartement/acheter/lieu-bernex" TargetMode="External"/><Relationship Id="rId3747" Type="http://schemas.openxmlformats.org/officeDocument/2006/relationships/hyperlink" Target="https://www.immoscout24.ch/fr/maison/acheter/lieu-echichens" TargetMode="External"/><Relationship Id="rId2418" Type="http://schemas.openxmlformats.org/officeDocument/2006/relationships/hyperlink" Target="https://www.immoscout24.ch/fr/appartement/acheter/lieu-bernex" TargetMode="External"/><Relationship Id="rId2419" Type="http://schemas.openxmlformats.org/officeDocument/2006/relationships/hyperlink" Target="https://www.immoscout24.ch/fr/appartement/louer/lieu-orpund" TargetMode="External"/><Relationship Id="rId3749" Type="http://schemas.openxmlformats.org/officeDocument/2006/relationships/hyperlink" Target="https://www.immoscout24.ch/fr/maison/acheter/lieu-saillon" TargetMode="External"/><Relationship Id="rId3740" Type="http://schemas.openxmlformats.org/officeDocument/2006/relationships/hyperlink" Target="https://www.immoscout24.ch/fr/maison/acheter/region-zuercher-unterland" TargetMode="External"/><Relationship Id="rId2410" Type="http://schemas.openxmlformats.org/officeDocument/2006/relationships/hyperlink" Target="https://www.immoscout24.ch/fr/appartement/louer/lieu-champ-du-moulin" TargetMode="External"/><Relationship Id="rId3742" Type="http://schemas.openxmlformats.org/officeDocument/2006/relationships/hyperlink" Target="https://www.immoscout24.ch/fr/maison/acheter/lieu-le-tretien" TargetMode="External"/><Relationship Id="rId2411" Type="http://schemas.openxmlformats.org/officeDocument/2006/relationships/hyperlink" Target="https://www.immoscout24.ch/fr/maison/acheter/lieu-kriegstetten" TargetMode="External"/><Relationship Id="rId3741" Type="http://schemas.openxmlformats.org/officeDocument/2006/relationships/hyperlink" Target="https://www.immoscout24.ch/fr/maison/acheter/lieu-le-tretien" TargetMode="External"/><Relationship Id="rId1114" Type="http://schemas.openxmlformats.org/officeDocument/2006/relationships/hyperlink" Target="https://www.immoscout24.ch/fr/maison/louer/lieu-rueyres" TargetMode="External"/><Relationship Id="rId2445" Type="http://schemas.openxmlformats.org/officeDocument/2006/relationships/hyperlink" Target="https://www.immoscout24.ch/fr/maison/acheter/lieu-daettwil-ag" TargetMode="External"/><Relationship Id="rId3777" Type="http://schemas.openxmlformats.org/officeDocument/2006/relationships/hyperlink" Target="https://www.immoscout24.ch/fr/maison/acheter/lieu-le-paquier-montbarry" TargetMode="External"/><Relationship Id="rId1115" Type="http://schemas.openxmlformats.org/officeDocument/2006/relationships/hyperlink" Target="https://www.immoscout24.ch/fr/appartement/acheter/lieu-st-cergue" TargetMode="External"/><Relationship Id="rId2446" Type="http://schemas.openxmlformats.org/officeDocument/2006/relationships/hyperlink" Target="https://www.immoscout24.ch/fr/maison/acheter/lieu-daettwil-ag" TargetMode="External"/><Relationship Id="rId3776" Type="http://schemas.openxmlformats.org/officeDocument/2006/relationships/hyperlink" Target="https://www.immoscout24.ch/fr/maison/acheter/lieu-mutrux" TargetMode="External"/><Relationship Id="rId1116" Type="http://schemas.openxmlformats.org/officeDocument/2006/relationships/hyperlink" Target="https://www.immoscout24.ch/fr/appartement/acheter/lieu-st-cergue" TargetMode="External"/><Relationship Id="rId2447" Type="http://schemas.openxmlformats.org/officeDocument/2006/relationships/hyperlink" Target="https://www.immoscout24.ch/fr/maison/louer/lieu-conches" TargetMode="External"/><Relationship Id="rId3779" Type="http://schemas.openxmlformats.org/officeDocument/2006/relationships/hyperlink" Target="https://www.immoscout24.ch/fr/maison/acheter/lieu-wetzikon-zh" TargetMode="External"/><Relationship Id="rId1117" Type="http://schemas.openxmlformats.org/officeDocument/2006/relationships/hyperlink" Target="https://www.immoscout24.ch/fr/appartement/louer/quartier-succes-la-chaux-de-fonds" TargetMode="External"/><Relationship Id="rId2448" Type="http://schemas.openxmlformats.org/officeDocument/2006/relationships/hyperlink" Target="https://www.immoscout24.ch/fr/maison/louer/lieu-conches" TargetMode="External"/><Relationship Id="rId3778" Type="http://schemas.openxmlformats.org/officeDocument/2006/relationships/hyperlink" Target="https://www.immoscout24.ch/fr/maison/acheter/lieu-le-paquier-montbarry" TargetMode="External"/><Relationship Id="rId1118" Type="http://schemas.openxmlformats.org/officeDocument/2006/relationships/hyperlink" Target="https://www.immoscout24.ch/fr/appartement/louer/quartier-succes-la-chaux-de-fonds" TargetMode="External"/><Relationship Id="rId2449" Type="http://schemas.openxmlformats.org/officeDocument/2006/relationships/hyperlink" Target="https://www.immoscout24.ch/fr/appartement/acheter/quartier-chaumont-neuchatel" TargetMode="External"/><Relationship Id="rId1119" Type="http://schemas.openxmlformats.org/officeDocument/2006/relationships/hyperlink" Target="https://www.immoscout24.ch/fr/maison/acheter/lieu-les-diablerets" TargetMode="External"/><Relationship Id="rId3771" Type="http://schemas.openxmlformats.org/officeDocument/2006/relationships/hyperlink" Target="https://www.immoscout24.ch/fr/maison/acheter/lieu-senarclens" TargetMode="External"/><Relationship Id="rId2440" Type="http://schemas.openxmlformats.org/officeDocument/2006/relationships/hyperlink" Target="https://www.immoscout24.ch/fr/maison/acheter/lieu-forch" TargetMode="External"/><Relationship Id="rId3770" Type="http://schemas.openxmlformats.org/officeDocument/2006/relationships/hyperlink" Target="https://www.immoscout24.ch/fr/appartement/louer/lieu-denezy" TargetMode="External"/><Relationship Id="rId1110" Type="http://schemas.openxmlformats.org/officeDocument/2006/relationships/hyperlink" Target="https://www.immoscout24.ch/fr/maison/acheter/lieu-galmiz" TargetMode="External"/><Relationship Id="rId2441" Type="http://schemas.openxmlformats.org/officeDocument/2006/relationships/hyperlink" Target="https://www.immoscout24.ch/fr/maison/acheter/lieu-poschiavo" TargetMode="External"/><Relationship Id="rId3773" Type="http://schemas.openxmlformats.org/officeDocument/2006/relationships/hyperlink" Target="https://www.immoscout24.ch/fr/maison/louer/quartier-sebeillon-malley-lausanne" TargetMode="External"/><Relationship Id="rId1111" Type="http://schemas.openxmlformats.org/officeDocument/2006/relationships/hyperlink" Target="https://www.immoscout24.ch/fr/maison/acheter/lieu-fiaugeres" TargetMode="External"/><Relationship Id="rId2442" Type="http://schemas.openxmlformats.org/officeDocument/2006/relationships/hyperlink" Target="https://www.immoscout24.ch/fr/maison/acheter/lieu-poschiavo" TargetMode="External"/><Relationship Id="rId3772" Type="http://schemas.openxmlformats.org/officeDocument/2006/relationships/hyperlink" Target="https://www.immoscout24.ch/fr/maison/acheter/lieu-senarclens" TargetMode="External"/><Relationship Id="rId1112" Type="http://schemas.openxmlformats.org/officeDocument/2006/relationships/hyperlink" Target="https://www.immoscout24.ch/fr/maison/acheter/lieu-fiaugeres" TargetMode="External"/><Relationship Id="rId2443" Type="http://schemas.openxmlformats.org/officeDocument/2006/relationships/hyperlink" Target="https://www.immoscout24.ch/fr/maison/acheter/lieu-grancia" TargetMode="External"/><Relationship Id="rId3775" Type="http://schemas.openxmlformats.org/officeDocument/2006/relationships/hyperlink" Target="https://www.immoscout24.ch/fr/maison/acheter/lieu-mutrux" TargetMode="External"/><Relationship Id="rId1113" Type="http://schemas.openxmlformats.org/officeDocument/2006/relationships/hyperlink" Target="https://www.immoscout24.ch/fr/maison/louer/lieu-rueyres" TargetMode="External"/><Relationship Id="rId2444" Type="http://schemas.openxmlformats.org/officeDocument/2006/relationships/hyperlink" Target="https://www.immoscout24.ch/fr/maison/acheter/lieu-grancia" TargetMode="External"/><Relationship Id="rId3774" Type="http://schemas.openxmlformats.org/officeDocument/2006/relationships/hyperlink" Target="https://www.immoscout24.ch/fr/maison/louer/quartier-sebeillon-malley-lausanne" TargetMode="External"/><Relationship Id="rId1103" Type="http://schemas.openxmlformats.org/officeDocument/2006/relationships/hyperlink" Target="https://www.immoscout24.ch/fr/maison/acheter/lieu-villiers" TargetMode="External"/><Relationship Id="rId2434" Type="http://schemas.openxmlformats.org/officeDocument/2006/relationships/hyperlink" Target="https://www.immoscout24.ch/fr/appartement/acheter/lieu-arbedo" TargetMode="External"/><Relationship Id="rId3766" Type="http://schemas.openxmlformats.org/officeDocument/2006/relationships/hyperlink" Target="https://www.immoscout24.ch/fr/maison/acheter/lieu-mont-soleil" TargetMode="External"/><Relationship Id="rId1104" Type="http://schemas.openxmlformats.org/officeDocument/2006/relationships/hyperlink" Target="https://www.immoscout24.ch/fr/maison/acheter/lieu-villiers" TargetMode="External"/><Relationship Id="rId2435" Type="http://schemas.openxmlformats.org/officeDocument/2006/relationships/hyperlink" Target="https://www.immoscout24.ch/fr/appartement/acheter/region-soleure-et-environs" TargetMode="External"/><Relationship Id="rId3765" Type="http://schemas.openxmlformats.org/officeDocument/2006/relationships/hyperlink" Target="https://www.immoscout24.ch/fr/maison/acheter/lieu-mont-soleil" TargetMode="External"/><Relationship Id="rId1105" Type="http://schemas.openxmlformats.org/officeDocument/2006/relationships/hyperlink" Target="https://www.immoscout24.ch/fr/appartement/acheter/lieu-romanel-sur-lausanne" TargetMode="External"/><Relationship Id="rId2436" Type="http://schemas.openxmlformats.org/officeDocument/2006/relationships/hyperlink" Target="https://www.immoscout24.ch/fr/appartement/acheter/region-soleure-et-environs" TargetMode="External"/><Relationship Id="rId3768" Type="http://schemas.openxmlformats.org/officeDocument/2006/relationships/hyperlink" Target="https://www.immoscout24.ch/fr/maison/louer/lieu-villarvolard" TargetMode="External"/><Relationship Id="rId1106" Type="http://schemas.openxmlformats.org/officeDocument/2006/relationships/hyperlink" Target="https://www.immoscout24.ch/fr/appartement/acheter/lieu-romanel-sur-lausanne" TargetMode="External"/><Relationship Id="rId2437" Type="http://schemas.openxmlformats.org/officeDocument/2006/relationships/hyperlink" Target="https://www.immoscout24.ch/fr/maison/acheter/lieu-agarn" TargetMode="External"/><Relationship Id="rId3767" Type="http://schemas.openxmlformats.org/officeDocument/2006/relationships/hyperlink" Target="https://www.immoscout24.ch/fr/maison/louer/lieu-villarvolard" TargetMode="External"/><Relationship Id="rId1107" Type="http://schemas.openxmlformats.org/officeDocument/2006/relationships/hyperlink" Target="https://www.immoscout24.ch/fr/appartement/acheter/lieu-boudry" TargetMode="External"/><Relationship Id="rId2438" Type="http://schemas.openxmlformats.org/officeDocument/2006/relationships/hyperlink" Target="https://www.immoscout24.ch/fr/maison/acheter/lieu-agarn" TargetMode="External"/><Relationship Id="rId1108" Type="http://schemas.openxmlformats.org/officeDocument/2006/relationships/hyperlink" Target="https://www.immoscout24.ch/fr/appartement/acheter/lieu-boudry" TargetMode="External"/><Relationship Id="rId2439" Type="http://schemas.openxmlformats.org/officeDocument/2006/relationships/hyperlink" Target="https://www.immoscout24.ch/fr/maison/acheter/lieu-forch" TargetMode="External"/><Relationship Id="rId3769" Type="http://schemas.openxmlformats.org/officeDocument/2006/relationships/hyperlink" Target="https://www.immoscout24.ch/fr/appartement/louer/lieu-denezy" TargetMode="External"/><Relationship Id="rId1109" Type="http://schemas.openxmlformats.org/officeDocument/2006/relationships/hyperlink" Target="https://www.immoscout24.ch/fr/maison/acheter/lieu-galmiz" TargetMode="External"/><Relationship Id="rId3760" Type="http://schemas.openxmlformats.org/officeDocument/2006/relationships/hyperlink" Target="https://www.immoscout24.ch/fr/maison/acheter/region-la-cote-nyon" TargetMode="External"/><Relationship Id="rId2430" Type="http://schemas.openxmlformats.org/officeDocument/2006/relationships/hyperlink" Target="https://www.immoscout24.ch/fr/appartement/acheter/lieu-villars-le-terroir" TargetMode="External"/><Relationship Id="rId3762" Type="http://schemas.openxmlformats.org/officeDocument/2006/relationships/hyperlink" Target="https://www.immoscout24.ch/fr/appartement/louer/lieu-utzenstorf" TargetMode="External"/><Relationship Id="rId1100" Type="http://schemas.openxmlformats.org/officeDocument/2006/relationships/hyperlink" Target="https://www.immoscout24.ch/fr/appartement/louer/region-emmental" TargetMode="External"/><Relationship Id="rId2431" Type="http://schemas.openxmlformats.org/officeDocument/2006/relationships/hyperlink" Target="https://www.immoscout24.ch/fr/maison/acheter/lieu-zenauva" TargetMode="External"/><Relationship Id="rId3761" Type="http://schemas.openxmlformats.org/officeDocument/2006/relationships/hyperlink" Target="https://www.immoscout24.ch/fr/appartement/louer/lieu-utzenstorf" TargetMode="External"/><Relationship Id="rId1101" Type="http://schemas.openxmlformats.org/officeDocument/2006/relationships/hyperlink" Target="https://www.immoscout24.ch/fr/appartement/louer/lieu-thun" TargetMode="External"/><Relationship Id="rId2432" Type="http://schemas.openxmlformats.org/officeDocument/2006/relationships/hyperlink" Target="https://www.immoscout24.ch/fr/maison/acheter/lieu-zenauva" TargetMode="External"/><Relationship Id="rId3764" Type="http://schemas.openxmlformats.org/officeDocument/2006/relationships/hyperlink" Target="https://www.immoscout24.ch/fr/appartement/louer/lieu-chesalles-sur-oron" TargetMode="External"/><Relationship Id="rId1102" Type="http://schemas.openxmlformats.org/officeDocument/2006/relationships/hyperlink" Target="https://www.immoscout24.ch/fr/appartement/louer/lieu-thun" TargetMode="External"/><Relationship Id="rId2433" Type="http://schemas.openxmlformats.org/officeDocument/2006/relationships/hyperlink" Target="https://www.immoscout24.ch/fr/appartement/acheter/lieu-arbedo" TargetMode="External"/><Relationship Id="rId3763" Type="http://schemas.openxmlformats.org/officeDocument/2006/relationships/hyperlink" Target="https://www.immoscout24.ch/fr/appartement/louer/lieu-chesalles-sur-oron" TargetMode="External"/><Relationship Id="rId3711" Type="http://schemas.openxmlformats.org/officeDocument/2006/relationships/hyperlink" Target="https://www.immoscout24.ch/fr/appartement/louer/lieu-fontenais" TargetMode="External"/><Relationship Id="rId3710" Type="http://schemas.openxmlformats.org/officeDocument/2006/relationships/hyperlink" Target="https://www.immoscout24.ch/fr/maison/acheter/lieu-venthone" TargetMode="External"/><Relationship Id="rId3713" Type="http://schemas.openxmlformats.org/officeDocument/2006/relationships/hyperlink" Target="https://www.immoscout24.ch/fr/maison/acheter/lieu-st-silvester" TargetMode="External"/><Relationship Id="rId3712" Type="http://schemas.openxmlformats.org/officeDocument/2006/relationships/hyperlink" Target="https://www.immoscout24.ch/fr/appartement/louer/lieu-fontenais" TargetMode="External"/><Relationship Id="rId3715" Type="http://schemas.openxmlformats.org/officeDocument/2006/relationships/hyperlink" Target="https://www.immoscout24.ch/fr/appartement/louer/lieu-paradiso" TargetMode="External"/><Relationship Id="rId3714" Type="http://schemas.openxmlformats.org/officeDocument/2006/relationships/hyperlink" Target="https://www.immoscout24.ch/fr/maison/acheter/lieu-st-silvester" TargetMode="External"/><Relationship Id="rId3717" Type="http://schemas.openxmlformats.org/officeDocument/2006/relationships/hyperlink" Target="https://www.immoscout24.ch/fr/maison/acheter/lieu-avry-sur-matran" TargetMode="External"/><Relationship Id="rId3716" Type="http://schemas.openxmlformats.org/officeDocument/2006/relationships/hyperlink" Target="https://www.immoscout24.ch/fr/appartement/louer/lieu-paradiso" TargetMode="External"/><Relationship Id="rId3719" Type="http://schemas.openxmlformats.org/officeDocument/2006/relationships/hyperlink" Target="https://www.immoscout24.ch/fr/appartement/louer/canton-schwyz" TargetMode="External"/><Relationship Id="rId3718" Type="http://schemas.openxmlformats.org/officeDocument/2006/relationships/hyperlink" Target="https://www.immoscout24.ch/fr/maison/acheter/lieu-avry-sur-matran" TargetMode="External"/><Relationship Id="rId3700" Type="http://schemas.openxmlformats.org/officeDocument/2006/relationships/hyperlink" Target="https://www.immoscout24.ch/fr/appartement/louer/lieu-meyriez" TargetMode="External"/><Relationship Id="rId3702" Type="http://schemas.openxmlformats.org/officeDocument/2006/relationships/hyperlink" Target="https://www.immoscout24.ch/fr/appartement/acheter/lieu-biel-benken-bl" TargetMode="External"/><Relationship Id="rId3701" Type="http://schemas.openxmlformats.org/officeDocument/2006/relationships/hyperlink" Target="https://www.immoscout24.ch/fr/appartement/acheter/lieu-biel-benken-bl" TargetMode="External"/><Relationship Id="rId3704" Type="http://schemas.openxmlformats.org/officeDocument/2006/relationships/hyperlink" Target="https://www.immoscout24.ch/fr/appartement/louer/lieu-etzelkofen" TargetMode="External"/><Relationship Id="rId3703" Type="http://schemas.openxmlformats.org/officeDocument/2006/relationships/hyperlink" Target="https://www.immoscout24.ch/fr/appartement/louer/lieu-etzelkofen" TargetMode="External"/><Relationship Id="rId3706" Type="http://schemas.openxmlformats.org/officeDocument/2006/relationships/hyperlink" Target="https://www.immoscout24.ch/fr/appartement/acheter/lieu-farvagny-le-petit" TargetMode="External"/><Relationship Id="rId3705" Type="http://schemas.openxmlformats.org/officeDocument/2006/relationships/hyperlink" Target="https://www.immoscout24.ch/fr/appartement/acheter/lieu-farvagny-le-petit" TargetMode="External"/><Relationship Id="rId3708" Type="http://schemas.openxmlformats.org/officeDocument/2006/relationships/hyperlink" Target="https://www.immoscout24.ch/fr/maison/acheter/lieu-roches-be" TargetMode="External"/><Relationship Id="rId3707" Type="http://schemas.openxmlformats.org/officeDocument/2006/relationships/hyperlink" Target="https://www.immoscout24.ch/fr/maison/acheter/lieu-roches-be" TargetMode="External"/><Relationship Id="rId3709" Type="http://schemas.openxmlformats.org/officeDocument/2006/relationships/hyperlink" Target="https://www.immoscout24.ch/fr/maison/acheter/lieu-venthone" TargetMode="External"/><Relationship Id="rId2401" Type="http://schemas.openxmlformats.org/officeDocument/2006/relationships/hyperlink" Target="https://www.immoscout24.ch/fr/maison/acheter/lieu-ste-croix" TargetMode="External"/><Relationship Id="rId3733" Type="http://schemas.openxmlformats.org/officeDocument/2006/relationships/hyperlink" Target="https://www.immoscout24.ch/fr/appartement/louer/lieu-malans-gr" TargetMode="External"/><Relationship Id="rId2402" Type="http://schemas.openxmlformats.org/officeDocument/2006/relationships/hyperlink" Target="https://www.immoscout24.ch/fr/maison/acheter/lieu-ste-croix" TargetMode="External"/><Relationship Id="rId3732" Type="http://schemas.openxmlformats.org/officeDocument/2006/relationships/hyperlink" Target="https://www.immoscout24.ch/fr/maison/acheter/lieu-echallens" TargetMode="External"/><Relationship Id="rId2403" Type="http://schemas.openxmlformats.org/officeDocument/2006/relationships/hyperlink" Target="https://www.immoscout24.ch/fr/maison/louer/lieu-nemiaz-chamoson" TargetMode="External"/><Relationship Id="rId3735" Type="http://schemas.openxmlformats.org/officeDocument/2006/relationships/hyperlink" Target="https://www.immoscout24.ch/fr/maison/acheter/lieu-oron-la-ville" TargetMode="External"/><Relationship Id="rId2404" Type="http://schemas.openxmlformats.org/officeDocument/2006/relationships/hyperlink" Target="https://www.immoscout24.ch/fr/maison/louer/lieu-nemiaz-chamoson" TargetMode="External"/><Relationship Id="rId3734" Type="http://schemas.openxmlformats.org/officeDocument/2006/relationships/hyperlink" Target="https://www.immoscout24.ch/fr/appartement/louer/lieu-malans-gr" TargetMode="External"/><Relationship Id="rId2405" Type="http://schemas.openxmlformats.org/officeDocument/2006/relationships/hyperlink" Target="https://www.immoscout24.ch/fr/appartement/louer/lieu-montignez" TargetMode="External"/><Relationship Id="rId3737" Type="http://schemas.openxmlformats.org/officeDocument/2006/relationships/hyperlink" Target="https://www.immoscout24.ch/fr/appartement/acheter/lieu-st-maurice" TargetMode="External"/><Relationship Id="rId2406" Type="http://schemas.openxmlformats.org/officeDocument/2006/relationships/hyperlink" Target="https://www.immoscout24.ch/fr/appartement/louer/lieu-montignez" TargetMode="External"/><Relationship Id="rId3736" Type="http://schemas.openxmlformats.org/officeDocument/2006/relationships/hyperlink" Target="https://www.immoscout24.ch/fr/maison/acheter/lieu-oron-la-ville" TargetMode="External"/><Relationship Id="rId2407" Type="http://schemas.openxmlformats.org/officeDocument/2006/relationships/hyperlink" Target="https://www.immoscout24.ch/fr/maison/acheter/lieu-geneve" TargetMode="External"/><Relationship Id="rId3739" Type="http://schemas.openxmlformats.org/officeDocument/2006/relationships/hyperlink" Target="https://www.immoscout24.ch/fr/maison/acheter/region-zuercher-unterland" TargetMode="External"/><Relationship Id="rId2408" Type="http://schemas.openxmlformats.org/officeDocument/2006/relationships/hyperlink" Target="https://www.immoscout24.ch/fr/maison/acheter/lieu-geneve" TargetMode="External"/><Relationship Id="rId3738" Type="http://schemas.openxmlformats.org/officeDocument/2006/relationships/hyperlink" Target="https://www.immoscout24.ch/fr/appartement/acheter/lieu-st-maurice" TargetMode="External"/><Relationship Id="rId2409" Type="http://schemas.openxmlformats.org/officeDocument/2006/relationships/hyperlink" Target="https://www.immoscout24.ch/fr/appartement/louer/lieu-champ-du-moulin" TargetMode="External"/><Relationship Id="rId3731" Type="http://schemas.openxmlformats.org/officeDocument/2006/relationships/hyperlink" Target="https://www.immoscout24.ch/fr/maison/acheter/lieu-echallens" TargetMode="External"/><Relationship Id="rId2400" Type="http://schemas.openxmlformats.org/officeDocument/2006/relationships/hyperlink" Target="https://www.immoscout24.ch/fr/appartement/louer/lieu-petit-vicheres-liddes" TargetMode="External"/><Relationship Id="rId3730" Type="http://schemas.openxmlformats.org/officeDocument/2006/relationships/hyperlink" Target="https://www.immoscout24.ch/fr/maison/acheter/lieu-thayngen" TargetMode="External"/><Relationship Id="rId3722" Type="http://schemas.openxmlformats.org/officeDocument/2006/relationships/hyperlink" Target="https://www.immoscout24.ch/fr/maison/louer/lieu-herisau" TargetMode="External"/><Relationship Id="rId3721" Type="http://schemas.openxmlformats.org/officeDocument/2006/relationships/hyperlink" Target="https://www.immoscout24.ch/fr/maison/louer/lieu-herisau" TargetMode="External"/><Relationship Id="rId3724" Type="http://schemas.openxmlformats.org/officeDocument/2006/relationships/hyperlink" Target="https://www.immoscout24.ch/fr/maison/louer/lieu-horn" TargetMode="External"/><Relationship Id="rId3723" Type="http://schemas.openxmlformats.org/officeDocument/2006/relationships/hyperlink" Target="https://www.immoscout24.ch/fr/maison/louer/lieu-horn" TargetMode="External"/><Relationship Id="rId3726" Type="http://schemas.openxmlformats.org/officeDocument/2006/relationships/hyperlink" Target="https://www.immoscout24.ch/fr/appartement/louer/quartier-pierre-a-bot-acacias-neuchatel" TargetMode="External"/><Relationship Id="rId3725" Type="http://schemas.openxmlformats.org/officeDocument/2006/relationships/hyperlink" Target="https://www.immoscout24.ch/fr/appartement/louer/quartier-pierre-a-bot-acacias-neuchatel" TargetMode="External"/><Relationship Id="rId3728" Type="http://schemas.openxmlformats.org/officeDocument/2006/relationships/hyperlink" Target="https://www.immoscout24.ch/fr/appartement/louer/lieu-granges-vs" TargetMode="External"/><Relationship Id="rId3727" Type="http://schemas.openxmlformats.org/officeDocument/2006/relationships/hyperlink" Target="https://www.immoscout24.ch/fr/appartement/louer/lieu-granges-vs" TargetMode="External"/><Relationship Id="rId3729" Type="http://schemas.openxmlformats.org/officeDocument/2006/relationships/hyperlink" Target="https://www.immoscout24.ch/fr/maison/acheter/lieu-thayngen" TargetMode="External"/><Relationship Id="rId3720" Type="http://schemas.openxmlformats.org/officeDocument/2006/relationships/hyperlink" Target="https://www.immoscout24.ch/fr/appartement/louer/canton-schwyz" TargetMode="External"/><Relationship Id="rId1170" Type="http://schemas.openxmlformats.org/officeDocument/2006/relationships/hyperlink" Target="https://www.immoscout24.ch/fr/appartement/acheter/lieu-le-brassus" TargetMode="External"/><Relationship Id="rId1171" Type="http://schemas.openxmlformats.org/officeDocument/2006/relationships/hyperlink" Target="https://www.immoscout24.ch/fr/maison/louer/lieu-rennaz" TargetMode="External"/><Relationship Id="rId1172" Type="http://schemas.openxmlformats.org/officeDocument/2006/relationships/hyperlink" Target="https://www.immoscout24.ch/fr/maison/louer/lieu-rennaz" TargetMode="External"/><Relationship Id="rId1173" Type="http://schemas.openxmlformats.org/officeDocument/2006/relationships/hyperlink" Target="https://www.immoscout24.ch/fr/appartement/louer/lieu-soyhieres" TargetMode="External"/><Relationship Id="rId1174" Type="http://schemas.openxmlformats.org/officeDocument/2006/relationships/hyperlink" Target="https://www.immoscout24.ch/fr/appartement/louer/lieu-soyhieres" TargetMode="External"/><Relationship Id="rId1175" Type="http://schemas.openxmlformats.org/officeDocument/2006/relationships/hyperlink" Target="https://www.immoscout24.ch/fr/maison/acheter/pays-france" TargetMode="External"/><Relationship Id="rId1176" Type="http://schemas.openxmlformats.org/officeDocument/2006/relationships/hyperlink" Target="https://www.immoscout24.ch/fr/maison/acheter/pays-france" TargetMode="External"/><Relationship Id="rId1177" Type="http://schemas.openxmlformats.org/officeDocument/2006/relationships/hyperlink" Target="https://www.immoscout24.ch/fr/appartement/acheter/lieu-stans" TargetMode="External"/><Relationship Id="rId1178" Type="http://schemas.openxmlformats.org/officeDocument/2006/relationships/hyperlink" Target="https://www.immoscout24.ch/fr/appartement/acheter/lieu-stans" TargetMode="External"/><Relationship Id="rId1179" Type="http://schemas.openxmlformats.org/officeDocument/2006/relationships/hyperlink" Target="https://www.immoscout24.ch/fr/appartement/louer/lieu-chamblon" TargetMode="External"/><Relationship Id="rId1169" Type="http://schemas.openxmlformats.org/officeDocument/2006/relationships/hyperlink" Target="https://www.immoscout24.ch/fr/appartement/acheter/lieu-le-brassus" TargetMode="External"/><Relationship Id="rId2490" Type="http://schemas.openxmlformats.org/officeDocument/2006/relationships/hyperlink" Target="https://www.immoscout24.ch/fr/maison/acheter/lieu-basse-nendaz" TargetMode="External"/><Relationship Id="rId1160" Type="http://schemas.openxmlformats.org/officeDocument/2006/relationships/hyperlink" Target="https://www.immoscout24.ch/fr/maison/louer/lieu-ecublens-vd" TargetMode="External"/><Relationship Id="rId2491" Type="http://schemas.openxmlformats.org/officeDocument/2006/relationships/hyperlink" Target="https://www.immoscout24.ch/fr/appartement/acheter/lieu-bourg-st-pierre" TargetMode="External"/><Relationship Id="rId1161" Type="http://schemas.openxmlformats.org/officeDocument/2006/relationships/hyperlink" Target="https://www.immoscout24.ch/fr/appartement/louer/lieu-granges-veveyse" TargetMode="External"/><Relationship Id="rId2492" Type="http://schemas.openxmlformats.org/officeDocument/2006/relationships/hyperlink" Target="https://www.immoscout24.ch/fr/appartement/acheter/lieu-bourg-st-pierre" TargetMode="External"/><Relationship Id="rId1162" Type="http://schemas.openxmlformats.org/officeDocument/2006/relationships/hyperlink" Target="https://www.immoscout24.ch/fr/appartement/louer/lieu-granges-veveyse" TargetMode="External"/><Relationship Id="rId2493" Type="http://schemas.openxmlformats.org/officeDocument/2006/relationships/hyperlink" Target="https://www.immoscout24.ch/fr/maison/acheter/lieu-villarsel-sur-marly" TargetMode="External"/><Relationship Id="rId1163" Type="http://schemas.openxmlformats.org/officeDocument/2006/relationships/hyperlink" Target="https://www.immoscout24.ch/fr/appartement/louer/lieu-grossdietwil" TargetMode="External"/><Relationship Id="rId2494" Type="http://schemas.openxmlformats.org/officeDocument/2006/relationships/hyperlink" Target="https://www.immoscout24.ch/fr/maison/acheter/lieu-villarsel-sur-marly" TargetMode="External"/><Relationship Id="rId1164" Type="http://schemas.openxmlformats.org/officeDocument/2006/relationships/hyperlink" Target="https://www.immoscout24.ch/fr/appartement/louer/lieu-grossdietwil" TargetMode="External"/><Relationship Id="rId2495" Type="http://schemas.openxmlformats.org/officeDocument/2006/relationships/hyperlink" Target="https://www.immoscout24.ch/fr/maison/acheter/lieu-sta-maria-in-calanca" TargetMode="External"/><Relationship Id="rId1165" Type="http://schemas.openxmlformats.org/officeDocument/2006/relationships/hyperlink" Target="https://www.immoscout24.ch/fr/maison/louer/lieu-stein-am-rhein" TargetMode="External"/><Relationship Id="rId2496" Type="http://schemas.openxmlformats.org/officeDocument/2006/relationships/hyperlink" Target="https://www.immoscout24.ch/fr/maison/acheter/lieu-sta-maria-in-calanca" TargetMode="External"/><Relationship Id="rId1166" Type="http://schemas.openxmlformats.org/officeDocument/2006/relationships/hyperlink" Target="https://www.immoscout24.ch/fr/maison/louer/lieu-stein-am-rhein" TargetMode="External"/><Relationship Id="rId2497" Type="http://schemas.openxmlformats.org/officeDocument/2006/relationships/hyperlink" Target="https://www.immoscout24.ch/fr/maison/acheter/lieu-reconvilier" TargetMode="External"/><Relationship Id="rId1167" Type="http://schemas.openxmlformats.org/officeDocument/2006/relationships/hyperlink" Target="https://www.immoscout24.ch/fr/appartement/louer/lieu-glattpark-opfikon" TargetMode="External"/><Relationship Id="rId2498" Type="http://schemas.openxmlformats.org/officeDocument/2006/relationships/hyperlink" Target="https://www.immoscout24.ch/fr/maison/acheter/lieu-reconvilier" TargetMode="External"/><Relationship Id="rId1168" Type="http://schemas.openxmlformats.org/officeDocument/2006/relationships/hyperlink" Target="https://www.immoscout24.ch/fr/appartement/louer/lieu-glattpark-opfikon" TargetMode="External"/><Relationship Id="rId2499" Type="http://schemas.openxmlformats.org/officeDocument/2006/relationships/hyperlink" Target="https://www.immoscout24.ch/fr/maison/acheter/lieu-versoix" TargetMode="External"/><Relationship Id="rId1190" Type="http://schemas.openxmlformats.org/officeDocument/2006/relationships/hyperlink" Target="https://www.immoscout24.ch/fr/appartement/acheter/lieu-courroux" TargetMode="External"/><Relationship Id="rId1191" Type="http://schemas.openxmlformats.org/officeDocument/2006/relationships/hyperlink" Target="https://www.immoscout24.ch/fr/maison/acheter/lieu-denges" TargetMode="External"/><Relationship Id="rId1192" Type="http://schemas.openxmlformats.org/officeDocument/2006/relationships/hyperlink" Target="https://www.immoscout24.ch/fr/maison/acheter/lieu-denges" TargetMode="External"/><Relationship Id="rId1193" Type="http://schemas.openxmlformats.org/officeDocument/2006/relationships/hyperlink" Target="https://www.immoscout24.ch/fr/maison/acheter/lieu-les-bayards" TargetMode="External"/><Relationship Id="rId1194" Type="http://schemas.openxmlformats.org/officeDocument/2006/relationships/hyperlink" Target="https://www.immoscout24.ch/fr/maison/acheter/lieu-les-bayards" TargetMode="External"/><Relationship Id="rId1195" Type="http://schemas.openxmlformats.org/officeDocument/2006/relationships/hyperlink" Target="https://www.immoscout24.ch/fr/appartement/louer/lieu-safenwil" TargetMode="External"/><Relationship Id="rId1196" Type="http://schemas.openxmlformats.org/officeDocument/2006/relationships/hyperlink" Target="https://www.immoscout24.ch/fr/appartement/louer/lieu-safenwil" TargetMode="External"/><Relationship Id="rId1197" Type="http://schemas.openxmlformats.org/officeDocument/2006/relationships/hyperlink" Target="https://www.immoscout24.ch/fr/appartement/acheter/lieu-sugiez" TargetMode="External"/><Relationship Id="rId1198" Type="http://schemas.openxmlformats.org/officeDocument/2006/relationships/hyperlink" Target="https://www.immoscout24.ch/fr/appartement/acheter/lieu-sugiez" TargetMode="External"/><Relationship Id="rId1199" Type="http://schemas.openxmlformats.org/officeDocument/2006/relationships/hyperlink" Target="https://www.immoscout24.ch/fr/maison/acheter/lieu-riehen" TargetMode="External"/><Relationship Id="rId1180" Type="http://schemas.openxmlformats.org/officeDocument/2006/relationships/hyperlink" Target="https://www.immoscout24.ch/fr/appartement/louer/lieu-chamblon" TargetMode="External"/><Relationship Id="rId1181" Type="http://schemas.openxmlformats.org/officeDocument/2006/relationships/hyperlink" Target="https://www.immoscout24.ch/fr/maison/louer/lieu-lutry" TargetMode="External"/><Relationship Id="rId1182" Type="http://schemas.openxmlformats.org/officeDocument/2006/relationships/hyperlink" Target="https://www.immoscout24.ch/fr/maison/louer/lieu-lutry" TargetMode="External"/><Relationship Id="rId1183" Type="http://schemas.openxmlformats.org/officeDocument/2006/relationships/hyperlink" Target="https://www.immoscout24.ch/fr/appartement/louer/lieu-heiden" TargetMode="External"/><Relationship Id="rId1184" Type="http://schemas.openxmlformats.org/officeDocument/2006/relationships/hyperlink" Target="https://www.immoscout24.ch/fr/appartement/louer/lieu-heiden" TargetMode="External"/><Relationship Id="rId1185" Type="http://schemas.openxmlformats.org/officeDocument/2006/relationships/hyperlink" Target="https://www.immoscout24.ch/fr/appartement/acheter/lieu-kerzers" TargetMode="External"/><Relationship Id="rId1186" Type="http://schemas.openxmlformats.org/officeDocument/2006/relationships/hyperlink" Target="https://www.immoscout24.ch/fr/appartement/acheter/lieu-kerzers" TargetMode="External"/><Relationship Id="rId1187" Type="http://schemas.openxmlformats.org/officeDocument/2006/relationships/hyperlink" Target="https://www.immoscout24.ch/fr/maison/acheter/lieu-ecuvillens" TargetMode="External"/><Relationship Id="rId1188" Type="http://schemas.openxmlformats.org/officeDocument/2006/relationships/hyperlink" Target="https://www.immoscout24.ch/fr/maison/acheter/lieu-ecuvillens" TargetMode="External"/><Relationship Id="rId1189" Type="http://schemas.openxmlformats.org/officeDocument/2006/relationships/hyperlink" Target="https://www.immoscout24.ch/fr/appartement/acheter/lieu-courroux" TargetMode="External"/><Relationship Id="rId1136" Type="http://schemas.openxmlformats.org/officeDocument/2006/relationships/hyperlink" Target="https://www.immoscout24.ch/fr/appartement/louer/lieu-sevaz" TargetMode="External"/><Relationship Id="rId2467" Type="http://schemas.openxmlformats.org/officeDocument/2006/relationships/hyperlink" Target="https://www.immoscout24.ch/fr/appartement/acheter/quartier-sonvico-lugano" TargetMode="External"/><Relationship Id="rId3799" Type="http://schemas.openxmlformats.org/officeDocument/2006/relationships/hyperlink" Target="https://www.immoscout24.ch/fr/appartement/louer/quartier-rotes-quartier-berne" TargetMode="External"/><Relationship Id="rId1137" Type="http://schemas.openxmlformats.org/officeDocument/2006/relationships/hyperlink" Target="https://www.immoscout24.ch/fr/appartement/acheter/lieu-uvrier" TargetMode="External"/><Relationship Id="rId2468" Type="http://schemas.openxmlformats.org/officeDocument/2006/relationships/hyperlink" Target="https://www.immoscout24.ch/fr/appartement/acheter/quartier-sonvico-lugano" TargetMode="External"/><Relationship Id="rId3798" Type="http://schemas.openxmlformats.org/officeDocument/2006/relationships/hyperlink" Target="https://www.immoscout24.ch/fr/appartement/acheter/region-singine-sarine-lac" TargetMode="External"/><Relationship Id="rId1138" Type="http://schemas.openxmlformats.org/officeDocument/2006/relationships/hyperlink" Target="https://www.immoscout24.ch/fr/appartement/acheter/lieu-uvrier" TargetMode="External"/><Relationship Id="rId2469" Type="http://schemas.openxmlformats.org/officeDocument/2006/relationships/hyperlink" Target="https://www.immoscout24.ch/fr/appartement/louer/lieu-lovatens" TargetMode="External"/><Relationship Id="rId1139" Type="http://schemas.openxmlformats.org/officeDocument/2006/relationships/hyperlink" Target="https://www.immoscout24.ch/fr/appartement/acheter/lieu-buchrain" TargetMode="External"/><Relationship Id="rId3791" Type="http://schemas.openxmlformats.org/officeDocument/2006/relationships/hyperlink" Target="https://www.immoscout24.ch/fr/maison/acheter/lieu-walzenhausen" TargetMode="External"/><Relationship Id="rId2460" Type="http://schemas.openxmlformats.org/officeDocument/2006/relationships/hyperlink" Target="https://www.immoscout24.ch/fr/appartement/acheter/lieu-lausanne" TargetMode="External"/><Relationship Id="rId3790" Type="http://schemas.openxmlformats.org/officeDocument/2006/relationships/hyperlink" Target="https://www.immoscout24.ch/fr/appartement/louer/lieu-schwanden-im-emmental" TargetMode="External"/><Relationship Id="rId1130" Type="http://schemas.openxmlformats.org/officeDocument/2006/relationships/hyperlink" Target="https://www.immoscout24.ch/fr/appartement/louer/lieu-denens" TargetMode="External"/><Relationship Id="rId2461" Type="http://schemas.openxmlformats.org/officeDocument/2006/relationships/hyperlink" Target="https://www.immoscout24.ch/fr/maison/acheter/lieu-sursee" TargetMode="External"/><Relationship Id="rId3793" Type="http://schemas.openxmlformats.org/officeDocument/2006/relationships/hyperlink" Target="https://www.immoscout24.ch/fr/maison/louer/lieu-les-bois" TargetMode="External"/><Relationship Id="rId1131" Type="http://schemas.openxmlformats.org/officeDocument/2006/relationships/hyperlink" Target="https://www.immoscout24.ch/fr/maison/acheter/lieu-twann" TargetMode="External"/><Relationship Id="rId2462" Type="http://schemas.openxmlformats.org/officeDocument/2006/relationships/hyperlink" Target="https://www.immoscout24.ch/fr/maison/acheter/lieu-sursee" TargetMode="External"/><Relationship Id="rId3792" Type="http://schemas.openxmlformats.org/officeDocument/2006/relationships/hyperlink" Target="https://www.immoscout24.ch/fr/maison/acheter/lieu-walzenhausen" TargetMode="External"/><Relationship Id="rId1132" Type="http://schemas.openxmlformats.org/officeDocument/2006/relationships/hyperlink" Target="https://www.immoscout24.ch/fr/maison/acheter/lieu-twann" TargetMode="External"/><Relationship Id="rId2463" Type="http://schemas.openxmlformats.org/officeDocument/2006/relationships/hyperlink" Target="https://www.immoscout24.ch/fr/maison/louer/lieu-val-d-illiez" TargetMode="External"/><Relationship Id="rId3795" Type="http://schemas.openxmlformats.org/officeDocument/2006/relationships/hyperlink" Target="https://www.immoscout24.ch/fr/appartement/acheter/quartier-mousquines-bellevue-lausanne" TargetMode="External"/><Relationship Id="rId1133" Type="http://schemas.openxmlformats.org/officeDocument/2006/relationships/hyperlink" Target="https://www.immoscout24.ch/fr/maison/louer/lieu-attalens" TargetMode="External"/><Relationship Id="rId2464" Type="http://schemas.openxmlformats.org/officeDocument/2006/relationships/hyperlink" Target="https://www.immoscout24.ch/fr/maison/louer/lieu-val-d-illiez" TargetMode="External"/><Relationship Id="rId3794" Type="http://schemas.openxmlformats.org/officeDocument/2006/relationships/hyperlink" Target="https://www.immoscout24.ch/fr/maison/louer/lieu-les-bois" TargetMode="External"/><Relationship Id="rId1134" Type="http://schemas.openxmlformats.org/officeDocument/2006/relationships/hyperlink" Target="https://www.immoscout24.ch/fr/maison/louer/lieu-attalens" TargetMode="External"/><Relationship Id="rId2465" Type="http://schemas.openxmlformats.org/officeDocument/2006/relationships/hyperlink" Target="https://www.immoscout24.ch/fr/appartement/louer/lieu-arnex-sur-nyon" TargetMode="External"/><Relationship Id="rId3797" Type="http://schemas.openxmlformats.org/officeDocument/2006/relationships/hyperlink" Target="https://www.immoscout24.ch/fr/appartement/acheter/region-singine-sarine-lac" TargetMode="External"/><Relationship Id="rId1135" Type="http://schemas.openxmlformats.org/officeDocument/2006/relationships/hyperlink" Target="https://www.immoscout24.ch/fr/appartement/louer/lieu-sevaz" TargetMode="External"/><Relationship Id="rId2466" Type="http://schemas.openxmlformats.org/officeDocument/2006/relationships/hyperlink" Target="https://www.immoscout24.ch/fr/appartement/louer/lieu-arnex-sur-nyon" TargetMode="External"/><Relationship Id="rId3796" Type="http://schemas.openxmlformats.org/officeDocument/2006/relationships/hyperlink" Target="https://www.immoscout24.ch/fr/appartement/acheter/quartier-mousquines-bellevue-lausanne" TargetMode="External"/><Relationship Id="rId1125" Type="http://schemas.openxmlformats.org/officeDocument/2006/relationships/hyperlink" Target="https://www.immoscout24.ch/fr/appartement/acheter/lieu-bogis-bossey" TargetMode="External"/><Relationship Id="rId2456" Type="http://schemas.openxmlformats.org/officeDocument/2006/relationships/hyperlink" Target="https://www.immoscout24.ch/fr/maison/acheter/lieu-rennaz" TargetMode="External"/><Relationship Id="rId3788" Type="http://schemas.openxmlformats.org/officeDocument/2006/relationships/hyperlink" Target="https://www.immoscout24.ch/fr/appartement/louer/lieu-schwarzsee" TargetMode="External"/><Relationship Id="rId1126" Type="http://schemas.openxmlformats.org/officeDocument/2006/relationships/hyperlink" Target="https://www.immoscout24.ch/fr/appartement/acheter/lieu-bogis-bossey" TargetMode="External"/><Relationship Id="rId2457" Type="http://schemas.openxmlformats.org/officeDocument/2006/relationships/hyperlink" Target="https://www.immoscout24.ch/fr/maison/louer/quartier-bourg-fribourg" TargetMode="External"/><Relationship Id="rId3787" Type="http://schemas.openxmlformats.org/officeDocument/2006/relationships/hyperlink" Target="https://www.immoscout24.ch/fr/appartement/louer/lieu-schwarzsee" TargetMode="External"/><Relationship Id="rId1127" Type="http://schemas.openxmlformats.org/officeDocument/2006/relationships/hyperlink" Target="https://www.immoscout24.ch/fr/maison/acheter/lieu-strada" TargetMode="External"/><Relationship Id="rId2458" Type="http://schemas.openxmlformats.org/officeDocument/2006/relationships/hyperlink" Target="https://www.immoscout24.ch/fr/maison/louer/quartier-bourg-fribourg" TargetMode="External"/><Relationship Id="rId1128" Type="http://schemas.openxmlformats.org/officeDocument/2006/relationships/hyperlink" Target="https://www.immoscout24.ch/fr/maison/acheter/lieu-strada" TargetMode="External"/><Relationship Id="rId2459" Type="http://schemas.openxmlformats.org/officeDocument/2006/relationships/hyperlink" Target="https://www.immoscout24.ch/fr/appartement/acheter/lieu-lausanne" TargetMode="External"/><Relationship Id="rId3789" Type="http://schemas.openxmlformats.org/officeDocument/2006/relationships/hyperlink" Target="https://www.immoscout24.ch/fr/appartement/louer/lieu-schwanden-im-emmental" TargetMode="External"/><Relationship Id="rId1129" Type="http://schemas.openxmlformats.org/officeDocument/2006/relationships/hyperlink" Target="https://www.immoscout24.ch/fr/appartement/louer/lieu-denens" TargetMode="External"/><Relationship Id="rId3780" Type="http://schemas.openxmlformats.org/officeDocument/2006/relationships/hyperlink" Target="https://www.immoscout24.ch/fr/maison/acheter/lieu-wetzikon-zh" TargetMode="External"/><Relationship Id="rId2450" Type="http://schemas.openxmlformats.org/officeDocument/2006/relationships/hyperlink" Target="https://www.immoscout24.ch/fr/appartement/acheter/quartier-chaumont-neuchatel" TargetMode="External"/><Relationship Id="rId3782" Type="http://schemas.openxmlformats.org/officeDocument/2006/relationships/hyperlink" Target="https://www.immoscout24.ch/fr/maison/acheter/lieu-meiringen" TargetMode="External"/><Relationship Id="rId1120" Type="http://schemas.openxmlformats.org/officeDocument/2006/relationships/hyperlink" Target="https://www.immoscout24.ch/fr/maison/acheter/lieu-les-diablerets" TargetMode="External"/><Relationship Id="rId2451" Type="http://schemas.openxmlformats.org/officeDocument/2006/relationships/hyperlink" Target="https://www.immoscout24.ch/fr/appartement/louer/lieu-dottikon" TargetMode="External"/><Relationship Id="rId3781" Type="http://schemas.openxmlformats.org/officeDocument/2006/relationships/hyperlink" Target="https://www.immoscout24.ch/fr/maison/acheter/lieu-meiringen" TargetMode="External"/><Relationship Id="rId1121" Type="http://schemas.openxmlformats.org/officeDocument/2006/relationships/hyperlink" Target="https://www.immoscout24.ch/fr/maison/acheter/lieu-buehler" TargetMode="External"/><Relationship Id="rId2452" Type="http://schemas.openxmlformats.org/officeDocument/2006/relationships/hyperlink" Target="https://www.immoscout24.ch/fr/appartement/louer/lieu-dottikon" TargetMode="External"/><Relationship Id="rId3784" Type="http://schemas.openxmlformats.org/officeDocument/2006/relationships/hyperlink" Target="https://www.immoscout24.ch/fr/maison/acheter/lieu-soglio" TargetMode="External"/><Relationship Id="rId1122" Type="http://schemas.openxmlformats.org/officeDocument/2006/relationships/hyperlink" Target="https://www.immoscout24.ch/fr/maison/acheter/lieu-buehler" TargetMode="External"/><Relationship Id="rId2453" Type="http://schemas.openxmlformats.org/officeDocument/2006/relationships/hyperlink" Target="https://www.immoscout24.ch/fr/maison/acheter/lieu-guemligen" TargetMode="External"/><Relationship Id="rId3783" Type="http://schemas.openxmlformats.org/officeDocument/2006/relationships/hyperlink" Target="https://www.immoscout24.ch/fr/maison/acheter/lieu-soglio" TargetMode="External"/><Relationship Id="rId1123" Type="http://schemas.openxmlformats.org/officeDocument/2006/relationships/hyperlink" Target="https://www.immoscout24.ch/fr/maison/acheter/lieu-piotta" TargetMode="External"/><Relationship Id="rId2454" Type="http://schemas.openxmlformats.org/officeDocument/2006/relationships/hyperlink" Target="https://www.immoscout24.ch/fr/maison/acheter/lieu-guemligen" TargetMode="External"/><Relationship Id="rId3786" Type="http://schemas.openxmlformats.org/officeDocument/2006/relationships/hyperlink" Target="https://www.immoscout24.ch/fr/appartement/acheter/lieu-mezieres-fr" TargetMode="External"/><Relationship Id="rId1124" Type="http://schemas.openxmlformats.org/officeDocument/2006/relationships/hyperlink" Target="https://www.immoscout24.ch/fr/maison/acheter/lieu-piotta" TargetMode="External"/><Relationship Id="rId2455" Type="http://schemas.openxmlformats.org/officeDocument/2006/relationships/hyperlink" Target="https://www.immoscout24.ch/fr/maison/acheter/lieu-rennaz" TargetMode="External"/><Relationship Id="rId3785" Type="http://schemas.openxmlformats.org/officeDocument/2006/relationships/hyperlink" Target="https://www.immoscout24.ch/fr/appartement/acheter/lieu-mezieres-fr" TargetMode="External"/><Relationship Id="rId1158" Type="http://schemas.openxmlformats.org/officeDocument/2006/relationships/hyperlink" Target="https://www.immoscout24.ch/fr/maison/acheter/lieu-bercher" TargetMode="External"/><Relationship Id="rId2489" Type="http://schemas.openxmlformats.org/officeDocument/2006/relationships/hyperlink" Target="https://www.immoscout24.ch/fr/maison/acheter/lieu-basse-nendaz" TargetMode="External"/><Relationship Id="rId1159" Type="http://schemas.openxmlformats.org/officeDocument/2006/relationships/hyperlink" Target="https://www.immoscout24.ch/fr/maison/louer/lieu-ecublens-vd" TargetMode="External"/><Relationship Id="rId2480" Type="http://schemas.openxmlformats.org/officeDocument/2006/relationships/hyperlink" Target="https://www.immoscout24.ch/fr/appartement/louer/lieu-muraz-collombey" TargetMode="External"/><Relationship Id="rId1150" Type="http://schemas.openxmlformats.org/officeDocument/2006/relationships/hyperlink" Target="https://www.immoscout24.ch/fr/maison/louer/quartier-beauregard-fribourg" TargetMode="External"/><Relationship Id="rId2481" Type="http://schemas.openxmlformats.org/officeDocument/2006/relationships/hyperlink" Target="https://www.immoscout24.ch/fr/maison/acheter/lieu-corticiasca" TargetMode="External"/><Relationship Id="rId1151" Type="http://schemas.openxmlformats.org/officeDocument/2006/relationships/hyperlink" Target="https://www.immoscout24.ch/fr/appartement/acheter/lieu-seiry" TargetMode="External"/><Relationship Id="rId2482" Type="http://schemas.openxmlformats.org/officeDocument/2006/relationships/hyperlink" Target="https://www.immoscout24.ch/fr/maison/acheter/lieu-corticiasca" TargetMode="External"/><Relationship Id="rId1152" Type="http://schemas.openxmlformats.org/officeDocument/2006/relationships/hyperlink" Target="https://www.immoscout24.ch/fr/appartement/acheter/lieu-seiry" TargetMode="External"/><Relationship Id="rId2483" Type="http://schemas.openxmlformats.org/officeDocument/2006/relationships/hyperlink" Target="https://www.immoscout24.ch/fr/maison/acheter/lieu-susch" TargetMode="External"/><Relationship Id="rId1153" Type="http://schemas.openxmlformats.org/officeDocument/2006/relationships/hyperlink" Target="https://www.immoscout24.ch/fr/appartement/louer/lieu-muerren" TargetMode="External"/><Relationship Id="rId2484" Type="http://schemas.openxmlformats.org/officeDocument/2006/relationships/hyperlink" Target="https://www.immoscout24.ch/fr/maison/acheter/lieu-susch" TargetMode="External"/><Relationship Id="rId1154" Type="http://schemas.openxmlformats.org/officeDocument/2006/relationships/hyperlink" Target="https://www.immoscout24.ch/fr/appartement/louer/lieu-muerren" TargetMode="External"/><Relationship Id="rId2485" Type="http://schemas.openxmlformats.org/officeDocument/2006/relationships/hyperlink" Target="https://www.immoscout24.ch/fr/maison/acheter/lieu-campione-d-italia" TargetMode="External"/><Relationship Id="rId1155" Type="http://schemas.openxmlformats.org/officeDocument/2006/relationships/hyperlink" Target="https://www.immoscout24.ch/fr/appartement/louer/lieu-fontaine-dessus-liddes" TargetMode="External"/><Relationship Id="rId2486" Type="http://schemas.openxmlformats.org/officeDocument/2006/relationships/hyperlink" Target="https://www.immoscout24.ch/fr/maison/acheter/lieu-campione-d-italia" TargetMode="External"/><Relationship Id="rId1156" Type="http://schemas.openxmlformats.org/officeDocument/2006/relationships/hyperlink" Target="https://www.immoscout24.ch/fr/appartement/louer/lieu-fontaine-dessus-liddes" TargetMode="External"/><Relationship Id="rId2487" Type="http://schemas.openxmlformats.org/officeDocument/2006/relationships/hyperlink" Target="https://www.immoscout24.ch/fr/appartement/acheter/lieu-noes" TargetMode="External"/><Relationship Id="rId1157" Type="http://schemas.openxmlformats.org/officeDocument/2006/relationships/hyperlink" Target="https://www.immoscout24.ch/fr/maison/acheter/lieu-bercher" TargetMode="External"/><Relationship Id="rId2488" Type="http://schemas.openxmlformats.org/officeDocument/2006/relationships/hyperlink" Target="https://www.immoscout24.ch/fr/appartement/acheter/lieu-noes" TargetMode="External"/><Relationship Id="rId1147" Type="http://schemas.openxmlformats.org/officeDocument/2006/relationships/hyperlink" Target="https://www.immoscout24.ch/fr/appartement/acheter/canton-jura" TargetMode="External"/><Relationship Id="rId2478" Type="http://schemas.openxmlformats.org/officeDocument/2006/relationships/hyperlink" Target="https://www.immoscout24.ch/fr/appartement/louer/lieu-buchs-sg" TargetMode="External"/><Relationship Id="rId1148" Type="http://schemas.openxmlformats.org/officeDocument/2006/relationships/hyperlink" Target="https://www.immoscout24.ch/fr/appartement/acheter/canton-jura" TargetMode="External"/><Relationship Id="rId2479" Type="http://schemas.openxmlformats.org/officeDocument/2006/relationships/hyperlink" Target="https://www.immoscout24.ch/fr/appartement/louer/lieu-muraz-collombey" TargetMode="External"/><Relationship Id="rId1149" Type="http://schemas.openxmlformats.org/officeDocument/2006/relationships/hyperlink" Target="https://www.immoscout24.ch/fr/maison/louer/quartier-beauregard-fribourg" TargetMode="External"/><Relationship Id="rId2470" Type="http://schemas.openxmlformats.org/officeDocument/2006/relationships/hyperlink" Target="https://www.immoscout24.ch/fr/appartement/louer/lieu-lovatens" TargetMode="External"/><Relationship Id="rId1140" Type="http://schemas.openxmlformats.org/officeDocument/2006/relationships/hyperlink" Target="https://www.immoscout24.ch/fr/appartement/acheter/lieu-buchrain" TargetMode="External"/><Relationship Id="rId2471" Type="http://schemas.openxmlformats.org/officeDocument/2006/relationships/hyperlink" Target="https://www.immoscout24.ch/fr/appartement/acheter/lieu-grimisuat" TargetMode="External"/><Relationship Id="rId1141" Type="http://schemas.openxmlformats.org/officeDocument/2006/relationships/hyperlink" Target="https://www.immoscout24.ch/fr/maison/louer/quartier-chailly-rovereaz-lausanne" TargetMode="External"/><Relationship Id="rId2472" Type="http://schemas.openxmlformats.org/officeDocument/2006/relationships/hyperlink" Target="https://www.immoscout24.ch/fr/appartement/acheter/lieu-grimisuat" TargetMode="External"/><Relationship Id="rId1142" Type="http://schemas.openxmlformats.org/officeDocument/2006/relationships/hyperlink" Target="https://www.immoscout24.ch/fr/maison/louer/quartier-chailly-rovereaz-lausanne" TargetMode="External"/><Relationship Id="rId2473" Type="http://schemas.openxmlformats.org/officeDocument/2006/relationships/hyperlink" Target="https://www.immoscout24.ch/fr/appartement/louer/quartier-sihlfeld-zurich" TargetMode="External"/><Relationship Id="rId1143" Type="http://schemas.openxmlformats.org/officeDocument/2006/relationships/hyperlink" Target="https://www.immoscout24.ch/fr/maison/louer/lieu-st-leonard" TargetMode="External"/><Relationship Id="rId2474" Type="http://schemas.openxmlformats.org/officeDocument/2006/relationships/hyperlink" Target="https://www.immoscout24.ch/fr/appartement/louer/quartier-sihlfeld-zurich" TargetMode="External"/><Relationship Id="rId1144" Type="http://schemas.openxmlformats.org/officeDocument/2006/relationships/hyperlink" Target="https://www.immoscout24.ch/fr/maison/louer/lieu-st-leonard" TargetMode="External"/><Relationship Id="rId2475" Type="http://schemas.openxmlformats.org/officeDocument/2006/relationships/hyperlink" Target="https://www.immoscout24.ch/fr/appartement/acheter/lieu-champex-lac" TargetMode="External"/><Relationship Id="rId1145" Type="http://schemas.openxmlformats.org/officeDocument/2006/relationships/hyperlink" Target="https://www.immoscout24.ch/fr/maison/louer/pays-france" TargetMode="External"/><Relationship Id="rId2476" Type="http://schemas.openxmlformats.org/officeDocument/2006/relationships/hyperlink" Target="https://www.immoscout24.ch/fr/appartement/acheter/lieu-champex-lac" TargetMode="External"/><Relationship Id="rId1146" Type="http://schemas.openxmlformats.org/officeDocument/2006/relationships/hyperlink" Target="https://www.immoscout24.ch/fr/maison/louer/pays-france" TargetMode="External"/><Relationship Id="rId2477" Type="http://schemas.openxmlformats.org/officeDocument/2006/relationships/hyperlink" Target="https://www.immoscout24.ch/fr/appartement/louer/lieu-buchs-sg" TargetMode="External"/><Relationship Id="rId3810" Type="http://schemas.openxmlformats.org/officeDocument/2006/relationships/hyperlink" Target="https://www.immoscout24.ch/fr/appartement/louer/lieu-coffrane" TargetMode="External"/><Relationship Id="rId3812" Type="http://schemas.openxmlformats.org/officeDocument/2006/relationships/hyperlink" Target="https://www.immoscout24.ch/fr/appartement/louer/lieu-cousset" TargetMode="External"/><Relationship Id="rId3811" Type="http://schemas.openxmlformats.org/officeDocument/2006/relationships/hyperlink" Target="https://www.immoscout24.ch/fr/appartement/louer/lieu-cousset" TargetMode="External"/><Relationship Id="rId3814" Type="http://schemas.openxmlformats.org/officeDocument/2006/relationships/hyperlink" Target="https://www.immoscout24.ch/fr/maison/acheter/lieu-meyriez" TargetMode="External"/><Relationship Id="rId3813" Type="http://schemas.openxmlformats.org/officeDocument/2006/relationships/hyperlink" Target="https://www.immoscout24.ch/fr/maison/acheter/lieu-meyriez" TargetMode="External"/><Relationship Id="rId3816" Type="http://schemas.openxmlformats.org/officeDocument/2006/relationships/hyperlink" Target="https://www.immoscout24.ch/fr/maison/acheter/lieu-flanthey" TargetMode="External"/><Relationship Id="rId3815" Type="http://schemas.openxmlformats.org/officeDocument/2006/relationships/hyperlink" Target="https://www.immoscout24.ch/fr/maison/acheter/lieu-flanthey" TargetMode="External"/><Relationship Id="rId3818" Type="http://schemas.openxmlformats.org/officeDocument/2006/relationships/hyperlink" Target="https://www.immoscout24.ch/fr/maison/louer/lieu-kilchberg-zh" TargetMode="External"/><Relationship Id="rId3817" Type="http://schemas.openxmlformats.org/officeDocument/2006/relationships/hyperlink" Target="https://www.immoscout24.ch/fr/maison/louer/lieu-kilchberg-zh" TargetMode="External"/><Relationship Id="rId3819" Type="http://schemas.openxmlformats.org/officeDocument/2006/relationships/hyperlink" Target="https://www.immoscout24.ch/fr/maison/acheter/canton-soleure" TargetMode="External"/><Relationship Id="rId3801" Type="http://schemas.openxmlformats.org/officeDocument/2006/relationships/hyperlink" Target="https://www.immoscout24.ch/fr/maison/acheter/lieu-canobbio" TargetMode="External"/><Relationship Id="rId3800" Type="http://schemas.openxmlformats.org/officeDocument/2006/relationships/hyperlink" Target="https://www.immoscout24.ch/fr/appartement/louer/quartier-rotes-quartier-berne" TargetMode="External"/><Relationship Id="rId3803" Type="http://schemas.openxmlformats.org/officeDocument/2006/relationships/hyperlink" Target="https://www.immoscout24.ch/fr/maison/acheter/lieu-ennetbaden" TargetMode="External"/><Relationship Id="rId3802" Type="http://schemas.openxmlformats.org/officeDocument/2006/relationships/hyperlink" Target="https://www.immoscout24.ch/fr/maison/acheter/lieu-canobbio" TargetMode="External"/><Relationship Id="rId3805" Type="http://schemas.openxmlformats.org/officeDocument/2006/relationships/hyperlink" Target="https://www.immoscout24.ch/fr/maison/louer/lieu-malleray" TargetMode="External"/><Relationship Id="rId3804" Type="http://schemas.openxmlformats.org/officeDocument/2006/relationships/hyperlink" Target="https://www.immoscout24.ch/fr/maison/acheter/lieu-ennetbaden" TargetMode="External"/><Relationship Id="rId3807" Type="http://schemas.openxmlformats.org/officeDocument/2006/relationships/hyperlink" Target="https://www.immoscout24.ch/fr/maison/louer/lieu-chabrey" TargetMode="External"/><Relationship Id="rId3806" Type="http://schemas.openxmlformats.org/officeDocument/2006/relationships/hyperlink" Target="https://www.immoscout24.ch/fr/maison/louer/lieu-malleray" TargetMode="External"/><Relationship Id="rId3809" Type="http://schemas.openxmlformats.org/officeDocument/2006/relationships/hyperlink" Target="https://www.immoscout24.ch/fr/appartement/louer/lieu-coffrane" TargetMode="External"/><Relationship Id="rId3808" Type="http://schemas.openxmlformats.org/officeDocument/2006/relationships/hyperlink" Target="https://www.immoscout24.ch/fr/maison/louer/lieu-chabrey" TargetMode="External"/><Relationship Id="rId1213" Type="http://schemas.openxmlformats.org/officeDocument/2006/relationships/hyperlink" Target="https://www.immoscout24.ch/fr/maison/acheter/lieu-ardon" TargetMode="External"/><Relationship Id="rId2544" Type="http://schemas.openxmlformats.org/officeDocument/2006/relationships/hyperlink" Target="https://www.immoscout24.ch/fr/appartement/louer/quartier-loreto-lugano" TargetMode="External"/><Relationship Id="rId3876" Type="http://schemas.openxmlformats.org/officeDocument/2006/relationships/hyperlink" Target="https://www.immoscout24.ch/fr/appartement/louer/lieu-grellingen" TargetMode="External"/><Relationship Id="rId1214" Type="http://schemas.openxmlformats.org/officeDocument/2006/relationships/hyperlink" Target="https://www.immoscout24.ch/fr/maison/acheter/lieu-ardon" TargetMode="External"/><Relationship Id="rId2545" Type="http://schemas.openxmlformats.org/officeDocument/2006/relationships/hyperlink" Target="https://www.immoscout24.ch/fr/appartement/louer/lieu-regensberg" TargetMode="External"/><Relationship Id="rId3875" Type="http://schemas.openxmlformats.org/officeDocument/2006/relationships/hyperlink" Target="https://www.immoscout24.ch/fr/appartement/louer/lieu-grellingen" TargetMode="External"/><Relationship Id="rId1215" Type="http://schemas.openxmlformats.org/officeDocument/2006/relationships/hyperlink" Target="https://www.immoscout24.ch/fr/appartement/acheter/lieu-kreuzlingen" TargetMode="External"/><Relationship Id="rId2546" Type="http://schemas.openxmlformats.org/officeDocument/2006/relationships/hyperlink" Target="https://www.immoscout24.ch/fr/appartement/louer/lieu-regensberg" TargetMode="External"/><Relationship Id="rId3878" Type="http://schemas.openxmlformats.org/officeDocument/2006/relationships/hyperlink" Target="https://www.immoscout24.ch/fr/maison/louer/lieu-nyon" TargetMode="External"/><Relationship Id="rId1216" Type="http://schemas.openxmlformats.org/officeDocument/2006/relationships/hyperlink" Target="https://www.immoscout24.ch/fr/appartement/acheter/lieu-kreuzlingen" TargetMode="External"/><Relationship Id="rId2547" Type="http://schemas.openxmlformats.org/officeDocument/2006/relationships/hyperlink" Target="https://www.immoscout24.ch/fr/appartement/louer/lieu-dully" TargetMode="External"/><Relationship Id="rId3877" Type="http://schemas.openxmlformats.org/officeDocument/2006/relationships/hyperlink" Target="https://www.immoscout24.ch/fr/maison/louer/lieu-nyon" TargetMode="External"/><Relationship Id="rId1217" Type="http://schemas.openxmlformats.org/officeDocument/2006/relationships/hyperlink" Target="https://www.immoscout24.ch/fr/maison/acheter/lieu-st-leonard" TargetMode="External"/><Relationship Id="rId2548" Type="http://schemas.openxmlformats.org/officeDocument/2006/relationships/hyperlink" Target="https://www.immoscout24.ch/fr/appartement/louer/lieu-dully" TargetMode="External"/><Relationship Id="rId1218" Type="http://schemas.openxmlformats.org/officeDocument/2006/relationships/hyperlink" Target="https://www.immoscout24.ch/fr/maison/acheter/lieu-st-leonard" TargetMode="External"/><Relationship Id="rId2549" Type="http://schemas.openxmlformats.org/officeDocument/2006/relationships/hyperlink" Target="https://www.immoscout24.ch/fr/maison/acheter/lieu-grueningen" TargetMode="External"/><Relationship Id="rId3879" Type="http://schemas.openxmlformats.org/officeDocument/2006/relationships/hyperlink" Target="https://www.immoscout24.ch/fr/appartement/acheter/lieu-silvaplana-surlej" TargetMode="External"/><Relationship Id="rId1219" Type="http://schemas.openxmlformats.org/officeDocument/2006/relationships/hyperlink" Target="https://www.immoscout24.ch/fr/maison/acheter/quartier-centre-ville-lausanne" TargetMode="External"/><Relationship Id="rId3870" Type="http://schemas.openxmlformats.org/officeDocument/2006/relationships/hyperlink" Target="https://www.immoscout24.ch/fr/maison/acheter/lieu-lenk-im-simmental" TargetMode="External"/><Relationship Id="rId2540" Type="http://schemas.openxmlformats.org/officeDocument/2006/relationships/hyperlink" Target="https://www.immoscout24.ch/fr/appartement/louer/quartier-maladiere-mail-neuchatel" TargetMode="External"/><Relationship Id="rId3872" Type="http://schemas.openxmlformats.org/officeDocument/2006/relationships/hyperlink" Target="https://www.immoscout24.ch/fr/appartement/louer/lieu-mittelhaeusern" TargetMode="External"/><Relationship Id="rId1210" Type="http://schemas.openxmlformats.org/officeDocument/2006/relationships/hyperlink" Target="https://www.immoscout24.ch/fr/maison/acheter/lieu-thierachern" TargetMode="External"/><Relationship Id="rId2541" Type="http://schemas.openxmlformats.org/officeDocument/2006/relationships/hyperlink" Target="https://www.immoscout24.ch/fr/maison/acheter/quartier-la-coudre-neuchatel" TargetMode="External"/><Relationship Id="rId3871" Type="http://schemas.openxmlformats.org/officeDocument/2006/relationships/hyperlink" Target="https://www.immoscout24.ch/fr/appartement/louer/lieu-mittelhaeusern" TargetMode="External"/><Relationship Id="rId1211" Type="http://schemas.openxmlformats.org/officeDocument/2006/relationships/hyperlink" Target="https://www.immoscout24.ch/fr/maison/acheter/lieu-tschiertschen" TargetMode="External"/><Relationship Id="rId2542" Type="http://schemas.openxmlformats.org/officeDocument/2006/relationships/hyperlink" Target="https://www.immoscout24.ch/fr/maison/acheter/quartier-la-coudre-neuchatel" TargetMode="External"/><Relationship Id="rId3874" Type="http://schemas.openxmlformats.org/officeDocument/2006/relationships/hyperlink" Target="https://www.immoscout24.ch/fr/maison/acheter/lieu-stetten-sh" TargetMode="External"/><Relationship Id="rId1212" Type="http://schemas.openxmlformats.org/officeDocument/2006/relationships/hyperlink" Target="https://www.immoscout24.ch/fr/maison/acheter/lieu-tschiertschen" TargetMode="External"/><Relationship Id="rId2543" Type="http://schemas.openxmlformats.org/officeDocument/2006/relationships/hyperlink" Target="https://www.immoscout24.ch/fr/appartement/louer/quartier-loreto-lugano" TargetMode="External"/><Relationship Id="rId3873" Type="http://schemas.openxmlformats.org/officeDocument/2006/relationships/hyperlink" Target="https://www.immoscout24.ch/fr/maison/acheter/lieu-stetten-sh" TargetMode="External"/><Relationship Id="rId1202" Type="http://schemas.openxmlformats.org/officeDocument/2006/relationships/hyperlink" Target="https://www.immoscout24.ch/fr/maison/louer/lieu-miege" TargetMode="External"/><Relationship Id="rId2533" Type="http://schemas.openxmlformats.org/officeDocument/2006/relationships/hyperlink" Target="https://www.immoscout24.ch/fr/maison/acheter/lieu-neerach" TargetMode="External"/><Relationship Id="rId3865" Type="http://schemas.openxmlformats.org/officeDocument/2006/relationships/hyperlink" Target="https://www.immoscout24.ch/fr/appartement/acheter/lieu-embrach" TargetMode="External"/><Relationship Id="rId1203" Type="http://schemas.openxmlformats.org/officeDocument/2006/relationships/hyperlink" Target="https://www.immoscout24.ch/fr/maison/acheter/lieu-vionnaz" TargetMode="External"/><Relationship Id="rId2534" Type="http://schemas.openxmlformats.org/officeDocument/2006/relationships/hyperlink" Target="https://www.immoscout24.ch/fr/maison/acheter/lieu-neerach" TargetMode="External"/><Relationship Id="rId3864" Type="http://schemas.openxmlformats.org/officeDocument/2006/relationships/hyperlink" Target="https://www.immoscout24.ch/fr/appartement/louer/lieu-finsterhennen" TargetMode="External"/><Relationship Id="rId1204" Type="http://schemas.openxmlformats.org/officeDocument/2006/relationships/hyperlink" Target="https://www.immoscout24.ch/fr/maison/acheter/lieu-vionnaz" TargetMode="External"/><Relationship Id="rId2535" Type="http://schemas.openxmlformats.org/officeDocument/2006/relationships/hyperlink" Target="https://www.immoscout24.ch/fr/appartement/louer/lieu-cheiry" TargetMode="External"/><Relationship Id="rId3867" Type="http://schemas.openxmlformats.org/officeDocument/2006/relationships/hyperlink" Target="https://www.immoscout24.ch/fr/appartement/acheter/lieu-chailly-montreux" TargetMode="External"/><Relationship Id="rId1205" Type="http://schemas.openxmlformats.org/officeDocument/2006/relationships/hyperlink" Target="https://www.immoscout24.ch/fr/maison/louer/lieu-forel-lavaux" TargetMode="External"/><Relationship Id="rId2536" Type="http://schemas.openxmlformats.org/officeDocument/2006/relationships/hyperlink" Target="https://www.immoscout24.ch/fr/appartement/louer/lieu-cheiry" TargetMode="External"/><Relationship Id="rId3866" Type="http://schemas.openxmlformats.org/officeDocument/2006/relationships/hyperlink" Target="https://www.immoscout24.ch/fr/appartement/acheter/lieu-embrach" TargetMode="External"/><Relationship Id="rId1206" Type="http://schemas.openxmlformats.org/officeDocument/2006/relationships/hyperlink" Target="https://www.immoscout24.ch/fr/maison/louer/lieu-forel-lavaux" TargetMode="External"/><Relationship Id="rId2537" Type="http://schemas.openxmlformats.org/officeDocument/2006/relationships/hyperlink" Target="https://www.immoscout24.ch/fr/appartement/louer/lieu-stans" TargetMode="External"/><Relationship Id="rId3869" Type="http://schemas.openxmlformats.org/officeDocument/2006/relationships/hyperlink" Target="https://www.immoscout24.ch/fr/maison/acheter/lieu-lenk-im-simmental" TargetMode="External"/><Relationship Id="rId1207" Type="http://schemas.openxmlformats.org/officeDocument/2006/relationships/hyperlink" Target="https://www.immoscout24.ch/fr/appartement/acheter/lieu-villa-evolene" TargetMode="External"/><Relationship Id="rId2538" Type="http://schemas.openxmlformats.org/officeDocument/2006/relationships/hyperlink" Target="https://www.immoscout24.ch/fr/appartement/louer/lieu-stans" TargetMode="External"/><Relationship Id="rId3868" Type="http://schemas.openxmlformats.org/officeDocument/2006/relationships/hyperlink" Target="https://www.immoscout24.ch/fr/appartement/acheter/lieu-chailly-montreux" TargetMode="External"/><Relationship Id="rId1208" Type="http://schemas.openxmlformats.org/officeDocument/2006/relationships/hyperlink" Target="https://www.immoscout24.ch/fr/appartement/acheter/lieu-villa-evolene" TargetMode="External"/><Relationship Id="rId2539" Type="http://schemas.openxmlformats.org/officeDocument/2006/relationships/hyperlink" Target="https://www.immoscout24.ch/fr/appartement/louer/quartier-maladiere-mail-neuchatel" TargetMode="External"/><Relationship Id="rId1209" Type="http://schemas.openxmlformats.org/officeDocument/2006/relationships/hyperlink" Target="https://www.immoscout24.ch/fr/maison/acheter/lieu-thierachern" TargetMode="External"/><Relationship Id="rId3861" Type="http://schemas.openxmlformats.org/officeDocument/2006/relationships/hyperlink" Target="https://www.immoscout24.ch/fr/appartement/louer/lieu-la-chaux-de-fonds" TargetMode="External"/><Relationship Id="rId2530" Type="http://schemas.openxmlformats.org/officeDocument/2006/relationships/hyperlink" Target="https://www.immoscout24.ch/fr/appartement/louer/region-sargans-et-environs" TargetMode="External"/><Relationship Id="rId3860" Type="http://schemas.openxmlformats.org/officeDocument/2006/relationships/hyperlink" Target="https://www.immoscout24.ch/fr/maison/acheter/lieu-corcelles-ne" TargetMode="External"/><Relationship Id="rId1200" Type="http://schemas.openxmlformats.org/officeDocument/2006/relationships/hyperlink" Target="https://www.immoscout24.ch/fr/maison/acheter/lieu-riehen" TargetMode="External"/><Relationship Id="rId2531" Type="http://schemas.openxmlformats.org/officeDocument/2006/relationships/hyperlink" Target="https://www.immoscout24.ch/fr/maison/acheter/lieu-paudex" TargetMode="External"/><Relationship Id="rId3863" Type="http://schemas.openxmlformats.org/officeDocument/2006/relationships/hyperlink" Target="https://www.immoscout24.ch/fr/appartement/louer/lieu-finsterhennen" TargetMode="External"/><Relationship Id="rId1201" Type="http://schemas.openxmlformats.org/officeDocument/2006/relationships/hyperlink" Target="https://www.immoscout24.ch/fr/maison/louer/lieu-miege" TargetMode="External"/><Relationship Id="rId2532" Type="http://schemas.openxmlformats.org/officeDocument/2006/relationships/hyperlink" Target="https://www.immoscout24.ch/fr/maison/acheter/lieu-paudex" TargetMode="External"/><Relationship Id="rId3862" Type="http://schemas.openxmlformats.org/officeDocument/2006/relationships/hyperlink" Target="https://www.immoscout24.ch/fr/appartement/louer/lieu-la-chaux-de-fonds" TargetMode="External"/><Relationship Id="rId1235" Type="http://schemas.openxmlformats.org/officeDocument/2006/relationships/hyperlink" Target="https://www.immoscout24.ch/fr/appartement/louer/lieu-pfeffingen" TargetMode="External"/><Relationship Id="rId2566" Type="http://schemas.openxmlformats.org/officeDocument/2006/relationships/hyperlink" Target="https://www.immoscout24.ch/fr/appartement/louer/lieu-cologny" TargetMode="External"/><Relationship Id="rId3898" Type="http://schemas.openxmlformats.org/officeDocument/2006/relationships/hyperlink" Target="https://www.immoscout24.ch/fr/maison/acheter/lieu-cheseaux-sur-lausanne" TargetMode="External"/><Relationship Id="rId1236" Type="http://schemas.openxmlformats.org/officeDocument/2006/relationships/hyperlink" Target="https://www.immoscout24.ch/fr/appartement/louer/lieu-pfeffingen" TargetMode="External"/><Relationship Id="rId2567" Type="http://schemas.openxmlformats.org/officeDocument/2006/relationships/hyperlink" Target="https://www.immoscout24.ch/fr/appartement/louer/lieu-siviriez" TargetMode="External"/><Relationship Id="rId3897" Type="http://schemas.openxmlformats.org/officeDocument/2006/relationships/hyperlink" Target="https://www.immoscout24.ch/fr/maison/acheter/lieu-cheseaux-sur-lausanne" TargetMode="External"/><Relationship Id="rId1237" Type="http://schemas.openxmlformats.org/officeDocument/2006/relationships/hyperlink" Target="https://www.immoscout24.ch/fr/maison/acheter/lieu-wildhaus" TargetMode="External"/><Relationship Id="rId2568" Type="http://schemas.openxmlformats.org/officeDocument/2006/relationships/hyperlink" Target="https://www.immoscout24.ch/fr/appartement/louer/lieu-siviriez" TargetMode="External"/><Relationship Id="rId1238" Type="http://schemas.openxmlformats.org/officeDocument/2006/relationships/hyperlink" Target="https://www.immoscout24.ch/fr/maison/acheter/lieu-wildhaus" TargetMode="External"/><Relationship Id="rId2569" Type="http://schemas.openxmlformats.org/officeDocument/2006/relationships/hyperlink" Target="https://www.immoscout24.ch/fr/appartement/acheter/lieu-galgenen" TargetMode="External"/><Relationship Id="rId3899" Type="http://schemas.openxmlformats.org/officeDocument/2006/relationships/hyperlink" Target="https://www.immoscout24.ch/fr/appartement/louer/lieu-les-bois" TargetMode="External"/><Relationship Id="rId1239" Type="http://schemas.openxmlformats.org/officeDocument/2006/relationships/hyperlink" Target="https://www.immoscout24.ch/fr/appartement/acheter/lieu-bruegg-be" TargetMode="External"/><Relationship Id="rId3890" Type="http://schemas.openxmlformats.org/officeDocument/2006/relationships/hyperlink" Target="https://www.immoscout24.ch/fr/maison/acheter/lieu-les-thioleyres" TargetMode="External"/><Relationship Id="rId2560" Type="http://schemas.openxmlformats.org/officeDocument/2006/relationships/hyperlink" Target="https://www.immoscout24.ch/fr/appartement/louer/lieu-nunningen" TargetMode="External"/><Relationship Id="rId3892" Type="http://schemas.openxmlformats.org/officeDocument/2006/relationships/hyperlink" Target="https://www.immoscout24.ch/fr/maison/acheter/lieu-zollikon" TargetMode="External"/><Relationship Id="rId1230" Type="http://schemas.openxmlformats.org/officeDocument/2006/relationships/hyperlink" Target="https://www.immoscout24.ch/fr/appartement/louer/lieu-echichens" TargetMode="External"/><Relationship Id="rId2561" Type="http://schemas.openxmlformats.org/officeDocument/2006/relationships/hyperlink" Target="https://www.immoscout24.ch/fr/appartement/louer/lieu-elsau" TargetMode="External"/><Relationship Id="rId3891" Type="http://schemas.openxmlformats.org/officeDocument/2006/relationships/hyperlink" Target="https://www.immoscout24.ch/fr/maison/acheter/lieu-zollikon" TargetMode="External"/><Relationship Id="rId1231" Type="http://schemas.openxmlformats.org/officeDocument/2006/relationships/hyperlink" Target="https://www.immoscout24.ch/fr/maison/louer/lieu-vex" TargetMode="External"/><Relationship Id="rId2562" Type="http://schemas.openxmlformats.org/officeDocument/2006/relationships/hyperlink" Target="https://www.immoscout24.ch/fr/appartement/louer/lieu-elsau" TargetMode="External"/><Relationship Id="rId3894" Type="http://schemas.openxmlformats.org/officeDocument/2006/relationships/hyperlink" Target="https://www.immoscout24.ch/fr/appartement/acheter/lieu-samstagern" TargetMode="External"/><Relationship Id="rId1232" Type="http://schemas.openxmlformats.org/officeDocument/2006/relationships/hyperlink" Target="https://www.immoscout24.ch/fr/maison/louer/lieu-vex" TargetMode="External"/><Relationship Id="rId2563" Type="http://schemas.openxmlformats.org/officeDocument/2006/relationships/hyperlink" Target="https://www.immoscout24.ch/fr/maison/louer/lieu-le-fuet" TargetMode="External"/><Relationship Id="rId3893" Type="http://schemas.openxmlformats.org/officeDocument/2006/relationships/hyperlink" Target="https://www.immoscout24.ch/fr/appartement/acheter/lieu-samstagern" TargetMode="External"/><Relationship Id="rId1233" Type="http://schemas.openxmlformats.org/officeDocument/2006/relationships/hyperlink" Target="https://www.immoscout24.ch/fr/appartement/louer/lieu-essertines-sur-yverdon" TargetMode="External"/><Relationship Id="rId2564" Type="http://schemas.openxmlformats.org/officeDocument/2006/relationships/hyperlink" Target="https://www.immoscout24.ch/fr/maison/louer/lieu-le-fuet" TargetMode="External"/><Relationship Id="rId3896" Type="http://schemas.openxmlformats.org/officeDocument/2006/relationships/hyperlink" Target="https://www.immoscout24.ch/fr/appartement/louer/lieu-marly" TargetMode="External"/><Relationship Id="rId1234" Type="http://schemas.openxmlformats.org/officeDocument/2006/relationships/hyperlink" Target="https://www.immoscout24.ch/fr/appartement/louer/lieu-essertines-sur-yverdon" TargetMode="External"/><Relationship Id="rId2565" Type="http://schemas.openxmlformats.org/officeDocument/2006/relationships/hyperlink" Target="https://www.immoscout24.ch/fr/appartement/louer/lieu-cologny" TargetMode="External"/><Relationship Id="rId3895" Type="http://schemas.openxmlformats.org/officeDocument/2006/relationships/hyperlink" Target="https://www.immoscout24.ch/fr/appartement/louer/lieu-marly" TargetMode="External"/><Relationship Id="rId1224" Type="http://schemas.openxmlformats.org/officeDocument/2006/relationships/hyperlink" Target="https://www.immoscout24.ch/fr/maison/louer/lieu-bex" TargetMode="External"/><Relationship Id="rId2555" Type="http://schemas.openxmlformats.org/officeDocument/2006/relationships/hyperlink" Target="https://www.immoscout24.ch/fr/maison/acheter/lieu-brione-verzasca" TargetMode="External"/><Relationship Id="rId3887" Type="http://schemas.openxmlformats.org/officeDocument/2006/relationships/hyperlink" Target="https://www.immoscout24.ch/fr/appartement/acheter/lieu-sion" TargetMode="External"/><Relationship Id="rId1225" Type="http://schemas.openxmlformats.org/officeDocument/2006/relationships/hyperlink" Target="https://www.immoscout24.ch/fr/appartement/louer/lieu-les-rasses" TargetMode="External"/><Relationship Id="rId2556" Type="http://schemas.openxmlformats.org/officeDocument/2006/relationships/hyperlink" Target="https://www.immoscout24.ch/fr/maison/acheter/lieu-brione-verzasca" TargetMode="External"/><Relationship Id="rId3886" Type="http://schemas.openxmlformats.org/officeDocument/2006/relationships/hyperlink" Target="https://www.immoscout24.ch/fr/maison/acheter/lieu-maur" TargetMode="External"/><Relationship Id="rId1226" Type="http://schemas.openxmlformats.org/officeDocument/2006/relationships/hyperlink" Target="https://www.immoscout24.ch/fr/appartement/louer/lieu-les-rasses" TargetMode="External"/><Relationship Id="rId2557" Type="http://schemas.openxmlformats.org/officeDocument/2006/relationships/hyperlink" Target="https://www.immoscout24.ch/fr/maison/acheter/quartier-gasel-koeniz" TargetMode="External"/><Relationship Id="rId3889" Type="http://schemas.openxmlformats.org/officeDocument/2006/relationships/hyperlink" Target="https://www.immoscout24.ch/fr/maison/acheter/lieu-les-thioleyres" TargetMode="External"/><Relationship Id="rId1227" Type="http://schemas.openxmlformats.org/officeDocument/2006/relationships/hyperlink" Target="https://www.immoscout24.ch/fr/appartement/acheter/region-val-de-ruz" TargetMode="External"/><Relationship Id="rId2558" Type="http://schemas.openxmlformats.org/officeDocument/2006/relationships/hyperlink" Target="https://www.immoscout24.ch/fr/maison/acheter/quartier-gasel-koeniz" TargetMode="External"/><Relationship Id="rId3888" Type="http://schemas.openxmlformats.org/officeDocument/2006/relationships/hyperlink" Target="https://www.immoscout24.ch/fr/appartement/acheter/lieu-sion" TargetMode="External"/><Relationship Id="rId1228" Type="http://schemas.openxmlformats.org/officeDocument/2006/relationships/hyperlink" Target="https://www.immoscout24.ch/fr/appartement/acheter/region-val-de-ruz" TargetMode="External"/><Relationship Id="rId2559" Type="http://schemas.openxmlformats.org/officeDocument/2006/relationships/hyperlink" Target="https://www.immoscout24.ch/fr/appartement/louer/lieu-nunningen" TargetMode="External"/><Relationship Id="rId1229" Type="http://schemas.openxmlformats.org/officeDocument/2006/relationships/hyperlink" Target="https://www.immoscout24.ch/fr/appartement/louer/lieu-echichens" TargetMode="External"/><Relationship Id="rId3881" Type="http://schemas.openxmlformats.org/officeDocument/2006/relationships/hyperlink" Target="https://www.immoscout24.ch/fr/appartement/louer/lieu-grandvillard" TargetMode="External"/><Relationship Id="rId2550" Type="http://schemas.openxmlformats.org/officeDocument/2006/relationships/hyperlink" Target="https://www.immoscout24.ch/fr/maison/acheter/lieu-grueningen" TargetMode="External"/><Relationship Id="rId3880" Type="http://schemas.openxmlformats.org/officeDocument/2006/relationships/hyperlink" Target="https://www.immoscout24.ch/fr/appartement/acheter/lieu-silvaplana-surlej" TargetMode="External"/><Relationship Id="rId1220" Type="http://schemas.openxmlformats.org/officeDocument/2006/relationships/hyperlink" Target="https://www.immoscout24.ch/fr/maison/acheter/quartier-centre-ville-lausanne" TargetMode="External"/><Relationship Id="rId2551" Type="http://schemas.openxmlformats.org/officeDocument/2006/relationships/hyperlink" Target="https://www.immoscout24.ch/fr/appartement/acheter/lieu-corcelles-pres-payerne" TargetMode="External"/><Relationship Id="rId3883" Type="http://schemas.openxmlformats.org/officeDocument/2006/relationships/hyperlink" Target="https://www.immoscout24.ch/fr/appartement/acheter/quartier-loreto-lugano" TargetMode="External"/><Relationship Id="rId1221" Type="http://schemas.openxmlformats.org/officeDocument/2006/relationships/hyperlink" Target="https://www.immoscout24.ch/fr/appartement/louer/lieu-eichberg" TargetMode="External"/><Relationship Id="rId2552" Type="http://schemas.openxmlformats.org/officeDocument/2006/relationships/hyperlink" Target="https://www.immoscout24.ch/fr/appartement/acheter/lieu-corcelles-pres-payerne" TargetMode="External"/><Relationship Id="rId3882" Type="http://schemas.openxmlformats.org/officeDocument/2006/relationships/hyperlink" Target="https://www.immoscout24.ch/fr/appartement/louer/lieu-grandvillard" TargetMode="External"/><Relationship Id="rId1222" Type="http://schemas.openxmlformats.org/officeDocument/2006/relationships/hyperlink" Target="https://www.immoscout24.ch/fr/appartement/louer/lieu-eichberg" TargetMode="External"/><Relationship Id="rId2553" Type="http://schemas.openxmlformats.org/officeDocument/2006/relationships/hyperlink" Target="https://www.immoscout24.ch/fr/appartement/louer/lieu-triengen" TargetMode="External"/><Relationship Id="rId3885" Type="http://schemas.openxmlformats.org/officeDocument/2006/relationships/hyperlink" Target="https://www.immoscout24.ch/fr/maison/acheter/lieu-maur" TargetMode="External"/><Relationship Id="rId1223" Type="http://schemas.openxmlformats.org/officeDocument/2006/relationships/hyperlink" Target="https://www.immoscout24.ch/fr/maison/louer/lieu-bex" TargetMode="External"/><Relationship Id="rId2554" Type="http://schemas.openxmlformats.org/officeDocument/2006/relationships/hyperlink" Target="https://www.immoscout24.ch/fr/appartement/louer/lieu-triengen" TargetMode="External"/><Relationship Id="rId3884" Type="http://schemas.openxmlformats.org/officeDocument/2006/relationships/hyperlink" Target="https://www.immoscout24.ch/fr/appartement/acheter/quartier-loreto-lugano" TargetMode="External"/><Relationship Id="rId2500" Type="http://schemas.openxmlformats.org/officeDocument/2006/relationships/hyperlink" Target="https://www.immoscout24.ch/fr/maison/acheter/lieu-versoix" TargetMode="External"/><Relationship Id="rId3832" Type="http://schemas.openxmlformats.org/officeDocument/2006/relationships/hyperlink" Target="https://www.immoscout24.ch/fr/maison/acheter/lieu-lucelle" TargetMode="External"/><Relationship Id="rId2501" Type="http://schemas.openxmlformats.org/officeDocument/2006/relationships/hyperlink" Target="https://www.immoscout24.ch/fr/maison/acheter/lieu-boesingen" TargetMode="External"/><Relationship Id="rId3831" Type="http://schemas.openxmlformats.org/officeDocument/2006/relationships/hyperlink" Target="https://www.immoscout24.ch/fr/maison/acheter/lieu-lucelle" TargetMode="External"/><Relationship Id="rId2502" Type="http://schemas.openxmlformats.org/officeDocument/2006/relationships/hyperlink" Target="https://www.immoscout24.ch/fr/maison/acheter/lieu-boesingen" TargetMode="External"/><Relationship Id="rId3834" Type="http://schemas.openxmlformats.org/officeDocument/2006/relationships/hyperlink" Target="https://www.immoscout24.ch/fr/maison/acheter/lieu-les-marecottes" TargetMode="External"/><Relationship Id="rId2503" Type="http://schemas.openxmlformats.org/officeDocument/2006/relationships/hyperlink" Target="https://www.immoscout24.ch/fr/maison/acheter/lieu-corippo" TargetMode="External"/><Relationship Id="rId3833" Type="http://schemas.openxmlformats.org/officeDocument/2006/relationships/hyperlink" Target="https://www.immoscout24.ch/fr/maison/acheter/lieu-les-marecottes" TargetMode="External"/><Relationship Id="rId2504" Type="http://schemas.openxmlformats.org/officeDocument/2006/relationships/hyperlink" Target="https://www.immoscout24.ch/fr/maison/acheter/lieu-corippo" TargetMode="External"/><Relationship Id="rId3836" Type="http://schemas.openxmlformats.org/officeDocument/2006/relationships/hyperlink" Target="https://www.immoscout24.ch/fr/appartement/louer/quartier-secheron-prieure-geneve" TargetMode="External"/><Relationship Id="rId2505" Type="http://schemas.openxmlformats.org/officeDocument/2006/relationships/hyperlink" Target="https://www.immoscout24.ch/fr/appartement/louer/lieu-cottens-vd" TargetMode="External"/><Relationship Id="rId3835" Type="http://schemas.openxmlformats.org/officeDocument/2006/relationships/hyperlink" Target="https://www.immoscout24.ch/fr/appartement/louer/quartier-secheron-prieure-geneve" TargetMode="External"/><Relationship Id="rId2506" Type="http://schemas.openxmlformats.org/officeDocument/2006/relationships/hyperlink" Target="https://www.immoscout24.ch/fr/appartement/louer/lieu-cottens-vd" TargetMode="External"/><Relationship Id="rId3838" Type="http://schemas.openxmlformats.org/officeDocument/2006/relationships/hyperlink" Target="https://www.immoscout24.ch/fr/maison/acheter/lieu-attalens" TargetMode="External"/><Relationship Id="rId2507" Type="http://schemas.openxmlformats.org/officeDocument/2006/relationships/hyperlink" Target="https://www.immoscout24.ch/fr/appartement/louer/quartier-breite-bale" TargetMode="External"/><Relationship Id="rId3837" Type="http://schemas.openxmlformats.org/officeDocument/2006/relationships/hyperlink" Target="https://www.immoscout24.ch/fr/maison/acheter/lieu-attalens" TargetMode="External"/><Relationship Id="rId2508" Type="http://schemas.openxmlformats.org/officeDocument/2006/relationships/hyperlink" Target="https://www.immoscout24.ch/fr/appartement/louer/quartier-breite-bale" TargetMode="External"/><Relationship Id="rId2509" Type="http://schemas.openxmlformats.org/officeDocument/2006/relationships/hyperlink" Target="https://www.immoscout24.ch/fr/appartement/louer/lieu-buchrain" TargetMode="External"/><Relationship Id="rId3839" Type="http://schemas.openxmlformats.org/officeDocument/2006/relationships/hyperlink" Target="https://www.immoscout24.ch/fr/appartement/louer/lieu-morens-fr" TargetMode="External"/><Relationship Id="rId3830" Type="http://schemas.openxmlformats.org/officeDocument/2006/relationships/hyperlink" Target="https://www.immoscout24.ch/fr/appartement/louer/lieu-orselina" TargetMode="External"/><Relationship Id="rId3821" Type="http://schemas.openxmlformats.org/officeDocument/2006/relationships/hyperlink" Target="https://www.immoscout24.ch/fr/maison/acheter/pays-slovaquie" TargetMode="External"/><Relationship Id="rId3820" Type="http://schemas.openxmlformats.org/officeDocument/2006/relationships/hyperlink" Target="https://www.immoscout24.ch/fr/maison/acheter/canton-soleure" TargetMode="External"/><Relationship Id="rId3823" Type="http://schemas.openxmlformats.org/officeDocument/2006/relationships/hyperlink" Target="https://www.immoscout24.ch/fr/appartement/louer/lieu-st-barthelemy-vd" TargetMode="External"/><Relationship Id="rId3822" Type="http://schemas.openxmlformats.org/officeDocument/2006/relationships/hyperlink" Target="https://www.immoscout24.ch/fr/maison/acheter/pays-slovaquie" TargetMode="External"/><Relationship Id="rId3825" Type="http://schemas.openxmlformats.org/officeDocument/2006/relationships/hyperlink" Target="https://www.immoscout24.ch/fr/maison/louer/region-aarau-et-environs" TargetMode="External"/><Relationship Id="rId3824" Type="http://schemas.openxmlformats.org/officeDocument/2006/relationships/hyperlink" Target="https://www.immoscout24.ch/fr/appartement/louer/lieu-st-barthelemy-vd" TargetMode="External"/><Relationship Id="rId3827" Type="http://schemas.openxmlformats.org/officeDocument/2006/relationships/hyperlink" Target="https://www.immoscout24.ch/fr/appartement/louer/lieu-einsiedeln" TargetMode="External"/><Relationship Id="rId3826" Type="http://schemas.openxmlformats.org/officeDocument/2006/relationships/hyperlink" Target="https://www.immoscout24.ch/fr/maison/louer/region-aarau-et-environs" TargetMode="External"/><Relationship Id="rId3829" Type="http://schemas.openxmlformats.org/officeDocument/2006/relationships/hyperlink" Target="https://www.immoscout24.ch/fr/appartement/louer/lieu-orselina" TargetMode="External"/><Relationship Id="rId3828" Type="http://schemas.openxmlformats.org/officeDocument/2006/relationships/hyperlink" Target="https://www.immoscout24.ch/fr/appartement/louer/lieu-einsiedeln" TargetMode="External"/><Relationship Id="rId2522" Type="http://schemas.openxmlformats.org/officeDocument/2006/relationships/hyperlink" Target="https://www.immoscout24.ch/fr/appartement/acheter/lieu-riederalp" TargetMode="External"/><Relationship Id="rId3854" Type="http://schemas.openxmlformats.org/officeDocument/2006/relationships/hyperlink" Target="https://www.immoscout24.ch/fr/appartement/acheter/quartier-florissant-malagnou-geneve" TargetMode="External"/><Relationship Id="rId2523" Type="http://schemas.openxmlformats.org/officeDocument/2006/relationships/hyperlink" Target="https://www.immoscout24.ch/fr/appartement/louer/lieu-moleson-sur-gruyeres" TargetMode="External"/><Relationship Id="rId3853" Type="http://schemas.openxmlformats.org/officeDocument/2006/relationships/hyperlink" Target="https://www.immoscout24.ch/fr/appartement/acheter/quartier-florissant-malagnou-geneve" TargetMode="External"/><Relationship Id="rId2524" Type="http://schemas.openxmlformats.org/officeDocument/2006/relationships/hyperlink" Target="https://www.immoscout24.ch/fr/appartement/louer/lieu-moleson-sur-gruyeres" TargetMode="External"/><Relationship Id="rId3856" Type="http://schemas.openxmlformats.org/officeDocument/2006/relationships/hyperlink" Target="https://www.immoscout24.ch/fr/appartement/acheter/vevey" TargetMode="External"/><Relationship Id="rId2525" Type="http://schemas.openxmlformats.org/officeDocument/2006/relationships/hyperlink" Target="https://www.immoscout24.ch/fr/appartement/louer/lieu-fey-nendaz" TargetMode="External"/><Relationship Id="rId3855" Type="http://schemas.openxmlformats.org/officeDocument/2006/relationships/hyperlink" Target="https://www.immoscout24.ch/fr/appartement/acheter/vevey" TargetMode="External"/><Relationship Id="rId2526" Type="http://schemas.openxmlformats.org/officeDocument/2006/relationships/hyperlink" Target="https://www.immoscout24.ch/fr/appartement/louer/lieu-fey-nendaz" TargetMode="External"/><Relationship Id="rId3858" Type="http://schemas.openxmlformats.org/officeDocument/2006/relationships/hyperlink" Target="https://www.immoscout24.ch/fr/maison/acheter/lieu-guemmenen" TargetMode="External"/><Relationship Id="rId2527" Type="http://schemas.openxmlformats.org/officeDocument/2006/relationships/hyperlink" Target="https://www.immoscout24.ch/fr/appartement/louer/lieu-les-diablerets" TargetMode="External"/><Relationship Id="rId3857" Type="http://schemas.openxmlformats.org/officeDocument/2006/relationships/hyperlink" Target="https://www.immoscout24.ch/fr/maison/acheter/lieu-guemmenen" TargetMode="External"/><Relationship Id="rId2528" Type="http://schemas.openxmlformats.org/officeDocument/2006/relationships/hyperlink" Target="https://www.immoscout24.ch/fr/appartement/louer/lieu-les-diablerets" TargetMode="External"/><Relationship Id="rId2529" Type="http://schemas.openxmlformats.org/officeDocument/2006/relationships/hyperlink" Target="https://www.immoscout24.ch/fr/appartement/louer/region-sargans-et-environs" TargetMode="External"/><Relationship Id="rId3859" Type="http://schemas.openxmlformats.org/officeDocument/2006/relationships/hyperlink" Target="https://www.immoscout24.ch/fr/maison/acheter/lieu-corcelles-ne" TargetMode="External"/><Relationship Id="rId3850" Type="http://schemas.openxmlformats.org/officeDocument/2006/relationships/hyperlink" Target="https://www.immoscout24.ch/fr/maison/acheter/canton-geneve" TargetMode="External"/><Relationship Id="rId2520" Type="http://schemas.openxmlformats.org/officeDocument/2006/relationships/hyperlink" Target="https://www.immoscout24.ch/fr/appartement/acheter/lieu-adligenswil" TargetMode="External"/><Relationship Id="rId3852" Type="http://schemas.openxmlformats.org/officeDocument/2006/relationships/hyperlink" Target="https://www.immoscout24.ch/fr/appartement/acheter/lieu-wettingen" TargetMode="External"/><Relationship Id="rId2521" Type="http://schemas.openxmlformats.org/officeDocument/2006/relationships/hyperlink" Target="https://www.immoscout24.ch/fr/appartement/acheter/lieu-riederalp" TargetMode="External"/><Relationship Id="rId3851" Type="http://schemas.openxmlformats.org/officeDocument/2006/relationships/hyperlink" Target="https://www.immoscout24.ch/fr/appartement/acheter/lieu-wettingen" TargetMode="External"/><Relationship Id="rId2511" Type="http://schemas.openxmlformats.org/officeDocument/2006/relationships/hyperlink" Target="https://www.immoscout24.ch/fr/maison/acheter/lieu-courfaivre" TargetMode="External"/><Relationship Id="rId3843" Type="http://schemas.openxmlformats.org/officeDocument/2006/relationships/hyperlink" Target="https://www.immoscout24.ch/fr/maison/acheter/lieu-zollikofen" TargetMode="External"/><Relationship Id="rId2512" Type="http://schemas.openxmlformats.org/officeDocument/2006/relationships/hyperlink" Target="https://www.immoscout24.ch/fr/maison/acheter/lieu-courfaivre" TargetMode="External"/><Relationship Id="rId3842" Type="http://schemas.openxmlformats.org/officeDocument/2006/relationships/hyperlink" Target="https://www.immoscout24.ch/fr/maison/louer/lieu-chalais" TargetMode="External"/><Relationship Id="rId2513" Type="http://schemas.openxmlformats.org/officeDocument/2006/relationships/hyperlink" Target="https://www.immoscout24.ch/fr/maison/louer/lieu-petit-lancy" TargetMode="External"/><Relationship Id="rId3845" Type="http://schemas.openxmlformats.org/officeDocument/2006/relationships/hyperlink" Target="https://www.immoscout24.ch/fr/appartement/acheter/lieu-sils-segl-maria" TargetMode="External"/><Relationship Id="rId2514" Type="http://schemas.openxmlformats.org/officeDocument/2006/relationships/hyperlink" Target="https://www.immoscout24.ch/fr/maison/louer/lieu-petit-lancy" TargetMode="External"/><Relationship Id="rId3844" Type="http://schemas.openxmlformats.org/officeDocument/2006/relationships/hyperlink" Target="https://www.immoscout24.ch/fr/maison/acheter/lieu-zollikofen" TargetMode="External"/><Relationship Id="rId2515" Type="http://schemas.openxmlformats.org/officeDocument/2006/relationships/hyperlink" Target="https://www.immoscout24.ch/fr/appartement/louer/lieu-chene-bourg" TargetMode="External"/><Relationship Id="rId3847" Type="http://schemas.openxmlformats.org/officeDocument/2006/relationships/hyperlink" Target="https://www.immoscout24.ch/fr/appartement/acheter/quartier-centre-ville-lausanne" TargetMode="External"/><Relationship Id="rId2516" Type="http://schemas.openxmlformats.org/officeDocument/2006/relationships/hyperlink" Target="https://www.immoscout24.ch/fr/appartement/louer/lieu-chene-bourg" TargetMode="External"/><Relationship Id="rId3846" Type="http://schemas.openxmlformats.org/officeDocument/2006/relationships/hyperlink" Target="https://www.immoscout24.ch/fr/appartement/acheter/lieu-sils-segl-maria" TargetMode="External"/><Relationship Id="rId2517" Type="http://schemas.openxmlformats.org/officeDocument/2006/relationships/hyperlink" Target="https://www.immoscout24.ch/fr/appartement/acheter/lieu-renan-be" TargetMode="External"/><Relationship Id="rId3849" Type="http://schemas.openxmlformats.org/officeDocument/2006/relationships/hyperlink" Target="https://www.immoscout24.ch/fr/maison/acheter/canton-geneve" TargetMode="External"/><Relationship Id="rId2518" Type="http://schemas.openxmlformats.org/officeDocument/2006/relationships/hyperlink" Target="https://www.immoscout24.ch/fr/appartement/acheter/lieu-renan-be" TargetMode="External"/><Relationship Id="rId3848" Type="http://schemas.openxmlformats.org/officeDocument/2006/relationships/hyperlink" Target="https://www.immoscout24.ch/fr/appartement/acheter/quartier-centre-ville-lausanne" TargetMode="External"/><Relationship Id="rId2519" Type="http://schemas.openxmlformats.org/officeDocument/2006/relationships/hyperlink" Target="https://www.immoscout24.ch/fr/appartement/acheter/lieu-adligenswil" TargetMode="External"/><Relationship Id="rId3841" Type="http://schemas.openxmlformats.org/officeDocument/2006/relationships/hyperlink" Target="https://www.immoscout24.ch/fr/maison/louer/lieu-chalais" TargetMode="External"/><Relationship Id="rId2510" Type="http://schemas.openxmlformats.org/officeDocument/2006/relationships/hyperlink" Target="https://www.immoscout24.ch/fr/appartement/louer/lieu-buchrain" TargetMode="External"/><Relationship Id="rId3840" Type="http://schemas.openxmlformats.org/officeDocument/2006/relationships/hyperlink" Target="https://www.immoscout24.ch/fr/appartement/louer/lieu-morens-fr" TargetMode="External"/><Relationship Id="rId1290" Type="http://schemas.openxmlformats.org/officeDocument/2006/relationships/hyperlink" Target="https://www.immoscout24.ch/fr/appartement/louer/lieu-eclepens" TargetMode="External"/><Relationship Id="rId1291" Type="http://schemas.openxmlformats.org/officeDocument/2006/relationships/hyperlink" Target="https://www.immoscout24.ch/fr/appartement/acheter/lieu-villeret" TargetMode="External"/><Relationship Id="rId1292" Type="http://schemas.openxmlformats.org/officeDocument/2006/relationships/hyperlink" Target="https://www.immoscout24.ch/fr/appartement/acheter/lieu-villeret" TargetMode="External"/><Relationship Id="rId1293" Type="http://schemas.openxmlformats.org/officeDocument/2006/relationships/hyperlink" Target="https://www.immoscout24.ch/fr/appartement/acheter/lieu-coffrane" TargetMode="External"/><Relationship Id="rId1294" Type="http://schemas.openxmlformats.org/officeDocument/2006/relationships/hyperlink" Target="https://www.immoscout24.ch/fr/appartement/acheter/lieu-coffrane" TargetMode="External"/><Relationship Id="rId1295" Type="http://schemas.openxmlformats.org/officeDocument/2006/relationships/hyperlink" Target="https://www.immoscout24.ch/fr/appartement/louer/lieu-troistorrents" TargetMode="External"/><Relationship Id="rId1296" Type="http://schemas.openxmlformats.org/officeDocument/2006/relationships/hyperlink" Target="https://www.immoscout24.ch/fr/appartement/louer/lieu-troistorrents" TargetMode="External"/><Relationship Id="rId1297" Type="http://schemas.openxmlformats.org/officeDocument/2006/relationships/hyperlink" Target="https://www.immoscout24.ch/fr/appartement/louer/lieu-uetliberg" TargetMode="External"/><Relationship Id="rId1298" Type="http://schemas.openxmlformats.org/officeDocument/2006/relationships/hyperlink" Target="https://www.immoscout24.ch/fr/appartement/louer/lieu-uetliberg" TargetMode="External"/><Relationship Id="rId1299" Type="http://schemas.openxmlformats.org/officeDocument/2006/relationships/hyperlink" Target="https://www.immoscout24.ch/fr/maison/acheter/lieu-les-ponts-de-martel" TargetMode="External"/><Relationship Id="rId1280" Type="http://schemas.openxmlformats.org/officeDocument/2006/relationships/hyperlink" Target="https://www.immoscout24.ch/fr/maison/acheter/region-campagne-gros-de-vaud" TargetMode="External"/><Relationship Id="rId1281" Type="http://schemas.openxmlformats.org/officeDocument/2006/relationships/hyperlink" Target="https://www.immoscout24.ch/fr/appartement/acheter/quartier-beaulieu-grey-boisy-lausanne" TargetMode="External"/><Relationship Id="rId1282" Type="http://schemas.openxmlformats.org/officeDocument/2006/relationships/hyperlink" Target="https://www.immoscout24.ch/fr/appartement/acheter/quartier-beaulieu-grey-boisy-lausanne" TargetMode="External"/><Relationship Id="rId1283" Type="http://schemas.openxmlformats.org/officeDocument/2006/relationships/hyperlink" Target="https://www.immoscout24.ch/fr/maison/acheter/quartier-nouvelle-ville-sud-biel-bienne" TargetMode="External"/><Relationship Id="rId1284" Type="http://schemas.openxmlformats.org/officeDocument/2006/relationships/hyperlink" Target="https://www.immoscout24.ch/fr/maison/acheter/quartier-nouvelle-ville-sud-biel-bienne" TargetMode="External"/><Relationship Id="rId1285" Type="http://schemas.openxmlformats.org/officeDocument/2006/relationships/hyperlink" Target="https://www.immoscout24.ch/fr/appartement/louer/lieu-la-roche-fr" TargetMode="External"/><Relationship Id="rId1286" Type="http://schemas.openxmlformats.org/officeDocument/2006/relationships/hyperlink" Target="https://www.immoscout24.ch/fr/appartement/louer/lieu-la-roche-fr" TargetMode="External"/><Relationship Id="rId1287" Type="http://schemas.openxmlformats.org/officeDocument/2006/relationships/hyperlink" Target="https://www.immoscout24.ch/fr/appartement/louer/lieu-waedenswil" TargetMode="External"/><Relationship Id="rId1288" Type="http://schemas.openxmlformats.org/officeDocument/2006/relationships/hyperlink" Target="https://www.immoscout24.ch/fr/appartement/louer/lieu-waedenswil" TargetMode="External"/><Relationship Id="rId1289" Type="http://schemas.openxmlformats.org/officeDocument/2006/relationships/hyperlink" Target="https://www.immoscout24.ch/fr/appartement/louer/lieu-eclepens" TargetMode="External"/><Relationship Id="rId1257" Type="http://schemas.openxmlformats.org/officeDocument/2006/relationships/hyperlink" Target="https://www.immoscout24.ch/fr/appartement/acheter/quartier-batie-acacias-geneve" TargetMode="External"/><Relationship Id="rId2588" Type="http://schemas.openxmlformats.org/officeDocument/2006/relationships/hyperlink" Target="https://www.immoscout24.ch/fr/appartement/acheter/lieu-huttwil" TargetMode="External"/><Relationship Id="rId1258" Type="http://schemas.openxmlformats.org/officeDocument/2006/relationships/hyperlink" Target="https://www.immoscout24.ch/fr/appartement/acheter/quartier-batie-acacias-geneve" TargetMode="External"/><Relationship Id="rId2589" Type="http://schemas.openxmlformats.org/officeDocument/2006/relationships/hyperlink" Target="https://www.immoscout24.ch/fr/appartement/acheter/lieu-monnaz" TargetMode="External"/><Relationship Id="rId1259" Type="http://schemas.openxmlformats.org/officeDocument/2006/relationships/hyperlink" Target="https://www.immoscout24.ch/fr/appartement/louer/quartier-hard-zurich" TargetMode="External"/><Relationship Id="rId2580" Type="http://schemas.openxmlformats.org/officeDocument/2006/relationships/hyperlink" Target="https://www.immoscout24.ch/fr/maison/louer/lieu-cormondreche" TargetMode="External"/><Relationship Id="rId1250" Type="http://schemas.openxmlformats.org/officeDocument/2006/relationships/hyperlink" Target="https://www.immoscout24.ch/fr/appartement/acheter/lieu-bouveret" TargetMode="External"/><Relationship Id="rId2581" Type="http://schemas.openxmlformats.org/officeDocument/2006/relationships/hyperlink" Target="https://www.immoscout24.ch/fr/maison/louer/lieu-semione" TargetMode="External"/><Relationship Id="rId1251" Type="http://schemas.openxmlformats.org/officeDocument/2006/relationships/hyperlink" Target="https://www.immoscout24.ch/fr/appartement/louer/lieu-preles" TargetMode="External"/><Relationship Id="rId2582" Type="http://schemas.openxmlformats.org/officeDocument/2006/relationships/hyperlink" Target="https://www.immoscout24.ch/fr/maison/louer/lieu-semione" TargetMode="External"/><Relationship Id="rId1252" Type="http://schemas.openxmlformats.org/officeDocument/2006/relationships/hyperlink" Target="https://www.immoscout24.ch/fr/appartement/louer/lieu-preles" TargetMode="External"/><Relationship Id="rId2583" Type="http://schemas.openxmlformats.org/officeDocument/2006/relationships/hyperlink" Target="https://www.immoscout24.ch/fr/maison/acheter/lieu-mex-vs" TargetMode="External"/><Relationship Id="rId1253" Type="http://schemas.openxmlformats.org/officeDocument/2006/relationships/hyperlink" Target="https://www.immoscout24.ch/fr/maison/acheter/lieu-vuadens" TargetMode="External"/><Relationship Id="rId2584" Type="http://schemas.openxmlformats.org/officeDocument/2006/relationships/hyperlink" Target="https://www.immoscout24.ch/fr/maison/acheter/lieu-mex-vs" TargetMode="External"/><Relationship Id="rId1254" Type="http://schemas.openxmlformats.org/officeDocument/2006/relationships/hyperlink" Target="https://www.immoscout24.ch/fr/maison/acheter/lieu-vuadens" TargetMode="External"/><Relationship Id="rId2585" Type="http://schemas.openxmlformats.org/officeDocument/2006/relationships/hyperlink" Target="https://www.immoscout24.ch/fr/appartement/louer/lieu-courtion" TargetMode="External"/><Relationship Id="rId1255" Type="http://schemas.openxmlformats.org/officeDocument/2006/relationships/hyperlink" Target="https://www.immoscout24.ch/fr/appartement/louer/region-glarnerland" TargetMode="External"/><Relationship Id="rId2586" Type="http://schemas.openxmlformats.org/officeDocument/2006/relationships/hyperlink" Target="https://www.immoscout24.ch/fr/appartement/louer/lieu-courtion" TargetMode="External"/><Relationship Id="rId1256" Type="http://schemas.openxmlformats.org/officeDocument/2006/relationships/hyperlink" Target="https://www.immoscout24.ch/fr/appartement/louer/region-glarnerland" TargetMode="External"/><Relationship Id="rId2587" Type="http://schemas.openxmlformats.org/officeDocument/2006/relationships/hyperlink" Target="https://www.immoscout24.ch/fr/appartement/acheter/lieu-huttwil" TargetMode="External"/><Relationship Id="rId1246" Type="http://schemas.openxmlformats.org/officeDocument/2006/relationships/hyperlink" Target="https://www.immoscout24.ch/fr/appartement/louer/lieu-peney-le-jorat" TargetMode="External"/><Relationship Id="rId2577" Type="http://schemas.openxmlformats.org/officeDocument/2006/relationships/hyperlink" Target="https://www.immoscout24.ch/fr/appartement/louer/lieu-duggingen" TargetMode="External"/><Relationship Id="rId1247" Type="http://schemas.openxmlformats.org/officeDocument/2006/relationships/hyperlink" Target="https://www.immoscout24.ch/fr/appartement/louer/lieu-les-pres-d-orvin" TargetMode="External"/><Relationship Id="rId2578" Type="http://schemas.openxmlformats.org/officeDocument/2006/relationships/hyperlink" Target="https://www.immoscout24.ch/fr/appartement/louer/lieu-duggingen" TargetMode="External"/><Relationship Id="rId1248" Type="http://schemas.openxmlformats.org/officeDocument/2006/relationships/hyperlink" Target="https://www.immoscout24.ch/fr/appartement/louer/lieu-les-pres-d-orvin" TargetMode="External"/><Relationship Id="rId2579" Type="http://schemas.openxmlformats.org/officeDocument/2006/relationships/hyperlink" Target="https://www.immoscout24.ch/fr/maison/louer/lieu-cormondreche" TargetMode="External"/><Relationship Id="rId1249" Type="http://schemas.openxmlformats.org/officeDocument/2006/relationships/hyperlink" Target="https://www.immoscout24.ch/fr/appartement/acheter/lieu-bouveret" TargetMode="External"/><Relationship Id="rId2570" Type="http://schemas.openxmlformats.org/officeDocument/2006/relationships/hyperlink" Target="https://www.immoscout24.ch/fr/appartement/acheter/lieu-galgenen" TargetMode="External"/><Relationship Id="rId1240" Type="http://schemas.openxmlformats.org/officeDocument/2006/relationships/hyperlink" Target="https://www.immoscout24.ch/fr/appartement/acheter/lieu-bruegg-be" TargetMode="External"/><Relationship Id="rId2571" Type="http://schemas.openxmlformats.org/officeDocument/2006/relationships/hyperlink" Target="https://www.immoscout24.ch/fr/maison/acheter/lieu-orpund" TargetMode="External"/><Relationship Id="rId1241" Type="http://schemas.openxmlformats.org/officeDocument/2006/relationships/hyperlink" Target="https://www.immoscout24.ch/fr/appartement/louer/quartier-blumenau-winterthur" TargetMode="External"/><Relationship Id="rId2572" Type="http://schemas.openxmlformats.org/officeDocument/2006/relationships/hyperlink" Target="https://www.immoscout24.ch/fr/maison/acheter/lieu-orpund" TargetMode="External"/><Relationship Id="rId1242" Type="http://schemas.openxmlformats.org/officeDocument/2006/relationships/hyperlink" Target="https://www.immoscout24.ch/fr/appartement/louer/quartier-blumenau-winterthur" TargetMode="External"/><Relationship Id="rId2573" Type="http://schemas.openxmlformats.org/officeDocument/2006/relationships/hyperlink" Target="https://www.immoscout24.ch/fr/maison/louer/lieu-payerne" TargetMode="External"/><Relationship Id="rId1243" Type="http://schemas.openxmlformats.org/officeDocument/2006/relationships/hyperlink" Target="https://www.immoscout24.ch/fr/appartement/louer/lieu-enges" TargetMode="External"/><Relationship Id="rId2574" Type="http://schemas.openxmlformats.org/officeDocument/2006/relationships/hyperlink" Target="https://www.immoscout24.ch/fr/maison/louer/lieu-payerne" TargetMode="External"/><Relationship Id="rId1244" Type="http://schemas.openxmlformats.org/officeDocument/2006/relationships/hyperlink" Target="https://www.immoscout24.ch/fr/appartement/louer/lieu-enges" TargetMode="External"/><Relationship Id="rId2575" Type="http://schemas.openxmlformats.org/officeDocument/2006/relationships/hyperlink" Target="https://www.immoscout24.ch/fr/appartement/acheter/lieu-charmey-gruyere" TargetMode="External"/><Relationship Id="rId1245" Type="http://schemas.openxmlformats.org/officeDocument/2006/relationships/hyperlink" Target="https://www.immoscout24.ch/fr/appartement/louer/lieu-peney-le-jorat" TargetMode="External"/><Relationship Id="rId2576" Type="http://schemas.openxmlformats.org/officeDocument/2006/relationships/hyperlink" Target="https://www.immoscout24.ch/fr/appartement/acheter/lieu-charmey-gruyere" TargetMode="External"/><Relationship Id="rId1279" Type="http://schemas.openxmlformats.org/officeDocument/2006/relationships/hyperlink" Target="https://www.immoscout24.ch/fr/maison/acheter/region-campagne-gros-de-vaud" TargetMode="External"/><Relationship Id="rId1270" Type="http://schemas.openxmlformats.org/officeDocument/2006/relationships/hyperlink" Target="https://www.immoscout24.ch/fr/appartement/louer/lieu-chavannes-le-veyron" TargetMode="External"/><Relationship Id="rId1271" Type="http://schemas.openxmlformats.org/officeDocument/2006/relationships/hyperlink" Target="https://www.immoscout24.ch/fr/maison/acheter/lieu-lutry" TargetMode="External"/><Relationship Id="rId1272" Type="http://schemas.openxmlformats.org/officeDocument/2006/relationships/hyperlink" Target="https://www.immoscout24.ch/fr/maison/acheter/lieu-lutry" TargetMode="External"/><Relationship Id="rId1273" Type="http://schemas.openxmlformats.org/officeDocument/2006/relationships/hyperlink" Target="https://www.immoscout24.ch/fr/maison/acheter/lieu-les-pontins" TargetMode="External"/><Relationship Id="rId1274" Type="http://schemas.openxmlformats.org/officeDocument/2006/relationships/hyperlink" Target="https://www.immoscout24.ch/fr/maison/acheter/lieu-les-pontins" TargetMode="External"/><Relationship Id="rId1275" Type="http://schemas.openxmlformats.org/officeDocument/2006/relationships/hyperlink" Target="https://www.immoscout24.ch/fr/maison/acheter/lieu-soyhieres" TargetMode="External"/><Relationship Id="rId1276" Type="http://schemas.openxmlformats.org/officeDocument/2006/relationships/hyperlink" Target="https://www.immoscout24.ch/fr/maison/acheter/lieu-soyhieres" TargetMode="External"/><Relationship Id="rId1277" Type="http://schemas.openxmlformats.org/officeDocument/2006/relationships/hyperlink" Target="https://www.immoscout24.ch/fr/maison/acheter/region-linthebene-see" TargetMode="External"/><Relationship Id="rId1278" Type="http://schemas.openxmlformats.org/officeDocument/2006/relationships/hyperlink" Target="https://www.immoscout24.ch/fr/maison/acheter/region-linthebene-see" TargetMode="External"/><Relationship Id="rId1268" Type="http://schemas.openxmlformats.org/officeDocument/2006/relationships/hyperlink" Target="https://www.immoscout24.ch/fr/appartement/louer/lieu-eyholz" TargetMode="External"/><Relationship Id="rId2599" Type="http://schemas.openxmlformats.org/officeDocument/2006/relationships/hyperlink" Target="https://www.immoscout24.ch/fr/appartement/louer/lieu-goldach" TargetMode="External"/><Relationship Id="rId1269" Type="http://schemas.openxmlformats.org/officeDocument/2006/relationships/hyperlink" Target="https://www.immoscout24.ch/fr/appartement/louer/lieu-chavannes-le-veyron" TargetMode="External"/><Relationship Id="rId2590" Type="http://schemas.openxmlformats.org/officeDocument/2006/relationships/hyperlink" Target="https://www.immoscout24.ch/fr/appartement/acheter/lieu-monnaz" TargetMode="External"/><Relationship Id="rId1260" Type="http://schemas.openxmlformats.org/officeDocument/2006/relationships/hyperlink" Target="https://www.immoscout24.ch/fr/appartement/louer/quartier-hard-zurich" TargetMode="External"/><Relationship Id="rId2591" Type="http://schemas.openxmlformats.org/officeDocument/2006/relationships/hyperlink" Target="https://www.immoscout24.ch/fr/appartement/louer/secteur-kreis-1" TargetMode="External"/><Relationship Id="rId1261" Type="http://schemas.openxmlformats.org/officeDocument/2006/relationships/hyperlink" Target="https://www.immoscout24.ch/fr/maison/acheter/lieu-villette-lavaux" TargetMode="External"/><Relationship Id="rId2592" Type="http://schemas.openxmlformats.org/officeDocument/2006/relationships/hyperlink" Target="https://www.immoscout24.ch/fr/appartement/louer/secteur-kreis-1" TargetMode="External"/><Relationship Id="rId1262" Type="http://schemas.openxmlformats.org/officeDocument/2006/relationships/hyperlink" Target="https://www.immoscout24.ch/fr/maison/acheter/lieu-villette-lavaux" TargetMode="External"/><Relationship Id="rId2593" Type="http://schemas.openxmlformats.org/officeDocument/2006/relationships/hyperlink" Target="https://www.immoscout24.ch/fr/appartement/louer/lieu-mont-la-ville" TargetMode="External"/><Relationship Id="rId1263" Type="http://schemas.openxmlformats.org/officeDocument/2006/relationships/hyperlink" Target="https://www.immoscout24.ch/fr/maison/acheter/lieu-st-prex" TargetMode="External"/><Relationship Id="rId2594" Type="http://schemas.openxmlformats.org/officeDocument/2006/relationships/hyperlink" Target="https://www.immoscout24.ch/fr/appartement/louer/lieu-mont-la-ville" TargetMode="External"/><Relationship Id="rId1264" Type="http://schemas.openxmlformats.org/officeDocument/2006/relationships/hyperlink" Target="https://www.immoscout24.ch/fr/maison/acheter/lieu-st-prex" TargetMode="External"/><Relationship Id="rId2595" Type="http://schemas.openxmlformats.org/officeDocument/2006/relationships/hyperlink" Target="https://www.immoscout24.ch/fr/maison/louer/lieu-montcherand" TargetMode="External"/><Relationship Id="rId1265" Type="http://schemas.openxmlformats.org/officeDocument/2006/relationships/hyperlink" Target="https://www.immoscout24.ch/fr/appartement/acheter/lieu-flumserberg-tannenheim" TargetMode="External"/><Relationship Id="rId2596" Type="http://schemas.openxmlformats.org/officeDocument/2006/relationships/hyperlink" Target="https://www.immoscout24.ch/fr/maison/louer/lieu-montcherand" TargetMode="External"/><Relationship Id="rId1266" Type="http://schemas.openxmlformats.org/officeDocument/2006/relationships/hyperlink" Target="https://www.immoscout24.ch/fr/appartement/acheter/lieu-flumserberg-tannenheim" TargetMode="External"/><Relationship Id="rId2597" Type="http://schemas.openxmlformats.org/officeDocument/2006/relationships/hyperlink" Target="https://www.immoscout24.ch/fr/maison/acheter/lieu-albeuve" TargetMode="External"/><Relationship Id="rId1267" Type="http://schemas.openxmlformats.org/officeDocument/2006/relationships/hyperlink" Target="https://www.immoscout24.ch/fr/appartement/louer/lieu-eyholz" TargetMode="External"/><Relationship Id="rId2598" Type="http://schemas.openxmlformats.org/officeDocument/2006/relationships/hyperlink" Target="https://www.immoscout24.ch/fr/maison/acheter/lieu-albeuve" TargetMode="External"/><Relationship Id="rId3070" Type="http://schemas.openxmlformats.org/officeDocument/2006/relationships/hyperlink" Target="https://www.immoscout24.ch/fr/appartement/louer/lieu-gunzgen" TargetMode="External"/><Relationship Id="rId3072" Type="http://schemas.openxmlformats.org/officeDocument/2006/relationships/hyperlink" Target="https://www.immoscout24.ch/fr/appartement/louer/lieu-giffers" TargetMode="External"/><Relationship Id="rId3071" Type="http://schemas.openxmlformats.org/officeDocument/2006/relationships/hyperlink" Target="https://www.immoscout24.ch/fr/appartement/louer/lieu-giffers" TargetMode="External"/><Relationship Id="rId3074" Type="http://schemas.openxmlformats.org/officeDocument/2006/relationships/hyperlink" Target="https://www.immoscout24.ch/fr/maison/acheter/lieu-broc" TargetMode="External"/><Relationship Id="rId3073" Type="http://schemas.openxmlformats.org/officeDocument/2006/relationships/hyperlink" Target="https://www.immoscout24.ch/fr/maison/acheter/lieu-broc" TargetMode="External"/><Relationship Id="rId3076" Type="http://schemas.openxmlformats.org/officeDocument/2006/relationships/hyperlink" Target="https://www.immoscout24.ch/fr/maison/louer/lieu-luzern" TargetMode="External"/><Relationship Id="rId3075" Type="http://schemas.openxmlformats.org/officeDocument/2006/relationships/hyperlink" Target="https://www.immoscout24.ch/fr/maison/louer/lieu-luzern" TargetMode="External"/><Relationship Id="rId3078" Type="http://schemas.openxmlformats.org/officeDocument/2006/relationships/hyperlink" Target="https://www.immoscout24.ch/fr/maison/acheter/lieu-hasle-b-burgdorf" TargetMode="External"/><Relationship Id="rId3077" Type="http://schemas.openxmlformats.org/officeDocument/2006/relationships/hyperlink" Target="https://www.immoscout24.ch/fr/maison/acheter/lieu-hasle-b-burgdorf" TargetMode="External"/><Relationship Id="rId3079" Type="http://schemas.openxmlformats.org/officeDocument/2006/relationships/hyperlink" Target="https://www.immoscout24.ch/fr/maison/acheter/lieu-bonnefontaine" TargetMode="External"/><Relationship Id="rId4390" Type="http://schemas.openxmlformats.org/officeDocument/2006/relationships/hyperlink" Target="https://www.immoscout24.ch/fr/appartement/louer/quartier-montoie-bourdonette-lausanne" TargetMode="External"/><Relationship Id="rId3061" Type="http://schemas.openxmlformats.org/officeDocument/2006/relationships/hyperlink" Target="https://www.immoscout24.ch/fr/maison/acheter/lieu-vuippens" TargetMode="External"/><Relationship Id="rId4392" Type="http://schemas.openxmlformats.org/officeDocument/2006/relationships/hyperlink" Target="https://www.immoscout24.ch/fr/appartement/louer/lieu-ferlens-vd" TargetMode="External"/><Relationship Id="rId3060" Type="http://schemas.openxmlformats.org/officeDocument/2006/relationships/hyperlink" Target="https://www.immoscout24.ch/fr/appartement/louer/lieu-strengelbach" TargetMode="External"/><Relationship Id="rId4391" Type="http://schemas.openxmlformats.org/officeDocument/2006/relationships/hyperlink" Target="https://www.immoscout24.ch/fr/appartement/louer/lieu-ferlens-vd" TargetMode="External"/><Relationship Id="rId3063" Type="http://schemas.openxmlformats.org/officeDocument/2006/relationships/hyperlink" Target="https://www.immoscout24.ch/fr/appartement/acheter/lieu-eiken" TargetMode="External"/><Relationship Id="rId4394" Type="http://schemas.openxmlformats.org/officeDocument/2006/relationships/hyperlink" Target="https://www.immoscout24.ch/fr/maison/acheter/lieu-gilly" TargetMode="External"/><Relationship Id="rId3062" Type="http://schemas.openxmlformats.org/officeDocument/2006/relationships/hyperlink" Target="https://www.immoscout24.ch/fr/maison/acheter/lieu-vuippens" TargetMode="External"/><Relationship Id="rId4393" Type="http://schemas.openxmlformats.org/officeDocument/2006/relationships/hyperlink" Target="https://www.immoscout24.ch/fr/maison/acheter/lieu-gilly" TargetMode="External"/><Relationship Id="rId3065" Type="http://schemas.openxmlformats.org/officeDocument/2006/relationships/hyperlink" Target="https://www.immoscout24.ch/fr/maison/acheter/lieu-colombier-vd" TargetMode="External"/><Relationship Id="rId4396" Type="http://schemas.openxmlformats.org/officeDocument/2006/relationships/hyperlink" Target="https://www.immoscout24.ch/fr/appartement/acheter/lieu-liestal" TargetMode="External"/><Relationship Id="rId3064" Type="http://schemas.openxmlformats.org/officeDocument/2006/relationships/hyperlink" Target="https://www.immoscout24.ch/fr/appartement/acheter/lieu-eiken" TargetMode="External"/><Relationship Id="rId4395" Type="http://schemas.openxmlformats.org/officeDocument/2006/relationships/hyperlink" Target="https://www.immoscout24.ch/fr/appartement/acheter/lieu-liestal" TargetMode="External"/><Relationship Id="rId3067" Type="http://schemas.openxmlformats.org/officeDocument/2006/relationships/hyperlink" Target="https://www.immoscout24.ch/fr/maison/louer/lieu-chavornay" TargetMode="External"/><Relationship Id="rId4398" Type="http://schemas.openxmlformats.org/officeDocument/2006/relationships/hyperlink" Target="https://www.immoscout24.ch/fr/maison/acheter/lieu-ecublens-vd" TargetMode="External"/><Relationship Id="rId3066" Type="http://schemas.openxmlformats.org/officeDocument/2006/relationships/hyperlink" Target="https://www.immoscout24.ch/fr/maison/acheter/lieu-colombier-vd" TargetMode="External"/><Relationship Id="rId4397" Type="http://schemas.openxmlformats.org/officeDocument/2006/relationships/hyperlink" Target="https://www.immoscout24.ch/fr/maison/acheter/lieu-ecublens-vd" TargetMode="External"/><Relationship Id="rId3069" Type="http://schemas.openxmlformats.org/officeDocument/2006/relationships/hyperlink" Target="https://www.immoscout24.ch/fr/appartement/louer/lieu-gunzgen" TargetMode="External"/><Relationship Id="rId3068" Type="http://schemas.openxmlformats.org/officeDocument/2006/relationships/hyperlink" Target="https://www.immoscout24.ch/fr/maison/louer/lieu-chavornay" TargetMode="External"/><Relationship Id="rId4399" Type="http://schemas.openxmlformats.org/officeDocument/2006/relationships/hyperlink" Target="https://www.immoscout24.ch/fr/maison/louer/quartier-sous-gare-ouchy-lausanne" TargetMode="External"/><Relationship Id="rId3090" Type="http://schemas.openxmlformats.org/officeDocument/2006/relationships/hyperlink" Target="https://www.immoscout24.ch/fr/appartement/louer/lieu-castagnola" TargetMode="External"/><Relationship Id="rId3092" Type="http://schemas.openxmlformats.org/officeDocument/2006/relationships/hyperlink" Target="https://www.immoscout24.ch/fr/appartement/louer/lieu-ermatingen" TargetMode="External"/><Relationship Id="rId3091" Type="http://schemas.openxmlformats.org/officeDocument/2006/relationships/hyperlink" Target="https://www.immoscout24.ch/fr/appartement/louer/lieu-ermatingen" TargetMode="External"/><Relationship Id="rId3094" Type="http://schemas.openxmlformats.org/officeDocument/2006/relationships/hyperlink" Target="https://www.immoscout24.ch/fr/appartement/louer/lieu-villarsiviriaux" TargetMode="External"/><Relationship Id="rId3093" Type="http://schemas.openxmlformats.org/officeDocument/2006/relationships/hyperlink" Target="https://www.immoscout24.ch/fr/appartement/louer/lieu-villarsiviriaux" TargetMode="External"/><Relationship Id="rId3096" Type="http://schemas.openxmlformats.org/officeDocument/2006/relationships/hyperlink" Target="https://www.immoscout24.ch/fr/appartement/louer/lieu-montevraz" TargetMode="External"/><Relationship Id="rId3095" Type="http://schemas.openxmlformats.org/officeDocument/2006/relationships/hyperlink" Target="https://www.immoscout24.ch/fr/appartement/louer/lieu-montevraz" TargetMode="External"/><Relationship Id="rId3098" Type="http://schemas.openxmlformats.org/officeDocument/2006/relationships/hyperlink" Target="https://www.immoscout24.ch/fr/appartement/louer/lieu-matzendorf" TargetMode="External"/><Relationship Id="rId3097" Type="http://schemas.openxmlformats.org/officeDocument/2006/relationships/hyperlink" Target="https://www.immoscout24.ch/fr/appartement/louer/lieu-matzendorf" TargetMode="External"/><Relationship Id="rId3099" Type="http://schemas.openxmlformats.org/officeDocument/2006/relationships/hyperlink" Target="https://www.immoscout24.ch/fr/maison/acheter/lieu-les-friques" TargetMode="External"/><Relationship Id="rId3081" Type="http://schemas.openxmlformats.org/officeDocument/2006/relationships/hyperlink" Target="https://www.immoscout24.ch/fr/appartement/louer/quartier-schwamendingen-mitte-zurich" TargetMode="External"/><Relationship Id="rId3080" Type="http://schemas.openxmlformats.org/officeDocument/2006/relationships/hyperlink" Target="https://www.immoscout24.ch/fr/maison/acheter/lieu-bonnefontaine" TargetMode="External"/><Relationship Id="rId3083" Type="http://schemas.openxmlformats.org/officeDocument/2006/relationships/hyperlink" Target="https://www.immoscout24.ch/fr/maison/acheter/lieu-brunnen" TargetMode="External"/><Relationship Id="rId3082" Type="http://schemas.openxmlformats.org/officeDocument/2006/relationships/hyperlink" Target="https://www.immoscout24.ch/fr/appartement/louer/quartier-schwamendingen-mitte-zurich" TargetMode="External"/><Relationship Id="rId3085" Type="http://schemas.openxmlformats.org/officeDocument/2006/relationships/hyperlink" Target="https://www.immoscout24.ch/fr/appartement/acheter/lieu-glovelier" TargetMode="External"/><Relationship Id="rId3084" Type="http://schemas.openxmlformats.org/officeDocument/2006/relationships/hyperlink" Target="https://www.immoscout24.ch/fr/maison/acheter/lieu-brunnen" TargetMode="External"/><Relationship Id="rId3087" Type="http://schemas.openxmlformats.org/officeDocument/2006/relationships/hyperlink" Target="https://www.immoscout24.ch/fr/maison/acheter/lieu-le-sepey" TargetMode="External"/><Relationship Id="rId3086" Type="http://schemas.openxmlformats.org/officeDocument/2006/relationships/hyperlink" Target="https://www.immoscout24.ch/fr/appartement/acheter/lieu-glovelier" TargetMode="External"/><Relationship Id="rId3089" Type="http://schemas.openxmlformats.org/officeDocument/2006/relationships/hyperlink" Target="https://www.immoscout24.ch/fr/appartement/louer/lieu-castagnola" TargetMode="External"/><Relationship Id="rId3088" Type="http://schemas.openxmlformats.org/officeDocument/2006/relationships/hyperlink" Target="https://www.immoscout24.ch/fr/maison/acheter/lieu-le-sepey" TargetMode="External"/><Relationship Id="rId3039" Type="http://schemas.openxmlformats.org/officeDocument/2006/relationships/hyperlink" Target="https://www.immoscout24.ch/fr/maison/acheter/lieu-bussy-sur-moudon" TargetMode="External"/><Relationship Id="rId5691" Type="http://schemas.openxmlformats.org/officeDocument/2006/relationships/hyperlink" Target="https://www.immoscout24.ch/fr/maison/acheter/lieu-courtaman" TargetMode="External"/><Relationship Id="rId5692" Type="http://schemas.openxmlformats.org/officeDocument/2006/relationships/hyperlink" Target="https://www.immoscout24.ch/fr/maison/acheter/lieu-courtaman" TargetMode="External"/><Relationship Id="rId3030" Type="http://schemas.openxmlformats.org/officeDocument/2006/relationships/hyperlink" Target="https://www.immoscout24.ch/fr/appartement/louer/lieu-saules" TargetMode="External"/><Relationship Id="rId4361" Type="http://schemas.openxmlformats.org/officeDocument/2006/relationships/hyperlink" Target="https://www.immoscout24.ch/fr/appartement/louer/lieu-riveo" TargetMode="External"/><Relationship Id="rId4360" Type="http://schemas.openxmlformats.org/officeDocument/2006/relationships/hyperlink" Target="https://www.immoscout24.ch/fr/maison/acheter/lieu-treycovagnes" TargetMode="External"/><Relationship Id="rId5690" Type="http://schemas.openxmlformats.org/officeDocument/2006/relationships/hyperlink" Target="https://www.immoscout24.ch/fr/appartement/louer/lieu-givisiez" TargetMode="External"/><Relationship Id="rId3032" Type="http://schemas.openxmlformats.org/officeDocument/2006/relationships/hyperlink" Target="https://www.immoscout24.ch/fr/maison/louer/lieu-aarau" TargetMode="External"/><Relationship Id="rId4363" Type="http://schemas.openxmlformats.org/officeDocument/2006/relationships/hyperlink" Target="https://www.immoscout24.ch/fr/maison/acheter/lieu-sarreyer" TargetMode="External"/><Relationship Id="rId5695" Type="http://schemas.openxmlformats.org/officeDocument/2006/relationships/hyperlink" Target="https://www.immoscout24.ch/fr/appartement/acheter/lieu-court" TargetMode="External"/><Relationship Id="rId3031" Type="http://schemas.openxmlformats.org/officeDocument/2006/relationships/hyperlink" Target="https://www.immoscout24.ch/fr/maison/louer/lieu-aarau" TargetMode="External"/><Relationship Id="rId4362" Type="http://schemas.openxmlformats.org/officeDocument/2006/relationships/hyperlink" Target="https://www.immoscout24.ch/fr/appartement/louer/lieu-riveo" TargetMode="External"/><Relationship Id="rId5696" Type="http://schemas.openxmlformats.org/officeDocument/2006/relationships/hyperlink" Target="https://www.immoscout24.ch/fr/appartement/acheter/lieu-court" TargetMode="External"/><Relationship Id="rId3034" Type="http://schemas.openxmlformats.org/officeDocument/2006/relationships/hyperlink" Target="https://www.immoscout24.ch/fr/appartement/louer/lieu-gryon" TargetMode="External"/><Relationship Id="rId4365" Type="http://schemas.openxmlformats.org/officeDocument/2006/relationships/hyperlink" Target="https://www.immoscout24.ch/fr/maison/acheter/lieu-icogne" TargetMode="External"/><Relationship Id="rId5693" Type="http://schemas.openxmlformats.org/officeDocument/2006/relationships/hyperlink" Target="https://www.immoscout24.ch/fr/maison/acheter/lieu-comano" TargetMode="External"/><Relationship Id="rId3033" Type="http://schemas.openxmlformats.org/officeDocument/2006/relationships/hyperlink" Target="https://www.immoscout24.ch/fr/appartement/louer/lieu-gryon" TargetMode="External"/><Relationship Id="rId4364" Type="http://schemas.openxmlformats.org/officeDocument/2006/relationships/hyperlink" Target="https://www.immoscout24.ch/fr/maison/acheter/lieu-sarreyer" TargetMode="External"/><Relationship Id="rId5694" Type="http://schemas.openxmlformats.org/officeDocument/2006/relationships/hyperlink" Target="https://www.immoscout24.ch/fr/maison/acheter/lieu-comano" TargetMode="External"/><Relationship Id="rId3036" Type="http://schemas.openxmlformats.org/officeDocument/2006/relationships/hyperlink" Target="https://www.immoscout24.ch/fr/appartement/acheter/quartier-paquis-navigation-geneve" TargetMode="External"/><Relationship Id="rId4367" Type="http://schemas.openxmlformats.org/officeDocument/2006/relationships/hyperlink" Target="https://www.immoscout24.ch/fr/maison/acheter/lieu-wollerau" TargetMode="External"/><Relationship Id="rId5699" Type="http://schemas.openxmlformats.org/officeDocument/2006/relationships/hyperlink" Target="https://www.immoscout24.ch/fr/appartement/louer/lieu-prez-vers-siviriez" TargetMode="External"/><Relationship Id="rId3035" Type="http://schemas.openxmlformats.org/officeDocument/2006/relationships/hyperlink" Target="https://www.immoscout24.ch/fr/appartement/acheter/quartier-paquis-navigation-geneve" TargetMode="External"/><Relationship Id="rId4366" Type="http://schemas.openxmlformats.org/officeDocument/2006/relationships/hyperlink" Target="https://www.immoscout24.ch/fr/maison/acheter/lieu-icogne" TargetMode="External"/><Relationship Id="rId3038" Type="http://schemas.openxmlformats.org/officeDocument/2006/relationships/hyperlink" Target="https://www.immoscout24.ch/fr/maison/acheter/lieu-brot-dessous" TargetMode="External"/><Relationship Id="rId4369" Type="http://schemas.openxmlformats.org/officeDocument/2006/relationships/hyperlink" Target="https://www.immoscout24.ch/fr/maison/louer/lieu-echichens" TargetMode="External"/><Relationship Id="rId5697" Type="http://schemas.openxmlformats.org/officeDocument/2006/relationships/hyperlink" Target="https://www.immoscout24.ch/fr/appartement/louer/lieu-grandson" TargetMode="External"/><Relationship Id="rId3037" Type="http://schemas.openxmlformats.org/officeDocument/2006/relationships/hyperlink" Target="https://www.immoscout24.ch/fr/maison/acheter/lieu-brot-dessous" TargetMode="External"/><Relationship Id="rId4368" Type="http://schemas.openxmlformats.org/officeDocument/2006/relationships/hyperlink" Target="https://www.immoscout24.ch/fr/maison/acheter/lieu-wollerau" TargetMode="External"/><Relationship Id="rId5698" Type="http://schemas.openxmlformats.org/officeDocument/2006/relationships/hyperlink" Target="https://www.immoscout24.ch/fr/appartement/louer/lieu-grandson" TargetMode="External"/><Relationship Id="rId3029" Type="http://schemas.openxmlformats.org/officeDocument/2006/relationships/hyperlink" Target="https://www.immoscout24.ch/fr/appartement/louer/lieu-saules" TargetMode="External"/><Relationship Id="rId3028" Type="http://schemas.openxmlformats.org/officeDocument/2006/relationships/hyperlink" Target="https://www.immoscout24.ch/fr/appartement/louer/lieu-chandolin" TargetMode="External"/><Relationship Id="rId4359" Type="http://schemas.openxmlformats.org/officeDocument/2006/relationships/hyperlink" Target="https://www.immoscout24.ch/fr/maison/acheter/lieu-treycovagnes" TargetMode="External"/><Relationship Id="rId5680" Type="http://schemas.openxmlformats.org/officeDocument/2006/relationships/hyperlink" Target="https://www.immoscout24.ch/fr/maison/louer/lieu-binningen" TargetMode="External"/><Relationship Id="rId5681" Type="http://schemas.openxmlformats.org/officeDocument/2006/relationships/hyperlink" Target="https://www.immoscout24.ch/fr/maison/acheter/lieu-st-pierre-de-clages" TargetMode="External"/><Relationship Id="rId4350" Type="http://schemas.openxmlformats.org/officeDocument/2006/relationships/hyperlink" Target="https://www.immoscout24.ch/fr/appartement/louer/lieu-aldesago" TargetMode="External"/><Relationship Id="rId3021" Type="http://schemas.openxmlformats.org/officeDocument/2006/relationships/hyperlink" Target="https://www.immoscout24.ch/fr/appartement/louer/lieu-brissago" TargetMode="External"/><Relationship Id="rId4352" Type="http://schemas.openxmlformats.org/officeDocument/2006/relationships/hyperlink" Target="https://www.immoscout24.ch/fr/appartement/louer/lieu-turbach" TargetMode="External"/><Relationship Id="rId5684" Type="http://schemas.openxmlformats.org/officeDocument/2006/relationships/hyperlink" Target="https://www.immoscout24.ch/fr/appartement/acheter/lieu-cressier-ne" TargetMode="External"/><Relationship Id="rId3020" Type="http://schemas.openxmlformats.org/officeDocument/2006/relationships/hyperlink" Target="https://www.immoscout24.ch/fr/appartement/louer/lieu-rossemaison" TargetMode="External"/><Relationship Id="rId4351" Type="http://schemas.openxmlformats.org/officeDocument/2006/relationships/hyperlink" Target="https://www.immoscout24.ch/fr/appartement/louer/lieu-turbach" TargetMode="External"/><Relationship Id="rId5685" Type="http://schemas.openxmlformats.org/officeDocument/2006/relationships/hyperlink" Target="https://www.immoscout24.ch/fr/appartement/louer/lieu-bueron" TargetMode="External"/><Relationship Id="rId3023" Type="http://schemas.openxmlformats.org/officeDocument/2006/relationships/hyperlink" Target="https://www.immoscout24.ch/fr/appartement/acheter/lieu-moerigen" TargetMode="External"/><Relationship Id="rId4354" Type="http://schemas.openxmlformats.org/officeDocument/2006/relationships/hyperlink" Target="https://www.immoscout24.ch/fr/appartement/louer/lieu-grossaffoltern" TargetMode="External"/><Relationship Id="rId5682" Type="http://schemas.openxmlformats.org/officeDocument/2006/relationships/hyperlink" Target="https://www.immoscout24.ch/fr/maison/acheter/lieu-st-pierre-de-clages" TargetMode="External"/><Relationship Id="rId3022" Type="http://schemas.openxmlformats.org/officeDocument/2006/relationships/hyperlink" Target="https://www.immoscout24.ch/fr/appartement/louer/lieu-brissago" TargetMode="External"/><Relationship Id="rId4353" Type="http://schemas.openxmlformats.org/officeDocument/2006/relationships/hyperlink" Target="https://www.immoscout24.ch/fr/appartement/louer/lieu-grossaffoltern" TargetMode="External"/><Relationship Id="rId5683" Type="http://schemas.openxmlformats.org/officeDocument/2006/relationships/hyperlink" Target="https://www.immoscout24.ch/fr/appartement/acheter/lieu-cressier-ne" TargetMode="External"/><Relationship Id="rId3025" Type="http://schemas.openxmlformats.org/officeDocument/2006/relationships/hyperlink" Target="https://www.immoscout24.ch/fr/appartement/acheter/lieu-worb" TargetMode="External"/><Relationship Id="rId4356" Type="http://schemas.openxmlformats.org/officeDocument/2006/relationships/hyperlink" Target="https://www.immoscout24.ch/fr/maison/acheter/canton-nidwald" TargetMode="External"/><Relationship Id="rId5688" Type="http://schemas.openxmlformats.org/officeDocument/2006/relationships/hyperlink" Target="https://www.immoscout24.ch/fr/maison/acheter/lieu-muehleberg" TargetMode="External"/><Relationship Id="rId3024" Type="http://schemas.openxmlformats.org/officeDocument/2006/relationships/hyperlink" Target="https://www.immoscout24.ch/fr/appartement/acheter/lieu-moerigen" TargetMode="External"/><Relationship Id="rId4355" Type="http://schemas.openxmlformats.org/officeDocument/2006/relationships/hyperlink" Target="https://www.immoscout24.ch/fr/maison/acheter/canton-nidwald" TargetMode="External"/><Relationship Id="rId5689" Type="http://schemas.openxmlformats.org/officeDocument/2006/relationships/hyperlink" Target="https://www.immoscout24.ch/fr/appartement/louer/lieu-givisiez" TargetMode="External"/><Relationship Id="rId3027" Type="http://schemas.openxmlformats.org/officeDocument/2006/relationships/hyperlink" Target="https://www.immoscout24.ch/fr/appartement/louer/lieu-chandolin" TargetMode="External"/><Relationship Id="rId4358" Type="http://schemas.openxmlformats.org/officeDocument/2006/relationships/hyperlink" Target="https://www.immoscout24.ch/fr/appartement/louer/quartier-bouchet-moillebeau-geneve" TargetMode="External"/><Relationship Id="rId5686" Type="http://schemas.openxmlformats.org/officeDocument/2006/relationships/hyperlink" Target="https://www.immoscout24.ch/fr/appartement/louer/lieu-bueron" TargetMode="External"/><Relationship Id="rId3026" Type="http://schemas.openxmlformats.org/officeDocument/2006/relationships/hyperlink" Target="https://www.immoscout24.ch/fr/appartement/acheter/lieu-worb" TargetMode="External"/><Relationship Id="rId4357" Type="http://schemas.openxmlformats.org/officeDocument/2006/relationships/hyperlink" Target="https://www.immoscout24.ch/fr/appartement/louer/quartier-bouchet-moillebeau-geneve" TargetMode="External"/><Relationship Id="rId5687" Type="http://schemas.openxmlformats.org/officeDocument/2006/relationships/hyperlink" Target="https://www.immoscout24.ch/fr/maison/acheter/lieu-muehleberg" TargetMode="External"/><Relationship Id="rId3050" Type="http://schemas.openxmlformats.org/officeDocument/2006/relationships/hyperlink" Target="https://www.immoscout24.ch/fr/appartement/acheter/lieu-chandolin" TargetMode="External"/><Relationship Id="rId4381" Type="http://schemas.openxmlformats.org/officeDocument/2006/relationships/hyperlink" Target="https://www.immoscout24.ch/fr/maison/acheter/quartier-liebefeld-koeniz" TargetMode="External"/><Relationship Id="rId4380" Type="http://schemas.openxmlformats.org/officeDocument/2006/relationships/hyperlink" Target="https://www.immoscout24.ch/fr/appartement/acheter/lieu-villarbeney" TargetMode="External"/><Relationship Id="rId3052" Type="http://schemas.openxmlformats.org/officeDocument/2006/relationships/hyperlink" Target="https://www.immoscout24.ch/fr/appartement/acheter/lieu-thayngen" TargetMode="External"/><Relationship Id="rId4383" Type="http://schemas.openxmlformats.org/officeDocument/2006/relationships/hyperlink" Target="https://www.immoscout24.ch/fr/appartement/louer/lieu-mezery-pres-donneloye" TargetMode="External"/><Relationship Id="rId3051" Type="http://schemas.openxmlformats.org/officeDocument/2006/relationships/hyperlink" Target="https://www.immoscout24.ch/fr/appartement/acheter/lieu-thayngen" TargetMode="External"/><Relationship Id="rId4382" Type="http://schemas.openxmlformats.org/officeDocument/2006/relationships/hyperlink" Target="https://www.immoscout24.ch/fr/maison/acheter/quartier-liebefeld-koeniz" TargetMode="External"/><Relationship Id="rId3054" Type="http://schemas.openxmlformats.org/officeDocument/2006/relationships/hyperlink" Target="https://www.immoscout24.ch/fr/appartement/acheter/canton-bale-campagne" TargetMode="External"/><Relationship Id="rId4385" Type="http://schemas.openxmlformats.org/officeDocument/2006/relationships/hyperlink" Target="https://www.immoscout24.ch/fr/appartement/louer/lieu-gurbrue" TargetMode="External"/><Relationship Id="rId3053" Type="http://schemas.openxmlformats.org/officeDocument/2006/relationships/hyperlink" Target="https://www.immoscout24.ch/fr/appartement/acheter/canton-bale-campagne" TargetMode="External"/><Relationship Id="rId4384" Type="http://schemas.openxmlformats.org/officeDocument/2006/relationships/hyperlink" Target="https://www.immoscout24.ch/fr/appartement/louer/lieu-mezery-pres-donneloye" TargetMode="External"/><Relationship Id="rId3056" Type="http://schemas.openxmlformats.org/officeDocument/2006/relationships/hyperlink" Target="https://www.immoscout24.ch/fr/appartement/louer/lieu-worben" TargetMode="External"/><Relationship Id="rId4387" Type="http://schemas.openxmlformats.org/officeDocument/2006/relationships/hyperlink" Target="https://www.immoscout24.ch/fr/maison/louer/lieu-fahy" TargetMode="External"/><Relationship Id="rId3055" Type="http://schemas.openxmlformats.org/officeDocument/2006/relationships/hyperlink" Target="https://www.immoscout24.ch/fr/appartement/louer/lieu-worben" TargetMode="External"/><Relationship Id="rId4386" Type="http://schemas.openxmlformats.org/officeDocument/2006/relationships/hyperlink" Target="https://www.immoscout24.ch/fr/appartement/louer/lieu-gurbrue" TargetMode="External"/><Relationship Id="rId3058" Type="http://schemas.openxmlformats.org/officeDocument/2006/relationships/hyperlink" Target="https://www.immoscout24.ch/fr/maison/acheter/lieu-roveredo-ti" TargetMode="External"/><Relationship Id="rId4389" Type="http://schemas.openxmlformats.org/officeDocument/2006/relationships/hyperlink" Target="https://www.immoscout24.ch/fr/appartement/louer/quartier-montoie-bourdonette-lausanne" TargetMode="External"/><Relationship Id="rId3057" Type="http://schemas.openxmlformats.org/officeDocument/2006/relationships/hyperlink" Target="https://www.immoscout24.ch/fr/maison/acheter/lieu-roveredo-ti" TargetMode="External"/><Relationship Id="rId4388" Type="http://schemas.openxmlformats.org/officeDocument/2006/relationships/hyperlink" Target="https://www.immoscout24.ch/fr/maison/louer/lieu-fahy" TargetMode="External"/><Relationship Id="rId3059" Type="http://schemas.openxmlformats.org/officeDocument/2006/relationships/hyperlink" Target="https://www.immoscout24.ch/fr/appartement/louer/lieu-strengelbach" TargetMode="External"/><Relationship Id="rId4370" Type="http://schemas.openxmlformats.org/officeDocument/2006/relationships/hyperlink" Target="https://www.immoscout24.ch/fr/maison/louer/lieu-echichens" TargetMode="External"/><Relationship Id="rId3041" Type="http://schemas.openxmlformats.org/officeDocument/2006/relationships/hyperlink" Target="https://www.immoscout24.ch/fr/maison/acheter/lieu-reverolle" TargetMode="External"/><Relationship Id="rId4372" Type="http://schemas.openxmlformats.org/officeDocument/2006/relationships/hyperlink" Target="https://www.immoscout24.ch/fr/appartement/louer/lieu-chezard-st-martin" TargetMode="External"/><Relationship Id="rId3040" Type="http://schemas.openxmlformats.org/officeDocument/2006/relationships/hyperlink" Target="https://www.immoscout24.ch/fr/maison/acheter/lieu-bussy-sur-moudon" TargetMode="External"/><Relationship Id="rId4371" Type="http://schemas.openxmlformats.org/officeDocument/2006/relationships/hyperlink" Target="https://www.immoscout24.ch/fr/appartement/louer/lieu-chezard-st-martin" TargetMode="External"/><Relationship Id="rId3043" Type="http://schemas.openxmlformats.org/officeDocument/2006/relationships/hyperlink" Target="https://www.immoscout24.ch/fr/maison/acheter/lieu-muentschemier" TargetMode="External"/><Relationship Id="rId4374" Type="http://schemas.openxmlformats.org/officeDocument/2006/relationships/hyperlink" Target="https://www.immoscout24.ch/fr/appartement/acheter/lieu-st-pierre-de-clages" TargetMode="External"/><Relationship Id="rId3042" Type="http://schemas.openxmlformats.org/officeDocument/2006/relationships/hyperlink" Target="https://www.immoscout24.ch/fr/maison/acheter/lieu-reverolle" TargetMode="External"/><Relationship Id="rId4373" Type="http://schemas.openxmlformats.org/officeDocument/2006/relationships/hyperlink" Target="https://www.immoscout24.ch/fr/appartement/acheter/lieu-st-pierre-de-clages" TargetMode="External"/><Relationship Id="rId3045" Type="http://schemas.openxmlformats.org/officeDocument/2006/relationships/hyperlink" Target="https://www.immoscout24.ch/fr/appartement/louer/lieu-bever" TargetMode="External"/><Relationship Id="rId4376" Type="http://schemas.openxmlformats.org/officeDocument/2006/relationships/hyperlink" Target="https://www.immoscout24.ch/fr/appartement/acheter/lieu-baar-nendaz" TargetMode="External"/><Relationship Id="rId3044" Type="http://schemas.openxmlformats.org/officeDocument/2006/relationships/hyperlink" Target="https://www.immoscout24.ch/fr/maison/acheter/lieu-muentschemier" TargetMode="External"/><Relationship Id="rId4375" Type="http://schemas.openxmlformats.org/officeDocument/2006/relationships/hyperlink" Target="https://www.immoscout24.ch/fr/appartement/acheter/lieu-baar-nendaz" TargetMode="External"/><Relationship Id="rId3047" Type="http://schemas.openxmlformats.org/officeDocument/2006/relationships/hyperlink" Target="https://www.immoscout24.ch/fr/appartement/acheter/lieu-promasens" TargetMode="External"/><Relationship Id="rId4378" Type="http://schemas.openxmlformats.org/officeDocument/2006/relationships/hyperlink" Target="https://www.immoscout24.ch/fr/maison/acheter/lieu-ernen" TargetMode="External"/><Relationship Id="rId3046" Type="http://schemas.openxmlformats.org/officeDocument/2006/relationships/hyperlink" Target="https://www.immoscout24.ch/fr/appartement/louer/lieu-bever" TargetMode="External"/><Relationship Id="rId4377" Type="http://schemas.openxmlformats.org/officeDocument/2006/relationships/hyperlink" Target="https://www.immoscout24.ch/fr/maison/acheter/lieu-ernen" TargetMode="External"/><Relationship Id="rId3049" Type="http://schemas.openxmlformats.org/officeDocument/2006/relationships/hyperlink" Target="https://www.immoscout24.ch/fr/appartement/acheter/lieu-chandolin" TargetMode="External"/><Relationship Id="rId3048" Type="http://schemas.openxmlformats.org/officeDocument/2006/relationships/hyperlink" Target="https://www.immoscout24.ch/fr/appartement/acheter/lieu-promasens" TargetMode="External"/><Relationship Id="rId4379" Type="http://schemas.openxmlformats.org/officeDocument/2006/relationships/hyperlink" Target="https://www.immoscout24.ch/fr/appartement/acheter/lieu-villarbeney" TargetMode="External"/><Relationship Id="rId5714" Type="http://schemas.openxmlformats.org/officeDocument/2006/relationships/hyperlink" Target="https://www.immoscout24.ch/fr/appartement/louer/lieu-charmoille" TargetMode="External"/><Relationship Id="rId5715" Type="http://schemas.openxmlformats.org/officeDocument/2006/relationships/hyperlink" Target="https://www.immoscout24.ch/fr/appartement/louer/lieu-arolla" TargetMode="External"/><Relationship Id="rId5712" Type="http://schemas.openxmlformats.org/officeDocument/2006/relationships/hyperlink" Target="https://www.immoscout24.ch/fr/appartement/louer/lieu-suscevaz" TargetMode="External"/><Relationship Id="rId5713" Type="http://schemas.openxmlformats.org/officeDocument/2006/relationships/hyperlink" Target="https://www.immoscout24.ch/fr/appartement/louer/lieu-charmoille" TargetMode="External"/><Relationship Id="rId5718" Type="http://schemas.openxmlformats.org/officeDocument/2006/relationships/hyperlink" Target="https://www.immoscout24.ch/fr/appartement/louer/lieu-ravoire" TargetMode="External"/><Relationship Id="rId5719" Type="http://schemas.openxmlformats.org/officeDocument/2006/relationships/hyperlink" Target="https://www.immoscout24.ch/fr/maison/acheter/lieu-combremont-le-petit" TargetMode="External"/><Relationship Id="rId5716" Type="http://schemas.openxmlformats.org/officeDocument/2006/relationships/hyperlink" Target="https://www.immoscout24.ch/fr/appartement/louer/lieu-arolla" TargetMode="External"/><Relationship Id="rId5717" Type="http://schemas.openxmlformats.org/officeDocument/2006/relationships/hyperlink" Target="https://www.immoscout24.ch/fr/appartement/louer/lieu-ravoire" TargetMode="External"/><Relationship Id="rId5710" Type="http://schemas.openxmlformats.org/officeDocument/2006/relationships/hyperlink" Target="https://www.immoscout24.ch/fr/appartement/louer/lieu-fiez" TargetMode="External"/><Relationship Id="rId5711" Type="http://schemas.openxmlformats.org/officeDocument/2006/relationships/hyperlink" Target="https://www.immoscout24.ch/fr/appartement/louer/lieu-suscevaz" TargetMode="External"/><Relationship Id="rId5703" Type="http://schemas.openxmlformats.org/officeDocument/2006/relationships/hyperlink" Target="https://www.immoscout24.ch/fr/maison/acheter/lieu-corseaux" TargetMode="External"/><Relationship Id="rId5704" Type="http://schemas.openxmlformats.org/officeDocument/2006/relationships/hyperlink" Target="https://www.immoscout24.ch/fr/maison/acheter/lieu-corseaux" TargetMode="External"/><Relationship Id="rId5701" Type="http://schemas.openxmlformats.org/officeDocument/2006/relationships/hyperlink" Target="https://www.immoscout24.ch/fr/maison/louer/lieu-widnau" TargetMode="External"/><Relationship Id="rId5702" Type="http://schemas.openxmlformats.org/officeDocument/2006/relationships/hyperlink" Target="https://www.immoscout24.ch/fr/maison/louer/lieu-widnau" TargetMode="External"/><Relationship Id="rId5707" Type="http://schemas.openxmlformats.org/officeDocument/2006/relationships/hyperlink" Target="https://www.immoscout24.ch/fr/appartement/louer/lieu-rebstein" TargetMode="External"/><Relationship Id="rId5708" Type="http://schemas.openxmlformats.org/officeDocument/2006/relationships/hyperlink" Target="https://www.immoscout24.ch/fr/appartement/louer/lieu-rebstein" TargetMode="External"/><Relationship Id="rId5705" Type="http://schemas.openxmlformats.org/officeDocument/2006/relationships/hyperlink" Target="https://www.immoscout24.ch/fr/maison/louer/lieu-froideville" TargetMode="External"/><Relationship Id="rId5706" Type="http://schemas.openxmlformats.org/officeDocument/2006/relationships/hyperlink" Target="https://www.immoscout24.ch/fr/maison/louer/lieu-froideville" TargetMode="External"/><Relationship Id="rId5709" Type="http://schemas.openxmlformats.org/officeDocument/2006/relationships/hyperlink" Target="https://www.immoscout24.ch/fr/appartement/louer/lieu-fiez" TargetMode="External"/><Relationship Id="rId5700" Type="http://schemas.openxmlformats.org/officeDocument/2006/relationships/hyperlink" Target="https://www.immoscout24.ch/fr/appartement/louer/lieu-prez-vers-siviriez" TargetMode="External"/><Relationship Id="rId3117" Type="http://schemas.openxmlformats.org/officeDocument/2006/relationships/hyperlink" Target="https://www.immoscout24.ch/fr/maison/louer/lieu-rue" TargetMode="External"/><Relationship Id="rId4448" Type="http://schemas.openxmlformats.org/officeDocument/2006/relationships/hyperlink" Target="https://www.immoscout24.ch/fr/appartement/louer/lieu-pully" TargetMode="External"/><Relationship Id="rId3116" Type="http://schemas.openxmlformats.org/officeDocument/2006/relationships/hyperlink" Target="https://www.immoscout24.ch/fr/maison/acheter/quartier-gryphenhuebeli-berne" TargetMode="External"/><Relationship Id="rId4447" Type="http://schemas.openxmlformats.org/officeDocument/2006/relationships/hyperlink" Target="https://www.immoscout24.ch/fr/appartement/louer/lieu-pully" TargetMode="External"/><Relationship Id="rId3119" Type="http://schemas.openxmlformats.org/officeDocument/2006/relationships/hyperlink" Target="https://www.immoscout24.ch/fr/maison/acheter/lieu-rothrist" TargetMode="External"/><Relationship Id="rId5778" Type="http://schemas.openxmlformats.org/officeDocument/2006/relationships/hyperlink" Target="https://www.immoscout24.ch/fr/appartement/louer/lieu-grandevent" TargetMode="External"/><Relationship Id="rId3118" Type="http://schemas.openxmlformats.org/officeDocument/2006/relationships/hyperlink" Target="https://www.immoscout24.ch/fr/maison/louer/lieu-rue" TargetMode="External"/><Relationship Id="rId4449" Type="http://schemas.openxmlformats.org/officeDocument/2006/relationships/hyperlink" Target="https://www.immoscout24.ch/fr/appartement/louer/lieu-kuettigen" TargetMode="External"/><Relationship Id="rId5779" Type="http://schemas.openxmlformats.org/officeDocument/2006/relationships/hyperlink" Target="https://www.immoscout24.ch/fr/maison/louer/lieu-meisterschwanden" TargetMode="External"/><Relationship Id="rId4440" Type="http://schemas.openxmlformats.org/officeDocument/2006/relationships/hyperlink" Target="https://www.immoscout24.ch/fr/maison/louer/lieu-saillon" TargetMode="External"/><Relationship Id="rId5772" Type="http://schemas.openxmlformats.org/officeDocument/2006/relationships/hyperlink" Target="https://www.immoscout24.ch/fr/appartement/acheter/region-lugano-e-dintorni" TargetMode="External"/><Relationship Id="rId5773" Type="http://schemas.openxmlformats.org/officeDocument/2006/relationships/hyperlink" Target="https://www.immoscout24.ch/fr/maison/acheter/lieu-gondo" TargetMode="External"/><Relationship Id="rId3111" Type="http://schemas.openxmlformats.org/officeDocument/2006/relationships/hyperlink" Target="https://www.immoscout24.ch/fr/appartement/louer/lieu-biere" TargetMode="External"/><Relationship Id="rId4442" Type="http://schemas.openxmlformats.org/officeDocument/2006/relationships/hyperlink" Target="https://www.immoscout24.ch/fr/maison/acheter/lieu-bonvillars" TargetMode="External"/><Relationship Id="rId5770" Type="http://schemas.openxmlformats.org/officeDocument/2006/relationships/hyperlink" Target="https://www.immoscout24.ch/fr/appartement/acheter/pays-namibie" TargetMode="External"/><Relationship Id="rId3110" Type="http://schemas.openxmlformats.org/officeDocument/2006/relationships/hyperlink" Target="https://www.immoscout24.ch/fr/maison/louer/lieu-la-tanne" TargetMode="External"/><Relationship Id="rId4441" Type="http://schemas.openxmlformats.org/officeDocument/2006/relationships/hyperlink" Target="https://www.immoscout24.ch/fr/maison/acheter/lieu-bonvillars" TargetMode="External"/><Relationship Id="rId5771" Type="http://schemas.openxmlformats.org/officeDocument/2006/relationships/hyperlink" Target="https://www.immoscout24.ch/fr/appartement/acheter/region-lugano-e-dintorni" TargetMode="External"/><Relationship Id="rId3113" Type="http://schemas.openxmlformats.org/officeDocument/2006/relationships/hyperlink" Target="https://www.immoscout24.ch/fr/appartement/acheter/lieu-bournens" TargetMode="External"/><Relationship Id="rId4444" Type="http://schemas.openxmlformats.org/officeDocument/2006/relationships/hyperlink" Target="https://www.immoscout24.ch/fr/appartement/louer/lieu-schliern-b-koeniz" TargetMode="External"/><Relationship Id="rId5776" Type="http://schemas.openxmlformats.org/officeDocument/2006/relationships/hyperlink" Target="https://www.immoscout24.ch/fr/maison/acheter/lieu-wolfwil" TargetMode="External"/><Relationship Id="rId3112" Type="http://schemas.openxmlformats.org/officeDocument/2006/relationships/hyperlink" Target="https://www.immoscout24.ch/fr/appartement/louer/lieu-biere" TargetMode="External"/><Relationship Id="rId4443" Type="http://schemas.openxmlformats.org/officeDocument/2006/relationships/hyperlink" Target="https://www.immoscout24.ch/fr/appartement/louer/lieu-schliern-b-koeniz" TargetMode="External"/><Relationship Id="rId5777" Type="http://schemas.openxmlformats.org/officeDocument/2006/relationships/hyperlink" Target="https://www.immoscout24.ch/fr/appartement/louer/lieu-grandevent" TargetMode="External"/><Relationship Id="rId3115" Type="http://schemas.openxmlformats.org/officeDocument/2006/relationships/hyperlink" Target="https://www.immoscout24.ch/fr/maison/acheter/quartier-gryphenhuebeli-berne" TargetMode="External"/><Relationship Id="rId4446" Type="http://schemas.openxmlformats.org/officeDocument/2006/relationships/hyperlink" Target="https://www.immoscout24.ch/fr/maison/acheter/lieu-oulens-sous-echallens" TargetMode="External"/><Relationship Id="rId5774" Type="http://schemas.openxmlformats.org/officeDocument/2006/relationships/hyperlink" Target="https://www.immoscout24.ch/fr/maison/acheter/lieu-gondo" TargetMode="External"/><Relationship Id="rId3114" Type="http://schemas.openxmlformats.org/officeDocument/2006/relationships/hyperlink" Target="https://www.immoscout24.ch/fr/appartement/acheter/lieu-bournens" TargetMode="External"/><Relationship Id="rId4445" Type="http://schemas.openxmlformats.org/officeDocument/2006/relationships/hyperlink" Target="https://www.immoscout24.ch/fr/maison/acheter/lieu-oulens-sous-echallens" TargetMode="External"/><Relationship Id="rId5775" Type="http://schemas.openxmlformats.org/officeDocument/2006/relationships/hyperlink" Target="https://www.immoscout24.ch/fr/maison/acheter/lieu-wolfwil" TargetMode="External"/><Relationship Id="rId3106" Type="http://schemas.openxmlformats.org/officeDocument/2006/relationships/hyperlink" Target="https://www.immoscout24.ch/fr/appartement/louer/lieu-moenchaltorf" TargetMode="External"/><Relationship Id="rId4437" Type="http://schemas.openxmlformats.org/officeDocument/2006/relationships/hyperlink" Target="https://www.immoscout24.ch/fr/maison/louer/lieu-wallenbuch" TargetMode="External"/><Relationship Id="rId5769" Type="http://schemas.openxmlformats.org/officeDocument/2006/relationships/hyperlink" Target="https://www.immoscout24.ch/fr/appartement/acheter/pays-namibie" TargetMode="External"/><Relationship Id="rId3105" Type="http://schemas.openxmlformats.org/officeDocument/2006/relationships/hyperlink" Target="https://www.immoscout24.ch/fr/appartement/louer/lieu-moenchaltorf" TargetMode="External"/><Relationship Id="rId4436" Type="http://schemas.openxmlformats.org/officeDocument/2006/relationships/hyperlink" Target="https://www.immoscout24.ch/fr/maison/louer/lieu-winterberg-zh" TargetMode="External"/><Relationship Id="rId3108" Type="http://schemas.openxmlformats.org/officeDocument/2006/relationships/hyperlink" Target="https://www.immoscout24.ch/fr/appartement/louer/lieu-gettnau" TargetMode="External"/><Relationship Id="rId4439" Type="http://schemas.openxmlformats.org/officeDocument/2006/relationships/hyperlink" Target="https://www.immoscout24.ch/fr/maison/louer/lieu-saillon" TargetMode="External"/><Relationship Id="rId5767" Type="http://schemas.openxmlformats.org/officeDocument/2006/relationships/hyperlink" Target="https://www.immoscout24.ch/fr/appartement/louer/lieu-chigny" TargetMode="External"/><Relationship Id="rId3107" Type="http://schemas.openxmlformats.org/officeDocument/2006/relationships/hyperlink" Target="https://www.immoscout24.ch/fr/appartement/louer/lieu-gettnau" TargetMode="External"/><Relationship Id="rId4438" Type="http://schemas.openxmlformats.org/officeDocument/2006/relationships/hyperlink" Target="https://www.immoscout24.ch/fr/maison/louer/lieu-wallenbuch" TargetMode="External"/><Relationship Id="rId5768" Type="http://schemas.openxmlformats.org/officeDocument/2006/relationships/hyperlink" Target="https://www.immoscout24.ch/fr/appartement/louer/lieu-chigny" TargetMode="External"/><Relationship Id="rId3109" Type="http://schemas.openxmlformats.org/officeDocument/2006/relationships/hyperlink" Target="https://www.immoscout24.ch/fr/maison/louer/lieu-la-tanne" TargetMode="External"/><Relationship Id="rId5761" Type="http://schemas.openxmlformats.org/officeDocument/2006/relationships/hyperlink" Target="https://www.immoscout24.ch/fr/appartement/louer/lieu-novalles" TargetMode="External"/><Relationship Id="rId5762" Type="http://schemas.openxmlformats.org/officeDocument/2006/relationships/hyperlink" Target="https://www.immoscout24.ch/fr/appartement/louer/lieu-novalles" TargetMode="External"/><Relationship Id="rId3100" Type="http://schemas.openxmlformats.org/officeDocument/2006/relationships/hyperlink" Target="https://www.immoscout24.ch/fr/maison/acheter/lieu-les-friques" TargetMode="External"/><Relationship Id="rId4431" Type="http://schemas.openxmlformats.org/officeDocument/2006/relationships/hyperlink" Target="https://www.immoscout24.ch/fr/appartement/louer/lieu-pery" TargetMode="External"/><Relationship Id="rId4430" Type="http://schemas.openxmlformats.org/officeDocument/2006/relationships/hyperlink" Target="https://www.immoscout24.ch/fr/appartement/acheter/lieu-cottens-fr" TargetMode="External"/><Relationship Id="rId5760" Type="http://schemas.openxmlformats.org/officeDocument/2006/relationships/hyperlink" Target="https://www.immoscout24.ch/fr/appartement/louer/lieu-bruson" TargetMode="External"/><Relationship Id="rId3102" Type="http://schemas.openxmlformats.org/officeDocument/2006/relationships/hyperlink" Target="https://www.immoscout24.ch/fr/maison/acheter/lieu-grangettes-pres-romon" TargetMode="External"/><Relationship Id="rId4433" Type="http://schemas.openxmlformats.org/officeDocument/2006/relationships/hyperlink" Target="https://www.immoscout24.ch/fr/appartement/louer/lieu-neuhausen-am-rheinfall" TargetMode="External"/><Relationship Id="rId5765" Type="http://schemas.openxmlformats.org/officeDocument/2006/relationships/hyperlink" Target="https://www.immoscout24.ch/fr/appartement/acheter/lieu-fleurier" TargetMode="External"/><Relationship Id="rId3101" Type="http://schemas.openxmlformats.org/officeDocument/2006/relationships/hyperlink" Target="https://www.immoscout24.ch/fr/maison/acheter/lieu-grangettes-pres-romon" TargetMode="External"/><Relationship Id="rId4432" Type="http://schemas.openxmlformats.org/officeDocument/2006/relationships/hyperlink" Target="https://www.immoscout24.ch/fr/appartement/louer/lieu-pery" TargetMode="External"/><Relationship Id="rId5766" Type="http://schemas.openxmlformats.org/officeDocument/2006/relationships/hyperlink" Target="https://www.immoscout24.ch/fr/appartement/acheter/lieu-fleurier" TargetMode="External"/><Relationship Id="rId3104" Type="http://schemas.openxmlformats.org/officeDocument/2006/relationships/hyperlink" Target="https://www.immoscout24.ch/fr/appartement/louer/quartier-boujean-biel-bienne" TargetMode="External"/><Relationship Id="rId4435" Type="http://schemas.openxmlformats.org/officeDocument/2006/relationships/hyperlink" Target="https://www.immoscout24.ch/fr/maison/louer/lieu-winterberg-zh" TargetMode="External"/><Relationship Id="rId5763" Type="http://schemas.openxmlformats.org/officeDocument/2006/relationships/hyperlink" Target="https://www.immoscout24.ch/fr/appartement/louer/lieu-bassins" TargetMode="External"/><Relationship Id="rId3103" Type="http://schemas.openxmlformats.org/officeDocument/2006/relationships/hyperlink" Target="https://www.immoscout24.ch/fr/appartement/louer/quartier-boujean-biel-bienne" TargetMode="External"/><Relationship Id="rId4434" Type="http://schemas.openxmlformats.org/officeDocument/2006/relationships/hyperlink" Target="https://www.immoscout24.ch/fr/appartement/louer/lieu-neuhausen-am-rheinfall" TargetMode="External"/><Relationship Id="rId5764" Type="http://schemas.openxmlformats.org/officeDocument/2006/relationships/hyperlink" Target="https://www.immoscout24.ch/fr/appartement/louer/lieu-bassins" TargetMode="External"/><Relationship Id="rId3139" Type="http://schemas.openxmlformats.org/officeDocument/2006/relationships/hyperlink" Target="https://www.immoscout24.ch/fr/appartement/acheter/lieu-chamoson" TargetMode="External"/><Relationship Id="rId3138" Type="http://schemas.openxmlformats.org/officeDocument/2006/relationships/hyperlink" Target="https://www.immoscout24.ch/fr/appartement/louer/lieu-cully" TargetMode="External"/><Relationship Id="rId4469" Type="http://schemas.openxmlformats.org/officeDocument/2006/relationships/hyperlink" Target="https://www.immoscout24.ch/fr/appartement/louer/lieu-tuescherz-alfermee" TargetMode="External"/><Relationship Id="rId5790" Type="http://schemas.openxmlformats.org/officeDocument/2006/relationships/hyperlink" Target="https://www.immoscout24.ch/fr/maison/acheter/lieu-les-charbonnieres" TargetMode="External"/><Relationship Id="rId5791" Type="http://schemas.openxmlformats.org/officeDocument/2006/relationships/hyperlink" Target="https://www.immoscout24.ch/fr/appartement/louer/lieu-villars-bramard" TargetMode="External"/><Relationship Id="rId4460" Type="http://schemas.openxmlformats.org/officeDocument/2006/relationships/hyperlink" Target="https://www.immoscout24.ch/fr/maison/acheter/lieu-niederhasli" TargetMode="External"/><Relationship Id="rId3131" Type="http://schemas.openxmlformats.org/officeDocument/2006/relationships/hyperlink" Target="https://www.immoscout24.ch/fr/appartement/louer/quartier-muesmatt-berne" TargetMode="External"/><Relationship Id="rId4462" Type="http://schemas.openxmlformats.org/officeDocument/2006/relationships/hyperlink" Target="https://www.immoscout24.ch/fr/appartement/louer/lieu-rossiniere" TargetMode="External"/><Relationship Id="rId5794" Type="http://schemas.openxmlformats.org/officeDocument/2006/relationships/hyperlink" Target="https://www.immoscout24.ch/fr/appartement/acheter/lieu-schwarzenburg" TargetMode="External"/><Relationship Id="rId3130" Type="http://schemas.openxmlformats.org/officeDocument/2006/relationships/hyperlink" Target="https://www.immoscout24.ch/fr/maison/acheter/lieu-pratteln" TargetMode="External"/><Relationship Id="rId4461" Type="http://schemas.openxmlformats.org/officeDocument/2006/relationships/hyperlink" Target="https://www.immoscout24.ch/fr/appartement/louer/lieu-rossiniere" TargetMode="External"/><Relationship Id="rId5795" Type="http://schemas.openxmlformats.org/officeDocument/2006/relationships/hyperlink" Target="https://www.immoscout24.ch/fr/appartement/acheter/lieu-le-landeron" TargetMode="External"/><Relationship Id="rId3133" Type="http://schemas.openxmlformats.org/officeDocument/2006/relationships/hyperlink" Target="https://www.immoscout24.ch/fr/maison/acheter/lieu-embrach" TargetMode="External"/><Relationship Id="rId4464" Type="http://schemas.openxmlformats.org/officeDocument/2006/relationships/hyperlink" Target="https://www.immoscout24.ch/fr/maison/acheter/lieu-penthaz" TargetMode="External"/><Relationship Id="rId5792" Type="http://schemas.openxmlformats.org/officeDocument/2006/relationships/hyperlink" Target="https://www.immoscout24.ch/fr/appartement/louer/lieu-villars-bramard" TargetMode="External"/><Relationship Id="rId3132" Type="http://schemas.openxmlformats.org/officeDocument/2006/relationships/hyperlink" Target="https://www.immoscout24.ch/fr/appartement/louer/quartier-muesmatt-berne" TargetMode="External"/><Relationship Id="rId4463" Type="http://schemas.openxmlformats.org/officeDocument/2006/relationships/hyperlink" Target="https://www.immoscout24.ch/fr/maison/acheter/lieu-penthaz" TargetMode="External"/><Relationship Id="rId5793" Type="http://schemas.openxmlformats.org/officeDocument/2006/relationships/hyperlink" Target="https://www.immoscout24.ch/fr/appartement/acheter/lieu-schwarzenburg" TargetMode="External"/><Relationship Id="rId3135" Type="http://schemas.openxmlformats.org/officeDocument/2006/relationships/hyperlink" Target="https://www.immoscout24.ch/fr/maison/louer/lieu-pont-la-ville" TargetMode="External"/><Relationship Id="rId4466" Type="http://schemas.openxmlformats.org/officeDocument/2006/relationships/hyperlink" Target="https://www.immoscout24.ch/fr/appartement/acheter/lieu-kirchberg-be" TargetMode="External"/><Relationship Id="rId5798" Type="http://schemas.openxmlformats.org/officeDocument/2006/relationships/hyperlink" Target="https://www.immoscout24.ch/fr/appartement/acheter/lieu-treycovagnes" TargetMode="External"/><Relationship Id="rId3134" Type="http://schemas.openxmlformats.org/officeDocument/2006/relationships/hyperlink" Target="https://www.immoscout24.ch/fr/maison/acheter/lieu-embrach" TargetMode="External"/><Relationship Id="rId4465" Type="http://schemas.openxmlformats.org/officeDocument/2006/relationships/hyperlink" Target="https://www.immoscout24.ch/fr/appartement/acheter/lieu-kirchberg-be" TargetMode="External"/><Relationship Id="rId5799" Type="http://schemas.openxmlformats.org/officeDocument/2006/relationships/hyperlink" Target="https://www.immoscout24.ch/fr/maison/acheter/lieu-baetterkinden" TargetMode="External"/><Relationship Id="rId3137" Type="http://schemas.openxmlformats.org/officeDocument/2006/relationships/hyperlink" Target="https://www.immoscout24.ch/fr/appartement/louer/lieu-cully" TargetMode="External"/><Relationship Id="rId4468" Type="http://schemas.openxmlformats.org/officeDocument/2006/relationships/hyperlink" Target="https://www.immoscout24.ch/fr/appartement/louer/lieu-hellikon" TargetMode="External"/><Relationship Id="rId5796" Type="http://schemas.openxmlformats.org/officeDocument/2006/relationships/hyperlink" Target="https://www.immoscout24.ch/fr/appartement/acheter/lieu-le-landeron" TargetMode="External"/><Relationship Id="rId3136" Type="http://schemas.openxmlformats.org/officeDocument/2006/relationships/hyperlink" Target="https://www.immoscout24.ch/fr/maison/louer/lieu-pont-la-ville" TargetMode="External"/><Relationship Id="rId4467" Type="http://schemas.openxmlformats.org/officeDocument/2006/relationships/hyperlink" Target="https://www.immoscout24.ch/fr/appartement/louer/lieu-hellikon" TargetMode="External"/><Relationship Id="rId5797" Type="http://schemas.openxmlformats.org/officeDocument/2006/relationships/hyperlink" Target="https://www.immoscout24.ch/fr/appartement/acheter/lieu-treycovagnes" TargetMode="External"/><Relationship Id="rId3128" Type="http://schemas.openxmlformats.org/officeDocument/2006/relationships/hyperlink" Target="https://www.immoscout24.ch/fr/appartement/louer/lieu-klingnau" TargetMode="External"/><Relationship Id="rId4459" Type="http://schemas.openxmlformats.org/officeDocument/2006/relationships/hyperlink" Target="https://www.immoscout24.ch/fr/maison/acheter/lieu-niederhasli" TargetMode="External"/><Relationship Id="rId3127" Type="http://schemas.openxmlformats.org/officeDocument/2006/relationships/hyperlink" Target="https://www.immoscout24.ch/fr/appartement/louer/lieu-klingnau" TargetMode="External"/><Relationship Id="rId4458" Type="http://schemas.openxmlformats.org/officeDocument/2006/relationships/hyperlink" Target="https://www.immoscout24.ch/fr/appartement/louer/lieu-aire-la-ville" TargetMode="External"/><Relationship Id="rId5789" Type="http://schemas.openxmlformats.org/officeDocument/2006/relationships/hyperlink" Target="https://www.immoscout24.ch/fr/maison/acheter/lieu-les-charbonnieres" TargetMode="External"/><Relationship Id="rId3129" Type="http://schemas.openxmlformats.org/officeDocument/2006/relationships/hyperlink" Target="https://www.immoscout24.ch/fr/maison/acheter/lieu-pratteln" TargetMode="External"/><Relationship Id="rId5780" Type="http://schemas.openxmlformats.org/officeDocument/2006/relationships/hyperlink" Target="https://www.immoscout24.ch/fr/maison/louer/lieu-meisterschwanden" TargetMode="External"/><Relationship Id="rId3120" Type="http://schemas.openxmlformats.org/officeDocument/2006/relationships/hyperlink" Target="https://www.immoscout24.ch/fr/maison/acheter/lieu-rothrist" TargetMode="External"/><Relationship Id="rId4451" Type="http://schemas.openxmlformats.org/officeDocument/2006/relationships/hyperlink" Target="https://www.immoscout24.ch/fr/maison/acheter/lieu-duillier" TargetMode="External"/><Relationship Id="rId5783" Type="http://schemas.openxmlformats.org/officeDocument/2006/relationships/hyperlink" Target="https://www.immoscout24.ch/fr/appartement/acheter/lieu-birrwil" TargetMode="External"/><Relationship Id="rId4450" Type="http://schemas.openxmlformats.org/officeDocument/2006/relationships/hyperlink" Target="https://www.immoscout24.ch/fr/appartement/louer/lieu-kuettigen" TargetMode="External"/><Relationship Id="rId5784" Type="http://schemas.openxmlformats.org/officeDocument/2006/relationships/hyperlink" Target="https://www.immoscout24.ch/fr/appartement/acheter/lieu-birrwil" TargetMode="External"/><Relationship Id="rId3122" Type="http://schemas.openxmlformats.org/officeDocument/2006/relationships/hyperlink" Target="https://www.immoscout24.ch/fr/maison/acheter/lieu-huettwilen" TargetMode="External"/><Relationship Id="rId4453" Type="http://schemas.openxmlformats.org/officeDocument/2006/relationships/hyperlink" Target="https://www.immoscout24.ch/fr/maison/louer/lieu-carabietta" TargetMode="External"/><Relationship Id="rId5781" Type="http://schemas.openxmlformats.org/officeDocument/2006/relationships/hyperlink" Target="https://www.immoscout24.ch/fr/appartement/louer/lieu-mannens" TargetMode="External"/><Relationship Id="rId3121" Type="http://schemas.openxmlformats.org/officeDocument/2006/relationships/hyperlink" Target="https://www.immoscout24.ch/fr/maison/acheter/lieu-huettwilen" TargetMode="External"/><Relationship Id="rId4452" Type="http://schemas.openxmlformats.org/officeDocument/2006/relationships/hyperlink" Target="https://www.immoscout24.ch/fr/maison/acheter/lieu-duillier" TargetMode="External"/><Relationship Id="rId5782" Type="http://schemas.openxmlformats.org/officeDocument/2006/relationships/hyperlink" Target="https://www.immoscout24.ch/fr/appartement/louer/lieu-mannens" TargetMode="External"/><Relationship Id="rId3124" Type="http://schemas.openxmlformats.org/officeDocument/2006/relationships/hyperlink" Target="https://www.immoscout24.ch/fr/appartement/louer/lieu-flums" TargetMode="External"/><Relationship Id="rId4455" Type="http://schemas.openxmlformats.org/officeDocument/2006/relationships/hyperlink" Target="https://www.immoscout24.ch/fr/appartement/louer/lieu-heiligenschwendi" TargetMode="External"/><Relationship Id="rId5787" Type="http://schemas.openxmlformats.org/officeDocument/2006/relationships/hyperlink" Target="https://www.immoscout24.ch/fr/appartement/louer/lieu-le-tretien" TargetMode="External"/><Relationship Id="rId3123" Type="http://schemas.openxmlformats.org/officeDocument/2006/relationships/hyperlink" Target="https://www.immoscout24.ch/fr/appartement/louer/lieu-flums" TargetMode="External"/><Relationship Id="rId4454" Type="http://schemas.openxmlformats.org/officeDocument/2006/relationships/hyperlink" Target="https://www.immoscout24.ch/fr/maison/louer/lieu-carabietta" TargetMode="External"/><Relationship Id="rId5788" Type="http://schemas.openxmlformats.org/officeDocument/2006/relationships/hyperlink" Target="https://www.immoscout24.ch/fr/appartement/louer/lieu-le-tretien" TargetMode="External"/><Relationship Id="rId3126" Type="http://schemas.openxmlformats.org/officeDocument/2006/relationships/hyperlink" Target="https://www.immoscout24.ch/fr/maison/acheter/lieu-ruvigliana" TargetMode="External"/><Relationship Id="rId4457" Type="http://schemas.openxmlformats.org/officeDocument/2006/relationships/hyperlink" Target="https://www.immoscout24.ch/fr/appartement/louer/lieu-aire-la-ville" TargetMode="External"/><Relationship Id="rId5785" Type="http://schemas.openxmlformats.org/officeDocument/2006/relationships/hyperlink" Target="https://www.immoscout24.ch/fr/appartement/louer/lieu-salenstein" TargetMode="External"/><Relationship Id="rId3125" Type="http://schemas.openxmlformats.org/officeDocument/2006/relationships/hyperlink" Target="https://www.immoscout24.ch/fr/maison/acheter/lieu-ruvigliana" TargetMode="External"/><Relationship Id="rId4456" Type="http://schemas.openxmlformats.org/officeDocument/2006/relationships/hyperlink" Target="https://www.immoscout24.ch/fr/appartement/louer/lieu-heiligenschwendi" TargetMode="External"/><Relationship Id="rId5786" Type="http://schemas.openxmlformats.org/officeDocument/2006/relationships/hyperlink" Target="https://www.immoscout24.ch/fr/appartement/louer/lieu-salenstein" TargetMode="External"/><Relationship Id="rId4404" Type="http://schemas.openxmlformats.org/officeDocument/2006/relationships/hyperlink" Target="https://www.immoscout24.ch/fr/maison/acheter/lieu-iserables" TargetMode="External"/><Relationship Id="rId5736" Type="http://schemas.openxmlformats.org/officeDocument/2006/relationships/hyperlink" Target="https://www.immoscout24.ch/fr/appartement/louer/lieu-duedingen" TargetMode="External"/><Relationship Id="rId4403" Type="http://schemas.openxmlformats.org/officeDocument/2006/relationships/hyperlink" Target="https://www.immoscout24.ch/fr/maison/acheter/lieu-iserables" TargetMode="External"/><Relationship Id="rId5737" Type="http://schemas.openxmlformats.org/officeDocument/2006/relationships/hyperlink" Target="https://www.immoscout24.ch/fr/maison/acheter/lieu-thonex" TargetMode="External"/><Relationship Id="rId4406" Type="http://schemas.openxmlformats.org/officeDocument/2006/relationships/hyperlink" Target="https://www.immoscout24.ch/fr/maison/acheter/lieu-reckingen-vs" TargetMode="External"/><Relationship Id="rId5734" Type="http://schemas.openxmlformats.org/officeDocument/2006/relationships/hyperlink" Target="https://www.immoscout24.ch/fr/maison/acheter/canton-st-gall" TargetMode="External"/><Relationship Id="rId4405" Type="http://schemas.openxmlformats.org/officeDocument/2006/relationships/hyperlink" Target="https://www.immoscout24.ch/fr/maison/acheter/lieu-reckingen-vs" TargetMode="External"/><Relationship Id="rId5735" Type="http://schemas.openxmlformats.org/officeDocument/2006/relationships/hyperlink" Target="https://www.immoscout24.ch/fr/appartement/louer/lieu-duedingen" TargetMode="External"/><Relationship Id="rId4408" Type="http://schemas.openxmlformats.org/officeDocument/2006/relationships/hyperlink" Target="https://www.immoscout24.ch/fr/appartement/louer/lieu-montet-glane" TargetMode="External"/><Relationship Id="rId4407" Type="http://schemas.openxmlformats.org/officeDocument/2006/relationships/hyperlink" Target="https://www.immoscout24.ch/fr/appartement/louer/lieu-montet-glane" TargetMode="External"/><Relationship Id="rId5738" Type="http://schemas.openxmlformats.org/officeDocument/2006/relationships/hyperlink" Target="https://www.immoscout24.ch/fr/maison/acheter/lieu-thonex" TargetMode="External"/><Relationship Id="rId4409" Type="http://schemas.openxmlformats.org/officeDocument/2006/relationships/hyperlink" Target="https://www.immoscout24.ch/fr/appartement/louer/lieu-bole" TargetMode="External"/><Relationship Id="rId5739" Type="http://schemas.openxmlformats.org/officeDocument/2006/relationships/hyperlink" Target="https://www.immoscout24.ch/fr/maison/acheter/canton-schaffhouse" TargetMode="External"/><Relationship Id="rId4400" Type="http://schemas.openxmlformats.org/officeDocument/2006/relationships/hyperlink" Target="https://www.immoscout24.ch/fr/maison/louer/quartier-sous-gare-ouchy-lausanne" TargetMode="External"/><Relationship Id="rId5732" Type="http://schemas.openxmlformats.org/officeDocument/2006/relationships/hyperlink" Target="https://www.immoscout24.ch/fr/appartement/acheter/lieu-le-chable-vs" TargetMode="External"/><Relationship Id="rId5733" Type="http://schemas.openxmlformats.org/officeDocument/2006/relationships/hyperlink" Target="https://www.immoscout24.ch/fr/maison/acheter/canton-st-gall" TargetMode="External"/><Relationship Id="rId4402" Type="http://schemas.openxmlformats.org/officeDocument/2006/relationships/hyperlink" Target="https://www.immoscout24.ch/fr/appartement/acheter/lieu-chancy" TargetMode="External"/><Relationship Id="rId5730" Type="http://schemas.openxmlformats.org/officeDocument/2006/relationships/hyperlink" Target="https://www.immoscout24.ch/fr/maison/louer/lieu-palezieux" TargetMode="External"/><Relationship Id="rId4401" Type="http://schemas.openxmlformats.org/officeDocument/2006/relationships/hyperlink" Target="https://www.immoscout24.ch/fr/appartement/acheter/lieu-chancy" TargetMode="External"/><Relationship Id="rId5731" Type="http://schemas.openxmlformats.org/officeDocument/2006/relationships/hyperlink" Target="https://www.immoscout24.ch/fr/appartement/acheter/lieu-le-chable-vs" TargetMode="External"/><Relationship Id="rId5725" Type="http://schemas.openxmlformats.org/officeDocument/2006/relationships/hyperlink" Target="https://www.immoscout24.ch/fr/appartement/acheter/pays-grece" TargetMode="External"/><Relationship Id="rId5726" Type="http://schemas.openxmlformats.org/officeDocument/2006/relationships/hyperlink" Target="https://www.immoscout24.ch/fr/appartement/acheter/pays-grece" TargetMode="External"/><Relationship Id="rId5723" Type="http://schemas.openxmlformats.org/officeDocument/2006/relationships/hyperlink" Target="https://www.immoscout24.ch/fr/maison/acheter/lieu-mammern" TargetMode="External"/><Relationship Id="rId5724" Type="http://schemas.openxmlformats.org/officeDocument/2006/relationships/hyperlink" Target="https://www.immoscout24.ch/fr/maison/acheter/lieu-mammern" TargetMode="External"/><Relationship Id="rId5729" Type="http://schemas.openxmlformats.org/officeDocument/2006/relationships/hyperlink" Target="https://www.immoscout24.ch/fr/maison/louer/lieu-palezieux" TargetMode="External"/><Relationship Id="rId5727" Type="http://schemas.openxmlformats.org/officeDocument/2006/relationships/hyperlink" Target="https://www.immoscout24.ch/fr/appartement/acheter/lieu-ependes-fr" TargetMode="External"/><Relationship Id="rId5728" Type="http://schemas.openxmlformats.org/officeDocument/2006/relationships/hyperlink" Target="https://www.immoscout24.ch/fr/appartement/acheter/lieu-ependes-fr" TargetMode="External"/><Relationship Id="rId5721" Type="http://schemas.openxmlformats.org/officeDocument/2006/relationships/hyperlink" Target="https://www.immoscout24.ch/fr/appartement/louer/lieu-chur" TargetMode="External"/><Relationship Id="rId5722" Type="http://schemas.openxmlformats.org/officeDocument/2006/relationships/hyperlink" Target="https://www.immoscout24.ch/fr/appartement/louer/lieu-chur" TargetMode="External"/><Relationship Id="rId5720" Type="http://schemas.openxmlformats.org/officeDocument/2006/relationships/hyperlink" Target="https://www.immoscout24.ch/fr/maison/acheter/lieu-combremont-le-petit" TargetMode="External"/><Relationship Id="rId4426" Type="http://schemas.openxmlformats.org/officeDocument/2006/relationships/hyperlink" Target="https://www.immoscout24.ch/fr/appartement/louer/lieu-st-brais" TargetMode="External"/><Relationship Id="rId5758" Type="http://schemas.openxmlformats.org/officeDocument/2006/relationships/hyperlink" Target="https://www.immoscout24.ch/fr/appartement/louer/lieu-bolligen" TargetMode="External"/><Relationship Id="rId4425" Type="http://schemas.openxmlformats.org/officeDocument/2006/relationships/hyperlink" Target="https://www.immoscout24.ch/fr/appartement/louer/lieu-st-brais" TargetMode="External"/><Relationship Id="rId5759" Type="http://schemas.openxmlformats.org/officeDocument/2006/relationships/hyperlink" Target="https://www.immoscout24.ch/fr/appartement/louer/lieu-bruson" TargetMode="External"/><Relationship Id="rId4428" Type="http://schemas.openxmlformats.org/officeDocument/2006/relationships/hyperlink" Target="https://www.immoscout24.ch/fr/maison/louer/lieu-chatel-st-denis" TargetMode="External"/><Relationship Id="rId5756" Type="http://schemas.openxmlformats.org/officeDocument/2006/relationships/hyperlink" Target="https://www.immoscout24.ch/fr/appartement/acheter/lieu-engelberg" TargetMode="External"/><Relationship Id="rId4427" Type="http://schemas.openxmlformats.org/officeDocument/2006/relationships/hyperlink" Target="https://www.immoscout24.ch/fr/maison/louer/lieu-chatel-st-denis" TargetMode="External"/><Relationship Id="rId5757" Type="http://schemas.openxmlformats.org/officeDocument/2006/relationships/hyperlink" Target="https://www.immoscout24.ch/fr/appartement/louer/lieu-bolligen" TargetMode="External"/><Relationship Id="rId4429" Type="http://schemas.openxmlformats.org/officeDocument/2006/relationships/hyperlink" Target="https://www.immoscout24.ch/fr/appartement/acheter/lieu-cottens-fr" TargetMode="External"/><Relationship Id="rId5750" Type="http://schemas.openxmlformats.org/officeDocument/2006/relationships/hyperlink" Target="https://www.immoscout24.ch/fr/appartement/louer/lieu-steg-im-toesstal" TargetMode="External"/><Relationship Id="rId5751" Type="http://schemas.openxmlformats.org/officeDocument/2006/relationships/hyperlink" Target="https://www.immoscout24.ch/fr/appartement/louer/lieu-aminona" TargetMode="External"/><Relationship Id="rId4420" Type="http://schemas.openxmlformats.org/officeDocument/2006/relationships/hyperlink" Target="https://www.immoscout24.ch/fr/appartement/louer/lieu-bremgarten-ag" TargetMode="External"/><Relationship Id="rId4422" Type="http://schemas.openxmlformats.org/officeDocument/2006/relationships/hyperlink" Target="https://www.immoscout24.ch/fr/appartement/louer/lieu-grimisuat" TargetMode="External"/><Relationship Id="rId5754" Type="http://schemas.openxmlformats.org/officeDocument/2006/relationships/hyperlink" Target="https://www.immoscout24.ch/fr/appartement/louer/lieu-langnau-im-emmental" TargetMode="External"/><Relationship Id="rId4421" Type="http://schemas.openxmlformats.org/officeDocument/2006/relationships/hyperlink" Target="https://www.immoscout24.ch/fr/appartement/louer/lieu-grimisuat" TargetMode="External"/><Relationship Id="rId5755" Type="http://schemas.openxmlformats.org/officeDocument/2006/relationships/hyperlink" Target="https://www.immoscout24.ch/fr/appartement/acheter/lieu-engelberg" TargetMode="External"/><Relationship Id="rId4424" Type="http://schemas.openxmlformats.org/officeDocument/2006/relationships/hyperlink" Target="https://www.immoscout24.ch/fr/maison/acheter/lieu-kerzers" TargetMode="External"/><Relationship Id="rId5752" Type="http://schemas.openxmlformats.org/officeDocument/2006/relationships/hyperlink" Target="https://www.immoscout24.ch/fr/appartement/louer/lieu-aminona" TargetMode="External"/><Relationship Id="rId4423" Type="http://schemas.openxmlformats.org/officeDocument/2006/relationships/hyperlink" Target="https://www.immoscout24.ch/fr/maison/acheter/lieu-kerzers" TargetMode="External"/><Relationship Id="rId5753" Type="http://schemas.openxmlformats.org/officeDocument/2006/relationships/hyperlink" Target="https://www.immoscout24.ch/fr/appartement/louer/lieu-langnau-im-emmental" TargetMode="External"/><Relationship Id="rId4415" Type="http://schemas.openxmlformats.org/officeDocument/2006/relationships/hyperlink" Target="https://www.immoscout24.ch/fr/appartement/louer/lieu-lauterbrunnen" TargetMode="External"/><Relationship Id="rId5747" Type="http://schemas.openxmlformats.org/officeDocument/2006/relationships/hyperlink" Target="https://www.immoscout24.ch/fr/appartement/louer/lieu-perlen" TargetMode="External"/><Relationship Id="rId4414" Type="http://schemas.openxmlformats.org/officeDocument/2006/relationships/hyperlink" Target="https://www.immoscout24.ch/fr/appartement/louer/lieu-vuissens" TargetMode="External"/><Relationship Id="rId5748" Type="http://schemas.openxmlformats.org/officeDocument/2006/relationships/hyperlink" Target="https://www.immoscout24.ch/fr/appartement/louer/lieu-perlen" TargetMode="External"/><Relationship Id="rId4417" Type="http://schemas.openxmlformats.org/officeDocument/2006/relationships/hyperlink" Target="https://www.immoscout24.ch/fr/appartement/louer/lieu-thayngen" TargetMode="External"/><Relationship Id="rId5745" Type="http://schemas.openxmlformats.org/officeDocument/2006/relationships/hyperlink" Target="https://www.immoscout24.ch/fr/appartement/louer/quartier-castagnola-lugano" TargetMode="External"/><Relationship Id="rId4416" Type="http://schemas.openxmlformats.org/officeDocument/2006/relationships/hyperlink" Target="https://www.immoscout24.ch/fr/appartement/louer/lieu-lauterbrunnen" TargetMode="External"/><Relationship Id="rId5746" Type="http://schemas.openxmlformats.org/officeDocument/2006/relationships/hyperlink" Target="https://www.immoscout24.ch/fr/appartement/louer/quartier-castagnola-lugano" TargetMode="External"/><Relationship Id="rId4419" Type="http://schemas.openxmlformats.org/officeDocument/2006/relationships/hyperlink" Target="https://www.immoscout24.ch/fr/appartement/louer/lieu-bremgarten-ag" TargetMode="External"/><Relationship Id="rId4418" Type="http://schemas.openxmlformats.org/officeDocument/2006/relationships/hyperlink" Target="https://www.immoscout24.ch/fr/appartement/louer/lieu-thayngen" TargetMode="External"/><Relationship Id="rId5749" Type="http://schemas.openxmlformats.org/officeDocument/2006/relationships/hyperlink" Target="https://www.immoscout24.ch/fr/appartement/louer/lieu-steg-im-toesstal" TargetMode="External"/><Relationship Id="rId5740" Type="http://schemas.openxmlformats.org/officeDocument/2006/relationships/hyperlink" Target="https://www.immoscout24.ch/fr/maison/acheter/canton-schaffhouse" TargetMode="External"/><Relationship Id="rId4411" Type="http://schemas.openxmlformats.org/officeDocument/2006/relationships/hyperlink" Target="https://www.immoscout24.ch/fr/appartement/louer/lieu-oftringen" TargetMode="External"/><Relationship Id="rId5743" Type="http://schemas.openxmlformats.org/officeDocument/2006/relationships/hyperlink" Target="https://www.immoscout24.ch/fr/appartement/acheter/lieu-les-paccots" TargetMode="External"/><Relationship Id="rId4410" Type="http://schemas.openxmlformats.org/officeDocument/2006/relationships/hyperlink" Target="https://www.immoscout24.ch/fr/appartement/louer/lieu-bole" TargetMode="External"/><Relationship Id="rId5744" Type="http://schemas.openxmlformats.org/officeDocument/2006/relationships/hyperlink" Target="https://www.immoscout24.ch/fr/appartement/acheter/lieu-les-paccots" TargetMode="External"/><Relationship Id="rId4413" Type="http://schemas.openxmlformats.org/officeDocument/2006/relationships/hyperlink" Target="https://www.immoscout24.ch/fr/appartement/louer/lieu-vuissens" TargetMode="External"/><Relationship Id="rId5741" Type="http://schemas.openxmlformats.org/officeDocument/2006/relationships/hyperlink" Target="https://www.immoscout24.ch/fr/maison/acheter/lieu-gruben" TargetMode="External"/><Relationship Id="rId4412" Type="http://schemas.openxmlformats.org/officeDocument/2006/relationships/hyperlink" Target="https://www.immoscout24.ch/fr/appartement/louer/lieu-oftringen" TargetMode="External"/><Relationship Id="rId5742" Type="http://schemas.openxmlformats.org/officeDocument/2006/relationships/hyperlink" Target="https://www.immoscout24.ch/fr/maison/acheter/lieu-gruben" TargetMode="External"/><Relationship Id="rId3191" Type="http://schemas.openxmlformats.org/officeDocument/2006/relationships/hyperlink" Target="https://www.immoscout24.ch/fr/maison/louer/lieu-corcelles-ne" TargetMode="External"/><Relationship Id="rId3190" Type="http://schemas.openxmlformats.org/officeDocument/2006/relationships/hyperlink" Target="https://www.immoscout24.ch/fr/maison/louer/quartier-croix-federale-la-chaux-de-fonds" TargetMode="External"/><Relationship Id="rId3193" Type="http://schemas.openxmlformats.org/officeDocument/2006/relationships/hyperlink" Target="https://www.immoscout24.ch/fr/appartement/louer/lieu-bonfol" TargetMode="External"/><Relationship Id="rId3192" Type="http://schemas.openxmlformats.org/officeDocument/2006/relationships/hyperlink" Target="https://www.immoscout24.ch/fr/maison/louer/lieu-corcelles-ne" TargetMode="External"/><Relationship Id="rId3195" Type="http://schemas.openxmlformats.org/officeDocument/2006/relationships/hyperlink" Target="https://www.immoscout24.ch/fr/maison/louer/region-bern-et-environs" TargetMode="External"/><Relationship Id="rId3194" Type="http://schemas.openxmlformats.org/officeDocument/2006/relationships/hyperlink" Target="https://www.immoscout24.ch/fr/appartement/louer/lieu-bonfol" TargetMode="External"/><Relationship Id="rId3197" Type="http://schemas.openxmlformats.org/officeDocument/2006/relationships/hyperlink" Target="https://www.immoscout24.ch/fr/appartement/louer/lieu-kleindoettingen" TargetMode="External"/><Relationship Id="rId3196" Type="http://schemas.openxmlformats.org/officeDocument/2006/relationships/hyperlink" Target="https://www.immoscout24.ch/fr/maison/louer/region-bern-et-environs" TargetMode="External"/><Relationship Id="rId3199" Type="http://schemas.openxmlformats.org/officeDocument/2006/relationships/hyperlink" Target="https://www.immoscout24.ch/fr/maison/acheter/lieu-bavois" TargetMode="External"/><Relationship Id="rId3198" Type="http://schemas.openxmlformats.org/officeDocument/2006/relationships/hyperlink" Target="https://www.immoscout24.ch/fr/appartement/louer/lieu-kleindoettingen" TargetMode="External"/><Relationship Id="rId3180" Type="http://schemas.openxmlformats.org/officeDocument/2006/relationships/hyperlink" Target="https://www.immoscout24.ch/fr/appartement/louer/lieu-bremblens" TargetMode="External"/><Relationship Id="rId3182" Type="http://schemas.openxmlformats.org/officeDocument/2006/relationships/hyperlink" Target="https://www.immoscout24.ch/fr/appartement/louer/lieu-kerns" TargetMode="External"/><Relationship Id="rId3181" Type="http://schemas.openxmlformats.org/officeDocument/2006/relationships/hyperlink" Target="https://www.immoscout24.ch/fr/appartement/louer/lieu-kerns" TargetMode="External"/><Relationship Id="rId3184" Type="http://schemas.openxmlformats.org/officeDocument/2006/relationships/hyperlink" Target="https://www.immoscout24.ch/fr/appartement/acheter/lieu-lausanne-26" TargetMode="External"/><Relationship Id="rId3183" Type="http://schemas.openxmlformats.org/officeDocument/2006/relationships/hyperlink" Target="https://www.immoscout24.ch/fr/appartement/acheter/lieu-lausanne-26" TargetMode="External"/><Relationship Id="rId3186" Type="http://schemas.openxmlformats.org/officeDocument/2006/relationships/hyperlink" Target="https://www.immoscout24.ch/fr/appartement/louer/lieu-corcelles-le-jorat" TargetMode="External"/><Relationship Id="rId3185" Type="http://schemas.openxmlformats.org/officeDocument/2006/relationships/hyperlink" Target="https://www.immoscout24.ch/fr/appartement/louer/lieu-corcelles-le-jorat" TargetMode="External"/><Relationship Id="rId3188" Type="http://schemas.openxmlformats.org/officeDocument/2006/relationships/hyperlink" Target="https://www.immoscout24.ch/fr/maison/louer/lieu-chatelaine" TargetMode="External"/><Relationship Id="rId3187" Type="http://schemas.openxmlformats.org/officeDocument/2006/relationships/hyperlink" Target="https://www.immoscout24.ch/fr/maison/louer/lieu-chatelaine" TargetMode="External"/><Relationship Id="rId3189" Type="http://schemas.openxmlformats.org/officeDocument/2006/relationships/hyperlink" Target="https://www.immoscout24.ch/fr/maison/louer/quartier-croix-federale-la-chaux-de-fonds" TargetMode="External"/><Relationship Id="rId4480" Type="http://schemas.openxmlformats.org/officeDocument/2006/relationships/hyperlink" Target="https://www.immoscout24.ch/fr/maison/acheter/lieu-vissoie" TargetMode="External"/><Relationship Id="rId3151" Type="http://schemas.openxmlformats.org/officeDocument/2006/relationships/hyperlink" Target="https://www.immoscout24.ch/fr/appartement/louer/lieu-les-avanchets" TargetMode="External"/><Relationship Id="rId4482" Type="http://schemas.openxmlformats.org/officeDocument/2006/relationships/hyperlink" Target="https://www.immoscout24.ch/fr/maison/louer/lieu-fleurier" TargetMode="External"/><Relationship Id="rId3150" Type="http://schemas.openxmlformats.org/officeDocument/2006/relationships/hyperlink" Target="https://www.immoscout24.ch/fr/maison/acheter/lieu-farnern" TargetMode="External"/><Relationship Id="rId4481" Type="http://schemas.openxmlformats.org/officeDocument/2006/relationships/hyperlink" Target="https://www.immoscout24.ch/fr/maison/louer/lieu-fleurier" TargetMode="External"/><Relationship Id="rId3153" Type="http://schemas.openxmlformats.org/officeDocument/2006/relationships/hyperlink" Target="https://www.immoscout24.ch/fr/appartement/louer/lieu-ried-b-kerzers" TargetMode="External"/><Relationship Id="rId4484" Type="http://schemas.openxmlformats.org/officeDocument/2006/relationships/hyperlink" Target="https://www.immoscout24.ch/fr/maison/louer/lieu-vich" TargetMode="External"/><Relationship Id="rId3152" Type="http://schemas.openxmlformats.org/officeDocument/2006/relationships/hyperlink" Target="https://www.immoscout24.ch/fr/appartement/louer/lieu-les-avanchets" TargetMode="External"/><Relationship Id="rId4483" Type="http://schemas.openxmlformats.org/officeDocument/2006/relationships/hyperlink" Target="https://www.immoscout24.ch/fr/maison/louer/lieu-vich" TargetMode="External"/><Relationship Id="rId3155" Type="http://schemas.openxmlformats.org/officeDocument/2006/relationships/hyperlink" Target="https://www.immoscout24.ch/fr/maison/louer/lieu-vuisternens-en-ogoz" TargetMode="External"/><Relationship Id="rId4486" Type="http://schemas.openxmlformats.org/officeDocument/2006/relationships/hyperlink" Target="https://www.immoscout24.ch/fr/appartement/acheter/lieu-corbieres" TargetMode="External"/><Relationship Id="rId3154" Type="http://schemas.openxmlformats.org/officeDocument/2006/relationships/hyperlink" Target="https://www.immoscout24.ch/fr/appartement/louer/lieu-ried-b-kerzers" TargetMode="External"/><Relationship Id="rId4485" Type="http://schemas.openxmlformats.org/officeDocument/2006/relationships/hyperlink" Target="https://www.immoscout24.ch/fr/appartement/acheter/lieu-corbieres" TargetMode="External"/><Relationship Id="rId3157" Type="http://schemas.openxmlformats.org/officeDocument/2006/relationships/hyperlink" Target="https://www.immoscout24.ch/fr/maison/acheter/lieu-ried-brig" TargetMode="External"/><Relationship Id="rId4488" Type="http://schemas.openxmlformats.org/officeDocument/2006/relationships/hyperlink" Target="https://www.immoscout24.ch/fr/appartement/louer/lieu-schenkon" TargetMode="External"/><Relationship Id="rId3156" Type="http://schemas.openxmlformats.org/officeDocument/2006/relationships/hyperlink" Target="https://www.immoscout24.ch/fr/maison/louer/lieu-vuisternens-en-ogoz" TargetMode="External"/><Relationship Id="rId4487" Type="http://schemas.openxmlformats.org/officeDocument/2006/relationships/hyperlink" Target="https://www.immoscout24.ch/fr/appartement/louer/lieu-schenkon" TargetMode="External"/><Relationship Id="rId3159" Type="http://schemas.openxmlformats.org/officeDocument/2006/relationships/hyperlink" Target="https://www.immoscout24.ch/fr/appartement/louer/quartier-hirzenbach-zurich" TargetMode="External"/><Relationship Id="rId3158" Type="http://schemas.openxmlformats.org/officeDocument/2006/relationships/hyperlink" Target="https://www.immoscout24.ch/fr/maison/acheter/lieu-ried-brig" TargetMode="External"/><Relationship Id="rId4489" Type="http://schemas.openxmlformats.org/officeDocument/2006/relationships/hyperlink" Target="https://www.immoscout24.ch/fr/appartement/louer/lieu-arosa" TargetMode="External"/><Relationship Id="rId3149" Type="http://schemas.openxmlformats.org/officeDocument/2006/relationships/hyperlink" Target="https://www.immoscout24.ch/fr/maison/acheter/lieu-farnern" TargetMode="External"/><Relationship Id="rId3140" Type="http://schemas.openxmlformats.org/officeDocument/2006/relationships/hyperlink" Target="https://www.immoscout24.ch/fr/appartement/acheter/lieu-chamoson" TargetMode="External"/><Relationship Id="rId4471" Type="http://schemas.openxmlformats.org/officeDocument/2006/relationships/hyperlink" Target="https://www.immoscout24.ch/fr/appartement/louer/quartier-pazzallo-lugano" TargetMode="External"/><Relationship Id="rId4470" Type="http://schemas.openxmlformats.org/officeDocument/2006/relationships/hyperlink" Target="https://www.immoscout24.ch/fr/appartement/louer/lieu-tuescherz-alfermee" TargetMode="External"/><Relationship Id="rId3142" Type="http://schemas.openxmlformats.org/officeDocument/2006/relationships/hyperlink" Target="https://www.immoscout24.ch/fr/maison/acheter/quartier-beundenfeld-berne" TargetMode="External"/><Relationship Id="rId4473" Type="http://schemas.openxmlformats.org/officeDocument/2006/relationships/hyperlink" Target="https://www.immoscout24.ch/fr/appartement/acheter/lieu-la-tour-de-treme" TargetMode="External"/><Relationship Id="rId3141" Type="http://schemas.openxmlformats.org/officeDocument/2006/relationships/hyperlink" Target="https://www.immoscout24.ch/fr/maison/acheter/quartier-beundenfeld-berne" TargetMode="External"/><Relationship Id="rId4472" Type="http://schemas.openxmlformats.org/officeDocument/2006/relationships/hyperlink" Target="https://www.immoscout24.ch/fr/appartement/louer/quartier-pazzallo-lugano" TargetMode="External"/><Relationship Id="rId3144" Type="http://schemas.openxmlformats.org/officeDocument/2006/relationships/hyperlink" Target="https://www.immoscout24.ch/fr/maison/acheter/canton-berne" TargetMode="External"/><Relationship Id="rId4475" Type="http://schemas.openxmlformats.org/officeDocument/2006/relationships/hyperlink" Target="https://www.immoscout24.ch/fr/appartement/louer/lieu-lavey-village" TargetMode="External"/><Relationship Id="rId3143" Type="http://schemas.openxmlformats.org/officeDocument/2006/relationships/hyperlink" Target="https://www.immoscout24.ch/fr/maison/acheter/canton-berne" TargetMode="External"/><Relationship Id="rId4474" Type="http://schemas.openxmlformats.org/officeDocument/2006/relationships/hyperlink" Target="https://www.immoscout24.ch/fr/appartement/acheter/lieu-la-tour-de-treme" TargetMode="External"/><Relationship Id="rId3146" Type="http://schemas.openxmlformats.org/officeDocument/2006/relationships/hyperlink" Target="https://www.immoscout24.ch/fr/maison/acheter/lieu-le-cret-du-locle" TargetMode="External"/><Relationship Id="rId4477" Type="http://schemas.openxmlformats.org/officeDocument/2006/relationships/hyperlink" Target="https://www.immoscout24.ch/fr/appartement/acheter/lieu-kloten" TargetMode="External"/><Relationship Id="rId3145" Type="http://schemas.openxmlformats.org/officeDocument/2006/relationships/hyperlink" Target="https://www.immoscout24.ch/fr/maison/acheter/lieu-le-cret-du-locle" TargetMode="External"/><Relationship Id="rId4476" Type="http://schemas.openxmlformats.org/officeDocument/2006/relationships/hyperlink" Target="https://www.immoscout24.ch/fr/appartement/louer/lieu-lavey-village" TargetMode="External"/><Relationship Id="rId3148" Type="http://schemas.openxmlformats.org/officeDocument/2006/relationships/hyperlink" Target="https://www.immoscout24.ch/fr/appartement/acheter/lieu-kuessnacht-am-rigi" TargetMode="External"/><Relationship Id="rId4479" Type="http://schemas.openxmlformats.org/officeDocument/2006/relationships/hyperlink" Target="https://www.immoscout24.ch/fr/maison/acheter/lieu-vissoie" TargetMode="External"/><Relationship Id="rId3147" Type="http://schemas.openxmlformats.org/officeDocument/2006/relationships/hyperlink" Target="https://www.immoscout24.ch/fr/appartement/acheter/lieu-kuessnacht-am-rigi" TargetMode="External"/><Relationship Id="rId4478" Type="http://schemas.openxmlformats.org/officeDocument/2006/relationships/hyperlink" Target="https://www.immoscout24.ch/fr/appartement/acheter/lieu-kloten" TargetMode="External"/><Relationship Id="rId3171" Type="http://schemas.openxmlformats.org/officeDocument/2006/relationships/hyperlink" Target="https://www.immoscout24.ch/fr/appartement/louer/quartier-forges-endroits-la-chaux-de-fonds" TargetMode="External"/><Relationship Id="rId3170" Type="http://schemas.openxmlformats.org/officeDocument/2006/relationships/hyperlink" Target="https://www.immoscout24.ch/fr/maison/acheter/lieu-chessel" TargetMode="External"/><Relationship Id="rId3173" Type="http://schemas.openxmlformats.org/officeDocument/2006/relationships/hyperlink" Target="https://www.immoscout24.ch/fr/appartement/acheter/lieu-pfaeffikon-zh" TargetMode="External"/><Relationship Id="rId3172" Type="http://schemas.openxmlformats.org/officeDocument/2006/relationships/hyperlink" Target="https://www.immoscout24.ch/fr/appartement/louer/quartier-forges-endroits-la-chaux-de-fonds" TargetMode="External"/><Relationship Id="rId3175" Type="http://schemas.openxmlformats.org/officeDocument/2006/relationships/hyperlink" Target="https://www.immoscout24.ch/fr/appartement/louer/lieu-pfaffhausen" TargetMode="External"/><Relationship Id="rId3174" Type="http://schemas.openxmlformats.org/officeDocument/2006/relationships/hyperlink" Target="https://www.immoscout24.ch/fr/appartement/acheter/lieu-pfaeffikon-zh" TargetMode="External"/><Relationship Id="rId3177" Type="http://schemas.openxmlformats.org/officeDocument/2006/relationships/hyperlink" Target="https://www.immoscout24.ch/fr/appartement/acheter/lieu-le-mont-sur-lausanne" TargetMode="External"/><Relationship Id="rId3176" Type="http://schemas.openxmlformats.org/officeDocument/2006/relationships/hyperlink" Target="https://www.immoscout24.ch/fr/appartement/louer/lieu-pfaffhausen" TargetMode="External"/><Relationship Id="rId3179" Type="http://schemas.openxmlformats.org/officeDocument/2006/relationships/hyperlink" Target="https://www.immoscout24.ch/fr/appartement/louer/lieu-bremblens" TargetMode="External"/><Relationship Id="rId3178" Type="http://schemas.openxmlformats.org/officeDocument/2006/relationships/hyperlink" Target="https://www.immoscout24.ch/fr/appartement/acheter/lieu-le-mont-sur-lausanne" TargetMode="External"/><Relationship Id="rId3160" Type="http://schemas.openxmlformats.org/officeDocument/2006/relationships/hyperlink" Target="https://www.immoscout24.ch/fr/appartement/louer/quartier-hirzenbach-zurich" TargetMode="External"/><Relationship Id="rId4491" Type="http://schemas.openxmlformats.org/officeDocument/2006/relationships/hyperlink" Target="https://www.immoscout24.ch/fr/maison/acheter/lieu-cornol" TargetMode="External"/><Relationship Id="rId4490" Type="http://schemas.openxmlformats.org/officeDocument/2006/relationships/hyperlink" Target="https://www.immoscout24.ch/fr/appartement/louer/lieu-arosa" TargetMode="External"/><Relationship Id="rId3162" Type="http://schemas.openxmlformats.org/officeDocument/2006/relationships/hyperlink" Target="https://www.immoscout24.ch/fr/appartement/acheter/lieu-paradiso" TargetMode="External"/><Relationship Id="rId4493" Type="http://schemas.openxmlformats.org/officeDocument/2006/relationships/hyperlink" Target="https://www.immoscout24.ch/fr/maison/acheter/lieu-rudolfstetten" TargetMode="External"/><Relationship Id="rId3161" Type="http://schemas.openxmlformats.org/officeDocument/2006/relationships/hyperlink" Target="https://www.immoscout24.ch/fr/appartement/acheter/lieu-paradiso" TargetMode="External"/><Relationship Id="rId4492" Type="http://schemas.openxmlformats.org/officeDocument/2006/relationships/hyperlink" Target="https://www.immoscout24.ch/fr/maison/acheter/lieu-cornol" TargetMode="External"/><Relationship Id="rId3164" Type="http://schemas.openxmlformats.org/officeDocument/2006/relationships/hyperlink" Target="https://www.immoscout24.ch/fr/appartement/acheter/lieu-baar" TargetMode="External"/><Relationship Id="rId4495" Type="http://schemas.openxmlformats.org/officeDocument/2006/relationships/hyperlink" Target="https://www.immoscout24.ch/fr/appartement/acheter/lieu-muenster-vs" TargetMode="External"/><Relationship Id="rId3163" Type="http://schemas.openxmlformats.org/officeDocument/2006/relationships/hyperlink" Target="https://www.immoscout24.ch/fr/appartement/acheter/lieu-baar" TargetMode="External"/><Relationship Id="rId4494" Type="http://schemas.openxmlformats.org/officeDocument/2006/relationships/hyperlink" Target="https://www.immoscout24.ch/fr/maison/acheter/lieu-rudolfstetten" TargetMode="External"/><Relationship Id="rId3166" Type="http://schemas.openxmlformats.org/officeDocument/2006/relationships/hyperlink" Target="https://www.immoscout24.ch/fr/appartement/acheter/lieu-dully" TargetMode="External"/><Relationship Id="rId4497" Type="http://schemas.openxmlformats.org/officeDocument/2006/relationships/hyperlink" Target="https://www.immoscout24.ch/fr/maison/acheter/lieu-pigniu" TargetMode="External"/><Relationship Id="rId3165" Type="http://schemas.openxmlformats.org/officeDocument/2006/relationships/hyperlink" Target="https://www.immoscout24.ch/fr/appartement/acheter/lieu-dully" TargetMode="External"/><Relationship Id="rId4496" Type="http://schemas.openxmlformats.org/officeDocument/2006/relationships/hyperlink" Target="https://www.immoscout24.ch/fr/appartement/acheter/lieu-muenster-vs" TargetMode="External"/><Relationship Id="rId3168" Type="http://schemas.openxmlformats.org/officeDocument/2006/relationships/hyperlink" Target="https://www.immoscout24.ch/fr/maison/acheter/lieu-matten-b-interlaken" TargetMode="External"/><Relationship Id="rId4499" Type="http://schemas.openxmlformats.org/officeDocument/2006/relationships/hyperlink" Target="https://www.immoscout24.ch/fr/maison/acheter/lieu-courchavon" TargetMode="External"/><Relationship Id="rId3167" Type="http://schemas.openxmlformats.org/officeDocument/2006/relationships/hyperlink" Target="https://www.immoscout24.ch/fr/maison/acheter/lieu-matten-b-interlaken" TargetMode="External"/><Relationship Id="rId4498" Type="http://schemas.openxmlformats.org/officeDocument/2006/relationships/hyperlink" Target="https://www.immoscout24.ch/fr/maison/acheter/lieu-pigniu" TargetMode="External"/><Relationship Id="rId3169" Type="http://schemas.openxmlformats.org/officeDocument/2006/relationships/hyperlink" Target="https://www.immoscout24.ch/fr/maison/acheter/lieu-chessel" TargetMode="External"/><Relationship Id="rId5813" Type="http://schemas.openxmlformats.org/officeDocument/2006/relationships/hyperlink" Target="https://www.immoscout24.ch/fr/appartement/louer/lieu-wallenbuch" TargetMode="External"/><Relationship Id="rId5814" Type="http://schemas.openxmlformats.org/officeDocument/2006/relationships/hyperlink" Target="https://www.immoscout24.ch/fr/appartement/louer/lieu-wallenbuch" TargetMode="External"/><Relationship Id="rId5811" Type="http://schemas.openxmlformats.org/officeDocument/2006/relationships/hyperlink" Target="https://www.immoscout24.ch/fr/appartement/louer/quartier-beaux-arts-neuchatel" TargetMode="External"/><Relationship Id="rId5812" Type="http://schemas.openxmlformats.org/officeDocument/2006/relationships/hyperlink" Target="https://www.immoscout24.ch/fr/appartement/louer/quartier-beaux-arts-neuchatel" TargetMode="External"/><Relationship Id="rId5817" Type="http://schemas.openxmlformats.org/officeDocument/2006/relationships/hyperlink" Target="https://www.immoscout24.ch/fr/maison/louer/lieu-les-plans-sur-bex" TargetMode="External"/><Relationship Id="rId5818" Type="http://schemas.openxmlformats.org/officeDocument/2006/relationships/hyperlink" Target="https://www.immoscout24.ch/fr/maison/louer/lieu-les-plans-sur-bex" TargetMode="External"/><Relationship Id="rId5815" Type="http://schemas.openxmlformats.org/officeDocument/2006/relationships/hyperlink" Target="https://www.immoscout24.ch/fr/appartement/louer/lieu-conches" TargetMode="External"/><Relationship Id="rId5816" Type="http://schemas.openxmlformats.org/officeDocument/2006/relationships/hyperlink" Target="https://www.immoscout24.ch/fr/appartement/louer/lieu-conches" TargetMode="External"/><Relationship Id="rId5819" Type="http://schemas.openxmlformats.org/officeDocument/2006/relationships/hyperlink" Target="https://www.immoscout24.ch/fr/appartement/acheter/lieu-champagne" TargetMode="External"/><Relationship Id="rId5810" Type="http://schemas.openxmlformats.org/officeDocument/2006/relationships/hyperlink" Target="https://www.immoscout24.ch/fr/appartement/acheter/lieu-brent" TargetMode="External"/><Relationship Id="rId5802" Type="http://schemas.openxmlformats.org/officeDocument/2006/relationships/hyperlink" Target="https://www.immoscout24.ch/fr/appartement/louer/quartier-la-coudre-neuchatel" TargetMode="External"/><Relationship Id="rId5803" Type="http://schemas.openxmlformats.org/officeDocument/2006/relationships/hyperlink" Target="https://www.immoscout24.ch/fr/appartement/louer/lieu-courlevon" TargetMode="External"/><Relationship Id="rId5800" Type="http://schemas.openxmlformats.org/officeDocument/2006/relationships/hyperlink" Target="https://www.immoscout24.ch/fr/maison/acheter/lieu-baetterkinden" TargetMode="External"/><Relationship Id="rId5801" Type="http://schemas.openxmlformats.org/officeDocument/2006/relationships/hyperlink" Target="https://www.immoscout24.ch/fr/appartement/louer/quartier-la-coudre-neuchatel" TargetMode="External"/><Relationship Id="rId5806" Type="http://schemas.openxmlformats.org/officeDocument/2006/relationships/hyperlink" Target="https://www.immoscout24.ch/fr/appartement/louer/lieu-necker" TargetMode="External"/><Relationship Id="rId5807" Type="http://schemas.openxmlformats.org/officeDocument/2006/relationships/hyperlink" Target="https://www.immoscout24.ch/fr/appartement/acheter/lieu-granges-vs" TargetMode="External"/><Relationship Id="rId5804" Type="http://schemas.openxmlformats.org/officeDocument/2006/relationships/hyperlink" Target="https://www.immoscout24.ch/fr/appartement/louer/lieu-courlevon" TargetMode="External"/><Relationship Id="rId5805" Type="http://schemas.openxmlformats.org/officeDocument/2006/relationships/hyperlink" Target="https://www.immoscout24.ch/fr/appartement/louer/lieu-necker" TargetMode="External"/><Relationship Id="rId5808" Type="http://schemas.openxmlformats.org/officeDocument/2006/relationships/hyperlink" Target="https://www.immoscout24.ch/fr/appartement/acheter/lieu-granges-vs" TargetMode="External"/><Relationship Id="rId5809" Type="http://schemas.openxmlformats.org/officeDocument/2006/relationships/hyperlink" Target="https://www.immoscout24.ch/fr/appartement/acheter/lieu-brent" TargetMode="External"/><Relationship Id="rId4503" Type="http://schemas.openxmlformats.org/officeDocument/2006/relationships/hyperlink" Target="https://www.immoscout24.ch/fr/maison/louer/lieu-twann" TargetMode="External"/><Relationship Id="rId5835" Type="http://schemas.openxmlformats.org/officeDocument/2006/relationships/hyperlink" Target="https://www.immoscout24.ch/fr/appartement/acheter/lieu-st-leonard" TargetMode="External"/><Relationship Id="rId4502" Type="http://schemas.openxmlformats.org/officeDocument/2006/relationships/hyperlink" Target="https://www.immoscout24.ch/fr/maison/acheter/lieu-chapelle-sur-moudon" TargetMode="External"/><Relationship Id="rId5836" Type="http://schemas.openxmlformats.org/officeDocument/2006/relationships/hyperlink" Target="https://www.immoscout24.ch/fr/appartement/acheter/lieu-st-leonard" TargetMode="External"/><Relationship Id="rId4505" Type="http://schemas.openxmlformats.org/officeDocument/2006/relationships/hyperlink" Target="https://www.immoscout24.ch/fr/maison/acheter/canton-obwald" TargetMode="External"/><Relationship Id="rId5833" Type="http://schemas.openxmlformats.org/officeDocument/2006/relationships/hyperlink" Target="https://www.immoscout24.ch/fr/maison/acheter/lieu-vich" TargetMode="External"/><Relationship Id="rId4504" Type="http://schemas.openxmlformats.org/officeDocument/2006/relationships/hyperlink" Target="https://www.immoscout24.ch/fr/maison/louer/lieu-twann" TargetMode="External"/><Relationship Id="rId5834" Type="http://schemas.openxmlformats.org/officeDocument/2006/relationships/hyperlink" Target="https://www.immoscout24.ch/fr/maison/acheter/lieu-vich" TargetMode="External"/><Relationship Id="rId4507" Type="http://schemas.openxmlformats.org/officeDocument/2006/relationships/hyperlink" Target="https://www.immoscout24.ch/fr/maison/acheter/lieu-bachenbuelach" TargetMode="External"/><Relationship Id="rId5839" Type="http://schemas.openxmlformats.org/officeDocument/2006/relationships/hyperlink" Target="https://www.immoscout24.ch/fr/appartement/louer/lieu-frutigen" TargetMode="External"/><Relationship Id="rId4506" Type="http://schemas.openxmlformats.org/officeDocument/2006/relationships/hyperlink" Target="https://www.immoscout24.ch/fr/maison/acheter/canton-obwald" TargetMode="External"/><Relationship Id="rId4509" Type="http://schemas.openxmlformats.org/officeDocument/2006/relationships/hyperlink" Target="https://www.immoscout24.ch/fr/appartement/acheter/lieu-basel" TargetMode="External"/><Relationship Id="rId5837" Type="http://schemas.openxmlformats.org/officeDocument/2006/relationships/hyperlink" Target="https://www.immoscout24.ch/fr/appartement/louer/lieu-vinelz" TargetMode="External"/><Relationship Id="rId4508" Type="http://schemas.openxmlformats.org/officeDocument/2006/relationships/hyperlink" Target="https://www.immoscout24.ch/fr/maison/acheter/lieu-bachenbuelach" TargetMode="External"/><Relationship Id="rId5838" Type="http://schemas.openxmlformats.org/officeDocument/2006/relationships/hyperlink" Target="https://www.immoscout24.ch/fr/appartement/louer/lieu-vinelz" TargetMode="External"/><Relationship Id="rId5831" Type="http://schemas.openxmlformats.org/officeDocument/2006/relationships/hyperlink" Target="https://www.immoscout24.ch/fr/maison/louer/lieu-menieres" TargetMode="External"/><Relationship Id="rId5832" Type="http://schemas.openxmlformats.org/officeDocument/2006/relationships/hyperlink" Target="https://www.immoscout24.ch/fr/maison/louer/lieu-menieres" TargetMode="External"/><Relationship Id="rId4501" Type="http://schemas.openxmlformats.org/officeDocument/2006/relationships/hyperlink" Target="https://www.immoscout24.ch/fr/maison/acheter/lieu-chapelle-sur-moudon" TargetMode="External"/><Relationship Id="rId4500" Type="http://schemas.openxmlformats.org/officeDocument/2006/relationships/hyperlink" Target="https://www.immoscout24.ch/fr/maison/acheter/lieu-courchavon" TargetMode="External"/><Relationship Id="rId5830" Type="http://schemas.openxmlformats.org/officeDocument/2006/relationships/hyperlink" Target="https://www.immoscout24.ch/fr/maison/acheter/region-laufenburg-rheinfelden" TargetMode="External"/><Relationship Id="rId5824" Type="http://schemas.openxmlformats.org/officeDocument/2006/relationships/hyperlink" Target="https://www.immoscout24.ch/fr/maison/louer/lieu-ligerz" TargetMode="External"/><Relationship Id="rId5825" Type="http://schemas.openxmlformats.org/officeDocument/2006/relationships/hyperlink" Target="https://www.immoscout24.ch/fr/appartement/louer/lieu-obfelden" TargetMode="External"/><Relationship Id="rId5822" Type="http://schemas.openxmlformats.org/officeDocument/2006/relationships/hyperlink" Target="https://www.immoscout24.ch/fr/maison/louer/lieu-eschert" TargetMode="External"/><Relationship Id="rId5823" Type="http://schemas.openxmlformats.org/officeDocument/2006/relationships/hyperlink" Target="https://www.immoscout24.ch/fr/maison/louer/lieu-ligerz" TargetMode="External"/><Relationship Id="rId5828" Type="http://schemas.openxmlformats.org/officeDocument/2006/relationships/hyperlink" Target="https://www.immoscout24.ch/fr/maison/acheter/lieu-le-chable-vs" TargetMode="External"/><Relationship Id="rId5829" Type="http://schemas.openxmlformats.org/officeDocument/2006/relationships/hyperlink" Target="https://www.immoscout24.ch/fr/maison/acheter/region-laufenburg-rheinfelden" TargetMode="External"/><Relationship Id="rId5826" Type="http://schemas.openxmlformats.org/officeDocument/2006/relationships/hyperlink" Target="https://www.immoscout24.ch/fr/appartement/louer/lieu-obfelden" TargetMode="External"/><Relationship Id="rId5827" Type="http://schemas.openxmlformats.org/officeDocument/2006/relationships/hyperlink" Target="https://www.immoscout24.ch/fr/maison/acheter/lieu-le-chable-vs" TargetMode="External"/><Relationship Id="rId5820" Type="http://schemas.openxmlformats.org/officeDocument/2006/relationships/hyperlink" Target="https://www.immoscout24.ch/fr/appartement/acheter/lieu-champagne" TargetMode="External"/><Relationship Id="rId5821" Type="http://schemas.openxmlformats.org/officeDocument/2006/relationships/hyperlink" Target="https://www.immoscout24.ch/fr/maison/louer/lieu-eschert" TargetMode="External"/><Relationship Id="rId3238" Type="http://schemas.openxmlformats.org/officeDocument/2006/relationships/hyperlink" Target="https://www.immoscout24.ch/fr/appartement/louer/lieu-huenenberg" TargetMode="External"/><Relationship Id="rId4569" Type="http://schemas.openxmlformats.org/officeDocument/2006/relationships/hyperlink" Target="https://www.immoscout24.ch/fr/maison/acheter/lieu-enney" TargetMode="External"/><Relationship Id="rId3237" Type="http://schemas.openxmlformats.org/officeDocument/2006/relationships/hyperlink" Target="https://www.immoscout24.ch/fr/appartement/louer/lieu-huenenberg" TargetMode="External"/><Relationship Id="rId4568" Type="http://schemas.openxmlformats.org/officeDocument/2006/relationships/hyperlink" Target="https://www.immoscout24.ch/fr/appartement/acheter/canton-st-gall" TargetMode="External"/><Relationship Id="rId5899" Type="http://schemas.openxmlformats.org/officeDocument/2006/relationships/hyperlink" Target="https://www.immoscout24.ch/fr/maison/acheter/lieu-cologny" TargetMode="External"/><Relationship Id="rId3239" Type="http://schemas.openxmlformats.org/officeDocument/2006/relationships/hyperlink" Target="https://www.immoscout24.ch/fr/appartement/acheter/lieu-versegeres" TargetMode="External"/><Relationship Id="rId5890" Type="http://schemas.openxmlformats.org/officeDocument/2006/relationships/hyperlink" Target="https://www.immoscout24.ch/fr/appartement/louer/lieu-forel-lavaux" TargetMode="External"/><Relationship Id="rId3230" Type="http://schemas.openxmlformats.org/officeDocument/2006/relationships/hyperlink" Target="https://www.immoscout24.ch/fr/appartement/acheter/lieu-luescherz" TargetMode="External"/><Relationship Id="rId4561" Type="http://schemas.openxmlformats.org/officeDocument/2006/relationships/hyperlink" Target="https://www.immoscout24.ch/fr/appartement/louer/lieu-le-brassus" TargetMode="External"/><Relationship Id="rId5893" Type="http://schemas.openxmlformats.org/officeDocument/2006/relationships/hyperlink" Target="https://www.immoscout24.ch/fr/maison/louer/lieu-la-comballaz" TargetMode="External"/><Relationship Id="rId4560" Type="http://schemas.openxmlformats.org/officeDocument/2006/relationships/hyperlink" Target="https://www.immoscout24.ch/fr/appartement/louer/lieu-zuben" TargetMode="External"/><Relationship Id="rId5894" Type="http://schemas.openxmlformats.org/officeDocument/2006/relationships/hyperlink" Target="https://www.immoscout24.ch/fr/maison/louer/lieu-la-comballaz" TargetMode="External"/><Relationship Id="rId3232" Type="http://schemas.openxmlformats.org/officeDocument/2006/relationships/hyperlink" Target="https://www.immoscout24.ch/fr/appartement/louer/lieu-otelfingen" TargetMode="External"/><Relationship Id="rId4563" Type="http://schemas.openxmlformats.org/officeDocument/2006/relationships/hyperlink" Target="https://www.immoscout24.ch/fr/maison/acheter/lieu-avully" TargetMode="External"/><Relationship Id="rId5891" Type="http://schemas.openxmlformats.org/officeDocument/2006/relationships/hyperlink" Target="https://www.immoscout24.ch/fr/appartement/louer/lieu-hospental" TargetMode="External"/><Relationship Id="rId3231" Type="http://schemas.openxmlformats.org/officeDocument/2006/relationships/hyperlink" Target="https://www.immoscout24.ch/fr/appartement/louer/lieu-otelfingen" TargetMode="External"/><Relationship Id="rId4562" Type="http://schemas.openxmlformats.org/officeDocument/2006/relationships/hyperlink" Target="https://www.immoscout24.ch/fr/appartement/louer/lieu-le-brassus" TargetMode="External"/><Relationship Id="rId5892" Type="http://schemas.openxmlformats.org/officeDocument/2006/relationships/hyperlink" Target="https://www.immoscout24.ch/fr/appartement/louer/lieu-hospental" TargetMode="External"/><Relationship Id="rId3234" Type="http://schemas.openxmlformats.org/officeDocument/2006/relationships/hyperlink" Target="https://www.immoscout24.ch/fr/maison/louer/lieu-middes" TargetMode="External"/><Relationship Id="rId4565" Type="http://schemas.openxmlformats.org/officeDocument/2006/relationships/hyperlink" Target="https://www.immoscout24.ch/fr/maison/acheter/lieu-vernate" TargetMode="External"/><Relationship Id="rId5897" Type="http://schemas.openxmlformats.org/officeDocument/2006/relationships/hyperlink" Target="https://www.immoscout24.ch/fr/appartement/acheter/lieu-ernen" TargetMode="External"/><Relationship Id="rId3233" Type="http://schemas.openxmlformats.org/officeDocument/2006/relationships/hyperlink" Target="https://www.immoscout24.ch/fr/maison/louer/lieu-middes" TargetMode="External"/><Relationship Id="rId4564" Type="http://schemas.openxmlformats.org/officeDocument/2006/relationships/hyperlink" Target="https://www.immoscout24.ch/fr/maison/acheter/lieu-avully" TargetMode="External"/><Relationship Id="rId5898" Type="http://schemas.openxmlformats.org/officeDocument/2006/relationships/hyperlink" Target="https://www.immoscout24.ch/fr/appartement/acheter/lieu-ernen" TargetMode="External"/><Relationship Id="rId3236" Type="http://schemas.openxmlformats.org/officeDocument/2006/relationships/hyperlink" Target="https://www.immoscout24.ch/fr/appartement/acheter/lieu-lechelles" TargetMode="External"/><Relationship Id="rId4567" Type="http://schemas.openxmlformats.org/officeDocument/2006/relationships/hyperlink" Target="https://www.immoscout24.ch/fr/appartement/acheter/canton-st-gall" TargetMode="External"/><Relationship Id="rId5895" Type="http://schemas.openxmlformats.org/officeDocument/2006/relationships/hyperlink" Target="https://www.immoscout24.ch/fr/appartement/louer/lieu-jongny" TargetMode="External"/><Relationship Id="rId3235" Type="http://schemas.openxmlformats.org/officeDocument/2006/relationships/hyperlink" Target="https://www.immoscout24.ch/fr/appartement/acheter/lieu-lechelles" TargetMode="External"/><Relationship Id="rId4566" Type="http://schemas.openxmlformats.org/officeDocument/2006/relationships/hyperlink" Target="https://www.immoscout24.ch/fr/maison/acheter/lieu-vernate" TargetMode="External"/><Relationship Id="rId5896" Type="http://schemas.openxmlformats.org/officeDocument/2006/relationships/hyperlink" Target="https://www.immoscout24.ch/fr/appartement/louer/lieu-jongny" TargetMode="External"/><Relationship Id="rId3227" Type="http://schemas.openxmlformats.org/officeDocument/2006/relationships/hyperlink" Target="https://www.immoscout24.ch/fr/appartement/louer/lieu-essert-sous-champvent" TargetMode="External"/><Relationship Id="rId4558" Type="http://schemas.openxmlformats.org/officeDocument/2006/relationships/hyperlink" Target="https://www.immoscout24.ch/fr/appartement/louer/lieu-rheineck" TargetMode="External"/><Relationship Id="rId3226" Type="http://schemas.openxmlformats.org/officeDocument/2006/relationships/hyperlink" Target="https://www.immoscout24.ch/fr/appartement/louer/quartier-davesco-soragno-lugano" TargetMode="External"/><Relationship Id="rId4557" Type="http://schemas.openxmlformats.org/officeDocument/2006/relationships/hyperlink" Target="https://www.immoscout24.ch/fr/appartement/louer/lieu-rheineck" TargetMode="External"/><Relationship Id="rId3229" Type="http://schemas.openxmlformats.org/officeDocument/2006/relationships/hyperlink" Target="https://www.immoscout24.ch/fr/appartement/acheter/lieu-luescherz" TargetMode="External"/><Relationship Id="rId5888" Type="http://schemas.openxmlformats.org/officeDocument/2006/relationships/hyperlink" Target="https://www.immoscout24.ch/fr/appartement/acheter/lieu-varen" TargetMode="External"/><Relationship Id="rId3228" Type="http://schemas.openxmlformats.org/officeDocument/2006/relationships/hyperlink" Target="https://www.immoscout24.ch/fr/appartement/louer/lieu-essert-sous-champvent" TargetMode="External"/><Relationship Id="rId4559" Type="http://schemas.openxmlformats.org/officeDocument/2006/relationships/hyperlink" Target="https://www.immoscout24.ch/fr/appartement/louer/lieu-zuben" TargetMode="External"/><Relationship Id="rId5889" Type="http://schemas.openxmlformats.org/officeDocument/2006/relationships/hyperlink" Target="https://www.immoscout24.ch/fr/appartement/louer/lieu-forel-lavaux" TargetMode="External"/><Relationship Id="rId4550" Type="http://schemas.openxmlformats.org/officeDocument/2006/relationships/hyperlink" Target="https://www.immoscout24.ch/fr/appartement/acheter/lieu-greppen" TargetMode="External"/><Relationship Id="rId5882" Type="http://schemas.openxmlformats.org/officeDocument/2006/relationships/hyperlink" Target="https://www.immoscout24.ch/fr/appartement/louer/lieu-argnou-ayent" TargetMode="External"/><Relationship Id="rId5883" Type="http://schemas.openxmlformats.org/officeDocument/2006/relationships/hyperlink" Target="https://www.immoscout24.ch/fr/appartement/louer/lieu-montavon" TargetMode="External"/><Relationship Id="rId3221" Type="http://schemas.openxmlformats.org/officeDocument/2006/relationships/hyperlink" Target="https://www.immoscout24.ch/fr/appartement/louer/lieu-boussens" TargetMode="External"/><Relationship Id="rId4552" Type="http://schemas.openxmlformats.org/officeDocument/2006/relationships/hyperlink" Target="https://www.immoscout24.ch/fr/appartement/louer/lieu-st-saphorin-lavaux" TargetMode="External"/><Relationship Id="rId5880" Type="http://schemas.openxmlformats.org/officeDocument/2006/relationships/hyperlink" Target="https://www.immoscout24.ch/fr/appartement/acheter/lieu-cevio" TargetMode="External"/><Relationship Id="rId3220" Type="http://schemas.openxmlformats.org/officeDocument/2006/relationships/hyperlink" Target="https://www.immoscout24.ch/fr/appartement/acheter/lieu-la-punt-chamues-ch" TargetMode="External"/><Relationship Id="rId4551" Type="http://schemas.openxmlformats.org/officeDocument/2006/relationships/hyperlink" Target="https://www.immoscout24.ch/fr/appartement/louer/lieu-st-saphorin-lavaux" TargetMode="External"/><Relationship Id="rId5881" Type="http://schemas.openxmlformats.org/officeDocument/2006/relationships/hyperlink" Target="https://www.immoscout24.ch/fr/appartement/louer/lieu-argnou-ayent" TargetMode="External"/><Relationship Id="rId3223" Type="http://schemas.openxmlformats.org/officeDocument/2006/relationships/hyperlink" Target="https://www.immoscout24.ch/fr/appartement/louer/lieu-ernen" TargetMode="External"/><Relationship Id="rId4554" Type="http://schemas.openxmlformats.org/officeDocument/2006/relationships/hyperlink" Target="https://www.immoscout24.ch/fr/appartement/acheter/lieu-flims-dorf" TargetMode="External"/><Relationship Id="rId5886" Type="http://schemas.openxmlformats.org/officeDocument/2006/relationships/hyperlink" Target="https://www.immoscout24.ch/fr/appartement/acheter/lieu-grenilles" TargetMode="External"/><Relationship Id="rId3222" Type="http://schemas.openxmlformats.org/officeDocument/2006/relationships/hyperlink" Target="https://www.immoscout24.ch/fr/appartement/louer/lieu-boussens" TargetMode="External"/><Relationship Id="rId4553" Type="http://schemas.openxmlformats.org/officeDocument/2006/relationships/hyperlink" Target="https://www.immoscout24.ch/fr/appartement/acheter/lieu-flims-dorf" TargetMode="External"/><Relationship Id="rId5887" Type="http://schemas.openxmlformats.org/officeDocument/2006/relationships/hyperlink" Target="https://www.immoscout24.ch/fr/appartement/acheter/lieu-varen" TargetMode="External"/><Relationship Id="rId3225" Type="http://schemas.openxmlformats.org/officeDocument/2006/relationships/hyperlink" Target="https://www.immoscout24.ch/fr/appartement/louer/quartier-davesco-soragno-lugano" TargetMode="External"/><Relationship Id="rId4556" Type="http://schemas.openxmlformats.org/officeDocument/2006/relationships/hyperlink" Target="https://www.immoscout24.ch/fr/maison/acheter/lieu-bouloz" TargetMode="External"/><Relationship Id="rId5884" Type="http://schemas.openxmlformats.org/officeDocument/2006/relationships/hyperlink" Target="https://www.immoscout24.ch/fr/appartement/louer/lieu-montavon" TargetMode="External"/><Relationship Id="rId3224" Type="http://schemas.openxmlformats.org/officeDocument/2006/relationships/hyperlink" Target="https://www.immoscout24.ch/fr/appartement/louer/lieu-ernen" TargetMode="External"/><Relationship Id="rId4555" Type="http://schemas.openxmlformats.org/officeDocument/2006/relationships/hyperlink" Target="https://www.immoscout24.ch/fr/maison/acheter/lieu-bouloz" TargetMode="External"/><Relationship Id="rId5885" Type="http://schemas.openxmlformats.org/officeDocument/2006/relationships/hyperlink" Target="https://www.immoscout24.ch/fr/appartement/acheter/lieu-grenilles" TargetMode="External"/><Relationship Id="rId3259" Type="http://schemas.openxmlformats.org/officeDocument/2006/relationships/hyperlink" Target="https://www.immoscout24.ch/fr/maison/acheter/lieu-chavannes-sous-orsonnens" TargetMode="External"/><Relationship Id="rId3250" Type="http://schemas.openxmlformats.org/officeDocument/2006/relationships/hyperlink" Target="https://www.immoscout24.ch/fr/maison/louer/region-sion-sierre-et-environs" TargetMode="External"/><Relationship Id="rId4581" Type="http://schemas.openxmlformats.org/officeDocument/2006/relationships/hyperlink" Target="https://www.immoscout24.ch/fr/maison/acheter/canton-tessin" TargetMode="External"/><Relationship Id="rId4580" Type="http://schemas.openxmlformats.org/officeDocument/2006/relationships/hyperlink" Target="https://www.immoscout24.ch/fr/appartement/acheter/lieu-hinterkappelen" TargetMode="External"/><Relationship Id="rId3252" Type="http://schemas.openxmlformats.org/officeDocument/2006/relationships/hyperlink" Target="https://www.immoscout24.ch/fr/maison/acheter/lieu-constantine" TargetMode="External"/><Relationship Id="rId4583" Type="http://schemas.openxmlformats.org/officeDocument/2006/relationships/hyperlink" Target="https://www.immoscout24.ch/fr/appartement/acheter/lieu-reutlingen-winterthur" TargetMode="External"/><Relationship Id="rId3251" Type="http://schemas.openxmlformats.org/officeDocument/2006/relationships/hyperlink" Target="https://www.immoscout24.ch/fr/maison/acheter/lieu-constantine" TargetMode="External"/><Relationship Id="rId4582" Type="http://schemas.openxmlformats.org/officeDocument/2006/relationships/hyperlink" Target="https://www.immoscout24.ch/fr/maison/acheter/canton-tessin" TargetMode="External"/><Relationship Id="rId3254" Type="http://schemas.openxmlformats.org/officeDocument/2006/relationships/hyperlink" Target="https://www.immoscout24.ch/fr/appartement/acheter/lieu-st-saphorin-sur-morges" TargetMode="External"/><Relationship Id="rId4585" Type="http://schemas.openxmlformats.org/officeDocument/2006/relationships/hyperlink" Target="https://www.immoscout24.ch/fr/maison/acheter/lieu-pery" TargetMode="External"/><Relationship Id="rId3253" Type="http://schemas.openxmlformats.org/officeDocument/2006/relationships/hyperlink" Target="https://www.immoscout24.ch/fr/appartement/acheter/lieu-st-saphorin-sur-morges" TargetMode="External"/><Relationship Id="rId4584" Type="http://schemas.openxmlformats.org/officeDocument/2006/relationships/hyperlink" Target="https://www.immoscout24.ch/fr/appartement/acheter/lieu-reutlingen-winterthur" TargetMode="External"/><Relationship Id="rId3256" Type="http://schemas.openxmlformats.org/officeDocument/2006/relationships/hyperlink" Target="https://www.immoscout24.ch/fr/maison/louer/lieu-rasa" TargetMode="External"/><Relationship Id="rId4587" Type="http://schemas.openxmlformats.org/officeDocument/2006/relationships/hyperlink" Target="https://www.immoscout24.ch/fr/appartement/louer/lieu-mezieres-vd" TargetMode="External"/><Relationship Id="rId3255" Type="http://schemas.openxmlformats.org/officeDocument/2006/relationships/hyperlink" Target="https://www.immoscout24.ch/fr/maison/louer/lieu-rasa" TargetMode="External"/><Relationship Id="rId4586" Type="http://schemas.openxmlformats.org/officeDocument/2006/relationships/hyperlink" Target="https://www.immoscout24.ch/fr/maison/acheter/lieu-pery" TargetMode="External"/><Relationship Id="rId3258" Type="http://schemas.openxmlformats.org/officeDocument/2006/relationships/hyperlink" Target="https://www.immoscout24.ch/fr/appartement/acheter/lieu-morschach" TargetMode="External"/><Relationship Id="rId4589" Type="http://schemas.openxmlformats.org/officeDocument/2006/relationships/hyperlink" Target="https://www.immoscout24.ch/fr/appartement/louer/lieu-giswil" TargetMode="External"/><Relationship Id="rId3257" Type="http://schemas.openxmlformats.org/officeDocument/2006/relationships/hyperlink" Target="https://www.immoscout24.ch/fr/appartement/acheter/lieu-morschach" TargetMode="External"/><Relationship Id="rId4588" Type="http://schemas.openxmlformats.org/officeDocument/2006/relationships/hyperlink" Target="https://www.immoscout24.ch/fr/appartement/louer/lieu-mezieres-vd" TargetMode="External"/><Relationship Id="rId3249" Type="http://schemas.openxmlformats.org/officeDocument/2006/relationships/hyperlink" Target="https://www.immoscout24.ch/fr/maison/louer/region-sion-sierre-et-environs" TargetMode="External"/><Relationship Id="rId3248" Type="http://schemas.openxmlformats.org/officeDocument/2006/relationships/hyperlink" Target="https://www.immoscout24.ch/fr/appartement/louer/quartier-cluse-philosophes-geneve" TargetMode="External"/><Relationship Id="rId4579" Type="http://schemas.openxmlformats.org/officeDocument/2006/relationships/hyperlink" Target="https://www.immoscout24.ch/fr/appartement/acheter/lieu-hinterkappelen" TargetMode="External"/><Relationship Id="rId4570" Type="http://schemas.openxmlformats.org/officeDocument/2006/relationships/hyperlink" Target="https://www.immoscout24.ch/fr/maison/acheter/lieu-enney" TargetMode="External"/><Relationship Id="rId3241" Type="http://schemas.openxmlformats.org/officeDocument/2006/relationships/hyperlink" Target="https://www.immoscout24.ch/fr/maison/acheter/pays-grece" TargetMode="External"/><Relationship Id="rId4572" Type="http://schemas.openxmlformats.org/officeDocument/2006/relationships/hyperlink" Target="https://www.immoscout24.ch/fr/maison/acheter/lieu-grandsivaz" TargetMode="External"/><Relationship Id="rId3240" Type="http://schemas.openxmlformats.org/officeDocument/2006/relationships/hyperlink" Target="https://www.immoscout24.ch/fr/appartement/acheter/lieu-versegeres" TargetMode="External"/><Relationship Id="rId4571" Type="http://schemas.openxmlformats.org/officeDocument/2006/relationships/hyperlink" Target="https://www.immoscout24.ch/fr/maison/acheter/lieu-grandsivaz" TargetMode="External"/><Relationship Id="rId3243" Type="http://schemas.openxmlformats.org/officeDocument/2006/relationships/hyperlink" Target="https://www.immoscout24.ch/fr/maison/acheter/lieu-buerchen" TargetMode="External"/><Relationship Id="rId4574" Type="http://schemas.openxmlformats.org/officeDocument/2006/relationships/hyperlink" Target="https://www.immoscout24.ch/fr/appartement/louer/lieu-courchapoix" TargetMode="External"/><Relationship Id="rId3242" Type="http://schemas.openxmlformats.org/officeDocument/2006/relationships/hyperlink" Target="https://www.immoscout24.ch/fr/maison/acheter/pays-grece" TargetMode="External"/><Relationship Id="rId4573" Type="http://schemas.openxmlformats.org/officeDocument/2006/relationships/hyperlink" Target="https://www.immoscout24.ch/fr/appartement/louer/lieu-courchapoix" TargetMode="External"/><Relationship Id="rId3245" Type="http://schemas.openxmlformats.org/officeDocument/2006/relationships/hyperlink" Target="https://www.immoscout24.ch/fr/maison/acheter/lieu-aurigeno" TargetMode="External"/><Relationship Id="rId4576" Type="http://schemas.openxmlformats.org/officeDocument/2006/relationships/hyperlink" Target="https://www.immoscout24.ch/fr/appartement/louer/lieu-champvent" TargetMode="External"/><Relationship Id="rId3244" Type="http://schemas.openxmlformats.org/officeDocument/2006/relationships/hyperlink" Target="https://www.immoscout24.ch/fr/maison/acheter/lieu-buerchen" TargetMode="External"/><Relationship Id="rId4575" Type="http://schemas.openxmlformats.org/officeDocument/2006/relationships/hyperlink" Target="https://www.immoscout24.ch/fr/appartement/louer/lieu-champvent" TargetMode="External"/><Relationship Id="rId3247" Type="http://schemas.openxmlformats.org/officeDocument/2006/relationships/hyperlink" Target="https://www.immoscout24.ch/fr/appartement/louer/quartier-cluse-philosophes-geneve" TargetMode="External"/><Relationship Id="rId4578" Type="http://schemas.openxmlformats.org/officeDocument/2006/relationships/hyperlink" Target="https://www.immoscout24.ch/fr/appartement/acheter/lieu-koeniz" TargetMode="External"/><Relationship Id="rId3246" Type="http://schemas.openxmlformats.org/officeDocument/2006/relationships/hyperlink" Target="https://www.immoscout24.ch/fr/maison/acheter/lieu-aurigeno" TargetMode="External"/><Relationship Id="rId4577" Type="http://schemas.openxmlformats.org/officeDocument/2006/relationships/hyperlink" Target="https://www.immoscout24.ch/fr/appartement/acheter/lieu-koeniz" TargetMode="External"/><Relationship Id="rId4525" Type="http://schemas.openxmlformats.org/officeDocument/2006/relationships/hyperlink" Target="https://www.immoscout24.ch/fr/appartement/louer/lieu-gurmels" TargetMode="External"/><Relationship Id="rId5857" Type="http://schemas.openxmlformats.org/officeDocument/2006/relationships/hyperlink" Target="https://www.immoscout24.ch/fr/maison/louer/lieu-wallisellen" TargetMode="External"/><Relationship Id="rId4524" Type="http://schemas.openxmlformats.org/officeDocument/2006/relationships/hyperlink" Target="https://www.immoscout24.ch/fr/maison/acheter/canton-fribourg" TargetMode="External"/><Relationship Id="rId5858" Type="http://schemas.openxmlformats.org/officeDocument/2006/relationships/hyperlink" Target="https://www.immoscout24.ch/fr/maison/louer/lieu-wallisellen" TargetMode="External"/><Relationship Id="rId4527" Type="http://schemas.openxmlformats.org/officeDocument/2006/relationships/hyperlink" Target="https://www.immoscout24.ch/fr/maison/acheter/lieu-tolochenaz" TargetMode="External"/><Relationship Id="rId5855" Type="http://schemas.openxmlformats.org/officeDocument/2006/relationships/hyperlink" Target="https://www.immoscout24.ch/fr/maison/acheter/lieu-seedorf-be" TargetMode="External"/><Relationship Id="rId4526" Type="http://schemas.openxmlformats.org/officeDocument/2006/relationships/hyperlink" Target="https://www.immoscout24.ch/fr/appartement/louer/lieu-gurmels" TargetMode="External"/><Relationship Id="rId5856" Type="http://schemas.openxmlformats.org/officeDocument/2006/relationships/hyperlink" Target="https://www.immoscout24.ch/fr/maison/acheter/lieu-seedorf-be" TargetMode="External"/><Relationship Id="rId4529" Type="http://schemas.openxmlformats.org/officeDocument/2006/relationships/hyperlink" Target="https://www.immoscout24.ch/fr/appartement/acheter/lieu-villeneuve-vd" TargetMode="External"/><Relationship Id="rId4528" Type="http://schemas.openxmlformats.org/officeDocument/2006/relationships/hyperlink" Target="https://www.immoscout24.ch/fr/maison/acheter/lieu-tolochenaz" TargetMode="External"/><Relationship Id="rId5859" Type="http://schemas.openxmlformats.org/officeDocument/2006/relationships/hyperlink" Target="https://www.immoscout24.ch/fr/appartement/louer/lieu-develier" TargetMode="External"/><Relationship Id="rId5850" Type="http://schemas.openxmlformats.org/officeDocument/2006/relationships/hyperlink" Target="https://www.immoscout24.ch/fr/appartement/acheter/lieu-toffen" TargetMode="External"/><Relationship Id="rId4521" Type="http://schemas.openxmlformats.org/officeDocument/2006/relationships/hyperlink" Target="https://www.immoscout24.ch/fr/appartement/louer/lieu-les-emibois" TargetMode="External"/><Relationship Id="rId5853" Type="http://schemas.openxmlformats.org/officeDocument/2006/relationships/hyperlink" Target="https://www.immoscout24.ch/fr/appartement/louer/lieu-crans-montana" TargetMode="External"/><Relationship Id="rId4520" Type="http://schemas.openxmlformats.org/officeDocument/2006/relationships/hyperlink" Target="https://www.immoscout24.ch/fr/appartement/louer/lieu-oberramsern" TargetMode="External"/><Relationship Id="rId5854" Type="http://schemas.openxmlformats.org/officeDocument/2006/relationships/hyperlink" Target="https://www.immoscout24.ch/fr/appartement/louer/lieu-crans-montana" TargetMode="External"/><Relationship Id="rId4523" Type="http://schemas.openxmlformats.org/officeDocument/2006/relationships/hyperlink" Target="https://www.immoscout24.ch/fr/maison/acheter/canton-fribourg" TargetMode="External"/><Relationship Id="rId5851" Type="http://schemas.openxmlformats.org/officeDocument/2006/relationships/hyperlink" Target="https://www.immoscout24.ch/fr/appartement/louer/lieu-chapelle-glane" TargetMode="External"/><Relationship Id="rId4522" Type="http://schemas.openxmlformats.org/officeDocument/2006/relationships/hyperlink" Target="https://www.immoscout24.ch/fr/appartement/louer/lieu-les-emibois" TargetMode="External"/><Relationship Id="rId5852" Type="http://schemas.openxmlformats.org/officeDocument/2006/relationships/hyperlink" Target="https://www.immoscout24.ch/fr/appartement/louer/lieu-chapelle-glane" TargetMode="External"/><Relationship Id="rId4514" Type="http://schemas.openxmlformats.org/officeDocument/2006/relationships/hyperlink" Target="https://www.immoscout24.ch/fr/appartement/acheter/quartier-murifeld-berne" TargetMode="External"/><Relationship Id="rId5846" Type="http://schemas.openxmlformats.org/officeDocument/2006/relationships/hyperlink" Target="https://www.immoscout24.ch/fr/maison/acheter/lieu-caux" TargetMode="External"/><Relationship Id="rId4513" Type="http://schemas.openxmlformats.org/officeDocument/2006/relationships/hyperlink" Target="https://www.immoscout24.ch/fr/appartement/acheter/quartier-murifeld-berne" TargetMode="External"/><Relationship Id="rId5847" Type="http://schemas.openxmlformats.org/officeDocument/2006/relationships/hyperlink" Target="https://www.immoscout24.ch/fr/maison/acheter/lieu-vellerat" TargetMode="External"/><Relationship Id="rId4516" Type="http://schemas.openxmlformats.org/officeDocument/2006/relationships/hyperlink" Target="https://www.immoscout24.ch/fr/appartement/acheter/lieu-vella" TargetMode="External"/><Relationship Id="rId5844" Type="http://schemas.openxmlformats.org/officeDocument/2006/relationships/hyperlink" Target="https://www.immoscout24.ch/fr/appartement/acheter/lieu-rancate" TargetMode="External"/><Relationship Id="rId4515" Type="http://schemas.openxmlformats.org/officeDocument/2006/relationships/hyperlink" Target="https://www.immoscout24.ch/fr/appartement/acheter/lieu-vella" TargetMode="External"/><Relationship Id="rId5845" Type="http://schemas.openxmlformats.org/officeDocument/2006/relationships/hyperlink" Target="https://www.immoscout24.ch/fr/maison/acheter/lieu-caux" TargetMode="External"/><Relationship Id="rId4518" Type="http://schemas.openxmlformats.org/officeDocument/2006/relationships/hyperlink" Target="https://www.immoscout24.ch/fr/appartement/louer/region-obwalden" TargetMode="External"/><Relationship Id="rId4517" Type="http://schemas.openxmlformats.org/officeDocument/2006/relationships/hyperlink" Target="https://www.immoscout24.ch/fr/appartement/louer/region-obwalden" TargetMode="External"/><Relationship Id="rId5848" Type="http://schemas.openxmlformats.org/officeDocument/2006/relationships/hyperlink" Target="https://www.immoscout24.ch/fr/maison/acheter/lieu-vellerat" TargetMode="External"/><Relationship Id="rId4519" Type="http://schemas.openxmlformats.org/officeDocument/2006/relationships/hyperlink" Target="https://www.immoscout24.ch/fr/appartement/louer/lieu-oberramsern" TargetMode="External"/><Relationship Id="rId5849" Type="http://schemas.openxmlformats.org/officeDocument/2006/relationships/hyperlink" Target="https://www.immoscout24.ch/fr/appartement/acheter/lieu-toffen" TargetMode="External"/><Relationship Id="rId4510" Type="http://schemas.openxmlformats.org/officeDocument/2006/relationships/hyperlink" Target="https://www.immoscout24.ch/fr/appartement/acheter/lieu-basel" TargetMode="External"/><Relationship Id="rId5842" Type="http://schemas.openxmlformats.org/officeDocument/2006/relationships/hyperlink" Target="https://www.immoscout24.ch/fr/appartement/acheter/lieu-posat" TargetMode="External"/><Relationship Id="rId5843" Type="http://schemas.openxmlformats.org/officeDocument/2006/relationships/hyperlink" Target="https://www.immoscout24.ch/fr/appartement/acheter/lieu-rancate" TargetMode="External"/><Relationship Id="rId4512" Type="http://schemas.openxmlformats.org/officeDocument/2006/relationships/hyperlink" Target="https://www.immoscout24.ch/fr/maison/acheter/quartier-draizes-vauseyon-neuchatel" TargetMode="External"/><Relationship Id="rId5840" Type="http://schemas.openxmlformats.org/officeDocument/2006/relationships/hyperlink" Target="https://www.immoscout24.ch/fr/appartement/louer/lieu-frutigen" TargetMode="External"/><Relationship Id="rId4511" Type="http://schemas.openxmlformats.org/officeDocument/2006/relationships/hyperlink" Target="https://www.immoscout24.ch/fr/maison/acheter/quartier-draizes-vauseyon-neuchatel" TargetMode="External"/><Relationship Id="rId5841" Type="http://schemas.openxmlformats.org/officeDocument/2006/relationships/hyperlink" Target="https://www.immoscout24.ch/fr/appartement/acheter/lieu-posat" TargetMode="External"/><Relationship Id="rId3216" Type="http://schemas.openxmlformats.org/officeDocument/2006/relationships/hyperlink" Target="https://www.immoscout24.ch/fr/maison/acheter/lieu-montreux" TargetMode="External"/><Relationship Id="rId4547" Type="http://schemas.openxmlformats.org/officeDocument/2006/relationships/hyperlink" Target="https://www.immoscout24.ch/fr/appartement/louer/lieu-turgi" TargetMode="External"/><Relationship Id="rId5879" Type="http://schemas.openxmlformats.org/officeDocument/2006/relationships/hyperlink" Target="https://www.immoscout24.ch/fr/appartement/acheter/lieu-cevio" TargetMode="External"/><Relationship Id="rId3215" Type="http://schemas.openxmlformats.org/officeDocument/2006/relationships/hyperlink" Target="https://www.immoscout24.ch/fr/maison/acheter/lieu-montreux" TargetMode="External"/><Relationship Id="rId4546" Type="http://schemas.openxmlformats.org/officeDocument/2006/relationships/hyperlink" Target="https://www.immoscout24.ch/fr/maison/acheter/lieu-herzogenbuchsee" TargetMode="External"/><Relationship Id="rId3218" Type="http://schemas.openxmlformats.org/officeDocument/2006/relationships/hyperlink" Target="https://www.immoscout24.ch/fr/appartement/louer/lieu-ebnat-kappel" TargetMode="External"/><Relationship Id="rId4549" Type="http://schemas.openxmlformats.org/officeDocument/2006/relationships/hyperlink" Target="https://www.immoscout24.ch/fr/appartement/acheter/lieu-greppen" TargetMode="External"/><Relationship Id="rId5877" Type="http://schemas.openxmlformats.org/officeDocument/2006/relationships/hyperlink" Target="https://www.immoscout24.ch/fr/maison/louer/lieu-st-margrethen-sg" TargetMode="External"/><Relationship Id="rId3217" Type="http://schemas.openxmlformats.org/officeDocument/2006/relationships/hyperlink" Target="https://www.immoscout24.ch/fr/appartement/louer/lieu-ebnat-kappel" TargetMode="External"/><Relationship Id="rId4548" Type="http://schemas.openxmlformats.org/officeDocument/2006/relationships/hyperlink" Target="https://www.immoscout24.ch/fr/appartement/louer/lieu-turgi" TargetMode="External"/><Relationship Id="rId5878" Type="http://schemas.openxmlformats.org/officeDocument/2006/relationships/hyperlink" Target="https://www.immoscout24.ch/fr/maison/louer/lieu-st-margrethen-sg" TargetMode="External"/><Relationship Id="rId3219" Type="http://schemas.openxmlformats.org/officeDocument/2006/relationships/hyperlink" Target="https://www.immoscout24.ch/fr/appartement/acheter/lieu-la-punt-chamues-ch" TargetMode="External"/><Relationship Id="rId5871" Type="http://schemas.openxmlformats.org/officeDocument/2006/relationships/hyperlink" Target="https://www.immoscout24.ch/fr/appartement/louer/lieu-diegten" TargetMode="External"/><Relationship Id="rId5872" Type="http://schemas.openxmlformats.org/officeDocument/2006/relationships/hyperlink" Target="https://www.immoscout24.ch/fr/appartement/louer/lieu-diegten" TargetMode="External"/><Relationship Id="rId3210" Type="http://schemas.openxmlformats.org/officeDocument/2006/relationships/hyperlink" Target="https://www.immoscout24.ch/fr/appartement/louer/lieu-vermes" TargetMode="External"/><Relationship Id="rId4541" Type="http://schemas.openxmlformats.org/officeDocument/2006/relationships/hyperlink" Target="https://www.immoscout24.ch/fr/maison/acheter/lieu-tafers" TargetMode="External"/><Relationship Id="rId4540" Type="http://schemas.openxmlformats.org/officeDocument/2006/relationships/hyperlink" Target="https://www.immoscout24.ch/fr/appartement/louer/lieu-cuarnens" TargetMode="External"/><Relationship Id="rId5870" Type="http://schemas.openxmlformats.org/officeDocument/2006/relationships/hyperlink" Target="https://www.immoscout24.ch/fr/appartement/louer/lieu-la-joux-fr" TargetMode="External"/><Relationship Id="rId3212" Type="http://schemas.openxmlformats.org/officeDocument/2006/relationships/hyperlink" Target="https://www.immoscout24.ch/fr/appartement/louer/lieu-fully" TargetMode="External"/><Relationship Id="rId4543" Type="http://schemas.openxmlformats.org/officeDocument/2006/relationships/hyperlink" Target="https://www.immoscout24.ch/fr/appartement/louer/lieu-winterthur" TargetMode="External"/><Relationship Id="rId5875" Type="http://schemas.openxmlformats.org/officeDocument/2006/relationships/hyperlink" Target="https://www.immoscout24.ch/fr/appartement/louer/lieu-onex" TargetMode="External"/><Relationship Id="rId3211" Type="http://schemas.openxmlformats.org/officeDocument/2006/relationships/hyperlink" Target="https://www.immoscout24.ch/fr/appartement/louer/lieu-fully" TargetMode="External"/><Relationship Id="rId4542" Type="http://schemas.openxmlformats.org/officeDocument/2006/relationships/hyperlink" Target="https://www.immoscout24.ch/fr/maison/acheter/lieu-tafers" TargetMode="External"/><Relationship Id="rId5876" Type="http://schemas.openxmlformats.org/officeDocument/2006/relationships/hyperlink" Target="https://www.immoscout24.ch/fr/appartement/louer/lieu-onex" TargetMode="External"/><Relationship Id="rId3214" Type="http://schemas.openxmlformats.org/officeDocument/2006/relationships/hyperlink" Target="https://www.immoscout24.ch/fr/appartement/louer/lieu-bellerive-vd" TargetMode="External"/><Relationship Id="rId4545" Type="http://schemas.openxmlformats.org/officeDocument/2006/relationships/hyperlink" Target="https://www.immoscout24.ch/fr/maison/acheter/lieu-herzogenbuchsee" TargetMode="External"/><Relationship Id="rId5873" Type="http://schemas.openxmlformats.org/officeDocument/2006/relationships/hyperlink" Target="https://www.immoscout24.ch/fr/appartement/louer/lieu-oensingen" TargetMode="External"/><Relationship Id="rId3213" Type="http://schemas.openxmlformats.org/officeDocument/2006/relationships/hyperlink" Target="https://www.immoscout24.ch/fr/appartement/louer/lieu-bellerive-vd" TargetMode="External"/><Relationship Id="rId4544" Type="http://schemas.openxmlformats.org/officeDocument/2006/relationships/hyperlink" Target="https://www.immoscout24.ch/fr/appartement/louer/lieu-winterthur" TargetMode="External"/><Relationship Id="rId5874" Type="http://schemas.openxmlformats.org/officeDocument/2006/relationships/hyperlink" Target="https://www.immoscout24.ch/fr/appartement/louer/lieu-oensingen" TargetMode="External"/><Relationship Id="rId3205" Type="http://schemas.openxmlformats.org/officeDocument/2006/relationships/hyperlink" Target="https://www.immoscout24.ch/fr/appartement/acheter/lieu-heremence" TargetMode="External"/><Relationship Id="rId4536" Type="http://schemas.openxmlformats.org/officeDocument/2006/relationships/hyperlink" Target="https://www.immoscout24.ch/fr/appartement/acheter/lieu-oberhofen-am-thunersee" TargetMode="External"/><Relationship Id="rId5868" Type="http://schemas.openxmlformats.org/officeDocument/2006/relationships/hyperlink" Target="https://www.immoscout24.ch/fr/appartement/louer/lieu-progens" TargetMode="External"/><Relationship Id="rId3204" Type="http://schemas.openxmlformats.org/officeDocument/2006/relationships/hyperlink" Target="https://www.immoscout24.ch/fr/appartement/acheter/lieu-balerna" TargetMode="External"/><Relationship Id="rId4535" Type="http://schemas.openxmlformats.org/officeDocument/2006/relationships/hyperlink" Target="https://www.immoscout24.ch/fr/appartement/acheter/lieu-oberhofen-am-thunersee" TargetMode="External"/><Relationship Id="rId5869" Type="http://schemas.openxmlformats.org/officeDocument/2006/relationships/hyperlink" Target="https://www.immoscout24.ch/fr/appartement/louer/lieu-la-joux-fr" TargetMode="External"/><Relationship Id="rId3207" Type="http://schemas.openxmlformats.org/officeDocument/2006/relationships/hyperlink" Target="https://www.immoscout24.ch/fr/maison/acheter/lieu-chaumont" TargetMode="External"/><Relationship Id="rId4538" Type="http://schemas.openxmlformats.org/officeDocument/2006/relationships/hyperlink" Target="https://www.immoscout24.ch/fr/maison/acheter/lieu-morrens-vd" TargetMode="External"/><Relationship Id="rId5866" Type="http://schemas.openxmlformats.org/officeDocument/2006/relationships/hyperlink" Target="https://www.immoscout24.ch/fr/maison/acheter/lieu-blatten-b-naters" TargetMode="External"/><Relationship Id="rId3206" Type="http://schemas.openxmlformats.org/officeDocument/2006/relationships/hyperlink" Target="https://www.immoscout24.ch/fr/appartement/acheter/lieu-heremence" TargetMode="External"/><Relationship Id="rId4537" Type="http://schemas.openxmlformats.org/officeDocument/2006/relationships/hyperlink" Target="https://www.immoscout24.ch/fr/maison/acheter/lieu-morrens-vd" TargetMode="External"/><Relationship Id="rId5867" Type="http://schemas.openxmlformats.org/officeDocument/2006/relationships/hyperlink" Target="https://www.immoscout24.ch/fr/appartement/louer/lieu-progens" TargetMode="External"/><Relationship Id="rId3209" Type="http://schemas.openxmlformats.org/officeDocument/2006/relationships/hyperlink" Target="https://www.immoscout24.ch/fr/appartement/louer/lieu-vermes" TargetMode="External"/><Relationship Id="rId3208" Type="http://schemas.openxmlformats.org/officeDocument/2006/relationships/hyperlink" Target="https://www.immoscout24.ch/fr/maison/acheter/lieu-chaumont" TargetMode="External"/><Relationship Id="rId4539" Type="http://schemas.openxmlformats.org/officeDocument/2006/relationships/hyperlink" Target="https://www.immoscout24.ch/fr/appartement/louer/lieu-cuarnens" TargetMode="External"/><Relationship Id="rId5860" Type="http://schemas.openxmlformats.org/officeDocument/2006/relationships/hyperlink" Target="https://www.immoscout24.ch/fr/appartement/louer/lieu-develier" TargetMode="External"/><Relationship Id="rId5861" Type="http://schemas.openxmlformats.org/officeDocument/2006/relationships/hyperlink" Target="https://www.immoscout24.ch/fr/appartement/acheter/lieu-courfaivre" TargetMode="External"/><Relationship Id="rId4530" Type="http://schemas.openxmlformats.org/officeDocument/2006/relationships/hyperlink" Target="https://www.immoscout24.ch/fr/appartement/acheter/lieu-villeneuve-vd" TargetMode="External"/><Relationship Id="rId3201" Type="http://schemas.openxmlformats.org/officeDocument/2006/relationships/hyperlink" Target="https://www.immoscout24.ch/fr/appartement/louer/lieu-sugnens" TargetMode="External"/><Relationship Id="rId4532" Type="http://schemas.openxmlformats.org/officeDocument/2006/relationships/hyperlink" Target="https://www.immoscout24.ch/fr/maison/louer/lieu-chexbres" TargetMode="External"/><Relationship Id="rId5864" Type="http://schemas.openxmlformats.org/officeDocument/2006/relationships/hyperlink" Target="https://www.immoscout24.ch/fr/maison/acheter/lieu-appenzell" TargetMode="External"/><Relationship Id="rId3200" Type="http://schemas.openxmlformats.org/officeDocument/2006/relationships/hyperlink" Target="https://www.immoscout24.ch/fr/maison/acheter/lieu-bavois" TargetMode="External"/><Relationship Id="rId4531" Type="http://schemas.openxmlformats.org/officeDocument/2006/relationships/hyperlink" Target="https://www.immoscout24.ch/fr/maison/louer/lieu-chexbres" TargetMode="External"/><Relationship Id="rId5865" Type="http://schemas.openxmlformats.org/officeDocument/2006/relationships/hyperlink" Target="https://www.immoscout24.ch/fr/maison/acheter/lieu-blatten-b-naters" TargetMode="External"/><Relationship Id="rId3203" Type="http://schemas.openxmlformats.org/officeDocument/2006/relationships/hyperlink" Target="https://www.immoscout24.ch/fr/appartement/acheter/lieu-balerna" TargetMode="External"/><Relationship Id="rId4534" Type="http://schemas.openxmlformats.org/officeDocument/2006/relationships/hyperlink" Target="https://www.immoscout24.ch/fr/maison/acheter/lieu-murten" TargetMode="External"/><Relationship Id="rId5862" Type="http://schemas.openxmlformats.org/officeDocument/2006/relationships/hyperlink" Target="https://www.immoscout24.ch/fr/appartement/acheter/lieu-courfaivre" TargetMode="External"/><Relationship Id="rId3202" Type="http://schemas.openxmlformats.org/officeDocument/2006/relationships/hyperlink" Target="https://www.immoscout24.ch/fr/appartement/louer/lieu-sugnens" TargetMode="External"/><Relationship Id="rId4533" Type="http://schemas.openxmlformats.org/officeDocument/2006/relationships/hyperlink" Target="https://www.immoscout24.ch/fr/maison/acheter/lieu-murten" TargetMode="External"/><Relationship Id="rId5863" Type="http://schemas.openxmlformats.org/officeDocument/2006/relationships/hyperlink" Target="https://www.immoscout24.ch/fr/maison/acheter/lieu-appenzell" TargetMode="External"/><Relationship Id="rId3270" Type="http://schemas.openxmlformats.org/officeDocument/2006/relationships/hyperlink" Target="https://www.immoscout24.ch/fr/appartement/louer/lieu-wanzwil" TargetMode="External"/><Relationship Id="rId3272" Type="http://schemas.openxmlformats.org/officeDocument/2006/relationships/hyperlink" Target="https://www.immoscout24.ch/fr/maison/acheter/lieu-farvagny" TargetMode="External"/><Relationship Id="rId3271" Type="http://schemas.openxmlformats.org/officeDocument/2006/relationships/hyperlink" Target="https://www.immoscout24.ch/fr/maison/acheter/lieu-farvagny" TargetMode="External"/><Relationship Id="rId3274" Type="http://schemas.openxmlformats.org/officeDocument/2006/relationships/hyperlink" Target="https://www.immoscout24.ch/fr/maison/acheter/lieu-hausen-am-albis" TargetMode="External"/><Relationship Id="rId3273" Type="http://schemas.openxmlformats.org/officeDocument/2006/relationships/hyperlink" Target="https://www.immoscout24.ch/fr/maison/acheter/lieu-hausen-am-albis" TargetMode="External"/><Relationship Id="rId3276" Type="http://schemas.openxmlformats.org/officeDocument/2006/relationships/hyperlink" Target="https://www.immoscout24.ch/fr/maison/louer/lieu-ardon" TargetMode="External"/><Relationship Id="rId3275" Type="http://schemas.openxmlformats.org/officeDocument/2006/relationships/hyperlink" Target="https://www.immoscout24.ch/fr/maison/louer/lieu-ardon" TargetMode="External"/><Relationship Id="rId3278" Type="http://schemas.openxmlformats.org/officeDocument/2006/relationships/hyperlink" Target="https://www.immoscout24.ch/fr/maison/acheter/lieu-le-cerneux-pequignot" TargetMode="External"/><Relationship Id="rId3277" Type="http://schemas.openxmlformats.org/officeDocument/2006/relationships/hyperlink" Target="https://www.immoscout24.ch/fr/maison/acheter/lieu-le-cerneux-pequignot" TargetMode="External"/><Relationship Id="rId3279" Type="http://schemas.openxmlformats.org/officeDocument/2006/relationships/hyperlink" Target="https://www.immoscout24.ch/fr/maison/louer/lieu-seigneux" TargetMode="External"/><Relationship Id="rId4590" Type="http://schemas.openxmlformats.org/officeDocument/2006/relationships/hyperlink" Target="https://www.immoscout24.ch/fr/appartement/louer/lieu-giswil" TargetMode="External"/><Relationship Id="rId3261" Type="http://schemas.openxmlformats.org/officeDocument/2006/relationships/hyperlink" Target="https://www.immoscout24.ch/fr/maison/acheter/lieu-solothurn" TargetMode="External"/><Relationship Id="rId4592" Type="http://schemas.openxmlformats.org/officeDocument/2006/relationships/hyperlink" Target="https://www.immoscout24.ch/fr/appartement/acheter/lieu-saas-fee" TargetMode="External"/><Relationship Id="rId3260" Type="http://schemas.openxmlformats.org/officeDocument/2006/relationships/hyperlink" Target="https://www.immoscout24.ch/fr/maison/acheter/lieu-chavannes-sous-orsonnens" TargetMode="External"/><Relationship Id="rId4591" Type="http://schemas.openxmlformats.org/officeDocument/2006/relationships/hyperlink" Target="https://www.immoscout24.ch/fr/appartement/acheter/lieu-saas-fee" TargetMode="External"/><Relationship Id="rId3263" Type="http://schemas.openxmlformats.org/officeDocument/2006/relationships/hyperlink" Target="https://www.immoscout24.ch/fr/appartement/louer/lieu-hilterfingen" TargetMode="External"/><Relationship Id="rId4594" Type="http://schemas.openxmlformats.org/officeDocument/2006/relationships/hyperlink" Target="https://www.immoscout24.ch/fr/appartement/louer/pays-hongrie" TargetMode="External"/><Relationship Id="rId3262" Type="http://schemas.openxmlformats.org/officeDocument/2006/relationships/hyperlink" Target="https://www.immoscout24.ch/fr/maison/acheter/lieu-solothurn" TargetMode="External"/><Relationship Id="rId4593" Type="http://schemas.openxmlformats.org/officeDocument/2006/relationships/hyperlink" Target="https://www.immoscout24.ch/fr/appartement/louer/pays-hongrie" TargetMode="External"/><Relationship Id="rId3265" Type="http://schemas.openxmlformats.org/officeDocument/2006/relationships/hyperlink" Target="https://www.immoscout24.ch/fr/maison/acheter/lieu-st-imier" TargetMode="External"/><Relationship Id="rId4596" Type="http://schemas.openxmlformats.org/officeDocument/2006/relationships/hyperlink" Target="https://www.immoscout24.ch/fr/maison/acheter/lieu-clarens" TargetMode="External"/><Relationship Id="rId3264" Type="http://schemas.openxmlformats.org/officeDocument/2006/relationships/hyperlink" Target="https://www.immoscout24.ch/fr/appartement/louer/lieu-hilterfingen" TargetMode="External"/><Relationship Id="rId4595" Type="http://schemas.openxmlformats.org/officeDocument/2006/relationships/hyperlink" Target="https://www.immoscout24.ch/fr/maison/acheter/lieu-clarens" TargetMode="External"/><Relationship Id="rId3267" Type="http://schemas.openxmlformats.org/officeDocument/2006/relationships/hyperlink" Target="https://www.immoscout24.ch/fr/maison/acheter/lieu-spiez" TargetMode="External"/><Relationship Id="rId4598" Type="http://schemas.openxmlformats.org/officeDocument/2006/relationships/hyperlink" Target="https://www.immoscout24.ch/fr/appartement/louer/lieu-boncourt" TargetMode="External"/><Relationship Id="rId3266" Type="http://schemas.openxmlformats.org/officeDocument/2006/relationships/hyperlink" Target="https://www.immoscout24.ch/fr/maison/acheter/lieu-st-imier" TargetMode="External"/><Relationship Id="rId4597" Type="http://schemas.openxmlformats.org/officeDocument/2006/relationships/hyperlink" Target="https://www.immoscout24.ch/fr/appartement/louer/lieu-boncourt" TargetMode="External"/><Relationship Id="rId3269" Type="http://schemas.openxmlformats.org/officeDocument/2006/relationships/hyperlink" Target="https://www.immoscout24.ch/fr/appartement/louer/lieu-wanzwil" TargetMode="External"/><Relationship Id="rId3268" Type="http://schemas.openxmlformats.org/officeDocument/2006/relationships/hyperlink" Target="https://www.immoscout24.ch/fr/maison/acheter/lieu-spiez" TargetMode="External"/><Relationship Id="rId4599" Type="http://schemas.openxmlformats.org/officeDocument/2006/relationships/hyperlink" Target="https://www.immoscout24.ch/fr/appartement/acheter/lieu-blonay" TargetMode="External"/><Relationship Id="rId3290" Type="http://schemas.openxmlformats.org/officeDocument/2006/relationships/hyperlink" Target="https://www.immoscout24.ch/fr/appartement/louer/lieu-tatroz" TargetMode="External"/><Relationship Id="rId3292" Type="http://schemas.openxmlformats.org/officeDocument/2006/relationships/hyperlink" Target="https://www.immoscout24.ch/fr/maison/louer/lieu-couvet" TargetMode="External"/><Relationship Id="rId3291" Type="http://schemas.openxmlformats.org/officeDocument/2006/relationships/hyperlink" Target="https://www.immoscout24.ch/fr/maison/louer/lieu-couvet" TargetMode="External"/><Relationship Id="rId3294" Type="http://schemas.openxmlformats.org/officeDocument/2006/relationships/hyperlink" Target="https://www.immoscout24.ch/fr/appartement/louer/lieu-charrat" TargetMode="External"/><Relationship Id="rId3293" Type="http://schemas.openxmlformats.org/officeDocument/2006/relationships/hyperlink" Target="https://www.immoscout24.ch/fr/appartement/louer/lieu-charrat" TargetMode="External"/><Relationship Id="rId3296" Type="http://schemas.openxmlformats.org/officeDocument/2006/relationships/hyperlink" Target="https://www.immoscout24.ch/fr/appartement/louer/lieu-payerne" TargetMode="External"/><Relationship Id="rId3295" Type="http://schemas.openxmlformats.org/officeDocument/2006/relationships/hyperlink" Target="https://www.immoscout24.ch/fr/appartement/louer/lieu-payerne" TargetMode="External"/><Relationship Id="rId3298" Type="http://schemas.openxmlformats.org/officeDocument/2006/relationships/hyperlink" Target="https://www.immoscout24.ch/fr/maison/acheter/lieu-s-antonio-val-morobbia" TargetMode="External"/><Relationship Id="rId3297" Type="http://schemas.openxmlformats.org/officeDocument/2006/relationships/hyperlink" Target="https://www.immoscout24.ch/fr/maison/acheter/lieu-s-antonio-val-morobbia" TargetMode="External"/><Relationship Id="rId3299" Type="http://schemas.openxmlformats.org/officeDocument/2006/relationships/hyperlink" Target="https://www.immoscout24.ch/fr/maison/acheter/lieu-ollon-vd" TargetMode="External"/><Relationship Id="rId3281" Type="http://schemas.openxmlformats.org/officeDocument/2006/relationships/hyperlink" Target="https://www.immoscout24.ch/fr/maison/acheter/lieu-travers" TargetMode="External"/><Relationship Id="rId3280" Type="http://schemas.openxmlformats.org/officeDocument/2006/relationships/hyperlink" Target="https://www.immoscout24.ch/fr/maison/louer/lieu-seigneux" TargetMode="External"/><Relationship Id="rId3283" Type="http://schemas.openxmlformats.org/officeDocument/2006/relationships/hyperlink" Target="https://www.immoscout24.ch/fr/appartement/louer/lieu-platta" TargetMode="External"/><Relationship Id="rId3282" Type="http://schemas.openxmlformats.org/officeDocument/2006/relationships/hyperlink" Target="https://www.immoscout24.ch/fr/maison/acheter/lieu-travers" TargetMode="External"/><Relationship Id="rId3285" Type="http://schemas.openxmlformats.org/officeDocument/2006/relationships/hyperlink" Target="https://www.immoscout24.ch/fr/maison/acheter/lieu-oberhofen-am-thunersee" TargetMode="External"/><Relationship Id="rId3284" Type="http://schemas.openxmlformats.org/officeDocument/2006/relationships/hyperlink" Target="https://www.immoscout24.ch/fr/appartement/louer/lieu-platta" TargetMode="External"/><Relationship Id="rId3287" Type="http://schemas.openxmlformats.org/officeDocument/2006/relationships/hyperlink" Target="https://www.immoscout24.ch/fr/appartement/louer/lieu-chesopelloz" TargetMode="External"/><Relationship Id="rId3286" Type="http://schemas.openxmlformats.org/officeDocument/2006/relationships/hyperlink" Target="https://www.immoscout24.ch/fr/maison/acheter/lieu-oberhofen-am-thunersee" TargetMode="External"/><Relationship Id="rId3289" Type="http://schemas.openxmlformats.org/officeDocument/2006/relationships/hyperlink" Target="https://www.immoscout24.ch/fr/appartement/louer/lieu-tatroz" TargetMode="External"/><Relationship Id="rId3288" Type="http://schemas.openxmlformats.org/officeDocument/2006/relationships/hyperlink" Target="https://www.immoscout24.ch/fr/appartement/louer/lieu-chesopelloz" TargetMode="External"/><Relationship Id="rId4602" Type="http://schemas.openxmlformats.org/officeDocument/2006/relationships/hyperlink" Target="https://www.immoscout24.ch/fr/maison/acheter/lieu-beuson-nendaz" TargetMode="External"/><Relationship Id="rId5934" Type="http://schemas.openxmlformats.org/officeDocument/2006/relationships/hyperlink" Target="https://www.immoscout24.ch/fr/appartement/louer/lieu-valbella" TargetMode="External"/><Relationship Id="rId4601" Type="http://schemas.openxmlformats.org/officeDocument/2006/relationships/hyperlink" Target="https://www.immoscout24.ch/fr/maison/acheter/lieu-beuson-nendaz" TargetMode="External"/><Relationship Id="rId5935" Type="http://schemas.openxmlformats.org/officeDocument/2006/relationships/hyperlink" Target="https://www.immoscout24.ch/fr/maison/louer/quartier-bossons-blecherette-lausanne" TargetMode="External"/><Relationship Id="rId4604" Type="http://schemas.openxmlformats.org/officeDocument/2006/relationships/hyperlink" Target="https://www.immoscout24.ch/fr/appartement/louer/lieu-arnegg" TargetMode="External"/><Relationship Id="rId5932" Type="http://schemas.openxmlformats.org/officeDocument/2006/relationships/hyperlink" Target="https://www.immoscout24.ch/fr/maison/acheter/lieu-ermatingen" TargetMode="External"/><Relationship Id="rId4603" Type="http://schemas.openxmlformats.org/officeDocument/2006/relationships/hyperlink" Target="https://www.immoscout24.ch/fr/appartement/louer/lieu-arnegg" TargetMode="External"/><Relationship Id="rId5933" Type="http://schemas.openxmlformats.org/officeDocument/2006/relationships/hyperlink" Target="https://www.immoscout24.ch/fr/appartement/louer/lieu-valbella" TargetMode="External"/><Relationship Id="rId4606" Type="http://schemas.openxmlformats.org/officeDocument/2006/relationships/hyperlink" Target="https://www.immoscout24.ch/fr/appartement/louer/lieu-schmerikon" TargetMode="External"/><Relationship Id="rId5938" Type="http://schemas.openxmlformats.org/officeDocument/2006/relationships/hyperlink" Target="https://www.immoscout24.ch/fr/appartement/louer/lieu-st-imier%20Puit%204" TargetMode="External"/><Relationship Id="rId4605" Type="http://schemas.openxmlformats.org/officeDocument/2006/relationships/hyperlink" Target="https://www.immoscout24.ch/fr/appartement/louer/lieu-schmerikon" TargetMode="External"/><Relationship Id="rId5939" Type="http://schemas.openxmlformats.org/officeDocument/2006/relationships/hyperlink" Target="https://www.immoscout24.ch/fr/maison/acheter/lieu-oberbipp" TargetMode="External"/><Relationship Id="rId4608" Type="http://schemas.openxmlformats.org/officeDocument/2006/relationships/hyperlink" Target="https://www.immoscout24.ch/fr/appartement/acheter/lieu-rougemont" TargetMode="External"/><Relationship Id="rId5936" Type="http://schemas.openxmlformats.org/officeDocument/2006/relationships/hyperlink" Target="https://www.immoscout24.ch/fr/maison/louer/quartier-bossons-blecherette-lausanne" TargetMode="External"/><Relationship Id="rId4607" Type="http://schemas.openxmlformats.org/officeDocument/2006/relationships/hyperlink" Target="https://www.immoscout24.ch/fr/appartement/acheter/lieu-rougemont" TargetMode="External"/><Relationship Id="rId5937" Type="http://schemas.openxmlformats.org/officeDocument/2006/relationships/hyperlink" Target="https://www.immoscout24.ch/fr/appartement/louer/lieu-st-imier%20Puit%204" TargetMode="External"/><Relationship Id="rId4609" Type="http://schemas.openxmlformats.org/officeDocument/2006/relationships/hyperlink" Target="https://www.immoscout24.ch/fr/appartement/louer/lieu-chatillens" TargetMode="External"/><Relationship Id="rId5930" Type="http://schemas.openxmlformats.org/officeDocument/2006/relationships/hyperlink" Target="https://www.immoscout24.ch/fr/appartement/louer/lieu-tolochenaz" TargetMode="External"/><Relationship Id="rId5931" Type="http://schemas.openxmlformats.org/officeDocument/2006/relationships/hyperlink" Target="https://www.immoscout24.ch/fr/maison/acheter/lieu-ermatingen" TargetMode="External"/><Relationship Id="rId4600" Type="http://schemas.openxmlformats.org/officeDocument/2006/relationships/hyperlink" Target="https://www.immoscout24.ch/fr/appartement/acheter/lieu-blonay" TargetMode="External"/><Relationship Id="rId5923" Type="http://schemas.openxmlformats.org/officeDocument/2006/relationships/hyperlink" Target="https://www.immoscout24.ch/fr/maison/louer/lieu-treyvaux" TargetMode="External"/><Relationship Id="rId5924" Type="http://schemas.openxmlformats.org/officeDocument/2006/relationships/hyperlink" Target="https://www.immoscout24.ch/fr/maison/louer/lieu-treyvaux" TargetMode="External"/><Relationship Id="rId5921" Type="http://schemas.openxmlformats.org/officeDocument/2006/relationships/hyperlink" Target="https://www.immoscout24.ch/fr/maison/louer/lieu-dombresson" TargetMode="External"/><Relationship Id="rId5922" Type="http://schemas.openxmlformats.org/officeDocument/2006/relationships/hyperlink" Target="https://www.immoscout24.ch/fr/maison/louer/lieu-dombresson" TargetMode="External"/><Relationship Id="rId5927" Type="http://schemas.openxmlformats.org/officeDocument/2006/relationships/hyperlink" Target="https://www.immoscout24.ch/fr/appartement/acheter/lieu-le-mont-pelerin" TargetMode="External"/><Relationship Id="rId5928" Type="http://schemas.openxmlformats.org/officeDocument/2006/relationships/hyperlink" Target="https://www.immoscout24.ch/fr/appartement/acheter/lieu-le-mont-pelerin" TargetMode="External"/><Relationship Id="rId5925" Type="http://schemas.openxmlformats.org/officeDocument/2006/relationships/hyperlink" Target="https://www.immoscout24.ch/fr/appartement/louer/quartier-escher-wyss-zurich" TargetMode="External"/><Relationship Id="rId5926" Type="http://schemas.openxmlformats.org/officeDocument/2006/relationships/hyperlink" Target="https://www.immoscout24.ch/fr/appartement/louer/quartier-escher-wyss-zurich" TargetMode="External"/><Relationship Id="rId5929" Type="http://schemas.openxmlformats.org/officeDocument/2006/relationships/hyperlink" Target="https://www.immoscout24.ch/fr/appartement/louer/lieu-tolochenaz" TargetMode="External"/><Relationship Id="rId5920" Type="http://schemas.openxmlformats.org/officeDocument/2006/relationships/hyperlink" Target="https://www.immoscout24.ch/fr/appartement/acheter/lieu-troistorrents" TargetMode="External"/><Relationship Id="rId4624" Type="http://schemas.openxmlformats.org/officeDocument/2006/relationships/hyperlink" Target="https://www.immoscout24.ch/fr/appartement/louer/lieu-seltisberg" TargetMode="External"/><Relationship Id="rId5956" Type="http://schemas.openxmlformats.org/officeDocument/2006/relationships/hyperlink" Target="https://www.immoscout24.ch/fr/maison/louer/lieu-buelach" TargetMode="External"/><Relationship Id="rId4623" Type="http://schemas.openxmlformats.org/officeDocument/2006/relationships/hyperlink" Target="https://www.immoscout24.ch/fr/appartement/louer/lieu-seltisberg" TargetMode="External"/><Relationship Id="rId5957" Type="http://schemas.openxmlformats.org/officeDocument/2006/relationships/hyperlink" Target="https://www.immoscout24.ch/fr/appartement/louer/lieu-luins" TargetMode="External"/><Relationship Id="rId4626" Type="http://schemas.openxmlformats.org/officeDocument/2006/relationships/hyperlink" Target="https://www.immoscout24.ch/fr/appartement/acheter/lieu-arch" TargetMode="External"/><Relationship Id="rId5954" Type="http://schemas.openxmlformats.org/officeDocument/2006/relationships/hyperlink" Target="https://www.immoscout24.ch/fr/appartement/louer/lieu-taegerwilen" TargetMode="External"/><Relationship Id="rId4625" Type="http://schemas.openxmlformats.org/officeDocument/2006/relationships/hyperlink" Target="https://www.immoscout24.ch/fr/appartement/acheter/lieu-arch" TargetMode="External"/><Relationship Id="rId5955" Type="http://schemas.openxmlformats.org/officeDocument/2006/relationships/hyperlink" Target="https://www.immoscout24.ch/fr/maison/louer/lieu-buelach" TargetMode="External"/><Relationship Id="rId4628" Type="http://schemas.openxmlformats.org/officeDocument/2006/relationships/hyperlink" Target="https://www.immoscout24.ch/fr/maison/acheter/lieu-champoussin" TargetMode="External"/><Relationship Id="rId4627" Type="http://schemas.openxmlformats.org/officeDocument/2006/relationships/hyperlink" Target="https://www.immoscout24.ch/fr/maison/acheter/lieu-champoussin" TargetMode="External"/><Relationship Id="rId5958" Type="http://schemas.openxmlformats.org/officeDocument/2006/relationships/hyperlink" Target="https://www.immoscout24.ch/fr/appartement/louer/lieu-luins" TargetMode="External"/><Relationship Id="rId4629" Type="http://schemas.openxmlformats.org/officeDocument/2006/relationships/hyperlink" Target="https://www.immoscout24.ch/fr/appartement/louer/lieu-immensee" TargetMode="External"/><Relationship Id="rId5959" Type="http://schemas.openxmlformats.org/officeDocument/2006/relationships/hyperlink" Target="https://www.immoscout24.ch/fr/appartement/louer/quartier-bel-air-la-chaux-de-fonds" TargetMode="External"/><Relationship Id="rId4620" Type="http://schemas.openxmlformats.org/officeDocument/2006/relationships/hyperlink" Target="https://www.immoscout24.ch/fr/maison/acheter/lieu-hendschiken" TargetMode="External"/><Relationship Id="rId5952" Type="http://schemas.openxmlformats.org/officeDocument/2006/relationships/hyperlink" Target="https://www.immoscout24.ch/fr/maison/acheter/lieu-kirchdorf-ag" TargetMode="External"/><Relationship Id="rId5953" Type="http://schemas.openxmlformats.org/officeDocument/2006/relationships/hyperlink" Target="https://www.immoscout24.ch/fr/appartement/louer/lieu-taegerwilen" TargetMode="External"/><Relationship Id="rId4622" Type="http://schemas.openxmlformats.org/officeDocument/2006/relationships/hyperlink" Target="https://www.immoscout24.ch/fr/appartement/acheter/lieu-apples" TargetMode="External"/><Relationship Id="rId5950" Type="http://schemas.openxmlformats.org/officeDocument/2006/relationships/hyperlink" Target="https://www.immoscout24.ch/fr/maison/acheter/lieu-arosa" TargetMode="External"/><Relationship Id="rId4621" Type="http://schemas.openxmlformats.org/officeDocument/2006/relationships/hyperlink" Target="https://www.immoscout24.ch/fr/appartement/acheter/lieu-apples" TargetMode="External"/><Relationship Id="rId5951" Type="http://schemas.openxmlformats.org/officeDocument/2006/relationships/hyperlink" Target="https://www.immoscout24.ch/fr/maison/acheter/lieu-kirchdorf-ag" TargetMode="External"/><Relationship Id="rId4613" Type="http://schemas.openxmlformats.org/officeDocument/2006/relationships/hyperlink" Target="https://www.immoscout24.ch/fr/appartement/acheter/lieu-blessens" TargetMode="External"/><Relationship Id="rId5945" Type="http://schemas.openxmlformats.org/officeDocument/2006/relationships/hyperlink" Target="https://www.immoscout24.ch/fr/appartement/louer/lieu-mur-vully-fr" TargetMode="External"/><Relationship Id="rId4612" Type="http://schemas.openxmlformats.org/officeDocument/2006/relationships/hyperlink" Target="https://www.immoscout24.ch/fr/appartement/acheter/lieu-flanthey" TargetMode="External"/><Relationship Id="rId5946" Type="http://schemas.openxmlformats.org/officeDocument/2006/relationships/hyperlink" Target="https://www.immoscout24.ch/fr/appartement/louer/lieu-mur-vully-fr" TargetMode="External"/><Relationship Id="rId4615" Type="http://schemas.openxmlformats.org/officeDocument/2006/relationships/hyperlink" Target="https://www.immoscout24.ch/fr/appartement/louer/lieu-essertes" TargetMode="External"/><Relationship Id="rId5943" Type="http://schemas.openxmlformats.org/officeDocument/2006/relationships/hyperlink" Target="https://www.immoscout24.ch/fr/appartement/louer/region-zurich-ville" TargetMode="External"/><Relationship Id="rId4614" Type="http://schemas.openxmlformats.org/officeDocument/2006/relationships/hyperlink" Target="https://www.immoscout24.ch/fr/appartement/acheter/lieu-blessens" TargetMode="External"/><Relationship Id="rId5944" Type="http://schemas.openxmlformats.org/officeDocument/2006/relationships/hyperlink" Target="https://www.immoscout24.ch/fr/appartement/louer/region-zurich-ville" TargetMode="External"/><Relationship Id="rId4617" Type="http://schemas.openxmlformats.org/officeDocument/2006/relationships/hyperlink" Target="https://www.immoscout24.ch/fr/appartement/louer/quartier-neustadt-voltastrasse-lucerne" TargetMode="External"/><Relationship Id="rId5949" Type="http://schemas.openxmlformats.org/officeDocument/2006/relationships/hyperlink" Target="https://www.immoscout24.ch/fr/maison/acheter/lieu-arosa" TargetMode="External"/><Relationship Id="rId4616" Type="http://schemas.openxmlformats.org/officeDocument/2006/relationships/hyperlink" Target="https://www.immoscout24.ch/fr/appartement/louer/lieu-essertes" TargetMode="External"/><Relationship Id="rId4619" Type="http://schemas.openxmlformats.org/officeDocument/2006/relationships/hyperlink" Target="https://www.immoscout24.ch/fr/maison/acheter/lieu-hendschiken" TargetMode="External"/><Relationship Id="rId5947" Type="http://schemas.openxmlformats.org/officeDocument/2006/relationships/hyperlink" Target="https://www.immoscout24.ch/fr/appartement/louer/lieu-muri-b-bern" TargetMode="External"/><Relationship Id="rId4618" Type="http://schemas.openxmlformats.org/officeDocument/2006/relationships/hyperlink" Target="https://www.immoscout24.ch/fr/appartement/louer/quartier-neustadt-voltastrasse-lucerne" TargetMode="External"/><Relationship Id="rId5948" Type="http://schemas.openxmlformats.org/officeDocument/2006/relationships/hyperlink" Target="https://www.immoscout24.ch/fr/appartement/louer/lieu-muri-b-bern" TargetMode="External"/><Relationship Id="rId5941" Type="http://schemas.openxmlformats.org/officeDocument/2006/relationships/hyperlink" Target="https://www.immoscout24.ch/fr/maison/louer/lieu-signy" TargetMode="External"/><Relationship Id="rId5942" Type="http://schemas.openxmlformats.org/officeDocument/2006/relationships/hyperlink" Target="https://www.immoscout24.ch/fr/maison/louer/lieu-signy" TargetMode="External"/><Relationship Id="rId4611" Type="http://schemas.openxmlformats.org/officeDocument/2006/relationships/hyperlink" Target="https://www.immoscout24.ch/fr/appartement/acheter/lieu-flanthey" TargetMode="External"/><Relationship Id="rId4610" Type="http://schemas.openxmlformats.org/officeDocument/2006/relationships/hyperlink" Target="https://www.immoscout24.ch/fr/appartement/louer/lieu-chatillens" TargetMode="External"/><Relationship Id="rId5940" Type="http://schemas.openxmlformats.org/officeDocument/2006/relationships/hyperlink" Target="https://www.immoscout24.ch/fr/maison/acheter/lieu-oberbipp" TargetMode="External"/><Relationship Id="rId5912" Type="http://schemas.openxmlformats.org/officeDocument/2006/relationships/hyperlink" Target="https://www.immoscout24.ch/fr/appartement/louer/lieu-wil-sg" TargetMode="External"/><Relationship Id="rId5913" Type="http://schemas.openxmlformats.org/officeDocument/2006/relationships/hyperlink" Target="https://www.immoscout24.ch/fr/maison/acheter/lieu-wohlen-b-bern" TargetMode="External"/><Relationship Id="rId5910" Type="http://schemas.openxmlformats.org/officeDocument/2006/relationships/hyperlink" Target="https://www.immoscout24.ch/fr/appartement/louer/lieu-perly" TargetMode="External"/><Relationship Id="rId5911" Type="http://schemas.openxmlformats.org/officeDocument/2006/relationships/hyperlink" Target="https://www.immoscout24.ch/fr/appartement/louer/lieu-wil-sg" TargetMode="External"/><Relationship Id="rId5916" Type="http://schemas.openxmlformats.org/officeDocument/2006/relationships/hyperlink" Target="https://www.immoscout24.ch/fr/appartement/louer/lieu-evionnaz" TargetMode="External"/><Relationship Id="rId5917" Type="http://schemas.openxmlformats.org/officeDocument/2006/relationships/hyperlink" Target="https://www.immoscout24.ch/fr/maison/acheter/lieu-lucens" TargetMode="External"/><Relationship Id="rId5914" Type="http://schemas.openxmlformats.org/officeDocument/2006/relationships/hyperlink" Target="https://www.immoscout24.ch/fr/maison/acheter/lieu-wohlen-b-bern" TargetMode="External"/><Relationship Id="rId5915" Type="http://schemas.openxmlformats.org/officeDocument/2006/relationships/hyperlink" Target="https://www.immoscout24.ch/fr/appartement/louer/lieu-evionnaz" TargetMode="External"/><Relationship Id="rId5918" Type="http://schemas.openxmlformats.org/officeDocument/2006/relationships/hyperlink" Target="https://www.immoscout24.ch/fr/maison/acheter/lieu-lucens" TargetMode="External"/><Relationship Id="rId5919" Type="http://schemas.openxmlformats.org/officeDocument/2006/relationships/hyperlink" Target="https://www.immoscout24.ch/fr/appartement/acheter/lieu-troistorrents" TargetMode="External"/><Relationship Id="rId5901" Type="http://schemas.openxmlformats.org/officeDocument/2006/relationships/hyperlink" Target="https://www.immoscout24.ch/fr/maison/acheter/lieu-figino" TargetMode="External"/><Relationship Id="rId5902" Type="http://schemas.openxmlformats.org/officeDocument/2006/relationships/hyperlink" Target="https://www.immoscout24.ch/fr/maison/acheter/lieu-figino" TargetMode="External"/><Relationship Id="rId5900" Type="http://schemas.openxmlformats.org/officeDocument/2006/relationships/hyperlink" Target="https://www.immoscout24.ch/fr/maison/acheter/lieu-cologny" TargetMode="External"/><Relationship Id="rId5905" Type="http://schemas.openxmlformats.org/officeDocument/2006/relationships/hyperlink" Target="https://www.immoscout24.ch/fr/maison/louer/lieu-les-paccots" TargetMode="External"/><Relationship Id="rId5906" Type="http://schemas.openxmlformats.org/officeDocument/2006/relationships/hyperlink" Target="https://www.immoscout24.ch/fr/maison/louer/lieu-les-paccots" TargetMode="External"/><Relationship Id="rId5903" Type="http://schemas.openxmlformats.org/officeDocument/2006/relationships/hyperlink" Target="https://www.immoscout24.ch/fr/maison/louer/lieu-leuk-stadt" TargetMode="External"/><Relationship Id="rId5904" Type="http://schemas.openxmlformats.org/officeDocument/2006/relationships/hyperlink" Target="https://www.immoscout24.ch/fr/maison/louer/lieu-leuk-stadt" TargetMode="External"/><Relationship Id="rId5909" Type="http://schemas.openxmlformats.org/officeDocument/2006/relationships/hyperlink" Target="https://www.immoscout24.ch/fr/appartement/louer/lieu-perly" TargetMode="External"/><Relationship Id="rId5907" Type="http://schemas.openxmlformats.org/officeDocument/2006/relationships/hyperlink" Target="https://www.immoscout24.ch/fr/appartement/louer/canton-lucerne" TargetMode="External"/><Relationship Id="rId5908" Type="http://schemas.openxmlformats.org/officeDocument/2006/relationships/hyperlink" Target="https://www.immoscout24.ch/fr/appartement/louer/canton-lucerne" TargetMode="External"/><Relationship Id="rId2027" Type="http://schemas.openxmlformats.org/officeDocument/2006/relationships/hyperlink" Target="https://www.immoscout24.ch/fr/appartement/louer/lieu-s-antonino" TargetMode="External"/><Relationship Id="rId3359" Type="http://schemas.openxmlformats.org/officeDocument/2006/relationships/hyperlink" Target="https://www.immoscout24.ch/fr/maison/acheter/lieu-les-pommerats" TargetMode="External"/><Relationship Id="rId2028" Type="http://schemas.openxmlformats.org/officeDocument/2006/relationships/hyperlink" Target="https://www.immoscout24.ch/fr/appartement/louer/lieu-s-antonino" TargetMode="External"/><Relationship Id="rId3358" Type="http://schemas.openxmlformats.org/officeDocument/2006/relationships/hyperlink" Target="https://www.immoscout24.ch/fr/appartement/louer/lieu-ollon-vd" TargetMode="External"/><Relationship Id="rId4689" Type="http://schemas.openxmlformats.org/officeDocument/2006/relationships/hyperlink" Target="https://www.immoscout24.ch/fr/maison/acheter/lieu-jaun" TargetMode="External"/><Relationship Id="rId2029" Type="http://schemas.openxmlformats.org/officeDocument/2006/relationships/hyperlink" Target="https://www.immoscout24.ch/fr/maison/acheter/lieu-gy" TargetMode="External"/><Relationship Id="rId4680" Type="http://schemas.openxmlformats.org/officeDocument/2006/relationships/hyperlink" Target="https://www.immoscout24.ch/fr/appartement/acheter/lieu-wetzikon-zh" TargetMode="External"/><Relationship Id="rId3351" Type="http://schemas.openxmlformats.org/officeDocument/2006/relationships/hyperlink" Target="https://www.immoscout24.ch/fr/appartement/acheter/lieu-palezieux-village" TargetMode="External"/><Relationship Id="rId4682" Type="http://schemas.openxmlformats.org/officeDocument/2006/relationships/hyperlink" Target="https://www.immoscout24.ch/fr/appartement/louer/lieu-fornet-dessus" TargetMode="External"/><Relationship Id="rId2020" Type="http://schemas.openxmlformats.org/officeDocument/2006/relationships/hyperlink" Target="https://www.immoscout24.ch/fr/appartement/louer/region-olten-thal-gaeu-gosgen" TargetMode="External"/><Relationship Id="rId3350" Type="http://schemas.openxmlformats.org/officeDocument/2006/relationships/hyperlink" Target="https://www.immoscout24.ch/fr/appartement/louer/lieu-lussy-sur-morges" TargetMode="External"/><Relationship Id="rId4681" Type="http://schemas.openxmlformats.org/officeDocument/2006/relationships/hyperlink" Target="https://www.immoscout24.ch/fr/appartement/louer/lieu-fornet-dessus" TargetMode="External"/><Relationship Id="rId2021" Type="http://schemas.openxmlformats.org/officeDocument/2006/relationships/hyperlink" Target="https://www.immoscout24.ch/fr/appartement/louer/lieu-geuensee" TargetMode="External"/><Relationship Id="rId3353" Type="http://schemas.openxmlformats.org/officeDocument/2006/relationships/hyperlink" Target="https://www.immoscout24.ch/fr/maison/acheter/lieu-le-bry" TargetMode="External"/><Relationship Id="rId4684" Type="http://schemas.openxmlformats.org/officeDocument/2006/relationships/hyperlink" Target="https://www.immoscout24.ch/fr/maison/louer/canton-soleure" TargetMode="External"/><Relationship Id="rId2022" Type="http://schemas.openxmlformats.org/officeDocument/2006/relationships/hyperlink" Target="https://www.immoscout24.ch/fr/appartement/louer/lieu-geuensee" TargetMode="External"/><Relationship Id="rId3352" Type="http://schemas.openxmlformats.org/officeDocument/2006/relationships/hyperlink" Target="https://www.immoscout24.ch/fr/appartement/acheter/lieu-palezieux-village" TargetMode="External"/><Relationship Id="rId4683" Type="http://schemas.openxmlformats.org/officeDocument/2006/relationships/hyperlink" Target="https://www.immoscout24.ch/fr/maison/louer/canton-soleure" TargetMode="External"/><Relationship Id="rId2023" Type="http://schemas.openxmlformats.org/officeDocument/2006/relationships/hyperlink" Target="https://www.immoscout24.ch/fr/appartement/louer/lieu-cugy-vd" TargetMode="External"/><Relationship Id="rId3355" Type="http://schemas.openxmlformats.org/officeDocument/2006/relationships/hyperlink" Target="https://www.immoscout24.ch/fr/appartement/acheter/lieu-zinal" TargetMode="External"/><Relationship Id="rId4686" Type="http://schemas.openxmlformats.org/officeDocument/2006/relationships/hyperlink" Target="https://www.immoscout24.ch/fr/maison/louer/lieu-courroux" TargetMode="External"/><Relationship Id="rId2024" Type="http://schemas.openxmlformats.org/officeDocument/2006/relationships/hyperlink" Target="https://www.immoscout24.ch/fr/appartement/louer/lieu-cugy-vd" TargetMode="External"/><Relationship Id="rId3354" Type="http://schemas.openxmlformats.org/officeDocument/2006/relationships/hyperlink" Target="https://www.immoscout24.ch/fr/maison/acheter/lieu-le-bry" TargetMode="External"/><Relationship Id="rId4685" Type="http://schemas.openxmlformats.org/officeDocument/2006/relationships/hyperlink" Target="https://www.immoscout24.ch/fr/maison/louer/lieu-courroux" TargetMode="External"/><Relationship Id="rId2025" Type="http://schemas.openxmlformats.org/officeDocument/2006/relationships/hyperlink" Target="https://www.immoscout24.ch/fr/maison/louer/lieu-montbovon" TargetMode="External"/><Relationship Id="rId3357" Type="http://schemas.openxmlformats.org/officeDocument/2006/relationships/hyperlink" Target="https://www.immoscout24.ch/fr/appartement/louer/lieu-ollon-vd" TargetMode="External"/><Relationship Id="rId4688" Type="http://schemas.openxmlformats.org/officeDocument/2006/relationships/hyperlink" Target="https://www.immoscout24.ch/fr/maison/louer/lieu-peseux" TargetMode="External"/><Relationship Id="rId2026" Type="http://schemas.openxmlformats.org/officeDocument/2006/relationships/hyperlink" Target="https://www.immoscout24.ch/fr/maison/louer/lieu-montbovon" TargetMode="External"/><Relationship Id="rId3356" Type="http://schemas.openxmlformats.org/officeDocument/2006/relationships/hyperlink" Target="https://www.immoscout24.ch/fr/appartement/acheter/lieu-zinal" TargetMode="External"/><Relationship Id="rId4687" Type="http://schemas.openxmlformats.org/officeDocument/2006/relationships/hyperlink" Target="https://www.immoscout24.ch/fr/maison/louer/lieu-peseux" TargetMode="External"/><Relationship Id="rId2016" Type="http://schemas.openxmlformats.org/officeDocument/2006/relationships/hyperlink" Target="https://www.immoscout24.ch/fr/maison/acheter/lieu-les-planchettes" TargetMode="External"/><Relationship Id="rId3348" Type="http://schemas.openxmlformats.org/officeDocument/2006/relationships/hyperlink" Target="https://www.immoscout24.ch/fr/appartement/acheter/lieu-tafers" TargetMode="External"/><Relationship Id="rId4679" Type="http://schemas.openxmlformats.org/officeDocument/2006/relationships/hyperlink" Target="https://www.immoscout24.ch/fr/appartement/acheter/lieu-wetzikon-zh" TargetMode="External"/><Relationship Id="rId2017" Type="http://schemas.openxmlformats.org/officeDocument/2006/relationships/hyperlink" Target="https://www.immoscout24.ch/fr/maison/acheter/quartier-vernand-lausanne" TargetMode="External"/><Relationship Id="rId3347" Type="http://schemas.openxmlformats.org/officeDocument/2006/relationships/hyperlink" Target="https://www.immoscout24.ch/fr/appartement/acheter/lieu-tafers" TargetMode="External"/><Relationship Id="rId4678" Type="http://schemas.openxmlformats.org/officeDocument/2006/relationships/hyperlink" Target="https://www.immoscout24.ch/fr/maison/acheter/lieu-riva-san-vitale" TargetMode="External"/><Relationship Id="rId2018" Type="http://schemas.openxmlformats.org/officeDocument/2006/relationships/hyperlink" Target="https://www.immoscout24.ch/fr/maison/acheter/quartier-vernand-lausanne" TargetMode="External"/><Relationship Id="rId2019" Type="http://schemas.openxmlformats.org/officeDocument/2006/relationships/hyperlink" Target="https://www.immoscout24.ch/fr/appartement/louer/region-olten-thal-gaeu-gosgen" TargetMode="External"/><Relationship Id="rId3349" Type="http://schemas.openxmlformats.org/officeDocument/2006/relationships/hyperlink" Target="https://www.immoscout24.ch/fr/appartement/louer/lieu-lussy-sur-morges" TargetMode="External"/><Relationship Id="rId3340" Type="http://schemas.openxmlformats.org/officeDocument/2006/relationships/hyperlink" Target="https://www.immoscout24.ch/fr/maison/acheter/lieu-les-cullayes" TargetMode="External"/><Relationship Id="rId4671" Type="http://schemas.openxmlformats.org/officeDocument/2006/relationships/hyperlink" Target="https://www.immoscout24.ch/fr/maison/louer/lieu-cheseaux-sur-lausanne" TargetMode="External"/><Relationship Id="rId4670" Type="http://schemas.openxmlformats.org/officeDocument/2006/relationships/hyperlink" Target="https://www.immoscout24.ch/fr/maison/louer/lieu-ins" TargetMode="External"/><Relationship Id="rId2010" Type="http://schemas.openxmlformats.org/officeDocument/2006/relationships/hyperlink" Target="https://www.immoscout24.ch/fr/maison/acheter/lieu-chamblon" TargetMode="External"/><Relationship Id="rId3342" Type="http://schemas.openxmlformats.org/officeDocument/2006/relationships/hyperlink" Target="https://www.immoscout24.ch/fr/maison/acheter/lieu-courtelary" TargetMode="External"/><Relationship Id="rId4673" Type="http://schemas.openxmlformats.org/officeDocument/2006/relationships/hyperlink" Target="https://www.immoscout24.ch/fr/maison/acheter/lieu-epesses" TargetMode="External"/><Relationship Id="rId2011" Type="http://schemas.openxmlformats.org/officeDocument/2006/relationships/hyperlink" Target="https://www.immoscout24.ch/fr/maison/acheter/lieu-zermatt" TargetMode="External"/><Relationship Id="rId3341" Type="http://schemas.openxmlformats.org/officeDocument/2006/relationships/hyperlink" Target="https://www.immoscout24.ch/fr/maison/acheter/lieu-courtelary" TargetMode="External"/><Relationship Id="rId4672" Type="http://schemas.openxmlformats.org/officeDocument/2006/relationships/hyperlink" Target="https://www.immoscout24.ch/fr/maison/louer/lieu-cheseaux-sur-lausanne" TargetMode="External"/><Relationship Id="rId2012" Type="http://schemas.openxmlformats.org/officeDocument/2006/relationships/hyperlink" Target="https://www.immoscout24.ch/fr/maison/acheter/lieu-zermatt" TargetMode="External"/><Relationship Id="rId3344" Type="http://schemas.openxmlformats.org/officeDocument/2006/relationships/hyperlink" Target="https://www.immoscout24.ch/fr/maison/acheter/lieu-villars-le-terroir" TargetMode="External"/><Relationship Id="rId4675" Type="http://schemas.openxmlformats.org/officeDocument/2006/relationships/hyperlink" Target="https://www.immoscout24.ch/fr/maison/acheter/lieu-yens" TargetMode="External"/><Relationship Id="rId2013" Type="http://schemas.openxmlformats.org/officeDocument/2006/relationships/hyperlink" Target="https://www.immoscout24.ch/fr/appartement/acheter/pays-chine" TargetMode="External"/><Relationship Id="rId3343" Type="http://schemas.openxmlformats.org/officeDocument/2006/relationships/hyperlink" Target="https://www.immoscout24.ch/fr/maison/acheter/lieu-villars-le-terroir" TargetMode="External"/><Relationship Id="rId4674" Type="http://schemas.openxmlformats.org/officeDocument/2006/relationships/hyperlink" Target="https://www.immoscout24.ch/fr/maison/acheter/lieu-epesses" TargetMode="External"/><Relationship Id="rId2014" Type="http://schemas.openxmlformats.org/officeDocument/2006/relationships/hyperlink" Target="https://www.immoscout24.ch/fr/appartement/acheter/pays-chine" TargetMode="External"/><Relationship Id="rId3346" Type="http://schemas.openxmlformats.org/officeDocument/2006/relationships/hyperlink" Target="https://www.immoscout24.ch/fr/appartement/acheter/lieu-binz" TargetMode="External"/><Relationship Id="rId4677" Type="http://schemas.openxmlformats.org/officeDocument/2006/relationships/hyperlink" Target="https://www.immoscout24.ch/fr/maison/acheter/lieu-riva-san-vitale" TargetMode="External"/><Relationship Id="rId2015" Type="http://schemas.openxmlformats.org/officeDocument/2006/relationships/hyperlink" Target="https://www.immoscout24.ch/fr/maison/acheter/lieu-les-planchettes" TargetMode="External"/><Relationship Id="rId3345" Type="http://schemas.openxmlformats.org/officeDocument/2006/relationships/hyperlink" Target="https://www.immoscout24.ch/fr/appartement/acheter/lieu-binz" TargetMode="External"/><Relationship Id="rId4676" Type="http://schemas.openxmlformats.org/officeDocument/2006/relationships/hyperlink" Target="https://www.immoscout24.ch/fr/maison/acheter/lieu-yens" TargetMode="External"/><Relationship Id="rId2049" Type="http://schemas.openxmlformats.org/officeDocument/2006/relationships/hyperlink" Target="https://www.immoscout24.ch/fr/appartement/louer/quartier-wipkingen-zurich" TargetMode="External"/><Relationship Id="rId3371" Type="http://schemas.openxmlformats.org/officeDocument/2006/relationships/hyperlink" Target="https://www.immoscout24.ch/fr/maison/acheter/lieu-giez" TargetMode="External"/><Relationship Id="rId2040" Type="http://schemas.openxmlformats.org/officeDocument/2006/relationships/hyperlink" Target="https://www.immoscout24.ch/fr/maison/acheter/lieu-st-martin-fr" TargetMode="External"/><Relationship Id="rId3370" Type="http://schemas.openxmlformats.org/officeDocument/2006/relationships/hyperlink" Target="https://www.immoscout24.ch/fr/appartement/louer/lieu-netstal" TargetMode="External"/><Relationship Id="rId2041" Type="http://schemas.openxmlformats.org/officeDocument/2006/relationships/hyperlink" Target="https://www.immoscout24.ch/fr/maison/acheter/lieu-givrins" TargetMode="External"/><Relationship Id="rId3373" Type="http://schemas.openxmlformats.org/officeDocument/2006/relationships/hyperlink" Target="https://www.immoscout24.ch/fr/appartement/acheter/quartier-borde-bellevaux-lausanne" TargetMode="External"/><Relationship Id="rId2042" Type="http://schemas.openxmlformats.org/officeDocument/2006/relationships/hyperlink" Target="https://www.immoscout24.ch/fr/maison/acheter/lieu-givrins" TargetMode="External"/><Relationship Id="rId3372" Type="http://schemas.openxmlformats.org/officeDocument/2006/relationships/hyperlink" Target="https://www.immoscout24.ch/fr/maison/acheter/lieu-giez" TargetMode="External"/><Relationship Id="rId2043" Type="http://schemas.openxmlformats.org/officeDocument/2006/relationships/hyperlink" Target="https://www.immoscout24.ch/fr/maison/louer/lieu-versegeres" TargetMode="External"/><Relationship Id="rId3375" Type="http://schemas.openxmlformats.org/officeDocument/2006/relationships/hyperlink" Target="https://www.immoscout24.ch/fr/appartement/louer/lieu-vers-chez-perrin" TargetMode="External"/><Relationship Id="rId2044" Type="http://schemas.openxmlformats.org/officeDocument/2006/relationships/hyperlink" Target="https://www.immoscout24.ch/fr/maison/louer/lieu-versegeres" TargetMode="External"/><Relationship Id="rId3374" Type="http://schemas.openxmlformats.org/officeDocument/2006/relationships/hyperlink" Target="https://www.immoscout24.ch/fr/appartement/acheter/quartier-borde-bellevaux-lausanne" TargetMode="External"/><Relationship Id="rId2045" Type="http://schemas.openxmlformats.org/officeDocument/2006/relationships/hyperlink" Target="https://www.immoscout24.ch/fr/maison/acheter/lieu-reclere" TargetMode="External"/><Relationship Id="rId3377" Type="http://schemas.openxmlformats.org/officeDocument/2006/relationships/hyperlink" Target="https://www.immoscout24.ch/fr/maison/louer/lieu-sugiez" TargetMode="External"/><Relationship Id="rId2046" Type="http://schemas.openxmlformats.org/officeDocument/2006/relationships/hyperlink" Target="https://www.immoscout24.ch/fr/maison/acheter/lieu-reclere" TargetMode="External"/><Relationship Id="rId3376" Type="http://schemas.openxmlformats.org/officeDocument/2006/relationships/hyperlink" Target="https://www.immoscout24.ch/fr/appartement/louer/lieu-vers-chez-perrin" TargetMode="External"/><Relationship Id="rId2047" Type="http://schemas.openxmlformats.org/officeDocument/2006/relationships/hyperlink" Target="https://www.immoscout24.ch/fr/appartement/acheter/lieu-susten" TargetMode="External"/><Relationship Id="rId3379" Type="http://schemas.openxmlformats.org/officeDocument/2006/relationships/hyperlink" Target="https://www.immoscout24.ch/fr/maison/acheter/lieu-posieux" TargetMode="External"/><Relationship Id="rId2048" Type="http://schemas.openxmlformats.org/officeDocument/2006/relationships/hyperlink" Target="https://www.immoscout24.ch/fr/appartement/acheter/lieu-susten" TargetMode="External"/><Relationship Id="rId3378" Type="http://schemas.openxmlformats.org/officeDocument/2006/relationships/hyperlink" Target="https://www.immoscout24.ch/fr/maison/louer/lieu-sugiez" TargetMode="External"/><Relationship Id="rId2038" Type="http://schemas.openxmlformats.org/officeDocument/2006/relationships/hyperlink" Target="https://www.immoscout24.ch/fr/maison/acheter/lieu-goldach" TargetMode="External"/><Relationship Id="rId2039" Type="http://schemas.openxmlformats.org/officeDocument/2006/relationships/hyperlink" Target="https://www.immoscout24.ch/fr/maison/acheter/lieu-st-martin-fr" TargetMode="External"/><Relationship Id="rId3369" Type="http://schemas.openxmlformats.org/officeDocument/2006/relationships/hyperlink" Target="https://www.immoscout24.ch/fr/appartement/louer/lieu-netstal" TargetMode="External"/><Relationship Id="rId3360" Type="http://schemas.openxmlformats.org/officeDocument/2006/relationships/hyperlink" Target="https://www.immoscout24.ch/fr/maison/acheter/lieu-les-pommerats" TargetMode="External"/><Relationship Id="rId4691" Type="http://schemas.openxmlformats.org/officeDocument/2006/relationships/hyperlink" Target="https://www.immoscout24.ch/fr/appartement/louer/region-sion-sierre-et-environs" TargetMode="External"/><Relationship Id="rId4690" Type="http://schemas.openxmlformats.org/officeDocument/2006/relationships/hyperlink" Target="https://www.immoscout24.ch/fr/maison/acheter/lieu-jaun" TargetMode="External"/><Relationship Id="rId2030" Type="http://schemas.openxmlformats.org/officeDocument/2006/relationships/hyperlink" Target="https://www.immoscout24.ch/fr/maison/acheter/lieu-gy" TargetMode="External"/><Relationship Id="rId3362" Type="http://schemas.openxmlformats.org/officeDocument/2006/relationships/hyperlink" Target="https://www.immoscout24.ch/fr/appartement/louer/lieu-davos-platz" TargetMode="External"/><Relationship Id="rId4693" Type="http://schemas.openxmlformats.org/officeDocument/2006/relationships/hyperlink" Target="https://www.immoscout24.ch/fr/appartement/louer/quartier-wabern-koeniz" TargetMode="External"/><Relationship Id="rId2031" Type="http://schemas.openxmlformats.org/officeDocument/2006/relationships/hyperlink" Target="https://www.immoscout24.ch/fr/maison/louer/lieu-muri-b-bern" TargetMode="External"/><Relationship Id="rId3361" Type="http://schemas.openxmlformats.org/officeDocument/2006/relationships/hyperlink" Target="https://www.immoscout24.ch/fr/appartement/louer/lieu-davos-platz" TargetMode="External"/><Relationship Id="rId4692" Type="http://schemas.openxmlformats.org/officeDocument/2006/relationships/hyperlink" Target="https://www.immoscout24.ch/fr/appartement/louer/region-sion-sierre-et-environs" TargetMode="External"/><Relationship Id="rId2032" Type="http://schemas.openxmlformats.org/officeDocument/2006/relationships/hyperlink" Target="https://www.immoscout24.ch/fr/maison/louer/lieu-muri-b-bern" TargetMode="External"/><Relationship Id="rId3364" Type="http://schemas.openxmlformats.org/officeDocument/2006/relationships/hyperlink" Target="https://www.immoscout24.ch/fr/appartement/louer/lieu-moerigen" TargetMode="External"/><Relationship Id="rId4695" Type="http://schemas.openxmlformats.org/officeDocument/2006/relationships/hyperlink" Target="https://www.immoscout24.ch/fr/appartement/acheter/lieu-flamatt" TargetMode="External"/><Relationship Id="rId2033" Type="http://schemas.openxmlformats.org/officeDocument/2006/relationships/hyperlink" Target="https://www.immoscout24.ch/fr/appartement/louer/lieu-mellingen" TargetMode="External"/><Relationship Id="rId3363" Type="http://schemas.openxmlformats.org/officeDocument/2006/relationships/hyperlink" Target="https://www.immoscout24.ch/fr/appartement/louer/lieu-moerigen" TargetMode="External"/><Relationship Id="rId4694" Type="http://schemas.openxmlformats.org/officeDocument/2006/relationships/hyperlink" Target="https://www.immoscout24.ch/fr/appartement/louer/quartier-wabern-koeniz" TargetMode="External"/><Relationship Id="rId2034" Type="http://schemas.openxmlformats.org/officeDocument/2006/relationships/hyperlink" Target="https://www.immoscout24.ch/fr/appartement/louer/lieu-mellingen" TargetMode="External"/><Relationship Id="rId3366" Type="http://schemas.openxmlformats.org/officeDocument/2006/relationships/hyperlink" Target="https://www.immoscout24.ch/fr/appartement/acheter/lieu-bassins" TargetMode="External"/><Relationship Id="rId4697" Type="http://schemas.openxmlformats.org/officeDocument/2006/relationships/hyperlink" Target="https://www.immoscout24.ch/fr/maison/acheter/lieu-bellerive-vd" TargetMode="External"/><Relationship Id="rId2035" Type="http://schemas.openxmlformats.org/officeDocument/2006/relationships/hyperlink" Target="https://www.immoscout24.ch/fr/appartement/acheter/lieu-huenenberg" TargetMode="External"/><Relationship Id="rId3365" Type="http://schemas.openxmlformats.org/officeDocument/2006/relationships/hyperlink" Target="https://www.immoscout24.ch/fr/appartement/acheter/lieu-bassins" TargetMode="External"/><Relationship Id="rId4696" Type="http://schemas.openxmlformats.org/officeDocument/2006/relationships/hyperlink" Target="https://www.immoscout24.ch/fr/appartement/acheter/lieu-flamatt" TargetMode="External"/><Relationship Id="rId2036" Type="http://schemas.openxmlformats.org/officeDocument/2006/relationships/hyperlink" Target="https://www.immoscout24.ch/fr/appartement/acheter/lieu-huenenberg" TargetMode="External"/><Relationship Id="rId3368" Type="http://schemas.openxmlformats.org/officeDocument/2006/relationships/hyperlink" Target="https://www.immoscout24.ch/fr/appartement/louer/quartier-holligen-berne" TargetMode="External"/><Relationship Id="rId4699" Type="http://schemas.openxmlformats.org/officeDocument/2006/relationships/hyperlink" Target="https://www.immoscout24.ch/fr/maison/acheter/lieu-billens" TargetMode="External"/><Relationship Id="rId2037" Type="http://schemas.openxmlformats.org/officeDocument/2006/relationships/hyperlink" Target="https://www.immoscout24.ch/fr/maison/acheter/lieu-goldach" TargetMode="External"/><Relationship Id="rId3367" Type="http://schemas.openxmlformats.org/officeDocument/2006/relationships/hyperlink" Target="https://www.immoscout24.ch/fr/appartement/louer/quartier-holligen-berne" TargetMode="External"/><Relationship Id="rId4698" Type="http://schemas.openxmlformats.org/officeDocument/2006/relationships/hyperlink" Target="https://www.immoscout24.ch/fr/maison/acheter/lieu-bellerive-vd" TargetMode="External"/><Relationship Id="rId3315" Type="http://schemas.openxmlformats.org/officeDocument/2006/relationships/hyperlink" Target="https://www.immoscout24.ch/fr/maison/acheter/lieu-hersberg" TargetMode="External"/><Relationship Id="rId4646" Type="http://schemas.openxmlformats.org/officeDocument/2006/relationships/hyperlink" Target="https://www.immoscout24.ch/fr/appartement/acheter/lieu-kandersteg" TargetMode="External"/><Relationship Id="rId5978" Type="http://schemas.openxmlformats.org/officeDocument/2006/relationships/hyperlink" Target="https://www.immoscout24.ch/fr/maison/louer/lieu-choex" TargetMode="External"/><Relationship Id="rId3314" Type="http://schemas.openxmlformats.org/officeDocument/2006/relationships/hyperlink" Target="https://www.immoscout24.ch/fr/appartement/louer/lieu-seseglio" TargetMode="External"/><Relationship Id="rId4645" Type="http://schemas.openxmlformats.org/officeDocument/2006/relationships/hyperlink" Target="https://www.immoscout24.ch/fr/appartement/acheter/lieu-kandersteg" TargetMode="External"/><Relationship Id="rId5979" Type="http://schemas.openxmlformats.org/officeDocument/2006/relationships/hyperlink" Target="https://www.immoscout24.ch/fr/appartement/acheter/lieu-ballaigues" TargetMode="External"/><Relationship Id="rId3317" Type="http://schemas.openxmlformats.org/officeDocument/2006/relationships/hyperlink" Target="https://www.immoscout24.ch/fr/maison/acheter/lieu-daillens" TargetMode="External"/><Relationship Id="rId4648" Type="http://schemas.openxmlformats.org/officeDocument/2006/relationships/hyperlink" Target="https://www.immoscout24.ch/fr/appartement/acheter/lieu-vernate" TargetMode="External"/><Relationship Id="rId5976" Type="http://schemas.openxmlformats.org/officeDocument/2006/relationships/hyperlink" Target="https://www.immoscout24.ch/fr/maison/acheter/region-ayent" TargetMode="External"/><Relationship Id="rId3316" Type="http://schemas.openxmlformats.org/officeDocument/2006/relationships/hyperlink" Target="https://www.immoscout24.ch/fr/maison/acheter/lieu-hersberg" TargetMode="External"/><Relationship Id="rId4647" Type="http://schemas.openxmlformats.org/officeDocument/2006/relationships/hyperlink" Target="https://www.immoscout24.ch/fr/appartement/acheter/lieu-vernate" TargetMode="External"/><Relationship Id="rId5977" Type="http://schemas.openxmlformats.org/officeDocument/2006/relationships/hyperlink" Target="https://www.immoscout24.ch/fr/maison/louer/lieu-choex" TargetMode="External"/><Relationship Id="rId3319" Type="http://schemas.openxmlformats.org/officeDocument/2006/relationships/hyperlink" Target="https://www.immoscout24.ch/fr/maison/louer/quartier-centre-neuchatel" TargetMode="External"/><Relationship Id="rId3318" Type="http://schemas.openxmlformats.org/officeDocument/2006/relationships/hyperlink" Target="https://www.immoscout24.ch/fr/maison/acheter/lieu-daillens" TargetMode="External"/><Relationship Id="rId4649" Type="http://schemas.openxmlformats.org/officeDocument/2006/relationships/hyperlink" Target="https://www.immoscout24.ch/fr/appartement/louer/lieu-biel-benken-bl" TargetMode="External"/><Relationship Id="rId5970" Type="http://schemas.openxmlformats.org/officeDocument/2006/relationships/hyperlink" Target="https://www.immoscout24.ch/fr/appartement/louer/lieu-oberdiessbach" TargetMode="External"/><Relationship Id="rId5971" Type="http://schemas.openxmlformats.org/officeDocument/2006/relationships/hyperlink" Target="https://www.immoscout24.ch/fr/appartement/louer/lieu-st-gingolph" TargetMode="External"/><Relationship Id="rId4640" Type="http://schemas.openxmlformats.org/officeDocument/2006/relationships/hyperlink" Target="https://www.immoscout24.ch/fr/maison/acheter/lieu-montbrelloz" TargetMode="External"/><Relationship Id="rId3311" Type="http://schemas.openxmlformats.org/officeDocument/2006/relationships/hyperlink" Target="https://www.immoscout24.ch/fr/appartement/louer/lieu-martherenges" TargetMode="External"/><Relationship Id="rId4642" Type="http://schemas.openxmlformats.org/officeDocument/2006/relationships/hyperlink" Target="https://www.immoscout24.ch/fr/maison/acheter/lieu-maracon" TargetMode="External"/><Relationship Id="rId5974" Type="http://schemas.openxmlformats.org/officeDocument/2006/relationships/hyperlink" Target="https://www.immoscout24.ch/fr/appartement/acheter/lieu-schoenried" TargetMode="External"/><Relationship Id="rId3310" Type="http://schemas.openxmlformats.org/officeDocument/2006/relationships/hyperlink" Target="https://www.immoscout24.ch/fr/maison/acheter/lieu-euseigne" TargetMode="External"/><Relationship Id="rId4641" Type="http://schemas.openxmlformats.org/officeDocument/2006/relationships/hyperlink" Target="https://www.immoscout24.ch/fr/maison/acheter/lieu-maracon" TargetMode="External"/><Relationship Id="rId5975" Type="http://schemas.openxmlformats.org/officeDocument/2006/relationships/hyperlink" Target="https://www.immoscout24.ch/fr/maison/acheter/region-ayent" TargetMode="External"/><Relationship Id="rId3313" Type="http://schemas.openxmlformats.org/officeDocument/2006/relationships/hyperlink" Target="https://www.immoscout24.ch/fr/appartement/louer/lieu-seseglio" TargetMode="External"/><Relationship Id="rId4644" Type="http://schemas.openxmlformats.org/officeDocument/2006/relationships/hyperlink" Target="https://www.immoscout24.ch/fr/appartement/louer/lieu-valeyres-sous-rances" TargetMode="External"/><Relationship Id="rId5972" Type="http://schemas.openxmlformats.org/officeDocument/2006/relationships/hyperlink" Target="https://www.immoscout24.ch/fr/appartement/louer/lieu-st-gingolph" TargetMode="External"/><Relationship Id="rId3312" Type="http://schemas.openxmlformats.org/officeDocument/2006/relationships/hyperlink" Target="https://www.immoscout24.ch/fr/appartement/louer/lieu-martherenges" TargetMode="External"/><Relationship Id="rId4643" Type="http://schemas.openxmlformats.org/officeDocument/2006/relationships/hyperlink" Target="https://www.immoscout24.ch/fr/appartement/louer/lieu-valeyres-sous-rances" TargetMode="External"/><Relationship Id="rId5973" Type="http://schemas.openxmlformats.org/officeDocument/2006/relationships/hyperlink" Target="https://www.immoscout24.ch/fr/appartement/acheter/lieu-schoenried" TargetMode="External"/><Relationship Id="rId3304" Type="http://schemas.openxmlformats.org/officeDocument/2006/relationships/hyperlink" Target="https://www.immoscout24.ch/fr/appartement/acheter/lieu-mayens-de-chamoson" TargetMode="External"/><Relationship Id="rId4635" Type="http://schemas.openxmlformats.org/officeDocument/2006/relationships/hyperlink" Target="https://www.immoscout24.ch/fr/appartement/louer/lieu-lourtier" TargetMode="External"/><Relationship Id="rId5967" Type="http://schemas.openxmlformats.org/officeDocument/2006/relationships/hyperlink" Target="https://www.immoscout24.ch/fr/maison/louer/lieu-cournillens" TargetMode="External"/><Relationship Id="rId3303" Type="http://schemas.openxmlformats.org/officeDocument/2006/relationships/hyperlink" Target="https://www.immoscout24.ch/fr/appartement/acheter/lieu-mayens-de-chamoson" TargetMode="External"/><Relationship Id="rId4634" Type="http://schemas.openxmlformats.org/officeDocument/2006/relationships/hyperlink" Target="https://www.immoscout24.ch/fr/maison/acheter/lieu-taverne" TargetMode="External"/><Relationship Id="rId5968" Type="http://schemas.openxmlformats.org/officeDocument/2006/relationships/hyperlink" Target="https://www.immoscout24.ch/fr/maison/louer/lieu-cournillens" TargetMode="External"/><Relationship Id="rId3306" Type="http://schemas.openxmlformats.org/officeDocument/2006/relationships/hyperlink" Target="https://www.immoscout24.ch/fr/appartement/louer/lieu-gletterens" TargetMode="External"/><Relationship Id="rId4637" Type="http://schemas.openxmlformats.org/officeDocument/2006/relationships/hyperlink" Target="https://www.immoscout24.ch/fr/appartement/louer/lieu-schaffhausen" TargetMode="External"/><Relationship Id="rId5965" Type="http://schemas.openxmlformats.org/officeDocument/2006/relationships/hyperlink" Target="https://www.immoscout24.ch/fr/maison/acheter/quartier-eplatures-cret-du-locle-la-chaux-de-fonds" TargetMode="External"/><Relationship Id="rId3305" Type="http://schemas.openxmlformats.org/officeDocument/2006/relationships/hyperlink" Target="https://www.immoscout24.ch/fr/appartement/louer/lieu-gletterens" TargetMode="External"/><Relationship Id="rId4636" Type="http://schemas.openxmlformats.org/officeDocument/2006/relationships/hyperlink" Target="https://www.immoscout24.ch/fr/appartement/louer/lieu-lourtier" TargetMode="External"/><Relationship Id="rId5966" Type="http://schemas.openxmlformats.org/officeDocument/2006/relationships/hyperlink" Target="https://www.immoscout24.ch/fr/maison/acheter/quartier-eplatures-cret-du-locle-la-chaux-de-fonds" TargetMode="External"/><Relationship Id="rId3308" Type="http://schemas.openxmlformats.org/officeDocument/2006/relationships/hyperlink" Target="https://www.immoscout24.ch/fr/appartement/louer/lieu-saxon" TargetMode="External"/><Relationship Id="rId4639" Type="http://schemas.openxmlformats.org/officeDocument/2006/relationships/hyperlink" Target="https://www.immoscout24.ch/fr/maison/acheter/lieu-montbrelloz" TargetMode="External"/><Relationship Id="rId3307" Type="http://schemas.openxmlformats.org/officeDocument/2006/relationships/hyperlink" Target="https://www.immoscout24.ch/fr/appartement/louer/lieu-saxon" TargetMode="External"/><Relationship Id="rId4638" Type="http://schemas.openxmlformats.org/officeDocument/2006/relationships/hyperlink" Target="https://www.immoscout24.ch/fr/appartement/louer/lieu-schaffhausen" TargetMode="External"/><Relationship Id="rId5969" Type="http://schemas.openxmlformats.org/officeDocument/2006/relationships/hyperlink" Target="https://www.immoscout24.ch/fr/appartement/louer/lieu-oberdiessbach" TargetMode="External"/><Relationship Id="rId3309" Type="http://schemas.openxmlformats.org/officeDocument/2006/relationships/hyperlink" Target="https://www.immoscout24.ch/fr/maison/acheter/lieu-euseigne" TargetMode="External"/><Relationship Id="rId5960" Type="http://schemas.openxmlformats.org/officeDocument/2006/relationships/hyperlink" Target="https://www.immoscout24.ch/fr/appartement/louer/quartier-bel-air-la-chaux-de-fonds" TargetMode="External"/><Relationship Id="rId3300" Type="http://schemas.openxmlformats.org/officeDocument/2006/relationships/hyperlink" Target="https://www.immoscout24.ch/fr/maison/acheter/lieu-ollon-vd" TargetMode="External"/><Relationship Id="rId4631" Type="http://schemas.openxmlformats.org/officeDocument/2006/relationships/hyperlink" Target="https://www.immoscout24.ch/fr/maison/louer/lieu-rechy" TargetMode="External"/><Relationship Id="rId5963" Type="http://schemas.openxmlformats.org/officeDocument/2006/relationships/hyperlink" Target="https://www.immoscout24.ch/fr/maison/acheter/lieu-wavre" TargetMode="External"/><Relationship Id="rId4630" Type="http://schemas.openxmlformats.org/officeDocument/2006/relationships/hyperlink" Target="https://www.immoscout24.ch/fr/appartement/louer/lieu-immensee" TargetMode="External"/><Relationship Id="rId5964" Type="http://schemas.openxmlformats.org/officeDocument/2006/relationships/hyperlink" Target="https://www.immoscout24.ch/fr/maison/acheter/lieu-wavre" TargetMode="External"/><Relationship Id="rId3302" Type="http://schemas.openxmlformats.org/officeDocument/2006/relationships/hyperlink" Target="https://www.immoscout24.ch/fr/appartement/acheter/lieu-gerlafingen" TargetMode="External"/><Relationship Id="rId4633" Type="http://schemas.openxmlformats.org/officeDocument/2006/relationships/hyperlink" Target="https://www.immoscout24.ch/fr/maison/acheter/lieu-taverne" TargetMode="External"/><Relationship Id="rId5961" Type="http://schemas.openxmlformats.org/officeDocument/2006/relationships/hyperlink" Target="https://www.immoscout24.ch/fr/appartement/louer/quartier-stalban-bale" TargetMode="External"/><Relationship Id="rId3301" Type="http://schemas.openxmlformats.org/officeDocument/2006/relationships/hyperlink" Target="https://www.immoscout24.ch/fr/appartement/acheter/lieu-gerlafingen" TargetMode="External"/><Relationship Id="rId4632" Type="http://schemas.openxmlformats.org/officeDocument/2006/relationships/hyperlink" Target="https://www.immoscout24.ch/fr/maison/louer/lieu-rechy" TargetMode="External"/><Relationship Id="rId5962" Type="http://schemas.openxmlformats.org/officeDocument/2006/relationships/hyperlink" Target="https://www.immoscout24.ch/fr/appartement/louer/quartier-stalban-bale" TargetMode="External"/><Relationship Id="rId2005" Type="http://schemas.openxmlformats.org/officeDocument/2006/relationships/hyperlink" Target="https://www.immoscout24.ch/fr/appartement/acheter/lieu-bavois" TargetMode="External"/><Relationship Id="rId3337" Type="http://schemas.openxmlformats.org/officeDocument/2006/relationships/hyperlink" Target="https://www.immoscout24.ch/fr/maison/acheter/lieu-olten" TargetMode="External"/><Relationship Id="rId4668" Type="http://schemas.openxmlformats.org/officeDocument/2006/relationships/hyperlink" Target="https://www.immoscout24.ch/fr/appartement/louer/lieu-zimmerwald" TargetMode="External"/><Relationship Id="rId2006" Type="http://schemas.openxmlformats.org/officeDocument/2006/relationships/hyperlink" Target="https://www.immoscout24.ch/fr/appartement/acheter/lieu-bavois" TargetMode="External"/><Relationship Id="rId3336" Type="http://schemas.openxmlformats.org/officeDocument/2006/relationships/hyperlink" Target="https://www.immoscout24.ch/fr/maison/acheter/lieu-souboz" TargetMode="External"/><Relationship Id="rId4667" Type="http://schemas.openxmlformats.org/officeDocument/2006/relationships/hyperlink" Target="https://www.immoscout24.ch/fr/appartement/louer/lieu-zimmerwald" TargetMode="External"/><Relationship Id="rId2007" Type="http://schemas.openxmlformats.org/officeDocument/2006/relationships/hyperlink" Target="https://www.immoscout24.ch/fr/appartement/louer/lieu-minusio" TargetMode="External"/><Relationship Id="rId3339" Type="http://schemas.openxmlformats.org/officeDocument/2006/relationships/hyperlink" Target="https://www.immoscout24.ch/fr/maison/acheter/lieu-les-cullayes" TargetMode="External"/><Relationship Id="rId5998" Type="http://schemas.openxmlformats.org/officeDocument/2006/relationships/hyperlink" Target="https://www.immoscout24.ch/fr/appartement/louer/lieu-glis" TargetMode="External"/><Relationship Id="rId2008" Type="http://schemas.openxmlformats.org/officeDocument/2006/relationships/hyperlink" Target="https://www.immoscout24.ch/fr/appartement/louer/lieu-minusio" TargetMode="External"/><Relationship Id="rId3338" Type="http://schemas.openxmlformats.org/officeDocument/2006/relationships/hyperlink" Target="https://www.immoscout24.ch/fr/maison/acheter/lieu-olten" TargetMode="External"/><Relationship Id="rId4669" Type="http://schemas.openxmlformats.org/officeDocument/2006/relationships/hyperlink" Target="https://www.immoscout24.ch/fr/maison/louer/lieu-ins" TargetMode="External"/><Relationship Id="rId5999" Type="http://schemas.openxmlformats.org/officeDocument/2006/relationships/hyperlink" Target="https://www.immoscout24.ch/fr/maison/acheter/lieu-endingen" TargetMode="External"/><Relationship Id="rId2009" Type="http://schemas.openxmlformats.org/officeDocument/2006/relationships/hyperlink" Target="https://www.immoscout24.ch/fr/maison/acheter/lieu-chamblon" TargetMode="External"/><Relationship Id="rId4660" Type="http://schemas.openxmlformats.org/officeDocument/2006/relationships/hyperlink" Target="https://www.immoscout24.ch/fr/maison/acheter/lieu-colombier-ne" TargetMode="External"/><Relationship Id="rId5992" Type="http://schemas.openxmlformats.org/officeDocument/2006/relationships/hyperlink" Target="https://www.immoscout24.ch/fr/appartement/louer/lieu-uitikon-waldegg" TargetMode="External"/><Relationship Id="rId5993" Type="http://schemas.openxmlformats.org/officeDocument/2006/relationships/hyperlink" Target="https://www.immoscout24.ch/fr/appartement/louer/pays-grande-bretagne" TargetMode="External"/><Relationship Id="rId3331" Type="http://schemas.openxmlformats.org/officeDocument/2006/relationships/hyperlink" Target="https://www.immoscout24.ch/fr/maison/acheter/lieu-staufen" TargetMode="External"/><Relationship Id="rId4662" Type="http://schemas.openxmlformats.org/officeDocument/2006/relationships/hyperlink" Target="https://www.immoscout24.ch/fr/maison/acheter/lieu-bottighofen" TargetMode="External"/><Relationship Id="rId5990" Type="http://schemas.openxmlformats.org/officeDocument/2006/relationships/hyperlink" Target="https://www.immoscout24.ch/fr/maison/acheter/lieu-cressier-ne" TargetMode="External"/><Relationship Id="rId2000" Type="http://schemas.openxmlformats.org/officeDocument/2006/relationships/hyperlink" Target="https://www.immoscout24.ch/fr/appartement/louer/lieu-montet-broye" TargetMode="External"/><Relationship Id="rId3330" Type="http://schemas.openxmlformats.org/officeDocument/2006/relationships/hyperlink" Target="https://www.immoscout24.ch/fr/appartement/louer/lieu-st-antoni" TargetMode="External"/><Relationship Id="rId4661" Type="http://schemas.openxmlformats.org/officeDocument/2006/relationships/hyperlink" Target="https://www.immoscout24.ch/fr/maison/acheter/lieu-bottighofen" TargetMode="External"/><Relationship Id="rId5991" Type="http://schemas.openxmlformats.org/officeDocument/2006/relationships/hyperlink" Target="https://www.immoscout24.ch/fr/appartement/louer/lieu-uitikon-waldegg" TargetMode="External"/><Relationship Id="rId2001" Type="http://schemas.openxmlformats.org/officeDocument/2006/relationships/hyperlink" Target="https://www.immoscout24.ch/fr/appartement/louer/quartier-engeried-berne" TargetMode="External"/><Relationship Id="rId3333" Type="http://schemas.openxmlformats.org/officeDocument/2006/relationships/hyperlink" Target="https://www.immoscout24.ch/fr/appartement/louer/lieu-goumoens-la-ville" TargetMode="External"/><Relationship Id="rId4664" Type="http://schemas.openxmlformats.org/officeDocument/2006/relationships/hyperlink" Target="https://www.immoscout24.ch/fr/maison/louer/lieu-reconvilier" TargetMode="External"/><Relationship Id="rId5996" Type="http://schemas.openxmlformats.org/officeDocument/2006/relationships/hyperlink" Target="https://www.immoscout24.ch/fr/maison/acheter/lieu-barbereche" TargetMode="External"/><Relationship Id="rId2002" Type="http://schemas.openxmlformats.org/officeDocument/2006/relationships/hyperlink" Target="https://www.immoscout24.ch/fr/appartement/louer/quartier-engeried-berne" TargetMode="External"/><Relationship Id="rId3332" Type="http://schemas.openxmlformats.org/officeDocument/2006/relationships/hyperlink" Target="https://www.immoscout24.ch/fr/maison/acheter/lieu-staufen" TargetMode="External"/><Relationship Id="rId4663" Type="http://schemas.openxmlformats.org/officeDocument/2006/relationships/hyperlink" Target="https://www.immoscout24.ch/fr/maison/louer/lieu-reconvilier" TargetMode="External"/><Relationship Id="rId5997" Type="http://schemas.openxmlformats.org/officeDocument/2006/relationships/hyperlink" Target="https://www.immoscout24.ch/fr/appartement/louer/lieu-glis" TargetMode="External"/><Relationship Id="rId2003" Type="http://schemas.openxmlformats.org/officeDocument/2006/relationships/hyperlink" Target="https://www.immoscout24.ch/fr/appartement/acheter/lieu-vernayaz" TargetMode="External"/><Relationship Id="rId3335" Type="http://schemas.openxmlformats.org/officeDocument/2006/relationships/hyperlink" Target="https://www.immoscout24.ch/fr/maison/acheter/lieu-souboz" TargetMode="External"/><Relationship Id="rId4666" Type="http://schemas.openxmlformats.org/officeDocument/2006/relationships/hyperlink" Target="https://www.immoscout24.ch/fr/maison/acheter/lieu-bueren-an-der-aare" TargetMode="External"/><Relationship Id="rId5994" Type="http://schemas.openxmlformats.org/officeDocument/2006/relationships/hyperlink" Target="https://www.immoscout24.ch/fr/appartement/louer/pays-grande-bretagne" TargetMode="External"/><Relationship Id="rId2004" Type="http://schemas.openxmlformats.org/officeDocument/2006/relationships/hyperlink" Target="https://www.immoscout24.ch/fr/appartement/acheter/lieu-vernayaz" TargetMode="External"/><Relationship Id="rId3334" Type="http://schemas.openxmlformats.org/officeDocument/2006/relationships/hyperlink" Target="https://www.immoscout24.ch/fr/appartement/louer/lieu-goumoens-la-ville" TargetMode="External"/><Relationship Id="rId4665" Type="http://schemas.openxmlformats.org/officeDocument/2006/relationships/hyperlink" Target="https://www.immoscout24.ch/fr/maison/acheter/lieu-bueren-an-der-aare" TargetMode="External"/><Relationship Id="rId5995" Type="http://schemas.openxmlformats.org/officeDocument/2006/relationships/hyperlink" Target="https://www.immoscout24.ch/fr/maison/acheter/lieu-barbereche" TargetMode="External"/><Relationship Id="rId3326" Type="http://schemas.openxmlformats.org/officeDocument/2006/relationships/hyperlink" Target="https://www.immoscout24.ch/fr/maison/acheter/lieu-roggenburg" TargetMode="External"/><Relationship Id="rId4657" Type="http://schemas.openxmlformats.org/officeDocument/2006/relationships/hyperlink" Target="https://www.immoscout24.ch/fr/appartement/louer/lieu-delemont" TargetMode="External"/><Relationship Id="rId5989" Type="http://schemas.openxmlformats.org/officeDocument/2006/relationships/hyperlink" Target="https://www.immoscout24.ch/fr/maison/acheter/lieu-cressier-ne" TargetMode="External"/><Relationship Id="rId3325" Type="http://schemas.openxmlformats.org/officeDocument/2006/relationships/hyperlink" Target="https://www.immoscout24.ch/fr/maison/acheter/lieu-roggenburg" TargetMode="External"/><Relationship Id="rId4656" Type="http://schemas.openxmlformats.org/officeDocument/2006/relationships/hyperlink" Target="https://www.immoscout24.ch/fr/maison/louer/lieu-bourg-st-pierre" TargetMode="External"/><Relationship Id="rId3328" Type="http://schemas.openxmlformats.org/officeDocument/2006/relationships/hyperlink" Target="https://www.immoscout24.ch/fr/appartement/louer/lieu-vilars-ne" TargetMode="External"/><Relationship Id="rId4659" Type="http://schemas.openxmlformats.org/officeDocument/2006/relationships/hyperlink" Target="https://www.immoscout24.ch/fr/maison/acheter/lieu-colombier-ne" TargetMode="External"/><Relationship Id="rId5987" Type="http://schemas.openxmlformats.org/officeDocument/2006/relationships/hyperlink" Target="https://www.immoscout24.ch/fr/maison/acheter/lieu-courtetelle" TargetMode="External"/><Relationship Id="rId3327" Type="http://schemas.openxmlformats.org/officeDocument/2006/relationships/hyperlink" Target="https://www.immoscout24.ch/fr/appartement/louer/lieu-vilars-ne" TargetMode="External"/><Relationship Id="rId4658" Type="http://schemas.openxmlformats.org/officeDocument/2006/relationships/hyperlink" Target="https://www.immoscout24.ch/fr/appartement/louer/lieu-delemont" TargetMode="External"/><Relationship Id="rId5988" Type="http://schemas.openxmlformats.org/officeDocument/2006/relationships/hyperlink" Target="https://www.immoscout24.ch/fr/maison/acheter/lieu-courtetelle" TargetMode="External"/><Relationship Id="rId3329" Type="http://schemas.openxmlformats.org/officeDocument/2006/relationships/hyperlink" Target="https://www.immoscout24.ch/fr/appartement/louer/lieu-st-antoni" TargetMode="External"/><Relationship Id="rId5981" Type="http://schemas.openxmlformats.org/officeDocument/2006/relationships/hyperlink" Target="https://www.immoscout24.ch/fr/appartement/louer/lieu-lentigny" TargetMode="External"/><Relationship Id="rId5982" Type="http://schemas.openxmlformats.org/officeDocument/2006/relationships/hyperlink" Target="https://www.immoscout24.ch/fr/appartement/louer/lieu-lentigny" TargetMode="External"/><Relationship Id="rId3320" Type="http://schemas.openxmlformats.org/officeDocument/2006/relationships/hyperlink" Target="https://www.immoscout24.ch/fr/maison/louer/quartier-centre-neuchatel" TargetMode="External"/><Relationship Id="rId4651" Type="http://schemas.openxmlformats.org/officeDocument/2006/relationships/hyperlink" Target="https://www.immoscout24.ch/fr/appartement/louer/lieu-grandfontaine" TargetMode="External"/><Relationship Id="rId4650" Type="http://schemas.openxmlformats.org/officeDocument/2006/relationships/hyperlink" Target="https://www.immoscout24.ch/fr/appartement/louer/lieu-biel-benken-bl" TargetMode="External"/><Relationship Id="rId5980" Type="http://schemas.openxmlformats.org/officeDocument/2006/relationships/hyperlink" Target="https://www.immoscout24.ch/fr/appartement/acheter/lieu-ballaigues" TargetMode="External"/><Relationship Id="rId3322" Type="http://schemas.openxmlformats.org/officeDocument/2006/relationships/hyperlink" Target="https://www.immoscout24.ch/fr/maison/acheter/lieu-maennedorf" TargetMode="External"/><Relationship Id="rId4653" Type="http://schemas.openxmlformats.org/officeDocument/2006/relationships/hyperlink" Target="https://www.immoscout24.ch/fr/maison/acheter/lieu-waedenswil" TargetMode="External"/><Relationship Id="rId5985" Type="http://schemas.openxmlformats.org/officeDocument/2006/relationships/hyperlink" Target="https://www.immoscout24.ch/fr/appartement/acheter/lieu-bole" TargetMode="External"/><Relationship Id="rId3321" Type="http://schemas.openxmlformats.org/officeDocument/2006/relationships/hyperlink" Target="https://www.immoscout24.ch/fr/maison/acheter/lieu-maennedorf" TargetMode="External"/><Relationship Id="rId4652" Type="http://schemas.openxmlformats.org/officeDocument/2006/relationships/hyperlink" Target="https://www.immoscout24.ch/fr/appartement/louer/lieu-grandfontaine" TargetMode="External"/><Relationship Id="rId5986" Type="http://schemas.openxmlformats.org/officeDocument/2006/relationships/hyperlink" Target="https://www.immoscout24.ch/fr/appartement/acheter/lieu-bole" TargetMode="External"/><Relationship Id="rId3324" Type="http://schemas.openxmlformats.org/officeDocument/2006/relationships/hyperlink" Target="https://www.immoscout24.ch/fr/maison/acheter/lieu-langnau-im-emmental" TargetMode="External"/><Relationship Id="rId4655" Type="http://schemas.openxmlformats.org/officeDocument/2006/relationships/hyperlink" Target="https://www.immoscout24.ch/fr/maison/louer/lieu-bourg-st-pierre" TargetMode="External"/><Relationship Id="rId5983" Type="http://schemas.openxmlformats.org/officeDocument/2006/relationships/hyperlink" Target="https://www.immoscout24.ch/fr/maison/louer/lieu-bueren-an-der-aare" TargetMode="External"/><Relationship Id="rId3323" Type="http://schemas.openxmlformats.org/officeDocument/2006/relationships/hyperlink" Target="https://www.immoscout24.ch/fr/maison/acheter/lieu-langnau-im-emmental" TargetMode="External"/><Relationship Id="rId4654" Type="http://schemas.openxmlformats.org/officeDocument/2006/relationships/hyperlink" Target="https://www.immoscout24.ch/fr/maison/acheter/lieu-waedenswil" TargetMode="External"/><Relationship Id="rId5984" Type="http://schemas.openxmlformats.org/officeDocument/2006/relationships/hyperlink" Target="https://www.immoscout24.ch/fr/maison/louer/lieu-bueren-an-der-aare" TargetMode="External"/><Relationship Id="rId2090" Type="http://schemas.openxmlformats.org/officeDocument/2006/relationships/hyperlink" Target="https://www.immoscout24.ch/fr/maison/acheter/lieu-rueschegg-heubach" TargetMode="External"/><Relationship Id="rId2091" Type="http://schemas.openxmlformats.org/officeDocument/2006/relationships/hyperlink" Target="https://www.immoscout24.ch/fr/maison/louer/pays-allemagne" TargetMode="External"/><Relationship Id="rId2092" Type="http://schemas.openxmlformats.org/officeDocument/2006/relationships/hyperlink" Target="https://www.immoscout24.ch/fr/maison/louer/pays-allemagne" TargetMode="External"/><Relationship Id="rId2093" Type="http://schemas.openxmlformats.org/officeDocument/2006/relationships/hyperlink" Target="https://www.immoscout24.ch/fr/appartement/louer/lieu-lignerolle" TargetMode="External"/><Relationship Id="rId2094" Type="http://schemas.openxmlformats.org/officeDocument/2006/relationships/hyperlink" Target="https://www.immoscout24.ch/fr/appartement/louer/lieu-lignerolle" TargetMode="External"/><Relationship Id="rId2095" Type="http://schemas.openxmlformats.org/officeDocument/2006/relationships/hyperlink" Target="https://www.immoscout24.ch/fr/appartement/louer/lieu-oberrieden" TargetMode="External"/><Relationship Id="rId2096" Type="http://schemas.openxmlformats.org/officeDocument/2006/relationships/hyperlink" Target="https://www.immoscout24.ch/fr/appartement/louer/lieu-oberrieden" TargetMode="External"/><Relationship Id="rId2097" Type="http://schemas.openxmlformats.org/officeDocument/2006/relationships/hyperlink" Target="https://www.immoscout24.ch/fr/maison/acheter/lieu-la-tzoumaz" TargetMode="External"/><Relationship Id="rId2098" Type="http://schemas.openxmlformats.org/officeDocument/2006/relationships/hyperlink" Target="https://www.immoscout24.ch/fr/maison/acheter/lieu-la-tzoumaz" TargetMode="External"/><Relationship Id="rId2099" Type="http://schemas.openxmlformats.org/officeDocument/2006/relationships/hyperlink" Target="https://www.immoscout24.ch/fr/appartement/louer/lieu-orvin" TargetMode="External"/><Relationship Id="rId3391" Type="http://schemas.openxmlformats.org/officeDocument/2006/relationships/hyperlink" Target="https://www.immoscout24.ch/fr/maison/louer/lieu-gilly" TargetMode="External"/><Relationship Id="rId2060" Type="http://schemas.openxmlformats.org/officeDocument/2006/relationships/hyperlink" Target="https://www.immoscout24.ch/fr/maison/acheter/lieu-rose" TargetMode="External"/><Relationship Id="rId3390" Type="http://schemas.openxmlformats.org/officeDocument/2006/relationships/hyperlink" Target="https://www.immoscout24.ch/fr/maison/acheter/lieu-mur-vully-fr" TargetMode="External"/><Relationship Id="rId2061" Type="http://schemas.openxmlformats.org/officeDocument/2006/relationships/hyperlink" Target="https://www.immoscout24.ch/fr/appartement/louer/lieu-sornard-nendaz" TargetMode="External"/><Relationship Id="rId3393" Type="http://schemas.openxmlformats.org/officeDocument/2006/relationships/hyperlink" Target="https://www.immoscout24.ch/fr/appartement/acheter/lieu-enney" TargetMode="External"/><Relationship Id="rId2062" Type="http://schemas.openxmlformats.org/officeDocument/2006/relationships/hyperlink" Target="https://www.immoscout24.ch/fr/appartement/louer/lieu-sornard-nendaz" TargetMode="External"/><Relationship Id="rId3392" Type="http://schemas.openxmlformats.org/officeDocument/2006/relationships/hyperlink" Target="https://www.immoscout24.ch/fr/maison/louer/lieu-gilly" TargetMode="External"/><Relationship Id="rId2063" Type="http://schemas.openxmlformats.org/officeDocument/2006/relationships/hyperlink" Target="https://www.immoscout24.ch/fr/appartement/louer/quartier-vallon-bethusy-lausanne" TargetMode="External"/><Relationship Id="rId3395" Type="http://schemas.openxmlformats.org/officeDocument/2006/relationships/hyperlink" Target="https://www.immoscout24.ch/fr/appartement/louer/lieu-luc-ayent" TargetMode="External"/><Relationship Id="rId2064" Type="http://schemas.openxmlformats.org/officeDocument/2006/relationships/hyperlink" Target="https://www.immoscout24.ch/fr/appartement/louer/quartier-vallon-bethusy-lausanne" TargetMode="External"/><Relationship Id="rId3394" Type="http://schemas.openxmlformats.org/officeDocument/2006/relationships/hyperlink" Target="https://www.immoscout24.ch/fr/appartement/acheter/lieu-enney" TargetMode="External"/><Relationship Id="rId2065" Type="http://schemas.openxmlformats.org/officeDocument/2006/relationships/hyperlink" Target="https://www.immoscout24.ch/fr/appartement/louer/lieu-massagno" TargetMode="External"/><Relationship Id="rId3397" Type="http://schemas.openxmlformats.org/officeDocument/2006/relationships/hyperlink" Target="https://www.immoscout24.ch/fr/appartement/louer/quartier-am-ring-bale" TargetMode="External"/><Relationship Id="rId2066" Type="http://schemas.openxmlformats.org/officeDocument/2006/relationships/hyperlink" Target="https://www.immoscout24.ch/fr/appartement/louer/lieu-massagno" TargetMode="External"/><Relationship Id="rId3396" Type="http://schemas.openxmlformats.org/officeDocument/2006/relationships/hyperlink" Target="https://www.immoscout24.ch/fr/appartement/louer/lieu-luc-ayent" TargetMode="External"/><Relationship Id="rId2067" Type="http://schemas.openxmlformats.org/officeDocument/2006/relationships/hyperlink" Target="https://www.immoscout24.ch/fr/appartement/acheter/lieu-prilly" TargetMode="External"/><Relationship Id="rId3399" Type="http://schemas.openxmlformats.org/officeDocument/2006/relationships/hyperlink" Target="https://www.immoscout24.ch/fr/maison/acheter/lieu-mels" TargetMode="External"/><Relationship Id="rId2068" Type="http://schemas.openxmlformats.org/officeDocument/2006/relationships/hyperlink" Target="https://www.immoscout24.ch/fr/appartement/acheter/lieu-prilly" TargetMode="External"/><Relationship Id="rId3398" Type="http://schemas.openxmlformats.org/officeDocument/2006/relationships/hyperlink" Target="https://www.immoscout24.ch/fr/appartement/louer/quartier-am-ring-bale" TargetMode="External"/><Relationship Id="rId2069" Type="http://schemas.openxmlformats.org/officeDocument/2006/relationships/hyperlink" Target="https://www.immoscout24.ch/fr/appartement/acheter/lieu-mont-soleil" TargetMode="External"/><Relationship Id="rId3380" Type="http://schemas.openxmlformats.org/officeDocument/2006/relationships/hyperlink" Target="https://www.immoscout24.ch/fr/maison/acheter/lieu-posieux" TargetMode="External"/><Relationship Id="rId2050" Type="http://schemas.openxmlformats.org/officeDocument/2006/relationships/hyperlink" Target="https://www.immoscout24.ch/fr/appartement/louer/quartier-wipkingen-zurich" TargetMode="External"/><Relationship Id="rId3382" Type="http://schemas.openxmlformats.org/officeDocument/2006/relationships/hyperlink" Target="https://www.immoscout24.ch/fr/appartement/acheter/lieu-neuchatel" TargetMode="External"/><Relationship Id="rId2051" Type="http://schemas.openxmlformats.org/officeDocument/2006/relationships/hyperlink" Target="https://www.immoscout24.ch/fr/maison/louer/lieu-grolley" TargetMode="External"/><Relationship Id="rId3381" Type="http://schemas.openxmlformats.org/officeDocument/2006/relationships/hyperlink" Target="https://www.immoscout24.ch/fr/appartement/acheter/lieu-neuchatel" TargetMode="External"/><Relationship Id="rId2052" Type="http://schemas.openxmlformats.org/officeDocument/2006/relationships/hyperlink" Target="https://www.immoscout24.ch/fr/maison/louer/lieu-grolley" TargetMode="External"/><Relationship Id="rId3384" Type="http://schemas.openxmlformats.org/officeDocument/2006/relationships/hyperlink" Target="https://www.immoscout24.ch/fr/appartement/acheter/lieu-penthereaz" TargetMode="External"/><Relationship Id="rId2053" Type="http://schemas.openxmlformats.org/officeDocument/2006/relationships/hyperlink" Target="https://www.immoscout24.ch/fr/appartement/louer/lieu-blonay" TargetMode="External"/><Relationship Id="rId3383" Type="http://schemas.openxmlformats.org/officeDocument/2006/relationships/hyperlink" Target="https://www.immoscout24.ch/fr/appartement/acheter/lieu-penthereaz" TargetMode="External"/><Relationship Id="rId2054" Type="http://schemas.openxmlformats.org/officeDocument/2006/relationships/hyperlink" Target="https://www.immoscout24.ch/fr/appartement/louer/lieu-blonay" TargetMode="External"/><Relationship Id="rId3386" Type="http://schemas.openxmlformats.org/officeDocument/2006/relationships/hyperlink" Target="https://www.immoscout24.ch/fr/appartement/louer/quartier-olives-crosettes-la-chaux-de-fonds" TargetMode="External"/><Relationship Id="rId2055" Type="http://schemas.openxmlformats.org/officeDocument/2006/relationships/hyperlink" Target="https://www.immoscout24.ch/fr/appartement/louer/lieu-reclere" TargetMode="External"/><Relationship Id="rId3385" Type="http://schemas.openxmlformats.org/officeDocument/2006/relationships/hyperlink" Target="https://www.immoscout24.ch/fr/appartement/louer/quartier-olives-crosettes-la-chaux-de-fonds" TargetMode="External"/><Relationship Id="rId2056" Type="http://schemas.openxmlformats.org/officeDocument/2006/relationships/hyperlink" Target="https://www.immoscout24.ch/fr/appartement/louer/lieu-reclere" TargetMode="External"/><Relationship Id="rId3388" Type="http://schemas.openxmlformats.org/officeDocument/2006/relationships/hyperlink" Target="https://www.immoscout24.ch/fr/appartement/acheter/lieu-le-cret-pres-semsales" TargetMode="External"/><Relationship Id="rId2057" Type="http://schemas.openxmlformats.org/officeDocument/2006/relationships/hyperlink" Target="https://www.immoscout24.ch/fr/appartement/louer/lieu-chatelaine" TargetMode="External"/><Relationship Id="rId3387" Type="http://schemas.openxmlformats.org/officeDocument/2006/relationships/hyperlink" Target="https://www.immoscout24.ch/fr/appartement/acheter/lieu-le-cret-pres-semsales" TargetMode="External"/><Relationship Id="rId2058" Type="http://schemas.openxmlformats.org/officeDocument/2006/relationships/hyperlink" Target="https://www.immoscout24.ch/fr/appartement/louer/lieu-chatelaine" TargetMode="External"/><Relationship Id="rId2059" Type="http://schemas.openxmlformats.org/officeDocument/2006/relationships/hyperlink" Target="https://www.immoscout24.ch/fr/maison/acheter/lieu-rose" TargetMode="External"/><Relationship Id="rId3389" Type="http://schemas.openxmlformats.org/officeDocument/2006/relationships/hyperlink" Target="https://www.immoscout24.ch/fr/maison/acheter/lieu-mur-vully-fr" TargetMode="External"/><Relationship Id="rId2080" Type="http://schemas.openxmlformats.org/officeDocument/2006/relationships/hyperlink" Target="https://www.immoscout24.ch/fr/appartement/louer/quartier-pregassona-lugano" TargetMode="External"/><Relationship Id="rId2081" Type="http://schemas.openxmlformats.org/officeDocument/2006/relationships/hyperlink" Target="https://www.immoscout24.ch/fr/maison/acheter/lieu-etagnieres" TargetMode="External"/><Relationship Id="rId2082" Type="http://schemas.openxmlformats.org/officeDocument/2006/relationships/hyperlink" Target="https://www.immoscout24.ch/fr/maison/acheter/lieu-etagnieres" TargetMode="External"/><Relationship Id="rId2083" Type="http://schemas.openxmlformats.org/officeDocument/2006/relationships/hyperlink" Target="https://www.immoscout24.ch/fr/appartement/acheter/lieu-bissone" TargetMode="External"/><Relationship Id="rId2084" Type="http://schemas.openxmlformats.org/officeDocument/2006/relationships/hyperlink" Target="https://www.immoscout24.ch/fr/appartement/acheter/lieu-bissone" TargetMode="External"/><Relationship Id="rId2085" Type="http://schemas.openxmlformats.org/officeDocument/2006/relationships/hyperlink" Target="https://www.immoscout24.ch/fr/maison/acheter/region-soleure-et-environs" TargetMode="External"/><Relationship Id="rId2086" Type="http://schemas.openxmlformats.org/officeDocument/2006/relationships/hyperlink" Target="https://www.immoscout24.ch/fr/maison/acheter/region-soleure-et-environs" TargetMode="External"/><Relationship Id="rId2087" Type="http://schemas.openxmlformats.org/officeDocument/2006/relationships/hyperlink" Target="https://www.immoscout24.ch/fr/maison/louer/lieu-st-blaise" TargetMode="External"/><Relationship Id="rId2088" Type="http://schemas.openxmlformats.org/officeDocument/2006/relationships/hyperlink" Target="https://www.immoscout24.ch/fr/maison/louer/lieu-st-blaise" TargetMode="External"/><Relationship Id="rId2089" Type="http://schemas.openxmlformats.org/officeDocument/2006/relationships/hyperlink" Target="https://www.immoscout24.ch/fr/maison/acheter/lieu-rueschegg-heubach" TargetMode="External"/><Relationship Id="rId2070" Type="http://schemas.openxmlformats.org/officeDocument/2006/relationships/hyperlink" Target="https://www.immoscout24.ch/fr/appartement/acheter/lieu-mont-soleil" TargetMode="External"/><Relationship Id="rId2071" Type="http://schemas.openxmlformats.org/officeDocument/2006/relationships/hyperlink" Target="https://www.immoscout24.ch/fr/appartement/acheter/lieu-staad-sg" TargetMode="External"/><Relationship Id="rId2072" Type="http://schemas.openxmlformats.org/officeDocument/2006/relationships/hyperlink" Target="https://www.immoscout24.ch/fr/appartement/acheter/lieu-staad-sg" TargetMode="External"/><Relationship Id="rId2073" Type="http://schemas.openxmlformats.org/officeDocument/2006/relationships/hyperlink" Target="https://www.immoscout24.ch/fr/appartement/louer/region-zimmerberg-sihltal" TargetMode="External"/><Relationship Id="rId2074" Type="http://schemas.openxmlformats.org/officeDocument/2006/relationships/hyperlink" Target="https://www.immoscout24.ch/fr/appartement/louer/region-zimmerberg-sihltal" TargetMode="External"/><Relationship Id="rId2075" Type="http://schemas.openxmlformats.org/officeDocument/2006/relationships/hyperlink" Target="https://www.immoscout24.ch/fr/maison/acheter/lieu-grand-lancy" TargetMode="External"/><Relationship Id="rId2076" Type="http://schemas.openxmlformats.org/officeDocument/2006/relationships/hyperlink" Target="https://www.immoscout24.ch/fr/maison/acheter/lieu-grand-lancy" TargetMode="External"/><Relationship Id="rId2077" Type="http://schemas.openxmlformats.org/officeDocument/2006/relationships/hyperlink" Target="https://www.immoscout24.ch/fr/appartement/acheter/region-seeland" TargetMode="External"/><Relationship Id="rId2078" Type="http://schemas.openxmlformats.org/officeDocument/2006/relationships/hyperlink" Target="https://www.immoscout24.ch/fr/appartement/acheter/region-seeland" TargetMode="External"/><Relationship Id="rId2079" Type="http://schemas.openxmlformats.org/officeDocument/2006/relationships/hyperlink" Target="https://www.immoscout24.ch/fr/appartement/louer/quartier-pregassona-lugano" TargetMode="External"/><Relationship Id="rId4723" Type="http://schemas.openxmlformats.org/officeDocument/2006/relationships/hyperlink" Target="https://www.immoscout24.ch/fr/appartement/acheter/lieu-emmenbruecke" TargetMode="External"/><Relationship Id="rId4722" Type="http://schemas.openxmlformats.org/officeDocument/2006/relationships/hyperlink" Target="https://www.immoscout24.ch/fr/appartement/acheter/lieu-charrat" TargetMode="External"/><Relationship Id="rId4725" Type="http://schemas.openxmlformats.org/officeDocument/2006/relationships/hyperlink" Target="https://www.immoscout24.ch/fr/appartement/louer/lieu-clarens" TargetMode="External"/><Relationship Id="rId4724" Type="http://schemas.openxmlformats.org/officeDocument/2006/relationships/hyperlink" Target="https://www.immoscout24.ch/fr/appartement/acheter/lieu-emmenbruecke" TargetMode="External"/><Relationship Id="rId4727" Type="http://schemas.openxmlformats.org/officeDocument/2006/relationships/hyperlink" Target="https://www.immoscout24.ch/fr/appartement/acheter/lieu-gland" TargetMode="External"/><Relationship Id="rId4726" Type="http://schemas.openxmlformats.org/officeDocument/2006/relationships/hyperlink" Target="https://www.immoscout24.ch/fr/appartement/louer/lieu-clarens" TargetMode="External"/><Relationship Id="rId4729" Type="http://schemas.openxmlformats.org/officeDocument/2006/relationships/hyperlink" Target="https://www.immoscout24.ch/fr/appartement/acheter/lieu-oberembrach" TargetMode="External"/><Relationship Id="rId4728" Type="http://schemas.openxmlformats.org/officeDocument/2006/relationships/hyperlink" Target="https://www.immoscout24.ch/fr/appartement/acheter/lieu-gland" TargetMode="External"/><Relationship Id="rId4721" Type="http://schemas.openxmlformats.org/officeDocument/2006/relationships/hyperlink" Target="https://www.immoscout24.ch/fr/appartement/acheter/lieu-charrat" TargetMode="External"/><Relationship Id="rId4720" Type="http://schemas.openxmlformats.org/officeDocument/2006/relationships/hyperlink" Target="https://www.immoscout24.ch/fr/maison/acheter/lieu-sugiez" TargetMode="External"/><Relationship Id="rId4712" Type="http://schemas.openxmlformats.org/officeDocument/2006/relationships/hyperlink" Target="https://www.immoscout24.ch/fr/appartement/louer/lieu-buechslen" TargetMode="External"/><Relationship Id="rId4711" Type="http://schemas.openxmlformats.org/officeDocument/2006/relationships/hyperlink" Target="https://www.immoscout24.ch/fr/appartement/louer/lieu-buechslen" TargetMode="External"/><Relationship Id="rId4714" Type="http://schemas.openxmlformats.org/officeDocument/2006/relationships/hyperlink" Target="https://www.immoscout24.ch/fr/maison/louer/lieu-eclepens" TargetMode="External"/><Relationship Id="rId4713" Type="http://schemas.openxmlformats.org/officeDocument/2006/relationships/hyperlink" Target="https://www.immoscout24.ch/fr/maison/louer/lieu-eclepens" TargetMode="External"/><Relationship Id="rId4716" Type="http://schemas.openxmlformats.org/officeDocument/2006/relationships/hyperlink" Target="https://www.immoscout24.ch/fr/maison/acheter/lieu-aathal-seegraeben" TargetMode="External"/><Relationship Id="rId4715" Type="http://schemas.openxmlformats.org/officeDocument/2006/relationships/hyperlink" Target="https://www.immoscout24.ch/fr/maison/acheter/lieu-aathal-seegraeben" TargetMode="External"/><Relationship Id="rId4718" Type="http://schemas.openxmlformats.org/officeDocument/2006/relationships/hyperlink" Target="https://www.immoscout24.ch/fr/maison/louer/lieu-curio" TargetMode="External"/><Relationship Id="rId4717" Type="http://schemas.openxmlformats.org/officeDocument/2006/relationships/hyperlink" Target="https://www.immoscout24.ch/fr/maison/louer/lieu-curio" TargetMode="External"/><Relationship Id="rId4719" Type="http://schemas.openxmlformats.org/officeDocument/2006/relationships/hyperlink" Target="https://www.immoscout24.ch/fr/maison/acheter/lieu-sugiez" TargetMode="External"/><Relationship Id="rId4710" Type="http://schemas.openxmlformats.org/officeDocument/2006/relationships/hyperlink" Target="https://www.immoscout24.ch/fr/appartement/louer/lieu-courfaivre" TargetMode="External"/><Relationship Id="rId3414" Type="http://schemas.openxmlformats.org/officeDocument/2006/relationships/hyperlink" Target="https://www.immoscout24.ch/fr/maison/acheter/lieu-feldbrunnen" TargetMode="External"/><Relationship Id="rId4745" Type="http://schemas.openxmlformats.org/officeDocument/2006/relationships/hyperlink" Target="https://www.immoscout24.ch/fr/maison/acheter/lieu-heitenried" TargetMode="External"/><Relationship Id="rId3413" Type="http://schemas.openxmlformats.org/officeDocument/2006/relationships/hyperlink" Target="https://www.immoscout24.ch/fr/maison/acheter/lieu-feldbrunnen" TargetMode="External"/><Relationship Id="rId4744" Type="http://schemas.openxmlformats.org/officeDocument/2006/relationships/hyperlink" Target="https://www.immoscout24.ch/fr/maison/acheter/lieu-fortunau-ayent" TargetMode="External"/><Relationship Id="rId3416" Type="http://schemas.openxmlformats.org/officeDocument/2006/relationships/hyperlink" Target="https://www.immoscout24.ch/fr/appartement/louer/lieu-mutrux" TargetMode="External"/><Relationship Id="rId4747" Type="http://schemas.openxmlformats.org/officeDocument/2006/relationships/hyperlink" Target="https://www.immoscout24.ch/fr/appartement/acheter/lieu-champery" TargetMode="External"/><Relationship Id="rId3415" Type="http://schemas.openxmlformats.org/officeDocument/2006/relationships/hyperlink" Target="https://www.immoscout24.ch/fr/appartement/louer/lieu-mutrux" TargetMode="External"/><Relationship Id="rId4746" Type="http://schemas.openxmlformats.org/officeDocument/2006/relationships/hyperlink" Target="https://www.immoscout24.ch/fr/maison/acheter/lieu-heitenried" TargetMode="External"/><Relationship Id="rId3418" Type="http://schemas.openxmlformats.org/officeDocument/2006/relationships/hyperlink" Target="https://www.immoscout24.ch/fr/appartement/louer/lieu-engollon" TargetMode="External"/><Relationship Id="rId4749" Type="http://schemas.openxmlformats.org/officeDocument/2006/relationships/hyperlink" Target="https://www.immoscout24.ch/fr/maison/acheter/lieu-montenol" TargetMode="External"/><Relationship Id="rId3417" Type="http://schemas.openxmlformats.org/officeDocument/2006/relationships/hyperlink" Target="https://www.immoscout24.ch/fr/appartement/louer/lieu-engollon" TargetMode="External"/><Relationship Id="rId4748" Type="http://schemas.openxmlformats.org/officeDocument/2006/relationships/hyperlink" Target="https://www.immoscout24.ch/fr/appartement/acheter/lieu-champery" TargetMode="External"/><Relationship Id="rId3419" Type="http://schemas.openxmlformats.org/officeDocument/2006/relationships/hyperlink" Target="https://www.immoscout24.ch/fr/maison/acheter/lieu-rupperswil" TargetMode="External"/><Relationship Id="rId3410" Type="http://schemas.openxmlformats.org/officeDocument/2006/relationships/hyperlink" Target="https://www.immoscout24.ch/fr/appartement/louer/lieu-grub-ar" TargetMode="External"/><Relationship Id="rId4741" Type="http://schemas.openxmlformats.org/officeDocument/2006/relationships/hyperlink" Target="https://www.immoscout24.ch/fr/maison/acheter/lieu-eclepens" TargetMode="External"/><Relationship Id="rId4740" Type="http://schemas.openxmlformats.org/officeDocument/2006/relationships/hyperlink" Target="https://www.immoscout24.ch/fr/maison/acheter/lieu-bournens" TargetMode="External"/><Relationship Id="rId3412" Type="http://schemas.openxmlformats.org/officeDocument/2006/relationships/hyperlink" Target="https://www.immoscout24.ch/fr/appartement/louer/lieu-teufen-ar" TargetMode="External"/><Relationship Id="rId4743" Type="http://schemas.openxmlformats.org/officeDocument/2006/relationships/hyperlink" Target="https://www.immoscout24.ch/fr/maison/acheter/lieu-fortunau-ayent" TargetMode="External"/><Relationship Id="rId3411" Type="http://schemas.openxmlformats.org/officeDocument/2006/relationships/hyperlink" Target="https://www.immoscout24.ch/fr/appartement/louer/lieu-teufen-ar" TargetMode="External"/><Relationship Id="rId4742" Type="http://schemas.openxmlformats.org/officeDocument/2006/relationships/hyperlink" Target="https://www.immoscout24.ch/fr/maison/acheter/lieu-eclepens" TargetMode="External"/><Relationship Id="rId3403" Type="http://schemas.openxmlformats.org/officeDocument/2006/relationships/hyperlink" Target="https://www.immoscout24.ch/fr/appartement/louer/lieu-st-gallen" TargetMode="External"/><Relationship Id="rId4734" Type="http://schemas.openxmlformats.org/officeDocument/2006/relationships/hyperlink" Target="https://www.immoscout24.ch/fr/appartement/louer/quartier-stjohann-bale" TargetMode="External"/><Relationship Id="rId3402" Type="http://schemas.openxmlformats.org/officeDocument/2006/relationships/hyperlink" Target="https://www.immoscout24.ch/fr/maison/acheter/lieu-miex" TargetMode="External"/><Relationship Id="rId4733" Type="http://schemas.openxmlformats.org/officeDocument/2006/relationships/hyperlink" Target="https://www.immoscout24.ch/fr/appartement/louer/quartier-stjohann-bale" TargetMode="External"/><Relationship Id="rId3405" Type="http://schemas.openxmlformats.org/officeDocument/2006/relationships/hyperlink" Target="https://www.immoscout24.ch/fr/maison/acheter/pays-thailand" TargetMode="External"/><Relationship Id="rId4736" Type="http://schemas.openxmlformats.org/officeDocument/2006/relationships/hyperlink" Target="https://www.immoscout24.ch/fr/maison/acheter/lieu-wangen-an-der-aare" TargetMode="External"/><Relationship Id="rId3404" Type="http://schemas.openxmlformats.org/officeDocument/2006/relationships/hyperlink" Target="https://www.immoscout24.ch/fr/appartement/louer/lieu-st-gallen" TargetMode="External"/><Relationship Id="rId4735" Type="http://schemas.openxmlformats.org/officeDocument/2006/relationships/hyperlink" Target="https://www.immoscout24.ch/fr/maison/acheter/lieu-wangen-an-der-aare" TargetMode="External"/><Relationship Id="rId3407" Type="http://schemas.openxmlformats.org/officeDocument/2006/relationships/hyperlink" Target="https://www.immoscout24.ch/fr/maison/louer/lieu-echarlens" TargetMode="External"/><Relationship Id="rId4738" Type="http://schemas.openxmlformats.org/officeDocument/2006/relationships/hyperlink" Target="https://www.immoscout24.ch/fr/appartement/louer/lieu-severy" TargetMode="External"/><Relationship Id="rId3406" Type="http://schemas.openxmlformats.org/officeDocument/2006/relationships/hyperlink" Target="https://www.immoscout24.ch/fr/maison/acheter/pays-thailand" TargetMode="External"/><Relationship Id="rId4737" Type="http://schemas.openxmlformats.org/officeDocument/2006/relationships/hyperlink" Target="https://www.immoscout24.ch/fr/appartement/louer/lieu-severy" TargetMode="External"/><Relationship Id="rId3409" Type="http://schemas.openxmlformats.org/officeDocument/2006/relationships/hyperlink" Target="https://www.immoscout24.ch/fr/appartement/louer/lieu-grub-ar" TargetMode="External"/><Relationship Id="rId3408" Type="http://schemas.openxmlformats.org/officeDocument/2006/relationships/hyperlink" Target="https://www.immoscout24.ch/fr/maison/louer/lieu-echarlens" TargetMode="External"/><Relationship Id="rId4739" Type="http://schemas.openxmlformats.org/officeDocument/2006/relationships/hyperlink" Target="https://www.immoscout24.ch/fr/maison/acheter/lieu-bournens" TargetMode="External"/><Relationship Id="rId4730" Type="http://schemas.openxmlformats.org/officeDocument/2006/relationships/hyperlink" Target="https://www.immoscout24.ch/fr/appartement/acheter/lieu-oberembrach" TargetMode="External"/><Relationship Id="rId3401" Type="http://schemas.openxmlformats.org/officeDocument/2006/relationships/hyperlink" Target="https://www.immoscout24.ch/fr/maison/acheter/lieu-miex" TargetMode="External"/><Relationship Id="rId4732" Type="http://schemas.openxmlformats.org/officeDocument/2006/relationships/hyperlink" Target="https://www.immoscout24.ch/fr/appartement/acheter/lieu-arlesheim" TargetMode="External"/><Relationship Id="rId3400" Type="http://schemas.openxmlformats.org/officeDocument/2006/relationships/hyperlink" Target="https://www.immoscout24.ch/fr/maison/acheter/lieu-mels" TargetMode="External"/><Relationship Id="rId4731" Type="http://schemas.openxmlformats.org/officeDocument/2006/relationships/hyperlink" Target="https://www.immoscout24.ch/fr/appartement/acheter/lieu-arlesheim" TargetMode="External"/><Relationship Id="rId4701" Type="http://schemas.openxmlformats.org/officeDocument/2006/relationships/hyperlink" Target="https://www.immoscout24.ch/fr/maison/louer/lieu-motier-vully" TargetMode="External"/><Relationship Id="rId4700" Type="http://schemas.openxmlformats.org/officeDocument/2006/relationships/hyperlink" Target="https://www.immoscout24.ch/fr/maison/acheter/lieu-billens" TargetMode="External"/><Relationship Id="rId4703" Type="http://schemas.openxmlformats.org/officeDocument/2006/relationships/hyperlink" Target="https://www.immoscout24.ch/fr/appartement/louer/lieu-gillarens" TargetMode="External"/><Relationship Id="rId4702" Type="http://schemas.openxmlformats.org/officeDocument/2006/relationships/hyperlink" Target="https://www.immoscout24.ch/fr/maison/louer/lieu-motier-vully" TargetMode="External"/><Relationship Id="rId4705" Type="http://schemas.openxmlformats.org/officeDocument/2006/relationships/hyperlink" Target="https://www.immoscout24.ch/fr/maison/acheter/lieu-la-tanne" TargetMode="External"/><Relationship Id="rId4704" Type="http://schemas.openxmlformats.org/officeDocument/2006/relationships/hyperlink" Target="https://www.immoscout24.ch/fr/appartement/louer/lieu-gillarens" TargetMode="External"/><Relationship Id="rId4707" Type="http://schemas.openxmlformats.org/officeDocument/2006/relationships/hyperlink" Target="https://www.immoscout24.ch/fr/appartement/louer/lieu-egerkingen" TargetMode="External"/><Relationship Id="rId4706" Type="http://schemas.openxmlformats.org/officeDocument/2006/relationships/hyperlink" Target="https://www.immoscout24.ch/fr/maison/acheter/lieu-la-tanne" TargetMode="External"/><Relationship Id="rId4709" Type="http://schemas.openxmlformats.org/officeDocument/2006/relationships/hyperlink" Target="https://www.immoscout24.ch/fr/appartement/louer/lieu-courfaivre" TargetMode="External"/><Relationship Id="rId4708" Type="http://schemas.openxmlformats.org/officeDocument/2006/relationships/hyperlink" Target="https://www.immoscout24.ch/fr/appartement/louer/lieu-egerkingen" TargetMode="External"/><Relationship Id="rId2148" Type="http://schemas.openxmlformats.org/officeDocument/2006/relationships/hyperlink" Target="https://www.immoscout24.ch/fr/appartement/louer/lieu-marin-epagnier" TargetMode="External"/><Relationship Id="rId2149" Type="http://schemas.openxmlformats.org/officeDocument/2006/relationships/hyperlink" Target="https://www.immoscout24.ch/fr/maison/louer/lieu-therwil" TargetMode="External"/><Relationship Id="rId3479" Type="http://schemas.openxmlformats.org/officeDocument/2006/relationships/hyperlink" Target="https://www.immoscout24.ch/fr/maison/acheter/lieu-liebistorf" TargetMode="External"/><Relationship Id="rId3470" Type="http://schemas.openxmlformats.org/officeDocument/2006/relationships/hyperlink" Target="https://www.immoscout24.ch/fr/appartement/louer/canton-argovie" TargetMode="External"/><Relationship Id="rId2140" Type="http://schemas.openxmlformats.org/officeDocument/2006/relationships/hyperlink" Target="https://www.immoscout24.ch/fr/maison/louer/lieu-arzier-le-muids" TargetMode="External"/><Relationship Id="rId3472" Type="http://schemas.openxmlformats.org/officeDocument/2006/relationships/hyperlink" Target="https://www.immoscout24.ch/fr/appartement/louer/lieu-la-chaux-cossonay" TargetMode="External"/><Relationship Id="rId2141" Type="http://schemas.openxmlformats.org/officeDocument/2006/relationships/hyperlink" Target="https://www.immoscout24.ch/fr/appartement/louer/lieu-formangueires" TargetMode="External"/><Relationship Id="rId3471" Type="http://schemas.openxmlformats.org/officeDocument/2006/relationships/hyperlink" Target="https://www.immoscout24.ch/fr/appartement/louer/lieu-la-chaux-cossonay" TargetMode="External"/><Relationship Id="rId2142" Type="http://schemas.openxmlformats.org/officeDocument/2006/relationships/hyperlink" Target="https://www.immoscout24.ch/fr/appartement/louer/lieu-formangueires" TargetMode="External"/><Relationship Id="rId3474" Type="http://schemas.openxmlformats.org/officeDocument/2006/relationships/hyperlink" Target="https://www.immoscout24.ch/fr/appartement/louer/lieu-maegenwil" TargetMode="External"/><Relationship Id="rId2143" Type="http://schemas.openxmlformats.org/officeDocument/2006/relationships/hyperlink" Target="https://www.immoscout24.ch/fr/maison/acheter/lieu-mollie-margot" TargetMode="External"/><Relationship Id="rId3473" Type="http://schemas.openxmlformats.org/officeDocument/2006/relationships/hyperlink" Target="https://www.immoscout24.ch/fr/appartement/louer/lieu-maegenwil" TargetMode="External"/><Relationship Id="rId2144" Type="http://schemas.openxmlformats.org/officeDocument/2006/relationships/hyperlink" Target="https://www.immoscout24.ch/fr/maison/acheter/lieu-mollie-margot" TargetMode="External"/><Relationship Id="rId3476" Type="http://schemas.openxmlformats.org/officeDocument/2006/relationships/hyperlink" Target="https://www.immoscout24.ch/fr/maison/acheter/lieu-breganzona" TargetMode="External"/><Relationship Id="rId2145" Type="http://schemas.openxmlformats.org/officeDocument/2006/relationships/hyperlink" Target="https://www.immoscout24.ch/fr/maison/acheter/lieu-soubey" TargetMode="External"/><Relationship Id="rId3475" Type="http://schemas.openxmlformats.org/officeDocument/2006/relationships/hyperlink" Target="https://www.immoscout24.ch/fr/maison/acheter/lieu-breganzona" TargetMode="External"/><Relationship Id="rId2146" Type="http://schemas.openxmlformats.org/officeDocument/2006/relationships/hyperlink" Target="https://www.immoscout24.ch/fr/maison/acheter/lieu-soubey" TargetMode="External"/><Relationship Id="rId3478" Type="http://schemas.openxmlformats.org/officeDocument/2006/relationships/hyperlink" Target="https://www.immoscout24.ch/fr/appartement/acheter/quartier-sebeillon-malley-lausanne" TargetMode="External"/><Relationship Id="rId2147" Type="http://schemas.openxmlformats.org/officeDocument/2006/relationships/hyperlink" Target="https://www.immoscout24.ch/fr/appartement/louer/lieu-marin-epagnier" TargetMode="External"/><Relationship Id="rId3477" Type="http://schemas.openxmlformats.org/officeDocument/2006/relationships/hyperlink" Target="https://www.immoscout24.ch/fr/appartement/acheter/quartier-sebeillon-malley-lausanne" TargetMode="External"/><Relationship Id="rId2137" Type="http://schemas.openxmlformats.org/officeDocument/2006/relationships/hyperlink" Target="https://www.immoscout24.ch/fr/maison/louer/canton-valais" TargetMode="External"/><Relationship Id="rId3469" Type="http://schemas.openxmlformats.org/officeDocument/2006/relationships/hyperlink" Target="https://www.immoscout24.ch/fr/appartement/louer/canton-argovie" TargetMode="External"/><Relationship Id="rId2138" Type="http://schemas.openxmlformats.org/officeDocument/2006/relationships/hyperlink" Target="https://www.immoscout24.ch/fr/maison/louer/canton-valais" TargetMode="External"/><Relationship Id="rId3468" Type="http://schemas.openxmlformats.org/officeDocument/2006/relationships/hyperlink" Target="https://www.immoscout24.ch/fr/appartement/acheter/lieu-echandens" TargetMode="External"/><Relationship Id="rId4799" Type="http://schemas.openxmlformats.org/officeDocument/2006/relationships/hyperlink" Target="https://www.immoscout24.ch/fr/appartement/louer/lieu-fetigny" TargetMode="External"/><Relationship Id="rId2139" Type="http://schemas.openxmlformats.org/officeDocument/2006/relationships/hyperlink" Target="https://www.immoscout24.ch/fr/maison/louer/lieu-arzier-le-muids" TargetMode="External"/><Relationship Id="rId4790" Type="http://schemas.openxmlformats.org/officeDocument/2006/relationships/hyperlink" Target="https://www.immoscout24.ch/fr/appartement/louer/lieu-caslano" TargetMode="External"/><Relationship Id="rId3461" Type="http://schemas.openxmlformats.org/officeDocument/2006/relationships/hyperlink" Target="https://www.immoscout24.ch/fr/maison/louer/lieu-bevaix" TargetMode="External"/><Relationship Id="rId4792" Type="http://schemas.openxmlformats.org/officeDocument/2006/relationships/hyperlink" Target="https://www.immoscout24.ch/fr/maison/acheter/lieu-champoz" TargetMode="External"/><Relationship Id="rId2130" Type="http://schemas.openxmlformats.org/officeDocument/2006/relationships/hyperlink" Target="https://www.immoscout24.ch/fr/appartement/louer/lieu-meinier" TargetMode="External"/><Relationship Id="rId3460" Type="http://schemas.openxmlformats.org/officeDocument/2006/relationships/hyperlink" Target="https://www.immoscout24.ch/fr/appartement/louer/lieu-reiden" TargetMode="External"/><Relationship Id="rId4791" Type="http://schemas.openxmlformats.org/officeDocument/2006/relationships/hyperlink" Target="https://www.immoscout24.ch/fr/maison/acheter/lieu-champoz" TargetMode="External"/><Relationship Id="rId2131" Type="http://schemas.openxmlformats.org/officeDocument/2006/relationships/hyperlink" Target="https://www.immoscout24.ch/fr/maison/louer/lieu-botyre-ayent" TargetMode="External"/><Relationship Id="rId3463" Type="http://schemas.openxmlformats.org/officeDocument/2006/relationships/hyperlink" Target="https://www.immoscout24.ch/fr/maison/acheter/lieu-salgesch" TargetMode="External"/><Relationship Id="rId4794" Type="http://schemas.openxmlformats.org/officeDocument/2006/relationships/hyperlink" Target="https://www.immoscout24.ch/fr/appartement/louer/lieu-chatillon-fr" TargetMode="External"/><Relationship Id="rId2132" Type="http://schemas.openxmlformats.org/officeDocument/2006/relationships/hyperlink" Target="https://www.immoscout24.ch/fr/maison/louer/lieu-botyre-ayent" TargetMode="External"/><Relationship Id="rId3462" Type="http://schemas.openxmlformats.org/officeDocument/2006/relationships/hyperlink" Target="https://www.immoscout24.ch/fr/maison/louer/lieu-bevaix" TargetMode="External"/><Relationship Id="rId4793" Type="http://schemas.openxmlformats.org/officeDocument/2006/relationships/hyperlink" Target="https://www.immoscout24.ch/fr/appartement/louer/lieu-chatillon-fr" TargetMode="External"/><Relationship Id="rId2133" Type="http://schemas.openxmlformats.org/officeDocument/2006/relationships/hyperlink" Target="https://www.immoscout24.ch/fr/appartement/louer/lieu-bovernier" TargetMode="External"/><Relationship Id="rId3465" Type="http://schemas.openxmlformats.org/officeDocument/2006/relationships/hyperlink" Target="https://www.immoscout24.ch/fr/maison/acheter/lieu-siviriez" TargetMode="External"/><Relationship Id="rId4796" Type="http://schemas.openxmlformats.org/officeDocument/2006/relationships/hyperlink" Target="https://www.immoscout24.ch/fr/maison/acheter/lieu-vallorbe" TargetMode="External"/><Relationship Id="rId2134" Type="http://schemas.openxmlformats.org/officeDocument/2006/relationships/hyperlink" Target="https://www.immoscout24.ch/fr/appartement/louer/lieu-bovernier" TargetMode="External"/><Relationship Id="rId3464" Type="http://schemas.openxmlformats.org/officeDocument/2006/relationships/hyperlink" Target="https://www.immoscout24.ch/fr/maison/acheter/lieu-salgesch" TargetMode="External"/><Relationship Id="rId4795" Type="http://schemas.openxmlformats.org/officeDocument/2006/relationships/hyperlink" Target="https://www.immoscout24.ch/fr/maison/acheter/lieu-vallorbe" TargetMode="External"/><Relationship Id="rId2135" Type="http://schemas.openxmlformats.org/officeDocument/2006/relationships/hyperlink" Target="https://www.immoscout24.ch/fr/appartement/louer/lieu-frauenfeld" TargetMode="External"/><Relationship Id="rId3467" Type="http://schemas.openxmlformats.org/officeDocument/2006/relationships/hyperlink" Target="https://www.immoscout24.ch/fr/appartement/acheter/lieu-echandens" TargetMode="External"/><Relationship Id="rId4798" Type="http://schemas.openxmlformats.org/officeDocument/2006/relationships/hyperlink" Target="https://www.immoscout24.ch/fr/maison/louer/lieu-sevaz" TargetMode="External"/><Relationship Id="rId2136" Type="http://schemas.openxmlformats.org/officeDocument/2006/relationships/hyperlink" Target="https://www.immoscout24.ch/fr/appartement/louer/lieu-frauenfeld" TargetMode="External"/><Relationship Id="rId3466" Type="http://schemas.openxmlformats.org/officeDocument/2006/relationships/hyperlink" Target="https://www.immoscout24.ch/fr/maison/acheter/lieu-siviriez" TargetMode="External"/><Relationship Id="rId4797" Type="http://schemas.openxmlformats.org/officeDocument/2006/relationships/hyperlink" Target="https://www.immoscout24.ch/fr/maison/louer/lieu-sevaz" TargetMode="External"/><Relationship Id="rId3490" Type="http://schemas.openxmlformats.org/officeDocument/2006/relationships/hyperlink" Target="https://www.immoscout24.ch/fr/appartement/acheter/region-thoune-lac-de-thoune-nord" TargetMode="External"/><Relationship Id="rId2160" Type="http://schemas.openxmlformats.org/officeDocument/2006/relationships/hyperlink" Target="https://www.immoscout24.ch/fr/maison/acheter/lieu-fenil-sur-corsier" TargetMode="External"/><Relationship Id="rId3492" Type="http://schemas.openxmlformats.org/officeDocument/2006/relationships/hyperlink" Target="https://www.immoscout24.ch/fr/appartement/louer/lieu-rueschlikon" TargetMode="External"/><Relationship Id="rId2161" Type="http://schemas.openxmlformats.org/officeDocument/2006/relationships/hyperlink" Target="https://www.immoscout24.ch/fr/maison/louer/lieu-essertines-sur-yverdon" TargetMode="External"/><Relationship Id="rId3491" Type="http://schemas.openxmlformats.org/officeDocument/2006/relationships/hyperlink" Target="https://www.immoscout24.ch/fr/appartement/louer/lieu-rueschlikon" TargetMode="External"/><Relationship Id="rId2162" Type="http://schemas.openxmlformats.org/officeDocument/2006/relationships/hyperlink" Target="https://www.immoscout24.ch/fr/maison/louer/lieu-essertines-sur-yverdon" TargetMode="External"/><Relationship Id="rId3494" Type="http://schemas.openxmlformats.org/officeDocument/2006/relationships/hyperlink" Target="https://www.immoscout24.ch/fr/appartement/acheter/lieu-vouvry" TargetMode="External"/><Relationship Id="rId2163" Type="http://schemas.openxmlformats.org/officeDocument/2006/relationships/hyperlink" Target="https://www.immoscout24.ch/fr/appartement/louer/lieu-combremont-le-petit" TargetMode="External"/><Relationship Id="rId3493" Type="http://schemas.openxmlformats.org/officeDocument/2006/relationships/hyperlink" Target="https://www.immoscout24.ch/fr/appartement/acheter/lieu-vouvry" TargetMode="External"/><Relationship Id="rId2164" Type="http://schemas.openxmlformats.org/officeDocument/2006/relationships/hyperlink" Target="https://www.immoscout24.ch/fr/appartement/louer/lieu-combremont-le-petit" TargetMode="External"/><Relationship Id="rId3496" Type="http://schemas.openxmlformats.org/officeDocument/2006/relationships/hyperlink" Target="https://www.immoscout24.ch/fr/appartement/louer/lieu-bioggio" TargetMode="External"/><Relationship Id="rId2165" Type="http://schemas.openxmlformats.org/officeDocument/2006/relationships/hyperlink" Target="https://www.immoscout24.ch/fr/appartement/louer/quartier-witikon-zurich" TargetMode="External"/><Relationship Id="rId3495" Type="http://schemas.openxmlformats.org/officeDocument/2006/relationships/hyperlink" Target="https://www.immoscout24.ch/fr/appartement/louer/lieu-bioggio" TargetMode="External"/><Relationship Id="rId2166" Type="http://schemas.openxmlformats.org/officeDocument/2006/relationships/hyperlink" Target="https://www.immoscout24.ch/fr/appartement/louer/quartier-witikon-zurich" TargetMode="External"/><Relationship Id="rId3498" Type="http://schemas.openxmlformats.org/officeDocument/2006/relationships/hyperlink" Target="https://www.immoscout24.ch/fr/appartement/louer/lieu-lumino" TargetMode="External"/><Relationship Id="rId2167" Type="http://schemas.openxmlformats.org/officeDocument/2006/relationships/hyperlink" Target="https://www.immoscout24.ch/fr/maison/acheter/lieu-valeyres-sous-rances" TargetMode="External"/><Relationship Id="rId3497" Type="http://schemas.openxmlformats.org/officeDocument/2006/relationships/hyperlink" Target="https://www.immoscout24.ch/fr/appartement/louer/lieu-lumino" TargetMode="External"/><Relationship Id="rId2168" Type="http://schemas.openxmlformats.org/officeDocument/2006/relationships/hyperlink" Target="https://www.immoscout24.ch/fr/maison/acheter/lieu-valeyres-sous-rances" TargetMode="External"/><Relationship Id="rId2169" Type="http://schemas.openxmlformats.org/officeDocument/2006/relationships/hyperlink" Target="https://www.immoscout24.ch/fr/maison/acheter/lieu-cremines" TargetMode="External"/><Relationship Id="rId3499" Type="http://schemas.openxmlformats.org/officeDocument/2006/relationships/hyperlink" Target="https://www.immoscout24.ch/fr/appartement/louer/quartier-bourguillon-fribourg" TargetMode="External"/><Relationship Id="rId2159" Type="http://schemas.openxmlformats.org/officeDocument/2006/relationships/hyperlink" Target="https://www.immoscout24.ch/fr/maison/acheter/lieu-fenil-sur-corsier" TargetMode="External"/><Relationship Id="rId3481" Type="http://schemas.openxmlformats.org/officeDocument/2006/relationships/hyperlink" Target="https://www.immoscout24.ch/fr/appartement/acheter/lieu-vesenaz" TargetMode="External"/><Relationship Id="rId2150" Type="http://schemas.openxmlformats.org/officeDocument/2006/relationships/hyperlink" Target="https://www.immoscout24.ch/fr/maison/louer/lieu-therwil" TargetMode="External"/><Relationship Id="rId3480" Type="http://schemas.openxmlformats.org/officeDocument/2006/relationships/hyperlink" Target="https://www.immoscout24.ch/fr/maison/acheter/lieu-liebistorf" TargetMode="External"/><Relationship Id="rId2151" Type="http://schemas.openxmlformats.org/officeDocument/2006/relationships/hyperlink" Target="https://www.immoscout24.ch/fr/appartement/louer/lieu-ettingen" TargetMode="External"/><Relationship Id="rId3483" Type="http://schemas.openxmlformats.org/officeDocument/2006/relationships/hyperlink" Target="https://www.immoscout24.ch/fr/maison/acheter/lieu-sonceboz-sombeval" TargetMode="External"/><Relationship Id="rId2152" Type="http://schemas.openxmlformats.org/officeDocument/2006/relationships/hyperlink" Target="https://www.immoscout24.ch/fr/appartement/louer/lieu-ettingen" TargetMode="External"/><Relationship Id="rId3482" Type="http://schemas.openxmlformats.org/officeDocument/2006/relationships/hyperlink" Target="https://www.immoscout24.ch/fr/appartement/acheter/lieu-vesenaz" TargetMode="External"/><Relationship Id="rId2153" Type="http://schemas.openxmlformats.org/officeDocument/2006/relationships/hyperlink" Target="https://www.immoscout24.ch/fr/maison/louer/lieu-bulle" TargetMode="External"/><Relationship Id="rId3485" Type="http://schemas.openxmlformats.org/officeDocument/2006/relationships/hyperlink" Target="https://www.immoscout24.ch/fr/appartement/louer/lieu-lichtensteig" TargetMode="External"/><Relationship Id="rId2154" Type="http://schemas.openxmlformats.org/officeDocument/2006/relationships/hyperlink" Target="https://www.immoscout24.ch/fr/maison/louer/lieu-bulle" TargetMode="External"/><Relationship Id="rId3484" Type="http://schemas.openxmlformats.org/officeDocument/2006/relationships/hyperlink" Target="https://www.immoscout24.ch/fr/maison/acheter/lieu-sonceboz-sombeval" TargetMode="External"/><Relationship Id="rId2155" Type="http://schemas.openxmlformats.org/officeDocument/2006/relationships/hyperlink" Target="https://www.immoscout24.ch/fr/appartement/louer/lieu-bionnens" TargetMode="External"/><Relationship Id="rId3487" Type="http://schemas.openxmlformats.org/officeDocument/2006/relationships/hyperlink" Target="https://www.immoscout24.ch/fr/maison/louer/lieu-chene-bougeries" TargetMode="External"/><Relationship Id="rId2156" Type="http://schemas.openxmlformats.org/officeDocument/2006/relationships/hyperlink" Target="https://www.immoscout24.ch/fr/appartement/louer/lieu-bionnens" TargetMode="External"/><Relationship Id="rId3486" Type="http://schemas.openxmlformats.org/officeDocument/2006/relationships/hyperlink" Target="https://www.immoscout24.ch/fr/appartement/louer/lieu-lichtensteig" TargetMode="External"/><Relationship Id="rId2157" Type="http://schemas.openxmlformats.org/officeDocument/2006/relationships/hyperlink" Target="https://www.immoscout24.ch/fr/maison/acheter/lieu-penthalaz" TargetMode="External"/><Relationship Id="rId3489" Type="http://schemas.openxmlformats.org/officeDocument/2006/relationships/hyperlink" Target="https://www.immoscout24.ch/fr/appartement/acheter/region-thoune-lac-de-thoune-nord" TargetMode="External"/><Relationship Id="rId2158" Type="http://schemas.openxmlformats.org/officeDocument/2006/relationships/hyperlink" Target="https://www.immoscout24.ch/fr/maison/acheter/lieu-penthalaz" TargetMode="External"/><Relationship Id="rId3488" Type="http://schemas.openxmlformats.org/officeDocument/2006/relationships/hyperlink" Target="https://www.immoscout24.ch/fr/maison/louer/lieu-chene-bougeries" TargetMode="External"/><Relationship Id="rId2104" Type="http://schemas.openxmlformats.org/officeDocument/2006/relationships/hyperlink" Target="https://www.immoscout24.ch/fr/appartement/louer/region-knonaueramt" TargetMode="External"/><Relationship Id="rId3436" Type="http://schemas.openxmlformats.org/officeDocument/2006/relationships/hyperlink" Target="https://www.immoscout24.ch/fr/maison/louer/lieu-martherenges" TargetMode="External"/><Relationship Id="rId4767" Type="http://schemas.openxmlformats.org/officeDocument/2006/relationships/hyperlink" Target="https://www.immoscout24.ch/fr/appartement/acheter/lieu-bossonnens" TargetMode="External"/><Relationship Id="rId2105" Type="http://schemas.openxmlformats.org/officeDocument/2006/relationships/hyperlink" Target="https://www.immoscout24.ch/fr/appartement/louer/lieu-la-tour-de-treme" TargetMode="External"/><Relationship Id="rId3435" Type="http://schemas.openxmlformats.org/officeDocument/2006/relationships/hyperlink" Target="https://www.immoscout24.ch/fr/maison/louer/lieu-martherenges" TargetMode="External"/><Relationship Id="rId4766" Type="http://schemas.openxmlformats.org/officeDocument/2006/relationships/hyperlink" Target="https://www.immoscout24.ch/fr/maison/louer/quartier-florissant-malagnou-geneve" TargetMode="External"/><Relationship Id="rId2106" Type="http://schemas.openxmlformats.org/officeDocument/2006/relationships/hyperlink" Target="https://www.immoscout24.ch/fr/appartement/louer/lieu-la-tour-de-treme" TargetMode="External"/><Relationship Id="rId3438" Type="http://schemas.openxmlformats.org/officeDocument/2006/relationships/hyperlink" Target="https://www.immoscout24.ch/fr/maison/louer/lieu-salenstein" TargetMode="External"/><Relationship Id="rId4769" Type="http://schemas.openxmlformats.org/officeDocument/2006/relationships/hyperlink" Target="https://www.immoscout24.ch/fr/maison/acheter/lieu-meinier" TargetMode="External"/><Relationship Id="rId2107" Type="http://schemas.openxmlformats.org/officeDocument/2006/relationships/hyperlink" Target="https://www.immoscout24.ch/fr/appartement/louer/lieu-chemin" TargetMode="External"/><Relationship Id="rId3437" Type="http://schemas.openxmlformats.org/officeDocument/2006/relationships/hyperlink" Target="https://www.immoscout24.ch/fr/maison/louer/lieu-salenstein" TargetMode="External"/><Relationship Id="rId4768" Type="http://schemas.openxmlformats.org/officeDocument/2006/relationships/hyperlink" Target="https://www.immoscout24.ch/fr/appartement/acheter/lieu-bossonnens" TargetMode="External"/><Relationship Id="rId2108" Type="http://schemas.openxmlformats.org/officeDocument/2006/relationships/hyperlink" Target="https://www.immoscout24.ch/fr/appartement/louer/lieu-chemin" TargetMode="External"/><Relationship Id="rId2109" Type="http://schemas.openxmlformats.org/officeDocument/2006/relationships/hyperlink" Target="https://www.immoscout24.ch/fr/appartement/acheter/lieu-les-valettes-bovernier" TargetMode="External"/><Relationship Id="rId3439" Type="http://schemas.openxmlformats.org/officeDocument/2006/relationships/hyperlink" Target="https://www.immoscout24.ch/fr/appartement/acheter/lieu-manno" TargetMode="External"/><Relationship Id="rId3430" Type="http://schemas.openxmlformats.org/officeDocument/2006/relationships/hyperlink" Target="https://www.immoscout24.ch/fr/appartement/louer/lieu-baech-sz" TargetMode="External"/><Relationship Id="rId4761" Type="http://schemas.openxmlformats.org/officeDocument/2006/relationships/hyperlink" Target="https://www.immoscout24.ch/fr/appartement/louer/region-winterthu-et-environs" TargetMode="External"/><Relationship Id="rId4760" Type="http://schemas.openxmlformats.org/officeDocument/2006/relationships/hyperlink" Target="https://www.immoscout24.ch/fr/appartement/acheter/lieu-peseux" TargetMode="External"/><Relationship Id="rId2100" Type="http://schemas.openxmlformats.org/officeDocument/2006/relationships/hyperlink" Target="https://www.immoscout24.ch/fr/appartement/louer/lieu-orvin" TargetMode="External"/><Relationship Id="rId3432" Type="http://schemas.openxmlformats.org/officeDocument/2006/relationships/hyperlink" Target="https://www.immoscout24.ch/fr/appartement/louer/lieu-gentilino" TargetMode="External"/><Relationship Id="rId4763" Type="http://schemas.openxmlformats.org/officeDocument/2006/relationships/hyperlink" Target="https://www.immoscout24.ch/fr/appartement/louer/lieu-haegendorf" TargetMode="External"/><Relationship Id="rId2101" Type="http://schemas.openxmlformats.org/officeDocument/2006/relationships/hyperlink" Target="https://www.immoscout24.ch/fr/appartement/louer/lieu-villeret" TargetMode="External"/><Relationship Id="rId3431" Type="http://schemas.openxmlformats.org/officeDocument/2006/relationships/hyperlink" Target="https://www.immoscout24.ch/fr/appartement/louer/lieu-gentilino" TargetMode="External"/><Relationship Id="rId4762" Type="http://schemas.openxmlformats.org/officeDocument/2006/relationships/hyperlink" Target="https://www.immoscout24.ch/fr/appartement/louer/region-winterthu-et-environs" TargetMode="External"/><Relationship Id="rId2102" Type="http://schemas.openxmlformats.org/officeDocument/2006/relationships/hyperlink" Target="https://www.immoscout24.ch/fr/appartement/louer/lieu-villeret" TargetMode="External"/><Relationship Id="rId3434" Type="http://schemas.openxmlformats.org/officeDocument/2006/relationships/hyperlink" Target="https://www.immoscout24.ch/fr/maison/acheter/lieu-collombey" TargetMode="External"/><Relationship Id="rId4765" Type="http://schemas.openxmlformats.org/officeDocument/2006/relationships/hyperlink" Target="https://www.immoscout24.ch/fr/maison/louer/quartier-florissant-malagnou-geneve" TargetMode="External"/><Relationship Id="rId2103" Type="http://schemas.openxmlformats.org/officeDocument/2006/relationships/hyperlink" Target="https://www.immoscout24.ch/fr/appartement/louer/region-knonaueramt" TargetMode="External"/><Relationship Id="rId3433" Type="http://schemas.openxmlformats.org/officeDocument/2006/relationships/hyperlink" Target="https://www.immoscout24.ch/fr/maison/acheter/lieu-collombey" TargetMode="External"/><Relationship Id="rId4764" Type="http://schemas.openxmlformats.org/officeDocument/2006/relationships/hyperlink" Target="https://www.immoscout24.ch/fr/appartement/louer/lieu-haegendorf" TargetMode="External"/><Relationship Id="rId3425" Type="http://schemas.openxmlformats.org/officeDocument/2006/relationships/hyperlink" Target="https://www.immoscout24.ch/fr/appartement/louer/lieu-berlens" TargetMode="External"/><Relationship Id="rId4756" Type="http://schemas.openxmlformats.org/officeDocument/2006/relationships/hyperlink" Target="https://www.immoscout24.ch/fr/maison/louer/lieu-cossonay-ville" TargetMode="External"/><Relationship Id="rId3424" Type="http://schemas.openxmlformats.org/officeDocument/2006/relationships/hyperlink" Target="https://www.immoscout24.ch/fr/maison/louer/lieu-charrat" TargetMode="External"/><Relationship Id="rId4755" Type="http://schemas.openxmlformats.org/officeDocument/2006/relationships/hyperlink" Target="https://www.immoscout24.ch/fr/maison/louer/lieu-cossonay-ville" TargetMode="External"/><Relationship Id="rId3427" Type="http://schemas.openxmlformats.org/officeDocument/2006/relationships/hyperlink" Target="https://www.immoscout24.ch/fr/appartement/louer/quartier-lachen-st-gall" TargetMode="External"/><Relationship Id="rId4758" Type="http://schemas.openxmlformats.org/officeDocument/2006/relationships/hyperlink" Target="https://www.immoscout24.ch/fr/appartement/louer/quartier-vigneules-biel-bienne" TargetMode="External"/><Relationship Id="rId3426" Type="http://schemas.openxmlformats.org/officeDocument/2006/relationships/hyperlink" Target="https://www.immoscout24.ch/fr/appartement/louer/lieu-berlens" TargetMode="External"/><Relationship Id="rId4757" Type="http://schemas.openxmlformats.org/officeDocument/2006/relationships/hyperlink" Target="https://www.immoscout24.ch/fr/appartement/louer/quartier-vigneules-biel-bienne" TargetMode="External"/><Relationship Id="rId3429" Type="http://schemas.openxmlformats.org/officeDocument/2006/relationships/hyperlink" Target="https://www.immoscout24.ch/fr/appartement/louer/lieu-baech-sz" TargetMode="External"/><Relationship Id="rId3428" Type="http://schemas.openxmlformats.org/officeDocument/2006/relationships/hyperlink" Target="https://www.immoscout24.ch/fr/appartement/louer/quartier-lachen-st-gall" TargetMode="External"/><Relationship Id="rId4759" Type="http://schemas.openxmlformats.org/officeDocument/2006/relationships/hyperlink" Target="https://www.immoscout24.ch/fr/appartement/acheter/lieu-peseux" TargetMode="External"/><Relationship Id="rId4750" Type="http://schemas.openxmlformats.org/officeDocument/2006/relationships/hyperlink" Target="https://www.immoscout24.ch/fr/maison/acheter/lieu-montenol" TargetMode="External"/><Relationship Id="rId3421" Type="http://schemas.openxmlformats.org/officeDocument/2006/relationships/hyperlink" Target="https://www.immoscout24.ch/fr/maison/acheter/lieu-vufflens-la-ville" TargetMode="External"/><Relationship Id="rId4752" Type="http://schemas.openxmlformats.org/officeDocument/2006/relationships/hyperlink" Target="https://www.immoscout24.ch/fr/maison/acheter/lieu-sembrancher" TargetMode="External"/><Relationship Id="rId3420" Type="http://schemas.openxmlformats.org/officeDocument/2006/relationships/hyperlink" Target="https://www.immoscout24.ch/fr/maison/acheter/lieu-rupperswil" TargetMode="External"/><Relationship Id="rId4751" Type="http://schemas.openxmlformats.org/officeDocument/2006/relationships/hyperlink" Target="https://www.immoscout24.ch/fr/maison/acheter/lieu-sembrancher" TargetMode="External"/><Relationship Id="rId3423" Type="http://schemas.openxmlformats.org/officeDocument/2006/relationships/hyperlink" Target="https://www.immoscout24.ch/fr/maison/louer/lieu-charrat" TargetMode="External"/><Relationship Id="rId4754" Type="http://schemas.openxmlformats.org/officeDocument/2006/relationships/hyperlink" Target="https://www.immoscout24.ch/fr/appartement/louer/lieu-st-sulpice-vd" TargetMode="External"/><Relationship Id="rId3422" Type="http://schemas.openxmlformats.org/officeDocument/2006/relationships/hyperlink" Target="https://www.immoscout24.ch/fr/maison/acheter/lieu-vufflens-la-ville" TargetMode="External"/><Relationship Id="rId4753" Type="http://schemas.openxmlformats.org/officeDocument/2006/relationships/hyperlink" Target="https://www.immoscout24.ch/fr/appartement/louer/lieu-st-sulpice-vd" TargetMode="External"/><Relationship Id="rId2126" Type="http://schemas.openxmlformats.org/officeDocument/2006/relationships/hyperlink" Target="https://www.immoscout24.ch/fr/appartement/louer/lieu-le-cret-pres-semsales" TargetMode="External"/><Relationship Id="rId3458" Type="http://schemas.openxmlformats.org/officeDocument/2006/relationships/hyperlink" Target="https://www.immoscout24.ch/fr/appartement/louer/lieu-botyre-ayent" TargetMode="External"/><Relationship Id="rId4789" Type="http://schemas.openxmlformats.org/officeDocument/2006/relationships/hyperlink" Target="https://www.immoscout24.ch/fr/appartement/louer/lieu-caslano" TargetMode="External"/><Relationship Id="rId2127" Type="http://schemas.openxmlformats.org/officeDocument/2006/relationships/hyperlink" Target="https://www.immoscout24.ch/fr/maison/louer/lieu-fribourg" TargetMode="External"/><Relationship Id="rId3457" Type="http://schemas.openxmlformats.org/officeDocument/2006/relationships/hyperlink" Target="https://www.immoscout24.ch/fr/appartement/louer/lieu-botyre-ayent" TargetMode="External"/><Relationship Id="rId4788" Type="http://schemas.openxmlformats.org/officeDocument/2006/relationships/hyperlink" Target="https://www.immoscout24.ch/fr/appartement/louer/lieu-meilen" TargetMode="External"/><Relationship Id="rId2128" Type="http://schemas.openxmlformats.org/officeDocument/2006/relationships/hyperlink" Target="https://www.immoscout24.ch/fr/maison/louer/lieu-fribourg" TargetMode="External"/><Relationship Id="rId2129" Type="http://schemas.openxmlformats.org/officeDocument/2006/relationships/hyperlink" Target="https://www.immoscout24.ch/fr/appartement/louer/lieu-meinier" TargetMode="External"/><Relationship Id="rId3459" Type="http://schemas.openxmlformats.org/officeDocument/2006/relationships/hyperlink" Target="https://www.immoscout24.ch/fr/appartement/louer/lieu-reiden" TargetMode="External"/><Relationship Id="rId3450" Type="http://schemas.openxmlformats.org/officeDocument/2006/relationships/hyperlink" Target="https://www.immoscout24.ch/fr/maison/acheter/lieu-suen-st-martin" TargetMode="External"/><Relationship Id="rId4781" Type="http://schemas.openxmlformats.org/officeDocument/2006/relationships/hyperlink" Target="https://www.immoscout24.ch/fr/maison/acheter/lieu-cronay" TargetMode="External"/><Relationship Id="rId4780" Type="http://schemas.openxmlformats.org/officeDocument/2006/relationships/hyperlink" Target="https://www.immoscout24.ch/fr/appartement/louer/lieu-urdorf" TargetMode="External"/><Relationship Id="rId2120" Type="http://schemas.openxmlformats.org/officeDocument/2006/relationships/hyperlink" Target="https://www.immoscout24.ch/fr/appartement/louer/lieu-la-russille" TargetMode="External"/><Relationship Id="rId3452" Type="http://schemas.openxmlformats.org/officeDocument/2006/relationships/hyperlink" Target="https://www.immoscout24.ch/fr/appartement/acheter/lieu-oberdorf-bl" TargetMode="External"/><Relationship Id="rId4783" Type="http://schemas.openxmlformats.org/officeDocument/2006/relationships/hyperlink" Target="https://www.immoscout24.ch/fr/maison/acheter/lieu-epagny" TargetMode="External"/><Relationship Id="rId2121" Type="http://schemas.openxmlformats.org/officeDocument/2006/relationships/hyperlink" Target="https://www.immoscout24.ch/fr/appartement/louer/lieu-guttet-feschel" TargetMode="External"/><Relationship Id="rId3451" Type="http://schemas.openxmlformats.org/officeDocument/2006/relationships/hyperlink" Target="https://www.immoscout24.ch/fr/appartement/acheter/lieu-oberdorf-bl" TargetMode="External"/><Relationship Id="rId4782" Type="http://schemas.openxmlformats.org/officeDocument/2006/relationships/hyperlink" Target="https://www.immoscout24.ch/fr/maison/acheter/lieu-cronay" TargetMode="External"/><Relationship Id="rId2122" Type="http://schemas.openxmlformats.org/officeDocument/2006/relationships/hyperlink" Target="https://www.immoscout24.ch/fr/appartement/louer/lieu-guttet-feschel" TargetMode="External"/><Relationship Id="rId3454" Type="http://schemas.openxmlformats.org/officeDocument/2006/relationships/hyperlink" Target="https://www.immoscout24.ch/fr/maison/louer/lieu-pontenet" TargetMode="External"/><Relationship Id="rId4785" Type="http://schemas.openxmlformats.org/officeDocument/2006/relationships/hyperlink" Target="https://www.immoscout24.ch/fr/appartement/acheter/lieu-prez-vers-noreaz" TargetMode="External"/><Relationship Id="rId2123" Type="http://schemas.openxmlformats.org/officeDocument/2006/relationships/hyperlink" Target="https://www.immoscout24.ch/fr/maison/louer/lieu-vallamand" TargetMode="External"/><Relationship Id="rId3453" Type="http://schemas.openxmlformats.org/officeDocument/2006/relationships/hyperlink" Target="https://www.immoscout24.ch/fr/maison/louer/lieu-pontenet" TargetMode="External"/><Relationship Id="rId4784" Type="http://schemas.openxmlformats.org/officeDocument/2006/relationships/hyperlink" Target="https://www.immoscout24.ch/fr/maison/acheter/lieu-epagny" TargetMode="External"/><Relationship Id="rId2124" Type="http://schemas.openxmlformats.org/officeDocument/2006/relationships/hyperlink" Target="https://www.immoscout24.ch/fr/maison/louer/lieu-vallamand" TargetMode="External"/><Relationship Id="rId3456" Type="http://schemas.openxmlformats.org/officeDocument/2006/relationships/hyperlink" Target="https://www.immoscout24.ch/fr/maison/acheter/lieu-sottens" TargetMode="External"/><Relationship Id="rId4787" Type="http://schemas.openxmlformats.org/officeDocument/2006/relationships/hyperlink" Target="https://www.immoscout24.ch/fr/appartement/louer/lieu-meilen" TargetMode="External"/><Relationship Id="rId2125" Type="http://schemas.openxmlformats.org/officeDocument/2006/relationships/hyperlink" Target="https://www.immoscout24.ch/fr/appartement/louer/lieu-le-cret-pres-semsales" TargetMode="External"/><Relationship Id="rId3455" Type="http://schemas.openxmlformats.org/officeDocument/2006/relationships/hyperlink" Target="https://www.immoscout24.ch/fr/maison/acheter/lieu-sottens" TargetMode="External"/><Relationship Id="rId4786" Type="http://schemas.openxmlformats.org/officeDocument/2006/relationships/hyperlink" Target="https://www.immoscout24.ch/fr/appartement/acheter/lieu-prez-vers-noreaz" TargetMode="External"/><Relationship Id="rId2115" Type="http://schemas.openxmlformats.org/officeDocument/2006/relationships/hyperlink" Target="https://www.immoscout24.ch/fr/appartement/louer/lieu-aeschi-so" TargetMode="External"/><Relationship Id="rId3447" Type="http://schemas.openxmlformats.org/officeDocument/2006/relationships/hyperlink" Target="https://www.immoscout24.ch/fr/appartement/acheter/lieu-jouxtens-mezery" TargetMode="External"/><Relationship Id="rId4778" Type="http://schemas.openxmlformats.org/officeDocument/2006/relationships/hyperlink" Target="https://www.immoscout24.ch/fr/maison/louer/lieu-savigny" TargetMode="External"/><Relationship Id="rId2116" Type="http://schemas.openxmlformats.org/officeDocument/2006/relationships/hyperlink" Target="https://www.immoscout24.ch/fr/appartement/louer/lieu-aeschi-so" TargetMode="External"/><Relationship Id="rId3446" Type="http://schemas.openxmlformats.org/officeDocument/2006/relationships/hyperlink" Target="https://www.immoscout24.ch/fr/appartement/acheter/quartier-bourg-fribourg" TargetMode="External"/><Relationship Id="rId4777" Type="http://schemas.openxmlformats.org/officeDocument/2006/relationships/hyperlink" Target="https://www.immoscout24.ch/fr/maison/louer/lieu-savigny" TargetMode="External"/><Relationship Id="rId2117" Type="http://schemas.openxmlformats.org/officeDocument/2006/relationships/hyperlink" Target="https://www.immoscout24.ch/fr/maison/acheter/lieu-sonvilier" TargetMode="External"/><Relationship Id="rId3449" Type="http://schemas.openxmlformats.org/officeDocument/2006/relationships/hyperlink" Target="https://www.immoscout24.ch/fr/maison/acheter/lieu-suen-st-martin" TargetMode="External"/><Relationship Id="rId2118" Type="http://schemas.openxmlformats.org/officeDocument/2006/relationships/hyperlink" Target="https://www.immoscout24.ch/fr/maison/acheter/lieu-sonvilier" TargetMode="External"/><Relationship Id="rId3448" Type="http://schemas.openxmlformats.org/officeDocument/2006/relationships/hyperlink" Target="https://www.immoscout24.ch/fr/appartement/acheter/lieu-jouxtens-mezery" TargetMode="External"/><Relationship Id="rId4779" Type="http://schemas.openxmlformats.org/officeDocument/2006/relationships/hyperlink" Target="https://www.immoscout24.ch/fr/appartement/louer/lieu-urdorf" TargetMode="External"/><Relationship Id="rId2119" Type="http://schemas.openxmlformats.org/officeDocument/2006/relationships/hyperlink" Target="https://www.immoscout24.ch/fr/appartement/louer/lieu-la-russille" TargetMode="External"/><Relationship Id="rId4770" Type="http://schemas.openxmlformats.org/officeDocument/2006/relationships/hyperlink" Target="https://www.immoscout24.ch/fr/maison/acheter/lieu-meinier" TargetMode="External"/><Relationship Id="rId3441" Type="http://schemas.openxmlformats.org/officeDocument/2006/relationships/hyperlink" Target="https://www.immoscout24.ch/fr/appartement/louer/lieu-st-triphon" TargetMode="External"/><Relationship Id="rId4772" Type="http://schemas.openxmlformats.org/officeDocument/2006/relationships/hyperlink" Target="https://www.immoscout24.ch/fr/appartement/louer/quartier-maihof-rotsee-lucerne" TargetMode="External"/><Relationship Id="rId2110" Type="http://schemas.openxmlformats.org/officeDocument/2006/relationships/hyperlink" Target="https://www.immoscout24.ch/fr/appartement/acheter/lieu-les-valettes-bovernier" TargetMode="External"/><Relationship Id="rId3440" Type="http://schemas.openxmlformats.org/officeDocument/2006/relationships/hyperlink" Target="https://www.immoscout24.ch/fr/appartement/acheter/lieu-manno" TargetMode="External"/><Relationship Id="rId4771" Type="http://schemas.openxmlformats.org/officeDocument/2006/relationships/hyperlink" Target="https://www.immoscout24.ch/fr/appartement/louer/quartier-maihof-rotsee-lucerne" TargetMode="External"/><Relationship Id="rId2111" Type="http://schemas.openxmlformats.org/officeDocument/2006/relationships/hyperlink" Target="https://www.immoscout24.ch/fr/maison/acheter/region-zuercher-oberland" TargetMode="External"/><Relationship Id="rId3443" Type="http://schemas.openxmlformats.org/officeDocument/2006/relationships/hyperlink" Target="https://www.immoscout24.ch/fr/appartement/louer/lieu-cinuos-chel" TargetMode="External"/><Relationship Id="rId4774" Type="http://schemas.openxmlformats.org/officeDocument/2006/relationships/hyperlink" Target="https://www.immoscout24.ch/fr/maison/acheter/lieu-graenichen" TargetMode="External"/><Relationship Id="rId2112" Type="http://schemas.openxmlformats.org/officeDocument/2006/relationships/hyperlink" Target="https://www.immoscout24.ch/fr/maison/acheter/region-zuercher-oberland" TargetMode="External"/><Relationship Id="rId3442" Type="http://schemas.openxmlformats.org/officeDocument/2006/relationships/hyperlink" Target="https://www.immoscout24.ch/fr/appartement/louer/lieu-st-triphon" TargetMode="External"/><Relationship Id="rId4773" Type="http://schemas.openxmlformats.org/officeDocument/2006/relationships/hyperlink" Target="https://www.immoscout24.ch/fr/maison/acheter/lieu-graenichen" TargetMode="External"/><Relationship Id="rId2113" Type="http://schemas.openxmlformats.org/officeDocument/2006/relationships/hyperlink" Target="https://www.immoscout24.ch/fr/appartement/louer/lieu-mesocco" TargetMode="External"/><Relationship Id="rId3445" Type="http://schemas.openxmlformats.org/officeDocument/2006/relationships/hyperlink" Target="https://www.immoscout24.ch/fr/appartement/acheter/quartier-bourg-fribourg" TargetMode="External"/><Relationship Id="rId4776" Type="http://schemas.openxmlformats.org/officeDocument/2006/relationships/hyperlink" Target="https://www.immoscout24.ch/fr/maison/louer/lieu-solothurn" TargetMode="External"/><Relationship Id="rId2114" Type="http://schemas.openxmlformats.org/officeDocument/2006/relationships/hyperlink" Target="https://www.immoscout24.ch/fr/appartement/louer/lieu-mesocco" TargetMode="External"/><Relationship Id="rId3444" Type="http://schemas.openxmlformats.org/officeDocument/2006/relationships/hyperlink" Target="https://www.immoscout24.ch/fr/appartement/louer/lieu-cinuos-chel" TargetMode="External"/><Relationship Id="rId4775" Type="http://schemas.openxmlformats.org/officeDocument/2006/relationships/hyperlink" Target="https://www.immoscout24.ch/fr/maison/louer/lieu-solothurn" TargetMode="External"/><Relationship Id="rId1730" Type="http://schemas.openxmlformats.org/officeDocument/2006/relationships/hyperlink" Target="https://www.immoscout24.ch/fr/appartement/acheter/lieu-avry-sur-matran" TargetMode="External"/><Relationship Id="rId1731" Type="http://schemas.openxmlformats.org/officeDocument/2006/relationships/hyperlink" Target="https://www.immoscout24.ch/fr/maison/acheter/lieu-villars-sous-mont" TargetMode="External"/><Relationship Id="rId1732" Type="http://schemas.openxmlformats.org/officeDocument/2006/relationships/hyperlink" Target="https://www.immoscout24.ch/fr/maison/acheter/lieu-villars-sous-mont" TargetMode="External"/><Relationship Id="rId1733" Type="http://schemas.openxmlformats.org/officeDocument/2006/relationships/hyperlink" Target="https://www.immoscout24.ch/fr/maison/acheter/region-thoune-lac-de-thoune-nord" TargetMode="External"/><Relationship Id="rId1734" Type="http://schemas.openxmlformats.org/officeDocument/2006/relationships/hyperlink" Target="https://www.immoscout24.ch/fr/maison/acheter/region-thoune-lac-de-thoune-nord" TargetMode="External"/><Relationship Id="rId1735" Type="http://schemas.openxmlformats.org/officeDocument/2006/relationships/hyperlink" Target="https://www.immoscout24.ch/fr/appartement/louer/lieu-grandvaux" TargetMode="External"/><Relationship Id="rId1736" Type="http://schemas.openxmlformats.org/officeDocument/2006/relationships/hyperlink" Target="https://www.immoscout24.ch/fr/appartement/louer/lieu-grandvaux" TargetMode="External"/><Relationship Id="rId1737" Type="http://schemas.openxmlformats.org/officeDocument/2006/relationships/hyperlink" Target="https://www.immoscout24.ch/fr/maison/acheter/lieu-magnedens" TargetMode="External"/><Relationship Id="rId1738" Type="http://schemas.openxmlformats.org/officeDocument/2006/relationships/hyperlink" Target="https://www.immoscout24.ch/fr/maison/acheter/lieu-magnedens" TargetMode="External"/><Relationship Id="rId1739" Type="http://schemas.openxmlformats.org/officeDocument/2006/relationships/hyperlink" Target="https://www.immoscout24.ch/fr/maison/acheter/lieu-ferlens-vd" TargetMode="External"/><Relationship Id="rId1720" Type="http://schemas.openxmlformats.org/officeDocument/2006/relationships/hyperlink" Target="https://www.immoscout24.ch/fr/maison/acheter/lieu-pully" TargetMode="External"/><Relationship Id="rId1721" Type="http://schemas.openxmlformats.org/officeDocument/2006/relationships/hyperlink" Target="https://www.immoscout24.ch/fr/maison/louer/lieu-grandson" TargetMode="External"/><Relationship Id="rId1722" Type="http://schemas.openxmlformats.org/officeDocument/2006/relationships/hyperlink" Target="https://www.immoscout24.ch/fr/maison/louer/lieu-grandson" TargetMode="External"/><Relationship Id="rId1723" Type="http://schemas.openxmlformats.org/officeDocument/2006/relationships/hyperlink" Target="https://www.immoscout24.ch/fr/appartement/acheter/lieu-belmont-sur-yverdon" TargetMode="External"/><Relationship Id="rId1724" Type="http://schemas.openxmlformats.org/officeDocument/2006/relationships/hyperlink" Target="https://www.immoscout24.ch/fr/appartement/acheter/lieu-belmont-sur-yverdon" TargetMode="External"/><Relationship Id="rId1725" Type="http://schemas.openxmlformats.org/officeDocument/2006/relationships/hyperlink" Target="https://www.immoscout24.ch/fr/maison/acheter/lieu-lavey-village" TargetMode="External"/><Relationship Id="rId1726" Type="http://schemas.openxmlformats.org/officeDocument/2006/relationships/hyperlink" Target="https://www.immoscout24.ch/fr/maison/acheter/lieu-lavey-village" TargetMode="External"/><Relationship Id="rId1727" Type="http://schemas.openxmlformats.org/officeDocument/2006/relationships/hyperlink" Target="https://www.immoscout24.ch/fr/maison/acheter/region-frauenfeld-muenchwilen" TargetMode="External"/><Relationship Id="rId1728" Type="http://schemas.openxmlformats.org/officeDocument/2006/relationships/hyperlink" Target="https://www.immoscout24.ch/fr/maison/acheter/region-frauenfeld-muenchwilen" TargetMode="External"/><Relationship Id="rId1729" Type="http://schemas.openxmlformats.org/officeDocument/2006/relationships/hyperlink" Target="https://www.immoscout24.ch/fr/appartement/acheter/lieu-avry-sur-matran" TargetMode="External"/><Relationship Id="rId1752" Type="http://schemas.openxmlformats.org/officeDocument/2006/relationships/hyperlink" Target="https://www.immoscout24.ch/fr/appartement/acheter/lieu-les-evouettes" TargetMode="External"/><Relationship Id="rId1753" Type="http://schemas.openxmlformats.org/officeDocument/2006/relationships/hyperlink" Target="https://www.immoscout24.ch/fr/appartement/louer/quartier-breitenrain-berne" TargetMode="External"/><Relationship Id="rId1754" Type="http://schemas.openxmlformats.org/officeDocument/2006/relationships/hyperlink" Target="https://www.immoscout24.ch/fr/appartement/louer/quartier-breitenrain-berne" TargetMode="External"/><Relationship Id="rId1755" Type="http://schemas.openxmlformats.org/officeDocument/2006/relationships/hyperlink" Target="https://www.immoscout24.ch/fr/maison/acheter/lieu-pierrafortscha" TargetMode="External"/><Relationship Id="rId1756" Type="http://schemas.openxmlformats.org/officeDocument/2006/relationships/hyperlink" Target="https://www.immoscout24.ch/fr/maison/acheter/lieu-pierrafortscha" TargetMode="External"/><Relationship Id="rId1757" Type="http://schemas.openxmlformats.org/officeDocument/2006/relationships/hyperlink" Target="https://www.immoscout24.ch/fr/maison/acheter/lieu-les-brenets" TargetMode="External"/><Relationship Id="rId1758" Type="http://schemas.openxmlformats.org/officeDocument/2006/relationships/hyperlink" Target="https://www.immoscout24.ch/fr/maison/acheter/lieu-les-brenets" TargetMode="External"/><Relationship Id="rId1759" Type="http://schemas.openxmlformats.org/officeDocument/2006/relationships/hyperlink" Target="https://www.immoscout24.ch/fr/appartement/louer/quartier-leimbach-zurich" TargetMode="External"/><Relationship Id="rId1750" Type="http://schemas.openxmlformats.org/officeDocument/2006/relationships/hyperlink" Target="https://www.immoscout24.ch/fr/maison/acheter/lieu-frinvillier" TargetMode="External"/><Relationship Id="rId1751" Type="http://schemas.openxmlformats.org/officeDocument/2006/relationships/hyperlink" Target="https://www.immoscout24.ch/fr/appartement/acheter/lieu-les-evouettes" TargetMode="External"/><Relationship Id="rId1741" Type="http://schemas.openxmlformats.org/officeDocument/2006/relationships/hyperlink" Target="https://www.immoscout24.ch/fr/appartement/louer/lieu-koeniz" TargetMode="External"/><Relationship Id="rId1742" Type="http://schemas.openxmlformats.org/officeDocument/2006/relationships/hyperlink" Target="https://www.immoscout24.ch/fr/appartement/louer/lieu-koeniz" TargetMode="External"/><Relationship Id="rId1743" Type="http://schemas.openxmlformats.org/officeDocument/2006/relationships/hyperlink" Target="https://www.immoscout24.ch/fr/maison/louer/lieu-wollerau" TargetMode="External"/><Relationship Id="rId1744" Type="http://schemas.openxmlformats.org/officeDocument/2006/relationships/hyperlink" Target="https://www.immoscout24.ch/fr/maison/louer/lieu-wollerau" TargetMode="External"/><Relationship Id="rId1745" Type="http://schemas.openxmlformats.org/officeDocument/2006/relationships/hyperlink" Target="https://www.immoscout24.ch/fr/maison/acheter/lieu-montmagny" TargetMode="External"/><Relationship Id="rId1746" Type="http://schemas.openxmlformats.org/officeDocument/2006/relationships/hyperlink" Target="https://www.immoscout24.ch/fr/maison/acheter/lieu-montmagny" TargetMode="External"/><Relationship Id="rId1747" Type="http://schemas.openxmlformats.org/officeDocument/2006/relationships/hyperlink" Target="https://www.immoscout24.ch/fr/appartement/acheter/lieu-obergerlafingen" TargetMode="External"/><Relationship Id="rId1748" Type="http://schemas.openxmlformats.org/officeDocument/2006/relationships/hyperlink" Target="https://www.immoscout24.ch/fr/appartement/acheter/lieu-obergerlafingen" TargetMode="External"/><Relationship Id="rId1749" Type="http://schemas.openxmlformats.org/officeDocument/2006/relationships/hyperlink" Target="https://www.immoscout24.ch/fr/maison/acheter/lieu-frinvillier" TargetMode="External"/><Relationship Id="rId1740" Type="http://schemas.openxmlformats.org/officeDocument/2006/relationships/hyperlink" Target="https://www.immoscout24.ch/fr/maison/acheter/lieu-ferlens-vd" TargetMode="External"/><Relationship Id="rId1710" Type="http://schemas.openxmlformats.org/officeDocument/2006/relationships/hyperlink" Target="https://www.immoscout24.ch/fr/maison/louer/lieu-les-marecottes" TargetMode="External"/><Relationship Id="rId1711" Type="http://schemas.openxmlformats.org/officeDocument/2006/relationships/hyperlink" Target="https://www.immoscout24.ch/fr/maison/louer/lieu-salvenach" TargetMode="External"/><Relationship Id="rId1712" Type="http://schemas.openxmlformats.org/officeDocument/2006/relationships/hyperlink" Target="https://www.immoscout24.ch/fr/maison/louer/lieu-salvenach" TargetMode="External"/><Relationship Id="rId1713" Type="http://schemas.openxmlformats.org/officeDocument/2006/relationships/hyperlink" Target="https://www.immoscout24.ch/fr/maison/acheter/lieu-chandolin" TargetMode="External"/><Relationship Id="rId1714" Type="http://schemas.openxmlformats.org/officeDocument/2006/relationships/hyperlink" Target="https://www.immoscout24.ch/fr/maison/acheter/lieu-chandolin" TargetMode="External"/><Relationship Id="rId1715" Type="http://schemas.openxmlformats.org/officeDocument/2006/relationships/hyperlink" Target="https://www.immoscout24.ch/fr/appartement/louer/lieu-saicourt" TargetMode="External"/><Relationship Id="rId1716" Type="http://schemas.openxmlformats.org/officeDocument/2006/relationships/hyperlink" Target="https://www.immoscout24.ch/fr/appartement/louer/lieu-saicourt" TargetMode="External"/><Relationship Id="rId1717" Type="http://schemas.openxmlformats.org/officeDocument/2006/relationships/hyperlink" Target="https://www.immoscout24.ch/fr/appartement/louer/lieu-rudolfstetten" TargetMode="External"/><Relationship Id="rId1718" Type="http://schemas.openxmlformats.org/officeDocument/2006/relationships/hyperlink" Target="https://www.immoscout24.ch/fr/appartement/louer/lieu-rudolfstetten" TargetMode="External"/><Relationship Id="rId1719" Type="http://schemas.openxmlformats.org/officeDocument/2006/relationships/hyperlink" Target="https://www.immoscout24.ch/fr/maison/acheter/lieu-pully" TargetMode="External"/><Relationship Id="rId1700" Type="http://schemas.openxmlformats.org/officeDocument/2006/relationships/hyperlink" Target="https://www.immoscout24.ch/fr/maison/acheter/lieu-cadro" TargetMode="External"/><Relationship Id="rId1701" Type="http://schemas.openxmlformats.org/officeDocument/2006/relationships/hyperlink" Target="https://www.immoscout24.ch/fr/appartement/louer/lieu-windisch" TargetMode="External"/><Relationship Id="rId1702" Type="http://schemas.openxmlformats.org/officeDocument/2006/relationships/hyperlink" Target="https://www.immoscout24.ch/fr/appartement/louer/lieu-windisch" TargetMode="External"/><Relationship Id="rId1703" Type="http://schemas.openxmlformats.org/officeDocument/2006/relationships/hyperlink" Target="https://www.immoscout24.ch/fr/appartement/acheter/lieu-minusio" TargetMode="External"/><Relationship Id="rId1704" Type="http://schemas.openxmlformats.org/officeDocument/2006/relationships/hyperlink" Target="https://www.immoscout24.ch/fr/appartement/acheter/lieu-minusio" TargetMode="External"/><Relationship Id="rId1705" Type="http://schemas.openxmlformats.org/officeDocument/2006/relationships/hyperlink" Target="https://www.immoscout24.ch/fr/appartement/acheter/lieu-vico-morcote" TargetMode="External"/><Relationship Id="rId1706" Type="http://schemas.openxmlformats.org/officeDocument/2006/relationships/hyperlink" Target="https://www.immoscout24.ch/fr/appartement/acheter/lieu-vico-morcote" TargetMode="External"/><Relationship Id="rId1707" Type="http://schemas.openxmlformats.org/officeDocument/2006/relationships/hyperlink" Target="https://www.immoscout24.ch/fr/maison/acheter/region-lugano-e-dintorni" TargetMode="External"/><Relationship Id="rId1708" Type="http://schemas.openxmlformats.org/officeDocument/2006/relationships/hyperlink" Target="https://www.immoscout24.ch/fr/maison/acheter/region-lugano-e-dintorni" TargetMode="External"/><Relationship Id="rId1709" Type="http://schemas.openxmlformats.org/officeDocument/2006/relationships/hyperlink" Target="https://www.immoscout24.ch/fr/maison/louer/lieu-les-marecottes" TargetMode="External"/><Relationship Id="rId1774" Type="http://schemas.openxmlformats.org/officeDocument/2006/relationships/hyperlink" Target="https://www.immoscout24.ch/fr/maison/acheter/lieu-chatillon-ju" TargetMode="External"/><Relationship Id="rId1775" Type="http://schemas.openxmlformats.org/officeDocument/2006/relationships/hyperlink" Target="https://www.immoscout24.ch/fr/maison/louer/lieu-vaulruz" TargetMode="External"/><Relationship Id="rId1776" Type="http://schemas.openxmlformats.org/officeDocument/2006/relationships/hyperlink" Target="https://www.immoscout24.ch/fr/maison/louer/lieu-vaulruz" TargetMode="External"/><Relationship Id="rId1777" Type="http://schemas.openxmlformats.org/officeDocument/2006/relationships/hyperlink" Target="https://www.immoscout24.ch/fr/appartement/louer/lieu-chabrey" TargetMode="External"/><Relationship Id="rId1778" Type="http://schemas.openxmlformats.org/officeDocument/2006/relationships/hyperlink" Target="https://www.immoscout24.ch/fr/appartement/louer/lieu-chabrey" TargetMode="External"/><Relationship Id="rId1779" Type="http://schemas.openxmlformats.org/officeDocument/2006/relationships/hyperlink" Target="https://www.immoscout24.ch/fr/maison/acheter/lieu-herisau" TargetMode="External"/><Relationship Id="rId1770" Type="http://schemas.openxmlformats.org/officeDocument/2006/relationships/hyperlink" Target="https://www.immoscout24.ch/fr/maison/louer/lieu-locarno" TargetMode="External"/><Relationship Id="rId1771" Type="http://schemas.openxmlformats.org/officeDocument/2006/relationships/hyperlink" Target="https://www.immoscout24.ch/fr/appartement/louer/lieu-le-sepey" TargetMode="External"/><Relationship Id="rId1772" Type="http://schemas.openxmlformats.org/officeDocument/2006/relationships/hyperlink" Target="https://www.immoscout24.ch/fr/appartement/louer/lieu-le-sepey" TargetMode="External"/><Relationship Id="rId1773" Type="http://schemas.openxmlformats.org/officeDocument/2006/relationships/hyperlink" Target="https://www.immoscout24.ch/fr/maison/acheter/lieu-chatillon-ju" TargetMode="External"/><Relationship Id="rId1763" Type="http://schemas.openxmlformats.org/officeDocument/2006/relationships/hyperlink" Target="https://www.immoscout24.ch/fr/appartement/louer/quartier-serrieres-neuchatel" TargetMode="External"/><Relationship Id="rId1764" Type="http://schemas.openxmlformats.org/officeDocument/2006/relationships/hyperlink" Target="https://www.immoscout24.ch/fr/appartement/louer/quartier-serrieres-neuchatel" TargetMode="External"/><Relationship Id="rId1765" Type="http://schemas.openxmlformats.org/officeDocument/2006/relationships/hyperlink" Target="https://www.immoscout24.ch/fr/appartement/louer/lieu-champoussin" TargetMode="External"/><Relationship Id="rId1766" Type="http://schemas.openxmlformats.org/officeDocument/2006/relationships/hyperlink" Target="https://www.immoscout24.ch/fr/appartement/louer/lieu-champoussin" TargetMode="External"/><Relationship Id="rId1767" Type="http://schemas.openxmlformats.org/officeDocument/2006/relationships/hyperlink" Target="https://www.immoscout24.ch/fr/maison/acheter/lieu-carrouge-vd" TargetMode="External"/><Relationship Id="rId1768" Type="http://schemas.openxmlformats.org/officeDocument/2006/relationships/hyperlink" Target="https://www.immoscout24.ch/fr/maison/acheter/lieu-carrouge-vd" TargetMode="External"/><Relationship Id="rId1769" Type="http://schemas.openxmlformats.org/officeDocument/2006/relationships/hyperlink" Target="https://www.immoscout24.ch/fr/maison/louer/lieu-locarno" TargetMode="External"/><Relationship Id="rId1760" Type="http://schemas.openxmlformats.org/officeDocument/2006/relationships/hyperlink" Target="https://www.immoscout24.ch/fr/appartement/louer/quartier-leimbach-zurich" TargetMode="External"/><Relationship Id="rId1761" Type="http://schemas.openxmlformats.org/officeDocument/2006/relationships/hyperlink" Target="https://www.immoscout24.ch/fr/appartement/acheter/lieu-ambri" TargetMode="External"/><Relationship Id="rId1762" Type="http://schemas.openxmlformats.org/officeDocument/2006/relationships/hyperlink" Target="https://www.immoscout24.ch/fr/appartement/acheter/lieu-ambri" TargetMode="External"/><Relationship Id="rId1796" Type="http://schemas.openxmlformats.org/officeDocument/2006/relationships/hyperlink" Target="https://www.immoscout24.ch/fr/maison/acheter/lieu-st-maurice" TargetMode="External"/><Relationship Id="rId1797" Type="http://schemas.openxmlformats.org/officeDocument/2006/relationships/hyperlink" Target="https://www.immoscout24.ch/fr/appartement/louer/lieu-sorens" TargetMode="External"/><Relationship Id="rId1798" Type="http://schemas.openxmlformats.org/officeDocument/2006/relationships/hyperlink" Target="https://www.immoscout24.ch/fr/appartement/louer/lieu-sorens" TargetMode="External"/><Relationship Id="rId1799" Type="http://schemas.openxmlformats.org/officeDocument/2006/relationships/hyperlink" Target="https://www.immoscout24.ch/fr/appartement/louer/lieu-hallwil" TargetMode="External"/><Relationship Id="rId1790" Type="http://schemas.openxmlformats.org/officeDocument/2006/relationships/hyperlink" Target="https://www.immoscout24.ch/fr/maison/louer/lieu-le-paquier-ne" TargetMode="External"/><Relationship Id="rId1791" Type="http://schemas.openxmlformats.org/officeDocument/2006/relationships/hyperlink" Target="https://www.immoscout24.ch/fr/appartement/louer/lieu-avegno" TargetMode="External"/><Relationship Id="rId1792" Type="http://schemas.openxmlformats.org/officeDocument/2006/relationships/hyperlink" Target="https://www.immoscout24.ch/fr/appartement/louer/lieu-avegno" TargetMode="External"/><Relationship Id="rId1793" Type="http://schemas.openxmlformats.org/officeDocument/2006/relationships/hyperlink" Target="https://www.immoscout24.ch/fr/maison/louer/lieu-anzere" TargetMode="External"/><Relationship Id="rId1794" Type="http://schemas.openxmlformats.org/officeDocument/2006/relationships/hyperlink" Target="https://www.immoscout24.ch/fr/maison/louer/lieu-anzere" TargetMode="External"/><Relationship Id="rId1795" Type="http://schemas.openxmlformats.org/officeDocument/2006/relationships/hyperlink" Target="https://www.immoscout24.ch/fr/maison/acheter/lieu-st-maurice" TargetMode="External"/><Relationship Id="rId1785" Type="http://schemas.openxmlformats.org/officeDocument/2006/relationships/hyperlink" Target="https://www.immoscout24.ch/fr/appartement/louer/lieu-wangs" TargetMode="External"/><Relationship Id="rId1786" Type="http://schemas.openxmlformats.org/officeDocument/2006/relationships/hyperlink" Target="https://www.immoscout24.ch/fr/appartement/louer/lieu-wangs" TargetMode="External"/><Relationship Id="rId1787" Type="http://schemas.openxmlformats.org/officeDocument/2006/relationships/hyperlink" Target="https://www.immoscout24.ch/fr/appartement/louer/lieu-salavaux" TargetMode="External"/><Relationship Id="rId1788" Type="http://schemas.openxmlformats.org/officeDocument/2006/relationships/hyperlink" Target="https://www.immoscout24.ch/fr/appartement/louer/lieu-salavaux" TargetMode="External"/><Relationship Id="rId1789" Type="http://schemas.openxmlformats.org/officeDocument/2006/relationships/hyperlink" Target="https://www.immoscout24.ch/fr/maison/louer/lieu-le-paquier-ne" TargetMode="External"/><Relationship Id="rId1780" Type="http://schemas.openxmlformats.org/officeDocument/2006/relationships/hyperlink" Target="https://www.immoscout24.ch/fr/maison/acheter/lieu-herisau" TargetMode="External"/><Relationship Id="rId1781" Type="http://schemas.openxmlformats.org/officeDocument/2006/relationships/hyperlink" Target="https://www.immoscout24.ch/fr/appartement/acheter/lieu-oberbipp" TargetMode="External"/><Relationship Id="rId1782" Type="http://schemas.openxmlformats.org/officeDocument/2006/relationships/hyperlink" Target="https://www.immoscout24.ch/fr/appartement/acheter/lieu-oberbipp" TargetMode="External"/><Relationship Id="rId1783" Type="http://schemas.openxmlformats.org/officeDocument/2006/relationships/hyperlink" Target="https://www.immoscout24.ch/fr/appartement/louer/lieu-les-bayards" TargetMode="External"/><Relationship Id="rId1784" Type="http://schemas.openxmlformats.org/officeDocument/2006/relationships/hyperlink" Target="https://www.immoscout24.ch/fr/appartement/louer/lieu-les-bayards" TargetMode="External"/><Relationship Id="rId1851" Type="http://schemas.openxmlformats.org/officeDocument/2006/relationships/hyperlink" Target="https://www.immoscout24.ch/fr/appartement/louer/lieu-lamboing" TargetMode="External"/><Relationship Id="rId1852" Type="http://schemas.openxmlformats.org/officeDocument/2006/relationships/hyperlink" Target="https://www.immoscout24.ch/fr/appartement/louer/lieu-lamboing" TargetMode="External"/><Relationship Id="rId1853" Type="http://schemas.openxmlformats.org/officeDocument/2006/relationships/hyperlink" Target="https://www.immoscout24.ch/fr/maison/acheter/lieu-hedingen" TargetMode="External"/><Relationship Id="rId1854" Type="http://schemas.openxmlformats.org/officeDocument/2006/relationships/hyperlink" Target="https://www.immoscout24.ch/fr/maison/acheter/lieu-hedingen" TargetMode="External"/><Relationship Id="rId1855" Type="http://schemas.openxmlformats.org/officeDocument/2006/relationships/hyperlink" Target="https://www.immoscout24.ch/fr/appartement/louer/pays-italie" TargetMode="External"/><Relationship Id="rId1856" Type="http://schemas.openxmlformats.org/officeDocument/2006/relationships/hyperlink" Target="https://www.immoscout24.ch/fr/appartement/louer/pays-italie" TargetMode="External"/><Relationship Id="rId1857" Type="http://schemas.openxmlformats.org/officeDocument/2006/relationships/hyperlink" Target="https://www.immoscout24.ch/fr/maison/acheter/region-appenzell-et-environs" TargetMode="External"/><Relationship Id="rId1858" Type="http://schemas.openxmlformats.org/officeDocument/2006/relationships/hyperlink" Target="https://www.immoscout24.ch/fr/maison/acheter/region-appenzell-et-environs" TargetMode="External"/><Relationship Id="rId1859" Type="http://schemas.openxmlformats.org/officeDocument/2006/relationships/hyperlink" Target="https://www.immoscout24.ch/fr/appartement/acheter/lieu-ponte-tresa" TargetMode="External"/><Relationship Id="rId1850" Type="http://schemas.openxmlformats.org/officeDocument/2006/relationships/hyperlink" Target="https://www.immoscout24.ch/fr/appartement/louer/lieu-collonges" TargetMode="External"/><Relationship Id="rId1840" Type="http://schemas.openxmlformats.org/officeDocument/2006/relationships/hyperlink" Target="https://www.immoscout24.ch/fr/appartement/louer/lieu-fislisbach" TargetMode="External"/><Relationship Id="rId1841" Type="http://schemas.openxmlformats.org/officeDocument/2006/relationships/hyperlink" Target="https://www.immoscout24.ch/fr/maison/louer/lieu-bougy-villars" TargetMode="External"/><Relationship Id="rId1842" Type="http://schemas.openxmlformats.org/officeDocument/2006/relationships/hyperlink" Target="https://www.immoscout24.ch/fr/maison/louer/lieu-bougy-villars" TargetMode="External"/><Relationship Id="rId1843" Type="http://schemas.openxmlformats.org/officeDocument/2006/relationships/hyperlink" Target="https://www.immoscout24.ch/fr/appartement/louer/lieu-buehl-b-aarberg" TargetMode="External"/><Relationship Id="rId1844" Type="http://schemas.openxmlformats.org/officeDocument/2006/relationships/hyperlink" Target="https://www.immoscout24.ch/fr/appartement/louer/lieu-buehl-b-aarberg" TargetMode="External"/><Relationship Id="rId1845" Type="http://schemas.openxmlformats.org/officeDocument/2006/relationships/hyperlink" Target="https://www.immoscout24.ch/fr/maison/acheter/lieu-bowil" TargetMode="External"/><Relationship Id="rId1846" Type="http://schemas.openxmlformats.org/officeDocument/2006/relationships/hyperlink" Target="https://www.immoscout24.ch/fr/maison/acheter/lieu-bowil" TargetMode="External"/><Relationship Id="rId1847" Type="http://schemas.openxmlformats.org/officeDocument/2006/relationships/hyperlink" Target="https://www.immoscout24.ch/fr/appartement/acheter/region-obwalden" TargetMode="External"/><Relationship Id="rId1848" Type="http://schemas.openxmlformats.org/officeDocument/2006/relationships/hyperlink" Target="https://www.immoscout24.ch/fr/appartement/acheter/region-obwalden" TargetMode="External"/><Relationship Id="rId1849" Type="http://schemas.openxmlformats.org/officeDocument/2006/relationships/hyperlink" Target="https://www.immoscout24.ch/fr/appartement/louer/lieu-collonges" TargetMode="External"/><Relationship Id="rId1873" Type="http://schemas.openxmlformats.org/officeDocument/2006/relationships/hyperlink" Target="https://www.immoscout24.ch/fr/appartement/louer/lieu-la-rippe" TargetMode="External"/><Relationship Id="rId1874" Type="http://schemas.openxmlformats.org/officeDocument/2006/relationships/hyperlink" Target="https://www.immoscout24.ch/fr/appartement/louer/lieu-la-rippe" TargetMode="External"/><Relationship Id="rId1875" Type="http://schemas.openxmlformats.org/officeDocument/2006/relationships/hyperlink" Target="https://www.immoscout24.ch/fr/appartement/louer/lieu-apples" TargetMode="External"/><Relationship Id="rId1876" Type="http://schemas.openxmlformats.org/officeDocument/2006/relationships/hyperlink" Target="https://www.immoscout24.ch/fr/appartement/louer/lieu-apples" TargetMode="External"/><Relationship Id="rId1877" Type="http://schemas.openxmlformats.org/officeDocument/2006/relationships/hyperlink" Target="https://www.immoscout24.ch/fr/appartement/louer/lieu-orges" TargetMode="External"/><Relationship Id="rId1878" Type="http://schemas.openxmlformats.org/officeDocument/2006/relationships/hyperlink" Target="https://www.immoscout24.ch/fr/appartement/louer/lieu-orges" TargetMode="External"/><Relationship Id="rId1879" Type="http://schemas.openxmlformats.org/officeDocument/2006/relationships/hyperlink" Target="https://www.immoscout24.ch/fr/maison/louer/lieu-wohlenschwil" TargetMode="External"/><Relationship Id="rId1870" Type="http://schemas.openxmlformats.org/officeDocument/2006/relationships/hyperlink" Target="https://www.immoscout24.ch/fr/appartement/acheter/quartier-rathaus-zurich" TargetMode="External"/><Relationship Id="rId1871" Type="http://schemas.openxmlformats.org/officeDocument/2006/relationships/hyperlink" Target="https://www.immoscout24.ch/fr/appartement/louer/lieu-miecourt" TargetMode="External"/><Relationship Id="rId1872" Type="http://schemas.openxmlformats.org/officeDocument/2006/relationships/hyperlink" Target="https://www.immoscout24.ch/fr/appartement/louer/lieu-miecourt" TargetMode="External"/><Relationship Id="rId1862" Type="http://schemas.openxmlformats.org/officeDocument/2006/relationships/hyperlink" Target="https://www.immoscout24.ch/fr/maison/acheter/lieu-rigi-kaltbad" TargetMode="External"/><Relationship Id="rId1863" Type="http://schemas.openxmlformats.org/officeDocument/2006/relationships/hyperlink" Target="https://www.immoscout24.ch/fr/appartement/acheter/lieu-cries-volleges" TargetMode="External"/><Relationship Id="rId1864" Type="http://schemas.openxmlformats.org/officeDocument/2006/relationships/hyperlink" Target="https://www.immoscout24.ch/fr/appartement/acheter/lieu-cries-volleges" TargetMode="External"/><Relationship Id="rId1865" Type="http://schemas.openxmlformats.org/officeDocument/2006/relationships/hyperlink" Target="https://www.immoscout24.ch/fr/appartement/louer/lieu-huemoz" TargetMode="External"/><Relationship Id="rId1866" Type="http://schemas.openxmlformats.org/officeDocument/2006/relationships/hyperlink" Target="https://www.immoscout24.ch/fr/appartement/louer/lieu-huemoz" TargetMode="External"/><Relationship Id="rId1867" Type="http://schemas.openxmlformats.org/officeDocument/2006/relationships/hyperlink" Target="https://www.immoscout24.ch/fr/maison/acheter/lieu-rheinau" TargetMode="External"/><Relationship Id="rId1868" Type="http://schemas.openxmlformats.org/officeDocument/2006/relationships/hyperlink" Target="https://www.immoscout24.ch/fr/maison/acheter/lieu-rheinau" TargetMode="External"/><Relationship Id="rId1869" Type="http://schemas.openxmlformats.org/officeDocument/2006/relationships/hyperlink" Target="https://www.immoscout24.ch/fr/appartement/acheter/quartier-rathaus-zurich" TargetMode="External"/><Relationship Id="rId1860" Type="http://schemas.openxmlformats.org/officeDocument/2006/relationships/hyperlink" Target="https://www.immoscout24.ch/fr/appartement/acheter/lieu-ponte-tresa" TargetMode="External"/><Relationship Id="rId1861" Type="http://schemas.openxmlformats.org/officeDocument/2006/relationships/hyperlink" Target="https://www.immoscout24.ch/fr/maison/acheter/lieu-rigi-kaltbad" TargetMode="External"/><Relationship Id="rId1810" Type="http://schemas.openxmlformats.org/officeDocument/2006/relationships/hyperlink" Target="https://www.immoscout24.ch/fr/appartement/louer/lieu-bellach" TargetMode="External"/><Relationship Id="rId1811" Type="http://schemas.openxmlformats.org/officeDocument/2006/relationships/hyperlink" Target="https://www.immoscout24.ch/fr/maison/acheter/lieu-cudrefin" TargetMode="External"/><Relationship Id="rId1812" Type="http://schemas.openxmlformats.org/officeDocument/2006/relationships/hyperlink" Target="https://www.immoscout24.ch/fr/maison/acheter/lieu-cudrefin" TargetMode="External"/><Relationship Id="rId1813" Type="http://schemas.openxmlformats.org/officeDocument/2006/relationships/hyperlink" Target="https://www.immoscout24.ch/fr/maison/louer/region-avenches-payerne" TargetMode="External"/><Relationship Id="rId1814" Type="http://schemas.openxmlformats.org/officeDocument/2006/relationships/hyperlink" Target="https://www.immoscout24.ch/fr/maison/louer/region-avenches-payerne" TargetMode="External"/><Relationship Id="rId1815" Type="http://schemas.openxmlformats.org/officeDocument/2006/relationships/hyperlink" Target="https://www.immoscout24.ch/fr/appartement/acheter/lieu-verbier" TargetMode="External"/><Relationship Id="rId1816" Type="http://schemas.openxmlformats.org/officeDocument/2006/relationships/hyperlink" Target="https://www.immoscout24.ch/fr/appartement/acheter/lieu-verbier" TargetMode="External"/><Relationship Id="rId1817" Type="http://schemas.openxmlformats.org/officeDocument/2006/relationships/hyperlink" Target="https://www.immoscout24.ch/fr/maison/acheter/lieu-st-saphorin-lavaux" TargetMode="External"/><Relationship Id="rId1818" Type="http://schemas.openxmlformats.org/officeDocument/2006/relationships/hyperlink" Target="https://www.immoscout24.ch/fr/maison/acheter/lieu-st-saphorin-lavaux" TargetMode="External"/><Relationship Id="rId1819" Type="http://schemas.openxmlformats.org/officeDocument/2006/relationships/hyperlink" Target="https://www.immoscout24.ch/fr/appartement/louer/lieu-bernex" TargetMode="External"/><Relationship Id="rId1800" Type="http://schemas.openxmlformats.org/officeDocument/2006/relationships/hyperlink" Target="https://www.immoscout24.ch/fr/appartement/louer/lieu-hallwil" TargetMode="External"/><Relationship Id="rId1801" Type="http://schemas.openxmlformats.org/officeDocument/2006/relationships/hyperlink" Target="https://www.immoscout24.ch/fr/maison/louer/lieu-chaumont" TargetMode="External"/><Relationship Id="rId1802" Type="http://schemas.openxmlformats.org/officeDocument/2006/relationships/hyperlink" Target="https://www.immoscout24.ch/fr/maison/louer/lieu-chaumont" TargetMode="External"/><Relationship Id="rId1803" Type="http://schemas.openxmlformats.org/officeDocument/2006/relationships/hyperlink" Target="https://www.immoscout24.ch/fr/appartement/louer/lieu-abtwil-sg" TargetMode="External"/><Relationship Id="rId1804" Type="http://schemas.openxmlformats.org/officeDocument/2006/relationships/hyperlink" Target="https://www.immoscout24.ch/fr/appartement/louer/lieu-abtwil-sg" TargetMode="External"/><Relationship Id="rId1805" Type="http://schemas.openxmlformats.org/officeDocument/2006/relationships/hyperlink" Target="https://www.immoscout24.ch/fr/appartement/louer/quartier-koeniz-koeniz" TargetMode="External"/><Relationship Id="rId1806" Type="http://schemas.openxmlformats.org/officeDocument/2006/relationships/hyperlink" Target="https://www.immoscout24.ch/fr/appartement/louer/quartier-koeniz-koeniz" TargetMode="External"/><Relationship Id="rId1807" Type="http://schemas.openxmlformats.org/officeDocument/2006/relationships/hyperlink" Target="https://www.immoscout24.ch/fr/appartement/louer/region-soleure-et-environs" TargetMode="External"/><Relationship Id="rId1808" Type="http://schemas.openxmlformats.org/officeDocument/2006/relationships/hyperlink" Target="https://www.immoscout24.ch/fr/appartement/louer/region-soleure-et-environs" TargetMode="External"/><Relationship Id="rId1809" Type="http://schemas.openxmlformats.org/officeDocument/2006/relationships/hyperlink" Target="https://www.immoscout24.ch/fr/appartement/louer/lieu-bellach" TargetMode="External"/><Relationship Id="rId1830" Type="http://schemas.openxmlformats.org/officeDocument/2006/relationships/hyperlink" Target="https://www.immoscout24.ch/fr/appartement/louer/lieu-attalens" TargetMode="External"/><Relationship Id="rId1831" Type="http://schemas.openxmlformats.org/officeDocument/2006/relationships/hyperlink" Target="https://www.immoscout24.ch/fr/appartement/louer/lieu-orbe" TargetMode="External"/><Relationship Id="rId1832" Type="http://schemas.openxmlformats.org/officeDocument/2006/relationships/hyperlink" Target="https://www.immoscout24.ch/fr/appartement/louer/lieu-orbe" TargetMode="External"/><Relationship Id="rId1833" Type="http://schemas.openxmlformats.org/officeDocument/2006/relationships/hyperlink" Target="https://www.immoscout24.ch/fr/appartement/louer/lieu-pensier" TargetMode="External"/><Relationship Id="rId1834" Type="http://schemas.openxmlformats.org/officeDocument/2006/relationships/hyperlink" Target="https://www.immoscout24.ch/fr/appartement/louer/lieu-pensier" TargetMode="External"/><Relationship Id="rId1835" Type="http://schemas.openxmlformats.org/officeDocument/2006/relationships/hyperlink" Target="https://www.immoscout24.ch/fr/appartement/louer/quartier-madretsch-sued-biel-bienne" TargetMode="External"/><Relationship Id="rId1836" Type="http://schemas.openxmlformats.org/officeDocument/2006/relationships/hyperlink" Target="https://www.immoscout24.ch/fr/appartement/louer/quartier-madretsch-sued-biel-bienne" TargetMode="External"/><Relationship Id="rId1837" Type="http://schemas.openxmlformats.org/officeDocument/2006/relationships/hyperlink" Target="https://www.immoscout24.ch/fr/appartement/acheter/lieu-steinach" TargetMode="External"/><Relationship Id="rId1838" Type="http://schemas.openxmlformats.org/officeDocument/2006/relationships/hyperlink" Target="https://www.immoscout24.ch/fr/appartement/acheter/lieu-steinach" TargetMode="External"/><Relationship Id="rId1839" Type="http://schemas.openxmlformats.org/officeDocument/2006/relationships/hyperlink" Target="https://www.immoscout24.ch/fr/appartement/louer/lieu-fislisbach" TargetMode="External"/><Relationship Id="rId1820" Type="http://schemas.openxmlformats.org/officeDocument/2006/relationships/hyperlink" Target="https://www.immoscout24.ch/fr/appartement/louer/lieu-bernex" TargetMode="External"/><Relationship Id="rId1821" Type="http://schemas.openxmlformats.org/officeDocument/2006/relationships/hyperlink" Target="https://www.immoscout24.ch/fr/maison/louer/lieu-yverdon-les-bains" TargetMode="External"/><Relationship Id="rId1822" Type="http://schemas.openxmlformats.org/officeDocument/2006/relationships/hyperlink" Target="https://www.immoscout24.ch/fr/maison/louer/lieu-yverdon-les-bains" TargetMode="External"/><Relationship Id="rId1823" Type="http://schemas.openxmlformats.org/officeDocument/2006/relationships/hyperlink" Target="https://www.immoscout24.ch/fr/maison/acheter/lieu-mauborget" TargetMode="External"/><Relationship Id="rId1824" Type="http://schemas.openxmlformats.org/officeDocument/2006/relationships/hyperlink" Target="https://www.immoscout24.ch/fr/maison/acheter/lieu-mauborget" TargetMode="External"/><Relationship Id="rId1825" Type="http://schemas.openxmlformats.org/officeDocument/2006/relationships/hyperlink" Target="https://www.immoscout24.ch/fr/appartement/acheter/lieu-la-tour-de-peilz" TargetMode="External"/><Relationship Id="rId1826" Type="http://schemas.openxmlformats.org/officeDocument/2006/relationships/hyperlink" Target="https://www.immoscout24.ch/fr/appartement/acheter/lieu-la-tour-de-peilz" TargetMode="External"/><Relationship Id="rId1827" Type="http://schemas.openxmlformats.org/officeDocument/2006/relationships/hyperlink" Target="https://www.immoscout24.ch/fr/maison/louer/lieu-montpreveyres" TargetMode="External"/><Relationship Id="rId1828" Type="http://schemas.openxmlformats.org/officeDocument/2006/relationships/hyperlink" Target="https://www.immoscout24.ch/fr/maison/louer/lieu-montpreveyres" TargetMode="External"/><Relationship Id="rId1829" Type="http://schemas.openxmlformats.org/officeDocument/2006/relationships/hyperlink" Target="https://www.immoscout24.ch/fr/appartement/louer/lieu-attalens" TargetMode="External"/><Relationship Id="rId1895" Type="http://schemas.openxmlformats.org/officeDocument/2006/relationships/hyperlink" Target="https://www.immoscout24.ch/fr/appartement/acheter/lieu-montagny-la-ville" TargetMode="External"/><Relationship Id="rId1896" Type="http://schemas.openxmlformats.org/officeDocument/2006/relationships/hyperlink" Target="https://www.immoscout24.ch/fr/appartement/acheter/lieu-montagny-la-ville" TargetMode="External"/><Relationship Id="rId1897" Type="http://schemas.openxmlformats.org/officeDocument/2006/relationships/hyperlink" Target="https://www.immoscout24.ch/fr/maison/louer/lieu-chamoson" TargetMode="External"/><Relationship Id="rId1898" Type="http://schemas.openxmlformats.org/officeDocument/2006/relationships/hyperlink" Target="https://www.immoscout24.ch/fr/maison/louer/lieu-chamoson" TargetMode="External"/><Relationship Id="rId1899" Type="http://schemas.openxmlformats.org/officeDocument/2006/relationships/hyperlink" Target="https://www.immoscout24.ch/fr/appartement/louer/lieu-la-heutte" TargetMode="External"/><Relationship Id="rId1890" Type="http://schemas.openxmlformats.org/officeDocument/2006/relationships/hyperlink" Target="https://www.immoscout24.ch/fr/maison/acheter/lieu-la-cibourg" TargetMode="External"/><Relationship Id="rId1891" Type="http://schemas.openxmlformats.org/officeDocument/2006/relationships/hyperlink" Target="https://www.immoscout24.ch/fr/maison/acheter/lieu-herbriggen" TargetMode="External"/><Relationship Id="rId1892" Type="http://schemas.openxmlformats.org/officeDocument/2006/relationships/hyperlink" Target="https://www.immoscout24.ch/fr/maison/acheter/lieu-herbriggen" TargetMode="External"/><Relationship Id="rId1893" Type="http://schemas.openxmlformats.org/officeDocument/2006/relationships/hyperlink" Target="https://www.immoscout24.ch/fr/maison/acheter/lieu-faido" TargetMode="External"/><Relationship Id="rId1894" Type="http://schemas.openxmlformats.org/officeDocument/2006/relationships/hyperlink" Target="https://www.immoscout24.ch/fr/maison/acheter/lieu-faido" TargetMode="External"/><Relationship Id="rId1884" Type="http://schemas.openxmlformats.org/officeDocument/2006/relationships/hyperlink" Target="https://www.immoscout24.ch/fr/appartement/louer/lieu-birmensdorf-zh" TargetMode="External"/><Relationship Id="rId1885" Type="http://schemas.openxmlformats.org/officeDocument/2006/relationships/hyperlink" Target="https://www.immoscout24.ch/fr/appartement/louer/lieu-vessy" TargetMode="External"/><Relationship Id="rId1886" Type="http://schemas.openxmlformats.org/officeDocument/2006/relationships/hyperlink" Target="https://www.immoscout24.ch/fr/appartement/louer/lieu-vessy" TargetMode="External"/><Relationship Id="rId1887" Type="http://schemas.openxmlformats.org/officeDocument/2006/relationships/hyperlink" Target="https://www.immoscout24.ch/fr/maison/louer/lieu-crans-pres-celigny" TargetMode="External"/><Relationship Id="rId1888" Type="http://schemas.openxmlformats.org/officeDocument/2006/relationships/hyperlink" Target="https://www.immoscout24.ch/fr/maison/louer/lieu-crans-pres-celigny" TargetMode="External"/><Relationship Id="rId1889" Type="http://schemas.openxmlformats.org/officeDocument/2006/relationships/hyperlink" Target="https://www.immoscout24.ch/fr/maison/acheter/lieu-la-cibourg" TargetMode="External"/><Relationship Id="rId1880" Type="http://schemas.openxmlformats.org/officeDocument/2006/relationships/hyperlink" Target="https://www.immoscout24.ch/fr/maison/louer/lieu-wohlenschwil" TargetMode="External"/><Relationship Id="rId1881" Type="http://schemas.openxmlformats.org/officeDocument/2006/relationships/hyperlink" Target="https://www.immoscout24.ch/fr/maison/acheter/lieu-pleigne" TargetMode="External"/><Relationship Id="rId1882" Type="http://schemas.openxmlformats.org/officeDocument/2006/relationships/hyperlink" Target="https://www.immoscout24.ch/fr/maison/acheter/lieu-pleigne" TargetMode="External"/><Relationship Id="rId1883" Type="http://schemas.openxmlformats.org/officeDocument/2006/relationships/hyperlink" Target="https://www.immoscout24.ch/fr/appartement/louer/lieu-birmensdorf-zh" TargetMode="External"/><Relationship Id="rId1910" Type="http://schemas.openxmlformats.org/officeDocument/2006/relationships/hyperlink" Target="https://www.immoscout24.ch/fr/appartement/acheter/lieu-delemont" TargetMode="External"/><Relationship Id="rId1911" Type="http://schemas.openxmlformats.org/officeDocument/2006/relationships/hyperlink" Target="https://www.immoscout24.ch/fr/maison/acheter/lieu-lentigny" TargetMode="External"/><Relationship Id="rId1912" Type="http://schemas.openxmlformats.org/officeDocument/2006/relationships/hyperlink" Target="https://www.immoscout24.ch/fr/maison/acheter/lieu-lentigny" TargetMode="External"/><Relationship Id="rId1913" Type="http://schemas.openxmlformats.org/officeDocument/2006/relationships/hyperlink" Target="https://www.immoscout24.ch/fr/maison/louer/lieu-mur-vully-vd" TargetMode="External"/><Relationship Id="rId1914" Type="http://schemas.openxmlformats.org/officeDocument/2006/relationships/hyperlink" Target="https://www.immoscout24.ch/fr/maison/louer/lieu-mur-vully-vd" TargetMode="External"/><Relationship Id="rId1915" Type="http://schemas.openxmlformats.org/officeDocument/2006/relationships/hyperlink" Target="https://www.immoscout24.ch/fr/maison/acheter/lieu-moerigen" TargetMode="External"/><Relationship Id="rId1916" Type="http://schemas.openxmlformats.org/officeDocument/2006/relationships/hyperlink" Target="https://www.immoscout24.ch/fr/maison/acheter/lieu-moerigen" TargetMode="External"/><Relationship Id="rId1917" Type="http://schemas.openxmlformats.org/officeDocument/2006/relationships/hyperlink" Target="https://www.immoscout24.ch/fr/appartement/acheter/quartier-montchoisi-lausanne" TargetMode="External"/><Relationship Id="rId1918" Type="http://schemas.openxmlformats.org/officeDocument/2006/relationships/hyperlink" Target="https://www.immoscout24.ch/fr/appartement/acheter/quartier-montchoisi-lausanne" TargetMode="External"/><Relationship Id="rId1919" Type="http://schemas.openxmlformats.org/officeDocument/2006/relationships/hyperlink" Target="https://www.immoscout24.ch/fr/appartement/acheter/lieu-oron-la-ville" TargetMode="External"/><Relationship Id="rId1900" Type="http://schemas.openxmlformats.org/officeDocument/2006/relationships/hyperlink" Target="https://www.immoscout24.ch/fr/appartement/louer/lieu-la-heutte" TargetMode="External"/><Relationship Id="rId1901" Type="http://schemas.openxmlformats.org/officeDocument/2006/relationships/hyperlink" Target="https://www.immoscout24.ch/fr/maison/acheter/lieu-corserey" TargetMode="External"/><Relationship Id="rId1902" Type="http://schemas.openxmlformats.org/officeDocument/2006/relationships/hyperlink" Target="https://www.immoscout24.ch/fr/maison/acheter/lieu-corserey" TargetMode="External"/><Relationship Id="rId1903" Type="http://schemas.openxmlformats.org/officeDocument/2006/relationships/hyperlink" Target="https://www.immoscout24.ch/fr/appartement/louer/lieu-fraubrunnen" TargetMode="External"/><Relationship Id="rId1904" Type="http://schemas.openxmlformats.org/officeDocument/2006/relationships/hyperlink" Target="https://www.immoscout24.ch/fr/appartement/louer/lieu-fraubrunnen" TargetMode="External"/><Relationship Id="rId1905" Type="http://schemas.openxmlformats.org/officeDocument/2006/relationships/hyperlink" Target="https://www.immoscout24.ch/fr/maison/acheter/lieu-zug" TargetMode="External"/><Relationship Id="rId1906" Type="http://schemas.openxmlformats.org/officeDocument/2006/relationships/hyperlink" Target="https://www.immoscout24.ch/fr/maison/acheter/lieu-zug" TargetMode="External"/><Relationship Id="rId1907" Type="http://schemas.openxmlformats.org/officeDocument/2006/relationships/hyperlink" Target="https://www.immoscout24.ch/fr/appartement/louer/lieu-naefels" TargetMode="External"/><Relationship Id="rId1908" Type="http://schemas.openxmlformats.org/officeDocument/2006/relationships/hyperlink" Target="https://www.immoscout24.ch/fr/appartement/louer/lieu-naefels" TargetMode="External"/><Relationship Id="rId1909" Type="http://schemas.openxmlformats.org/officeDocument/2006/relationships/hyperlink" Target="https://www.immoscout24.ch/fr/appartement/acheter/lieu-delemont" TargetMode="External"/><Relationship Id="rId1972" Type="http://schemas.openxmlformats.org/officeDocument/2006/relationships/hyperlink" Target="https://www.immoscout24.ch/fr/appartement/louer/lieu-sempach" TargetMode="External"/><Relationship Id="rId1973" Type="http://schemas.openxmlformats.org/officeDocument/2006/relationships/hyperlink" Target="https://www.immoscout24.ch/fr/maison/louer/region-gruyere-la-broye-lac-veveyse" TargetMode="External"/><Relationship Id="rId1974" Type="http://schemas.openxmlformats.org/officeDocument/2006/relationships/hyperlink" Target="https://www.immoscout24.ch/fr/maison/louer/region-gruyere-la-broye-lac-veveyse" TargetMode="External"/><Relationship Id="rId1975" Type="http://schemas.openxmlformats.org/officeDocument/2006/relationships/hyperlink" Target="https://www.immoscout24.ch/fr/maison/acheter/lieu-niederscherli" TargetMode="External"/><Relationship Id="rId1976" Type="http://schemas.openxmlformats.org/officeDocument/2006/relationships/hyperlink" Target="https://www.immoscout24.ch/fr/maison/acheter/lieu-niederscherli" TargetMode="External"/><Relationship Id="rId1977" Type="http://schemas.openxmlformats.org/officeDocument/2006/relationships/hyperlink" Target="https://www.immoscout24.ch/fr/appartement/acheter/lieu-spiez" TargetMode="External"/><Relationship Id="rId1978" Type="http://schemas.openxmlformats.org/officeDocument/2006/relationships/hyperlink" Target="https://www.immoscout24.ch/fr/appartement/acheter/lieu-spiez" TargetMode="External"/><Relationship Id="rId1979" Type="http://schemas.openxmlformats.org/officeDocument/2006/relationships/hyperlink" Target="https://www.immoscout24.ch/fr/appartement/acheter/canton-schaffhouse" TargetMode="External"/><Relationship Id="rId1970" Type="http://schemas.openxmlformats.org/officeDocument/2006/relationships/hyperlink" Target="https://www.immoscout24.ch/fr/appartement/louer/lieu-prahins" TargetMode="External"/><Relationship Id="rId1971" Type="http://schemas.openxmlformats.org/officeDocument/2006/relationships/hyperlink" Target="https://www.immoscout24.ch/fr/appartement/louer/lieu-sempach" TargetMode="External"/><Relationship Id="rId1961" Type="http://schemas.openxmlformats.org/officeDocument/2006/relationships/hyperlink" Target="https://www.immoscout24.ch/fr/maison/acheter/lieu-malvaglia" TargetMode="External"/><Relationship Id="rId1962" Type="http://schemas.openxmlformats.org/officeDocument/2006/relationships/hyperlink" Target="https://www.immoscout24.ch/fr/maison/acheter/lieu-malvaglia" TargetMode="External"/><Relationship Id="rId1963" Type="http://schemas.openxmlformats.org/officeDocument/2006/relationships/hyperlink" Target="https://www.immoscout24.ch/fr/appartement/louer/lieu-hinterkappelen" TargetMode="External"/><Relationship Id="rId1964" Type="http://schemas.openxmlformats.org/officeDocument/2006/relationships/hyperlink" Target="https://www.immoscout24.ch/fr/appartement/louer/lieu-hinterkappelen" TargetMode="External"/><Relationship Id="rId1965" Type="http://schemas.openxmlformats.org/officeDocument/2006/relationships/hyperlink" Target="https://www.immoscout24.ch/fr/appartement/acheter/lieu-melide" TargetMode="External"/><Relationship Id="rId1966" Type="http://schemas.openxmlformats.org/officeDocument/2006/relationships/hyperlink" Target="https://www.immoscout24.ch/fr/appartement/acheter/lieu-melide" TargetMode="External"/><Relationship Id="rId1967" Type="http://schemas.openxmlformats.org/officeDocument/2006/relationships/hyperlink" Target="https://www.immoscout24.ch/fr/maison/acheter/lieu-schwarzsee" TargetMode="External"/><Relationship Id="rId1968" Type="http://schemas.openxmlformats.org/officeDocument/2006/relationships/hyperlink" Target="https://www.immoscout24.ch/fr/maison/acheter/lieu-schwarzsee" TargetMode="External"/><Relationship Id="rId1969" Type="http://schemas.openxmlformats.org/officeDocument/2006/relationships/hyperlink" Target="https://www.immoscout24.ch/fr/appartement/louer/lieu-prahins" TargetMode="External"/><Relationship Id="rId1960" Type="http://schemas.openxmlformats.org/officeDocument/2006/relationships/hyperlink" Target="https://www.immoscout24.ch/fr/maison/acheter/lieu-neyruz-sur-moudon" TargetMode="External"/><Relationship Id="rId1994" Type="http://schemas.openxmlformats.org/officeDocument/2006/relationships/hyperlink" Target="https://www.immoscout24.ch/fr/appartement/louer/lieu-la-croix-lutry" TargetMode="External"/><Relationship Id="rId1995" Type="http://schemas.openxmlformats.org/officeDocument/2006/relationships/hyperlink" Target="https://www.immoscout24.ch/fr/appartement/louer/lieu-bruettelen" TargetMode="External"/><Relationship Id="rId1996" Type="http://schemas.openxmlformats.org/officeDocument/2006/relationships/hyperlink" Target="https://www.immoscout24.ch/fr/appartement/louer/lieu-bruettelen" TargetMode="External"/><Relationship Id="rId1997" Type="http://schemas.openxmlformats.org/officeDocument/2006/relationships/hyperlink" Target="https://www.immoscout24.ch/fr/maison/acheter/region-emmental" TargetMode="External"/><Relationship Id="rId1998" Type="http://schemas.openxmlformats.org/officeDocument/2006/relationships/hyperlink" Target="https://www.immoscout24.ch/fr/maison/acheter/region-emmental" TargetMode="External"/><Relationship Id="rId1999" Type="http://schemas.openxmlformats.org/officeDocument/2006/relationships/hyperlink" Target="https://www.immoscout24.ch/fr/appartement/louer/lieu-montet-broye" TargetMode="External"/><Relationship Id="rId1990" Type="http://schemas.openxmlformats.org/officeDocument/2006/relationships/hyperlink" Target="https://www.immoscout24.ch/fr/appartement/louer/lieu-villars-sous-yens" TargetMode="External"/><Relationship Id="rId1991" Type="http://schemas.openxmlformats.org/officeDocument/2006/relationships/hyperlink" Target="https://www.immoscout24.ch/fr/appartement/louer/lieu-guntershausen-b-aadorf" TargetMode="External"/><Relationship Id="rId1992" Type="http://schemas.openxmlformats.org/officeDocument/2006/relationships/hyperlink" Target="https://www.immoscout24.ch/fr/appartement/louer/lieu-guntershausen-b-aadorf" TargetMode="External"/><Relationship Id="rId1993" Type="http://schemas.openxmlformats.org/officeDocument/2006/relationships/hyperlink" Target="https://www.immoscout24.ch/fr/appartement/louer/lieu-la-croix-lutry" TargetMode="External"/><Relationship Id="rId1983" Type="http://schemas.openxmlformats.org/officeDocument/2006/relationships/hyperlink" Target="https://www.immoscout24.ch/fr/maison/acheter/lieu-muraz-collombey" TargetMode="External"/><Relationship Id="rId1984" Type="http://schemas.openxmlformats.org/officeDocument/2006/relationships/hyperlink" Target="https://www.immoscout24.ch/fr/maison/acheter/lieu-muraz-collombey" TargetMode="External"/><Relationship Id="rId1985" Type="http://schemas.openxmlformats.org/officeDocument/2006/relationships/hyperlink" Target="https://www.immoscout24.ch/fr/maison/acheter/lieu-tavanasa" TargetMode="External"/><Relationship Id="rId1986" Type="http://schemas.openxmlformats.org/officeDocument/2006/relationships/hyperlink" Target="https://www.immoscout24.ch/fr/maison/acheter/lieu-tavanasa" TargetMode="External"/><Relationship Id="rId1987" Type="http://schemas.openxmlformats.org/officeDocument/2006/relationships/hyperlink" Target="https://www.immoscout24.ch/fr/appartement/acheter/lieu-st-ursanne" TargetMode="External"/><Relationship Id="rId1988" Type="http://schemas.openxmlformats.org/officeDocument/2006/relationships/hyperlink" Target="https://www.immoscout24.ch/fr/appartement/acheter/lieu-st-ursanne" TargetMode="External"/><Relationship Id="rId1989" Type="http://schemas.openxmlformats.org/officeDocument/2006/relationships/hyperlink" Target="https://www.immoscout24.ch/fr/appartement/louer/lieu-villars-sous-yens" TargetMode="External"/><Relationship Id="rId1980" Type="http://schemas.openxmlformats.org/officeDocument/2006/relationships/hyperlink" Target="https://www.immoscout24.ch/fr/appartement/acheter/canton-schaffhouse" TargetMode="External"/><Relationship Id="rId1981" Type="http://schemas.openxmlformats.org/officeDocument/2006/relationships/hyperlink" Target="https://www.immoscout24.ch/fr/appartement/louer/lieu-st-germain-saviese" TargetMode="External"/><Relationship Id="rId1982" Type="http://schemas.openxmlformats.org/officeDocument/2006/relationships/hyperlink" Target="https://www.immoscout24.ch/fr/appartement/louer/lieu-st-germain-saviese" TargetMode="External"/><Relationship Id="rId1930" Type="http://schemas.openxmlformats.org/officeDocument/2006/relationships/hyperlink" Target="https://www.immoscout24.ch/fr/maison/louer/lieu-belfaux" TargetMode="External"/><Relationship Id="rId1931" Type="http://schemas.openxmlformats.org/officeDocument/2006/relationships/hyperlink" Target="https://www.immoscout24.ch/fr/maison/acheter/pays-kenya" TargetMode="External"/><Relationship Id="rId1932" Type="http://schemas.openxmlformats.org/officeDocument/2006/relationships/hyperlink" Target="https://www.immoscout24.ch/fr/maison/acheter/pays-kenya" TargetMode="External"/><Relationship Id="rId1933" Type="http://schemas.openxmlformats.org/officeDocument/2006/relationships/hyperlink" Target="https://www.immoscout24.ch/fr/appartement/louer/lieu-bruegg-be" TargetMode="External"/><Relationship Id="rId1934" Type="http://schemas.openxmlformats.org/officeDocument/2006/relationships/hyperlink" Target="https://www.immoscout24.ch/fr/appartement/louer/lieu-bruegg-be" TargetMode="External"/><Relationship Id="rId1935" Type="http://schemas.openxmlformats.org/officeDocument/2006/relationships/hyperlink" Target="https://www.immoscout24.ch/fr/appartement/acheter/lieu-eclepens" TargetMode="External"/><Relationship Id="rId1936" Type="http://schemas.openxmlformats.org/officeDocument/2006/relationships/hyperlink" Target="https://www.immoscout24.ch/fr/appartement/acheter/lieu-eclepens" TargetMode="External"/><Relationship Id="rId1937" Type="http://schemas.openxmlformats.org/officeDocument/2006/relationships/hyperlink" Target="https://www.immoscout24.ch/fr/maison/louer/lieu-bottmingen" TargetMode="External"/><Relationship Id="rId1938" Type="http://schemas.openxmlformats.org/officeDocument/2006/relationships/hyperlink" Target="https://www.immoscout24.ch/fr/maison/louer/lieu-bottmingen" TargetMode="External"/><Relationship Id="rId1939" Type="http://schemas.openxmlformats.org/officeDocument/2006/relationships/hyperlink" Target="https://www.immoscout24.ch/fr/appartement/louer/lieu-castione" TargetMode="External"/><Relationship Id="rId1920" Type="http://schemas.openxmlformats.org/officeDocument/2006/relationships/hyperlink" Target="https://www.immoscout24.ch/fr/appartement/acheter/lieu-oron-la-ville" TargetMode="External"/><Relationship Id="rId1921" Type="http://schemas.openxmlformats.org/officeDocument/2006/relationships/hyperlink" Target="https://www.immoscout24.ch/fr/maison/acheter/lieu-torre" TargetMode="External"/><Relationship Id="rId1922" Type="http://schemas.openxmlformats.org/officeDocument/2006/relationships/hyperlink" Target="https://www.immoscout24.ch/fr/maison/acheter/lieu-torre" TargetMode="External"/><Relationship Id="rId1923" Type="http://schemas.openxmlformats.org/officeDocument/2006/relationships/hyperlink" Target="https://www.immoscout24.ch/fr/appartement/acheter/lieu-lenzerheide-lai" TargetMode="External"/><Relationship Id="rId1924" Type="http://schemas.openxmlformats.org/officeDocument/2006/relationships/hyperlink" Target="https://www.immoscout24.ch/fr/appartement/acheter/lieu-lenzerheide-lai" TargetMode="External"/><Relationship Id="rId1925" Type="http://schemas.openxmlformats.org/officeDocument/2006/relationships/hyperlink" Target="https://www.immoscout24.ch/fr/appartement/acheter/lieu-corminboeuf" TargetMode="External"/><Relationship Id="rId1926" Type="http://schemas.openxmlformats.org/officeDocument/2006/relationships/hyperlink" Target="https://www.immoscout24.ch/fr/appartement/acheter/lieu-corminboeuf" TargetMode="External"/><Relationship Id="rId1927" Type="http://schemas.openxmlformats.org/officeDocument/2006/relationships/hyperlink" Target="https://www.immoscout24.ch/fr/maison/acheter/lieu-crissier" TargetMode="External"/><Relationship Id="rId1928" Type="http://schemas.openxmlformats.org/officeDocument/2006/relationships/hyperlink" Target="https://www.immoscout24.ch/fr/maison/acheter/lieu-crissier" TargetMode="External"/><Relationship Id="rId1929" Type="http://schemas.openxmlformats.org/officeDocument/2006/relationships/hyperlink" Target="https://www.immoscout24.ch/fr/maison/louer/lieu-belfaux" TargetMode="External"/><Relationship Id="rId1950" Type="http://schemas.openxmlformats.org/officeDocument/2006/relationships/hyperlink" Target="https://www.immoscout24.ch/fr/appartement/louer/lieu-campocologno" TargetMode="External"/><Relationship Id="rId1951" Type="http://schemas.openxmlformats.org/officeDocument/2006/relationships/hyperlink" Target="https://www.immoscout24.ch/fr/appartement/louer/lieu-dietwil" TargetMode="External"/><Relationship Id="rId1952" Type="http://schemas.openxmlformats.org/officeDocument/2006/relationships/hyperlink" Target="https://www.immoscout24.ch/fr/appartement/louer/lieu-dietwil" TargetMode="External"/><Relationship Id="rId1953" Type="http://schemas.openxmlformats.org/officeDocument/2006/relationships/hyperlink" Target="https://www.immoscout24.ch/fr/appartement/acheter/lieu-glis" TargetMode="External"/><Relationship Id="rId1954" Type="http://schemas.openxmlformats.org/officeDocument/2006/relationships/hyperlink" Target="https://www.immoscout24.ch/fr/appartement/acheter/lieu-glis" TargetMode="External"/><Relationship Id="rId1955" Type="http://schemas.openxmlformats.org/officeDocument/2006/relationships/hyperlink" Target="https://www.immoscout24.ch/fr/appartement/acheter/lieu-bex" TargetMode="External"/><Relationship Id="rId1956" Type="http://schemas.openxmlformats.org/officeDocument/2006/relationships/hyperlink" Target="https://www.immoscout24.ch/fr/appartement/acheter/lieu-bex" TargetMode="External"/><Relationship Id="rId1957" Type="http://schemas.openxmlformats.org/officeDocument/2006/relationships/hyperlink" Target="https://www.immoscout24.ch/fr/appartement/acheter/lieu-vufflens-la-ville" TargetMode="External"/><Relationship Id="rId1958" Type="http://schemas.openxmlformats.org/officeDocument/2006/relationships/hyperlink" Target="https://www.immoscout24.ch/fr/appartement/acheter/lieu-vufflens-la-ville" TargetMode="External"/><Relationship Id="rId1959" Type="http://schemas.openxmlformats.org/officeDocument/2006/relationships/hyperlink" Target="https://www.immoscout24.ch/fr/maison/acheter/lieu-neyruz-sur-moudon" TargetMode="External"/><Relationship Id="rId1940" Type="http://schemas.openxmlformats.org/officeDocument/2006/relationships/hyperlink" Target="https://www.immoscout24.ch/fr/appartement/louer/lieu-castione" TargetMode="External"/><Relationship Id="rId1941" Type="http://schemas.openxmlformats.org/officeDocument/2006/relationships/hyperlink" Target="https://www.immoscout24.ch/fr/maison/acheter/lieu-lyss" TargetMode="External"/><Relationship Id="rId1942" Type="http://schemas.openxmlformats.org/officeDocument/2006/relationships/hyperlink" Target="https://www.immoscout24.ch/fr/maison/acheter/lieu-lyss" TargetMode="External"/><Relationship Id="rId1943" Type="http://schemas.openxmlformats.org/officeDocument/2006/relationships/hyperlink" Target="https://www.immoscout24.ch/fr/appartement/louer/lieu-pazzallo" TargetMode="External"/><Relationship Id="rId1944" Type="http://schemas.openxmlformats.org/officeDocument/2006/relationships/hyperlink" Target="https://www.immoscout24.ch/fr/appartement/louer/lieu-pazzallo" TargetMode="External"/><Relationship Id="rId1945" Type="http://schemas.openxmlformats.org/officeDocument/2006/relationships/hyperlink" Target="https://www.immoscout24.ch/fr/maison/louer/region-jura-bernois" TargetMode="External"/><Relationship Id="rId1946" Type="http://schemas.openxmlformats.org/officeDocument/2006/relationships/hyperlink" Target="https://www.immoscout24.ch/fr/maison/louer/region-jura-bernois" TargetMode="External"/><Relationship Id="rId1947" Type="http://schemas.openxmlformats.org/officeDocument/2006/relationships/hyperlink" Target="https://www.immoscout24.ch/fr/appartement/louer/region-rive-gauche" TargetMode="External"/><Relationship Id="rId1948" Type="http://schemas.openxmlformats.org/officeDocument/2006/relationships/hyperlink" Target="https://www.immoscout24.ch/fr/appartement/louer/region-rive-gauche" TargetMode="External"/><Relationship Id="rId1949" Type="http://schemas.openxmlformats.org/officeDocument/2006/relationships/hyperlink" Target="https://www.immoscout24.ch/fr/appartement/louer/lieu-campocologno" TargetMode="External"/><Relationship Id="rId9061" Type="http://schemas.openxmlformats.org/officeDocument/2006/relationships/hyperlink" Target="https://www.immoscout24.ch/fr/appartement/acheter/lieu-corsier-ge" TargetMode="External"/><Relationship Id="rId9060" Type="http://schemas.openxmlformats.org/officeDocument/2006/relationships/hyperlink" Target="https://www.immoscout24.ch/fr/appartement/louer/lieu-heitenried" TargetMode="External"/><Relationship Id="rId9054" Type="http://schemas.openxmlformats.org/officeDocument/2006/relationships/hyperlink" Target="https://www.immoscout24.ch/fr/appartement/acheter/lieu-bussigny" TargetMode="External"/><Relationship Id="rId9053" Type="http://schemas.openxmlformats.org/officeDocument/2006/relationships/hyperlink" Target="https://www.immoscout24.ch/fr/appartement/acheter/lieu-bussigny" TargetMode="External"/><Relationship Id="rId9052" Type="http://schemas.openxmlformats.org/officeDocument/2006/relationships/hyperlink" Target="https://www.immoscout24.ch/fr/appartement/acheter/lieu-moosseedorf" TargetMode="External"/><Relationship Id="rId9051" Type="http://schemas.openxmlformats.org/officeDocument/2006/relationships/hyperlink" Target="https://www.immoscout24.ch/fr/appartement/acheter/lieu-moosseedorf" TargetMode="External"/><Relationship Id="rId9058" Type="http://schemas.openxmlformats.org/officeDocument/2006/relationships/hyperlink" Target="https://www.immoscout24.ch/fr/appartement/louer/quartier-gasel-koeniz" TargetMode="External"/><Relationship Id="rId9057" Type="http://schemas.openxmlformats.org/officeDocument/2006/relationships/hyperlink" Target="https://www.immoscout24.ch/fr/appartement/louer/quartier-gasel-koeniz" TargetMode="External"/><Relationship Id="rId9056" Type="http://schemas.openxmlformats.org/officeDocument/2006/relationships/hyperlink" Target="https://www.immoscout24.ch/fr/appartement/louer/lieu-niederglatt-zh" TargetMode="External"/><Relationship Id="rId9055" Type="http://schemas.openxmlformats.org/officeDocument/2006/relationships/hyperlink" Target="https://www.immoscout24.ch/fr/appartement/louer/lieu-niederglatt-zh" TargetMode="External"/><Relationship Id="rId9059" Type="http://schemas.openxmlformats.org/officeDocument/2006/relationships/hyperlink" Target="https://www.immoscout24.ch/fr/appartement/louer/lieu-heitenried" TargetMode="External"/><Relationship Id="rId9050" Type="http://schemas.openxmlformats.org/officeDocument/2006/relationships/hyperlink" Target="https://www.immoscout24.ch/fr/appartement/louer/quartier-bourg-fribourg" TargetMode="External"/><Relationship Id="rId9043" Type="http://schemas.openxmlformats.org/officeDocument/2006/relationships/hyperlink" Target="https://www.immoscout24.ch/fr/maison/louer/lieu-baden" TargetMode="External"/><Relationship Id="rId9042" Type="http://schemas.openxmlformats.org/officeDocument/2006/relationships/hyperlink" Target="https://www.immoscout24.ch/fr/maison/acheter/lieu-luterbach" TargetMode="External"/><Relationship Id="rId9041" Type="http://schemas.openxmlformats.org/officeDocument/2006/relationships/hyperlink" Target="https://www.immoscout24.ch/fr/maison/acheter/lieu-luterbach" TargetMode="External"/><Relationship Id="rId9040" Type="http://schemas.openxmlformats.org/officeDocument/2006/relationships/hyperlink" Target="https://www.immoscout24.ch/fr/maison/acheter/lieu-martigny" TargetMode="External"/><Relationship Id="rId9047" Type="http://schemas.openxmlformats.org/officeDocument/2006/relationships/hyperlink" Target="https://www.immoscout24.ch/fr/maison/acheter/lieu-therwil" TargetMode="External"/><Relationship Id="rId9046" Type="http://schemas.openxmlformats.org/officeDocument/2006/relationships/hyperlink" Target="https://www.immoscout24.ch/fr/appartement/louer/lieu-lavey-les-bains" TargetMode="External"/><Relationship Id="rId9045" Type="http://schemas.openxmlformats.org/officeDocument/2006/relationships/hyperlink" Target="https://www.immoscout24.ch/fr/appartement/louer/lieu-lavey-les-bains" TargetMode="External"/><Relationship Id="rId9044" Type="http://schemas.openxmlformats.org/officeDocument/2006/relationships/hyperlink" Target="https://www.immoscout24.ch/fr/maison/louer/lieu-baden" TargetMode="External"/><Relationship Id="rId9049" Type="http://schemas.openxmlformats.org/officeDocument/2006/relationships/hyperlink" Target="https://www.immoscout24.ch/fr/appartement/louer/quartier-bourg-fribourg" TargetMode="External"/><Relationship Id="rId9048" Type="http://schemas.openxmlformats.org/officeDocument/2006/relationships/hyperlink" Target="https://www.immoscout24.ch/fr/maison/acheter/lieu-therwil" TargetMode="External"/><Relationship Id="rId9083" Type="http://schemas.openxmlformats.org/officeDocument/2006/relationships/hyperlink" Target="https://www.immoscout24.ch/fr/appartement/acheter/quartier-draizes-vauseyon-neuchatel" TargetMode="External"/><Relationship Id="rId9082" Type="http://schemas.openxmlformats.org/officeDocument/2006/relationships/hyperlink" Target="https://www.immoscout24.ch/fr/maison/louer/lieu-matzingen" TargetMode="External"/><Relationship Id="rId9081" Type="http://schemas.openxmlformats.org/officeDocument/2006/relationships/hyperlink" Target="https://www.immoscout24.ch/fr/maison/louer/lieu-matzingen" TargetMode="External"/><Relationship Id="rId9080" Type="http://schemas.openxmlformats.org/officeDocument/2006/relationships/hyperlink" Target="https://www.immoscout24.ch/fr/appartement/louer/lieu-jens" TargetMode="External"/><Relationship Id="rId9076" Type="http://schemas.openxmlformats.org/officeDocument/2006/relationships/hyperlink" Target="https://www.immoscout24.ch/fr/appartement/louer/lieu-uzwil" TargetMode="External"/><Relationship Id="rId9075" Type="http://schemas.openxmlformats.org/officeDocument/2006/relationships/hyperlink" Target="https://www.immoscout24.ch/fr/appartement/louer/lieu-uzwil" TargetMode="External"/><Relationship Id="rId9074" Type="http://schemas.openxmlformats.org/officeDocument/2006/relationships/hyperlink" Target="https://www.immoscout24.ch/fr/appartement/louer/lieu-wilen-sarnen" TargetMode="External"/><Relationship Id="rId9073" Type="http://schemas.openxmlformats.org/officeDocument/2006/relationships/hyperlink" Target="https://www.immoscout24.ch/fr/appartement/louer/lieu-wilen-sarnen" TargetMode="External"/><Relationship Id="rId9079" Type="http://schemas.openxmlformats.org/officeDocument/2006/relationships/hyperlink" Target="https://www.immoscout24.ch/fr/appartement/louer/lieu-jens" TargetMode="External"/><Relationship Id="rId9078" Type="http://schemas.openxmlformats.org/officeDocument/2006/relationships/hyperlink" Target="https://www.immoscout24.ch/fr/maison/acheter/lieu-essertines-sur-rolle" TargetMode="External"/><Relationship Id="rId9077" Type="http://schemas.openxmlformats.org/officeDocument/2006/relationships/hyperlink" Target="https://www.immoscout24.ch/fr/maison/acheter/lieu-essertines-sur-rolle" TargetMode="External"/><Relationship Id="rId9072" Type="http://schemas.openxmlformats.org/officeDocument/2006/relationships/hyperlink" Target="https://www.immoscout24.ch/fr/maison/acheter/lieu-st-aubin-sauges" TargetMode="External"/><Relationship Id="rId9071" Type="http://schemas.openxmlformats.org/officeDocument/2006/relationships/hyperlink" Target="https://www.immoscout24.ch/fr/maison/acheter/lieu-st-aubin-sauges" TargetMode="External"/><Relationship Id="rId9070" Type="http://schemas.openxmlformats.org/officeDocument/2006/relationships/hyperlink" Target="https://www.immoscout24.ch/fr/appartement/acheter/lieu-muri-ag" TargetMode="External"/><Relationship Id="rId9065" Type="http://schemas.openxmlformats.org/officeDocument/2006/relationships/hyperlink" Target="https://www.immoscout24.ch/fr/maison/acheter/lieu-muellheim-dorf" TargetMode="External"/><Relationship Id="rId9064" Type="http://schemas.openxmlformats.org/officeDocument/2006/relationships/hyperlink" Target="https://www.immoscout24.ch/fr/appartement/louer/lieu-oberwald" TargetMode="External"/><Relationship Id="rId9063" Type="http://schemas.openxmlformats.org/officeDocument/2006/relationships/hyperlink" Target="https://www.immoscout24.ch/fr/appartement/louer/lieu-oberwald" TargetMode="External"/><Relationship Id="rId9062" Type="http://schemas.openxmlformats.org/officeDocument/2006/relationships/hyperlink" Target="https://www.immoscout24.ch/fr/appartement/acheter/lieu-corsier-ge" TargetMode="External"/><Relationship Id="rId9069" Type="http://schemas.openxmlformats.org/officeDocument/2006/relationships/hyperlink" Target="https://www.immoscout24.ch/fr/appartement/acheter/lieu-muri-ag" TargetMode="External"/><Relationship Id="rId9068" Type="http://schemas.openxmlformats.org/officeDocument/2006/relationships/hyperlink" Target="https://www.immoscout24.ch/fr/appartement/louer/region-rorschach-st-gallen" TargetMode="External"/><Relationship Id="rId9067" Type="http://schemas.openxmlformats.org/officeDocument/2006/relationships/hyperlink" Target="https://www.immoscout24.ch/fr/appartement/louer/region-rorschach-st-gallen" TargetMode="External"/><Relationship Id="rId9066" Type="http://schemas.openxmlformats.org/officeDocument/2006/relationships/hyperlink" Target="https://www.immoscout24.ch/fr/maison/acheter/lieu-muellheim-dorf" TargetMode="External"/><Relationship Id="rId9010" Type="http://schemas.openxmlformats.org/officeDocument/2006/relationships/hyperlink" Target="https://www.immoscout24.ch/fr/maison/acheter/lieu-st-oyens" TargetMode="External"/><Relationship Id="rId9014" Type="http://schemas.openxmlformats.org/officeDocument/2006/relationships/hyperlink" Target="https://www.immoscout24.ch/fr/appartement/louer/lieu-laupen-be" TargetMode="External"/><Relationship Id="rId9013" Type="http://schemas.openxmlformats.org/officeDocument/2006/relationships/hyperlink" Target="https://www.immoscout24.ch/fr/appartement/louer/lieu-laupen-be" TargetMode="External"/><Relationship Id="rId9012" Type="http://schemas.openxmlformats.org/officeDocument/2006/relationships/hyperlink" Target="https://www.immoscout24.ch/fr/appartement/louer/lieu-chamoson" TargetMode="External"/><Relationship Id="rId9011" Type="http://schemas.openxmlformats.org/officeDocument/2006/relationships/hyperlink" Target="https://www.immoscout24.ch/fr/appartement/louer/lieu-chamoson" TargetMode="External"/><Relationship Id="rId9018" Type="http://schemas.openxmlformats.org/officeDocument/2006/relationships/hyperlink" Target="https://www.immoscout24.ch/fr/appartement/louer/lieu-arch" TargetMode="External"/><Relationship Id="rId9017" Type="http://schemas.openxmlformats.org/officeDocument/2006/relationships/hyperlink" Target="https://www.immoscout24.ch/fr/appartement/louer/lieu-arch" TargetMode="External"/><Relationship Id="rId9016" Type="http://schemas.openxmlformats.org/officeDocument/2006/relationships/hyperlink" Target="https://www.immoscout24.ch/fr/appartement/louer/lieu-bevilard" TargetMode="External"/><Relationship Id="rId9015" Type="http://schemas.openxmlformats.org/officeDocument/2006/relationships/hyperlink" Target="https://www.immoscout24.ch/fr/appartement/louer/lieu-bevilard" TargetMode="External"/><Relationship Id="rId9019" Type="http://schemas.openxmlformats.org/officeDocument/2006/relationships/hyperlink" Target="https://www.immoscout24.ch/fr/appartement/louer/lieu-raron" TargetMode="External"/><Relationship Id="rId9003" Type="http://schemas.openxmlformats.org/officeDocument/2006/relationships/hyperlink" Target="https://www.immoscout24.ch/fr/appartement/louer/quartier-rosenberg-st-gall" TargetMode="External"/><Relationship Id="rId9002" Type="http://schemas.openxmlformats.org/officeDocument/2006/relationships/hyperlink" Target="https://www.immoscout24.ch/fr/maison/acheter/lieu-couvet" TargetMode="External"/><Relationship Id="rId9001" Type="http://schemas.openxmlformats.org/officeDocument/2006/relationships/hyperlink" Target="https://www.immoscout24.ch/fr/maison/acheter/lieu-couvet" TargetMode="External"/><Relationship Id="rId9000" Type="http://schemas.openxmlformats.org/officeDocument/2006/relationships/hyperlink" Target="https://www.immoscout24.ch/fr/appartement/louer/lieu-albinen" TargetMode="External"/><Relationship Id="rId9007" Type="http://schemas.openxmlformats.org/officeDocument/2006/relationships/hyperlink" Target="https://www.immoscout24.ch/fr/appartement/louer/lieu-basel" TargetMode="External"/><Relationship Id="rId9006" Type="http://schemas.openxmlformats.org/officeDocument/2006/relationships/hyperlink" Target="https://www.immoscout24.ch/fr/appartement/acheter/lieu-giez" TargetMode="External"/><Relationship Id="rId9005" Type="http://schemas.openxmlformats.org/officeDocument/2006/relationships/hyperlink" Target="https://www.immoscout24.ch/fr/appartement/acheter/lieu-giez" TargetMode="External"/><Relationship Id="rId9004" Type="http://schemas.openxmlformats.org/officeDocument/2006/relationships/hyperlink" Target="https://www.immoscout24.ch/fr/appartement/louer/quartier-rosenberg-st-gall" TargetMode="External"/><Relationship Id="rId9009" Type="http://schemas.openxmlformats.org/officeDocument/2006/relationships/hyperlink" Target="https://www.immoscout24.ch/fr/maison/acheter/lieu-st-oyens" TargetMode="External"/><Relationship Id="rId9008" Type="http://schemas.openxmlformats.org/officeDocument/2006/relationships/hyperlink" Target="https://www.immoscout24.ch/fr/appartement/louer/lieu-basel" TargetMode="External"/><Relationship Id="rId9032" Type="http://schemas.openxmlformats.org/officeDocument/2006/relationships/hyperlink" Target="https://www.immoscout24.ch/fr/appartement/acheter/canton-bale-ville" TargetMode="External"/><Relationship Id="rId9031" Type="http://schemas.openxmlformats.org/officeDocument/2006/relationships/hyperlink" Target="https://www.immoscout24.ch/fr/appartement/acheter/canton-bale-ville" TargetMode="External"/><Relationship Id="rId9030" Type="http://schemas.openxmlformats.org/officeDocument/2006/relationships/hyperlink" Target="https://www.immoscout24.ch/fr/maison/acheter/lieu-grono" TargetMode="External"/><Relationship Id="rId9036" Type="http://schemas.openxmlformats.org/officeDocument/2006/relationships/hyperlink" Target="https://www.immoscout24.ch/fr/maison/acheter/canton-appenzell-re" TargetMode="External"/><Relationship Id="rId9035" Type="http://schemas.openxmlformats.org/officeDocument/2006/relationships/hyperlink" Target="https://www.immoscout24.ch/fr/maison/acheter/canton-appenzell-re" TargetMode="External"/><Relationship Id="rId9034" Type="http://schemas.openxmlformats.org/officeDocument/2006/relationships/hyperlink" Target="https://www.immoscout24.ch/fr/appartement/louer/lieu-collombey" TargetMode="External"/><Relationship Id="rId9033" Type="http://schemas.openxmlformats.org/officeDocument/2006/relationships/hyperlink" Target="https://www.immoscout24.ch/fr/appartement/louer/lieu-collombey" TargetMode="External"/><Relationship Id="rId9039" Type="http://schemas.openxmlformats.org/officeDocument/2006/relationships/hyperlink" Target="https://www.immoscout24.ch/fr/maison/acheter/lieu-martigny" TargetMode="External"/><Relationship Id="rId9038" Type="http://schemas.openxmlformats.org/officeDocument/2006/relationships/hyperlink" Target="https://www.immoscout24.ch/fr/appartement/louer/lieu-granges-de-vesin" TargetMode="External"/><Relationship Id="rId9037" Type="http://schemas.openxmlformats.org/officeDocument/2006/relationships/hyperlink" Target="https://www.immoscout24.ch/fr/appartement/louer/lieu-granges-de-vesin" TargetMode="External"/><Relationship Id="rId9021" Type="http://schemas.openxmlformats.org/officeDocument/2006/relationships/hyperlink" Target="https://www.immoscout24.ch/fr/appartement/louer/lieu-cureglia" TargetMode="External"/><Relationship Id="rId9020" Type="http://schemas.openxmlformats.org/officeDocument/2006/relationships/hyperlink" Target="https://www.immoscout24.ch/fr/appartement/louer/lieu-raron" TargetMode="External"/><Relationship Id="rId9025" Type="http://schemas.openxmlformats.org/officeDocument/2006/relationships/hyperlink" Target="https://www.immoscout24.ch/fr/maison/acheter/lieu-perrefitte" TargetMode="External"/><Relationship Id="rId9024" Type="http://schemas.openxmlformats.org/officeDocument/2006/relationships/hyperlink" Target="https://www.immoscout24.ch/fr/appartement/louer/quartier-cite-centre-geneve" TargetMode="External"/><Relationship Id="rId9023" Type="http://schemas.openxmlformats.org/officeDocument/2006/relationships/hyperlink" Target="https://www.immoscout24.ch/fr/appartement/louer/quartier-cite-centre-geneve" TargetMode="External"/><Relationship Id="rId9022" Type="http://schemas.openxmlformats.org/officeDocument/2006/relationships/hyperlink" Target="https://www.immoscout24.ch/fr/appartement/louer/lieu-cureglia" TargetMode="External"/><Relationship Id="rId9029" Type="http://schemas.openxmlformats.org/officeDocument/2006/relationships/hyperlink" Target="https://www.immoscout24.ch/fr/maison/acheter/lieu-grono" TargetMode="External"/><Relationship Id="rId9028" Type="http://schemas.openxmlformats.org/officeDocument/2006/relationships/hyperlink" Target="https://www.immoscout24.ch/fr/maison/louer/lieu-aadorf" TargetMode="External"/><Relationship Id="rId9027" Type="http://schemas.openxmlformats.org/officeDocument/2006/relationships/hyperlink" Target="https://www.immoscout24.ch/fr/maison/louer/lieu-aadorf" TargetMode="External"/><Relationship Id="rId9026" Type="http://schemas.openxmlformats.org/officeDocument/2006/relationships/hyperlink" Target="https://www.immoscout24.ch/fr/maison/acheter/lieu-perrefitte" TargetMode="External"/><Relationship Id="rId9098" Type="http://schemas.openxmlformats.org/officeDocument/2006/relationships/hyperlink" Target="https://www.immoscout24.ch/fr/maison/acheter/lieu-aristau" TargetMode="External"/><Relationship Id="rId9097" Type="http://schemas.openxmlformats.org/officeDocument/2006/relationships/hyperlink" Target="https://www.immoscout24.ch/fr/maison/acheter/lieu-aristau" TargetMode="External"/><Relationship Id="rId9096" Type="http://schemas.openxmlformats.org/officeDocument/2006/relationships/hyperlink" Target="https://www.immoscout24.ch/fr/appartement/louer/lieu-champery" TargetMode="External"/><Relationship Id="rId9095" Type="http://schemas.openxmlformats.org/officeDocument/2006/relationships/hyperlink" Target="https://www.immoscout24.ch/fr/appartement/louer/lieu-champery" TargetMode="External"/><Relationship Id="rId9099" Type="http://schemas.openxmlformats.org/officeDocument/2006/relationships/hyperlink" Target="https://www.immoscout24.ch/fr/maison/louer/lieu-bruson" TargetMode="External"/><Relationship Id="rId9090" Type="http://schemas.openxmlformats.org/officeDocument/2006/relationships/hyperlink" Target="https://www.immoscout24.ch/fr/maison/acheter/lieu-bremblens" TargetMode="External"/><Relationship Id="rId9094" Type="http://schemas.openxmlformats.org/officeDocument/2006/relationships/hyperlink" Target="https://www.immoscout24.ch/fr/maison/acheter/lieu-ramlinsburg" TargetMode="External"/><Relationship Id="rId9093" Type="http://schemas.openxmlformats.org/officeDocument/2006/relationships/hyperlink" Target="https://www.immoscout24.ch/fr/maison/acheter/lieu-ramlinsburg" TargetMode="External"/><Relationship Id="rId9092" Type="http://schemas.openxmlformats.org/officeDocument/2006/relationships/hyperlink" Target="https://www.immoscout24.ch/fr/appartement/acheter/lieu-semsales" TargetMode="External"/><Relationship Id="rId9091" Type="http://schemas.openxmlformats.org/officeDocument/2006/relationships/hyperlink" Target="https://www.immoscout24.ch/fr/appartement/acheter/lieu-semsales" TargetMode="External"/><Relationship Id="rId9087" Type="http://schemas.openxmlformats.org/officeDocument/2006/relationships/hyperlink" Target="https://www.immoscout24.ch/fr/appartement/acheter/quartier-breitenrain-berne" TargetMode="External"/><Relationship Id="rId9086" Type="http://schemas.openxmlformats.org/officeDocument/2006/relationships/hyperlink" Target="https://www.immoscout24.ch/fr/appartement/louer/lieu-burgdorf" TargetMode="External"/><Relationship Id="rId9085" Type="http://schemas.openxmlformats.org/officeDocument/2006/relationships/hyperlink" Target="https://www.immoscout24.ch/fr/appartement/louer/lieu-burgdorf" TargetMode="External"/><Relationship Id="rId9084" Type="http://schemas.openxmlformats.org/officeDocument/2006/relationships/hyperlink" Target="https://www.immoscout24.ch/fr/appartement/acheter/quartier-draizes-vauseyon-neuchatel" TargetMode="External"/><Relationship Id="rId9089" Type="http://schemas.openxmlformats.org/officeDocument/2006/relationships/hyperlink" Target="https://www.immoscout24.ch/fr/maison/acheter/lieu-bremblens" TargetMode="External"/><Relationship Id="rId9088" Type="http://schemas.openxmlformats.org/officeDocument/2006/relationships/hyperlink" Target="https://www.immoscout24.ch/fr/appartement/acheter/quartier-breitenrain-berne" TargetMode="External"/><Relationship Id="rId9113" Type="http://schemas.openxmlformats.org/officeDocument/2006/relationships/hyperlink" Target="https://www.immoscout24.ch/fr/maison/acheter/lieu-dompierre-fr" TargetMode="External"/><Relationship Id="rId9112" Type="http://schemas.openxmlformats.org/officeDocument/2006/relationships/hyperlink" Target="https://www.immoscout24.ch/fr/appartement/louer/quartier-neuveville-fribourg" TargetMode="External"/><Relationship Id="rId9111" Type="http://schemas.openxmlformats.org/officeDocument/2006/relationships/hyperlink" Target="https://www.immoscout24.ch/fr/appartement/louer/quartier-neuveville-fribourg" TargetMode="External"/><Relationship Id="rId9110" Type="http://schemas.openxmlformats.org/officeDocument/2006/relationships/hyperlink" Target="https://www.immoscout24.ch/fr/appartement/louer/lieu-muraz-sierre" TargetMode="External"/><Relationship Id="rId9117" Type="http://schemas.openxmlformats.org/officeDocument/2006/relationships/hyperlink" Target="https://www.immoscout24.ch/fr/appartement/louer/quartier-jura-fribourg" TargetMode="External"/><Relationship Id="rId9116" Type="http://schemas.openxmlformats.org/officeDocument/2006/relationships/hyperlink" Target="https://www.immoscout24.ch/fr/maison/acheter/lieu-autigny" TargetMode="External"/><Relationship Id="rId9115" Type="http://schemas.openxmlformats.org/officeDocument/2006/relationships/hyperlink" Target="https://www.immoscout24.ch/fr/maison/acheter/lieu-autigny" TargetMode="External"/><Relationship Id="rId9114" Type="http://schemas.openxmlformats.org/officeDocument/2006/relationships/hyperlink" Target="https://www.immoscout24.ch/fr/maison/acheter/lieu-dompierre-fr" TargetMode="External"/><Relationship Id="rId9119" Type="http://schemas.openxmlformats.org/officeDocument/2006/relationships/hyperlink" Target="https://www.immoscout24.ch/fr/appartement/louer/lieu-rueyres-les-pres" TargetMode="External"/><Relationship Id="rId9118" Type="http://schemas.openxmlformats.org/officeDocument/2006/relationships/hyperlink" Target="https://www.immoscout24.ch/fr/appartement/louer/quartier-jura-fribourg" TargetMode="External"/><Relationship Id="rId9102" Type="http://schemas.openxmlformats.org/officeDocument/2006/relationships/hyperlink" Target="https://www.immoscout24.ch/fr/appartement/acheter/lieu-lichtensteig" TargetMode="External"/><Relationship Id="rId9101" Type="http://schemas.openxmlformats.org/officeDocument/2006/relationships/hyperlink" Target="https://www.immoscout24.ch/fr/appartement/acheter/lieu-lichtensteig" TargetMode="External"/><Relationship Id="rId9100" Type="http://schemas.openxmlformats.org/officeDocument/2006/relationships/hyperlink" Target="https://www.immoscout24.ch/fr/maison/louer/lieu-bruson" TargetMode="External"/><Relationship Id="rId9106" Type="http://schemas.openxmlformats.org/officeDocument/2006/relationships/hyperlink" Target="https://www.immoscout24.ch/fr/maison/louer/lieu-cugy-vd" TargetMode="External"/><Relationship Id="rId9105" Type="http://schemas.openxmlformats.org/officeDocument/2006/relationships/hyperlink" Target="https://www.immoscout24.ch/fr/maison/louer/lieu-cugy-vd" TargetMode="External"/><Relationship Id="rId9104" Type="http://schemas.openxmlformats.org/officeDocument/2006/relationships/hyperlink" Target="https://www.immoscout24.ch/fr/maison/acheter/lieu-dotzigen" TargetMode="External"/><Relationship Id="rId9103" Type="http://schemas.openxmlformats.org/officeDocument/2006/relationships/hyperlink" Target="https://www.immoscout24.ch/fr/maison/acheter/lieu-dotzigen" TargetMode="External"/><Relationship Id="rId9109" Type="http://schemas.openxmlformats.org/officeDocument/2006/relationships/hyperlink" Target="https://www.immoscout24.ch/fr/appartement/louer/lieu-muraz-sierre" TargetMode="External"/><Relationship Id="rId9108" Type="http://schemas.openxmlformats.org/officeDocument/2006/relationships/hyperlink" Target="https://www.immoscout24.ch/fr/appartement/louer/lieu-amriswil" TargetMode="External"/><Relationship Id="rId9107" Type="http://schemas.openxmlformats.org/officeDocument/2006/relationships/hyperlink" Target="https://www.immoscout24.ch/fr/appartement/louer/lieu-amriswil" TargetMode="External"/><Relationship Id="rId9182" Type="http://schemas.openxmlformats.org/officeDocument/2006/relationships/hyperlink" Target="https://www.immoscout24.ch/fr/appartement/acheter/lieu-cham" TargetMode="External"/><Relationship Id="rId9181" Type="http://schemas.openxmlformats.org/officeDocument/2006/relationships/hyperlink" Target="https://www.immoscout24.ch/fr/appartement/acheter/lieu-cham" TargetMode="External"/><Relationship Id="rId9180" Type="http://schemas.openxmlformats.org/officeDocument/2006/relationships/hyperlink" Target="https://www.immoscout24.ch/fr/maison/acheter/region-limmattal" TargetMode="External"/><Relationship Id="rId9175" Type="http://schemas.openxmlformats.org/officeDocument/2006/relationships/hyperlink" Target="https://www.immoscout24.ch/fr/maison/louer/lieu-mont-soleil" TargetMode="External"/><Relationship Id="rId9174" Type="http://schemas.openxmlformats.org/officeDocument/2006/relationships/hyperlink" Target="https://www.immoscout24.ch/fr/maison/acheter/lieu-porza" TargetMode="External"/><Relationship Id="rId9173" Type="http://schemas.openxmlformats.org/officeDocument/2006/relationships/hyperlink" Target="https://www.immoscout24.ch/fr/maison/acheter/lieu-porza" TargetMode="External"/><Relationship Id="rId9172" Type="http://schemas.openxmlformats.org/officeDocument/2006/relationships/hyperlink" Target="https://www.immoscout24.ch/fr/appartement/louer/lieu-uttigen" TargetMode="External"/><Relationship Id="rId9179" Type="http://schemas.openxmlformats.org/officeDocument/2006/relationships/hyperlink" Target="https://www.immoscout24.ch/fr/maison/acheter/region-limmattal" TargetMode="External"/><Relationship Id="rId9178" Type="http://schemas.openxmlformats.org/officeDocument/2006/relationships/hyperlink" Target="https://www.immoscout24.ch/fr/maison/acheter/lieu-jeuss" TargetMode="External"/><Relationship Id="rId9177" Type="http://schemas.openxmlformats.org/officeDocument/2006/relationships/hyperlink" Target="https://www.immoscout24.ch/fr/maison/acheter/lieu-jeuss" TargetMode="External"/><Relationship Id="rId9176" Type="http://schemas.openxmlformats.org/officeDocument/2006/relationships/hyperlink" Target="https://www.immoscout24.ch/fr/maison/louer/lieu-mont-soleil" TargetMode="External"/><Relationship Id="rId9171" Type="http://schemas.openxmlformats.org/officeDocument/2006/relationships/hyperlink" Target="https://www.immoscout24.ch/fr/appartement/louer/lieu-uttigen" TargetMode="External"/><Relationship Id="rId9170" Type="http://schemas.openxmlformats.org/officeDocument/2006/relationships/hyperlink" Target="https://www.immoscout24.ch/fr/appartement/louer/lieu-brione-sopra-minusio" TargetMode="External"/><Relationship Id="rId9164" Type="http://schemas.openxmlformats.org/officeDocument/2006/relationships/hyperlink" Target="https://www.immoscout24.ch/fr/appartement/louer/lieu-carouge-ge" TargetMode="External"/><Relationship Id="rId9163" Type="http://schemas.openxmlformats.org/officeDocument/2006/relationships/hyperlink" Target="https://www.immoscout24.ch/fr/appartement/louer/lieu-carouge-ge" TargetMode="External"/><Relationship Id="rId9162" Type="http://schemas.openxmlformats.org/officeDocument/2006/relationships/hyperlink" Target="https://www.immoscout24.ch/fr/maison/acheter/region-bale-campagne-ouest" TargetMode="External"/><Relationship Id="rId9161" Type="http://schemas.openxmlformats.org/officeDocument/2006/relationships/hyperlink" Target="https://www.immoscout24.ch/fr/maison/acheter/region-bale-campagne-ouest" TargetMode="External"/><Relationship Id="rId9168" Type="http://schemas.openxmlformats.org/officeDocument/2006/relationships/hyperlink" Target="https://www.immoscout24.ch/fr/maison/louer/lieu-produit-leytron" TargetMode="External"/><Relationship Id="rId9167" Type="http://schemas.openxmlformats.org/officeDocument/2006/relationships/hyperlink" Target="https://www.immoscout24.ch/fr/maison/louer/lieu-produit-leytron" TargetMode="External"/><Relationship Id="rId9166" Type="http://schemas.openxmlformats.org/officeDocument/2006/relationships/hyperlink" Target="https://www.immoscout24.ch/fr/appartement/louer/lieu-glattbrugg" TargetMode="External"/><Relationship Id="rId9165" Type="http://schemas.openxmlformats.org/officeDocument/2006/relationships/hyperlink" Target="https://www.immoscout24.ch/fr/appartement/louer/lieu-glattbrugg" TargetMode="External"/><Relationship Id="rId9169" Type="http://schemas.openxmlformats.org/officeDocument/2006/relationships/hyperlink" Target="https://www.immoscout24.ch/fr/appartement/louer/lieu-brione-sopra-minusio" TargetMode="External"/><Relationship Id="rId9197" Type="http://schemas.openxmlformats.org/officeDocument/2006/relationships/hyperlink" Target="https://www.immoscout24.ch/fr/maison/acheter/lieu-savagnier" TargetMode="External"/><Relationship Id="rId9196" Type="http://schemas.openxmlformats.org/officeDocument/2006/relationships/hyperlink" Target="https://www.immoscout24.ch/fr/maison/acheter/lieu-flums" TargetMode="External"/><Relationship Id="rId9195" Type="http://schemas.openxmlformats.org/officeDocument/2006/relationships/hyperlink" Target="https://www.immoscout24.ch/fr/maison/acheter/lieu-flums" TargetMode="External"/><Relationship Id="rId9194" Type="http://schemas.openxmlformats.org/officeDocument/2006/relationships/hyperlink" Target="https://www.immoscout24.ch/fr/appartement/acheter/lieu-villargiroud" TargetMode="External"/><Relationship Id="rId9199" Type="http://schemas.openxmlformats.org/officeDocument/2006/relationships/hyperlink" Target="https://www.immoscout24.ch/fr/appartement/acheter/lieu-malters" TargetMode="External"/><Relationship Id="rId9198" Type="http://schemas.openxmlformats.org/officeDocument/2006/relationships/hyperlink" Target="https://www.immoscout24.ch/fr/maison/acheter/lieu-savagnier" TargetMode="External"/><Relationship Id="rId9193" Type="http://schemas.openxmlformats.org/officeDocument/2006/relationships/hyperlink" Target="https://www.immoscout24.ch/fr/appartement/acheter/lieu-villargiroud" TargetMode="External"/><Relationship Id="rId9192" Type="http://schemas.openxmlformats.org/officeDocument/2006/relationships/hyperlink" Target="https://www.immoscout24.ch/fr/appartement/louer/region-singine-sarine-lac" TargetMode="External"/><Relationship Id="rId9191" Type="http://schemas.openxmlformats.org/officeDocument/2006/relationships/hyperlink" Target="https://www.immoscout24.ch/fr/appartement/louer/region-singine-sarine-lac" TargetMode="External"/><Relationship Id="rId9190" Type="http://schemas.openxmlformats.org/officeDocument/2006/relationships/hyperlink" Target="https://www.immoscout24.ch/fr/maison/acheter/lieu-ayer" TargetMode="External"/><Relationship Id="rId9186" Type="http://schemas.openxmlformats.org/officeDocument/2006/relationships/hyperlink" Target="https://www.immoscout24.ch/fr/appartement/acheter/lieu-rechy" TargetMode="External"/><Relationship Id="rId9185" Type="http://schemas.openxmlformats.org/officeDocument/2006/relationships/hyperlink" Target="https://www.immoscout24.ch/fr/appartement/acheter/lieu-rechy" TargetMode="External"/><Relationship Id="rId9184" Type="http://schemas.openxmlformats.org/officeDocument/2006/relationships/hyperlink" Target="https://www.immoscout24.ch/fr/maison/acheter/lieu-belp" TargetMode="External"/><Relationship Id="rId9183" Type="http://schemas.openxmlformats.org/officeDocument/2006/relationships/hyperlink" Target="https://www.immoscout24.ch/fr/maison/acheter/lieu-belp" TargetMode="External"/><Relationship Id="rId9189" Type="http://schemas.openxmlformats.org/officeDocument/2006/relationships/hyperlink" Target="https://www.immoscout24.ch/fr/maison/acheter/lieu-ayer" TargetMode="External"/><Relationship Id="rId9188" Type="http://schemas.openxmlformats.org/officeDocument/2006/relationships/hyperlink" Target="https://www.immoscout24.ch/fr/maison/acheter/region-littoral-neuchatelois" TargetMode="External"/><Relationship Id="rId9187" Type="http://schemas.openxmlformats.org/officeDocument/2006/relationships/hyperlink" Target="https://www.immoscout24.ch/fr/maison/acheter/region-littoral-neuchatelois" TargetMode="External"/><Relationship Id="rId9131" Type="http://schemas.openxmlformats.org/officeDocument/2006/relationships/hyperlink" Target="https://www.immoscout24.ch/fr/appartement/louer/lieu-witterswil" TargetMode="External"/><Relationship Id="rId9130" Type="http://schemas.openxmlformats.org/officeDocument/2006/relationships/hyperlink" Target="https://www.immoscout24.ch/fr/maison/acheter/lieu-sigriswil" TargetMode="External"/><Relationship Id="rId9135" Type="http://schemas.openxmlformats.org/officeDocument/2006/relationships/hyperlink" Target="https://www.immoscout24.ch/fr/appartement/acheter/lieu-gruyeres" TargetMode="External"/><Relationship Id="rId9134" Type="http://schemas.openxmlformats.org/officeDocument/2006/relationships/hyperlink" Target="https://www.immoscout24.ch/fr/maison/acheter/lieu-enges" TargetMode="External"/><Relationship Id="rId9133" Type="http://schemas.openxmlformats.org/officeDocument/2006/relationships/hyperlink" Target="https://www.immoscout24.ch/fr/maison/acheter/lieu-enges" TargetMode="External"/><Relationship Id="rId9132" Type="http://schemas.openxmlformats.org/officeDocument/2006/relationships/hyperlink" Target="https://www.immoscout24.ch/fr/appartement/louer/lieu-witterswil" TargetMode="External"/><Relationship Id="rId9139" Type="http://schemas.openxmlformats.org/officeDocument/2006/relationships/hyperlink" Target="https://www.immoscout24.ch/fr/appartement/louer/lieu-chatel-sur-montsalvens" TargetMode="External"/><Relationship Id="rId9138" Type="http://schemas.openxmlformats.org/officeDocument/2006/relationships/hyperlink" Target="https://www.immoscout24.ch/fr/maison/louer/lieu-cornaux-ne" TargetMode="External"/><Relationship Id="rId9137" Type="http://schemas.openxmlformats.org/officeDocument/2006/relationships/hyperlink" Target="https://www.immoscout24.ch/fr/maison/louer/lieu-cornaux-ne" TargetMode="External"/><Relationship Id="rId9136" Type="http://schemas.openxmlformats.org/officeDocument/2006/relationships/hyperlink" Target="https://www.immoscout24.ch/fr/appartement/acheter/lieu-gruyeres" TargetMode="External"/><Relationship Id="rId9120" Type="http://schemas.openxmlformats.org/officeDocument/2006/relationships/hyperlink" Target="https://www.immoscout24.ch/fr/appartement/louer/lieu-rueyres-les-pres" TargetMode="External"/><Relationship Id="rId9124" Type="http://schemas.openxmlformats.org/officeDocument/2006/relationships/hyperlink" Target="https://www.immoscout24.ch/fr/maison/acheter/lieu-rosshaeusern" TargetMode="External"/><Relationship Id="rId9123" Type="http://schemas.openxmlformats.org/officeDocument/2006/relationships/hyperlink" Target="https://www.immoscout24.ch/fr/maison/acheter/lieu-rosshaeusern" TargetMode="External"/><Relationship Id="rId9122" Type="http://schemas.openxmlformats.org/officeDocument/2006/relationships/hyperlink" Target="https://www.immoscout24.ch/fr/appartement/louer/quartier-sauvabelin-lausanne" TargetMode="External"/><Relationship Id="rId9121" Type="http://schemas.openxmlformats.org/officeDocument/2006/relationships/hyperlink" Target="https://www.immoscout24.ch/fr/appartement/louer/quartier-sauvabelin-lausanne" TargetMode="External"/><Relationship Id="rId9128" Type="http://schemas.openxmlformats.org/officeDocument/2006/relationships/hyperlink" Target="https://www.immoscout24.ch/fr/appartement/acheter/lieu-poliez-le-grand" TargetMode="External"/><Relationship Id="rId9127" Type="http://schemas.openxmlformats.org/officeDocument/2006/relationships/hyperlink" Target="https://www.immoscout24.ch/fr/appartement/acheter/lieu-poliez-le-grand" TargetMode="External"/><Relationship Id="rId9126" Type="http://schemas.openxmlformats.org/officeDocument/2006/relationships/hyperlink" Target="https://www.immoscout24.ch/fr/maison/louer/lieu-wettingen" TargetMode="External"/><Relationship Id="rId9125" Type="http://schemas.openxmlformats.org/officeDocument/2006/relationships/hyperlink" Target="https://www.immoscout24.ch/fr/maison/louer/lieu-wettingen" TargetMode="External"/><Relationship Id="rId9129" Type="http://schemas.openxmlformats.org/officeDocument/2006/relationships/hyperlink" Target="https://www.immoscout24.ch/fr/maison/acheter/lieu-sigriswil" TargetMode="External"/><Relationship Id="rId9160" Type="http://schemas.openxmlformats.org/officeDocument/2006/relationships/hyperlink" Target="https://www.immoscout24.ch/fr/appartement/louer/lieu-chatillon-ju" TargetMode="External"/><Relationship Id="rId9153" Type="http://schemas.openxmlformats.org/officeDocument/2006/relationships/hyperlink" Target="https://www.immoscout24.ch/fr/maison/acheter/lieu-les-collons" TargetMode="External"/><Relationship Id="rId9152" Type="http://schemas.openxmlformats.org/officeDocument/2006/relationships/hyperlink" Target="https://www.immoscout24.ch/fr/appartement/louer/lieu-boniswil" TargetMode="External"/><Relationship Id="rId9151" Type="http://schemas.openxmlformats.org/officeDocument/2006/relationships/hyperlink" Target="https://www.immoscout24.ch/fr/appartement/louer/lieu-boniswil" TargetMode="External"/><Relationship Id="rId9150" Type="http://schemas.openxmlformats.org/officeDocument/2006/relationships/hyperlink" Target="https://www.immoscout24.ch/fr/maison/acheter/lieu-villarimboud" TargetMode="External"/><Relationship Id="rId9157" Type="http://schemas.openxmlformats.org/officeDocument/2006/relationships/hyperlink" Target="https://www.immoscout24.ch/fr/appartement/louer/lieu-autavaux" TargetMode="External"/><Relationship Id="rId9156" Type="http://schemas.openxmlformats.org/officeDocument/2006/relationships/hyperlink" Target="https://www.immoscout24.ch/fr/appartement/louer/lieu-zollikofen" TargetMode="External"/><Relationship Id="rId9155" Type="http://schemas.openxmlformats.org/officeDocument/2006/relationships/hyperlink" Target="https://www.immoscout24.ch/fr/appartement/louer/lieu-zollikofen" TargetMode="External"/><Relationship Id="rId9154" Type="http://schemas.openxmlformats.org/officeDocument/2006/relationships/hyperlink" Target="https://www.immoscout24.ch/fr/maison/acheter/lieu-les-collons" TargetMode="External"/><Relationship Id="rId9159" Type="http://schemas.openxmlformats.org/officeDocument/2006/relationships/hyperlink" Target="https://www.immoscout24.ch/fr/appartement/louer/lieu-chatillon-ju" TargetMode="External"/><Relationship Id="rId9158" Type="http://schemas.openxmlformats.org/officeDocument/2006/relationships/hyperlink" Target="https://www.immoscout24.ch/fr/appartement/louer/lieu-autavaux" TargetMode="External"/><Relationship Id="rId9142" Type="http://schemas.openxmlformats.org/officeDocument/2006/relationships/hyperlink" Target="https://www.immoscout24.ch/fr/appartement/louer/lieu-tiefencastel" TargetMode="External"/><Relationship Id="rId9141" Type="http://schemas.openxmlformats.org/officeDocument/2006/relationships/hyperlink" Target="https://www.immoscout24.ch/fr/appartement/louer/lieu-tiefencastel" TargetMode="External"/><Relationship Id="rId9140" Type="http://schemas.openxmlformats.org/officeDocument/2006/relationships/hyperlink" Target="https://www.immoscout24.ch/fr/appartement/louer/lieu-chatel-sur-montsalvens" TargetMode="External"/><Relationship Id="rId9146" Type="http://schemas.openxmlformats.org/officeDocument/2006/relationships/hyperlink" Target="https://www.immoscout24.ch/fr/appartement/louer/canton-schaffhouse" TargetMode="External"/><Relationship Id="rId9145" Type="http://schemas.openxmlformats.org/officeDocument/2006/relationships/hyperlink" Target="https://www.immoscout24.ch/fr/appartement/louer/canton-schaffhouse" TargetMode="External"/><Relationship Id="rId9144" Type="http://schemas.openxmlformats.org/officeDocument/2006/relationships/hyperlink" Target="https://www.immoscout24.ch/fr/maison/acheter/lieu-locarno" TargetMode="External"/><Relationship Id="rId9143" Type="http://schemas.openxmlformats.org/officeDocument/2006/relationships/hyperlink" Target="https://www.immoscout24.ch/fr/maison/acheter/lieu-locarno" TargetMode="External"/><Relationship Id="rId9149" Type="http://schemas.openxmlformats.org/officeDocument/2006/relationships/hyperlink" Target="https://www.immoscout24.ch/fr/maison/acheter/lieu-villarimboud" TargetMode="External"/><Relationship Id="rId9148" Type="http://schemas.openxmlformats.org/officeDocument/2006/relationships/hyperlink" Target="https://www.immoscout24.ch/fr/appartement/louer/lieu-zuchwil" TargetMode="External"/><Relationship Id="rId9147" Type="http://schemas.openxmlformats.org/officeDocument/2006/relationships/hyperlink" Target="https://www.immoscout24.ch/fr/appartement/louer/lieu-zuchwil" TargetMode="External"/><Relationship Id="rId1" Type="http://schemas.openxmlformats.org/officeDocument/2006/relationships/hyperlink" Target="https://www.immoscout24.ch/fr/maison/acheter/lieu-la-joux-fr" TargetMode="External"/><Relationship Id="rId2" Type="http://schemas.openxmlformats.org/officeDocument/2006/relationships/hyperlink" Target="https://www.immoscout24.ch/fr/maison/acheter/lieu-la-joux-fr" TargetMode="External"/><Relationship Id="rId3" Type="http://schemas.openxmlformats.org/officeDocument/2006/relationships/hyperlink" Target="https://www.immoscout24.ch/fr/appartement/acheter/lieu-dombresson" TargetMode="External"/><Relationship Id="rId4" Type="http://schemas.openxmlformats.org/officeDocument/2006/relationships/hyperlink" Target="https://www.immoscout24.ch/fr/appartement/acheter/lieu-dombresson" TargetMode="External"/><Relationship Id="rId9" Type="http://schemas.openxmlformats.org/officeDocument/2006/relationships/hyperlink" Target="https://www.immoscout24.ch/fr/appartement/acheter/lieu-unterseen" TargetMode="External"/><Relationship Id="rId5" Type="http://schemas.openxmlformats.org/officeDocument/2006/relationships/hyperlink" Target="https://www.immoscout24.ch/fr/maison/acheter/lieu-les-reussilles" TargetMode="External"/><Relationship Id="rId6" Type="http://schemas.openxmlformats.org/officeDocument/2006/relationships/hyperlink" Target="https://www.immoscout24.ch/fr/maison/acheter/lieu-les-reussilles" TargetMode="External"/><Relationship Id="rId7" Type="http://schemas.openxmlformats.org/officeDocument/2006/relationships/hyperlink" Target="https://www.immoscout24.ch/fr/appartement/acheter/lieu-tannay" TargetMode="External"/><Relationship Id="rId8" Type="http://schemas.openxmlformats.org/officeDocument/2006/relationships/hyperlink" Target="https://www.immoscout24.ch/fr/appartement/acheter/lieu-tannay" TargetMode="External"/><Relationship Id="rId12081" Type="http://schemas.openxmlformats.org/officeDocument/2006/relationships/hyperlink" Target="https://www.immoscout24.ch/fr/appartement/acheter/lieu-poschiavo" TargetMode="External"/><Relationship Id="rId12080" Type="http://schemas.openxmlformats.org/officeDocument/2006/relationships/hyperlink" Target="https://www.immoscout24.ch/fr/maison/louer/lieu-lechelles" TargetMode="External"/><Relationship Id="rId3911" Type="http://schemas.openxmlformats.org/officeDocument/2006/relationships/hyperlink" Target="https://www.immoscout24.ch/fr/appartement/louer/lieu-billens" TargetMode="External"/><Relationship Id="rId3910" Type="http://schemas.openxmlformats.org/officeDocument/2006/relationships/hyperlink" Target="https://www.immoscout24.ch/fr/appartement/louer/lieu-rue" TargetMode="External"/><Relationship Id="rId3913" Type="http://schemas.openxmlformats.org/officeDocument/2006/relationships/hyperlink" Target="https://www.immoscout24.ch/fr/appartement/louer/lieu-dorenaz" TargetMode="External"/><Relationship Id="rId12085" Type="http://schemas.openxmlformats.org/officeDocument/2006/relationships/hyperlink" Target="https://www.immoscout24.ch/fr/appartement/louer/lieu-versoix" TargetMode="External"/><Relationship Id="rId3912" Type="http://schemas.openxmlformats.org/officeDocument/2006/relationships/hyperlink" Target="https://www.immoscout24.ch/fr/appartement/louer/lieu-billens" TargetMode="External"/><Relationship Id="rId12084" Type="http://schemas.openxmlformats.org/officeDocument/2006/relationships/hyperlink" Target="https://www.immoscout24.ch/fr/appartement/louer/lieu-la-fouly-vs" TargetMode="External"/><Relationship Id="rId3915" Type="http://schemas.openxmlformats.org/officeDocument/2006/relationships/hyperlink" Target="https://www.immoscout24.ch/fr/appartement/louer/lieu-oberglatt-zh" TargetMode="External"/><Relationship Id="rId12083" Type="http://schemas.openxmlformats.org/officeDocument/2006/relationships/hyperlink" Target="https://www.immoscout24.ch/fr/appartement/louer/lieu-la-fouly-vs" TargetMode="External"/><Relationship Id="rId3914" Type="http://schemas.openxmlformats.org/officeDocument/2006/relationships/hyperlink" Target="https://www.immoscout24.ch/fr/appartement/louer/lieu-dorenaz" TargetMode="External"/><Relationship Id="rId12082" Type="http://schemas.openxmlformats.org/officeDocument/2006/relationships/hyperlink" Target="https://www.immoscout24.ch/fr/appartement/acheter/lieu-poschiavo" TargetMode="External"/><Relationship Id="rId3917" Type="http://schemas.openxmlformats.org/officeDocument/2006/relationships/hyperlink" Target="https://www.immoscout24.ch/fr/maison/louer/lieu-clarens" TargetMode="External"/><Relationship Id="rId3916" Type="http://schemas.openxmlformats.org/officeDocument/2006/relationships/hyperlink" Target="https://www.immoscout24.ch/fr/appartement/louer/lieu-oberglatt-zh" TargetMode="External"/><Relationship Id="rId3919" Type="http://schemas.openxmlformats.org/officeDocument/2006/relationships/hyperlink" Target="https://www.immoscout24.ch/fr/maison/acheter/lieu-belalp" TargetMode="External"/><Relationship Id="rId3918" Type="http://schemas.openxmlformats.org/officeDocument/2006/relationships/hyperlink" Target="https://www.immoscout24.ch/fr/maison/louer/lieu-clarens" TargetMode="External"/><Relationship Id="rId12078" Type="http://schemas.openxmlformats.org/officeDocument/2006/relationships/hyperlink" Target="https://www.immoscout24.ch/fr/maison/louer/lieu-le-mont-pelerin" TargetMode="External"/><Relationship Id="rId12077" Type="http://schemas.openxmlformats.org/officeDocument/2006/relationships/hyperlink" Target="https://www.immoscout24.ch/fr/maison/louer/lieu-le-mont-pelerin" TargetMode="External"/><Relationship Id="rId12076" Type="http://schemas.openxmlformats.org/officeDocument/2006/relationships/hyperlink" Target="https://www.immoscout24.ch/fr/maison/louer/lieu-salavaux" TargetMode="External"/><Relationship Id="rId12075" Type="http://schemas.openxmlformats.org/officeDocument/2006/relationships/hyperlink" Target="https://www.immoscout24.ch/fr/maison/louer/lieu-salavaux" TargetMode="External"/><Relationship Id="rId12079" Type="http://schemas.openxmlformats.org/officeDocument/2006/relationships/hyperlink" Target="https://www.immoscout24.ch/fr/maison/louer/lieu-lechelles" TargetMode="External"/><Relationship Id="rId12092" Type="http://schemas.openxmlformats.org/officeDocument/2006/relationships/hyperlink" Target="https://www.immoscout24.ch/fr/maison/acheter/lieu-berlingen" TargetMode="External"/><Relationship Id="rId12091" Type="http://schemas.openxmlformats.org/officeDocument/2006/relationships/hyperlink" Target="https://www.immoscout24.ch/fr/maison/acheter/lieu-berlingen" TargetMode="External"/><Relationship Id="rId3900" Type="http://schemas.openxmlformats.org/officeDocument/2006/relationships/hyperlink" Target="https://www.immoscout24.ch/fr/appartement/louer/lieu-les-bois" TargetMode="External"/><Relationship Id="rId12090" Type="http://schemas.openxmlformats.org/officeDocument/2006/relationships/hyperlink" Target="https://www.immoscout24.ch/fr/maison/louer/lieu-villaz-st-pierre" TargetMode="External"/><Relationship Id="rId3902" Type="http://schemas.openxmlformats.org/officeDocument/2006/relationships/hyperlink" Target="https://www.immoscout24.ch/fr/appartement/louer/lieu-oberwil-lieli" TargetMode="External"/><Relationship Id="rId12096" Type="http://schemas.openxmlformats.org/officeDocument/2006/relationships/hyperlink" Target="https://www.immoscout24.ch/fr/appartement/acheter/quartier-schonberg-fribourg" TargetMode="External"/><Relationship Id="rId3901" Type="http://schemas.openxmlformats.org/officeDocument/2006/relationships/hyperlink" Target="https://www.immoscout24.ch/fr/appartement/louer/lieu-oberwil-lieli" TargetMode="External"/><Relationship Id="rId12095" Type="http://schemas.openxmlformats.org/officeDocument/2006/relationships/hyperlink" Target="https://www.immoscout24.ch/fr/appartement/acheter/quartier-schonberg-fribourg" TargetMode="External"/><Relationship Id="rId3904" Type="http://schemas.openxmlformats.org/officeDocument/2006/relationships/hyperlink" Target="https://www.immoscout24.ch/fr/maison/louer/lieu-chigny" TargetMode="External"/><Relationship Id="rId12094" Type="http://schemas.openxmlformats.org/officeDocument/2006/relationships/hyperlink" Target="https://www.immoscout24.ch/fr/maison/acheter/lieu-grandvillard" TargetMode="External"/><Relationship Id="rId3903" Type="http://schemas.openxmlformats.org/officeDocument/2006/relationships/hyperlink" Target="https://www.immoscout24.ch/fr/maison/louer/lieu-chigny" TargetMode="External"/><Relationship Id="rId12093" Type="http://schemas.openxmlformats.org/officeDocument/2006/relationships/hyperlink" Target="https://www.immoscout24.ch/fr/maison/acheter/lieu-grandvillard" TargetMode="External"/><Relationship Id="rId3906" Type="http://schemas.openxmlformats.org/officeDocument/2006/relationships/hyperlink" Target="https://www.immoscout24.ch/fr/maison/acheter/lieu-kirchdorf-be" TargetMode="External"/><Relationship Id="rId3905" Type="http://schemas.openxmlformats.org/officeDocument/2006/relationships/hyperlink" Target="https://www.immoscout24.ch/fr/maison/acheter/lieu-kirchdorf-be" TargetMode="External"/><Relationship Id="rId3908" Type="http://schemas.openxmlformats.org/officeDocument/2006/relationships/hyperlink" Target="https://www.immoscout24.ch/fr/appartement/louer/lieu-welschenrohr" TargetMode="External"/><Relationship Id="rId3907" Type="http://schemas.openxmlformats.org/officeDocument/2006/relationships/hyperlink" Target="https://www.immoscout24.ch/fr/appartement/louer/lieu-welschenrohr" TargetMode="External"/><Relationship Id="rId3909" Type="http://schemas.openxmlformats.org/officeDocument/2006/relationships/hyperlink" Target="https://www.immoscout24.ch/fr/appartement/louer/lieu-rue" TargetMode="External"/><Relationship Id="rId12089" Type="http://schemas.openxmlformats.org/officeDocument/2006/relationships/hyperlink" Target="https://www.immoscout24.ch/fr/maison/louer/lieu-villaz-st-pierre" TargetMode="External"/><Relationship Id="rId12088" Type="http://schemas.openxmlformats.org/officeDocument/2006/relationships/hyperlink" Target="https://www.immoscout24.ch/fr/maison/acheter/region-rive-droite" TargetMode="External"/><Relationship Id="rId12087" Type="http://schemas.openxmlformats.org/officeDocument/2006/relationships/hyperlink" Target="https://www.immoscout24.ch/fr/maison/acheter/region-rive-droite" TargetMode="External"/><Relationship Id="rId12086" Type="http://schemas.openxmlformats.org/officeDocument/2006/relationships/hyperlink" Target="https://www.immoscout24.ch/fr/appartement/louer/lieu-versoix" TargetMode="External"/><Relationship Id="rId3931" Type="http://schemas.openxmlformats.org/officeDocument/2006/relationships/hyperlink" Target="https://www.immoscout24.ch/fr/maison/acheter/lieu-peney-le-jorat" TargetMode="External"/><Relationship Id="rId2600" Type="http://schemas.openxmlformats.org/officeDocument/2006/relationships/hyperlink" Target="https://www.immoscout24.ch/fr/appartement/louer/lieu-goldach" TargetMode="External"/><Relationship Id="rId3930" Type="http://schemas.openxmlformats.org/officeDocument/2006/relationships/hyperlink" Target="https://www.immoscout24.ch/fr/appartement/acheter/quartier-charriere-la-chaux-de-fonds" TargetMode="External"/><Relationship Id="rId2601" Type="http://schemas.openxmlformats.org/officeDocument/2006/relationships/hyperlink" Target="https://www.immoscout24.ch/fr/maison/acheter/lieu-vaduz" TargetMode="External"/><Relationship Id="rId3933" Type="http://schemas.openxmlformats.org/officeDocument/2006/relationships/hyperlink" Target="https://www.immoscout24.ch/fr/maison/acheter/region-bale-campagne-est" TargetMode="External"/><Relationship Id="rId2602" Type="http://schemas.openxmlformats.org/officeDocument/2006/relationships/hyperlink" Target="https://www.immoscout24.ch/fr/maison/acheter/lieu-vaduz" TargetMode="External"/><Relationship Id="rId3932" Type="http://schemas.openxmlformats.org/officeDocument/2006/relationships/hyperlink" Target="https://www.immoscout24.ch/fr/maison/acheter/lieu-peney-le-jorat" TargetMode="External"/><Relationship Id="rId2603" Type="http://schemas.openxmlformats.org/officeDocument/2006/relationships/hyperlink" Target="https://www.immoscout24.ch/fr/maison/acheter/lieu-campello" TargetMode="External"/><Relationship Id="rId3935" Type="http://schemas.openxmlformats.org/officeDocument/2006/relationships/hyperlink" Target="https://www.immoscout24.ch/fr/appartement/louer/lieu-seedorf-be" TargetMode="External"/><Relationship Id="rId12063" Type="http://schemas.openxmlformats.org/officeDocument/2006/relationships/hyperlink" Target="https://www.immoscout24.ch/fr/appartement/louer/quartier-lerchenfeld-thun" TargetMode="External"/><Relationship Id="rId2604" Type="http://schemas.openxmlformats.org/officeDocument/2006/relationships/hyperlink" Target="https://www.immoscout24.ch/fr/maison/acheter/lieu-campello" TargetMode="External"/><Relationship Id="rId3934" Type="http://schemas.openxmlformats.org/officeDocument/2006/relationships/hyperlink" Target="https://www.immoscout24.ch/fr/maison/acheter/region-bale-campagne-est" TargetMode="External"/><Relationship Id="rId12062" Type="http://schemas.openxmlformats.org/officeDocument/2006/relationships/hyperlink" Target="https://www.immoscout24.ch/fr/appartement/acheter/lieu-auvernier" TargetMode="External"/><Relationship Id="rId2605" Type="http://schemas.openxmlformats.org/officeDocument/2006/relationships/hyperlink" Target="https://www.immoscout24.ch/fr/maison/acheter/lieu-rona" TargetMode="External"/><Relationship Id="rId3937" Type="http://schemas.openxmlformats.org/officeDocument/2006/relationships/hyperlink" Target="https://www.immoscout24.ch/fr/maison/louer/lieu-moleson-sur-gruyeres" TargetMode="External"/><Relationship Id="rId12061" Type="http://schemas.openxmlformats.org/officeDocument/2006/relationships/hyperlink" Target="https://www.immoscout24.ch/fr/appartement/acheter/lieu-auvernier" TargetMode="External"/><Relationship Id="rId2606" Type="http://schemas.openxmlformats.org/officeDocument/2006/relationships/hyperlink" Target="https://www.immoscout24.ch/fr/maison/acheter/lieu-rona" TargetMode="External"/><Relationship Id="rId3936" Type="http://schemas.openxmlformats.org/officeDocument/2006/relationships/hyperlink" Target="https://www.immoscout24.ch/fr/appartement/louer/lieu-seedorf-be" TargetMode="External"/><Relationship Id="rId12060" Type="http://schemas.openxmlformats.org/officeDocument/2006/relationships/hyperlink" Target="https://www.immoscout24.ch/fr/maison/acheter/region-soleure" TargetMode="External"/><Relationship Id="rId2607" Type="http://schemas.openxmlformats.org/officeDocument/2006/relationships/hyperlink" Target="https://www.immoscout24.ch/fr/maison/acheter/lieu-vaugondry" TargetMode="External"/><Relationship Id="rId3939" Type="http://schemas.openxmlformats.org/officeDocument/2006/relationships/hyperlink" Target="https://www.immoscout24.ch/fr/maison/acheter/pays-finlande" TargetMode="External"/><Relationship Id="rId2608" Type="http://schemas.openxmlformats.org/officeDocument/2006/relationships/hyperlink" Target="https://www.immoscout24.ch/fr/maison/acheter/lieu-vaugondry" TargetMode="External"/><Relationship Id="rId3938" Type="http://schemas.openxmlformats.org/officeDocument/2006/relationships/hyperlink" Target="https://www.immoscout24.ch/fr/maison/louer/lieu-moleson-sur-gruyeres" TargetMode="External"/><Relationship Id="rId2609" Type="http://schemas.openxmlformats.org/officeDocument/2006/relationships/hyperlink" Target="https://www.immoscout24.ch/fr/appartement/louer/lieu-cheserex" TargetMode="External"/><Relationship Id="rId12056" Type="http://schemas.openxmlformats.org/officeDocument/2006/relationships/hyperlink" Target="https://www.immoscout24.ch/fr/maison/acheter/lieu-domdidier" TargetMode="External"/><Relationship Id="rId12055" Type="http://schemas.openxmlformats.org/officeDocument/2006/relationships/hyperlink" Target="https://www.immoscout24.ch/fr/maison/acheter/lieu-domdidier" TargetMode="External"/><Relationship Id="rId12054" Type="http://schemas.openxmlformats.org/officeDocument/2006/relationships/hyperlink" Target="https://www.immoscout24.ch/fr/maison/acheter/lieu-grellingen" TargetMode="External"/><Relationship Id="rId12053" Type="http://schemas.openxmlformats.org/officeDocument/2006/relationships/hyperlink" Target="https://www.immoscout24.ch/fr/maison/acheter/lieu-grellingen" TargetMode="External"/><Relationship Id="rId12059" Type="http://schemas.openxmlformats.org/officeDocument/2006/relationships/hyperlink" Target="https://www.immoscout24.ch/fr/maison/acheter/region-soleure" TargetMode="External"/><Relationship Id="rId12058" Type="http://schemas.openxmlformats.org/officeDocument/2006/relationships/hyperlink" Target="https://www.immoscout24.ch/fr/maison/louer/canton-appenzell-re" TargetMode="External"/><Relationship Id="rId12057" Type="http://schemas.openxmlformats.org/officeDocument/2006/relationships/hyperlink" Target="https://www.immoscout24.ch/fr/maison/louer/canton-appenzell-re" TargetMode="External"/><Relationship Id="rId3920" Type="http://schemas.openxmlformats.org/officeDocument/2006/relationships/hyperlink" Target="https://www.immoscout24.ch/fr/maison/acheter/lieu-belalp" TargetMode="External"/><Relationship Id="rId12070" Type="http://schemas.openxmlformats.org/officeDocument/2006/relationships/hyperlink" Target="https://www.immoscout24.ch/fr/appartement/louer/lieu-gerra-gambarogno" TargetMode="External"/><Relationship Id="rId3922" Type="http://schemas.openxmlformats.org/officeDocument/2006/relationships/hyperlink" Target="https://www.immoscout24.ch/fr/maison/acheter/lieu-immensee" TargetMode="External"/><Relationship Id="rId3921" Type="http://schemas.openxmlformats.org/officeDocument/2006/relationships/hyperlink" Target="https://www.immoscout24.ch/fr/maison/acheter/lieu-immensee" TargetMode="External"/><Relationship Id="rId3924" Type="http://schemas.openxmlformats.org/officeDocument/2006/relationships/hyperlink" Target="https://www.immoscout24.ch/fr/appartement/louer/lieu-thielle" TargetMode="External"/><Relationship Id="rId12074" Type="http://schemas.openxmlformats.org/officeDocument/2006/relationships/hyperlink" Target="https://www.immoscout24.ch/fr/maison/acheter/lieu-thierrens" TargetMode="External"/><Relationship Id="rId3923" Type="http://schemas.openxmlformats.org/officeDocument/2006/relationships/hyperlink" Target="https://www.immoscout24.ch/fr/appartement/louer/lieu-thielle" TargetMode="External"/><Relationship Id="rId12073" Type="http://schemas.openxmlformats.org/officeDocument/2006/relationships/hyperlink" Target="https://www.immoscout24.ch/fr/maison/acheter/lieu-thierrens" TargetMode="External"/><Relationship Id="rId3926" Type="http://schemas.openxmlformats.org/officeDocument/2006/relationships/hyperlink" Target="https://www.immoscout24.ch/fr/maison/acheter/lieu-molinazzo-di-monteggio" TargetMode="External"/><Relationship Id="rId12072" Type="http://schemas.openxmlformats.org/officeDocument/2006/relationships/hyperlink" Target="https://www.immoscout24.ch/fr/maison/acheter/lieu-la-praz" TargetMode="External"/><Relationship Id="rId3925" Type="http://schemas.openxmlformats.org/officeDocument/2006/relationships/hyperlink" Target="https://www.immoscout24.ch/fr/maison/acheter/lieu-molinazzo-di-monteggio" TargetMode="External"/><Relationship Id="rId12071" Type="http://schemas.openxmlformats.org/officeDocument/2006/relationships/hyperlink" Target="https://www.immoscout24.ch/fr/maison/acheter/lieu-la-praz" TargetMode="External"/><Relationship Id="rId3928" Type="http://schemas.openxmlformats.org/officeDocument/2006/relationships/hyperlink" Target="https://www.immoscout24.ch/fr/maison/acheter/lieu-cournillens" TargetMode="External"/><Relationship Id="rId3927" Type="http://schemas.openxmlformats.org/officeDocument/2006/relationships/hyperlink" Target="https://www.immoscout24.ch/fr/maison/acheter/lieu-cournillens" TargetMode="External"/><Relationship Id="rId3929" Type="http://schemas.openxmlformats.org/officeDocument/2006/relationships/hyperlink" Target="https://www.immoscout24.ch/fr/appartement/acheter/quartier-charriere-la-chaux-de-fonds" TargetMode="External"/><Relationship Id="rId12067" Type="http://schemas.openxmlformats.org/officeDocument/2006/relationships/hyperlink" Target="https://www.immoscout24.ch/fr/appartement/louer/lieu-st-livres" TargetMode="External"/><Relationship Id="rId12066" Type="http://schemas.openxmlformats.org/officeDocument/2006/relationships/hyperlink" Target="https://www.immoscout24.ch/fr/appartement/louer/lieu-vicques" TargetMode="External"/><Relationship Id="rId12065" Type="http://schemas.openxmlformats.org/officeDocument/2006/relationships/hyperlink" Target="https://www.immoscout24.ch/fr/appartement/louer/lieu-vicques" TargetMode="External"/><Relationship Id="rId12064" Type="http://schemas.openxmlformats.org/officeDocument/2006/relationships/hyperlink" Target="https://www.immoscout24.ch/fr/appartement/louer/quartier-lerchenfeld-thun" TargetMode="External"/><Relationship Id="rId12069" Type="http://schemas.openxmlformats.org/officeDocument/2006/relationships/hyperlink" Target="https://www.immoscout24.ch/fr/appartement/louer/lieu-gerra-gambarogno" TargetMode="External"/><Relationship Id="rId12068" Type="http://schemas.openxmlformats.org/officeDocument/2006/relationships/hyperlink" Target="https://www.immoscout24.ch/fr/appartement/louer/lieu-st-livres" TargetMode="External"/><Relationship Id="rId12099" Type="http://schemas.openxmlformats.org/officeDocument/2006/relationships/hyperlink" Target="https://www.immoscout24.ch/fr/maison/acheter/lieu-sion" TargetMode="External"/><Relationship Id="rId12098" Type="http://schemas.openxmlformats.org/officeDocument/2006/relationships/hyperlink" Target="https://www.immoscout24.ch/fr/appartement/louer/lieu-saas-im-praettigau" TargetMode="External"/><Relationship Id="rId12097" Type="http://schemas.openxmlformats.org/officeDocument/2006/relationships/hyperlink" Target="https://www.immoscout24.ch/fr/appartement/louer/lieu-saas-im-praettigau" TargetMode="External"/><Relationship Id="rId1334" Type="http://schemas.openxmlformats.org/officeDocument/2006/relationships/hyperlink" Target="https://www.immoscout24.ch/fr/maison/acheter/lieu-trelex" TargetMode="External"/><Relationship Id="rId2665" Type="http://schemas.openxmlformats.org/officeDocument/2006/relationships/hyperlink" Target="https://www.immoscout24.ch/fr/appartement/louer/lieu-avenches" TargetMode="External"/><Relationship Id="rId3997" Type="http://schemas.openxmlformats.org/officeDocument/2006/relationships/hyperlink" Target="https://www.immoscout24.ch/fr/appartement/acheter/lieu-estavayer-le-lac" TargetMode="External"/><Relationship Id="rId1335" Type="http://schemas.openxmlformats.org/officeDocument/2006/relationships/hyperlink" Target="https://www.immoscout24.ch/fr/maison/louer/lieu-romont-fr" TargetMode="External"/><Relationship Id="rId2666" Type="http://schemas.openxmlformats.org/officeDocument/2006/relationships/hyperlink" Target="https://www.immoscout24.ch/fr/appartement/louer/lieu-avenches" TargetMode="External"/><Relationship Id="rId3996" Type="http://schemas.openxmlformats.org/officeDocument/2006/relationships/hyperlink" Target="https://www.immoscout24.ch/fr/maison/acheter/lieu-fribourg" TargetMode="External"/><Relationship Id="rId1336" Type="http://schemas.openxmlformats.org/officeDocument/2006/relationships/hyperlink" Target="https://www.immoscout24.ch/fr/maison/louer/lieu-romont-fr" TargetMode="External"/><Relationship Id="rId2667" Type="http://schemas.openxmlformats.org/officeDocument/2006/relationships/hyperlink" Target="https://www.immoscout24.ch/fr/appartement/louer/lieu-buetschwil" TargetMode="External"/><Relationship Id="rId3999" Type="http://schemas.openxmlformats.org/officeDocument/2006/relationships/hyperlink" Target="https://www.immoscout24.ch/fr/maison/louer/lieu-diesse" TargetMode="External"/><Relationship Id="rId1337" Type="http://schemas.openxmlformats.org/officeDocument/2006/relationships/hyperlink" Target="https://www.immoscout24.ch/fr/appartement/louer/lieu-uznach" TargetMode="External"/><Relationship Id="rId2668" Type="http://schemas.openxmlformats.org/officeDocument/2006/relationships/hyperlink" Target="https://www.immoscout24.ch/fr/appartement/louer/lieu-buetschwil" TargetMode="External"/><Relationship Id="rId3998" Type="http://schemas.openxmlformats.org/officeDocument/2006/relationships/hyperlink" Target="https://www.immoscout24.ch/fr/appartement/acheter/lieu-estavayer-le-lac" TargetMode="External"/><Relationship Id="rId1338" Type="http://schemas.openxmlformats.org/officeDocument/2006/relationships/hyperlink" Target="https://www.immoscout24.ch/fr/appartement/louer/lieu-uznach" TargetMode="External"/><Relationship Id="rId2669" Type="http://schemas.openxmlformats.org/officeDocument/2006/relationships/hyperlink" Target="https://www.immoscout24.ch/fr/maison/louer/region-bellinzone" TargetMode="External"/><Relationship Id="rId1339" Type="http://schemas.openxmlformats.org/officeDocument/2006/relationships/hyperlink" Target="https://www.immoscout24.ch/fr/maison/acheter/region-oberland-est" TargetMode="External"/><Relationship Id="rId12119" Type="http://schemas.openxmlformats.org/officeDocument/2006/relationships/hyperlink" Target="https://www.immoscout24.ch/fr/maison/louer/lieu-vuarrens" TargetMode="External"/><Relationship Id="rId12118" Type="http://schemas.openxmlformats.org/officeDocument/2006/relationships/hyperlink" Target="https://www.immoscout24.ch/fr/maison/acheter/pays-afghanistan" TargetMode="External"/><Relationship Id="rId12117" Type="http://schemas.openxmlformats.org/officeDocument/2006/relationships/hyperlink" Target="https://www.immoscout24.ch/fr/maison/acheter/pays-afghanistan" TargetMode="External"/><Relationship Id="rId12116" Type="http://schemas.openxmlformats.org/officeDocument/2006/relationships/hyperlink" Target="https://www.immoscout24.ch/fr/maison/acheter/lieu-la-forclaz-vs" TargetMode="External"/><Relationship Id="rId12111" Type="http://schemas.openxmlformats.org/officeDocument/2006/relationships/hyperlink" Target="https://www.immoscout24.ch/fr/appartement/louer/lieu-st-moritz" TargetMode="External"/><Relationship Id="rId12110" Type="http://schemas.openxmlformats.org/officeDocument/2006/relationships/hyperlink" Target="https://www.immoscout24.ch/fr/appartement/louer/lieu-dietikon" TargetMode="External"/><Relationship Id="rId3991" Type="http://schemas.openxmlformats.org/officeDocument/2006/relationships/hyperlink" Target="https://www.immoscout24.ch/fr/maison/acheter/lieu-gordola" TargetMode="External"/><Relationship Id="rId2660" Type="http://schemas.openxmlformats.org/officeDocument/2006/relationships/hyperlink" Target="https://www.immoscout24.ch/fr/maison/acheter/lieu-avegno" TargetMode="External"/><Relationship Id="rId3990" Type="http://schemas.openxmlformats.org/officeDocument/2006/relationships/hyperlink" Target="https://www.immoscout24.ch/fr/appartement/louer/lieu-suberg" TargetMode="External"/><Relationship Id="rId1330" Type="http://schemas.openxmlformats.org/officeDocument/2006/relationships/hyperlink" Target="https://www.immoscout24.ch/fr/maison/louer/lieu-lenk-im-simmental" TargetMode="External"/><Relationship Id="rId2661" Type="http://schemas.openxmlformats.org/officeDocument/2006/relationships/hyperlink" Target="https://www.immoscout24.ch/fr/appartement/louer/lieu-provence" TargetMode="External"/><Relationship Id="rId3993" Type="http://schemas.openxmlformats.org/officeDocument/2006/relationships/hyperlink" Target="https://www.immoscout24.ch/fr/appartement/louer/lieu-scheuren" TargetMode="External"/><Relationship Id="rId12115" Type="http://schemas.openxmlformats.org/officeDocument/2006/relationships/hyperlink" Target="https://www.immoscout24.ch/fr/maison/acheter/lieu-la-forclaz-vs" TargetMode="External"/><Relationship Id="rId1331" Type="http://schemas.openxmlformats.org/officeDocument/2006/relationships/hyperlink" Target="https://www.immoscout24.ch/fr/maison/louer/lieu-concise" TargetMode="External"/><Relationship Id="rId2662" Type="http://schemas.openxmlformats.org/officeDocument/2006/relationships/hyperlink" Target="https://www.immoscout24.ch/fr/appartement/louer/lieu-provence" TargetMode="External"/><Relationship Id="rId3992" Type="http://schemas.openxmlformats.org/officeDocument/2006/relationships/hyperlink" Target="https://www.immoscout24.ch/fr/maison/acheter/lieu-gordola" TargetMode="External"/><Relationship Id="rId12114" Type="http://schemas.openxmlformats.org/officeDocument/2006/relationships/hyperlink" Target="https://www.immoscout24.ch/fr/maison/louer/lieu-cottens-fr" TargetMode="External"/><Relationship Id="rId1332" Type="http://schemas.openxmlformats.org/officeDocument/2006/relationships/hyperlink" Target="https://www.immoscout24.ch/fr/maison/louer/lieu-concise" TargetMode="External"/><Relationship Id="rId2663" Type="http://schemas.openxmlformats.org/officeDocument/2006/relationships/hyperlink" Target="https://www.immoscout24.ch/fr/maison/louer/quartier-stgeorgen-st-gall" TargetMode="External"/><Relationship Id="rId3995" Type="http://schemas.openxmlformats.org/officeDocument/2006/relationships/hyperlink" Target="https://www.immoscout24.ch/fr/maison/acheter/lieu-fribourg" TargetMode="External"/><Relationship Id="rId12113" Type="http://schemas.openxmlformats.org/officeDocument/2006/relationships/hyperlink" Target="https://www.immoscout24.ch/fr/maison/louer/lieu-cottens-fr" TargetMode="External"/><Relationship Id="rId1333" Type="http://schemas.openxmlformats.org/officeDocument/2006/relationships/hyperlink" Target="https://www.immoscout24.ch/fr/maison/acheter/lieu-trelex" TargetMode="External"/><Relationship Id="rId2664" Type="http://schemas.openxmlformats.org/officeDocument/2006/relationships/hyperlink" Target="https://www.immoscout24.ch/fr/maison/louer/quartier-stgeorgen-st-gall" TargetMode="External"/><Relationship Id="rId3994" Type="http://schemas.openxmlformats.org/officeDocument/2006/relationships/hyperlink" Target="https://www.immoscout24.ch/fr/appartement/louer/lieu-scheuren" TargetMode="External"/><Relationship Id="rId12112" Type="http://schemas.openxmlformats.org/officeDocument/2006/relationships/hyperlink" Target="https://www.immoscout24.ch/fr/appartement/louer/lieu-st-moritz" TargetMode="External"/><Relationship Id="rId1323" Type="http://schemas.openxmlformats.org/officeDocument/2006/relationships/hyperlink" Target="https://www.immoscout24.ch/fr/appartement/louer/lieu-sirnach" TargetMode="External"/><Relationship Id="rId2654" Type="http://schemas.openxmlformats.org/officeDocument/2006/relationships/hyperlink" Target="https://www.immoscout24.ch/fr/maison/acheter/lieu-jouxtens-mezery" TargetMode="External"/><Relationship Id="rId3986" Type="http://schemas.openxmlformats.org/officeDocument/2006/relationships/hyperlink" Target="https://www.immoscout24.ch/fr/appartement/louer/lieu-saignelegier" TargetMode="External"/><Relationship Id="rId1324" Type="http://schemas.openxmlformats.org/officeDocument/2006/relationships/hyperlink" Target="https://www.immoscout24.ch/fr/appartement/louer/lieu-sirnach" TargetMode="External"/><Relationship Id="rId2655" Type="http://schemas.openxmlformats.org/officeDocument/2006/relationships/hyperlink" Target="https://www.immoscout24.ch/fr/maison/acheter/region-lausanne-et-environs" TargetMode="External"/><Relationship Id="rId3985" Type="http://schemas.openxmlformats.org/officeDocument/2006/relationships/hyperlink" Target="https://www.immoscout24.ch/fr/appartement/louer/lieu-saignelegier" TargetMode="External"/><Relationship Id="rId1325" Type="http://schemas.openxmlformats.org/officeDocument/2006/relationships/hyperlink" Target="https://www.immoscout24.ch/fr/appartement/louer/lieu-kallnach" TargetMode="External"/><Relationship Id="rId2656" Type="http://schemas.openxmlformats.org/officeDocument/2006/relationships/hyperlink" Target="https://www.immoscout24.ch/fr/maison/acheter/region-lausanne-et-environs" TargetMode="External"/><Relationship Id="rId3988" Type="http://schemas.openxmlformats.org/officeDocument/2006/relationships/hyperlink" Target="https://www.immoscout24.ch/fr/appartement/louer/lieu-prangins" TargetMode="External"/><Relationship Id="rId1326" Type="http://schemas.openxmlformats.org/officeDocument/2006/relationships/hyperlink" Target="https://www.immoscout24.ch/fr/appartement/louer/lieu-kallnach" TargetMode="External"/><Relationship Id="rId2657" Type="http://schemas.openxmlformats.org/officeDocument/2006/relationships/hyperlink" Target="https://www.immoscout24.ch/fr/appartement/acheter/lieu-portalban" TargetMode="External"/><Relationship Id="rId3987" Type="http://schemas.openxmlformats.org/officeDocument/2006/relationships/hyperlink" Target="https://www.immoscout24.ch/fr/appartement/louer/lieu-prangins" TargetMode="External"/><Relationship Id="rId1327" Type="http://schemas.openxmlformats.org/officeDocument/2006/relationships/hyperlink" Target="https://www.immoscout24.ch/fr/appartement/louer/lieu-coldrerio" TargetMode="External"/><Relationship Id="rId2658" Type="http://schemas.openxmlformats.org/officeDocument/2006/relationships/hyperlink" Target="https://www.immoscout24.ch/fr/appartement/acheter/lieu-portalban" TargetMode="External"/><Relationship Id="rId1328" Type="http://schemas.openxmlformats.org/officeDocument/2006/relationships/hyperlink" Target="https://www.immoscout24.ch/fr/appartement/louer/lieu-coldrerio" TargetMode="External"/><Relationship Id="rId2659" Type="http://schemas.openxmlformats.org/officeDocument/2006/relationships/hyperlink" Target="https://www.immoscout24.ch/fr/maison/acheter/lieu-avegno" TargetMode="External"/><Relationship Id="rId3989" Type="http://schemas.openxmlformats.org/officeDocument/2006/relationships/hyperlink" Target="https://www.immoscout24.ch/fr/appartement/louer/lieu-suberg" TargetMode="External"/><Relationship Id="rId1329" Type="http://schemas.openxmlformats.org/officeDocument/2006/relationships/hyperlink" Target="https://www.immoscout24.ch/fr/maison/louer/lieu-lenk-im-simmental" TargetMode="External"/><Relationship Id="rId12129" Type="http://schemas.openxmlformats.org/officeDocument/2006/relationships/hyperlink" Target="https://www.immoscout24.ch/fr/maison/acheter/lieu-ligornetto" TargetMode="External"/><Relationship Id="rId12128" Type="http://schemas.openxmlformats.org/officeDocument/2006/relationships/hyperlink" Target="https://www.immoscout24.ch/fr/appartement/acheter/lieu-birmensdorf-zh" TargetMode="External"/><Relationship Id="rId12127" Type="http://schemas.openxmlformats.org/officeDocument/2006/relationships/hyperlink" Target="https://www.immoscout24.ch/fr/appartement/acheter/lieu-birmensdorf-zh" TargetMode="External"/><Relationship Id="rId12122" Type="http://schemas.openxmlformats.org/officeDocument/2006/relationships/hyperlink" Target="https://www.immoscout24.ch/fr/appartement/acheter/lieu-pringy" TargetMode="External"/><Relationship Id="rId12121" Type="http://schemas.openxmlformats.org/officeDocument/2006/relationships/hyperlink" Target="https://www.immoscout24.ch/fr/appartement/acheter/lieu-pringy" TargetMode="External"/><Relationship Id="rId3980" Type="http://schemas.openxmlformats.org/officeDocument/2006/relationships/hyperlink" Target="https://www.immoscout24.ch/fr/appartement/louer/lieu-les-monts-de-pully" TargetMode="External"/><Relationship Id="rId12120" Type="http://schemas.openxmlformats.org/officeDocument/2006/relationships/hyperlink" Target="https://www.immoscout24.ch/fr/maison/louer/lieu-vuarrens" TargetMode="External"/><Relationship Id="rId2650" Type="http://schemas.openxmlformats.org/officeDocument/2006/relationships/hyperlink" Target="https://www.immoscout24.ch/fr/maison/acheter/lieu-buseno" TargetMode="External"/><Relationship Id="rId3982" Type="http://schemas.openxmlformats.org/officeDocument/2006/relationships/hyperlink" Target="https://www.immoscout24.ch/fr/maison/acheter/lieu-ependes-fr" TargetMode="External"/><Relationship Id="rId12126" Type="http://schemas.openxmlformats.org/officeDocument/2006/relationships/hyperlink" Target="https://www.immoscout24.ch/fr/maison/acheter/lieu-aesch-bl" TargetMode="External"/><Relationship Id="rId1320" Type="http://schemas.openxmlformats.org/officeDocument/2006/relationships/hyperlink" Target="https://www.immoscout24.ch/fr/appartement/louer/lieu-rougemont" TargetMode="External"/><Relationship Id="rId2651" Type="http://schemas.openxmlformats.org/officeDocument/2006/relationships/hyperlink" Target="https://www.immoscout24.ch/fr/appartement/louer/lieu-agiez" TargetMode="External"/><Relationship Id="rId3981" Type="http://schemas.openxmlformats.org/officeDocument/2006/relationships/hyperlink" Target="https://www.immoscout24.ch/fr/maison/acheter/lieu-ependes-fr" TargetMode="External"/><Relationship Id="rId12125" Type="http://schemas.openxmlformats.org/officeDocument/2006/relationships/hyperlink" Target="https://www.immoscout24.ch/fr/maison/acheter/lieu-aesch-bl" TargetMode="External"/><Relationship Id="rId1321" Type="http://schemas.openxmlformats.org/officeDocument/2006/relationships/hyperlink" Target="https://www.immoscout24.ch/fr/appartement/louer/lieu-rochefort" TargetMode="External"/><Relationship Id="rId2652" Type="http://schemas.openxmlformats.org/officeDocument/2006/relationships/hyperlink" Target="https://www.immoscout24.ch/fr/appartement/louer/lieu-agiez" TargetMode="External"/><Relationship Id="rId3984" Type="http://schemas.openxmlformats.org/officeDocument/2006/relationships/hyperlink" Target="https://www.immoscout24.ch/fr/appartement/louer/lieu-kuessnacht-am-rigi" TargetMode="External"/><Relationship Id="rId12124" Type="http://schemas.openxmlformats.org/officeDocument/2006/relationships/hyperlink" Target="https://www.immoscout24.ch/fr/appartement/louer/lieu-avully" TargetMode="External"/><Relationship Id="rId1322" Type="http://schemas.openxmlformats.org/officeDocument/2006/relationships/hyperlink" Target="https://www.immoscout24.ch/fr/appartement/louer/lieu-rochefort" TargetMode="External"/><Relationship Id="rId2653" Type="http://schemas.openxmlformats.org/officeDocument/2006/relationships/hyperlink" Target="https://www.immoscout24.ch/fr/maison/acheter/lieu-jouxtens-mezery" TargetMode="External"/><Relationship Id="rId3983" Type="http://schemas.openxmlformats.org/officeDocument/2006/relationships/hyperlink" Target="https://www.immoscout24.ch/fr/appartement/louer/lieu-kuessnacht-am-rigi" TargetMode="External"/><Relationship Id="rId12123" Type="http://schemas.openxmlformats.org/officeDocument/2006/relationships/hyperlink" Target="https://www.immoscout24.ch/fr/appartement/louer/lieu-avully" TargetMode="External"/><Relationship Id="rId1356" Type="http://schemas.openxmlformats.org/officeDocument/2006/relationships/hyperlink" Target="https://www.immoscout24.ch/fr/appartement/acheter/lieu-wangen-b-duebendorf" TargetMode="External"/><Relationship Id="rId2687" Type="http://schemas.openxmlformats.org/officeDocument/2006/relationships/hyperlink" Target="https://www.immoscout24.ch/fr/maison/acheter/lieu-caviano" TargetMode="External"/><Relationship Id="rId1357" Type="http://schemas.openxmlformats.org/officeDocument/2006/relationships/hyperlink" Target="https://www.immoscout24.ch/fr/appartement/acheter/lieu-les-brenets" TargetMode="External"/><Relationship Id="rId2688" Type="http://schemas.openxmlformats.org/officeDocument/2006/relationships/hyperlink" Target="https://www.immoscout24.ch/fr/maison/acheter/lieu-caviano" TargetMode="External"/><Relationship Id="rId1358" Type="http://schemas.openxmlformats.org/officeDocument/2006/relationships/hyperlink" Target="https://www.immoscout24.ch/fr/appartement/acheter/lieu-les-brenets" TargetMode="External"/><Relationship Id="rId2689" Type="http://schemas.openxmlformats.org/officeDocument/2006/relationships/hyperlink" Target="https://www.immoscout24.ch/fr/appartement/louer/lieu-herrenschwanden" TargetMode="External"/><Relationship Id="rId1359" Type="http://schemas.openxmlformats.org/officeDocument/2006/relationships/hyperlink" Target="https://www.immoscout24.ch/fr/appartement/louer/pays-belgique" TargetMode="External"/><Relationship Id="rId2680" Type="http://schemas.openxmlformats.org/officeDocument/2006/relationships/hyperlink" Target="https://www.immoscout24.ch/fr/appartement/acheter/pays-liechtenstein" TargetMode="External"/><Relationship Id="rId1350" Type="http://schemas.openxmlformats.org/officeDocument/2006/relationships/hyperlink" Target="https://www.immoscout24.ch/fr/appartement/acheter/lieu-st-gingolph" TargetMode="External"/><Relationship Id="rId2681" Type="http://schemas.openxmlformats.org/officeDocument/2006/relationships/hyperlink" Target="https://www.immoscout24.ch/fr/appartement/louer/lieu-kiental" TargetMode="External"/><Relationship Id="rId1351" Type="http://schemas.openxmlformats.org/officeDocument/2006/relationships/hyperlink" Target="https://www.immoscout24.ch/fr/maison/acheter/lieu-murist" TargetMode="External"/><Relationship Id="rId2682" Type="http://schemas.openxmlformats.org/officeDocument/2006/relationships/hyperlink" Target="https://www.immoscout24.ch/fr/appartement/louer/lieu-kiental" TargetMode="External"/><Relationship Id="rId1352" Type="http://schemas.openxmlformats.org/officeDocument/2006/relationships/hyperlink" Target="https://www.immoscout24.ch/fr/maison/acheter/lieu-murist" TargetMode="External"/><Relationship Id="rId2683" Type="http://schemas.openxmlformats.org/officeDocument/2006/relationships/hyperlink" Target="https://www.immoscout24.ch/fr/appartement/louer/quartier-eplatures-cret-du-locle-la-chaux-de-fonds" TargetMode="External"/><Relationship Id="rId1353" Type="http://schemas.openxmlformats.org/officeDocument/2006/relationships/hyperlink" Target="https://www.immoscout24.ch/fr/appartement/louer/lieu-lausen" TargetMode="External"/><Relationship Id="rId2684" Type="http://schemas.openxmlformats.org/officeDocument/2006/relationships/hyperlink" Target="https://www.immoscout24.ch/fr/appartement/louer/quartier-eplatures-cret-du-locle-la-chaux-de-fonds" TargetMode="External"/><Relationship Id="rId1354" Type="http://schemas.openxmlformats.org/officeDocument/2006/relationships/hyperlink" Target="https://www.immoscout24.ch/fr/appartement/louer/lieu-lausen" TargetMode="External"/><Relationship Id="rId2685" Type="http://schemas.openxmlformats.org/officeDocument/2006/relationships/hyperlink" Target="https://www.immoscout24.ch/fr/appartement/acheter/lieu-roggwil-be" TargetMode="External"/><Relationship Id="rId1355" Type="http://schemas.openxmlformats.org/officeDocument/2006/relationships/hyperlink" Target="https://www.immoscout24.ch/fr/appartement/acheter/lieu-wangen-b-duebendorf" TargetMode="External"/><Relationship Id="rId2686" Type="http://schemas.openxmlformats.org/officeDocument/2006/relationships/hyperlink" Target="https://www.immoscout24.ch/fr/appartement/acheter/lieu-roggwil-be" TargetMode="External"/><Relationship Id="rId1345" Type="http://schemas.openxmlformats.org/officeDocument/2006/relationships/hyperlink" Target="https://www.immoscout24.ch/fr/appartement/louer/lieu-granois-saviese" TargetMode="External"/><Relationship Id="rId2676" Type="http://schemas.openxmlformats.org/officeDocument/2006/relationships/hyperlink" Target="https://www.immoscout24.ch/fr/appartement/louer/quartier-cimadera-lugano" TargetMode="External"/><Relationship Id="rId1346" Type="http://schemas.openxmlformats.org/officeDocument/2006/relationships/hyperlink" Target="https://www.immoscout24.ch/fr/appartement/louer/lieu-granois-saviese" TargetMode="External"/><Relationship Id="rId2677" Type="http://schemas.openxmlformats.org/officeDocument/2006/relationships/hyperlink" Target="https://www.immoscout24.ch/fr/appartement/louer/lieu-rapperswil-sg" TargetMode="External"/><Relationship Id="rId1347" Type="http://schemas.openxmlformats.org/officeDocument/2006/relationships/hyperlink" Target="https://www.immoscout24.ch/fr/appartement/louer/lieu-vaumarcus" TargetMode="External"/><Relationship Id="rId2678" Type="http://schemas.openxmlformats.org/officeDocument/2006/relationships/hyperlink" Target="https://www.immoscout24.ch/fr/appartement/louer/lieu-rapperswil-sg" TargetMode="External"/><Relationship Id="rId1348" Type="http://schemas.openxmlformats.org/officeDocument/2006/relationships/hyperlink" Target="https://www.immoscout24.ch/fr/appartement/louer/lieu-vaumarcus" TargetMode="External"/><Relationship Id="rId2679" Type="http://schemas.openxmlformats.org/officeDocument/2006/relationships/hyperlink" Target="https://www.immoscout24.ch/fr/appartement/acheter/pays-liechtenstein" TargetMode="External"/><Relationship Id="rId1349" Type="http://schemas.openxmlformats.org/officeDocument/2006/relationships/hyperlink" Target="https://www.immoscout24.ch/fr/appartement/acheter/lieu-st-gingolph" TargetMode="External"/><Relationship Id="rId12108" Type="http://schemas.openxmlformats.org/officeDocument/2006/relationships/hyperlink" Target="https://www.immoscout24.ch/fr/appartement/acheter/region-mendrisiotto" TargetMode="External"/><Relationship Id="rId12107" Type="http://schemas.openxmlformats.org/officeDocument/2006/relationships/hyperlink" Target="https://www.immoscout24.ch/fr/appartement/acheter/region-mendrisiotto" TargetMode="External"/><Relationship Id="rId12106" Type="http://schemas.openxmlformats.org/officeDocument/2006/relationships/hyperlink" Target="https://www.immoscout24.ch/fr/appartement/louer/lieu-lachen-sz" TargetMode="External"/><Relationship Id="rId12105" Type="http://schemas.openxmlformats.org/officeDocument/2006/relationships/hyperlink" Target="https://www.immoscout24.ch/fr/appartement/louer/lieu-lachen-sz" TargetMode="External"/><Relationship Id="rId12109" Type="http://schemas.openxmlformats.org/officeDocument/2006/relationships/hyperlink" Target="https://www.immoscout24.ch/fr/appartement/louer/lieu-dietikon" TargetMode="External"/><Relationship Id="rId12100" Type="http://schemas.openxmlformats.org/officeDocument/2006/relationships/hyperlink" Target="https://www.immoscout24.ch/fr/maison/acheter/lieu-sion" TargetMode="External"/><Relationship Id="rId2670" Type="http://schemas.openxmlformats.org/officeDocument/2006/relationships/hyperlink" Target="https://www.immoscout24.ch/fr/maison/louer/region-bellinzone" TargetMode="External"/><Relationship Id="rId1340" Type="http://schemas.openxmlformats.org/officeDocument/2006/relationships/hyperlink" Target="https://www.immoscout24.ch/fr/maison/acheter/region-oberland-est" TargetMode="External"/><Relationship Id="rId2671" Type="http://schemas.openxmlformats.org/officeDocument/2006/relationships/hyperlink" Target="https://www.immoscout24.ch/fr/maison/acheter/lieu-vufflens-le-chateau" TargetMode="External"/><Relationship Id="rId1341" Type="http://schemas.openxmlformats.org/officeDocument/2006/relationships/hyperlink" Target="https://www.immoscout24.ch/fr/maison/louer/lieu-villarsel-le-gibloux" TargetMode="External"/><Relationship Id="rId2672" Type="http://schemas.openxmlformats.org/officeDocument/2006/relationships/hyperlink" Target="https://www.immoscout24.ch/fr/maison/acheter/lieu-vufflens-le-chateau" TargetMode="External"/><Relationship Id="rId12104" Type="http://schemas.openxmlformats.org/officeDocument/2006/relationships/hyperlink" Target="https://www.immoscout24.ch/fr/maison/acheter/lieu-schindellegi" TargetMode="External"/><Relationship Id="rId1342" Type="http://schemas.openxmlformats.org/officeDocument/2006/relationships/hyperlink" Target="https://www.immoscout24.ch/fr/maison/louer/lieu-villarsel-le-gibloux" TargetMode="External"/><Relationship Id="rId2673" Type="http://schemas.openxmlformats.org/officeDocument/2006/relationships/hyperlink" Target="https://www.immoscout24.ch/fr/appartement/louer/lieu-chessel" TargetMode="External"/><Relationship Id="rId12103" Type="http://schemas.openxmlformats.org/officeDocument/2006/relationships/hyperlink" Target="https://www.immoscout24.ch/fr/maison/acheter/lieu-schindellegi" TargetMode="External"/><Relationship Id="rId1343" Type="http://schemas.openxmlformats.org/officeDocument/2006/relationships/hyperlink" Target="https://www.immoscout24.ch/fr/appartement/louer/lieu-aesch-zh" TargetMode="External"/><Relationship Id="rId2674" Type="http://schemas.openxmlformats.org/officeDocument/2006/relationships/hyperlink" Target="https://www.immoscout24.ch/fr/appartement/louer/lieu-chessel" TargetMode="External"/><Relationship Id="rId12102" Type="http://schemas.openxmlformats.org/officeDocument/2006/relationships/hyperlink" Target="https://www.immoscout24.ch/fr/appartement/louer/lieu-les-ponts-de-martel" TargetMode="External"/><Relationship Id="rId1344" Type="http://schemas.openxmlformats.org/officeDocument/2006/relationships/hyperlink" Target="https://www.immoscout24.ch/fr/appartement/louer/lieu-aesch-zh" TargetMode="External"/><Relationship Id="rId2675" Type="http://schemas.openxmlformats.org/officeDocument/2006/relationships/hyperlink" Target="https://www.immoscout24.ch/fr/appartement/louer/quartier-cimadera-lugano" TargetMode="External"/><Relationship Id="rId12101" Type="http://schemas.openxmlformats.org/officeDocument/2006/relationships/hyperlink" Target="https://www.immoscout24.ch/fr/appartement/louer/lieu-les-ponts-de-martel" TargetMode="External"/><Relationship Id="rId2621" Type="http://schemas.openxmlformats.org/officeDocument/2006/relationships/hyperlink" Target="https://www.immoscout24.ch/fr/maison/acheter/lieu-bulle" TargetMode="External"/><Relationship Id="rId3953" Type="http://schemas.openxmlformats.org/officeDocument/2006/relationships/hyperlink" Target="https://www.immoscout24.ch/fr/appartement/acheter/lieu-matran" TargetMode="External"/><Relationship Id="rId2622" Type="http://schemas.openxmlformats.org/officeDocument/2006/relationships/hyperlink" Target="https://www.immoscout24.ch/fr/maison/acheter/lieu-bulle" TargetMode="External"/><Relationship Id="rId3952" Type="http://schemas.openxmlformats.org/officeDocument/2006/relationships/hyperlink" Target="https://www.immoscout24.ch/fr/appartement/louer/lieu-zuoz" TargetMode="External"/><Relationship Id="rId2623" Type="http://schemas.openxmlformats.org/officeDocument/2006/relationships/hyperlink" Target="https://www.immoscout24.ch/fr/maison/acheter/lieu-tannay" TargetMode="External"/><Relationship Id="rId3955" Type="http://schemas.openxmlformats.org/officeDocument/2006/relationships/hyperlink" Target="https://www.immoscout24.ch/fr/appartement/louer/pays-grece" TargetMode="External"/><Relationship Id="rId2624" Type="http://schemas.openxmlformats.org/officeDocument/2006/relationships/hyperlink" Target="https://www.immoscout24.ch/fr/maison/acheter/lieu-tannay" TargetMode="External"/><Relationship Id="rId3954" Type="http://schemas.openxmlformats.org/officeDocument/2006/relationships/hyperlink" Target="https://www.immoscout24.ch/fr/appartement/acheter/lieu-matran" TargetMode="External"/><Relationship Id="rId2625" Type="http://schemas.openxmlformats.org/officeDocument/2006/relationships/hyperlink" Target="https://www.immoscout24.ch/fr/maison/louer/lieu-bellelay" TargetMode="External"/><Relationship Id="rId3957" Type="http://schemas.openxmlformats.org/officeDocument/2006/relationships/hyperlink" Target="https://www.immoscout24.ch/fr/appartement/louer/lieu-ferpicloz" TargetMode="External"/><Relationship Id="rId12162" Type="http://schemas.openxmlformats.org/officeDocument/2006/relationships/hyperlink" Target="https://www.immoscout24.ch/fr/appartement/louer/quartier-centro-lugano" TargetMode="External"/><Relationship Id="rId2626" Type="http://schemas.openxmlformats.org/officeDocument/2006/relationships/hyperlink" Target="https://www.immoscout24.ch/fr/maison/louer/lieu-bellelay" TargetMode="External"/><Relationship Id="rId3956" Type="http://schemas.openxmlformats.org/officeDocument/2006/relationships/hyperlink" Target="https://www.immoscout24.ch/fr/appartement/louer/pays-grece" TargetMode="External"/><Relationship Id="rId12161" Type="http://schemas.openxmlformats.org/officeDocument/2006/relationships/hyperlink" Target="https://www.immoscout24.ch/fr/appartement/louer/quartier-centro-lugano" TargetMode="External"/><Relationship Id="rId2627" Type="http://schemas.openxmlformats.org/officeDocument/2006/relationships/hyperlink" Target="https://www.immoscout24.ch/fr/appartement/acheter/canton-berne" TargetMode="External"/><Relationship Id="rId3959" Type="http://schemas.openxmlformats.org/officeDocument/2006/relationships/hyperlink" Target="https://www.immoscout24.ch/fr/appartement/louer/lieu-lovens" TargetMode="External"/><Relationship Id="rId12160" Type="http://schemas.openxmlformats.org/officeDocument/2006/relationships/hyperlink" Target="https://www.immoscout24.ch/fr/appartement/louer/lieu-villars-le-grand" TargetMode="External"/><Relationship Id="rId2628" Type="http://schemas.openxmlformats.org/officeDocument/2006/relationships/hyperlink" Target="https://www.immoscout24.ch/fr/appartement/acheter/canton-berne" TargetMode="External"/><Relationship Id="rId3958" Type="http://schemas.openxmlformats.org/officeDocument/2006/relationships/hyperlink" Target="https://www.immoscout24.ch/fr/appartement/louer/lieu-ferpicloz" TargetMode="External"/><Relationship Id="rId2629" Type="http://schemas.openxmlformats.org/officeDocument/2006/relationships/hyperlink" Target="https://www.immoscout24.ch/fr/appartement/louer/lieu-l-abergement" TargetMode="External"/><Relationship Id="rId12155" Type="http://schemas.openxmlformats.org/officeDocument/2006/relationships/hyperlink" Target="https://www.immoscout24.ch/fr/maison/acheter/lieu-lussy-fr" TargetMode="External"/><Relationship Id="rId12154" Type="http://schemas.openxmlformats.org/officeDocument/2006/relationships/hyperlink" Target="https://www.immoscout24.ch/fr/maison/acheter/region-lac-de-constance" TargetMode="External"/><Relationship Id="rId12153" Type="http://schemas.openxmlformats.org/officeDocument/2006/relationships/hyperlink" Target="https://www.immoscout24.ch/fr/maison/acheter/region-lac-de-constance" TargetMode="External"/><Relationship Id="rId12152" Type="http://schemas.openxmlformats.org/officeDocument/2006/relationships/hyperlink" Target="https://www.immoscout24.ch/fr/appartement/louer/lieu-neuenhof" TargetMode="External"/><Relationship Id="rId12159" Type="http://schemas.openxmlformats.org/officeDocument/2006/relationships/hyperlink" Target="https://www.immoscout24.ch/fr/appartement/louer/lieu-villars-le-grand" TargetMode="External"/><Relationship Id="rId12158" Type="http://schemas.openxmlformats.org/officeDocument/2006/relationships/hyperlink" Target="https://www.immoscout24.ch/fr/maison/louer/lieu-ormone-saviese" TargetMode="External"/><Relationship Id="rId3951" Type="http://schemas.openxmlformats.org/officeDocument/2006/relationships/hyperlink" Target="https://www.immoscout24.ch/fr/appartement/louer/lieu-zuoz" TargetMode="External"/><Relationship Id="rId12157" Type="http://schemas.openxmlformats.org/officeDocument/2006/relationships/hyperlink" Target="https://www.immoscout24.ch/fr/maison/louer/lieu-ormone-saviese" TargetMode="External"/><Relationship Id="rId2620" Type="http://schemas.openxmlformats.org/officeDocument/2006/relationships/hyperlink" Target="https://www.immoscout24.ch/fr/appartement/acheter/lieu-cheseaux-sur-lausanne" TargetMode="External"/><Relationship Id="rId3950" Type="http://schemas.openxmlformats.org/officeDocument/2006/relationships/hyperlink" Target="https://www.immoscout24.ch/fr/maison/acheter/lieu-emmenbruecke" TargetMode="External"/><Relationship Id="rId12156" Type="http://schemas.openxmlformats.org/officeDocument/2006/relationships/hyperlink" Target="https://www.immoscout24.ch/fr/maison/acheter/lieu-lussy-fr" TargetMode="External"/><Relationship Id="rId2610" Type="http://schemas.openxmlformats.org/officeDocument/2006/relationships/hyperlink" Target="https://www.immoscout24.ch/fr/appartement/louer/lieu-cheserex" TargetMode="External"/><Relationship Id="rId3942" Type="http://schemas.openxmlformats.org/officeDocument/2006/relationships/hyperlink" Target="https://www.immoscout24.ch/fr/appartement/acheter/quartier-onu-rigot-geneve" TargetMode="External"/><Relationship Id="rId2611" Type="http://schemas.openxmlformats.org/officeDocument/2006/relationships/hyperlink" Target="https://www.immoscout24.ch/fr/appartement/louer/lieu-deitingen" TargetMode="External"/><Relationship Id="rId3941" Type="http://schemas.openxmlformats.org/officeDocument/2006/relationships/hyperlink" Target="https://www.immoscout24.ch/fr/appartement/acheter/quartier-onu-rigot-geneve" TargetMode="External"/><Relationship Id="rId2612" Type="http://schemas.openxmlformats.org/officeDocument/2006/relationships/hyperlink" Target="https://www.immoscout24.ch/fr/appartement/louer/lieu-deitingen" TargetMode="External"/><Relationship Id="rId3944" Type="http://schemas.openxmlformats.org/officeDocument/2006/relationships/hyperlink" Target="https://www.immoscout24.ch/fr/maison/acheter/lieu-rosswald" TargetMode="External"/><Relationship Id="rId2613" Type="http://schemas.openxmlformats.org/officeDocument/2006/relationships/hyperlink" Target="https://www.immoscout24.ch/fr/maison/acheter/lieu-st-niklaus-vs" TargetMode="External"/><Relationship Id="rId3943" Type="http://schemas.openxmlformats.org/officeDocument/2006/relationships/hyperlink" Target="https://www.immoscout24.ch/fr/maison/acheter/lieu-rosswald" TargetMode="External"/><Relationship Id="rId2614" Type="http://schemas.openxmlformats.org/officeDocument/2006/relationships/hyperlink" Target="https://www.immoscout24.ch/fr/maison/acheter/lieu-st-niklaus-vs" TargetMode="External"/><Relationship Id="rId3946" Type="http://schemas.openxmlformats.org/officeDocument/2006/relationships/hyperlink" Target="https://www.immoscout24.ch/fr/appartement/acheter/region-lavaux-vevey" TargetMode="External"/><Relationship Id="rId12173" Type="http://schemas.openxmlformats.org/officeDocument/2006/relationships/hyperlink" Target="https://www.immoscout24.ch/fr/appartement/acheter/lieu-les-diablerets" TargetMode="External"/><Relationship Id="rId2615" Type="http://schemas.openxmlformats.org/officeDocument/2006/relationships/hyperlink" Target="https://www.immoscout24.ch/fr/maison/louer/lieu-flamatt" TargetMode="External"/><Relationship Id="rId3945" Type="http://schemas.openxmlformats.org/officeDocument/2006/relationships/hyperlink" Target="https://www.immoscout24.ch/fr/appartement/acheter/region-lavaux-vevey" TargetMode="External"/><Relationship Id="rId12172" Type="http://schemas.openxmlformats.org/officeDocument/2006/relationships/hyperlink" Target="https://www.immoscout24.ch/fr/maison/acheter/lieu-brissago" TargetMode="External"/><Relationship Id="rId2616" Type="http://schemas.openxmlformats.org/officeDocument/2006/relationships/hyperlink" Target="https://www.immoscout24.ch/fr/maison/louer/lieu-flamatt" TargetMode="External"/><Relationship Id="rId3948" Type="http://schemas.openxmlformats.org/officeDocument/2006/relationships/hyperlink" Target="https://www.immoscout24.ch/fr/appartement/louer/lieu-zwingen" TargetMode="External"/><Relationship Id="rId12171" Type="http://schemas.openxmlformats.org/officeDocument/2006/relationships/hyperlink" Target="https://www.immoscout24.ch/fr/maison/acheter/lieu-brissago" TargetMode="External"/><Relationship Id="rId2617" Type="http://schemas.openxmlformats.org/officeDocument/2006/relationships/hyperlink" Target="https://www.immoscout24.ch/fr/appartement/acheter/lieu-veytaux" TargetMode="External"/><Relationship Id="rId3947" Type="http://schemas.openxmlformats.org/officeDocument/2006/relationships/hyperlink" Target="https://www.immoscout24.ch/fr/appartement/louer/lieu-zwingen" TargetMode="External"/><Relationship Id="rId12170" Type="http://schemas.openxmlformats.org/officeDocument/2006/relationships/hyperlink" Target="https://www.immoscout24.ch/fr/appartement/louer/quartier-champagne-biel-bienne" TargetMode="External"/><Relationship Id="rId2618" Type="http://schemas.openxmlformats.org/officeDocument/2006/relationships/hyperlink" Target="https://www.immoscout24.ch/fr/appartement/acheter/lieu-veytaux" TargetMode="External"/><Relationship Id="rId2619" Type="http://schemas.openxmlformats.org/officeDocument/2006/relationships/hyperlink" Target="https://www.immoscout24.ch/fr/appartement/acheter/lieu-cheseaux-sur-lausanne" TargetMode="External"/><Relationship Id="rId3949" Type="http://schemas.openxmlformats.org/officeDocument/2006/relationships/hyperlink" Target="https://www.immoscout24.ch/fr/maison/acheter/lieu-emmenbruecke" TargetMode="External"/><Relationship Id="rId12166" Type="http://schemas.openxmlformats.org/officeDocument/2006/relationships/hyperlink" Target="https://www.immoscout24.ch/fr/appartement/louer/lieu-lenk-im-simmental" TargetMode="External"/><Relationship Id="rId12165" Type="http://schemas.openxmlformats.org/officeDocument/2006/relationships/hyperlink" Target="https://www.immoscout24.ch/fr/appartement/louer/lieu-lenk-im-simmental" TargetMode="External"/><Relationship Id="rId12164" Type="http://schemas.openxmlformats.org/officeDocument/2006/relationships/hyperlink" Target="https://www.immoscout24.ch/fr/maison/acheter/lieu-lens" TargetMode="External"/><Relationship Id="rId12163" Type="http://schemas.openxmlformats.org/officeDocument/2006/relationships/hyperlink" Target="https://www.immoscout24.ch/fr/maison/acheter/lieu-lens" TargetMode="External"/><Relationship Id="rId12169" Type="http://schemas.openxmlformats.org/officeDocument/2006/relationships/hyperlink" Target="https://www.immoscout24.ch/fr/appartement/louer/quartier-champagne-biel-bienne" TargetMode="External"/><Relationship Id="rId3940" Type="http://schemas.openxmlformats.org/officeDocument/2006/relationships/hyperlink" Target="https://www.immoscout24.ch/fr/maison/acheter/pays-finlande" TargetMode="External"/><Relationship Id="rId12168" Type="http://schemas.openxmlformats.org/officeDocument/2006/relationships/hyperlink" Target="https://www.immoscout24.ch/fr/maison/louer/lieu-turin-salins" TargetMode="External"/><Relationship Id="rId12167" Type="http://schemas.openxmlformats.org/officeDocument/2006/relationships/hyperlink" Target="https://www.immoscout24.ch/fr/maison/louer/lieu-turin-salins" TargetMode="External"/><Relationship Id="rId1312" Type="http://schemas.openxmlformats.org/officeDocument/2006/relationships/hyperlink" Target="https://www.immoscout24.ch/fr/maison/louer/canton-vaud" TargetMode="External"/><Relationship Id="rId2643" Type="http://schemas.openxmlformats.org/officeDocument/2006/relationships/hyperlink" Target="https://www.immoscout24.ch/fr/appartement/acheter/lieu-niederoenz" TargetMode="External"/><Relationship Id="rId3975" Type="http://schemas.openxmlformats.org/officeDocument/2006/relationships/hyperlink" Target="https://www.immoscout24.ch/fr/maison/louer/lieu-mutrux" TargetMode="External"/><Relationship Id="rId1313" Type="http://schemas.openxmlformats.org/officeDocument/2006/relationships/hyperlink" Target="https://www.immoscout24.ch/fr/appartement/louer/lieu-eschert" TargetMode="External"/><Relationship Id="rId2644" Type="http://schemas.openxmlformats.org/officeDocument/2006/relationships/hyperlink" Target="https://www.immoscout24.ch/fr/appartement/acheter/lieu-niederoenz" TargetMode="External"/><Relationship Id="rId3974" Type="http://schemas.openxmlformats.org/officeDocument/2006/relationships/hyperlink" Target="https://www.immoscout24.ch/fr/appartement/louer/lieu-murten" TargetMode="External"/><Relationship Id="rId1314" Type="http://schemas.openxmlformats.org/officeDocument/2006/relationships/hyperlink" Target="https://www.immoscout24.ch/fr/appartement/louer/lieu-eschert" TargetMode="External"/><Relationship Id="rId2645" Type="http://schemas.openxmlformats.org/officeDocument/2006/relationships/hyperlink" Target="https://www.immoscout24.ch/fr/appartement/louer/region-gruyere-la-broye-lac-veveyse" TargetMode="External"/><Relationship Id="rId3977" Type="http://schemas.openxmlformats.org/officeDocument/2006/relationships/hyperlink" Target="https://www.immoscout24.ch/fr/appartement/louer/lieu-froideville" TargetMode="External"/><Relationship Id="rId1315" Type="http://schemas.openxmlformats.org/officeDocument/2006/relationships/hyperlink" Target="https://www.immoscout24.ch/fr/appartement/louer/quartier-murifeld-berne" TargetMode="External"/><Relationship Id="rId2646" Type="http://schemas.openxmlformats.org/officeDocument/2006/relationships/hyperlink" Target="https://www.immoscout24.ch/fr/appartement/louer/region-gruyere-la-broye-lac-veveyse" TargetMode="External"/><Relationship Id="rId3976" Type="http://schemas.openxmlformats.org/officeDocument/2006/relationships/hyperlink" Target="https://www.immoscout24.ch/fr/maison/louer/lieu-mutrux" TargetMode="External"/><Relationship Id="rId1316" Type="http://schemas.openxmlformats.org/officeDocument/2006/relationships/hyperlink" Target="https://www.immoscout24.ch/fr/appartement/louer/quartier-murifeld-berne" TargetMode="External"/><Relationship Id="rId2647" Type="http://schemas.openxmlformats.org/officeDocument/2006/relationships/hyperlink" Target="https://www.immoscout24.ch/fr/appartement/louer/lieu-bonaduz" TargetMode="External"/><Relationship Id="rId3979" Type="http://schemas.openxmlformats.org/officeDocument/2006/relationships/hyperlink" Target="https://www.immoscout24.ch/fr/appartement/louer/lieu-les-monts-de-pully" TargetMode="External"/><Relationship Id="rId12140" Type="http://schemas.openxmlformats.org/officeDocument/2006/relationships/hyperlink" Target="https://www.immoscout24.ch/fr/maison/louer/lieu-avry-sur-matran" TargetMode="External"/><Relationship Id="rId1317" Type="http://schemas.openxmlformats.org/officeDocument/2006/relationships/hyperlink" Target="https://www.immoscout24.ch/fr/maison/acheter/lieu-saas-fee" TargetMode="External"/><Relationship Id="rId2648" Type="http://schemas.openxmlformats.org/officeDocument/2006/relationships/hyperlink" Target="https://www.immoscout24.ch/fr/appartement/louer/lieu-bonaduz" TargetMode="External"/><Relationship Id="rId3978" Type="http://schemas.openxmlformats.org/officeDocument/2006/relationships/hyperlink" Target="https://www.immoscout24.ch/fr/appartement/louer/lieu-froideville" TargetMode="External"/><Relationship Id="rId1318" Type="http://schemas.openxmlformats.org/officeDocument/2006/relationships/hyperlink" Target="https://www.immoscout24.ch/fr/maison/acheter/lieu-saas-fee" TargetMode="External"/><Relationship Id="rId2649" Type="http://schemas.openxmlformats.org/officeDocument/2006/relationships/hyperlink" Target="https://www.immoscout24.ch/fr/maison/acheter/lieu-buseno" TargetMode="External"/><Relationship Id="rId1319" Type="http://schemas.openxmlformats.org/officeDocument/2006/relationships/hyperlink" Target="https://www.immoscout24.ch/fr/appartement/louer/lieu-rougemont" TargetMode="External"/><Relationship Id="rId12139" Type="http://schemas.openxmlformats.org/officeDocument/2006/relationships/hyperlink" Target="https://www.immoscout24.ch/fr/maison/louer/lieu-avry-sur-matran" TargetMode="External"/><Relationship Id="rId12138" Type="http://schemas.openxmlformats.org/officeDocument/2006/relationships/hyperlink" Target="https://www.immoscout24.ch/fr/appartement/louer/lieu-contra" TargetMode="External"/><Relationship Id="rId12133" Type="http://schemas.openxmlformats.org/officeDocument/2006/relationships/hyperlink" Target="https://www.immoscout24.ch/fr/maison/acheter/region-nidwald" TargetMode="External"/><Relationship Id="rId12132" Type="http://schemas.openxmlformats.org/officeDocument/2006/relationships/hyperlink" Target="https://www.immoscout24.ch/fr/appartement/louer/lieu-krattigen" TargetMode="External"/><Relationship Id="rId12131" Type="http://schemas.openxmlformats.org/officeDocument/2006/relationships/hyperlink" Target="https://www.immoscout24.ch/fr/appartement/louer/lieu-krattigen" TargetMode="External"/><Relationship Id="rId12130" Type="http://schemas.openxmlformats.org/officeDocument/2006/relationships/hyperlink" Target="https://www.immoscout24.ch/fr/maison/acheter/lieu-ligornetto" TargetMode="External"/><Relationship Id="rId3971" Type="http://schemas.openxmlformats.org/officeDocument/2006/relationships/hyperlink" Target="https://www.immoscout24.ch/fr/maison/louer/lieu-chernex" TargetMode="External"/><Relationship Id="rId12137" Type="http://schemas.openxmlformats.org/officeDocument/2006/relationships/hyperlink" Target="https://www.immoscout24.ch/fr/appartement/louer/lieu-contra" TargetMode="External"/><Relationship Id="rId2640" Type="http://schemas.openxmlformats.org/officeDocument/2006/relationships/hyperlink" Target="https://www.immoscout24.ch/fr/appartement/louer/lieu-le-chatelard-pres-romont" TargetMode="External"/><Relationship Id="rId3970" Type="http://schemas.openxmlformats.org/officeDocument/2006/relationships/hyperlink" Target="https://www.immoscout24.ch/fr/appartement/louer/lieu-guarda" TargetMode="External"/><Relationship Id="rId12136" Type="http://schemas.openxmlformats.org/officeDocument/2006/relationships/hyperlink" Target="https://www.immoscout24.ch/fr/maison/acheter/lieu-filet" TargetMode="External"/><Relationship Id="rId1310" Type="http://schemas.openxmlformats.org/officeDocument/2006/relationships/hyperlink" Target="https://www.immoscout24.ch/fr/maison/acheter/lieu-la-roche-fr" TargetMode="External"/><Relationship Id="rId2641" Type="http://schemas.openxmlformats.org/officeDocument/2006/relationships/hyperlink" Target="https://www.immoscout24.ch/fr/appartement/acheter/region-gruyere-la-broye-lac-veveyse" TargetMode="External"/><Relationship Id="rId3973" Type="http://schemas.openxmlformats.org/officeDocument/2006/relationships/hyperlink" Target="https://www.immoscout24.ch/fr/appartement/louer/lieu-murten" TargetMode="External"/><Relationship Id="rId12135" Type="http://schemas.openxmlformats.org/officeDocument/2006/relationships/hyperlink" Target="https://www.immoscout24.ch/fr/maison/acheter/lieu-filet" TargetMode="External"/><Relationship Id="rId1311" Type="http://schemas.openxmlformats.org/officeDocument/2006/relationships/hyperlink" Target="https://www.immoscout24.ch/fr/maison/louer/canton-vaud" TargetMode="External"/><Relationship Id="rId2642" Type="http://schemas.openxmlformats.org/officeDocument/2006/relationships/hyperlink" Target="https://www.immoscout24.ch/fr/appartement/acheter/region-gruyere-la-broye-lac-veveyse" TargetMode="External"/><Relationship Id="rId3972" Type="http://schemas.openxmlformats.org/officeDocument/2006/relationships/hyperlink" Target="https://www.immoscout24.ch/fr/maison/louer/lieu-chernex" TargetMode="External"/><Relationship Id="rId12134" Type="http://schemas.openxmlformats.org/officeDocument/2006/relationships/hyperlink" Target="https://www.immoscout24.ch/fr/maison/acheter/region-nidwald" TargetMode="External"/><Relationship Id="rId1301" Type="http://schemas.openxmlformats.org/officeDocument/2006/relationships/hyperlink" Target="https://www.immoscout24.ch/fr/maison/louer/quartier-monbijou-berne" TargetMode="External"/><Relationship Id="rId2632" Type="http://schemas.openxmlformats.org/officeDocument/2006/relationships/hyperlink" Target="https://www.immoscout24.ch/fr/appartement/acheter/lieu-froideville" TargetMode="External"/><Relationship Id="rId3964" Type="http://schemas.openxmlformats.org/officeDocument/2006/relationships/hyperlink" Target="https://www.immoscout24.ch/fr/appartement/louer/lieu-langendorf" TargetMode="External"/><Relationship Id="rId1302" Type="http://schemas.openxmlformats.org/officeDocument/2006/relationships/hyperlink" Target="https://www.immoscout24.ch/fr/maison/louer/quartier-monbijou-berne" TargetMode="External"/><Relationship Id="rId2633" Type="http://schemas.openxmlformats.org/officeDocument/2006/relationships/hyperlink" Target="https://www.immoscout24.ch/fr/maison/louer/lieu-penthaz" TargetMode="External"/><Relationship Id="rId3963" Type="http://schemas.openxmlformats.org/officeDocument/2006/relationships/hyperlink" Target="https://www.immoscout24.ch/fr/appartement/louer/lieu-langendorf" TargetMode="External"/><Relationship Id="rId1303" Type="http://schemas.openxmlformats.org/officeDocument/2006/relationships/hyperlink" Target="https://www.immoscout24.ch/fr/appartement/louer/lieu-lyssach" TargetMode="External"/><Relationship Id="rId2634" Type="http://schemas.openxmlformats.org/officeDocument/2006/relationships/hyperlink" Target="https://www.immoscout24.ch/fr/maison/louer/lieu-penthaz" TargetMode="External"/><Relationship Id="rId3966" Type="http://schemas.openxmlformats.org/officeDocument/2006/relationships/hyperlink" Target="https://www.immoscout24.ch/fr/appartement/louer/quartier-hochstrasse-schaffhouse" TargetMode="External"/><Relationship Id="rId1304" Type="http://schemas.openxmlformats.org/officeDocument/2006/relationships/hyperlink" Target="https://www.immoscout24.ch/fr/appartement/louer/lieu-lyssach" TargetMode="External"/><Relationship Id="rId2635" Type="http://schemas.openxmlformats.org/officeDocument/2006/relationships/hyperlink" Target="https://www.immoscout24.ch/fr/appartement/louer/quartier-kleinhueningen-bale" TargetMode="External"/><Relationship Id="rId3965" Type="http://schemas.openxmlformats.org/officeDocument/2006/relationships/hyperlink" Target="https://www.immoscout24.ch/fr/appartement/louer/quartier-hochstrasse-schaffhouse" TargetMode="External"/><Relationship Id="rId1305" Type="http://schemas.openxmlformats.org/officeDocument/2006/relationships/hyperlink" Target="https://www.immoscout24.ch/fr/appartement/louer/lieu-le-chable-vs" TargetMode="External"/><Relationship Id="rId2636" Type="http://schemas.openxmlformats.org/officeDocument/2006/relationships/hyperlink" Target="https://www.immoscout24.ch/fr/appartement/louer/quartier-kleinhueningen-bale" TargetMode="External"/><Relationship Id="rId3968" Type="http://schemas.openxmlformats.org/officeDocument/2006/relationships/hyperlink" Target="https://www.immoscout24.ch/fr/appartement/louer/lieu-melano" TargetMode="External"/><Relationship Id="rId12151" Type="http://schemas.openxmlformats.org/officeDocument/2006/relationships/hyperlink" Target="https://www.immoscout24.ch/fr/appartement/louer/lieu-neuenhof" TargetMode="External"/><Relationship Id="rId1306" Type="http://schemas.openxmlformats.org/officeDocument/2006/relationships/hyperlink" Target="https://www.immoscout24.ch/fr/appartement/louer/lieu-le-chable-vs" TargetMode="External"/><Relationship Id="rId2637" Type="http://schemas.openxmlformats.org/officeDocument/2006/relationships/hyperlink" Target="https://www.immoscout24.ch/fr/appartement/louer/lieu-wettswil" TargetMode="External"/><Relationship Id="rId3967" Type="http://schemas.openxmlformats.org/officeDocument/2006/relationships/hyperlink" Target="https://www.immoscout24.ch/fr/appartement/louer/lieu-melano" TargetMode="External"/><Relationship Id="rId12150" Type="http://schemas.openxmlformats.org/officeDocument/2006/relationships/hyperlink" Target="https://www.immoscout24.ch/fr/appartement/louer/lieu-frasses" TargetMode="External"/><Relationship Id="rId1307" Type="http://schemas.openxmlformats.org/officeDocument/2006/relationships/hyperlink" Target="https://www.immoscout24.ch/fr/appartement/louer/lieu-campione-d-italia" TargetMode="External"/><Relationship Id="rId2638" Type="http://schemas.openxmlformats.org/officeDocument/2006/relationships/hyperlink" Target="https://www.immoscout24.ch/fr/appartement/louer/lieu-wettswil" TargetMode="External"/><Relationship Id="rId1308" Type="http://schemas.openxmlformats.org/officeDocument/2006/relationships/hyperlink" Target="https://www.immoscout24.ch/fr/appartement/louer/lieu-campione-d-italia" TargetMode="External"/><Relationship Id="rId2639" Type="http://schemas.openxmlformats.org/officeDocument/2006/relationships/hyperlink" Target="https://www.immoscout24.ch/fr/appartement/louer/lieu-le-chatelard-pres-romont" TargetMode="External"/><Relationship Id="rId3969" Type="http://schemas.openxmlformats.org/officeDocument/2006/relationships/hyperlink" Target="https://www.immoscout24.ch/fr/appartement/louer/lieu-guarda" TargetMode="External"/><Relationship Id="rId1309" Type="http://schemas.openxmlformats.org/officeDocument/2006/relationships/hyperlink" Target="https://www.immoscout24.ch/fr/maison/acheter/lieu-la-roche-fr" TargetMode="External"/><Relationship Id="rId12149" Type="http://schemas.openxmlformats.org/officeDocument/2006/relationships/hyperlink" Target="https://www.immoscout24.ch/fr/appartement/louer/lieu-frasses" TargetMode="External"/><Relationship Id="rId12144" Type="http://schemas.openxmlformats.org/officeDocument/2006/relationships/hyperlink" Target="https://www.immoscout24.ch/fr/appartement/louer/lieu-eglisau" TargetMode="External"/><Relationship Id="rId12143" Type="http://schemas.openxmlformats.org/officeDocument/2006/relationships/hyperlink" Target="https://www.immoscout24.ch/fr/appartement/louer/lieu-eglisau" TargetMode="External"/><Relationship Id="rId12142" Type="http://schemas.openxmlformats.org/officeDocument/2006/relationships/hyperlink" Target="https://www.immoscout24.ch/fr/maison/acheter/lieu-erlenbach-im-simmental" TargetMode="External"/><Relationship Id="rId12141" Type="http://schemas.openxmlformats.org/officeDocument/2006/relationships/hyperlink" Target="https://www.immoscout24.ch/fr/maison/acheter/lieu-erlenbach-im-simmental" TargetMode="External"/><Relationship Id="rId3960" Type="http://schemas.openxmlformats.org/officeDocument/2006/relationships/hyperlink" Target="https://www.immoscout24.ch/fr/appartement/louer/lieu-lovens" TargetMode="External"/><Relationship Id="rId12148" Type="http://schemas.openxmlformats.org/officeDocument/2006/relationships/hyperlink" Target="https://www.immoscout24.ch/fr/maison/louer/lieu-rueti-b-bueren" TargetMode="External"/><Relationship Id="rId12147" Type="http://schemas.openxmlformats.org/officeDocument/2006/relationships/hyperlink" Target="https://www.immoscout24.ch/fr/maison/louer/lieu-rueti-b-bueren" TargetMode="External"/><Relationship Id="rId2630" Type="http://schemas.openxmlformats.org/officeDocument/2006/relationships/hyperlink" Target="https://www.immoscout24.ch/fr/appartement/louer/lieu-l-abergement" TargetMode="External"/><Relationship Id="rId3962" Type="http://schemas.openxmlformats.org/officeDocument/2006/relationships/hyperlink" Target="https://www.immoscout24.ch/fr/appartement/louer/lieu-umiken" TargetMode="External"/><Relationship Id="rId12146" Type="http://schemas.openxmlformats.org/officeDocument/2006/relationships/hyperlink" Target="https://www.immoscout24.ch/fr/appartement/acheter/lieu-saas-grund" TargetMode="External"/><Relationship Id="rId1300" Type="http://schemas.openxmlformats.org/officeDocument/2006/relationships/hyperlink" Target="https://www.immoscout24.ch/fr/maison/acheter/lieu-les-ponts-de-martel" TargetMode="External"/><Relationship Id="rId2631" Type="http://schemas.openxmlformats.org/officeDocument/2006/relationships/hyperlink" Target="https://www.immoscout24.ch/fr/appartement/acheter/lieu-froideville" TargetMode="External"/><Relationship Id="rId3961" Type="http://schemas.openxmlformats.org/officeDocument/2006/relationships/hyperlink" Target="https://www.immoscout24.ch/fr/appartement/louer/lieu-umiken" TargetMode="External"/><Relationship Id="rId12145" Type="http://schemas.openxmlformats.org/officeDocument/2006/relationships/hyperlink" Target="https://www.immoscout24.ch/fr/appartement/acheter/lieu-saas-grund" TargetMode="External"/><Relationship Id="rId1378" Type="http://schemas.openxmlformats.org/officeDocument/2006/relationships/hyperlink" Target="https://www.immoscout24.ch/fr/maison/acheter/lieu-chatel-st-denis" TargetMode="External"/><Relationship Id="rId1379" Type="http://schemas.openxmlformats.org/officeDocument/2006/relationships/hyperlink" Target="https://www.immoscout24.ch/fr/maison/acheter/lieu-les-evouettes" TargetMode="External"/><Relationship Id="rId1370" Type="http://schemas.openxmlformats.org/officeDocument/2006/relationships/hyperlink" Target="https://www.immoscout24.ch/fr/maison/acheter/lieu-belfaux" TargetMode="External"/><Relationship Id="rId1371" Type="http://schemas.openxmlformats.org/officeDocument/2006/relationships/hyperlink" Target="https://www.immoscout24.ch/fr/maison/louer/lieu-pomy" TargetMode="External"/><Relationship Id="rId1372" Type="http://schemas.openxmlformats.org/officeDocument/2006/relationships/hyperlink" Target="https://www.immoscout24.ch/fr/maison/louer/lieu-pomy" TargetMode="External"/><Relationship Id="rId1373" Type="http://schemas.openxmlformats.org/officeDocument/2006/relationships/hyperlink" Target="https://www.immoscout24.ch/fr/maison/acheter/lieu-givisiez" TargetMode="External"/><Relationship Id="rId1374" Type="http://schemas.openxmlformats.org/officeDocument/2006/relationships/hyperlink" Target="https://www.immoscout24.ch/fr/maison/acheter/lieu-givisiez" TargetMode="External"/><Relationship Id="rId1375" Type="http://schemas.openxmlformats.org/officeDocument/2006/relationships/hyperlink" Target="https://www.immoscout24.ch/fr/appartement/louer/lieu-arth" TargetMode="External"/><Relationship Id="rId1376" Type="http://schemas.openxmlformats.org/officeDocument/2006/relationships/hyperlink" Target="https://www.immoscout24.ch/fr/appartement/louer/lieu-arth" TargetMode="External"/><Relationship Id="rId1377" Type="http://schemas.openxmlformats.org/officeDocument/2006/relationships/hyperlink" Target="https://www.immoscout24.ch/fr/maison/acheter/lieu-chatel-st-denis" TargetMode="External"/><Relationship Id="rId1367" Type="http://schemas.openxmlformats.org/officeDocument/2006/relationships/hyperlink" Target="https://www.immoscout24.ch/fr/appartement/louer/lieu-brusino-arsizio" TargetMode="External"/><Relationship Id="rId2698" Type="http://schemas.openxmlformats.org/officeDocument/2006/relationships/hyperlink" Target="https://www.immoscout24.ch/fr/appartement/acheter/lieu-chatel-st-denis" TargetMode="External"/><Relationship Id="rId1368" Type="http://schemas.openxmlformats.org/officeDocument/2006/relationships/hyperlink" Target="https://www.immoscout24.ch/fr/appartement/louer/lieu-brusino-arsizio" TargetMode="External"/><Relationship Id="rId2699" Type="http://schemas.openxmlformats.org/officeDocument/2006/relationships/hyperlink" Target="https://www.immoscout24.ch/fr/maison/louer/lieu-carouge-ge" TargetMode="External"/><Relationship Id="rId1369" Type="http://schemas.openxmlformats.org/officeDocument/2006/relationships/hyperlink" Target="https://www.immoscout24.ch/fr/maison/acheter/lieu-belfaux" TargetMode="External"/><Relationship Id="rId2690" Type="http://schemas.openxmlformats.org/officeDocument/2006/relationships/hyperlink" Target="https://www.immoscout24.ch/fr/appartement/louer/lieu-herrenschwanden" TargetMode="External"/><Relationship Id="rId1360" Type="http://schemas.openxmlformats.org/officeDocument/2006/relationships/hyperlink" Target="https://www.immoscout24.ch/fr/appartement/louer/pays-belgique" TargetMode="External"/><Relationship Id="rId2691" Type="http://schemas.openxmlformats.org/officeDocument/2006/relationships/hyperlink" Target="https://www.immoscout24.ch/fr/maison/acheter/lieu-chabrey" TargetMode="External"/><Relationship Id="rId1361" Type="http://schemas.openxmlformats.org/officeDocument/2006/relationships/hyperlink" Target="https://www.immoscout24.ch/fr/maison/acheter/region-tre-valli" TargetMode="External"/><Relationship Id="rId2692" Type="http://schemas.openxmlformats.org/officeDocument/2006/relationships/hyperlink" Target="https://www.immoscout24.ch/fr/maison/acheter/lieu-chabrey" TargetMode="External"/><Relationship Id="rId1362" Type="http://schemas.openxmlformats.org/officeDocument/2006/relationships/hyperlink" Target="https://www.immoscout24.ch/fr/maison/acheter/region-tre-valli" TargetMode="External"/><Relationship Id="rId2693" Type="http://schemas.openxmlformats.org/officeDocument/2006/relationships/hyperlink" Target="https://www.immoscout24.ch/fr/appartement/louer/lieu-pampigny" TargetMode="External"/><Relationship Id="rId1363" Type="http://schemas.openxmlformats.org/officeDocument/2006/relationships/hyperlink" Target="https://www.immoscout24.ch/fr/maison/acheter/lieu-longirod" TargetMode="External"/><Relationship Id="rId2694" Type="http://schemas.openxmlformats.org/officeDocument/2006/relationships/hyperlink" Target="https://www.immoscout24.ch/fr/appartement/louer/lieu-pampigny" TargetMode="External"/><Relationship Id="rId1364" Type="http://schemas.openxmlformats.org/officeDocument/2006/relationships/hyperlink" Target="https://www.immoscout24.ch/fr/maison/acheter/lieu-longirod" TargetMode="External"/><Relationship Id="rId2695" Type="http://schemas.openxmlformats.org/officeDocument/2006/relationships/hyperlink" Target="https://www.immoscout24.ch/fr/appartement/louer/region-zuercher-oberland" TargetMode="External"/><Relationship Id="rId1365" Type="http://schemas.openxmlformats.org/officeDocument/2006/relationships/hyperlink" Target="https://www.immoscout24.ch/fr/appartement/louer/lieu-steg-vs" TargetMode="External"/><Relationship Id="rId2696" Type="http://schemas.openxmlformats.org/officeDocument/2006/relationships/hyperlink" Target="https://www.immoscout24.ch/fr/appartement/louer/region-zuercher-oberland" TargetMode="External"/><Relationship Id="rId1366" Type="http://schemas.openxmlformats.org/officeDocument/2006/relationships/hyperlink" Target="https://www.immoscout24.ch/fr/appartement/louer/lieu-steg-vs" TargetMode="External"/><Relationship Id="rId2697" Type="http://schemas.openxmlformats.org/officeDocument/2006/relationships/hyperlink" Target="https://www.immoscout24.ch/fr/appartement/acheter/lieu-chatel-st-denis" TargetMode="External"/><Relationship Id="rId1390" Type="http://schemas.openxmlformats.org/officeDocument/2006/relationships/hyperlink" Target="https://www.immoscout24.ch/fr/maison/acheter/lieu-arisdorf" TargetMode="External"/><Relationship Id="rId1391" Type="http://schemas.openxmlformats.org/officeDocument/2006/relationships/hyperlink" Target="https://www.immoscout24.ch/fr/appartement/louer/lieu-gretzenbach" TargetMode="External"/><Relationship Id="rId1392" Type="http://schemas.openxmlformats.org/officeDocument/2006/relationships/hyperlink" Target="https://www.immoscout24.ch/fr/appartement/louer/lieu-gretzenbach" TargetMode="External"/><Relationship Id="rId1393" Type="http://schemas.openxmlformats.org/officeDocument/2006/relationships/hyperlink" Target="https://www.immoscout24.ch/fr/appartement/acheter/lieu-davos-platz" TargetMode="External"/><Relationship Id="rId1394" Type="http://schemas.openxmlformats.org/officeDocument/2006/relationships/hyperlink" Target="https://www.immoscout24.ch/fr/appartement/acheter/lieu-davos-platz" TargetMode="External"/><Relationship Id="rId1395" Type="http://schemas.openxmlformats.org/officeDocument/2006/relationships/hyperlink" Target="https://www.immoscout24.ch/fr/maison/acheter/lieu-obergesteln" TargetMode="External"/><Relationship Id="rId1396" Type="http://schemas.openxmlformats.org/officeDocument/2006/relationships/hyperlink" Target="https://www.immoscout24.ch/fr/maison/acheter/lieu-obergesteln" TargetMode="External"/><Relationship Id="rId1397" Type="http://schemas.openxmlformats.org/officeDocument/2006/relationships/hyperlink" Target="https://www.immoscout24.ch/fr/appartement/louer/quartier-seebach-zurich" TargetMode="External"/><Relationship Id="rId1398" Type="http://schemas.openxmlformats.org/officeDocument/2006/relationships/hyperlink" Target="https://www.immoscout24.ch/fr/appartement/louer/quartier-seebach-zurich" TargetMode="External"/><Relationship Id="rId1399" Type="http://schemas.openxmlformats.org/officeDocument/2006/relationships/hyperlink" Target="https://www.immoscout24.ch/fr/appartement/louer/lieu-gruyeres" TargetMode="External"/><Relationship Id="rId1389" Type="http://schemas.openxmlformats.org/officeDocument/2006/relationships/hyperlink" Target="https://www.immoscout24.ch/fr/maison/acheter/lieu-arisdorf" TargetMode="External"/><Relationship Id="rId1380" Type="http://schemas.openxmlformats.org/officeDocument/2006/relationships/hyperlink" Target="https://www.immoscout24.ch/fr/maison/acheter/lieu-les-evouettes" TargetMode="External"/><Relationship Id="rId1381" Type="http://schemas.openxmlformats.org/officeDocument/2006/relationships/hyperlink" Target="https://www.immoscout24.ch/fr/appartement/acheter/lieu-vevey" TargetMode="External"/><Relationship Id="rId1382" Type="http://schemas.openxmlformats.org/officeDocument/2006/relationships/hyperlink" Target="https://www.immoscout24.ch/fr/appartement/acheter/lieu-vevey" TargetMode="External"/><Relationship Id="rId1383" Type="http://schemas.openxmlformats.org/officeDocument/2006/relationships/hyperlink" Target="https://www.immoscout24.ch/fr/appartement/acheter/lieu-nidau" TargetMode="External"/><Relationship Id="rId1384" Type="http://schemas.openxmlformats.org/officeDocument/2006/relationships/hyperlink" Target="https://www.immoscout24.ch/fr/appartement/acheter/lieu-nidau" TargetMode="External"/><Relationship Id="rId1385" Type="http://schemas.openxmlformats.org/officeDocument/2006/relationships/hyperlink" Target="https://www.immoscout24.ch/fr/appartement/louer/lieu-grens" TargetMode="External"/><Relationship Id="rId1386" Type="http://schemas.openxmlformats.org/officeDocument/2006/relationships/hyperlink" Target="https://www.immoscout24.ch/fr/appartement/louer/lieu-grens" TargetMode="External"/><Relationship Id="rId1387" Type="http://schemas.openxmlformats.org/officeDocument/2006/relationships/hyperlink" Target="https://www.immoscout24.ch/fr/appartement/louer/lieu-arnex-sur-orbe" TargetMode="External"/><Relationship Id="rId1388" Type="http://schemas.openxmlformats.org/officeDocument/2006/relationships/hyperlink" Target="https://www.immoscout24.ch/fr/appartement/louer/lieu-arnex-sur-orbe" TargetMode="External"/><Relationship Id="rId2700" Type="http://schemas.openxmlformats.org/officeDocument/2006/relationships/hyperlink" Target="https://www.immoscout24.ch/fr/maison/louer/lieu-carouge-ge" TargetMode="External"/><Relationship Id="rId2701" Type="http://schemas.openxmlformats.org/officeDocument/2006/relationships/hyperlink" Target="https://www.immoscout24.ch/fr/appartement/louer/lieu-gollion" TargetMode="External"/><Relationship Id="rId2702" Type="http://schemas.openxmlformats.org/officeDocument/2006/relationships/hyperlink" Target="https://www.immoscout24.ch/fr/appartement/louer/lieu-gollion" TargetMode="External"/><Relationship Id="rId2703" Type="http://schemas.openxmlformats.org/officeDocument/2006/relationships/hyperlink" Target="https://www.immoscout24.ch/fr/appartement/acheter/lieu-grand-lancy" TargetMode="External"/><Relationship Id="rId2704" Type="http://schemas.openxmlformats.org/officeDocument/2006/relationships/hyperlink" Target="https://www.immoscout24.ch/fr/appartement/acheter/lieu-grand-lancy" TargetMode="External"/><Relationship Id="rId2705" Type="http://schemas.openxmlformats.org/officeDocument/2006/relationships/hyperlink" Target="https://www.immoscout24.ch/fr/appartement/louer/quartier-champel-roseraie-geneve" TargetMode="External"/><Relationship Id="rId2706" Type="http://schemas.openxmlformats.org/officeDocument/2006/relationships/hyperlink" Target="https://www.immoscout24.ch/fr/appartement/louer/quartier-champel-roseraie-geneve" TargetMode="External"/><Relationship Id="rId2707" Type="http://schemas.openxmlformats.org/officeDocument/2006/relationships/hyperlink" Target="https://www.immoscout24.ch/fr/maison/acheter/lieu-zullwil" TargetMode="External"/><Relationship Id="rId2708" Type="http://schemas.openxmlformats.org/officeDocument/2006/relationships/hyperlink" Target="https://www.immoscout24.ch/fr/maison/acheter/lieu-zullwil" TargetMode="External"/><Relationship Id="rId2709" Type="http://schemas.openxmlformats.org/officeDocument/2006/relationships/hyperlink" Target="https://www.immoscout24.ch/fr/maison/acheter/lieu-la-heutte" TargetMode="External"/><Relationship Id="rId2720" Type="http://schemas.openxmlformats.org/officeDocument/2006/relationships/hyperlink" Target="https://www.immoscout24.ch/fr/appartement/acheter/lieu-carona" TargetMode="External"/><Relationship Id="rId2721" Type="http://schemas.openxmlformats.org/officeDocument/2006/relationships/hyperlink" Target="https://www.immoscout24.ch/fr/maison/acheter/quartier-bourg-fribourg" TargetMode="External"/><Relationship Id="rId2722" Type="http://schemas.openxmlformats.org/officeDocument/2006/relationships/hyperlink" Target="https://www.immoscout24.ch/fr/maison/acheter/quartier-bourg-fribourg" TargetMode="External"/><Relationship Id="rId2723" Type="http://schemas.openxmlformats.org/officeDocument/2006/relationships/hyperlink" Target="https://www.immoscout24.ch/fr/appartement/louer/lieu-courgevaux" TargetMode="External"/><Relationship Id="rId2724" Type="http://schemas.openxmlformats.org/officeDocument/2006/relationships/hyperlink" Target="https://www.immoscout24.ch/fr/appartement/louer/lieu-courgevaux" TargetMode="External"/><Relationship Id="rId2725" Type="http://schemas.openxmlformats.org/officeDocument/2006/relationships/hyperlink" Target="https://www.immoscout24.ch/fr/appartement/louer/lieu-staufen" TargetMode="External"/><Relationship Id="rId2726" Type="http://schemas.openxmlformats.org/officeDocument/2006/relationships/hyperlink" Target="https://www.immoscout24.ch/fr/appartement/louer/lieu-staufen" TargetMode="External"/><Relationship Id="rId2727" Type="http://schemas.openxmlformats.org/officeDocument/2006/relationships/hyperlink" Target="https://www.immoscout24.ch/fr/maison/acheter/lieu-cuarny" TargetMode="External"/><Relationship Id="rId2728" Type="http://schemas.openxmlformats.org/officeDocument/2006/relationships/hyperlink" Target="https://www.immoscout24.ch/fr/maison/acheter/lieu-cuarny" TargetMode="External"/><Relationship Id="rId2729" Type="http://schemas.openxmlformats.org/officeDocument/2006/relationships/hyperlink" Target="https://www.immoscout24.ch/fr/appartement/louer/lieu-grandval" TargetMode="External"/><Relationship Id="rId2710" Type="http://schemas.openxmlformats.org/officeDocument/2006/relationships/hyperlink" Target="https://www.immoscout24.ch/fr/maison/acheter/lieu-la-heutte" TargetMode="External"/><Relationship Id="rId2711" Type="http://schemas.openxmlformats.org/officeDocument/2006/relationships/hyperlink" Target="https://www.immoscout24.ch/fr/maison/louer/lieu-rochefort" TargetMode="External"/><Relationship Id="rId2712" Type="http://schemas.openxmlformats.org/officeDocument/2006/relationships/hyperlink" Target="https://www.immoscout24.ch/fr/maison/louer/lieu-rochefort" TargetMode="External"/><Relationship Id="rId2713" Type="http://schemas.openxmlformats.org/officeDocument/2006/relationships/hyperlink" Target="https://www.immoscout24.ch/fr/appartement/acheter/quartier-boujean-biel-bienne" TargetMode="External"/><Relationship Id="rId2714" Type="http://schemas.openxmlformats.org/officeDocument/2006/relationships/hyperlink" Target="https://www.immoscout24.ch/fr/appartement/acheter/quartier-boujean-biel-bienne" TargetMode="External"/><Relationship Id="rId2715" Type="http://schemas.openxmlformats.org/officeDocument/2006/relationships/hyperlink" Target="https://www.immoscout24.ch/fr/maison/acheter/lieu-sorens" TargetMode="External"/><Relationship Id="rId2716" Type="http://schemas.openxmlformats.org/officeDocument/2006/relationships/hyperlink" Target="https://www.immoscout24.ch/fr/maison/acheter/lieu-sorens" TargetMode="External"/><Relationship Id="rId2717" Type="http://schemas.openxmlformats.org/officeDocument/2006/relationships/hyperlink" Target="https://www.immoscout24.ch/fr/appartement/louer/lieu-affoltern-am-albis" TargetMode="External"/><Relationship Id="rId2718" Type="http://schemas.openxmlformats.org/officeDocument/2006/relationships/hyperlink" Target="https://www.immoscout24.ch/fr/appartement/louer/lieu-affoltern-am-albis" TargetMode="External"/><Relationship Id="rId2719" Type="http://schemas.openxmlformats.org/officeDocument/2006/relationships/hyperlink" Target="https://www.immoscout24.ch/fr/appartement/acheter/lieu-carona" TargetMode="External"/><Relationship Id="rId1455" Type="http://schemas.openxmlformats.org/officeDocument/2006/relationships/hyperlink" Target="https://www.immoscout24.ch/fr/maison/acheter/region-avenches-payerne" TargetMode="External"/><Relationship Id="rId2786" Type="http://schemas.openxmlformats.org/officeDocument/2006/relationships/hyperlink" Target="https://www.immoscout24.ch/fr/maison/acheter/lieu-rochefort" TargetMode="External"/><Relationship Id="rId1456" Type="http://schemas.openxmlformats.org/officeDocument/2006/relationships/hyperlink" Target="https://www.immoscout24.ch/fr/maison/acheter/region-avenches-payerne" TargetMode="External"/><Relationship Id="rId2787" Type="http://schemas.openxmlformats.org/officeDocument/2006/relationships/hyperlink" Target="https://www.immoscout24.ch/fr/appartement/acheter/lieu-gstaad" TargetMode="External"/><Relationship Id="rId1457" Type="http://schemas.openxmlformats.org/officeDocument/2006/relationships/hyperlink" Target="https://www.immoscout24.ch/fr/appartement/louer/lieu-le-paquier-ne" TargetMode="External"/><Relationship Id="rId2788" Type="http://schemas.openxmlformats.org/officeDocument/2006/relationships/hyperlink" Target="https://www.immoscout24.ch/fr/appartement/acheter/lieu-gstaad" TargetMode="External"/><Relationship Id="rId1458" Type="http://schemas.openxmlformats.org/officeDocument/2006/relationships/hyperlink" Target="https://www.immoscout24.ch/fr/appartement/louer/lieu-le-paquier-ne" TargetMode="External"/><Relationship Id="rId2789" Type="http://schemas.openxmlformats.org/officeDocument/2006/relationships/hyperlink" Target="https://www.immoscout24.ch/fr/maison/louer/lieu-domdidier" TargetMode="External"/><Relationship Id="rId1459" Type="http://schemas.openxmlformats.org/officeDocument/2006/relationships/hyperlink" Target="https://www.immoscout24.ch/fr/appartement/louer/lieu-walchwil" TargetMode="External"/><Relationship Id="rId2780" Type="http://schemas.openxmlformats.org/officeDocument/2006/relationships/hyperlink" Target="https://www.immoscout24.ch/fr/maison/louer/quartier-eplatures-cret-du-locle-la-chaux-de-fonds" TargetMode="External"/><Relationship Id="rId1450" Type="http://schemas.openxmlformats.org/officeDocument/2006/relationships/hyperlink" Target="https://www.immoscout24.ch/fr/maison/acheter/pays-cameroun" TargetMode="External"/><Relationship Id="rId2781" Type="http://schemas.openxmlformats.org/officeDocument/2006/relationships/hyperlink" Target="https://www.immoscout24.ch/fr/appartement/acheter/quartier-jonction-plainpalais-geneve" TargetMode="External"/><Relationship Id="rId1451" Type="http://schemas.openxmlformats.org/officeDocument/2006/relationships/hyperlink" Target="https://www.immoscout24.ch/fr/appartement/acheter/lieu-eysins" TargetMode="External"/><Relationship Id="rId2782" Type="http://schemas.openxmlformats.org/officeDocument/2006/relationships/hyperlink" Target="https://www.immoscout24.ch/fr/appartement/acheter/quartier-jonction-plainpalais-geneve" TargetMode="External"/><Relationship Id="rId1452" Type="http://schemas.openxmlformats.org/officeDocument/2006/relationships/hyperlink" Target="https://www.immoscout24.ch/fr/appartement/acheter/lieu-eysins" TargetMode="External"/><Relationship Id="rId2783" Type="http://schemas.openxmlformats.org/officeDocument/2006/relationships/hyperlink" Target="https://www.immoscout24.ch/fr/appartement/louer/lieu-vernier" TargetMode="External"/><Relationship Id="rId1453" Type="http://schemas.openxmlformats.org/officeDocument/2006/relationships/hyperlink" Target="https://www.immoscout24.ch/fr/maison/acheter/canton-valais" TargetMode="External"/><Relationship Id="rId2784" Type="http://schemas.openxmlformats.org/officeDocument/2006/relationships/hyperlink" Target="https://www.immoscout24.ch/fr/appartement/louer/lieu-vernier" TargetMode="External"/><Relationship Id="rId1454" Type="http://schemas.openxmlformats.org/officeDocument/2006/relationships/hyperlink" Target="https://www.immoscout24.ch/fr/maison/acheter/canton-valais" TargetMode="External"/><Relationship Id="rId2785" Type="http://schemas.openxmlformats.org/officeDocument/2006/relationships/hyperlink" Target="https://www.immoscout24.ch/fr/maison/acheter/lieu-rochefort" TargetMode="External"/><Relationship Id="rId1444" Type="http://schemas.openxmlformats.org/officeDocument/2006/relationships/hyperlink" Target="https://www.immoscout24.ch/fr/maison/acheter/lieu-troinex" TargetMode="External"/><Relationship Id="rId2775" Type="http://schemas.openxmlformats.org/officeDocument/2006/relationships/hyperlink" Target="https://www.immoscout24.ch/fr/appartement/louer/region-franches-montagnes" TargetMode="External"/><Relationship Id="rId1445" Type="http://schemas.openxmlformats.org/officeDocument/2006/relationships/hyperlink" Target="https://www.immoscout24.ch/fr/maison/acheter/quartier-cite-centre-geneve" TargetMode="External"/><Relationship Id="rId2776" Type="http://schemas.openxmlformats.org/officeDocument/2006/relationships/hyperlink" Target="https://www.immoscout24.ch/fr/appartement/louer/region-franches-montagnes" TargetMode="External"/><Relationship Id="rId1446" Type="http://schemas.openxmlformats.org/officeDocument/2006/relationships/hyperlink" Target="https://www.immoscout24.ch/fr/maison/acheter/quartier-cite-centre-geneve" TargetMode="External"/><Relationship Id="rId2777" Type="http://schemas.openxmlformats.org/officeDocument/2006/relationships/hyperlink" Target="https://www.immoscout24.ch/fr/maison/acheter/lieu-bottens" TargetMode="External"/><Relationship Id="rId1447" Type="http://schemas.openxmlformats.org/officeDocument/2006/relationships/hyperlink" Target="https://www.immoscout24.ch/fr/appartement/acheter/lieu-haldenstein" TargetMode="External"/><Relationship Id="rId2778" Type="http://schemas.openxmlformats.org/officeDocument/2006/relationships/hyperlink" Target="https://www.immoscout24.ch/fr/maison/acheter/lieu-bottens" TargetMode="External"/><Relationship Id="rId1448" Type="http://schemas.openxmlformats.org/officeDocument/2006/relationships/hyperlink" Target="https://www.immoscout24.ch/fr/appartement/acheter/lieu-haldenstein" TargetMode="External"/><Relationship Id="rId2779" Type="http://schemas.openxmlformats.org/officeDocument/2006/relationships/hyperlink" Target="https://www.immoscout24.ch/fr/maison/louer/quartier-eplatures-cret-du-locle-la-chaux-de-fonds" TargetMode="External"/><Relationship Id="rId1449" Type="http://schemas.openxmlformats.org/officeDocument/2006/relationships/hyperlink" Target="https://www.immoscout24.ch/fr/maison/acheter/pays-cameroun" TargetMode="External"/><Relationship Id="rId12009" Type="http://schemas.openxmlformats.org/officeDocument/2006/relationships/hyperlink" Target="https://www.immoscout24.ch/fr/appartement/acheter/lieu-chene-bougeries" TargetMode="External"/><Relationship Id="rId12008" Type="http://schemas.openxmlformats.org/officeDocument/2006/relationships/hyperlink" Target="https://www.immoscout24.ch/fr/maison/acheter/lieu-mervelier" TargetMode="External"/><Relationship Id="rId12007" Type="http://schemas.openxmlformats.org/officeDocument/2006/relationships/hyperlink" Target="https://www.immoscout24.ch/fr/maison/acheter/lieu-mervelier" TargetMode="External"/><Relationship Id="rId12006" Type="http://schemas.openxmlformats.org/officeDocument/2006/relationships/hyperlink" Target="https://www.immoscout24.ch/fr/appartement/louer/lieu-orny" TargetMode="External"/><Relationship Id="rId12001" Type="http://schemas.openxmlformats.org/officeDocument/2006/relationships/hyperlink" Target="https://www.immoscout24.ch/fr/maison/acheter/lieu-les-agettes" TargetMode="External"/><Relationship Id="rId12000" Type="http://schemas.openxmlformats.org/officeDocument/2006/relationships/hyperlink" Target="https://www.immoscout24.ch/fr/appartement/acheter/lieu-beromuenster" TargetMode="External"/><Relationship Id="rId2770" Type="http://schemas.openxmlformats.org/officeDocument/2006/relationships/hyperlink" Target="https://www.immoscout24.ch/fr/maison/louer/lieu-courrendlin" TargetMode="External"/><Relationship Id="rId1440" Type="http://schemas.openxmlformats.org/officeDocument/2006/relationships/hyperlink" Target="https://www.immoscout24.ch/fr/appartement/louer/canton-grisons" TargetMode="External"/><Relationship Id="rId2771" Type="http://schemas.openxmlformats.org/officeDocument/2006/relationships/hyperlink" Target="https://www.immoscout24.ch/fr/appartement/louer/lieu-bellinzona" TargetMode="External"/><Relationship Id="rId12005" Type="http://schemas.openxmlformats.org/officeDocument/2006/relationships/hyperlink" Target="https://www.immoscout24.ch/fr/appartement/louer/lieu-orny" TargetMode="External"/><Relationship Id="rId1441" Type="http://schemas.openxmlformats.org/officeDocument/2006/relationships/hyperlink" Target="https://www.immoscout24.ch/fr/appartement/acheter/lieu-klosters" TargetMode="External"/><Relationship Id="rId2772" Type="http://schemas.openxmlformats.org/officeDocument/2006/relationships/hyperlink" Target="https://www.immoscout24.ch/fr/appartement/louer/lieu-bellinzona" TargetMode="External"/><Relationship Id="rId12004" Type="http://schemas.openxmlformats.org/officeDocument/2006/relationships/hyperlink" Target="https://www.immoscout24.ch/fr/appartement/acheter/lieu-dietikon" TargetMode="External"/><Relationship Id="rId1442" Type="http://schemas.openxmlformats.org/officeDocument/2006/relationships/hyperlink" Target="https://www.immoscout24.ch/fr/appartement/acheter/lieu-klosters" TargetMode="External"/><Relationship Id="rId2773" Type="http://schemas.openxmlformats.org/officeDocument/2006/relationships/hyperlink" Target="https://www.immoscout24.ch/fr/maison/louer/lieu-noreaz" TargetMode="External"/><Relationship Id="rId12003" Type="http://schemas.openxmlformats.org/officeDocument/2006/relationships/hyperlink" Target="https://www.immoscout24.ch/fr/appartement/acheter/lieu-dietikon" TargetMode="External"/><Relationship Id="rId1443" Type="http://schemas.openxmlformats.org/officeDocument/2006/relationships/hyperlink" Target="https://www.immoscout24.ch/fr/maison/acheter/lieu-troinex" TargetMode="External"/><Relationship Id="rId2774" Type="http://schemas.openxmlformats.org/officeDocument/2006/relationships/hyperlink" Target="https://www.immoscout24.ch/fr/maison/louer/lieu-noreaz" TargetMode="External"/><Relationship Id="rId12002" Type="http://schemas.openxmlformats.org/officeDocument/2006/relationships/hyperlink" Target="https://www.immoscout24.ch/fr/maison/acheter/lieu-les-agettes" TargetMode="External"/><Relationship Id="rId1477" Type="http://schemas.openxmlformats.org/officeDocument/2006/relationships/hyperlink" Target="https://www.immoscout24.ch/fr/appartement/louer/lieu-richterswil" TargetMode="External"/><Relationship Id="rId1478" Type="http://schemas.openxmlformats.org/officeDocument/2006/relationships/hyperlink" Target="https://www.immoscout24.ch/fr/appartement/louer/lieu-richterswil" TargetMode="External"/><Relationship Id="rId1479" Type="http://schemas.openxmlformats.org/officeDocument/2006/relationships/hyperlink" Target="https://www.immoscout24.ch/fr/appartement/acheter/lieu-vallamand" TargetMode="External"/><Relationship Id="rId1470" Type="http://schemas.openxmlformats.org/officeDocument/2006/relationships/hyperlink" Target="https://www.immoscout24.ch/fr/appartement/louer/region-oberaargau" TargetMode="External"/><Relationship Id="rId1471" Type="http://schemas.openxmlformats.org/officeDocument/2006/relationships/hyperlink" Target="https://www.immoscout24.ch/fr/maison/acheter/pays-allemagne" TargetMode="External"/><Relationship Id="rId1472" Type="http://schemas.openxmlformats.org/officeDocument/2006/relationships/hyperlink" Target="https://www.immoscout24.ch/fr/maison/acheter/pays-allemagne" TargetMode="External"/><Relationship Id="rId1473" Type="http://schemas.openxmlformats.org/officeDocument/2006/relationships/hyperlink" Target="https://www.immoscout24.ch/fr/maison/acheter/lieu-zeihen" TargetMode="External"/><Relationship Id="rId1474" Type="http://schemas.openxmlformats.org/officeDocument/2006/relationships/hyperlink" Target="https://www.immoscout24.ch/fr/maison/acheter/lieu-zeihen" TargetMode="External"/><Relationship Id="rId1475" Type="http://schemas.openxmlformats.org/officeDocument/2006/relationships/hyperlink" Target="https://www.immoscout24.ch/fr/maison/louer/lieu-kuesnacht-zh" TargetMode="External"/><Relationship Id="rId1476" Type="http://schemas.openxmlformats.org/officeDocument/2006/relationships/hyperlink" Target="https://www.immoscout24.ch/fr/maison/louer/lieu-kuesnacht-zh" TargetMode="External"/><Relationship Id="rId1466" Type="http://schemas.openxmlformats.org/officeDocument/2006/relationships/hyperlink" Target="https://www.immoscout24.ch/fr/appartement/louer/lieu-erstfeld" TargetMode="External"/><Relationship Id="rId2797" Type="http://schemas.openxmlformats.org/officeDocument/2006/relationships/hyperlink" Target="https://www.immoscout24.ch/fr/maison/acheter/region-rheintal-werdenberg" TargetMode="External"/><Relationship Id="rId1467" Type="http://schemas.openxmlformats.org/officeDocument/2006/relationships/hyperlink" Target="https://www.immoscout24.ch/fr/maison/acheter/lieu-chambesy" TargetMode="External"/><Relationship Id="rId2798" Type="http://schemas.openxmlformats.org/officeDocument/2006/relationships/hyperlink" Target="https://www.immoscout24.ch/fr/maison/acheter/region-rheintal-werdenberg" TargetMode="External"/><Relationship Id="rId1468" Type="http://schemas.openxmlformats.org/officeDocument/2006/relationships/hyperlink" Target="https://www.immoscout24.ch/fr/maison/acheter/lieu-chambesy" TargetMode="External"/><Relationship Id="rId2799" Type="http://schemas.openxmlformats.org/officeDocument/2006/relationships/hyperlink" Target="https://www.immoscout24.ch/fr/appartement/acheter/lieu-tavannes" TargetMode="External"/><Relationship Id="rId1469" Type="http://schemas.openxmlformats.org/officeDocument/2006/relationships/hyperlink" Target="https://www.immoscout24.ch/fr/appartement/louer/region-oberaargau" TargetMode="External"/><Relationship Id="rId2790" Type="http://schemas.openxmlformats.org/officeDocument/2006/relationships/hyperlink" Target="https://www.immoscout24.ch/fr/maison/louer/lieu-domdidier" TargetMode="External"/><Relationship Id="rId1460" Type="http://schemas.openxmlformats.org/officeDocument/2006/relationships/hyperlink" Target="https://www.immoscout24.ch/fr/appartement/louer/lieu-walchwil" TargetMode="External"/><Relationship Id="rId2791" Type="http://schemas.openxmlformats.org/officeDocument/2006/relationships/hyperlink" Target="https://www.immoscout24.ch/fr/appartement/louer/lieu-rivera" TargetMode="External"/><Relationship Id="rId1461" Type="http://schemas.openxmlformats.org/officeDocument/2006/relationships/hyperlink" Target="https://www.immoscout24.ch/fr/appartement/louer/lieu-chaumont" TargetMode="External"/><Relationship Id="rId2792" Type="http://schemas.openxmlformats.org/officeDocument/2006/relationships/hyperlink" Target="https://www.immoscout24.ch/fr/appartement/louer/lieu-rivera" TargetMode="External"/><Relationship Id="rId1462" Type="http://schemas.openxmlformats.org/officeDocument/2006/relationships/hyperlink" Target="https://www.immoscout24.ch/fr/appartement/louer/lieu-chaumont" TargetMode="External"/><Relationship Id="rId2793" Type="http://schemas.openxmlformats.org/officeDocument/2006/relationships/hyperlink" Target="https://www.immoscout24.ch/fr/maison/acheter/lieu-fislisbach" TargetMode="External"/><Relationship Id="rId1463" Type="http://schemas.openxmlformats.org/officeDocument/2006/relationships/hyperlink" Target="https://www.immoscout24.ch/fr/appartement/louer/lieu-courcelon" TargetMode="External"/><Relationship Id="rId2794" Type="http://schemas.openxmlformats.org/officeDocument/2006/relationships/hyperlink" Target="https://www.immoscout24.ch/fr/maison/acheter/lieu-fislisbach" TargetMode="External"/><Relationship Id="rId1464" Type="http://schemas.openxmlformats.org/officeDocument/2006/relationships/hyperlink" Target="https://www.immoscout24.ch/fr/appartement/louer/lieu-courcelon" TargetMode="External"/><Relationship Id="rId2795" Type="http://schemas.openxmlformats.org/officeDocument/2006/relationships/hyperlink" Target="https://www.immoscout24.ch/fr/maison/acheter/lieu-sullens" TargetMode="External"/><Relationship Id="rId1465" Type="http://schemas.openxmlformats.org/officeDocument/2006/relationships/hyperlink" Target="https://www.immoscout24.ch/fr/appartement/louer/lieu-erstfeld" TargetMode="External"/><Relationship Id="rId2796" Type="http://schemas.openxmlformats.org/officeDocument/2006/relationships/hyperlink" Target="https://www.immoscout24.ch/fr/maison/acheter/lieu-sullens" TargetMode="External"/><Relationship Id="rId1411" Type="http://schemas.openxmlformats.org/officeDocument/2006/relationships/hyperlink" Target="https://www.immoscout24.ch/fr/maison/acheter/lieu-granges-de-vesin" TargetMode="External"/><Relationship Id="rId2742" Type="http://schemas.openxmlformats.org/officeDocument/2006/relationships/hyperlink" Target="https://www.immoscout24.ch/fr/appartement/acheter/lieu-avenches" TargetMode="External"/><Relationship Id="rId1412" Type="http://schemas.openxmlformats.org/officeDocument/2006/relationships/hyperlink" Target="https://www.immoscout24.ch/fr/maison/acheter/lieu-granges-de-vesin" TargetMode="External"/><Relationship Id="rId2743" Type="http://schemas.openxmlformats.org/officeDocument/2006/relationships/hyperlink" Target="https://www.immoscout24.ch/fr/appartement/louer/lieu-golaten" TargetMode="External"/><Relationship Id="rId1413" Type="http://schemas.openxmlformats.org/officeDocument/2006/relationships/hyperlink" Target="https://www.immoscout24.ch/fr/appartement/louer/lieu-la-conversion" TargetMode="External"/><Relationship Id="rId2744" Type="http://schemas.openxmlformats.org/officeDocument/2006/relationships/hyperlink" Target="https://www.immoscout24.ch/fr/appartement/louer/lieu-golaten" TargetMode="External"/><Relationship Id="rId1414" Type="http://schemas.openxmlformats.org/officeDocument/2006/relationships/hyperlink" Target="https://www.immoscout24.ch/fr/appartement/louer/lieu-la-conversion" TargetMode="External"/><Relationship Id="rId2745" Type="http://schemas.openxmlformats.org/officeDocument/2006/relationships/hyperlink" Target="https://www.immoscout24.ch/fr/maison/acheter/lieu-estavayer-le-gibloux" TargetMode="External"/><Relationship Id="rId1415" Type="http://schemas.openxmlformats.org/officeDocument/2006/relationships/hyperlink" Target="https://www.immoscout24.ch/fr/appartement/louer/lieu-weggis" TargetMode="External"/><Relationship Id="rId2746" Type="http://schemas.openxmlformats.org/officeDocument/2006/relationships/hyperlink" Target="https://www.immoscout24.ch/fr/maison/acheter/lieu-estavayer-le-gibloux" TargetMode="External"/><Relationship Id="rId12041" Type="http://schemas.openxmlformats.org/officeDocument/2006/relationships/hyperlink" Target="https://www.immoscout24.ch/fr/appartement/acheter/lieu-morcote" TargetMode="External"/><Relationship Id="rId1416" Type="http://schemas.openxmlformats.org/officeDocument/2006/relationships/hyperlink" Target="https://www.immoscout24.ch/fr/appartement/louer/lieu-weggis" TargetMode="External"/><Relationship Id="rId2747" Type="http://schemas.openxmlformats.org/officeDocument/2006/relationships/hyperlink" Target="https://www.immoscout24.ch/fr/appartement/louer/lieu-carrouge-vd" TargetMode="External"/><Relationship Id="rId12040" Type="http://schemas.openxmlformats.org/officeDocument/2006/relationships/hyperlink" Target="https://www.immoscout24.ch/fr/appartement/louer/lieu-le-cerneux-pequignot" TargetMode="External"/><Relationship Id="rId1417" Type="http://schemas.openxmlformats.org/officeDocument/2006/relationships/hyperlink" Target="https://www.immoscout24.ch/fr/appartement/louer/region-littoral-neuchatelois" TargetMode="External"/><Relationship Id="rId2748" Type="http://schemas.openxmlformats.org/officeDocument/2006/relationships/hyperlink" Target="https://www.immoscout24.ch/fr/appartement/louer/lieu-carrouge-vd" TargetMode="External"/><Relationship Id="rId1418" Type="http://schemas.openxmlformats.org/officeDocument/2006/relationships/hyperlink" Target="https://www.immoscout24.ch/fr/appartement/louer/region-littoral-neuchatelois" TargetMode="External"/><Relationship Id="rId2749" Type="http://schemas.openxmlformats.org/officeDocument/2006/relationships/hyperlink" Target="https://www.immoscout24.ch/fr/appartement/louer/secteur-kreis-12" TargetMode="External"/><Relationship Id="rId1419" Type="http://schemas.openxmlformats.org/officeDocument/2006/relationships/hyperlink" Target="https://www.immoscout24.ch/fr/maison/acheter/lieu-onnens-fr" TargetMode="External"/><Relationship Id="rId12039" Type="http://schemas.openxmlformats.org/officeDocument/2006/relationships/hyperlink" Target="https://www.immoscout24.ch/fr/appartement/louer/lieu-le-cerneux-pequignot" TargetMode="External"/><Relationship Id="rId12034" Type="http://schemas.openxmlformats.org/officeDocument/2006/relationships/hyperlink" Target="https://www.immoscout24.ch/fr/appartement/acheter/region-haut-valais" TargetMode="External"/><Relationship Id="rId12033" Type="http://schemas.openxmlformats.org/officeDocument/2006/relationships/hyperlink" Target="https://www.immoscout24.ch/fr/appartement/acheter/region-haut-valais" TargetMode="External"/><Relationship Id="rId12032" Type="http://schemas.openxmlformats.org/officeDocument/2006/relationships/hyperlink" Target="https://www.immoscout24.ch/fr/appartement/louer/lieu-ligornetto" TargetMode="External"/><Relationship Id="rId12031" Type="http://schemas.openxmlformats.org/officeDocument/2006/relationships/hyperlink" Target="https://www.immoscout24.ch/fr/appartement/louer/lieu-ligornetto" TargetMode="External"/><Relationship Id="rId12038" Type="http://schemas.openxmlformats.org/officeDocument/2006/relationships/hyperlink" Target="https://www.immoscout24.ch/fr/appartement/louer/quartier-rosental-bale" TargetMode="External"/><Relationship Id="rId12037" Type="http://schemas.openxmlformats.org/officeDocument/2006/relationships/hyperlink" Target="https://www.immoscout24.ch/fr/appartement/louer/quartier-rosental-bale" TargetMode="External"/><Relationship Id="rId2740" Type="http://schemas.openxmlformats.org/officeDocument/2006/relationships/hyperlink" Target="https://www.immoscout24.ch/fr/appartement/acheter/lieu-baulmes" TargetMode="External"/><Relationship Id="rId12036" Type="http://schemas.openxmlformats.org/officeDocument/2006/relationships/hyperlink" Target="https://www.immoscout24.ch/fr/maison/acheter/lieu-autavaux" TargetMode="External"/><Relationship Id="rId1410" Type="http://schemas.openxmlformats.org/officeDocument/2006/relationships/hyperlink" Target="https://www.immoscout24.ch/fr/appartement/louer/lieu-fresens" TargetMode="External"/><Relationship Id="rId2741" Type="http://schemas.openxmlformats.org/officeDocument/2006/relationships/hyperlink" Target="https://www.immoscout24.ch/fr/appartement/acheter/lieu-avenches" TargetMode="External"/><Relationship Id="rId12035" Type="http://schemas.openxmlformats.org/officeDocument/2006/relationships/hyperlink" Target="https://www.immoscout24.ch/fr/maison/acheter/lieu-autavaux" TargetMode="External"/><Relationship Id="rId1400" Type="http://schemas.openxmlformats.org/officeDocument/2006/relationships/hyperlink" Target="https://www.immoscout24.ch/fr/appartement/louer/lieu-gruyeres" TargetMode="External"/><Relationship Id="rId2731" Type="http://schemas.openxmlformats.org/officeDocument/2006/relationships/hyperlink" Target="https://www.immoscout24.ch/fr/maison/acheter/lieu-moenchaltorf" TargetMode="External"/><Relationship Id="rId1401" Type="http://schemas.openxmlformats.org/officeDocument/2006/relationships/hyperlink" Target="https://www.immoscout24.ch/fr/maison/acheter/lieu-bazenheid" TargetMode="External"/><Relationship Id="rId2732" Type="http://schemas.openxmlformats.org/officeDocument/2006/relationships/hyperlink" Target="https://www.immoscout24.ch/fr/maison/acheter/lieu-moenchaltorf" TargetMode="External"/><Relationship Id="rId1402" Type="http://schemas.openxmlformats.org/officeDocument/2006/relationships/hyperlink" Target="https://www.immoscout24.ch/fr/maison/acheter/lieu-bazenheid" TargetMode="External"/><Relationship Id="rId2733" Type="http://schemas.openxmlformats.org/officeDocument/2006/relationships/hyperlink" Target="https://www.immoscout24.ch/fr/maison/acheter/lieu-hergiswil-nw" TargetMode="External"/><Relationship Id="rId1403" Type="http://schemas.openxmlformats.org/officeDocument/2006/relationships/hyperlink" Target="https://www.immoscout24.ch/fr/appartement/acheter/lieu-mariastein" TargetMode="External"/><Relationship Id="rId2734" Type="http://schemas.openxmlformats.org/officeDocument/2006/relationships/hyperlink" Target="https://www.immoscout24.ch/fr/maison/acheter/lieu-hergiswil-nw" TargetMode="External"/><Relationship Id="rId1404" Type="http://schemas.openxmlformats.org/officeDocument/2006/relationships/hyperlink" Target="https://www.immoscout24.ch/fr/appartement/acheter/lieu-mariastein" TargetMode="External"/><Relationship Id="rId2735" Type="http://schemas.openxmlformats.org/officeDocument/2006/relationships/hyperlink" Target="https://www.immoscout24.ch/fr/appartement/louer/lieu-asp" TargetMode="External"/><Relationship Id="rId12052" Type="http://schemas.openxmlformats.org/officeDocument/2006/relationships/hyperlink" Target="https://www.immoscout24.ch/fr/appartement/louer/lieu-leibstadt" TargetMode="External"/><Relationship Id="rId1405" Type="http://schemas.openxmlformats.org/officeDocument/2006/relationships/hyperlink" Target="https://www.immoscout24.ch/fr/maison/louer/lieu-bieudron-nendaz" TargetMode="External"/><Relationship Id="rId2736" Type="http://schemas.openxmlformats.org/officeDocument/2006/relationships/hyperlink" Target="https://www.immoscout24.ch/fr/appartement/louer/lieu-asp" TargetMode="External"/><Relationship Id="rId12051" Type="http://schemas.openxmlformats.org/officeDocument/2006/relationships/hyperlink" Target="https://www.immoscout24.ch/fr/appartement/louer/lieu-leibstadt" TargetMode="External"/><Relationship Id="rId1406" Type="http://schemas.openxmlformats.org/officeDocument/2006/relationships/hyperlink" Target="https://www.immoscout24.ch/fr/maison/louer/lieu-bieudron-nendaz" TargetMode="External"/><Relationship Id="rId2737" Type="http://schemas.openxmlformats.org/officeDocument/2006/relationships/hyperlink" Target="https://www.immoscout24.ch/fr/maison/louer/lieu-saclentse" TargetMode="External"/><Relationship Id="rId12050" Type="http://schemas.openxmlformats.org/officeDocument/2006/relationships/hyperlink" Target="https://www.immoscout24.ch/fr/appartement/acheter/lieu-wagen" TargetMode="External"/><Relationship Id="rId1407" Type="http://schemas.openxmlformats.org/officeDocument/2006/relationships/hyperlink" Target="https://www.immoscout24.ch/fr/maison/louer/lieu-soyhieres" TargetMode="External"/><Relationship Id="rId2738" Type="http://schemas.openxmlformats.org/officeDocument/2006/relationships/hyperlink" Target="https://www.immoscout24.ch/fr/maison/louer/lieu-saclentse" TargetMode="External"/><Relationship Id="rId1408" Type="http://schemas.openxmlformats.org/officeDocument/2006/relationships/hyperlink" Target="https://www.immoscout24.ch/fr/maison/louer/lieu-soyhieres" TargetMode="External"/><Relationship Id="rId2739" Type="http://schemas.openxmlformats.org/officeDocument/2006/relationships/hyperlink" Target="https://www.immoscout24.ch/fr/appartement/acheter/lieu-baulmes" TargetMode="External"/><Relationship Id="rId1409" Type="http://schemas.openxmlformats.org/officeDocument/2006/relationships/hyperlink" Target="https://www.immoscout24.ch/fr/appartement/louer/lieu-fresens" TargetMode="External"/><Relationship Id="rId12045" Type="http://schemas.openxmlformats.org/officeDocument/2006/relationships/hyperlink" Target="https://www.immoscout24.ch/fr/maison/acheter/lieu-vesin" TargetMode="External"/><Relationship Id="rId12044" Type="http://schemas.openxmlformats.org/officeDocument/2006/relationships/hyperlink" Target="https://www.immoscout24.ch/fr/appartement/louer/lieu-crissier" TargetMode="External"/><Relationship Id="rId12043" Type="http://schemas.openxmlformats.org/officeDocument/2006/relationships/hyperlink" Target="https://www.immoscout24.ch/fr/appartement/louer/lieu-crissier" TargetMode="External"/><Relationship Id="rId12042" Type="http://schemas.openxmlformats.org/officeDocument/2006/relationships/hyperlink" Target="https://www.immoscout24.ch/fr/appartement/acheter/lieu-morcote" TargetMode="External"/><Relationship Id="rId12049" Type="http://schemas.openxmlformats.org/officeDocument/2006/relationships/hyperlink" Target="https://www.immoscout24.ch/fr/appartement/acheter/lieu-wagen" TargetMode="External"/><Relationship Id="rId12048" Type="http://schemas.openxmlformats.org/officeDocument/2006/relationships/hyperlink" Target="https://www.immoscout24.ch/fr/maison/louer/lieu-les-mosses" TargetMode="External"/><Relationship Id="rId12047" Type="http://schemas.openxmlformats.org/officeDocument/2006/relationships/hyperlink" Target="https://www.immoscout24.ch/fr/maison/louer/lieu-les-mosses" TargetMode="External"/><Relationship Id="rId2730" Type="http://schemas.openxmlformats.org/officeDocument/2006/relationships/hyperlink" Target="https://www.immoscout24.ch/fr/appartement/louer/lieu-grandval" TargetMode="External"/><Relationship Id="rId12046" Type="http://schemas.openxmlformats.org/officeDocument/2006/relationships/hyperlink" Target="https://www.immoscout24.ch/fr/maison/acheter/lieu-vesin" TargetMode="External"/><Relationship Id="rId1433" Type="http://schemas.openxmlformats.org/officeDocument/2006/relationships/hyperlink" Target="https://www.immoscout24.ch/fr/maison/acheter/lieu-fontainemelon" TargetMode="External"/><Relationship Id="rId2764" Type="http://schemas.openxmlformats.org/officeDocument/2006/relationships/hyperlink" Target="https://www.immoscout24.ch/fr/appartement/acheter/lieu-merlischachen" TargetMode="External"/><Relationship Id="rId1434" Type="http://schemas.openxmlformats.org/officeDocument/2006/relationships/hyperlink" Target="https://www.immoscout24.ch/fr/maison/acheter/lieu-fontainemelon" TargetMode="External"/><Relationship Id="rId2765" Type="http://schemas.openxmlformats.org/officeDocument/2006/relationships/hyperlink" Target="https://www.immoscout24.ch/fr/maison/acheter/lieu-rueschlikon" TargetMode="External"/><Relationship Id="rId1435" Type="http://schemas.openxmlformats.org/officeDocument/2006/relationships/hyperlink" Target="https://www.immoscout24.ch/fr/maison/acheter/lieu-versegeres" TargetMode="External"/><Relationship Id="rId2766" Type="http://schemas.openxmlformats.org/officeDocument/2006/relationships/hyperlink" Target="https://www.immoscout24.ch/fr/maison/acheter/lieu-rueschlikon" TargetMode="External"/><Relationship Id="rId1436" Type="http://schemas.openxmlformats.org/officeDocument/2006/relationships/hyperlink" Target="https://www.immoscout24.ch/fr/maison/acheter/lieu-versegeres" TargetMode="External"/><Relationship Id="rId2767" Type="http://schemas.openxmlformats.org/officeDocument/2006/relationships/hyperlink" Target="https://www.immoscout24.ch/fr/maison/louer/lieu-aubonne" TargetMode="External"/><Relationship Id="rId1437" Type="http://schemas.openxmlformats.org/officeDocument/2006/relationships/hyperlink" Target="https://www.immoscout24.ch/fr/maison/louer/lieu-la-chaux-cossonay" TargetMode="External"/><Relationship Id="rId2768" Type="http://schemas.openxmlformats.org/officeDocument/2006/relationships/hyperlink" Target="https://www.immoscout24.ch/fr/maison/louer/lieu-aubonne" TargetMode="External"/><Relationship Id="rId1438" Type="http://schemas.openxmlformats.org/officeDocument/2006/relationships/hyperlink" Target="https://www.immoscout24.ch/fr/maison/louer/lieu-la-chaux-cossonay" TargetMode="External"/><Relationship Id="rId2769" Type="http://schemas.openxmlformats.org/officeDocument/2006/relationships/hyperlink" Target="https://www.immoscout24.ch/fr/maison/louer/lieu-courrendlin" TargetMode="External"/><Relationship Id="rId1439" Type="http://schemas.openxmlformats.org/officeDocument/2006/relationships/hyperlink" Target="https://www.immoscout24.ch/fr/appartement/louer/canton-grisons" TargetMode="External"/><Relationship Id="rId12019" Type="http://schemas.openxmlformats.org/officeDocument/2006/relationships/hyperlink" Target="https://www.immoscout24.ch/fr/maison/acheter/lieu-meikirch" TargetMode="External"/><Relationship Id="rId12018" Type="http://schemas.openxmlformats.org/officeDocument/2006/relationships/hyperlink" Target="https://www.immoscout24.ch/fr/maison/acheter/lieu-lovens" TargetMode="External"/><Relationship Id="rId12017" Type="http://schemas.openxmlformats.org/officeDocument/2006/relationships/hyperlink" Target="https://www.immoscout24.ch/fr/maison/acheter/lieu-lovens" TargetMode="External"/><Relationship Id="rId12012" Type="http://schemas.openxmlformats.org/officeDocument/2006/relationships/hyperlink" Target="https://www.immoscout24.ch/fr/appartement/louer/lieu-wildhaus" TargetMode="External"/><Relationship Id="rId12011" Type="http://schemas.openxmlformats.org/officeDocument/2006/relationships/hyperlink" Target="https://www.immoscout24.ch/fr/appartement/louer/lieu-wildhaus" TargetMode="External"/><Relationship Id="rId12010" Type="http://schemas.openxmlformats.org/officeDocument/2006/relationships/hyperlink" Target="https://www.immoscout24.ch/fr/appartement/acheter/lieu-chene-bougeries" TargetMode="External"/><Relationship Id="rId2760" Type="http://schemas.openxmlformats.org/officeDocument/2006/relationships/hyperlink" Target="https://www.immoscout24.ch/fr/appartement/louer/lieu-font" TargetMode="External"/><Relationship Id="rId12016" Type="http://schemas.openxmlformats.org/officeDocument/2006/relationships/hyperlink" Target="https://www.immoscout24.ch/fr/appartement/louer/lieu-cazis" TargetMode="External"/><Relationship Id="rId1430" Type="http://schemas.openxmlformats.org/officeDocument/2006/relationships/hyperlink" Target="https://www.immoscout24.ch/fr/appartement/louer/lieu-verossaz" TargetMode="External"/><Relationship Id="rId2761" Type="http://schemas.openxmlformats.org/officeDocument/2006/relationships/hyperlink" Target="https://www.immoscout24.ch/fr/appartement/louer/lieu-perroy" TargetMode="External"/><Relationship Id="rId12015" Type="http://schemas.openxmlformats.org/officeDocument/2006/relationships/hyperlink" Target="https://www.immoscout24.ch/fr/appartement/louer/lieu-cazis" TargetMode="External"/><Relationship Id="rId1431" Type="http://schemas.openxmlformats.org/officeDocument/2006/relationships/hyperlink" Target="https://www.immoscout24.ch/fr/appartement/louer/lieu-weesen" TargetMode="External"/><Relationship Id="rId2762" Type="http://schemas.openxmlformats.org/officeDocument/2006/relationships/hyperlink" Target="https://www.immoscout24.ch/fr/appartement/louer/lieu-perroy" TargetMode="External"/><Relationship Id="rId12014" Type="http://schemas.openxmlformats.org/officeDocument/2006/relationships/hyperlink" Target="https://www.immoscout24.ch/fr/maison/acheter/lieu-hindelbank" TargetMode="External"/><Relationship Id="rId1432" Type="http://schemas.openxmlformats.org/officeDocument/2006/relationships/hyperlink" Target="https://www.immoscout24.ch/fr/appartement/louer/lieu-weesen" TargetMode="External"/><Relationship Id="rId2763" Type="http://schemas.openxmlformats.org/officeDocument/2006/relationships/hyperlink" Target="https://www.immoscout24.ch/fr/appartement/acheter/lieu-merlischachen" TargetMode="External"/><Relationship Id="rId12013" Type="http://schemas.openxmlformats.org/officeDocument/2006/relationships/hyperlink" Target="https://www.immoscout24.ch/fr/maison/acheter/lieu-hindelbank" TargetMode="External"/><Relationship Id="rId1422" Type="http://schemas.openxmlformats.org/officeDocument/2006/relationships/hyperlink" Target="https://www.immoscout24.ch/fr/appartement/acheter/lieu-oberoenz" TargetMode="External"/><Relationship Id="rId2753" Type="http://schemas.openxmlformats.org/officeDocument/2006/relationships/hyperlink" Target="https://www.immoscout24.ch/fr/appartement/acheter/lieu-ganterschwil" TargetMode="External"/><Relationship Id="rId1423" Type="http://schemas.openxmlformats.org/officeDocument/2006/relationships/hyperlink" Target="https://www.immoscout24.ch/fr/appartement/louer/lieu-selzach" TargetMode="External"/><Relationship Id="rId2754" Type="http://schemas.openxmlformats.org/officeDocument/2006/relationships/hyperlink" Target="https://www.immoscout24.ch/fr/appartement/acheter/lieu-ganterschwil" TargetMode="External"/><Relationship Id="rId1424" Type="http://schemas.openxmlformats.org/officeDocument/2006/relationships/hyperlink" Target="https://www.immoscout24.ch/fr/appartement/louer/lieu-selzach" TargetMode="External"/><Relationship Id="rId2755" Type="http://schemas.openxmlformats.org/officeDocument/2006/relationships/hyperlink" Target="https://www.immoscout24.ch/fr/appartement/acheter/lieu-val-d-illiez" TargetMode="External"/><Relationship Id="rId1425" Type="http://schemas.openxmlformats.org/officeDocument/2006/relationships/hyperlink" Target="https://www.immoscout24.ch/fr/appartement/acheter/lieu-bullet" TargetMode="External"/><Relationship Id="rId2756" Type="http://schemas.openxmlformats.org/officeDocument/2006/relationships/hyperlink" Target="https://www.immoscout24.ch/fr/appartement/acheter/lieu-val-d-illiez" TargetMode="External"/><Relationship Id="rId1426" Type="http://schemas.openxmlformats.org/officeDocument/2006/relationships/hyperlink" Target="https://www.immoscout24.ch/fr/appartement/acheter/lieu-bullet" TargetMode="External"/><Relationship Id="rId2757" Type="http://schemas.openxmlformats.org/officeDocument/2006/relationships/hyperlink" Target="https://www.immoscout24.ch/fr/maison/acheter/lieu-lenzburg" TargetMode="External"/><Relationship Id="rId12030" Type="http://schemas.openxmlformats.org/officeDocument/2006/relationships/hyperlink" Target="https://www.immoscout24.ch/fr/maison/acheter/lieu-motier-vully" TargetMode="External"/><Relationship Id="rId1427" Type="http://schemas.openxmlformats.org/officeDocument/2006/relationships/hyperlink" Target="https://www.immoscout24.ch/fr/appartement/acheter/lieu-rueras" TargetMode="External"/><Relationship Id="rId2758" Type="http://schemas.openxmlformats.org/officeDocument/2006/relationships/hyperlink" Target="https://www.immoscout24.ch/fr/maison/acheter/lieu-lenzburg" TargetMode="External"/><Relationship Id="rId1428" Type="http://schemas.openxmlformats.org/officeDocument/2006/relationships/hyperlink" Target="https://www.immoscout24.ch/fr/appartement/acheter/lieu-rueras" TargetMode="External"/><Relationship Id="rId2759" Type="http://schemas.openxmlformats.org/officeDocument/2006/relationships/hyperlink" Target="https://www.immoscout24.ch/fr/appartement/louer/lieu-font" TargetMode="External"/><Relationship Id="rId1429" Type="http://schemas.openxmlformats.org/officeDocument/2006/relationships/hyperlink" Target="https://www.immoscout24.ch/fr/appartement/louer/lieu-verossaz" TargetMode="External"/><Relationship Id="rId12029" Type="http://schemas.openxmlformats.org/officeDocument/2006/relationships/hyperlink" Target="https://www.immoscout24.ch/fr/maison/acheter/lieu-motier-vully" TargetMode="External"/><Relationship Id="rId12028" Type="http://schemas.openxmlformats.org/officeDocument/2006/relationships/hyperlink" Target="https://www.immoscout24.ch/fr/appartement/louer/lieu-ausserberg" TargetMode="External"/><Relationship Id="rId12023" Type="http://schemas.openxmlformats.org/officeDocument/2006/relationships/hyperlink" Target="https://www.immoscout24.ch/fr/appartement/louer/lieu-aranno" TargetMode="External"/><Relationship Id="rId12022" Type="http://schemas.openxmlformats.org/officeDocument/2006/relationships/hyperlink" Target="https://www.immoscout24.ch/fr/maison/louer/lieu-brunnen" TargetMode="External"/><Relationship Id="rId12021" Type="http://schemas.openxmlformats.org/officeDocument/2006/relationships/hyperlink" Target="https://www.immoscout24.ch/fr/maison/louer/lieu-brunnen" TargetMode="External"/><Relationship Id="rId12020" Type="http://schemas.openxmlformats.org/officeDocument/2006/relationships/hyperlink" Target="https://www.immoscout24.ch/fr/maison/acheter/lieu-meikirch" TargetMode="External"/><Relationship Id="rId12027" Type="http://schemas.openxmlformats.org/officeDocument/2006/relationships/hyperlink" Target="https://www.immoscout24.ch/fr/appartement/louer/lieu-ausserberg" TargetMode="External"/><Relationship Id="rId2750" Type="http://schemas.openxmlformats.org/officeDocument/2006/relationships/hyperlink" Target="https://www.immoscout24.ch/fr/appartement/louer/secteur-kreis-12" TargetMode="External"/><Relationship Id="rId12026" Type="http://schemas.openxmlformats.org/officeDocument/2006/relationships/hyperlink" Target="https://www.immoscout24.ch/fr/appartement/louer/lieu-sutz" TargetMode="External"/><Relationship Id="rId1420" Type="http://schemas.openxmlformats.org/officeDocument/2006/relationships/hyperlink" Target="https://www.immoscout24.ch/fr/maison/acheter/lieu-onnens-fr" TargetMode="External"/><Relationship Id="rId2751" Type="http://schemas.openxmlformats.org/officeDocument/2006/relationships/hyperlink" Target="https://www.immoscout24.ch/fr/appartement/louer/lieu-bolken" TargetMode="External"/><Relationship Id="rId12025" Type="http://schemas.openxmlformats.org/officeDocument/2006/relationships/hyperlink" Target="https://www.immoscout24.ch/fr/appartement/louer/lieu-sutz" TargetMode="External"/><Relationship Id="rId1421" Type="http://schemas.openxmlformats.org/officeDocument/2006/relationships/hyperlink" Target="https://www.immoscout24.ch/fr/appartement/acheter/lieu-oberoenz" TargetMode="External"/><Relationship Id="rId2752" Type="http://schemas.openxmlformats.org/officeDocument/2006/relationships/hyperlink" Target="https://www.immoscout24.ch/fr/appartement/louer/lieu-bolken" TargetMode="External"/><Relationship Id="rId12024" Type="http://schemas.openxmlformats.org/officeDocument/2006/relationships/hyperlink" Target="https://www.immoscout24.ch/fr/appartement/louer/lieu-aranno" TargetMode="External"/><Relationship Id="rId1499" Type="http://schemas.openxmlformats.org/officeDocument/2006/relationships/hyperlink" Target="https://www.immoscout24.ch/fr/appartement/louer/lieu-plan-les-ouates" TargetMode="External"/><Relationship Id="rId1490" Type="http://schemas.openxmlformats.org/officeDocument/2006/relationships/hyperlink" Target="https://www.immoscout24.ch/fr/appartement/louer/region-seetal-hochdorf" TargetMode="External"/><Relationship Id="rId1491" Type="http://schemas.openxmlformats.org/officeDocument/2006/relationships/hyperlink" Target="https://www.immoscout24.ch/fr/appartement/louer/canton-zoug" TargetMode="External"/><Relationship Id="rId1492" Type="http://schemas.openxmlformats.org/officeDocument/2006/relationships/hyperlink" Target="https://www.immoscout24.ch/fr/appartement/louer/canton-zoug" TargetMode="External"/><Relationship Id="rId1493" Type="http://schemas.openxmlformats.org/officeDocument/2006/relationships/hyperlink" Target="https://www.immoscout24.ch/fr/maison/acheter/lieu-schmitten-fr" TargetMode="External"/><Relationship Id="rId1494" Type="http://schemas.openxmlformats.org/officeDocument/2006/relationships/hyperlink" Target="https://www.immoscout24.ch/fr/maison/acheter/lieu-schmitten-fr" TargetMode="External"/><Relationship Id="rId1495" Type="http://schemas.openxmlformats.org/officeDocument/2006/relationships/hyperlink" Target="https://www.immoscout24.ch/fr/maison/acheter/lieu-roggwil-be" TargetMode="External"/><Relationship Id="rId1496" Type="http://schemas.openxmlformats.org/officeDocument/2006/relationships/hyperlink" Target="https://www.immoscout24.ch/fr/maison/acheter/lieu-roggwil-be" TargetMode="External"/><Relationship Id="rId1497" Type="http://schemas.openxmlformats.org/officeDocument/2006/relationships/hyperlink" Target="https://www.immoscout24.ch/fr/appartement/acheter/lieu-moutier" TargetMode="External"/><Relationship Id="rId1498" Type="http://schemas.openxmlformats.org/officeDocument/2006/relationships/hyperlink" Target="https://www.immoscout24.ch/fr/appartement/acheter/lieu-moutier" TargetMode="External"/><Relationship Id="rId1488" Type="http://schemas.openxmlformats.org/officeDocument/2006/relationships/hyperlink" Target="https://www.immoscout24.ch/fr/appartement/louer/lieu-zinal" TargetMode="External"/><Relationship Id="rId1489" Type="http://schemas.openxmlformats.org/officeDocument/2006/relationships/hyperlink" Target="https://www.immoscout24.ch/fr/appartement/louer/region-seetal-hochdorf" TargetMode="External"/><Relationship Id="rId1480" Type="http://schemas.openxmlformats.org/officeDocument/2006/relationships/hyperlink" Target="https://www.immoscout24.ch/fr/appartement/acheter/lieu-vallamand" TargetMode="External"/><Relationship Id="rId1481" Type="http://schemas.openxmlformats.org/officeDocument/2006/relationships/hyperlink" Target="https://www.immoscout24.ch/fr/appartement/louer/lieu-cornaux-ne" TargetMode="External"/><Relationship Id="rId1482" Type="http://schemas.openxmlformats.org/officeDocument/2006/relationships/hyperlink" Target="https://www.immoscout24.ch/fr/appartement/louer/lieu-cornaux-ne" TargetMode="External"/><Relationship Id="rId1483" Type="http://schemas.openxmlformats.org/officeDocument/2006/relationships/hyperlink" Target="https://www.immoscout24.ch/fr/appartement/louer/lieu-trogne-st-martin" TargetMode="External"/><Relationship Id="rId1484" Type="http://schemas.openxmlformats.org/officeDocument/2006/relationships/hyperlink" Target="https://www.immoscout24.ch/fr/appartement/louer/lieu-trogne-st-martin" TargetMode="External"/><Relationship Id="rId1485" Type="http://schemas.openxmlformats.org/officeDocument/2006/relationships/hyperlink" Target="https://www.immoscout24.ch/fr/maison/acheter/lieu-porrentruy" TargetMode="External"/><Relationship Id="rId1486" Type="http://schemas.openxmlformats.org/officeDocument/2006/relationships/hyperlink" Target="https://www.immoscout24.ch/fr/maison/acheter/lieu-porrentruy" TargetMode="External"/><Relationship Id="rId1487" Type="http://schemas.openxmlformats.org/officeDocument/2006/relationships/hyperlink" Target="https://www.immoscout24.ch/fr/appartement/louer/lieu-zinal" TargetMode="External"/><Relationship Id="rId2820" Type="http://schemas.openxmlformats.org/officeDocument/2006/relationships/hyperlink" Target="https://www.immoscout24.ch/fr/maison/louer/lieu-st-sulpice-vd" TargetMode="External"/><Relationship Id="rId2821" Type="http://schemas.openxmlformats.org/officeDocument/2006/relationships/hyperlink" Target="https://www.immoscout24.ch/fr/appartement/louer/quartier-breganzona-lugano" TargetMode="External"/><Relationship Id="rId2822" Type="http://schemas.openxmlformats.org/officeDocument/2006/relationships/hyperlink" Target="https://www.immoscout24.ch/fr/appartement/louer/quartier-breganzona-lugano" TargetMode="External"/><Relationship Id="rId2823" Type="http://schemas.openxmlformats.org/officeDocument/2006/relationships/hyperlink" Target="https://www.immoscout24.ch/fr/maison/acheter/lieu-chardonne" TargetMode="External"/><Relationship Id="rId2824" Type="http://schemas.openxmlformats.org/officeDocument/2006/relationships/hyperlink" Target="https://www.immoscout24.ch/fr/maison/acheter/lieu-chardonne" TargetMode="External"/><Relationship Id="rId2825" Type="http://schemas.openxmlformats.org/officeDocument/2006/relationships/hyperlink" Target="https://www.immoscout24.ch/fr/appartement/acheter/lieu-agno" TargetMode="External"/><Relationship Id="rId2826" Type="http://schemas.openxmlformats.org/officeDocument/2006/relationships/hyperlink" Target="https://www.immoscout24.ch/fr/appartement/acheter/lieu-agno" TargetMode="External"/><Relationship Id="rId2827" Type="http://schemas.openxmlformats.org/officeDocument/2006/relationships/hyperlink" Target="https://www.immoscout24.ch/fr/appartement/acheter/lieu-massongex" TargetMode="External"/><Relationship Id="rId2828" Type="http://schemas.openxmlformats.org/officeDocument/2006/relationships/hyperlink" Target="https://www.immoscout24.ch/fr/appartement/acheter/lieu-massongex" TargetMode="External"/><Relationship Id="rId2829" Type="http://schemas.openxmlformats.org/officeDocument/2006/relationships/hyperlink" Target="https://www.immoscout24.ch/fr/appartement/louer/lieu-les-acacias" TargetMode="External"/><Relationship Id="rId2810" Type="http://schemas.openxmlformats.org/officeDocument/2006/relationships/hyperlink" Target="https://www.immoscout24.ch/fr/appartement/louer/lieu-corsier-sur-vevey" TargetMode="External"/><Relationship Id="rId2811" Type="http://schemas.openxmlformats.org/officeDocument/2006/relationships/hyperlink" Target="https://www.immoscout24.ch/fr/maison/acheter/lieu-vers-l-eglise" TargetMode="External"/><Relationship Id="rId2812" Type="http://schemas.openxmlformats.org/officeDocument/2006/relationships/hyperlink" Target="https://www.immoscout24.ch/fr/maison/acheter/lieu-vers-l-eglise" TargetMode="External"/><Relationship Id="rId2813" Type="http://schemas.openxmlformats.org/officeDocument/2006/relationships/hyperlink" Target="https://www.immoscout24.ch/fr/appartement/louer/lieu-corcelles-pres-concise" TargetMode="External"/><Relationship Id="rId2814" Type="http://schemas.openxmlformats.org/officeDocument/2006/relationships/hyperlink" Target="https://www.immoscout24.ch/fr/appartement/louer/lieu-corcelles-pres-concise" TargetMode="External"/><Relationship Id="rId2815" Type="http://schemas.openxmlformats.org/officeDocument/2006/relationships/hyperlink" Target="https://www.immoscout24.ch/fr/maison/acheter/lieu-st-george" TargetMode="External"/><Relationship Id="rId2816" Type="http://schemas.openxmlformats.org/officeDocument/2006/relationships/hyperlink" Target="https://www.immoscout24.ch/fr/maison/acheter/lieu-st-george" TargetMode="External"/><Relationship Id="rId2817" Type="http://schemas.openxmlformats.org/officeDocument/2006/relationships/hyperlink" Target="https://www.immoscout24.ch/fr/appartement/acheter/lieu-silvaplana" TargetMode="External"/><Relationship Id="rId2818" Type="http://schemas.openxmlformats.org/officeDocument/2006/relationships/hyperlink" Target="https://www.immoscout24.ch/fr/appartement/acheter/lieu-silvaplana" TargetMode="External"/><Relationship Id="rId2819" Type="http://schemas.openxmlformats.org/officeDocument/2006/relationships/hyperlink" Target="https://www.immoscout24.ch/fr/maison/louer/lieu-st-sulpice-vd" TargetMode="External"/><Relationship Id="rId1510" Type="http://schemas.openxmlformats.org/officeDocument/2006/relationships/hyperlink" Target="https://www.immoscout24.ch/fr/maison/acheter/lieu-la-garde-sembrancher" TargetMode="External"/><Relationship Id="rId2841" Type="http://schemas.openxmlformats.org/officeDocument/2006/relationships/hyperlink" Target="https://www.immoscout24.ch/fr/appartement/louer/lieu-torny-le-grand" TargetMode="External"/><Relationship Id="rId1511" Type="http://schemas.openxmlformats.org/officeDocument/2006/relationships/hyperlink" Target="https://www.immoscout24.ch/fr/maison/acheter/region-fribourg-ville" TargetMode="External"/><Relationship Id="rId2842" Type="http://schemas.openxmlformats.org/officeDocument/2006/relationships/hyperlink" Target="https://www.immoscout24.ch/fr/appartement/louer/lieu-torny-le-grand" TargetMode="External"/><Relationship Id="rId1512" Type="http://schemas.openxmlformats.org/officeDocument/2006/relationships/hyperlink" Target="https://www.immoscout24.ch/fr/maison/acheter/region-fribourg-ville" TargetMode="External"/><Relationship Id="rId2843" Type="http://schemas.openxmlformats.org/officeDocument/2006/relationships/hyperlink" Target="https://www.immoscout24.ch/fr/appartement/louer/lieu-st-romain-ayent" TargetMode="External"/><Relationship Id="rId1513" Type="http://schemas.openxmlformats.org/officeDocument/2006/relationships/hyperlink" Target="https://www.immoscout24.ch/fr/maison/acheter/lieu-borex" TargetMode="External"/><Relationship Id="rId2844" Type="http://schemas.openxmlformats.org/officeDocument/2006/relationships/hyperlink" Target="https://www.immoscout24.ch/fr/appartement/louer/lieu-st-romain-ayent" TargetMode="External"/><Relationship Id="rId1514" Type="http://schemas.openxmlformats.org/officeDocument/2006/relationships/hyperlink" Target="https://www.immoscout24.ch/fr/maison/acheter/lieu-borex" TargetMode="External"/><Relationship Id="rId2845" Type="http://schemas.openxmlformats.org/officeDocument/2006/relationships/hyperlink" Target="https://www.immoscout24.ch/fr/appartement/louer/lieu-oberengstringen" TargetMode="External"/><Relationship Id="rId1515" Type="http://schemas.openxmlformats.org/officeDocument/2006/relationships/hyperlink" Target="https://www.immoscout24.ch/fr/maison/acheter/lieu-cormondreche" TargetMode="External"/><Relationship Id="rId2846" Type="http://schemas.openxmlformats.org/officeDocument/2006/relationships/hyperlink" Target="https://www.immoscout24.ch/fr/appartement/louer/lieu-oberengstringen" TargetMode="External"/><Relationship Id="rId1516" Type="http://schemas.openxmlformats.org/officeDocument/2006/relationships/hyperlink" Target="https://www.immoscout24.ch/fr/maison/acheter/lieu-cormondreche" TargetMode="External"/><Relationship Id="rId2847" Type="http://schemas.openxmlformats.org/officeDocument/2006/relationships/hyperlink" Target="https://www.immoscout24.ch/fr/maison/acheter/lieu-moleson-sur-gruyeres" TargetMode="External"/><Relationship Id="rId1517" Type="http://schemas.openxmlformats.org/officeDocument/2006/relationships/hyperlink" Target="https://www.immoscout24.ch/fr/maison/acheter/lieu-villars-burquin" TargetMode="External"/><Relationship Id="rId2848" Type="http://schemas.openxmlformats.org/officeDocument/2006/relationships/hyperlink" Target="https://www.immoscout24.ch/fr/maison/acheter/lieu-moleson-sur-gruyeres" TargetMode="External"/><Relationship Id="rId1518" Type="http://schemas.openxmlformats.org/officeDocument/2006/relationships/hyperlink" Target="https://www.immoscout24.ch/fr/maison/acheter/lieu-villars-burquin" TargetMode="External"/><Relationship Id="rId2849" Type="http://schemas.openxmlformats.org/officeDocument/2006/relationships/hyperlink" Target="https://www.immoscout24.ch/fr/appartement/louer/lieu-vuisternens-devant-romont" TargetMode="External"/><Relationship Id="rId1519" Type="http://schemas.openxmlformats.org/officeDocument/2006/relationships/hyperlink" Target="https://www.immoscout24.ch/fr/appartement/louer/lieu-lindau" TargetMode="External"/><Relationship Id="rId12298" Type="http://schemas.openxmlformats.org/officeDocument/2006/relationships/hyperlink" Target="https://www.immoscout24.ch/fr/maison/acheter/lieu-senedes" TargetMode="External"/><Relationship Id="rId12297" Type="http://schemas.openxmlformats.org/officeDocument/2006/relationships/hyperlink" Target="https://www.immoscout24.ch/fr/maison/acheter/lieu-senedes" TargetMode="External"/><Relationship Id="rId12296" Type="http://schemas.openxmlformats.org/officeDocument/2006/relationships/hyperlink" Target="https://www.immoscout24.ch/fr/appartement/acheter/lieu-praz-vully" TargetMode="External"/><Relationship Id="rId12295" Type="http://schemas.openxmlformats.org/officeDocument/2006/relationships/hyperlink" Target="https://www.immoscout24.ch/fr/appartement/acheter/lieu-praz-vully" TargetMode="External"/><Relationship Id="rId2840" Type="http://schemas.openxmlformats.org/officeDocument/2006/relationships/hyperlink" Target="https://www.immoscout24.ch/fr/appartement/acheter/lieu-penthaz" TargetMode="External"/><Relationship Id="rId12299" Type="http://schemas.openxmlformats.org/officeDocument/2006/relationships/hyperlink" Target="https://www.immoscout24.ch/fr/maison/acheter/lieu-la-vraconnaz" TargetMode="External"/><Relationship Id="rId2830" Type="http://schemas.openxmlformats.org/officeDocument/2006/relationships/hyperlink" Target="https://www.immoscout24.ch/fr/appartement/louer/lieu-les-acacias" TargetMode="External"/><Relationship Id="rId1500" Type="http://schemas.openxmlformats.org/officeDocument/2006/relationships/hyperlink" Target="https://www.immoscout24.ch/fr/appartement/louer/lieu-plan-les-ouates" TargetMode="External"/><Relationship Id="rId2831" Type="http://schemas.openxmlformats.org/officeDocument/2006/relationships/hyperlink" Target="https://www.immoscout24.ch/fr/maison/acheter/lieu-comologno" TargetMode="External"/><Relationship Id="rId1501" Type="http://schemas.openxmlformats.org/officeDocument/2006/relationships/hyperlink" Target="https://www.immoscout24.ch/fr/appartement/acheter/lieu-ferpicloz" TargetMode="External"/><Relationship Id="rId2832" Type="http://schemas.openxmlformats.org/officeDocument/2006/relationships/hyperlink" Target="https://www.immoscout24.ch/fr/maison/acheter/lieu-comologno" TargetMode="External"/><Relationship Id="rId1502" Type="http://schemas.openxmlformats.org/officeDocument/2006/relationships/hyperlink" Target="https://www.immoscout24.ch/fr/appartement/acheter/lieu-ferpicloz" TargetMode="External"/><Relationship Id="rId2833" Type="http://schemas.openxmlformats.org/officeDocument/2006/relationships/hyperlink" Target="https://www.immoscout24.ch/fr/maison/acheter/lieu-rances" TargetMode="External"/><Relationship Id="rId1503" Type="http://schemas.openxmlformats.org/officeDocument/2006/relationships/hyperlink" Target="https://www.immoscout24.ch/fr/maison/louer/lieu-schwarzenburg" TargetMode="External"/><Relationship Id="rId2834" Type="http://schemas.openxmlformats.org/officeDocument/2006/relationships/hyperlink" Target="https://www.immoscout24.ch/fr/maison/acheter/lieu-rances" TargetMode="External"/><Relationship Id="rId1504" Type="http://schemas.openxmlformats.org/officeDocument/2006/relationships/hyperlink" Target="https://www.immoscout24.ch/fr/maison/louer/lieu-schwarzenburg" TargetMode="External"/><Relationship Id="rId2835" Type="http://schemas.openxmlformats.org/officeDocument/2006/relationships/hyperlink" Target="https://www.immoscout24.ch/fr/maison/louer/lieu-fetigny" TargetMode="External"/><Relationship Id="rId1505" Type="http://schemas.openxmlformats.org/officeDocument/2006/relationships/hyperlink" Target="https://www.immoscout24.ch/fr/maison/acheter/quartier-beaulieu-grey-boisy-lausanne" TargetMode="External"/><Relationship Id="rId2836" Type="http://schemas.openxmlformats.org/officeDocument/2006/relationships/hyperlink" Target="https://www.immoscout24.ch/fr/maison/louer/lieu-fetigny" TargetMode="External"/><Relationship Id="rId1506" Type="http://schemas.openxmlformats.org/officeDocument/2006/relationships/hyperlink" Target="https://www.immoscout24.ch/fr/maison/acheter/quartier-beaulieu-grey-boisy-lausanne" TargetMode="External"/><Relationship Id="rId2837" Type="http://schemas.openxmlformats.org/officeDocument/2006/relationships/hyperlink" Target="https://www.immoscout24.ch/fr/maison/acheter/lieu-poliez-le-grand" TargetMode="External"/><Relationship Id="rId1507" Type="http://schemas.openxmlformats.org/officeDocument/2006/relationships/hyperlink" Target="https://www.immoscout24.ch/fr/appartement/louer/quartier-herblingen-schaffhouse" TargetMode="External"/><Relationship Id="rId2838" Type="http://schemas.openxmlformats.org/officeDocument/2006/relationships/hyperlink" Target="https://www.immoscout24.ch/fr/maison/acheter/lieu-poliez-le-grand" TargetMode="External"/><Relationship Id="rId1508" Type="http://schemas.openxmlformats.org/officeDocument/2006/relationships/hyperlink" Target="https://www.immoscout24.ch/fr/appartement/louer/quartier-herblingen-schaffhouse" TargetMode="External"/><Relationship Id="rId2839" Type="http://schemas.openxmlformats.org/officeDocument/2006/relationships/hyperlink" Target="https://www.immoscout24.ch/fr/appartement/acheter/lieu-penthaz" TargetMode="External"/><Relationship Id="rId1509" Type="http://schemas.openxmlformats.org/officeDocument/2006/relationships/hyperlink" Target="https://www.immoscout24.ch/fr/maison/acheter/lieu-la-garde-sembrancher" TargetMode="External"/><Relationship Id="rId2800" Type="http://schemas.openxmlformats.org/officeDocument/2006/relationships/hyperlink" Target="https://www.immoscout24.ch/fr/appartement/acheter/lieu-tavannes" TargetMode="External"/><Relationship Id="rId2801" Type="http://schemas.openxmlformats.org/officeDocument/2006/relationships/hyperlink" Target="https://www.immoscout24.ch/fr/appartement/acheter/pays-pologne" TargetMode="External"/><Relationship Id="rId2802" Type="http://schemas.openxmlformats.org/officeDocument/2006/relationships/hyperlink" Target="https://www.immoscout24.ch/fr/appartement/acheter/pays-pologne" TargetMode="External"/><Relationship Id="rId2803" Type="http://schemas.openxmlformats.org/officeDocument/2006/relationships/hyperlink" Target="https://www.immoscout24.ch/fr/appartement/louer/lieu-les-granges-salvan" TargetMode="External"/><Relationship Id="rId2804" Type="http://schemas.openxmlformats.org/officeDocument/2006/relationships/hyperlink" Target="https://www.immoscout24.ch/fr/appartement/louer/lieu-les-granges-salvan" TargetMode="External"/><Relationship Id="rId2805" Type="http://schemas.openxmlformats.org/officeDocument/2006/relationships/hyperlink" Target="https://www.immoscout24.ch/fr/appartement/acheter/lieu-wilderswil" TargetMode="External"/><Relationship Id="rId2806" Type="http://schemas.openxmlformats.org/officeDocument/2006/relationships/hyperlink" Target="https://www.immoscout24.ch/fr/appartement/acheter/lieu-wilderswil" TargetMode="External"/><Relationship Id="rId2807" Type="http://schemas.openxmlformats.org/officeDocument/2006/relationships/hyperlink" Target="https://www.immoscout24.ch/fr/appartement/louer/lieu-nuerensdorf" TargetMode="External"/><Relationship Id="rId2808" Type="http://schemas.openxmlformats.org/officeDocument/2006/relationships/hyperlink" Target="https://www.immoscout24.ch/fr/appartement/louer/lieu-nuerensdorf" TargetMode="External"/><Relationship Id="rId2809" Type="http://schemas.openxmlformats.org/officeDocument/2006/relationships/hyperlink" Target="https://www.immoscout24.ch/fr/appartement/louer/lieu-corsier-sur-vevey" TargetMode="External"/><Relationship Id="rId1576" Type="http://schemas.openxmlformats.org/officeDocument/2006/relationships/hyperlink" Target="https://www.immoscout24.ch/fr/maison/louer/lieu-aumont" TargetMode="External"/><Relationship Id="rId1577" Type="http://schemas.openxmlformats.org/officeDocument/2006/relationships/hyperlink" Target="https://www.immoscout24.ch/fr/maison/acheter/lieu-neuhausen-am-rheinfall" TargetMode="External"/><Relationship Id="rId1578" Type="http://schemas.openxmlformats.org/officeDocument/2006/relationships/hyperlink" Target="https://www.immoscout24.ch/fr/maison/acheter/lieu-neuhausen-am-rheinfall" TargetMode="External"/><Relationship Id="rId1579" Type="http://schemas.openxmlformats.org/officeDocument/2006/relationships/hyperlink" Target="https://www.immoscout24.ch/fr/maison/louer/lieu-morgins" TargetMode="External"/><Relationship Id="rId12360" Type="http://schemas.openxmlformats.org/officeDocument/2006/relationships/hyperlink" Target="https://www.immoscout24.ch/fr/maison/acheter/lieu-rorbas" TargetMode="External"/><Relationship Id="rId11029" Type="http://schemas.openxmlformats.org/officeDocument/2006/relationships/hyperlink" Target="https://www.immoscout24.ch/fr/maison/acheter/lieu-zuchwil" TargetMode="External"/><Relationship Id="rId11027" Type="http://schemas.openxmlformats.org/officeDocument/2006/relationships/hyperlink" Target="https://www.immoscout24.ch/fr/maison/acheter/lieu-conches" TargetMode="External"/><Relationship Id="rId12359" Type="http://schemas.openxmlformats.org/officeDocument/2006/relationships/hyperlink" Target="https://www.immoscout24.ch/fr/maison/acheter/lieu-rorbas" TargetMode="External"/><Relationship Id="rId11028" Type="http://schemas.openxmlformats.org/officeDocument/2006/relationships/hyperlink" Target="https://www.immoscout24.ch/fr/maison/acheter/lieu-conches" TargetMode="External"/><Relationship Id="rId12358" Type="http://schemas.openxmlformats.org/officeDocument/2006/relationships/hyperlink" Target="https://www.immoscout24.ch/fr/maison/acheter/lieu-liesberg" TargetMode="External"/><Relationship Id="rId11021" Type="http://schemas.openxmlformats.org/officeDocument/2006/relationships/hyperlink" Target="https://www.immoscout24.ch/fr/maison/acheter/quartier-bre-lugano" TargetMode="External"/><Relationship Id="rId12353" Type="http://schemas.openxmlformats.org/officeDocument/2006/relationships/hyperlink" Target="https://www.immoscout24.ch/fr/appartement/louer/lieu-zuzwil-sg" TargetMode="External"/><Relationship Id="rId11022" Type="http://schemas.openxmlformats.org/officeDocument/2006/relationships/hyperlink" Target="https://www.immoscout24.ch/fr/maison/acheter/quartier-bre-lugano" TargetMode="External"/><Relationship Id="rId12352" Type="http://schemas.openxmlformats.org/officeDocument/2006/relationships/hyperlink" Target="https://www.immoscout24.ch/fr/appartement/acheter/lieu-lajoux-ju" TargetMode="External"/><Relationship Id="rId1570" Type="http://schemas.openxmlformats.org/officeDocument/2006/relationships/hyperlink" Target="https://www.immoscout24.ch/fr/appartement/louer/lieu-murist" TargetMode="External"/><Relationship Id="rId12351" Type="http://schemas.openxmlformats.org/officeDocument/2006/relationships/hyperlink" Target="https://www.immoscout24.ch/fr/appartement/acheter/lieu-lajoux-ju" TargetMode="External"/><Relationship Id="rId1571" Type="http://schemas.openxmlformats.org/officeDocument/2006/relationships/hyperlink" Target="https://www.immoscout24.ch/fr/maison/acheter/lieu-heimberg" TargetMode="External"/><Relationship Id="rId11020" Type="http://schemas.openxmlformats.org/officeDocument/2006/relationships/hyperlink" Target="https://www.immoscout24.ch/fr/appartement/louer/lieu-gelterkinden" TargetMode="External"/><Relationship Id="rId12350" Type="http://schemas.openxmlformats.org/officeDocument/2006/relationships/hyperlink" Target="https://www.immoscout24.ch/fr/maison/acheter/lieu-granges-pres-marnand" TargetMode="External"/><Relationship Id="rId1572" Type="http://schemas.openxmlformats.org/officeDocument/2006/relationships/hyperlink" Target="https://www.immoscout24.ch/fr/maison/acheter/lieu-heimberg" TargetMode="External"/><Relationship Id="rId11025" Type="http://schemas.openxmlformats.org/officeDocument/2006/relationships/hyperlink" Target="https://www.immoscout24.ch/fr/maison/louer/lieu-cortebert" TargetMode="External"/><Relationship Id="rId12357" Type="http://schemas.openxmlformats.org/officeDocument/2006/relationships/hyperlink" Target="https://www.immoscout24.ch/fr/maison/acheter/lieu-liesberg" TargetMode="External"/><Relationship Id="rId1573" Type="http://schemas.openxmlformats.org/officeDocument/2006/relationships/hyperlink" Target="https://www.immoscout24.ch/fr/maison/acheter/lieu-savigny" TargetMode="External"/><Relationship Id="rId11026" Type="http://schemas.openxmlformats.org/officeDocument/2006/relationships/hyperlink" Target="https://www.immoscout24.ch/fr/maison/louer/lieu-cortebert" TargetMode="External"/><Relationship Id="rId12356" Type="http://schemas.openxmlformats.org/officeDocument/2006/relationships/hyperlink" Target="https://www.immoscout24.ch/fr/appartement/acheter/lieu-saanenmoeser" TargetMode="External"/><Relationship Id="rId1574" Type="http://schemas.openxmlformats.org/officeDocument/2006/relationships/hyperlink" Target="https://www.immoscout24.ch/fr/maison/acheter/lieu-savigny" TargetMode="External"/><Relationship Id="rId11023" Type="http://schemas.openxmlformats.org/officeDocument/2006/relationships/hyperlink" Target="https://www.immoscout24.ch/fr/appartement/acheter/lieu-lufingen" TargetMode="External"/><Relationship Id="rId12355" Type="http://schemas.openxmlformats.org/officeDocument/2006/relationships/hyperlink" Target="https://www.immoscout24.ch/fr/appartement/acheter/lieu-saanenmoeser" TargetMode="External"/><Relationship Id="rId1575" Type="http://schemas.openxmlformats.org/officeDocument/2006/relationships/hyperlink" Target="https://www.immoscout24.ch/fr/maison/louer/lieu-aumont" TargetMode="External"/><Relationship Id="rId11024" Type="http://schemas.openxmlformats.org/officeDocument/2006/relationships/hyperlink" Target="https://www.immoscout24.ch/fr/appartement/acheter/lieu-lufingen" TargetMode="External"/><Relationship Id="rId12354" Type="http://schemas.openxmlformats.org/officeDocument/2006/relationships/hyperlink" Target="https://www.immoscout24.ch/fr/appartement/louer/lieu-zuzwil-sg" TargetMode="External"/><Relationship Id="rId1565" Type="http://schemas.openxmlformats.org/officeDocument/2006/relationships/hyperlink" Target="https://www.immoscout24.ch/fr/maison/acheter/lieu-juriens" TargetMode="External"/><Relationship Id="rId2896" Type="http://schemas.openxmlformats.org/officeDocument/2006/relationships/hyperlink" Target="https://www.immoscout24.ch/fr/maison/louer/region-guerbetal-voralpen" TargetMode="External"/><Relationship Id="rId1566" Type="http://schemas.openxmlformats.org/officeDocument/2006/relationships/hyperlink" Target="https://www.immoscout24.ch/fr/maison/acheter/lieu-juriens" TargetMode="External"/><Relationship Id="rId2897" Type="http://schemas.openxmlformats.org/officeDocument/2006/relationships/hyperlink" Target="https://www.immoscout24.ch/fr/appartement/acheter/lieu-heerbrugg" TargetMode="External"/><Relationship Id="rId1567" Type="http://schemas.openxmlformats.org/officeDocument/2006/relationships/hyperlink" Target="https://www.immoscout24.ch/fr/appartement/louer/lieu-sommentier" TargetMode="External"/><Relationship Id="rId2898" Type="http://schemas.openxmlformats.org/officeDocument/2006/relationships/hyperlink" Target="https://www.immoscout24.ch/fr/appartement/acheter/lieu-heerbrugg" TargetMode="External"/><Relationship Id="rId1568" Type="http://schemas.openxmlformats.org/officeDocument/2006/relationships/hyperlink" Target="https://www.immoscout24.ch/fr/appartement/louer/lieu-sommentier" TargetMode="External"/><Relationship Id="rId2899" Type="http://schemas.openxmlformats.org/officeDocument/2006/relationships/hyperlink" Target="https://www.immoscout24.ch/fr/maison/acheter/pays-liechtenstein" TargetMode="External"/><Relationship Id="rId1569" Type="http://schemas.openxmlformats.org/officeDocument/2006/relationships/hyperlink" Target="https://www.immoscout24.ch/fr/appartement/louer/lieu-murist" TargetMode="External"/><Relationship Id="rId12371" Type="http://schemas.openxmlformats.org/officeDocument/2006/relationships/hyperlink" Target="https://www.immoscout24.ch/fr/appartement/acheter/lieu-vallon" TargetMode="External"/><Relationship Id="rId11040" Type="http://schemas.openxmlformats.org/officeDocument/2006/relationships/hyperlink" Target="https://www.immoscout24.ch/fr/appartement/acheter/lieu-le-lignon" TargetMode="External"/><Relationship Id="rId12370" Type="http://schemas.openxmlformats.org/officeDocument/2006/relationships/hyperlink" Target="https://www.immoscout24.ch/fr/maison/acheter/lieu-le-cret-pres-semsales" TargetMode="External"/><Relationship Id="rId11038" Type="http://schemas.openxmlformats.org/officeDocument/2006/relationships/hyperlink" Target="https://www.immoscout24.ch/fr/appartement/louer/lieu-bercher" TargetMode="External"/><Relationship Id="rId11039" Type="http://schemas.openxmlformats.org/officeDocument/2006/relationships/hyperlink" Target="https://www.immoscout24.ch/fr/appartement/acheter/lieu-le-lignon" TargetMode="External"/><Relationship Id="rId12369" Type="http://schemas.openxmlformats.org/officeDocument/2006/relationships/hyperlink" Target="https://www.immoscout24.ch/fr/maison/acheter/lieu-le-cret-pres-semsales" TargetMode="External"/><Relationship Id="rId11032" Type="http://schemas.openxmlformats.org/officeDocument/2006/relationships/hyperlink" Target="https://www.immoscout24.ch/fr/appartement/louer/lieu-hinwil" TargetMode="External"/><Relationship Id="rId12364" Type="http://schemas.openxmlformats.org/officeDocument/2006/relationships/hyperlink" Target="https://www.immoscout24.ch/fr/appartement/louer/lieu-conthey" TargetMode="External"/><Relationship Id="rId11033" Type="http://schemas.openxmlformats.org/officeDocument/2006/relationships/hyperlink" Target="https://www.immoscout24.ch/fr/maison/louer/lieu-bellerive-vd" TargetMode="External"/><Relationship Id="rId12363" Type="http://schemas.openxmlformats.org/officeDocument/2006/relationships/hyperlink" Target="https://www.immoscout24.ch/fr/appartement/louer/lieu-conthey" TargetMode="External"/><Relationship Id="rId2890" Type="http://schemas.openxmlformats.org/officeDocument/2006/relationships/hyperlink" Target="https://www.immoscout24.ch/fr/appartement/louer/lieu-bussy-chardonney" TargetMode="External"/><Relationship Id="rId11030" Type="http://schemas.openxmlformats.org/officeDocument/2006/relationships/hyperlink" Target="https://www.immoscout24.ch/fr/maison/acheter/lieu-zuchwil" TargetMode="External"/><Relationship Id="rId12362" Type="http://schemas.openxmlformats.org/officeDocument/2006/relationships/hyperlink" Target="https://www.immoscout24.ch/fr/maison/acheter/lieu-fey" TargetMode="External"/><Relationship Id="rId1560" Type="http://schemas.openxmlformats.org/officeDocument/2006/relationships/hyperlink" Target="https://www.immoscout24.ch/fr/appartement/louer/lieu-diessenhofen" TargetMode="External"/><Relationship Id="rId2891" Type="http://schemas.openxmlformats.org/officeDocument/2006/relationships/hyperlink" Target="https://www.immoscout24.ch/fr/appartement/louer/quartier-albisrieden-zurich" TargetMode="External"/><Relationship Id="rId11031" Type="http://schemas.openxmlformats.org/officeDocument/2006/relationships/hyperlink" Target="https://www.immoscout24.ch/fr/appartement/louer/lieu-hinwil" TargetMode="External"/><Relationship Id="rId12361" Type="http://schemas.openxmlformats.org/officeDocument/2006/relationships/hyperlink" Target="https://www.immoscout24.ch/fr/maison/acheter/lieu-fey" TargetMode="External"/><Relationship Id="rId1561" Type="http://schemas.openxmlformats.org/officeDocument/2006/relationships/hyperlink" Target="https://www.immoscout24.ch/fr/appartement/acheter/lieu-krattigen" TargetMode="External"/><Relationship Id="rId2892" Type="http://schemas.openxmlformats.org/officeDocument/2006/relationships/hyperlink" Target="https://www.immoscout24.ch/fr/appartement/louer/quartier-albisrieden-zurich" TargetMode="External"/><Relationship Id="rId11036" Type="http://schemas.openxmlformats.org/officeDocument/2006/relationships/hyperlink" Target="https://www.immoscout24.ch/fr/appartement/louer/lieu-leuzigen" TargetMode="External"/><Relationship Id="rId12368" Type="http://schemas.openxmlformats.org/officeDocument/2006/relationships/hyperlink" Target="https://www.immoscout24.ch/fr/maison/acheter/lieu-sorvilier" TargetMode="External"/><Relationship Id="rId1562" Type="http://schemas.openxmlformats.org/officeDocument/2006/relationships/hyperlink" Target="https://www.immoscout24.ch/fr/appartement/acheter/lieu-krattigen" TargetMode="External"/><Relationship Id="rId2893" Type="http://schemas.openxmlformats.org/officeDocument/2006/relationships/hyperlink" Target="https://www.immoscout24.ch/fr/appartement/acheter/lieu-jegenstorf" TargetMode="External"/><Relationship Id="rId11037" Type="http://schemas.openxmlformats.org/officeDocument/2006/relationships/hyperlink" Target="https://www.immoscout24.ch/fr/appartement/louer/lieu-bercher" TargetMode="External"/><Relationship Id="rId12367" Type="http://schemas.openxmlformats.org/officeDocument/2006/relationships/hyperlink" Target="https://www.immoscout24.ch/fr/maison/acheter/lieu-sorvilier" TargetMode="External"/><Relationship Id="rId1563" Type="http://schemas.openxmlformats.org/officeDocument/2006/relationships/hyperlink" Target="https://www.immoscout24.ch/fr/appartement/acheter/lieu-bellinzona" TargetMode="External"/><Relationship Id="rId2894" Type="http://schemas.openxmlformats.org/officeDocument/2006/relationships/hyperlink" Target="https://www.immoscout24.ch/fr/appartement/acheter/lieu-jegenstorf" TargetMode="External"/><Relationship Id="rId11034" Type="http://schemas.openxmlformats.org/officeDocument/2006/relationships/hyperlink" Target="https://www.immoscout24.ch/fr/maison/louer/lieu-bellerive-vd" TargetMode="External"/><Relationship Id="rId12366" Type="http://schemas.openxmlformats.org/officeDocument/2006/relationships/hyperlink" Target="https://www.immoscout24.ch/fr/appartement/louer/lieu-avry-devant-pont" TargetMode="External"/><Relationship Id="rId1564" Type="http://schemas.openxmlformats.org/officeDocument/2006/relationships/hyperlink" Target="https://www.immoscout24.ch/fr/appartement/acheter/lieu-bellinzona" TargetMode="External"/><Relationship Id="rId2895" Type="http://schemas.openxmlformats.org/officeDocument/2006/relationships/hyperlink" Target="https://www.immoscout24.ch/fr/maison/louer/region-guerbetal-voralpen" TargetMode="External"/><Relationship Id="rId11035" Type="http://schemas.openxmlformats.org/officeDocument/2006/relationships/hyperlink" Target="https://www.immoscout24.ch/fr/appartement/louer/lieu-leuzigen" TargetMode="External"/><Relationship Id="rId12365" Type="http://schemas.openxmlformats.org/officeDocument/2006/relationships/hyperlink" Target="https://www.immoscout24.ch/fr/appartement/louer/lieu-avry-devant-pont" TargetMode="External"/><Relationship Id="rId1598" Type="http://schemas.openxmlformats.org/officeDocument/2006/relationships/hyperlink" Target="https://www.immoscout24.ch/fr/maison/louer/lieu-aarberg" TargetMode="External"/><Relationship Id="rId1599" Type="http://schemas.openxmlformats.org/officeDocument/2006/relationships/hyperlink" Target="https://www.immoscout24.ch/fr/appartement/acheter/lieu-st-aubin-sauges" TargetMode="External"/><Relationship Id="rId11007" Type="http://schemas.openxmlformats.org/officeDocument/2006/relationships/hyperlink" Target="https://www.immoscout24.ch/fr/appartement/louer/lieu-premier" TargetMode="External"/><Relationship Id="rId12339" Type="http://schemas.openxmlformats.org/officeDocument/2006/relationships/hyperlink" Target="https://www.immoscout24.ch/fr/appartement/acheter/lieu-wangs" TargetMode="External"/><Relationship Id="rId11008" Type="http://schemas.openxmlformats.org/officeDocument/2006/relationships/hyperlink" Target="https://www.immoscout24.ch/fr/appartement/louer/lieu-premier" TargetMode="External"/><Relationship Id="rId12338" Type="http://schemas.openxmlformats.org/officeDocument/2006/relationships/hyperlink" Target="https://www.immoscout24.ch/fr/appartement/louer/lieu-kemptthal" TargetMode="External"/><Relationship Id="rId11005" Type="http://schemas.openxmlformats.org/officeDocument/2006/relationships/hyperlink" Target="https://www.immoscout24.ch/fr/appartement/louer/lieu-rotkreuz" TargetMode="External"/><Relationship Id="rId12337" Type="http://schemas.openxmlformats.org/officeDocument/2006/relationships/hyperlink" Target="https://www.immoscout24.ch/fr/appartement/louer/lieu-kemptthal" TargetMode="External"/><Relationship Id="rId11006" Type="http://schemas.openxmlformats.org/officeDocument/2006/relationships/hyperlink" Target="https://www.immoscout24.ch/fr/appartement/louer/lieu-rotkreuz" TargetMode="External"/><Relationship Id="rId12336" Type="http://schemas.openxmlformats.org/officeDocument/2006/relationships/hyperlink" Target="https://www.immoscout24.ch/fr/maison/acheter/lieu-lully-vd" TargetMode="External"/><Relationship Id="rId11009" Type="http://schemas.openxmlformats.org/officeDocument/2006/relationships/hyperlink" Target="https://www.immoscout24.ch/fr/maison/acheter/lieu-auvernier" TargetMode="External"/><Relationship Id="rId1590" Type="http://schemas.openxmlformats.org/officeDocument/2006/relationships/hyperlink" Target="https://www.immoscout24.ch/fr/appartement/louer/lieu-vouvry" TargetMode="External"/><Relationship Id="rId12331" Type="http://schemas.openxmlformats.org/officeDocument/2006/relationships/hyperlink" Target="https://www.immoscout24.ch/fr/maison/acheter/lieu-cresuz" TargetMode="External"/><Relationship Id="rId1591" Type="http://schemas.openxmlformats.org/officeDocument/2006/relationships/hyperlink" Target="https://www.immoscout24.ch/fr/appartement/acheter/lieu-granges-pres-marnand" TargetMode="External"/><Relationship Id="rId11000" Type="http://schemas.openxmlformats.org/officeDocument/2006/relationships/hyperlink" Target="https://www.immoscout24.ch/fr/appartement/acheter/lieu-denezy" TargetMode="External"/><Relationship Id="rId12330" Type="http://schemas.openxmlformats.org/officeDocument/2006/relationships/hyperlink" Target="https://www.immoscout24.ch/fr/appartement/acheter/lieu-puplinge" TargetMode="External"/><Relationship Id="rId1592" Type="http://schemas.openxmlformats.org/officeDocument/2006/relationships/hyperlink" Target="https://www.immoscout24.ch/fr/appartement/acheter/lieu-granges-pres-marnand" TargetMode="External"/><Relationship Id="rId1593" Type="http://schemas.openxmlformats.org/officeDocument/2006/relationships/hyperlink" Target="https://www.immoscout24.ch/fr/appartement/louer/lieu-wengi-b-bueren" TargetMode="External"/><Relationship Id="rId1594" Type="http://schemas.openxmlformats.org/officeDocument/2006/relationships/hyperlink" Target="https://www.immoscout24.ch/fr/appartement/louer/lieu-wengi-b-bueren" TargetMode="External"/><Relationship Id="rId11003" Type="http://schemas.openxmlformats.org/officeDocument/2006/relationships/hyperlink" Target="https://www.immoscout24.ch/fr/maison/acheter/lieu-kastanienbaum" TargetMode="External"/><Relationship Id="rId12335" Type="http://schemas.openxmlformats.org/officeDocument/2006/relationships/hyperlink" Target="https://www.immoscout24.ch/fr/maison/acheter/lieu-lully-vd" TargetMode="External"/><Relationship Id="rId1595" Type="http://schemas.openxmlformats.org/officeDocument/2006/relationships/hyperlink" Target="https://www.immoscout24.ch/fr/appartement/acheter/lieu-boecourt" TargetMode="External"/><Relationship Id="rId11004" Type="http://schemas.openxmlformats.org/officeDocument/2006/relationships/hyperlink" Target="https://www.immoscout24.ch/fr/maison/acheter/lieu-kastanienbaum" TargetMode="External"/><Relationship Id="rId12334" Type="http://schemas.openxmlformats.org/officeDocument/2006/relationships/hyperlink" Target="https://www.immoscout24.ch/fr/appartement/louer/lieu-bursins" TargetMode="External"/><Relationship Id="rId1596" Type="http://schemas.openxmlformats.org/officeDocument/2006/relationships/hyperlink" Target="https://www.immoscout24.ch/fr/appartement/acheter/lieu-boecourt" TargetMode="External"/><Relationship Id="rId11001" Type="http://schemas.openxmlformats.org/officeDocument/2006/relationships/hyperlink" Target="https://www.immoscout24.ch/fr/appartement/louer/lieu-volketswil" TargetMode="External"/><Relationship Id="rId12333" Type="http://schemas.openxmlformats.org/officeDocument/2006/relationships/hyperlink" Target="https://www.immoscout24.ch/fr/appartement/louer/lieu-bursins" TargetMode="External"/><Relationship Id="rId1597" Type="http://schemas.openxmlformats.org/officeDocument/2006/relationships/hyperlink" Target="https://www.immoscout24.ch/fr/maison/louer/lieu-aarberg" TargetMode="External"/><Relationship Id="rId11002" Type="http://schemas.openxmlformats.org/officeDocument/2006/relationships/hyperlink" Target="https://www.immoscout24.ch/fr/appartement/louer/lieu-volketswil" TargetMode="External"/><Relationship Id="rId12332" Type="http://schemas.openxmlformats.org/officeDocument/2006/relationships/hyperlink" Target="https://www.immoscout24.ch/fr/maison/acheter/lieu-cresuz" TargetMode="External"/><Relationship Id="rId1587" Type="http://schemas.openxmlformats.org/officeDocument/2006/relationships/hyperlink" Target="https://www.immoscout24.ch/fr/appartement/louer/lieu-gwatt-thun" TargetMode="External"/><Relationship Id="rId1588" Type="http://schemas.openxmlformats.org/officeDocument/2006/relationships/hyperlink" Target="https://www.immoscout24.ch/fr/appartement/louer/lieu-gwatt-thun" TargetMode="External"/><Relationship Id="rId1589" Type="http://schemas.openxmlformats.org/officeDocument/2006/relationships/hyperlink" Target="https://www.immoscout24.ch/fr/appartement/louer/lieu-vouvry" TargetMode="External"/><Relationship Id="rId11018" Type="http://schemas.openxmlformats.org/officeDocument/2006/relationships/hyperlink" Target="https://www.immoscout24.ch/fr/appartement/louer/canton-glaris" TargetMode="External"/><Relationship Id="rId11019" Type="http://schemas.openxmlformats.org/officeDocument/2006/relationships/hyperlink" Target="https://www.immoscout24.ch/fr/appartement/louer/lieu-gelterkinden" TargetMode="External"/><Relationship Id="rId12349" Type="http://schemas.openxmlformats.org/officeDocument/2006/relationships/hyperlink" Target="https://www.immoscout24.ch/fr/maison/acheter/lieu-granges-pres-marnand" TargetMode="External"/><Relationship Id="rId11016" Type="http://schemas.openxmlformats.org/officeDocument/2006/relationships/hyperlink" Target="https://www.immoscout24.ch/fr/appartement/acheter/lieu-vilars-ne" TargetMode="External"/><Relationship Id="rId12348" Type="http://schemas.openxmlformats.org/officeDocument/2006/relationships/hyperlink" Target="https://www.immoscout24.ch/fr/maison/acheter/lieu-bellmund" TargetMode="External"/><Relationship Id="rId11017" Type="http://schemas.openxmlformats.org/officeDocument/2006/relationships/hyperlink" Target="https://www.immoscout24.ch/fr/appartement/louer/canton-glaris" TargetMode="External"/><Relationship Id="rId12347" Type="http://schemas.openxmlformats.org/officeDocument/2006/relationships/hyperlink" Target="https://www.immoscout24.ch/fr/maison/acheter/lieu-bellmund" TargetMode="External"/><Relationship Id="rId11010" Type="http://schemas.openxmlformats.org/officeDocument/2006/relationships/hyperlink" Target="https://www.immoscout24.ch/fr/maison/acheter/lieu-auvernier" TargetMode="External"/><Relationship Id="rId12342" Type="http://schemas.openxmlformats.org/officeDocument/2006/relationships/hyperlink" Target="https://www.immoscout24.ch/fr/maison/louer/lieu-lugano" TargetMode="External"/><Relationship Id="rId1580" Type="http://schemas.openxmlformats.org/officeDocument/2006/relationships/hyperlink" Target="https://www.immoscout24.ch/fr/maison/louer/lieu-morgins" TargetMode="External"/><Relationship Id="rId11011" Type="http://schemas.openxmlformats.org/officeDocument/2006/relationships/hyperlink" Target="https://www.immoscout24.ch/fr/appartement/louer/canton-liechtenstein" TargetMode="External"/><Relationship Id="rId12341" Type="http://schemas.openxmlformats.org/officeDocument/2006/relationships/hyperlink" Target="https://www.immoscout24.ch/fr/maison/louer/lieu-lugano" TargetMode="External"/><Relationship Id="rId1581" Type="http://schemas.openxmlformats.org/officeDocument/2006/relationships/hyperlink" Target="https://www.immoscout24.ch/fr/maison/louer/lieu-morrens-vd" TargetMode="External"/><Relationship Id="rId12340" Type="http://schemas.openxmlformats.org/officeDocument/2006/relationships/hyperlink" Target="https://www.immoscout24.ch/fr/appartement/acheter/lieu-wangs" TargetMode="External"/><Relationship Id="rId1582" Type="http://schemas.openxmlformats.org/officeDocument/2006/relationships/hyperlink" Target="https://www.immoscout24.ch/fr/maison/louer/lieu-morrens-vd" TargetMode="External"/><Relationship Id="rId1583" Type="http://schemas.openxmlformats.org/officeDocument/2006/relationships/hyperlink" Target="https://www.immoscout24.ch/fr/appartement/louer/quartier-schonberg-fribourg" TargetMode="External"/><Relationship Id="rId11014" Type="http://schemas.openxmlformats.org/officeDocument/2006/relationships/hyperlink" Target="https://www.immoscout24.ch/fr/appartement/louer/lieu-penthaz" TargetMode="External"/><Relationship Id="rId12346" Type="http://schemas.openxmlformats.org/officeDocument/2006/relationships/hyperlink" Target="https://www.immoscout24.ch/fr/maison/louer/lieu-champlan-grimisuat" TargetMode="External"/><Relationship Id="rId1584" Type="http://schemas.openxmlformats.org/officeDocument/2006/relationships/hyperlink" Target="https://www.immoscout24.ch/fr/appartement/louer/quartier-schonberg-fribourg" TargetMode="External"/><Relationship Id="rId11015" Type="http://schemas.openxmlformats.org/officeDocument/2006/relationships/hyperlink" Target="https://www.immoscout24.ch/fr/appartement/acheter/lieu-vilars-ne" TargetMode="External"/><Relationship Id="rId12345" Type="http://schemas.openxmlformats.org/officeDocument/2006/relationships/hyperlink" Target="https://www.immoscout24.ch/fr/maison/louer/lieu-champlan-grimisuat" TargetMode="External"/><Relationship Id="rId1585" Type="http://schemas.openxmlformats.org/officeDocument/2006/relationships/hyperlink" Target="https://www.immoscout24.ch/fr/appartement/louer/lieu-grengiols" TargetMode="External"/><Relationship Id="rId11012" Type="http://schemas.openxmlformats.org/officeDocument/2006/relationships/hyperlink" Target="https://www.immoscout24.ch/fr/appartement/louer/canton-liechtenstein" TargetMode="External"/><Relationship Id="rId12344" Type="http://schemas.openxmlformats.org/officeDocument/2006/relationships/hyperlink" Target="https://www.immoscout24.ch/fr/maison/acheter/lieu-giffers" TargetMode="External"/><Relationship Id="rId1586" Type="http://schemas.openxmlformats.org/officeDocument/2006/relationships/hyperlink" Target="https://www.immoscout24.ch/fr/appartement/louer/lieu-grengiols" TargetMode="External"/><Relationship Id="rId11013" Type="http://schemas.openxmlformats.org/officeDocument/2006/relationships/hyperlink" Target="https://www.immoscout24.ch/fr/appartement/louer/lieu-penthaz" TargetMode="External"/><Relationship Id="rId12343" Type="http://schemas.openxmlformats.org/officeDocument/2006/relationships/hyperlink" Target="https://www.immoscout24.ch/fr/maison/acheter/lieu-giffers" TargetMode="External"/><Relationship Id="rId1532" Type="http://schemas.openxmlformats.org/officeDocument/2006/relationships/hyperlink" Target="https://www.immoscout24.ch/fr/appartement/acheter/lieu-chavannes-de-bogis" TargetMode="External"/><Relationship Id="rId2863" Type="http://schemas.openxmlformats.org/officeDocument/2006/relationships/hyperlink" Target="https://www.immoscout24.ch/fr/appartement/acheter/lieu-muralto" TargetMode="External"/><Relationship Id="rId1533" Type="http://schemas.openxmlformats.org/officeDocument/2006/relationships/hyperlink" Target="https://www.immoscout24.ch/fr/appartement/acheter/lieu-sargans" TargetMode="External"/><Relationship Id="rId2864" Type="http://schemas.openxmlformats.org/officeDocument/2006/relationships/hyperlink" Target="https://www.immoscout24.ch/fr/appartement/acheter/lieu-muralto" TargetMode="External"/><Relationship Id="rId1534" Type="http://schemas.openxmlformats.org/officeDocument/2006/relationships/hyperlink" Target="https://www.immoscout24.ch/fr/appartement/acheter/lieu-sargans" TargetMode="External"/><Relationship Id="rId2865" Type="http://schemas.openxmlformats.org/officeDocument/2006/relationships/hyperlink" Target="https://www.immoscout24.ch/fr/appartement/acheter/lieu-lenzburg" TargetMode="External"/><Relationship Id="rId1535" Type="http://schemas.openxmlformats.org/officeDocument/2006/relationships/hyperlink" Target="https://www.immoscout24.ch/fr/appartement/louer/lieu-hombrechtikon" TargetMode="External"/><Relationship Id="rId2866" Type="http://schemas.openxmlformats.org/officeDocument/2006/relationships/hyperlink" Target="https://www.immoscout24.ch/fr/appartement/acheter/lieu-lenzburg" TargetMode="External"/><Relationship Id="rId1536" Type="http://schemas.openxmlformats.org/officeDocument/2006/relationships/hyperlink" Target="https://www.immoscout24.ch/fr/appartement/louer/lieu-hombrechtikon" TargetMode="External"/><Relationship Id="rId2867" Type="http://schemas.openxmlformats.org/officeDocument/2006/relationships/hyperlink" Target="https://www.immoscout24.ch/fr/appartement/acheter/lieu-marly" TargetMode="External"/><Relationship Id="rId11072" Type="http://schemas.openxmlformats.org/officeDocument/2006/relationships/hyperlink" Target="https://www.immoscout24.ch/fr/appartement/louer/lieu-produit-leytron" TargetMode="External"/><Relationship Id="rId1537" Type="http://schemas.openxmlformats.org/officeDocument/2006/relationships/hyperlink" Target="https://www.immoscout24.ch/fr/appartement/acheter/lieu-taeuffelen" TargetMode="External"/><Relationship Id="rId2868" Type="http://schemas.openxmlformats.org/officeDocument/2006/relationships/hyperlink" Target="https://www.immoscout24.ch/fr/appartement/acheter/lieu-marly" TargetMode="External"/><Relationship Id="rId11073" Type="http://schemas.openxmlformats.org/officeDocument/2006/relationships/hyperlink" Target="https://www.immoscout24.ch/fr/appartement/louer/lieu-wiggiswil" TargetMode="External"/><Relationship Id="rId1538" Type="http://schemas.openxmlformats.org/officeDocument/2006/relationships/hyperlink" Target="https://www.immoscout24.ch/fr/appartement/acheter/lieu-taeuffelen" TargetMode="External"/><Relationship Id="rId2869" Type="http://schemas.openxmlformats.org/officeDocument/2006/relationships/hyperlink" Target="https://www.immoscout24.ch/fr/appartement/louer/lieu-st-ursen" TargetMode="External"/><Relationship Id="rId11070" Type="http://schemas.openxmlformats.org/officeDocument/2006/relationships/hyperlink" Target="https://www.immoscout24.ch/fr/maison/louer/lieu-la-cibourg" TargetMode="External"/><Relationship Id="rId1539" Type="http://schemas.openxmlformats.org/officeDocument/2006/relationships/hyperlink" Target="https://www.immoscout24.ch/fr/appartement/louer/lieu-longirod" TargetMode="External"/><Relationship Id="rId11071" Type="http://schemas.openxmlformats.org/officeDocument/2006/relationships/hyperlink" Target="https://www.immoscout24.ch/fr/appartement/louer/lieu-produit-leytron" TargetMode="External"/><Relationship Id="rId11065" Type="http://schemas.openxmlformats.org/officeDocument/2006/relationships/hyperlink" Target="https://www.immoscout24.ch/fr/appartement/louer/lieu-winkel" TargetMode="External"/><Relationship Id="rId12397" Type="http://schemas.openxmlformats.org/officeDocument/2006/relationships/hyperlink" Target="https://www.immoscout24.ch/fr/maison/louer/lieu-neuchatel" TargetMode="External"/><Relationship Id="rId11066" Type="http://schemas.openxmlformats.org/officeDocument/2006/relationships/hyperlink" Target="https://www.immoscout24.ch/fr/appartement/louer/lieu-winkel" TargetMode="External"/><Relationship Id="rId12396" Type="http://schemas.openxmlformats.org/officeDocument/2006/relationships/hyperlink" Target="https://www.immoscout24.ch/fr/maison/acheter/lieu-ollon-vs" TargetMode="External"/><Relationship Id="rId11063" Type="http://schemas.openxmlformats.org/officeDocument/2006/relationships/hyperlink" Target="https://www.immoscout24.ch/fr/appartement/louer/lieu-lonay" TargetMode="External"/><Relationship Id="rId12395" Type="http://schemas.openxmlformats.org/officeDocument/2006/relationships/hyperlink" Target="https://www.immoscout24.ch/fr/maison/acheter/lieu-ollon-vs" TargetMode="External"/><Relationship Id="rId11064" Type="http://schemas.openxmlformats.org/officeDocument/2006/relationships/hyperlink" Target="https://www.immoscout24.ch/fr/appartement/louer/lieu-lonay" TargetMode="External"/><Relationship Id="rId12394" Type="http://schemas.openxmlformats.org/officeDocument/2006/relationships/hyperlink" Target="https://www.immoscout24.ch/fr/maison/acheter/lieu-puidoux" TargetMode="External"/><Relationship Id="rId11069" Type="http://schemas.openxmlformats.org/officeDocument/2006/relationships/hyperlink" Target="https://www.immoscout24.ch/fr/maison/louer/lieu-la-cibourg" TargetMode="External"/><Relationship Id="rId2860" Type="http://schemas.openxmlformats.org/officeDocument/2006/relationships/hyperlink" Target="https://www.immoscout24.ch/fr/appartement/louer/lieu-aristau" TargetMode="External"/><Relationship Id="rId1530" Type="http://schemas.openxmlformats.org/officeDocument/2006/relationships/hyperlink" Target="https://www.immoscout24.ch/fr/maison/acheter/lieu-ringgenberg-be" TargetMode="External"/><Relationship Id="rId2861" Type="http://schemas.openxmlformats.org/officeDocument/2006/relationships/hyperlink" Target="https://www.immoscout24.ch/fr/appartement/louer/lieu-bouveret" TargetMode="External"/><Relationship Id="rId11067" Type="http://schemas.openxmlformats.org/officeDocument/2006/relationships/hyperlink" Target="https://www.immoscout24.ch/fr/maison/acheter/lieu-flueh" TargetMode="External"/><Relationship Id="rId12399" Type="http://schemas.openxmlformats.org/officeDocument/2006/relationships/hyperlink" Target="https://www.immoscout24.ch/fr/appartement/louer/lieu-trelex" TargetMode="External"/><Relationship Id="rId1531" Type="http://schemas.openxmlformats.org/officeDocument/2006/relationships/hyperlink" Target="https://www.immoscout24.ch/fr/appartement/acheter/lieu-chavannes-de-bogis" TargetMode="External"/><Relationship Id="rId2862" Type="http://schemas.openxmlformats.org/officeDocument/2006/relationships/hyperlink" Target="https://www.immoscout24.ch/fr/appartement/louer/lieu-bouveret" TargetMode="External"/><Relationship Id="rId11068" Type="http://schemas.openxmlformats.org/officeDocument/2006/relationships/hyperlink" Target="https://www.immoscout24.ch/fr/maison/acheter/lieu-flueh" TargetMode="External"/><Relationship Id="rId12398" Type="http://schemas.openxmlformats.org/officeDocument/2006/relationships/hyperlink" Target="https://www.immoscout24.ch/fr/maison/louer/lieu-neuchatel" TargetMode="External"/><Relationship Id="rId1521" Type="http://schemas.openxmlformats.org/officeDocument/2006/relationships/hyperlink" Target="https://www.immoscout24.ch/fr/appartement/louer/lieu-bioley-orjulaz" TargetMode="External"/><Relationship Id="rId2852" Type="http://schemas.openxmlformats.org/officeDocument/2006/relationships/hyperlink" Target="https://www.immoscout24.ch/fr/maison/acheter/lieu-vullierens" TargetMode="External"/><Relationship Id="rId1522" Type="http://schemas.openxmlformats.org/officeDocument/2006/relationships/hyperlink" Target="https://www.immoscout24.ch/fr/appartement/louer/lieu-bioley-orjulaz" TargetMode="External"/><Relationship Id="rId2853" Type="http://schemas.openxmlformats.org/officeDocument/2006/relationships/hyperlink" Target="https://www.immoscout24.ch/fr/appartement/louer/lieu-buehler" TargetMode="External"/><Relationship Id="rId11080" Type="http://schemas.openxmlformats.org/officeDocument/2006/relationships/hyperlink" Target="https://www.immoscout24.ch/fr/maison/acheter/lieu-progens" TargetMode="External"/><Relationship Id="rId1523" Type="http://schemas.openxmlformats.org/officeDocument/2006/relationships/hyperlink" Target="https://www.immoscout24.ch/fr/appartement/acheter/lieu-zofingen" TargetMode="External"/><Relationship Id="rId2854" Type="http://schemas.openxmlformats.org/officeDocument/2006/relationships/hyperlink" Target="https://www.immoscout24.ch/fr/appartement/louer/lieu-buehler" TargetMode="External"/><Relationship Id="rId1524" Type="http://schemas.openxmlformats.org/officeDocument/2006/relationships/hyperlink" Target="https://www.immoscout24.ch/fr/appartement/acheter/lieu-zofingen" TargetMode="External"/><Relationship Id="rId2855" Type="http://schemas.openxmlformats.org/officeDocument/2006/relationships/hyperlink" Target="https://www.immoscout24.ch/fr/maison/louer/lieu-muraz-collombey" TargetMode="External"/><Relationship Id="rId1525" Type="http://schemas.openxmlformats.org/officeDocument/2006/relationships/hyperlink" Target="https://www.immoscout24.ch/fr/appartement/louer/lieu-rossens-vd" TargetMode="External"/><Relationship Id="rId2856" Type="http://schemas.openxmlformats.org/officeDocument/2006/relationships/hyperlink" Target="https://www.immoscout24.ch/fr/maison/louer/lieu-muraz-collombey" TargetMode="External"/><Relationship Id="rId11083" Type="http://schemas.openxmlformats.org/officeDocument/2006/relationships/hyperlink" Target="https://www.immoscout24.ch/fr/appartement/acheter/region-zurich-et-environs" TargetMode="External"/><Relationship Id="rId1526" Type="http://schemas.openxmlformats.org/officeDocument/2006/relationships/hyperlink" Target="https://www.immoscout24.ch/fr/appartement/louer/lieu-rossens-vd" TargetMode="External"/><Relationship Id="rId2857" Type="http://schemas.openxmlformats.org/officeDocument/2006/relationships/hyperlink" Target="https://www.immoscout24.ch/fr/appartement/louer/quartier-perolles-fribourg" TargetMode="External"/><Relationship Id="rId11084" Type="http://schemas.openxmlformats.org/officeDocument/2006/relationships/hyperlink" Target="https://www.immoscout24.ch/fr/appartement/acheter/region-zurich-et-environs" TargetMode="External"/><Relationship Id="rId1527" Type="http://schemas.openxmlformats.org/officeDocument/2006/relationships/hyperlink" Target="https://www.immoscout24.ch/fr/appartement/louer/lieu-vico-morcote" TargetMode="External"/><Relationship Id="rId2858" Type="http://schemas.openxmlformats.org/officeDocument/2006/relationships/hyperlink" Target="https://www.immoscout24.ch/fr/appartement/louer/quartier-perolles-fribourg" TargetMode="External"/><Relationship Id="rId11081" Type="http://schemas.openxmlformats.org/officeDocument/2006/relationships/hyperlink" Target="https://www.immoscout24.ch/fr/appartement/louer/lieu-cimo" TargetMode="External"/><Relationship Id="rId1528" Type="http://schemas.openxmlformats.org/officeDocument/2006/relationships/hyperlink" Target="https://www.immoscout24.ch/fr/appartement/louer/lieu-vico-morcote" TargetMode="External"/><Relationship Id="rId2859" Type="http://schemas.openxmlformats.org/officeDocument/2006/relationships/hyperlink" Target="https://www.immoscout24.ch/fr/appartement/louer/lieu-aristau" TargetMode="External"/><Relationship Id="rId11082" Type="http://schemas.openxmlformats.org/officeDocument/2006/relationships/hyperlink" Target="https://www.immoscout24.ch/fr/appartement/louer/lieu-cimo" TargetMode="External"/><Relationship Id="rId1529" Type="http://schemas.openxmlformats.org/officeDocument/2006/relationships/hyperlink" Target="https://www.immoscout24.ch/fr/maison/acheter/lieu-ringgenberg-be" TargetMode="External"/><Relationship Id="rId11076" Type="http://schemas.openxmlformats.org/officeDocument/2006/relationships/hyperlink" Target="https://www.immoscout24.ch/fr/maison/louer/lieu-villeneuve-vd" TargetMode="External"/><Relationship Id="rId11077" Type="http://schemas.openxmlformats.org/officeDocument/2006/relationships/hyperlink" Target="https://www.immoscout24.ch/fr/appartement/acheter/lieu-urtenen-schoenbuehl" TargetMode="External"/><Relationship Id="rId11074" Type="http://schemas.openxmlformats.org/officeDocument/2006/relationships/hyperlink" Target="https://www.immoscout24.ch/fr/appartement/louer/lieu-wiggiswil" TargetMode="External"/><Relationship Id="rId11075" Type="http://schemas.openxmlformats.org/officeDocument/2006/relationships/hyperlink" Target="https://www.immoscout24.ch/fr/maison/louer/lieu-villeneuve-vd" TargetMode="External"/><Relationship Id="rId2850" Type="http://schemas.openxmlformats.org/officeDocument/2006/relationships/hyperlink" Target="https://www.immoscout24.ch/fr/appartement/louer/lieu-vuisternens-devant-romont" TargetMode="External"/><Relationship Id="rId11078" Type="http://schemas.openxmlformats.org/officeDocument/2006/relationships/hyperlink" Target="https://www.immoscout24.ch/fr/appartement/acheter/lieu-urtenen-schoenbuehl" TargetMode="External"/><Relationship Id="rId1520" Type="http://schemas.openxmlformats.org/officeDocument/2006/relationships/hyperlink" Target="https://www.immoscout24.ch/fr/appartement/louer/lieu-lindau" TargetMode="External"/><Relationship Id="rId2851" Type="http://schemas.openxmlformats.org/officeDocument/2006/relationships/hyperlink" Target="https://www.immoscout24.ch/fr/maison/acheter/lieu-vullierens" TargetMode="External"/><Relationship Id="rId11079" Type="http://schemas.openxmlformats.org/officeDocument/2006/relationships/hyperlink" Target="https://www.immoscout24.ch/fr/maison/acheter/lieu-progens" TargetMode="External"/><Relationship Id="rId1554" Type="http://schemas.openxmlformats.org/officeDocument/2006/relationships/hyperlink" Target="https://www.immoscout24.ch/fr/appartement/louer/lieu-chenens" TargetMode="External"/><Relationship Id="rId2885" Type="http://schemas.openxmlformats.org/officeDocument/2006/relationships/hyperlink" Target="https://www.immoscout24.ch/fr/maison/acheter/lieu-cormagens" TargetMode="External"/><Relationship Id="rId1555" Type="http://schemas.openxmlformats.org/officeDocument/2006/relationships/hyperlink" Target="https://www.immoscout24.ch/fr/maison/acheter/lieu-schlatt-tg" TargetMode="External"/><Relationship Id="rId2886" Type="http://schemas.openxmlformats.org/officeDocument/2006/relationships/hyperlink" Target="https://www.immoscout24.ch/fr/maison/acheter/lieu-cormagens" TargetMode="External"/><Relationship Id="rId1556" Type="http://schemas.openxmlformats.org/officeDocument/2006/relationships/hyperlink" Target="https://www.immoscout24.ch/fr/maison/acheter/lieu-schlatt-tg" TargetMode="External"/><Relationship Id="rId2887" Type="http://schemas.openxmlformats.org/officeDocument/2006/relationships/hyperlink" Target="https://www.immoscout24.ch/fr/maison/acheter/lieu-boncourt" TargetMode="External"/><Relationship Id="rId1557" Type="http://schemas.openxmlformats.org/officeDocument/2006/relationships/hyperlink" Target="https://www.immoscout24.ch/fr/appartement/louer/region-lugano-e-dintorni" TargetMode="External"/><Relationship Id="rId2888" Type="http://schemas.openxmlformats.org/officeDocument/2006/relationships/hyperlink" Target="https://www.immoscout24.ch/fr/maison/acheter/lieu-boncourt" TargetMode="External"/><Relationship Id="rId1558" Type="http://schemas.openxmlformats.org/officeDocument/2006/relationships/hyperlink" Target="https://www.immoscout24.ch/fr/appartement/louer/region-lugano-e-dintorni" TargetMode="External"/><Relationship Id="rId2889" Type="http://schemas.openxmlformats.org/officeDocument/2006/relationships/hyperlink" Target="https://www.immoscout24.ch/fr/appartement/louer/lieu-bussy-chardonney" TargetMode="External"/><Relationship Id="rId11050" Type="http://schemas.openxmlformats.org/officeDocument/2006/relationships/hyperlink" Target="https://www.immoscout24.ch/fr/maison/acheter/lieu-deitingen" TargetMode="External"/><Relationship Id="rId12382" Type="http://schemas.openxmlformats.org/officeDocument/2006/relationships/hyperlink" Target="https://www.immoscout24.ch/fr/maison/acheter/quartier-pierre-a-bot-acacias-neuchatel" TargetMode="External"/><Relationship Id="rId1559" Type="http://schemas.openxmlformats.org/officeDocument/2006/relationships/hyperlink" Target="https://www.immoscout24.ch/fr/appartement/louer/lieu-diessenhofen" TargetMode="External"/><Relationship Id="rId11051" Type="http://schemas.openxmlformats.org/officeDocument/2006/relationships/hyperlink" Target="https://www.immoscout24.ch/fr/maison/acheter/lieu-corsier-sur-vevey" TargetMode="External"/><Relationship Id="rId12381" Type="http://schemas.openxmlformats.org/officeDocument/2006/relationships/hyperlink" Target="https://www.immoscout24.ch/fr/maison/acheter/quartier-pierre-a-bot-acacias-neuchatel" TargetMode="External"/><Relationship Id="rId12380" Type="http://schemas.openxmlformats.org/officeDocument/2006/relationships/hyperlink" Target="https://www.immoscout24.ch/fr/maison/acheter/lieu-sedeilles" TargetMode="External"/><Relationship Id="rId11049" Type="http://schemas.openxmlformats.org/officeDocument/2006/relationships/hyperlink" Target="https://www.immoscout24.ch/fr/maison/acheter/lieu-deitingen" TargetMode="External"/><Relationship Id="rId11043" Type="http://schemas.openxmlformats.org/officeDocument/2006/relationships/hyperlink" Target="https://www.immoscout24.ch/fr/appartement/louer/quartier-auge-fribourg" TargetMode="External"/><Relationship Id="rId12375" Type="http://schemas.openxmlformats.org/officeDocument/2006/relationships/hyperlink" Target="https://www.immoscout24.ch/fr/maison/louer/region-zurich-ville" TargetMode="External"/><Relationship Id="rId11044" Type="http://schemas.openxmlformats.org/officeDocument/2006/relationships/hyperlink" Target="https://www.immoscout24.ch/fr/appartement/louer/quartier-auge-fribourg" TargetMode="External"/><Relationship Id="rId12374" Type="http://schemas.openxmlformats.org/officeDocument/2006/relationships/hyperlink" Target="https://www.immoscout24.ch/fr/maison/acheter/lieu-trogen" TargetMode="External"/><Relationship Id="rId11041" Type="http://schemas.openxmlformats.org/officeDocument/2006/relationships/hyperlink" Target="https://www.immoscout24.ch/fr/appartement/louer/lieu-noes" TargetMode="External"/><Relationship Id="rId12373" Type="http://schemas.openxmlformats.org/officeDocument/2006/relationships/hyperlink" Target="https://www.immoscout24.ch/fr/maison/acheter/lieu-trogen" TargetMode="External"/><Relationship Id="rId2880" Type="http://schemas.openxmlformats.org/officeDocument/2006/relationships/hyperlink" Target="https://www.immoscout24.ch/fr/maison/acheter/lieu-gampelen" TargetMode="External"/><Relationship Id="rId11042" Type="http://schemas.openxmlformats.org/officeDocument/2006/relationships/hyperlink" Target="https://www.immoscout24.ch/fr/appartement/louer/lieu-noes" TargetMode="External"/><Relationship Id="rId12372" Type="http://schemas.openxmlformats.org/officeDocument/2006/relationships/hyperlink" Target="https://www.immoscout24.ch/fr/appartement/acheter/lieu-vallon" TargetMode="External"/><Relationship Id="rId1550" Type="http://schemas.openxmlformats.org/officeDocument/2006/relationships/hyperlink" Target="https://www.immoscout24.ch/fr/appartement/louer/lieu-stansstad" TargetMode="External"/><Relationship Id="rId2881" Type="http://schemas.openxmlformats.org/officeDocument/2006/relationships/hyperlink" Target="https://www.immoscout24.ch/fr/maison/acheter/region-pfannenstiel" TargetMode="External"/><Relationship Id="rId11047" Type="http://schemas.openxmlformats.org/officeDocument/2006/relationships/hyperlink" Target="https://www.immoscout24.ch/fr/appartement/louer/lieu-schwarzenburg" TargetMode="External"/><Relationship Id="rId12379" Type="http://schemas.openxmlformats.org/officeDocument/2006/relationships/hyperlink" Target="https://www.immoscout24.ch/fr/maison/acheter/lieu-sedeilles" TargetMode="External"/><Relationship Id="rId1551" Type="http://schemas.openxmlformats.org/officeDocument/2006/relationships/hyperlink" Target="https://www.immoscout24.ch/fr/maison/acheter/lieu-kaiserstuhl-ag" TargetMode="External"/><Relationship Id="rId2882" Type="http://schemas.openxmlformats.org/officeDocument/2006/relationships/hyperlink" Target="https://www.immoscout24.ch/fr/maison/acheter/region-pfannenstiel" TargetMode="External"/><Relationship Id="rId11048" Type="http://schemas.openxmlformats.org/officeDocument/2006/relationships/hyperlink" Target="https://www.immoscout24.ch/fr/appartement/louer/lieu-schwarzenburg" TargetMode="External"/><Relationship Id="rId12378" Type="http://schemas.openxmlformats.org/officeDocument/2006/relationships/hyperlink" Target="https://www.immoscout24.ch/fr/appartement/louer/lieu-bubendorf" TargetMode="External"/><Relationship Id="rId1552" Type="http://schemas.openxmlformats.org/officeDocument/2006/relationships/hyperlink" Target="https://www.immoscout24.ch/fr/maison/acheter/lieu-kaiserstuhl-ag" TargetMode="External"/><Relationship Id="rId2883" Type="http://schemas.openxmlformats.org/officeDocument/2006/relationships/hyperlink" Target="https://www.immoscout24.ch/fr/maison/acheter/lieu-vuissens" TargetMode="External"/><Relationship Id="rId11045" Type="http://schemas.openxmlformats.org/officeDocument/2006/relationships/hyperlink" Target="https://www.immoscout24.ch/fr/appartement/louer/lieu-wittenbach" TargetMode="External"/><Relationship Id="rId12377" Type="http://schemas.openxmlformats.org/officeDocument/2006/relationships/hyperlink" Target="https://www.immoscout24.ch/fr/appartement/louer/lieu-bubendorf" TargetMode="External"/><Relationship Id="rId1553" Type="http://schemas.openxmlformats.org/officeDocument/2006/relationships/hyperlink" Target="https://www.immoscout24.ch/fr/appartement/louer/lieu-chenens" TargetMode="External"/><Relationship Id="rId2884" Type="http://schemas.openxmlformats.org/officeDocument/2006/relationships/hyperlink" Target="https://www.immoscout24.ch/fr/maison/acheter/lieu-vuissens" TargetMode="External"/><Relationship Id="rId11046" Type="http://schemas.openxmlformats.org/officeDocument/2006/relationships/hyperlink" Target="https://www.immoscout24.ch/fr/appartement/louer/lieu-wittenbach" TargetMode="External"/><Relationship Id="rId12376" Type="http://schemas.openxmlformats.org/officeDocument/2006/relationships/hyperlink" Target="https://www.immoscout24.ch/fr/maison/louer/region-zurich-ville" TargetMode="External"/><Relationship Id="rId1543" Type="http://schemas.openxmlformats.org/officeDocument/2006/relationships/hyperlink" Target="https://www.immoscout24.ch/fr/appartement/acheter/quartier-aldesago-lugano" TargetMode="External"/><Relationship Id="rId2874" Type="http://schemas.openxmlformats.org/officeDocument/2006/relationships/hyperlink" Target="https://www.immoscout24.ch/fr/maison/acheter/lieu-chene-bourg" TargetMode="External"/><Relationship Id="rId1544" Type="http://schemas.openxmlformats.org/officeDocument/2006/relationships/hyperlink" Target="https://www.immoscout24.ch/fr/appartement/acheter/quartier-aldesago-lugano" TargetMode="External"/><Relationship Id="rId2875" Type="http://schemas.openxmlformats.org/officeDocument/2006/relationships/hyperlink" Target="https://www.immoscout24.ch/fr/maison/acheter/quartier-wettstein-bale" TargetMode="External"/><Relationship Id="rId1545" Type="http://schemas.openxmlformats.org/officeDocument/2006/relationships/hyperlink" Target="https://www.immoscout24.ch/fr/appartement/louer/lieu-fleurier" TargetMode="External"/><Relationship Id="rId2876" Type="http://schemas.openxmlformats.org/officeDocument/2006/relationships/hyperlink" Target="https://www.immoscout24.ch/fr/maison/acheter/quartier-wettstein-bale" TargetMode="External"/><Relationship Id="rId1546" Type="http://schemas.openxmlformats.org/officeDocument/2006/relationships/hyperlink" Target="https://www.immoscout24.ch/fr/appartement/louer/lieu-fleurier" TargetMode="External"/><Relationship Id="rId2877" Type="http://schemas.openxmlformats.org/officeDocument/2006/relationships/hyperlink" Target="https://www.immoscout24.ch/fr/appartement/louer/quartier-buchthalen-schaffhouse" TargetMode="External"/><Relationship Id="rId1547" Type="http://schemas.openxmlformats.org/officeDocument/2006/relationships/hyperlink" Target="https://www.immoscout24.ch/fr/maison/louer/lieu-les-agettes" TargetMode="External"/><Relationship Id="rId2878" Type="http://schemas.openxmlformats.org/officeDocument/2006/relationships/hyperlink" Target="https://www.immoscout24.ch/fr/appartement/louer/quartier-buchthalen-schaffhouse" TargetMode="External"/><Relationship Id="rId11061" Type="http://schemas.openxmlformats.org/officeDocument/2006/relationships/hyperlink" Target="https://www.immoscout24.ch/fr/appartement/acheter/quartier-vignoble-biel-bienne" TargetMode="External"/><Relationship Id="rId12393" Type="http://schemas.openxmlformats.org/officeDocument/2006/relationships/hyperlink" Target="https://www.immoscout24.ch/fr/maison/acheter/lieu-puidoux" TargetMode="External"/><Relationship Id="rId1548" Type="http://schemas.openxmlformats.org/officeDocument/2006/relationships/hyperlink" Target="https://www.immoscout24.ch/fr/maison/louer/lieu-les-agettes" TargetMode="External"/><Relationship Id="rId2879" Type="http://schemas.openxmlformats.org/officeDocument/2006/relationships/hyperlink" Target="https://www.immoscout24.ch/fr/maison/acheter/lieu-gampelen" TargetMode="External"/><Relationship Id="rId11062" Type="http://schemas.openxmlformats.org/officeDocument/2006/relationships/hyperlink" Target="https://www.immoscout24.ch/fr/appartement/acheter/quartier-vignoble-biel-bienne" TargetMode="External"/><Relationship Id="rId12392" Type="http://schemas.openxmlformats.org/officeDocument/2006/relationships/hyperlink" Target="https://www.immoscout24.ch/fr/maison/louer/lieu-le-sepey" TargetMode="External"/><Relationship Id="rId1549" Type="http://schemas.openxmlformats.org/officeDocument/2006/relationships/hyperlink" Target="https://www.immoscout24.ch/fr/appartement/louer/lieu-stansstad" TargetMode="External"/><Relationship Id="rId12391" Type="http://schemas.openxmlformats.org/officeDocument/2006/relationships/hyperlink" Target="https://www.immoscout24.ch/fr/maison/louer/lieu-le-sepey" TargetMode="External"/><Relationship Id="rId11060" Type="http://schemas.openxmlformats.org/officeDocument/2006/relationships/hyperlink" Target="https://www.immoscout24.ch/fr/maison/louer/lieu-cortaillod" TargetMode="External"/><Relationship Id="rId12390" Type="http://schemas.openxmlformats.org/officeDocument/2006/relationships/hyperlink" Target="https://www.immoscout24.ch/fr/appartement/acheter/lieu-port" TargetMode="External"/><Relationship Id="rId11054" Type="http://schemas.openxmlformats.org/officeDocument/2006/relationships/hyperlink" Target="https://www.immoscout24.ch/fr/maison/acheter/lieu-langenthal" TargetMode="External"/><Relationship Id="rId12386" Type="http://schemas.openxmlformats.org/officeDocument/2006/relationships/hyperlink" Target="https://www.immoscout24.ch/fr/appartement/acheter/lieu-hochdorf" TargetMode="External"/><Relationship Id="rId11055" Type="http://schemas.openxmlformats.org/officeDocument/2006/relationships/hyperlink" Target="https://www.immoscout24.ch/fr/maison/acheter/lieu-cortaillod" TargetMode="External"/><Relationship Id="rId12385" Type="http://schemas.openxmlformats.org/officeDocument/2006/relationships/hyperlink" Target="https://www.immoscout24.ch/fr/appartement/acheter/lieu-hochdorf" TargetMode="External"/><Relationship Id="rId11052" Type="http://schemas.openxmlformats.org/officeDocument/2006/relationships/hyperlink" Target="https://www.immoscout24.ch/fr/maison/acheter/lieu-corsier-sur-vevey" TargetMode="External"/><Relationship Id="rId12384" Type="http://schemas.openxmlformats.org/officeDocument/2006/relationships/hyperlink" Target="https://www.immoscout24.ch/fr/appartement/louer/quartier-sallaz-vennes-sechaud-lausanne" TargetMode="External"/><Relationship Id="rId11053" Type="http://schemas.openxmlformats.org/officeDocument/2006/relationships/hyperlink" Target="https://www.immoscout24.ch/fr/maison/acheter/lieu-langenthal" TargetMode="External"/><Relationship Id="rId12383" Type="http://schemas.openxmlformats.org/officeDocument/2006/relationships/hyperlink" Target="https://www.immoscout24.ch/fr/appartement/louer/quartier-sallaz-vennes-sechaud-lausanne" TargetMode="External"/><Relationship Id="rId2870" Type="http://schemas.openxmlformats.org/officeDocument/2006/relationships/hyperlink" Target="https://www.immoscout24.ch/fr/appartement/louer/lieu-st-ursen" TargetMode="External"/><Relationship Id="rId11058" Type="http://schemas.openxmlformats.org/officeDocument/2006/relationships/hyperlink" Target="https://www.immoscout24.ch/fr/maison/louer/lieu-la-sarraz" TargetMode="External"/><Relationship Id="rId1540" Type="http://schemas.openxmlformats.org/officeDocument/2006/relationships/hyperlink" Target="https://www.immoscout24.ch/fr/appartement/louer/lieu-longirod" TargetMode="External"/><Relationship Id="rId2871" Type="http://schemas.openxmlformats.org/officeDocument/2006/relationships/hyperlink" Target="https://www.immoscout24.ch/fr/appartement/louer/lieu-thonex" TargetMode="External"/><Relationship Id="rId11059" Type="http://schemas.openxmlformats.org/officeDocument/2006/relationships/hyperlink" Target="https://www.immoscout24.ch/fr/maison/louer/lieu-cortaillod" TargetMode="External"/><Relationship Id="rId12389" Type="http://schemas.openxmlformats.org/officeDocument/2006/relationships/hyperlink" Target="https://www.immoscout24.ch/fr/appartement/acheter/lieu-port" TargetMode="External"/><Relationship Id="rId1541" Type="http://schemas.openxmlformats.org/officeDocument/2006/relationships/hyperlink" Target="https://www.immoscout24.ch/fr/maison/acheter/lieu-worben" TargetMode="External"/><Relationship Id="rId2872" Type="http://schemas.openxmlformats.org/officeDocument/2006/relationships/hyperlink" Target="https://www.immoscout24.ch/fr/appartement/louer/lieu-thonex" TargetMode="External"/><Relationship Id="rId11056" Type="http://schemas.openxmlformats.org/officeDocument/2006/relationships/hyperlink" Target="https://www.immoscout24.ch/fr/maison/acheter/lieu-cortaillod" TargetMode="External"/><Relationship Id="rId12388" Type="http://schemas.openxmlformats.org/officeDocument/2006/relationships/hyperlink" Target="https://www.immoscout24.ch/fr/maison/acheter/lieu-sangernboden" TargetMode="External"/><Relationship Id="rId1542" Type="http://schemas.openxmlformats.org/officeDocument/2006/relationships/hyperlink" Target="https://www.immoscout24.ch/fr/maison/acheter/lieu-worben" TargetMode="External"/><Relationship Id="rId2873" Type="http://schemas.openxmlformats.org/officeDocument/2006/relationships/hyperlink" Target="https://www.immoscout24.ch/fr/maison/acheter/lieu-chene-bourg" TargetMode="External"/><Relationship Id="rId11057" Type="http://schemas.openxmlformats.org/officeDocument/2006/relationships/hyperlink" Target="https://www.immoscout24.ch/fr/maison/louer/lieu-la-sarraz" TargetMode="External"/><Relationship Id="rId12387" Type="http://schemas.openxmlformats.org/officeDocument/2006/relationships/hyperlink" Target="https://www.immoscout24.ch/fr/maison/acheter/lieu-sangernboden" TargetMode="External"/><Relationship Id="rId12317" Type="http://schemas.openxmlformats.org/officeDocument/2006/relationships/hyperlink" Target="https://www.immoscout24.ch/fr/appartement/louer/region-campagne-gros-de-vaud" TargetMode="External"/><Relationship Id="rId12316" Type="http://schemas.openxmlformats.org/officeDocument/2006/relationships/hyperlink" Target="https://www.immoscout24.ch/fr/maison/acheter/lieu-pont-de-la-morge-sion" TargetMode="External"/><Relationship Id="rId12315" Type="http://schemas.openxmlformats.org/officeDocument/2006/relationships/hyperlink" Target="https://www.immoscout24.ch/fr/maison/acheter/lieu-pont-de-la-morge-sion" TargetMode="External"/><Relationship Id="rId12314" Type="http://schemas.openxmlformats.org/officeDocument/2006/relationships/hyperlink" Target="https://www.immoscout24.ch/fr/appartement/acheter/lieu-birmenstorf-ag" TargetMode="External"/><Relationship Id="rId12319" Type="http://schemas.openxmlformats.org/officeDocument/2006/relationships/hyperlink" Target="https://www.immoscout24.ch/fr/appartement/louer/quartier-grossbasel-altstadt-bale" TargetMode="External"/><Relationship Id="rId12318" Type="http://schemas.openxmlformats.org/officeDocument/2006/relationships/hyperlink" Target="https://www.immoscout24.ch/fr/appartement/louer/region-campagne-gros-de-vaud" TargetMode="External"/><Relationship Id="rId12313" Type="http://schemas.openxmlformats.org/officeDocument/2006/relationships/hyperlink" Target="https://www.immoscout24.ch/fr/appartement/acheter/lieu-birmenstorf-ag" TargetMode="External"/><Relationship Id="rId12312" Type="http://schemas.openxmlformats.org/officeDocument/2006/relationships/hyperlink" Target="https://www.immoscout24.ch/fr/appartement/acheter/lieu-dardagny" TargetMode="External"/><Relationship Id="rId12311" Type="http://schemas.openxmlformats.org/officeDocument/2006/relationships/hyperlink" Target="https://www.immoscout24.ch/fr/appartement/acheter/lieu-dardagny" TargetMode="External"/><Relationship Id="rId12310" Type="http://schemas.openxmlformats.org/officeDocument/2006/relationships/hyperlink" Target="https://www.immoscout24.ch/fr/appartement/acheter/lieu-campione-d-italia" TargetMode="External"/><Relationship Id="rId12328" Type="http://schemas.openxmlformats.org/officeDocument/2006/relationships/hyperlink" Target="https://www.immoscout24.ch/fr/appartement/louer/lieu-wynigen" TargetMode="External"/><Relationship Id="rId12327" Type="http://schemas.openxmlformats.org/officeDocument/2006/relationships/hyperlink" Target="https://www.immoscout24.ch/fr/appartement/louer/lieu-wynigen" TargetMode="External"/><Relationship Id="rId12326" Type="http://schemas.openxmlformats.org/officeDocument/2006/relationships/hyperlink" Target="https://www.immoscout24.ch/fr/maison/louer/lieu-uvrier" TargetMode="External"/><Relationship Id="rId12325" Type="http://schemas.openxmlformats.org/officeDocument/2006/relationships/hyperlink" Target="https://www.immoscout24.ch/fr/maison/louer/lieu-uvrier" TargetMode="External"/><Relationship Id="rId12329" Type="http://schemas.openxmlformats.org/officeDocument/2006/relationships/hyperlink" Target="https://www.immoscout24.ch/fr/appartement/acheter/lieu-puplinge" TargetMode="External"/><Relationship Id="rId12320" Type="http://schemas.openxmlformats.org/officeDocument/2006/relationships/hyperlink" Target="https://www.immoscout24.ch/fr/appartement/louer/quartier-grossbasel-altstadt-bale" TargetMode="External"/><Relationship Id="rId12324" Type="http://schemas.openxmlformats.org/officeDocument/2006/relationships/hyperlink" Target="https://www.immoscout24.ch/fr/appartement/louer/lieu-fahy" TargetMode="External"/><Relationship Id="rId12323" Type="http://schemas.openxmlformats.org/officeDocument/2006/relationships/hyperlink" Target="https://www.immoscout24.ch/fr/appartement/louer/lieu-fahy" TargetMode="External"/><Relationship Id="rId12322" Type="http://schemas.openxmlformats.org/officeDocument/2006/relationships/hyperlink" Target="https://www.immoscout24.ch/fr/appartement/louer/lieu-meggen" TargetMode="External"/><Relationship Id="rId12321" Type="http://schemas.openxmlformats.org/officeDocument/2006/relationships/hyperlink" Target="https://www.immoscout24.ch/fr/appartement/louer/lieu-meggen" TargetMode="External"/><Relationship Id="rId12306" Type="http://schemas.openxmlformats.org/officeDocument/2006/relationships/hyperlink" Target="https://www.immoscout24.ch/fr/appartement/acheter/lieu-wattenwil" TargetMode="External"/><Relationship Id="rId12305" Type="http://schemas.openxmlformats.org/officeDocument/2006/relationships/hyperlink" Target="https://www.immoscout24.ch/fr/appartement/acheter/lieu-wattenwil" TargetMode="External"/><Relationship Id="rId12304" Type="http://schemas.openxmlformats.org/officeDocument/2006/relationships/hyperlink" Target="https://www.immoscout24.ch/fr/maison/acheter/lieu-st-ursen" TargetMode="External"/><Relationship Id="rId12303" Type="http://schemas.openxmlformats.org/officeDocument/2006/relationships/hyperlink" Target="https://www.immoscout24.ch/fr/maison/acheter/lieu-st-ursen" TargetMode="External"/><Relationship Id="rId12309" Type="http://schemas.openxmlformats.org/officeDocument/2006/relationships/hyperlink" Target="https://www.immoscout24.ch/fr/appartement/acheter/lieu-campione-d-italia" TargetMode="External"/><Relationship Id="rId12308" Type="http://schemas.openxmlformats.org/officeDocument/2006/relationships/hyperlink" Target="https://www.immoscout24.ch/fr/appartement/louer/lieu-motiers-ne" TargetMode="External"/><Relationship Id="rId12307" Type="http://schemas.openxmlformats.org/officeDocument/2006/relationships/hyperlink" Target="https://www.immoscout24.ch/fr/appartement/louer/lieu-motiers-ne" TargetMode="External"/><Relationship Id="rId12302" Type="http://schemas.openxmlformats.org/officeDocument/2006/relationships/hyperlink" Target="https://www.immoscout24.ch/fr/appartement/louer/lieu-chavannes-de-bogis" TargetMode="External"/><Relationship Id="rId12301" Type="http://schemas.openxmlformats.org/officeDocument/2006/relationships/hyperlink" Target="https://www.immoscout24.ch/fr/appartement/louer/lieu-chavannes-de-bogis" TargetMode="External"/><Relationship Id="rId12300" Type="http://schemas.openxmlformats.org/officeDocument/2006/relationships/hyperlink" Target="https://www.immoscout24.ch/fr/maison/acheter/lieu-la-vraconnaz" TargetMode="External"/><Relationship Id="rId2940" Type="http://schemas.openxmlformats.org/officeDocument/2006/relationships/hyperlink" Target="https://www.immoscout24.ch/fr/appartement/louer/lieu-bellmund" TargetMode="External"/><Relationship Id="rId1610" Type="http://schemas.openxmlformats.org/officeDocument/2006/relationships/hyperlink" Target="https://www.immoscout24.ch/fr/maison/acheter/lieu-salvan" TargetMode="External"/><Relationship Id="rId2941" Type="http://schemas.openxmlformats.org/officeDocument/2006/relationships/hyperlink" Target="https://www.immoscout24.ch/fr/maison/acheter/lieu-marchissy" TargetMode="External"/><Relationship Id="rId1611" Type="http://schemas.openxmlformats.org/officeDocument/2006/relationships/hyperlink" Target="https://www.immoscout24.ch/fr/maison/louer/lieu-lugnorre" TargetMode="External"/><Relationship Id="rId2942" Type="http://schemas.openxmlformats.org/officeDocument/2006/relationships/hyperlink" Target="https://www.immoscout24.ch/fr/maison/acheter/lieu-marchissy" TargetMode="External"/><Relationship Id="rId1612" Type="http://schemas.openxmlformats.org/officeDocument/2006/relationships/hyperlink" Target="https://www.immoscout24.ch/fr/maison/louer/lieu-lugnorre" TargetMode="External"/><Relationship Id="rId2943" Type="http://schemas.openxmlformats.org/officeDocument/2006/relationships/hyperlink" Target="https://www.immoscout24.ch/fr/maison/louer/lieu-thun" TargetMode="External"/><Relationship Id="rId1613" Type="http://schemas.openxmlformats.org/officeDocument/2006/relationships/hyperlink" Target="https://www.immoscout24.ch/fr/maison/louer/lieu-schlierbach" TargetMode="External"/><Relationship Id="rId2944" Type="http://schemas.openxmlformats.org/officeDocument/2006/relationships/hyperlink" Target="https://www.immoscout24.ch/fr/maison/louer/lieu-thun" TargetMode="External"/><Relationship Id="rId1614" Type="http://schemas.openxmlformats.org/officeDocument/2006/relationships/hyperlink" Target="https://www.immoscout24.ch/fr/maison/louer/lieu-schlierbach" TargetMode="External"/><Relationship Id="rId2945" Type="http://schemas.openxmlformats.org/officeDocument/2006/relationships/hyperlink" Target="https://www.immoscout24.ch/fr/appartement/acheter/lieu-winterberg-zh" TargetMode="External"/><Relationship Id="rId1615" Type="http://schemas.openxmlformats.org/officeDocument/2006/relationships/hyperlink" Target="https://www.immoscout24.ch/fr/maison/acheter/lieu-aven" TargetMode="External"/><Relationship Id="rId2946" Type="http://schemas.openxmlformats.org/officeDocument/2006/relationships/hyperlink" Target="https://www.immoscout24.ch/fr/appartement/acheter/lieu-winterberg-zh" TargetMode="External"/><Relationship Id="rId1616" Type="http://schemas.openxmlformats.org/officeDocument/2006/relationships/hyperlink" Target="https://www.immoscout24.ch/fr/maison/acheter/lieu-aven" TargetMode="External"/><Relationship Id="rId2947" Type="http://schemas.openxmlformats.org/officeDocument/2006/relationships/hyperlink" Target="https://www.immoscout24.ch/fr/appartement/acheter/lieu-hasliberg-reuti" TargetMode="External"/><Relationship Id="rId1617" Type="http://schemas.openxmlformats.org/officeDocument/2006/relationships/hyperlink" Target="https://www.immoscout24.ch/fr/appartement/acheter/lieu-chatel-sur-montsalvens" TargetMode="External"/><Relationship Id="rId2948" Type="http://schemas.openxmlformats.org/officeDocument/2006/relationships/hyperlink" Target="https://www.immoscout24.ch/fr/appartement/acheter/lieu-hasliberg-reuti" TargetMode="External"/><Relationship Id="rId1618" Type="http://schemas.openxmlformats.org/officeDocument/2006/relationships/hyperlink" Target="https://www.immoscout24.ch/fr/appartement/acheter/lieu-chatel-sur-montsalvens" TargetMode="External"/><Relationship Id="rId2949" Type="http://schemas.openxmlformats.org/officeDocument/2006/relationships/hyperlink" Target="https://www.immoscout24.ch/fr/appartement/acheter/quartier-laenggasse-berne" TargetMode="External"/><Relationship Id="rId1619" Type="http://schemas.openxmlformats.org/officeDocument/2006/relationships/hyperlink" Target="https://www.immoscout24.ch/fr/maison/louer/lieu-basel" TargetMode="External"/><Relationship Id="rId12199" Type="http://schemas.openxmlformats.org/officeDocument/2006/relationships/hyperlink" Target="https://www.immoscout24.ch/fr/maison/acheter/lieu-torny-le-grand" TargetMode="External"/><Relationship Id="rId12198" Type="http://schemas.openxmlformats.org/officeDocument/2006/relationships/hyperlink" Target="https://www.immoscout24.ch/fr/appartement/louer/lieu-brent" TargetMode="External"/><Relationship Id="rId12197" Type="http://schemas.openxmlformats.org/officeDocument/2006/relationships/hyperlink" Target="https://www.immoscout24.ch/fr/appartement/louer/lieu-brent" TargetMode="External"/><Relationship Id="rId12196" Type="http://schemas.openxmlformats.org/officeDocument/2006/relationships/hyperlink" Target="https://www.immoscout24.ch/fr/appartement/louer/lieu-rapperswil-be" TargetMode="External"/><Relationship Id="rId2930" Type="http://schemas.openxmlformats.org/officeDocument/2006/relationships/hyperlink" Target="https://www.immoscout24.ch/fr/appartement/louer/lieu-muentschemier" TargetMode="External"/><Relationship Id="rId1600" Type="http://schemas.openxmlformats.org/officeDocument/2006/relationships/hyperlink" Target="https://www.immoscout24.ch/fr/appartement/acheter/lieu-st-aubin-sauges" TargetMode="External"/><Relationship Id="rId2931" Type="http://schemas.openxmlformats.org/officeDocument/2006/relationships/hyperlink" Target="https://www.immoscout24.ch/fr/appartement/louer/lieu-grancy" TargetMode="External"/><Relationship Id="rId1601" Type="http://schemas.openxmlformats.org/officeDocument/2006/relationships/hyperlink" Target="https://www.immoscout24.ch/fr/appartement/louer/lieu-granges-pres-marnand" TargetMode="External"/><Relationship Id="rId2932" Type="http://schemas.openxmlformats.org/officeDocument/2006/relationships/hyperlink" Target="https://www.immoscout24.ch/fr/appartement/louer/lieu-grancy" TargetMode="External"/><Relationship Id="rId1602" Type="http://schemas.openxmlformats.org/officeDocument/2006/relationships/hyperlink" Target="https://www.immoscout24.ch/fr/appartement/louer/lieu-granges-pres-marnand" TargetMode="External"/><Relationship Id="rId2933" Type="http://schemas.openxmlformats.org/officeDocument/2006/relationships/hyperlink" Target="https://www.immoscout24.ch/fr/maison/louer/lieu-riex" TargetMode="External"/><Relationship Id="rId1603" Type="http://schemas.openxmlformats.org/officeDocument/2006/relationships/hyperlink" Target="https://www.immoscout24.ch/fr/appartement/louer/lieu-ruettenen" TargetMode="External"/><Relationship Id="rId2934" Type="http://schemas.openxmlformats.org/officeDocument/2006/relationships/hyperlink" Target="https://www.immoscout24.ch/fr/maison/louer/lieu-riex" TargetMode="External"/><Relationship Id="rId1604" Type="http://schemas.openxmlformats.org/officeDocument/2006/relationships/hyperlink" Target="https://www.immoscout24.ch/fr/appartement/louer/lieu-ruettenen" TargetMode="External"/><Relationship Id="rId2935" Type="http://schemas.openxmlformats.org/officeDocument/2006/relationships/hyperlink" Target="https://www.immoscout24.ch/fr/appartement/louer/lieu-altwis" TargetMode="External"/><Relationship Id="rId1605" Type="http://schemas.openxmlformats.org/officeDocument/2006/relationships/hyperlink" Target="https://www.immoscout24.ch/fr/maison/acheter/lieu-rekingen-ag" TargetMode="External"/><Relationship Id="rId2936" Type="http://schemas.openxmlformats.org/officeDocument/2006/relationships/hyperlink" Target="https://www.immoscout24.ch/fr/appartement/louer/lieu-altwis" TargetMode="External"/><Relationship Id="rId1606" Type="http://schemas.openxmlformats.org/officeDocument/2006/relationships/hyperlink" Target="https://www.immoscout24.ch/fr/maison/acheter/lieu-rekingen-ag" TargetMode="External"/><Relationship Id="rId2937" Type="http://schemas.openxmlformats.org/officeDocument/2006/relationships/hyperlink" Target="https://www.immoscout24.ch/fr/appartement/acheter/lieu-st-moritz" TargetMode="External"/><Relationship Id="rId1607" Type="http://schemas.openxmlformats.org/officeDocument/2006/relationships/hyperlink" Target="https://www.immoscout24.ch/fr/appartement/acheter/lieu-bern" TargetMode="External"/><Relationship Id="rId2938" Type="http://schemas.openxmlformats.org/officeDocument/2006/relationships/hyperlink" Target="https://www.immoscout24.ch/fr/appartement/acheter/lieu-st-moritz" TargetMode="External"/><Relationship Id="rId1608" Type="http://schemas.openxmlformats.org/officeDocument/2006/relationships/hyperlink" Target="https://www.immoscout24.ch/fr/appartement/acheter/lieu-bern" TargetMode="External"/><Relationship Id="rId2939" Type="http://schemas.openxmlformats.org/officeDocument/2006/relationships/hyperlink" Target="https://www.immoscout24.ch/fr/appartement/louer/lieu-bellmund" TargetMode="External"/><Relationship Id="rId1609" Type="http://schemas.openxmlformats.org/officeDocument/2006/relationships/hyperlink" Target="https://www.immoscout24.ch/fr/maison/acheter/lieu-salvan" TargetMode="External"/><Relationship Id="rId1631" Type="http://schemas.openxmlformats.org/officeDocument/2006/relationships/hyperlink" Target="https://www.immoscout24.ch/fr/appartement/louer/lieu-iseltwald" TargetMode="External"/><Relationship Id="rId2962" Type="http://schemas.openxmlformats.org/officeDocument/2006/relationships/hyperlink" Target="https://www.immoscout24.ch/fr/maison/acheter/lieu-ferreyres" TargetMode="External"/><Relationship Id="rId12180" Type="http://schemas.openxmlformats.org/officeDocument/2006/relationships/hyperlink" Target="https://www.immoscout24.ch/fr/maison/acheter/quartier-champel-roseraie-geneve" TargetMode="External"/><Relationship Id="rId1632" Type="http://schemas.openxmlformats.org/officeDocument/2006/relationships/hyperlink" Target="https://www.immoscout24.ch/fr/appartement/louer/lieu-iseltwald" TargetMode="External"/><Relationship Id="rId2963" Type="http://schemas.openxmlformats.org/officeDocument/2006/relationships/hyperlink" Target="https://www.immoscout24.ch/fr/appartement/louer/lieu-tenero" TargetMode="External"/><Relationship Id="rId1633" Type="http://schemas.openxmlformats.org/officeDocument/2006/relationships/hyperlink" Target="https://www.immoscout24.ch/fr/appartement/louer/lieu-dielsdorf" TargetMode="External"/><Relationship Id="rId2964" Type="http://schemas.openxmlformats.org/officeDocument/2006/relationships/hyperlink" Target="https://www.immoscout24.ch/fr/appartement/louer/lieu-tenero" TargetMode="External"/><Relationship Id="rId1634" Type="http://schemas.openxmlformats.org/officeDocument/2006/relationships/hyperlink" Target="https://www.immoscout24.ch/fr/appartement/louer/lieu-dielsdorf" TargetMode="External"/><Relationship Id="rId2965" Type="http://schemas.openxmlformats.org/officeDocument/2006/relationships/hyperlink" Target="https://www.immoscout24.ch/fr/maison/acheter/lieu-flamatt" TargetMode="External"/><Relationship Id="rId1635" Type="http://schemas.openxmlformats.org/officeDocument/2006/relationships/hyperlink" Target="https://www.immoscout24.ch/fr/maison/louer/lieu-bernex" TargetMode="External"/><Relationship Id="rId2966" Type="http://schemas.openxmlformats.org/officeDocument/2006/relationships/hyperlink" Target="https://www.immoscout24.ch/fr/maison/acheter/lieu-flamatt" TargetMode="External"/><Relationship Id="rId12184" Type="http://schemas.openxmlformats.org/officeDocument/2006/relationships/hyperlink" Target="https://www.immoscout24.ch/fr/appartement/louer/lieu-la-chaux-du-milieu" TargetMode="External"/><Relationship Id="rId1636" Type="http://schemas.openxmlformats.org/officeDocument/2006/relationships/hyperlink" Target="https://www.immoscout24.ch/fr/maison/louer/lieu-bernex" TargetMode="External"/><Relationship Id="rId2967" Type="http://schemas.openxmlformats.org/officeDocument/2006/relationships/hyperlink" Target="https://www.immoscout24.ch/fr/maison/acheter/lieu-formangueires" TargetMode="External"/><Relationship Id="rId12183" Type="http://schemas.openxmlformats.org/officeDocument/2006/relationships/hyperlink" Target="https://www.immoscout24.ch/fr/appartement/louer/lieu-la-chaux-du-milieu" TargetMode="External"/><Relationship Id="rId1637" Type="http://schemas.openxmlformats.org/officeDocument/2006/relationships/hyperlink" Target="https://www.immoscout24.ch/fr/maison/acheter/lieu-prilly" TargetMode="External"/><Relationship Id="rId2968" Type="http://schemas.openxmlformats.org/officeDocument/2006/relationships/hyperlink" Target="https://www.immoscout24.ch/fr/maison/acheter/lieu-formangueires" TargetMode="External"/><Relationship Id="rId12182" Type="http://schemas.openxmlformats.org/officeDocument/2006/relationships/hyperlink" Target="https://www.immoscout24.ch/fr/maison/acheter/lieu-grandcour" TargetMode="External"/><Relationship Id="rId1638" Type="http://schemas.openxmlformats.org/officeDocument/2006/relationships/hyperlink" Target="https://www.immoscout24.ch/fr/maison/acheter/lieu-prilly" TargetMode="External"/><Relationship Id="rId2969" Type="http://schemas.openxmlformats.org/officeDocument/2006/relationships/hyperlink" Target="https://www.immoscout24.ch/fr/appartement/louer/lieu-bretonnieres" TargetMode="External"/><Relationship Id="rId12181" Type="http://schemas.openxmlformats.org/officeDocument/2006/relationships/hyperlink" Target="https://www.immoscout24.ch/fr/maison/acheter/lieu-grandcour" TargetMode="External"/><Relationship Id="rId1639" Type="http://schemas.openxmlformats.org/officeDocument/2006/relationships/hyperlink" Target="https://www.immoscout24.ch/fr/maison/acheter/lieu-biel-bienne" TargetMode="External"/><Relationship Id="rId12177" Type="http://schemas.openxmlformats.org/officeDocument/2006/relationships/hyperlink" Target="https://www.immoscout24.ch/fr/appartement/louer/lieu-vugelles-la-mothe" TargetMode="External"/><Relationship Id="rId12176" Type="http://schemas.openxmlformats.org/officeDocument/2006/relationships/hyperlink" Target="https://www.immoscout24.ch/fr/maison/acheter/lieu-la-chaux-cossonay" TargetMode="External"/><Relationship Id="rId12175" Type="http://schemas.openxmlformats.org/officeDocument/2006/relationships/hyperlink" Target="https://www.immoscout24.ch/fr/maison/acheter/lieu-la-chaux-cossonay" TargetMode="External"/><Relationship Id="rId12174" Type="http://schemas.openxmlformats.org/officeDocument/2006/relationships/hyperlink" Target="https://www.immoscout24.ch/fr/appartement/acheter/lieu-les-diablerets" TargetMode="External"/><Relationship Id="rId2960" Type="http://schemas.openxmlformats.org/officeDocument/2006/relationships/hyperlink" Target="https://www.immoscout24.ch/fr/appartement/louer/lieu-buetzberg" TargetMode="External"/><Relationship Id="rId12179" Type="http://schemas.openxmlformats.org/officeDocument/2006/relationships/hyperlink" Target="https://www.immoscout24.ch/fr/maison/acheter/quartier-champel-roseraie-geneve" TargetMode="External"/><Relationship Id="rId1630" Type="http://schemas.openxmlformats.org/officeDocument/2006/relationships/hyperlink" Target="https://www.immoscout24.ch/fr/appartement/acheter/lieu-collex" TargetMode="External"/><Relationship Id="rId2961" Type="http://schemas.openxmlformats.org/officeDocument/2006/relationships/hyperlink" Target="https://www.immoscout24.ch/fr/maison/acheter/lieu-ferreyres" TargetMode="External"/><Relationship Id="rId12178" Type="http://schemas.openxmlformats.org/officeDocument/2006/relationships/hyperlink" Target="https://www.immoscout24.ch/fr/appartement/louer/lieu-vugelles-la-mothe" TargetMode="External"/><Relationship Id="rId1620" Type="http://schemas.openxmlformats.org/officeDocument/2006/relationships/hyperlink" Target="https://www.immoscout24.ch/fr/maison/louer/lieu-basel" TargetMode="External"/><Relationship Id="rId2951" Type="http://schemas.openxmlformats.org/officeDocument/2006/relationships/hyperlink" Target="https://www.immoscout24.ch/fr/appartement/louer/lieu-hunzenschwil" TargetMode="External"/><Relationship Id="rId12191" Type="http://schemas.openxmlformats.org/officeDocument/2006/relationships/hyperlink" Target="https://www.immoscout24.ch/fr/appartement/louer/lieu-villa-evolene" TargetMode="External"/><Relationship Id="rId1621" Type="http://schemas.openxmlformats.org/officeDocument/2006/relationships/hyperlink" Target="https://www.immoscout24.ch/fr/appartement/louer/lieu-evilard" TargetMode="External"/><Relationship Id="rId2952" Type="http://schemas.openxmlformats.org/officeDocument/2006/relationships/hyperlink" Target="https://www.immoscout24.ch/fr/appartement/louer/lieu-hunzenschwil" TargetMode="External"/><Relationship Id="rId12190" Type="http://schemas.openxmlformats.org/officeDocument/2006/relationships/hyperlink" Target="https://www.immoscout24.ch/fr/maison/louer/lieu-estavayer-le-lac" TargetMode="External"/><Relationship Id="rId1622" Type="http://schemas.openxmlformats.org/officeDocument/2006/relationships/hyperlink" Target="https://www.immoscout24.ch/fr/appartement/louer/lieu-evilard" TargetMode="External"/><Relationship Id="rId2953" Type="http://schemas.openxmlformats.org/officeDocument/2006/relationships/hyperlink" Target="https://www.immoscout24.ch/fr/appartement/louer/lieu-val-d-illiez" TargetMode="External"/><Relationship Id="rId1623" Type="http://schemas.openxmlformats.org/officeDocument/2006/relationships/hyperlink" Target="https://www.immoscout24.ch/fr/appartement/louer/pays-norvege" TargetMode="External"/><Relationship Id="rId2954" Type="http://schemas.openxmlformats.org/officeDocument/2006/relationships/hyperlink" Target="https://www.immoscout24.ch/fr/appartement/louer/lieu-val-d-illiez" TargetMode="External"/><Relationship Id="rId1624" Type="http://schemas.openxmlformats.org/officeDocument/2006/relationships/hyperlink" Target="https://www.immoscout24.ch/fr/appartement/louer/pays-norvege" TargetMode="External"/><Relationship Id="rId2955" Type="http://schemas.openxmlformats.org/officeDocument/2006/relationships/hyperlink" Target="https://www.immoscout24.ch/fr/maison/acheter/lieu-granges-vs" TargetMode="External"/><Relationship Id="rId12195" Type="http://schemas.openxmlformats.org/officeDocument/2006/relationships/hyperlink" Target="https://www.immoscout24.ch/fr/appartement/louer/lieu-rapperswil-be" TargetMode="External"/><Relationship Id="rId1625" Type="http://schemas.openxmlformats.org/officeDocument/2006/relationships/hyperlink" Target="https://www.immoscout24.ch/fr/maison/acheter/lieu-steffisburg" TargetMode="External"/><Relationship Id="rId2956" Type="http://schemas.openxmlformats.org/officeDocument/2006/relationships/hyperlink" Target="https://www.immoscout24.ch/fr/maison/acheter/lieu-granges-vs" TargetMode="External"/><Relationship Id="rId12194" Type="http://schemas.openxmlformats.org/officeDocument/2006/relationships/hyperlink" Target="https://www.immoscout24.ch/fr/appartement/louer/lieu-valeyres-sous-ursins" TargetMode="External"/><Relationship Id="rId1626" Type="http://schemas.openxmlformats.org/officeDocument/2006/relationships/hyperlink" Target="https://www.immoscout24.ch/fr/maison/acheter/lieu-steffisburg" TargetMode="External"/><Relationship Id="rId2957" Type="http://schemas.openxmlformats.org/officeDocument/2006/relationships/hyperlink" Target="https://www.immoscout24.ch/fr/maison/louer/lieu-bruegg-be" TargetMode="External"/><Relationship Id="rId12193" Type="http://schemas.openxmlformats.org/officeDocument/2006/relationships/hyperlink" Target="https://www.immoscout24.ch/fr/appartement/louer/lieu-valeyres-sous-ursins" TargetMode="External"/><Relationship Id="rId1627" Type="http://schemas.openxmlformats.org/officeDocument/2006/relationships/hyperlink" Target="https://www.immoscout24.ch/fr/maison/acheter/lieu-siselen-be" TargetMode="External"/><Relationship Id="rId2958" Type="http://schemas.openxmlformats.org/officeDocument/2006/relationships/hyperlink" Target="https://www.immoscout24.ch/fr/maison/louer/lieu-bruegg-be" TargetMode="External"/><Relationship Id="rId12192" Type="http://schemas.openxmlformats.org/officeDocument/2006/relationships/hyperlink" Target="https://www.immoscout24.ch/fr/appartement/louer/lieu-villa-evolene" TargetMode="External"/><Relationship Id="rId1628" Type="http://schemas.openxmlformats.org/officeDocument/2006/relationships/hyperlink" Target="https://www.immoscout24.ch/fr/maison/acheter/lieu-siselen-be" TargetMode="External"/><Relationship Id="rId2959" Type="http://schemas.openxmlformats.org/officeDocument/2006/relationships/hyperlink" Target="https://www.immoscout24.ch/fr/appartement/louer/lieu-buetzberg" TargetMode="External"/><Relationship Id="rId1629" Type="http://schemas.openxmlformats.org/officeDocument/2006/relationships/hyperlink" Target="https://www.immoscout24.ch/fr/appartement/acheter/lieu-collex" TargetMode="External"/><Relationship Id="rId12188" Type="http://schemas.openxmlformats.org/officeDocument/2006/relationships/hyperlink" Target="https://www.immoscout24.ch/fr/appartement/acheter/lieu-zweisimmen" TargetMode="External"/><Relationship Id="rId12187" Type="http://schemas.openxmlformats.org/officeDocument/2006/relationships/hyperlink" Target="https://www.immoscout24.ch/fr/appartement/acheter/lieu-zweisimmen" TargetMode="External"/><Relationship Id="rId12186" Type="http://schemas.openxmlformats.org/officeDocument/2006/relationships/hyperlink" Target="https://www.immoscout24.ch/fr/appartement/louer/lieu-aire" TargetMode="External"/><Relationship Id="rId12185" Type="http://schemas.openxmlformats.org/officeDocument/2006/relationships/hyperlink" Target="https://www.immoscout24.ch/fr/appartement/louer/lieu-aire" TargetMode="External"/><Relationship Id="rId2950" Type="http://schemas.openxmlformats.org/officeDocument/2006/relationships/hyperlink" Target="https://www.immoscout24.ch/fr/appartement/acheter/quartier-laenggasse-berne" TargetMode="External"/><Relationship Id="rId12189" Type="http://schemas.openxmlformats.org/officeDocument/2006/relationships/hyperlink" Target="https://www.immoscout24.ch/fr/maison/louer/lieu-estavayer-le-lac" TargetMode="External"/><Relationship Id="rId2900" Type="http://schemas.openxmlformats.org/officeDocument/2006/relationships/hyperlink" Target="https://www.immoscout24.ch/fr/maison/acheter/pays-liechtenstein" TargetMode="External"/><Relationship Id="rId2901" Type="http://schemas.openxmlformats.org/officeDocument/2006/relationships/hyperlink" Target="https://www.immoscout24.ch/fr/appartement/louer/lieu-romainmotier" TargetMode="External"/><Relationship Id="rId2902" Type="http://schemas.openxmlformats.org/officeDocument/2006/relationships/hyperlink" Target="https://www.immoscout24.ch/fr/appartement/louer/lieu-romainmotier" TargetMode="External"/><Relationship Id="rId2903" Type="http://schemas.openxmlformats.org/officeDocument/2006/relationships/hyperlink" Target="https://www.immoscout24.ch/fr/appartement/louer/pays-thailand" TargetMode="External"/><Relationship Id="rId2904" Type="http://schemas.openxmlformats.org/officeDocument/2006/relationships/hyperlink" Target="https://www.immoscout24.ch/fr/appartement/louer/pays-thailand" TargetMode="External"/><Relationship Id="rId2905" Type="http://schemas.openxmlformats.org/officeDocument/2006/relationships/hyperlink" Target="https://www.immoscout24.ch/fr/maison/acheter/lieu-founex" TargetMode="External"/><Relationship Id="rId2906" Type="http://schemas.openxmlformats.org/officeDocument/2006/relationships/hyperlink" Target="https://www.immoscout24.ch/fr/maison/acheter/lieu-founex" TargetMode="External"/><Relationship Id="rId2907" Type="http://schemas.openxmlformats.org/officeDocument/2006/relationships/hyperlink" Target="https://www.immoscout24.ch/fr/maison/acheter/lieu-muri-b-bern" TargetMode="External"/><Relationship Id="rId2908" Type="http://schemas.openxmlformats.org/officeDocument/2006/relationships/hyperlink" Target="https://www.immoscout24.ch/fr/maison/acheter/lieu-muri-b-bern" TargetMode="External"/><Relationship Id="rId2909" Type="http://schemas.openxmlformats.org/officeDocument/2006/relationships/hyperlink" Target="https://www.immoscout24.ch/fr/appartement/acheter/lieu-chatonnaye" TargetMode="External"/><Relationship Id="rId2920" Type="http://schemas.openxmlformats.org/officeDocument/2006/relationships/hyperlink" Target="https://www.immoscout24.ch/fr/appartement/louer/lieu-maennedorf" TargetMode="External"/><Relationship Id="rId2921" Type="http://schemas.openxmlformats.org/officeDocument/2006/relationships/hyperlink" Target="https://www.immoscout24.ch/fr/maison/acheter/lieu-berolle" TargetMode="External"/><Relationship Id="rId2922" Type="http://schemas.openxmlformats.org/officeDocument/2006/relationships/hyperlink" Target="https://www.immoscout24.ch/fr/maison/acheter/lieu-berolle" TargetMode="External"/><Relationship Id="rId2923" Type="http://schemas.openxmlformats.org/officeDocument/2006/relationships/hyperlink" Target="https://www.immoscout24.ch/fr/appartement/louer/lieu-laufen" TargetMode="External"/><Relationship Id="rId2924" Type="http://schemas.openxmlformats.org/officeDocument/2006/relationships/hyperlink" Target="https://www.immoscout24.ch/fr/appartement/louer/lieu-laufen" TargetMode="External"/><Relationship Id="rId2925" Type="http://schemas.openxmlformats.org/officeDocument/2006/relationships/hyperlink" Target="https://www.immoscout24.ch/fr/appartement/acheter/lieu-schlieren" TargetMode="External"/><Relationship Id="rId2926" Type="http://schemas.openxmlformats.org/officeDocument/2006/relationships/hyperlink" Target="https://www.immoscout24.ch/fr/appartement/acheter/lieu-schlieren" TargetMode="External"/><Relationship Id="rId2927" Type="http://schemas.openxmlformats.org/officeDocument/2006/relationships/hyperlink" Target="https://www.immoscout24.ch/fr/appartement/louer/region-yverdon-grandson" TargetMode="External"/><Relationship Id="rId2928" Type="http://schemas.openxmlformats.org/officeDocument/2006/relationships/hyperlink" Target="https://www.immoscout24.ch/fr/appartement/louer/region-yverdon-grandson" TargetMode="External"/><Relationship Id="rId2929" Type="http://schemas.openxmlformats.org/officeDocument/2006/relationships/hyperlink" Target="https://www.immoscout24.ch/fr/appartement/louer/lieu-muentschemier" TargetMode="External"/><Relationship Id="rId2910" Type="http://schemas.openxmlformats.org/officeDocument/2006/relationships/hyperlink" Target="https://www.immoscout24.ch/fr/appartement/acheter/lieu-chatonnaye" TargetMode="External"/><Relationship Id="rId2911" Type="http://schemas.openxmlformats.org/officeDocument/2006/relationships/hyperlink" Target="https://www.immoscout24.ch/fr/appartement/louer/lieu-noville" TargetMode="External"/><Relationship Id="rId2912" Type="http://schemas.openxmlformats.org/officeDocument/2006/relationships/hyperlink" Target="https://www.immoscout24.ch/fr/appartement/louer/lieu-noville" TargetMode="External"/><Relationship Id="rId2913" Type="http://schemas.openxmlformats.org/officeDocument/2006/relationships/hyperlink" Target="https://www.immoscout24.ch/fr/appartement/acheter/lieu-bulle" TargetMode="External"/><Relationship Id="rId2914" Type="http://schemas.openxmlformats.org/officeDocument/2006/relationships/hyperlink" Target="https://www.immoscout24.ch/fr/appartement/acheter/lieu-bulle" TargetMode="External"/><Relationship Id="rId2915" Type="http://schemas.openxmlformats.org/officeDocument/2006/relationships/hyperlink" Target="https://www.immoscout24.ch/fr/appartement/acheter/pays-hongrie" TargetMode="External"/><Relationship Id="rId2916" Type="http://schemas.openxmlformats.org/officeDocument/2006/relationships/hyperlink" Target="https://www.immoscout24.ch/fr/appartement/acheter/pays-hongrie" TargetMode="External"/><Relationship Id="rId2917" Type="http://schemas.openxmlformats.org/officeDocument/2006/relationships/hyperlink" Target="https://www.immoscout24.ch/fr/maison/acheter/lieu-liestal" TargetMode="External"/><Relationship Id="rId2918" Type="http://schemas.openxmlformats.org/officeDocument/2006/relationships/hyperlink" Target="https://www.immoscout24.ch/fr/maison/acheter/lieu-liestal" TargetMode="External"/><Relationship Id="rId2919" Type="http://schemas.openxmlformats.org/officeDocument/2006/relationships/hyperlink" Target="https://www.immoscout24.ch/fr/appartement/louer/lieu-maennedorf" TargetMode="External"/><Relationship Id="rId1697" Type="http://schemas.openxmlformats.org/officeDocument/2006/relationships/hyperlink" Target="https://www.immoscout24.ch/fr/appartement/acheter/region-jura-vaudois" TargetMode="External"/><Relationship Id="rId1698" Type="http://schemas.openxmlformats.org/officeDocument/2006/relationships/hyperlink" Target="https://www.immoscout24.ch/fr/appartement/acheter/region-jura-vaudois" TargetMode="External"/><Relationship Id="rId1699" Type="http://schemas.openxmlformats.org/officeDocument/2006/relationships/hyperlink" Target="https://www.immoscout24.ch/fr/maison/acheter/lieu-cadro" TargetMode="External"/><Relationship Id="rId12239" Type="http://schemas.openxmlformats.org/officeDocument/2006/relationships/hyperlink" Target="https://www.immoscout24.ch/fr/appartement/acheter/lieu-burgdorf" TargetMode="External"/><Relationship Id="rId12238" Type="http://schemas.openxmlformats.org/officeDocument/2006/relationships/hyperlink" Target="https://www.immoscout24.ch/fr/appartement/acheter/lieu-orbe" TargetMode="External"/><Relationship Id="rId12237" Type="http://schemas.openxmlformats.org/officeDocument/2006/relationships/hyperlink" Target="https://www.immoscout24.ch/fr/appartement/acheter/lieu-orbe" TargetMode="External"/><Relationship Id="rId12232" Type="http://schemas.openxmlformats.org/officeDocument/2006/relationships/hyperlink" Target="https://www.immoscout24.ch/fr/appartement/acheter/lieu-satigny" TargetMode="External"/><Relationship Id="rId1690" Type="http://schemas.openxmlformats.org/officeDocument/2006/relationships/hyperlink" Target="https://www.immoscout24.ch/fr/appartement/louer/lieu-aeschi-b-spiez" TargetMode="External"/><Relationship Id="rId12231" Type="http://schemas.openxmlformats.org/officeDocument/2006/relationships/hyperlink" Target="https://www.immoscout24.ch/fr/appartement/acheter/lieu-satigny" TargetMode="External"/><Relationship Id="rId1691" Type="http://schemas.openxmlformats.org/officeDocument/2006/relationships/hyperlink" Target="https://www.immoscout24.ch/fr/maison/acheter/lieu-epalinges" TargetMode="External"/><Relationship Id="rId12230" Type="http://schemas.openxmlformats.org/officeDocument/2006/relationships/hyperlink" Target="https://www.immoscout24.ch/fr/maison/acheter/lieu-palezieux" TargetMode="External"/><Relationship Id="rId1692" Type="http://schemas.openxmlformats.org/officeDocument/2006/relationships/hyperlink" Target="https://www.immoscout24.ch/fr/maison/acheter/lieu-epalinges" TargetMode="External"/><Relationship Id="rId1693" Type="http://schemas.openxmlformats.org/officeDocument/2006/relationships/hyperlink" Target="https://www.immoscout24.ch/fr/appartement/louer/lieu-zofingen" TargetMode="External"/><Relationship Id="rId12236" Type="http://schemas.openxmlformats.org/officeDocument/2006/relationships/hyperlink" Target="https://www.immoscout24.ch/fr/appartement/louer/lieu-lens" TargetMode="External"/><Relationship Id="rId1694" Type="http://schemas.openxmlformats.org/officeDocument/2006/relationships/hyperlink" Target="https://www.immoscout24.ch/fr/appartement/louer/lieu-zofingen" TargetMode="External"/><Relationship Id="rId12235" Type="http://schemas.openxmlformats.org/officeDocument/2006/relationships/hyperlink" Target="https://www.immoscout24.ch/fr/appartement/louer/lieu-lens" TargetMode="External"/><Relationship Id="rId1695" Type="http://schemas.openxmlformats.org/officeDocument/2006/relationships/hyperlink" Target="https://www.immoscout24.ch/fr/maison/acheter/lieu-montagne-de-sonvilier" TargetMode="External"/><Relationship Id="rId12234" Type="http://schemas.openxmlformats.org/officeDocument/2006/relationships/hyperlink" Target="https://www.immoscout24.ch/fr/appartement/louer/lieu-oberwangen-b-bern" TargetMode="External"/><Relationship Id="rId1696" Type="http://schemas.openxmlformats.org/officeDocument/2006/relationships/hyperlink" Target="https://www.immoscout24.ch/fr/maison/acheter/lieu-montagne-de-sonvilier" TargetMode="External"/><Relationship Id="rId12233" Type="http://schemas.openxmlformats.org/officeDocument/2006/relationships/hyperlink" Target="https://www.immoscout24.ch/fr/appartement/louer/lieu-oberwangen-b-bern" TargetMode="External"/><Relationship Id="rId1686" Type="http://schemas.openxmlformats.org/officeDocument/2006/relationships/hyperlink" Target="https://www.immoscout24.ch/fr/maison/acheter/lieu-dizy" TargetMode="External"/><Relationship Id="rId1687" Type="http://schemas.openxmlformats.org/officeDocument/2006/relationships/hyperlink" Target="https://www.immoscout24.ch/fr/appartement/louer/lieu-jona" TargetMode="External"/><Relationship Id="rId1688" Type="http://schemas.openxmlformats.org/officeDocument/2006/relationships/hyperlink" Target="https://www.immoscout24.ch/fr/appartement/louer/lieu-jona" TargetMode="External"/><Relationship Id="rId1689" Type="http://schemas.openxmlformats.org/officeDocument/2006/relationships/hyperlink" Target="https://www.immoscout24.ch/fr/appartement/louer/lieu-aeschi-b-spiez" TargetMode="External"/><Relationship Id="rId12250" Type="http://schemas.openxmlformats.org/officeDocument/2006/relationships/hyperlink" Target="https://www.immoscout24.ch/fr/appartement/acheter/lieu-meyriez" TargetMode="External"/><Relationship Id="rId12249" Type="http://schemas.openxmlformats.org/officeDocument/2006/relationships/hyperlink" Target="https://www.immoscout24.ch/fr/appartement/acheter/lieu-meyriez" TargetMode="External"/><Relationship Id="rId12248" Type="http://schemas.openxmlformats.org/officeDocument/2006/relationships/hyperlink" Target="https://www.immoscout24.ch/fr/appartement/acheter/lieu-cernier" TargetMode="External"/><Relationship Id="rId12243" Type="http://schemas.openxmlformats.org/officeDocument/2006/relationships/hyperlink" Target="https://www.immoscout24.ch/fr/appartement/louer/lieu-wallisellen" TargetMode="External"/><Relationship Id="rId12242" Type="http://schemas.openxmlformats.org/officeDocument/2006/relationships/hyperlink" Target="https://www.immoscout24.ch/fr/appartement/louer/pays-argentine" TargetMode="External"/><Relationship Id="rId1680" Type="http://schemas.openxmlformats.org/officeDocument/2006/relationships/hyperlink" Target="https://www.immoscout24.ch/fr/appartement/acheter/lieu-steckborn" TargetMode="External"/><Relationship Id="rId12241" Type="http://schemas.openxmlformats.org/officeDocument/2006/relationships/hyperlink" Target="https://www.immoscout24.ch/fr/appartement/louer/pays-argentine" TargetMode="External"/><Relationship Id="rId1681" Type="http://schemas.openxmlformats.org/officeDocument/2006/relationships/hyperlink" Target="https://www.immoscout24.ch/fr/maison/acheter/region-rive-gauche" TargetMode="External"/><Relationship Id="rId12240" Type="http://schemas.openxmlformats.org/officeDocument/2006/relationships/hyperlink" Target="https://www.immoscout24.ch/fr/appartement/acheter/lieu-burgdorf" TargetMode="External"/><Relationship Id="rId1682" Type="http://schemas.openxmlformats.org/officeDocument/2006/relationships/hyperlink" Target="https://www.immoscout24.ch/fr/maison/acheter/region-rive-gauche" TargetMode="External"/><Relationship Id="rId12247" Type="http://schemas.openxmlformats.org/officeDocument/2006/relationships/hyperlink" Target="https://www.immoscout24.ch/fr/appartement/acheter/lieu-cernier" TargetMode="External"/><Relationship Id="rId1683" Type="http://schemas.openxmlformats.org/officeDocument/2006/relationships/hyperlink" Target="https://www.immoscout24.ch/fr/appartement/louer/lieu-bibern-so" TargetMode="External"/><Relationship Id="rId12246" Type="http://schemas.openxmlformats.org/officeDocument/2006/relationships/hyperlink" Target="https://www.immoscout24.ch/fr/maison/acheter/lieu-les-bois" TargetMode="External"/><Relationship Id="rId1684" Type="http://schemas.openxmlformats.org/officeDocument/2006/relationships/hyperlink" Target="https://www.immoscout24.ch/fr/appartement/louer/lieu-bibern-so" TargetMode="External"/><Relationship Id="rId12245" Type="http://schemas.openxmlformats.org/officeDocument/2006/relationships/hyperlink" Target="https://www.immoscout24.ch/fr/maison/acheter/lieu-les-bois" TargetMode="External"/><Relationship Id="rId1685" Type="http://schemas.openxmlformats.org/officeDocument/2006/relationships/hyperlink" Target="https://www.immoscout24.ch/fr/maison/acheter/lieu-dizy" TargetMode="External"/><Relationship Id="rId12244" Type="http://schemas.openxmlformats.org/officeDocument/2006/relationships/hyperlink" Target="https://www.immoscout24.ch/fr/appartement/louer/lieu-wallisellen" TargetMode="External"/><Relationship Id="rId12218" Type="http://schemas.openxmlformats.org/officeDocument/2006/relationships/hyperlink" Target="https://www.immoscout24.ch/fr/maison/acheter/lieu-pilatus-kulm" TargetMode="External"/><Relationship Id="rId12217" Type="http://schemas.openxmlformats.org/officeDocument/2006/relationships/hyperlink" Target="https://www.immoscout24.ch/fr/maison/acheter/lieu-pilatus-kulm" TargetMode="External"/><Relationship Id="rId12216" Type="http://schemas.openxmlformats.org/officeDocument/2006/relationships/hyperlink" Target="https://www.immoscout24.ch/fr/maison/louer/lieu-collombey" TargetMode="External"/><Relationship Id="rId12215" Type="http://schemas.openxmlformats.org/officeDocument/2006/relationships/hyperlink" Target="https://www.immoscout24.ch/fr/maison/louer/lieu-collombey" TargetMode="External"/><Relationship Id="rId12219" Type="http://schemas.openxmlformats.org/officeDocument/2006/relationships/hyperlink" Target="https://www.immoscout24.ch/fr/appartement/acheter/quartier-beaux-arts-neuchatel" TargetMode="External"/><Relationship Id="rId12210" Type="http://schemas.openxmlformats.org/officeDocument/2006/relationships/hyperlink" Target="https://www.immoscout24.ch/fr/appartement/acheter/lieu-stansstad" TargetMode="External"/><Relationship Id="rId12214" Type="http://schemas.openxmlformats.org/officeDocument/2006/relationships/hyperlink" Target="https://www.immoscout24.ch/fr/maison/acheter/lieu-daillon" TargetMode="External"/><Relationship Id="rId12213" Type="http://schemas.openxmlformats.org/officeDocument/2006/relationships/hyperlink" Target="https://www.immoscout24.ch/fr/maison/acheter/lieu-daillon" TargetMode="External"/><Relationship Id="rId12212" Type="http://schemas.openxmlformats.org/officeDocument/2006/relationships/hyperlink" Target="https://www.immoscout24.ch/fr/maison/louer/lieu-biere" TargetMode="External"/><Relationship Id="rId12211" Type="http://schemas.openxmlformats.org/officeDocument/2006/relationships/hyperlink" Target="https://www.immoscout24.ch/fr/maison/louer/lieu-biere" TargetMode="External"/><Relationship Id="rId12229" Type="http://schemas.openxmlformats.org/officeDocument/2006/relationships/hyperlink" Target="https://www.immoscout24.ch/fr/maison/acheter/lieu-palezieux" TargetMode="External"/><Relationship Id="rId12228" Type="http://schemas.openxmlformats.org/officeDocument/2006/relationships/hyperlink" Target="https://www.immoscout24.ch/fr/appartement/louer/lieu-montricher" TargetMode="External"/><Relationship Id="rId12227" Type="http://schemas.openxmlformats.org/officeDocument/2006/relationships/hyperlink" Target="https://www.immoscout24.ch/fr/appartement/louer/lieu-montricher" TargetMode="External"/><Relationship Id="rId12226" Type="http://schemas.openxmlformats.org/officeDocument/2006/relationships/hyperlink" Target="https://www.immoscout24.ch/fr/maison/acheter/lieu-sornetan" TargetMode="External"/><Relationship Id="rId12221" Type="http://schemas.openxmlformats.org/officeDocument/2006/relationships/hyperlink" Target="https://www.immoscout24.ch/fr/appartement/louer/pays-suede" TargetMode="External"/><Relationship Id="rId12220" Type="http://schemas.openxmlformats.org/officeDocument/2006/relationships/hyperlink" Target="https://www.immoscout24.ch/fr/appartement/acheter/quartier-beaux-arts-neuchatel" TargetMode="External"/><Relationship Id="rId12225" Type="http://schemas.openxmlformats.org/officeDocument/2006/relationships/hyperlink" Target="https://www.immoscout24.ch/fr/maison/acheter/lieu-sornetan" TargetMode="External"/><Relationship Id="rId12224" Type="http://schemas.openxmlformats.org/officeDocument/2006/relationships/hyperlink" Target="https://www.immoscout24.ch/fr/maison/louer/lieu-tolochenaz" TargetMode="External"/><Relationship Id="rId12223" Type="http://schemas.openxmlformats.org/officeDocument/2006/relationships/hyperlink" Target="https://www.immoscout24.ch/fr/maison/louer/lieu-tolochenaz" TargetMode="External"/><Relationship Id="rId12222" Type="http://schemas.openxmlformats.org/officeDocument/2006/relationships/hyperlink" Target="https://www.immoscout24.ch/fr/appartement/louer/pays-suede" TargetMode="External"/><Relationship Id="rId1653" Type="http://schemas.openxmlformats.org/officeDocument/2006/relationships/hyperlink" Target="https://www.immoscout24.ch/fr/appartement/louer/lieu-savosa" TargetMode="External"/><Relationship Id="rId2984" Type="http://schemas.openxmlformats.org/officeDocument/2006/relationships/hyperlink" Target="https://www.immoscout24.ch/fr/maison/louer/lieu-gretzenbach" TargetMode="External"/><Relationship Id="rId1654" Type="http://schemas.openxmlformats.org/officeDocument/2006/relationships/hyperlink" Target="https://www.immoscout24.ch/fr/appartement/louer/lieu-savosa" TargetMode="External"/><Relationship Id="rId2985" Type="http://schemas.openxmlformats.org/officeDocument/2006/relationships/hyperlink" Target="https://www.immoscout24.ch/fr/maison/acheter/region-bern-et-environs" TargetMode="External"/><Relationship Id="rId1655" Type="http://schemas.openxmlformats.org/officeDocument/2006/relationships/hyperlink" Target="https://www.immoscout24.ch/fr/maison/louer/lieu-st-gallen" TargetMode="External"/><Relationship Id="rId2986" Type="http://schemas.openxmlformats.org/officeDocument/2006/relationships/hyperlink" Target="https://www.immoscout24.ch/fr/maison/acheter/region-bern-et-environs" TargetMode="External"/><Relationship Id="rId1656" Type="http://schemas.openxmlformats.org/officeDocument/2006/relationships/hyperlink" Target="https://www.immoscout24.ch/fr/maison/louer/lieu-st-gallen" TargetMode="External"/><Relationship Id="rId2987" Type="http://schemas.openxmlformats.org/officeDocument/2006/relationships/hyperlink" Target="https://www.immoscout24.ch/fr/appartement/louer/lieu-domdidier" TargetMode="External"/><Relationship Id="rId1657" Type="http://schemas.openxmlformats.org/officeDocument/2006/relationships/hyperlink" Target="https://www.immoscout24.ch/fr/maison/acheter/lieu-mont-sur-rolle" TargetMode="External"/><Relationship Id="rId2988" Type="http://schemas.openxmlformats.org/officeDocument/2006/relationships/hyperlink" Target="https://www.immoscout24.ch/fr/appartement/louer/lieu-domdidier" TargetMode="External"/><Relationship Id="rId12283" Type="http://schemas.openxmlformats.org/officeDocument/2006/relationships/hyperlink" Target="https://www.immoscout24.ch/fr/appartement/acheter/lieu-chapelle-broye" TargetMode="External"/><Relationship Id="rId1658" Type="http://schemas.openxmlformats.org/officeDocument/2006/relationships/hyperlink" Target="https://www.immoscout24.ch/fr/maison/acheter/lieu-mont-sur-rolle" TargetMode="External"/><Relationship Id="rId2989" Type="http://schemas.openxmlformats.org/officeDocument/2006/relationships/hyperlink" Target="https://www.immoscout24.ch/fr/maison/louer/region-lucerne-hinterland" TargetMode="External"/><Relationship Id="rId12282" Type="http://schemas.openxmlformats.org/officeDocument/2006/relationships/hyperlink" Target="https://www.immoscout24.ch/fr/appartement/louer/lieu-juf" TargetMode="External"/><Relationship Id="rId1659" Type="http://schemas.openxmlformats.org/officeDocument/2006/relationships/hyperlink" Target="https://www.immoscout24.ch/fr/maison/acheter/lieu-goumois" TargetMode="External"/><Relationship Id="rId12281" Type="http://schemas.openxmlformats.org/officeDocument/2006/relationships/hyperlink" Target="https://www.immoscout24.ch/fr/appartement/louer/lieu-juf" TargetMode="External"/><Relationship Id="rId12280" Type="http://schemas.openxmlformats.org/officeDocument/2006/relationships/hyperlink" Target="https://www.immoscout24.ch/fr/maison/acheter/quartier-pouillerel-postiers-chevreuils-la-chaux-de-fonds" TargetMode="External"/><Relationship Id="rId12276" Type="http://schemas.openxmlformats.org/officeDocument/2006/relationships/hyperlink" Target="https://www.immoscout24.ch/fr/maison/acheter/lieu-les-tavernes" TargetMode="External"/><Relationship Id="rId12275" Type="http://schemas.openxmlformats.org/officeDocument/2006/relationships/hyperlink" Target="https://www.immoscout24.ch/fr/maison/acheter/lieu-les-tavernes" TargetMode="External"/><Relationship Id="rId12274" Type="http://schemas.openxmlformats.org/officeDocument/2006/relationships/hyperlink" Target="https://www.immoscout24.ch/fr/appartement/louer/lieu-vandoeuvres" TargetMode="External"/><Relationship Id="rId12273" Type="http://schemas.openxmlformats.org/officeDocument/2006/relationships/hyperlink" Target="https://www.immoscout24.ch/fr/appartement/louer/lieu-vandoeuvres" TargetMode="External"/><Relationship Id="rId2980" Type="http://schemas.openxmlformats.org/officeDocument/2006/relationships/hyperlink" Target="https://www.immoscout24.ch/fr/maison/acheter/lieu-guschelmuth" TargetMode="External"/><Relationship Id="rId1650" Type="http://schemas.openxmlformats.org/officeDocument/2006/relationships/hyperlink" Target="https://www.immoscout24.ch/fr/appartement/louer/lieu-bex" TargetMode="External"/><Relationship Id="rId2981" Type="http://schemas.openxmlformats.org/officeDocument/2006/relationships/hyperlink" Target="https://www.immoscout24.ch/fr/maison/acheter/lieu-romanens" TargetMode="External"/><Relationship Id="rId12279" Type="http://schemas.openxmlformats.org/officeDocument/2006/relationships/hyperlink" Target="https://www.immoscout24.ch/fr/maison/acheter/quartier-pouillerel-postiers-chevreuils-la-chaux-de-fonds" TargetMode="External"/><Relationship Id="rId1651" Type="http://schemas.openxmlformats.org/officeDocument/2006/relationships/hyperlink" Target="https://www.immoscout24.ch/fr/maison/acheter/lieu-choex" TargetMode="External"/><Relationship Id="rId2982" Type="http://schemas.openxmlformats.org/officeDocument/2006/relationships/hyperlink" Target="https://www.immoscout24.ch/fr/maison/acheter/lieu-romanens" TargetMode="External"/><Relationship Id="rId12278" Type="http://schemas.openxmlformats.org/officeDocument/2006/relationships/hyperlink" Target="https://www.immoscout24.ch/fr/appartement/louer/quartier-friesenberg-zurich" TargetMode="External"/><Relationship Id="rId1652" Type="http://schemas.openxmlformats.org/officeDocument/2006/relationships/hyperlink" Target="https://www.immoscout24.ch/fr/maison/acheter/lieu-choex" TargetMode="External"/><Relationship Id="rId2983" Type="http://schemas.openxmlformats.org/officeDocument/2006/relationships/hyperlink" Target="https://www.immoscout24.ch/fr/maison/louer/lieu-gretzenbach" TargetMode="External"/><Relationship Id="rId12277" Type="http://schemas.openxmlformats.org/officeDocument/2006/relationships/hyperlink" Target="https://www.immoscout24.ch/fr/appartement/louer/quartier-friesenberg-zurich" TargetMode="External"/><Relationship Id="rId1642" Type="http://schemas.openxmlformats.org/officeDocument/2006/relationships/hyperlink" Target="https://www.immoscout24.ch/fr/maison/louer/region-jura-vaudois" TargetMode="External"/><Relationship Id="rId2973" Type="http://schemas.openxmlformats.org/officeDocument/2006/relationships/hyperlink" Target="https://www.immoscout24.ch/fr/maison/acheter/lieu-neyruz-fr" TargetMode="External"/><Relationship Id="rId12290" Type="http://schemas.openxmlformats.org/officeDocument/2006/relationships/hyperlink" Target="https://www.immoscout24.ch/fr/maison/louer/region-mendrisiotto" TargetMode="External"/><Relationship Id="rId1643" Type="http://schemas.openxmlformats.org/officeDocument/2006/relationships/hyperlink" Target="https://www.immoscout24.ch/fr/maison/acheter/lieu-vucherens" TargetMode="External"/><Relationship Id="rId2974" Type="http://schemas.openxmlformats.org/officeDocument/2006/relationships/hyperlink" Target="https://www.immoscout24.ch/fr/maison/acheter/lieu-neyruz-fr" TargetMode="External"/><Relationship Id="rId1644" Type="http://schemas.openxmlformats.org/officeDocument/2006/relationships/hyperlink" Target="https://www.immoscout24.ch/fr/maison/acheter/lieu-vucherens" TargetMode="External"/><Relationship Id="rId2975" Type="http://schemas.openxmlformats.org/officeDocument/2006/relationships/hyperlink" Target="https://www.immoscout24.ch/fr/appartement/louer/lieu-cormondreche" TargetMode="External"/><Relationship Id="rId1645" Type="http://schemas.openxmlformats.org/officeDocument/2006/relationships/hyperlink" Target="https://www.immoscout24.ch/fr/maison/louer/lieu-merligen" TargetMode="External"/><Relationship Id="rId2976" Type="http://schemas.openxmlformats.org/officeDocument/2006/relationships/hyperlink" Target="https://www.immoscout24.ch/fr/appartement/louer/lieu-cormondreche" TargetMode="External"/><Relationship Id="rId1646" Type="http://schemas.openxmlformats.org/officeDocument/2006/relationships/hyperlink" Target="https://www.immoscout24.ch/fr/maison/louer/lieu-merligen" TargetMode="External"/><Relationship Id="rId2977" Type="http://schemas.openxmlformats.org/officeDocument/2006/relationships/hyperlink" Target="https://www.immoscout24.ch/fr/appartement/acheter/lieu-la-rippe" TargetMode="External"/><Relationship Id="rId12294" Type="http://schemas.openxmlformats.org/officeDocument/2006/relationships/hyperlink" Target="https://www.immoscout24.ch/fr/appartement/louer/quartier-nouvelle-ville-sud-biel-bienne" TargetMode="External"/><Relationship Id="rId1647" Type="http://schemas.openxmlformats.org/officeDocument/2006/relationships/hyperlink" Target="https://www.immoscout24.ch/fr/maison/louer/lieu-sattel" TargetMode="External"/><Relationship Id="rId2978" Type="http://schemas.openxmlformats.org/officeDocument/2006/relationships/hyperlink" Target="https://www.immoscout24.ch/fr/appartement/acheter/lieu-la-rippe" TargetMode="External"/><Relationship Id="rId12293" Type="http://schemas.openxmlformats.org/officeDocument/2006/relationships/hyperlink" Target="https://www.immoscout24.ch/fr/appartement/louer/quartier-nouvelle-ville-sud-biel-bienne" TargetMode="External"/><Relationship Id="rId1648" Type="http://schemas.openxmlformats.org/officeDocument/2006/relationships/hyperlink" Target="https://www.immoscout24.ch/fr/maison/louer/lieu-sattel" TargetMode="External"/><Relationship Id="rId2979" Type="http://schemas.openxmlformats.org/officeDocument/2006/relationships/hyperlink" Target="https://www.immoscout24.ch/fr/maison/acheter/lieu-guschelmuth" TargetMode="External"/><Relationship Id="rId12292" Type="http://schemas.openxmlformats.org/officeDocument/2006/relationships/hyperlink" Target="https://www.immoscout24.ch/fr/maison/acheter/lieu-luesslingen" TargetMode="External"/><Relationship Id="rId1649" Type="http://schemas.openxmlformats.org/officeDocument/2006/relationships/hyperlink" Target="https://www.immoscout24.ch/fr/appartement/louer/lieu-bex" TargetMode="External"/><Relationship Id="rId12291" Type="http://schemas.openxmlformats.org/officeDocument/2006/relationships/hyperlink" Target="https://www.immoscout24.ch/fr/maison/acheter/lieu-luesslingen" TargetMode="External"/><Relationship Id="rId12287" Type="http://schemas.openxmlformats.org/officeDocument/2006/relationships/hyperlink" Target="https://www.immoscout24.ch/fr/maison/acheter/lieu-berneck" TargetMode="External"/><Relationship Id="rId12286" Type="http://schemas.openxmlformats.org/officeDocument/2006/relationships/hyperlink" Target="https://www.immoscout24.ch/fr/appartement/louer/lieu-graenichen" TargetMode="External"/><Relationship Id="rId12285" Type="http://schemas.openxmlformats.org/officeDocument/2006/relationships/hyperlink" Target="https://www.immoscout24.ch/fr/appartement/louer/lieu-graenichen" TargetMode="External"/><Relationship Id="rId12284" Type="http://schemas.openxmlformats.org/officeDocument/2006/relationships/hyperlink" Target="https://www.immoscout24.ch/fr/appartement/acheter/lieu-chapelle-broye" TargetMode="External"/><Relationship Id="rId2970" Type="http://schemas.openxmlformats.org/officeDocument/2006/relationships/hyperlink" Target="https://www.immoscout24.ch/fr/appartement/louer/lieu-bretonnieres" TargetMode="External"/><Relationship Id="rId1640" Type="http://schemas.openxmlformats.org/officeDocument/2006/relationships/hyperlink" Target="https://www.immoscout24.ch/fr/maison/acheter/lieu-biel-bienne" TargetMode="External"/><Relationship Id="rId2971" Type="http://schemas.openxmlformats.org/officeDocument/2006/relationships/hyperlink" Target="https://www.immoscout24.ch/fr/maison/louer/quartier-schonberg-fribourg" TargetMode="External"/><Relationship Id="rId12289" Type="http://schemas.openxmlformats.org/officeDocument/2006/relationships/hyperlink" Target="https://www.immoscout24.ch/fr/maison/louer/region-mendrisiotto" TargetMode="External"/><Relationship Id="rId1641" Type="http://schemas.openxmlformats.org/officeDocument/2006/relationships/hyperlink" Target="https://www.immoscout24.ch/fr/maison/louer/region-jura-vaudois" TargetMode="External"/><Relationship Id="rId2972" Type="http://schemas.openxmlformats.org/officeDocument/2006/relationships/hyperlink" Target="https://www.immoscout24.ch/fr/maison/louer/quartier-schonberg-fribourg" TargetMode="External"/><Relationship Id="rId12288" Type="http://schemas.openxmlformats.org/officeDocument/2006/relationships/hyperlink" Target="https://www.immoscout24.ch/fr/maison/acheter/lieu-berneck" TargetMode="External"/><Relationship Id="rId1675" Type="http://schemas.openxmlformats.org/officeDocument/2006/relationships/hyperlink" Target="https://www.immoscout24.ch/fr/appartement/louer/lieu-rennaz" TargetMode="External"/><Relationship Id="rId1676" Type="http://schemas.openxmlformats.org/officeDocument/2006/relationships/hyperlink" Target="https://www.immoscout24.ch/fr/appartement/louer/lieu-rennaz" TargetMode="External"/><Relationship Id="rId1677" Type="http://schemas.openxmlformats.org/officeDocument/2006/relationships/hyperlink" Target="https://www.immoscout24.ch/fr/appartement/louer/lieu-riehen" TargetMode="External"/><Relationship Id="rId1678" Type="http://schemas.openxmlformats.org/officeDocument/2006/relationships/hyperlink" Target="https://www.immoscout24.ch/fr/appartement/louer/lieu-riehen" TargetMode="External"/><Relationship Id="rId1679" Type="http://schemas.openxmlformats.org/officeDocument/2006/relationships/hyperlink" Target="https://www.immoscout24.ch/fr/appartement/acheter/lieu-steckborn" TargetMode="External"/><Relationship Id="rId12261" Type="http://schemas.openxmlformats.org/officeDocument/2006/relationships/hyperlink" Target="https://www.immoscout24.ch/fr/maison/acheter/lieu-cassina-d-agno" TargetMode="External"/><Relationship Id="rId12260" Type="http://schemas.openxmlformats.org/officeDocument/2006/relationships/hyperlink" Target="https://www.immoscout24.ch/fr/appartement/louer/quartier-duerrenast-thun" TargetMode="External"/><Relationship Id="rId12259" Type="http://schemas.openxmlformats.org/officeDocument/2006/relationships/hyperlink" Target="https://www.immoscout24.ch/fr/appartement/louer/quartier-duerrenast-thun" TargetMode="External"/><Relationship Id="rId12254" Type="http://schemas.openxmlformats.org/officeDocument/2006/relationships/hyperlink" Target="https://www.immoscout24.ch/fr/appartement/louer/lieu-bussy-sur-moudon" TargetMode="External"/><Relationship Id="rId12253" Type="http://schemas.openxmlformats.org/officeDocument/2006/relationships/hyperlink" Target="https://www.immoscout24.ch/fr/appartement/louer/lieu-bussy-sur-moudon" TargetMode="External"/><Relationship Id="rId12252" Type="http://schemas.openxmlformats.org/officeDocument/2006/relationships/hyperlink" Target="https://www.immoscout24.ch/fr/appartement/louer/quartier-city-zurich" TargetMode="External"/><Relationship Id="rId1670" Type="http://schemas.openxmlformats.org/officeDocument/2006/relationships/hyperlink" Target="https://www.immoscout24.ch/fr/appartement/acheter/lieu-versoix" TargetMode="External"/><Relationship Id="rId12251" Type="http://schemas.openxmlformats.org/officeDocument/2006/relationships/hyperlink" Target="https://www.immoscout24.ch/fr/appartement/louer/quartier-city-zurich" TargetMode="External"/><Relationship Id="rId1671" Type="http://schemas.openxmlformats.org/officeDocument/2006/relationships/hyperlink" Target="https://www.immoscout24.ch/fr/appartement/louer/lieu-la-cibourg" TargetMode="External"/><Relationship Id="rId12258" Type="http://schemas.openxmlformats.org/officeDocument/2006/relationships/hyperlink" Target="https://www.immoscout24.ch/fr/appartement/acheter/lieu-clarmont" TargetMode="External"/><Relationship Id="rId1672" Type="http://schemas.openxmlformats.org/officeDocument/2006/relationships/hyperlink" Target="https://www.immoscout24.ch/fr/appartement/louer/lieu-la-cibourg" TargetMode="External"/><Relationship Id="rId12257" Type="http://schemas.openxmlformats.org/officeDocument/2006/relationships/hyperlink" Target="https://www.immoscout24.ch/fr/appartement/acheter/lieu-clarmont" TargetMode="External"/><Relationship Id="rId1673" Type="http://schemas.openxmlformats.org/officeDocument/2006/relationships/hyperlink" Target="https://www.immoscout24.ch/fr/appartement/acheter/canton-grisons" TargetMode="External"/><Relationship Id="rId12256" Type="http://schemas.openxmlformats.org/officeDocument/2006/relationships/hyperlink" Target="https://www.immoscout24.ch/fr/maison/acheter/lieu-kirchlindach" TargetMode="External"/><Relationship Id="rId1674" Type="http://schemas.openxmlformats.org/officeDocument/2006/relationships/hyperlink" Target="https://www.immoscout24.ch/fr/appartement/acheter/canton-grisons" TargetMode="External"/><Relationship Id="rId12255" Type="http://schemas.openxmlformats.org/officeDocument/2006/relationships/hyperlink" Target="https://www.immoscout24.ch/fr/maison/acheter/lieu-kirchlindach" TargetMode="External"/><Relationship Id="rId1664" Type="http://schemas.openxmlformats.org/officeDocument/2006/relationships/hyperlink" Target="https://www.immoscout24.ch/fr/maison/acheter/lieu-trey" TargetMode="External"/><Relationship Id="rId2995" Type="http://schemas.openxmlformats.org/officeDocument/2006/relationships/hyperlink" Target="https://www.immoscout24.ch/fr/appartement/louer/lieu-st-martin-vs" TargetMode="External"/><Relationship Id="rId1665" Type="http://schemas.openxmlformats.org/officeDocument/2006/relationships/hyperlink" Target="https://www.immoscout24.ch/fr/maison/acheter/lieu-balerna" TargetMode="External"/><Relationship Id="rId2996" Type="http://schemas.openxmlformats.org/officeDocument/2006/relationships/hyperlink" Target="https://www.immoscout24.ch/fr/appartement/louer/lieu-st-martin-vs" TargetMode="External"/><Relationship Id="rId1666" Type="http://schemas.openxmlformats.org/officeDocument/2006/relationships/hyperlink" Target="https://www.immoscout24.ch/fr/maison/acheter/lieu-balerna" TargetMode="External"/><Relationship Id="rId2997" Type="http://schemas.openxmlformats.org/officeDocument/2006/relationships/hyperlink" Target="https://www.immoscout24.ch/fr/appartement/louer/lieu-chevilly" TargetMode="External"/><Relationship Id="rId1667" Type="http://schemas.openxmlformats.org/officeDocument/2006/relationships/hyperlink" Target="https://www.immoscout24.ch/fr/maison/acheter/lieu-gudo" TargetMode="External"/><Relationship Id="rId2998" Type="http://schemas.openxmlformats.org/officeDocument/2006/relationships/hyperlink" Target="https://www.immoscout24.ch/fr/appartement/louer/lieu-chevilly" TargetMode="External"/><Relationship Id="rId1668" Type="http://schemas.openxmlformats.org/officeDocument/2006/relationships/hyperlink" Target="https://www.immoscout24.ch/fr/maison/acheter/lieu-gudo" TargetMode="External"/><Relationship Id="rId2999" Type="http://schemas.openxmlformats.org/officeDocument/2006/relationships/hyperlink" Target="https://www.immoscout24.ch/fr/appartement/louer/lieu-maracon" TargetMode="External"/><Relationship Id="rId12272" Type="http://schemas.openxmlformats.org/officeDocument/2006/relationships/hyperlink" Target="https://www.immoscout24.ch/fr/appartement/louer/lieu-worb" TargetMode="External"/><Relationship Id="rId1669" Type="http://schemas.openxmlformats.org/officeDocument/2006/relationships/hyperlink" Target="https://www.immoscout24.ch/fr/appartement/acheter/lieu-versoix" TargetMode="External"/><Relationship Id="rId12271" Type="http://schemas.openxmlformats.org/officeDocument/2006/relationships/hyperlink" Target="https://www.immoscout24.ch/fr/appartement/louer/lieu-worb" TargetMode="External"/><Relationship Id="rId12270" Type="http://schemas.openxmlformats.org/officeDocument/2006/relationships/hyperlink" Target="https://www.immoscout24.ch/fr/appartement/acheter/region-fribourg-glane" TargetMode="External"/><Relationship Id="rId12265" Type="http://schemas.openxmlformats.org/officeDocument/2006/relationships/hyperlink" Target="https://www.immoscout24.ch/fr/maison/acheter/lieu-prez-vers-noreaz" TargetMode="External"/><Relationship Id="rId12264" Type="http://schemas.openxmlformats.org/officeDocument/2006/relationships/hyperlink" Target="https://www.immoscout24.ch/fr/appartement/acheter/lieu-salins" TargetMode="External"/><Relationship Id="rId12263" Type="http://schemas.openxmlformats.org/officeDocument/2006/relationships/hyperlink" Target="https://www.immoscout24.ch/fr/appartement/acheter/lieu-salins" TargetMode="External"/><Relationship Id="rId2990" Type="http://schemas.openxmlformats.org/officeDocument/2006/relationships/hyperlink" Target="https://www.immoscout24.ch/fr/maison/louer/region-lucerne-hinterland" TargetMode="External"/><Relationship Id="rId12262" Type="http://schemas.openxmlformats.org/officeDocument/2006/relationships/hyperlink" Target="https://www.immoscout24.ch/fr/maison/acheter/lieu-cassina-d-agno" TargetMode="External"/><Relationship Id="rId1660" Type="http://schemas.openxmlformats.org/officeDocument/2006/relationships/hyperlink" Target="https://www.immoscout24.ch/fr/maison/acheter/lieu-goumois" TargetMode="External"/><Relationship Id="rId2991" Type="http://schemas.openxmlformats.org/officeDocument/2006/relationships/hyperlink" Target="https://www.immoscout24.ch/fr/appartement/louer/lieu-corgemont" TargetMode="External"/><Relationship Id="rId12269" Type="http://schemas.openxmlformats.org/officeDocument/2006/relationships/hyperlink" Target="https://www.immoscout24.ch/fr/appartement/acheter/region-fribourg-glane" TargetMode="External"/><Relationship Id="rId1661" Type="http://schemas.openxmlformats.org/officeDocument/2006/relationships/hyperlink" Target="https://www.immoscout24.ch/fr/appartement/louer/lieu-villarzel" TargetMode="External"/><Relationship Id="rId2992" Type="http://schemas.openxmlformats.org/officeDocument/2006/relationships/hyperlink" Target="https://www.immoscout24.ch/fr/appartement/louer/lieu-corgemont" TargetMode="External"/><Relationship Id="rId12268" Type="http://schemas.openxmlformats.org/officeDocument/2006/relationships/hyperlink" Target="https://www.immoscout24.ch/fr/maison/acheter/lieu-gimel" TargetMode="External"/><Relationship Id="rId1662" Type="http://schemas.openxmlformats.org/officeDocument/2006/relationships/hyperlink" Target="https://www.immoscout24.ch/fr/appartement/louer/lieu-villarzel" TargetMode="External"/><Relationship Id="rId2993" Type="http://schemas.openxmlformats.org/officeDocument/2006/relationships/hyperlink" Target="https://www.immoscout24.ch/fr/appartement/louer/lieu-vesin" TargetMode="External"/><Relationship Id="rId12267" Type="http://schemas.openxmlformats.org/officeDocument/2006/relationships/hyperlink" Target="https://www.immoscout24.ch/fr/maison/acheter/lieu-gimel" TargetMode="External"/><Relationship Id="rId1663" Type="http://schemas.openxmlformats.org/officeDocument/2006/relationships/hyperlink" Target="https://www.immoscout24.ch/fr/maison/acheter/lieu-trey" TargetMode="External"/><Relationship Id="rId2994" Type="http://schemas.openxmlformats.org/officeDocument/2006/relationships/hyperlink" Target="https://www.immoscout24.ch/fr/appartement/louer/lieu-vesin" TargetMode="External"/><Relationship Id="rId12266" Type="http://schemas.openxmlformats.org/officeDocument/2006/relationships/hyperlink" Target="https://www.immoscout24.ch/fr/maison/acheter/lieu-prez-vers-noreaz" TargetMode="External"/><Relationship Id="rId12207" Type="http://schemas.openxmlformats.org/officeDocument/2006/relationships/hyperlink" Target="https://www.immoscout24.ch/fr/maison/louer/lieu-erde" TargetMode="External"/><Relationship Id="rId12206" Type="http://schemas.openxmlformats.org/officeDocument/2006/relationships/hyperlink" Target="https://www.immoscout24.ch/fr/appartement/acheter/region-avenches-payerne" TargetMode="External"/><Relationship Id="rId12205" Type="http://schemas.openxmlformats.org/officeDocument/2006/relationships/hyperlink" Target="https://www.immoscout24.ch/fr/appartement/acheter/region-avenches-payerne" TargetMode="External"/><Relationship Id="rId12204" Type="http://schemas.openxmlformats.org/officeDocument/2006/relationships/hyperlink" Target="https://www.immoscout24.ch/fr/appartement/louer/lieu-rizenbach" TargetMode="External"/><Relationship Id="rId12209" Type="http://schemas.openxmlformats.org/officeDocument/2006/relationships/hyperlink" Target="https://www.immoscout24.ch/fr/appartement/acheter/lieu-stansstad" TargetMode="External"/><Relationship Id="rId12208" Type="http://schemas.openxmlformats.org/officeDocument/2006/relationships/hyperlink" Target="https://www.immoscout24.ch/fr/maison/louer/lieu-erde" TargetMode="External"/><Relationship Id="rId12203" Type="http://schemas.openxmlformats.org/officeDocument/2006/relationships/hyperlink" Target="https://www.immoscout24.ch/fr/appartement/louer/lieu-rizenbach" TargetMode="External"/><Relationship Id="rId12202" Type="http://schemas.openxmlformats.org/officeDocument/2006/relationships/hyperlink" Target="https://www.immoscout24.ch/fr/appartement/acheter/lieu-gunten" TargetMode="External"/><Relationship Id="rId12201" Type="http://schemas.openxmlformats.org/officeDocument/2006/relationships/hyperlink" Target="https://www.immoscout24.ch/fr/appartement/acheter/lieu-gunten" TargetMode="External"/><Relationship Id="rId12200" Type="http://schemas.openxmlformats.org/officeDocument/2006/relationships/hyperlink" Target="https://www.immoscout24.ch/fr/maison/acheter/lieu-torny-le-grand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9.86"/>
    <col customWidth="1" min="2" max="2" width="113.71"/>
    <col customWidth="1" min="3" max="3" width="186.14"/>
    <col customWidth="1" min="4" max="4" width="14.43"/>
    <col customWidth="1" min="5" max="5" width="27.71"/>
    <col customWidth="1" min="6" max="6" width="29.86"/>
    <col customWidth="1" min="9" max="9" width="146.71"/>
    <col customWidth="1" min="10" max="10" width="15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>
      <c r="A2" s="3" t="s">
        <v>10</v>
      </c>
      <c r="B2" s="2" t="s">
        <v>11</v>
      </c>
      <c r="C2" s="4" t="str">
        <f>IFERROR(__xludf.DUMMYFUNCTION("""🏘️ ""&amp;REGEXEXTRACT(B2, ""^(.*): "")&amp;"" ✅ "" &amp;REGEXEXTRACT(B2, ""(Trouvez.*)"")"),"🏘️ Vendre appartement Dombresson ✅ Trouvez le bien immobilier qui correspond idéalement à vos désirs sur ImmoScout24 - La plateforme de l'immobilier en Suisse.")</f>
        <v>🏘️ Vendre appartement Dombresson ✅ Trouvez le bien immobilier qui correspond idéalement à vos désirs sur ImmoScout24 - La plateforme de l'immobilier en Suisse.</v>
      </c>
      <c r="D2" s="4" t="str">
        <f>vlookup(A2, Sheet2!D:E, 2, 0)</f>
        <v>variant</v>
      </c>
      <c r="E2" s="4" t="str">
        <f>IFERROR(__xludf.DUMMYFUNCTION("if(H2=""pays"",vlookup(REGEXEXTRACT(C2, ""🏘️ \w+ \w+ (.*) ✅""),'Country prepositions'!A:B, 2, 0) &amp; "" "" &amp; REGEXEXTRACT(C2, ""🏘️ \w+ \w+ (.*) ✅"") ,  if(H2=""quartier"",vlookup(REGEXEXTRACT(C2, ""🏘️ \w+ \w+ (.*) ✅""),'Quartier prepositions'!A:E, 5, 0) "&amp;",  if(H2=""region"",vlookup(REGEXEXTRACT(C2, ""🏘️ \w+ \w+ (.*) ✅""),'Region prepositions'!B:F, 5, 0),  REGEXEXTRACT(C2, ""🏘️ \w+ \w+ (.*) ✅""))))"),"Dombresson")</f>
        <v>Dombresson</v>
      </c>
      <c r="F2" s="2" t="str">
        <f>IFERROR(__xludf.DUMMYFUNCTION("REGEXEXTRACT(C2, ""🏘️ (\w+) \w+ .* ✅"")"),"Vendre")</f>
        <v>Vendre</v>
      </c>
      <c r="G2" s="2" t="str">
        <f>IFERROR(__xludf.DUMMYFUNCTION("REGEXEXTRACT(C2, ""🏘️ \w+ (\w+) .* ✅"")"),"appartement")</f>
        <v>appartement</v>
      </c>
      <c r="H2" s="4" t="str">
        <f>IFERROR(__xludf.DUMMYFUNCTION("REGEXEXTRACT(A2, ""/(\w+)-.*?"")"),"lieu")</f>
        <v>lieu</v>
      </c>
      <c r="I2" s="4" t="str">
        <f>IFERROR(__xludf.DUMMYFUNCTION("if(D2=""variant"",  if(H2=""pays"",  , substitute(filter(Templates!E:E, Templates!A:A = F2, Templates!B:B = G2, Templates!C:C = H2), ""{{}}"", E2)), B2)"),"🏘  L’appartement de vos rêves se trouve sur ImmoScout24.ch ✅ Découvrez les dernières annonces de vente à Dombresson.")</f>
        <v>🏘  L’appartement de vos rêves se trouve sur ImmoScout24.ch ✅ Découvrez les dernières annonces de vente à Dombresson.</v>
      </c>
      <c r="J2" s="4" t="s">
        <v>12</v>
      </c>
    </row>
    <row r="3">
      <c r="A3" s="5" t="s">
        <v>13</v>
      </c>
      <c r="B3" s="2" t="s">
        <v>14</v>
      </c>
      <c r="C3" s="4" t="str">
        <f>IFERROR(__xludf.DUMMYFUNCTION("""🏘️ ""&amp;REGEXEXTRACT(B3, ""^(.*): "")&amp;"" ✅ "" &amp;REGEXEXTRACT(B3, ""(Trouvez.*)"")"),"🏘️ Vendre appartement Tannay ✅ Trouvez le bien immobilier qui correspond idéalement à vos désirs sur ImmoScout24 - La plateforme de l'immobilier en Suisse.")</f>
        <v>🏘️ Vendre appartement Tannay ✅ Trouvez le bien immobilier qui correspond idéalement à vos désirs sur ImmoScout24 - La plateforme de l'immobilier en Suisse.</v>
      </c>
      <c r="D3" s="4" t="str">
        <f>vlookup(A3, Sheet2!D:E, 2, 0)</f>
        <v>variant</v>
      </c>
      <c r="E3" s="4" t="str">
        <f>IFERROR(__xludf.DUMMYFUNCTION("if(H3=""pays"",vlookup(REGEXEXTRACT(C3, ""🏘️ \w+ \w+ (.*) ✅""),'Country prepositions'!A:B, 2, 0) &amp; "" "" &amp; REGEXEXTRACT(C3, ""🏘️ \w+ \w+ (.*) ✅"") ,  if(H3=""quartier"",vlookup(REGEXEXTRACT(C3, ""🏘️ \w+ \w+ (.*) ✅""),'Quartier prepositions'!A:E, 5, 0) "&amp;",  if(H3=""region"",vlookup(REGEXEXTRACT(C3, ""🏘️ \w+ \w+ (.*) ✅""),'Region prepositions'!B:F, 5, 0),  REGEXEXTRACT(C3, ""🏘️ \w+ \w+ (.*) ✅""))))"),"Tannay")</f>
        <v>Tannay</v>
      </c>
      <c r="F3" s="2" t="str">
        <f>IFERROR(__xludf.DUMMYFUNCTION("REGEXEXTRACT(C3, ""🏘️ (\w+) \w+ .* ✅"")"),"Vendre")</f>
        <v>Vendre</v>
      </c>
      <c r="G3" s="2" t="str">
        <f>IFERROR(__xludf.DUMMYFUNCTION("REGEXEXTRACT(C3, ""🏘️ \w+ (\w+) .* ✅"")"),"appartement")</f>
        <v>appartement</v>
      </c>
      <c r="H3" s="4" t="str">
        <f>IFERROR(__xludf.DUMMYFUNCTION("REGEXEXTRACT(A3, ""/(\w+)-.*?"")"),"lieu")</f>
        <v>lieu</v>
      </c>
      <c r="I3" s="4" t="str">
        <f>IFERROR(__xludf.DUMMYFUNCTION("if(D3=""variant"",  substitute(filter(Templates!E:E, Templates!A:A = F3, Templates!B:B = G3, Templates!C:C = H3), ""{{}}"", E3), B3)"),"🏘  L’appartement de vos rêves se trouve sur ImmoScout24.ch ✅ Découvrez les dernières annonces de vente à Tannay.")</f>
        <v>🏘  L’appartement de vos rêves se trouve sur ImmoScout24.ch ✅ Découvrez les dernières annonces de vente à Tannay.</v>
      </c>
      <c r="J3" s="4" t="s">
        <v>15</v>
      </c>
    </row>
    <row r="4">
      <c r="A4" s="3" t="s">
        <v>16</v>
      </c>
      <c r="B4" s="2" t="s">
        <v>17</v>
      </c>
      <c r="C4" s="4" t="str">
        <f>IFERROR(__xludf.DUMMYFUNCTION("""🏘️ ""&amp;REGEXEXTRACT(B4, ""^(.*): "")&amp;"" ✅ "" &amp;REGEXEXTRACT(B4, ""(Trouvez.*)"")"),"🏘️ Vendre appartement Olten - Thal - Gäu - Gösgen ✅ Trouvez le bien immobilier qui correspond idéalement à vos désirs sur ImmoScout24 - La plateforme de l'immobilier en Suisse.")</f>
        <v>🏘️ Vendre appartement Olten - Thal - Gäu - Gösgen ✅ Trouvez le bien immobilier qui correspond idéalement à vos désirs sur ImmoScout24 - La plateforme de l'immobilier en Suisse.</v>
      </c>
      <c r="D4" s="4" t="str">
        <f>vlookup(A4, Sheet2!D:E, 2, 0)</f>
        <v>variant</v>
      </c>
      <c r="E4" s="4" t="str">
        <f>IFERROR(__xludf.DUMMYFUNCTION("if(H4=""pays"",vlookup(REGEXEXTRACT(C4, ""🏘️ \w+ \w+ (.*) ✅""),'Country prepositions'!A:B, 2, 0) &amp; "" "" &amp; REGEXEXTRACT(C4, ""🏘️ \w+ \w+ (.*) ✅"") ,  if(H4=""quartier"",vlookup(REGEXEXTRACT(C4, ""🏘️ \w+ \w+ (.*) ✅""),'Quartier prepositions'!A:E, 5, 0) "&amp;",  if(H4=""region"",vlookup(REGEXEXTRACT(C4, ""🏘️ \w+ \w+ (.*) ✅""),'Region prepositions'!B:F, 5, 0),  REGEXEXTRACT(C4, ""🏘️ \w+ \w+ (.*) ✅""))))"),"dans la région d'Olten - Thal - Gäu - Gösgen")</f>
        <v>dans la région d'Olten - Thal - Gäu - Gösgen</v>
      </c>
      <c r="F4" s="2" t="str">
        <f>IFERROR(__xludf.DUMMYFUNCTION("REGEXEXTRACT(C4, ""🏘️ (\w+) \w+ .* ✅"")"),"Vendre")</f>
        <v>Vendre</v>
      </c>
      <c r="G4" s="2" t="str">
        <f>IFERROR(__xludf.DUMMYFUNCTION("REGEXEXTRACT(C4, ""🏘️ \w+ (\w+) .* ✅"")"),"appartement")</f>
        <v>appartement</v>
      </c>
      <c r="H4" s="4" t="str">
        <f>IFERROR(__xludf.DUMMYFUNCTION("REGEXEXTRACT(A4, ""/(\w+)-.*?"")"),"region")</f>
        <v>region</v>
      </c>
      <c r="I4" s="4" t="str">
        <f>IFERROR(__xludf.DUMMYFUNCTION("if(D4=""variant"",  substitute(filter(Templates!E:E, Templates!A:A = F4, Templates!B:B = G4, Templates!C:C = H4), ""{{}}"", E4), B4)"),"🏘  L’appartement de vos rêves se trouve sur ImmoScout24.ch ✅ Découvrez les dernières annonces de vente dans la région d'Olten - Thal - Gäu - Gösgen.")</f>
        <v>🏘  L’appartement de vos rêves se trouve sur ImmoScout24.ch ✅ Découvrez les dernières annonces de vente dans la région d'Olten - Thal - Gäu - Gösgen.</v>
      </c>
      <c r="J4" s="4" t="s">
        <v>18</v>
      </c>
    </row>
    <row r="5">
      <c r="A5" s="5" t="s">
        <v>19</v>
      </c>
      <c r="B5" s="2" t="s">
        <v>20</v>
      </c>
      <c r="C5" s="4" t="str">
        <f>IFERROR(__xludf.DUMMYFUNCTION("""🏘️ ""&amp;REGEXEXTRACT(B5, ""^(.*): "")&amp;"" ✅ "" &amp;REGEXEXTRACT(B5, ""(Trouvez.*)"")"),"🏘️ Vendre appartement Losone ✅ Trouvez le bien immobilier qui correspond idéalement à vos désirs sur ImmoScout24 - La plateforme de l'immobilier en Suisse.")</f>
        <v>🏘️ Vendre appartement Losone ✅ Trouvez le bien immobilier qui correspond idéalement à vos désirs sur ImmoScout24 - La plateforme de l'immobilier en Suisse.</v>
      </c>
      <c r="D5" s="4" t="str">
        <f>vlookup(A5, Sheet2!D:E, 2, 0)</f>
        <v>variant</v>
      </c>
      <c r="E5" s="4" t="str">
        <f>IFERROR(__xludf.DUMMYFUNCTION("if(H5=""pays"",vlookup(REGEXEXTRACT(C5, ""🏘️ \w+ \w+ (.*) ✅""),'Country prepositions'!A:B, 2, 0) &amp; "" "" &amp; REGEXEXTRACT(C5, ""🏘️ \w+ \w+ (.*) ✅"") ,  if(H5=""quartier"",vlookup(REGEXEXTRACT(C5, ""🏘️ \w+ \w+ (.*) ✅""),'Quartier prepositions'!A:E, 5, 0) "&amp;",  if(H5=""region"",vlookup(REGEXEXTRACT(C5, ""🏘️ \w+ \w+ (.*) ✅""),'Region prepositions'!B:F, 5, 0),  REGEXEXTRACT(C5, ""🏘️ \w+ \w+ (.*) ✅""))))"),"Losone")</f>
        <v>Losone</v>
      </c>
      <c r="F5" s="2" t="str">
        <f>IFERROR(__xludf.DUMMYFUNCTION("REGEXEXTRACT(C5, ""🏘️ (\w+) \w+ .* ✅"")"),"Vendre")</f>
        <v>Vendre</v>
      </c>
      <c r="G5" s="2" t="str">
        <f>IFERROR(__xludf.DUMMYFUNCTION("REGEXEXTRACT(C5, ""🏘️ \w+ (\w+) .* ✅"")"),"appartement")</f>
        <v>appartement</v>
      </c>
      <c r="H5" s="4" t="str">
        <f>IFERROR(__xludf.DUMMYFUNCTION("REGEXEXTRACT(A5, ""/(\w+)-.*?"")"),"lieu")</f>
        <v>lieu</v>
      </c>
      <c r="I5" s="4" t="str">
        <f>IFERROR(__xludf.DUMMYFUNCTION("if(D5=""variant"",  substitute(filter(Templates!E:E, Templates!A:A = F5, Templates!B:B = G5, Templates!C:C = H5), ""{{}}"", E5), B5)"),"🏘  L’appartement de vos rêves se trouve sur ImmoScout24.ch ✅ Découvrez les dernières annonces de vente à Losone.")</f>
        <v>🏘  L’appartement de vos rêves se trouve sur ImmoScout24.ch ✅ Découvrez les dernières annonces de vente à Losone.</v>
      </c>
      <c r="J5" s="4" t="s">
        <v>21</v>
      </c>
    </row>
    <row r="6">
      <c r="A6" s="3" t="s">
        <v>22</v>
      </c>
      <c r="B6" s="2" t="s">
        <v>23</v>
      </c>
      <c r="C6" s="4" t="str">
        <f>IFERROR(__xludf.DUMMYFUNCTION("""🏘️ ""&amp;REGEXEXTRACT(B6, ""^(.*): "")&amp;"" ✅ "" &amp;REGEXEXTRACT(B6, ""(Trouvez.*)"")"),"🏘️ Louer appartement Hermenches ✅ Trouvez le bien immobilier qui correspond idéalement à vos désirs sur ImmoScout24 - La plateforme de l'immobilier en Suisse.")</f>
        <v>🏘️ Louer appartement Hermenches ✅ Trouvez le bien immobilier qui correspond idéalement à vos désirs sur ImmoScout24 - La plateforme de l'immobilier en Suisse.</v>
      </c>
      <c r="D6" s="4" t="str">
        <f>vlookup(A6, Sheet2!D:E, 2, 0)</f>
        <v>variant</v>
      </c>
      <c r="E6" s="4" t="str">
        <f>IFERROR(__xludf.DUMMYFUNCTION("if(H6=""pays"",vlookup(REGEXEXTRACT(C6, ""🏘️ \w+ \w+ (.*) ✅""),'Country prepositions'!A:B, 2, 0) &amp; "" "" &amp; REGEXEXTRACT(C6, ""🏘️ \w+ \w+ (.*) ✅"") ,  if(H6=""quartier"",vlookup(REGEXEXTRACT(C6, ""🏘️ \w+ \w+ (.*) ✅""),'Quartier prepositions'!A:E, 5, 0) "&amp;",  if(H6=""region"",vlookup(REGEXEXTRACT(C6, ""🏘️ \w+ \w+ (.*) ✅""),'Region prepositions'!B:F, 5, 0),  REGEXEXTRACT(C6, ""🏘️ \w+ \w+ (.*) ✅""))))"),"Hermenches")</f>
        <v>Hermenches</v>
      </c>
      <c r="F6" s="2" t="str">
        <f>IFERROR(__xludf.DUMMYFUNCTION("REGEXEXTRACT(C6, ""🏘️ (\w+) \w+ .* ✅"")"),"Louer")</f>
        <v>Louer</v>
      </c>
      <c r="G6" s="2" t="str">
        <f>IFERROR(__xludf.DUMMYFUNCTION("REGEXEXTRACT(C6, ""🏘️ \w+ (\w+) .* ✅"")"),"appartement")</f>
        <v>appartement</v>
      </c>
      <c r="H6" s="4" t="str">
        <f>IFERROR(__xludf.DUMMYFUNCTION("REGEXEXTRACT(A6, ""/(\w+)-.*?"")"),"lieu")</f>
        <v>lieu</v>
      </c>
      <c r="I6" s="4" t="str">
        <f>IFERROR(__xludf.DUMMYFUNCTION("if(D6=""variant"",  substitute(filter(Templates!E:E, Templates!A:A = F6, Templates!B:B = G6, Templates!C:C = H6), ""{{}}"", E6), B6)"),"🏘  Vous cherchez un appartement à louer à Hermenches? ✅ Les annonces les plus actuelles sont sur ImmoScout24.ch.")</f>
        <v>🏘  Vous cherchez un appartement à louer à Hermenches? ✅ Les annonces les plus actuelles sont sur ImmoScout24.ch.</v>
      </c>
      <c r="J6" s="4" t="s">
        <v>24</v>
      </c>
    </row>
    <row r="7">
      <c r="A7" s="5" t="s">
        <v>25</v>
      </c>
      <c r="B7" s="2" t="s">
        <v>26</v>
      </c>
      <c r="C7" s="4" t="str">
        <f>IFERROR(__xludf.DUMMYFUNCTION("""🏘️ ""&amp;REGEXEXTRACT(B7, ""^(.*): "")&amp;"" ✅ "" &amp;REGEXEXTRACT(B7, ""(Trouvez.*)"")"),"🏘️ Louer appartement Risch ✅ Trouvez le bien immobilier qui correspond idéalement à vos désirs sur ImmoScout24 - La plateforme de l'immobilier en Suisse.")</f>
        <v>🏘️ Louer appartement Risch ✅ Trouvez le bien immobilier qui correspond idéalement à vos désirs sur ImmoScout24 - La plateforme de l'immobilier en Suisse.</v>
      </c>
      <c r="D7" s="4" t="str">
        <f>vlookup(A7, Sheet2!D:E, 2, 0)</f>
        <v>variant</v>
      </c>
      <c r="E7" s="4" t="str">
        <f>IFERROR(__xludf.DUMMYFUNCTION("if(H7=""pays"",vlookup(REGEXEXTRACT(C7, ""🏘️ \w+ \w+ (.*) ✅""),'Country prepositions'!A:B, 2, 0) &amp; "" "" &amp; REGEXEXTRACT(C7, ""🏘️ \w+ \w+ (.*) ✅"") ,  if(H7=""quartier"",vlookup(REGEXEXTRACT(C7, ""🏘️ \w+ \w+ (.*) ✅""),'Quartier prepositions'!A:E, 5, 0) "&amp;",  if(H7=""region"",vlookup(REGEXEXTRACT(C7, ""🏘️ \w+ \w+ (.*) ✅""),'Region prepositions'!B:F, 5, 0),  REGEXEXTRACT(C7, ""🏘️ \w+ \w+ (.*) ✅""))))"),"Risch")</f>
        <v>Risch</v>
      </c>
      <c r="F7" s="2" t="str">
        <f>IFERROR(__xludf.DUMMYFUNCTION("REGEXEXTRACT(C7, ""🏘️ (\w+) \w+ .* ✅"")"),"Louer")</f>
        <v>Louer</v>
      </c>
      <c r="G7" s="2" t="str">
        <f>IFERROR(__xludf.DUMMYFUNCTION("REGEXEXTRACT(C7, ""🏘️ \w+ (\w+) .* ✅"")"),"appartement")</f>
        <v>appartement</v>
      </c>
      <c r="H7" s="4" t="str">
        <f>IFERROR(__xludf.DUMMYFUNCTION("REGEXEXTRACT(A7, ""/(\w+)-.*?"")"),"lieu")</f>
        <v>lieu</v>
      </c>
      <c r="I7" s="4" t="str">
        <f>IFERROR(__xludf.DUMMYFUNCTION("if(D7=""variant"",  substitute(filter(Templates!E:E, Templates!A:A = F7, Templates!B:B = G7, Templates!C:C = H7), ""{{}}"", E7), B7)"),"🏘  Vous cherchez un appartement à louer à Risch? ✅ Les annonces les plus actuelles sont sur ImmoScout24.ch.")</f>
        <v>🏘  Vous cherchez un appartement à louer à Risch? ✅ Les annonces les plus actuelles sont sur ImmoScout24.ch.</v>
      </c>
      <c r="J7" s="4" t="s">
        <v>27</v>
      </c>
    </row>
    <row r="8">
      <c r="A8" s="5" t="s">
        <v>28</v>
      </c>
      <c r="B8" s="2" t="s">
        <v>29</v>
      </c>
      <c r="C8" s="4" t="str">
        <f>IFERROR(__xludf.DUMMYFUNCTION("""🏘️ ""&amp;REGEXEXTRACT(B8, ""^(.*): "")&amp;"" ✅ "" &amp;REGEXEXTRACT(B8, ""(Trouvez.*)"")"),"🏘️ Louer appartement Alchenflüh ✅ Trouvez le bien immobilier qui correspond idéalement à vos désirs sur ImmoScout24 - La plateforme de l'immobilier en Suisse.")</f>
        <v>🏘️ Louer appartement Alchenflüh ✅ Trouvez le bien immobilier qui correspond idéalement à vos désirs sur ImmoScout24 - La plateforme de l'immobilier en Suisse.</v>
      </c>
      <c r="D8" s="4" t="str">
        <f>vlookup(A8, Sheet2!D:E, 2, 0)</f>
        <v>variant</v>
      </c>
      <c r="E8" s="4" t="str">
        <f>IFERROR(__xludf.DUMMYFUNCTION("if(H8=""pays"",vlookup(REGEXEXTRACT(C8, ""🏘️ \w+ \w+ (.*) ✅""),'Country prepositions'!A:B, 2, 0) &amp; "" "" &amp; REGEXEXTRACT(C8, ""🏘️ \w+ \w+ (.*) ✅"") ,  if(H8=""quartier"",vlookup(REGEXEXTRACT(C8, ""🏘️ \w+ \w+ (.*) ✅""),'Quartier prepositions'!A:E, 5, 0) "&amp;",  if(H8=""region"",vlookup(REGEXEXTRACT(C8, ""🏘️ \w+ \w+ (.*) ✅""),'Region prepositions'!B:F, 5, 0),  REGEXEXTRACT(C8, ""🏘️ \w+ \w+ (.*) ✅""))))"),"Alchenflüh")</f>
        <v>Alchenflüh</v>
      </c>
      <c r="F8" s="2" t="str">
        <f>IFERROR(__xludf.DUMMYFUNCTION("REGEXEXTRACT(C8, ""🏘️ (\w+) \w+ .* ✅"")"),"Louer")</f>
        <v>Louer</v>
      </c>
      <c r="G8" s="2" t="str">
        <f>IFERROR(__xludf.DUMMYFUNCTION("REGEXEXTRACT(C8, ""🏘️ \w+ (\w+) .* ✅"")"),"appartement")</f>
        <v>appartement</v>
      </c>
      <c r="H8" s="4" t="str">
        <f>IFERROR(__xludf.DUMMYFUNCTION("REGEXEXTRACT(A8, ""/(\w+)-.*?"")"),"lieu")</f>
        <v>lieu</v>
      </c>
      <c r="I8" s="4" t="str">
        <f>IFERROR(__xludf.DUMMYFUNCTION("if(D8=""variant"",  substitute(filter(Templates!E:E, Templates!A:A = F8, Templates!B:B = G8, Templates!C:C = H8), ""{{}}"", E8), B8)"),"🏘  Vous cherchez un appartement à louer à Alchenflüh? ✅ Les annonces les plus actuelles sont sur ImmoScout24.ch.")</f>
        <v>🏘  Vous cherchez un appartement à louer à Alchenflüh? ✅ Les annonces les plus actuelles sont sur ImmoScout24.ch.</v>
      </c>
      <c r="J8" s="4" t="s">
        <v>30</v>
      </c>
    </row>
    <row r="9">
      <c r="A9" s="5" t="s">
        <v>31</v>
      </c>
      <c r="B9" s="2" t="s">
        <v>32</v>
      </c>
      <c r="C9" s="4" t="str">
        <f>IFERROR(__xludf.DUMMYFUNCTION("""🏘️ ""&amp;REGEXEXTRACT(B9, ""^(.*): "")&amp;"" ✅ "" &amp;REGEXEXTRACT(B9, ""(Trouvez.*)"")"),"🏘️ Louer appartement Pailly ✅ Trouvez le bien immobilier qui correspond idéalement à vos désirs sur ImmoScout24 - La plateforme de l'immobilier en Suisse.")</f>
        <v>🏘️ Louer appartement Pailly ✅ Trouvez le bien immobilier qui correspond idéalement à vos désirs sur ImmoScout24 - La plateforme de l'immobilier en Suisse.</v>
      </c>
      <c r="D9" s="4" t="str">
        <f>vlookup(A9, Sheet2!D:E, 2, 0)</f>
        <v>variant</v>
      </c>
      <c r="E9" s="4" t="str">
        <f>IFERROR(__xludf.DUMMYFUNCTION("if(H9=""pays"",vlookup(REGEXEXTRACT(C9, ""🏘️ \w+ \w+ (.*) ✅""),'Country prepositions'!A:B, 2, 0) &amp; "" "" &amp; REGEXEXTRACT(C9, ""🏘️ \w+ \w+ (.*) ✅"") ,  if(H9=""quartier"",vlookup(REGEXEXTRACT(C9, ""🏘️ \w+ \w+ (.*) ✅""),'Quartier prepositions'!A:E, 5, 0) "&amp;",  if(H9=""region"",vlookup(REGEXEXTRACT(C9, ""🏘️ \w+ \w+ (.*) ✅""),'Region prepositions'!B:F, 5, 0),  REGEXEXTRACT(C9, ""🏘️ \w+ \w+ (.*) ✅""))))"),"Pailly")</f>
        <v>Pailly</v>
      </c>
      <c r="F9" s="2" t="str">
        <f>IFERROR(__xludf.DUMMYFUNCTION("REGEXEXTRACT(C9, ""🏘️ (\w+) \w+ .* ✅"")"),"Louer")</f>
        <v>Louer</v>
      </c>
      <c r="G9" s="2" t="str">
        <f>IFERROR(__xludf.DUMMYFUNCTION("REGEXEXTRACT(C9, ""🏘️ \w+ (\w+) .* ✅"")"),"appartement")</f>
        <v>appartement</v>
      </c>
      <c r="H9" s="4" t="str">
        <f>IFERROR(__xludf.DUMMYFUNCTION("REGEXEXTRACT(A9, ""/(\w+)-.*?"")"),"lieu")</f>
        <v>lieu</v>
      </c>
      <c r="I9" s="4" t="str">
        <f>IFERROR(__xludf.DUMMYFUNCTION("if(D9=""variant"",  substitute(filter(Templates!E:E, Templates!A:A = F9, Templates!B:B = G9, Templates!C:C = H9), ""{{}}"", E9), B9)"),"🏘  Vous cherchez un appartement à louer à Pailly? ✅ Les annonces les plus actuelles sont sur ImmoScout24.ch.")</f>
        <v>🏘  Vous cherchez un appartement à louer à Pailly? ✅ Les annonces les plus actuelles sont sur ImmoScout24.ch.</v>
      </c>
      <c r="J9" s="4" t="s">
        <v>33</v>
      </c>
    </row>
    <row r="10">
      <c r="A10" s="3" t="s">
        <v>34</v>
      </c>
      <c r="B10" s="2" t="s">
        <v>35</v>
      </c>
      <c r="C10" s="4" t="str">
        <f>IFERROR(__xludf.DUMMYFUNCTION("""🏘️ ""&amp;REGEXEXTRACT(B10, ""^(.*): "")&amp;"" ✅ "" &amp;REGEXEXTRACT(B10, ""(Trouvez.*)"")"),"🏘️ Vendre maison Curio ✅ Trouvez le bien immobilier qui correspond idéalement à vos désirs sur ImmoScout24 - La plateforme de l'immobilier en Suisse.")</f>
        <v>🏘️ Vendre maison Curio ✅ Trouvez le bien immobilier qui correspond idéalement à vos désirs sur ImmoScout24 - La plateforme de l'immobilier en Suisse.</v>
      </c>
      <c r="D10" s="4" t="str">
        <f>vlookup(A10, Sheet2!D:E, 2, 0)</f>
        <v>variant</v>
      </c>
      <c r="E10" s="4" t="str">
        <f>IFERROR(__xludf.DUMMYFUNCTION("if(H10=""pays"",vlookup(REGEXEXTRACT(C10, ""🏘️ \w+ \w+ (.*) ✅""),'Country prepositions'!A:B, 2, 0) &amp; "" "" &amp; REGEXEXTRACT(C10, ""🏘️ \w+ \w+ (.*) ✅"") ,  if(H10=""quartier"",vlookup(REGEXEXTRACT(C10, ""🏘️ \w+ \w+ (.*) ✅""),'Quartier prepositions'!A:E, 5"&amp;", 0) ,  if(H10=""region"",vlookup(REGEXEXTRACT(C10, ""🏘️ \w+ \w+ (.*) ✅""),'Region prepositions'!B:F, 5, 0),  REGEXEXTRACT(C10, ""🏘️ \w+ \w+ (.*) ✅""))))"),"Curio")</f>
        <v>Curio</v>
      </c>
      <c r="F10" s="2" t="str">
        <f>IFERROR(__xludf.DUMMYFUNCTION("REGEXEXTRACT(C10, ""🏘️ (\w+) \w+ .* ✅"")"),"Vendre")</f>
        <v>Vendre</v>
      </c>
      <c r="G10" s="2" t="str">
        <f>IFERROR(__xludf.DUMMYFUNCTION("REGEXEXTRACT(C10, ""🏘️ \w+ (\w+) .* ✅"")"),"maison")</f>
        <v>maison</v>
      </c>
      <c r="H10" s="4" t="str">
        <f>IFERROR(__xludf.DUMMYFUNCTION("REGEXEXTRACT(A10, ""/(\w+)-.*?"")"),"lieu")</f>
        <v>lieu</v>
      </c>
      <c r="I10" s="4" t="str">
        <f>IFERROR(__xludf.DUMMYFUNCTION("if(D10=""variant"",  substitute(filter(Templates!E:E, Templates!A:A = F10, Templates!B:B = G10, Templates!C:C = H10), ""{{}}"", E10), B10)"),"🏘  Vous souhaitez acheter une maison à Curio? ✅ Jetez un œil aux dernières offres sur ImmoScout24.ch.")</f>
        <v>🏘  Vous souhaitez acheter une maison à Curio? ✅ Jetez un œil aux dernières offres sur ImmoScout24.ch.</v>
      </c>
      <c r="J10" s="4" t="s">
        <v>36</v>
      </c>
    </row>
    <row r="11">
      <c r="A11" s="5" t="s">
        <v>37</v>
      </c>
      <c r="B11" s="2" t="s">
        <v>38</v>
      </c>
      <c r="C11" s="4" t="str">
        <f>IFERROR(__xludf.DUMMYFUNCTION("""🏘️ ""&amp;REGEXEXTRACT(B11, ""^(.*): "")&amp;"" ✅ "" &amp;REGEXEXTRACT(B11, ""(Trouvez.*)"")"),"🏘️ Louer appartement Wollerau ✅ Trouvez le bien immobilier qui correspond idéalement à vos désirs sur ImmoScout24 - La plateforme de l'immobilier en Suisse.")</f>
        <v>🏘️ Louer appartement Wollerau ✅ Trouvez le bien immobilier qui correspond idéalement à vos désirs sur ImmoScout24 - La plateforme de l'immobilier en Suisse.</v>
      </c>
      <c r="D11" s="4" t="str">
        <f>vlookup(A11, Sheet2!D:E, 2, 0)</f>
        <v>variant</v>
      </c>
      <c r="E11" s="4" t="str">
        <f>IFERROR(__xludf.DUMMYFUNCTION("if(H11=""pays"",vlookup(REGEXEXTRACT(C11, ""🏘️ \w+ \w+ (.*) ✅""),'Country prepositions'!A:B, 2, 0) &amp; "" "" &amp; REGEXEXTRACT(C11, ""🏘️ \w+ \w+ (.*) ✅"") ,  if(H11=""quartier"",vlookup(REGEXEXTRACT(C11, ""🏘️ \w+ \w+ (.*) ✅""),'Quartier prepositions'!A:E, 5"&amp;", 0) ,  if(H11=""region"",vlookup(REGEXEXTRACT(C11, ""🏘️ \w+ \w+ (.*) ✅""),'Region prepositions'!B:F, 5, 0),  REGEXEXTRACT(C11, ""🏘️ \w+ \w+ (.*) ✅""))))"),"Wollerau")</f>
        <v>Wollerau</v>
      </c>
      <c r="F11" s="2" t="str">
        <f>IFERROR(__xludf.DUMMYFUNCTION("REGEXEXTRACT(C11, ""🏘️ (\w+) \w+ .* ✅"")"),"Louer")</f>
        <v>Louer</v>
      </c>
      <c r="G11" s="2" t="str">
        <f>IFERROR(__xludf.DUMMYFUNCTION("REGEXEXTRACT(C11, ""🏘️ \w+ (\w+) .* ✅"")"),"appartement")</f>
        <v>appartement</v>
      </c>
      <c r="H11" s="4" t="str">
        <f>IFERROR(__xludf.DUMMYFUNCTION("REGEXEXTRACT(A11, ""/(\w+)-.*?"")"),"lieu")</f>
        <v>lieu</v>
      </c>
      <c r="I11" s="4" t="str">
        <f>IFERROR(__xludf.DUMMYFUNCTION("if(D11=""variant"",  substitute(filter(Templates!E:E, Templates!A:A = F11, Templates!B:B = G11, Templates!C:C = H11), ""{{}}"", E11), B11)"),"🏘  Vous cherchez un appartement à louer à Wollerau? ✅ Les annonces les plus actuelles sont sur ImmoScout24.ch.")</f>
        <v>🏘  Vous cherchez un appartement à louer à Wollerau? ✅ Les annonces les plus actuelles sont sur ImmoScout24.ch.</v>
      </c>
      <c r="J11" s="4" t="s">
        <v>39</v>
      </c>
    </row>
    <row r="12">
      <c r="A12" s="5" t="s">
        <v>40</v>
      </c>
      <c r="B12" s="2" t="s">
        <v>41</v>
      </c>
      <c r="C12" s="4" t="str">
        <f>IFERROR(__xludf.DUMMYFUNCTION("""🏘️ ""&amp;REGEXEXTRACT(B12, ""^(.*): "")&amp;"" ✅ "" &amp;REGEXEXTRACT(B12, ""(Trouvez.*)"")"),"🏘️ Louer appartement Dättwil AG ✅ Trouvez le bien immobilier qui correspond idéalement à vos désirs sur ImmoScout24 - La plateforme de l'immobilier en Suisse.")</f>
        <v>🏘️ Louer appartement Dättwil AG ✅ Trouvez le bien immobilier qui correspond idéalement à vos désirs sur ImmoScout24 - La plateforme de l'immobilier en Suisse.</v>
      </c>
      <c r="D12" s="4" t="str">
        <f>vlookup(A12, Sheet2!D:E, 2, 0)</f>
        <v>variant</v>
      </c>
      <c r="E12" s="4" t="str">
        <f>IFERROR(__xludf.DUMMYFUNCTION("if(H12=""pays"",vlookup(REGEXEXTRACT(C12, ""🏘️ \w+ \w+ (.*) ✅""),'Country prepositions'!A:B, 2, 0) &amp; "" "" &amp; REGEXEXTRACT(C12, ""🏘️ \w+ \w+ (.*) ✅"") ,  if(H12=""quartier"",vlookup(REGEXEXTRACT(C12, ""🏘️ \w+ \w+ (.*) ✅""),'Quartier prepositions'!A:E, 5"&amp;", 0) ,  if(H12=""region"",vlookup(REGEXEXTRACT(C12, ""🏘️ \w+ \w+ (.*) ✅""),'Region prepositions'!B:F, 5, 0),  REGEXEXTRACT(C12, ""🏘️ \w+ \w+ (.*) ✅""))))"),"Dättwil AG")</f>
        <v>Dättwil AG</v>
      </c>
      <c r="F12" s="2" t="str">
        <f>IFERROR(__xludf.DUMMYFUNCTION("REGEXEXTRACT(C12, ""🏘️ (\w+) \w+ .* ✅"")"),"Louer")</f>
        <v>Louer</v>
      </c>
      <c r="G12" s="2" t="str">
        <f>IFERROR(__xludf.DUMMYFUNCTION("REGEXEXTRACT(C12, ""🏘️ \w+ (\w+) .* ✅"")"),"appartement")</f>
        <v>appartement</v>
      </c>
      <c r="H12" s="4" t="str">
        <f>IFERROR(__xludf.DUMMYFUNCTION("REGEXEXTRACT(A12, ""/(\w+)-.*?"")"),"lieu")</f>
        <v>lieu</v>
      </c>
      <c r="I12" s="4" t="str">
        <f>IFERROR(__xludf.DUMMYFUNCTION("if(D12=""variant"",  substitute(filter(Templates!E:E, Templates!A:A = F12, Templates!B:B = G12, Templates!C:C = H12), ""{{}}"", E12), B12)"),"🏘  Vous cherchez un appartement à louer à Dättwil AG? ✅ Les annonces les plus actuelles sont sur ImmoScout24.ch.")</f>
        <v>🏘  Vous cherchez un appartement à louer à Dättwil AG? ✅ Les annonces les plus actuelles sont sur ImmoScout24.ch.</v>
      </c>
      <c r="J12" s="4" t="s">
        <v>42</v>
      </c>
    </row>
    <row r="13">
      <c r="A13" s="6" t="s">
        <v>43</v>
      </c>
      <c r="B13" s="7" t="s">
        <v>44</v>
      </c>
      <c r="C13" s="8" t="str">
        <f>IFERROR(__xludf.DUMMYFUNCTION("""🏘️ ""&amp;REGEXEXTRACT(B13, ""^(.*): "")&amp;"" ✅ "" &amp;REGEXEXTRACT(B13, ""(Trouvez.*)"")"),"🏘️ Louer appartement Les Breuleux ✅ Trouvez le bien immobilier qui correspond idéalement à vos désirs sur ImmoScout24 - La plateforme de l'immobilier en Suisse.")</f>
        <v>🏘️ Louer appartement Les Breuleux ✅ Trouvez le bien immobilier qui correspond idéalement à vos désirs sur ImmoScout24 - La plateforme de l'immobilier en Suisse.</v>
      </c>
      <c r="D13" s="8" t="str">
        <f>vlookup(A13, Sheet2!D:E, 2, 0)</f>
        <v>variant</v>
      </c>
      <c r="E13" s="8" t="str">
        <f>IFERROR(__xludf.DUMMYFUNCTION("if(H13=""pays"",vlookup(REGEXEXTRACT(C13, ""🏘️ \w+ \w+ (.*) ✅""),'Country prepositions'!A:B, 2, 0) &amp; "" "" &amp; REGEXEXTRACT(C13, ""🏘️ \w+ \w+ (.*) ✅"") ,  if(H13=""quartier"",vlookup(REGEXEXTRACT(C13, ""🏘️ \w+ \w+ (.*) ✅""),'Quartier prepositions'!A:E, 5"&amp;", 0) ,  if(H13=""region"",vlookup(REGEXEXTRACT(C13, ""🏘️ \w+ \w+ (.*) ✅""),'Region prepositions'!B:F, 5, 0),  REGEXEXTRACT(C13, ""🏘️ \w+ \w+ (.*) ✅""))))"),"Les Breuleux")</f>
        <v>Les Breuleux</v>
      </c>
      <c r="F13" s="7" t="str">
        <f>IFERROR(__xludf.DUMMYFUNCTION("REGEXEXTRACT(C13, ""🏘️ (\w+) \w+ .* ✅"")"),"Louer")</f>
        <v>Louer</v>
      </c>
      <c r="G13" s="7" t="str">
        <f>IFERROR(__xludf.DUMMYFUNCTION("REGEXEXTRACT(C13, ""🏘️ \w+ (\w+) .* ✅"")"),"appartement")</f>
        <v>appartement</v>
      </c>
      <c r="H13" s="8" t="str">
        <f>IFERROR(__xludf.DUMMYFUNCTION("REGEXEXTRACT(A13, ""/(\w+)-.*?"")"),"lieu")</f>
        <v>lieu</v>
      </c>
      <c r="I13" s="8" t="str">
        <f>IFERROR(__xludf.DUMMYFUNCTION("if(D13=""variant"",  substitute(filter(Templates!E:E, Templates!A:A = F13, Templates!B:B = G13, Templates!C:C = H13), ""{{}}"", E13), B13)"),"🏘  Vous cherchez un appartement à louer à Les Breuleux? ✅ Les annonces les plus actuelles sont sur ImmoScout24.ch.")</f>
        <v>🏘  Vous cherchez un appartement à louer à Les Breuleux? ✅ Les annonces les plus actuelles sont sur ImmoScout24.ch.</v>
      </c>
      <c r="J13" s="7" t="s">
        <v>45</v>
      </c>
      <c r="K13" s="8"/>
      <c r="L13" s="8"/>
      <c r="M13" s="8"/>
      <c r="N13" s="8"/>
      <c r="O13" s="8"/>
      <c r="P13" s="8"/>
      <c r="Q13" s="8"/>
      <c r="R13" s="8"/>
      <c r="S13" s="8"/>
      <c r="T13" s="8"/>
    </row>
    <row r="14">
      <c r="A14" s="5" t="s">
        <v>46</v>
      </c>
      <c r="B14" s="2" t="s">
        <v>47</v>
      </c>
      <c r="C14" s="4" t="str">
        <f>IFERROR(__xludf.DUMMYFUNCTION("""🏘️ ""&amp;REGEXEXTRACT(B14, ""^(.*): "")&amp;"" ✅ "" &amp;REGEXEXTRACT(B14, ""(Trouvez.*)"")"),"🏘️ Vendre maison Marly ✅ Trouvez le bien immobilier qui correspond idéalement à vos désirs sur ImmoScout24 - La plateforme de l'immobilier en Suisse.")</f>
        <v>🏘️ Vendre maison Marly ✅ Trouvez le bien immobilier qui correspond idéalement à vos désirs sur ImmoScout24 - La plateforme de l'immobilier en Suisse.</v>
      </c>
      <c r="D14" s="4" t="str">
        <f>vlookup(A14, Sheet2!D:E, 2, 0)</f>
        <v>variant</v>
      </c>
      <c r="E14" s="4" t="str">
        <f>IFERROR(__xludf.DUMMYFUNCTION("if(H14=""pays"",vlookup(REGEXEXTRACT(C14, ""🏘️ \w+ \w+ (.*) ✅""),'Country prepositions'!A:B, 2, 0) &amp; "" "" &amp; REGEXEXTRACT(C14, ""🏘️ \w+ \w+ (.*) ✅"") ,  if(H14=""quartier"",vlookup(REGEXEXTRACT(C14, ""🏘️ \w+ \w+ (.*) ✅""),'Quartier prepositions'!A:E, 5"&amp;", 0) ,  if(H14=""region"",vlookup(REGEXEXTRACT(C14, ""🏘️ \w+ \w+ (.*) ✅""),'Region prepositions'!B:F, 5, 0),  REGEXEXTRACT(C14, ""🏘️ \w+ \w+ (.*) ✅""))))"),"Marly")</f>
        <v>Marly</v>
      </c>
      <c r="F14" s="2" t="str">
        <f>IFERROR(__xludf.DUMMYFUNCTION("REGEXEXTRACT(C14, ""🏘️ (\w+) \w+ .* ✅"")"),"Vendre")</f>
        <v>Vendre</v>
      </c>
      <c r="G14" s="2" t="str">
        <f>IFERROR(__xludf.DUMMYFUNCTION("REGEXEXTRACT(C14, ""🏘️ \w+ (\w+) .* ✅"")"),"maison")</f>
        <v>maison</v>
      </c>
      <c r="H14" s="4" t="str">
        <f>IFERROR(__xludf.DUMMYFUNCTION("REGEXEXTRACT(A14, ""/(\w+)-.*?"")"),"lieu")</f>
        <v>lieu</v>
      </c>
      <c r="I14" s="4" t="str">
        <f>IFERROR(__xludf.DUMMYFUNCTION("if(D14=""variant"",  substitute(filter(Templates!E:E, Templates!A:A = F14, Templates!B:B = G14, Templates!C:C = H14), ""{{}}"", E14), B14)"),"🏘  Vous souhaitez acheter une maison à Marly? ✅ Jetez un œil aux dernières offres sur ImmoScout24.ch.")</f>
        <v>🏘  Vous souhaitez acheter une maison à Marly? ✅ Jetez un œil aux dernières offres sur ImmoScout24.ch.</v>
      </c>
      <c r="J14" s="4" t="s">
        <v>48</v>
      </c>
    </row>
    <row r="15">
      <c r="A15" s="5" t="s">
        <v>49</v>
      </c>
      <c r="B15" s="2" t="s">
        <v>50</v>
      </c>
      <c r="C15" s="4" t="str">
        <f>IFERROR(__xludf.DUMMYFUNCTION("""🏘️ ""&amp;REGEXEXTRACT(B15, ""^(.*): "")&amp;"" ✅ "" &amp;REGEXEXTRACT(B15, ""(Trouvez.*)"")"),"🏘️ Louer maison Olten - Thal - Gäu - Gösgen ✅ Trouvez le bien immobilier qui correspond idéalement à vos désirs sur ImmoScout24 - La plateforme de l'immobilier en Suisse.")</f>
        <v>🏘️ Louer maison Olten - Thal - Gäu - Gösgen ✅ Trouvez le bien immobilier qui correspond idéalement à vos désirs sur ImmoScout24 - La plateforme de l'immobilier en Suisse.</v>
      </c>
      <c r="D15" s="4" t="str">
        <f>vlookup(A15, Sheet2!D:E, 2, 0)</f>
        <v>variant</v>
      </c>
      <c r="E15" s="4" t="str">
        <f>IFERROR(__xludf.DUMMYFUNCTION("if(H15=""pays"",vlookup(REGEXEXTRACT(C15, ""🏘️ \w+ \w+ (.*) ✅""),'Country prepositions'!A:B, 2, 0) &amp; "" "" &amp; REGEXEXTRACT(C15, ""🏘️ \w+ \w+ (.*) ✅"") ,  if(H15=""quartier"",vlookup(REGEXEXTRACT(C15, ""🏘️ \w+ \w+ (.*) ✅""),'Quartier prepositions'!A:E, 5"&amp;", 0) ,  if(H15=""region"",vlookup(REGEXEXTRACT(C15, ""🏘️ \w+ \w+ (.*) ✅""),'Region prepositions'!B:F, 5, 0),  REGEXEXTRACT(C15, ""🏘️ \w+ \w+ (.*) ✅""))))"),"dans la région d'Olten - Thal - Gäu - Gösgen")</f>
        <v>dans la région d'Olten - Thal - Gäu - Gösgen</v>
      </c>
      <c r="F15" s="2" t="str">
        <f>IFERROR(__xludf.DUMMYFUNCTION("REGEXEXTRACT(C15, ""🏘️ (\w+) \w+ .* ✅"")"),"Louer")</f>
        <v>Louer</v>
      </c>
      <c r="G15" s="2" t="str">
        <f>IFERROR(__xludf.DUMMYFUNCTION("REGEXEXTRACT(C15, ""🏘️ \w+ (\w+) .* ✅"")"),"maison")</f>
        <v>maison</v>
      </c>
      <c r="H15" s="4" t="str">
        <f>IFERROR(__xludf.DUMMYFUNCTION("REGEXEXTRACT(A15, ""/(\w+)-.*?"")"),"region")</f>
        <v>region</v>
      </c>
      <c r="I15" s="4" t="str">
        <f>IFERROR(__xludf.DUMMYFUNCTION("if(D15=""variant"",  substitute(filter(Templates!E:E, Templates!A:A = F15, Templates!B:B = G15, Templates!C:C = H15), ""{{}}"", E15), B15)"),"🏘  Vous cherchez une maison à louer dans la région d'Olten - Thal - Gäu - Gösgen? ✅ Découvrez nos nombreuses annonces sur ImmoScout24.ch.")</f>
        <v>🏘  Vous cherchez une maison à louer dans la région d'Olten - Thal - Gäu - Gösgen? ✅ Découvrez nos nombreuses annonces sur ImmoScout24.ch.</v>
      </c>
      <c r="J15" s="4" t="s">
        <v>51</v>
      </c>
    </row>
    <row r="16">
      <c r="A16" s="5" t="s">
        <v>52</v>
      </c>
      <c r="B16" s="2" t="s">
        <v>53</v>
      </c>
      <c r="C16" s="4" t="str">
        <f>IFERROR(__xludf.DUMMYFUNCTION("""🏘️ ""&amp;REGEXEXTRACT(B16, ""^(.*): "")&amp;"" ✅ "" &amp;REGEXEXTRACT(B16, ""(Trouvez.*)"")"),"🏘️ Vendre appartement Ecuvillens ✅ Trouvez le bien immobilier qui correspond idéalement à vos désirs sur ImmoScout24 - La plateforme de l'immobilier en Suisse.")</f>
        <v>🏘️ Vendre appartement Ecuvillens ✅ Trouvez le bien immobilier qui correspond idéalement à vos désirs sur ImmoScout24 - La plateforme de l'immobilier en Suisse.</v>
      </c>
      <c r="D16" s="4" t="str">
        <f>vlookup(A16, Sheet2!D:E, 2, 0)</f>
        <v>variant</v>
      </c>
      <c r="E16" s="4" t="str">
        <f>IFERROR(__xludf.DUMMYFUNCTION("if(H16=""pays"",vlookup(REGEXEXTRACT(C16, ""🏘️ \w+ \w+ (.*) ✅""),'Country prepositions'!A:B, 2, 0) &amp; "" "" &amp; REGEXEXTRACT(C16, ""🏘️ \w+ \w+ (.*) ✅"") ,  if(H16=""quartier"",vlookup(REGEXEXTRACT(C16, ""🏘️ \w+ \w+ (.*) ✅""),'Quartier prepositions'!A:E, 5"&amp;", 0) ,  if(H16=""region"",vlookup(REGEXEXTRACT(C16, ""🏘️ \w+ \w+ (.*) ✅""),'Region prepositions'!B:F, 5, 0),  REGEXEXTRACT(C16, ""🏘️ \w+ \w+ (.*) ✅""))))"),"Ecuvillens")</f>
        <v>Ecuvillens</v>
      </c>
      <c r="F16" s="2" t="str">
        <f>IFERROR(__xludf.DUMMYFUNCTION("REGEXEXTRACT(C16, ""🏘️ (\w+) \w+ .* ✅"")"),"Vendre")</f>
        <v>Vendre</v>
      </c>
      <c r="G16" s="2" t="str">
        <f>IFERROR(__xludf.DUMMYFUNCTION("REGEXEXTRACT(C16, ""🏘️ \w+ (\w+) .* ✅"")"),"appartement")</f>
        <v>appartement</v>
      </c>
      <c r="H16" s="4" t="str">
        <f>IFERROR(__xludf.DUMMYFUNCTION("REGEXEXTRACT(A16, ""/(\w+)-.*?"")"),"lieu")</f>
        <v>lieu</v>
      </c>
      <c r="I16" s="4" t="str">
        <f>IFERROR(__xludf.DUMMYFUNCTION("if(D16=""variant"",  substitute(filter(Templates!E:E, Templates!A:A = F16, Templates!B:B = G16, Templates!C:C = H16), ""{{}}"", E16), B16)"),"🏘  L’appartement de vos rêves se trouve sur ImmoScout24.ch ✅ Découvrez les dernières annonces de vente à Ecuvillens.")</f>
        <v>🏘  L’appartement de vos rêves se trouve sur ImmoScout24.ch ✅ Découvrez les dernières annonces de vente à Ecuvillens.</v>
      </c>
      <c r="J16" s="4" t="s">
        <v>54</v>
      </c>
    </row>
    <row r="17">
      <c r="A17" s="5" t="s">
        <v>55</v>
      </c>
      <c r="B17" s="2" t="s">
        <v>56</v>
      </c>
      <c r="C17" s="4" t="str">
        <f>IFERROR(__xludf.DUMMYFUNCTION("""🏘️ ""&amp;REGEXEXTRACT(B17, ""^(.*): "")&amp;"" ✅ "" &amp;REGEXEXTRACT(B17, ""(Trouvez.*)"")"),"🏘️ Vendre maison Fontaines-sur-Grandson ✅ Trouvez le bien immobilier qui correspond idéalement à vos désirs sur ImmoScout24 - La plateforme de l'immobilier en Suisse.")</f>
        <v>🏘️ Vendre maison Fontaines-sur-Grandson ✅ Trouvez le bien immobilier qui correspond idéalement à vos désirs sur ImmoScout24 - La plateforme de l'immobilier en Suisse.</v>
      </c>
      <c r="D17" s="4" t="str">
        <f>vlookup(A17, Sheet2!D:E, 2, 0)</f>
        <v>variant</v>
      </c>
      <c r="E17" s="4" t="str">
        <f>IFERROR(__xludf.DUMMYFUNCTION("if(H17=""pays"",vlookup(REGEXEXTRACT(C17, ""🏘️ \w+ \w+ (.*) ✅""),'Country prepositions'!A:B, 2, 0) &amp; "" "" &amp; REGEXEXTRACT(C17, ""🏘️ \w+ \w+ (.*) ✅"") ,  if(H17=""quartier"",vlookup(REGEXEXTRACT(C17, ""🏘️ \w+ \w+ (.*) ✅""),'Quartier prepositions'!A:E, 5"&amp;", 0) ,  if(H17=""region"",vlookup(REGEXEXTRACT(C17, ""🏘️ \w+ \w+ (.*) ✅""),'Region prepositions'!B:F, 5, 0),  REGEXEXTRACT(C17, ""🏘️ \w+ \w+ (.*) ✅""))))"),"Fontaines-sur-Grandson")</f>
        <v>Fontaines-sur-Grandson</v>
      </c>
      <c r="F17" s="2" t="str">
        <f>IFERROR(__xludf.DUMMYFUNCTION("REGEXEXTRACT(C17, ""🏘️ (\w+) \w+ .* ✅"")"),"Vendre")</f>
        <v>Vendre</v>
      </c>
      <c r="G17" s="2" t="str">
        <f>IFERROR(__xludf.DUMMYFUNCTION("REGEXEXTRACT(C17, ""🏘️ \w+ (\w+) .* ✅"")"),"maison")</f>
        <v>maison</v>
      </c>
      <c r="H17" s="4" t="str">
        <f>IFERROR(__xludf.DUMMYFUNCTION("REGEXEXTRACT(A17, ""/(\w+)-.*?"")"),"lieu")</f>
        <v>lieu</v>
      </c>
      <c r="I17" s="4" t="str">
        <f>IFERROR(__xludf.DUMMYFUNCTION("if(D17=""variant"",  substitute(filter(Templates!E:E, Templates!A:A = F17, Templates!B:B = G17, Templates!C:C = H17), ""{{}}"", E17), B17)"),"🏘  Vous souhaitez acheter une maison à Fontaines-sur-Grandson? ✅ Jetez un œil aux dernières offres sur ImmoScout24.ch.")</f>
        <v>🏘  Vous souhaitez acheter une maison à Fontaines-sur-Grandson? ✅ Jetez un œil aux dernières offres sur ImmoScout24.ch.</v>
      </c>
      <c r="J17" s="4" t="s">
        <v>57</v>
      </c>
    </row>
    <row r="18">
      <c r="A18" s="5" t="s">
        <v>58</v>
      </c>
      <c r="B18" s="2" t="s">
        <v>59</v>
      </c>
      <c r="C18" s="4" t="str">
        <f>IFERROR(__xludf.DUMMYFUNCTION("""🏘️ ""&amp;REGEXEXTRACT(B18, ""^(.*): "")&amp;"" ✅ "" &amp;REGEXEXTRACT(B18, ""(Trouvez.*)"")"),"🏘️ Vendre appartement Tramelan ✅ Trouvez le bien immobilier qui correspond idéalement à vos désirs sur ImmoScout24 - La plateforme de l'immobilier en Suisse.")</f>
        <v>🏘️ Vendre appartement Tramelan ✅ Trouvez le bien immobilier qui correspond idéalement à vos désirs sur ImmoScout24 - La plateforme de l'immobilier en Suisse.</v>
      </c>
      <c r="D18" s="4" t="str">
        <f>vlookup(A18, Sheet2!D:E, 2, 0)</f>
        <v>variant</v>
      </c>
      <c r="E18" s="4" t="str">
        <f>IFERROR(__xludf.DUMMYFUNCTION("if(H18=""pays"",vlookup(REGEXEXTRACT(C18, ""🏘️ \w+ \w+ (.*) ✅""),'Country prepositions'!A:B, 2, 0) &amp; "" "" &amp; REGEXEXTRACT(C18, ""🏘️ \w+ \w+ (.*) ✅"") ,  if(H18=""quartier"",vlookup(REGEXEXTRACT(C18, ""🏘️ \w+ \w+ (.*) ✅""),'Quartier prepositions'!A:E, 5"&amp;", 0) ,  if(H18=""region"",vlookup(REGEXEXTRACT(C18, ""🏘️ \w+ \w+ (.*) ✅""),'Region prepositions'!B:F, 5, 0),  REGEXEXTRACT(C18, ""🏘️ \w+ \w+ (.*) ✅""))))"),"Tramelan")</f>
        <v>Tramelan</v>
      </c>
      <c r="F18" s="2" t="str">
        <f>IFERROR(__xludf.DUMMYFUNCTION("REGEXEXTRACT(C18, ""🏘️ (\w+) \w+ .* ✅"")"),"Vendre")</f>
        <v>Vendre</v>
      </c>
      <c r="G18" s="2" t="str">
        <f>IFERROR(__xludf.DUMMYFUNCTION("REGEXEXTRACT(C18, ""🏘️ \w+ (\w+) .* ✅"")"),"appartement")</f>
        <v>appartement</v>
      </c>
      <c r="H18" s="4" t="str">
        <f>IFERROR(__xludf.DUMMYFUNCTION("REGEXEXTRACT(A18, ""/(\w+)-.*?"")"),"lieu")</f>
        <v>lieu</v>
      </c>
      <c r="I18" s="4" t="str">
        <f>IFERROR(__xludf.DUMMYFUNCTION("if(D18=""variant"",  substitute(filter(Templates!E:E, Templates!A:A = F18, Templates!B:B = G18, Templates!C:C = H18), ""{{}}"", E18), B18)"),"🏘  L’appartement de vos rêves se trouve sur ImmoScout24.ch ✅ Découvrez les dernières annonces de vente à Tramelan.")</f>
        <v>🏘  L’appartement de vos rêves se trouve sur ImmoScout24.ch ✅ Découvrez les dernières annonces de vente à Tramelan.</v>
      </c>
      <c r="J18" s="4" t="s">
        <v>60</v>
      </c>
    </row>
    <row r="19">
      <c r="A19" s="5" t="s">
        <v>61</v>
      </c>
      <c r="B19" s="2" t="s">
        <v>62</v>
      </c>
      <c r="C19" s="4" t="str">
        <f>IFERROR(__xludf.DUMMYFUNCTION("""🏘️ ""&amp;REGEXEXTRACT(B19, ""^(.*): "")&amp;"" ✅ "" &amp;REGEXEXTRACT(B19, ""(Trouvez.*)"")"),"🏘️ Louer maison Jura (Fribourg) ✅ Trouvez le bien immobilier qui correspond idéalement à vos désirs sur ImmoScout24 - La plateforme de l'immobilier en Suisse.")</f>
        <v>🏘️ Louer maison Jura (Fribourg) ✅ Trouvez le bien immobilier qui correspond idéalement à vos désirs sur ImmoScout24 - La plateforme de l'immobilier en Suisse.</v>
      </c>
      <c r="D19" s="4" t="str">
        <f>vlookup(A19, Sheet2!D:E, 2, 0)</f>
        <v>variant</v>
      </c>
      <c r="E19" s="4" t="str">
        <f>IFERROR(__xludf.DUMMYFUNCTION("if(H19=""pays"",vlookup(REGEXEXTRACT(C19, ""🏘️ \w+ \w+ (.*) ✅""),'Country prepositions'!A:B, 2, 0) &amp; "" "" &amp; REGEXEXTRACT(C19, ""🏘️ \w+ \w+ (.*) ✅"") ,  if(H19=""quartier"",vlookup(REGEXEXTRACT(C19, ""🏘️ \w+ \w+ (.*) ✅""),'Quartier prepositions'!A:E, 5"&amp;", 0) ,  if(H19=""region"",vlookup(REGEXEXTRACT(C19, ""🏘️ \w+ \w+ (.*) ✅""),'Region prepositions'!B:F, 5, 0),  REGEXEXTRACT(C19, ""🏘️ \w+ \w+ (.*) ✅""))))"),"dans le quartier du Jura (Fribourg)")</f>
        <v>dans le quartier du Jura (Fribourg)</v>
      </c>
      <c r="F19" s="2" t="str">
        <f>IFERROR(__xludf.DUMMYFUNCTION("REGEXEXTRACT(C19, ""🏘️ (\w+) \w+ .* ✅"")"),"Louer")</f>
        <v>Louer</v>
      </c>
      <c r="G19" s="2" t="str">
        <f>IFERROR(__xludf.DUMMYFUNCTION("REGEXEXTRACT(C19, ""🏘️ \w+ (\w+) .* ✅"")"),"maison")</f>
        <v>maison</v>
      </c>
      <c r="H19" s="4" t="str">
        <f>IFERROR(__xludf.DUMMYFUNCTION("REGEXEXTRACT(A19, ""/(\w+)-.*?"")"),"quartier")</f>
        <v>quartier</v>
      </c>
      <c r="I19" s="4" t="str">
        <f>IFERROR(__xludf.DUMMYFUNCTION("if(D19=""variant"",  substitute(filter(Templates!E:E, Templates!A:A = F19, Templates!B:B = G19, Templates!C:C = H19), ""{{}}"", E19), B19)"),"🏘  Vous cherchez une maison à louer dans le quartier du Jura (Fribourg)? ✅ Découvrez nos nombreuses annonces sur ImmoScout24.ch.")</f>
        <v>🏘  Vous cherchez une maison à louer dans le quartier du Jura (Fribourg)? ✅ Découvrez nos nombreuses annonces sur ImmoScout24.ch.</v>
      </c>
      <c r="J19" s="4" t="s">
        <v>63</v>
      </c>
    </row>
    <row r="20">
      <c r="A20" s="5" t="s">
        <v>64</v>
      </c>
      <c r="B20" s="2" t="s">
        <v>65</v>
      </c>
      <c r="C20" s="4" t="str">
        <f>IFERROR(__xludf.DUMMYFUNCTION("""🏘️ ""&amp;REGEXEXTRACT(B20, ""^(.*): "")&amp;"" ✅ "" &amp;REGEXEXTRACT(B20, ""(Trouvez.*)"")"),"🏘️ Louer appartement Boningen ✅ Trouvez le bien immobilier qui correspond idéalement à vos désirs sur ImmoScout24 - La plateforme de l'immobilier en Suisse.")</f>
        <v>🏘️ Louer appartement Boningen ✅ Trouvez le bien immobilier qui correspond idéalement à vos désirs sur ImmoScout24 - La plateforme de l'immobilier en Suisse.</v>
      </c>
      <c r="D20" s="4" t="str">
        <f>vlookup(A20, Sheet2!D:E, 2, 0)</f>
        <v>variant</v>
      </c>
      <c r="E20" s="4" t="str">
        <f>IFERROR(__xludf.DUMMYFUNCTION("if(H20=""pays"",vlookup(REGEXEXTRACT(C20, ""🏘️ \w+ \w+ (.*) ✅""),'Country prepositions'!A:B, 2, 0) &amp; "" "" &amp; REGEXEXTRACT(C20, ""🏘️ \w+ \w+ (.*) ✅"") ,  if(H20=""quartier"",vlookup(REGEXEXTRACT(C20, ""🏘️ \w+ \w+ (.*) ✅""),'Quartier prepositions'!A:E, 5"&amp;", 0) ,  if(H20=""region"",vlookup(REGEXEXTRACT(C20, ""🏘️ \w+ \w+ (.*) ✅""),'Region prepositions'!B:F, 5, 0),  REGEXEXTRACT(C20, ""🏘️ \w+ \w+ (.*) ✅""))))"),"Boningen")</f>
        <v>Boningen</v>
      </c>
      <c r="F20" s="2" t="str">
        <f>IFERROR(__xludf.DUMMYFUNCTION("REGEXEXTRACT(C20, ""🏘️ (\w+) \w+ .* ✅"")"),"Louer")</f>
        <v>Louer</v>
      </c>
      <c r="G20" s="2" t="str">
        <f>IFERROR(__xludf.DUMMYFUNCTION("REGEXEXTRACT(C20, ""🏘️ \w+ (\w+) .* ✅"")"),"appartement")</f>
        <v>appartement</v>
      </c>
      <c r="H20" s="4" t="str">
        <f>IFERROR(__xludf.DUMMYFUNCTION("REGEXEXTRACT(A20, ""/(\w+)-.*?"")"),"lieu")</f>
        <v>lieu</v>
      </c>
      <c r="I20" s="4" t="str">
        <f>IFERROR(__xludf.DUMMYFUNCTION("if(D20=""variant"",  substitute(filter(Templates!E:E, Templates!A:A = F20, Templates!B:B = G20, Templates!C:C = H20), ""{{}}"", E20), B20)"),"🏘  Vous cherchez un appartement à louer à Boningen? ✅ Les annonces les plus actuelles sont sur ImmoScout24.ch.")</f>
        <v>🏘  Vous cherchez un appartement à louer à Boningen? ✅ Les annonces les plus actuelles sont sur ImmoScout24.ch.</v>
      </c>
      <c r="J20" s="4" t="s">
        <v>66</v>
      </c>
    </row>
    <row r="21">
      <c r="A21" s="5" t="s">
        <v>67</v>
      </c>
      <c r="B21" s="2" t="s">
        <v>68</v>
      </c>
      <c r="C21" s="4" t="str">
        <f>IFERROR(__xludf.DUMMYFUNCTION("""🏘️ ""&amp;REGEXEXTRACT(B21, ""^(.*): "")&amp;"" ✅ "" &amp;REGEXEXTRACT(B21, ""(Trouvez.*)"")"),"🏘️ Vendre maison Carabietta ✅ Trouvez le bien immobilier qui correspond idéalement à vos désirs sur ImmoScout24 - La plateforme de l'immobilier en Suisse.")</f>
        <v>🏘️ Vendre maison Carabietta ✅ Trouvez le bien immobilier qui correspond idéalement à vos désirs sur ImmoScout24 - La plateforme de l'immobilier en Suisse.</v>
      </c>
      <c r="D21" s="4" t="str">
        <f>vlookup(A21, Sheet2!D:E, 2, 0)</f>
        <v>variant</v>
      </c>
      <c r="E21" s="4" t="str">
        <f>IFERROR(__xludf.DUMMYFUNCTION("if(H21=""pays"",vlookup(REGEXEXTRACT(C21, ""🏘️ \w+ \w+ (.*) ✅""),'Country prepositions'!A:B, 2, 0) &amp; "" "" &amp; REGEXEXTRACT(C21, ""🏘️ \w+ \w+ (.*) ✅"") ,  if(H21=""quartier"",vlookup(REGEXEXTRACT(C21, ""🏘️ \w+ \w+ (.*) ✅""),'Quartier prepositions'!A:E, 5"&amp;", 0) ,  if(H21=""region"",vlookup(REGEXEXTRACT(C21, ""🏘️ \w+ \w+ (.*) ✅""),'Region prepositions'!B:F, 5, 0),  REGEXEXTRACT(C21, ""🏘️ \w+ \w+ (.*) ✅""))))"),"Carabietta")</f>
        <v>Carabietta</v>
      </c>
      <c r="F21" s="2" t="str">
        <f>IFERROR(__xludf.DUMMYFUNCTION("REGEXEXTRACT(C21, ""🏘️ (\w+) \w+ .* ✅"")"),"Vendre")</f>
        <v>Vendre</v>
      </c>
      <c r="G21" s="2" t="str">
        <f>IFERROR(__xludf.DUMMYFUNCTION("REGEXEXTRACT(C21, ""🏘️ \w+ (\w+) .* ✅"")"),"maison")</f>
        <v>maison</v>
      </c>
      <c r="H21" s="4" t="str">
        <f>IFERROR(__xludf.DUMMYFUNCTION("REGEXEXTRACT(A21, ""/(\w+)-.*?"")"),"lieu")</f>
        <v>lieu</v>
      </c>
      <c r="I21" s="4" t="str">
        <f>IFERROR(__xludf.DUMMYFUNCTION("if(D21=""variant"",  substitute(filter(Templates!E:E, Templates!A:A = F21, Templates!B:B = G21, Templates!C:C = H21), ""{{}}"", E21), B21)"),"🏘  Vous souhaitez acheter une maison à Carabietta? ✅ Jetez un œil aux dernières offres sur ImmoScout24.ch.")</f>
        <v>🏘  Vous souhaitez acheter une maison à Carabietta? ✅ Jetez un œil aux dernières offres sur ImmoScout24.ch.</v>
      </c>
      <c r="J21" s="4" t="s">
        <v>69</v>
      </c>
    </row>
    <row r="22">
      <c r="A22" s="3" t="s">
        <v>70</v>
      </c>
      <c r="B22" s="2" t="s">
        <v>71</v>
      </c>
      <c r="C22" s="4" t="str">
        <f>IFERROR(__xludf.DUMMYFUNCTION("""🏘️ ""&amp;REGEXEXTRACT(B22, ""^(.*): "")&amp;"" ✅ "" &amp;REGEXEXTRACT(B22, ""(Trouvez.*)"")"),"🏘️ Vendre appartement Finhaut ✅ Trouvez le bien immobilier qui correspond idéalement à vos désirs sur ImmoScout24 - La plateforme de l'immobilier en Suisse.")</f>
        <v>🏘️ Vendre appartement Finhaut ✅ Trouvez le bien immobilier qui correspond idéalement à vos désirs sur ImmoScout24 - La plateforme de l'immobilier en Suisse.</v>
      </c>
      <c r="D22" s="4" t="str">
        <f>vlookup(A22, Sheet2!D:E, 2, 0)</f>
        <v>variant</v>
      </c>
      <c r="E22" s="4" t="str">
        <f>IFERROR(__xludf.DUMMYFUNCTION("if(H22=""pays"",vlookup(REGEXEXTRACT(C22, ""🏘️ \w+ \w+ (.*) ✅""),'Country prepositions'!A:B, 2, 0) &amp; "" "" &amp; REGEXEXTRACT(C22, ""🏘️ \w+ \w+ (.*) ✅"") ,  if(H22=""quartier"",vlookup(REGEXEXTRACT(C22, ""🏘️ \w+ \w+ (.*) ✅""),'Quartier prepositions'!A:E, 5"&amp;", 0) ,  if(H22=""region"",vlookup(REGEXEXTRACT(C22, ""🏘️ \w+ \w+ (.*) ✅""),'Region prepositions'!B:F, 5, 0),  REGEXEXTRACT(C22, ""🏘️ \w+ \w+ (.*) ✅""))))"),"Finhaut")</f>
        <v>Finhaut</v>
      </c>
      <c r="F22" s="2" t="str">
        <f>IFERROR(__xludf.DUMMYFUNCTION("REGEXEXTRACT(C22, ""🏘️ (\w+) \w+ .* ✅"")"),"Vendre")</f>
        <v>Vendre</v>
      </c>
      <c r="G22" s="2" t="str">
        <f>IFERROR(__xludf.DUMMYFUNCTION("REGEXEXTRACT(C22, ""🏘️ \w+ (\w+) .* ✅"")"),"appartement")</f>
        <v>appartement</v>
      </c>
      <c r="H22" s="4" t="str">
        <f>IFERROR(__xludf.DUMMYFUNCTION("REGEXEXTRACT(A22, ""/(\w+)-.*?"")"),"lieu")</f>
        <v>lieu</v>
      </c>
      <c r="I22" s="4" t="str">
        <f>IFERROR(__xludf.DUMMYFUNCTION("if(D22=""variant"",  substitute(filter(Templates!E:E, Templates!A:A = F22, Templates!B:B = G22, Templates!C:C = H22), ""{{}}"", E22), B22)"),"🏘  L’appartement de vos rêves se trouve sur ImmoScout24.ch ✅ Découvrez les dernières annonces de vente à Finhaut.")</f>
        <v>🏘  L’appartement de vos rêves se trouve sur ImmoScout24.ch ✅ Découvrez les dernières annonces de vente à Finhaut.</v>
      </c>
      <c r="J22" s="4" t="s">
        <v>72</v>
      </c>
    </row>
    <row r="23">
      <c r="A23" s="5" t="s">
        <v>73</v>
      </c>
      <c r="B23" s="2" t="s">
        <v>74</v>
      </c>
      <c r="C23" s="4" t="str">
        <f>IFERROR(__xludf.DUMMYFUNCTION("""🏘️ ""&amp;REGEXEXTRACT(B23, ""^(.*): "")&amp;"" ✅ "" &amp;REGEXEXTRACT(B23, ""(Trouvez.*)"")"),"🏘️ Vendre maison Villeneuve FR ✅ Trouvez le bien immobilier qui correspond idéalement à vos désirs sur ImmoScout24 - La plateforme de l'immobilier en Suisse.")</f>
        <v>🏘️ Vendre maison Villeneuve FR ✅ Trouvez le bien immobilier qui correspond idéalement à vos désirs sur ImmoScout24 - La plateforme de l'immobilier en Suisse.</v>
      </c>
      <c r="D23" s="4" t="str">
        <f>vlookup(A23, Sheet2!D:E, 2, 0)</f>
        <v>variant</v>
      </c>
      <c r="E23" s="4" t="str">
        <f>IFERROR(__xludf.DUMMYFUNCTION("if(H23=""pays"",vlookup(REGEXEXTRACT(C23, ""🏘️ \w+ \w+ (.*) ✅""),'Country prepositions'!A:B, 2, 0) &amp; "" "" &amp; REGEXEXTRACT(C23, ""🏘️ \w+ \w+ (.*) ✅"") ,  if(H23=""quartier"",vlookup(REGEXEXTRACT(C23, ""🏘️ \w+ \w+ (.*) ✅""),'Quartier prepositions'!A:E, 5"&amp;", 0) ,  if(H23=""region"",vlookup(REGEXEXTRACT(C23, ""🏘️ \w+ \w+ (.*) ✅""),'Region prepositions'!B:F, 5, 0),  REGEXEXTRACT(C23, ""🏘️ \w+ \w+ (.*) ✅""))))"),"Villeneuve FR")</f>
        <v>Villeneuve FR</v>
      </c>
      <c r="F23" s="2" t="str">
        <f>IFERROR(__xludf.DUMMYFUNCTION("REGEXEXTRACT(C23, ""🏘️ (\w+) \w+ .* ✅"")"),"Vendre")</f>
        <v>Vendre</v>
      </c>
      <c r="G23" s="2" t="str">
        <f>IFERROR(__xludf.DUMMYFUNCTION("REGEXEXTRACT(C23, ""🏘️ \w+ (\w+) .* ✅"")"),"maison")</f>
        <v>maison</v>
      </c>
      <c r="H23" s="4" t="str">
        <f>IFERROR(__xludf.DUMMYFUNCTION("REGEXEXTRACT(A23, ""/(\w+)-.*?"")"),"lieu")</f>
        <v>lieu</v>
      </c>
      <c r="I23" s="4" t="str">
        <f>IFERROR(__xludf.DUMMYFUNCTION("if(D23=""variant"",  substitute(filter(Templates!E:E, Templates!A:A = F23, Templates!B:B = G23, Templates!C:C = H23), ""{{}}"", E23), B23)"),"🏘  Vous souhaitez acheter une maison à Villeneuve FR? ✅ Jetez un œil aux dernières offres sur ImmoScout24.ch.")</f>
        <v>🏘  Vous souhaitez acheter une maison à Villeneuve FR? ✅ Jetez un œil aux dernières offres sur ImmoScout24.ch.</v>
      </c>
      <c r="J23" s="4" t="s">
        <v>75</v>
      </c>
    </row>
    <row r="24">
      <c r="A24" s="5" t="s">
        <v>76</v>
      </c>
      <c r="B24" s="2" t="s">
        <v>77</v>
      </c>
      <c r="C24" s="4" t="str">
        <f>IFERROR(__xludf.DUMMYFUNCTION("""🏘️ ""&amp;REGEXEXTRACT(B24, ""^(.*): "")&amp;"" ✅ "" &amp;REGEXEXTRACT(B24, ""(Trouvez.*)"")"),"🏘️ Vendre appartement Arolla ✅ Trouvez le bien immobilier qui correspond idéalement à vos désirs sur ImmoScout24 - La plateforme de l'immobilier en Suisse.")</f>
        <v>🏘️ Vendre appartement Arolla ✅ Trouvez le bien immobilier qui correspond idéalement à vos désirs sur ImmoScout24 - La plateforme de l'immobilier en Suisse.</v>
      </c>
      <c r="D24" s="4" t="str">
        <f>vlookup(A24, Sheet2!D:E, 2, 0)</f>
        <v>variant</v>
      </c>
      <c r="E24" s="4" t="str">
        <f>IFERROR(__xludf.DUMMYFUNCTION("if(H24=""pays"",vlookup(REGEXEXTRACT(C24, ""🏘️ \w+ \w+ (.*) ✅""),'Country prepositions'!A:B, 2, 0) &amp; "" "" &amp; REGEXEXTRACT(C24, ""🏘️ \w+ \w+ (.*) ✅"") ,  if(H24=""quartier"",vlookup(REGEXEXTRACT(C24, ""🏘️ \w+ \w+ (.*) ✅""),'Quartier prepositions'!A:E, 5"&amp;", 0) ,  if(H24=""region"",vlookup(REGEXEXTRACT(C24, ""🏘️ \w+ \w+ (.*) ✅""),'Region prepositions'!B:F, 5, 0),  REGEXEXTRACT(C24, ""🏘️ \w+ \w+ (.*) ✅""))))"),"Arolla")</f>
        <v>Arolla</v>
      </c>
      <c r="F24" s="2" t="str">
        <f>IFERROR(__xludf.DUMMYFUNCTION("REGEXEXTRACT(C24, ""🏘️ (\w+) \w+ .* ✅"")"),"Vendre")</f>
        <v>Vendre</v>
      </c>
      <c r="G24" s="2" t="str">
        <f>IFERROR(__xludf.DUMMYFUNCTION("REGEXEXTRACT(C24, ""🏘️ \w+ (\w+) .* ✅"")"),"appartement")</f>
        <v>appartement</v>
      </c>
      <c r="H24" s="4" t="str">
        <f>IFERROR(__xludf.DUMMYFUNCTION("REGEXEXTRACT(A24, ""/(\w+)-.*?"")"),"lieu")</f>
        <v>lieu</v>
      </c>
      <c r="I24" s="4" t="str">
        <f>IFERROR(__xludf.DUMMYFUNCTION("if(D24=""variant"",  substitute(filter(Templates!E:E, Templates!A:A = F24, Templates!B:B = G24, Templates!C:C = H24), ""{{}}"", E24), B24)"),"🏘  L’appartement de vos rêves se trouve sur ImmoScout24.ch ✅ Découvrez les dernières annonces de vente à Arolla.")</f>
        <v>🏘  L’appartement de vos rêves se trouve sur ImmoScout24.ch ✅ Découvrez les dernières annonces de vente à Arolla.</v>
      </c>
      <c r="J24" s="4" t="s">
        <v>78</v>
      </c>
    </row>
    <row r="25">
      <c r="A25" s="5" t="s">
        <v>79</v>
      </c>
      <c r="B25" s="2" t="s">
        <v>80</v>
      </c>
      <c r="C25" s="4" t="str">
        <f>IFERROR(__xludf.DUMMYFUNCTION("""🏘️ ""&amp;REGEXEXTRACT(B25, ""^(.*): "")&amp;"" ✅ "" &amp;REGEXEXTRACT(B25, ""(Trouvez.*)"")"),"🏘️ Vendre maison Gumefens ✅ Trouvez le bien immobilier qui correspond idéalement à vos désirs sur ImmoScout24 - La plateforme de l'immobilier en Suisse.")</f>
        <v>🏘️ Vendre maison Gumefens ✅ Trouvez le bien immobilier qui correspond idéalement à vos désirs sur ImmoScout24 - La plateforme de l'immobilier en Suisse.</v>
      </c>
      <c r="D25" s="4" t="str">
        <f>vlookup(A25, Sheet2!D:E, 2, 0)</f>
        <v>variant</v>
      </c>
      <c r="E25" s="4" t="str">
        <f>IFERROR(__xludf.DUMMYFUNCTION("if(H25=""pays"",vlookup(REGEXEXTRACT(C25, ""🏘️ \w+ \w+ (.*) ✅""),'Country prepositions'!A:B, 2, 0) &amp; "" "" &amp; REGEXEXTRACT(C25, ""🏘️ \w+ \w+ (.*) ✅"") ,  if(H25=""quartier"",vlookup(REGEXEXTRACT(C25, ""🏘️ \w+ \w+ (.*) ✅""),'Quartier prepositions'!A:E, 5"&amp;", 0) ,  if(H25=""region"",vlookup(REGEXEXTRACT(C25, ""🏘️ \w+ \w+ (.*) ✅""),'Region prepositions'!B:F, 5, 0),  REGEXEXTRACT(C25, ""🏘️ \w+ \w+ (.*) ✅""))))"),"Gumefens")</f>
        <v>Gumefens</v>
      </c>
      <c r="F25" s="2" t="str">
        <f>IFERROR(__xludf.DUMMYFUNCTION("REGEXEXTRACT(C25, ""🏘️ (\w+) \w+ .* ✅"")"),"Vendre")</f>
        <v>Vendre</v>
      </c>
      <c r="G25" s="2" t="str">
        <f>IFERROR(__xludf.DUMMYFUNCTION("REGEXEXTRACT(C25, ""🏘️ \w+ (\w+) .* ✅"")"),"maison")</f>
        <v>maison</v>
      </c>
      <c r="H25" s="4" t="str">
        <f>IFERROR(__xludf.DUMMYFUNCTION("REGEXEXTRACT(A25, ""/(\w+)-.*?"")"),"lieu")</f>
        <v>lieu</v>
      </c>
      <c r="I25" s="4" t="str">
        <f>IFERROR(__xludf.DUMMYFUNCTION("if(D25=""variant"",  substitute(filter(Templates!E:E, Templates!A:A = F25, Templates!B:B = G25, Templates!C:C = H25), ""{{}}"", E25), B25)"),"🏘  Vous souhaitez acheter une maison à Gumefens? ✅ Jetez un œil aux dernières offres sur ImmoScout24.ch.")</f>
        <v>🏘  Vous souhaitez acheter une maison à Gumefens? ✅ Jetez un œil aux dernières offres sur ImmoScout24.ch.</v>
      </c>
      <c r="J25" s="4" t="s">
        <v>81</v>
      </c>
    </row>
    <row r="26">
      <c r="A26" s="5" t="s">
        <v>82</v>
      </c>
      <c r="B26" s="2" t="s">
        <v>83</v>
      </c>
      <c r="C26" s="4" t="str">
        <f>IFERROR(__xludf.DUMMYFUNCTION("""🏘️ ""&amp;REGEXEXTRACT(B26, ""^(.*): "")&amp;"" ✅ "" &amp;REGEXEXTRACT(B26, ""(Trouvez.*)"")"),"🏘️ Vendre maison Engi ✅ Trouvez le bien immobilier qui correspond idéalement à vos désirs sur ImmoScout24 - La plateforme de l'immobilier en Suisse.")</f>
        <v>🏘️ Vendre maison Engi ✅ Trouvez le bien immobilier qui correspond idéalement à vos désirs sur ImmoScout24 - La plateforme de l'immobilier en Suisse.</v>
      </c>
      <c r="D26" s="4" t="str">
        <f>vlookup(A26, Sheet2!D:E, 2, 0)</f>
        <v>variant</v>
      </c>
      <c r="E26" s="4" t="str">
        <f>IFERROR(__xludf.DUMMYFUNCTION("if(H26=""pays"",vlookup(REGEXEXTRACT(C26, ""🏘️ \w+ \w+ (.*) ✅""),'Country prepositions'!A:B, 2, 0) &amp; "" "" &amp; REGEXEXTRACT(C26, ""🏘️ \w+ \w+ (.*) ✅"") ,  if(H26=""quartier"",vlookup(REGEXEXTRACT(C26, ""🏘️ \w+ \w+ (.*) ✅""),'Quartier prepositions'!A:E, 5"&amp;", 0) ,  if(H26=""region"",vlookup(REGEXEXTRACT(C26, ""🏘️ \w+ \w+ (.*) ✅""),'Region prepositions'!B:F, 5, 0),  REGEXEXTRACT(C26, ""🏘️ \w+ \w+ (.*) ✅""))))"),"Engi")</f>
        <v>Engi</v>
      </c>
      <c r="F26" s="2" t="str">
        <f>IFERROR(__xludf.DUMMYFUNCTION("REGEXEXTRACT(C26, ""🏘️ (\w+) \w+ .* ✅"")"),"Vendre")</f>
        <v>Vendre</v>
      </c>
      <c r="G26" s="2" t="str">
        <f>IFERROR(__xludf.DUMMYFUNCTION("REGEXEXTRACT(C26, ""🏘️ \w+ (\w+) .* ✅"")"),"maison")</f>
        <v>maison</v>
      </c>
      <c r="H26" s="4" t="str">
        <f>IFERROR(__xludf.DUMMYFUNCTION("REGEXEXTRACT(A26, ""/(\w+)-.*?"")"),"lieu")</f>
        <v>lieu</v>
      </c>
      <c r="I26" s="4" t="str">
        <f>IFERROR(__xludf.DUMMYFUNCTION("if(D26=""variant"",  substitute(filter(Templates!E:E, Templates!A:A = F26, Templates!B:B = G26, Templates!C:C = H26), ""{{}}"", E26), B26)"),"🏘  Vous souhaitez acheter une maison à Engi? ✅ Jetez un œil aux dernières offres sur ImmoScout24.ch.")</f>
        <v>🏘  Vous souhaitez acheter une maison à Engi? ✅ Jetez un œil aux dernières offres sur ImmoScout24.ch.</v>
      </c>
      <c r="J26" s="4" t="s">
        <v>84</v>
      </c>
    </row>
    <row r="27">
      <c r="A27" s="5" t="s">
        <v>85</v>
      </c>
      <c r="B27" s="2" t="s">
        <v>86</v>
      </c>
      <c r="C27" s="4" t="str">
        <f>IFERROR(__xludf.DUMMYFUNCTION("""🏘️ ""&amp;REGEXEXTRACT(B27, ""^(.*): "")&amp;"" ✅ "" &amp;REGEXEXTRACT(B27, ""(Trouvez.*)"")"),"🏘️ Vendre appartement Jonen ✅ Trouvez le bien immobilier qui correspond idéalement à vos désirs sur ImmoScout24 - La plateforme de l'immobilier en Suisse.")</f>
        <v>🏘️ Vendre appartement Jonen ✅ Trouvez le bien immobilier qui correspond idéalement à vos désirs sur ImmoScout24 - La plateforme de l'immobilier en Suisse.</v>
      </c>
      <c r="D27" s="4" t="str">
        <f>vlookup(A27, Sheet2!D:E, 2, 0)</f>
        <v>variant</v>
      </c>
      <c r="E27" s="4" t="str">
        <f>IFERROR(__xludf.DUMMYFUNCTION("if(H27=""pays"",vlookup(REGEXEXTRACT(C27, ""🏘️ \w+ \w+ (.*) ✅""),'Country prepositions'!A:B, 2, 0) &amp; "" "" &amp; REGEXEXTRACT(C27, ""🏘️ \w+ \w+ (.*) ✅"") ,  if(H27=""quartier"",vlookup(REGEXEXTRACT(C27, ""🏘️ \w+ \w+ (.*) ✅""),'Quartier prepositions'!A:E, 5"&amp;", 0) ,  if(H27=""region"",vlookup(REGEXEXTRACT(C27, ""🏘️ \w+ \w+ (.*) ✅""),'Region prepositions'!B:F, 5, 0),  REGEXEXTRACT(C27, ""🏘️ \w+ \w+ (.*) ✅""))))"),"Jonen")</f>
        <v>Jonen</v>
      </c>
      <c r="F27" s="2" t="str">
        <f>IFERROR(__xludf.DUMMYFUNCTION("REGEXEXTRACT(C27, ""🏘️ (\w+) \w+ .* ✅"")"),"Vendre")</f>
        <v>Vendre</v>
      </c>
      <c r="G27" s="2" t="str">
        <f>IFERROR(__xludf.DUMMYFUNCTION("REGEXEXTRACT(C27, ""🏘️ \w+ (\w+) .* ✅"")"),"appartement")</f>
        <v>appartement</v>
      </c>
      <c r="H27" s="4" t="str">
        <f>IFERROR(__xludf.DUMMYFUNCTION("REGEXEXTRACT(A27, ""/(\w+)-.*?"")"),"lieu")</f>
        <v>lieu</v>
      </c>
      <c r="I27" s="4" t="str">
        <f>IFERROR(__xludf.DUMMYFUNCTION("if(D27=""variant"",  substitute(filter(Templates!E:E, Templates!A:A = F27, Templates!B:B = G27, Templates!C:C = H27), ""{{}}"", E27), B27)"),"🏘  L’appartement de vos rêves se trouve sur ImmoScout24.ch ✅ Découvrez les dernières annonces de vente à Jonen.")</f>
        <v>🏘  L’appartement de vos rêves se trouve sur ImmoScout24.ch ✅ Découvrez les dernières annonces de vente à Jonen.</v>
      </c>
      <c r="J27" s="4" t="s">
        <v>87</v>
      </c>
    </row>
    <row r="28">
      <c r="A28" s="5" t="s">
        <v>88</v>
      </c>
      <c r="B28" s="2" t="s">
        <v>89</v>
      </c>
      <c r="C28" s="4" t="str">
        <f>IFERROR(__xludf.DUMMYFUNCTION("""🏘️ ""&amp;REGEXEXTRACT(B28, ""^(.*): "")&amp;"" ✅ "" &amp;REGEXEXTRACT(B28, ""(Trouvez.*)"")"),"🏘️ Vendre appartement Freienbach ✅ Trouvez le bien immobilier qui correspond idéalement à vos désirs sur ImmoScout24 - La plateforme de l'immobilier en Suisse.")</f>
        <v>🏘️ Vendre appartement Freienbach ✅ Trouvez le bien immobilier qui correspond idéalement à vos désirs sur ImmoScout24 - La plateforme de l'immobilier en Suisse.</v>
      </c>
      <c r="D28" s="4" t="str">
        <f>vlookup(A28, Sheet2!D:E, 2, 0)</f>
        <v>variant</v>
      </c>
      <c r="E28" s="4" t="str">
        <f>IFERROR(__xludf.DUMMYFUNCTION("if(H28=""pays"",vlookup(REGEXEXTRACT(C28, ""🏘️ \w+ \w+ (.*) ✅""),'Country prepositions'!A:B, 2, 0) &amp; "" "" &amp; REGEXEXTRACT(C28, ""🏘️ \w+ \w+ (.*) ✅"") ,  if(H28=""quartier"",vlookup(REGEXEXTRACT(C28, ""🏘️ \w+ \w+ (.*) ✅""),'Quartier prepositions'!A:E, 5"&amp;", 0) ,  if(H28=""region"",vlookup(REGEXEXTRACT(C28, ""🏘️ \w+ \w+ (.*) ✅""),'Region prepositions'!B:F, 5, 0),  REGEXEXTRACT(C28, ""🏘️ \w+ \w+ (.*) ✅""))))"),"Freienbach")</f>
        <v>Freienbach</v>
      </c>
      <c r="F28" s="2" t="str">
        <f>IFERROR(__xludf.DUMMYFUNCTION("REGEXEXTRACT(C28, ""🏘️ (\w+) \w+ .* ✅"")"),"Vendre")</f>
        <v>Vendre</v>
      </c>
      <c r="G28" s="2" t="str">
        <f>IFERROR(__xludf.DUMMYFUNCTION("REGEXEXTRACT(C28, ""🏘️ \w+ (\w+) .* ✅"")"),"appartement")</f>
        <v>appartement</v>
      </c>
      <c r="H28" s="4" t="str">
        <f>IFERROR(__xludf.DUMMYFUNCTION("REGEXEXTRACT(A28, ""/(\w+)-.*?"")"),"lieu")</f>
        <v>lieu</v>
      </c>
      <c r="I28" s="4" t="str">
        <f>IFERROR(__xludf.DUMMYFUNCTION("if(D28=""variant"",  substitute(filter(Templates!E:E, Templates!A:A = F28, Templates!B:B = G28, Templates!C:C = H28), ""{{}}"", E28), B28)"),"🏘  L’appartement de vos rêves se trouve sur ImmoScout24.ch ✅ Découvrez les dernières annonces de vente à Freienbach.")</f>
        <v>🏘  L’appartement de vos rêves se trouve sur ImmoScout24.ch ✅ Découvrez les dernières annonces de vente à Freienbach.</v>
      </c>
      <c r="J28" s="4" t="s">
        <v>90</v>
      </c>
    </row>
    <row r="29">
      <c r="A29" s="5" t="s">
        <v>91</v>
      </c>
      <c r="B29" s="2" t="s">
        <v>92</v>
      </c>
      <c r="C29" s="4" t="str">
        <f>IFERROR(__xludf.DUMMYFUNCTION("""🏘️ ""&amp;REGEXEXTRACT(B29, ""^(.*): "")&amp;"" ✅ "" &amp;REGEXEXTRACT(B29, ""(Trouvez.*)"")"),"🏘️ Louer appartement Kölliken ✅ Trouvez le bien immobilier qui correspond idéalement à vos désirs sur ImmoScout24 - La plateforme de l'immobilier en Suisse.")</f>
        <v>🏘️ Louer appartement Kölliken ✅ Trouvez le bien immobilier qui correspond idéalement à vos désirs sur ImmoScout24 - La plateforme de l'immobilier en Suisse.</v>
      </c>
      <c r="D29" s="4" t="str">
        <f>vlookup(A29, Sheet2!D:E, 2, 0)</f>
        <v>variant</v>
      </c>
      <c r="E29" s="4" t="str">
        <f>IFERROR(__xludf.DUMMYFUNCTION("if(H29=""pays"",vlookup(REGEXEXTRACT(C29, ""🏘️ \w+ \w+ (.*) ✅""),'Country prepositions'!A:B, 2, 0) &amp; "" "" &amp; REGEXEXTRACT(C29, ""🏘️ \w+ \w+ (.*) ✅"") ,  if(H29=""quartier"",vlookup(REGEXEXTRACT(C29, ""🏘️ \w+ \w+ (.*) ✅""),'Quartier prepositions'!A:E, 5"&amp;", 0) ,  if(H29=""region"",vlookup(REGEXEXTRACT(C29, ""🏘️ \w+ \w+ (.*) ✅""),'Region prepositions'!B:F, 5, 0),  REGEXEXTRACT(C29, ""🏘️ \w+ \w+ (.*) ✅""))))"),"Kölliken")</f>
        <v>Kölliken</v>
      </c>
      <c r="F29" s="2" t="str">
        <f>IFERROR(__xludf.DUMMYFUNCTION("REGEXEXTRACT(C29, ""🏘️ (\w+) \w+ .* ✅"")"),"Louer")</f>
        <v>Louer</v>
      </c>
      <c r="G29" s="2" t="str">
        <f>IFERROR(__xludf.DUMMYFUNCTION("REGEXEXTRACT(C29, ""🏘️ \w+ (\w+) .* ✅"")"),"appartement")</f>
        <v>appartement</v>
      </c>
      <c r="H29" s="4" t="str">
        <f>IFERROR(__xludf.DUMMYFUNCTION("REGEXEXTRACT(A29, ""/(\w+)-.*?"")"),"lieu")</f>
        <v>lieu</v>
      </c>
      <c r="I29" s="4" t="str">
        <f>IFERROR(__xludf.DUMMYFUNCTION("if(D29=""variant"",  substitute(filter(Templates!E:E, Templates!A:A = F29, Templates!B:B = G29, Templates!C:C = H29), ""{{}}"", E29), B29)"),"🏘  Vous cherchez un appartement à louer à Kölliken? ✅ Les annonces les plus actuelles sont sur ImmoScout24.ch.")</f>
        <v>🏘  Vous cherchez un appartement à louer à Kölliken? ✅ Les annonces les plus actuelles sont sur ImmoScout24.ch.</v>
      </c>
      <c r="J29" s="4" t="s">
        <v>93</v>
      </c>
    </row>
    <row r="30">
      <c r="A30" s="5" t="s">
        <v>94</v>
      </c>
      <c r="B30" s="2" t="s">
        <v>95</v>
      </c>
      <c r="C30" s="4" t="str">
        <f>IFERROR(__xludf.DUMMYFUNCTION("""🏘️ ""&amp;REGEXEXTRACT(B30, ""^(.*): "")&amp;"" ✅ "" &amp;REGEXEXTRACT(B30, ""(Trouvez.*)"")"),"🏘️ Louer appartement Rheinau ✅ Trouvez le bien immobilier qui correspond idéalement à vos désirs sur ImmoScout24 - La plateforme de l'immobilier en Suisse.")</f>
        <v>🏘️ Louer appartement Rheinau ✅ Trouvez le bien immobilier qui correspond idéalement à vos désirs sur ImmoScout24 - La plateforme de l'immobilier en Suisse.</v>
      </c>
      <c r="D30" s="4" t="str">
        <f>vlookup(A30, Sheet2!D:E, 2, 0)</f>
        <v>variant</v>
      </c>
      <c r="E30" s="4" t="str">
        <f>IFERROR(__xludf.DUMMYFUNCTION("if(H30=""pays"",vlookup(REGEXEXTRACT(C30, ""🏘️ \w+ \w+ (.*) ✅""),'Country prepositions'!A:B, 2, 0) &amp; "" "" &amp; REGEXEXTRACT(C30, ""🏘️ \w+ \w+ (.*) ✅"") ,  if(H30=""quartier"",vlookup(REGEXEXTRACT(C30, ""🏘️ \w+ \w+ (.*) ✅""),'Quartier prepositions'!A:E, 5"&amp;", 0) ,  if(H30=""region"",vlookup(REGEXEXTRACT(C30, ""🏘️ \w+ \w+ (.*) ✅""),'Region prepositions'!B:F, 5, 0),  REGEXEXTRACT(C30, ""🏘️ \w+ \w+ (.*) ✅""))))"),"Rheinau")</f>
        <v>Rheinau</v>
      </c>
      <c r="F30" s="2" t="str">
        <f>IFERROR(__xludf.DUMMYFUNCTION("REGEXEXTRACT(C30, ""🏘️ (\w+) \w+ .* ✅"")"),"Louer")</f>
        <v>Louer</v>
      </c>
      <c r="G30" s="2" t="str">
        <f>IFERROR(__xludf.DUMMYFUNCTION("REGEXEXTRACT(C30, ""🏘️ \w+ (\w+) .* ✅"")"),"appartement")</f>
        <v>appartement</v>
      </c>
      <c r="H30" s="4" t="str">
        <f>IFERROR(__xludf.DUMMYFUNCTION("REGEXEXTRACT(A30, ""/(\w+)-.*?"")"),"lieu")</f>
        <v>lieu</v>
      </c>
      <c r="I30" s="4" t="str">
        <f>IFERROR(__xludf.DUMMYFUNCTION("if(D30=""variant"",  substitute(filter(Templates!E:E, Templates!A:A = F30, Templates!B:B = G30, Templates!C:C = H30), ""{{}}"", E30), B30)"),"🏘  Vous cherchez un appartement à louer à Rheinau? ✅ Les annonces les plus actuelles sont sur ImmoScout24.ch.")</f>
        <v>🏘  Vous cherchez un appartement à louer à Rheinau? ✅ Les annonces les plus actuelles sont sur ImmoScout24.ch.</v>
      </c>
      <c r="J30" s="4" t="s">
        <v>96</v>
      </c>
    </row>
    <row r="31">
      <c r="A31" s="5" t="s">
        <v>97</v>
      </c>
      <c r="B31" s="2" t="s">
        <v>98</v>
      </c>
      <c r="C31" s="4" t="str">
        <f>IFERROR(__xludf.DUMMYFUNCTION("""🏘️ ""&amp;REGEXEXTRACT(B31, ""^(.*): "")&amp;"" ✅ "" &amp;REGEXEXTRACT(B31, ""(Trouvez.*)"")"),"🏘️ Vendre maison Eiken ✅ Trouvez le bien immobilier qui correspond idéalement à vos désirs sur ImmoScout24 - La plateforme de l'immobilier en Suisse.")</f>
        <v>🏘️ Vendre maison Eiken ✅ Trouvez le bien immobilier qui correspond idéalement à vos désirs sur ImmoScout24 - La plateforme de l'immobilier en Suisse.</v>
      </c>
      <c r="D31" s="4" t="str">
        <f>vlookup(A31, Sheet2!D:E, 2, 0)</f>
        <v>variant</v>
      </c>
      <c r="E31" s="4" t="str">
        <f>IFERROR(__xludf.DUMMYFUNCTION("if(H31=""pays"",vlookup(REGEXEXTRACT(C31, ""🏘️ \w+ \w+ (.*) ✅""),'Country prepositions'!A:B, 2, 0) &amp; "" "" &amp; REGEXEXTRACT(C31, ""🏘️ \w+ \w+ (.*) ✅"") ,  if(H31=""quartier"",vlookup(REGEXEXTRACT(C31, ""🏘️ \w+ \w+ (.*) ✅""),'Quartier prepositions'!A:E, 5"&amp;", 0) ,  if(H31=""region"",vlookup(REGEXEXTRACT(C31, ""🏘️ \w+ \w+ (.*) ✅""),'Region prepositions'!B:F, 5, 0),  REGEXEXTRACT(C31, ""🏘️ \w+ \w+ (.*) ✅""))))"),"Eiken")</f>
        <v>Eiken</v>
      </c>
      <c r="F31" s="2" t="str">
        <f>IFERROR(__xludf.DUMMYFUNCTION("REGEXEXTRACT(C31, ""🏘️ (\w+) \w+ .* ✅"")"),"Vendre")</f>
        <v>Vendre</v>
      </c>
      <c r="G31" s="2" t="str">
        <f>IFERROR(__xludf.DUMMYFUNCTION("REGEXEXTRACT(C31, ""🏘️ \w+ (\w+) .* ✅"")"),"maison")</f>
        <v>maison</v>
      </c>
      <c r="H31" s="4" t="str">
        <f>IFERROR(__xludf.DUMMYFUNCTION("REGEXEXTRACT(A31, ""/(\w+)-.*?"")"),"lieu")</f>
        <v>lieu</v>
      </c>
      <c r="I31" s="4" t="str">
        <f>IFERROR(__xludf.DUMMYFUNCTION("if(D31=""variant"",  substitute(filter(Templates!E:E, Templates!A:A = F31, Templates!B:B = G31, Templates!C:C = H31), ""{{}}"", E31), B31)"),"🏘  Vous souhaitez acheter une maison à Eiken? ✅ Jetez un œil aux dernières offres sur ImmoScout24.ch.")</f>
        <v>🏘  Vous souhaitez acheter une maison à Eiken? ✅ Jetez un œil aux dernières offres sur ImmoScout24.ch.</v>
      </c>
      <c r="J31" s="4" t="s">
        <v>99</v>
      </c>
    </row>
    <row r="32">
      <c r="A32" s="5" t="s">
        <v>100</v>
      </c>
      <c r="B32" s="2" t="s">
        <v>101</v>
      </c>
      <c r="C32" s="4" t="str">
        <f>IFERROR(__xludf.DUMMYFUNCTION("""🏘️ ""&amp;REGEXEXTRACT(B32, ""^(.*): "")&amp;"" ✅ "" &amp;REGEXEXTRACT(B32, ""(Trouvez.*)"")"),"🏘️ Louer maison Vandoeuvres ✅ Trouvez le bien immobilier qui correspond idéalement à vos désirs sur ImmoScout24 - La plateforme de l'immobilier en Suisse.")</f>
        <v>🏘️ Louer maison Vandoeuvres ✅ Trouvez le bien immobilier qui correspond idéalement à vos désirs sur ImmoScout24 - La plateforme de l'immobilier en Suisse.</v>
      </c>
      <c r="D32" s="4" t="str">
        <f>vlookup(A32, Sheet2!D:E, 2, 0)</f>
        <v>variant</v>
      </c>
      <c r="E32" s="4" t="str">
        <f>IFERROR(__xludf.DUMMYFUNCTION("if(H32=""pays"",vlookup(REGEXEXTRACT(C32, ""🏘️ \w+ \w+ (.*) ✅""),'Country prepositions'!A:B, 2, 0) &amp; "" "" &amp; REGEXEXTRACT(C32, ""🏘️ \w+ \w+ (.*) ✅"") ,  if(H32=""quartier"",vlookup(REGEXEXTRACT(C32, ""🏘️ \w+ \w+ (.*) ✅""),'Quartier prepositions'!A:E, 5"&amp;", 0) ,  if(H32=""region"",vlookup(REGEXEXTRACT(C32, ""🏘️ \w+ \w+ (.*) ✅""),'Region prepositions'!B:F, 5, 0),  REGEXEXTRACT(C32, ""🏘️ \w+ \w+ (.*) ✅""))))"),"Vandoeuvres")</f>
        <v>Vandoeuvres</v>
      </c>
      <c r="F32" s="2" t="str">
        <f>IFERROR(__xludf.DUMMYFUNCTION("REGEXEXTRACT(C32, ""🏘️ (\w+) \w+ .* ✅"")"),"Louer")</f>
        <v>Louer</v>
      </c>
      <c r="G32" s="2" t="str">
        <f>IFERROR(__xludf.DUMMYFUNCTION("REGEXEXTRACT(C32, ""🏘️ \w+ (\w+) .* ✅"")"),"maison")</f>
        <v>maison</v>
      </c>
      <c r="H32" s="4" t="str">
        <f>IFERROR(__xludf.DUMMYFUNCTION("REGEXEXTRACT(A32, ""/(\w+)-.*?"")"),"lieu")</f>
        <v>lieu</v>
      </c>
      <c r="I32" s="4" t="str">
        <f>IFERROR(__xludf.DUMMYFUNCTION("if(D32=""variant"",  substitute(filter(Templates!E:E, Templates!A:A = F32, Templates!B:B = G32, Templates!C:C = H32), ""{{}}"", E32), B32)"),"🏘  Vous cherchez une maison à louer à Vandoeuvres? ✅ Découvrez nos nombreuses annonces sur ImmoScout24.ch.")</f>
        <v>🏘  Vous cherchez une maison à louer à Vandoeuvres? ✅ Découvrez nos nombreuses annonces sur ImmoScout24.ch.</v>
      </c>
      <c r="J32" s="4" t="s">
        <v>102</v>
      </c>
    </row>
    <row r="33">
      <c r="A33" s="5" t="s">
        <v>103</v>
      </c>
      <c r="B33" s="2" t="s">
        <v>104</v>
      </c>
      <c r="C33" s="4" t="str">
        <f>IFERROR(__xludf.DUMMYFUNCTION("""🏘️ ""&amp;REGEXEXTRACT(B33, ""^(.*): "")&amp;"" ✅ "" &amp;REGEXEXTRACT(B33, ""(Trouvez.*)"")"),"🏘️ Vendre maison Russy ✅ Trouvez le bien immobilier qui correspond idéalement à vos désirs sur ImmoScout24 - La plateforme de l'immobilier en Suisse.")</f>
        <v>🏘️ Vendre maison Russy ✅ Trouvez le bien immobilier qui correspond idéalement à vos désirs sur ImmoScout24 - La plateforme de l'immobilier en Suisse.</v>
      </c>
      <c r="D33" s="4" t="str">
        <f>vlookup(A33, Sheet2!D:E, 2, 0)</f>
        <v>variant</v>
      </c>
      <c r="E33" s="4" t="str">
        <f>IFERROR(__xludf.DUMMYFUNCTION("if(H33=""pays"",vlookup(REGEXEXTRACT(C33, ""🏘️ \w+ \w+ (.*) ✅""),'Country prepositions'!A:B, 2, 0) &amp; "" "" &amp; REGEXEXTRACT(C33, ""🏘️ \w+ \w+ (.*) ✅"") ,  if(H33=""quartier"",vlookup(REGEXEXTRACT(C33, ""🏘️ \w+ \w+ (.*) ✅""),'Quartier prepositions'!A:E, 5"&amp;", 0) ,  if(H33=""region"",vlookup(REGEXEXTRACT(C33, ""🏘️ \w+ \w+ (.*) ✅""),'Region prepositions'!B:F, 5, 0),  REGEXEXTRACT(C33, ""🏘️ \w+ \w+ (.*) ✅""))))"),"Russy")</f>
        <v>Russy</v>
      </c>
      <c r="F33" s="2" t="str">
        <f>IFERROR(__xludf.DUMMYFUNCTION("REGEXEXTRACT(C33, ""🏘️ (\w+) \w+ .* ✅"")"),"Vendre")</f>
        <v>Vendre</v>
      </c>
      <c r="G33" s="2" t="str">
        <f>IFERROR(__xludf.DUMMYFUNCTION("REGEXEXTRACT(C33, ""🏘️ \w+ (\w+) .* ✅"")"),"maison")</f>
        <v>maison</v>
      </c>
      <c r="H33" s="4" t="str">
        <f>IFERROR(__xludf.DUMMYFUNCTION("REGEXEXTRACT(A33, ""/(\w+)-.*?"")"),"lieu")</f>
        <v>lieu</v>
      </c>
      <c r="I33" s="4" t="str">
        <f>IFERROR(__xludf.DUMMYFUNCTION("if(D33=""variant"",  substitute(filter(Templates!E:E, Templates!A:A = F33, Templates!B:B = G33, Templates!C:C = H33), ""{{}}"", E33), B33)"),"🏘  Vous souhaitez acheter une maison à Russy? ✅ Jetez un œil aux dernières offres sur ImmoScout24.ch.")</f>
        <v>🏘  Vous souhaitez acheter une maison à Russy? ✅ Jetez un œil aux dernières offres sur ImmoScout24.ch.</v>
      </c>
      <c r="J33" s="4" t="s">
        <v>105</v>
      </c>
    </row>
    <row r="34">
      <c r="A34" s="5" t="s">
        <v>106</v>
      </c>
      <c r="B34" s="2" t="s">
        <v>107</v>
      </c>
      <c r="C34" s="4" t="str">
        <f>IFERROR(__xludf.DUMMYFUNCTION("""🏘️ ""&amp;REGEXEXTRACT(B34, ""^(.*): "")&amp;"" ✅ "" &amp;REGEXEXTRACT(B34, ""(Trouvez.*)"")"),"🏘️ Vendre maison Neuenkirch ✅ Trouvez le bien immobilier qui correspond idéalement à vos désirs sur ImmoScout24 - La plateforme de l'immobilier en Suisse.")</f>
        <v>🏘️ Vendre maison Neuenkirch ✅ Trouvez le bien immobilier qui correspond idéalement à vos désirs sur ImmoScout24 - La plateforme de l'immobilier en Suisse.</v>
      </c>
      <c r="D34" s="4" t="str">
        <f>vlookup(A34, Sheet2!D:E, 2, 0)</f>
        <v>variant</v>
      </c>
      <c r="E34" s="4" t="str">
        <f>IFERROR(__xludf.DUMMYFUNCTION("if(H34=""pays"",vlookup(REGEXEXTRACT(C34, ""🏘️ \w+ \w+ (.*) ✅""),'Country prepositions'!A:B, 2, 0) &amp; "" "" &amp; REGEXEXTRACT(C34, ""🏘️ \w+ \w+ (.*) ✅"") ,  if(H34=""quartier"",vlookup(REGEXEXTRACT(C34, ""🏘️ \w+ \w+ (.*) ✅""),'Quartier prepositions'!A:E, 5"&amp;", 0) ,  if(H34=""region"",vlookup(REGEXEXTRACT(C34, ""🏘️ \w+ \w+ (.*) ✅""),'Region prepositions'!B:F, 5, 0),  REGEXEXTRACT(C34, ""🏘️ \w+ \w+ (.*) ✅""))))"),"Neuenkirch")</f>
        <v>Neuenkirch</v>
      </c>
      <c r="F34" s="2" t="str">
        <f>IFERROR(__xludf.DUMMYFUNCTION("REGEXEXTRACT(C34, ""🏘️ (\w+) \w+ .* ✅"")"),"Vendre")</f>
        <v>Vendre</v>
      </c>
      <c r="G34" s="2" t="str">
        <f>IFERROR(__xludf.DUMMYFUNCTION("REGEXEXTRACT(C34, ""🏘️ \w+ (\w+) .* ✅"")"),"maison")</f>
        <v>maison</v>
      </c>
      <c r="H34" s="4" t="str">
        <f>IFERROR(__xludf.DUMMYFUNCTION("REGEXEXTRACT(A34, ""/(\w+)-.*?"")"),"lieu")</f>
        <v>lieu</v>
      </c>
      <c r="I34" s="4" t="str">
        <f>IFERROR(__xludf.DUMMYFUNCTION("if(D34=""variant"",  substitute(filter(Templates!E:E, Templates!A:A = F34, Templates!B:B = G34, Templates!C:C = H34), ""{{}}"", E34), B34)"),"🏘  Vous souhaitez acheter une maison à Neuenkirch? ✅ Jetez un œil aux dernières offres sur ImmoScout24.ch.")</f>
        <v>🏘  Vous souhaitez acheter une maison à Neuenkirch? ✅ Jetez un œil aux dernières offres sur ImmoScout24.ch.</v>
      </c>
      <c r="J34" s="4" t="s">
        <v>108</v>
      </c>
    </row>
    <row r="35">
      <c r="A35" s="5" t="s">
        <v>109</v>
      </c>
      <c r="B35" s="2" t="s">
        <v>110</v>
      </c>
      <c r="C35" s="4" t="str">
        <f>IFERROR(__xludf.DUMMYFUNCTION("""🏘️ ""&amp;REGEXEXTRACT(B35, ""^(.*): "")&amp;"" ✅ "" &amp;REGEXEXTRACT(B35, ""(Trouvez.*)"")"),"🏘️ Louer appartement Dompierre FR ✅ Trouvez le bien immobilier qui correspond idéalement à vos désirs sur ImmoScout24 - La plateforme de l'immobilier en Suisse.")</f>
        <v>🏘️ Louer appartement Dompierre FR ✅ Trouvez le bien immobilier qui correspond idéalement à vos désirs sur ImmoScout24 - La plateforme de l'immobilier en Suisse.</v>
      </c>
      <c r="D35" s="4" t="str">
        <f>vlookup(A35, Sheet2!D:E, 2, 0)</f>
        <v>variant</v>
      </c>
      <c r="E35" s="4" t="str">
        <f>IFERROR(__xludf.DUMMYFUNCTION("if(H35=""pays"",vlookup(REGEXEXTRACT(C35, ""🏘️ \w+ \w+ (.*) ✅""),'Country prepositions'!A:B, 2, 0) &amp; "" "" &amp; REGEXEXTRACT(C35, ""🏘️ \w+ \w+ (.*) ✅"") ,  if(H35=""quartier"",vlookup(REGEXEXTRACT(C35, ""🏘️ \w+ \w+ (.*) ✅""),'Quartier prepositions'!A:E, 5"&amp;", 0) ,  if(H35=""region"",vlookup(REGEXEXTRACT(C35, ""🏘️ \w+ \w+ (.*) ✅""),'Region prepositions'!B:F, 5, 0),  REGEXEXTRACT(C35, ""🏘️ \w+ \w+ (.*) ✅""))))"),"Dompierre FR")</f>
        <v>Dompierre FR</v>
      </c>
      <c r="F35" s="2" t="str">
        <f>IFERROR(__xludf.DUMMYFUNCTION("REGEXEXTRACT(C35, ""🏘️ (\w+) \w+ .* ✅"")"),"Louer")</f>
        <v>Louer</v>
      </c>
      <c r="G35" s="2" t="str">
        <f>IFERROR(__xludf.DUMMYFUNCTION("REGEXEXTRACT(C35, ""🏘️ \w+ (\w+) .* ✅"")"),"appartement")</f>
        <v>appartement</v>
      </c>
      <c r="H35" s="4" t="str">
        <f>IFERROR(__xludf.DUMMYFUNCTION("REGEXEXTRACT(A35, ""/(\w+)-.*?"")"),"lieu")</f>
        <v>lieu</v>
      </c>
      <c r="I35" s="4" t="str">
        <f>IFERROR(__xludf.DUMMYFUNCTION("if(D35=""variant"",  substitute(filter(Templates!E:E, Templates!A:A = F35, Templates!B:B = G35, Templates!C:C = H35), ""{{}}"", E35), B35)"),"🏘  Vous cherchez un appartement à louer à Dompierre FR? ✅ Les annonces les plus actuelles sont sur ImmoScout24.ch.")</f>
        <v>🏘  Vous cherchez un appartement à louer à Dompierre FR? ✅ Les annonces les plus actuelles sont sur ImmoScout24.ch.</v>
      </c>
      <c r="J35" s="4" t="s">
        <v>111</v>
      </c>
    </row>
    <row r="36">
      <c r="A36" s="5" t="s">
        <v>112</v>
      </c>
      <c r="B36" s="2" t="s">
        <v>113</v>
      </c>
      <c r="C36" s="4" t="str">
        <f>IFERROR(__xludf.DUMMYFUNCTION("""🏘️ ""&amp;REGEXEXTRACT(B36, ""^(.*): "")&amp;"" ✅ "" &amp;REGEXEXTRACT(B36, ""(Trouvez.*)"")"),"🏘️ Vendre maison Amriswil ✅ Trouvez le bien immobilier qui correspond idéalement à vos désirs sur ImmoScout24 - La plateforme de l'immobilier en Suisse.")</f>
        <v>🏘️ Vendre maison Amriswil ✅ Trouvez le bien immobilier qui correspond idéalement à vos désirs sur ImmoScout24 - La plateforme de l'immobilier en Suisse.</v>
      </c>
      <c r="D36" s="4" t="str">
        <f>vlookup(A36, Sheet2!D:E, 2, 0)</f>
        <v>variant</v>
      </c>
      <c r="E36" s="4" t="str">
        <f>IFERROR(__xludf.DUMMYFUNCTION("if(H36=""pays"",vlookup(REGEXEXTRACT(C36, ""🏘️ \w+ \w+ (.*) ✅""),'Country prepositions'!A:B, 2, 0) &amp; "" "" &amp; REGEXEXTRACT(C36, ""🏘️ \w+ \w+ (.*) ✅"") ,  if(H36=""quartier"",vlookup(REGEXEXTRACT(C36, ""🏘️ \w+ \w+ (.*) ✅""),'Quartier prepositions'!A:E, 5"&amp;", 0) ,  if(H36=""region"",vlookup(REGEXEXTRACT(C36, ""🏘️ \w+ \w+ (.*) ✅""),'Region prepositions'!B:F, 5, 0),  REGEXEXTRACT(C36, ""🏘️ \w+ \w+ (.*) ✅""))))"),"Amriswil")</f>
        <v>Amriswil</v>
      </c>
      <c r="F36" s="2" t="str">
        <f>IFERROR(__xludf.DUMMYFUNCTION("REGEXEXTRACT(C36, ""🏘️ (\w+) \w+ .* ✅"")"),"Vendre")</f>
        <v>Vendre</v>
      </c>
      <c r="G36" s="2" t="str">
        <f>IFERROR(__xludf.DUMMYFUNCTION("REGEXEXTRACT(C36, ""🏘️ \w+ (\w+) .* ✅"")"),"maison")</f>
        <v>maison</v>
      </c>
      <c r="H36" s="4" t="str">
        <f>IFERROR(__xludf.DUMMYFUNCTION("REGEXEXTRACT(A36, ""/(\w+)-.*?"")"),"lieu")</f>
        <v>lieu</v>
      </c>
      <c r="I36" s="4" t="str">
        <f>IFERROR(__xludf.DUMMYFUNCTION("if(D36=""variant"",  substitute(filter(Templates!E:E, Templates!A:A = F36, Templates!B:B = G36, Templates!C:C = H36), ""{{}}"", E36), B36)"),"🏘  Vous souhaitez acheter une maison à Amriswil? ✅ Jetez un œil aux dernières offres sur ImmoScout24.ch.")</f>
        <v>🏘  Vous souhaitez acheter une maison à Amriswil? ✅ Jetez un œil aux dernières offres sur ImmoScout24.ch.</v>
      </c>
      <c r="J36" s="4" t="s">
        <v>114</v>
      </c>
    </row>
    <row r="37">
      <c r="A37" s="3" t="s">
        <v>115</v>
      </c>
      <c r="B37" s="2" t="s">
        <v>116</v>
      </c>
      <c r="C37" s="4" t="str">
        <f>IFERROR(__xludf.DUMMYFUNCTION("""🏘️ ""&amp;REGEXEXTRACT(B37, ""^(.*): "")&amp;"" ✅ "" &amp;REGEXEXTRACT(B37, ""(Trouvez.*)"")"),"🏘️ Louer appartement Vorstädte (Bâle) ✅ Trouvez le bien immobilier qui correspond idéalement à vos désirs sur ImmoScout24 - La plateforme de l'immobilier en Suisse.")</f>
        <v>🏘️ Louer appartement Vorstädte (Bâle) ✅ Trouvez le bien immobilier qui correspond idéalement à vos désirs sur ImmoScout24 - La plateforme de l'immobilier en Suisse.</v>
      </c>
      <c r="D37" s="4" t="str">
        <f>vlookup(A37, Sheet2!D:E, 2, 0)</f>
        <v>variant</v>
      </c>
      <c r="E37" s="4" t="str">
        <f>IFERROR(__xludf.DUMMYFUNCTION("if(H37=""pays"",vlookup(REGEXEXTRACT(C37, ""🏘️ \w+ \w+ (.*) ✅""),'Country prepositions'!A:B, 2, 0) &amp; "" "" &amp; REGEXEXTRACT(C37, ""🏘️ \w+ \w+ (.*) ✅"") ,  if(H37=""quartier"",vlookup(REGEXEXTRACT(C37, ""🏘️ \w+ \w+ (.*) ✅""),'Quartier prepositions'!A:E, 5"&amp;", 0) ,  if(H37=""region"",vlookup(REGEXEXTRACT(C37, ""🏘️ \w+ \w+ (.*) ✅""),'Region prepositions'!B:F, 5, 0),  REGEXEXTRACT(C37, ""🏘️ \w+ \w+ (.*) ✅""))))"),"dans le quartier de Vorstädte (Bâle)")</f>
        <v>dans le quartier de Vorstädte (Bâle)</v>
      </c>
      <c r="F37" s="2" t="str">
        <f>IFERROR(__xludf.DUMMYFUNCTION("REGEXEXTRACT(C37, ""🏘️ (\w+) \w+ .* ✅"")"),"Louer")</f>
        <v>Louer</v>
      </c>
      <c r="G37" s="2" t="str">
        <f>IFERROR(__xludf.DUMMYFUNCTION("REGEXEXTRACT(C37, ""🏘️ \w+ (\w+) .* ✅"")"),"appartement")</f>
        <v>appartement</v>
      </c>
      <c r="H37" s="4" t="str">
        <f>IFERROR(__xludf.DUMMYFUNCTION("REGEXEXTRACT(A37, ""/(\w+)-.*?"")"),"quartier")</f>
        <v>quartier</v>
      </c>
      <c r="I37" s="4" t="str">
        <f>IFERROR(__xludf.DUMMYFUNCTION("if(D37=""variant"",  substitute(filter(Templates!E:E, Templates!A:A = F37, Templates!B:B = G37, Templates!C:C = H37), ""{{}}"", E37), B37)"),"🏘  Vous cherchez un appartement à louer dans le quartier de Vorstädte (Bâle)? ✅ Les annonces les plus actuelles sont sur ImmoScout24.ch.")</f>
        <v>🏘  Vous cherchez un appartement à louer dans le quartier de Vorstädte (Bâle)? ✅ Les annonces les plus actuelles sont sur ImmoScout24.ch.</v>
      </c>
      <c r="J37" s="4" t="s">
        <v>117</v>
      </c>
    </row>
    <row r="38">
      <c r="A38" s="5" t="s">
        <v>118</v>
      </c>
      <c r="B38" s="2" t="s">
        <v>119</v>
      </c>
      <c r="C38" s="4" t="str">
        <f>IFERROR(__xludf.DUMMYFUNCTION("""🏘️ ""&amp;REGEXEXTRACT(B38, ""^(.*): "")&amp;"" ✅ "" &amp;REGEXEXTRACT(B38, ""(Trouvez.*)"")"),"🏘️ Louer appartement Moutier ✅ Trouvez le bien immobilier qui correspond idéalement à vos désirs sur ImmoScout24 - La plateforme de l'immobilier en Suisse.")</f>
        <v>🏘️ Louer appartement Moutier ✅ Trouvez le bien immobilier qui correspond idéalement à vos désirs sur ImmoScout24 - La plateforme de l'immobilier en Suisse.</v>
      </c>
      <c r="D38" s="4" t="str">
        <f>vlookup(A38, Sheet2!D:E, 2, 0)</f>
        <v>variant</v>
      </c>
      <c r="E38" s="4" t="str">
        <f>IFERROR(__xludf.DUMMYFUNCTION("if(H38=""pays"",vlookup(REGEXEXTRACT(C38, ""🏘️ \w+ \w+ (.*) ✅""),'Country prepositions'!A:B, 2, 0) &amp; "" "" &amp; REGEXEXTRACT(C38, ""🏘️ \w+ \w+ (.*) ✅"") ,  if(H38=""quartier"",vlookup(REGEXEXTRACT(C38, ""🏘️ \w+ \w+ (.*) ✅""),'Quartier prepositions'!A:E, 5"&amp;", 0) ,  if(H38=""region"",vlookup(REGEXEXTRACT(C38, ""🏘️ \w+ \w+ (.*) ✅""),'Region prepositions'!B:F, 5, 0),  REGEXEXTRACT(C38, ""🏘️ \w+ \w+ (.*) ✅""))))"),"Moutier")</f>
        <v>Moutier</v>
      </c>
      <c r="F38" s="2" t="str">
        <f>IFERROR(__xludf.DUMMYFUNCTION("REGEXEXTRACT(C38, ""🏘️ (\w+) \w+ .* ✅"")"),"Louer")</f>
        <v>Louer</v>
      </c>
      <c r="G38" s="2" t="str">
        <f>IFERROR(__xludf.DUMMYFUNCTION("REGEXEXTRACT(C38, ""🏘️ \w+ (\w+) .* ✅"")"),"appartement")</f>
        <v>appartement</v>
      </c>
      <c r="H38" s="4" t="str">
        <f>IFERROR(__xludf.DUMMYFUNCTION("REGEXEXTRACT(A38, ""/(\w+)-.*?"")"),"lieu")</f>
        <v>lieu</v>
      </c>
      <c r="I38" s="4" t="str">
        <f>IFERROR(__xludf.DUMMYFUNCTION("if(D38=""variant"",  substitute(filter(Templates!E:E, Templates!A:A = F38, Templates!B:B = G38, Templates!C:C = H38), ""{{}}"", E38), B38)"),"🏘  Vous cherchez un appartement à louer à Moutier? ✅ Les annonces les plus actuelles sont sur ImmoScout24.ch.")</f>
        <v>🏘  Vous cherchez un appartement à louer à Moutier? ✅ Les annonces les plus actuelles sont sur ImmoScout24.ch.</v>
      </c>
      <c r="J38" s="4" t="s">
        <v>120</v>
      </c>
    </row>
    <row r="39">
      <c r="A39" s="5" t="s">
        <v>121</v>
      </c>
      <c r="B39" s="2" t="s">
        <v>122</v>
      </c>
      <c r="C39" s="4" t="str">
        <f>IFERROR(__xludf.DUMMYFUNCTION("""🏘️ ""&amp;REGEXEXTRACT(B39, ""^(.*): "")&amp;"" ✅ "" &amp;REGEXEXTRACT(B39, ""(Trouvez.*)"")"),"🏘️ Vendre appartement Sörenberg ✅ Trouvez le bien immobilier qui correspond idéalement à vos désirs sur ImmoScout24 - La plateforme de l'immobilier en Suisse.")</f>
        <v>🏘️ Vendre appartement Sörenberg ✅ Trouvez le bien immobilier qui correspond idéalement à vos désirs sur ImmoScout24 - La plateforme de l'immobilier en Suisse.</v>
      </c>
      <c r="D39" s="4" t="str">
        <f>vlookup(A39, Sheet2!D:E, 2, 0)</f>
        <v>variant</v>
      </c>
      <c r="E39" s="4" t="str">
        <f>IFERROR(__xludf.DUMMYFUNCTION("if(H39=""pays"",vlookup(REGEXEXTRACT(C39, ""🏘️ \w+ \w+ (.*) ✅""),'Country prepositions'!A:B, 2, 0) &amp; "" "" &amp; REGEXEXTRACT(C39, ""🏘️ \w+ \w+ (.*) ✅"") ,  if(H39=""quartier"",vlookup(REGEXEXTRACT(C39, ""🏘️ \w+ \w+ (.*) ✅""),'Quartier prepositions'!A:E, 5"&amp;", 0) ,  if(H39=""region"",vlookup(REGEXEXTRACT(C39, ""🏘️ \w+ \w+ (.*) ✅""),'Region prepositions'!B:F, 5, 0),  REGEXEXTRACT(C39, ""🏘️ \w+ \w+ (.*) ✅""))))"),"Sörenberg")</f>
        <v>Sörenberg</v>
      </c>
      <c r="F39" s="2" t="str">
        <f>IFERROR(__xludf.DUMMYFUNCTION("REGEXEXTRACT(C39, ""🏘️ (\w+) \w+ .* ✅"")"),"Vendre")</f>
        <v>Vendre</v>
      </c>
      <c r="G39" s="2" t="str">
        <f>IFERROR(__xludf.DUMMYFUNCTION("REGEXEXTRACT(C39, ""🏘️ \w+ (\w+) .* ✅"")"),"appartement")</f>
        <v>appartement</v>
      </c>
      <c r="H39" s="4" t="str">
        <f>IFERROR(__xludf.DUMMYFUNCTION("REGEXEXTRACT(A39, ""/(\w+)-.*?"")"),"lieu")</f>
        <v>lieu</v>
      </c>
      <c r="I39" s="4" t="str">
        <f>IFERROR(__xludf.DUMMYFUNCTION("if(D39=""variant"",  substitute(filter(Templates!E:E, Templates!A:A = F39, Templates!B:B = G39, Templates!C:C = H39), ""{{}}"", E39), B39)"),"🏘  L’appartement de vos rêves se trouve sur ImmoScout24.ch ✅ Découvrez les dernières annonces de vente à Sörenberg.")</f>
        <v>🏘  L’appartement de vos rêves se trouve sur ImmoScout24.ch ✅ Découvrez les dernières annonces de vente à Sörenberg.</v>
      </c>
      <c r="J39" s="4" t="s">
        <v>123</v>
      </c>
    </row>
    <row r="40">
      <c r="A40" s="5" t="s">
        <v>124</v>
      </c>
      <c r="B40" s="2" t="s">
        <v>125</v>
      </c>
      <c r="C40" s="4" t="str">
        <f>IFERROR(__xludf.DUMMYFUNCTION("""🏘️ ""&amp;REGEXEXTRACT(B40, ""^(.*): "")&amp;"" ✅ "" &amp;REGEXEXTRACT(B40, ""(Trouvez.*)"")"),"🏘️ Louer maison Promasens ✅ Trouvez le bien immobilier qui correspond idéalement à vos désirs sur ImmoScout24 - La plateforme de l'immobilier en Suisse.")</f>
        <v>🏘️ Louer maison Promasens ✅ Trouvez le bien immobilier qui correspond idéalement à vos désirs sur ImmoScout24 - La plateforme de l'immobilier en Suisse.</v>
      </c>
      <c r="D40" s="4" t="str">
        <f>vlookup(A40, Sheet2!D:E, 2, 0)</f>
        <v>variant</v>
      </c>
      <c r="E40" s="4" t="str">
        <f>IFERROR(__xludf.DUMMYFUNCTION("if(H40=""pays"",vlookup(REGEXEXTRACT(C40, ""🏘️ \w+ \w+ (.*) ✅""),'Country prepositions'!A:B, 2, 0) &amp; "" "" &amp; REGEXEXTRACT(C40, ""🏘️ \w+ \w+ (.*) ✅"") ,  if(H40=""quartier"",vlookup(REGEXEXTRACT(C40, ""🏘️ \w+ \w+ (.*) ✅""),'Quartier prepositions'!A:E, 5"&amp;", 0) ,  if(H40=""region"",vlookup(REGEXEXTRACT(C40, ""🏘️ \w+ \w+ (.*) ✅""),'Region prepositions'!B:F, 5, 0),  REGEXEXTRACT(C40, ""🏘️ \w+ \w+ (.*) ✅""))))"),"Promasens")</f>
        <v>Promasens</v>
      </c>
      <c r="F40" s="2" t="str">
        <f>IFERROR(__xludf.DUMMYFUNCTION("REGEXEXTRACT(C40, ""🏘️ (\w+) \w+ .* ✅"")"),"Louer")</f>
        <v>Louer</v>
      </c>
      <c r="G40" s="2" t="str">
        <f>IFERROR(__xludf.DUMMYFUNCTION("REGEXEXTRACT(C40, ""🏘️ \w+ (\w+) .* ✅"")"),"maison")</f>
        <v>maison</v>
      </c>
      <c r="H40" s="4" t="str">
        <f>IFERROR(__xludf.DUMMYFUNCTION("REGEXEXTRACT(A40, ""/(\w+)-.*?"")"),"lieu")</f>
        <v>lieu</v>
      </c>
      <c r="I40" s="4" t="str">
        <f>IFERROR(__xludf.DUMMYFUNCTION("if(D40=""variant"",  substitute(filter(Templates!E:E, Templates!A:A = F40, Templates!B:B = G40, Templates!C:C = H40), ""{{}}"", E40), B40)"),"🏘  Vous cherchez une maison à louer à Promasens? ✅ Découvrez nos nombreuses annonces sur ImmoScout24.ch.")</f>
        <v>🏘  Vous cherchez une maison à louer à Promasens? ✅ Découvrez nos nombreuses annonces sur ImmoScout24.ch.</v>
      </c>
      <c r="J40" s="4" t="s">
        <v>126</v>
      </c>
    </row>
    <row r="41">
      <c r="A41" s="5" t="s">
        <v>127</v>
      </c>
      <c r="B41" s="2" t="s">
        <v>128</v>
      </c>
      <c r="C41" s="4" t="str">
        <f>IFERROR(__xludf.DUMMYFUNCTION("""🏘️ ""&amp;REGEXEXTRACT(B41, ""^(.*): "")&amp;"" ✅ "" &amp;REGEXEXTRACT(B41, ""(Trouvez.*)"")"),"🏘️ Louer maison Dompierre FR ✅ Trouvez le bien immobilier qui correspond idéalement à vos désirs sur ImmoScout24 - La plateforme de l'immobilier en Suisse.")</f>
        <v>🏘️ Louer maison Dompierre FR ✅ Trouvez le bien immobilier qui correspond idéalement à vos désirs sur ImmoScout24 - La plateforme de l'immobilier en Suisse.</v>
      </c>
      <c r="D41" s="4" t="str">
        <f>vlookup(A41, Sheet2!D:E, 2, 0)</f>
        <v>variant</v>
      </c>
      <c r="E41" s="4" t="str">
        <f>IFERROR(__xludf.DUMMYFUNCTION("if(H41=""pays"",vlookup(REGEXEXTRACT(C41, ""🏘️ \w+ \w+ (.*) ✅""),'Country prepositions'!A:B, 2, 0) &amp; "" "" &amp; REGEXEXTRACT(C41, ""🏘️ \w+ \w+ (.*) ✅"") ,  if(H41=""quartier"",vlookup(REGEXEXTRACT(C41, ""🏘️ \w+ \w+ (.*) ✅""),'Quartier prepositions'!A:E, 5"&amp;", 0) ,  if(H41=""region"",vlookup(REGEXEXTRACT(C41, ""🏘️ \w+ \w+ (.*) ✅""),'Region prepositions'!B:F, 5, 0),  REGEXEXTRACT(C41, ""🏘️ \w+ \w+ (.*) ✅""))))"),"Dompierre FR")</f>
        <v>Dompierre FR</v>
      </c>
      <c r="F41" s="2" t="str">
        <f>IFERROR(__xludf.DUMMYFUNCTION("REGEXEXTRACT(C41, ""🏘️ (\w+) \w+ .* ✅"")"),"Louer")</f>
        <v>Louer</v>
      </c>
      <c r="G41" s="2" t="str">
        <f>IFERROR(__xludf.DUMMYFUNCTION("REGEXEXTRACT(C41, ""🏘️ \w+ (\w+) .* ✅"")"),"maison")</f>
        <v>maison</v>
      </c>
      <c r="H41" s="4" t="str">
        <f>IFERROR(__xludf.DUMMYFUNCTION("REGEXEXTRACT(A41, ""/(\w+)-.*?"")"),"lieu")</f>
        <v>lieu</v>
      </c>
      <c r="I41" s="4" t="str">
        <f>IFERROR(__xludf.DUMMYFUNCTION("if(D41=""variant"",  substitute(filter(Templates!E:E, Templates!A:A = F41, Templates!B:B = G41, Templates!C:C = H41), ""{{}}"", E41), B41)"),"🏘  Vous cherchez une maison à louer à Dompierre FR? ✅ Découvrez nos nombreuses annonces sur ImmoScout24.ch.")</f>
        <v>🏘  Vous cherchez une maison à louer à Dompierre FR? ✅ Découvrez nos nombreuses annonces sur ImmoScout24.ch.</v>
      </c>
      <c r="J41" s="4" t="s">
        <v>129</v>
      </c>
    </row>
    <row r="42">
      <c r="A42" s="5" t="s">
        <v>130</v>
      </c>
      <c r="B42" s="2" t="s">
        <v>131</v>
      </c>
      <c r="C42" s="4" t="str">
        <f>IFERROR(__xludf.DUMMYFUNCTION("""🏘️ ""&amp;REGEXEXTRACT(B42, ""^(.*): "")&amp;"" ✅ "" &amp;REGEXEXTRACT(B42, ""(Trouvez.*)"")"),"🏘️ Vendre maison Bex ✅ Trouvez le bien immobilier qui correspond idéalement à vos désirs sur ImmoScout24 - La plateforme de l'immobilier en Suisse.")</f>
        <v>🏘️ Vendre maison Bex ✅ Trouvez le bien immobilier qui correspond idéalement à vos désirs sur ImmoScout24 - La plateforme de l'immobilier en Suisse.</v>
      </c>
      <c r="D42" s="4" t="str">
        <f>vlookup(A42, Sheet2!D:E, 2, 0)</f>
        <v>variant</v>
      </c>
      <c r="E42" s="4" t="str">
        <f>IFERROR(__xludf.DUMMYFUNCTION("if(H42=""pays"",vlookup(REGEXEXTRACT(C42, ""🏘️ \w+ \w+ (.*) ✅""),'Country prepositions'!A:B, 2, 0) &amp; "" "" &amp; REGEXEXTRACT(C42, ""🏘️ \w+ \w+ (.*) ✅"") ,  if(H42=""quartier"",vlookup(REGEXEXTRACT(C42, ""🏘️ \w+ \w+ (.*) ✅""),'Quartier prepositions'!A:E, 5"&amp;", 0) ,  if(H42=""region"",vlookup(REGEXEXTRACT(C42, ""🏘️ \w+ \w+ (.*) ✅""),'Region prepositions'!B:F, 5, 0),  REGEXEXTRACT(C42, ""🏘️ \w+ \w+ (.*) ✅""))))"),"Bex")</f>
        <v>Bex</v>
      </c>
      <c r="F42" s="2" t="str">
        <f>IFERROR(__xludf.DUMMYFUNCTION("REGEXEXTRACT(C42, ""🏘️ (\w+) \w+ .* ✅"")"),"Vendre")</f>
        <v>Vendre</v>
      </c>
      <c r="G42" s="2" t="str">
        <f>IFERROR(__xludf.DUMMYFUNCTION("REGEXEXTRACT(C42, ""🏘️ \w+ (\w+) .* ✅"")"),"maison")</f>
        <v>maison</v>
      </c>
      <c r="H42" s="4" t="str">
        <f>IFERROR(__xludf.DUMMYFUNCTION("REGEXEXTRACT(A42, ""/(\w+)-.*?"")"),"lieu")</f>
        <v>lieu</v>
      </c>
      <c r="I42" s="4" t="str">
        <f>IFERROR(__xludf.DUMMYFUNCTION("if(D42=""variant"",  substitute(filter(Templates!E:E, Templates!A:A = F42, Templates!B:B = G42, Templates!C:C = H42), ""{{}}"", E42), B42)"),"🏘  Vous souhaitez acheter une maison à Bex? ✅ Jetez un œil aux dernières offres sur ImmoScout24.ch.")</f>
        <v>🏘  Vous souhaitez acheter une maison à Bex? ✅ Jetez un œil aux dernières offres sur ImmoScout24.ch.</v>
      </c>
      <c r="J42" s="4" t="s">
        <v>132</v>
      </c>
    </row>
    <row r="43">
      <c r="A43" s="5" t="s">
        <v>133</v>
      </c>
      <c r="B43" s="2" t="s">
        <v>134</v>
      </c>
      <c r="C43" s="4" t="str">
        <f>IFERROR(__xludf.DUMMYFUNCTION("""🏘️ ""&amp;REGEXEXTRACT(B43, ""^(.*): "")&amp;"" ✅ "" &amp;REGEXEXTRACT(B43, ""(Trouvez.*)"")"),"🏘️ Vendre maison Kaisten ✅ Trouvez le bien immobilier qui correspond idéalement à vos désirs sur ImmoScout24 - La plateforme de l'immobilier en Suisse.")</f>
        <v>🏘️ Vendre maison Kaisten ✅ Trouvez le bien immobilier qui correspond idéalement à vos désirs sur ImmoScout24 - La plateforme de l'immobilier en Suisse.</v>
      </c>
      <c r="D43" s="4" t="str">
        <f>vlookup(A43, Sheet2!D:E, 2, 0)</f>
        <v>variant</v>
      </c>
      <c r="E43" s="4" t="str">
        <f>IFERROR(__xludf.DUMMYFUNCTION("if(H43=""pays"",vlookup(REGEXEXTRACT(C43, ""🏘️ \w+ \w+ (.*) ✅""),'Country prepositions'!A:B, 2, 0) &amp; "" "" &amp; REGEXEXTRACT(C43, ""🏘️ \w+ \w+ (.*) ✅"") ,  if(H43=""quartier"",vlookup(REGEXEXTRACT(C43, ""🏘️ \w+ \w+ (.*) ✅""),'Quartier prepositions'!A:E, 5"&amp;", 0) ,  if(H43=""region"",vlookup(REGEXEXTRACT(C43, ""🏘️ \w+ \w+ (.*) ✅""),'Region prepositions'!B:F, 5, 0),  REGEXEXTRACT(C43, ""🏘️ \w+ \w+ (.*) ✅""))))"),"Kaisten")</f>
        <v>Kaisten</v>
      </c>
      <c r="F43" s="2" t="str">
        <f>IFERROR(__xludf.DUMMYFUNCTION("REGEXEXTRACT(C43, ""🏘️ (\w+) \w+ .* ✅"")"),"Vendre")</f>
        <v>Vendre</v>
      </c>
      <c r="G43" s="2" t="str">
        <f>IFERROR(__xludf.DUMMYFUNCTION("REGEXEXTRACT(C43, ""🏘️ \w+ (\w+) .* ✅"")"),"maison")</f>
        <v>maison</v>
      </c>
      <c r="H43" s="4" t="str">
        <f>IFERROR(__xludf.DUMMYFUNCTION("REGEXEXTRACT(A43, ""/(\w+)-.*?"")"),"lieu")</f>
        <v>lieu</v>
      </c>
      <c r="I43" s="4" t="str">
        <f>IFERROR(__xludf.DUMMYFUNCTION("if(D43=""variant"",  substitute(filter(Templates!E:E, Templates!A:A = F43, Templates!B:B = G43, Templates!C:C = H43), ""{{}}"", E43), B43)"),"🏘  Vous souhaitez acheter une maison à Kaisten? ✅ Jetez un œil aux dernières offres sur ImmoScout24.ch.")</f>
        <v>🏘  Vous souhaitez acheter une maison à Kaisten? ✅ Jetez un œil aux dernières offres sur ImmoScout24.ch.</v>
      </c>
      <c r="J43" s="4" t="s">
        <v>135</v>
      </c>
    </row>
    <row r="44">
      <c r="A44" s="5" t="s">
        <v>136</v>
      </c>
      <c r="B44" s="2" t="s">
        <v>137</v>
      </c>
      <c r="C44" s="4" t="str">
        <f>IFERROR(__xludf.DUMMYFUNCTION("""🏘️ ""&amp;REGEXEXTRACT(B44, ""^(.*): "")&amp;"" ✅ "" &amp;REGEXEXTRACT(B44, ""(Trouvez.*)"")"),"🏘️ Vendre appartement Les Charbonnières ✅ Trouvez le bien immobilier qui correspond idéalement à vos désirs sur ImmoScout24 - La plateforme de l'immobilier en Suisse.")</f>
        <v>🏘️ Vendre appartement Les Charbonnières ✅ Trouvez le bien immobilier qui correspond idéalement à vos désirs sur ImmoScout24 - La plateforme de l'immobilier en Suisse.</v>
      </c>
      <c r="D44" s="4" t="str">
        <f>vlookup(A44, Sheet2!D:E, 2, 0)</f>
        <v>variant</v>
      </c>
      <c r="E44" s="4" t="str">
        <f>IFERROR(__xludf.DUMMYFUNCTION("if(H44=""pays"",vlookup(REGEXEXTRACT(C44, ""🏘️ \w+ \w+ (.*) ✅""),'Country prepositions'!A:B, 2, 0) &amp; "" "" &amp; REGEXEXTRACT(C44, ""🏘️ \w+ \w+ (.*) ✅"") ,  if(H44=""quartier"",vlookup(REGEXEXTRACT(C44, ""🏘️ \w+ \w+ (.*) ✅""),'Quartier prepositions'!A:E, 5"&amp;", 0) ,  if(H44=""region"",vlookup(REGEXEXTRACT(C44, ""🏘️ \w+ \w+ (.*) ✅""),'Region prepositions'!B:F, 5, 0),  REGEXEXTRACT(C44, ""🏘️ \w+ \w+ (.*) ✅""))))"),"Les Charbonnières")</f>
        <v>Les Charbonnières</v>
      </c>
      <c r="F44" s="2" t="str">
        <f>IFERROR(__xludf.DUMMYFUNCTION("REGEXEXTRACT(C44, ""🏘️ (\w+) \w+ .* ✅"")"),"Vendre")</f>
        <v>Vendre</v>
      </c>
      <c r="G44" s="2" t="str">
        <f>IFERROR(__xludf.DUMMYFUNCTION("REGEXEXTRACT(C44, ""🏘️ \w+ (\w+) .* ✅"")"),"appartement")</f>
        <v>appartement</v>
      </c>
      <c r="H44" s="4" t="str">
        <f>IFERROR(__xludf.DUMMYFUNCTION("REGEXEXTRACT(A44, ""/(\w+)-.*?"")"),"lieu")</f>
        <v>lieu</v>
      </c>
      <c r="I44" s="8" t="str">
        <f>IFERROR(__xludf.DUMMYFUNCTION("if(D44=""variant"",  substitute(filter(Templates!E:E, Templates!A:A = F44, Templates!B:B = G44, Templates!C:C = H44), ""{{}}"", E44), B44)"),"🏘  L’appartement de vos rêves se trouve sur ImmoScout24.ch ✅ Découvrez les dernières annonces de vente à Les Charbonnières.")</f>
        <v>🏘  L’appartement de vos rêves se trouve sur ImmoScout24.ch ✅ Découvrez les dernières annonces de vente à Les Charbonnières.</v>
      </c>
      <c r="J44" s="2" t="s">
        <v>138</v>
      </c>
    </row>
    <row r="45">
      <c r="A45" s="5" t="s">
        <v>139</v>
      </c>
      <c r="B45" s="2" t="s">
        <v>140</v>
      </c>
      <c r="C45" s="4" t="str">
        <f>IFERROR(__xludf.DUMMYFUNCTION("""🏘️ ""&amp;REGEXEXTRACT(B45, ""^(.*): "")&amp;"" ✅ "" &amp;REGEXEXTRACT(B45, ""(Trouvez.*)"")"),"🏘️ Vendre appartement Bethlehem (Berne) ✅ Trouvez le bien immobilier qui correspond idéalement à vos désirs sur ImmoScout24 - La plateforme de l'immobilier en Suisse.")</f>
        <v>🏘️ Vendre appartement Bethlehem (Berne) ✅ Trouvez le bien immobilier qui correspond idéalement à vos désirs sur ImmoScout24 - La plateforme de l'immobilier en Suisse.</v>
      </c>
      <c r="D45" s="4" t="str">
        <f>vlookup(A45, Sheet2!D:E, 2, 0)</f>
        <v>variant</v>
      </c>
      <c r="E45" s="4" t="str">
        <f>IFERROR(__xludf.DUMMYFUNCTION("if(H45=""pays"",vlookup(REGEXEXTRACT(C45, ""🏘️ \w+ \w+ (.*) ✅""),'Country prepositions'!A:B, 2, 0) &amp; "" "" &amp; REGEXEXTRACT(C45, ""🏘️ \w+ \w+ (.*) ✅"") ,  if(H45=""quartier"",vlookup(REGEXEXTRACT(C45, ""🏘️ \w+ \w+ (.*) ✅""),'Quartier prepositions'!A:E, 5"&amp;", 0) ,  if(H45=""region"",vlookup(REGEXEXTRACT(C45, ""🏘️ \w+ \w+ (.*) ✅""),'Region prepositions'!B:F, 5, 0),  REGEXEXTRACT(C45, ""🏘️ \w+ \w+ (.*) ✅""))))"),"dans le quartier de Bethlehem (Berne)")</f>
        <v>dans le quartier de Bethlehem (Berne)</v>
      </c>
      <c r="F45" s="2" t="str">
        <f>IFERROR(__xludf.DUMMYFUNCTION("REGEXEXTRACT(C45, ""🏘️ (\w+) \w+ .* ✅"")"),"Vendre")</f>
        <v>Vendre</v>
      </c>
      <c r="G45" s="2" t="str">
        <f>IFERROR(__xludf.DUMMYFUNCTION("REGEXEXTRACT(C45, ""🏘️ \w+ (\w+) .* ✅"")"),"appartement")</f>
        <v>appartement</v>
      </c>
      <c r="H45" s="4" t="str">
        <f>IFERROR(__xludf.DUMMYFUNCTION("REGEXEXTRACT(A45, ""/(\w+)-.*?"")"),"quartier")</f>
        <v>quartier</v>
      </c>
      <c r="I45" s="4" t="str">
        <f>IFERROR(__xludf.DUMMYFUNCTION("if(D45=""variant"",  substitute(filter(Templates!E:E, Templates!A:A = F45, Templates!B:B = G45, Templates!C:C = H45), ""{{}}"", E45), B45)"),"🏘  L’appartement de vos rêves se trouve sur ImmoScout24.ch ✅ Découvrez les dernières annonces de vente dans le quartier de Bethlehem (Berne).")</f>
        <v>🏘  L’appartement de vos rêves se trouve sur ImmoScout24.ch ✅ Découvrez les dernières annonces de vente dans le quartier de Bethlehem (Berne).</v>
      </c>
      <c r="J45" s="4" t="s">
        <v>141</v>
      </c>
    </row>
    <row r="46">
      <c r="A46" s="5" t="s">
        <v>142</v>
      </c>
      <c r="B46" s="2" t="s">
        <v>143</v>
      </c>
      <c r="C46" s="4" t="str">
        <f>IFERROR(__xludf.DUMMYFUNCTION("""🏘️ ""&amp;REGEXEXTRACT(B46, ""^(.*): "")&amp;"" ✅ "" &amp;REGEXEXTRACT(B46, ""(Trouvez.*)"")"),"🏘️ Vendre maison Granges-Paccot ✅ Trouvez le bien immobilier qui correspond idéalement à vos désirs sur ImmoScout24 - La plateforme de l'immobilier en Suisse.")</f>
        <v>🏘️ Vendre maison Granges-Paccot ✅ Trouvez le bien immobilier qui correspond idéalement à vos désirs sur ImmoScout24 - La plateforme de l'immobilier en Suisse.</v>
      </c>
      <c r="D46" s="4" t="str">
        <f>vlookup(A46, Sheet2!D:E, 2, 0)</f>
        <v>variant</v>
      </c>
      <c r="E46" s="4" t="str">
        <f>IFERROR(__xludf.DUMMYFUNCTION("if(H46=""pays"",vlookup(REGEXEXTRACT(C46, ""🏘️ \w+ \w+ (.*) ✅""),'Country prepositions'!A:B, 2, 0) &amp; "" "" &amp; REGEXEXTRACT(C46, ""🏘️ \w+ \w+ (.*) ✅"") ,  if(H46=""quartier"",vlookup(REGEXEXTRACT(C46, ""🏘️ \w+ \w+ (.*) ✅""),'Quartier prepositions'!A:E, 5"&amp;", 0) ,  if(H46=""region"",vlookup(REGEXEXTRACT(C46, ""🏘️ \w+ \w+ (.*) ✅""),'Region prepositions'!B:F, 5, 0),  REGEXEXTRACT(C46, ""🏘️ \w+ \w+ (.*) ✅""))))"),"Granges-Paccot")</f>
        <v>Granges-Paccot</v>
      </c>
      <c r="F46" s="2" t="str">
        <f>IFERROR(__xludf.DUMMYFUNCTION("REGEXEXTRACT(C46, ""🏘️ (\w+) \w+ .* ✅"")"),"Vendre")</f>
        <v>Vendre</v>
      </c>
      <c r="G46" s="2" t="str">
        <f>IFERROR(__xludf.DUMMYFUNCTION("REGEXEXTRACT(C46, ""🏘️ \w+ (\w+) .* ✅"")"),"maison")</f>
        <v>maison</v>
      </c>
      <c r="H46" s="4" t="str">
        <f>IFERROR(__xludf.DUMMYFUNCTION("REGEXEXTRACT(A46, ""/(\w+)-.*?"")"),"lieu")</f>
        <v>lieu</v>
      </c>
      <c r="I46" s="4" t="str">
        <f>IFERROR(__xludf.DUMMYFUNCTION("if(D46=""variant"",  substitute(filter(Templates!E:E, Templates!A:A = F46, Templates!B:B = G46, Templates!C:C = H46), ""{{}}"", E46), B46)"),"🏘  Vous souhaitez acheter une maison à Granges-Paccot? ✅ Jetez un œil aux dernières offres sur ImmoScout24.ch.")</f>
        <v>🏘  Vous souhaitez acheter une maison à Granges-Paccot? ✅ Jetez un œil aux dernières offres sur ImmoScout24.ch.</v>
      </c>
      <c r="J46" s="4" t="s">
        <v>144</v>
      </c>
    </row>
    <row r="47">
      <c r="A47" s="5" t="s">
        <v>145</v>
      </c>
      <c r="B47" s="2" t="s">
        <v>146</v>
      </c>
      <c r="C47" s="4" t="str">
        <f>IFERROR(__xludf.DUMMYFUNCTION("""🏘️ ""&amp;REGEXEXTRACT(B47, ""^(.*): "")&amp;"" ✅ "" &amp;REGEXEXTRACT(B47, ""(Trouvez.*)"")"),"🏘️ Louer appartement Dizy ✅ Trouvez le bien immobilier qui correspond idéalement à vos désirs sur ImmoScout24 - La plateforme de l'immobilier en Suisse.")</f>
        <v>🏘️ Louer appartement Dizy ✅ Trouvez le bien immobilier qui correspond idéalement à vos désirs sur ImmoScout24 - La plateforme de l'immobilier en Suisse.</v>
      </c>
      <c r="D47" s="4" t="str">
        <f>vlookup(A47, Sheet2!D:E, 2, 0)</f>
        <v>variant</v>
      </c>
      <c r="E47" s="4" t="str">
        <f>IFERROR(__xludf.DUMMYFUNCTION("if(H47=""pays"",vlookup(REGEXEXTRACT(C47, ""🏘️ \w+ \w+ (.*) ✅""),'Country prepositions'!A:B, 2, 0) &amp; "" "" &amp; REGEXEXTRACT(C47, ""🏘️ \w+ \w+ (.*) ✅"") ,  if(H47=""quartier"",vlookup(REGEXEXTRACT(C47, ""🏘️ \w+ \w+ (.*) ✅""),'Quartier prepositions'!A:E, 5"&amp;", 0) ,  if(H47=""region"",vlookup(REGEXEXTRACT(C47, ""🏘️ \w+ \w+ (.*) ✅""),'Region prepositions'!B:F, 5, 0),  REGEXEXTRACT(C47, ""🏘️ \w+ \w+ (.*) ✅""))))"),"Dizy")</f>
        <v>Dizy</v>
      </c>
      <c r="F47" s="2" t="str">
        <f>IFERROR(__xludf.DUMMYFUNCTION("REGEXEXTRACT(C47, ""🏘️ (\w+) \w+ .* ✅"")"),"Louer")</f>
        <v>Louer</v>
      </c>
      <c r="G47" s="2" t="str">
        <f>IFERROR(__xludf.DUMMYFUNCTION("REGEXEXTRACT(C47, ""🏘️ \w+ (\w+) .* ✅"")"),"appartement")</f>
        <v>appartement</v>
      </c>
      <c r="H47" s="4" t="str">
        <f>IFERROR(__xludf.DUMMYFUNCTION("REGEXEXTRACT(A47, ""/(\w+)-.*?"")"),"lieu")</f>
        <v>lieu</v>
      </c>
      <c r="I47" s="4" t="str">
        <f>IFERROR(__xludf.DUMMYFUNCTION("if(D47=""variant"",  substitute(filter(Templates!E:E, Templates!A:A = F47, Templates!B:B = G47, Templates!C:C = H47), ""{{}}"", E47), B47)"),"🏘  Vous cherchez un appartement à louer à Dizy? ✅ Les annonces les plus actuelles sont sur ImmoScout24.ch.")</f>
        <v>🏘  Vous cherchez un appartement à louer à Dizy? ✅ Les annonces les plus actuelles sont sur ImmoScout24.ch.</v>
      </c>
      <c r="J47" s="4" t="s">
        <v>147</v>
      </c>
    </row>
    <row r="48">
      <c r="A48" s="3" t="s">
        <v>148</v>
      </c>
      <c r="B48" s="2" t="s">
        <v>149</v>
      </c>
      <c r="C48" s="4" t="str">
        <f>IFERROR(__xludf.DUMMYFUNCTION("""🏘️ ""&amp;REGEXEXTRACT(B48, ""^(.*): "")&amp;"" ✅ "" &amp;REGEXEXTRACT(B48, ""(Trouvez.*)"")"),"🏘️ Vendre maison Bellinzona ✅ Trouvez le bien immobilier qui correspond idéalement à vos désirs sur ImmoScout24 - La plateforme de l'immobilier en Suisse.")</f>
        <v>🏘️ Vendre maison Bellinzona ✅ Trouvez le bien immobilier qui correspond idéalement à vos désirs sur ImmoScout24 - La plateforme de l'immobilier en Suisse.</v>
      </c>
      <c r="D48" s="4" t="str">
        <f>vlookup(A48, Sheet2!D:E, 2, 0)</f>
        <v>variant</v>
      </c>
      <c r="E48" s="4" t="str">
        <f>IFERROR(__xludf.DUMMYFUNCTION("if(H48=""pays"",vlookup(REGEXEXTRACT(C48, ""🏘️ \w+ \w+ (.*) ✅""),'Country prepositions'!A:B, 2, 0) &amp; "" "" &amp; REGEXEXTRACT(C48, ""🏘️ \w+ \w+ (.*) ✅"") ,  if(H48=""quartier"",vlookup(REGEXEXTRACT(C48, ""🏘️ \w+ \w+ (.*) ✅""),'Quartier prepositions'!A:E, 5"&amp;", 0) ,  if(H48=""region"",vlookup(REGEXEXTRACT(C48, ""🏘️ \w+ \w+ (.*) ✅""),'Region prepositions'!B:F, 5, 0),  REGEXEXTRACT(C48, ""🏘️ \w+ \w+ (.*) ✅""))))"),"Bellinzona")</f>
        <v>Bellinzona</v>
      </c>
      <c r="F48" s="2" t="str">
        <f>IFERROR(__xludf.DUMMYFUNCTION("REGEXEXTRACT(C48, ""🏘️ (\w+) \w+ .* ✅"")"),"Vendre")</f>
        <v>Vendre</v>
      </c>
      <c r="G48" s="2" t="str">
        <f>IFERROR(__xludf.DUMMYFUNCTION("REGEXEXTRACT(C48, ""🏘️ \w+ (\w+) .* ✅"")"),"maison")</f>
        <v>maison</v>
      </c>
      <c r="H48" s="4" t="str">
        <f>IFERROR(__xludf.DUMMYFUNCTION("REGEXEXTRACT(A48, ""/(\w+)-.*?"")"),"lieu")</f>
        <v>lieu</v>
      </c>
      <c r="I48" s="4" t="str">
        <f>IFERROR(__xludf.DUMMYFUNCTION("if(D48=""variant"",  substitute(filter(Templates!E:E, Templates!A:A = F48, Templates!B:B = G48, Templates!C:C = H48), ""{{}}"", E48), B48)"),"🏘  Vous souhaitez acheter une maison à Bellinzona? ✅ Jetez un œil aux dernières offres sur ImmoScout24.ch.")</f>
        <v>🏘  Vous souhaitez acheter une maison à Bellinzona? ✅ Jetez un œil aux dernières offres sur ImmoScout24.ch.</v>
      </c>
      <c r="J48" s="4" t="s">
        <v>150</v>
      </c>
    </row>
    <row r="49">
      <c r="A49" s="5" t="s">
        <v>151</v>
      </c>
      <c r="B49" s="2" t="s">
        <v>152</v>
      </c>
      <c r="C49" s="4" t="str">
        <f>IFERROR(__xludf.DUMMYFUNCTION("""🏘️ ""&amp;REGEXEXTRACT(B49, ""^(.*): "")&amp;"" ✅ "" &amp;REGEXEXTRACT(B49, ""(Trouvez.*)"")"),"🏘️ Louer maison Prez-vers-Noréaz ✅ Trouvez le bien immobilier qui correspond idéalement à vos désirs sur ImmoScout24 - La plateforme de l'immobilier en Suisse.")</f>
        <v>🏘️ Louer maison Prez-vers-Noréaz ✅ Trouvez le bien immobilier qui correspond idéalement à vos désirs sur ImmoScout24 - La plateforme de l'immobilier en Suisse.</v>
      </c>
      <c r="D49" s="4" t="str">
        <f>vlookup(A49, Sheet2!D:E, 2, 0)</f>
        <v>variant</v>
      </c>
      <c r="E49" s="4" t="str">
        <f>IFERROR(__xludf.DUMMYFUNCTION("if(H49=""pays"",vlookup(REGEXEXTRACT(C49, ""🏘️ \w+ \w+ (.*) ✅""),'Country prepositions'!A:B, 2, 0) &amp; "" "" &amp; REGEXEXTRACT(C49, ""🏘️ \w+ \w+ (.*) ✅"") ,  if(H49=""quartier"",vlookup(REGEXEXTRACT(C49, ""🏘️ \w+ \w+ (.*) ✅""),'Quartier prepositions'!A:E, 5"&amp;", 0) ,  if(H49=""region"",vlookup(REGEXEXTRACT(C49, ""🏘️ \w+ \w+ (.*) ✅""),'Region prepositions'!B:F, 5, 0),  REGEXEXTRACT(C49, ""🏘️ \w+ \w+ (.*) ✅""))))"),"Prez-vers-Noréaz")</f>
        <v>Prez-vers-Noréaz</v>
      </c>
      <c r="F49" s="2" t="str">
        <f>IFERROR(__xludf.DUMMYFUNCTION("REGEXEXTRACT(C49, ""🏘️ (\w+) \w+ .* ✅"")"),"Louer")</f>
        <v>Louer</v>
      </c>
      <c r="G49" s="2" t="str">
        <f>IFERROR(__xludf.DUMMYFUNCTION("REGEXEXTRACT(C49, ""🏘️ \w+ (\w+) .* ✅"")"),"maison")</f>
        <v>maison</v>
      </c>
      <c r="H49" s="4" t="str">
        <f>IFERROR(__xludf.DUMMYFUNCTION("REGEXEXTRACT(A49, ""/(\w+)-.*?"")"),"lieu")</f>
        <v>lieu</v>
      </c>
      <c r="I49" s="4" t="str">
        <f>IFERROR(__xludf.DUMMYFUNCTION("if(D49=""variant"",  substitute(filter(Templates!E:E, Templates!A:A = F49, Templates!B:B = G49, Templates!C:C = H49), ""{{}}"", E49), B49)"),"🏘  Vous cherchez une maison à louer à Prez-vers-Noréaz? ✅ Découvrez nos nombreuses annonces sur ImmoScout24.ch.")</f>
        <v>🏘  Vous cherchez une maison à louer à Prez-vers-Noréaz? ✅ Découvrez nos nombreuses annonces sur ImmoScout24.ch.</v>
      </c>
      <c r="J49" s="4" t="s">
        <v>153</v>
      </c>
    </row>
    <row r="50">
      <c r="A50" s="3" t="s">
        <v>154</v>
      </c>
      <c r="B50" s="2" t="s">
        <v>155</v>
      </c>
      <c r="C50" s="4" t="str">
        <f>IFERROR(__xludf.DUMMYFUNCTION("""🏘️ ""&amp;REGEXEXTRACT(B50, ""^(.*): "")&amp;"" ✅ "" &amp;REGEXEXTRACT(B50, ""(Trouvez.*)"")"),"🏘️ Vendre appartement Monténégro ✅ Trouvez le bien immobilier qui correspond idéalement à vos désirs sur ImmoScout24 - La plateforme de l'immobilier en Suisse.")</f>
        <v>🏘️ Vendre appartement Monténégro ✅ Trouvez le bien immobilier qui correspond idéalement à vos désirs sur ImmoScout24 - La plateforme de l'immobilier en Suisse.</v>
      </c>
      <c r="D50" s="4" t="str">
        <f>vlookup(A50, Sheet2!D:E, 2, 0)</f>
        <v>#N/A</v>
      </c>
      <c r="E50" s="4" t="str">
        <f>IFERROR(__xludf.DUMMYFUNCTION("if(H50=""pays"",vlookup(REGEXEXTRACT(C50, ""🏘️ \w+ \w+ (.*) ✅""),'Country prepositions'!A:B, 2, 0) &amp; "" "" &amp; REGEXEXTRACT(C50, ""🏘️ \w+ \w+ (.*) ✅"") ,  if(H50=""quartier"",vlookup(REGEXEXTRACT(C50, ""🏘️ \w+ \w+ (.*) ✅""),'Quartier prepositions'!A:E, 5"&amp;", 0) ,  if(H50=""region"",vlookup(REGEXEXTRACT(C50, ""🏘️ \w+ \w+ (.*) ✅""),'Region prepositions'!B:F, 5, 0),  REGEXEXTRACT(C50, ""🏘️ \w+ \w+ (.*) ✅""))))"),"au Monténégro")</f>
        <v>au Monténégro</v>
      </c>
      <c r="F50" s="2" t="str">
        <f>IFERROR(__xludf.DUMMYFUNCTION("REGEXEXTRACT(C50, ""🏘️ (\w+) \w+ .* ✅"")"),"Vendre")</f>
        <v>Vendre</v>
      </c>
      <c r="G50" s="2" t="str">
        <f>IFERROR(__xludf.DUMMYFUNCTION("REGEXEXTRACT(C50, ""🏘️ \w+ (\w+) .* ✅"")"),"appartement")</f>
        <v>appartement</v>
      </c>
      <c r="H50" s="4" t="str">
        <f>IFERROR(__xludf.DUMMYFUNCTION("REGEXEXTRACT(A50, ""/(\w+)-.*?"")"),"pays")</f>
        <v>pays</v>
      </c>
      <c r="I50" s="4" t="str">
        <f>IFERROR(__xludf.DUMMYFUNCTION("if(D50=""variant"",  substitute(filter(Templates!E:E, Templates!A:A = F50, Templates!B:B = G50, Templates!C:C = H50), ""{{}}"", E50), B50)"),"#N/A")</f>
        <v>#N/A</v>
      </c>
      <c r="J50" s="4" t="s">
        <v>156</v>
      </c>
    </row>
    <row r="51">
      <c r="A51" s="5" t="s">
        <v>157</v>
      </c>
      <c r="B51" s="2" t="s">
        <v>158</v>
      </c>
      <c r="C51" s="4" t="str">
        <f>IFERROR(__xludf.DUMMYFUNCTION("""🏘️ ""&amp;REGEXEXTRACT(B51, ""^(.*): "")&amp;"" ✅ "" &amp;REGEXEXTRACT(B51, ""(Trouvez.*)"")"),"🏘️ Louer appartement Muriaux ✅ Trouvez le bien immobilier qui correspond idéalement à vos désirs sur ImmoScout24 - La plateforme de l'immobilier en Suisse.")</f>
        <v>🏘️ Louer appartement Muriaux ✅ Trouvez le bien immobilier qui correspond idéalement à vos désirs sur ImmoScout24 - La plateforme de l'immobilier en Suisse.</v>
      </c>
      <c r="D51" s="4" t="str">
        <f>vlookup(A51, Sheet2!D:E, 2, 0)</f>
        <v>variant</v>
      </c>
      <c r="E51" s="4" t="str">
        <f>IFERROR(__xludf.DUMMYFUNCTION("if(H51=""pays"",vlookup(REGEXEXTRACT(C51, ""🏘️ \w+ \w+ (.*) ✅""),'Country prepositions'!A:B, 2, 0) &amp; "" "" &amp; REGEXEXTRACT(C51, ""🏘️ \w+ \w+ (.*) ✅"") ,  if(H51=""quartier"",vlookup(REGEXEXTRACT(C51, ""🏘️ \w+ \w+ (.*) ✅""),'Quartier prepositions'!A:E, 5"&amp;", 0) ,  if(H51=""region"",vlookup(REGEXEXTRACT(C51, ""🏘️ \w+ \w+ (.*) ✅""),'Region prepositions'!B:F, 5, 0),  REGEXEXTRACT(C51, ""🏘️ \w+ \w+ (.*) ✅""))))"),"Muriaux")</f>
        <v>Muriaux</v>
      </c>
      <c r="F51" s="2" t="str">
        <f>IFERROR(__xludf.DUMMYFUNCTION("REGEXEXTRACT(C51, ""🏘️ (\w+) \w+ .* ✅"")"),"Louer")</f>
        <v>Louer</v>
      </c>
      <c r="G51" s="2" t="str">
        <f>IFERROR(__xludf.DUMMYFUNCTION("REGEXEXTRACT(C51, ""🏘️ \w+ (\w+) .* ✅"")"),"appartement")</f>
        <v>appartement</v>
      </c>
      <c r="H51" s="4" t="str">
        <f>IFERROR(__xludf.DUMMYFUNCTION("REGEXEXTRACT(A51, ""/(\w+)-.*?"")"),"lieu")</f>
        <v>lieu</v>
      </c>
      <c r="I51" s="4" t="str">
        <f>IFERROR(__xludf.DUMMYFUNCTION("if(D51=""variant"",  substitute(filter(Templates!E:E, Templates!A:A = F51, Templates!B:B = G51, Templates!C:C = H51), ""{{}}"", E51), B51)"),"🏘  Vous cherchez un appartement à louer à Muriaux? ✅ Les annonces les plus actuelles sont sur ImmoScout24.ch.")</f>
        <v>🏘  Vous cherchez un appartement à louer à Muriaux? ✅ Les annonces les plus actuelles sont sur ImmoScout24.ch.</v>
      </c>
      <c r="J51" s="4" t="s">
        <v>159</v>
      </c>
    </row>
    <row r="52">
      <c r="A52" s="5" t="s">
        <v>160</v>
      </c>
      <c r="B52" s="2" t="s">
        <v>161</v>
      </c>
      <c r="C52" s="4" t="str">
        <f>IFERROR(__xludf.DUMMYFUNCTION("""🏘️ ""&amp;REGEXEXTRACT(B52, ""^(.*): "")&amp;"" ✅ "" &amp;REGEXEXTRACT(B52, ""(Trouvez.*)"")"),"🏘️ Louer maison Cormagens ✅ Trouvez le bien immobilier qui correspond idéalement à vos désirs sur ImmoScout24 - La plateforme de l'immobilier en Suisse.")</f>
        <v>🏘️ Louer maison Cormagens ✅ Trouvez le bien immobilier qui correspond idéalement à vos désirs sur ImmoScout24 - La plateforme de l'immobilier en Suisse.</v>
      </c>
      <c r="D52" s="4" t="str">
        <f>vlookup(A52, Sheet2!D:E, 2, 0)</f>
        <v>variant</v>
      </c>
      <c r="E52" s="4" t="str">
        <f>IFERROR(__xludf.DUMMYFUNCTION("if(H52=""pays"",vlookup(REGEXEXTRACT(C52, ""🏘️ \w+ \w+ (.*) ✅""),'Country prepositions'!A:B, 2, 0) &amp; "" "" &amp; REGEXEXTRACT(C52, ""🏘️ \w+ \w+ (.*) ✅"") ,  if(H52=""quartier"",vlookup(REGEXEXTRACT(C52, ""🏘️ \w+ \w+ (.*) ✅""),'Quartier prepositions'!A:E, 5"&amp;", 0) ,  if(H52=""region"",vlookup(REGEXEXTRACT(C52, ""🏘️ \w+ \w+ (.*) ✅""),'Region prepositions'!B:F, 5, 0),  REGEXEXTRACT(C52, ""🏘️ \w+ \w+ (.*) ✅""))))"),"Cormagens")</f>
        <v>Cormagens</v>
      </c>
      <c r="F52" s="2" t="str">
        <f>IFERROR(__xludf.DUMMYFUNCTION("REGEXEXTRACT(C52, ""🏘️ (\w+) \w+ .* ✅"")"),"Louer")</f>
        <v>Louer</v>
      </c>
      <c r="G52" s="2" t="str">
        <f>IFERROR(__xludf.DUMMYFUNCTION("REGEXEXTRACT(C52, ""🏘️ \w+ (\w+) .* ✅"")"),"maison")</f>
        <v>maison</v>
      </c>
      <c r="H52" s="4" t="str">
        <f>IFERROR(__xludf.DUMMYFUNCTION("REGEXEXTRACT(A52, ""/(\w+)-.*?"")"),"lieu")</f>
        <v>lieu</v>
      </c>
      <c r="I52" s="4" t="str">
        <f>IFERROR(__xludf.DUMMYFUNCTION("if(D52=""variant"",  substitute(filter(Templates!E:E, Templates!A:A = F52, Templates!B:B = G52, Templates!C:C = H52), ""{{}}"", E52), B52)"),"🏘  Vous cherchez une maison à louer à Cormagens? ✅ Découvrez nos nombreuses annonces sur ImmoScout24.ch.")</f>
        <v>🏘  Vous cherchez une maison à louer à Cormagens? ✅ Découvrez nos nombreuses annonces sur ImmoScout24.ch.</v>
      </c>
      <c r="J52" s="4" t="s">
        <v>162</v>
      </c>
    </row>
    <row r="53">
      <c r="A53" s="5" t="s">
        <v>163</v>
      </c>
      <c r="B53" s="2" t="s">
        <v>164</v>
      </c>
      <c r="C53" s="4" t="str">
        <f>IFERROR(__xludf.DUMMYFUNCTION("""🏘️ ""&amp;REGEXEXTRACT(B53, ""^(.*): "")&amp;"" ✅ "" &amp;REGEXEXTRACT(B53, ""(Trouvez.*)"")"),"🏘️ Vendre appartement Sullens ✅ Trouvez le bien immobilier qui correspond idéalement à vos désirs sur ImmoScout24 - La plateforme de l'immobilier en Suisse.")</f>
        <v>🏘️ Vendre appartement Sullens ✅ Trouvez le bien immobilier qui correspond idéalement à vos désirs sur ImmoScout24 - La plateforme de l'immobilier en Suisse.</v>
      </c>
      <c r="D53" s="4" t="str">
        <f>vlookup(A53, Sheet2!D:E, 2, 0)</f>
        <v>variant</v>
      </c>
      <c r="E53" s="4" t="str">
        <f>IFERROR(__xludf.DUMMYFUNCTION("if(H53=""pays"",vlookup(REGEXEXTRACT(C53, ""🏘️ \w+ \w+ (.*) ✅""),'Country prepositions'!A:B, 2, 0) &amp; "" "" &amp; REGEXEXTRACT(C53, ""🏘️ \w+ \w+ (.*) ✅"") ,  if(H53=""quartier"",vlookup(REGEXEXTRACT(C53, ""🏘️ \w+ \w+ (.*) ✅""),'Quartier prepositions'!A:E, 5"&amp;", 0) ,  if(H53=""region"",vlookup(REGEXEXTRACT(C53, ""🏘️ \w+ \w+ (.*) ✅""),'Region prepositions'!B:F, 5, 0),  REGEXEXTRACT(C53, ""🏘️ \w+ \w+ (.*) ✅""))))"),"Sullens")</f>
        <v>Sullens</v>
      </c>
      <c r="F53" s="2" t="str">
        <f>IFERROR(__xludf.DUMMYFUNCTION("REGEXEXTRACT(C53, ""🏘️ (\w+) \w+ .* ✅"")"),"Vendre")</f>
        <v>Vendre</v>
      </c>
      <c r="G53" s="2" t="str">
        <f>IFERROR(__xludf.DUMMYFUNCTION("REGEXEXTRACT(C53, ""🏘️ \w+ (\w+) .* ✅"")"),"appartement")</f>
        <v>appartement</v>
      </c>
      <c r="H53" s="4" t="str">
        <f>IFERROR(__xludf.DUMMYFUNCTION("REGEXEXTRACT(A53, ""/(\w+)-.*?"")"),"lieu")</f>
        <v>lieu</v>
      </c>
      <c r="I53" s="4" t="str">
        <f>IFERROR(__xludf.DUMMYFUNCTION("if(D53=""variant"",  substitute(filter(Templates!E:E, Templates!A:A = F53, Templates!B:B = G53, Templates!C:C = H53), ""{{}}"", E53), B53)"),"🏘  L’appartement de vos rêves se trouve sur ImmoScout24.ch ✅ Découvrez les dernières annonces de vente à Sullens.")</f>
        <v>🏘  L’appartement de vos rêves se trouve sur ImmoScout24.ch ✅ Découvrez les dernières annonces de vente à Sullens.</v>
      </c>
      <c r="J53" s="4" t="s">
        <v>165</v>
      </c>
    </row>
    <row r="54">
      <c r="A54" s="5" t="s">
        <v>166</v>
      </c>
      <c r="B54" s="2" t="s">
        <v>167</v>
      </c>
      <c r="C54" s="4" t="str">
        <f>IFERROR(__xludf.DUMMYFUNCTION("""🏘️ ""&amp;REGEXEXTRACT(B54, ""^(.*): "")&amp;"" ✅ "" &amp;REGEXEXTRACT(B54, ""(Trouvez.*)"")"),"🏘️ Vendre appartement Montet (Glâne) ✅ Trouvez le bien immobilier qui correspond idéalement à vos désirs sur ImmoScout24 - La plateforme de l'immobilier en Suisse.")</f>
        <v>🏘️ Vendre appartement Montet (Glâne) ✅ Trouvez le bien immobilier qui correspond idéalement à vos désirs sur ImmoScout24 - La plateforme de l'immobilier en Suisse.</v>
      </c>
      <c r="D54" s="4" t="str">
        <f>vlookup(A54, Sheet2!D:E, 2, 0)</f>
        <v>variant</v>
      </c>
      <c r="E54" s="4" t="str">
        <f>IFERROR(__xludf.DUMMYFUNCTION("if(H54=""pays"",vlookup(REGEXEXTRACT(C54, ""🏘️ \w+ \w+ (.*) ✅""),'Country prepositions'!A:B, 2, 0) &amp; "" "" &amp; REGEXEXTRACT(C54, ""🏘️ \w+ \w+ (.*) ✅"") ,  if(H54=""quartier"",vlookup(REGEXEXTRACT(C54, ""🏘️ \w+ \w+ (.*) ✅""),'Quartier prepositions'!A:E, 5"&amp;", 0) ,  if(H54=""region"",vlookup(REGEXEXTRACT(C54, ""🏘️ \w+ \w+ (.*) ✅""),'Region prepositions'!B:F, 5, 0),  REGEXEXTRACT(C54, ""🏘️ \w+ \w+ (.*) ✅""))))"),"Montet (Glâne)")</f>
        <v>Montet (Glâne)</v>
      </c>
      <c r="F54" s="2" t="str">
        <f>IFERROR(__xludf.DUMMYFUNCTION("REGEXEXTRACT(C54, ""🏘️ (\w+) \w+ .* ✅"")"),"Vendre")</f>
        <v>Vendre</v>
      </c>
      <c r="G54" s="2" t="str">
        <f>IFERROR(__xludf.DUMMYFUNCTION("REGEXEXTRACT(C54, ""🏘️ \w+ (\w+) .* ✅"")"),"appartement")</f>
        <v>appartement</v>
      </c>
      <c r="H54" s="4" t="str">
        <f>IFERROR(__xludf.DUMMYFUNCTION("REGEXEXTRACT(A54, ""/(\w+)-.*?"")"),"lieu")</f>
        <v>lieu</v>
      </c>
      <c r="I54" s="4" t="str">
        <f>IFERROR(__xludf.DUMMYFUNCTION("if(D54=""variant"",  substitute(filter(Templates!E:E, Templates!A:A = F54, Templates!B:B = G54, Templates!C:C = H54), ""{{}}"", E54), B54)"),"🏘  L’appartement de vos rêves se trouve sur ImmoScout24.ch ✅ Découvrez les dernières annonces de vente à Montet (Glâne).")</f>
        <v>🏘  L’appartement de vos rêves se trouve sur ImmoScout24.ch ✅ Découvrez les dernières annonces de vente à Montet (Glâne).</v>
      </c>
      <c r="J54" s="4" t="s">
        <v>168</v>
      </c>
    </row>
    <row r="55">
      <c r="A55" s="5" t="s">
        <v>169</v>
      </c>
      <c r="B55" s="2" t="s">
        <v>170</v>
      </c>
      <c r="C55" s="4" t="str">
        <f>IFERROR(__xludf.DUMMYFUNCTION("""🏘️ ""&amp;REGEXEXTRACT(B55, ""^(.*): "")&amp;"" ✅ "" &amp;REGEXEXTRACT(B55, ""(Trouvez.*)"")"),"🏘️ Vendre maison Glis ✅ Trouvez le bien immobilier qui correspond idéalement à vos désirs sur ImmoScout24 - La plateforme de l'immobilier en Suisse.")</f>
        <v>🏘️ Vendre maison Glis ✅ Trouvez le bien immobilier qui correspond idéalement à vos désirs sur ImmoScout24 - La plateforme de l'immobilier en Suisse.</v>
      </c>
      <c r="D55" s="4" t="str">
        <f>vlookup(A55, Sheet2!D:E, 2, 0)</f>
        <v>variant</v>
      </c>
      <c r="E55" s="4" t="str">
        <f>IFERROR(__xludf.DUMMYFUNCTION("if(H55=""pays"",vlookup(REGEXEXTRACT(C55, ""🏘️ \w+ \w+ (.*) ✅""),'Country prepositions'!A:B, 2, 0) &amp; "" "" &amp; REGEXEXTRACT(C55, ""🏘️ \w+ \w+ (.*) ✅"") ,  if(H55=""quartier"",vlookup(REGEXEXTRACT(C55, ""🏘️ \w+ \w+ (.*) ✅""),'Quartier prepositions'!A:E, 5"&amp;", 0) ,  if(H55=""region"",vlookup(REGEXEXTRACT(C55, ""🏘️ \w+ \w+ (.*) ✅""),'Region prepositions'!B:F, 5, 0),  REGEXEXTRACT(C55, ""🏘️ \w+ \w+ (.*) ✅""))))"),"Glis")</f>
        <v>Glis</v>
      </c>
      <c r="F55" s="2" t="str">
        <f>IFERROR(__xludf.DUMMYFUNCTION("REGEXEXTRACT(C55, ""🏘️ (\w+) \w+ .* ✅"")"),"Vendre")</f>
        <v>Vendre</v>
      </c>
      <c r="G55" s="2" t="str">
        <f>IFERROR(__xludf.DUMMYFUNCTION("REGEXEXTRACT(C55, ""🏘️ \w+ (\w+) .* ✅"")"),"maison")</f>
        <v>maison</v>
      </c>
      <c r="H55" s="4" t="str">
        <f>IFERROR(__xludf.DUMMYFUNCTION("REGEXEXTRACT(A55, ""/(\w+)-.*?"")"),"lieu")</f>
        <v>lieu</v>
      </c>
      <c r="I55" s="4" t="str">
        <f>IFERROR(__xludf.DUMMYFUNCTION("if(D55=""variant"",  substitute(filter(Templates!E:E, Templates!A:A = F55, Templates!B:B = G55, Templates!C:C = H55), ""{{}}"", E55), B55)"),"🏘  Vous souhaitez acheter une maison à Glis? ✅ Jetez un œil aux dernières offres sur ImmoScout24.ch.")</f>
        <v>🏘  Vous souhaitez acheter une maison à Glis? ✅ Jetez un œil aux dernières offres sur ImmoScout24.ch.</v>
      </c>
      <c r="J55" s="4" t="s">
        <v>171</v>
      </c>
    </row>
    <row r="56">
      <c r="A56" s="5" t="s">
        <v>172</v>
      </c>
      <c r="B56" s="2" t="s">
        <v>173</v>
      </c>
      <c r="C56" s="4" t="str">
        <f>IFERROR(__xludf.DUMMYFUNCTION("""🏘️ ""&amp;REGEXEXTRACT(B56, ""^(.*): "")&amp;"" ✅ "" &amp;REGEXEXTRACT(B56, ""(Trouvez.*)"")"),"🏘️ Louer appartement Eggiwil ✅ Trouvez le bien immobilier qui correspond idéalement à vos désirs sur ImmoScout24 - La plateforme de l'immobilier en Suisse.")</f>
        <v>🏘️ Louer appartement Eggiwil ✅ Trouvez le bien immobilier qui correspond idéalement à vos désirs sur ImmoScout24 - La plateforme de l'immobilier en Suisse.</v>
      </c>
      <c r="D56" s="4" t="str">
        <f>vlookup(A56, Sheet2!D:E, 2, 0)</f>
        <v>variant</v>
      </c>
      <c r="E56" s="4" t="str">
        <f>IFERROR(__xludf.DUMMYFUNCTION("if(H56=""pays"",vlookup(REGEXEXTRACT(C56, ""🏘️ \w+ \w+ (.*) ✅""),'Country prepositions'!A:B, 2, 0) &amp; "" "" &amp; REGEXEXTRACT(C56, ""🏘️ \w+ \w+ (.*) ✅"") ,  if(H56=""quartier"",vlookup(REGEXEXTRACT(C56, ""🏘️ \w+ \w+ (.*) ✅""),'Quartier prepositions'!A:E, 5"&amp;", 0) ,  if(H56=""region"",vlookup(REGEXEXTRACT(C56, ""🏘️ \w+ \w+ (.*) ✅""),'Region prepositions'!B:F, 5, 0),  REGEXEXTRACT(C56, ""🏘️ \w+ \w+ (.*) ✅""))))"),"Eggiwil")</f>
        <v>Eggiwil</v>
      </c>
      <c r="F56" s="2" t="str">
        <f>IFERROR(__xludf.DUMMYFUNCTION("REGEXEXTRACT(C56, ""🏘️ (\w+) \w+ .* ✅"")"),"Louer")</f>
        <v>Louer</v>
      </c>
      <c r="G56" s="2" t="str">
        <f>IFERROR(__xludf.DUMMYFUNCTION("REGEXEXTRACT(C56, ""🏘️ \w+ (\w+) .* ✅"")"),"appartement")</f>
        <v>appartement</v>
      </c>
      <c r="H56" s="4" t="str">
        <f>IFERROR(__xludf.DUMMYFUNCTION("REGEXEXTRACT(A56, ""/(\w+)-.*?"")"),"lieu")</f>
        <v>lieu</v>
      </c>
      <c r="I56" s="4" t="str">
        <f>IFERROR(__xludf.DUMMYFUNCTION("if(D56=""variant"",  substitute(filter(Templates!E:E, Templates!A:A = F56, Templates!B:B = G56, Templates!C:C = H56), ""{{}}"", E56), B56)"),"🏘  Vous cherchez un appartement à louer à Eggiwil? ✅ Les annonces les plus actuelles sont sur ImmoScout24.ch.")</f>
        <v>🏘  Vous cherchez un appartement à louer à Eggiwil? ✅ Les annonces les plus actuelles sont sur ImmoScout24.ch.</v>
      </c>
      <c r="J56" s="4" t="s">
        <v>174</v>
      </c>
    </row>
    <row r="57">
      <c r="A57" s="5" t="s">
        <v>175</v>
      </c>
      <c r="B57" s="2" t="s">
        <v>176</v>
      </c>
      <c r="C57" s="4" t="str">
        <f>IFERROR(__xludf.DUMMYFUNCTION("""🏘️ ""&amp;REGEXEXTRACT(B57, ""^(.*): "")&amp;"" ✅ "" &amp;REGEXEXTRACT(B57, ""(Trouvez.*)"")"),"🏘️ Louer maison L'Abbaye ✅ Trouvez le bien immobilier qui correspond idéalement à vos désirs sur ImmoScout24 - La plateforme de l'immobilier en Suisse.")</f>
        <v>🏘️ Louer maison L'Abbaye ✅ Trouvez le bien immobilier qui correspond idéalement à vos désirs sur ImmoScout24 - La plateforme de l'immobilier en Suisse.</v>
      </c>
      <c r="D57" s="4" t="str">
        <f>vlookup(A57, Sheet2!D:E, 2, 0)</f>
        <v>variant</v>
      </c>
      <c r="E57" s="4" t="str">
        <f>IFERROR(__xludf.DUMMYFUNCTION("if(H57=""pays"",vlookup(REGEXEXTRACT(C57, ""🏘️ \w+ \w+ (.*) ✅""),'Country prepositions'!A:B, 2, 0) &amp; "" "" &amp; REGEXEXTRACT(C57, ""🏘️ \w+ \w+ (.*) ✅"") ,  if(H57=""quartier"",vlookup(REGEXEXTRACT(C57, ""🏘️ \w+ \w+ (.*) ✅""),'Quartier prepositions'!A:E, 5"&amp;", 0) ,  if(H57=""region"",vlookup(REGEXEXTRACT(C57, ""🏘️ \w+ \w+ (.*) ✅""),'Region prepositions'!B:F, 5, 0),  REGEXEXTRACT(C57, ""🏘️ \w+ \w+ (.*) ✅""))))"),"L'Abbaye")</f>
        <v>L'Abbaye</v>
      </c>
      <c r="F57" s="2" t="str">
        <f>IFERROR(__xludf.DUMMYFUNCTION("REGEXEXTRACT(C57, ""🏘️ (\w+) \w+ .* ✅"")"),"Louer")</f>
        <v>Louer</v>
      </c>
      <c r="G57" s="2" t="str">
        <f>IFERROR(__xludf.DUMMYFUNCTION("REGEXEXTRACT(C57, ""🏘️ \w+ (\w+) .* ✅"")"),"maison")</f>
        <v>maison</v>
      </c>
      <c r="H57" s="4" t="str">
        <f>IFERROR(__xludf.DUMMYFUNCTION("REGEXEXTRACT(A57, ""/(\w+)-.*?"")"),"lieu")</f>
        <v>lieu</v>
      </c>
      <c r="I57" s="4" t="str">
        <f>IFERROR(__xludf.DUMMYFUNCTION("if(D57=""variant"",  substitute(filter(Templates!E:E, Templates!A:A = F57, Templates!B:B = G57, Templates!C:C = H57), ""{{}}"", E57), B57)"),"🏘  Vous cherchez une maison à louer à L'Abbaye? ✅ Découvrez nos nombreuses annonces sur ImmoScout24.ch.")</f>
        <v>🏘  Vous cherchez une maison à louer à L'Abbaye? ✅ Découvrez nos nombreuses annonces sur ImmoScout24.ch.</v>
      </c>
      <c r="J57" s="4" t="s">
        <v>177</v>
      </c>
    </row>
    <row r="58">
      <c r="A58" s="5" t="s">
        <v>178</v>
      </c>
      <c r="B58" s="2" t="s">
        <v>179</v>
      </c>
      <c r="C58" s="4" t="str">
        <f>IFERROR(__xludf.DUMMYFUNCTION("""🏘️ ""&amp;REGEXEXTRACT(B58, ""^(.*): "")&amp;"" ✅ "" &amp;REGEXEXTRACT(B58, ""(Trouvez.*)"")"),"🏘️ Louer appartement Mühledorf SO ✅ Trouvez le bien immobilier qui correspond idéalement à vos désirs sur ImmoScout24 - La plateforme de l'immobilier en Suisse.")</f>
        <v>🏘️ Louer appartement Mühledorf SO ✅ Trouvez le bien immobilier qui correspond idéalement à vos désirs sur ImmoScout24 - La plateforme de l'immobilier en Suisse.</v>
      </c>
      <c r="D58" s="4" t="str">
        <f>vlookup(A58, Sheet2!D:E, 2, 0)</f>
        <v>variant</v>
      </c>
      <c r="E58" s="4" t="str">
        <f>IFERROR(__xludf.DUMMYFUNCTION("if(H58=""pays"",vlookup(REGEXEXTRACT(C58, ""🏘️ \w+ \w+ (.*) ✅""),'Country prepositions'!A:B, 2, 0) &amp; "" "" &amp; REGEXEXTRACT(C58, ""🏘️ \w+ \w+ (.*) ✅"") ,  if(H58=""quartier"",vlookup(REGEXEXTRACT(C58, ""🏘️ \w+ \w+ (.*) ✅""),'Quartier prepositions'!A:E, 5"&amp;", 0) ,  if(H58=""region"",vlookup(REGEXEXTRACT(C58, ""🏘️ \w+ \w+ (.*) ✅""),'Region prepositions'!B:F, 5, 0),  REGEXEXTRACT(C58, ""🏘️ \w+ \w+ (.*) ✅""))))"),"Mühledorf SO")</f>
        <v>Mühledorf SO</v>
      </c>
      <c r="F58" s="2" t="str">
        <f>IFERROR(__xludf.DUMMYFUNCTION("REGEXEXTRACT(C58, ""🏘️ (\w+) \w+ .* ✅"")"),"Louer")</f>
        <v>Louer</v>
      </c>
      <c r="G58" s="2" t="str">
        <f>IFERROR(__xludf.DUMMYFUNCTION("REGEXEXTRACT(C58, ""🏘️ \w+ (\w+) .* ✅"")"),"appartement")</f>
        <v>appartement</v>
      </c>
      <c r="H58" s="4" t="str">
        <f>IFERROR(__xludf.DUMMYFUNCTION("REGEXEXTRACT(A58, ""/(\w+)-.*?"")"),"lieu")</f>
        <v>lieu</v>
      </c>
      <c r="I58" s="4" t="str">
        <f>IFERROR(__xludf.DUMMYFUNCTION("if(D58=""variant"",  substitute(filter(Templates!E:E, Templates!A:A = F58, Templates!B:B = G58, Templates!C:C = H58), ""{{}}"", E58), B58)"),"🏘  Vous cherchez un appartement à louer à Mühledorf SO? ✅ Les annonces les plus actuelles sont sur ImmoScout24.ch.")</f>
        <v>🏘  Vous cherchez un appartement à louer à Mühledorf SO? ✅ Les annonces les plus actuelles sont sur ImmoScout24.ch.</v>
      </c>
      <c r="J58" s="4" t="s">
        <v>180</v>
      </c>
    </row>
    <row r="59">
      <c r="A59" s="5" t="s">
        <v>181</v>
      </c>
      <c r="B59" s="2" t="s">
        <v>182</v>
      </c>
      <c r="C59" s="4" t="str">
        <f>IFERROR(__xludf.DUMMYFUNCTION("""🏘️ ""&amp;REGEXEXTRACT(B59, ""^(.*): "")&amp;"" ✅ "" &amp;REGEXEXTRACT(B59, ""(Trouvez.*)"")"),"🏘️ Vendre maison Damphreux ✅ Trouvez le bien immobilier qui correspond idéalement à vos désirs sur ImmoScout24 - La plateforme de l'immobilier en Suisse.")</f>
        <v>🏘️ Vendre maison Damphreux ✅ Trouvez le bien immobilier qui correspond idéalement à vos désirs sur ImmoScout24 - La plateforme de l'immobilier en Suisse.</v>
      </c>
      <c r="D59" s="4" t="str">
        <f>vlookup(A59, Sheet2!D:E, 2, 0)</f>
        <v>variant</v>
      </c>
      <c r="E59" s="4" t="str">
        <f>IFERROR(__xludf.DUMMYFUNCTION("if(H59=""pays"",vlookup(REGEXEXTRACT(C59, ""🏘️ \w+ \w+ (.*) ✅""),'Country prepositions'!A:B, 2, 0) &amp; "" "" &amp; REGEXEXTRACT(C59, ""🏘️ \w+ \w+ (.*) ✅"") ,  if(H59=""quartier"",vlookup(REGEXEXTRACT(C59, ""🏘️ \w+ \w+ (.*) ✅""),'Quartier prepositions'!A:E, 5"&amp;", 0) ,  if(H59=""region"",vlookup(REGEXEXTRACT(C59, ""🏘️ \w+ \w+ (.*) ✅""),'Region prepositions'!B:F, 5, 0),  REGEXEXTRACT(C59, ""🏘️ \w+ \w+ (.*) ✅""))))"),"Damphreux")</f>
        <v>Damphreux</v>
      </c>
      <c r="F59" s="2" t="str">
        <f>IFERROR(__xludf.DUMMYFUNCTION("REGEXEXTRACT(C59, ""🏘️ (\w+) \w+ .* ✅"")"),"Vendre")</f>
        <v>Vendre</v>
      </c>
      <c r="G59" s="2" t="str">
        <f>IFERROR(__xludf.DUMMYFUNCTION("REGEXEXTRACT(C59, ""🏘️ \w+ (\w+) .* ✅"")"),"maison")</f>
        <v>maison</v>
      </c>
      <c r="H59" s="4" t="str">
        <f>IFERROR(__xludf.DUMMYFUNCTION("REGEXEXTRACT(A59, ""/(\w+)-.*?"")"),"lieu")</f>
        <v>lieu</v>
      </c>
      <c r="I59" s="4" t="str">
        <f>IFERROR(__xludf.DUMMYFUNCTION("if(D59=""variant"",  substitute(filter(Templates!E:E, Templates!A:A = F59, Templates!B:B = G59, Templates!C:C = H59), ""{{}}"", E59), B59)"),"🏘  Vous souhaitez acheter une maison à Damphreux? ✅ Jetez un œil aux dernières offres sur ImmoScout24.ch.")</f>
        <v>🏘  Vous souhaitez acheter une maison à Damphreux? ✅ Jetez un œil aux dernières offres sur ImmoScout24.ch.</v>
      </c>
      <c r="J59" s="4" t="s">
        <v>183</v>
      </c>
    </row>
    <row r="60">
      <c r="A60" s="5" t="s">
        <v>184</v>
      </c>
      <c r="B60" s="2" t="s">
        <v>185</v>
      </c>
      <c r="C60" s="4" t="str">
        <f>IFERROR(__xludf.DUMMYFUNCTION("""🏘️ ""&amp;REGEXEXTRACT(B60, ""^(.*): "")&amp;"" ✅ "" &amp;REGEXEXTRACT(B60, ""(Trouvez.*)"")"),"🏘️ Vendre appartement Staldenried ✅ Trouvez le bien immobilier qui correspond idéalement à vos désirs sur ImmoScout24 - La plateforme de l'immobilier en Suisse.")</f>
        <v>🏘️ Vendre appartement Staldenried ✅ Trouvez le bien immobilier qui correspond idéalement à vos désirs sur ImmoScout24 - La plateforme de l'immobilier en Suisse.</v>
      </c>
      <c r="D60" s="4" t="str">
        <f>vlookup(A60, Sheet2!D:E, 2, 0)</f>
        <v>variant</v>
      </c>
      <c r="E60" s="4" t="str">
        <f>IFERROR(__xludf.DUMMYFUNCTION("if(H60=""pays"",vlookup(REGEXEXTRACT(C60, ""🏘️ \w+ \w+ (.*) ✅""),'Country prepositions'!A:B, 2, 0) &amp; "" "" &amp; REGEXEXTRACT(C60, ""🏘️ \w+ \w+ (.*) ✅"") ,  if(H60=""quartier"",vlookup(REGEXEXTRACT(C60, ""🏘️ \w+ \w+ (.*) ✅""),'Quartier prepositions'!A:E, 5"&amp;", 0) ,  if(H60=""region"",vlookup(REGEXEXTRACT(C60, ""🏘️ \w+ \w+ (.*) ✅""),'Region prepositions'!B:F, 5, 0),  REGEXEXTRACT(C60, ""🏘️ \w+ \w+ (.*) ✅""))))"),"Staldenried")</f>
        <v>Staldenried</v>
      </c>
      <c r="F60" s="2" t="str">
        <f>IFERROR(__xludf.DUMMYFUNCTION("REGEXEXTRACT(C60, ""🏘️ (\w+) \w+ .* ✅"")"),"Vendre")</f>
        <v>Vendre</v>
      </c>
      <c r="G60" s="2" t="str">
        <f>IFERROR(__xludf.DUMMYFUNCTION("REGEXEXTRACT(C60, ""🏘️ \w+ (\w+) .* ✅"")"),"appartement")</f>
        <v>appartement</v>
      </c>
      <c r="H60" s="4" t="str">
        <f>IFERROR(__xludf.DUMMYFUNCTION("REGEXEXTRACT(A60, ""/(\w+)-.*?"")"),"lieu")</f>
        <v>lieu</v>
      </c>
      <c r="I60" s="4" t="str">
        <f>IFERROR(__xludf.DUMMYFUNCTION("if(D60=""variant"",  substitute(filter(Templates!E:E, Templates!A:A = F60, Templates!B:B = G60, Templates!C:C = H60), ""{{}}"", E60), B60)"),"🏘  L’appartement de vos rêves se trouve sur ImmoScout24.ch ✅ Découvrez les dernières annonces de vente à Staldenried.")</f>
        <v>🏘  L’appartement de vos rêves se trouve sur ImmoScout24.ch ✅ Découvrez les dernières annonces de vente à Staldenried.</v>
      </c>
      <c r="J60" s="4" t="s">
        <v>186</v>
      </c>
    </row>
    <row r="61">
      <c r="A61" s="5" t="s">
        <v>187</v>
      </c>
      <c r="B61" s="2" t="s">
        <v>188</v>
      </c>
      <c r="C61" s="4" t="str">
        <f>IFERROR(__xludf.DUMMYFUNCTION("""🏘️ ""&amp;REGEXEXTRACT(B61, ""^(.*): "")&amp;"" ✅ "" &amp;REGEXEXTRACT(B61, ""(Trouvez.*)"")"),"🏘️ Vendre maison Buchillon ✅ Trouvez le bien immobilier qui correspond idéalement à vos désirs sur ImmoScout24 - La plateforme de l'immobilier en Suisse.")</f>
        <v>🏘️ Vendre maison Buchillon ✅ Trouvez le bien immobilier qui correspond idéalement à vos désirs sur ImmoScout24 - La plateforme de l'immobilier en Suisse.</v>
      </c>
      <c r="D61" s="4" t="str">
        <f>vlookup(A61, Sheet2!D:E, 2, 0)</f>
        <v>variant</v>
      </c>
      <c r="E61" s="4" t="str">
        <f>IFERROR(__xludf.DUMMYFUNCTION("if(H61=""pays"",vlookup(REGEXEXTRACT(C61, ""🏘️ \w+ \w+ (.*) ✅""),'Country prepositions'!A:B, 2, 0) &amp; "" "" &amp; REGEXEXTRACT(C61, ""🏘️ \w+ \w+ (.*) ✅"") ,  if(H61=""quartier"",vlookup(REGEXEXTRACT(C61, ""🏘️ \w+ \w+ (.*) ✅""),'Quartier prepositions'!A:E, 5"&amp;", 0) ,  if(H61=""region"",vlookup(REGEXEXTRACT(C61, ""🏘️ \w+ \w+ (.*) ✅""),'Region prepositions'!B:F, 5, 0),  REGEXEXTRACT(C61, ""🏘️ \w+ \w+ (.*) ✅""))))"),"Buchillon")</f>
        <v>Buchillon</v>
      </c>
      <c r="F61" s="2" t="str">
        <f>IFERROR(__xludf.DUMMYFUNCTION("REGEXEXTRACT(C61, ""🏘️ (\w+) \w+ .* ✅"")"),"Vendre")</f>
        <v>Vendre</v>
      </c>
      <c r="G61" s="2" t="str">
        <f>IFERROR(__xludf.DUMMYFUNCTION("REGEXEXTRACT(C61, ""🏘️ \w+ (\w+) .* ✅"")"),"maison")</f>
        <v>maison</v>
      </c>
      <c r="H61" s="4" t="str">
        <f>IFERROR(__xludf.DUMMYFUNCTION("REGEXEXTRACT(A61, ""/(\w+)-.*?"")"),"lieu")</f>
        <v>lieu</v>
      </c>
      <c r="I61" s="4" t="str">
        <f>IFERROR(__xludf.DUMMYFUNCTION("if(D61=""variant"",  substitute(filter(Templates!E:E, Templates!A:A = F61, Templates!B:B = G61, Templates!C:C = H61), ""{{}}"", E61), B61)"),"🏘  Vous souhaitez acheter une maison à Buchillon? ✅ Jetez un œil aux dernières offres sur ImmoScout24.ch.")</f>
        <v>🏘  Vous souhaitez acheter une maison à Buchillon? ✅ Jetez un œil aux dernières offres sur ImmoScout24.ch.</v>
      </c>
      <c r="J61" s="4" t="s">
        <v>189</v>
      </c>
    </row>
    <row r="62">
      <c r="A62" s="5" t="s">
        <v>190</v>
      </c>
      <c r="B62" s="2" t="s">
        <v>191</v>
      </c>
      <c r="C62" s="4" t="str">
        <f>IFERROR(__xludf.DUMMYFUNCTION("""🏘️ ""&amp;REGEXEXTRACT(B62, ""^(.*): "")&amp;"" ✅ "" &amp;REGEXEXTRACT(B62, ""(Trouvez.*)"")"),"🏘️ Louer appartement Jura Vaudois ✅ Trouvez le bien immobilier qui correspond idéalement à vos désirs sur ImmoScout24 - La plateforme de l'immobilier en Suisse.")</f>
        <v>🏘️ Louer appartement Jura Vaudois ✅ Trouvez le bien immobilier qui correspond idéalement à vos désirs sur ImmoScout24 - La plateforme de l'immobilier en Suisse.</v>
      </c>
      <c r="D62" s="4" t="str">
        <f>vlookup(A62, Sheet2!D:E, 2, 0)</f>
        <v>variant</v>
      </c>
      <c r="E62" s="4" t="str">
        <f>IFERROR(__xludf.DUMMYFUNCTION("if(H62=""pays"",vlookup(REGEXEXTRACT(C62, ""🏘️ \w+ \w+ (.*) ✅""),'Country prepositions'!A:B, 2, 0) &amp; "" "" &amp; REGEXEXTRACT(C62, ""🏘️ \w+ \w+ (.*) ✅"") ,  if(H62=""quartier"",vlookup(REGEXEXTRACT(C62, ""🏘️ \w+ \w+ (.*) ✅""),'Quartier prepositions'!A:E, 5"&amp;", 0) ,  if(H62=""region"",vlookup(REGEXEXTRACT(C62, ""🏘️ \w+ \w+ (.*) ✅""),'Region prepositions'!B:F, 5, 0),  REGEXEXTRACT(C62, ""🏘️ \w+ \w+ (.*) ✅""))))"),"dans le Jura vaudois")</f>
        <v>dans le Jura vaudois</v>
      </c>
      <c r="F62" s="2" t="str">
        <f>IFERROR(__xludf.DUMMYFUNCTION("REGEXEXTRACT(C62, ""🏘️ (\w+) \w+ .* ✅"")"),"Louer")</f>
        <v>Louer</v>
      </c>
      <c r="G62" s="2" t="str">
        <f>IFERROR(__xludf.DUMMYFUNCTION("REGEXEXTRACT(C62, ""🏘️ \w+ (\w+) .* ✅"")"),"appartement")</f>
        <v>appartement</v>
      </c>
      <c r="H62" s="4" t="str">
        <f>IFERROR(__xludf.DUMMYFUNCTION("REGEXEXTRACT(A62, ""/(\w+)-.*?"")"),"region")</f>
        <v>region</v>
      </c>
      <c r="I62" s="4" t="str">
        <f>IFERROR(__xludf.DUMMYFUNCTION("if(D62=""variant"",  substitute(filter(Templates!E:E, Templates!A:A = F62, Templates!B:B = G62, Templates!C:C = H62), ""{{}}"", E62), B62)"),"🏘  Vous cherchez un appartement à louer dans le Jura vaudois? ✅ Les annonces les plus actuelles sont sur ImmoScout24.ch.")</f>
        <v>🏘  Vous cherchez un appartement à louer dans le Jura vaudois? ✅ Les annonces les plus actuelles sont sur ImmoScout24.ch.</v>
      </c>
      <c r="J62" s="4" t="s">
        <v>192</v>
      </c>
    </row>
    <row r="63">
      <c r="A63" s="5" t="s">
        <v>193</v>
      </c>
      <c r="B63" s="2" t="s">
        <v>194</v>
      </c>
      <c r="C63" s="4" t="str">
        <f>IFERROR(__xludf.DUMMYFUNCTION("""🏘️ ""&amp;REGEXEXTRACT(B63, ""^(.*): "")&amp;"" ✅ "" &amp;REGEXEXTRACT(B63, ""(Trouvez.*)"")"),"🏘️ Louer appartement Lully FR ✅ Trouvez le bien immobilier qui correspond idéalement à vos désirs sur ImmoScout24 - La plateforme de l'immobilier en Suisse.")</f>
        <v>🏘️ Louer appartement Lully FR ✅ Trouvez le bien immobilier qui correspond idéalement à vos désirs sur ImmoScout24 - La plateforme de l'immobilier en Suisse.</v>
      </c>
      <c r="D63" s="4" t="str">
        <f>vlookup(A63, Sheet2!D:E, 2, 0)</f>
        <v>variant</v>
      </c>
      <c r="E63" s="4" t="str">
        <f>IFERROR(__xludf.DUMMYFUNCTION("if(H63=""pays"",vlookup(REGEXEXTRACT(C63, ""🏘️ \w+ \w+ (.*) ✅""),'Country prepositions'!A:B, 2, 0) &amp; "" "" &amp; REGEXEXTRACT(C63, ""🏘️ \w+ \w+ (.*) ✅"") ,  if(H63=""quartier"",vlookup(REGEXEXTRACT(C63, ""🏘️ \w+ \w+ (.*) ✅""),'Quartier prepositions'!A:E, 5"&amp;", 0) ,  if(H63=""region"",vlookup(REGEXEXTRACT(C63, ""🏘️ \w+ \w+ (.*) ✅""),'Region prepositions'!B:F, 5, 0),  REGEXEXTRACT(C63, ""🏘️ \w+ \w+ (.*) ✅""))))"),"Lully FR")</f>
        <v>Lully FR</v>
      </c>
      <c r="F63" s="2" t="str">
        <f>IFERROR(__xludf.DUMMYFUNCTION("REGEXEXTRACT(C63, ""🏘️ (\w+) \w+ .* ✅"")"),"Louer")</f>
        <v>Louer</v>
      </c>
      <c r="G63" s="2" t="str">
        <f>IFERROR(__xludf.DUMMYFUNCTION("REGEXEXTRACT(C63, ""🏘️ \w+ (\w+) .* ✅"")"),"appartement")</f>
        <v>appartement</v>
      </c>
      <c r="H63" s="4" t="str">
        <f>IFERROR(__xludf.DUMMYFUNCTION("REGEXEXTRACT(A63, ""/(\w+)-.*?"")"),"lieu")</f>
        <v>lieu</v>
      </c>
      <c r="I63" s="4" t="str">
        <f>IFERROR(__xludf.DUMMYFUNCTION("if(D63=""variant"",  substitute(filter(Templates!E:E, Templates!A:A = F63, Templates!B:B = G63, Templates!C:C = H63), ""{{}}"", E63), B63)"),"🏘  Vous cherchez un appartement à louer à Lully FR? ✅ Les annonces les plus actuelles sont sur ImmoScout24.ch.")</f>
        <v>🏘  Vous cherchez un appartement à louer à Lully FR? ✅ Les annonces les plus actuelles sont sur ImmoScout24.ch.</v>
      </c>
      <c r="J63" s="4" t="s">
        <v>195</v>
      </c>
    </row>
    <row r="64">
      <c r="A64" s="5" t="s">
        <v>196</v>
      </c>
      <c r="B64" s="2" t="s">
        <v>197</v>
      </c>
      <c r="C64" s="4" t="str">
        <f>IFERROR(__xludf.DUMMYFUNCTION("""🏘️ ""&amp;REGEXEXTRACT(B64, ""^(.*): "")&amp;"" ✅ "" &amp;REGEXEXTRACT(B64, ""(Trouvez.*)"")"),"🏘️ Vendre maison Klosters ✅ Trouvez le bien immobilier qui correspond idéalement à vos désirs sur ImmoScout24 - La plateforme de l'immobilier en Suisse.")</f>
        <v>🏘️ Vendre maison Klosters ✅ Trouvez le bien immobilier qui correspond idéalement à vos désirs sur ImmoScout24 - La plateforme de l'immobilier en Suisse.</v>
      </c>
      <c r="D64" s="4" t="str">
        <f>vlookup(A64, Sheet2!D:E, 2, 0)</f>
        <v>variant</v>
      </c>
      <c r="E64" s="4" t="str">
        <f>IFERROR(__xludf.DUMMYFUNCTION("if(H64=""pays"",vlookup(REGEXEXTRACT(C64, ""🏘️ \w+ \w+ (.*) ✅""),'Country prepositions'!A:B, 2, 0) &amp; "" "" &amp; REGEXEXTRACT(C64, ""🏘️ \w+ \w+ (.*) ✅"") ,  if(H64=""quartier"",vlookup(REGEXEXTRACT(C64, ""🏘️ \w+ \w+ (.*) ✅""),'Quartier prepositions'!A:E, 5"&amp;", 0) ,  if(H64=""region"",vlookup(REGEXEXTRACT(C64, ""🏘️ \w+ \w+ (.*) ✅""),'Region prepositions'!B:F, 5, 0),  REGEXEXTRACT(C64, ""🏘️ \w+ \w+ (.*) ✅""))))"),"Klosters")</f>
        <v>Klosters</v>
      </c>
      <c r="F64" s="2" t="str">
        <f>IFERROR(__xludf.DUMMYFUNCTION("REGEXEXTRACT(C64, ""🏘️ (\w+) \w+ .* ✅"")"),"Vendre")</f>
        <v>Vendre</v>
      </c>
      <c r="G64" s="2" t="str">
        <f>IFERROR(__xludf.DUMMYFUNCTION("REGEXEXTRACT(C64, ""🏘️ \w+ (\w+) .* ✅"")"),"maison")</f>
        <v>maison</v>
      </c>
      <c r="H64" s="4" t="str">
        <f>IFERROR(__xludf.DUMMYFUNCTION("REGEXEXTRACT(A64, ""/(\w+)-.*?"")"),"lieu")</f>
        <v>lieu</v>
      </c>
      <c r="I64" s="4" t="str">
        <f>IFERROR(__xludf.DUMMYFUNCTION("if(D64=""variant"",  substitute(filter(Templates!E:E, Templates!A:A = F64, Templates!B:B = G64, Templates!C:C = H64), ""{{}}"", E64), B64)"),"🏘  Vous souhaitez acheter une maison à Klosters? ✅ Jetez un œil aux dernières offres sur ImmoScout24.ch.")</f>
        <v>🏘  Vous souhaitez acheter une maison à Klosters? ✅ Jetez un œil aux dernières offres sur ImmoScout24.ch.</v>
      </c>
      <c r="J64" s="4" t="s">
        <v>198</v>
      </c>
    </row>
    <row r="65">
      <c r="A65" s="5" t="s">
        <v>199</v>
      </c>
      <c r="B65" s="2" t="s">
        <v>200</v>
      </c>
      <c r="C65" s="4" t="str">
        <f>IFERROR(__xludf.DUMMYFUNCTION("""🏘️ ""&amp;REGEXEXTRACT(B65, ""^(.*): "")&amp;"" ✅ "" &amp;REGEXEXTRACT(B65, ""(Trouvez.*)"")"),"🏘️ Vendre maison Auge (Fribourg) ✅ Trouvez le bien immobilier qui correspond idéalement à vos désirs sur ImmoScout24 - La plateforme de l'immobilier en Suisse.")</f>
        <v>🏘️ Vendre maison Auge (Fribourg) ✅ Trouvez le bien immobilier qui correspond idéalement à vos désirs sur ImmoScout24 - La plateforme de l'immobilier en Suisse.</v>
      </c>
      <c r="D65" s="4" t="str">
        <f>vlookup(A65, Sheet2!D:E, 2, 0)</f>
        <v>variant</v>
      </c>
      <c r="E65" s="4" t="str">
        <f>IFERROR(__xludf.DUMMYFUNCTION("if(H65=""pays"",vlookup(REGEXEXTRACT(C65, ""🏘️ \w+ \w+ (.*) ✅""),'Country prepositions'!A:B, 2, 0) &amp; "" "" &amp; REGEXEXTRACT(C65, ""🏘️ \w+ \w+ (.*) ✅"") ,  if(H65=""quartier"",vlookup(REGEXEXTRACT(C65, ""🏘️ \w+ \w+ (.*) ✅""),'Quartier prepositions'!A:E, 5"&amp;", 0) ,  if(H65=""region"",vlookup(REGEXEXTRACT(C65, ""🏘️ \w+ \w+ (.*) ✅""),'Region prepositions'!B:F, 5, 0),  REGEXEXTRACT(C65, ""🏘️ \w+ \w+ (.*) ✅""))))"),"dans le quartier de l'Auge (Fribourg)")</f>
        <v>dans le quartier de l'Auge (Fribourg)</v>
      </c>
      <c r="F65" s="2" t="str">
        <f>IFERROR(__xludf.DUMMYFUNCTION("REGEXEXTRACT(C65, ""🏘️ (\w+) \w+ .* ✅"")"),"Vendre")</f>
        <v>Vendre</v>
      </c>
      <c r="G65" s="2" t="str">
        <f>IFERROR(__xludf.DUMMYFUNCTION("REGEXEXTRACT(C65, ""🏘️ \w+ (\w+) .* ✅"")"),"maison")</f>
        <v>maison</v>
      </c>
      <c r="H65" s="4" t="str">
        <f>IFERROR(__xludf.DUMMYFUNCTION("REGEXEXTRACT(A65, ""/(\w+)-.*?"")"),"quartier")</f>
        <v>quartier</v>
      </c>
      <c r="I65" s="4" t="str">
        <f>IFERROR(__xludf.DUMMYFUNCTION("if(D65=""variant"",  substitute(filter(Templates!E:E, Templates!A:A = F65, Templates!B:B = G65, Templates!C:C = H65), ""{{}}"", E65), B65)"),"🏘  Vous souhaitez acheter une maison dans le quartier de l'Auge (Fribourg)? ✅ Jetez un œil aux dernières offres sur ImmoScout24.ch.")</f>
        <v>🏘  Vous souhaitez acheter une maison dans le quartier de l'Auge (Fribourg)? ✅ Jetez un œil aux dernières offres sur ImmoScout24.ch.</v>
      </c>
      <c r="J65" s="4" t="s">
        <v>201</v>
      </c>
    </row>
    <row r="66">
      <c r="A66" s="5" t="s">
        <v>202</v>
      </c>
      <c r="B66" s="2" t="s">
        <v>203</v>
      </c>
      <c r="C66" s="4" t="str">
        <f>IFERROR(__xludf.DUMMYFUNCTION("""🏘️ ""&amp;REGEXEXTRACT(B66, ""^(.*): "")&amp;"" ✅ "" &amp;REGEXEXTRACT(B66, ""(Trouvez.*)"")"),"🏘️ Louer appartement Huttwil ✅ Trouvez le bien immobilier qui correspond idéalement à vos désirs sur ImmoScout24 - La plateforme de l'immobilier en Suisse.")</f>
        <v>🏘️ Louer appartement Huttwil ✅ Trouvez le bien immobilier qui correspond idéalement à vos désirs sur ImmoScout24 - La plateforme de l'immobilier en Suisse.</v>
      </c>
      <c r="D66" s="4" t="str">
        <f>vlookup(A66, Sheet2!D:E, 2, 0)</f>
        <v>variant</v>
      </c>
      <c r="E66" s="4" t="str">
        <f>IFERROR(__xludf.DUMMYFUNCTION("if(H66=""pays"",vlookup(REGEXEXTRACT(C66, ""🏘️ \w+ \w+ (.*) ✅""),'Country prepositions'!A:B, 2, 0) &amp; "" "" &amp; REGEXEXTRACT(C66, ""🏘️ \w+ \w+ (.*) ✅"") ,  if(H66=""quartier"",vlookup(REGEXEXTRACT(C66, ""🏘️ \w+ \w+ (.*) ✅""),'Quartier prepositions'!A:E, 5"&amp;", 0) ,  if(H66=""region"",vlookup(REGEXEXTRACT(C66, ""🏘️ \w+ \w+ (.*) ✅""),'Region prepositions'!B:F, 5, 0),  REGEXEXTRACT(C66, ""🏘️ \w+ \w+ (.*) ✅""))))"),"Huttwil")</f>
        <v>Huttwil</v>
      </c>
      <c r="F66" s="2" t="str">
        <f>IFERROR(__xludf.DUMMYFUNCTION("REGEXEXTRACT(C66, ""🏘️ (\w+) \w+ .* ✅"")"),"Louer")</f>
        <v>Louer</v>
      </c>
      <c r="G66" s="2" t="str">
        <f>IFERROR(__xludf.DUMMYFUNCTION("REGEXEXTRACT(C66, ""🏘️ \w+ (\w+) .* ✅"")"),"appartement")</f>
        <v>appartement</v>
      </c>
      <c r="H66" s="4" t="str">
        <f>IFERROR(__xludf.DUMMYFUNCTION("REGEXEXTRACT(A66, ""/(\w+)-.*?"")"),"lieu")</f>
        <v>lieu</v>
      </c>
      <c r="I66" s="4" t="str">
        <f>IFERROR(__xludf.DUMMYFUNCTION("if(D66=""variant"",  substitute(filter(Templates!E:E, Templates!A:A = F66, Templates!B:B = G66, Templates!C:C = H66), ""{{}}"", E66), B66)"),"🏘  Vous cherchez un appartement à louer à Huttwil? ✅ Les annonces les plus actuelles sont sur ImmoScout24.ch.")</f>
        <v>🏘  Vous cherchez un appartement à louer à Huttwil? ✅ Les annonces les plus actuelles sont sur ImmoScout24.ch.</v>
      </c>
      <c r="J66" s="4" t="s">
        <v>204</v>
      </c>
    </row>
    <row r="67">
      <c r="A67" s="5" t="s">
        <v>205</v>
      </c>
      <c r="B67" s="2" t="s">
        <v>206</v>
      </c>
      <c r="C67" s="4" t="str">
        <f>IFERROR(__xludf.DUMMYFUNCTION("""🏘️ ""&amp;REGEXEXTRACT(B67, ""^(.*): "")&amp;"" ✅ "" &amp;REGEXEXTRACT(B67, ""(Trouvez.*)"")"),"🏘️ Louer appartement St. Jakob (St-Gall) ✅ Trouvez le bien immobilier qui correspond idéalement à vos désirs sur ImmoScout24 - La plateforme de l'immobilier en Suisse.")</f>
        <v>🏘️ Louer appartement St. Jakob (St-Gall) ✅ Trouvez le bien immobilier qui correspond idéalement à vos désirs sur ImmoScout24 - La plateforme de l'immobilier en Suisse.</v>
      </c>
      <c r="D67" s="4" t="str">
        <f>vlookup(A67, Sheet2!D:E, 2, 0)</f>
        <v>variant</v>
      </c>
      <c r="E67" s="4" t="str">
        <f>IFERROR(__xludf.DUMMYFUNCTION("if(H67=""pays"",vlookup(REGEXEXTRACT(C67, ""🏘️ \w+ \w+ (.*) ✅""),'Country prepositions'!A:B, 2, 0) &amp; "" "" &amp; REGEXEXTRACT(C67, ""🏘️ \w+ \w+ (.*) ✅"") ,  if(H67=""quartier"",vlookup(REGEXEXTRACT(C67, ""🏘️ \w+ \w+ (.*) ✅""),'Quartier prepositions'!A:E, 5"&amp;", 0) ,  if(H67=""region"",vlookup(REGEXEXTRACT(C67, ""🏘️ \w+ \w+ (.*) ✅""),'Region prepositions'!B:F, 5, 0),  REGEXEXTRACT(C67, ""🏘️ \w+ \w+ (.*) ✅""))))"),"dans le quartier de St. Jakob (St-Gall)")</f>
        <v>dans le quartier de St. Jakob (St-Gall)</v>
      </c>
      <c r="F67" s="2" t="str">
        <f>IFERROR(__xludf.DUMMYFUNCTION("REGEXEXTRACT(C67, ""🏘️ (\w+) \w+ .* ✅"")"),"Louer")</f>
        <v>Louer</v>
      </c>
      <c r="G67" s="2" t="str">
        <f>IFERROR(__xludf.DUMMYFUNCTION("REGEXEXTRACT(C67, ""🏘️ \w+ (\w+) .* ✅"")"),"appartement")</f>
        <v>appartement</v>
      </c>
      <c r="H67" s="4" t="str">
        <f>IFERROR(__xludf.DUMMYFUNCTION("REGEXEXTRACT(A67, ""/(\w+)-.*?"")"),"quartier")</f>
        <v>quartier</v>
      </c>
      <c r="I67" s="4" t="str">
        <f>IFERROR(__xludf.DUMMYFUNCTION("if(D67=""variant"",  substitute(filter(Templates!E:E, Templates!A:A = F67, Templates!B:B = G67, Templates!C:C = H67), ""{{}}"", E67), B67)"),"🏘  Vous cherchez un appartement à louer dans le quartier de St. Jakob (St-Gall)? ✅ Les annonces les plus actuelles sont sur ImmoScout24.ch.")</f>
        <v>🏘  Vous cherchez un appartement à louer dans le quartier de St. Jakob (St-Gall)? ✅ Les annonces les plus actuelles sont sur ImmoScout24.ch.</v>
      </c>
      <c r="J67" s="4" t="s">
        <v>207</v>
      </c>
    </row>
    <row r="68">
      <c r="A68" s="5" t="s">
        <v>208</v>
      </c>
      <c r="B68" s="2" t="s">
        <v>209</v>
      </c>
      <c r="C68" s="4" t="str">
        <f>IFERROR(__xludf.DUMMYFUNCTION("""🏘️ ""&amp;REGEXEXTRACT(B68, ""^(.*): "")&amp;"" ✅ "" &amp;REGEXEXTRACT(B68, ""(Trouvez.*)"")"),"🏘️ Vendre appartement Lyss ✅ Trouvez le bien immobilier qui correspond idéalement à vos désirs sur ImmoScout24 - La plateforme de l'immobilier en Suisse.")</f>
        <v>🏘️ Vendre appartement Lyss ✅ Trouvez le bien immobilier qui correspond idéalement à vos désirs sur ImmoScout24 - La plateforme de l'immobilier en Suisse.</v>
      </c>
      <c r="D68" s="4" t="str">
        <f>vlookup(A68, Sheet2!D:E, 2, 0)</f>
        <v>variant</v>
      </c>
      <c r="E68" s="4" t="str">
        <f>IFERROR(__xludf.DUMMYFUNCTION("if(H68=""pays"",vlookup(REGEXEXTRACT(C68, ""🏘️ \w+ \w+ (.*) ✅""),'Country prepositions'!A:B, 2, 0) &amp; "" "" &amp; REGEXEXTRACT(C68, ""🏘️ \w+ \w+ (.*) ✅"") ,  if(H68=""quartier"",vlookup(REGEXEXTRACT(C68, ""🏘️ \w+ \w+ (.*) ✅""),'Quartier prepositions'!A:E, 5"&amp;", 0) ,  if(H68=""region"",vlookup(REGEXEXTRACT(C68, ""🏘️ \w+ \w+ (.*) ✅""),'Region prepositions'!B:F, 5, 0),  REGEXEXTRACT(C68, ""🏘️ \w+ \w+ (.*) ✅""))))"),"Lyss")</f>
        <v>Lyss</v>
      </c>
      <c r="F68" s="2" t="str">
        <f>IFERROR(__xludf.DUMMYFUNCTION("REGEXEXTRACT(C68, ""🏘️ (\w+) \w+ .* ✅"")"),"Vendre")</f>
        <v>Vendre</v>
      </c>
      <c r="G68" s="2" t="str">
        <f>IFERROR(__xludf.DUMMYFUNCTION("REGEXEXTRACT(C68, ""🏘️ \w+ (\w+) .* ✅"")"),"appartement")</f>
        <v>appartement</v>
      </c>
      <c r="H68" s="4" t="str">
        <f>IFERROR(__xludf.DUMMYFUNCTION("REGEXEXTRACT(A68, ""/(\w+)-.*?"")"),"lieu")</f>
        <v>lieu</v>
      </c>
      <c r="I68" s="4" t="str">
        <f>IFERROR(__xludf.DUMMYFUNCTION("if(D68=""variant"",  substitute(filter(Templates!E:E, Templates!A:A = F68, Templates!B:B = G68, Templates!C:C = H68), ""{{}}"", E68), B68)"),"🏘  L’appartement de vos rêves se trouve sur ImmoScout24.ch ✅ Découvrez les dernières annonces de vente à Lyss.")</f>
        <v>🏘  L’appartement de vos rêves se trouve sur ImmoScout24.ch ✅ Découvrez les dernières annonces de vente à Lyss.</v>
      </c>
      <c r="J68" s="4" t="s">
        <v>210</v>
      </c>
    </row>
    <row r="69">
      <c r="A69" s="5" t="s">
        <v>211</v>
      </c>
      <c r="B69" s="2" t="s">
        <v>212</v>
      </c>
      <c r="C69" s="4" t="str">
        <f>IFERROR(__xludf.DUMMYFUNCTION("""🏘️ ""&amp;REGEXEXTRACT(B69, ""^(.*): "")&amp;"" ✅ "" &amp;REGEXEXTRACT(B69, ""(Trouvez.*)"")"),"🏘️ Louer appartement Bas Valais ✅ Trouvez le bien immobilier qui correspond idéalement à vos désirs sur ImmoScout24 - La plateforme de l'immobilier en Suisse.")</f>
        <v>🏘️ Louer appartement Bas Valais ✅ Trouvez le bien immobilier qui correspond idéalement à vos désirs sur ImmoScout24 - La plateforme de l'immobilier en Suisse.</v>
      </c>
      <c r="D69" s="4" t="str">
        <f>vlookup(A69, Sheet2!D:E, 2, 0)</f>
        <v>variant</v>
      </c>
      <c r="E69" s="4" t="str">
        <f>IFERROR(__xludf.DUMMYFUNCTION("if(H69=""pays"",vlookup(REGEXEXTRACT(C69, ""🏘️ \w+ \w+ (.*) ✅""),'Country prepositions'!A:B, 2, 0) &amp; "" "" &amp; REGEXEXTRACT(C69, ""🏘️ \w+ \w+ (.*) ✅"") ,  if(H69=""quartier"",vlookup(REGEXEXTRACT(C69, ""🏘️ \w+ \w+ (.*) ✅""),'Quartier prepositions'!A:E, 5"&amp;", 0) ,  if(H69=""region"",vlookup(REGEXEXTRACT(C69, ""🏘️ \w+ \w+ (.*) ✅""),'Region prepositions'!B:F, 5, 0),  REGEXEXTRACT(C69, ""🏘️ \w+ \w+ (.*) ✅""))))"),"dans le Bas-Valais")</f>
        <v>dans le Bas-Valais</v>
      </c>
      <c r="F69" s="2" t="str">
        <f>IFERROR(__xludf.DUMMYFUNCTION("REGEXEXTRACT(C69, ""🏘️ (\w+) \w+ .* ✅"")"),"Louer")</f>
        <v>Louer</v>
      </c>
      <c r="G69" s="2" t="str">
        <f>IFERROR(__xludf.DUMMYFUNCTION("REGEXEXTRACT(C69, ""🏘️ \w+ (\w+) .* ✅"")"),"appartement")</f>
        <v>appartement</v>
      </c>
      <c r="H69" s="4" t="str">
        <f>IFERROR(__xludf.DUMMYFUNCTION("REGEXEXTRACT(A69, ""/(\w+)-.*?"")"),"region")</f>
        <v>region</v>
      </c>
      <c r="I69" s="4" t="str">
        <f>IFERROR(__xludf.DUMMYFUNCTION("if(D69=""variant"",  substitute(filter(Templates!E:E, Templates!A:A = F69, Templates!B:B = G69, Templates!C:C = H69), ""{{}}"", E69), B69)"),"🏘  Vous cherchez un appartement à louer dans le Bas-Valais? ✅ Les annonces les plus actuelles sont sur ImmoScout24.ch.")</f>
        <v>🏘  Vous cherchez un appartement à louer dans le Bas-Valais? ✅ Les annonces les plus actuelles sont sur ImmoScout24.ch.</v>
      </c>
      <c r="J69" s="4" t="s">
        <v>213</v>
      </c>
    </row>
    <row r="70">
      <c r="A70" s="5" t="s">
        <v>214</v>
      </c>
      <c r="B70" s="2" t="s">
        <v>215</v>
      </c>
      <c r="C70" s="4" t="str">
        <f>IFERROR(__xludf.DUMMYFUNCTION("""🏘️ ""&amp;REGEXEXTRACT(B70, ""^(.*): "")&amp;"" ✅ "" &amp;REGEXEXTRACT(B70, ""(Trouvez.*)"")"),"🏘️ Louer appartement Nidau ✅ Trouvez le bien immobilier qui correspond idéalement à vos désirs sur ImmoScout24 - La plateforme de l'immobilier en Suisse.")</f>
        <v>🏘️ Louer appartement Nidau ✅ Trouvez le bien immobilier qui correspond idéalement à vos désirs sur ImmoScout24 - La plateforme de l'immobilier en Suisse.</v>
      </c>
      <c r="D70" s="4" t="str">
        <f>vlookup(A70, Sheet2!D:E, 2, 0)</f>
        <v>variant</v>
      </c>
      <c r="E70" s="4" t="str">
        <f>IFERROR(__xludf.DUMMYFUNCTION("if(H70=""pays"",vlookup(REGEXEXTRACT(C70, ""🏘️ \w+ \w+ (.*) ✅""),'Country prepositions'!A:B, 2, 0) &amp; "" "" &amp; REGEXEXTRACT(C70, ""🏘️ \w+ \w+ (.*) ✅"") ,  if(H70=""quartier"",vlookup(REGEXEXTRACT(C70, ""🏘️ \w+ \w+ (.*) ✅""),'Quartier prepositions'!A:E, 5"&amp;", 0) ,  if(H70=""region"",vlookup(REGEXEXTRACT(C70, ""🏘️ \w+ \w+ (.*) ✅""),'Region prepositions'!B:F, 5, 0),  REGEXEXTRACT(C70, ""🏘️ \w+ \w+ (.*) ✅""))))"),"Nidau")</f>
        <v>Nidau</v>
      </c>
      <c r="F70" s="2" t="str">
        <f>IFERROR(__xludf.DUMMYFUNCTION("REGEXEXTRACT(C70, ""🏘️ (\w+) \w+ .* ✅"")"),"Louer")</f>
        <v>Louer</v>
      </c>
      <c r="G70" s="2" t="str">
        <f>IFERROR(__xludf.DUMMYFUNCTION("REGEXEXTRACT(C70, ""🏘️ \w+ (\w+) .* ✅"")"),"appartement")</f>
        <v>appartement</v>
      </c>
      <c r="H70" s="4" t="str">
        <f>IFERROR(__xludf.DUMMYFUNCTION("REGEXEXTRACT(A70, ""/(\w+)-.*?"")"),"lieu")</f>
        <v>lieu</v>
      </c>
      <c r="I70" s="4" t="str">
        <f>IFERROR(__xludf.DUMMYFUNCTION("if(D70=""variant"",  substitute(filter(Templates!E:E, Templates!A:A = F70, Templates!B:B = G70, Templates!C:C = H70), ""{{}}"", E70), B70)"),"🏘  Vous cherchez un appartement à louer à Nidau? ✅ Les annonces les plus actuelles sont sur ImmoScout24.ch.")</f>
        <v>🏘  Vous cherchez un appartement à louer à Nidau? ✅ Les annonces les plus actuelles sont sur ImmoScout24.ch.</v>
      </c>
      <c r="J70" s="4" t="s">
        <v>216</v>
      </c>
    </row>
    <row r="71">
      <c r="A71" s="5" t="s">
        <v>217</v>
      </c>
      <c r="B71" s="2" t="s">
        <v>218</v>
      </c>
      <c r="C71" s="4" t="str">
        <f>IFERROR(__xludf.DUMMYFUNCTION("""🏘️ ""&amp;REGEXEXTRACT(B71, ""^(.*): "")&amp;"" ✅ "" &amp;REGEXEXTRACT(B71, ""(Trouvez.*)"")"),"🏘️ Louer appartement Puidoux ✅ Trouvez le bien immobilier qui correspond idéalement à vos désirs sur ImmoScout24 - La plateforme de l'immobilier en Suisse.")</f>
        <v>🏘️ Louer appartement Puidoux ✅ Trouvez le bien immobilier qui correspond idéalement à vos désirs sur ImmoScout24 - La plateforme de l'immobilier en Suisse.</v>
      </c>
      <c r="D71" s="4" t="str">
        <f>vlookup(A71, Sheet2!D:E, 2, 0)</f>
        <v>variant</v>
      </c>
      <c r="E71" s="4" t="str">
        <f>IFERROR(__xludf.DUMMYFUNCTION("if(H71=""pays"",vlookup(REGEXEXTRACT(C71, ""🏘️ \w+ \w+ (.*) ✅""),'Country prepositions'!A:B, 2, 0) &amp; "" "" &amp; REGEXEXTRACT(C71, ""🏘️ \w+ \w+ (.*) ✅"") ,  if(H71=""quartier"",vlookup(REGEXEXTRACT(C71, ""🏘️ \w+ \w+ (.*) ✅""),'Quartier prepositions'!A:E, 5"&amp;", 0) ,  if(H71=""region"",vlookup(REGEXEXTRACT(C71, ""🏘️ \w+ \w+ (.*) ✅""),'Region prepositions'!B:F, 5, 0),  REGEXEXTRACT(C71, ""🏘️ \w+ \w+ (.*) ✅""))))"),"Puidoux")</f>
        <v>Puidoux</v>
      </c>
      <c r="F71" s="2" t="str">
        <f>IFERROR(__xludf.DUMMYFUNCTION("REGEXEXTRACT(C71, ""🏘️ (\w+) \w+ .* ✅"")"),"Louer")</f>
        <v>Louer</v>
      </c>
      <c r="G71" s="2" t="str">
        <f>IFERROR(__xludf.DUMMYFUNCTION("REGEXEXTRACT(C71, ""🏘️ \w+ (\w+) .* ✅"")"),"appartement")</f>
        <v>appartement</v>
      </c>
      <c r="H71" s="4" t="str">
        <f>IFERROR(__xludf.DUMMYFUNCTION("REGEXEXTRACT(A71, ""/(\w+)-.*?"")"),"lieu")</f>
        <v>lieu</v>
      </c>
      <c r="I71" s="4" t="str">
        <f>IFERROR(__xludf.DUMMYFUNCTION("if(D71=""variant"",  substitute(filter(Templates!E:E, Templates!A:A = F71, Templates!B:B = G71, Templates!C:C = H71), ""{{}}"", E71), B71)"),"🏘  Vous cherchez un appartement à louer à Puidoux? ✅ Les annonces les plus actuelles sont sur ImmoScout24.ch.")</f>
        <v>🏘  Vous cherchez un appartement à louer à Puidoux? ✅ Les annonces les plus actuelles sont sur ImmoScout24.ch.</v>
      </c>
      <c r="J71" s="4" t="s">
        <v>219</v>
      </c>
    </row>
    <row r="72">
      <c r="A72" s="5" t="s">
        <v>220</v>
      </c>
      <c r="B72" s="2" t="s">
        <v>221</v>
      </c>
      <c r="C72" s="4" t="str">
        <f>IFERROR(__xludf.DUMMYFUNCTION("""🏘️ ""&amp;REGEXEXTRACT(B72, ""^(.*): "")&amp;"" ✅ "" &amp;REGEXEXTRACT(B72, ""(Trouvez.*)"")"),"🏘️ Vendre appartement Disentis/Mustér ✅ Trouvez le bien immobilier qui correspond idéalement à vos désirs sur ImmoScout24 - La plateforme de l'immobilier en Suisse.")</f>
        <v>🏘️ Vendre appartement Disentis/Mustér ✅ Trouvez le bien immobilier qui correspond idéalement à vos désirs sur ImmoScout24 - La plateforme de l'immobilier en Suisse.</v>
      </c>
      <c r="D72" s="4" t="str">
        <f>vlookup(A72, Sheet2!D:E, 2, 0)</f>
        <v>variant</v>
      </c>
      <c r="E72" s="4" t="str">
        <f>IFERROR(__xludf.DUMMYFUNCTION("if(H72=""pays"",vlookup(REGEXEXTRACT(C72, ""🏘️ \w+ \w+ (.*) ✅""),'Country prepositions'!A:B, 2, 0) &amp; "" "" &amp; REGEXEXTRACT(C72, ""🏘️ \w+ \w+ (.*) ✅"") ,  if(H72=""quartier"",vlookup(REGEXEXTRACT(C72, ""🏘️ \w+ \w+ (.*) ✅""),'Quartier prepositions'!A:E, 5"&amp;", 0) ,  if(H72=""region"",vlookup(REGEXEXTRACT(C72, ""🏘️ \w+ \w+ (.*) ✅""),'Region prepositions'!B:F, 5, 0),  REGEXEXTRACT(C72, ""🏘️ \w+ \w+ (.*) ✅""))))"),"Disentis/Mustér")</f>
        <v>Disentis/Mustér</v>
      </c>
      <c r="F72" s="2" t="str">
        <f>IFERROR(__xludf.DUMMYFUNCTION("REGEXEXTRACT(C72, ""🏘️ (\w+) \w+ .* ✅"")"),"Vendre")</f>
        <v>Vendre</v>
      </c>
      <c r="G72" s="2" t="str">
        <f>IFERROR(__xludf.DUMMYFUNCTION("REGEXEXTRACT(C72, ""🏘️ \w+ (\w+) .* ✅"")"),"appartement")</f>
        <v>appartement</v>
      </c>
      <c r="H72" s="4" t="str">
        <f>IFERROR(__xludf.DUMMYFUNCTION("REGEXEXTRACT(A72, ""/(\w+)-.*?"")"),"lieu")</f>
        <v>lieu</v>
      </c>
      <c r="I72" s="4" t="str">
        <f>IFERROR(__xludf.DUMMYFUNCTION("if(D72=""variant"",  substitute(filter(Templates!E:E, Templates!A:A = F72, Templates!B:B = G72, Templates!C:C = H72), ""{{}}"", E72), B72)"),"🏘  L’appartement de vos rêves se trouve sur ImmoScout24.ch ✅ Découvrez les dernières annonces de vente à Disentis/Mustér.")</f>
        <v>🏘  L’appartement de vos rêves se trouve sur ImmoScout24.ch ✅ Découvrez les dernières annonces de vente à Disentis/Mustér.</v>
      </c>
      <c r="J72" s="4" t="s">
        <v>222</v>
      </c>
    </row>
    <row r="73">
      <c r="A73" s="5" t="s">
        <v>223</v>
      </c>
      <c r="B73" s="2" t="s">
        <v>224</v>
      </c>
      <c r="C73" s="4" t="str">
        <f>IFERROR(__xludf.DUMMYFUNCTION("""🏘️ ""&amp;REGEXEXTRACT(B73, ""^(.*): "")&amp;"" ✅ "" &amp;REGEXEXTRACT(B73, ""(Trouvez.*)"")"),"🏘️ Louer appartement Thierachern ✅ Trouvez le bien immobilier qui correspond idéalement à vos désirs sur ImmoScout24 - La plateforme de l'immobilier en Suisse.")</f>
        <v>🏘️ Louer appartement Thierachern ✅ Trouvez le bien immobilier qui correspond idéalement à vos désirs sur ImmoScout24 - La plateforme de l'immobilier en Suisse.</v>
      </c>
      <c r="D73" s="4" t="str">
        <f>vlookup(A73, Sheet2!D:E, 2, 0)</f>
        <v>variant</v>
      </c>
      <c r="E73" s="4" t="str">
        <f>IFERROR(__xludf.DUMMYFUNCTION("if(H73=""pays"",vlookup(REGEXEXTRACT(C73, ""🏘️ \w+ \w+ (.*) ✅""),'Country prepositions'!A:B, 2, 0) &amp; "" "" &amp; REGEXEXTRACT(C73, ""🏘️ \w+ \w+ (.*) ✅"") ,  if(H73=""quartier"",vlookup(REGEXEXTRACT(C73, ""🏘️ \w+ \w+ (.*) ✅""),'Quartier prepositions'!A:E, 5"&amp;", 0) ,  if(H73=""region"",vlookup(REGEXEXTRACT(C73, ""🏘️ \w+ \w+ (.*) ✅""),'Region prepositions'!B:F, 5, 0),  REGEXEXTRACT(C73, ""🏘️ \w+ \w+ (.*) ✅""))))"),"Thierachern")</f>
        <v>Thierachern</v>
      </c>
      <c r="F73" s="2" t="str">
        <f>IFERROR(__xludf.DUMMYFUNCTION("REGEXEXTRACT(C73, ""🏘️ (\w+) \w+ .* ✅"")"),"Louer")</f>
        <v>Louer</v>
      </c>
      <c r="G73" s="2" t="str">
        <f>IFERROR(__xludf.DUMMYFUNCTION("REGEXEXTRACT(C73, ""🏘️ \w+ (\w+) .* ✅"")"),"appartement")</f>
        <v>appartement</v>
      </c>
      <c r="H73" s="4" t="str">
        <f>IFERROR(__xludf.DUMMYFUNCTION("REGEXEXTRACT(A73, ""/(\w+)-.*?"")"),"lieu")</f>
        <v>lieu</v>
      </c>
      <c r="I73" s="4" t="str">
        <f>IFERROR(__xludf.DUMMYFUNCTION("if(D73=""variant"",  substitute(filter(Templates!E:E, Templates!A:A = F73, Templates!B:B = G73, Templates!C:C = H73), ""{{}}"", E73), B73)"),"🏘  Vous cherchez un appartement à louer à Thierachern? ✅ Les annonces les plus actuelles sont sur ImmoScout24.ch.")</f>
        <v>🏘  Vous cherchez un appartement à louer à Thierachern? ✅ Les annonces les plus actuelles sont sur ImmoScout24.ch.</v>
      </c>
      <c r="J73" s="4" t="s">
        <v>225</v>
      </c>
    </row>
    <row r="74">
      <c r="A74" s="5" t="s">
        <v>226</v>
      </c>
      <c r="B74" s="2" t="s">
        <v>227</v>
      </c>
      <c r="C74" s="4" t="str">
        <f>IFERROR(__xludf.DUMMYFUNCTION("""🏘️ ""&amp;REGEXEXTRACT(B74, ""^(.*): "")&amp;"" ✅ "" &amp;REGEXEXTRACT(B74, ""(Trouvez.*)"")"),"🏘️ Vendre maison Toggenburg ✅ Trouvez le bien immobilier qui correspond idéalement à vos désirs sur ImmoScout24 - La plateforme de l'immobilier en Suisse.")</f>
        <v>🏘️ Vendre maison Toggenburg ✅ Trouvez le bien immobilier qui correspond idéalement à vos désirs sur ImmoScout24 - La plateforme de l'immobilier en Suisse.</v>
      </c>
      <c r="D74" s="4" t="str">
        <f>vlookup(A74, Sheet2!D:E, 2, 0)</f>
        <v>variant</v>
      </c>
      <c r="E74" s="4" t="str">
        <f>IFERROR(__xludf.DUMMYFUNCTION("if(H74=""pays"",vlookup(REGEXEXTRACT(C74, ""🏘️ \w+ \w+ (.*) ✅""),'Country prepositions'!A:B, 2, 0) &amp; "" "" &amp; REGEXEXTRACT(C74, ""🏘️ \w+ \w+ (.*) ✅"") ,  if(H74=""quartier"",vlookup(REGEXEXTRACT(C74, ""🏘️ \w+ \w+ (.*) ✅""),'Quartier prepositions'!A:E, 5"&amp;", 0) ,  if(H74=""region"",vlookup(REGEXEXTRACT(C74, ""🏘️ \w+ \w+ (.*) ✅""),'Region prepositions'!B:F, 5, 0),  REGEXEXTRACT(C74, ""🏘️ \w+ \w+ (.*) ✅""))))"),"dans la région du Toggenburg")</f>
        <v>dans la région du Toggenburg</v>
      </c>
      <c r="F74" s="2" t="str">
        <f>IFERROR(__xludf.DUMMYFUNCTION("REGEXEXTRACT(C74, ""🏘️ (\w+) \w+ .* ✅"")"),"Vendre")</f>
        <v>Vendre</v>
      </c>
      <c r="G74" s="2" t="str">
        <f>IFERROR(__xludf.DUMMYFUNCTION("REGEXEXTRACT(C74, ""🏘️ \w+ (\w+) .* ✅"")"),"maison")</f>
        <v>maison</v>
      </c>
      <c r="H74" s="4" t="str">
        <f>IFERROR(__xludf.DUMMYFUNCTION("REGEXEXTRACT(A74, ""/(\w+)-.*?"")"),"region")</f>
        <v>region</v>
      </c>
      <c r="I74" s="4" t="str">
        <f>IFERROR(__xludf.DUMMYFUNCTION("if(D74=""variant"",  substitute(filter(Templates!E:E, Templates!A:A = F74, Templates!B:B = G74, Templates!C:C = H74), ""{{}}"", E74), B74)"),"🏘  Vous souhaitez acheter une maison dans la région du Toggenburg? ✅ Jetez un œil aux dernières offres sur ImmoScout24.ch.")</f>
        <v>🏘  Vous souhaitez acheter une maison dans la région du Toggenburg? ✅ Jetez un œil aux dernières offres sur ImmoScout24.ch.</v>
      </c>
      <c r="J74" s="4" t="s">
        <v>228</v>
      </c>
    </row>
    <row r="75">
      <c r="A75" s="3" t="s">
        <v>229</v>
      </c>
      <c r="B75" s="2" t="s">
        <v>230</v>
      </c>
      <c r="C75" s="4" t="str">
        <f>IFERROR(__xludf.DUMMYFUNCTION("""🏘️ ""&amp;REGEXEXTRACT(B75, ""^(.*): "")&amp;"" ✅ "" &amp;REGEXEXTRACT(B75, ""(Trouvez.*)"")"),"🏘️ Louer maison Canton de Genève ✅ Trouvez le bien immobilier qui correspond idéalement à vos désirs sur ImmoScout24 - La plateforme de l'immobilier en Suisse.")</f>
        <v>🏘️ Louer maison Canton de Genève ✅ Trouvez le bien immobilier qui correspond idéalement à vos désirs sur ImmoScout24 - La plateforme de l'immobilier en Suisse.</v>
      </c>
      <c r="D75" s="4" t="str">
        <f>vlookup(A75, Sheet2!D:E, 2, 0)</f>
        <v>variant</v>
      </c>
      <c r="E75" s="4" t="str">
        <f>IFERROR(__xludf.DUMMYFUNCTION("if(H75=""pays"",vlookup(REGEXEXTRACT(C75, ""🏘️ \w+ \w+ (.*) ✅""),'Country prepositions'!A:B, 2, 0) &amp; "" "" &amp; REGEXEXTRACT(C75, ""🏘️ \w+ \w+ (.*) ✅"") ,  if(H75=""quartier"",vlookup(REGEXEXTRACT(C75, ""🏘️ \w+ \w+ (.*) ✅""),'Quartier prepositions'!A:E, 5"&amp;", 0) ,  if(H75=""region"",vlookup(REGEXEXTRACT(C75, ""🏘️ \w+ \w+ (.*) ✅""),'Region prepositions'!B:F, 5, 0),  REGEXEXTRACT(C75, ""🏘️ \w+ \w+ (.*) ✅""))))"),"Canton de Genève")</f>
        <v>Canton de Genève</v>
      </c>
      <c r="F75" s="2" t="str">
        <f>IFERROR(__xludf.DUMMYFUNCTION("REGEXEXTRACT(C75, ""🏘️ (\w+) \w+ .* ✅"")"),"Louer")</f>
        <v>Louer</v>
      </c>
      <c r="G75" s="2" t="str">
        <f>IFERROR(__xludf.DUMMYFUNCTION("REGEXEXTRACT(C75, ""🏘️ \w+ (\w+) .* ✅"")"),"maison")</f>
        <v>maison</v>
      </c>
      <c r="H75" s="4" t="str">
        <f>IFERROR(__xludf.DUMMYFUNCTION("REGEXEXTRACT(A75, ""/(\w+)-.*?"")"),"canton")</f>
        <v>canton</v>
      </c>
      <c r="I75" s="4" t="str">
        <f>IFERROR(__xludf.DUMMYFUNCTION("if(D75=""variant"",  substitute(filter(Templates!E:E, Templates!A:A = F75, Templates!B:B = G75, Templates!C:C = H75), ""{{}}"", E75), B75)"),"🏘  Vous cherchez une maison à louer dans le Canton de Genève? ✅ Découvrez nos nombreuses annonces sur ImmoScout24.ch.")</f>
        <v>🏘  Vous cherchez une maison à louer dans le Canton de Genève? ✅ Découvrez nos nombreuses annonces sur ImmoScout24.ch.</v>
      </c>
      <c r="J75" s="4" t="s">
        <v>231</v>
      </c>
    </row>
    <row r="76">
      <c r="A76" s="5" t="s">
        <v>232</v>
      </c>
      <c r="B76" s="2" t="s">
        <v>233</v>
      </c>
      <c r="C76" s="4" t="str">
        <f>IFERROR(__xludf.DUMMYFUNCTION("""🏘️ ""&amp;REGEXEXTRACT(B76, ""^(.*): "")&amp;"" ✅ "" &amp;REGEXEXTRACT(B76, ""(Trouvez.*)"")"),"🏘️ Louer maison Bramois ✅ Trouvez le bien immobilier qui correspond idéalement à vos désirs sur ImmoScout24 - La plateforme de l'immobilier en Suisse.")</f>
        <v>🏘️ Louer maison Bramois ✅ Trouvez le bien immobilier qui correspond idéalement à vos désirs sur ImmoScout24 - La plateforme de l'immobilier en Suisse.</v>
      </c>
      <c r="D76" s="4" t="str">
        <f>vlookup(A76, Sheet2!D:E, 2, 0)</f>
        <v>variant</v>
      </c>
      <c r="E76" s="4" t="str">
        <f>IFERROR(__xludf.DUMMYFUNCTION("if(H76=""pays"",vlookup(REGEXEXTRACT(C76, ""🏘️ \w+ \w+ (.*) ✅""),'Country prepositions'!A:B, 2, 0) &amp; "" "" &amp; REGEXEXTRACT(C76, ""🏘️ \w+ \w+ (.*) ✅"") ,  if(H76=""quartier"",vlookup(REGEXEXTRACT(C76, ""🏘️ \w+ \w+ (.*) ✅""),'Quartier prepositions'!A:E, 5"&amp;", 0) ,  if(H76=""region"",vlookup(REGEXEXTRACT(C76, ""🏘️ \w+ \w+ (.*) ✅""),'Region prepositions'!B:F, 5, 0),  REGEXEXTRACT(C76, ""🏘️ \w+ \w+ (.*) ✅""))))"),"Bramois")</f>
        <v>Bramois</v>
      </c>
      <c r="F76" s="2" t="str">
        <f>IFERROR(__xludf.DUMMYFUNCTION("REGEXEXTRACT(C76, ""🏘️ (\w+) \w+ .* ✅"")"),"Louer")</f>
        <v>Louer</v>
      </c>
      <c r="G76" s="2" t="str">
        <f>IFERROR(__xludf.DUMMYFUNCTION("REGEXEXTRACT(C76, ""🏘️ \w+ (\w+) .* ✅"")"),"maison")</f>
        <v>maison</v>
      </c>
      <c r="H76" s="4" t="str">
        <f>IFERROR(__xludf.DUMMYFUNCTION("REGEXEXTRACT(A76, ""/(\w+)-.*?"")"),"lieu")</f>
        <v>lieu</v>
      </c>
      <c r="I76" s="4" t="str">
        <f>IFERROR(__xludf.DUMMYFUNCTION("if(D76=""variant"",  substitute(filter(Templates!E:E, Templates!A:A = F76, Templates!B:B = G76, Templates!C:C = H76), ""{{}}"", E76), B76)"),"🏘  Vous cherchez une maison à louer à Bramois? ✅ Découvrez nos nombreuses annonces sur ImmoScout24.ch.")</f>
        <v>🏘  Vous cherchez une maison à louer à Bramois? ✅ Découvrez nos nombreuses annonces sur ImmoScout24.ch.</v>
      </c>
      <c r="J76" s="4" t="s">
        <v>234</v>
      </c>
    </row>
    <row r="77">
      <c r="A77" s="5" t="s">
        <v>235</v>
      </c>
      <c r="B77" s="2" t="s">
        <v>236</v>
      </c>
      <c r="C77" s="4" t="str">
        <f>IFERROR(__xludf.DUMMYFUNCTION("""🏘️ ""&amp;REGEXEXTRACT(B77, ""^(.*): "")&amp;"" ✅ "" &amp;REGEXEXTRACT(B77, ""(Trouvez.*)"")"),"🏘️ Vendre appartement Espagne ✅ Trouvez le bien immobilier qui correspond idéalement à vos désirs sur ImmoScout24 - La plateforme de l'immobilier en Suisse.")</f>
        <v>🏘️ Vendre appartement Espagne ✅ Trouvez le bien immobilier qui correspond idéalement à vos désirs sur ImmoScout24 - La plateforme de l'immobilier en Suisse.</v>
      </c>
      <c r="D77" s="4" t="str">
        <f>vlookup(A77, Sheet2!D:E, 2, 0)</f>
        <v>variant</v>
      </c>
      <c r="E77" s="4" t="str">
        <f>IFERROR(__xludf.DUMMYFUNCTION("if(H77=""pays"",vlookup(REGEXEXTRACT(C77, ""🏘️ \w+ \w+ (.*) ✅""),'Country prepositions'!A:B, 2, 0) &amp; "" "" &amp; REGEXEXTRACT(C77, ""🏘️ \w+ \w+ (.*) ✅"") ,  if(H77=""quartier"",vlookup(REGEXEXTRACT(C77, ""🏘️ \w+ \w+ (.*) ✅""),'Quartier prepositions'!A:E, 5"&amp;", 0) ,  if(H77=""region"",vlookup(REGEXEXTRACT(C77, ""🏘️ \w+ \w+ (.*) ✅""),'Region prepositions'!B:F, 5, 0),  REGEXEXTRACT(C77, ""🏘️ \w+ \w+ (.*) ✅""))))"),"en Espagne")</f>
        <v>en Espagne</v>
      </c>
      <c r="F77" s="2" t="str">
        <f>IFERROR(__xludf.DUMMYFUNCTION("REGEXEXTRACT(C77, ""🏘️ (\w+) \w+ .* ✅"")"),"Vendre")</f>
        <v>Vendre</v>
      </c>
      <c r="G77" s="2" t="str">
        <f>IFERROR(__xludf.DUMMYFUNCTION("REGEXEXTRACT(C77, ""🏘️ \w+ (\w+) .* ✅"")"),"appartement")</f>
        <v>appartement</v>
      </c>
      <c r="H77" s="4" t="str">
        <f>IFERROR(__xludf.DUMMYFUNCTION("REGEXEXTRACT(A77, ""/(\w+)-.*?"")"),"pays")</f>
        <v>pays</v>
      </c>
      <c r="I77" s="4" t="str">
        <f>IFERROR(__xludf.DUMMYFUNCTION("if(D77=""variant"",  substitute(filter(Templates!E:E, Templates!A:A = F77, Templates!B:B = G77, Templates!C:C = H77), ""{{}}"", E77), B77)"),"🏘  Vous cherchez un appartement à louer en Espagne? ✅ Les annonces les plus actuelles sont sur ImmoScout24.ch.")</f>
        <v>🏘  Vous cherchez un appartement à louer en Espagne? ✅ Les annonces les plus actuelles sont sur ImmoScout24.ch.</v>
      </c>
      <c r="J77" s="4" t="s">
        <v>237</v>
      </c>
    </row>
    <row r="78">
      <c r="A78" s="5" t="s">
        <v>238</v>
      </c>
      <c r="B78" s="2" t="s">
        <v>239</v>
      </c>
      <c r="C78" s="4" t="str">
        <f>IFERROR(__xludf.DUMMYFUNCTION("""🏘️ ""&amp;REGEXEXTRACT(B78, ""^(.*): "")&amp;"" ✅ "" &amp;REGEXEXTRACT(B78, ""(Trouvez.*)"")"),"🏘️ Vendre appartement Grandcour ✅ Trouvez le bien immobilier qui correspond idéalement à vos désirs sur ImmoScout24 - La plateforme de l'immobilier en Suisse.")</f>
        <v>🏘️ Vendre appartement Grandcour ✅ Trouvez le bien immobilier qui correspond idéalement à vos désirs sur ImmoScout24 - La plateforme de l'immobilier en Suisse.</v>
      </c>
      <c r="D78" s="4" t="str">
        <f>vlookup(A78, Sheet2!D:E, 2, 0)</f>
        <v>variant</v>
      </c>
      <c r="E78" s="4" t="str">
        <f>IFERROR(__xludf.DUMMYFUNCTION("if(H78=""pays"",vlookup(REGEXEXTRACT(C78, ""🏘️ \w+ \w+ (.*) ✅""),'Country prepositions'!A:B, 2, 0) &amp; "" "" &amp; REGEXEXTRACT(C78, ""🏘️ \w+ \w+ (.*) ✅"") ,  if(H78=""quartier"",vlookup(REGEXEXTRACT(C78, ""🏘️ \w+ \w+ (.*) ✅""),'Quartier prepositions'!A:E, 5"&amp;", 0) ,  if(H78=""region"",vlookup(REGEXEXTRACT(C78, ""🏘️ \w+ \w+ (.*) ✅""),'Region prepositions'!B:F, 5, 0),  REGEXEXTRACT(C78, ""🏘️ \w+ \w+ (.*) ✅""))))"),"Grandcour")</f>
        <v>Grandcour</v>
      </c>
      <c r="F78" s="2" t="str">
        <f>IFERROR(__xludf.DUMMYFUNCTION("REGEXEXTRACT(C78, ""🏘️ (\w+) \w+ .* ✅"")"),"Vendre")</f>
        <v>Vendre</v>
      </c>
      <c r="G78" s="2" t="str">
        <f>IFERROR(__xludf.DUMMYFUNCTION("REGEXEXTRACT(C78, ""🏘️ \w+ (\w+) .* ✅"")"),"appartement")</f>
        <v>appartement</v>
      </c>
      <c r="H78" s="4" t="str">
        <f>IFERROR(__xludf.DUMMYFUNCTION("REGEXEXTRACT(A78, ""/(\w+)-.*?"")"),"lieu")</f>
        <v>lieu</v>
      </c>
      <c r="I78" s="4" t="str">
        <f>IFERROR(__xludf.DUMMYFUNCTION("if(D78=""variant"",  substitute(filter(Templates!E:E, Templates!A:A = F78, Templates!B:B = G78, Templates!C:C = H78), ""{{}}"", E78), B78)"),"🏘  L’appartement de vos rêves se trouve sur ImmoScout24.ch ✅ Découvrez les dernières annonces de vente à Grandcour.")</f>
        <v>🏘  L’appartement de vos rêves se trouve sur ImmoScout24.ch ✅ Découvrez les dernières annonces de vente à Grandcour.</v>
      </c>
      <c r="J78" s="4" t="s">
        <v>240</v>
      </c>
    </row>
    <row r="79">
      <c r="A79" s="5" t="s">
        <v>241</v>
      </c>
      <c r="B79" s="2" t="s">
        <v>242</v>
      </c>
      <c r="C79" s="4" t="str">
        <f>IFERROR(__xludf.DUMMYFUNCTION("""🏘️ ""&amp;REGEXEXTRACT(B79, ""^(.*): "")&amp;"" ✅ "" &amp;REGEXEXTRACT(B79, ""(Trouvez.*)"")"),"🏘️ Vendre maison Eich ✅ Trouvez le bien immobilier qui correspond idéalement à vos désirs sur ImmoScout24 - La plateforme de l'immobilier en Suisse.")</f>
        <v>🏘️ Vendre maison Eich ✅ Trouvez le bien immobilier qui correspond idéalement à vos désirs sur ImmoScout24 - La plateforme de l'immobilier en Suisse.</v>
      </c>
      <c r="D79" s="4" t="str">
        <f>vlookup(A79, Sheet2!D:E, 2, 0)</f>
        <v>variant</v>
      </c>
      <c r="E79" s="4" t="str">
        <f>IFERROR(__xludf.DUMMYFUNCTION("if(H79=""pays"",vlookup(REGEXEXTRACT(C79, ""🏘️ \w+ \w+ (.*) ✅""),'Country prepositions'!A:B, 2, 0) &amp; "" "" &amp; REGEXEXTRACT(C79, ""🏘️ \w+ \w+ (.*) ✅"") ,  if(H79=""quartier"",vlookup(REGEXEXTRACT(C79, ""🏘️ \w+ \w+ (.*) ✅""),'Quartier prepositions'!A:E, 5"&amp;", 0) ,  if(H79=""region"",vlookup(REGEXEXTRACT(C79, ""🏘️ \w+ \w+ (.*) ✅""),'Region prepositions'!B:F, 5, 0),  REGEXEXTRACT(C79, ""🏘️ \w+ \w+ (.*) ✅""))))"),"Eich")</f>
        <v>Eich</v>
      </c>
      <c r="F79" s="2" t="str">
        <f>IFERROR(__xludf.DUMMYFUNCTION("REGEXEXTRACT(C79, ""🏘️ (\w+) \w+ .* ✅"")"),"Vendre")</f>
        <v>Vendre</v>
      </c>
      <c r="G79" s="2" t="str">
        <f>IFERROR(__xludf.DUMMYFUNCTION("REGEXEXTRACT(C79, ""🏘️ \w+ (\w+) .* ✅"")"),"maison")</f>
        <v>maison</v>
      </c>
      <c r="H79" s="4" t="str">
        <f>IFERROR(__xludf.DUMMYFUNCTION("REGEXEXTRACT(A79, ""/(\w+)-.*?"")"),"lieu")</f>
        <v>lieu</v>
      </c>
      <c r="I79" s="4" t="str">
        <f>IFERROR(__xludf.DUMMYFUNCTION("if(D79=""variant"",  substitute(filter(Templates!E:E, Templates!A:A = F79, Templates!B:B = G79, Templates!C:C = H79), ""{{}}"", E79), B79)"),"🏘  Vous souhaitez acheter une maison à Eich? ✅ Jetez un œil aux dernières offres sur ImmoScout24.ch.")</f>
        <v>🏘  Vous souhaitez acheter une maison à Eich? ✅ Jetez un œil aux dernières offres sur ImmoScout24.ch.</v>
      </c>
      <c r="J79" s="4" t="s">
        <v>243</v>
      </c>
    </row>
    <row r="80">
      <c r="A80" s="5" t="s">
        <v>244</v>
      </c>
      <c r="B80" s="2" t="s">
        <v>245</v>
      </c>
      <c r="C80" s="4" t="str">
        <f>IFERROR(__xludf.DUMMYFUNCTION("""🏘️ ""&amp;REGEXEXTRACT(B80, ""^(.*): "")&amp;"" ✅ "" &amp;REGEXEXTRACT(B80, ""(Trouvez.*)"")"),"🏘️ Vendre appartement Lengnau BE ✅ Trouvez le bien immobilier qui correspond idéalement à vos désirs sur ImmoScout24 - La plateforme de l'immobilier en Suisse.")</f>
        <v>🏘️ Vendre appartement Lengnau BE ✅ Trouvez le bien immobilier qui correspond idéalement à vos désirs sur ImmoScout24 - La plateforme de l'immobilier en Suisse.</v>
      </c>
      <c r="D80" s="4" t="str">
        <f>vlookup(A80, Sheet2!D:E, 2, 0)</f>
        <v>variant</v>
      </c>
      <c r="E80" s="4" t="str">
        <f>IFERROR(__xludf.DUMMYFUNCTION("if(H80=""pays"",vlookup(REGEXEXTRACT(C80, ""🏘️ \w+ \w+ (.*) ✅""),'Country prepositions'!A:B, 2, 0) &amp; "" "" &amp; REGEXEXTRACT(C80, ""🏘️ \w+ \w+ (.*) ✅"") ,  if(H80=""quartier"",vlookup(REGEXEXTRACT(C80, ""🏘️ \w+ \w+ (.*) ✅""),'Quartier prepositions'!A:E, 5"&amp;", 0) ,  if(H80=""region"",vlookup(REGEXEXTRACT(C80, ""🏘️ \w+ \w+ (.*) ✅""),'Region prepositions'!B:F, 5, 0),  REGEXEXTRACT(C80, ""🏘️ \w+ \w+ (.*) ✅""))))"),"Lengnau BE")</f>
        <v>Lengnau BE</v>
      </c>
      <c r="F80" s="2" t="str">
        <f>IFERROR(__xludf.DUMMYFUNCTION("REGEXEXTRACT(C80, ""🏘️ (\w+) \w+ .* ✅"")"),"Vendre")</f>
        <v>Vendre</v>
      </c>
      <c r="G80" s="2" t="str">
        <f>IFERROR(__xludf.DUMMYFUNCTION("REGEXEXTRACT(C80, ""🏘️ \w+ (\w+) .* ✅"")"),"appartement")</f>
        <v>appartement</v>
      </c>
      <c r="H80" s="4" t="str">
        <f>IFERROR(__xludf.DUMMYFUNCTION("REGEXEXTRACT(A80, ""/(\w+)-.*?"")"),"lieu")</f>
        <v>lieu</v>
      </c>
      <c r="I80" s="4" t="str">
        <f>IFERROR(__xludf.DUMMYFUNCTION("if(D80=""variant"",  substitute(filter(Templates!E:E, Templates!A:A = F80, Templates!B:B = G80, Templates!C:C = H80), ""{{}}"", E80), B80)"),"🏘  L’appartement de vos rêves se trouve sur ImmoScout24.ch ✅ Découvrez les dernières annonces de vente à Lengnau BE.")</f>
        <v>🏘  L’appartement de vos rêves se trouve sur ImmoScout24.ch ✅ Découvrez les dernières annonces de vente à Lengnau BE.</v>
      </c>
      <c r="J80" s="2" t="s">
        <v>246</v>
      </c>
    </row>
    <row r="81">
      <c r="A81" s="5" t="s">
        <v>247</v>
      </c>
      <c r="B81" s="2" t="s">
        <v>248</v>
      </c>
      <c r="C81" s="4" t="str">
        <f>IFERROR(__xludf.DUMMYFUNCTION("""🏘️ ""&amp;REGEXEXTRACT(B81, ""^(.*): "")&amp;"" ✅ "" &amp;REGEXEXTRACT(B81, ""(Trouvez.*)"")"),"🏘️ Louer appartement Rances ✅ Trouvez le bien immobilier qui correspond idéalement à vos désirs sur ImmoScout24 - La plateforme de l'immobilier en Suisse.")</f>
        <v>🏘️ Louer appartement Rances ✅ Trouvez le bien immobilier qui correspond idéalement à vos désirs sur ImmoScout24 - La plateforme de l'immobilier en Suisse.</v>
      </c>
      <c r="D81" s="4" t="str">
        <f>vlookup(A81, Sheet2!D:E, 2, 0)</f>
        <v>variant</v>
      </c>
      <c r="E81" s="4" t="str">
        <f>IFERROR(__xludf.DUMMYFUNCTION("if(H81=""pays"",vlookup(REGEXEXTRACT(C81, ""🏘️ \w+ \w+ (.*) ✅""),'Country prepositions'!A:B, 2, 0) &amp; "" "" &amp; REGEXEXTRACT(C81, ""🏘️ \w+ \w+ (.*) ✅"") ,  if(H81=""quartier"",vlookup(REGEXEXTRACT(C81, ""🏘️ \w+ \w+ (.*) ✅""),'Quartier prepositions'!A:E, 5"&amp;", 0) ,  if(H81=""region"",vlookup(REGEXEXTRACT(C81, ""🏘️ \w+ \w+ (.*) ✅""),'Region prepositions'!B:F, 5, 0),  REGEXEXTRACT(C81, ""🏘️ \w+ \w+ (.*) ✅""))))"),"Rances")</f>
        <v>Rances</v>
      </c>
      <c r="F81" s="2" t="str">
        <f>IFERROR(__xludf.DUMMYFUNCTION("REGEXEXTRACT(C81, ""🏘️ (\w+) \w+ .* ✅"")"),"Louer")</f>
        <v>Louer</v>
      </c>
      <c r="G81" s="2" t="str">
        <f>IFERROR(__xludf.DUMMYFUNCTION("REGEXEXTRACT(C81, ""🏘️ \w+ (\w+) .* ✅"")"),"appartement")</f>
        <v>appartement</v>
      </c>
      <c r="H81" s="4" t="str">
        <f>IFERROR(__xludf.DUMMYFUNCTION("REGEXEXTRACT(A81, ""/(\w+)-.*?"")"),"lieu")</f>
        <v>lieu</v>
      </c>
      <c r="I81" s="4" t="str">
        <f>IFERROR(__xludf.DUMMYFUNCTION("if(D81=""variant"",  substitute(filter(Templates!E:E, Templates!A:A = F81, Templates!B:B = G81, Templates!C:C = H81), ""{{}}"", E81), B81)"),"🏘  Vous cherchez un appartement à louer à Rances? ✅ Les annonces les plus actuelles sont sur ImmoScout24.ch.")</f>
        <v>🏘  Vous cherchez un appartement à louer à Rances? ✅ Les annonces les plus actuelles sont sur ImmoScout24.ch.</v>
      </c>
      <c r="J81" s="4" t="s">
        <v>249</v>
      </c>
    </row>
    <row r="82">
      <c r="A82" s="5" t="s">
        <v>250</v>
      </c>
      <c r="B82" s="2" t="s">
        <v>251</v>
      </c>
      <c r="C82" s="4" t="str">
        <f>IFERROR(__xludf.DUMMYFUNCTION("""🏘️ ""&amp;REGEXEXTRACT(B82, ""^(.*): "")&amp;"" ✅ "" &amp;REGEXEXTRACT(B82, ""(Trouvez.*)"")"),"🏘️ Louer appartement Rosé ✅ Trouvez le bien immobilier qui correspond idéalement à vos désirs sur ImmoScout24 - La plateforme de l'immobilier en Suisse.")</f>
        <v>🏘️ Louer appartement Rosé ✅ Trouvez le bien immobilier qui correspond idéalement à vos désirs sur ImmoScout24 - La plateforme de l'immobilier en Suisse.</v>
      </c>
      <c r="D82" s="4" t="str">
        <f>vlookup(A82, Sheet2!D:E, 2, 0)</f>
        <v>variant</v>
      </c>
      <c r="E82" s="4" t="str">
        <f>IFERROR(__xludf.DUMMYFUNCTION("if(H82=""pays"",vlookup(REGEXEXTRACT(C82, ""🏘️ \w+ \w+ (.*) ✅""),'Country prepositions'!A:B, 2, 0) &amp; "" "" &amp; REGEXEXTRACT(C82, ""🏘️ \w+ \w+ (.*) ✅"") ,  if(H82=""quartier"",vlookup(REGEXEXTRACT(C82, ""🏘️ \w+ \w+ (.*) ✅""),'Quartier prepositions'!A:E, 5"&amp;", 0) ,  if(H82=""region"",vlookup(REGEXEXTRACT(C82, ""🏘️ \w+ \w+ (.*) ✅""),'Region prepositions'!B:F, 5, 0),  REGEXEXTRACT(C82, ""🏘️ \w+ \w+ (.*) ✅""))))"),"Rosé")</f>
        <v>Rosé</v>
      </c>
      <c r="F82" s="2" t="str">
        <f>IFERROR(__xludf.DUMMYFUNCTION("REGEXEXTRACT(C82, ""🏘️ (\w+) \w+ .* ✅"")"),"Louer")</f>
        <v>Louer</v>
      </c>
      <c r="G82" s="2" t="str">
        <f>IFERROR(__xludf.DUMMYFUNCTION("REGEXEXTRACT(C82, ""🏘️ \w+ (\w+) .* ✅"")"),"appartement")</f>
        <v>appartement</v>
      </c>
      <c r="H82" s="4" t="str">
        <f>IFERROR(__xludf.DUMMYFUNCTION("REGEXEXTRACT(A82, ""/(\w+)-.*?"")"),"lieu")</f>
        <v>lieu</v>
      </c>
      <c r="I82" s="4" t="str">
        <f>IFERROR(__xludf.DUMMYFUNCTION("if(D82=""variant"",  substitute(filter(Templates!E:E, Templates!A:A = F82, Templates!B:B = G82, Templates!C:C = H82), ""{{}}"", E82), B82)"),"🏘  Vous cherchez un appartement à louer à Rosé? ✅ Les annonces les plus actuelles sont sur ImmoScout24.ch.")</f>
        <v>🏘  Vous cherchez un appartement à louer à Rosé? ✅ Les annonces les plus actuelles sont sur ImmoScout24.ch.</v>
      </c>
      <c r="J82" s="4" t="s">
        <v>252</v>
      </c>
    </row>
    <row r="83">
      <c r="A83" s="5" t="s">
        <v>253</v>
      </c>
      <c r="B83" s="2" t="s">
        <v>254</v>
      </c>
      <c r="C83" s="4" t="str">
        <f>IFERROR(__xludf.DUMMYFUNCTION("""🏘️ ""&amp;REGEXEXTRACT(B83, ""^(.*): "")&amp;"" ✅ "" &amp;REGEXEXTRACT(B83, ""(Trouvez.*)"")"),"🏘️ Louer maison Ferpicloz ✅ Trouvez le bien immobilier qui correspond idéalement à vos désirs sur ImmoScout24 - La plateforme de l'immobilier en Suisse.")</f>
        <v>🏘️ Louer maison Ferpicloz ✅ Trouvez le bien immobilier qui correspond idéalement à vos désirs sur ImmoScout24 - La plateforme de l'immobilier en Suisse.</v>
      </c>
      <c r="D83" s="4" t="str">
        <f>vlookup(A83, Sheet2!D:E, 2, 0)</f>
        <v>variant</v>
      </c>
      <c r="E83" s="4" t="str">
        <f>IFERROR(__xludf.DUMMYFUNCTION("if(H83=""pays"",vlookup(REGEXEXTRACT(C83, ""🏘️ \w+ \w+ (.*) ✅""),'Country prepositions'!A:B, 2, 0) &amp; "" "" &amp; REGEXEXTRACT(C83, ""🏘️ \w+ \w+ (.*) ✅"") ,  if(H83=""quartier"",vlookup(REGEXEXTRACT(C83, ""🏘️ \w+ \w+ (.*) ✅""),'Quartier prepositions'!A:E, 5"&amp;", 0) ,  if(H83=""region"",vlookup(REGEXEXTRACT(C83, ""🏘️ \w+ \w+ (.*) ✅""),'Region prepositions'!B:F, 5, 0),  REGEXEXTRACT(C83, ""🏘️ \w+ \w+ (.*) ✅""))))"),"Ferpicloz")</f>
        <v>Ferpicloz</v>
      </c>
      <c r="F83" s="2" t="str">
        <f>IFERROR(__xludf.DUMMYFUNCTION("REGEXEXTRACT(C83, ""🏘️ (\w+) \w+ .* ✅"")"),"Louer")</f>
        <v>Louer</v>
      </c>
      <c r="G83" s="2" t="str">
        <f>IFERROR(__xludf.DUMMYFUNCTION("REGEXEXTRACT(C83, ""🏘️ \w+ (\w+) .* ✅"")"),"maison")</f>
        <v>maison</v>
      </c>
      <c r="H83" s="4" t="str">
        <f>IFERROR(__xludf.DUMMYFUNCTION("REGEXEXTRACT(A83, ""/(\w+)-.*?"")"),"lieu")</f>
        <v>lieu</v>
      </c>
      <c r="I83" s="4" t="str">
        <f>IFERROR(__xludf.DUMMYFUNCTION("if(D83=""variant"",  substitute(filter(Templates!E:E, Templates!A:A = F83, Templates!B:B = G83, Templates!C:C = H83), ""{{}}"", E83), B83)"),"🏘  Vous cherchez une maison à louer à Ferpicloz? ✅ Découvrez nos nombreuses annonces sur ImmoScout24.ch.")</f>
        <v>🏘  Vous cherchez une maison à louer à Ferpicloz? ✅ Découvrez nos nombreuses annonces sur ImmoScout24.ch.</v>
      </c>
      <c r="J83" s="4" t="s">
        <v>255</v>
      </c>
    </row>
    <row r="84">
      <c r="A84" s="5" t="s">
        <v>256</v>
      </c>
      <c r="B84" s="2" t="s">
        <v>257</v>
      </c>
      <c r="C84" s="4" t="str">
        <f>IFERROR(__xludf.DUMMYFUNCTION("""🏘️ ""&amp;REGEXEXTRACT(B84, ""^(.*): "")&amp;"" ✅ "" &amp;REGEXEXTRACT(B84, ""(Trouvez.*)"")"),"🏘️ Vendre appartement Sierre ✅ Trouvez le bien immobilier qui correspond idéalement à vos désirs sur ImmoScout24 - La plateforme de l'immobilier en Suisse.")</f>
        <v>🏘️ Vendre appartement Sierre ✅ Trouvez le bien immobilier qui correspond idéalement à vos désirs sur ImmoScout24 - La plateforme de l'immobilier en Suisse.</v>
      </c>
      <c r="D84" s="4" t="str">
        <f>vlookup(A84, Sheet2!D:E, 2, 0)</f>
        <v>variant</v>
      </c>
      <c r="E84" s="4" t="str">
        <f>IFERROR(__xludf.DUMMYFUNCTION("if(H84=""pays"",vlookup(REGEXEXTRACT(C84, ""🏘️ \w+ \w+ (.*) ✅""),'Country prepositions'!A:B, 2, 0) &amp; "" "" &amp; REGEXEXTRACT(C84, ""🏘️ \w+ \w+ (.*) ✅"") ,  if(H84=""quartier"",vlookup(REGEXEXTRACT(C84, ""🏘️ \w+ \w+ (.*) ✅""),'Quartier prepositions'!A:E, 5"&amp;", 0) ,  if(H84=""region"",vlookup(REGEXEXTRACT(C84, ""🏘️ \w+ \w+ (.*) ✅""),'Region prepositions'!B:F, 5, 0),  REGEXEXTRACT(C84, ""🏘️ \w+ \w+ (.*) ✅""))))"),"Sierre")</f>
        <v>Sierre</v>
      </c>
      <c r="F84" s="2" t="str">
        <f>IFERROR(__xludf.DUMMYFUNCTION("REGEXEXTRACT(C84, ""🏘️ (\w+) \w+ .* ✅"")"),"Vendre")</f>
        <v>Vendre</v>
      </c>
      <c r="G84" s="2" t="str">
        <f>IFERROR(__xludf.DUMMYFUNCTION("REGEXEXTRACT(C84, ""🏘️ \w+ (\w+) .* ✅"")"),"appartement")</f>
        <v>appartement</v>
      </c>
      <c r="H84" s="4" t="str">
        <f>IFERROR(__xludf.DUMMYFUNCTION("REGEXEXTRACT(A84, ""/(\w+)-.*?"")"),"lieu")</f>
        <v>lieu</v>
      </c>
      <c r="I84" s="4" t="str">
        <f>IFERROR(__xludf.DUMMYFUNCTION("if(D84=""variant"",  substitute(filter(Templates!E:E, Templates!A:A = F84, Templates!B:B = G84, Templates!C:C = H84), ""{{}}"", E84), B84)"),"🏘  L’appartement de vos rêves se trouve sur ImmoScout24.ch ✅ Découvrez les dernières annonces de vente à Sierre.")</f>
        <v>🏘  L’appartement de vos rêves se trouve sur ImmoScout24.ch ✅ Découvrez les dernières annonces de vente à Sierre.</v>
      </c>
      <c r="J84" s="4" t="s">
        <v>258</v>
      </c>
    </row>
    <row r="85">
      <c r="A85" s="5" t="s">
        <v>259</v>
      </c>
      <c r="B85" s="2" t="s">
        <v>260</v>
      </c>
      <c r="C85" s="4" t="str">
        <f>IFERROR(__xludf.DUMMYFUNCTION("""🏘️ ""&amp;REGEXEXTRACT(B85, ""^(.*): "")&amp;"" ✅ "" &amp;REGEXEXTRACT(B85, ""(Trouvez.*)"")"),"🏘️ Louer maison Aarburg ✅ Trouvez le bien immobilier qui correspond idéalement à vos désirs sur ImmoScout24 - La plateforme de l'immobilier en Suisse.")</f>
        <v>🏘️ Louer maison Aarburg ✅ Trouvez le bien immobilier qui correspond idéalement à vos désirs sur ImmoScout24 - La plateforme de l'immobilier en Suisse.</v>
      </c>
      <c r="D85" s="4" t="str">
        <f>vlookup(A85, Sheet2!D:E, 2, 0)</f>
        <v>variant</v>
      </c>
      <c r="E85" s="4" t="str">
        <f>IFERROR(__xludf.DUMMYFUNCTION("if(H85=""pays"",vlookup(REGEXEXTRACT(C85, ""🏘️ \w+ \w+ (.*) ✅""),'Country prepositions'!A:B, 2, 0) &amp; "" "" &amp; REGEXEXTRACT(C85, ""🏘️ \w+ \w+ (.*) ✅"") ,  if(H85=""quartier"",vlookup(REGEXEXTRACT(C85, ""🏘️ \w+ \w+ (.*) ✅""),'Quartier prepositions'!A:E, 5"&amp;", 0) ,  if(H85=""region"",vlookup(REGEXEXTRACT(C85, ""🏘️ \w+ \w+ (.*) ✅""),'Region prepositions'!B:F, 5, 0),  REGEXEXTRACT(C85, ""🏘️ \w+ \w+ (.*) ✅""))))"),"Aarburg")</f>
        <v>Aarburg</v>
      </c>
      <c r="F85" s="2" t="str">
        <f>IFERROR(__xludf.DUMMYFUNCTION("REGEXEXTRACT(C85, ""🏘️ (\w+) \w+ .* ✅"")"),"Louer")</f>
        <v>Louer</v>
      </c>
      <c r="G85" s="2" t="str">
        <f>IFERROR(__xludf.DUMMYFUNCTION("REGEXEXTRACT(C85, ""🏘️ \w+ (\w+) .* ✅"")"),"maison")</f>
        <v>maison</v>
      </c>
      <c r="H85" s="4" t="str">
        <f>IFERROR(__xludf.DUMMYFUNCTION("REGEXEXTRACT(A85, ""/(\w+)-.*?"")"),"lieu")</f>
        <v>lieu</v>
      </c>
      <c r="I85" s="4" t="str">
        <f>IFERROR(__xludf.DUMMYFUNCTION("if(D85=""variant"",  substitute(filter(Templates!E:E, Templates!A:A = F85, Templates!B:B = G85, Templates!C:C = H85), ""{{}}"", E85), B85)"),"🏘  Vous cherchez une maison à louer à Aarburg? ✅ Découvrez nos nombreuses annonces sur ImmoScout24.ch.")</f>
        <v>🏘  Vous cherchez une maison à louer à Aarburg? ✅ Découvrez nos nombreuses annonces sur ImmoScout24.ch.</v>
      </c>
      <c r="J85" s="4" t="s">
        <v>261</v>
      </c>
    </row>
    <row r="86">
      <c r="A86" s="5" t="s">
        <v>262</v>
      </c>
      <c r="B86" s="2" t="s">
        <v>263</v>
      </c>
      <c r="C86" s="4" t="str">
        <f>IFERROR(__xludf.DUMMYFUNCTION("""🏘️ ""&amp;REGEXEXTRACT(B86, ""^(.*): "")&amp;"" ✅ "" &amp;REGEXEXTRACT(B86, ""(Trouvez.*)"")"),"🏘️ Louer appartement Courtedoux ✅ Trouvez le bien immobilier qui correspond idéalement à vos désirs sur ImmoScout24 - La plateforme de l'immobilier en Suisse.")</f>
        <v>🏘️ Louer appartement Courtedoux ✅ Trouvez le bien immobilier qui correspond idéalement à vos désirs sur ImmoScout24 - La plateforme de l'immobilier en Suisse.</v>
      </c>
      <c r="D86" s="4" t="str">
        <f>vlookup(A86, Sheet2!D:E, 2, 0)</f>
        <v>variant</v>
      </c>
      <c r="E86" s="4" t="str">
        <f>IFERROR(__xludf.DUMMYFUNCTION("if(H86=""pays"",vlookup(REGEXEXTRACT(C86, ""🏘️ \w+ \w+ (.*) ✅""),'Country prepositions'!A:B, 2, 0) &amp; "" "" &amp; REGEXEXTRACT(C86, ""🏘️ \w+ \w+ (.*) ✅"") ,  if(H86=""quartier"",vlookup(REGEXEXTRACT(C86, ""🏘️ \w+ \w+ (.*) ✅""),'Quartier prepositions'!A:E, 5"&amp;", 0) ,  if(H86=""region"",vlookup(REGEXEXTRACT(C86, ""🏘️ \w+ \w+ (.*) ✅""),'Region prepositions'!B:F, 5, 0),  REGEXEXTRACT(C86, ""🏘️ \w+ \w+ (.*) ✅""))))"),"Courtedoux")</f>
        <v>Courtedoux</v>
      </c>
      <c r="F86" s="2" t="str">
        <f>IFERROR(__xludf.DUMMYFUNCTION("REGEXEXTRACT(C86, ""🏘️ (\w+) \w+ .* ✅"")"),"Louer")</f>
        <v>Louer</v>
      </c>
      <c r="G86" s="2" t="str">
        <f>IFERROR(__xludf.DUMMYFUNCTION("REGEXEXTRACT(C86, ""🏘️ \w+ (\w+) .* ✅"")"),"appartement")</f>
        <v>appartement</v>
      </c>
      <c r="H86" s="4" t="str">
        <f>IFERROR(__xludf.DUMMYFUNCTION("REGEXEXTRACT(A86, ""/(\w+)-.*?"")"),"lieu")</f>
        <v>lieu</v>
      </c>
      <c r="I86" s="4" t="str">
        <f>IFERROR(__xludf.DUMMYFUNCTION("if(D86=""variant"",  substitute(filter(Templates!E:E, Templates!A:A = F86, Templates!B:B = G86, Templates!C:C = H86), ""{{}}"", E86), B86)"),"🏘  Vous cherchez un appartement à louer à Courtedoux? ✅ Les annonces les plus actuelles sont sur ImmoScout24.ch.")</f>
        <v>🏘  Vous cherchez un appartement à louer à Courtedoux? ✅ Les annonces les plus actuelles sont sur ImmoScout24.ch.</v>
      </c>
      <c r="J86" s="4" t="s">
        <v>264</v>
      </c>
    </row>
    <row r="87">
      <c r="A87" s="5" t="s">
        <v>265</v>
      </c>
      <c r="B87" s="2" t="s">
        <v>266</v>
      </c>
      <c r="C87" s="4" t="str">
        <f>IFERROR(__xludf.DUMMYFUNCTION("""🏘️ ""&amp;REGEXEXTRACT(B87, ""^(.*): "")&amp;"" ✅ "" &amp;REGEXEXTRACT(B87, ""(Trouvez.*)"")"),"🏘️ Vendre maison Vaulion ✅ Trouvez le bien immobilier qui correspond idéalement à vos désirs sur ImmoScout24 - La plateforme de l'immobilier en Suisse.")</f>
        <v>🏘️ Vendre maison Vaulion ✅ Trouvez le bien immobilier qui correspond idéalement à vos désirs sur ImmoScout24 - La plateforme de l'immobilier en Suisse.</v>
      </c>
      <c r="D87" s="4" t="str">
        <f>vlookup(A87, Sheet2!D:E, 2, 0)</f>
        <v>variant</v>
      </c>
      <c r="E87" s="4" t="str">
        <f>IFERROR(__xludf.DUMMYFUNCTION("if(H87=""pays"",vlookup(REGEXEXTRACT(C87, ""🏘️ \w+ \w+ (.*) ✅""),'Country prepositions'!A:B, 2, 0) &amp; "" "" &amp; REGEXEXTRACT(C87, ""🏘️ \w+ \w+ (.*) ✅"") ,  if(H87=""quartier"",vlookup(REGEXEXTRACT(C87, ""🏘️ \w+ \w+ (.*) ✅""),'Quartier prepositions'!A:E, 5"&amp;", 0) ,  if(H87=""region"",vlookup(REGEXEXTRACT(C87, ""🏘️ \w+ \w+ (.*) ✅""),'Region prepositions'!B:F, 5, 0),  REGEXEXTRACT(C87, ""🏘️ \w+ \w+ (.*) ✅""))))"),"Vaulion")</f>
        <v>Vaulion</v>
      </c>
      <c r="F87" s="2" t="str">
        <f>IFERROR(__xludf.DUMMYFUNCTION("REGEXEXTRACT(C87, ""🏘️ (\w+) \w+ .* ✅"")"),"Vendre")</f>
        <v>Vendre</v>
      </c>
      <c r="G87" s="2" t="str">
        <f>IFERROR(__xludf.DUMMYFUNCTION("REGEXEXTRACT(C87, ""🏘️ \w+ (\w+) .* ✅"")"),"maison")</f>
        <v>maison</v>
      </c>
      <c r="H87" s="4" t="str">
        <f>IFERROR(__xludf.DUMMYFUNCTION("REGEXEXTRACT(A87, ""/(\w+)-.*?"")"),"lieu")</f>
        <v>lieu</v>
      </c>
      <c r="I87" s="4" t="str">
        <f>IFERROR(__xludf.DUMMYFUNCTION("if(D87=""variant"",  substitute(filter(Templates!E:E, Templates!A:A = F87, Templates!B:B = G87, Templates!C:C = H87), ""{{}}"", E87), B87)"),"🏘  Vous souhaitez acheter une maison à Vaulion? ✅ Jetez un œil aux dernières offres sur ImmoScout24.ch.")</f>
        <v>🏘  Vous souhaitez acheter une maison à Vaulion? ✅ Jetez un œil aux dernières offres sur ImmoScout24.ch.</v>
      </c>
      <c r="J87" s="4" t="s">
        <v>267</v>
      </c>
    </row>
    <row r="88">
      <c r="A88" s="5" t="s">
        <v>268</v>
      </c>
      <c r="B88" s="2" t="s">
        <v>269</v>
      </c>
      <c r="C88" s="4" t="str">
        <f>IFERROR(__xludf.DUMMYFUNCTION("""🏘️ ""&amp;REGEXEXTRACT(B88, ""^(.*): "")&amp;"" ✅ "" &amp;REGEXEXTRACT(B88, ""(Trouvez.*)"")"),"🏘️ Louer appartement Gürbetal - Voralpen ✅ Trouvez le bien immobilier qui correspond idéalement à vos désirs sur ImmoScout24 - La plateforme de l'immobilier en Suisse.")</f>
        <v>🏘️ Louer appartement Gürbetal - Voralpen ✅ Trouvez le bien immobilier qui correspond idéalement à vos désirs sur ImmoScout24 - La plateforme de l'immobilier en Suisse.</v>
      </c>
      <c r="D88" s="4" t="str">
        <f>vlookup(A88, Sheet2!D:E, 2, 0)</f>
        <v>variant</v>
      </c>
      <c r="E88" s="4" t="str">
        <f>IFERROR(__xludf.DUMMYFUNCTION("if(H88=""pays"",vlookup(REGEXEXTRACT(C88, ""🏘️ \w+ \w+ (.*) ✅""),'Country prepositions'!A:B, 2, 0) &amp; "" "" &amp; REGEXEXTRACT(C88, ""🏘️ \w+ \w+ (.*) ✅"") ,  if(H88=""quartier"",vlookup(REGEXEXTRACT(C88, ""🏘️ \w+ \w+ (.*) ✅""),'Quartier prepositions'!A:E, 5"&amp;", 0) ,  if(H88=""region"",vlookup(REGEXEXTRACT(C88, ""🏘️ \w+ \w+ (.*) ✅""),'Region prepositions'!B:F, 5, 0),  REGEXEXTRACT(C88, ""🏘️ \w+ \w+ (.*) ✅""))))"),"à Gürbetal - Voralpen")</f>
        <v>à Gürbetal - Voralpen</v>
      </c>
      <c r="F88" s="2" t="str">
        <f>IFERROR(__xludf.DUMMYFUNCTION("REGEXEXTRACT(C88, ""🏘️ (\w+) \w+ .* ✅"")"),"Louer")</f>
        <v>Louer</v>
      </c>
      <c r="G88" s="2" t="str">
        <f>IFERROR(__xludf.DUMMYFUNCTION("REGEXEXTRACT(C88, ""🏘️ \w+ (\w+) .* ✅"")"),"appartement")</f>
        <v>appartement</v>
      </c>
      <c r="H88" s="4" t="str">
        <f>IFERROR(__xludf.DUMMYFUNCTION("REGEXEXTRACT(A88, ""/(\w+)-.*?"")"),"region")</f>
        <v>region</v>
      </c>
      <c r="I88" s="4" t="str">
        <f>IFERROR(__xludf.DUMMYFUNCTION("if(D88=""variant"",  substitute(filter(Templates!E:E, Templates!A:A = F88, Templates!B:B = G88, Templates!C:C = H88), ""{{}}"", E88), B88)"),"🏘  Vous cherchez un appartement à louer à Gürbetal - Voralpen? ✅ Les annonces les plus actuelles sont sur ImmoScout24.ch.")</f>
        <v>🏘  Vous cherchez un appartement à louer à Gürbetal - Voralpen? ✅ Les annonces les plus actuelles sont sur ImmoScout24.ch.</v>
      </c>
      <c r="J88" s="4" t="s">
        <v>270</v>
      </c>
    </row>
    <row r="89">
      <c r="A89" s="5" t="s">
        <v>271</v>
      </c>
      <c r="B89" s="2" t="s">
        <v>272</v>
      </c>
      <c r="C89" s="4" t="str">
        <f>IFERROR(__xludf.DUMMYFUNCTION("""🏘️ ""&amp;REGEXEXTRACT(B89, ""^(.*): "")&amp;"" ✅ "" &amp;REGEXEXTRACT(B89, ""(Trouvez.*)"")"),"🏘️ Louer appartement Zollikon ✅ Trouvez le bien immobilier qui correspond idéalement à vos désirs sur ImmoScout24 - La plateforme de l'immobilier en Suisse.")</f>
        <v>🏘️ Louer appartement Zollikon ✅ Trouvez le bien immobilier qui correspond idéalement à vos désirs sur ImmoScout24 - La plateforme de l'immobilier en Suisse.</v>
      </c>
      <c r="D89" s="4" t="str">
        <f>vlookup(A89, Sheet2!D:E, 2, 0)</f>
        <v>variant</v>
      </c>
      <c r="E89" s="4" t="str">
        <f>IFERROR(__xludf.DUMMYFUNCTION("if(H89=""pays"",vlookup(REGEXEXTRACT(C89, ""🏘️ \w+ \w+ (.*) ✅""),'Country prepositions'!A:B, 2, 0) &amp; "" "" &amp; REGEXEXTRACT(C89, ""🏘️ \w+ \w+ (.*) ✅"") ,  if(H89=""quartier"",vlookup(REGEXEXTRACT(C89, ""🏘️ \w+ \w+ (.*) ✅""),'Quartier prepositions'!A:E, 5"&amp;", 0) ,  if(H89=""region"",vlookup(REGEXEXTRACT(C89, ""🏘️ \w+ \w+ (.*) ✅""),'Region prepositions'!B:F, 5, 0),  REGEXEXTRACT(C89, ""🏘️ \w+ \w+ (.*) ✅""))))"),"Zollikon")</f>
        <v>Zollikon</v>
      </c>
      <c r="F89" s="2" t="str">
        <f>IFERROR(__xludf.DUMMYFUNCTION("REGEXEXTRACT(C89, ""🏘️ (\w+) \w+ .* ✅"")"),"Louer")</f>
        <v>Louer</v>
      </c>
      <c r="G89" s="2" t="str">
        <f>IFERROR(__xludf.DUMMYFUNCTION("REGEXEXTRACT(C89, ""🏘️ \w+ (\w+) .* ✅"")"),"appartement")</f>
        <v>appartement</v>
      </c>
      <c r="H89" s="4" t="str">
        <f>IFERROR(__xludf.DUMMYFUNCTION("REGEXEXTRACT(A89, ""/(\w+)-.*?"")"),"lieu")</f>
        <v>lieu</v>
      </c>
      <c r="I89" s="4" t="str">
        <f>IFERROR(__xludf.DUMMYFUNCTION("if(D89=""variant"",  substitute(filter(Templates!E:E, Templates!A:A = F89, Templates!B:B = G89, Templates!C:C = H89), ""{{}}"", E89), B89)"),"🏘  Vous cherchez un appartement à louer à Zollikon? ✅ Les annonces les plus actuelles sont sur ImmoScout24.ch.")</f>
        <v>🏘  Vous cherchez un appartement à louer à Zollikon? ✅ Les annonces les plus actuelles sont sur ImmoScout24.ch.</v>
      </c>
      <c r="J89" s="4" t="s">
        <v>273</v>
      </c>
    </row>
    <row r="90">
      <c r="A90" s="5" t="s">
        <v>274</v>
      </c>
      <c r="B90" s="2" t="s">
        <v>275</v>
      </c>
      <c r="C90" s="4" t="str">
        <f>IFERROR(__xludf.DUMMYFUNCTION("""🏘️ ""&amp;REGEXEXTRACT(B90, ""^(.*): "")&amp;"" ✅ "" &amp;REGEXEXTRACT(B90, ""(Trouvez.*)"")"),"🏘️ Vendre maison Chiasso ✅ Trouvez le bien immobilier qui correspond idéalement à vos désirs sur ImmoScout24 - La plateforme de l'immobilier en Suisse.")</f>
        <v>🏘️ Vendre maison Chiasso ✅ Trouvez le bien immobilier qui correspond idéalement à vos désirs sur ImmoScout24 - La plateforme de l'immobilier en Suisse.</v>
      </c>
      <c r="D90" s="4" t="str">
        <f>vlookup(A90, Sheet2!D:E, 2, 0)</f>
        <v>variant</v>
      </c>
      <c r="E90" s="4" t="str">
        <f>IFERROR(__xludf.DUMMYFUNCTION("if(H90=""pays"",vlookup(REGEXEXTRACT(C90, ""🏘️ \w+ \w+ (.*) ✅""),'Country prepositions'!A:B, 2, 0) &amp; "" "" &amp; REGEXEXTRACT(C90, ""🏘️ \w+ \w+ (.*) ✅"") ,  if(H90=""quartier"",vlookup(REGEXEXTRACT(C90, ""🏘️ \w+ \w+ (.*) ✅""),'Quartier prepositions'!A:E, 5"&amp;", 0) ,  if(H90=""region"",vlookup(REGEXEXTRACT(C90, ""🏘️ \w+ \w+ (.*) ✅""),'Region prepositions'!B:F, 5, 0),  REGEXEXTRACT(C90, ""🏘️ \w+ \w+ (.*) ✅""))))"),"Chiasso")</f>
        <v>Chiasso</v>
      </c>
      <c r="F90" s="2" t="str">
        <f>IFERROR(__xludf.DUMMYFUNCTION("REGEXEXTRACT(C90, ""🏘️ (\w+) \w+ .* ✅"")"),"Vendre")</f>
        <v>Vendre</v>
      </c>
      <c r="G90" s="2" t="str">
        <f>IFERROR(__xludf.DUMMYFUNCTION("REGEXEXTRACT(C90, ""🏘️ \w+ (\w+) .* ✅"")"),"maison")</f>
        <v>maison</v>
      </c>
      <c r="H90" s="4" t="str">
        <f>IFERROR(__xludf.DUMMYFUNCTION("REGEXEXTRACT(A90, ""/(\w+)-.*?"")"),"lieu")</f>
        <v>lieu</v>
      </c>
      <c r="I90" s="4" t="str">
        <f>IFERROR(__xludf.DUMMYFUNCTION("if(D90=""variant"",  substitute(filter(Templates!E:E, Templates!A:A = F90, Templates!B:B = G90, Templates!C:C = H90), ""{{}}"", E90), B90)"),"🏘  Vous souhaitez acheter une maison à Chiasso? ✅ Jetez un œil aux dernières offres sur ImmoScout24.ch.")</f>
        <v>🏘  Vous souhaitez acheter une maison à Chiasso? ✅ Jetez un œil aux dernières offres sur ImmoScout24.ch.</v>
      </c>
      <c r="J90" s="4" t="s">
        <v>276</v>
      </c>
    </row>
    <row r="91">
      <c r="A91" s="5" t="s">
        <v>277</v>
      </c>
      <c r="B91" s="2" t="s">
        <v>278</v>
      </c>
      <c r="C91" s="4" t="str">
        <f>IFERROR(__xludf.DUMMYFUNCTION("""🏘️ ""&amp;REGEXEXTRACT(B91, ""^(.*): "")&amp;"" ✅ "" &amp;REGEXEXTRACT(B91, ""(Trouvez.*)"")"),"🏘️ Louer appartement Riddes ✅ Trouvez le bien immobilier qui correspond idéalement à vos désirs sur ImmoScout24 - La plateforme de l'immobilier en Suisse.")</f>
        <v>🏘️ Louer appartement Riddes ✅ Trouvez le bien immobilier qui correspond idéalement à vos désirs sur ImmoScout24 - La plateforme de l'immobilier en Suisse.</v>
      </c>
      <c r="D91" s="4" t="str">
        <f>vlookup(A91, Sheet2!D:E, 2, 0)</f>
        <v>variant</v>
      </c>
      <c r="E91" s="4" t="str">
        <f>IFERROR(__xludf.DUMMYFUNCTION("if(H91=""pays"",vlookup(REGEXEXTRACT(C91, ""🏘️ \w+ \w+ (.*) ✅""),'Country prepositions'!A:B, 2, 0) &amp; "" "" &amp; REGEXEXTRACT(C91, ""🏘️ \w+ \w+ (.*) ✅"") ,  if(H91=""quartier"",vlookup(REGEXEXTRACT(C91, ""🏘️ \w+ \w+ (.*) ✅""),'Quartier prepositions'!A:E, 5"&amp;", 0) ,  if(H91=""region"",vlookup(REGEXEXTRACT(C91, ""🏘️ \w+ \w+ (.*) ✅""),'Region prepositions'!B:F, 5, 0),  REGEXEXTRACT(C91, ""🏘️ \w+ \w+ (.*) ✅""))))"),"Riddes")</f>
        <v>Riddes</v>
      </c>
      <c r="F91" s="2" t="str">
        <f>IFERROR(__xludf.DUMMYFUNCTION("REGEXEXTRACT(C91, ""🏘️ (\w+) \w+ .* ✅"")"),"Louer")</f>
        <v>Louer</v>
      </c>
      <c r="G91" s="2" t="str">
        <f>IFERROR(__xludf.DUMMYFUNCTION("REGEXEXTRACT(C91, ""🏘️ \w+ (\w+) .* ✅"")"),"appartement")</f>
        <v>appartement</v>
      </c>
      <c r="H91" s="4" t="str">
        <f>IFERROR(__xludf.DUMMYFUNCTION("REGEXEXTRACT(A91, ""/(\w+)-.*?"")"),"lieu")</f>
        <v>lieu</v>
      </c>
      <c r="I91" s="4" t="str">
        <f>IFERROR(__xludf.DUMMYFUNCTION("if(D91=""variant"",  substitute(filter(Templates!E:E, Templates!A:A = F91, Templates!B:B = G91, Templates!C:C = H91), ""{{}}"", E91), B91)"),"🏘  Vous cherchez un appartement à louer à Riddes? ✅ Les annonces les plus actuelles sont sur ImmoScout24.ch.")</f>
        <v>🏘  Vous cherchez un appartement à louer à Riddes? ✅ Les annonces les plus actuelles sont sur ImmoScout24.ch.</v>
      </c>
      <c r="J91" s="4" t="s">
        <v>279</v>
      </c>
    </row>
    <row r="92">
      <c r="A92" s="5" t="s">
        <v>280</v>
      </c>
      <c r="B92" s="2" t="s">
        <v>281</v>
      </c>
      <c r="C92" s="4" t="str">
        <f>IFERROR(__xludf.DUMMYFUNCTION("""🏘️ ""&amp;REGEXEXTRACT(B92, ""^(.*): "")&amp;"" ✅ "" &amp;REGEXEXTRACT(B92, ""(Trouvez.*)"")"),"🏘️ Louer maison Bossonnens ✅ Trouvez le bien immobilier qui correspond idéalement à vos désirs sur ImmoScout24 - La plateforme de l'immobilier en Suisse.")</f>
        <v>🏘️ Louer maison Bossonnens ✅ Trouvez le bien immobilier qui correspond idéalement à vos désirs sur ImmoScout24 - La plateforme de l'immobilier en Suisse.</v>
      </c>
      <c r="D92" s="4" t="str">
        <f>vlookup(A92, Sheet2!D:E, 2, 0)</f>
        <v>variant</v>
      </c>
      <c r="E92" s="4" t="str">
        <f>IFERROR(__xludf.DUMMYFUNCTION("if(H92=""pays"",vlookup(REGEXEXTRACT(C92, ""🏘️ \w+ \w+ (.*) ✅""),'Country prepositions'!A:B, 2, 0) &amp; "" "" &amp; REGEXEXTRACT(C92, ""🏘️ \w+ \w+ (.*) ✅"") ,  if(H92=""quartier"",vlookup(REGEXEXTRACT(C92, ""🏘️ \w+ \w+ (.*) ✅""),'Quartier prepositions'!A:E, 5"&amp;", 0) ,  if(H92=""region"",vlookup(REGEXEXTRACT(C92, ""🏘️ \w+ \w+ (.*) ✅""),'Region prepositions'!B:F, 5, 0),  REGEXEXTRACT(C92, ""🏘️ \w+ \w+ (.*) ✅""))))"),"Bossonnens")</f>
        <v>Bossonnens</v>
      </c>
      <c r="F92" s="2" t="str">
        <f>IFERROR(__xludf.DUMMYFUNCTION("REGEXEXTRACT(C92, ""🏘️ (\w+) \w+ .* ✅"")"),"Louer")</f>
        <v>Louer</v>
      </c>
      <c r="G92" s="2" t="str">
        <f>IFERROR(__xludf.DUMMYFUNCTION("REGEXEXTRACT(C92, ""🏘️ \w+ (\w+) .* ✅"")"),"maison")</f>
        <v>maison</v>
      </c>
      <c r="H92" s="4" t="str">
        <f>IFERROR(__xludf.DUMMYFUNCTION("REGEXEXTRACT(A92, ""/(\w+)-.*?"")"),"lieu")</f>
        <v>lieu</v>
      </c>
      <c r="I92" s="4" t="str">
        <f>IFERROR(__xludf.DUMMYFUNCTION("if(D92=""variant"",  substitute(filter(Templates!E:E, Templates!A:A = F92, Templates!B:B = G92, Templates!C:C = H92), ""{{}}"", E92), B92)"),"🏘  Vous cherchez une maison à louer à Bossonnens? ✅ Découvrez nos nombreuses annonces sur ImmoScout24.ch.")</f>
        <v>🏘  Vous cherchez une maison à louer à Bossonnens? ✅ Découvrez nos nombreuses annonces sur ImmoScout24.ch.</v>
      </c>
      <c r="J92" s="4" t="s">
        <v>282</v>
      </c>
    </row>
    <row r="93">
      <c r="A93" s="5" t="s">
        <v>283</v>
      </c>
      <c r="B93" s="2" t="s">
        <v>284</v>
      </c>
      <c r="C93" s="4" t="str">
        <f>IFERROR(__xludf.DUMMYFUNCTION("""🏘️ ""&amp;REGEXEXTRACT(B93, ""^(.*): "")&amp;"" ✅ "" &amp;REGEXEXTRACT(B93, ""(Trouvez.*)"")"),"🏘️ Louer appartement Gandria (Lugano) ✅ Trouvez le bien immobilier qui correspond idéalement à vos désirs sur ImmoScout24 - La plateforme de l'immobilier en Suisse.")</f>
        <v>🏘️ Louer appartement Gandria (Lugano) ✅ Trouvez le bien immobilier qui correspond idéalement à vos désirs sur ImmoScout24 - La plateforme de l'immobilier en Suisse.</v>
      </c>
      <c r="D93" s="4" t="str">
        <f>vlookup(A93, Sheet2!D:E, 2, 0)</f>
        <v>variant</v>
      </c>
      <c r="E93" s="4" t="str">
        <f>IFERROR(__xludf.DUMMYFUNCTION("if(H93=""pays"",vlookup(REGEXEXTRACT(C93, ""🏘️ \w+ \w+ (.*) ✅""),'Country prepositions'!A:B, 2, 0) &amp; "" "" &amp; REGEXEXTRACT(C93, ""🏘️ \w+ \w+ (.*) ✅"") ,  if(H93=""quartier"",vlookup(REGEXEXTRACT(C93, ""🏘️ \w+ \w+ (.*) ✅""),'Quartier prepositions'!A:E, 5"&amp;", 0) ,  if(H93=""region"",vlookup(REGEXEXTRACT(C93, ""🏘️ \w+ \w+ (.*) ✅""),'Region prepositions'!B:F, 5, 0),  REGEXEXTRACT(C93, ""🏘️ \w+ \w+ (.*) ✅""))))"),"dans le quartier de Gandria (Lugano)")</f>
        <v>dans le quartier de Gandria (Lugano)</v>
      </c>
      <c r="F93" s="2" t="str">
        <f>IFERROR(__xludf.DUMMYFUNCTION("REGEXEXTRACT(C93, ""🏘️ (\w+) \w+ .* ✅"")"),"Louer")</f>
        <v>Louer</v>
      </c>
      <c r="G93" s="2" t="str">
        <f>IFERROR(__xludf.DUMMYFUNCTION("REGEXEXTRACT(C93, ""🏘️ \w+ (\w+) .* ✅"")"),"appartement")</f>
        <v>appartement</v>
      </c>
      <c r="H93" s="4" t="str">
        <f>IFERROR(__xludf.DUMMYFUNCTION("REGEXEXTRACT(A93, ""/(\w+)-.*?"")"),"quartier")</f>
        <v>quartier</v>
      </c>
      <c r="I93" s="4" t="str">
        <f>IFERROR(__xludf.DUMMYFUNCTION("if(D93=""variant"",  substitute(filter(Templates!E:E, Templates!A:A = F93, Templates!B:B = G93, Templates!C:C = H93), ""{{}}"", E93), B93)"),"🏘  Vous cherchez un appartement à louer dans le quartier de Gandria (Lugano)? ✅ Les annonces les plus actuelles sont sur ImmoScout24.ch.")</f>
        <v>🏘  Vous cherchez un appartement à louer dans le quartier de Gandria (Lugano)? ✅ Les annonces les plus actuelles sont sur ImmoScout24.ch.</v>
      </c>
      <c r="J93" s="4" t="s">
        <v>285</v>
      </c>
    </row>
    <row r="94">
      <c r="A94" s="5" t="s">
        <v>286</v>
      </c>
      <c r="B94" s="2" t="s">
        <v>287</v>
      </c>
      <c r="C94" s="4" t="str">
        <f>IFERROR(__xludf.DUMMYFUNCTION("""🏘️ ""&amp;REGEXEXTRACT(B94, ""^(.*): "")&amp;"" ✅ "" &amp;REGEXEXTRACT(B94, ""(Trouvez.*)"")"),"🏘️ Louer appartement Onnens FR ✅ Trouvez le bien immobilier qui correspond idéalement à vos désirs sur ImmoScout24 - La plateforme de l'immobilier en Suisse.")</f>
        <v>🏘️ Louer appartement Onnens FR ✅ Trouvez le bien immobilier qui correspond idéalement à vos désirs sur ImmoScout24 - La plateforme de l'immobilier en Suisse.</v>
      </c>
      <c r="D94" s="4" t="str">
        <f>vlookup(A94, Sheet2!D:E, 2, 0)</f>
        <v>variant</v>
      </c>
      <c r="E94" s="4" t="str">
        <f>IFERROR(__xludf.DUMMYFUNCTION("if(H94=""pays"",vlookup(REGEXEXTRACT(C94, ""🏘️ \w+ \w+ (.*) ✅""),'Country prepositions'!A:B, 2, 0) &amp; "" "" &amp; REGEXEXTRACT(C94, ""🏘️ \w+ \w+ (.*) ✅"") ,  if(H94=""quartier"",vlookup(REGEXEXTRACT(C94, ""🏘️ \w+ \w+ (.*) ✅""),'Quartier prepositions'!A:E, 5"&amp;", 0) ,  if(H94=""region"",vlookup(REGEXEXTRACT(C94, ""🏘️ \w+ \w+ (.*) ✅""),'Region prepositions'!B:F, 5, 0),  REGEXEXTRACT(C94, ""🏘️ \w+ \w+ (.*) ✅""))))"),"Onnens FR")</f>
        <v>Onnens FR</v>
      </c>
      <c r="F94" s="2" t="str">
        <f>IFERROR(__xludf.DUMMYFUNCTION("REGEXEXTRACT(C94, ""🏘️ (\w+) \w+ .* ✅"")"),"Louer")</f>
        <v>Louer</v>
      </c>
      <c r="G94" s="2" t="str">
        <f>IFERROR(__xludf.DUMMYFUNCTION("REGEXEXTRACT(C94, ""🏘️ \w+ (\w+) .* ✅"")"),"appartement")</f>
        <v>appartement</v>
      </c>
      <c r="H94" s="4" t="str">
        <f>IFERROR(__xludf.DUMMYFUNCTION("REGEXEXTRACT(A94, ""/(\w+)-.*?"")"),"lieu")</f>
        <v>lieu</v>
      </c>
      <c r="I94" s="4" t="str">
        <f>IFERROR(__xludf.DUMMYFUNCTION("if(D94=""variant"",  substitute(filter(Templates!E:E, Templates!A:A = F94, Templates!B:B = G94, Templates!C:C = H94), ""{{}}"", E94), B94)"),"🏘  Vous cherchez un appartement à louer à Onnens FR? ✅ Les annonces les plus actuelles sont sur ImmoScout24.ch.")</f>
        <v>🏘  Vous cherchez un appartement à louer à Onnens FR? ✅ Les annonces les plus actuelles sont sur ImmoScout24.ch.</v>
      </c>
      <c r="J94" s="4" t="s">
        <v>288</v>
      </c>
    </row>
    <row r="95">
      <c r="A95" s="5" t="s">
        <v>289</v>
      </c>
      <c r="B95" s="2" t="s">
        <v>290</v>
      </c>
      <c r="C95" s="4" t="str">
        <f>IFERROR(__xludf.DUMMYFUNCTION("""🏘️ ""&amp;REGEXEXTRACT(B95, ""^(.*): "")&amp;"" ✅ "" &amp;REGEXEXTRACT(B95, ""(Trouvez.*)"")"),"🏘️ Louer appartement Souboz ✅ Trouvez le bien immobilier qui correspond idéalement à vos désirs sur ImmoScout24 - La plateforme de l'immobilier en Suisse.")</f>
        <v>🏘️ Louer appartement Souboz ✅ Trouvez le bien immobilier qui correspond idéalement à vos désirs sur ImmoScout24 - La plateforme de l'immobilier en Suisse.</v>
      </c>
      <c r="D95" s="4" t="str">
        <f>vlookup(A95, Sheet2!D:E, 2, 0)</f>
        <v>variant</v>
      </c>
      <c r="E95" s="4" t="str">
        <f>IFERROR(__xludf.DUMMYFUNCTION("if(H95=""pays"",vlookup(REGEXEXTRACT(C95, ""🏘️ \w+ \w+ (.*) ✅""),'Country prepositions'!A:B, 2, 0) &amp; "" "" &amp; REGEXEXTRACT(C95, ""🏘️ \w+ \w+ (.*) ✅"") ,  if(H95=""quartier"",vlookup(REGEXEXTRACT(C95, ""🏘️ \w+ \w+ (.*) ✅""),'Quartier prepositions'!A:E, 5"&amp;", 0) ,  if(H95=""region"",vlookup(REGEXEXTRACT(C95, ""🏘️ \w+ \w+ (.*) ✅""),'Region prepositions'!B:F, 5, 0),  REGEXEXTRACT(C95, ""🏘️ \w+ \w+ (.*) ✅""))))"),"Souboz")</f>
        <v>Souboz</v>
      </c>
      <c r="F95" s="2" t="str">
        <f>IFERROR(__xludf.DUMMYFUNCTION("REGEXEXTRACT(C95, ""🏘️ (\w+) \w+ .* ✅"")"),"Louer")</f>
        <v>Louer</v>
      </c>
      <c r="G95" s="2" t="str">
        <f>IFERROR(__xludf.DUMMYFUNCTION("REGEXEXTRACT(C95, ""🏘️ \w+ (\w+) .* ✅"")"),"appartement")</f>
        <v>appartement</v>
      </c>
      <c r="H95" s="4" t="str">
        <f>IFERROR(__xludf.DUMMYFUNCTION("REGEXEXTRACT(A95, ""/(\w+)-.*?"")"),"lieu")</f>
        <v>lieu</v>
      </c>
      <c r="I95" s="4" t="str">
        <f>IFERROR(__xludf.DUMMYFUNCTION("if(D95=""variant"",  substitute(filter(Templates!E:E, Templates!A:A = F95, Templates!B:B = G95, Templates!C:C = H95), ""{{}}"", E95), B95)"),"🏘  Vous cherchez un appartement à louer à Souboz? ✅ Les annonces les plus actuelles sont sur ImmoScout24.ch.")</f>
        <v>🏘  Vous cherchez un appartement à louer à Souboz? ✅ Les annonces les plus actuelles sont sur ImmoScout24.ch.</v>
      </c>
      <c r="J95" s="4" t="s">
        <v>291</v>
      </c>
    </row>
    <row r="96">
      <c r="A96" s="5" t="s">
        <v>292</v>
      </c>
      <c r="B96" s="2" t="s">
        <v>293</v>
      </c>
      <c r="C96" s="4" t="str">
        <f>IFERROR(__xludf.DUMMYFUNCTION("""🏘️ ""&amp;REGEXEXTRACT(B96, ""^(.*): "")&amp;"" ✅ "" &amp;REGEXEXTRACT(B96, ""(Trouvez.*)"")"),"🏘️ Louer appartement Sembrancher ✅ Trouvez le bien immobilier qui correspond idéalement à vos désirs sur ImmoScout24 - La plateforme de l'immobilier en Suisse.")</f>
        <v>🏘️ Louer appartement Sembrancher ✅ Trouvez le bien immobilier qui correspond idéalement à vos désirs sur ImmoScout24 - La plateforme de l'immobilier en Suisse.</v>
      </c>
      <c r="D96" s="4" t="str">
        <f>vlookup(A96, Sheet2!D:E, 2, 0)</f>
        <v>variant</v>
      </c>
      <c r="E96" s="4" t="str">
        <f>IFERROR(__xludf.DUMMYFUNCTION("if(H96=""pays"",vlookup(REGEXEXTRACT(C96, ""🏘️ \w+ \w+ (.*) ✅""),'Country prepositions'!A:B, 2, 0) &amp; "" "" &amp; REGEXEXTRACT(C96, ""🏘️ \w+ \w+ (.*) ✅"") ,  if(H96=""quartier"",vlookup(REGEXEXTRACT(C96, ""🏘️ \w+ \w+ (.*) ✅""),'Quartier prepositions'!A:E, 5"&amp;", 0) ,  if(H96=""region"",vlookup(REGEXEXTRACT(C96, ""🏘️ \w+ \w+ (.*) ✅""),'Region prepositions'!B:F, 5, 0),  REGEXEXTRACT(C96, ""🏘️ \w+ \w+ (.*) ✅""))))"),"Sembrancher")</f>
        <v>Sembrancher</v>
      </c>
      <c r="F96" s="2" t="str">
        <f>IFERROR(__xludf.DUMMYFUNCTION("REGEXEXTRACT(C96, ""🏘️ (\w+) \w+ .* ✅"")"),"Louer")</f>
        <v>Louer</v>
      </c>
      <c r="G96" s="2" t="str">
        <f>IFERROR(__xludf.DUMMYFUNCTION("REGEXEXTRACT(C96, ""🏘️ \w+ (\w+) .* ✅"")"),"appartement")</f>
        <v>appartement</v>
      </c>
      <c r="H96" s="4" t="str">
        <f>IFERROR(__xludf.DUMMYFUNCTION("REGEXEXTRACT(A96, ""/(\w+)-.*?"")"),"lieu")</f>
        <v>lieu</v>
      </c>
      <c r="I96" s="4" t="str">
        <f>IFERROR(__xludf.DUMMYFUNCTION("if(D96=""variant"",  substitute(filter(Templates!E:E, Templates!A:A = F96, Templates!B:B = G96, Templates!C:C = H96), ""{{}}"", E96), B96)"),"🏘  Vous cherchez un appartement à louer à Sembrancher? ✅ Les annonces les plus actuelles sont sur ImmoScout24.ch.")</f>
        <v>🏘  Vous cherchez un appartement à louer à Sembrancher? ✅ Les annonces les plus actuelles sont sur ImmoScout24.ch.</v>
      </c>
      <c r="J96" s="4" t="s">
        <v>294</v>
      </c>
    </row>
    <row r="97">
      <c r="A97" s="5" t="s">
        <v>295</v>
      </c>
      <c r="B97" s="2" t="s">
        <v>296</v>
      </c>
      <c r="C97" s="4" t="str">
        <f>IFERROR(__xludf.DUMMYFUNCTION("""🏘️ ""&amp;REGEXEXTRACT(B97, ""^(.*): "")&amp;"" ✅ "" &amp;REGEXEXTRACT(B97, ""(Trouvez.*)"")"),"🏘️ Louer appartement Taverne ✅ Trouvez le bien immobilier qui correspond idéalement à vos désirs sur ImmoScout24 - La plateforme de l'immobilier en Suisse.")</f>
        <v>🏘️ Louer appartement Taverne ✅ Trouvez le bien immobilier qui correspond idéalement à vos désirs sur ImmoScout24 - La plateforme de l'immobilier en Suisse.</v>
      </c>
      <c r="D97" s="4" t="str">
        <f>vlookup(A97, Sheet2!D:E, 2, 0)</f>
        <v>variant</v>
      </c>
      <c r="E97" s="4" t="str">
        <f>IFERROR(__xludf.DUMMYFUNCTION("if(H97=""pays"",vlookup(REGEXEXTRACT(C97, ""🏘️ \w+ \w+ (.*) ✅""),'Country prepositions'!A:B, 2, 0) &amp; "" "" &amp; REGEXEXTRACT(C97, ""🏘️ \w+ \w+ (.*) ✅"") ,  if(H97=""quartier"",vlookup(REGEXEXTRACT(C97, ""🏘️ \w+ \w+ (.*) ✅""),'Quartier prepositions'!A:E, 5"&amp;", 0) ,  if(H97=""region"",vlookup(REGEXEXTRACT(C97, ""🏘️ \w+ \w+ (.*) ✅""),'Region prepositions'!B:F, 5, 0),  REGEXEXTRACT(C97, ""🏘️ \w+ \w+ (.*) ✅""))))"),"Taverne")</f>
        <v>Taverne</v>
      </c>
      <c r="F97" s="2" t="str">
        <f>IFERROR(__xludf.DUMMYFUNCTION("REGEXEXTRACT(C97, ""🏘️ (\w+) \w+ .* ✅"")"),"Louer")</f>
        <v>Louer</v>
      </c>
      <c r="G97" s="2" t="str">
        <f>IFERROR(__xludf.DUMMYFUNCTION("REGEXEXTRACT(C97, ""🏘️ \w+ (\w+) .* ✅"")"),"appartement")</f>
        <v>appartement</v>
      </c>
      <c r="H97" s="4" t="str">
        <f>IFERROR(__xludf.DUMMYFUNCTION("REGEXEXTRACT(A97, ""/(\w+)-.*?"")"),"lieu")</f>
        <v>lieu</v>
      </c>
      <c r="I97" s="4" t="str">
        <f>IFERROR(__xludf.DUMMYFUNCTION("if(D97=""variant"",  substitute(filter(Templates!E:E, Templates!A:A = F97, Templates!B:B = G97, Templates!C:C = H97), ""{{}}"", E97), B97)"),"🏘  Vous cherchez un appartement à louer à Taverne? ✅ Les annonces les plus actuelles sont sur ImmoScout24.ch.")</f>
        <v>🏘  Vous cherchez un appartement à louer à Taverne? ✅ Les annonces les plus actuelles sont sur ImmoScout24.ch.</v>
      </c>
      <c r="J97" s="4" t="s">
        <v>297</v>
      </c>
    </row>
    <row r="98">
      <c r="A98" s="5" t="s">
        <v>298</v>
      </c>
      <c r="B98" s="2" t="s">
        <v>299</v>
      </c>
      <c r="C98" s="4" t="str">
        <f>IFERROR(__xludf.DUMMYFUNCTION("""🏘️ ""&amp;REGEXEXTRACT(B98, ""^(.*): "")&amp;"" ✅ "" &amp;REGEXEXTRACT(B98, ""(Trouvez.*)"")"),"🏘️ Louer maison Villmergen ✅ Trouvez le bien immobilier qui correspond idéalement à vos désirs sur ImmoScout24 - La plateforme de l'immobilier en Suisse.")</f>
        <v>🏘️ Louer maison Villmergen ✅ Trouvez le bien immobilier qui correspond idéalement à vos désirs sur ImmoScout24 - La plateforme de l'immobilier en Suisse.</v>
      </c>
      <c r="D98" s="4" t="str">
        <f>vlookup(A98, Sheet2!D:E, 2, 0)</f>
        <v>variant</v>
      </c>
      <c r="E98" s="4" t="str">
        <f>IFERROR(__xludf.DUMMYFUNCTION("if(H98=""pays"",vlookup(REGEXEXTRACT(C98, ""🏘️ \w+ \w+ (.*) ✅""),'Country prepositions'!A:B, 2, 0) &amp; "" "" &amp; REGEXEXTRACT(C98, ""🏘️ \w+ \w+ (.*) ✅"") ,  if(H98=""quartier"",vlookup(REGEXEXTRACT(C98, ""🏘️ \w+ \w+ (.*) ✅""),'Quartier prepositions'!A:E, 5"&amp;", 0) ,  if(H98=""region"",vlookup(REGEXEXTRACT(C98, ""🏘️ \w+ \w+ (.*) ✅""),'Region prepositions'!B:F, 5, 0),  REGEXEXTRACT(C98, ""🏘️ \w+ \w+ (.*) ✅""))))"),"Villmergen")</f>
        <v>Villmergen</v>
      </c>
      <c r="F98" s="2" t="str">
        <f>IFERROR(__xludf.DUMMYFUNCTION("REGEXEXTRACT(C98, ""🏘️ (\w+) \w+ .* ✅"")"),"Louer")</f>
        <v>Louer</v>
      </c>
      <c r="G98" s="2" t="str">
        <f>IFERROR(__xludf.DUMMYFUNCTION("REGEXEXTRACT(C98, ""🏘️ \w+ (\w+) .* ✅"")"),"maison")</f>
        <v>maison</v>
      </c>
      <c r="H98" s="4" t="str">
        <f>IFERROR(__xludf.DUMMYFUNCTION("REGEXEXTRACT(A98, ""/(\w+)-.*?"")"),"lieu")</f>
        <v>lieu</v>
      </c>
      <c r="I98" s="4" t="str">
        <f>IFERROR(__xludf.DUMMYFUNCTION("if(D98=""variant"",  substitute(filter(Templates!E:E, Templates!A:A = F98, Templates!B:B = G98, Templates!C:C = H98), ""{{}}"", E98), B98)"),"🏘  Vous cherchez une maison à louer à Villmergen? ✅ Découvrez nos nombreuses annonces sur ImmoScout24.ch.")</f>
        <v>🏘  Vous cherchez une maison à louer à Villmergen? ✅ Découvrez nos nombreuses annonces sur ImmoScout24.ch.</v>
      </c>
      <c r="J98" s="4" t="s">
        <v>300</v>
      </c>
    </row>
    <row r="99">
      <c r="A99" s="5" t="s">
        <v>301</v>
      </c>
      <c r="B99" s="2" t="s">
        <v>302</v>
      </c>
      <c r="C99" s="4" t="str">
        <f>IFERROR(__xludf.DUMMYFUNCTION("""🏘️ ""&amp;REGEXEXTRACT(B99, ""^(.*): "")&amp;"" ✅ "" &amp;REGEXEXTRACT(B99, ""(Trouvez.*)"")"),"🏘️ Louer maison Seuzach ✅ Trouvez le bien immobilier qui correspond idéalement à vos désirs sur ImmoScout24 - La plateforme de l'immobilier en Suisse.")</f>
        <v>🏘️ Louer maison Seuzach ✅ Trouvez le bien immobilier qui correspond idéalement à vos désirs sur ImmoScout24 - La plateforme de l'immobilier en Suisse.</v>
      </c>
      <c r="D99" s="4" t="str">
        <f>vlookup(A99, Sheet2!D:E, 2, 0)</f>
        <v>variant</v>
      </c>
      <c r="E99" s="4" t="str">
        <f>IFERROR(__xludf.DUMMYFUNCTION("if(H99=""pays"",vlookup(REGEXEXTRACT(C99, ""🏘️ \w+ \w+ (.*) ✅""),'Country prepositions'!A:B, 2, 0) &amp; "" "" &amp; REGEXEXTRACT(C99, ""🏘️ \w+ \w+ (.*) ✅"") ,  if(H99=""quartier"",vlookup(REGEXEXTRACT(C99, ""🏘️ \w+ \w+ (.*) ✅""),'Quartier prepositions'!A:E, 5"&amp;", 0) ,  if(H99=""region"",vlookup(REGEXEXTRACT(C99, ""🏘️ \w+ \w+ (.*) ✅""),'Region prepositions'!B:F, 5, 0),  REGEXEXTRACT(C99, ""🏘️ \w+ \w+ (.*) ✅""))))"),"Seuzach")</f>
        <v>Seuzach</v>
      </c>
      <c r="F99" s="2" t="str">
        <f>IFERROR(__xludf.DUMMYFUNCTION("REGEXEXTRACT(C99, ""🏘️ (\w+) \w+ .* ✅"")"),"Louer")</f>
        <v>Louer</v>
      </c>
      <c r="G99" s="2" t="str">
        <f>IFERROR(__xludf.DUMMYFUNCTION("REGEXEXTRACT(C99, ""🏘️ \w+ (\w+) .* ✅"")"),"maison")</f>
        <v>maison</v>
      </c>
      <c r="H99" s="4" t="str">
        <f>IFERROR(__xludf.DUMMYFUNCTION("REGEXEXTRACT(A99, ""/(\w+)-.*?"")"),"lieu")</f>
        <v>lieu</v>
      </c>
      <c r="I99" s="4" t="str">
        <f>IFERROR(__xludf.DUMMYFUNCTION("if(D99=""variant"",  substitute(filter(Templates!E:E, Templates!A:A = F99, Templates!B:B = G99, Templates!C:C = H99), ""{{}}"", E99), B99)"),"🏘  Vous cherchez une maison à louer à Seuzach? ✅ Découvrez nos nombreuses annonces sur ImmoScout24.ch.")</f>
        <v>🏘  Vous cherchez une maison à louer à Seuzach? ✅ Découvrez nos nombreuses annonces sur ImmoScout24.ch.</v>
      </c>
      <c r="J99" s="4" t="s">
        <v>303</v>
      </c>
    </row>
    <row r="100">
      <c r="A100" s="5" t="s">
        <v>304</v>
      </c>
      <c r="B100" s="2" t="s">
        <v>305</v>
      </c>
      <c r="C100" s="4" t="str">
        <f>IFERROR(__xludf.DUMMYFUNCTION("""🏘️ ""&amp;REGEXEXTRACT(B100, ""^(.*): "")&amp;"" ✅ "" &amp;REGEXEXTRACT(B100, ""(Trouvez.*)"")"),"🏘️ Louer appartement La Sarraz ✅ Trouvez le bien immobilier qui correspond idéalement à vos désirs sur ImmoScout24 - La plateforme de l'immobilier en Suisse.")</f>
        <v>🏘️ Louer appartement La Sarraz ✅ Trouvez le bien immobilier qui correspond idéalement à vos désirs sur ImmoScout24 - La plateforme de l'immobilier en Suisse.</v>
      </c>
      <c r="D100" s="4" t="str">
        <f>vlookup(A100, Sheet2!D:E, 2, 0)</f>
        <v>variant</v>
      </c>
      <c r="E100" s="4" t="str">
        <f>IFERROR(__xludf.DUMMYFUNCTION("if(H100=""pays"",vlookup(REGEXEXTRACT(C100, ""🏘️ \w+ \w+ (.*) ✅""),'Country prepositions'!A:B, 2, 0) &amp; "" "" &amp; REGEXEXTRACT(C100, ""🏘️ \w+ \w+ (.*) ✅"") ,  if(H100=""quartier"",vlookup(REGEXEXTRACT(C100, ""🏘️ \w+ \w+ (.*) ✅""),'Quartier prepositions'!A"&amp;":E, 5, 0) ,  if(H100=""region"",vlookup(REGEXEXTRACT(C100, ""🏘️ \w+ \w+ (.*) ✅""),'Region prepositions'!B:F, 5, 0),  REGEXEXTRACT(C100, ""🏘️ \w+ \w+ (.*) ✅""))))"),"La Sarraz")</f>
        <v>La Sarraz</v>
      </c>
      <c r="F100" s="2" t="str">
        <f>IFERROR(__xludf.DUMMYFUNCTION("REGEXEXTRACT(C100, ""🏘️ (\w+) \w+ .* ✅"")"),"Louer")</f>
        <v>Louer</v>
      </c>
      <c r="G100" s="2" t="str">
        <f>IFERROR(__xludf.DUMMYFUNCTION("REGEXEXTRACT(C100, ""🏘️ \w+ (\w+) .* ✅"")"),"appartement")</f>
        <v>appartement</v>
      </c>
      <c r="H100" s="4" t="str">
        <f>IFERROR(__xludf.DUMMYFUNCTION("REGEXEXTRACT(A100, ""/(\w+)-.*?"")"),"lieu")</f>
        <v>lieu</v>
      </c>
      <c r="I100" s="4" t="str">
        <f>IFERROR(__xludf.DUMMYFUNCTION("if(D100=""variant"",  substitute(filter(Templates!E:E, Templates!A:A = F100, Templates!B:B = G100, Templates!C:C = H100), ""{{}}"", E100), B100)"),"🏘  Vous cherchez un appartement à louer à La Sarraz? ✅ Les annonces les plus actuelles sont sur ImmoScout24.ch.")</f>
        <v>🏘  Vous cherchez un appartement à louer à La Sarraz? ✅ Les annonces les plus actuelles sont sur ImmoScout24.ch.</v>
      </c>
      <c r="J100" s="4" t="s">
        <v>306</v>
      </c>
    </row>
    <row r="101">
      <c r="A101" s="5" t="s">
        <v>307</v>
      </c>
      <c r="B101" s="2" t="s">
        <v>308</v>
      </c>
      <c r="C101" s="4" t="str">
        <f>IFERROR(__xludf.DUMMYFUNCTION("""🏘️ ""&amp;REGEXEXTRACT(B101, ""^(.*): "")&amp;"" ✅ "" &amp;REGEXEXTRACT(B101, ""(Trouvez.*)"")"),"🏘️ Louer maison Les Valettes (Bovernier) ✅ Trouvez le bien immobilier qui correspond idéalement à vos désirs sur ImmoScout24 - La plateforme de l'immobilier en Suisse.")</f>
        <v>🏘️ Louer maison Les Valettes (Bovernier) ✅ Trouvez le bien immobilier qui correspond idéalement à vos désirs sur ImmoScout24 - La plateforme de l'immobilier en Suisse.</v>
      </c>
      <c r="D101" s="4" t="str">
        <f>vlookup(A101, Sheet2!D:E, 2, 0)</f>
        <v>variant</v>
      </c>
      <c r="E101" s="4" t="str">
        <f>IFERROR(__xludf.DUMMYFUNCTION("if(H101=""pays"",vlookup(REGEXEXTRACT(C101, ""🏘️ \w+ \w+ (.*) ✅""),'Country prepositions'!A:B, 2, 0) &amp; "" "" &amp; REGEXEXTRACT(C101, ""🏘️ \w+ \w+ (.*) ✅"") ,  if(H101=""quartier"",vlookup(REGEXEXTRACT(C101, ""🏘️ \w+ \w+ (.*) ✅""),'Quartier prepositions'!A"&amp;":E, 5, 0) ,  if(H101=""region"",vlookup(REGEXEXTRACT(C101, ""🏘️ \w+ \w+ (.*) ✅""),'Region prepositions'!B:F, 5, 0),  REGEXEXTRACT(C101, ""🏘️ \w+ \w+ (.*) ✅""))))"),"Les Valettes (Bovernier)")</f>
        <v>Les Valettes (Bovernier)</v>
      </c>
      <c r="F101" s="2" t="str">
        <f>IFERROR(__xludf.DUMMYFUNCTION("REGEXEXTRACT(C101, ""🏘️ (\w+) \w+ .* ✅"")"),"Louer")</f>
        <v>Louer</v>
      </c>
      <c r="G101" s="2" t="str">
        <f>IFERROR(__xludf.DUMMYFUNCTION("REGEXEXTRACT(C101, ""🏘️ \w+ (\w+) .* ✅"")"),"maison")</f>
        <v>maison</v>
      </c>
      <c r="H101" s="4" t="str">
        <f>IFERROR(__xludf.DUMMYFUNCTION("REGEXEXTRACT(A101, ""/(\w+)-.*?"")"),"lieu")</f>
        <v>lieu</v>
      </c>
      <c r="I101" s="8" t="str">
        <f>IFERROR(__xludf.DUMMYFUNCTION("if(D101=""variant"",  substitute(filter(Templates!E:E, Templates!A:A = F101, Templates!B:B = G101, Templates!C:C = H101), ""{{}}"", E101), B101)"),"🏘  Vous cherchez une maison à louer à Les Valettes (Bovernier)? ✅ Découvrez nos nombreuses annonces sur ImmoScout24.ch.")</f>
        <v>🏘  Vous cherchez une maison à louer à Les Valettes (Bovernier)? ✅ Découvrez nos nombreuses annonces sur ImmoScout24.ch.</v>
      </c>
      <c r="J101" s="2" t="s">
        <v>309</v>
      </c>
    </row>
    <row r="102">
      <c r="A102" s="5" t="s">
        <v>310</v>
      </c>
      <c r="B102" s="2" t="s">
        <v>311</v>
      </c>
      <c r="C102" s="4" t="str">
        <f>IFERROR(__xludf.DUMMYFUNCTION("""🏘️ ""&amp;REGEXEXTRACT(B102, ""^(.*): "")&amp;"" ✅ "" &amp;REGEXEXTRACT(B102, ""(Trouvez.*)"")"),"🏘️ Louer appartement Martigny ✅ Trouvez le bien immobilier qui correspond idéalement à vos désirs sur ImmoScout24 - La plateforme de l'immobilier en Suisse.")</f>
        <v>🏘️ Louer appartement Martigny ✅ Trouvez le bien immobilier qui correspond idéalement à vos désirs sur ImmoScout24 - La plateforme de l'immobilier en Suisse.</v>
      </c>
      <c r="D102" s="4" t="str">
        <f>vlookup(A102, Sheet2!D:E, 2, 0)</f>
        <v>variant</v>
      </c>
      <c r="E102" s="4" t="str">
        <f>IFERROR(__xludf.DUMMYFUNCTION("if(H102=""pays"",vlookup(REGEXEXTRACT(C102, ""🏘️ \w+ \w+ (.*) ✅""),'Country prepositions'!A:B, 2, 0) &amp; "" "" &amp; REGEXEXTRACT(C102, ""🏘️ \w+ \w+ (.*) ✅"") ,  if(H102=""quartier"",vlookup(REGEXEXTRACT(C102, ""🏘️ \w+ \w+ (.*) ✅""),'Quartier prepositions'!A"&amp;":E, 5, 0) ,  if(H102=""region"",vlookup(REGEXEXTRACT(C102, ""🏘️ \w+ \w+ (.*) ✅""),'Region prepositions'!B:F, 5, 0),  REGEXEXTRACT(C102, ""🏘️ \w+ \w+ (.*) ✅""))))"),"Martigny")</f>
        <v>Martigny</v>
      </c>
      <c r="F102" s="2" t="str">
        <f>IFERROR(__xludf.DUMMYFUNCTION("REGEXEXTRACT(C102, ""🏘️ (\w+) \w+ .* ✅"")"),"Louer")</f>
        <v>Louer</v>
      </c>
      <c r="G102" s="2" t="str">
        <f>IFERROR(__xludf.DUMMYFUNCTION("REGEXEXTRACT(C102, ""🏘️ \w+ (\w+) .* ✅"")"),"appartement")</f>
        <v>appartement</v>
      </c>
      <c r="H102" s="4" t="str">
        <f>IFERROR(__xludf.DUMMYFUNCTION("REGEXEXTRACT(A102, ""/(\w+)-.*?"")"),"lieu")</f>
        <v>lieu</v>
      </c>
      <c r="I102" s="4" t="str">
        <f>IFERROR(__xludf.DUMMYFUNCTION("if(D102=""variant"",  substitute(filter(Templates!E:E, Templates!A:A = F102, Templates!B:B = G102, Templates!C:C = H102), ""{{}}"", E102), B102)"),"🏘  Vous cherchez un appartement à louer à Martigny? ✅ Les annonces les plus actuelles sont sur ImmoScout24.ch.")</f>
        <v>🏘  Vous cherchez un appartement à louer à Martigny? ✅ Les annonces les plus actuelles sont sur ImmoScout24.ch.</v>
      </c>
      <c r="J102" s="4" t="s">
        <v>312</v>
      </c>
    </row>
    <row r="103">
      <c r="A103" s="5" t="s">
        <v>313</v>
      </c>
      <c r="B103" s="2" t="s">
        <v>314</v>
      </c>
      <c r="C103" s="4" t="str">
        <f>IFERROR(__xludf.DUMMYFUNCTION("""🏘️ ""&amp;REGEXEXTRACT(B103, ""^(.*): "")&amp;"" ✅ "" &amp;REGEXEXTRACT(B103, ""(Trouvez.*)"")"),"🏘️ Vendre maison La Russille ✅ Trouvez le bien immobilier qui correspond idéalement à vos désirs sur ImmoScout24 - La plateforme de l'immobilier en Suisse.")</f>
        <v>🏘️ Vendre maison La Russille ✅ Trouvez le bien immobilier qui correspond idéalement à vos désirs sur ImmoScout24 - La plateforme de l'immobilier en Suisse.</v>
      </c>
      <c r="D103" s="4" t="str">
        <f>vlookup(A103, Sheet2!D:E, 2, 0)</f>
        <v>variant</v>
      </c>
      <c r="E103" s="4" t="str">
        <f>IFERROR(__xludf.DUMMYFUNCTION("if(H103=""pays"",vlookup(REGEXEXTRACT(C103, ""🏘️ \w+ \w+ (.*) ✅""),'Country prepositions'!A:B, 2, 0) &amp; "" "" &amp; REGEXEXTRACT(C103, ""🏘️ \w+ \w+ (.*) ✅"") ,  if(H103=""quartier"",vlookup(REGEXEXTRACT(C103, ""🏘️ \w+ \w+ (.*) ✅""),'Quartier prepositions'!A"&amp;":E, 5, 0) ,  if(H103=""region"",vlookup(REGEXEXTRACT(C103, ""🏘️ \w+ \w+ (.*) ✅""),'Region prepositions'!B:F, 5, 0),  REGEXEXTRACT(C103, ""🏘️ \w+ \w+ (.*) ✅""))))"),"La Russille")</f>
        <v>La Russille</v>
      </c>
      <c r="F103" s="2" t="str">
        <f>IFERROR(__xludf.DUMMYFUNCTION("REGEXEXTRACT(C103, ""🏘️ (\w+) \w+ .* ✅"")"),"Vendre")</f>
        <v>Vendre</v>
      </c>
      <c r="G103" s="2" t="str">
        <f>IFERROR(__xludf.DUMMYFUNCTION("REGEXEXTRACT(C103, ""🏘️ \w+ (\w+) .* ✅"")"),"maison")</f>
        <v>maison</v>
      </c>
      <c r="H103" s="4" t="str">
        <f>IFERROR(__xludf.DUMMYFUNCTION("REGEXEXTRACT(A103, ""/(\w+)-.*?"")"),"lieu")</f>
        <v>lieu</v>
      </c>
      <c r="I103" s="4" t="str">
        <f>IFERROR(__xludf.DUMMYFUNCTION("if(D103=""variant"",  substitute(filter(Templates!E:E, Templates!A:A = F103, Templates!B:B = G103, Templates!C:C = H103), ""{{}}"", E103), B103)"),"🏘  Vous souhaitez acheter une maison à La Russille? ✅ Jetez un œil aux dernières offres sur ImmoScout24.ch.")</f>
        <v>🏘  Vous souhaitez acheter une maison à La Russille? ✅ Jetez un œil aux dernières offres sur ImmoScout24.ch.</v>
      </c>
      <c r="J103" s="4" t="s">
        <v>315</v>
      </c>
    </row>
    <row r="104">
      <c r="A104" s="5" t="s">
        <v>316</v>
      </c>
      <c r="B104" s="2" t="s">
        <v>317</v>
      </c>
      <c r="C104" s="4" t="str">
        <f>IFERROR(__xludf.DUMMYFUNCTION("""🏘️ ""&amp;REGEXEXTRACT(B104, ""^(.*): "")&amp;"" ✅ "" &amp;REGEXEXTRACT(B104, ""(Trouvez.*)"")"),"🏘️ Vendre appartement Bremgarten AG ✅ Trouvez le bien immobilier qui correspond idéalement à vos désirs sur ImmoScout24 - La plateforme de l'immobilier en Suisse.")</f>
        <v>🏘️ Vendre appartement Bremgarten AG ✅ Trouvez le bien immobilier qui correspond idéalement à vos désirs sur ImmoScout24 - La plateforme de l'immobilier en Suisse.</v>
      </c>
      <c r="D104" s="4" t="str">
        <f>vlookup(A104, Sheet2!D:E, 2, 0)</f>
        <v>variant</v>
      </c>
      <c r="E104" s="4" t="str">
        <f>IFERROR(__xludf.DUMMYFUNCTION("if(H104=""pays"",vlookup(REGEXEXTRACT(C104, ""🏘️ \w+ \w+ (.*) ✅""),'Country prepositions'!A:B, 2, 0) &amp; "" "" &amp; REGEXEXTRACT(C104, ""🏘️ \w+ \w+ (.*) ✅"") ,  if(H104=""quartier"",vlookup(REGEXEXTRACT(C104, ""🏘️ \w+ \w+ (.*) ✅""),'Quartier prepositions'!A"&amp;":E, 5, 0) ,  if(H104=""region"",vlookup(REGEXEXTRACT(C104, ""🏘️ \w+ \w+ (.*) ✅""),'Region prepositions'!B:F, 5, 0),  REGEXEXTRACT(C104, ""🏘️ \w+ \w+ (.*) ✅""))))"),"Bremgarten AG")</f>
        <v>Bremgarten AG</v>
      </c>
      <c r="F104" s="2" t="str">
        <f>IFERROR(__xludf.DUMMYFUNCTION("REGEXEXTRACT(C104, ""🏘️ (\w+) \w+ .* ✅"")"),"Vendre")</f>
        <v>Vendre</v>
      </c>
      <c r="G104" s="2" t="str">
        <f>IFERROR(__xludf.DUMMYFUNCTION("REGEXEXTRACT(C104, ""🏘️ \w+ (\w+) .* ✅"")"),"appartement")</f>
        <v>appartement</v>
      </c>
      <c r="H104" s="4" t="str">
        <f>IFERROR(__xludf.DUMMYFUNCTION("REGEXEXTRACT(A104, ""/(\w+)-.*?"")"),"lieu")</f>
        <v>lieu</v>
      </c>
      <c r="I104" s="4" t="str">
        <f>IFERROR(__xludf.DUMMYFUNCTION("if(D104=""variant"",  substitute(filter(Templates!E:E, Templates!A:A = F104, Templates!B:B = G104, Templates!C:C = H104), ""{{}}"", E104), B104)"),"🏘  L’appartement de vos rêves se trouve sur ImmoScout24.ch ✅ Découvrez les dernières annonces de vente à Bremgarten AG.")</f>
        <v>🏘  L’appartement de vos rêves se trouve sur ImmoScout24.ch ✅ Découvrez les dernières annonces de vente à Bremgarten AG.</v>
      </c>
      <c r="J104" s="4" t="s">
        <v>318</v>
      </c>
    </row>
    <row r="105">
      <c r="A105" s="5" t="s">
        <v>319</v>
      </c>
      <c r="B105" s="2" t="s">
        <v>320</v>
      </c>
      <c r="C105" s="4" t="str">
        <f>IFERROR(__xludf.DUMMYFUNCTION("""🏘️ ""&amp;REGEXEXTRACT(B105, ""^(.*): "")&amp;"" ✅ "" &amp;REGEXEXTRACT(B105, ""(Trouvez.*)"")"),"🏘️ Vendre maison Chêne-Bougeries ✅ Trouvez le bien immobilier qui correspond idéalement à vos désirs sur ImmoScout24 - La plateforme de l'immobilier en Suisse.")</f>
        <v>🏘️ Vendre maison Chêne-Bougeries ✅ Trouvez le bien immobilier qui correspond idéalement à vos désirs sur ImmoScout24 - La plateforme de l'immobilier en Suisse.</v>
      </c>
      <c r="D105" s="4" t="str">
        <f>vlookup(A105, Sheet2!D:E, 2, 0)</f>
        <v>variant</v>
      </c>
      <c r="E105" s="4" t="str">
        <f>IFERROR(__xludf.DUMMYFUNCTION("if(H105=""pays"",vlookup(REGEXEXTRACT(C105, ""🏘️ \w+ \w+ (.*) ✅""),'Country prepositions'!A:B, 2, 0) &amp; "" "" &amp; REGEXEXTRACT(C105, ""🏘️ \w+ \w+ (.*) ✅"") ,  if(H105=""quartier"",vlookup(REGEXEXTRACT(C105, ""🏘️ \w+ \w+ (.*) ✅""),'Quartier prepositions'!A"&amp;":E, 5, 0) ,  if(H105=""region"",vlookup(REGEXEXTRACT(C105, ""🏘️ \w+ \w+ (.*) ✅""),'Region prepositions'!B:F, 5, 0),  REGEXEXTRACT(C105, ""🏘️ \w+ \w+ (.*) ✅""))))"),"Chêne-Bougeries")</f>
        <v>Chêne-Bougeries</v>
      </c>
      <c r="F105" s="2" t="str">
        <f>IFERROR(__xludf.DUMMYFUNCTION("REGEXEXTRACT(C105, ""🏘️ (\w+) \w+ .* ✅"")"),"Vendre")</f>
        <v>Vendre</v>
      </c>
      <c r="G105" s="2" t="str">
        <f>IFERROR(__xludf.DUMMYFUNCTION("REGEXEXTRACT(C105, ""🏘️ \w+ (\w+) .* ✅"")"),"maison")</f>
        <v>maison</v>
      </c>
      <c r="H105" s="4" t="str">
        <f>IFERROR(__xludf.DUMMYFUNCTION("REGEXEXTRACT(A105, ""/(\w+)-.*?"")"),"lieu")</f>
        <v>lieu</v>
      </c>
      <c r="I105" s="4" t="str">
        <f>IFERROR(__xludf.DUMMYFUNCTION("if(D105=""variant"",  substitute(filter(Templates!E:E, Templates!A:A = F105, Templates!B:B = G105, Templates!C:C = H105), ""{{}}"", E105), B105)"),"🏘  Vous souhaitez acheter une maison à Chêne-Bougeries? ✅ Jetez un œil aux dernières offres sur ImmoScout24.ch.")</f>
        <v>🏘  Vous souhaitez acheter une maison à Chêne-Bougeries? ✅ Jetez un œil aux dernières offres sur ImmoScout24.ch.</v>
      </c>
      <c r="J105" s="4" t="s">
        <v>321</v>
      </c>
    </row>
    <row r="106">
      <c r="A106" s="5" t="s">
        <v>322</v>
      </c>
      <c r="B106" s="2" t="s">
        <v>323</v>
      </c>
      <c r="C106" s="4" t="str">
        <f>IFERROR(__xludf.DUMMYFUNCTION("""🏘️ ""&amp;REGEXEXTRACT(B106, ""^(.*): "")&amp;"" ✅ "" &amp;REGEXEXTRACT(B106, ""(Trouvez.*)"")"),"🏘️ Vendre appartement Belp ✅ Trouvez le bien immobilier qui correspond idéalement à vos désirs sur ImmoScout24 - La plateforme de l'immobilier en Suisse.")</f>
        <v>🏘️ Vendre appartement Belp ✅ Trouvez le bien immobilier qui correspond idéalement à vos désirs sur ImmoScout24 - La plateforme de l'immobilier en Suisse.</v>
      </c>
      <c r="D106" s="4" t="str">
        <f>vlookup(A106, Sheet2!D:E, 2, 0)</f>
        <v>variant</v>
      </c>
      <c r="E106" s="4" t="str">
        <f>IFERROR(__xludf.DUMMYFUNCTION("if(H106=""pays"",vlookup(REGEXEXTRACT(C106, ""🏘️ \w+ \w+ (.*) ✅""),'Country prepositions'!A:B, 2, 0) &amp; "" "" &amp; REGEXEXTRACT(C106, ""🏘️ \w+ \w+ (.*) ✅"") ,  if(H106=""quartier"",vlookup(REGEXEXTRACT(C106, ""🏘️ \w+ \w+ (.*) ✅""),'Quartier prepositions'!A"&amp;":E, 5, 0) ,  if(H106=""region"",vlookup(REGEXEXTRACT(C106, ""🏘️ \w+ \w+ (.*) ✅""),'Region prepositions'!B:F, 5, 0),  REGEXEXTRACT(C106, ""🏘️ \w+ \w+ (.*) ✅""))))"),"Belp")</f>
        <v>Belp</v>
      </c>
      <c r="F106" s="2" t="str">
        <f>IFERROR(__xludf.DUMMYFUNCTION("REGEXEXTRACT(C106, ""🏘️ (\w+) \w+ .* ✅"")"),"Vendre")</f>
        <v>Vendre</v>
      </c>
      <c r="G106" s="2" t="str">
        <f>IFERROR(__xludf.DUMMYFUNCTION("REGEXEXTRACT(C106, ""🏘️ \w+ (\w+) .* ✅"")"),"appartement")</f>
        <v>appartement</v>
      </c>
      <c r="H106" s="4" t="str">
        <f>IFERROR(__xludf.DUMMYFUNCTION("REGEXEXTRACT(A106, ""/(\w+)-.*?"")"),"lieu")</f>
        <v>lieu</v>
      </c>
      <c r="I106" s="4" t="str">
        <f>IFERROR(__xludf.DUMMYFUNCTION("if(D106=""variant"",  substitute(filter(Templates!E:E, Templates!A:A = F106, Templates!B:B = G106, Templates!C:C = H106), ""{{}}"", E106), B106)"),"🏘  L’appartement de vos rêves se trouve sur ImmoScout24.ch ✅ Découvrez les dernières annonces de vente à Belp.")</f>
        <v>🏘  L’appartement de vos rêves se trouve sur ImmoScout24.ch ✅ Découvrez les dernières annonces de vente à Belp.</v>
      </c>
      <c r="J106" s="4" t="s">
        <v>324</v>
      </c>
    </row>
    <row r="107">
      <c r="A107" s="5" t="s">
        <v>325</v>
      </c>
      <c r="B107" s="2" t="s">
        <v>326</v>
      </c>
      <c r="C107" s="4" t="str">
        <f>IFERROR(__xludf.DUMMYFUNCTION("""🏘️ ""&amp;REGEXEXTRACT(B107, ""^(.*): "")&amp;"" ✅ "" &amp;REGEXEXTRACT(B107, ""(Trouvez.*)"")"),"🏘️ Vendre appartement Bévilard ✅ Trouvez le bien immobilier qui correspond idéalement à vos désirs sur ImmoScout24 - La plateforme de l'immobilier en Suisse.")</f>
        <v>🏘️ Vendre appartement Bévilard ✅ Trouvez le bien immobilier qui correspond idéalement à vos désirs sur ImmoScout24 - La plateforme de l'immobilier en Suisse.</v>
      </c>
      <c r="D107" s="4" t="str">
        <f>vlookup(A107, Sheet2!D:E, 2, 0)</f>
        <v>variant</v>
      </c>
      <c r="E107" s="4" t="str">
        <f>IFERROR(__xludf.DUMMYFUNCTION("if(H107=""pays"",vlookup(REGEXEXTRACT(C107, ""🏘️ \w+ \w+ (.*) ✅""),'Country prepositions'!A:B, 2, 0) &amp; "" "" &amp; REGEXEXTRACT(C107, ""🏘️ \w+ \w+ (.*) ✅"") ,  if(H107=""quartier"",vlookup(REGEXEXTRACT(C107, ""🏘️ \w+ \w+ (.*) ✅""),'Quartier prepositions'!A"&amp;":E, 5, 0) ,  if(H107=""region"",vlookup(REGEXEXTRACT(C107, ""🏘️ \w+ \w+ (.*) ✅""),'Region prepositions'!B:F, 5, 0),  REGEXEXTRACT(C107, ""🏘️ \w+ \w+ (.*) ✅""))))"),"Bévilard")</f>
        <v>Bévilard</v>
      </c>
      <c r="F107" s="2" t="str">
        <f>IFERROR(__xludf.DUMMYFUNCTION("REGEXEXTRACT(C107, ""🏘️ (\w+) \w+ .* ✅"")"),"Vendre")</f>
        <v>Vendre</v>
      </c>
      <c r="G107" s="2" t="str">
        <f>IFERROR(__xludf.DUMMYFUNCTION("REGEXEXTRACT(C107, ""🏘️ \w+ (\w+) .* ✅"")"),"appartement")</f>
        <v>appartement</v>
      </c>
      <c r="H107" s="4" t="str">
        <f>IFERROR(__xludf.DUMMYFUNCTION("REGEXEXTRACT(A107, ""/(\w+)-.*?"")"),"lieu")</f>
        <v>lieu</v>
      </c>
      <c r="I107" s="4" t="str">
        <f>IFERROR(__xludf.DUMMYFUNCTION("if(D107=""variant"",  substitute(filter(Templates!E:E, Templates!A:A = F107, Templates!B:B = G107, Templates!C:C = H107), ""{{}}"", E107), B107)"),"🏘  L’appartement de vos rêves se trouve sur ImmoScout24.ch ✅ Découvrez les dernières annonces de vente à Bévilard.")</f>
        <v>🏘  L’appartement de vos rêves se trouve sur ImmoScout24.ch ✅ Découvrez les dernières annonces de vente à Bévilard.</v>
      </c>
      <c r="J107" s="4" t="s">
        <v>327</v>
      </c>
    </row>
    <row r="108">
      <c r="A108" s="5" t="s">
        <v>328</v>
      </c>
      <c r="B108" s="2" t="s">
        <v>329</v>
      </c>
      <c r="C108" s="4" t="str">
        <f>IFERROR(__xludf.DUMMYFUNCTION("""🏘️ ""&amp;REGEXEXTRACT(B108, ""^(.*): "")&amp;"" ✅ "" &amp;REGEXEXTRACT(B108, ""(Trouvez.*)"")"),"🏘️ Louer appartement Secteur forain nord (La Chaux-de-Fonds) ✅ Trouvez le bien immobilier qui correspond idéalement à vos désirs sur ImmoScout24 - La plateforme de l'immobilier en Suisse.")</f>
        <v>🏘️ Louer appartement Secteur forain nord (La Chaux-de-Fonds) ✅ Trouvez le bien immobilier qui correspond idéalement à vos désirs sur ImmoScout24 - La plateforme de l'immobilier en Suisse.</v>
      </c>
      <c r="D108" s="4" t="str">
        <f>vlookup(A108, Sheet2!D:E, 2, 0)</f>
        <v>variant</v>
      </c>
      <c r="E108" s="4" t="str">
        <f>IFERROR(__xludf.DUMMYFUNCTION("if(H108=""pays"",vlookup(REGEXEXTRACT(C108, ""🏘️ \w+ \w+ (.*) ✅""),'Country prepositions'!A:B, 2, 0) &amp; "" "" &amp; REGEXEXTRACT(C108, ""🏘️ \w+ \w+ (.*) ✅"") ,  if(H108=""quartier"",vlookup(REGEXEXTRACT(C108, ""🏘️ \w+ \w+ (.*) ✅""),'Quartier prepositions'!A"&amp;":E, 5, 0) ,  if(H108=""region"",vlookup(REGEXEXTRACT(C108, ""🏘️ \w+ \w+ (.*) ✅""),'Region prepositions'!B:F, 5, 0),  REGEXEXTRACT(C108, ""🏘️ \w+ \w+ (.*) ✅""))))"),"dans le Secteur forain nord (La Chaux-de-Fonds)")</f>
        <v>dans le Secteur forain nord (La Chaux-de-Fonds)</v>
      </c>
      <c r="F108" s="2" t="str">
        <f>IFERROR(__xludf.DUMMYFUNCTION("REGEXEXTRACT(C108, ""🏘️ (\w+) \w+ .* ✅"")"),"Louer")</f>
        <v>Louer</v>
      </c>
      <c r="G108" s="2" t="str">
        <f>IFERROR(__xludf.DUMMYFUNCTION("REGEXEXTRACT(C108, ""🏘️ \w+ (\w+) .* ✅"")"),"appartement")</f>
        <v>appartement</v>
      </c>
      <c r="H108" s="4" t="str">
        <f>IFERROR(__xludf.DUMMYFUNCTION("REGEXEXTRACT(A108, ""/(\w+)-.*?"")"),"quartier")</f>
        <v>quartier</v>
      </c>
      <c r="I108" s="4" t="str">
        <f>IFERROR(__xludf.DUMMYFUNCTION("if(D108=""variant"",  substitute(filter(Templates!E:E, Templates!A:A = F108, Templates!B:B = G108, Templates!C:C = H108), ""{{}}"", E108), B108)"),"🏘  Vous cherchez un appartement à louer dans le Secteur forain nord (La Chaux-de-Fonds)? ✅ Les annonces les plus actuelles sont sur ImmoScout24.ch.")</f>
        <v>🏘  Vous cherchez un appartement à louer dans le Secteur forain nord (La Chaux-de-Fonds)? ✅ Les annonces les plus actuelles sont sur ImmoScout24.ch.</v>
      </c>
      <c r="J108" s="4" t="s">
        <v>330</v>
      </c>
    </row>
    <row r="109">
      <c r="A109" s="5" t="s">
        <v>331</v>
      </c>
      <c r="B109" s="2" t="s">
        <v>332</v>
      </c>
      <c r="C109" s="4" t="str">
        <f>IFERROR(__xludf.DUMMYFUNCTION("""🏘️ ""&amp;REGEXEXTRACT(B109, ""^(.*): "")&amp;"" ✅ "" &amp;REGEXEXTRACT(B109, ""(Trouvez.*)"")"),"🏘️ Louer appartement Penthalaz ✅ Trouvez le bien immobilier qui correspond idéalement à vos désirs sur ImmoScout24 - La plateforme de l'immobilier en Suisse.")</f>
        <v>🏘️ Louer appartement Penthalaz ✅ Trouvez le bien immobilier qui correspond idéalement à vos désirs sur ImmoScout24 - La plateforme de l'immobilier en Suisse.</v>
      </c>
      <c r="D109" s="4" t="str">
        <f>vlookup(A109, Sheet2!D:E, 2, 0)</f>
        <v>variant</v>
      </c>
      <c r="E109" s="4" t="str">
        <f>IFERROR(__xludf.DUMMYFUNCTION("if(H109=""pays"",vlookup(REGEXEXTRACT(C109, ""🏘️ \w+ \w+ (.*) ✅""),'Country prepositions'!A:B, 2, 0) &amp; "" "" &amp; REGEXEXTRACT(C109, ""🏘️ \w+ \w+ (.*) ✅"") ,  if(H109=""quartier"",vlookup(REGEXEXTRACT(C109, ""🏘️ \w+ \w+ (.*) ✅""),'Quartier prepositions'!A"&amp;":E, 5, 0) ,  if(H109=""region"",vlookup(REGEXEXTRACT(C109, ""🏘️ \w+ \w+ (.*) ✅""),'Region prepositions'!B:F, 5, 0),  REGEXEXTRACT(C109, ""🏘️ \w+ \w+ (.*) ✅""))))"),"Penthalaz")</f>
        <v>Penthalaz</v>
      </c>
      <c r="F109" s="2" t="str">
        <f>IFERROR(__xludf.DUMMYFUNCTION("REGEXEXTRACT(C109, ""🏘️ (\w+) \w+ .* ✅"")"),"Louer")</f>
        <v>Louer</v>
      </c>
      <c r="G109" s="2" t="str">
        <f>IFERROR(__xludf.DUMMYFUNCTION("REGEXEXTRACT(C109, ""🏘️ \w+ (\w+) .* ✅"")"),"appartement")</f>
        <v>appartement</v>
      </c>
      <c r="H109" s="4" t="str">
        <f>IFERROR(__xludf.DUMMYFUNCTION("REGEXEXTRACT(A109, ""/(\w+)-.*?"")"),"lieu")</f>
        <v>lieu</v>
      </c>
      <c r="I109" s="4" t="str">
        <f>IFERROR(__xludf.DUMMYFUNCTION("if(D109=""variant"",  substitute(filter(Templates!E:E, Templates!A:A = F109, Templates!B:B = G109, Templates!C:C = H109), ""{{}}"", E109), B109)"),"🏘  Vous cherchez un appartement à louer à Penthalaz? ✅ Les annonces les plus actuelles sont sur ImmoScout24.ch.")</f>
        <v>🏘  Vous cherchez un appartement à louer à Penthalaz? ✅ Les annonces les plus actuelles sont sur ImmoScout24.ch.</v>
      </c>
      <c r="J109" s="4" t="s">
        <v>333</v>
      </c>
    </row>
    <row r="110">
      <c r="A110" s="5" t="s">
        <v>334</v>
      </c>
      <c r="B110" s="2" t="s">
        <v>335</v>
      </c>
      <c r="C110" s="4" t="str">
        <f>IFERROR(__xludf.DUMMYFUNCTION("""🏘️ ""&amp;REGEXEXTRACT(B110, ""^(.*): "")&amp;"" ✅ "" &amp;REGEXEXTRACT(B110, ""(Trouvez.*)"")"),"🏘️ Louer maison Bursinel ✅ Trouvez le bien immobilier qui correspond idéalement à vos désirs sur ImmoScout24 - La plateforme de l'immobilier en Suisse.")</f>
        <v>🏘️ Louer maison Bursinel ✅ Trouvez le bien immobilier qui correspond idéalement à vos désirs sur ImmoScout24 - La plateforme de l'immobilier en Suisse.</v>
      </c>
      <c r="D110" s="4" t="str">
        <f>vlookup(A110, Sheet2!D:E, 2, 0)</f>
        <v>variant</v>
      </c>
      <c r="E110" s="4" t="str">
        <f>IFERROR(__xludf.DUMMYFUNCTION("if(H110=""pays"",vlookup(REGEXEXTRACT(C110, ""🏘️ \w+ \w+ (.*) ✅""),'Country prepositions'!A:B, 2, 0) &amp; "" "" &amp; REGEXEXTRACT(C110, ""🏘️ \w+ \w+ (.*) ✅"") ,  if(H110=""quartier"",vlookup(REGEXEXTRACT(C110, ""🏘️ \w+ \w+ (.*) ✅""),'Quartier prepositions'!A"&amp;":E, 5, 0) ,  if(H110=""region"",vlookup(REGEXEXTRACT(C110, ""🏘️ \w+ \w+ (.*) ✅""),'Region prepositions'!B:F, 5, 0),  REGEXEXTRACT(C110, ""🏘️ \w+ \w+ (.*) ✅""))))"),"Bursinel")</f>
        <v>Bursinel</v>
      </c>
      <c r="F110" s="2" t="str">
        <f>IFERROR(__xludf.DUMMYFUNCTION("REGEXEXTRACT(C110, ""🏘️ (\w+) \w+ .* ✅"")"),"Louer")</f>
        <v>Louer</v>
      </c>
      <c r="G110" s="2" t="str">
        <f>IFERROR(__xludf.DUMMYFUNCTION("REGEXEXTRACT(C110, ""🏘️ \w+ (\w+) .* ✅"")"),"maison")</f>
        <v>maison</v>
      </c>
      <c r="H110" s="4" t="str">
        <f>IFERROR(__xludf.DUMMYFUNCTION("REGEXEXTRACT(A110, ""/(\w+)-.*?"")"),"lieu")</f>
        <v>lieu</v>
      </c>
      <c r="I110" s="4" t="str">
        <f>IFERROR(__xludf.DUMMYFUNCTION("if(D110=""variant"",  substitute(filter(Templates!E:E, Templates!A:A = F110, Templates!B:B = G110, Templates!C:C = H110), ""{{}}"", E110), B110)"),"🏘  Vous cherchez une maison à louer à Bursinel? ✅ Découvrez nos nombreuses annonces sur ImmoScout24.ch.")</f>
        <v>🏘  Vous cherchez une maison à louer à Bursinel? ✅ Découvrez nos nombreuses annonces sur ImmoScout24.ch.</v>
      </c>
      <c r="J110" s="4" t="s">
        <v>336</v>
      </c>
    </row>
    <row r="111">
      <c r="A111" s="5" t="s">
        <v>337</v>
      </c>
      <c r="B111" s="2" t="s">
        <v>338</v>
      </c>
      <c r="C111" s="4" t="str">
        <f>IFERROR(__xludf.DUMMYFUNCTION("""🏘️ ""&amp;REGEXEXTRACT(B111, ""^(.*): "")&amp;"" ✅ "" &amp;REGEXEXTRACT(B111, ""(Trouvez.*)"")"),"🏘️ Vendre appartement Zollikofen ✅ Trouvez le bien immobilier qui correspond idéalement à vos désirs sur ImmoScout24 - La plateforme de l'immobilier en Suisse.")</f>
        <v>🏘️ Vendre appartement Zollikofen ✅ Trouvez le bien immobilier qui correspond idéalement à vos désirs sur ImmoScout24 - La plateforme de l'immobilier en Suisse.</v>
      </c>
      <c r="D111" s="4" t="str">
        <f>vlookup(A111, Sheet2!D:E, 2, 0)</f>
        <v>variant</v>
      </c>
      <c r="E111" s="4" t="str">
        <f>IFERROR(__xludf.DUMMYFUNCTION("if(H111=""pays"",vlookup(REGEXEXTRACT(C111, ""🏘️ \w+ \w+ (.*) ✅""),'Country prepositions'!A:B, 2, 0) &amp; "" "" &amp; REGEXEXTRACT(C111, ""🏘️ \w+ \w+ (.*) ✅"") ,  if(H111=""quartier"",vlookup(REGEXEXTRACT(C111, ""🏘️ \w+ \w+ (.*) ✅""),'Quartier prepositions'!A"&amp;":E, 5, 0) ,  if(H111=""region"",vlookup(REGEXEXTRACT(C111, ""🏘️ \w+ \w+ (.*) ✅""),'Region prepositions'!B:F, 5, 0),  REGEXEXTRACT(C111, ""🏘️ \w+ \w+ (.*) ✅""))))"),"Zollikofen")</f>
        <v>Zollikofen</v>
      </c>
      <c r="F111" s="2" t="str">
        <f>IFERROR(__xludf.DUMMYFUNCTION("REGEXEXTRACT(C111, ""🏘️ (\w+) \w+ .* ✅"")"),"Vendre")</f>
        <v>Vendre</v>
      </c>
      <c r="G111" s="2" t="str">
        <f>IFERROR(__xludf.DUMMYFUNCTION("REGEXEXTRACT(C111, ""🏘️ \w+ (\w+) .* ✅"")"),"appartement")</f>
        <v>appartement</v>
      </c>
      <c r="H111" s="4" t="str">
        <f>IFERROR(__xludf.DUMMYFUNCTION("REGEXEXTRACT(A111, ""/(\w+)-.*?"")"),"lieu")</f>
        <v>lieu</v>
      </c>
      <c r="I111" s="4" t="str">
        <f>IFERROR(__xludf.DUMMYFUNCTION("if(D111=""variant"",  substitute(filter(Templates!E:E, Templates!A:A = F111, Templates!B:B = G111, Templates!C:C = H111), ""{{}}"", E111), B111)"),"🏘  L’appartement de vos rêves se trouve sur ImmoScout24.ch ✅ Découvrez les dernières annonces de vente à Zollikofen.")</f>
        <v>🏘  L’appartement de vos rêves se trouve sur ImmoScout24.ch ✅ Découvrez les dernières annonces de vente à Zollikofen.</v>
      </c>
      <c r="J111" s="4" t="s">
        <v>339</v>
      </c>
    </row>
    <row r="112">
      <c r="A112" s="5" t="s">
        <v>340</v>
      </c>
      <c r="B112" s="2" t="s">
        <v>341</v>
      </c>
      <c r="C112" s="4" t="str">
        <f>IFERROR(__xludf.DUMMYFUNCTION("""🏘️ ""&amp;REGEXEXTRACT(B112, ""^(.*): "")&amp;"" ✅ "" &amp;REGEXEXTRACT(B112, ""(Trouvez.*)"")"),"🏘️ Vendre appartement Canton d'Appenzell RI ✅ Trouvez le bien immobilier qui correspond idéalement à vos désirs sur ImmoScout24 - La plateforme de l'immobilier en Suisse.")</f>
        <v>🏘️ Vendre appartement Canton d'Appenzell RI ✅ Trouvez le bien immobilier qui correspond idéalement à vos désirs sur ImmoScout24 - La plateforme de l'immobilier en Suisse.</v>
      </c>
      <c r="D112" s="4" t="str">
        <f>vlookup(A112, Sheet2!D:E, 2, 0)</f>
        <v>variant</v>
      </c>
      <c r="E112" s="4" t="str">
        <f>IFERROR(__xludf.DUMMYFUNCTION("if(H112=""pays"",vlookup(REGEXEXTRACT(C112, ""🏘️ \w+ \w+ (.*) ✅""),'Country prepositions'!A:B, 2, 0) &amp; "" "" &amp; REGEXEXTRACT(C112, ""🏘️ \w+ \w+ (.*) ✅"") ,  if(H112=""quartier"",vlookup(REGEXEXTRACT(C112, ""🏘️ \w+ \w+ (.*) ✅""),'Quartier prepositions'!A"&amp;":E, 5, 0) ,  if(H112=""region"",vlookup(REGEXEXTRACT(C112, ""🏘️ \w+ \w+ (.*) ✅""),'Region prepositions'!B:F, 5, 0),  REGEXEXTRACT(C112, ""🏘️ \w+ \w+ (.*) ✅""))))"),"Canton d'Appenzell RI")</f>
        <v>Canton d'Appenzell RI</v>
      </c>
      <c r="F112" s="2" t="str">
        <f>IFERROR(__xludf.DUMMYFUNCTION("REGEXEXTRACT(C112, ""🏘️ (\w+) \w+ .* ✅"")"),"Vendre")</f>
        <v>Vendre</v>
      </c>
      <c r="G112" s="2" t="str">
        <f>IFERROR(__xludf.DUMMYFUNCTION("REGEXEXTRACT(C112, ""🏘️ \w+ (\w+) .* ✅"")"),"appartement")</f>
        <v>appartement</v>
      </c>
      <c r="H112" s="4" t="str">
        <f>IFERROR(__xludf.DUMMYFUNCTION("REGEXEXTRACT(A112, ""/(\w+)-.*?"")"),"canton")</f>
        <v>canton</v>
      </c>
      <c r="I112" s="4" t="str">
        <f>IFERROR(__xludf.DUMMYFUNCTION("if(D112=""variant"",  substitute(filter(Templates!E:E, Templates!A:A = F112, Templates!B:B = G112, Templates!C:C = H112), ""{{}}"", E112), B112)"),"#N/A")</f>
        <v>#N/A</v>
      </c>
      <c r="J112" s="4" t="s">
        <v>342</v>
      </c>
    </row>
    <row r="113">
      <c r="A113" s="5" t="s">
        <v>343</v>
      </c>
      <c r="B113" s="2" t="s">
        <v>344</v>
      </c>
      <c r="C113" s="4" t="str">
        <f>IFERROR(__xludf.DUMMYFUNCTION("""🏘️ ""&amp;REGEXEXTRACT(B113, ""^(.*): "")&amp;"" ✅ "" &amp;REGEXEXTRACT(B113, ""(Trouvez.*)"")"),"🏘️ Vendre maison Lauperswil ✅ Trouvez le bien immobilier qui correspond idéalement à vos désirs sur ImmoScout24 - La plateforme de l'immobilier en Suisse.")</f>
        <v>🏘️ Vendre maison Lauperswil ✅ Trouvez le bien immobilier qui correspond idéalement à vos désirs sur ImmoScout24 - La plateforme de l'immobilier en Suisse.</v>
      </c>
      <c r="D113" s="4" t="str">
        <f>vlookup(A113, Sheet2!D:E, 2, 0)</f>
        <v>variant</v>
      </c>
      <c r="E113" s="4" t="str">
        <f>IFERROR(__xludf.DUMMYFUNCTION("if(H113=""pays"",vlookup(REGEXEXTRACT(C113, ""🏘️ \w+ \w+ (.*) ✅""),'Country prepositions'!A:B, 2, 0) &amp; "" "" &amp; REGEXEXTRACT(C113, ""🏘️ \w+ \w+ (.*) ✅"") ,  if(H113=""quartier"",vlookup(REGEXEXTRACT(C113, ""🏘️ \w+ \w+ (.*) ✅""),'Quartier prepositions'!A"&amp;":E, 5, 0) ,  if(H113=""region"",vlookup(REGEXEXTRACT(C113, ""🏘️ \w+ \w+ (.*) ✅""),'Region prepositions'!B:F, 5, 0),  REGEXEXTRACT(C113, ""🏘️ \w+ \w+ (.*) ✅""))))"),"Lauperswil")</f>
        <v>Lauperswil</v>
      </c>
      <c r="F113" s="2" t="str">
        <f>IFERROR(__xludf.DUMMYFUNCTION("REGEXEXTRACT(C113, ""🏘️ (\w+) \w+ .* ✅"")"),"Vendre")</f>
        <v>Vendre</v>
      </c>
      <c r="G113" s="2" t="str">
        <f>IFERROR(__xludf.DUMMYFUNCTION("REGEXEXTRACT(C113, ""🏘️ \w+ (\w+) .* ✅"")"),"maison")</f>
        <v>maison</v>
      </c>
      <c r="H113" s="4" t="str">
        <f>IFERROR(__xludf.DUMMYFUNCTION("REGEXEXTRACT(A113, ""/(\w+)-.*?"")"),"lieu")</f>
        <v>lieu</v>
      </c>
      <c r="I113" s="4" t="str">
        <f>IFERROR(__xludf.DUMMYFUNCTION("if(D113=""variant"",  substitute(filter(Templates!E:E, Templates!A:A = F113, Templates!B:B = G113, Templates!C:C = H113), ""{{}}"", E113), B113)"),"🏘  Vous souhaitez acheter une maison à Lauperswil? ✅ Jetez un œil aux dernières offres sur ImmoScout24.ch.")</f>
        <v>🏘  Vous souhaitez acheter une maison à Lauperswil? ✅ Jetez un œil aux dernières offres sur ImmoScout24.ch.</v>
      </c>
      <c r="J113" s="4" t="s">
        <v>345</v>
      </c>
    </row>
    <row r="114">
      <c r="A114" s="5" t="s">
        <v>346</v>
      </c>
      <c r="B114" s="2" t="s">
        <v>347</v>
      </c>
      <c r="C114" s="4" t="str">
        <f>IFERROR(__xludf.DUMMYFUNCTION("""🏘️ ""&amp;REGEXEXTRACT(B114, ""^(.*): "")&amp;"" ✅ "" &amp;REGEXEXTRACT(B114, ""(Trouvez.*)"")"),"🏘️ Louer maison Serrières (Neuchâtel) ✅ Trouvez le bien immobilier qui correspond idéalement à vos désirs sur ImmoScout24 - La plateforme de l'immobilier en Suisse.")</f>
        <v>🏘️ Louer maison Serrières (Neuchâtel) ✅ Trouvez le bien immobilier qui correspond idéalement à vos désirs sur ImmoScout24 - La plateforme de l'immobilier en Suisse.</v>
      </c>
      <c r="D114" s="4" t="str">
        <f>vlookup(A114, Sheet2!D:E, 2, 0)</f>
        <v>variant</v>
      </c>
      <c r="E114" s="4" t="str">
        <f>IFERROR(__xludf.DUMMYFUNCTION("if(H114=""pays"",vlookup(REGEXEXTRACT(C114, ""🏘️ \w+ \w+ (.*) ✅""),'Country prepositions'!A:B, 2, 0) &amp; "" "" &amp; REGEXEXTRACT(C114, ""🏘️ \w+ \w+ (.*) ✅"") ,  if(H114=""quartier"",vlookup(REGEXEXTRACT(C114, ""🏘️ \w+ \w+ (.*) ✅""),'Quartier prepositions'!A"&amp;":E, 5, 0) ,  if(H114=""region"",vlookup(REGEXEXTRACT(C114, ""🏘️ \w+ \w+ (.*) ✅""),'Region prepositions'!B:F, 5, 0),  REGEXEXTRACT(C114, ""🏘️ \w+ \w+ (.*) ✅""))))"),"dans le quartier de Serrières (Neuchâtel)")</f>
        <v>dans le quartier de Serrières (Neuchâtel)</v>
      </c>
      <c r="F114" s="2" t="str">
        <f>IFERROR(__xludf.DUMMYFUNCTION("REGEXEXTRACT(C114, ""🏘️ (\w+) \w+ .* ✅"")"),"Louer")</f>
        <v>Louer</v>
      </c>
      <c r="G114" s="2" t="str">
        <f>IFERROR(__xludf.DUMMYFUNCTION("REGEXEXTRACT(C114, ""🏘️ \w+ (\w+) .* ✅"")"),"maison")</f>
        <v>maison</v>
      </c>
      <c r="H114" s="4" t="str">
        <f>IFERROR(__xludf.DUMMYFUNCTION("REGEXEXTRACT(A114, ""/(\w+)-.*?"")"),"quartier")</f>
        <v>quartier</v>
      </c>
      <c r="I114" s="4" t="str">
        <f>IFERROR(__xludf.DUMMYFUNCTION("if(D114=""variant"",  substitute(filter(Templates!E:E, Templates!A:A = F114, Templates!B:B = G114, Templates!C:C = H114), ""{{}}"", E114), B114)"),"🏘  Vous cherchez une maison à louer dans le quartier de Serrières (Neuchâtel)? ✅ Découvrez nos nombreuses annonces sur ImmoScout24.ch.")</f>
        <v>🏘  Vous cherchez une maison à louer dans le quartier de Serrières (Neuchâtel)? ✅ Découvrez nos nombreuses annonces sur ImmoScout24.ch.</v>
      </c>
      <c r="J114" s="4" t="s">
        <v>348</v>
      </c>
    </row>
    <row r="115">
      <c r="A115" s="5" t="s">
        <v>349</v>
      </c>
      <c r="B115" s="2" t="s">
        <v>350</v>
      </c>
      <c r="C115" s="4" t="str">
        <f>IFERROR(__xludf.DUMMYFUNCTION("""🏘️ ""&amp;REGEXEXTRACT(B115, ""^(.*): "")&amp;"" ✅ "" &amp;REGEXEXTRACT(B115, ""(Trouvez.*)"")"),"🏘️ Vendre maison Flawil ✅ Trouvez le bien immobilier qui correspond idéalement à vos désirs sur ImmoScout24 - La plateforme de l'immobilier en Suisse.")</f>
        <v>🏘️ Vendre maison Flawil ✅ Trouvez le bien immobilier qui correspond idéalement à vos désirs sur ImmoScout24 - La plateforme de l'immobilier en Suisse.</v>
      </c>
      <c r="D115" s="4" t="str">
        <f>vlookup(A115, Sheet2!D:E, 2, 0)</f>
        <v>variant</v>
      </c>
      <c r="E115" s="4" t="str">
        <f>IFERROR(__xludf.DUMMYFUNCTION("if(H115=""pays"",vlookup(REGEXEXTRACT(C115, ""🏘️ \w+ \w+ (.*) ✅""),'Country prepositions'!A:B, 2, 0) &amp; "" "" &amp; REGEXEXTRACT(C115, ""🏘️ \w+ \w+ (.*) ✅"") ,  if(H115=""quartier"",vlookup(REGEXEXTRACT(C115, ""🏘️ \w+ \w+ (.*) ✅""),'Quartier prepositions'!A"&amp;":E, 5, 0) ,  if(H115=""region"",vlookup(REGEXEXTRACT(C115, ""🏘️ \w+ \w+ (.*) ✅""),'Region prepositions'!B:F, 5, 0),  REGEXEXTRACT(C115, ""🏘️ \w+ \w+ (.*) ✅""))))"),"Flawil")</f>
        <v>Flawil</v>
      </c>
      <c r="F115" s="2" t="str">
        <f>IFERROR(__xludf.DUMMYFUNCTION("REGEXEXTRACT(C115, ""🏘️ (\w+) \w+ .* ✅"")"),"Vendre")</f>
        <v>Vendre</v>
      </c>
      <c r="G115" s="2" t="str">
        <f>IFERROR(__xludf.DUMMYFUNCTION("REGEXEXTRACT(C115, ""🏘️ \w+ (\w+) .* ✅"")"),"maison")</f>
        <v>maison</v>
      </c>
      <c r="H115" s="4" t="str">
        <f>IFERROR(__xludf.DUMMYFUNCTION("REGEXEXTRACT(A115, ""/(\w+)-.*?"")"),"lieu")</f>
        <v>lieu</v>
      </c>
      <c r="I115" s="4" t="str">
        <f>IFERROR(__xludf.DUMMYFUNCTION("if(D115=""variant"",  substitute(filter(Templates!E:E, Templates!A:A = F115, Templates!B:B = G115, Templates!C:C = H115), ""{{}}"", E115), B115)"),"🏘  Vous souhaitez acheter une maison à Flawil? ✅ Jetez un œil aux dernières offres sur ImmoScout24.ch.")</f>
        <v>🏘  Vous souhaitez acheter une maison à Flawil? ✅ Jetez un œil aux dernières offres sur ImmoScout24.ch.</v>
      </c>
      <c r="J115" s="4" t="s">
        <v>351</v>
      </c>
    </row>
    <row r="116">
      <c r="A116" s="5" t="s">
        <v>352</v>
      </c>
      <c r="B116" s="2" t="s">
        <v>353</v>
      </c>
      <c r="C116" s="4" t="str">
        <f>IFERROR(__xludf.DUMMYFUNCTION("""🏘️ ""&amp;REGEXEXTRACT(B116, ""^(.*): "")&amp;"" ✅ "" &amp;REGEXEXTRACT(B116, ""(Trouvez.*)"")"),"🏘️ Vendre maison Bourg-St-Pierre ✅ Trouvez le bien immobilier qui correspond idéalement à vos désirs sur ImmoScout24 - La plateforme de l'immobilier en Suisse.")</f>
        <v>🏘️ Vendre maison Bourg-St-Pierre ✅ Trouvez le bien immobilier qui correspond idéalement à vos désirs sur ImmoScout24 - La plateforme de l'immobilier en Suisse.</v>
      </c>
      <c r="D116" s="4" t="str">
        <f>vlookup(A116, Sheet2!D:E, 2, 0)</f>
        <v>variant</v>
      </c>
      <c r="E116" s="4" t="str">
        <f>IFERROR(__xludf.DUMMYFUNCTION("if(H116=""pays"",vlookup(REGEXEXTRACT(C116, ""🏘️ \w+ \w+ (.*) ✅""),'Country prepositions'!A:B, 2, 0) &amp; "" "" &amp; REGEXEXTRACT(C116, ""🏘️ \w+ \w+ (.*) ✅"") ,  if(H116=""quartier"",vlookup(REGEXEXTRACT(C116, ""🏘️ \w+ \w+ (.*) ✅""),'Quartier prepositions'!A"&amp;":E, 5, 0) ,  if(H116=""region"",vlookup(REGEXEXTRACT(C116, ""🏘️ \w+ \w+ (.*) ✅""),'Region prepositions'!B:F, 5, 0),  REGEXEXTRACT(C116, ""🏘️ \w+ \w+ (.*) ✅""))))"),"Bourg-St-Pierre")</f>
        <v>Bourg-St-Pierre</v>
      </c>
      <c r="F116" s="2" t="str">
        <f>IFERROR(__xludf.DUMMYFUNCTION("REGEXEXTRACT(C116, ""🏘️ (\w+) \w+ .* ✅"")"),"Vendre")</f>
        <v>Vendre</v>
      </c>
      <c r="G116" s="2" t="str">
        <f>IFERROR(__xludf.DUMMYFUNCTION("REGEXEXTRACT(C116, ""🏘️ \w+ (\w+) .* ✅"")"),"maison")</f>
        <v>maison</v>
      </c>
      <c r="H116" s="4" t="str">
        <f>IFERROR(__xludf.DUMMYFUNCTION("REGEXEXTRACT(A116, ""/(\w+)-.*?"")"),"lieu")</f>
        <v>lieu</v>
      </c>
      <c r="I116" s="4" t="str">
        <f>IFERROR(__xludf.DUMMYFUNCTION("if(D116=""variant"",  substitute(filter(Templates!E:E, Templates!A:A = F116, Templates!B:B = G116, Templates!C:C = H116), ""{{}}"", E116), B116)"),"🏘  Vous souhaitez acheter une maison à Bourg-St-Pierre? ✅ Jetez un œil aux dernières offres sur ImmoScout24.ch.")</f>
        <v>🏘  Vous souhaitez acheter une maison à Bourg-St-Pierre? ✅ Jetez un œil aux dernières offres sur ImmoScout24.ch.</v>
      </c>
      <c r="J116" s="4" t="s">
        <v>354</v>
      </c>
    </row>
    <row r="117">
      <c r="A117" s="5" t="s">
        <v>355</v>
      </c>
      <c r="B117" s="2" t="s">
        <v>356</v>
      </c>
      <c r="C117" s="4" t="str">
        <f>IFERROR(__xludf.DUMMYFUNCTION("""🏘️ ""&amp;REGEXEXTRACT(B117, ""^(.*): "")&amp;"" ✅ "" &amp;REGEXEXTRACT(B117, ""(Trouvez.*)"")"),"🏘️ Vendre appartement Wabern ✅ Trouvez le bien immobilier qui correspond idéalement à vos désirs sur ImmoScout24 - La plateforme de l'immobilier en Suisse.")</f>
        <v>🏘️ Vendre appartement Wabern ✅ Trouvez le bien immobilier qui correspond idéalement à vos désirs sur ImmoScout24 - La plateforme de l'immobilier en Suisse.</v>
      </c>
      <c r="D117" s="4" t="str">
        <f>vlookup(A117, Sheet2!D:E, 2, 0)</f>
        <v>variant</v>
      </c>
      <c r="E117" s="4" t="str">
        <f>IFERROR(__xludf.DUMMYFUNCTION("if(H117=""pays"",vlookup(REGEXEXTRACT(C117, ""🏘️ \w+ \w+ (.*) ✅""),'Country prepositions'!A:B, 2, 0) &amp; "" "" &amp; REGEXEXTRACT(C117, ""🏘️ \w+ \w+ (.*) ✅"") ,  if(H117=""quartier"",vlookup(REGEXEXTRACT(C117, ""🏘️ \w+ \w+ (.*) ✅""),'Quartier prepositions'!A"&amp;":E, 5, 0) ,  if(H117=""region"",vlookup(REGEXEXTRACT(C117, ""🏘️ \w+ \w+ (.*) ✅""),'Region prepositions'!B:F, 5, 0),  REGEXEXTRACT(C117, ""🏘️ \w+ \w+ (.*) ✅""))))"),"Wabern")</f>
        <v>Wabern</v>
      </c>
      <c r="F117" s="2" t="str">
        <f>IFERROR(__xludf.DUMMYFUNCTION("REGEXEXTRACT(C117, ""🏘️ (\w+) \w+ .* ✅"")"),"Vendre")</f>
        <v>Vendre</v>
      </c>
      <c r="G117" s="2" t="str">
        <f>IFERROR(__xludf.DUMMYFUNCTION("REGEXEXTRACT(C117, ""🏘️ \w+ (\w+) .* ✅"")"),"appartement")</f>
        <v>appartement</v>
      </c>
      <c r="H117" s="4" t="str">
        <f>IFERROR(__xludf.DUMMYFUNCTION("REGEXEXTRACT(A117, ""/(\w+)-.*?"")"),"lieu")</f>
        <v>lieu</v>
      </c>
      <c r="I117" s="4" t="str">
        <f>IFERROR(__xludf.DUMMYFUNCTION("if(D117=""variant"",  substitute(filter(Templates!E:E, Templates!A:A = F117, Templates!B:B = G117, Templates!C:C = H117), ""{{}}"", E117), B117)"),"🏘  L’appartement de vos rêves se trouve sur ImmoScout24.ch ✅ Découvrez les dernières annonces de vente à Wabern.")</f>
        <v>🏘  L’appartement de vos rêves se trouve sur ImmoScout24.ch ✅ Découvrez les dernières annonces de vente à Wabern.</v>
      </c>
      <c r="J117" s="4" t="s">
        <v>357</v>
      </c>
    </row>
    <row r="118">
      <c r="A118" s="5" t="s">
        <v>358</v>
      </c>
      <c r="B118" s="2" t="s">
        <v>359</v>
      </c>
      <c r="C118" s="4" t="str">
        <f>IFERROR(__xludf.DUMMYFUNCTION("""🏘️ ""&amp;REGEXEXTRACT(B118, ""^(.*): "")&amp;"" ✅ "" &amp;REGEXEXTRACT(B118, ""(Trouvez.*)"")"),"🏘️ Louer appartement Leukerbad ✅ Trouvez le bien immobilier qui correspond idéalement à vos désirs sur ImmoScout24 - La plateforme de l'immobilier en Suisse.")</f>
        <v>🏘️ Louer appartement Leukerbad ✅ Trouvez le bien immobilier qui correspond idéalement à vos désirs sur ImmoScout24 - La plateforme de l'immobilier en Suisse.</v>
      </c>
      <c r="D118" s="4" t="str">
        <f>vlookup(A118, Sheet2!D:E, 2, 0)</f>
        <v>variant</v>
      </c>
      <c r="E118" s="4" t="str">
        <f>IFERROR(__xludf.DUMMYFUNCTION("if(H118=""pays"",vlookup(REGEXEXTRACT(C118, ""🏘️ \w+ \w+ (.*) ✅""),'Country prepositions'!A:B, 2, 0) &amp; "" "" &amp; REGEXEXTRACT(C118, ""🏘️ \w+ \w+ (.*) ✅"") ,  if(H118=""quartier"",vlookup(REGEXEXTRACT(C118, ""🏘️ \w+ \w+ (.*) ✅""),'Quartier prepositions'!A"&amp;":E, 5, 0) ,  if(H118=""region"",vlookup(REGEXEXTRACT(C118, ""🏘️ \w+ \w+ (.*) ✅""),'Region prepositions'!B:F, 5, 0),  REGEXEXTRACT(C118, ""🏘️ \w+ \w+ (.*) ✅""))))"),"Leukerbad")</f>
        <v>Leukerbad</v>
      </c>
      <c r="F118" s="2" t="str">
        <f>IFERROR(__xludf.DUMMYFUNCTION("REGEXEXTRACT(C118, ""🏘️ (\w+) \w+ .* ✅"")"),"Louer")</f>
        <v>Louer</v>
      </c>
      <c r="G118" s="2" t="str">
        <f>IFERROR(__xludf.DUMMYFUNCTION("REGEXEXTRACT(C118, ""🏘️ \w+ (\w+) .* ✅"")"),"appartement")</f>
        <v>appartement</v>
      </c>
      <c r="H118" s="4" t="str">
        <f>IFERROR(__xludf.DUMMYFUNCTION("REGEXEXTRACT(A118, ""/(\w+)-.*?"")"),"lieu")</f>
        <v>lieu</v>
      </c>
      <c r="I118" s="4" t="str">
        <f>IFERROR(__xludf.DUMMYFUNCTION("if(D118=""variant"",  substitute(filter(Templates!E:E, Templates!A:A = F118, Templates!B:B = G118, Templates!C:C = H118), ""{{}}"", E118), B118)"),"🏘  Vous cherchez un appartement à louer à Leukerbad? ✅ Les annonces les plus actuelles sont sur ImmoScout24.ch.")</f>
        <v>🏘  Vous cherchez un appartement à louer à Leukerbad? ✅ Les annonces les plus actuelles sont sur ImmoScout24.ch.</v>
      </c>
      <c r="J118" s="2" t="s">
        <v>360</v>
      </c>
    </row>
    <row r="119">
      <c r="A119" s="5" t="s">
        <v>361</v>
      </c>
      <c r="B119" s="2" t="s">
        <v>362</v>
      </c>
      <c r="C119" s="4" t="str">
        <f>IFERROR(__xludf.DUMMYFUNCTION("""🏘️ ""&amp;REGEXEXTRACT(B119, ""^(.*): "")&amp;"" ✅ "" &amp;REGEXEXTRACT(B119, ""(Trouvez.*)"")"),"🏘️ Louer appartement Crésuz ✅ Trouvez le bien immobilier qui correspond idéalement à vos désirs sur ImmoScout24 - La plateforme de l'immobilier en Suisse.")</f>
        <v>🏘️ Louer appartement Crésuz ✅ Trouvez le bien immobilier qui correspond idéalement à vos désirs sur ImmoScout24 - La plateforme de l'immobilier en Suisse.</v>
      </c>
      <c r="D119" s="4" t="str">
        <f>vlookup(A119, Sheet2!D:E, 2, 0)</f>
        <v>variant</v>
      </c>
      <c r="E119" s="4" t="str">
        <f>IFERROR(__xludf.DUMMYFUNCTION("if(H119=""pays"",vlookup(REGEXEXTRACT(C119, ""🏘️ \w+ \w+ (.*) ✅""),'Country prepositions'!A:B, 2, 0) &amp; "" "" &amp; REGEXEXTRACT(C119, ""🏘️ \w+ \w+ (.*) ✅"") ,  if(H119=""quartier"",vlookup(REGEXEXTRACT(C119, ""🏘️ \w+ \w+ (.*) ✅""),'Quartier prepositions'!A"&amp;":E, 5, 0) ,  if(H119=""region"",vlookup(REGEXEXTRACT(C119, ""🏘️ \w+ \w+ (.*) ✅""),'Region prepositions'!B:F, 5, 0),  REGEXEXTRACT(C119, ""🏘️ \w+ \w+ (.*) ✅""))))"),"Crésuz")</f>
        <v>Crésuz</v>
      </c>
      <c r="F119" s="2" t="str">
        <f>IFERROR(__xludf.DUMMYFUNCTION("REGEXEXTRACT(C119, ""🏘️ (\w+) \w+ .* ✅"")"),"Louer")</f>
        <v>Louer</v>
      </c>
      <c r="G119" s="2" t="str">
        <f>IFERROR(__xludf.DUMMYFUNCTION("REGEXEXTRACT(C119, ""🏘️ \w+ (\w+) .* ✅"")"),"appartement")</f>
        <v>appartement</v>
      </c>
      <c r="H119" s="4" t="str">
        <f>IFERROR(__xludf.DUMMYFUNCTION("REGEXEXTRACT(A119, ""/(\w+)-.*?"")"),"lieu")</f>
        <v>lieu</v>
      </c>
      <c r="I119" s="4" t="str">
        <f>IFERROR(__xludf.DUMMYFUNCTION("if(D119=""variant"",  substitute(filter(Templates!E:E, Templates!A:A = F119, Templates!B:B = G119, Templates!C:C = H119), ""{{}}"", E119), B119)"),"🏘  Vous cherchez un appartement à louer à Crésuz? ✅ Les annonces les plus actuelles sont sur ImmoScout24.ch.")</f>
        <v>🏘  Vous cherchez un appartement à louer à Crésuz? ✅ Les annonces les plus actuelles sont sur ImmoScout24.ch.</v>
      </c>
      <c r="J119" s="4" t="s">
        <v>363</v>
      </c>
    </row>
    <row r="120">
      <c r="A120" s="5" t="s">
        <v>364</v>
      </c>
      <c r="B120" s="2" t="s">
        <v>365</v>
      </c>
      <c r="C120" s="4" t="str">
        <f>IFERROR(__xludf.DUMMYFUNCTION("""🏘️ ""&amp;REGEXEXTRACT(B120, ""^(.*): "")&amp;"" ✅ "" &amp;REGEXEXTRACT(B120, ""(Trouvez.*)"")"),"🏘️ Louer appartement Jegenstorf ✅ Trouvez le bien immobilier qui correspond idéalement à vos désirs sur ImmoScout24 - La plateforme de l'immobilier en Suisse.")</f>
        <v>🏘️ Louer appartement Jegenstorf ✅ Trouvez le bien immobilier qui correspond idéalement à vos désirs sur ImmoScout24 - La plateforme de l'immobilier en Suisse.</v>
      </c>
      <c r="D120" s="4" t="str">
        <f>vlookup(A120, Sheet2!D:E, 2, 0)</f>
        <v>variant</v>
      </c>
      <c r="E120" s="4" t="str">
        <f>IFERROR(__xludf.DUMMYFUNCTION("if(H120=""pays"",vlookup(REGEXEXTRACT(C120, ""🏘️ \w+ \w+ (.*) ✅""),'Country prepositions'!A:B, 2, 0) &amp; "" "" &amp; REGEXEXTRACT(C120, ""🏘️ \w+ \w+ (.*) ✅"") ,  if(H120=""quartier"",vlookup(REGEXEXTRACT(C120, ""🏘️ \w+ \w+ (.*) ✅""),'Quartier prepositions'!A"&amp;":E, 5, 0) ,  if(H120=""region"",vlookup(REGEXEXTRACT(C120, ""🏘️ \w+ \w+ (.*) ✅""),'Region prepositions'!B:F, 5, 0),  REGEXEXTRACT(C120, ""🏘️ \w+ \w+ (.*) ✅""))))"),"Jegenstorf")</f>
        <v>Jegenstorf</v>
      </c>
      <c r="F120" s="2" t="str">
        <f>IFERROR(__xludf.DUMMYFUNCTION("REGEXEXTRACT(C120, ""🏘️ (\w+) \w+ .* ✅"")"),"Louer")</f>
        <v>Louer</v>
      </c>
      <c r="G120" s="2" t="str">
        <f>IFERROR(__xludf.DUMMYFUNCTION("REGEXEXTRACT(C120, ""🏘️ \w+ (\w+) .* ✅"")"),"appartement")</f>
        <v>appartement</v>
      </c>
      <c r="H120" s="4" t="str">
        <f>IFERROR(__xludf.DUMMYFUNCTION("REGEXEXTRACT(A120, ""/(\w+)-.*?"")"),"lieu")</f>
        <v>lieu</v>
      </c>
      <c r="I120" s="4" t="str">
        <f>IFERROR(__xludf.DUMMYFUNCTION("if(D120=""variant"",  substitute(filter(Templates!E:E, Templates!A:A = F120, Templates!B:B = G120, Templates!C:C = H120), ""{{}}"", E120), B120)"),"🏘  Vous cherchez un appartement à louer à Jegenstorf? ✅ Les annonces les plus actuelles sont sur ImmoScout24.ch.")</f>
        <v>🏘  Vous cherchez un appartement à louer à Jegenstorf? ✅ Les annonces les plus actuelles sont sur ImmoScout24.ch.</v>
      </c>
      <c r="J120" s="4" t="s">
        <v>366</v>
      </c>
    </row>
    <row r="121">
      <c r="A121" s="5" t="s">
        <v>367</v>
      </c>
      <c r="B121" s="2" t="s">
        <v>368</v>
      </c>
      <c r="C121" s="4" t="str">
        <f>IFERROR(__xludf.DUMMYFUNCTION("""🏘️ ""&amp;REGEXEXTRACT(B121, ""^(.*): "")&amp;"" ✅ "" &amp;REGEXEXTRACT(B121, ""(Trouvez.*)"")"),"🏘️ Louer maison St-Légier-La Chiésaz ✅ Trouvez le bien immobilier qui correspond idéalement à vos désirs sur ImmoScout24 - La plateforme de l'immobilier en Suisse.")</f>
        <v>🏘️ Louer maison St-Légier-La Chiésaz ✅ Trouvez le bien immobilier qui correspond idéalement à vos désirs sur ImmoScout24 - La plateforme de l'immobilier en Suisse.</v>
      </c>
      <c r="D121" s="4" t="str">
        <f>vlookup(A121, Sheet2!D:E, 2, 0)</f>
        <v>variant</v>
      </c>
      <c r="E121" s="4" t="str">
        <f>IFERROR(__xludf.DUMMYFUNCTION("if(H121=""pays"",vlookup(REGEXEXTRACT(C121, ""🏘️ \w+ \w+ (.*) ✅""),'Country prepositions'!A:B, 2, 0) &amp; "" "" &amp; REGEXEXTRACT(C121, ""🏘️ \w+ \w+ (.*) ✅"") ,  if(H121=""quartier"",vlookup(REGEXEXTRACT(C121, ""🏘️ \w+ \w+ (.*) ✅""),'Quartier prepositions'!A"&amp;":E, 5, 0) ,  if(H121=""region"",vlookup(REGEXEXTRACT(C121, ""🏘️ \w+ \w+ (.*) ✅""),'Region prepositions'!B:F, 5, 0),  REGEXEXTRACT(C121, ""🏘️ \w+ \w+ (.*) ✅""))))"),"St-Légier-La Chiésaz")</f>
        <v>St-Légier-La Chiésaz</v>
      </c>
      <c r="F121" s="2" t="str">
        <f>IFERROR(__xludf.DUMMYFUNCTION("REGEXEXTRACT(C121, ""🏘️ (\w+) \w+ .* ✅"")"),"Louer")</f>
        <v>Louer</v>
      </c>
      <c r="G121" s="2" t="str">
        <f>IFERROR(__xludf.DUMMYFUNCTION("REGEXEXTRACT(C121, ""🏘️ \w+ (\w+) .* ✅"")"),"maison")</f>
        <v>maison</v>
      </c>
      <c r="H121" s="4" t="str">
        <f>IFERROR(__xludf.DUMMYFUNCTION("REGEXEXTRACT(A121, ""/(\w+)-.*?"")"),"lieu")</f>
        <v>lieu</v>
      </c>
      <c r="I121" s="4" t="str">
        <f>IFERROR(__xludf.DUMMYFUNCTION("if(D121=""variant"",  substitute(filter(Templates!E:E, Templates!A:A = F121, Templates!B:B = G121, Templates!C:C = H121), ""{{}}"", E121), B121)"),"🏘  Vous cherchez une maison à louer à St-Légier-La Chiésaz? ✅ Découvrez nos nombreuses annonces sur ImmoScout24.ch.")</f>
        <v>🏘  Vous cherchez une maison à louer à St-Légier-La Chiésaz? ✅ Découvrez nos nombreuses annonces sur ImmoScout24.ch.</v>
      </c>
      <c r="J121" s="4" t="s">
        <v>369</v>
      </c>
    </row>
    <row r="122">
      <c r="A122" s="5" t="s">
        <v>370</v>
      </c>
      <c r="B122" s="2" t="s">
        <v>371</v>
      </c>
      <c r="C122" s="4" t="str">
        <f>IFERROR(__xludf.DUMMYFUNCTION("""🏘️ ""&amp;REGEXEXTRACT(B122, ""^(.*): "")&amp;"" ✅ "" &amp;REGEXEXTRACT(B122, ""(Trouvez.*)"")"),"🏘️ Louer appartement Vordemwald ✅ Trouvez le bien immobilier qui correspond idéalement à vos désirs sur ImmoScout24 - La plateforme de l'immobilier en Suisse.")</f>
        <v>🏘️ Louer appartement Vordemwald ✅ Trouvez le bien immobilier qui correspond idéalement à vos désirs sur ImmoScout24 - La plateforme de l'immobilier en Suisse.</v>
      </c>
      <c r="D122" s="4" t="str">
        <f>vlookup(A122, Sheet2!D:E, 2, 0)</f>
        <v>variant</v>
      </c>
      <c r="E122" s="4" t="str">
        <f>IFERROR(__xludf.DUMMYFUNCTION("if(H122=""pays"",vlookup(REGEXEXTRACT(C122, ""🏘️ \w+ \w+ (.*) ✅""),'Country prepositions'!A:B, 2, 0) &amp; "" "" &amp; REGEXEXTRACT(C122, ""🏘️ \w+ \w+ (.*) ✅"") ,  if(H122=""quartier"",vlookup(REGEXEXTRACT(C122, ""🏘️ \w+ \w+ (.*) ✅""),'Quartier prepositions'!A"&amp;":E, 5, 0) ,  if(H122=""region"",vlookup(REGEXEXTRACT(C122, ""🏘️ \w+ \w+ (.*) ✅""),'Region prepositions'!B:F, 5, 0),  REGEXEXTRACT(C122, ""🏘️ \w+ \w+ (.*) ✅""))))"),"Vordemwald")</f>
        <v>Vordemwald</v>
      </c>
      <c r="F122" s="2" t="str">
        <f>IFERROR(__xludf.DUMMYFUNCTION("REGEXEXTRACT(C122, ""🏘️ (\w+) \w+ .* ✅"")"),"Louer")</f>
        <v>Louer</v>
      </c>
      <c r="G122" s="2" t="str">
        <f>IFERROR(__xludf.DUMMYFUNCTION("REGEXEXTRACT(C122, ""🏘️ \w+ (\w+) .* ✅"")"),"appartement")</f>
        <v>appartement</v>
      </c>
      <c r="H122" s="4" t="str">
        <f>IFERROR(__xludf.DUMMYFUNCTION("REGEXEXTRACT(A122, ""/(\w+)-.*?"")"),"lieu")</f>
        <v>lieu</v>
      </c>
      <c r="I122" s="4" t="str">
        <f>IFERROR(__xludf.DUMMYFUNCTION("if(D122=""variant"",  substitute(filter(Templates!E:E, Templates!A:A = F122, Templates!B:B = G122, Templates!C:C = H122), ""{{}}"", E122), B122)"),"🏘  Vous cherchez un appartement à louer à Vordemwald? ✅ Les annonces les plus actuelles sont sur ImmoScout24.ch.")</f>
        <v>🏘  Vous cherchez un appartement à louer à Vordemwald? ✅ Les annonces les plus actuelles sont sur ImmoScout24.ch.</v>
      </c>
      <c r="J122" s="4" t="s">
        <v>372</v>
      </c>
    </row>
    <row r="123">
      <c r="A123" s="5" t="s">
        <v>373</v>
      </c>
      <c r="B123" s="2" t="s">
        <v>374</v>
      </c>
      <c r="C123" s="4" t="str">
        <f>IFERROR(__xludf.DUMMYFUNCTION("""🏘️ ""&amp;REGEXEXTRACT(B123, ""^(.*): "")&amp;"" ✅ "" &amp;REGEXEXTRACT(B123, ""(Trouvez.*)"")"),"🏘️ Vendre maison Courtedoux ✅ Trouvez le bien immobilier qui correspond idéalement à vos désirs sur ImmoScout24 - La plateforme de l'immobilier en Suisse.")</f>
        <v>🏘️ Vendre maison Courtedoux ✅ Trouvez le bien immobilier qui correspond idéalement à vos désirs sur ImmoScout24 - La plateforme de l'immobilier en Suisse.</v>
      </c>
      <c r="D123" s="4" t="str">
        <f>vlookup(A123, Sheet2!D:E, 2, 0)</f>
        <v>variant</v>
      </c>
      <c r="E123" s="4" t="str">
        <f>IFERROR(__xludf.DUMMYFUNCTION("if(H123=""pays"",vlookup(REGEXEXTRACT(C123, ""🏘️ \w+ \w+ (.*) ✅""),'Country prepositions'!A:B, 2, 0) &amp; "" "" &amp; REGEXEXTRACT(C123, ""🏘️ \w+ \w+ (.*) ✅"") ,  if(H123=""quartier"",vlookup(REGEXEXTRACT(C123, ""🏘️ \w+ \w+ (.*) ✅""),'Quartier prepositions'!A"&amp;":E, 5, 0) ,  if(H123=""region"",vlookup(REGEXEXTRACT(C123, ""🏘️ \w+ \w+ (.*) ✅""),'Region prepositions'!B:F, 5, 0),  REGEXEXTRACT(C123, ""🏘️ \w+ \w+ (.*) ✅""))))"),"Courtedoux")</f>
        <v>Courtedoux</v>
      </c>
      <c r="F123" s="2" t="str">
        <f>IFERROR(__xludf.DUMMYFUNCTION("REGEXEXTRACT(C123, ""🏘️ (\w+) \w+ .* ✅"")"),"Vendre")</f>
        <v>Vendre</v>
      </c>
      <c r="G123" s="2" t="str">
        <f>IFERROR(__xludf.DUMMYFUNCTION("REGEXEXTRACT(C123, ""🏘️ \w+ (\w+) .* ✅"")"),"maison")</f>
        <v>maison</v>
      </c>
      <c r="H123" s="4" t="str">
        <f>IFERROR(__xludf.DUMMYFUNCTION("REGEXEXTRACT(A123, ""/(\w+)-.*?"")"),"lieu")</f>
        <v>lieu</v>
      </c>
      <c r="I123" s="4" t="str">
        <f>IFERROR(__xludf.DUMMYFUNCTION("if(D123=""variant"",  substitute(filter(Templates!E:E, Templates!A:A = F123, Templates!B:B = G123, Templates!C:C = H123), ""{{}}"", E123), B123)"),"🏘  Vous souhaitez acheter une maison à Courtedoux? ✅ Jetez un œil aux dernières offres sur ImmoScout24.ch.")</f>
        <v>🏘  Vous souhaitez acheter une maison à Courtedoux? ✅ Jetez un œil aux dernières offres sur ImmoScout24.ch.</v>
      </c>
      <c r="J123" s="4" t="s">
        <v>375</v>
      </c>
    </row>
    <row r="124">
      <c r="A124" s="5" t="s">
        <v>376</v>
      </c>
      <c r="B124" s="2" t="s">
        <v>377</v>
      </c>
      <c r="C124" s="4" t="str">
        <f>IFERROR(__xludf.DUMMYFUNCTION("""🏘️ ""&amp;REGEXEXTRACT(B124, ""^(.*): "")&amp;"" ✅ "" &amp;REGEXEXTRACT(B124, ""(Trouvez.*)"")"),"🏘️ Louer maison Allschwil ✅ Trouvez le bien immobilier qui correspond idéalement à vos désirs sur ImmoScout24 - La plateforme de l'immobilier en Suisse.")</f>
        <v>🏘️ Louer maison Allschwil ✅ Trouvez le bien immobilier qui correspond idéalement à vos désirs sur ImmoScout24 - La plateforme de l'immobilier en Suisse.</v>
      </c>
      <c r="D124" s="4" t="str">
        <f>vlookup(A124, Sheet2!D:E, 2, 0)</f>
        <v>variant</v>
      </c>
      <c r="E124" s="4" t="str">
        <f>IFERROR(__xludf.DUMMYFUNCTION("if(H124=""pays"",vlookup(REGEXEXTRACT(C124, ""🏘️ \w+ \w+ (.*) ✅""),'Country prepositions'!A:B, 2, 0) &amp; "" "" &amp; REGEXEXTRACT(C124, ""🏘️ \w+ \w+ (.*) ✅"") ,  if(H124=""quartier"",vlookup(REGEXEXTRACT(C124, ""🏘️ \w+ \w+ (.*) ✅""),'Quartier prepositions'!A"&amp;":E, 5, 0) ,  if(H124=""region"",vlookup(REGEXEXTRACT(C124, ""🏘️ \w+ \w+ (.*) ✅""),'Region prepositions'!B:F, 5, 0),  REGEXEXTRACT(C124, ""🏘️ \w+ \w+ (.*) ✅""))))"),"Allschwil")</f>
        <v>Allschwil</v>
      </c>
      <c r="F124" s="2" t="str">
        <f>IFERROR(__xludf.DUMMYFUNCTION("REGEXEXTRACT(C124, ""🏘️ (\w+) \w+ .* ✅"")"),"Louer")</f>
        <v>Louer</v>
      </c>
      <c r="G124" s="2" t="str">
        <f>IFERROR(__xludf.DUMMYFUNCTION("REGEXEXTRACT(C124, ""🏘️ \w+ (\w+) .* ✅"")"),"maison")</f>
        <v>maison</v>
      </c>
      <c r="H124" s="4" t="str">
        <f>IFERROR(__xludf.DUMMYFUNCTION("REGEXEXTRACT(A124, ""/(\w+)-.*?"")"),"lieu")</f>
        <v>lieu</v>
      </c>
      <c r="I124" s="4" t="str">
        <f>IFERROR(__xludf.DUMMYFUNCTION("if(D124=""variant"",  substitute(filter(Templates!E:E, Templates!A:A = F124, Templates!B:B = G124, Templates!C:C = H124), ""{{}}"", E124), B124)"),"🏘  Vous cherchez une maison à louer à Allschwil? ✅ Découvrez nos nombreuses annonces sur ImmoScout24.ch.")</f>
        <v>🏘  Vous cherchez une maison à louer à Allschwil? ✅ Découvrez nos nombreuses annonces sur ImmoScout24.ch.</v>
      </c>
      <c r="J124" s="4" t="s">
        <v>378</v>
      </c>
    </row>
    <row r="125">
      <c r="A125" s="5" t="s">
        <v>379</v>
      </c>
      <c r="B125" s="2" t="s">
        <v>380</v>
      </c>
      <c r="C125" s="4" t="str">
        <f>IFERROR(__xludf.DUMMYFUNCTION("""🏘️ ""&amp;REGEXEXTRACT(B125, ""^(.*): "")&amp;"" ✅ "" &amp;REGEXEXTRACT(B125, ""(Trouvez.*)"")"),"🏘️ Vendre maison Selzach ✅ Trouvez le bien immobilier qui correspond idéalement à vos désirs sur ImmoScout24 - La plateforme de l'immobilier en Suisse.")</f>
        <v>🏘️ Vendre maison Selzach ✅ Trouvez le bien immobilier qui correspond idéalement à vos désirs sur ImmoScout24 - La plateforme de l'immobilier en Suisse.</v>
      </c>
      <c r="D125" s="4" t="str">
        <f>vlookup(A125, Sheet2!D:E, 2, 0)</f>
        <v>variant</v>
      </c>
      <c r="E125" s="4" t="str">
        <f>IFERROR(__xludf.DUMMYFUNCTION("if(H125=""pays"",vlookup(REGEXEXTRACT(C125, ""🏘️ \w+ \w+ (.*) ✅""),'Country prepositions'!A:B, 2, 0) &amp; "" "" &amp; REGEXEXTRACT(C125, ""🏘️ \w+ \w+ (.*) ✅"") ,  if(H125=""quartier"",vlookup(REGEXEXTRACT(C125, ""🏘️ \w+ \w+ (.*) ✅""),'Quartier prepositions'!A"&amp;":E, 5, 0) ,  if(H125=""region"",vlookup(REGEXEXTRACT(C125, ""🏘️ \w+ \w+ (.*) ✅""),'Region prepositions'!B:F, 5, 0),  REGEXEXTRACT(C125, ""🏘️ \w+ \w+ (.*) ✅""))))"),"Selzach")</f>
        <v>Selzach</v>
      </c>
      <c r="F125" s="2" t="str">
        <f>IFERROR(__xludf.DUMMYFUNCTION("REGEXEXTRACT(C125, ""🏘️ (\w+) \w+ .* ✅"")"),"Vendre")</f>
        <v>Vendre</v>
      </c>
      <c r="G125" s="2" t="str">
        <f>IFERROR(__xludf.DUMMYFUNCTION("REGEXEXTRACT(C125, ""🏘️ \w+ (\w+) .* ✅"")"),"maison")</f>
        <v>maison</v>
      </c>
      <c r="H125" s="4" t="str">
        <f>IFERROR(__xludf.DUMMYFUNCTION("REGEXEXTRACT(A125, ""/(\w+)-.*?"")"),"lieu")</f>
        <v>lieu</v>
      </c>
      <c r="I125" s="4" t="str">
        <f>IFERROR(__xludf.DUMMYFUNCTION("if(D125=""variant"",  substitute(filter(Templates!E:E, Templates!A:A = F125, Templates!B:B = G125, Templates!C:C = H125), ""{{}}"", E125), B125)"),"🏘  Vous souhaitez acheter une maison à Selzach? ✅ Jetez un œil aux dernières offres sur ImmoScout24.ch.")</f>
        <v>🏘  Vous souhaitez acheter une maison à Selzach? ✅ Jetez un œil aux dernières offres sur ImmoScout24.ch.</v>
      </c>
      <c r="J125" s="4" t="s">
        <v>381</v>
      </c>
    </row>
    <row r="126">
      <c r="A126" s="5" t="s">
        <v>382</v>
      </c>
      <c r="B126" s="2" t="s">
        <v>383</v>
      </c>
      <c r="C126" s="4" t="str">
        <f>IFERROR(__xludf.DUMMYFUNCTION("""🏘️ ""&amp;REGEXEXTRACT(B126, ""^(.*): "")&amp;"" ✅ "" &amp;REGEXEXTRACT(B126, ""(Trouvez.*)"")"),"🏘️ Louer appartement St-Ursanne ✅ Trouvez le bien immobilier qui correspond idéalement à vos désirs sur ImmoScout24 - La plateforme de l'immobilier en Suisse.")</f>
        <v>🏘️ Louer appartement St-Ursanne ✅ Trouvez le bien immobilier qui correspond idéalement à vos désirs sur ImmoScout24 - La plateforme de l'immobilier en Suisse.</v>
      </c>
      <c r="D126" s="4" t="str">
        <f>vlookup(A126, Sheet2!D:E, 2, 0)</f>
        <v>variant</v>
      </c>
      <c r="E126" s="4" t="str">
        <f>IFERROR(__xludf.DUMMYFUNCTION("if(H126=""pays"",vlookup(REGEXEXTRACT(C126, ""🏘️ \w+ \w+ (.*) ✅""),'Country prepositions'!A:B, 2, 0) &amp; "" "" &amp; REGEXEXTRACT(C126, ""🏘️ \w+ \w+ (.*) ✅"") ,  if(H126=""quartier"",vlookup(REGEXEXTRACT(C126, ""🏘️ \w+ \w+ (.*) ✅""),'Quartier prepositions'!A"&amp;":E, 5, 0) ,  if(H126=""region"",vlookup(REGEXEXTRACT(C126, ""🏘️ \w+ \w+ (.*) ✅""),'Region prepositions'!B:F, 5, 0),  REGEXEXTRACT(C126, ""🏘️ \w+ \w+ (.*) ✅""))))"),"St-Ursanne")</f>
        <v>St-Ursanne</v>
      </c>
      <c r="F126" s="2" t="str">
        <f>IFERROR(__xludf.DUMMYFUNCTION("REGEXEXTRACT(C126, ""🏘️ (\w+) \w+ .* ✅"")"),"Louer")</f>
        <v>Louer</v>
      </c>
      <c r="G126" s="2" t="str">
        <f>IFERROR(__xludf.DUMMYFUNCTION("REGEXEXTRACT(C126, ""🏘️ \w+ (\w+) .* ✅"")"),"appartement")</f>
        <v>appartement</v>
      </c>
      <c r="H126" s="4" t="str">
        <f>IFERROR(__xludf.DUMMYFUNCTION("REGEXEXTRACT(A126, ""/(\w+)-.*?"")"),"lieu")</f>
        <v>lieu</v>
      </c>
      <c r="I126" s="4" t="str">
        <f>IFERROR(__xludf.DUMMYFUNCTION("if(D126=""variant"",  substitute(filter(Templates!E:E, Templates!A:A = F126, Templates!B:B = G126, Templates!C:C = H126), ""{{}}"", E126), B126)"),"🏘  Vous cherchez un appartement à louer à St-Ursanne? ✅ Les annonces les plus actuelles sont sur ImmoScout24.ch.")</f>
        <v>🏘  Vous cherchez un appartement à louer à St-Ursanne? ✅ Les annonces les plus actuelles sont sur ImmoScout24.ch.</v>
      </c>
      <c r="J126" s="4" t="s">
        <v>384</v>
      </c>
    </row>
    <row r="127">
      <c r="A127" s="5" t="s">
        <v>385</v>
      </c>
      <c r="B127" s="2" t="s">
        <v>386</v>
      </c>
      <c r="C127" s="4" t="str">
        <f>IFERROR(__xludf.DUMMYFUNCTION("""🏘️ ""&amp;REGEXEXTRACT(B127, ""^(.*): "")&amp;"" ✅ "" &amp;REGEXEXTRACT(B127, ""(Trouvez.*)"")"),"🏘️ Vendre maison Dompierre VD ✅ Trouvez le bien immobilier qui correspond idéalement à vos désirs sur ImmoScout24 - La plateforme de l'immobilier en Suisse.")</f>
        <v>🏘️ Vendre maison Dompierre VD ✅ Trouvez le bien immobilier qui correspond idéalement à vos désirs sur ImmoScout24 - La plateforme de l'immobilier en Suisse.</v>
      </c>
      <c r="D127" s="4" t="str">
        <f>vlookup(A127, Sheet2!D:E, 2, 0)</f>
        <v>variant</v>
      </c>
      <c r="E127" s="4" t="str">
        <f>IFERROR(__xludf.DUMMYFUNCTION("if(H127=""pays"",vlookup(REGEXEXTRACT(C127, ""🏘️ \w+ \w+ (.*) ✅""),'Country prepositions'!A:B, 2, 0) &amp; "" "" &amp; REGEXEXTRACT(C127, ""🏘️ \w+ \w+ (.*) ✅"") ,  if(H127=""quartier"",vlookup(REGEXEXTRACT(C127, ""🏘️ \w+ \w+ (.*) ✅""),'Quartier prepositions'!A"&amp;":E, 5, 0) ,  if(H127=""region"",vlookup(REGEXEXTRACT(C127, ""🏘️ \w+ \w+ (.*) ✅""),'Region prepositions'!B:F, 5, 0),  REGEXEXTRACT(C127, ""🏘️ \w+ \w+ (.*) ✅""))))"),"Dompierre VD")</f>
        <v>Dompierre VD</v>
      </c>
      <c r="F127" s="2" t="str">
        <f>IFERROR(__xludf.DUMMYFUNCTION("REGEXEXTRACT(C127, ""🏘️ (\w+) \w+ .* ✅"")"),"Vendre")</f>
        <v>Vendre</v>
      </c>
      <c r="G127" s="2" t="str">
        <f>IFERROR(__xludf.DUMMYFUNCTION("REGEXEXTRACT(C127, ""🏘️ \w+ (\w+) .* ✅"")"),"maison")</f>
        <v>maison</v>
      </c>
      <c r="H127" s="4" t="str">
        <f>IFERROR(__xludf.DUMMYFUNCTION("REGEXEXTRACT(A127, ""/(\w+)-.*?"")"),"lieu")</f>
        <v>lieu</v>
      </c>
      <c r="I127" s="4" t="str">
        <f>IFERROR(__xludf.DUMMYFUNCTION("if(D127=""variant"",  substitute(filter(Templates!E:E, Templates!A:A = F127, Templates!B:B = G127, Templates!C:C = H127), ""{{}}"", E127), B127)"),"🏘  Vous souhaitez acheter une maison à Dompierre VD? ✅ Jetez un œil aux dernières offres sur ImmoScout24.ch.")</f>
        <v>🏘  Vous souhaitez acheter une maison à Dompierre VD? ✅ Jetez un œil aux dernières offres sur ImmoScout24.ch.</v>
      </c>
      <c r="J127" s="4" t="s">
        <v>387</v>
      </c>
    </row>
    <row r="128">
      <c r="A128" s="5" t="s">
        <v>388</v>
      </c>
      <c r="B128" s="2" t="s">
        <v>389</v>
      </c>
      <c r="C128" s="4" t="str">
        <f>IFERROR(__xludf.DUMMYFUNCTION("""🏘️ ""&amp;REGEXEXTRACT(B128, ""^(.*): "")&amp;"" ✅ "" &amp;REGEXEXTRACT(B128, ""(Trouvez.*)"")"),"🏘️ Louer appartement Vuisternens-en-Ogoz ✅ Trouvez le bien immobilier qui correspond idéalement à vos désirs sur ImmoScout24 - La plateforme de l'immobilier en Suisse.")</f>
        <v>🏘️ Louer appartement Vuisternens-en-Ogoz ✅ Trouvez le bien immobilier qui correspond idéalement à vos désirs sur ImmoScout24 - La plateforme de l'immobilier en Suisse.</v>
      </c>
      <c r="D128" s="4" t="str">
        <f>vlookup(A128, Sheet2!D:E, 2, 0)</f>
        <v>variant</v>
      </c>
      <c r="E128" s="4" t="str">
        <f>IFERROR(__xludf.DUMMYFUNCTION("if(H128=""pays"",vlookup(REGEXEXTRACT(C128, ""🏘️ \w+ \w+ (.*) ✅""),'Country prepositions'!A:B, 2, 0) &amp; "" "" &amp; REGEXEXTRACT(C128, ""🏘️ \w+ \w+ (.*) ✅"") ,  if(H128=""quartier"",vlookup(REGEXEXTRACT(C128, ""🏘️ \w+ \w+ (.*) ✅""),'Quartier prepositions'!A"&amp;":E, 5, 0) ,  if(H128=""region"",vlookup(REGEXEXTRACT(C128, ""🏘️ \w+ \w+ (.*) ✅""),'Region prepositions'!B:F, 5, 0),  REGEXEXTRACT(C128, ""🏘️ \w+ \w+ (.*) ✅""))))"),"Vuisternens-en-Ogoz")</f>
        <v>Vuisternens-en-Ogoz</v>
      </c>
      <c r="F128" s="2" t="str">
        <f>IFERROR(__xludf.DUMMYFUNCTION("REGEXEXTRACT(C128, ""🏘️ (\w+) \w+ .* ✅"")"),"Louer")</f>
        <v>Louer</v>
      </c>
      <c r="G128" s="2" t="str">
        <f>IFERROR(__xludf.DUMMYFUNCTION("REGEXEXTRACT(C128, ""🏘️ \w+ (\w+) .* ✅"")"),"appartement")</f>
        <v>appartement</v>
      </c>
      <c r="H128" s="4" t="str">
        <f>IFERROR(__xludf.DUMMYFUNCTION("REGEXEXTRACT(A128, ""/(\w+)-.*?"")"),"lieu")</f>
        <v>lieu</v>
      </c>
      <c r="I128" s="4" t="str">
        <f>IFERROR(__xludf.DUMMYFUNCTION("if(D128=""variant"",  substitute(filter(Templates!E:E, Templates!A:A = F128, Templates!B:B = G128, Templates!C:C = H128), ""{{}}"", E128), B128)"),"🏘  Vous cherchez un appartement à louer à Vuisternens-en-Ogoz? ✅ Les annonces les plus actuelles sont sur ImmoScout24.ch.")</f>
        <v>🏘  Vous cherchez un appartement à louer à Vuisternens-en-Ogoz? ✅ Les annonces les plus actuelles sont sur ImmoScout24.ch.</v>
      </c>
      <c r="J128" s="4" t="s">
        <v>390</v>
      </c>
    </row>
    <row r="129">
      <c r="A129" s="5" t="s">
        <v>391</v>
      </c>
      <c r="B129" s="2" t="s">
        <v>392</v>
      </c>
      <c r="C129" s="4" t="str">
        <f>IFERROR(__xludf.DUMMYFUNCTION("""🏘️ ""&amp;REGEXEXTRACT(B129, ""^(.*): "")&amp;"" ✅ "" &amp;REGEXEXTRACT(B129, ""(Trouvez.*)"")"),"🏘️ Louer appartement Bellevue ✅ Trouvez le bien immobilier qui correspond idéalement à vos désirs sur ImmoScout24 - La plateforme de l'immobilier en Suisse.")</f>
        <v>🏘️ Louer appartement Bellevue ✅ Trouvez le bien immobilier qui correspond idéalement à vos désirs sur ImmoScout24 - La plateforme de l'immobilier en Suisse.</v>
      </c>
      <c r="D129" s="4" t="str">
        <f>vlookup(A129, Sheet2!D:E, 2, 0)</f>
        <v>variant</v>
      </c>
      <c r="E129" s="4" t="str">
        <f>IFERROR(__xludf.DUMMYFUNCTION("if(H129=""pays"",vlookup(REGEXEXTRACT(C129, ""🏘️ \w+ \w+ (.*) ✅""),'Country prepositions'!A:B, 2, 0) &amp; "" "" &amp; REGEXEXTRACT(C129, ""🏘️ \w+ \w+ (.*) ✅"") ,  if(H129=""quartier"",vlookup(REGEXEXTRACT(C129, ""🏘️ \w+ \w+ (.*) ✅""),'Quartier prepositions'!A"&amp;":E, 5, 0) ,  if(H129=""region"",vlookup(REGEXEXTRACT(C129, ""🏘️ \w+ \w+ (.*) ✅""),'Region prepositions'!B:F, 5, 0),  REGEXEXTRACT(C129, ""🏘️ \w+ \w+ (.*) ✅""))))"),"Bellevue")</f>
        <v>Bellevue</v>
      </c>
      <c r="F129" s="2" t="str">
        <f>IFERROR(__xludf.DUMMYFUNCTION("REGEXEXTRACT(C129, ""🏘️ (\w+) \w+ .* ✅"")"),"Louer")</f>
        <v>Louer</v>
      </c>
      <c r="G129" s="2" t="str">
        <f>IFERROR(__xludf.DUMMYFUNCTION("REGEXEXTRACT(C129, ""🏘️ \w+ (\w+) .* ✅"")"),"appartement")</f>
        <v>appartement</v>
      </c>
      <c r="H129" s="4" t="str">
        <f>IFERROR(__xludf.DUMMYFUNCTION("REGEXEXTRACT(A129, ""/(\w+)-.*?"")"),"lieu")</f>
        <v>lieu</v>
      </c>
      <c r="I129" s="4" t="str">
        <f>IFERROR(__xludf.DUMMYFUNCTION("if(D129=""variant"",  substitute(filter(Templates!E:E, Templates!A:A = F129, Templates!B:B = G129, Templates!C:C = H129), ""{{}}"", E129), B129)"),"🏘  Vous cherchez un appartement à louer à Bellevue? ✅ Les annonces les plus actuelles sont sur ImmoScout24.ch.")</f>
        <v>🏘  Vous cherchez un appartement à louer à Bellevue? ✅ Les annonces les plus actuelles sont sur ImmoScout24.ch.</v>
      </c>
      <c r="J129" s="4" t="s">
        <v>393</v>
      </c>
    </row>
    <row r="130">
      <c r="A130" s="5" t="s">
        <v>394</v>
      </c>
      <c r="B130" s="2" t="s">
        <v>395</v>
      </c>
      <c r="C130" s="4" t="str">
        <f>IFERROR(__xludf.DUMMYFUNCTION("""🏘️ ""&amp;REGEXEXTRACT(B130, ""^(.*): "")&amp;"" ✅ "" &amp;REGEXEXTRACT(B130, ""(Trouvez.*)"")"),"🏘️ Vendre maison Chevilly ✅ Trouvez le bien immobilier qui correspond idéalement à vos désirs sur ImmoScout24 - La plateforme de l'immobilier en Suisse.")</f>
        <v>🏘️ Vendre maison Chevilly ✅ Trouvez le bien immobilier qui correspond idéalement à vos désirs sur ImmoScout24 - La plateforme de l'immobilier en Suisse.</v>
      </c>
      <c r="D130" s="4" t="str">
        <f>vlookup(A130, Sheet2!D:E, 2, 0)</f>
        <v>variant</v>
      </c>
      <c r="E130" s="4" t="str">
        <f>IFERROR(__xludf.DUMMYFUNCTION("if(H130=""pays"",vlookup(REGEXEXTRACT(C130, ""🏘️ \w+ \w+ (.*) ✅""),'Country prepositions'!A:B, 2, 0) &amp; "" "" &amp; REGEXEXTRACT(C130, ""🏘️ \w+ \w+ (.*) ✅"") ,  if(H130=""quartier"",vlookup(REGEXEXTRACT(C130, ""🏘️ \w+ \w+ (.*) ✅""),'Quartier prepositions'!A"&amp;":E, 5, 0) ,  if(H130=""region"",vlookup(REGEXEXTRACT(C130, ""🏘️ \w+ \w+ (.*) ✅""),'Region prepositions'!B:F, 5, 0),  REGEXEXTRACT(C130, ""🏘️ \w+ \w+ (.*) ✅""))))"),"Chevilly")</f>
        <v>Chevilly</v>
      </c>
      <c r="F130" s="2" t="str">
        <f>IFERROR(__xludf.DUMMYFUNCTION("REGEXEXTRACT(C130, ""🏘️ (\w+) \w+ .* ✅"")"),"Vendre")</f>
        <v>Vendre</v>
      </c>
      <c r="G130" s="2" t="str">
        <f>IFERROR(__xludf.DUMMYFUNCTION("REGEXEXTRACT(C130, ""🏘️ \w+ (\w+) .* ✅"")"),"maison")</f>
        <v>maison</v>
      </c>
      <c r="H130" s="4" t="str">
        <f>IFERROR(__xludf.DUMMYFUNCTION("REGEXEXTRACT(A130, ""/(\w+)-.*?"")"),"lieu")</f>
        <v>lieu</v>
      </c>
      <c r="I130" s="4" t="str">
        <f>IFERROR(__xludf.DUMMYFUNCTION("if(D130=""variant"",  substitute(filter(Templates!E:E, Templates!A:A = F130, Templates!B:B = G130, Templates!C:C = H130), ""{{}}"", E130), B130)"),"🏘  Vous souhaitez acheter une maison à Chevilly? ✅ Jetez un œil aux dernières offres sur ImmoScout24.ch.")</f>
        <v>🏘  Vous souhaitez acheter une maison à Chevilly? ✅ Jetez un œil aux dernières offres sur ImmoScout24.ch.</v>
      </c>
      <c r="J130" s="4" t="s">
        <v>396</v>
      </c>
    </row>
    <row r="131">
      <c r="A131" s="5" t="s">
        <v>397</v>
      </c>
      <c r="B131" s="2" t="s">
        <v>398</v>
      </c>
      <c r="C131" s="4" t="str">
        <f>IFERROR(__xludf.DUMMYFUNCTION("""🏘️ ""&amp;REGEXEXTRACT(B131, ""^(.*): "")&amp;"" ✅ "" &amp;REGEXEXTRACT(B131, ""(Trouvez.*)"")"),"🏘️ Vendre maison Bussigny ✅ Trouvez le bien immobilier qui correspond idéalement à vos désirs sur ImmoScout24 - La plateforme de l'immobilier en Suisse.")</f>
        <v>🏘️ Vendre maison Bussigny ✅ Trouvez le bien immobilier qui correspond idéalement à vos désirs sur ImmoScout24 - La plateforme de l'immobilier en Suisse.</v>
      </c>
      <c r="D131" s="4" t="str">
        <f>vlookup(A131, Sheet2!D:E, 2, 0)</f>
        <v>variant</v>
      </c>
      <c r="E131" s="4" t="str">
        <f>IFERROR(__xludf.DUMMYFUNCTION("if(H131=""pays"",vlookup(REGEXEXTRACT(C131, ""🏘️ \w+ \w+ (.*) ✅""),'Country prepositions'!A:B, 2, 0) &amp; "" "" &amp; REGEXEXTRACT(C131, ""🏘️ \w+ \w+ (.*) ✅"") ,  if(H131=""quartier"",vlookup(REGEXEXTRACT(C131, ""🏘️ \w+ \w+ (.*) ✅""),'Quartier prepositions'!A"&amp;":E, 5, 0) ,  if(H131=""region"",vlookup(REGEXEXTRACT(C131, ""🏘️ \w+ \w+ (.*) ✅""),'Region prepositions'!B:F, 5, 0),  REGEXEXTRACT(C131, ""🏘️ \w+ \w+ (.*) ✅""))))"),"Bussigny")</f>
        <v>Bussigny</v>
      </c>
      <c r="F131" s="2" t="str">
        <f>IFERROR(__xludf.DUMMYFUNCTION("REGEXEXTRACT(C131, ""🏘️ (\w+) \w+ .* ✅"")"),"Vendre")</f>
        <v>Vendre</v>
      </c>
      <c r="G131" s="2" t="str">
        <f>IFERROR(__xludf.DUMMYFUNCTION("REGEXEXTRACT(C131, ""🏘️ \w+ (\w+) .* ✅"")"),"maison")</f>
        <v>maison</v>
      </c>
      <c r="H131" s="4" t="str">
        <f>IFERROR(__xludf.DUMMYFUNCTION("REGEXEXTRACT(A131, ""/(\w+)-.*?"")"),"lieu")</f>
        <v>lieu</v>
      </c>
      <c r="I131" s="4" t="str">
        <f>IFERROR(__xludf.DUMMYFUNCTION("if(D131=""variant"",  substitute(filter(Templates!E:E, Templates!A:A = F131, Templates!B:B = G131, Templates!C:C = H131), ""{{}}"", E131), B131)"),"🏘  Vous souhaitez acheter une maison à Bussigny? ✅ Jetez un œil aux dernières offres sur ImmoScout24.ch.")</f>
        <v>🏘  Vous souhaitez acheter une maison à Bussigny? ✅ Jetez un œil aux dernières offres sur ImmoScout24.ch.</v>
      </c>
      <c r="J131" s="4" t="s">
        <v>399</v>
      </c>
    </row>
    <row r="132">
      <c r="A132" s="5" t="s">
        <v>400</v>
      </c>
      <c r="B132" s="2" t="s">
        <v>401</v>
      </c>
      <c r="C132" s="4" t="str">
        <f>IFERROR(__xludf.DUMMYFUNCTION("""🏘️ ""&amp;REGEXEXTRACT(B132, ""^(.*): "")&amp;"" ✅ "" &amp;REGEXEXTRACT(B132, ""(Trouvez.*)"")"),"🏘️ Louer maison Assens ✅ Trouvez le bien immobilier qui correspond idéalement à vos désirs sur ImmoScout24 - La plateforme de l'immobilier en Suisse.")</f>
        <v>🏘️ Louer maison Assens ✅ Trouvez le bien immobilier qui correspond idéalement à vos désirs sur ImmoScout24 - La plateforme de l'immobilier en Suisse.</v>
      </c>
      <c r="D132" s="4" t="str">
        <f>vlookup(A132, Sheet2!D:E, 2, 0)</f>
        <v>variant</v>
      </c>
      <c r="E132" s="4" t="str">
        <f>IFERROR(__xludf.DUMMYFUNCTION("if(H132=""pays"",vlookup(REGEXEXTRACT(C132, ""🏘️ \w+ \w+ (.*) ✅""),'Country prepositions'!A:B, 2, 0) &amp; "" "" &amp; REGEXEXTRACT(C132, ""🏘️ \w+ \w+ (.*) ✅"") ,  if(H132=""quartier"",vlookup(REGEXEXTRACT(C132, ""🏘️ \w+ \w+ (.*) ✅""),'Quartier prepositions'!A"&amp;":E, 5, 0) ,  if(H132=""region"",vlookup(REGEXEXTRACT(C132, ""🏘️ \w+ \w+ (.*) ✅""),'Region prepositions'!B:F, 5, 0),  REGEXEXTRACT(C132, ""🏘️ \w+ \w+ (.*) ✅""))))"),"Assens")</f>
        <v>Assens</v>
      </c>
      <c r="F132" s="2" t="str">
        <f>IFERROR(__xludf.DUMMYFUNCTION("REGEXEXTRACT(C132, ""🏘️ (\w+) \w+ .* ✅"")"),"Louer")</f>
        <v>Louer</v>
      </c>
      <c r="G132" s="2" t="str">
        <f>IFERROR(__xludf.DUMMYFUNCTION("REGEXEXTRACT(C132, ""🏘️ \w+ (\w+) .* ✅"")"),"maison")</f>
        <v>maison</v>
      </c>
      <c r="H132" s="4" t="str">
        <f>IFERROR(__xludf.DUMMYFUNCTION("REGEXEXTRACT(A132, ""/(\w+)-.*?"")"),"lieu")</f>
        <v>lieu</v>
      </c>
      <c r="I132" s="4" t="str">
        <f>IFERROR(__xludf.DUMMYFUNCTION("if(D132=""variant"",  substitute(filter(Templates!E:E, Templates!A:A = F132, Templates!B:B = G132, Templates!C:C = H132), ""{{}}"", E132), B132)"),"🏘  Vous cherchez une maison à louer à Assens? ✅ Découvrez nos nombreuses annonces sur ImmoScout24.ch.")</f>
        <v>🏘  Vous cherchez une maison à louer à Assens? ✅ Découvrez nos nombreuses annonces sur ImmoScout24.ch.</v>
      </c>
      <c r="J132" s="4" t="s">
        <v>402</v>
      </c>
    </row>
    <row r="133">
      <c r="A133" s="5" t="s">
        <v>403</v>
      </c>
      <c r="B133" s="2" t="s">
        <v>404</v>
      </c>
      <c r="C133" s="4" t="str">
        <f>IFERROR(__xludf.DUMMYFUNCTION("""🏘️ ""&amp;REGEXEXTRACT(B133, ""^(.*): "")&amp;"" ✅ "" &amp;REGEXEXTRACT(B133, ""(Trouvez.*)"")"),"🏘️ Vendre maison Grünenmatt ✅ Trouvez le bien immobilier qui correspond idéalement à vos désirs sur ImmoScout24 - La plateforme de l'immobilier en Suisse.")</f>
        <v>🏘️ Vendre maison Grünenmatt ✅ Trouvez le bien immobilier qui correspond idéalement à vos désirs sur ImmoScout24 - La plateforme de l'immobilier en Suisse.</v>
      </c>
      <c r="D133" s="4" t="str">
        <f>vlookup(A133, Sheet2!D:E, 2, 0)</f>
        <v>variant</v>
      </c>
      <c r="E133" s="4" t="str">
        <f>IFERROR(__xludf.DUMMYFUNCTION("if(H133=""pays"",vlookup(REGEXEXTRACT(C133, ""🏘️ \w+ \w+ (.*) ✅""),'Country prepositions'!A:B, 2, 0) &amp; "" "" &amp; REGEXEXTRACT(C133, ""🏘️ \w+ \w+ (.*) ✅"") ,  if(H133=""quartier"",vlookup(REGEXEXTRACT(C133, ""🏘️ \w+ \w+ (.*) ✅""),'Quartier prepositions'!A"&amp;":E, 5, 0) ,  if(H133=""region"",vlookup(REGEXEXTRACT(C133, ""🏘️ \w+ \w+ (.*) ✅""),'Region prepositions'!B:F, 5, 0),  REGEXEXTRACT(C133, ""🏘️ \w+ \w+ (.*) ✅""))))"),"Grünenmatt")</f>
        <v>Grünenmatt</v>
      </c>
      <c r="F133" s="2" t="str">
        <f>IFERROR(__xludf.DUMMYFUNCTION("REGEXEXTRACT(C133, ""🏘️ (\w+) \w+ .* ✅"")"),"Vendre")</f>
        <v>Vendre</v>
      </c>
      <c r="G133" s="2" t="str">
        <f>IFERROR(__xludf.DUMMYFUNCTION("REGEXEXTRACT(C133, ""🏘️ \w+ (\w+) .* ✅"")"),"maison")</f>
        <v>maison</v>
      </c>
      <c r="H133" s="4" t="str">
        <f>IFERROR(__xludf.DUMMYFUNCTION("REGEXEXTRACT(A133, ""/(\w+)-.*?"")"),"lieu")</f>
        <v>lieu</v>
      </c>
      <c r="I133" s="4" t="str">
        <f>IFERROR(__xludf.DUMMYFUNCTION("if(D133=""variant"",  substitute(filter(Templates!E:E, Templates!A:A = F133, Templates!B:B = G133, Templates!C:C = H133), ""{{}}"", E133), B133)"),"🏘  Vous souhaitez acheter une maison à Grünenmatt? ✅ Jetez un œil aux dernières offres sur ImmoScout24.ch.")</f>
        <v>🏘  Vous souhaitez acheter une maison à Grünenmatt? ✅ Jetez un œil aux dernières offres sur ImmoScout24.ch.</v>
      </c>
      <c r="J133" s="4" t="s">
        <v>405</v>
      </c>
    </row>
    <row r="134">
      <c r="A134" s="5" t="s">
        <v>406</v>
      </c>
      <c r="B134" s="2" t="s">
        <v>407</v>
      </c>
      <c r="C134" s="4" t="str">
        <f>IFERROR(__xludf.DUMMYFUNCTION("""🏘️ ""&amp;REGEXEXTRACT(B134, ""^(.*): "")&amp;"" ✅ "" &amp;REGEXEXTRACT(B134, ""(Trouvez.*)"")"),"🏘️ Louer maison Echallens ✅ Trouvez le bien immobilier qui correspond idéalement à vos désirs sur ImmoScout24 - La plateforme de l'immobilier en Suisse.")</f>
        <v>🏘️ Louer maison Echallens ✅ Trouvez le bien immobilier qui correspond idéalement à vos désirs sur ImmoScout24 - La plateforme de l'immobilier en Suisse.</v>
      </c>
      <c r="D134" s="4" t="str">
        <f>vlookup(A134, Sheet2!D:E, 2, 0)</f>
        <v>variant</v>
      </c>
      <c r="E134" s="4" t="str">
        <f>IFERROR(__xludf.DUMMYFUNCTION("if(H134=""pays"",vlookup(REGEXEXTRACT(C134, ""🏘️ \w+ \w+ (.*) ✅""),'Country prepositions'!A:B, 2, 0) &amp; "" "" &amp; REGEXEXTRACT(C134, ""🏘️ \w+ \w+ (.*) ✅"") ,  if(H134=""quartier"",vlookup(REGEXEXTRACT(C134, ""🏘️ \w+ \w+ (.*) ✅""),'Quartier prepositions'!A"&amp;":E, 5, 0) ,  if(H134=""region"",vlookup(REGEXEXTRACT(C134, ""🏘️ \w+ \w+ (.*) ✅""),'Region prepositions'!B:F, 5, 0),  REGEXEXTRACT(C134, ""🏘️ \w+ \w+ (.*) ✅""))))"),"Echallens")</f>
        <v>Echallens</v>
      </c>
      <c r="F134" s="2" t="str">
        <f>IFERROR(__xludf.DUMMYFUNCTION("REGEXEXTRACT(C134, ""🏘️ (\w+) \w+ .* ✅"")"),"Louer")</f>
        <v>Louer</v>
      </c>
      <c r="G134" s="2" t="str">
        <f>IFERROR(__xludf.DUMMYFUNCTION("REGEXEXTRACT(C134, ""🏘️ \w+ (\w+) .* ✅"")"),"maison")</f>
        <v>maison</v>
      </c>
      <c r="H134" s="4" t="str">
        <f>IFERROR(__xludf.DUMMYFUNCTION("REGEXEXTRACT(A134, ""/(\w+)-.*?"")"),"lieu")</f>
        <v>lieu</v>
      </c>
      <c r="I134" s="4" t="str">
        <f>IFERROR(__xludf.DUMMYFUNCTION("if(D134=""variant"",  substitute(filter(Templates!E:E, Templates!A:A = F134, Templates!B:B = G134, Templates!C:C = H134), ""{{}}"", E134), B134)"),"🏘  Vous cherchez une maison à louer à Echallens? ✅ Découvrez nos nombreuses annonces sur ImmoScout24.ch.")</f>
        <v>🏘  Vous cherchez une maison à louer à Echallens? ✅ Découvrez nos nombreuses annonces sur ImmoScout24.ch.</v>
      </c>
      <c r="J134" s="4" t="s">
        <v>408</v>
      </c>
    </row>
    <row r="135">
      <c r="A135" s="5" t="s">
        <v>409</v>
      </c>
      <c r="B135" s="2" t="s">
        <v>410</v>
      </c>
      <c r="C135" s="4" t="str">
        <f>IFERROR(__xludf.DUMMYFUNCTION("""🏘️ ""&amp;REGEXEXTRACT(B135, ""^(.*): "")&amp;"" ✅ "" &amp;REGEXEXTRACT(B135, ""(Trouvez.*)"")"),"🏘️ Louer appartement Siebnen ✅ Trouvez le bien immobilier qui correspond idéalement à vos désirs sur ImmoScout24 - La plateforme de l'immobilier en Suisse.")</f>
        <v>🏘️ Louer appartement Siebnen ✅ Trouvez le bien immobilier qui correspond idéalement à vos désirs sur ImmoScout24 - La plateforme de l'immobilier en Suisse.</v>
      </c>
      <c r="D135" s="4" t="str">
        <f>vlookup(A135, Sheet2!D:E, 2, 0)</f>
        <v>variant</v>
      </c>
      <c r="E135" s="4" t="str">
        <f>IFERROR(__xludf.DUMMYFUNCTION("if(H135=""pays"",vlookup(REGEXEXTRACT(C135, ""🏘️ \w+ \w+ (.*) ✅""),'Country prepositions'!A:B, 2, 0) &amp; "" "" &amp; REGEXEXTRACT(C135, ""🏘️ \w+ \w+ (.*) ✅"") ,  if(H135=""quartier"",vlookup(REGEXEXTRACT(C135, ""🏘️ \w+ \w+ (.*) ✅""),'Quartier prepositions'!A"&amp;":E, 5, 0) ,  if(H135=""region"",vlookup(REGEXEXTRACT(C135, ""🏘️ \w+ \w+ (.*) ✅""),'Region prepositions'!B:F, 5, 0),  REGEXEXTRACT(C135, ""🏘️ \w+ \w+ (.*) ✅""))))"),"Siebnen")</f>
        <v>Siebnen</v>
      </c>
      <c r="F135" s="2" t="str">
        <f>IFERROR(__xludf.DUMMYFUNCTION("REGEXEXTRACT(C135, ""🏘️ (\w+) \w+ .* ✅"")"),"Louer")</f>
        <v>Louer</v>
      </c>
      <c r="G135" s="2" t="str">
        <f>IFERROR(__xludf.DUMMYFUNCTION("REGEXEXTRACT(C135, ""🏘️ \w+ (\w+) .* ✅"")"),"appartement")</f>
        <v>appartement</v>
      </c>
      <c r="H135" s="4" t="str">
        <f>IFERROR(__xludf.DUMMYFUNCTION("REGEXEXTRACT(A135, ""/(\w+)-.*?"")"),"lieu")</f>
        <v>lieu</v>
      </c>
      <c r="I135" s="4" t="str">
        <f>IFERROR(__xludf.DUMMYFUNCTION("if(D135=""variant"",  substitute(filter(Templates!E:E, Templates!A:A = F135, Templates!B:B = G135, Templates!C:C = H135), ""{{}}"", E135), B135)"),"🏘  Vous cherchez un appartement à louer à Siebnen? ✅ Les annonces les plus actuelles sont sur ImmoScout24.ch.")</f>
        <v>🏘  Vous cherchez un appartement à louer à Siebnen? ✅ Les annonces les plus actuelles sont sur ImmoScout24.ch.</v>
      </c>
      <c r="J135" s="4" t="s">
        <v>411</v>
      </c>
    </row>
    <row r="136">
      <c r="A136" s="5" t="s">
        <v>412</v>
      </c>
      <c r="B136" s="2" t="s">
        <v>413</v>
      </c>
      <c r="C136" s="4" t="str">
        <f>IFERROR(__xludf.DUMMYFUNCTION("""🏘️ ""&amp;REGEXEXTRACT(B136, ""^(.*): "")&amp;"" ✅ "" &amp;REGEXEXTRACT(B136, ""(Trouvez.*)"")"),"🏘️ Vendre appartement Allschwil ✅ Trouvez le bien immobilier qui correspond idéalement à vos désirs sur ImmoScout24 - La plateforme de l'immobilier en Suisse.")</f>
        <v>🏘️ Vendre appartement Allschwil ✅ Trouvez le bien immobilier qui correspond idéalement à vos désirs sur ImmoScout24 - La plateforme de l'immobilier en Suisse.</v>
      </c>
      <c r="D136" s="4" t="str">
        <f>vlookup(A136, Sheet2!D:E, 2, 0)</f>
        <v>variant</v>
      </c>
      <c r="E136" s="4" t="str">
        <f>IFERROR(__xludf.DUMMYFUNCTION("if(H136=""pays"",vlookup(REGEXEXTRACT(C136, ""🏘️ \w+ \w+ (.*) ✅""),'Country prepositions'!A:B, 2, 0) &amp; "" "" &amp; REGEXEXTRACT(C136, ""🏘️ \w+ \w+ (.*) ✅"") ,  if(H136=""quartier"",vlookup(REGEXEXTRACT(C136, ""🏘️ \w+ \w+ (.*) ✅""),'Quartier prepositions'!A"&amp;":E, 5, 0) ,  if(H136=""region"",vlookup(REGEXEXTRACT(C136, ""🏘️ \w+ \w+ (.*) ✅""),'Region prepositions'!B:F, 5, 0),  REGEXEXTRACT(C136, ""🏘️ \w+ \w+ (.*) ✅""))))"),"Allschwil")</f>
        <v>Allschwil</v>
      </c>
      <c r="F136" s="2" t="str">
        <f>IFERROR(__xludf.DUMMYFUNCTION("REGEXEXTRACT(C136, ""🏘️ (\w+) \w+ .* ✅"")"),"Vendre")</f>
        <v>Vendre</v>
      </c>
      <c r="G136" s="2" t="str">
        <f>IFERROR(__xludf.DUMMYFUNCTION("REGEXEXTRACT(C136, ""🏘️ \w+ (\w+) .* ✅"")"),"appartement")</f>
        <v>appartement</v>
      </c>
      <c r="H136" s="4" t="str">
        <f>IFERROR(__xludf.DUMMYFUNCTION("REGEXEXTRACT(A136, ""/(\w+)-.*?"")"),"lieu")</f>
        <v>lieu</v>
      </c>
      <c r="I136" s="4" t="str">
        <f>IFERROR(__xludf.DUMMYFUNCTION("if(D136=""variant"",  substitute(filter(Templates!E:E, Templates!A:A = F136, Templates!B:B = G136, Templates!C:C = H136), ""{{}}"", E136), B136)"),"🏘  L’appartement de vos rêves se trouve sur ImmoScout24.ch ✅ Découvrez les dernières annonces de vente à Allschwil.")</f>
        <v>🏘  L’appartement de vos rêves se trouve sur ImmoScout24.ch ✅ Découvrez les dernières annonces de vente à Allschwil.</v>
      </c>
      <c r="J136" s="4" t="s">
        <v>414</v>
      </c>
    </row>
    <row r="137">
      <c r="A137" s="5" t="s">
        <v>415</v>
      </c>
      <c r="B137" s="2" t="s">
        <v>416</v>
      </c>
      <c r="C137" s="4" t="str">
        <f>IFERROR(__xludf.DUMMYFUNCTION("""🏘️ ""&amp;REGEXEXTRACT(B137, ""^(.*): "")&amp;"" ✅ "" &amp;REGEXEXTRACT(B137, ""(Trouvez.*)"")"),"🏘️ Vendre appartement Evolène ✅ Trouvez le bien immobilier qui correspond idéalement à vos désirs sur ImmoScout24 - La plateforme de l'immobilier en Suisse.")</f>
        <v>🏘️ Vendre appartement Evolène ✅ Trouvez le bien immobilier qui correspond idéalement à vos désirs sur ImmoScout24 - La plateforme de l'immobilier en Suisse.</v>
      </c>
      <c r="D137" s="4" t="str">
        <f>vlookup(A137, Sheet2!D:E, 2, 0)</f>
        <v>variant</v>
      </c>
      <c r="E137" s="4" t="str">
        <f>IFERROR(__xludf.DUMMYFUNCTION("if(H137=""pays"",vlookup(REGEXEXTRACT(C137, ""🏘️ \w+ \w+ (.*) ✅""),'Country prepositions'!A:B, 2, 0) &amp; "" "" &amp; REGEXEXTRACT(C137, ""🏘️ \w+ \w+ (.*) ✅"") ,  if(H137=""quartier"",vlookup(REGEXEXTRACT(C137, ""🏘️ \w+ \w+ (.*) ✅""),'Quartier prepositions'!A"&amp;":E, 5, 0) ,  if(H137=""region"",vlookup(REGEXEXTRACT(C137, ""🏘️ \w+ \w+ (.*) ✅""),'Region prepositions'!B:F, 5, 0),  REGEXEXTRACT(C137, ""🏘️ \w+ \w+ (.*) ✅""))))"),"Evolène")</f>
        <v>Evolène</v>
      </c>
      <c r="F137" s="2" t="str">
        <f>IFERROR(__xludf.DUMMYFUNCTION("REGEXEXTRACT(C137, ""🏘️ (\w+) \w+ .* ✅"")"),"Vendre")</f>
        <v>Vendre</v>
      </c>
      <c r="G137" s="2" t="str">
        <f>IFERROR(__xludf.DUMMYFUNCTION("REGEXEXTRACT(C137, ""🏘️ \w+ (\w+) .* ✅"")"),"appartement")</f>
        <v>appartement</v>
      </c>
      <c r="H137" s="4" t="str">
        <f>IFERROR(__xludf.DUMMYFUNCTION("REGEXEXTRACT(A137, ""/(\w+)-.*?"")"),"lieu")</f>
        <v>lieu</v>
      </c>
      <c r="I137" s="4" t="str">
        <f>IFERROR(__xludf.DUMMYFUNCTION("if(D137=""variant"",  substitute(filter(Templates!E:E, Templates!A:A = F137, Templates!B:B = G137, Templates!C:C = H137), ""{{}}"", E137), B137)"),"🏘  L’appartement de vos rêves se trouve sur ImmoScout24.ch ✅ Découvrez les dernières annonces de vente à Evolène.")</f>
        <v>🏘  L’appartement de vos rêves se trouve sur ImmoScout24.ch ✅ Découvrez les dernières annonces de vente à Evolène.</v>
      </c>
      <c r="J137" s="4" t="s">
        <v>417</v>
      </c>
    </row>
    <row r="138">
      <c r="A138" s="5" t="s">
        <v>418</v>
      </c>
      <c r="B138" s="2" t="s">
        <v>419</v>
      </c>
      <c r="C138" s="4" t="str">
        <f>IFERROR(__xludf.DUMMYFUNCTION("""🏘️ ""&amp;REGEXEXTRACT(B138, ""^(.*): "")&amp;"" ✅ "" &amp;REGEXEXTRACT(B138, ""(Trouvez.*)"")"),"🏘️ Louer appartement Sandrain (Berne) ✅ Trouvez le bien immobilier qui correspond idéalement à vos désirs sur ImmoScout24 - La plateforme de l'immobilier en Suisse.")</f>
        <v>🏘️ Louer appartement Sandrain (Berne) ✅ Trouvez le bien immobilier qui correspond idéalement à vos désirs sur ImmoScout24 - La plateforme de l'immobilier en Suisse.</v>
      </c>
      <c r="D138" s="4" t="str">
        <f>vlookup(A138, Sheet2!D:E, 2, 0)</f>
        <v>variant</v>
      </c>
      <c r="E138" s="4" t="str">
        <f>IFERROR(__xludf.DUMMYFUNCTION("if(H138=""pays"",vlookup(REGEXEXTRACT(C138, ""🏘️ \w+ \w+ (.*) ✅""),'Country prepositions'!A:B, 2, 0) &amp; "" "" &amp; REGEXEXTRACT(C138, ""🏘️ \w+ \w+ (.*) ✅"") ,  if(H138=""quartier"",vlookup(REGEXEXTRACT(C138, ""🏘️ \w+ \w+ (.*) ✅""),'Quartier prepositions'!A"&amp;":E, 5, 0) ,  if(H138=""region"",vlookup(REGEXEXTRACT(C138, ""🏘️ \w+ \w+ (.*) ✅""),'Region prepositions'!B:F, 5, 0),  REGEXEXTRACT(C138, ""🏘️ \w+ \w+ (.*) ✅""))))"),"dans le quartier de Sandrain (Berne)")</f>
        <v>dans le quartier de Sandrain (Berne)</v>
      </c>
      <c r="F138" s="2" t="str">
        <f>IFERROR(__xludf.DUMMYFUNCTION("REGEXEXTRACT(C138, ""🏘️ (\w+) \w+ .* ✅"")"),"Louer")</f>
        <v>Louer</v>
      </c>
      <c r="G138" s="2" t="str">
        <f>IFERROR(__xludf.DUMMYFUNCTION("REGEXEXTRACT(C138, ""🏘️ \w+ (\w+) .* ✅"")"),"appartement")</f>
        <v>appartement</v>
      </c>
      <c r="H138" s="4" t="str">
        <f>IFERROR(__xludf.DUMMYFUNCTION("REGEXEXTRACT(A138, ""/(\w+)-.*?"")"),"quartier")</f>
        <v>quartier</v>
      </c>
      <c r="I138" s="4" t="str">
        <f>IFERROR(__xludf.DUMMYFUNCTION("if(D138=""variant"",  substitute(filter(Templates!E:E, Templates!A:A = F138, Templates!B:B = G138, Templates!C:C = H138), ""{{}}"", E138), B138)"),"🏘  Vous cherchez un appartement à louer dans le quartier de Sandrain (Berne)? ✅ Les annonces les plus actuelles sont sur ImmoScout24.ch.")</f>
        <v>🏘  Vous cherchez un appartement à louer dans le quartier de Sandrain (Berne)? ✅ Les annonces les plus actuelles sont sur ImmoScout24.ch.</v>
      </c>
      <c r="J138" s="4" t="s">
        <v>420</v>
      </c>
    </row>
    <row r="139">
      <c r="A139" s="5" t="s">
        <v>421</v>
      </c>
      <c r="B139" s="2" t="s">
        <v>422</v>
      </c>
      <c r="C139" s="4" t="str">
        <f>IFERROR(__xludf.DUMMYFUNCTION("""🏘️ ""&amp;REGEXEXTRACT(B139, ""^(.*): "")&amp;"" ✅ "" &amp;REGEXEXTRACT(B139, ""(Trouvez.*)"")"),"🏘️ Vendre maison Belmont-sur-Lausanne ✅ Trouvez le bien immobilier qui correspond idéalement à vos désirs sur ImmoScout24 - La plateforme de l'immobilier en Suisse.")</f>
        <v>🏘️ Vendre maison Belmont-sur-Lausanne ✅ Trouvez le bien immobilier qui correspond idéalement à vos désirs sur ImmoScout24 - La plateforme de l'immobilier en Suisse.</v>
      </c>
      <c r="D139" s="4" t="str">
        <f>vlookup(A139, Sheet2!D:E, 2, 0)</f>
        <v>variant</v>
      </c>
      <c r="E139" s="4" t="str">
        <f>IFERROR(__xludf.DUMMYFUNCTION("if(H139=""pays"",vlookup(REGEXEXTRACT(C139, ""🏘️ \w+ \w+ (.*) ✅""),'Country prepositions'!A:B, 2, 0) &amp; "" "" &amp; REGEXEXTRACT(C139, ""🏘️ \w+ \w+ (.*) ✅"") ,  if(H139=""quartier"",vlookup(REGEXEXTRACT(C139, ""🏘️ \w+ \w+ (.*) ✅""),'Quartier prepositions'!A"&amp;":E, 5, 0) ,  if(H139=""region"",vlookup(REGEXEXTRACT(C139, ""🏘️ \w+ \w+ (.*) ✅""),'Region prepositions'!B:F, 5, 0),  REGEXEXTRACT(C139, ""🏘️ \w+ \w+ (.*) ✅""))))"),"Belmont-sur-Lausanne")</f>
        <v>Belmont-sur-Lausanne</v>
      </c>
      <c r="F139" s="2" t="str">
        <f>IFERROR(__xludf.DUMMYFUNCTION("REGEXEXTRACT(C139, ""🏘️ (\w+) \w+ .* ✅"")"),"Vendre")</f>
        <v>Vendre</v>
      </c>
      <c r="G139" s="2" t="str">
        <f>IFERROR(__xludf.DUMMYFUNCTION("REGEXEXTRACT(C139, ""🏘️ \w+ (\w+) .* ✅"")"),"maison")</f>
        <v>maison</v>
      </c>
      <c r="H139" s="4" t="str">
        <f>IFERROR(__xludf.DUMMYFUNCTION("REGEXEXTRACT(A139, ""/(\w+)-.*?"")"),"lieu")</f>
        <v>lieu</v>
      </c>
      <c r="I139" s="4" t="str">
        <f>IFERROR(__xludf.DUMMYFUNCTION("if(D139=""variant"",  substitute(filter(Templates!E:E, Templates!A:A = F139, Templates!B:B = G139, Templates!C:C = H139), ""{{}}"", E139), B139)"),"🏘  Vous souhaitez acheter une maison à Belmont-sur-Lausanne? ✅ Jetez un œil aux dernières offres sur ImmoScout24.ch.")</f>
        <v>🏘  Vous souhaitez acheter une maison à Belmont-sur-Lausanne? ✅ Jetez un œil aux dernières offres sur ImmoScout24.ch.</v>
      </c>
      <c r="J139" s="4" t="s">
        <v>423</v>
      </c>
    </row>
    <row r="140">
      <c r="A140" s="5" t="s">
        <v>424</v>
      </c>
      <c r="B140" s="2" t="s">
        <v>425</v>
      </c>
      <c r="C140" s="4" t="str">
        <f>IFERROR(__xludf.DUMMYFUNCTION("""🏘️ ""&amp;REGEXEXTRACT(B140, ""^(.*): "")&amp;"" ✅ "" &amp;REGEXEXTRACT(B140, ""(Trouvez.*)"")"),"🏘️ Louer appartement Torgon ✅ Trouvez le bien immobilier qui correspond idéalement à vos désirs sur ImmoScout24 - La plateforme de l'immobilier en Suisse.")</f>
        <v>🏘️ Louer appartement Torgon ✅ Trouvez le bien immobilier qui correspond idéalement à vos désirs sur ImmoScout24 - La plateforme de l'immobilier en Suisse.</v>
      </c>
      <c r="D140" s="4" t="str">
        <f>vlookup(A140, Sheet2!D:E, 2, 0)</f>
        <v>variant</v>
      </c>
      <c r="E140" s="4" t="str">
        <f>IFERROR(__xludf.DUMMYFUNCTION("if(H140=""pays"",vlookup(REGEXEXTRACT(C140, ""🏘️ \w+ \w+ (.*) ✅""),'Country prepositions'!A:B, 2, 0) &amp; "" "" &amp; REGEXEXTRACT(C140, ""🏘️ \w+ \w+ (.*) ✅"") ,  if(H140=""quartier"",vlookup(REGEXEXTRACT(C140, ""🏘️ \w+ \w+ (.*) ✅""),'Quartier prepositions'!A"&amp;":E, 5, 0) ,  if(H140=""region"",vlookup(REGEXEXTRACT(C140, ""🏘️ \w+ \w+ (.*) ✅""),'Region prepositions'!B:F, 5, 0),  REGEXEXTRACT(C140, ""🏘️ \w+ \w+ (.*) ✅""))))"),"Torgon")</f>
        <v>Torgon</v>
      </c>
      <c r="F140" s="2" t="str">
        <f>IFERROR(__xludf.DUMMYFUNCTION("REGEXEXTRACT(C140, ""🏘️ (\w+) \w+ .* ✅"")"),"Louer")</f>
        <v>Louer</v>
      </c>
      <c r="G140" s="2" t="str">
        <f>IFERROR(__xludf.DUMMYFUNCTION("REGEXEXTRACT(C140, ""🏘️ \w+ (\w+) .* ✅"")"),"appartement")</f>
        <v>appartement</v>
      </c>
      <c r="H140" s="4" t="str">
        <f>IFERROR(__xludf.DUMMYFUNCTION("REGEXEXTRACT(A140, ""/(\w+)-.*?"")"),"lieu")</f>
        <v>lieu</v>
      </c>
      <c r="I140" s="4" t="str">
        <f>IFERROR(__xludf.DUMMYFUNCTION("if(D140=""variant"",  substitute(filter(Templates!E:E, Templates!A:A = F140, Templates!B:B = G140, Templates!C:C = H140), ""{{}}"", E140), B140)"),"🏘  Vous cherchez un appartement à louer à Torgon? ✅ Les annonces les plus actuelles sont sur ImmoScout24.ch.")</f>
        <v>🏘  Vous cherchez un appartement à louer à Torgon? ✅ Les annonces les plus actuelles sont sur ImmoScout24.ch.</v>
      </c>
      <c r="J140" s="4" t="s">
        <v>426</v>
      </c>
    </row>
    <row r="141">
      <c r="A141" s="5" t="s">
        <v>427</v>
      </c>
      <c r="B141" s="2" t="s">
        <v>428</v>
      </c>
      <c r="C141" s="4" t="str">
        <f>IFERROR(__xludf.DUMMYFUNCTION("""🏘️ ""&amp;REGEXEXTRACT(B141, ""^(.*): "")&amp;"" ✅ "" &amp;REGEXEXTRACT(B141, ""(Trouvez.*)"")"),"🏘️ Vendre appartement Wohlen AG ✅ Trouvez le bien immobilier qui correspond idéalement à vos désirs sur ImmoScout24 - La plateforme de l'immobilier en Suisse.")</f>
        <v>🏘️ Vendre appartement Wohlen AG ✅ Trouvez le bien immobilier qui correspond idéalement à vos désirs sur ImmoScout24 - La plateforme de l'immobilier en Suisse.</v>
      </c>
      <c r="D141" s="4" t="str">
        <f>vlookup(A141, Sheet2!D:E, 2, 0)</f>
        <v>variant</v>
      </c>
      <c r="E141" s="4" t="str">
        <f>IFERROR(__xludf.DUMMYFUNCTION("if(H141=""pays"",vlookup(REGEXEXTRACT(C141, ""🏘️ \w+ \w+ (.*) ✅""),'Country prepositions'!A:B, 2, 0) &amp; "" "" &amp; REGEXEXTRACT(C141, ""🏘️ \w+ \w+ (.*) ✅"") ,  if(H141=""quartier"",vlookup(REGEXEXTRACT(C141, ""🏘️ \w+ \w+ (.*) ✅""),'Quartier prepositions'!A"&amp;":E, 5, 0) ,  if(H141=""region"",vlookup(REGEXEXTRACT(C141, ""🏘️ \w+ \w+ (.*) ✅""),'Region prepositions'!B:F, 5, 0),  REGEXEXTRACT(C141, ""🏘️ \w+ \w+ (.*) ✅""))))"),"Wohlen AG")</f>
        <v>Wohlen AG</v>
      </c>
      <c r="F141" s="2" t="str">
        <f>IFERROR(__xludf.DUMMYFUNCTION("REGEXEXTRACT(C141, ""🏘️ (\w+) \w+ .* ✅"")"),"Vendre")</f>
        <v>Vendre</v>
      </c>
      <c r="G141" s="2" t="str">
        <f>IFERROR(__xludf.DUMMYFUNCTION("REGEXEXTRACT(C141, ""🏘️ \w+ (\w+) .* ✅"")"),"appartement")</f>
        <v>appartement</v>
      </c>
      <c r="H141" s="4" t="str">
        <f>IFERROR(__xludf.DUMMYFUNCTION("REGEXEXTRACT(A141, ""/(\w+)-.*?"")"),"lieu")</f>
        <v>lieu</v>
      </c>
      <c r="I141" s="4" t="str">
        <f>IFERROR(__xludf.DUMMYFUNCTION("if(D141=""variant"",  substitute(filter(Templates!E:E, Templates!A:A = F141, Templates!B:B = G141, Templates!C:C = H141), ""{{}}"", E141), B141)"),"🏘  L’appartement de vos rêves se trouve sur ImmoScout24.ch ✅ Découvrez les dernières annonces de vente à Wohlen AG.")</f>
        <v>🏘  L’appartement de vos rêves se trouve sur ImmoScout24.ch ✅ Découvrez les dernières annonces de vente à Wohlen AG.</v>
      </c>
      <c r="J141" s="4" t="s">
        <v>429</v>
      </c>
    </row>
    <row r="142">
      <c r="A142" s="5" t="s">
        <v>430</v>
      </c>
      <c r="B142" s="2" t="s">
        <v>431</v>
      </c>
      <c r="C142" s="4" t="str">
        <f>IFERROR(__xludf.DUMMYFUNCTION("""🏘️ ""&amp;REGEXEXTRACT(B142, ""^(.*): "")&amp;"" ✅ "" &amp;REGEXEXTRACT(B142, ""(Trouvez.*)"")"),"🏘️ Louer appartement Bodio TI ✅ Trouvez le bien immobilier qui correspond idéalement à vos désirs sur ImmoScout24 - La plateforme de l'immobilier en Suisse.")</f>
        <v>🏘️ Louer appartement Bodio TI ✅ Trouvez le bien immobilier qui correspond idéalement à vos désirs sur ImmoScout24 - La plateforme de l'immobilier en Suisse.</v>
      </c>
      <c r="D142" s="4" t="str">
        <f>vlookup(A142, Sheet2!D:E, 2, 0)</f>
        <v>variant</v>
      </c>
      <c r="E142" s="4" t="str">
        <f>IFERROR(__xludf.DUMMYFUNCTION("if(H142=""pays"",vlookup(REGEXEXTRACT(C142, ""🏘️ \w+ \w+ (.*) ✅""),'Country prepositions'!A:B, 2, 0) &amp; "" "" &amp; REGEXEXTRACT(C142, ""🏘️ \w+ \w+ (.*) ✅"") ,  if(H142=""quartier"",vlookup(REGEXEXTRACT(C142, ""🏘️ \w+ \w+ (.*) ✅""),'Quartier prepositions'!A"&amp;":E, 5, 0) ,  if(H142=""region"",vlookup(REGEXEXTRACT(C142, ""🏘️ \w+ \w+ (.*) ✅""),'Region prepositions'!B:F, 5, 0),  REGEXEXTRACT(C142, ""🏘️ \w+ \w+ (.*) ✅""))))"),"Bodio TI")</f>
        <v>Bodio TI</v>
      </c>
      <c r="F142" s="2" t="str">
        <f>IFERROR(__xludf.DUMMYFUNCTION("REGEXEXTRACT(C142, ""🏘️ (\w+) \w+ .* ✅"")"),"Louer")</f>
        <v>Louer</v>
      </c>
      <c r="G142" s="2" t="str">
        <f>IFERROR(__xludf.DUMMYFUNCTION("REGEXEXTRACT(C142, ""🏘️ \w+ (\w+) .* ✅"")"),"appartement")</f>
        <v>appartement</v>
      </c>
      <c r="H142" s="4" t="str">
        <f>IFERROR(__xludf.DUMMYFUNCTION("REGEXEXTRACT(A142, ""/(\w+)-.*?"")"),"lieu")</f>
        <v>lieu</v>
      </c>
      <c r="I142" s="4" t="str">
        <f>IFERROR(__xludf.DUMMYFUNCTION("if(D142=""variant"",  substitute(filter(Templates!E:E, Templates!A:A = F142, Templates!B:B = G142, Templates!C:C = H142), ""{{}}"", E142), B142)"),"🏘  Vous cherchez un appartement à louer à Bodio TI? ✅ Les annonces les plus actuelles sont sur ImmoScout24.ch.")</f>
        <v>🏘  Vous cherchez un appartement à louer à Bodio TI? ✅ Les annonces les plus actuelles sont sur ImmoScout24.ch.</v>
      </c>
      <c r="J142" s="4" t="s">
        <v>432</v>
      </c>
    </row>
    <row r="143">
      <c r="A143" s="5" t="s">
        <v>433</v>
      </c>
      <c r="B143" s="2" t="s">
        <v>434</v>
      </c>
      <c r="C143" s="4" t="str">
        <f>IFERROR(__xludf.DUMMYFUNCTION("""🏘️ ""&amp;REGEXEXTRACT(B143, ""^(.*): "")&amp;"" ✅ "" &amp;REGEXEXTRACT(B143, ""(Trouvez.*)"")"),"🏘️ Vendre maison La Sarraz ✅ Trouvez le bien immobilier qui correspond idéalement à vos désirs sur ImmoScout24 - La plateforme de l'immobilier en Suisse.")</f>
        <v>🏘️ Vendre maison La Sarraz ✅ Trouvez le bien immobilier qui correspond idéalement à vos désirs sur ImmoScout24 - La plateforme de l'immobilier en Suisse.</v>
      </c>
      <c r="D143" s="4" t="str">
        <f>vlookup(A143, Sheet2!D:E, 2, 0)</f>
        <v>variant</v>
      </c>
      <c r="E143" s="4" t="str">
        <f>IFERROR(__xludf.DUMMYFUNCTION("if(H143=""pays"",vlookup(REGEXEXTRACT(C143, ""🏘️ \w+ \w+ (.*) ✅""),'Country prepositions'!A:B, 2, 0) &amp; "" "" &amp; REGEXEXTRACT(C143, ""🏘️ \w+ \w+ (.*) ✅"") ,  if(H143=""quartier"",vlookup(REGEXEXTRACT(C143, ""🏘️ \w+ \w+ (.*) ✅""),'Quartier prepositions'!A"&amp;":E, 5, 0) ,  if(H143=""region"",vlookup(REGEXEXTRACT(C143, ""🏘️ \w+ \w+ (.*) ✅""),'Region prepositions'!B:F, 5, 0),  REGEXEXTRACT(C143, ""🏘️ \w+ \w+ (.*) ✅""))))"),"La Sarraz")</f>
        <v>La Sarraz</v>
      </c>
      <c r="F143" s="2" t="str">
        <f>IFERROR(__xludf.DUMMYFUNCTION("REGEXEXTRACT(C143, ""🏘️ (\w+) \w+ .* ✅"")"),"Vendre")</f>
        <v>Vendre</v>
      </c>
      <c r="G143" s="2" t="str">
        <f>IFERROR(__xludf.DUMMYFUNCTION("REGEXEXTRACT(C143, ""🏘️ \w+ (\w+) .* ✅"")"),"maison")</f>
        <v>maison</v>
      </c>
      <c r="H143" s="4" t="str">
        <f>IFERROR(__xludf.DUMMYFUNCTION("REGEXEXTRACT(A143, ""/(\w+)-.*?"")"),"lieu")</f>
        <v>lieu</v>
      </c>
      <c r="I143" s="4" t="str">
        <f>IFERROR(__xludf.DUMMYFUNCTION("if(D143=""variant"",  substitute(filter(Templates!E:E, Templates!A:A = F143, Templates!B:B = G143, Templates!C:C = H143), ""{{}}"", E143), B143)"),"🏘  Vous souhaitez acheter une maison à La Sarraz? ✅ Jetez un œil aux dernières offres sur ImmoScout24.ch.")</f>
        <v>🏘  Vous souhaitez acheter une maison à La Sarraz? ✅ Jetez un œil aux dernières offres sur ImmoScout24.ch.</v>
      </c>
      <c r="J143" s="4" t="s">
        <v>435</v>
      </c>
    </row>
    <row r="144">
      <c r="A144" s="5" t="s">
        <v>436</v>
      </c>
      <c r="B144" s="2" t="s">
        <v>437</v>
      </c>
      <c r="C144" s="4" t="str">
        <f>IFERROR(__xludf.DUMMYFUNCTION("""🏘️ ""&amp;REGEXEXTRACT(B144, ""^(.*): "")&amp;"" ✅ "" &amp;REGEXEXTRACT(B144, ""(Trouvez.*)"")"),"🏘️ Louer appartement Secteur forain est (La Chaux-de-Fonds) ✅ Trouvez le bien immobilier qui correspond idéalement à vos désirs sur ImmoScout24 - La plateforme de l'immobilier en Suisse.")</f>
        <v>🏘️ Louer appartement Secteur forain est (La Chaux-de-Fonds) ✅ Trouvez le bien immobilier qui correspond idéalement à vos désirs sur ImmoScout24 - La plateforme de l'immobilier en Suisse.</v>
      </c>
      <c r="D144" s="4" t="str">
        <f>vlookup(A144, Sheet2!D:E, 2, 0)</f>
        <v>variant</v>
      </c>
      <c r="E144" s="4" t="str">
        <f>IFERROR(__xludf.DUMMYFUNCTION("if(H144=""pays"",vlookup(REGEXEXTRACT(C144, ""🏘️ \w+ \w+ (.*) ✅""),'Country prepositions'!A:B, 2, 0) &amp; "" "" &amp; REGEXEXTRACT(C144, ""🏘️ \w+ \w+ (.*) ✅"") ,  if(H144=""quartier"",vlookup(REGEXEXTRACT(C144, ""🏘️ \w+ \w+ (.*) ✅""),'Quartier prepositions'!A"&amp;":E, 5, 0) ,  if(H144=""region"",vlookup(REGEXEXTRACT(C144, ""🏘️ \w+ \w+ (.*) ✅""),'Region prepositions'!B:F, 5, 0),  REGEXEXTRACT(C144, ""🏘️ \w+ \w+ (.*) ✅""))))"),"dans le Secteur forain est (La Chaux-de-Fonds)")</f>
        <v>dans le Secteur forain est (La Chaux-de-Fonds)</v>
      </c>
      <c r="F144" s="2" t="str">
        <f>IFERROR(__xludf.DUMMYFUNCTION("REGEXEXTRACT(C144, ""🏘️ (\w+) \w+ .* ✅"")"),"Louer")</f>
        <v>Louer</v>
      </c>
      <c r="G144" s="2" t="str">
        <f>IFERROR(__xludf.DUMMYFUNCTION("REGEXEXTRACT(C144, ""🏘️ \w+ (\w+) .* ✅"")"),"appartement")</f>
        <v>appartement</v>
      </c>
      <c r="H144" s="4" t="str">
        <f>IFERROR(__xludf.DUMMYFUNCTION("REGEXEXTRACT(A144, ""/(\w+)-.*?"")"),"quartier")</f>
        <v>quartier</v>
      </c>
      <c r="I144" s="4" t="str">
        <f>IFERROR(__xludf.DUMMYFUNCTION("if(D144=""variant"",  substitute(filter(Templates!E:E, Templates!A:A = F144, Templates!B:B = G144, Templates!C:C = H144), ""{{}}"", E144), B144)"),"🏘  Vous cherchez un appartement à louer dans le Secteur forain est (La Chaux-de-Fonds)? ✅ Les annonces les plus actuelles sont sur ImmoScout24.ch.")</f>
        <v>🏘  Vous cherchez un appartement à louer dans le Secteur forain est (La Chaux-de-Fonds)? ✅ Les annonces les plus actuelles sont sur ImmoScout24.ch.</v>
      </c>
      <c r="J144" s="4" t="s">
        <v>438</v>
      </c>
    </row>
    <row r="145">
      <c r="A145" s="5" t="s">
        <v>439</v>
      </c>
      <c r="B145" s="2" t="s">
        <v>440</v>
      </c>
      <c r="C145" s="4" t="str">
        <f>IFERROR(__xludf.DUMMYFUNCTION("""🏘️ ""&amp;REGEXEXTRACT(B145, ""^(.*): "")&amp;"" ✅ "" &amp;REGEXEXTRACT(B145, ""(Trouvez.*)"")"),"🏘️ Vendre appartement Bolligen ✅ Trouvez le bien immobilier qui correspond idéalement à vos désirs sur ImmoScout24 - La plateforme de l'immobilier en Suisse.")</f>
        <v>🏘️ Vendre appartement Bolligen ✅ Trouvez le bien immobilier qui correspond idéalement à vos désirs sur ImmoScout24 - La plateforme de l'immobilier en Suisse.</v>
      </c>
      <c r="D145" s="4" t="str">
        <f>vlookup(A145, Sheet2!D:E, 2, 0)</f>
        <v>variant</v>
      </c>
      <c r="E145" s="4" t="str">
        <f>IFERROR(__xludf.DUMMYFUNCTION("if(H145=""pays"",vlookup(REGEXEXTRACT(C145, ""🏘️ \w+ \w+ (.*) ✅""),'Country prepositions'!A:B, 2, 0) &amp; "" "" &amp; REGEXEXTRACT(C145, ""🏘️ \w+ \w+ (.*) ✅"") ,  if(H145=""quartier"",vlookup(REGEXEXTRACT(C145, ""🏘️ \w+ \w+ (.*) ✅""),'Quartier prepositions'!A"&amp;":E, 5, 0) ,  if(H145=""region"",vlookup(REGEXEXTRACT(C145, ""🏘️ \w+ \w+ (.*) ✅""),'Region prepositions'!B:F, 5, 0),  REGEXEXTRACT(C145, ""🏘️ \w+ \w+ (.*) ✅""))))"),"Bolligen")</f>
        <v>Bolligen</v>
      </c>
      <c r="F145" s="2" t="str">
        <f>IFERROR(__xludf.DUMMYFUNCTION("REGEXEXTRACT(C145, ""🏘️ (\w+) \w+ .* ✅"")"),"Vendre")</f>
        <v>Vendre</v>
      </c>
      <c r="G145" s="2" t="str">
        <f>IFERROR(__xludf.DUMMYFUNCTION("REGEXEXTRACT(C145, ""🏘️ \w+ (\w+) .* ✅"")"),"appartement")</f>
        <v>appartement</v>
      </c>
      <c r="H145" s="4" t="str">
        <f>IFERROR(__xludf.DUMMYFUNCTION("REGEXEXTRACT(A145, ""/(\w+)-.*?"")"),"lieu")</f>
        <v>lieu</v>
      </c>
      <c r="I145" s="4" t="str">
        <f>IFERROR(__xludf.DUMMYFUNCTION("if(D145=""variant"",  substitute(filter(Templates!E:E, Templates!A:A = F145, Templates!B:B = G145, Templates!C:C = H145), ""{{}}"", E145), B145)"),"🏘  L’appartement de vos rêves se trouve sur ImmoScout24.ch ✅ Découvrez les dernières annonces de vente à Bolligen.")</f>
        <v>🏘  L’appartement de vos rêves se trouve sur ImmoScout24.ch ✅ Découvrez les dernières annonces de vente à Bolligen.</v>
      </c>
      <c r="J145" s="4" t="s">
        <v>441</v>
      </c>
    </row>
    <row r="146">
      <c r="A146" s="5" t="s">
        <v>442</v>
      </c>
      <c r="B146" s="2" t="s">
        <v>443</v>
      </c>
      <c r="C146" s="4" t="str">
        <f>IFERROR(__xludf.DUMMYFUNCTION("""🏘️ ""&amp;REGEXEXTRACT(B146, ""^(.*): "")&amp;"" ✅ "" &amp;REGEXEXTRACT(B146, ""(Trouvez.*)"")"),"🏘️ Louer appartement Bubikon ✅ Trouvez le bien immobilier qui correspond idéalement à vos désirs sur ImmoScout24 - La plateforme de l'immobilier en Suisse.")</f>
        <v>🏘️ Louer appartement Bubikon ✅ Trouvez le bien immobilier qui correspond idéalement à vos désirs sur ImmoScout24 - La plateforme de l'immobilier en Suisse.</v>
      </c>
      <c r="D146" s="4" t="str">
        <f>vlookup(A146, Sheet2!D:E, 2, 0)</f>
        <v>variant</v>
      </c>
      <c r="E146" s="4" t="str">
        <f>IFERROR(__xludf.DUMMYFUNCTION("if(H146=""pays"",vlookup(REGEXEXTRACT(C146, ""🏘️ \w+ \w+ (.*) ✅""),'Country prepositions'!A:B, 2, 0) &amp; "" "" &amp; REGEXEXTRACT(C146, ""🏘️ \w+ \w+ (.*) ✅"") ,  if(H146=""quartier"",vlookup(REGEXEXTRACT(C146, ""🏘️ \w+ \w+ (.*) ✅""),'Quartier prepositions'!A"&amp;":E, 5, 0) ,  if(H146=""region"",vlookup(REGEXEXTRACT(C146, ""🏘️ \w+ \w+ (.*) ✅""),'Region prepositions'!B:F, 5, 0),  REGEXEXTRACT(C146, ""🏘️ \w+ \w+ (.*) ✅""))))"),"Bubikon")</f>
        <v>Bubikon</v>
      </c>
      <c r="F146" s="2" t="str">
        <f>IFERROR(__xludf.DUMMYFUNCTION("REGEXEXTRACT(C146, ""🏘️ (\w+) \w+ .* ✅"")"),"Louer")</f>
        <v>Louer</v>
      </c>
      <c r="G146" s="2" t="str">
        <f>IFERROR(__xludf.DUMMYFUNCTION("REGEXEXTRACT(C146, ""🏘️ \w+ (\w+) .* ✅"")"),"appartement")</f>
        <v>appartement</v>
      </c>
      <c r="H146" s="4" t="str">
        <f>IFERROR(__xludf.DUMMYFUNCTION("REGEXEXTRACT(A146, ""/(\w+)-.*?"")"),"lieu")</f>
        <v>lieu</v>
      </c>
      <c r="I146" s="4" t="str">
        <f>IFERROR(__xludf.DUMMYFUNCTION("if(D146=""variant"",  substitute(filter(Templates!E:E, Templates!A:A = F146, Templates!B:B = G146, Templates!C:C = H146), ""{{}}"", E146), B146)"),"🏘  Vous cherchez un appartement à louer à Bubikon? ✅ Les annonces les plus actuelles sont sur ImmoScout24.ch.")</f>
        <v>🏘  Vous cherchez un appartement à louer à Bubikon? ✅ Les annonces les plus actuelles sont sur ImmoScout24.ch.</v>
      </c>
      <c r="J146" s="4" t="s">
        <v>444</v>
      </c>
    </row>
    <row r="147">
      <c r="A147" s="5" t="s">
        <v>445</v>
      </c>
      <c r="B147" s="2" t="s">
        <v>446</v>
      </c>
      <c r="C147" s="4" t="str">
        <f>IFERROR(__xludf.DUMMYFUNCTION("""🏘️ ""&amp;REGEXEXTRACT(B147, ""^(.*): "")&amp;"" ✅ "" &amp;REGEXEXTRACT(B147, ""(Trouvez.*)"")"),"🏘️ Louer appartement Petit-Lancy ✅ Trouvez le bien immobilier qui correspond idéalement à vos désirs sur ImmoScout24 - La plateforme de l'immobilier en Suisse.")</f>
        <v>🏘️ Louer appartement Petit-Lancy ✅ Trouvez le bien immobilier qui correspond idéalement à vos désirs sur ImmoScout24 - La plateforme de l'immobilier en Suisse.</v>
      </c>
      <c r="D147" s="4" t="str">
        <f>vlookup(A147, Sheet2!D:E, 2, 0)</f>
        <v>variant</v>
      </c>
      <c r="E147" s="4" t="str">
        <f>IFERROR(__xludf.DUMMYFUNCTION("if(H147=""pays"",vlookup(REGEXEXTRACT(C147, ""🏘️ \w+ \w+ (.*) ✅""),'Country prepositions'!A:B, 2, 0) &amp; "" "" &amp; REGEXEXTRACT(C147, ""🏘️ \w+ \w+ (.*) ✅"") ,  if(H147=""quartier"",vlookup(REGEXEXTRACT(C147, ""🏘️ \w+ \w+ (.*) ✅""),'Quartier prepositions'!A"&amp;":E, 5, 0) ,  if(H147=""region"",vlookup(REGEXEXTRACT(C147, ""🏘️ \w+ \w+ (.*) ✅""),'Region prepositions'!B:F, 5, 0),  REGEXEXTRACT(C147, ""🏘️ \w+ \w+ (.*) ✅""))))"),"Petit-Lancy")</f>
        <v>Petit-Lancy</v>
      </c>
      <c r="F147" s="2" t="str">
        <f>IFERROR(__xludf.DUMMYFUNCTION("REGEXEXTRACT(C147, ""🏘️ (\w+) \w+ .* ✅"")"),"Louer")</f>
        <v>Louer</v>
      </c>
      <c r="G147" s="2" t="str">
        <f>IFERROR(__xludf.DUMMYFUNCTION("REGEXEXTRACT(C147, ""🏘️ \w+ (\w+) .* ✅"")"),"appartement")</f>
        <v>appartement</v>
      </c>
      <c r="H147" s="4" t="str">
        <f>IFERROR(__xludf.DUMMYFUNCTION("REGEXEXTRACT(A147, ""/(\w+)-.*?"")"),"lieu")</f>
        <v>lieu</v>
      </c>
      <c r="I147" s="8" t="str">
        <f>IFERROR(__xludf.DUMMYFUNCTION("if(D147=""variant"",  substitute(filter(Templates!E:E, Templates!A:A = F147, Templates!B:B = G147, Templates!C:C = H147), ""{{}}"", E147), B147)"),"🏘  Vous cherchez un appartement à louer à Petit-Lancy? ✅ Les annonces les plus actuelles sont sur ImmoScout24.ch.")</f>
        <v>🏘  Vous cherchez un appartement à louer à Petit-Lancy? ✅ Les annonces les plus actuelles sont sur ImmoScout24.ch.</v>
      </c>
      <c r="J147" s="2" t="s">
        <v>447</v>
      </c>
    </row>
    <row r="148">
      <c r="A148" s="5" t="s">
        <v>448</v>
      </c>
      <c r="B148" s="2" t="s">
        <v>449</v>
      </c>
      <c r="C148" s="4" t="str">
        <f>IFERROR(__xludf.DUMMYFUNCTION("""🏘️ ""&amp;REGEXEXTRACT(B148, ""^(.*): "")&amp;"" ✅ "" &amp;REGEXEXTRACT(B148, ""(Trouvez.*)"")"),"🏘️ Louer appartement Rüschegg Heubach ✅ Trouvez le bien immobilier qui correspond idéalement à vos désirs sur ImmoScout24 - La plateforme de l'immobilier en Suisse.")</f>
        <v>🏘️ Louer appartement Rüschegg Heubach ✅ Trouvez le bien immobilier qui correspond idéalement à vos désirs sur ImmoScout24 - La plateforme de l'immobilier en Suisse.</v>
      </c>
      <c r="D148" s="4" t="str">
        <f>vlookup(A148, Sheet2!D:E, 2, 0)</f>
        <v>variant</v>
      </c>
      <c r="E148" s="4" t="str">
        <f>IFERROR(__xludf.DUMMYFUNCTION("if(H148=""pays"",vlookup(REGEXEXTRACT(C148, ""🏘️ \w+ \w+ (.*) ✅""),'Country prepositions'!A:B, 2, 0) &amp; "" "" &amp; REGEXEXTRACT(C148, ""🏘️ \w+ \w+ (.*) ✅"") ,  if(H148=""quartier"",vlookup(REGEXEXTRACT(C148, ""🏘️ \w+ \w+ (.*) ✅""),'Quartier prepositions'!A"&amp;":E, 5, 0) ,  if(H148=""region"",vlookup(REGEXEXTRACT(C148, ""🏘️ \w+ \w+ (.*) ✅""),'Region prepositions'!B:F, 5, 0),  REGEXEXTRACT(C148, ""🏘️ \w+ \w+ (.*) ✅""))))"),"Rüschegg Heubach")</f>
        <v>Rüschegg Heubach</v>
      </c>
      <c r="F148" s="2" t="str">
        <f>IFERROR(__xludf.DUMMYFUNCTION("REGEXEXTRACT(C148, ""🏘️ (\w+) \w+ .* ✅"")"),"Louer")</f>
        <v>Louer</v>
      </c>
      <c r="G148" s="2" t="str">
        <f>IFERROR(__xludf.DUMMYFUNCTION("REGEXEXTRACT(C148, ""🏘️ \w+ (\w+) .* ✅"")"),"appartement")</f>
        <v>appartement</v>
      </c>
      <c r="H148" s="4" t="str">
        <f>IFERROR(__xludf.DUMMYFUNCTION("REGEXEXTRACT(A148, ""/(\w+)-.*?"")"),"lieu")</f>
        <v>lieu</v>
      </c>
      <c r="I148" s="4" t="str">
        <f>IFERROR(__xludf.DUMMYFUNCTION("if(D148=""variant"",  substitute(filter(Templates!E:E, Templates!A:A = F148, Templates!B:B = G148, Templates!C:C = H148), ""{{}}"", E148), B148)"),"🏘  Vous cherchez un appartement à louer à Rüschegg Heubach? ✅ Les annonces les plus actuelles sont sur ImmoScout24.ch.")</f>
        <v>🏘  Vous cherchez un appartement à louer à Rüschegg Heubach? ✅ Les annonces les plus actuelles sont sur ImmoScout24.ch.</v>
      </c>
      <c r="J148" s="4" t="s">
        <v>450</v>
      </c>
    </row>
    <row r="149">
      <c r="A149" s="5" t="s">
        <v>451</v>
      </c>
      <c r="B149" s="2" t="s">
        <v>452</v>
      </c>
      <c r="C149" s="4" t="str">
        <f>IFERROR(__xludf.DUMMYFUNCTION("""🏘️ ""&amp;REGEXEXTRACT(B149, ""^(.*): "")&amp;"" ✅ "" &amp;REGEXEXTRACT(B149, ""(Trouvez.*)"")"),"🏘️ Louer appartement Les Genevez JU ✅ Trouvez le bien immobilier qui correspond idéalement à vos désirs sur ImmoScout24 - La plateforme de l'immobilier en Suisse.")</f>
        <v>🏘️ Louer appartement Les Genevez JU ✅ Trouvez le bien immobilier qui correspond idéalement à vos désirs sur ImmoScout24 - La plateforme de l'immobilier en Suisse.</v>
      </c>
      <c r="D149" s="4" t="str">
        <f>vlookup(A149, Sheet2!D:E, 2, 0)</f>
        <v>variant</v>
      </c>
      <c r="E149" s="4" t="str">
        <f>IFERROR(__xludf.DUMMYFUNCTION("if(H149=""pays"",vlookup(REGEXEXTRACT(C149, ""🏘️ \w+ \w+ (.*) ✅""),'Country prepositions'!A:B, 2, 0) &amp; "" "" &amp; REGEXEXTRACT(C149, ""🏘️ \w+ \w+ (.*) ✅"") ,  if(H149=""quartier"",vlookup(REGEXEXTRACT(C149, ""🏘️ \w+ \w+ (.*) ✅""),'Quartier prepositions'!A"&amp;":E, 5, 0) ,  if(H149=""region"",vlookup(REGEXEXTRACT(C149, ""🏘️ \w+ \w+ (.*) ✅""),'Region prepositions'!B:F, 5, 0),  REGEXEXTRACT(C149, ""🏘️ \w+ \w+ (.*) ✅""))))"),"Les Genevez JU")</f>
        <v>Les Genevez JU</v>
      </c>
      <c r="F149" s="2" t="str">
        <f>IFERROR(__xludf.DUMMYFUNCTION("REGEXEXTRACT(C149, ""🏘️ (\w+) \w+ .* ✅"")"),"Louer")</f>
        <v>Louer</v>
      </c>
      <c r="G149" s="2" t="str">
        <f>IFERROR(__xludf.DUMMYFUNCTION("REGEXEXTRACT(C149, ""🏘️ \w+ (\w+) .* ✅"")"),"appartement")</f>
        <v>appartement</v>
      </c>
      <c r="H149" s="4" t="str">
        <f>IFERROR(__xludf.DUMMYFUNCTION("REGEXEXTRACT(A149, ""/(\w+)-.*?"")"),"lieu")</f>
        <v>lieu</v>
      </c>
      <c r="I149" s="8" t="str">
        <f>IFERROR(__xludf.DUMMYFUNCTION("if(D149=""variant"",  substitute(filter(Templates!E:E, Templates!A:A = F149, Templates!B:B = G149, Templates!C:C = H149), ""{{}}"", E149), B149)"),"🏘  Vous cherchez un appartement à louer à Les Genevez JU? ✅ Les annonces les plus actuelles sont sur ImmoScout24.ch.")</f>
        <v>🏘  Vous cherchez un appartement à louer à Les Genevez JU? ✅ Les annonces les plus actuelles sont sur ImmoScout24.ch.</v>
      </c>
      <c r="J149" s="2" t="s">
        <v>453</v>
      </c>
    </row>
    <row r="150">
      <c r="A150" s="5" t="s">
        <v>454</v>
      </c>
      <c r="B150" s="2" t="s">
        <v>455</v>
      </c>
      <c r="C150" s="4" t="str">
        <f>IFERROR(__xludf.DUMMYFUNCTION("""🏘️ ""&amp;REGEXEXTRACT(B150, ""^(.*): "")&amp;"" ✅ "" &amp;REGEXEXTRACT(B150, ""(Trouvez.*)"")"),"🏘️ Vendre appartement Pérolles (Fribourg) ✅ Trouvez le bien immobilier qui correspond idéalement à vos désirs sur ImmoScout24 - La plateforme de l'immobilier en Suisse.")</f>
        <v>🏘️ Vendre appartement Pérolles (Fribourg) ✅ Trouvez le bien immobilier qui correspond idéalement à vos désirs sur ImmoScout24 - La plateforme de l'immobilier en Suisse.</v>
      </c>
      <c r="D150" s="4" t="str">
        <f>vlookup(A150, Sheet2!D:E, 2, 0)</f>
        <v>variant</v>
      </c>
      <c r="E150" s="4" t="str">
        <f>IFERROR(__xludf.DUMMYFUNCTION("if(H150=""pays"",vlookup(REGEXEXTRACT(C150, ""🏘️ \w+ \w+ (.*) ✅""),'Country prepositions'!A:B, 2, 0) &amp; "" "" &amp; REGEXEXTRACT(C150, ""🏘️ \w+ \w+ (.*) ✅"") ,  if(H150=""quartier"",vlookup(REGEXEXTRACT(C150, ""🏘️ \w+ \w+ (.*) ✅""),'Quartier prepositions'!A"&amp;":E, 5, 0) ,  if(H150=""region"",vlookup(REGEXEXTRACT(C150, ""🏘️ \w+ \w+ (.*) ✅""),'Region prepositions'!B:F, 5, 0),  REGEXEXTRACT(C150, ""🏘️ \w+ \w+ (.*) ✅""))))"),"dans le quartier de Pérolles (Fribourg)")</f>
        <v>dans le quartier de Pérolles (Fribourg)</v>
      </c>
      <c r="F150" s="2" t="str">
        <f>IFERROR(__xludf.DUMMYFUNCTION("REGEXEXTRACT(C150, ""🏘️ (\w+) \w+ .* ✅"")"),"Vendre")</f>
        <v>Vendre</v>
      </c>
      <c r="G150" s="2" t="str">
        <f>IFERROR(__xludf.DUMMYFUNCTION("REGEXEXTRACT(C150, ""🏘️ \w+ (\w+) .* ✅"")"),"appartement")</f>
        <v>appartement</v>
      </c>
      <c r="H150" s="4" t="str">
        <f>IFERROR(__xludf.DUMMYFUNCTION("REGEXEXTRACT(A150, ""/(\w+)-.*?"")"),"quartier")</f>
        <v>quartier</v>
      </c>
      <c r="I150" s="4" t="str">
        <f>IFERROR(__xludf.DUMMYFUNCTION("if(D150=""variant"",  substitute(filter(Templates!E:E, Templates!A:A = F150, Templates!B:B = G150, Templates!C:C = H150), ""{{}}"", E150), B150)"),"🏘  L’appartement de vos rêves se trouve sur ImmoScout24.ch ✅ Découvrez les dernières annonces de vente dans le quartier de Pérolles (Fribourg).")</f>
        <v>🏘  L’appartement de vos rêves se trouve sur ImmoScout24.ch ✅ Découvrez les dernières annonces de vente dans le quartier de Pérolles (Fribourg).</v>
      </c>
      <c r="J150" s="4" t="s">
        <v>456</v>
      </c>
    </row>
    <row r="151">
      <c r="A151" s="5" t="s">
        <v>457</v>
      </c>
      <c r="B151" s="2" t="s">
        <v>458</v>
      </c>
      <c r="C151" s="4" t="str">
        <f>IFERROR(__xludf.DUMMYFUNCTION("""🏘️ ""&amp;REGEXEXTRACT(B151, ""^(.*): "")&amp;"" ✅ "" &amp;REGEXEXTRACT(B151, ""(Trouvez.*)"")"),"🏘️ Vendre appartement Champlan (Grimisuat) ✅ Trouvez le bien immobilier qui correspond idéalement à vos désirs sur ImmoScout24 - La plateforme de l'immobilier en Suisse.")</f>
        <v>🏘️ Vendre appartement Champlan (Grimisuat) ✅ Trouvez le bien immobilier qui correspond idéalement à vos désirs sur ImmoScout24 - La plateforme de l'immobilier en Suisse.</v>
      </c>
      <c r="D151" s="4" t="str">
        <f>vlookup(A151, Sheet2!D:E, 2, 0)</f>
        <v>variant</v>
      </c>
      <c r="E151" s="4" t="str">
        <f>IFERROR(__xludf.DUMMYFUNCTION("if(H151=""pays"",vlookup(REGEXEXTRACT(C151, ""🏘️ \w+ \w+ (.*) ✅""),'Country prepositions'!A:B, 2, 0) &amp; "" "" &amp; REGEXEXTRACT(C151, ""🏘️ \w+ \w+ (.*) ✅"") ,  if(H151=""quartier"",vlookup(REGEXEXTRACT(C151, ""🏘️ \w+ \w+ (.*) ✅""),'Quartier prepositions'!A"&amp;":E, 5, 0) ,  if(H151=""region"",vlookup(REGEXEXTRACT(C151, ""🏘️ \w+ \w+ (.*) ✅""),'Region prepositions'!B:F, 5, 0),  REGEXEXTRACT(C151, ""🏘️ \w+ \w+ (.*) ✅""))))"),"Champlan (Grimisuat)")</f>
        <v>Champlan (Grimisuat)</v>
      </c>
      <c r="F151" s="2" t="str">
        <f>IFERROR(__xludf.DUMMYFUNCTION("REGEXEXTRACT(C151, ""🏘️ (\w+) \w+ .* ✅"")"),"Vendre")</f>
        <v>Vendre</v>
      </c>
      <c r="G151" s="2" t="str">
        <f>IFERROR(__xludf.DUMMYFUNCTION("REGEXEXTRACT(C151, ""🏘️ \w+ (\w+) .* ✅"")"),"appartement")</f>
        <v>appartement</v>
      </c>
      <c r="H151" s="4" t="str">
        <f>IFERROR(__xludf.DUMMYFUNCTION("REGEXEXTRACT(A151, ""/(\w+)-.*?"")"),"lieu")</f>
        <v>lieu</v>
      </c>
      <c r="I151" s="4" t="str">
        <f>IFERROR(__xludf.DUMMYFUNCTION("if(D151=""variant"",  substitute(filter(Templates!E:E, Templates!A:A = F151, Templates!B:B = G151, Templates!C:C = H151), ""{{}}"", E151), B151)"),"🏘  L’appartement de vos rêves se trouve sur ImmoScout24.ch ✅ Découvrez les dernières annonces de vente à Champlan (Grimisuat).")</f>
        <v>🏘  L’appartement de vos rêves se trouve sur ImmoScout24.ch ✅ Découvrez les dernières annonces de vente à Champlan (Grimisuat).</v>
      </c>
      <c r="J151" s="4" t="s">
        <v>459</v>
      </c>
    </row>
    <row r="152">
      <c r="A152" s="5" t="s">
        <v>460</v>
      </c>
      <c r="B152" s="2" t="s">
        <v>461</v>
      </c>
      <c r="C152" s="4" t="str">
        <f>IFERROR(__xludf.DUMMYFUNCTION("""🏘️ ""&amp;REGEXEXTRACT(B152, ""^(.*): "")&amp;"" ✅ "" &amp;REGEXEXTRACT(B152, ""(Trouvez.*)"")"),"🏘️ Louer appartement Lützelflüh-Goldbach ✅ Trouvez le bien immobilier qui correspond idéalement à vos désirs sur ImmoScout24 - La plateforme de l'immobilier en Suisse.")</f>
        <v>🏘️ Louer appartement Lützelflüh-Goldbach ✅ Trouvez le bien immobilier qui correspond idéalement à vos désirs sur ImmoScout24 - La plateforme de l'immobilier en Suisse.</v>
      </c>
      <c r="D152" s="4" t="str">
        <f>vlookup(A152, Sheet2!D:E, 2, 0)</f>
        <v>variant</v>
      </c>
      <c r="E152" s="4" t="str">
        <f>IFERROR(__xludf.DUMMYFUNCTION("if(H152=""pays"",vlookup(REGEXEXTRACT(C152, ""🏘️ \w+ \w+ (.*) ✅""),'Country prepositions'!A:B, 2, 0) &amp; "" "" &amp; REGEXEXTRACT(C152, ""🏘️ \w+ \w+ (.*) ✅"") ,  if(H152=""quartier"",vlookup(REGEXEXTRACT(C152, ""🏘️ \w+ \w+ (.*) ✅""),'Quartier prepositions'!A"&amp;":E, 5, 0) ,  if(H152=""region"",vlookup(REGEXEXTRACT(C152, ""🏘️ \w+ \w+ (.*) ✅""),'Region prepositions'!B:F, 5, 0),  REGEXEXTRACT(C152, ""🏘️ \w+ \w+ (.*) ✅""))))"),"Lützelflüh-Goldbach")</f>
        <v>Lützelflüh-Goldbach</v>
      </c>
      <c r="F152" s="2" t="str">
        <f>IFERROR(__xludf.DUMMYFUNCTION("REGEXEXTRACT(C152, ""🏘️ (\w+) \w+ .* ✅"")"),"Louer")</f>
        <v>Louer</v>
      </c>
      <c r="G152" s="2" t="str">
        <f>IFERROR(__xludf.DUMMYFUNCTION("REGEXEXTRACT(C152, ""🏘️ \w+ (\w+) .* ✅"")"),"appartement")</f>
        <v>appartement</v>
      </c>
      <c r="H152" s="4" t="str">
        <f>IFERROR(__xludf.DUMMYFUNCTION("REGEXEXTRACT(A152, ""/(\w+)-.*?"")"),"lieu")</f>
        <v>lieu</v>
      </c>
      <c r="I152" s="4" t="str">
        <f>IFERROR(__xludf.DUMMYFUNCTION("if(D152=""variant"",  substitute(filter(Templates!E:E, Templates!A:A = F152, Templates!B:B = G152, Templates!C:C = H152), ""{{}}"", E152), B152)"),"🏘  Vous cherchez un appartement à louer à Lützelflüh-Goldbach? ✅ Les annonces les plus actuelles sont sur ImmoScout24.ch.")</f>
        <v>🏘  Vous cherchez un appartement à louer à Lützelflüh-Goldbach? ✅ Les annonces les plus actuelles sont sur ImmoScout24.ch.</v>
      </c>
      <c r="J152" s="4" t="s">
        <v>462</v>
      </c>
    </row>
    <row r="153">
      <c r="A153" s="5" t="s">
        <v>463</v>
      </c>
      <c r="B153" s="2" t="s">
        <v>464</v>
      </c>
      <c r="C153" s="4" t="str">
        <f>IFERROR(__xludf.DUMMYFUNCTION("""🏘️ ""&amp;REGEXEXTRACT(B153, ""^(.*): "")&amp;"" ✅ "" &amp;REGEXEXTRACT(B153, ""(Trouvez.*)"")"),"🏘️ Vendre appartement Corgémont ✅ Trouvez le bien immobilier qui correspond idéalement à vos désirs sur ImmoScout24 - La plateforme de l'immobilier en Suisse.")</f>
        <v>🏘️ Vendre appartement Corgémont ✅ Trouvez le bien immobilier qui correspond idéalement à vos désirs sur ImmoScout24 - La plateforme de l'immobilier en Suisse.</v>
      </c>
      <c r="D153" s="4" t="str">
        <f>vlookup(A153, Sheet2!D:E, 2, 0)</f>
        <v>variant</v>
      </c>
      <c r="E153" s="4" t="str">
        <f>IFERROR(__xludf.DUMMYFUNCTION("if(H153=""pays"",vlookup(REGEXEXTRACT(C153, ""🏘️ \w+ \w+ (.*) ✅""),'Country prepositions'!A:B, 2, 0) &amp; "" "" &amp; REGEXEXTRACT(C153, ""🏘️ \w+ \w+ (.*) ✅"") ,  if(H153=""quartier"",vlookup(REGEXEXTRACT(C153, ""🏘️ \w+ \w+ (.*) ✅""),'Quartier prepositions'!A"&amp;":E, 5, 0) ,  if(H153=""region"",vlookup(REGEXEXTRACT(C153, ""🏘️ \w+ \w+ (.*) ✅""),'Region prepositions'!B:F, 5, 0),  REGEXEXTRACT(C153, ""🏘️ \w+ \w+ (.*) ✅""))))"),"Corgémont")</f>
        <v>Corgémont</v>
      </c>
      <c r="F153" s="2" t="str">
        <f>IFERROR(__xludf.DUMMYFUNCTION("REGEXEXTRACT(C153, ""🏘️ (\w+) \w+ .* ✅"")"),"Vendre")</f>
        <v>Vendre</v>
      </c>
      <c r="G153" s="2" t="str">
        <f>IFERROR(__xludf.DUMMYFUNCTION("REGEXEXTRACT(C153, ""🏘️ \w+ (\w+) .* ✅"")"),"appartement")</f>
        <v>appartement</v>
      </c>
      <c r="H153" s="4" t="str">
        <f>IFERROR(__xludf.DUMMYFUNCTION("REGEXEXTRACT(A153, ""/(\w+)-.*?"")"),"lieu")</f>
        <v>lieu</v>
      </c>
      <c r="I153" s="4" t="str">
        <f>IFERROR(__xludf.DUMMYFUNCTION("if(D153=""variant"",  substitute(filter(Templates!E:E, Templates!A:A = F153, Templates!B:B = G153, Templates!C:C = H153), ""{{}}"", E153), B153)"),"🏘  L’appartement de vos rêves se trouve sur ImmoScout24.ch ✅ Découvrez les dernières annonces de vente à Corgémont.")</f>
        <v>🏘  L’appartement de vos rêves se trouve sur ImmoScout24.ch ✅ Découvrez les dernières annonces de vente à Corgémont.</v>
      </c>
      <c r="J153" s="4" t="s">
        <v>465</v>
      </c>
    </row>
    <row r="154">
      <c r="A154" s="5" t="s">
        <v>466</v>
      </c>
      <c r="B154" s="2" t="s">
        <v>467</v>
      </c>
      <c r="C154" s="4" t="str">
        <f>IFERROR(__xludf.DUMMYFUNCTION("""🏘️ ""&amp;REGEXEXTRACT(B154, ""^(.*): "")&amp;"" ✅ "" &amp;REGEXEXTRACT(B154, ""(Trouvez.*)"")"),"🏘️ Louer appartement Sent ✅ Trouvez le bien immobilier qui correspond idéalement à vos désirs sur ImmoScout24 - La plateforme de l'immobilier en Suisse.")</f>
        <v>🏘️ Louer appartement Sent ✅ Trouvez le bien immobilier qui correspond idéalement à vos désirs sur ImmoScout24 - La plateforme de l'immobilier en Suisse.</v>
      </c>
      <c r="D154" s="4" t="str">
        <f>vlookup(A154, Sheet2!D:E, 2, 0)</f>
        <v>variant</v>
      </c>
      <c r="E154" s="4" t="str">
        <f>IFERROR(__xludf.DUMMYFUNCTION("if(H154=""pays"",vlookup(REGEXEXTRACT(C154, ""🏘️ \w+ \w+ (.*) ✅""),'Country prepositions'!A:B, 2, 0) &amp; "" "" &amp; REGEXEXTRACT(C154, ""🏘️ \w+ \w+ (.*) ✅"") ,  if(H154=""quartier"",vlookup(REGEXEXTRACT(C154, ""🏘️ \w+ \w+ (.*) ✅""),'Quartier prepositions'!A"&amp;":E, 5, 0) ,  if(H154=""region"",vlookup(REGEXEXTRACT(C154, ""🏘️ \w+ \w+ (.*) ✅""),'Region prepositions'!B:F, 5, 0),  REGEXEXTRACT(C154, ""🏘️ \w+ \w+ (.*) ✅""))))"),"Sent")</f>
        <v>Sent</v>
      </c>
      <c r="F154" s="2" t="str">
        <f>IFERROR(__xludf.DUMMYFUNCTION("REGEXEXTRACT(C154, ""🏘️ (\w+) \w+ .* ✅"")"),"Louer")</f>
        <v>Louer</v>
      </c>
      <c r="G154" s="2" t="str">
        <f>IFERROR(__xludf.DUMMYFUNCTION("REGEXEXTRACT(C154, ""🏘️ \w+ (\w+) .* ✅"")"),"appartement")</f>
        <v>appartement</v>
      </c>
      <c r="H154" s="4" t="str">
        <f>IFERROR(__xludf.DUMMYFUNCTION("REGEXEXTRACT(A154, ""/(\w+)-.*?"")"),"lieu")</f>
        <v>lieu</v>
      </c>
      <c r="I154" s="4" t="str">
        <f>IFERROR(__xludf.DUMMYFUNCTION("if(D154=""variant"",  substitute(filter(Templates!E:E, Templates!A:A = F154, Templates!B:B = G154, Templates!C:C = H154), ""{{}}"", E154), B154)"),"🏘  Vous cherchez un appartement à louer à Sent? ✅ Les annonces les plus actuelles sont sur ImmoScout24.ch.")</f>
        <v>🏘  Vous cherchez un appartement à louer à Sent? ✅ Les annonces les plus actuelles sont sur ImmoScout24.ch.</v>
      </c>
      <c r="J154" s="4" t="s">
        <v>468</v>
      </c>
    </row>
    <row r="155">
      <c r="A155" s="5" t="s">
        <v>469</v>
      </c>
      <c r="B155" s="2" t="s">
        <v>470</v>
      </c>
      <c r="C155" s="4" t="str">
        <f>IFERROR(__xludf.DUMMYFUNCTION("""🏘️ ""&amp;REGEXEXTRACT(B155, ""^(.*): "")&amp;"" ✅ "" &amp;REGEXEXTRACT(B155, ""(Trouvez.*)"")"),"🏘️ Vendre maison Cimadera ✅ Trouvez le bien immobilier qui correspond idéalement à vos désirs sur ImmoScout24 - La plateforme de l'immobilier en Suisse.")</f>
        <v>🏘️ Vendre maison Cimadera ✅ Trouvez le bien immobilier qui correspond idéalement à vos désirs sur ImmoScout24 - La plateforme de l'immobilier en Suisse.</v>
      </c>
      <c r="D155" s="4" t="str">
        <f>vlookup(A155, Sheet2!D:E, 2, 0)</f>
        <v>variant</v>
      </c>
      <c r="E155" s="4" t="str">
        <f>IFERROR(__xludf.DUMMYFUNCTION("if(H155=""pays"",vlookup(REGEXEXTRACT(C155, ""🏘️ \w+ \w+ (.*) ✅""),'Country prepositions'!A:B, 2, 0) &amp; "" "" &amp; REGEXEXTRACT(C155, ""🏘️ \w+ \w+ (.*) ✅"") ,  if(H155=""quartier"",vlookup(REGEXEXTRACT(C155, ""🏘️ \w+ \w+ (.*) ✅""),'Quartier prepositions'!A"&amp;":E, 5, 0) ,  if(H155=""region"",vlookup(REGEXEXTRACT(C155, ""🏘️ \w+ \w+ (.*) ✅""),'Region prepositions'!B:F, 5, 0),  REGEXEXTRACT(C155, ""🏘️ \w+ \w+ (.*) ✅""))))"),"Cimadera")</f>
        <v>Cimadera</v>
      </c>
      <c r="F155" s="2" t="str">
        <f>IFERROR(__xludf.DUMMYFUNCTION("REGEXEXTRACT(C155, ""🏘️ (\w+) \w+ .* ✅"")"),"Vendre")</f>
        <v>Vendre</v>
      </c>
      <c r="G155" s="2" t="str">
        <f>IFERROR(__xludf.DUMMYFUNCTION("REGEXEXTRACT(C155, ""🏘️ \w+ (\w+) .* ✅"")"),"maison")</f>
        <v>maison</v>
      </c>
      <c r="H155" s="4" t="str">
        <f>IFERROR(__xludf.DUMMYFUNCTION("REGEXEXTRACT(A155, ""/(\w+)-.*?"")"),"lieu")</f>
        <v>lieu</v>
      </c>
      <c r="I155" s="4" t="str">
        <f>IFERROR(__xludf.DUMMYFUNCTION("if(D155=""variant"",  substitute(filter(Templates!E:E, Templates!A:A = F155, Templates!B:B = G155, Templates!C:C = H155), ""{{}}"", E155), B155)"),"🏘  Vous souhaitez acheter une maison à Cimadera? ✅ Jetez un œil aux dernières offres sur ImmoScout24.ch.")</f>
        <v>🏘  Vous souhaitez acheter une maison à Cimadera? ✅ Jetez un œil aux dernières offres sur ImmoScout24.ch.</v>
      </c>
      <c r="J155" s="4" t="s">
        <v>471</v>
      </c>
    </row>
    <row r="156">
      <c r="A156" s="5" t="s">
        <v>472</v>
      </c>
      <c r="B156" s="2" t="s">
        <v>473</v>
      </c>
      <c r="C156" s="4" t="str">
        <f>IFERROR(__xludf.DUMMYFUNCTION("""🏘️ ""&amp;REGEXEXTRACT(B156, ""^(.*): "")&amp;"" ✅ "" &amp;REGEXEXTRACT(B156, ""(Trouvez.*)"")"),"🏘️ Vendre maison Châtillon FR ✅ Trouvez le bien immobilier qui correspond idéalement à vos désirs sur ImmoScout24 - La plateforme de l'immobilier en Suisse.")</f>
        <v>🏘️ Vendre maison Châtillon FR ✅ Trouvez le bien immobilier qui correspond idéalement à vos désirs sur ImmoScout24 - La plateforme de l'immobilier en Suisse.</v>
      </c>
      <c r="D156" s="4" t="str">
        <f>vlookup(A156, Sheet2!D:E, 2, 0)</f>
        <v>variant</v>
      </c>
      <c r="E156" s="4" t="str">
        <f>IFERROR(__xludf.DUMMYFUNCTION("if(H156=""pays"",vlookup(REGEXEXTRACT(C156, ""🏘️ \w+ \w+ (.*) ✅""),'Country prepositions'!A:B, 2, 0) &amp; "" "" &amp; REGEXEXTRACT(C156, ""🏘️ \w+ \w+ (.*) ✅"") ,  if(H156=""quartier"",vlookup(REGEXEXTRACT(C156, ""🏘️ \w+ \w+ (.*) ✅""),'Quartier prepositions'!A"&amp;":E, 5, 0) ,  if(H156=""region"",vlookup(REGEXEXTRACT(C156, ""🏘️ \w+ \w+ (.*) ✅""),'Region prepositions'!B:F, 5, 0),  REGEXEXTRACT(C156, ""🏘️ \w+ \w+ (.*) ✅""))))"),"Châtillon FR")</f>
        <v>Châtillon FR</v>
      </c>
      <c r="F156" s="2" t="str">
        <f>IFERROR(__xludf.DUMMYFUNCTION("REGEXEXTRACT(C156, ""🏘️ (\w+) \w+ .* ✅"")"),"Vendre")</f>
        <v>Vendre</v>
      </c>
      <c r="G156" s="2" t="str">
        <f>IFERROR(__xludf.DUMMYFUNCTION("REGEXEXTRACT(C156, ""🏘️ \w+ (\w+) .* ✅"")"),"maison")</f>
        <v>maison</v>
      </c>
      <c r="H156" s="4" t="str">
        <f>IFERROR(__xludf.DUMMYFUNCTION("REGEXEXTRACT(A156, ""/(\w+)-.*?"")"),"lieu")</f>
        <v>lieu</v>
      </c>
      <c r="I156" s="4" t="str">
        <f>IFERROR(__xludf.DUMMYFUNCTION("if(D156=""variant"",  substitute(filter(Templates!E:E, Templates!A:A = F156, Templates!B:B = G156, Templates!C:C = H156), ""{{}}"", E156), B156)"),"🏘  Vous souhaitez acheter une maison à Châtillon FR? ✅ Jetez un œil aux dernières offres sur ImmoScout24.ch.")</f>
        <v>🏘  Vous souhaitez acheter une maison à Châtillon FR? ✅ Jetez un œil aux dernières offres sur ImmoScout24.ch.</v>
      </c>
      <c r="J156" s="4" t="s">
        <v>474</v>
      </c>
    </row>
    <row r="157">
      <c r="A157" s="5" t="s">
        <v>475</v>
      </c>
      <c r="B157" s="2" t="s">
        <v>476</v>
      </c>
      <c r="C157" s="4" t="str">
        <f>IFERROR(__xludf.DUMMYFUNCTION("""🏘️ ""&amp;REGEXEXTRACT(B157, ""^(.*): "")&amp;"" ✅ "" &amp;REGEXEXTRACT(B157, ""(Trouvez.*)"")"),"🏘️ Louer appartement Treiten ✅ Trouvez le bien immobilier qui correspond idéalement à vos désirs sur ImmoScout24 - La plateforme de l'immobilier en Suisse.")</f>
        <v>🏘️ Louer appartement Treiten ✅ Trouvez le bien immobilier qui correspond idéalement à vos désirs sur ImmoScout24 - La plateforme de l'immobilier en Suisse.</v>
      </c>
      <c r="D157" s="4" t="str">
        <f>vlookup(A157, Sheet2!D:E, 2, 0)</f>
        <v>variant</v>
      </c>
      <c r="E157" s="4" t="str">
        <f>IFERROR(__xludf.DUMMYFUNCTION("if(H157=""pays"",vlookup(REGEXEXTRACT(C157, ""🏘️ \w+ \w+ (.*) ✅""),'Country prepositions'!A:B, 2, 0) &amp; "" "" &amp; REGEXEXTRACT(C157, ""🏘️ \w+ \w+ (.*) ✅"") ,  if(H157=""quartier"",vlookup(REGEXEXTRACT(C157, ""🏘️ \w+ \w+ (.*) ✅""),'Quartier prepositions'!A"&amp;":E, 5, 0) ,  if(H157=""region"",vlookup(REGEXEXTRACT(C157, ""🏘️ \w+ \w+ (.*) ✅""),'Region prepositions'!B:F, 5, 0),  REGEXEXTRACT(C157, ""🏘️ \w+ \w+ (.*) ✅""))))"),"Treiten")</f>
        <v>Treiten</v>
      </c>
      <c r="F157" s="2" t="str">
        <f>IFERROR(__xludf.DUMMYFUNCTION("REGEXEXTRACT(C157, ""🏘️ (\w+) \w+ .* ✅"")"),"Louer")</f>
        <v>Louer</v>
      </c>
      <c r="G157" s="2" t="str">
        <f>IFERROR(__xludf.DUMMYFUNCTION("REGEXEXTRACT(C157, ""🏘️ \w+ (\w+) .* ✅"")"),"appartement")</f>
        <v>appartement</v>
      </c>
      <c r="H157" s="4" t="str">
        <f>IFERROR(__xludf.DUMMYFUNCTION("REGEXEXTRACT(A157, ""/(\w+)-.*?"")"),"lieu")</f>
        <v>lieu</v>
      </c>
      <c r="I157" s="4" t="str">
        <f>IFERROR(__xludf.DUMMYFUNCTION("if(D157=""variant"",  substitute(filter(Templates!E:E, Templates!A:A = F157, Templates!B:B = G157, Templates!C:C = H157), ""{{}}"", E157), B157)"),"🏘  Vous cherchez un appartement à louer à Treiten? ✅ Les annonces les plus actuelles sont sur ImmoScout24.ch.")</f>
        <v>🏘  Vous cherchez un appartement à louer à Treiten? ✅ Les annonces les plus actuelles sont sur ImmoScout24.ch.</v>
      </c>
      <c r="J157" s="4" t="s">
        <v>477</v>
      </c>
    </row>
    <row r="158">
      <c r="A158" s="5" t="s">
        <v>478</v>
      </c>
      <c r="B158" s="2" t="s">
        <v>479</v>
      </c>
      <c r="C158" s="4" t="str">
        <f>IFERROR(__xludf.DUMMYFUNCTION("""🏘️ ""&amp;REGEXEXTRACT(B158, ""^(.*): "")&amp;"" ✅ "" &amp;REGEXEXTRACT(B158, ""(Trouvez.*)"")"),"🏘️ Louer appartement Niederwangen (Köniz) ✅ Trouvez le bien immobilier qui correspond idéalement à vos désirs sur ImmoScout24 - La plateforme de l'immobilier en Suisse.")</f>
        <v>🏘️ Louer appartement Niederwangen (Köniz) ✅ Trouvez le bien immobilier qui correspond idéalement à vos désirs sur ImmoScout24 - La plateforme de l'immobilier en Suisse.</v>
      </c>
      <c r="D158" s="4" t="str">
        <f>vlookup(A158, Sheet2!D:E, 2, 0)</f>
        <v>variant</v>
      </c>
      <c r="E158" s="4" t="str">
        <f>IFERROR(__xludf.DUMMYFUNCTION("if(H158=""pays"",vlookup(REGEXEXTRACT(C158, ""🏘️ \w+ \w+ (.*) ✅""),'Country prepositions'!A:B, 2, 0) &amp; "" "" &amp; REGEXEXTRACT(C158, ""🏘️ \w+ \w+ (.*) ✅"") ,  if(H158=""quartier"",vlookup(REGEXEXTRACT(C158, ""🏘️ \w+ \w+ (.*) ✅""),'Quartier prepositions'!A"&amp;":E, 5, 0) ,  if(H158=""region"",vlookup(REGEXEXTRACT(C158, ""🏘️ \w+ \w+ (.*) ✅""),'Region prepositions'!B:F, 5, 0),  REGEXEXTRACT(C158, ""🏘️ \w+ \w+ (.*) ✅""))))"),"dans le quartier de Niederwangen (Köniz)")</f>
        <v>dans le quartier de Niederwangen (Köniz)</v>
      </c>
      <c r="F158" s="2" t="str">
        <f>IFERROR(__xludf.DUMMYFUNCTION("REGEXEXTRACT(C158, ""🏘️ (\w+) \w+ .* ✅"")"),"Louer")</f>
        <v>Louer</v>
      </c>
      <c r="G158" s="2" t="str">
        <f>IFERROR(__xludf.DUMMYFUNCTION("REGEXEXTRACT(C158, ""🏘️ \w+ (\w+) .* ✅"")"),"appartement")</f>
        <v>appartement</v>
      </c>
      <c r="H158" s="4" t="str">
        <f>IFERROR(__xludf.DUMMYFUNCTION("REGEXEXTRACT(A158, ""/(\w+)-.*?"")"),"quartier")</f>
        <v>quartier</v>
      </c>
      <c r="I158" s="4" t="str">
        <f>IFERROR(__xludf.DUMMYFUNCTION("if(D158=""variant"",  substitute(filter(Templates!E:E, Templates!A:A = F158, Templates!B:B = G158, Templates!C:C = H158), ""{{}}"", E158), B158)"),"🏘  Vous cherchez un appartement à louer dans le quartier de Niederwangen (Köniz)? ✅ Les annonces les plus actuelles sont sur ImmoScout24.ch.")</f>
        <v>🏘  Vous cherchez un appartement à louer dans le quartier de Niederwangen (Köniz)? ✅ Les annonces les plus actuelles sont sur ImmoScout24.ch.</v>
      </c>
      <c r="J158" s="4" t="s">
        <v>480</v>
      </c>
    </row>
    <row r="159">
      <c r="A159" s="5" t="s">
        <v>481</v>
      </c>
      <c r="B159" s="2" t="s">
        <v>482</v>
      </c>
      <c r="C159" s="4" t="str">
        <f>IFERROR(__xludf.DUMMYFUNCTION("""🏘️ ""&amp;REGEXEXTRACT(B159, ""^(.*): "")&amp;"" ✅ "" &amp;REGEXEXTRACT(B159, ""(Trouvez.*)"")"),"🏘️ Louer maison Lens ✅ Trouvez le bien immobilier qui correspond idéalement à vos désirs sur ImmoScout24 - La plateforme de l'immobilier en Suisse.")</f>
        <v>🏘️ Louer maison Lens ✅ Trouvez le bien immobilier qui correspond idéalement à vos désirs sur ImmoScout24 - La plateforme de l'immobilier en Suisse.</v>
      </c>
      <c r="D159" s="4" t="str">
        <f>vlookup(A159, Sheet2!D:E, 2, 0)</f>
        <v>variant</v>
      </c>
      <c r="E159" s="4" t="str">
        <f>IFERROR(__xludf.DUMMYFUNCTION("if(H159=""pays"",vlookup(REGEXEXTRACT(C159, ""🏘️ \w+ \w+ (.*) ✅""),'Country prepositions'!A:B, 2, 0) &amp; "" "" &amp; REGEXEXTRACT(C159, ""🏘️ \w+ \w+ (.*) ✅"") ,  if(H159=""quartier"",vlookup(REGEXEXTRACT(C159, ""🏘️ \w+ \w+ (.*) ✅""),'Quartier prepositions'!A"&amp;":E, 5, 0) ,  if(H159=""region"",vlookup(REGEXEXTRACT(C159, ""🏘️ \w+ \w+ (.*) ✅""),'Region prepositions'!B:F, 5, 0),  REGEXEXTRACT(C159, ""🏘️ \w+ \w+ (.*) ✅""))))"),"Lens")</f>
        <v>Lens</v>
      </c>
      <c r="F159" s="2" t="str">
        <f>IFERROR(__xludf.DUMMYFUNCTION("REGEXEXTRACT(C159, ""🏘️ (\w+) \w+ .* ✅"")"),"Louer")</f>
        <v>Louer</v>
      </c>
      <c r="G159" s="2" t="str">
        <f>IFERROR(__xludf.DUMMYFUNCTION("REGEXEXTRACT(C159, ""🏘️ \w+ (\w+) .* ✅"")"),"maison")</f>
        <v>maison</v>
      </c>
      <c r="H159" s="4" t="str">
        <f>IFERROR(__xludf.DUMMYFUNCTION("REGEXEXTRACT(A159, ""/(\w+)-.*?"")"),"lieu")</f>
        <v>lieu</v>
      </c>
      <c r="I159" s="4" t="str">
        <f>IFERROR(__xludf.DUMMYFUNCTION("if(D159=""variant"",  substitute(filter(Templates!E:E, Templates!A:A = F159, Templates!B:B = G159, Templates!C:C = H159), ""{{}}"", E159), B159)"),"🏘  Vous cherchez une maison à louer à Lens? ✅ Découvrez nos nombreuses annonces sur ImmoScout24.ch.")</f>
        <v>🏘  Vous cherchez une maison à louer à Lens? ✅ Découvrez nos nombreuses annonces sur ImmoScout24.ch.</v>
      </c>
      <c r="J159" s="2" t="s">
        <v>483</v>
      </c>
    </row>
    <row r="160">
      <c r="A160" s="5" t="s">
        <v>484</v>
      </c>
      <c r="B160" s="2" t="s">
        <v>485</v>
      </c>
      <c r="C160" s="4" t="str">
        <f>IFERROR(__xludf.DUMMYFUNCTION("""🏘️ ""&amp;REGEXEXTRACT(B160, ""^(.*): "")&amp;"" ✅ "" &amp;REGEXEXTRACT(B160, ""(Trouvez.*)"")"),"🏘️ Louer appartement Rive Droite ✅ Trouvez le bien immobilier qui correspond idéalement à vos désirs sur ImmoScout24 - La plateforme de l'immobilier en Suisse.")</f>
        <v>🏘️ Louer appartement Rive Droite ✅ Trouvez le bien immobilier qui correspond idéalement à vos désirs sur ImmoScout24 - La plateforme de l'immobilier en Suisse.</v>
      </c>
      <c r="D160" s="4" t="str">
        <f>vlookup(A160, Sheet2!D:E, 2, 0)</f>
        <v>variant</v>
      </c>
      <c r="E160" s="4" t="str">
        <f>IFERROR(__xludf.DUMMYFUNCTION("if(H160=""pays"",vlookup(REGEXEXTRACT(C160, ""🏘️ \w+ \w+ (.*) ✅""),'Country prepositions'!A:B, 2, 0) &amp; "" "" &amp; REGEXEXTRACT(C160, ""🏘️ \w+ \w+ (.*) ✅"") ,  if(H160=""quartier"",vlookup(REGEXEXTRACT(C160, ""🏘️ \w+ \w+ (.*) ✅""),'Quartier prepositions'!A"&amp;":E, 5, 0) ,  if(H160=""region"",vlookup(REGEXEXTRACT(C160, ""🏘️ \w+ \w+ (.*) ✅""),'Region prepositions'!B:F, 5, 0),  REGEXEXTRACT(C160, ""🏘️ \w+ \w+ (.*) ✅""))))"),"à Rive droite")</f>
        <v>à Rive droite</v>
      </c>
      <c r="F160" s="2" t="str">
        <f>IFERROR(__xludf.DUMMYFUNCTION("REGEXEXTRACT(C160, ""🏘️ (\w+) \w+ .* ✅"")"),"Louer")</f>
        <v>Louer</v>
      </c>
      <c r="G160" s="2" t="str">
        <f>IFERROR(__xludf.DUMMYFUNCTION("REGEXEXTRACT(C160, ""🏘️ \w+ (\w+) .* ✅"")"),"appartement")</f>
        <v>appartement</v>
      </c>
      <c r="H160" s="4" t="str">
        <f>IFERROR(__xludf.DUMMYFUNCTION("REGEXEXTRACT(A160, ""/(\w+)-.*?"")"),"region")</f>
        <v>region</v>
      </c>
      <c r="I160" s="4" t="str">
        <f>IFERROR(__xludf.DUMMYFUNCTION("if(D160=""variant"",  substitute(filter(Templates!E:E, Templates!A:A = F160, Templates!B:B = G160, Templates!C:C = H160), ""{{}}"", E160), B160)"),"🏘  Vous cherchez un appartement à louer à Rive droite? ✅ Les annonces les plus actuelles sont sur ImmoScout24.ch.")</f>
        <v>🏘  Vous cherchez un appartement à louer à Rive droite? ✅ Les annonces les plus actuelles sont sur ImmoScout24.ch.</v>
      </c>
      <c r="J160" s="4" t="s">
        <v>486</v>
      </c>
    </row>
    <row r="161">
      <c r="A161" s="5" t="s">
        <v>487</v>
      </c>
      <c r="B161" s="2" t="s">
        <v>488</v>
      </c>
      <c r="C161" s="4" t="str">
        <f>IFERROR(__xludf.DUMMYFUNCTION("""🏘️ ""&amp;REGEXEXTRACT(B161, ""^(.*): "")&amp;"" ✅ "" &amp;REGEXEXTRACT(B161, ""(Trouvez.*)"")"),"🏘️ Louer appartement Viganello ✅ Trouvez le bien immobilier qui correspond idéalement à vos désirs sur ImmoScout24 - La plateforme de l'immobilier en Suisse.")</f>
        <v>🏘️ Louer appartement Viganello ✅ Trouvez le bien immobilier qui correspond idéalement à vos désirs sur ImmoScout24 - La plateforme de l'immobilier en Suisse.</v>
      </c>
      <c r="D161" s="4" t="str">
        <f>vlookup(A161, Sheet2!D:E, 2, 0)</f>
        <v>variant</v>
      </c>
      <c r="E161" s="4" t="str">
        <f>IFERROR(__xludf.DUMMYFUNCTION("if(H161=""pays"",vlookup(REGEXEXTRACT(C161, ""🏘️ \w+ \w+ (.*) ✅""),'Country prepositions'!A:B, 2, 0) &amp; "" "" &amp; REGEXEXTRACT(C161, ""🏘️ \w+ \w+ (.*) ✅"") ,  if(H161=""quartier"",vlookup(REGEXEXTRACT(C161, ""🏘️ \w+ \w+ (.*) ✅""),'Quartier prepositions'!A"&amp;":E, 5, 0) ,  if(H161=""region"",vlookup(REGEXEXTRACT(C161, ""🏘️ \w+ \w+ (.*) ✅""),'Region prepositions'!B:F, 5, 0),  REGEXEXTRACT(C161, ""🏘️ \w+ \w+ (.*) ✅""))))"),"Viganello")</f>
        <v>Viganello</v>
      </c>
      <c r="F161" s="2" t="str">
        <f>IFERROR(__xludf.DUMMYFUNCTION("REGEXEXTRACT(C161, ""🏘️ (\w+) \w+ .* ✅"")"),"Louer")</f>
        <v>Louer</v>
      </c>
      <c r="G161" s="2" t="str">
        <f>IFERROR(__xludf.DUMMYFUNCTION("REGEXEXTRACT(C161, ""🏘️ \w+ (\w+) .* ✅"")"),"appartement")</f>
        <v>appartement</v>
      </c>
      <c r="H161" s="4" t="str">
        <f>IFERROR(__xludf.DUMMYFUNCTION("REGEXEXTRACT(A161, ""/(\w+)-.*?"")"),"lieu")</f>
        <v>lieu</v>
      </c>
      <c r="I161" s="4" t="str">
        <f>IFERROR(__xludf.DUMMYFUNCTION("if(D161=""variant"",  substitute(filter(Templates!E:E, Templates!A:A = F161, Templates!B:B = G161, Templates!C:C = H161), ""{{}}"", E161), B161)"),"🏘  Vous cherchez un appartement à louer à Viganello? ✅ Les annonces les plus actuelles sont sur ImmoScout24.ch.")</f>
        <v>🏘  Vous cherchez un appartement à louer à Viganello? ✅ Les annonces les plus actuelles sont sur ImmoScout24.ch.</v>
      </c>
      <c r="J161" s="4" t="s">
        <v>489</v>
      </c>
    </row>
    <row r="162">
      <c r="A162" s="5" t="s">
        <v>490</v>
      </c>
      <c r="B162" s="2" t="s">
        <v>491</v>
      </c>
      <c r="C162" s="4" t="str">
        <f>IFERROR(__xludf.DUMMYFUNCTION("""🏘️ ""&amp;REGEXEXTRACT(B162, ""^(.*): "")&amp;"" ✅ "" &amp;REGEXEXTRACT(B162, ""(Trouvez.*)"")"),"🏘️ Louer maison Romanel-sur-Lausanne ✅ Trouvez le bien immobilier qui correspond idéalement à vos désirs sur ImmoScout24 - La plateforme de l'immobilier en Suisse.")</f>
        <v>🏘️ Louer maison Romanel-sur-Lausanne ✅ Trouvez le bien immobilier qui correspond idéalement à vos désirs sur ImmoScout24 - La plateforme de l'immobilier en Suisse.</v>
      </c>
      <c r="D162" s="4" t="str">
        <f>vlookup(A162, Sheet2!D:E, 2, 0)</f>
        <v>variant</v>
      </c>
      <c r="E162" s="4" t="str">
        <f>IFERROR(__xludf.DUMMYFUNCTION("if(H162=""pays"",vlookup(REGEXEXTRACT(C162, ""🏘️ \w+ \w+ (.*) ✅""),'Country prepositions'!A:B, 2, 0) &amp; "" "" &amp; REGEXEXTRACT(C162, ""🏘️ \w+ \w+ (.*) ✅"") ,  if(H162=""quartier"",vlookup(REGEXEXTRACT(C162, ""🏘️ \w+ \w+ (.*) ✅""),'Quartier prepositions'!A"&amp;":E, 5, 0) ,  if(H162=""region"",vlookup(REGEXEXTRACT(C162, ""🏘️ \w+ \w+ (.*) ✅""),'Region prepositions'!B:F, 5, 0),  REGEXEXTRACT(C162, ""🏘️ \w+ \w+ (.*) ✅""))))"),"Romanel-sur-Lausanne")</f>
        <v>Romanel-sur-Lausanne</v>
      </c>
      <c r="F162" s="2" t="str">
        <f>IFERROR(__xludf.DUMMYFUNCTION("REGEXEXTRACT(C162, ""🏘️ (\w+) \w+ .* ✅"")"),"Louer")</f>
        <v>Louer</v>
      </c>
      <c r="G162" s="2" t="str">
        <f>IFERROR(__xludf.DUMMYFUNCTION("REGEXEXTRACT(C162, ""🏘️ \w+ (\w+) .* ✅"")"),"maison")</f>
        <v>maison</v>
      </c>
      <c r="H162" s="4" t="str">
        <f>IFERROR(__xludf.DUMMYFUNCTION("REGEXEXTRACT(A162, ""/(\w+)-.*?"")"),"lieu")</f>
        <v>lieu</v>
      </c>
      <c r="I162" s="4" t="str">
        <f>IFERROR(__xludf.DUMMYFUNCTION("if(D162=""variant"",  substitute(filter(Templates!E:E, Templates!A:A = F162, Templates!B:B = G162, Templates!C:C = H162), ""{{}}"", E162), B162)"),"🏘  Vous cherchez une maison à louer à Romanel-sur-Lausanne? ✅ Découvrez nos nombreuses annonces sur ImmoScout24.ch.")</f>
        <v>🏘  Vous cherchez une maison à louer à Romanel-sur-Lausanne? ✅ Découvrez nos nombreuses annonces sur ImmoScout24.ch.</v>
      </c>
      <c r="J162" s="4" t="s">
        <v>492</v>
      </c>
    </row>
    <row r="163">
      <c r="A163" s="5" t="s">
        <v>493</v>
      </c>
      <c r="B163" s="2" t="s">
        <v>494</v>
      </c>
      <c r="C163" s="4" t="str">
        <f>IFERROR(__xludf.DUMMYFUNCTION("""🏘️ ""&amp;REGEXEXTRACT(B163, ""^(.*): "")&amp;"" ✅ "" &amp;REGEXEXTRACT(B163, ""(Trouvez.*)"")"),"🏘️ Louer appartement Massonnens ✅ Trouvez le bien immobilier qui correspond idéalement à vos désirs sur ImmoScout24 - La plateforme de l'immobilier en Suisse.")</f>
        <v>🏘️ Louer appartement Massonnens ✅ Trouvez le bien immobilier qui correspond idéalement à vos désirs sur ImmoScout24 - La plateforme de l'immobilier en Suisse.</v>
      </c>
      <c r="D163" s="4" t="str">
        <f>vlookup(A163, Sheet2!D:E, 2, 0)</f>
        <v>variant</v>
      </c>
      <c r="E163" s="4" t="str">
        <f>IFERROR(__xludf.DUMMYFUNCTION("if(H163=""pays"",vlookup(REGEXEXTRACT(C163, ""🏘️ \w+ \w+ (.*) ✅""),'Country prepositions'!A:B, 2, 0) &amp; "" "" &amp; REGEXEXTRACT(C163, ""🏘️ \w+ \w+ (.*) ✅"") ,  if(H163=""quartier"",vlookup(REGEXEXTRACT(C163, ""🏘️ \w+ \w+ (.*) ✅""),'Quartier prepositions'!A"&amp;":E, 5, 0) ,  if(H163=""region"",vlookup(REGEXEXTRACT(C163, ""🏘️ \w+ \w+ (.*) ✅""),'Region prepositions'!B:F, 5, 0),  REGEXEXTRACT(C163, ""🏘️ \w+ \w+ (.*) ✅""))))"),"Massonnens")</f>
        <v>Massonnens</v>
      </c>
      <c r="F163" s="2" t="str">
        <f>IFERROR(__xludf.DUMMYFUNCTION("REGEXEXTRACT(C163, ""🏘️ (\w+) \w+ .* ✅"")"),"Louer")</f>
        <v>Louer</v>
      </c>
      <c r="G163" s="2" t="str">
        <f>IFERROR(__xludf.DUMMYFUNCTION("REGEXEXTRACT(C163, ""🏘️ \w+ (\w+) .* ✅"")"),"appartement")</f>
        <v>appartement</v>
      </c>
      <c r="H163" s="4" t="str">
        <f>IFERROR(__xludf.DUMMYFUNCTION("REGEXEXTRACT(A163, ""/(\w+)-.*?"")"),"lieu")</f>
        <v>lieu</v>
      </c>
      <c r="I163" s="4" t="str">
        <f>IFERROR(__xludf.DUMMYFUNCTION("if(D163=""variant"",  substitute(filter(Templates!E:E, Templates!A:A = F163, Templates!B:B = G163, Templates!C:C = H163), ""{{}}"", E163), B163)"),"🏘  Vous cherchez un appartement à louer à Massonnens? ✅ Les annonces les plus actuelles sont sur ImmoScout24.ch.")</f>
        <v>🏘  Vous cherchez un appartement à louer à Massonnens? ✅ Les annonces les plus actuelles sont sur ImmoScout24.ch.</v>
      </c>
      <c r="J163" s="4" t="s">
        <v>495</v>
      </c>
    </row>
    <row r="164">
      <c r="A164" s="5" t="s">
        <v>496</v>
      </c>
      <c r="B164" s="2" t="s">
        <v>497</v>
      </c>
      <c r="C164" s="4" t="str">
        <f>IFERROR(__xludf.DUMMYFUNCTION("""🏘️ ""&amp;REGEXEXTRACT(B164, ""^(.*): "")&amp;"" ✅ "" &amp;REGEXEXTRACT(B164, ""(Trouvez.*)"")"),"🏘️ Louer appartement Vex ✅ Trouvez le bien immobilier qui correspond idéalement à vos désirs sur ImmoScout24 - La plateforme de l'immobilier en Suisse.")</f>
        <v>🏘️ Louer appartement Vex ✅ Trouvez le bien immobilier qui correspond idéalement à vos désirs sur ImmoScout24 - La plateforme de l'immobilier en Suisse.</v>
      </c>
      <c r="D164" s="4" t="str">
        <f>vlookup(A164, Sheet2!D:E, 2, 0)</f>
        <v>variant</v>
      </c>
      <c r="E164" s="4" t="str">
        <f>IFERROR(__xludf.DUMMYFUNCTION("if(H164=""pays"",vlookup(REGEXEXTRACT(C164, ""🏘️ \w+ \w+ (.*) ✅""),'Country prepositions'!A:B, 2, 0) &amp; "" "" &amp; REGEXEXTRACT(C164, ""🏘️ \w+ \w+ (.*) ✅"") ,  if(H164=""quartier"",vlookup(REGEXEXTRACT(C164, ""🏘️ \w+ \w+ (.*) ✅""),'Quartier prepositions'!A"&amp;":E, 5, 0) ,  if(H164=""region"",vlookup(REGEXEXTRACT(C164, ""🏘️ \w+ \w+ (.*) ✅""),'Region prepositions'!B:F, 5, 0),  REGEXEXTRACT(C164, ""🏘️ \w+ \w+ (.*) ✅""))))"),"Vex")</f>
        <v>Vex</v>
      </c>
      <c r="F164" s="2" t="str">
        <f>IFERROR(__xludf.DUMMYFUNCTION("REGEXEXTRACT(C164, ""🏘️ (\w+) \w+ .* ✅"")"),"Louer")</f>
        <v>Louer</v>
      </c>
      <c r="G164" s="2" t="str">
        <f>IFERROR(__xludf.DUMMYFUNCTION("REGEXEXTRACT(C164, ""🏘️ \w+ (\w+) .* ✅"")"),"appartement")</f>
        <v>appartement</v>
      </c>
      <c r="H164" s="4" t="str">
        <f>IFERROR(__xludf.DUMMYFUNCTION("REGEXEXTRACT(A164, ""/(\w+)-.*?"")"),"lieu")</f>
        <v>lieu</v>
      </c>
      <c r="I164" s="4" t="str">
        <f>IFERROR(__xludf.DUMMYFUNCTION("if(D164=""variant"",  substitute(filter(Templates!E:E, Templates!A:A = F164, Templates!B:B = G164, Templates!C:C = H164), ""{{}}"", E164), B164)"),"🏘  Vous cherchez un appartement à louer à Vex? ✅ Les annonces les plus actuelles sont sur ImmoScout24.ch.")</f>
        <v>🏘  Vous cherchez un appartement à louer à Vex? ✅ Les annonces les plus actuelles sont sur ImmoScout24.ch.</v>
      </c>
      <c r="J164" s="4" t="s">
        <v>498</v>
      </c>
    </row>
    <row r="165">
      <c r="A165" s="5" t="s">
        <v>499</v>
      </c>
      <c r="B165" s="2" t="s">
        <v>500</v>
      </c>
      <c r="C165" s="4" t="str">
        <f>IFERROR(__xludf.DUMMYFUNCTION("""🏘️ ""&amp;REGEXEXTRACT(B165, ""^(.*): "")&amp;"" ✅ "" &amp;REGEXEXTRACT(B165, ""(Trouvez.*)"")"),"🏘️ Louer appartement Ponte Tresa ✅ Trouvez le bien immobilier qui correspond idéalement à vos désirs sur ImmoScout24 - La plateforme de l'immobilier en Suisse.")</f>
        <v>🏘️ Louer appartement Ponte Tresa ✅ Trouvez le bien immobilier qui correspond idéalement à vos désirs sur ImmoScout24 - La plateforme de l'immobilier en Suisse.</v>
      </c>
      <c r="D165" s="4" t="str">
        <f>vlookup(A165, Sheet2!D:E, 2, 0)</f>
        <v>variant</v>
      </c>
      <c r="E165" s="4" t="str">
        <f>IFERROR(__xludf.DUMMYFUNCTION("if(H165=""pays"",vlookup(REGEXEXTRACT(C165, ""🏘️ \w+ \w+ (.*) ✅""),'Country prepositions'!A:B, 2, 0) &amp; "" "" &amp; REGEXEXTRACT(C165, ""🏘️ \w+ \w+ (.*) ✅"") ,  if(H165=""quartier"",vlookup(REGEXEXTRACT(C165, ""🏘️ \w+ \w+ (.*) ✅""),'Quartier prepositions'!A"&amp;":E, 5, 0) ,  if(H165=""region"",vlookup(REGEXEXTRACT(C165, ""🏘️ \w+ \w+ (.*) ✅""),'Region prepositions'!B:F, 5, 0),  REGEXEXTRACT(C165, ""🏘️ \w+ \w+ (.*) ✅""))))"),"Ponte Tresa")</f>
        <v>Ponte Tresa</v>
      </c>
      <c r="F165" s="2" t="str">
        <f>IFERROR(__xludf.DUMMYFUNCTION("REGEXEXTRACT(C165, ""🏘️ (\w+) \w+ .* ✅"")"),"Louer")</f>
        <v>Louer</v>
      </c>
      <c r="G165" s="2" t="str">
        <f>IFERROR(__xludf.DUMMYFUNCTION("REGEXEXTRACT(C165, ""🏘️ \w+ (\w+) .* ✅"")"),"appartement")</f>
        <v>appartement</v>
      </c>
      <c r="H165" s="4" t="str">
        <f>IFERROR(__xludf.DUMMYFUNCTION("REGEXEXTRACT(A165, ""/(\w+)-.*?"")"),"lieu")</f>
        <v>lieu</v>
      </c>
      <c r="I165" s="4" t="str">
        <f>IFERROR(__xludf.DUMMYFUNCTION("if(D165=""variant"",  substitute(filter(Templates!E:E, Templates!A:A = F165, Templates!B:B = G165, Templates!C:C = H165), ""{{}}"", E165), B165)"),"🏘  Vous cherchez un appartement à louer à Ponte Tresa? ✅ Les annonces les plus actuelles sont sur ImmoScout24.ch.")</f>
        <v>🏘  Vous cherchez un appartement à louer à Ponte Tresa? ✅ Les annonces les plus actuelles sont sur ImmoScout24.ch.</v>
      </c>
      <c r="J165" s="4" t="s">
        <v>501</v>
      </c>
    </row>
    <row r="166">
      <c r="A166" s="5" t="s">
        <v>502</v>
      </c>
      <c r="B166" s="2" t="s">
        <v>503</v>
      </c>
      <c r="C166" s="4" t="str">
        <f>IFERROR(__xludf.DUMMYFUNCTION("""🏘️ ""&amp;REGEXEXTRACT(B166, ""^(.*): "")&amp;"" ✅ "" &amp;REGEXEXTRACT(B166, ""(Trouvez.*)"")"),"🏘️ Vendre maison Leontica ✅ Trouvez le bien immobilier qui correspond idéalement à vos désirs sur ImmoScout24 - La plateforme de l'immobilier en Suisse.")</f>
        <v>🏘️ Vendre maison Leontica ✅ Trouvez le bien immobilier qui correspond idéalement à vos désirs sur ImmoScout24 - La plateforme de l'immobilier en Suisse.</v>
      </c>
      <c r="D166" s="4" t="str">
        <f>vlookup(A166, Sheet2!D:E, 2, 0)</f>
        <v>variant</v>
      </c>
      <c r="E166" s="4" t="str">
        <f>IFERROR(__xludf.DUMMYFUNCTION("if(H166=""pays"",vlookup(REGEXEXTRACT(C166, ""🏘️ \w+ \w+ (.*) ✅""),'Country prepositions'!A:B, 2, 0) &amp; "" "" &amp; REGEXEXTRACT(C166, ""🏘️ \w+ \w+ (.*) ✅"") ,  if(H166=""quartier"",vlookup(REGEXEXTRACT(C166, ""🏘️ \w+ \w+ (.*) ✅""),'Quartier prepositions'!A"&amp;":E, 5, 0) ,  if(H166=""region"",vlookup(REGEXEXTRACT(C166, ""🏘️ \w+ \w+ (.*) ✅""),'Region prepositions'!B:F, 5, 0),  REGEXEXTRACT(C166, ""🏘️ \w+ \w+ (.*) ✅""))))"),"Leontica")</f>
        <v>Leontica</v>
      </c>
      <c r="F166" s="2" t="str">
        <f>IFERROR(__xludf.DUMMYFUNCTION("REGEXEXTRACT(C166, ""🏘️ (\w+) \w+ .* ✅"")"),"Vendre")</f>
        <v>Vendre</v>
      </c>
      <c r="G166" s="2" t="str">
        <f>IFERROR(__xludf.DUMMYFUNCTION("REGEXEXTRACT(C166, ""🏘️ \w+ (\w+) .* ✅"")"),"maison")</f>
        <v>maison</v>
      </c>
      <c r="H166" s="4" t="str">
        <f>IFERROR(__xludf.DUMMYFUNCTION("REGEXEXTRACT(A166, ""/(\w+)-.*?"")"),"lieu")</f>
        <v>lieu</v>
      </c>
      <c r="I166" s="4" t="str">
        <f>IFERROR(__xludf.DUMMYFUNCTION("if(D166=""variant"",  substitute(filter(Templates!E:E, Templates!A:A = F166, Templates!B:B = G166, Templates!C:C = H166), ""{{}}"", E166), B166)"),"🏘  Vous souhaitez acheter une maison à Leontica? ✅ Jetez un œil aux dernières offres sur ImmoScout24.ch.")</f>
        <v>🏘  Vous souhaitez acheter une maison à Leontica? ✅ Jetez un œil aux dernières offres sur ImmoScout24.ch.</v>
      </c>
      <c r="J166" s="2" t="s">
        <v>504</v>
      </c>
    </row>
    <row r="167">
      <c r="A167" s="5" t="s">
        <v>505</v>
      </c>
      <c r="B167" s="2" t="s">
        <v>506</v>
      </c>
      <c r="C167" s="4" t="str">
        <f>IFERROR(__xludf.DUMMYFUNCTION("""🏘️ ""&amp;REGEXEXTRACT(B167, ""^(.*): "")&amp;"" ✅ "" &amp;REGEXEXTRACT(B167, ""(Trouvez.*)"")"),"🏘️ Vendre maison Villarlod ✅ Trouvez le bien immobilier qui correspond idéalement à vos désirs sur ImmoScout24 - La plateforme de l'immobilier en Suisse.")</f>
        <v>🏘️ Vendre maison Villarlod ✅ Trouvez le bien immobilier qui correspond idéalement à vos désirs sur ImmoScout24 - La plateforme de l'immobilier en Suisse.</v>
      </c>
      <c r="D167" s="4" t="str">
        <f>vlookup(A167, Sheet2!D:E, 2, 0)</f>
        <v>variant</v>
      </c>
      <c r="E167" s="4" t="str">
        <f>IFERROR(__xludf.DUMMYFUNCTION("if(H167=""pays"",vlookup(REGEXEXTRACT(C167, ""🏘️ \w+ \w+ (.*) ✅""),'Country prepositions'!A:B, 2, 0) &amp; "" "" &amp; REGEXEXTRACT(C167, ""🏘️ \w+ \w+ (.*) ✅"") ,  if(H167=""quartier"",vlookup(REGEXEXTRACT(C167, ""🏘️ \w+ \w+ (.*) ✅""),'Quartier prepositions'!A"&amp;":E, 5, 0) ,  if(H167=""region"",vlookup(REGEXEXTRACT(C167, ""🏘️ \w+ \w+ (.*) ✅""),'Region prepositions'!B:F, 5, 0),  REGEXEXTRACT(C167, ""🏘️ \w+ \w+ (.*) ✅""))))"),"Villarlod")</f>
        <v>Villarlod</v>
      </c>
      <c r="F167" s="2" t="str">
        <f>IFERROR(__xludf.DUMMYFUNCTION("REGEXEXTRACT(C167, ""🏘️ (\w+) \w+ .* ✅"")"),"Vendre")</f>
        <v>Vendre</v>
      </c>
      <c r="G167" s="2" t="str">
        <f>IFERROR(__xludf.DUMMYFUNCTION("REGEXEXTRACT(C167, ""🏘️ \w+ (\w+) .* ✅"")"),"maison")</f>
        <v>maison</v>
      </c>
      <c r="H167" s="4" t="str">
        <f>IFERROR(__xludf.DUMMYFUNCTION("REGEXEXTRACT(A167, ""/(\w+)-.*?"")"),"lieu")</f>
        <v>lieu</v>
      </c>
      <c r="I167" s="4" t="str">
        <f>IFERROR(__xludf.DUMMYFUNCTION("if(D167=""variant"",  substitute(filter(Templates!E:E, Templates!A:A = F167, Templates!B:B = G167, Templates!C:C = H167), ""{{}}"", E167), B167)"),"🏘  Vous souhaitez acheter une maison à Villarlod? ✅ Jetez un œil aux dernières offres sur ImmoScout24.ch.")</f>
        <v>🏘  Vous souhaitez acheter une maison à Villarlod? ✅ Jetez un œil aux dernières offres sur ImmoScout24.ch.</v>
      </c>
      <c r="J167" s="4" t="s">
        <v>507</v>
      </c>
    </row>
    <row r="168">
      <c r="A168" s="5" t="s">
        <v>508</v>
      </c>
      <c r="B168" s="2" t="s">
        <v>509</v>
      </c>
      <c r="C168" s="4" t="str">
        <f>IFERROR(__xludf.DUMMYFUNCTION("""🏘️ ""&amp;REGEXEXTRACT(B168, ""^(.*): "")&amp;"" ✅ "" &amp;REGEXEXTRACT(B168, ""(Trouvez.*)"")"),"🏘️ Vendre appartement Reinach BL ✅ Trouvez le bien immobilier qui correspond idéalement à vos désirs sur ImmoScout24 - La plateforme de l'immobilier en Suisse.")</f>
        <v>🏘️ Vendre appartement Reinach BL ✅ Trouvez le bien immobilier qui correspond idéalement à vos désirs sur ImmoScout24 - La plateforme de l'immobilier en Suisse.</v>
      </c>
      <c r="D168" s="4" t="str">
        <f>vlookup(A168, Sheet2!D:E, 2, 0)</f>
        <v>variant</v>
      </c>
      <c r="E168" s="4" t="str">
        <f>IFERROR(__xludf.DUMMYFUNCTION("if(H168=""pays"",vlookup(REGEXEXTRACT(C168, ""🏘️ \w+ \w+ (.*) ✅""),'Country prepositions'!A:B, 2, 0) &amp; "" "" &amp; REGEXEXTRACT(C168, ""🏘️ \w+ \w+ (.*) ✅"") ,  if(H168=""quartier"",vlookup(REGEXEXTRACT(C168, ""🏘️ \w+ \w+ (.*) ✅""),'Quartier prepositions'!A"&amp;":E, 5, 0) ,  if(H168=""region"",vlookup(REGEXEXTRACT(C168, ""🏘️ \w+ \w+ (.*) ✅""),'Region prepositions'!B:F, 5, 0),  REGEXEXTRACT(C168, ""🏘️ \w+ \w+ (.*) ✅""))))"),"Reinach BL")</f>
        <v>Reinach BL</v>
      </c>
      <c r="F168" s="2" t="str">
        <f>IFERROR(__xludf.DUMMYFUNCTION("REGEXEXTRACT(C168, ""🏘️ (\w+) \w+ .* ✅"")"),"Vendre")</f>
        <v>Vendre</v>
      </c>
      <c r="G168" s="2" t="str">
        <f>IFERROR(__xludf.DUMMYFUNCTION("REGEXEXTRACT(C168, ""🏘️ \w+ (\w+) .* ✅"")"),"appartement")</f>
        <v>appartement</v>
      </c>
      <c r="H168" s="4" t="str">
        <f>IFERROR(__xludf.DUMMYFUNCTION("REGEXEXTRACT(A168, ""/(\w+)-.*?"")"),"lieu")</f>
        <v>lieu</v>
      </c>
      <c r="I168" s="4" t="str">
        <f>IFERROR(__xludf.DUMMYFUNCTION("if(D168=""variant"",  substitute(filter(Templates!E:E, Templates!A:A = F168, Templates!B:B = G168, Templates!C:C = H168), ""{{}}"", E168), B168)"),"🏘  L’appartement de vos rêves se trouve sur ImmoScout24.ch ✅ Découvrez les dernières annonces de vente à Reinach BL.")</f>
        <v>🏘  L’appartement de vos rêves se trouve sur ImmoScout24.ch ✅ Découvrez les dernières annonces de vente à Reinach BL.</v>
      </c>
      <c r="J168" s="4" t="s">
        <v>510</v>
      </c>
    </row>
    <row r="169">
      <c r="A169" s="5" t="s">
        <v>511</v>
      </c>
      <c r="B169" s="2" t="s">
        <v>512</v>
      </c>
      <c r="C169" s="4" t="str">
        <f>IFERROR(__xludf.DUMMYFUNCTION("""🏘️ ""&amp;REGEXEXTRACT(B169, ""^(.*): "")&amp;"" ✅ "" &amp;REGEXEXTRACT(B169, ""(Trouvez.*)"")"),"🏘️ Vendre maison Reinach AG ✅ Trouvez le bien immobilier qui correspond idéalement à vos désirs sur ImmoScout24 - La plateforme de l'immobilier en Suisse.")</f>
        <v>🏘️ Vendre maison Reinach AG ✅ Trouvez le bien immobilier qui correspond idéalement à vos désirs sur ImmoScout24 - La plateforme de l'immobilier en Suisse.</v>
      </c>
      <c r="D169" s="4" t="str">
        <f>vlookup(A169, Sheet2!D:E, 2, 0)</f>
        <v>variant</v>
      </c>
      <c r="E169" s="4" t="str">
        <f>IFERROR(__xludf.DUMMYFUNCTION("if(H169=""pays"",vlookup(REGEXEXTRACT(C169, ""🏘️ \w+ \w+ (.*) ✅""),'Country prepositions'!A:B, 2, 0) &amp; "" "" &amp; REGEXEXTRACT(C169, ""🏘️ \w+ \w+ (.*) ✅"") ,  if(H169=""quartier"",vlookup(REGEXEXTRACT(C169, ""🏘️ \w+ \w+ (.*) ✅""),'Quartier prepositions'!A"&amp;":E, 5, 0) ,  if(H169=""region"",vlookup(REGEXEXTRACT(C169, ""🏘️ \w+ \w+ (.*) ✅""),'Region prepositions'!B:F, 5, 0),  REGEXEXTRACT(C169, ""🏘️ \w+ \w+ (.*) ✅""))))"),"Reinach AG")</f>
        <v>Reinach AG</v>
      </c>
      <c r="F169" s="2" t="str">
        <f>IFERROR(__xludf.DUMMYFUNCTION("REGEXEXTRACT(C169, ""🏘️ (\w+) \w+ .* ✅"")"),"Vendre")</f>
        <v>Vendre</v>
      </c>
      <c r="G169" s="2" t="str">
        <f>IFERROR(__xludf.DUMMYFUNCTION("REGEXEXTRACT(C169, ""🏘️ \w+ (\w+) .* ✅"")"),"maison")</f>
        <v>maison</v>
      </c>
      <c r="H169" s="4" t="str">
        <f>IFERROR(__xludf.DUMMYFUNCTION("REGEXEXTRACT(A169, ""/(\w+)-.*?"")"),"lieu")</f>
        <v>lieu</v>
      </c>
      <c r="I169" s="4" t="str">
        <f>IFERROR(__xludf.DUMMYFUNCTION("if(D169=""variant"",  substitute(filter(Templates!E:E, Templates!A:A = F169, Templates!B:B = G169, Templates!C:C = H169), ""{{}}"", E169), B169)"),"🏘  Vous souhaitez acheter une maison à Reinach AG? ✅ Jetez un œil aux dernières offres sur ImmoScout24.ch.")</f>
        <v>🏘  Vous souhaitez acheter une maison à Reinach AG? ✅ Jetez un œil aux dernières offres sur ImmoScout24.ch.</v>
      </c>
      <c r="J169" s="4" t="s">
        <v>513</v>
      </c>
    </row>
    <row r="170">
      <c r="A170" s="5" t="s">
        <v>514</v>
      </c>
      <c r="B170" s="2" t="s">
        <v>515</v>
      </c>
      <c r="C170" s="4" t="str">
        <f>IFERROR(__xludf.DUMMYFUNCTION("""🏘️ ""&amp;REGEXEXTRACT(B170, ""^(.*): "")&amp;"" ✅ "" &amp;REGEXEXTRACT(B170, ""(Trouvez.*)"")"),"🏘️ Vendre maison Corin-de-la-Crête ✅ Trouvez le bien immobilier qui correspond idéalement à vos désirs sur ImmoScout24 - La plateforme de l'immobilier en Suisse.")</f>
        <v>🏘️ Vendre maison Corin-de-la-Crête ✅ Trouvez le bien immobilier qui correspond idéalement à vos désirs sur ImmoScout24 - La plateforme de l'immobilier en Suisse.</v>
      </c>
      <c r="D170" s="4" t="str">
        <f>vlookup(A170, Sheet2!D:E, 2, 0)</f>
        <v>variant</v>
      </c>
      <c r="E170" s="4" t="str">
        <f>IFERROR(__xludf.DUMMYFUNCTION("if(H170=""pays"",vlookup(REGEXEXTRACT(C170, ""🏘️ \w+ \w+ (.*) ✅""),'Country prepositions'!A:B, 2, 0) &amp; "" "" &amp; REGEXEXTRACT(C170, ""🏘️ \w+ \w+ (.*) ✅"") ,  if(H170=""quartier"",vlookup(REGEXEXTRACT(C170, ""🏘️ \w+ \w+ (.*) ✅""),'Quartier prepositions'!A"&amp;":E, 5, 0) ,  if(H170=""region"",vlookup(REGEXEXTRACT(C170, ""🏘️ \w+ \w+ (.*) ✅""),'Region prepositions'!B:F, 5, 0),  REGEXEXTRACT(C170, ""🏘️ \w+ \w+ (.*) ✅""))))"),"Corin-de-la-Crête")</f>
        <v>Corin-de-la-Crête</v>
      </c>
      <c r="F170" s="2" t="str">
        <f>IFERROR(__xludf.DUMMYFUNCTION("REGEXEXTRACT(C170, ""🏘️ (\w+) \w+ .* ✅"")"),"Vendre")</f>
        <v>Vendre</v>
      </c>
      <c r="G170" s="2" t="str">
        <f>IFERROR(__xludf.DUMMYFUNCTION("REGEXEXTRACT(C170, ""🏘️ \w+ (\w+) .* ✅"")"),"maison")</f>
        <v>maison</v>
      </c>
      <c r="H170" s="4" t="str">
        <f>IFERROR(__xludf.DUMMYFUNCTION("REGEXEXTRACT(A170, ""/(\w+)-.*?"")"),"lieu")</f>
        <v>lieu</v>
      </c>
      <c r="I170" s="4" t="str">
        <f>IFERROR(__xludf.DUMMYFUNCTION("if(D170=""variant"",  substitute(filter(Templates!E:E, Templates!A:A = F170, Templates!B:B = G170, Templates!C:C = H170), ""{{}}"", E170), B170)"),"🏘  Vous souhaitez acheter une maison à Corin-de-la-Crête? ✅ Jetez un œil aux dernières offres sur ImmoScout24.ch.")</f>
        <v>🏘  Vous souhaitez acheter une maison à Corin-de-la-Crête? ✅ Jetez un œil aux dernières offres sur ImmoScout24.ch.</v>
      </c>
      <c r="J170" s="4" t="s">
        <v>516</v>
      </c>
    </row>
    <row r="171">
      <c r="A171" s="5" t="s">
        <v>517</v>
      </c>
      <c r="B171" s="2" t="s">
        <v>518</v>
      </c>
      <c r="C171" s="4" t="str">
        <f>IFERROR(__xludf.DUMMYFUNCTION("""🏘️ ""&amp;REGEXEXTRACT(B171, ""^(.*): "")&amp;"" ✅ "" &amp;REGEXEXTRACT(B171, ""(Trouvez.*)"")"),"🏘️ Vendre appartement Corpataux ✅ Trouvez le bien immobilier qui correspond idéalement à vos désirs sur ImmoScout24 - La plateforme de l'immobilier en Suisse.")</f>
        <v>🏘️ Vendre appartement Corpataux ✅ Trouvez le bien immobilier qui correspond idéalement à vos désirs sur ImmoScout24 - La plateforme de l'immobilier en Suisse.</v>
      </c>
      <c r="D171" s="4" t="str">
        <f>vlookup(A171, Sheet2!D:E, 2, 0)</f>
        <v>variant</v>
      </c>
      <c r="E171" s="4" t="str">
        <f>IFERROR(__xludf.DUMMYFUNCTION("if(H171=""pays"",vlookup(REGEXEXTRACT(C171, ""🏘️ \w+ \w+ (.*) ✅""),'Country prepositions'!A:B, 2, 0) &amp; "" "" &amp; REGEXEXTRACT(C171, ""🏘️ \w+ \w+ (.*) ✅"") ,  if(H171=""quartier"",vlookup(REGEXEXTRACT(C171, ""🏘️ \w+ \w+ (.*) ✅""),'Quartier prepositions'!A"&amp;":E, 5, 0) ,  if(H171=""region"",vlookup(REGEXEXTRACT(C171, ""🏘️ \w+ \w+ (.*) ✅""),'Region prepositions'!B:F, 5, 0),  REGEXEXTRACT(C171, ""🏘️ \w+ \w+ (.*) ✅""))))"),"Corpataux")</f>
        <v>Corpataux</v>
      </c>
      <c r="F171" s="2" t="str">
        <f>IFERROR(__xludf.DUMMYFUNCTION("REGEXEXTRACT(C171, ""🏘️ (\w+) \w+ .* ✅"")"),"Vendre")</f>
        <v>Vendre</v>
      </c>
      <c r="G171" s="2" t="str">
        <f>IFERROR(__xludf.DUMMYFUNCTION("REGEXEXTRACT(C171, ""🏘️ \w+ (\w+) .* ✅"")"),"appartement")</f>
        <v>appartement</v>
      </c>
      <c r="H171" s="4" t="str">
        <f>IFERROR(__xludf.DUMMYFUNCTION("REGEXEXTRACT(A171, ""/(\w+)-.*?"")"),"lieu")</f>
        <v>lieu</v>
      </c>
      <c r="I171" s="4" t="str">
        <f>IFERROR(__xludf.DUMMYFUNCTION("if(D171=""variant"",  substitute(filter(Templates!E:E, Templates!A:A = F171, Templates!B:B = G171, Templates!C:C = H171), ""{{}}"", E171), B171)"),"🏘  L’appartement de vos rêves se trouve sur ImmoScout24.ch ✅ Découvrez les dernières annonces de vente à Corpataux.")</f>
        <v>🏘  L’appartement de vos rêves se trouve sur ImmoScout24.ch ✅ Découvrez les dernières annonces de vente à Corpataux.</v>
      </c>
      <c r="J171" s="4" t="s">
        <v>519</v>
      </c>
    </row>
    <row r="172">
      <c r="A172" s="5" t="s">
        <v>520</v>
      </c>
      <c r="B172" s="2" t="s">
        <v>521</v>
      </c>
      <c r="C172" s="4" t="str">
        <f>IFERROR(__xludf.DUMMYFUNCTION("""🏘️ ""&amp;REGEXEXTRACT(B172, ""^(.*): "")&amp;"" ✅ "" &amp;REGEXEXTRACT(B172, ""(Trouvez.*)"")"),"🏘️ Vendre appartement St-George ✅ Trouvez le bien immobilier qui correspond idéalement à vos désirs sur ImmoScout24 - La plateforme de l'immobilier en Suisse.")</f>
        <v>🏘️ Vendre appartement St-George ✅ Trouvez le bien immobilier qui correspond idéalement à vos désirs sur ImmoScout24 - La plateforme de l'immobilier en Suisse.</v>
      </c>
      <c r="D172" s="4" t="str">
        <f>vlookup(A172, Sheet2!D:E, 2, 0)</f>
        <v>variant</v>
      </c>
      <c r="E172" s="4" t="str">
        <f>IFERROR(__xludf.DUMMYFUNCTION("if(H172=""pays"",vlookup(REGEXEXTRACT(C172, ""🏘️ \w+ \w+ (.*) ✅""),'Country prepositions'!A:B, 2, 0) &amp; "" "" &amp; REGEXEXTRACT(C172, ""🏘️ \w+ \w+ (.*) ✅"") ,  if(H172=""quartier"",vlookup(REGEXEXTRACT(C172, ""🏘️ \w+ \w+ (.*) ✅""),'Quartier prepositions'!A"&amp;":E, 5, 0) ,  if(H172=""region"",vlookup(REGEXEXTRACT(C172, ""🏘️ \w+ \w+ (.*) ✅""),'Region prepositions'!B:F, 5, 0),  REGEXEXTRACT(C172, ""🏘️ \w+ \w+ (.*) ✅""))))"),"St-George")</f>
        <v>St-George</v>
      </c>
      <c r="F172" s="2" t="str">
        <f>IFERROR(__xludf.DUMMYFUNCTION("REGEXEXTRACT(C172, ""🏘️ (\w+) \w+ .* ✅"")"),"Vendre")</f>
        <v>Vendre</v>
      </c>
      <c r="G172" s="2" t="str">
        <f>IFERROR(__xludf.DUMMYFUNCTION("REGEXEXTRACT(C172, ""🏘️ \w+ (\w+) .* ✅"")"),"appartement")</f>
        <v>appartement</v>
      </c>
      <c r="H172" s="4" t="str">
        <f>IFERROR(__xludf.DUMMYFUNCTION("REGEXEXTRACT(A172, ""/(\w+)-.*?"")"),"lieu")</f>
        <v>lieu</v>
      </c>
      <c r="I172" s="4" t="str">
        <f>IFERROR(__xludf.DUMMYFUNCTION("if(D172=""variant"",  substitute(filter(Templates!E:E, Templates!A:A = F172, Templates!B:B = G172, Templates!C:C = H172), ""{{}}"", E172), B172)"),"🏘  L’appartement de vos rêves se trouve sur ImmoScout24.ch ✅ Découvrez les dernières annonces de vente à St-George.")</f>
        <v>🏘  L’appartement de vos rêves se trouve sur ImmoScout24.ch ✅ Découvrez les dernières annonces de vente à St-George.</v>
      </c>
      <c r="J172" s="4" t="s">
        <v>522</v>
      </c>
    </row>
    <row r="173">
      <c r="A173" s="5" t="s">
        <v>523</v>
      </c>
      <c r="B173" s="2" t="s">
        <v>524</v>
      </c>
      <c r="C173" s="4" t="str">
        <f>IFERROR(__xludf.DUMMYFUNCTION("""🏘️ ""&amp;REGEXEXTRACT(B173, ""^(.*): "")&amp;"" ✅ "" &amp;REGEXEXTRACT(B173, ""(Trouvez.*)"")"),"🏘️ Louer appartement Giubiasco ✅ Trouvez le bien immobilier qui correspond idéalement à vos désirs sur ImmoScout24 - La plateforme de l'immobilier en Suisse.")</f>
        <v>🏘️ Louer appartement Giubiasco ✅ Trouvez le bien immobilier qui correspond idéalement à vos désirs sur ImmoScout24 - La plateforme de l'immobilier en Suisse.</v>
      </c>
      <c r="D173" s="4" t="str">
        <f>vlookup(A173, Sheet2!D:E, 2, 0)</f>
        <v>variant</v>
      </c>
      <c r="E173" s="4" t="str">
        <f>IFERROR(__xludf.DUMMYFUNCTION("if(H173=""pays"",vlookup(REGEXEXTRACT(C173, ""🏘️ \w+ \w+ (.*) ✅""),'Country prepositions'!A:B, 2, 0) &amp; "" "" &amp; REGEXEXTRACT(C173, ""🏘️ \w+ \w+ (.*) ✅"") ,  if(H173=""quartier"",vlookup(REGEXEXTRACT(C173, ""🏘️ \w+ \w+ (.*) ✅""),'Quartier prepositions'!A"&amp;":E, 5, 0) ,  if(H173=""region"",vlookup(REGEXEXTRACT(C173, ""🏘️ \w+ \w+ (.*) ✅""),'Region prepositions'!B:F, 5, 0),  REGEXEXTRACT(C173, ""🏘️ \w+ \w+ (.*) ✅""))))"),"Giubiasco")</f>
        <v>Giubiasco</v>
      </c>
      <c r="F173" s="2" t="str">
        <f>IFERROR(__xludf.DUMMYFUNCTION("REGEXEXTRACT(C173, ""🏘️ (\w+) \w+ .* ✅"")"),"Louer")</f>
        <v>Louer</v>
      </c>
      <c r="G173" s="2" t="str">
        <f>IFERROR(__xludf.DUMMYFUNCTION("REGEXEXTRACT(C173, ""🏘️ \w+ (\w+) .* ✅"")"),"appartement")</f>
        <v>appartement</v>
      </c>
      <c r="H173" s="4" t="str">
        <f>IFERROR(__xludf.DUMMYFUNCTION("REGEXEXTRACT(A173, ""/(\w+)-.*?"")"),"lieu")</f>
        <v>lieu</v>
      </c>
      <c r="I173" s="4" t="str">
        <f>IFERROR(__xludf.DUMMYFUNCTION("if(D173=""variant"",  substitute(filter(Templates!E:E, Templates!A:A = F173, Templates!B:B = G173, Templates!C:C = H173), ""{{}}"", E173), B173)"),"🏘  Vous cherchez un appartement à louer à Giubiasco? ✅ Les annonces les plus actuelles sont sur ImmoScout24.ch.")</f>
        <v>🏘  Vous cherchez un appartement à louer à Giubiasco? ✅ Les annonces les plus actuelles sont sur ImmoScout24.ch.</v>
      </c>
      <c r="J173" s="4" t="s">
        <v>525</v>
      </c>
    </row>
    <row r="174">
      <c r="A174" s="5" t="s">
        <v>526</v>
      </c>
      <c r="B174" s="2" t="s">
        <v>527</v>
      </c>
      <c r="C174" s="4" t="str">
        <f>IFERROR(__xludf.DUMMYFUNCTION("""🏘️ ""&amp;REGEXEXTRACT(B174, ""^(.*): "")&amp;"" ✅ "" &amp;REGEXEXTRACT(B174, ""(Trouvez.*)"")"),"🏘️ Louer appartement Vauffelin ✅ Trouvez le bien immobilier qui correspond idéalement à vos désirs sur ImmoScout24 - La plateforme de l'immobilier en Suisse.")</f>
        <v>🏘️ Louer appartement Vauffelin ✅ Trouvez le bien immobilier qui correspond idéalement à vos désirs sur ImmoScout24 - La plateforme de l'immobilier en Suisse.</v>
      </c>
      <c r="D174" s="4" t="str">
        <f>vlookup(A174, Sheet2!D:E, 2, 0)</f>
        <v>variant</v>
      </c>
      <c r="E174" s="4" t="str">
        <f>IFERROR(__xludf.DUMMYFUNCTION("if(H174=""pays"",vlookup(REGEXEXTRACT(C174, ""🏘️ \w+ \w+ (.*) ✅""),'Country prepositions'!A:B, 2, 0) &amp; "" "" &amp; REGEXEXTRACT(C174, ""🏘️ \w+ \w+ (.*) ✅"") ,  if(H174=""quartier"",vlookup(REGEXEXTRACT(C174, ""🏘️ \w+ \w+ (.*) ✅""),'Quartier prepositions'!A"&amp;":E, 5, 0) ,  if(H174=""region"",vlookup(REGEXEXTRACT(C174, ""🏘️ \w+ \w+ (.*) ✅""),'Region prepositions'!B:F, 5, 0),  REGEXEXTRACT(C174, ""🏘️ \w+ \w+ (.*) ✅""))))"),"Vauffelin")</f>
        <v>Vauffelin</v>
      </c>
      <c r="F174" s="2" t="str">
        <f>IFERROR(__xludf.DUMMYFUNCTION("REGEXEXTRACT(C174, ""🏘️ (\w+) \w+ .* ✅"")"),"Louer")</f>
        <v>Louer</v>
      </c>
      <c r="G174" s="2" t="str">
        <f>IFERROR(__xludf.DUMMYFUNCTION("REGEXEXTRACT(C174, ""🏘️ \w+ (\w+) .* ✅"")"),"appartement")</f>
        <v>appartement</v>
      </c>
      <c r="H174" s="4" t="str">
        <f>IFERROR(__xludf.DUMMYFUNCTION("REGEXEXTRACT(A174, ""/(\w+)-.*?"")"),"lieu")</f>
        <v>lieu</v>
      </c>
      <c r="I174" s="4" t="str">
        <f>IFERROR(__xludf.DUMMYFUNCTION("if(D174=""variant"",  substitute(filter(Templates!E:E, Templates!A:A = F174, Templates!B:B = G174, Templates!C:C = H174), ""{{}}"", E174), B174)"),"🏘  Vous cherchez un appartement à louer à Vauffelin? ✅ Les annonces les plus actuelles sont sur ImmoScout24.ch.")</f>
        <v>🏘  Vous cherchez un appartement à louer à Vauffelin? ✅ Les annonces les plus actuelles sont sur ImmoScout24.ch.</v>
      </c>
      <c r="J174" s="4" t="s">
        <v>528</v>
      </c>
    </row>
    <row r="175">
      <c r="A175" s="5" t="s">
        <v>529</v>
      </c>
      <c r="B175" s="2" t="s">
        <v>530</v>
      </c>
      <c r="C175" s="4" t="str">
        <f>IFERROR(__xludf.DUMMYFUNCTION("""🏘️ ""&amp;REGEXEXTRACT(B175, ""^(.*): "")&amp;"" ✅ "" &amp;REGEXEXTRACT(B175, ""(Trouvez.*)"")"),"🏘️ Louer appartement Denges ✅ Trouvez le bien immobilier qui correspond idéalement à vos désirs sur ImmoScout24 - La plateforme de l'immobilier en Suisse.")</f>
        <v>🏘️ Louer appartement Denges ✅ Trouvez le bien immobilier qui correspond idéalement à vos désirs sur ImmoScout24 - La plateforme de l'immobilier en Suisse.</v>
      </c>
      <c r="D175" s="4" t="str">
        <f>vlookup(A175, Sheet2!D:E, 2, 0)</f>
        <v>variant</v>
      </c>
      <c r="E175" s="4" t="str">
        <f>IFERROR(__xludf.DUMMYFUNCTION("if(H175=""pays"",vlookup(REGEXEXTRACT(C175, ""🏘️ \w+ \w+ (.*) ✅""),'Country prepositions'!A:B, 2, 0) &amp; "" "" &amp; REGEXEXTRACT(C175, ""🏘️ \w+ \w+ (.*) ✅"") ,  if(H175=""quartier"",vlookup(REGEXEXTRACT(C175, ""🏘️ \w+ \w+ (.*) ✅""),'Quartier prepositions'!A"&amp;":E, 5, 0) ,  if(H175=""region"",vlookup(REGEXEXTRACT(C175, ""🏘️ \w+ \w+ (.*) ✅""),'Region prepositions'!B:F, 5, 0),  REGEXEXTRACT(C175, ""🏘️ \w+ \w+ (.*) ✅""))))"),"Denges")</f>
        <v>Denges</v>
      </c>
      <c r="F175" s="2" t="str">
        <f>IFERROR(__xludf.DUMMYFUNCTION("REGEXEXTRACT(C175, ""🏘️ (\w+) \w+ .* ✅"")"),"Louer")</f>
        <v>Louer</v>
      </c>
      <c r="G175" s="2" t="str">
        <f>IFERROR(__xludf.DUMMYFUNCTION("REGEXEXTRACT(C175, ""🏘️ \w+ (\w+) .* ✅"")"),"appartement")</f>
        <v>appartement</v>
      </c>
      <c r="H175" s="4" t="str">
        <f>IFERROR(__xludf.DUMMYFUNCTION("REGEXEXTRACT(A175, ""/(\w+)-.*?"")"),"lieu")</f>
        <v>lieu</v>
      </c>
      <c r="I175" s="4" t="str">
        <f>IFERROR(__xludf.DUMMYFUNCTION("if(D175=""variant"",  substitute(filter(Templates!E:E, Templates!A:A = F175, Templates!B:B = G175, Templates!C:C = H175), ""{{}}"", E175), B175)"),"🏘  Vous cherchez un appartement à louer à Denges? ✅ Les annonces les plus actuelles sont sur ImmoScout24.ch.")</f>
        <v>🏘  Vous cherchez un appartement à louer à Denges? ✅ Les annonces les plus actuelles sont sur ImmoScout24.ch.</v>
      </c>
      <c r="J175" s="4" t="s">
        <v>531</v>
      </c>
    </row>
    <row r="176">
      <c r="A176" s="5" t="s">
        <v>532</v>
      </c>
      <c r="B176" s="2" t="s">
        <v>533</v>
      </c>
      <c r="C176" s="4" t="str">
        <f>IFERROR(__xludf.DUMMYFUNCTION("""🏘️ ""&amp;REGEXEXTRACT(B176, ""^(.*): "")&amp;"" ✅ "" &amp;REGEXEXTRACT(B176, ""(Trouvez.*)"")"),"🏘️ Louer appartement Le Châtelard VS ✅ Trouvez le bien immobilier qui correspond idéalement à vos désirs sur ImmoScout24 - La plateforme de l'immobilier en Suisse.")</f>
        <v>🏘️ Louer appartement Le Châtelard VS ✅ Trouvez le bien immobilier qui correspond idéalement à vos désirs sur ImmoScout24 - La plateforme de l'immobilier en Suisse.</v>
      </c>
      <c r="D176" s="4" t="str">
        <f>vlookup(A176, Sheet2!D:E, 2, 0)</f>
        <v>variant</v>
      </c>
      <c r="E176" s="4" t="str">
        <f>IFERROR(__xludf.DUMMYFUNCTION("if(H176=""pays"",vlookup(REGEXEXTRACT(C176, ""🏘️ \w+ \w+ (.*) ✅""),'Country prepositions'!A:B, 2, 0) &amp; "" "" &amp; REGEXEXTRACT(C176, ""🏘️ \w+ \w+ (.*) ✅"") ,  if(H176=""quartier"",vlookup(REGEXEXTRACT(C176, ""🏘️ \w+ \w+ (.*) ✅""),'Quartier prepositions'!A"&amp;":E, 5, 0) ,  if(H176=""region"",vlookup(REGEXEXTRACT(C176, ""🏘️ \w+ \w+ (.*) ✅""),'Region prepositions'!B:F, 5, 0),  REGEXEXTRACT(C176, ""🏘️ \w+ \w+ (.*) ✅""))))"),"Le Châtelard VS")</f>
        <v>Le Châtelard VS</v>
      </c>
      <c r="F176" s="2" t="str">
        <f>IFERROR(__xludf.DUMMYFUNCTION("REGEXEXTRACT(C176, ""🏘️ (\w+) \w+ .* ✅"")"),"Louer")</f>
        <v>Louer</v>
      </c>
      <c r="G176" s="2" t="str">
        <f>IFERROR(__xludf.DUMMYFUNCTION("REGEXEXTRACT(C176, ""🏘️ \w+ (\w+) .* ✅"")"),"appartement")</f>
        <v>appartement</v>
      </c>
      <c r="H176" s="4" t="str">
        <f>IFERROR(__xludf.DUMMYFUNCTION("REGEXEXTRACT(A176, ""/(\w+)-.*?"")"),"lieu")</f>
        <v>lieu</v>
      </c>
      <c r="I176" s="8" t="str">
        <f>IFERROR(__xludf.DUMMYFUNCTION("if(D176=""variant"",  substitute(filter(Templates!E:E, Templates!A:A = F176, Templates!B:B = G176, Templates!C:C = H176), ""{{}}"", E176), B176)"),"🏘  Vous cherchez un appartement à louer à Le Châtelard VS? ✅ Les annonces les plus actuelles sont sur ImmoScout24.ch.")</f>
        <v>🏘  Vous cherchez un appartement à louer à Le Châtelard VS? ✅ Les annonces les plus actuelles sont sur ImmoScout24.ch.</v>
      </c>
      <c r="J176" s="2" t="s">
        <v>534</v>
      </c>
    </row>
    <row r="177">
      <c r="A177" s="5" t="s">
        <v>535</v>
      </c>
      <c r="B177" s="2" t="s">
        <v>536</v>
      </c>
      <c r="C177" s="4" t="str">
        <f>IFERROR(__xludf.DUMMYFUNCTION("""🏘️ ""&amp;REGEXEXTRACT(B177, ""^(.*): "")&amp;"" ✅ "" &amp;REGEXEXTRACT(B177, ""(Trouvez.*)"")"),"🏘️ Vendre appartement Vuadens ✅ Trouvez le bien immobilier qui correspond idéalement à vos désirs sur ImmoScout24 - La plateforme de l'immobilier en Suisse.")</f>
        <v>🏘️ Vendre appartement Vuadens ✅ Trouvez le bien immobilier qui correspond idéalement à vos désirs sur ImmoScout24 - La plateforme de l'immobilier en Suisse.</v>
      </c>
      <c r="D177" s="4" t="str">
        <f>vlookup(A177, Sheet2!D:E, 2, 0)</f>
        <v>variant</v>
      </c>
      <c r="E177" s="4" t="str">
        <f>IFERROR(__xludf.DUMMYFUNCTION("if(H177=""pays"",vlookup(REGEXEXTRACT(C177, ""🏘️ \w+ \w+ (.*) ✅""),'Country prepositions'!A:B, 2, 0) &amp; "" "" &amp; REGEXEXTRACT(C177, ""🏘️ \w+ \w+ (.*) ✅"") ,  if(H177=""quartier"",vlookup(REGEXEXTRACT(C177, ""🏘️ \w+ \w+ (.*) ✅""),'Quartier prepositions'!A"&amp;":E, 5, 0) ,  if(H177=""region"",vlookup(REGEXEXTRACT(C177, ""🏘️ \w+ \w+ (.*) ✅""),'Region prepositions'!B:F, 5, 0),  REGEXEXTRACT(C177, ""🏘️ \w+ \w+ (.*) ✅""))))"),"Vuadens")</f>
        <v>Vuadens</v>
      </c>
      <c r="F177" s="2" t="str">
        <f>IFERROR(__xludf.DUMMYFUNCTION("REGEXEXTRACT(C177, ""🏘️ (\w+) \w+ .* ✅"")"),"Vendre")</f>
        <v>Vendre</v>
      </c>
      <c r="G177" s="2" t="str">
        <f>IFERROR(__xludf.DUMMYFUNCTION("REGEXEXTRACT(C177, ""🏘️ \w+ (\w+) .* ✅"")"),"appartement")</f>
        <v>appartement</v>
      </c>
      <c r="H177" s="4" t="str">
        <f>IFERROR(__xludf.DUMMYFUNCTION("REGEXEXTRACT(A177, ""/(\w+)-.*?"")"),"lieu")</f>
        <v>lieu</v>
      </c>
      <c r="I177" s="4" t="str">
        <f>IFERROR(__xludf.DUMMYFUNCTION("if(D177=""variant"",  substitute(filter(Templates!E:E, Templates!A:A = F177, Templates!B:B = G177, Templates!C:C = H177), ""{{}}"", E177), B177)"),"🏘  L’appartement de vos rêves se trouve sur ImmoScout24.ch ✅ Découvrez les dernières annonces de vente à Vuadens.")</f>
        <v>🏘  L’appartement de vos rêves se trouve sur ImmoScout24.ch ✅ Découvrez les dernières annonces de vente à Vuadens.</v>
      </c>
      <c r="J177" s="4" t="s">
        <v>537</v>
      </c>
    </row>
    <row r="178">
      <c r="A178" s="5" t="s">
        <v>538</v>
      </c>
      <c r="B178" s="2" t="s">
        <v>539</v>
      </c>
      <c r="C178" s="4" t="str">
        <f>IFERROR(__xludf.DUMMYFUNCTION("""🏘️ ""&amp;REGEXEXTRACT(B178, ""^(.*): "")&amp;"" ✅ "" &amp;REGEXEXTRACT(B178, ""(Trouvez.*)"")"),"🏘️ Louer appartement Sursee ✅ Trouvez le bien immobilier qui correspond idéalement à vos désirs sur ImmoScout24 - La plateforme de l'immobilier en Suisse.")</f>
        <v>🏘️ Louer appartement Sursee ✅ Trouvez le bien immobilier qui correspond idéalement à vos désirs sur ImmoScout24 - La plateforme de l'immobilier en Suisse.</v>
      </c>
      <c r="D178" s="4" t="str">
        <f>vlookup(A178, Sheet2!D:E, 2, 0)</f>
        <v>variant</v>
      </c>
      <c r="E178" s="4" t="str">
        <f>IFERROR(__xludf.DUMMYFUNCTION("if(H178=""pays"",vlookup(REGEXEXTRACT(C178, ""🏘️ \w+ \w+ (.*) ✅""),'Country prepositions'!A:B, 2, 0) &amp; "" "" &amp; REGEXEXTRACT(C178, ""🏘️ \w+ \w+ (.*) ✅"") ,  if(H178=""quartier"",vlookup(REGEXEXTRACT(C178, ""🏘️ \w+ \w+ (.*) ✅""),'Quartier prepositions'!A"&amp;":E, 5, 0) ,  if(H178=""region"",vlookup(REGEXEXTRACT(C178, ""🏘️ \w+ \w+ (.*) ✅""),'Region prepositions'!B:F, 5, 0),  REGEXEXTRACT(C178, ""🏘️ \w+ \w+ (.*) ✅""))))"),"Sursee")</f>
        <v>Sursee</v>
      </c>
      <c r="F178" s="2" t="str">
        <f>IFERROR(__xludf.DUMMYFUNCTION("REGEXEXTRACT(C178, ""🏘️ (\w+) \w+ .* ✅"")"),"Louer")</f>
        <v>Louer</v>
      </c>
      <c r="G178" s="2" t="str">
        <f>IFERROR(__xludf.DUMMYFUNCTION("REGEXEXTRACT(C178, ""🏘️ \w+ (\w+) .* ✅"")"),"appartement")</f>
        <v>appartement</v>
      </c>
      <c r="H178" s="4" t="str">
        <f>IFERROR(__xludf.DUMMYFUNCTION("REGEXEXTRACT(A178, ""/(\w+)-.*?"")"),"lieu")</f>
        <v>lieu</v>
      </c>
      <c r="I178" s="4" t="str">
        <f>IFERROR(__xludf.DUMMYFUNCTION("if(D178=""variant"",  substitute(filter(Templates!E:E, Templates!A:A = F178, Templates!B:B = G178, Templates!C:C = H178), ""{{}}"", E178), B178)"),"🏘  Vous cherchez un appartement à louer à Sursee? ✅ Les annonces les plus actuelles sont sur ImmoScout24.ch.")</f>
        <v>🏘  Vous cherchez un appartement à louer à Sursee? ✅ Les annonces les plus actuelles sont sur ImmoScout24.ch.</v>
      </c>
      <c r="J178" s="4" t="s">
        <v>540</v>
      </c>
    </row>
    <row r="179">
      <c r="A179" s="5" t="s">
        <v>541</v>
      </c>
      <c r="B179" s="2" t="s">
        <v>542</v>
      </c>
      <c r="C179" s="4" t="str">
        <f>IFERROR(__xludf.DUMMYFUNCTION("""🏘️ ""&amp;REGEXEXTRACT(B179, ""^(.*): "")&amp;"" ✅ "" &amp;REGEXEXTRACT(B179, ""(Trouvez.*)"")"),"🏘️ Vendre maison Les Giettes ✅ Trouvez le bien immobilier qui correspond idéalement à vos désirs sur ImmoScout24 - La plateforme de l'immobilier en Suisse.")</f>
        <v>🏘️ Vendre maison Les Giettes ✅ Trouvez le bien immobilier qui correspond idéalement à vos désirs sur ImmoScout24 - La plateforme de l'immobilier en Suisse.</v>
      </c>
      <c r="D179" s="4" t="str">
        <f>vlookup(A179, Sheet2!D:E, 2, 0)</f>
        <v>variant</v>
      </c>
      <c r="E179" s="4" t="str">
        <f>IFERROR(__xludf.DUMMYFUNCTION("if(H179=""pays"",vlookup(REGEXEXTRACT(C179, ""🏘️ \w+ \w+ (.*) ✅""),'Country prepositions'!A:B, 2, 0) &amp; "" "" &amp; REGEXEXTRACT(C179, ""🏘️ \w+ \w+ (.*) ✅"") ,  if(H179=""quartier"",vlookup(REGEXEXTRACT(C179, ""🏘️ \w+ \w+ (.*) ✅""),'Quartier prepositions'!A"&amp;":E, 5, 0) ,  if(H179=""region"",vlookup(REGEXEXTRACT(C179, ""🏘️ \w+ \w+ (.*) ✅""),'Region prepositions'!B:F, 5, 0),  REGEXEXTRACT(C179, ""🏘️ \w+ \w+ (.*) ✅""))))"),"Les Giettes")</f>
        <v>Les Giettes</v>
      </c>
      <c r="F179" s="2" t="str">
        <f>IFERROR(__xludf.DUMMYFUNCTION("REGEXEXTRACT(C179, ""🏘️ (\w+) \w+ .* ✅"")"),"Vendre")</f>
        <v>Vendre</v>
      </c>
      <c r="G179" s="2" t="str">
        <f>IFERROR(__xludf.DUMMYFUNCTION("REGEXEXTRACT(C179, ""🏘️ \w+ (\w+) .* ✅"")"),"maison")</f>
        <v>maison</v>
      </c>
      <c r="H179" s="4" t="str">
        <f>IFERROR(__xludf.DUMMYFUNCTION("REGEXEXTRACT(A179, ""/(\w+)-.*?"")"),"lieu")</f>
        <v>lieu</v>
      </c>
      <c r="I179" s="8" t="str">
        <f>IFERROR(__xludf.DUMMYFUNCTION("if(D179=""variant"",  substitute(filter(Templates!E:E, Templates!A:A = F179, Templates!B:B = G179, Templates!C:C = H179), ""{{}}"", E179), B179)"),"🏘  Vous souhaitez acheter une maison à Les Giettes? ✅ Jetez un œil aux dernières offres sur ImmoScout24.ch.")</f>
        <v>🏘  Vous souhaitez acheter une maison à Les Giettes? ✅ Jetez un œil aux dernières offres sur ImmoScout24.ch.</v>
      </c>
      <c r="J179" s="2" t="s">
        <v>543</v>
      </c>
    </row>
    <row r="180">
      <c r="A180" s="5" t="s">
        <v>544</v>
      </c>
      <c r="B180" s="2" t="s">
        <v>545</v>
      </c>
      <c r="C180" s="4" t="str">
        <f>IFERROR(__xludf.DUMMYFUNCTION("""🏘️ ""&amp;REGEXEXTRACT(B180, ""^(.*): "")&amp;"" ✅ "" &amp;REGEXEXTRACT(B180, ""(Trouvez.*)"")"),"🏘️ Vendre maison Monbijou (Berne) ✅ Trouvez le bien immobilier qui correspond idéalement à vos désirs sur ImmoScout24 - La plateforme de l'immobilier en Suisse.")</f>
        <v>🏘️ Vendre maison Monbijou (Berne) ✅ Trouvez le bien immobilier qui correspond idéalement à vos désirs sur ImmoScout24 - La plateforme de l'immobilier en Suisse.</v>
      </c>
      <c r="D180" s="4" t="str">
        <f>vlookup(A180, Sheet2!D:E, 2, 0)</f>
        <v>variant</v>
      </c>
      <c r="E180" s="4" t="str">
        <f>IFERROR(__xludf.DUMMYFUNCTION("if(H180=""pays"",vlookup(REGEXEXTRACT(C180, ""🏘️ \w+ \w+ (.*) ✅""),'Country prepositions'!A:B, 2, 0) &amp; "" "" &amp; REGEXEXTRACT(C180, ""🏘️ \w+ \w+ (.*) ✅"") ,  if(H180=""quartier"",vlookup(REGEXEXTRACT(C180, ""🏘️ \w+ \w+ (.*) ✅""),'Quartier prepositions'!A"&amp;":E, 5, 0) ,  if(H180=""region"",vlookup(REGEXEXTRACT(C180, ""🏘️ \w+ \w+ (.*) ✅""),'Region prepositions'!B:F, 5, 0),  REGEXEXTRACT(C180, ""🏘️ \w+ \w+ (.*) ✅""))))"),"dans le quartier de Monbijou (Berne)")</f>
        <v>dans le quartier de Monbijou (Berne)</v>
      </c>
      <c r="F180" s="2" t="str">
        <f>IFERROR(__xludf.DUMMYFUNCTION("REGEXEXTRACT(C180, ""🏘️ (\w+) \w+ .* ✅"")"),"Vendre")</f>
        <v>Vendre</v>
      </c>
      <c r="G180" s="2" t="str">
        <f>IFERROR(__xludf.DUMMYFUNCTION("REGEXEXTRACT(C180, ""🏘️ \w+ (\w+) .* ✅"")"),"maison")</f>
        <v>maison</v>
      </c>
      <c r="H180" s="4" t="str">
        <f>IFERROR(__xludf.DUMMYFUNCTION("REGEXEXTRACT(A180, ""/(\w+)-.*?"")"),"quartier")</f>
        <v>quartier</v>
      </c>
      <c r="I180" s="4" t="str">
        <f>IFERROR(__xludf.DUMMYFUNCTION("if(D180=""variant"",  substitute(filter(Templates!E:E, Templates!A:A = F180, Templates!B:B = G180, Templates!C:C = H180), ""{{}}"", E180), B180)"),"🏘  Vous souhaitez acheter une maison dans le quartier de Monbijou (Berne)? ✅ Jetez un œil aux dernières offres sur ImmoScout24.ch.")</f>
        <v>🏘  Vous souhaitez acheter une maison dans le quartier de Monbijou (Berne)? ✅ Jetez un œil aux dernières offres sur ImmoScout24.ch.</v>
      </c>
      <c r="J180" s="4" t="s">
        <v>546</v>
      </c>
    </row>
    <row r="181">
      <c r="A181" s="5" t="s">
        <v>547</v>
      </c>
      <c r="B181" s="2" t="s">
        <v>548</v>
      </c>
      <c r="C181" s="4" t="str">
        <f>IFERROR(__xludf.DUMMYFUNCTION("""🏘️ ""&amp;REGEXEXTRACT(B181, ""^(.*): "")&amp;"" ✅ "" &amp;REGEXEXTRACT(B181, ""(Trouvez.*)"")"),"🏘️ Vendre maison Montagnola ✅ Trouvez le bien immobilier qui correspond idéalement à vos désirs sur ImmoScout24 - La plateforme de l'immobilier en Suisse.")</f>
        <v>🏘️ Vendre maison Montagnola ✅ Trouvez le bien immobilier qui correspond idéalement à vos désirs sur ImmoScout24 - La plateforme de l'immobilier en Suisse.</v>
      </c>
      <c r="D181" s="4" t="str">
        <f>vlookup(A181, Sheet2!D:E, 2, 0)</f>
        <v>variant</v>
      </c>
      <c r="E181" s="4" t="str">
        <f>IFERROR(__xludf.DUMMYFUNCTION("if(H181=""pays"",vlookup(REGEXEXTRACT(C181, ""🏘️ \w+ \w+ (.*) ✅""),'Country prepositions'!A:B, 2, 0) &amp; "" "" &amp; REGEXEXTRACT(C181, ""🏘️ \w+ \w+ (.*) ✅"") ,  if(H181=""quartier"",vlookup(REGEXEXTRACT(C181, ""🏘️ \w+ \w+ (.*) ✅""),'Quartier prepositions'!A"&amp;":E, 5, 0) ,  if(H181=""region"",vlookup(REGEXEXTRACT(C181, ""🏘️ \w+ \w+ (.*) ✅""),'Region prepositions'!B:F, 5, 0),  REGEXEXTRACT(C181, ""🏘️ \w+ \w+ (.*) ✅""))))"),"Montagnola")</f>
        <v>Montagnola</v>
      </c>
      <c r="F181" s="2" t="str">
        <f>IFERROR(__xludf.DUMMYFUNCTION("REGEXEXTRACT(C181, ""🏘️ (\w+) \w+ .* ✅"")"),"Vendre")</f>
        <v>Vendre</v>
      </c>
      <c r="G181" s="2" t="str">
        <f>IFERROR(__xludf.DUMMYFUNCTION("REGEXEXTRACT(C181, ""🏘️ \w+ (\w+) .* ✅"")"),"maison")</f>
        <v>maison</v>
      </c>
      <c r="H181" s="4" t="str">
        <f>IFERROR(__xludf.DUMMYFUNCTION("REGEXEXTRACT(A181, ""/(\w+)-.*?"")"),"lieu")</f>
        <v>lieu</v>
      </c>
      <c r="I181" s="4" t="str">
        <f>IFERROR(__xludf.DUMMYFUNCTION("if(D181=""variant"",  substitute(filter(Templates!E:E, Templates!A:A = F181, Templates!B:B = G181, Templates!C:C = H181), ""{{}}"", E181), B181)"),"🏘  Vous souhaitez acheter une maison à Montagnola? ✅ Jetez un œil aux dernières offres sur ImmoScout24.ch.")</f>
        <v>🏘  Vous souhaitez acheter une maison à Montagnola? ✅ Jetez un œil aux dernières offres sur ImmoScout24.ch.</v>
      </c>
      <c r="J181" s="4" t="s">
        <v>549</v>
      </c>
    </row>
    <row r="182">
      <c r="A182" s="3" t="s">
        <v>550</v>
      </c>
      <c r="B182" s="2" t="s">
        <v>551</v>
      </c>
      <c r="C182" s="4" t="str">
        <f>IFERROR(__xludf.DUMMYFUNCTION("""🏘️ ""&amp;REGEXEXTRACT(B182, ""^(.*): "")&amp;"" ✅ "" &amp;REGEXEXTRACT(B182, ""(Trouvez.*)"")"),"🏘️ Louer maison Liechtenstein ✅ Trouvez le bien immobilier qui correspond idéalement à vos désirs sur ImmoScout24 - La plateforme de l'immobilier en Suisse.")</f>
        <v>🏘️ Louer maison Liechtenstein ✅ Trouvez le bien immobilier qui correspond idéalement à vos désirs sur ImmoScout24 - La plateforme de l'immobilier en Suisse.</v>
      </c>
      <c r="D182" s="4" t="str">
        <f>vlookup(A182, Sheet2!D:E, 2, 0)</f>
        <v>variant</v>
      </c>
      <c r="E182" s="4" t="str">
        <f>IFERROR(__xludf.DUMMYFUNCTION("if(H182=""pays"",vlookup(REGEXEXTRACT(C182, ""🏘️ \w+ \w+ (.*) ✅""),'Country prepositions'!A:B, 2, 0) &amp; "" "" &amp; REGEXEXTRACT(C182, ""🏘️ \w+ \w+ (.*) ✅"") ,  if(H182=""quartier"",vlookup(REGEXEXTRACT(C182, ""🏘️ \w+ \w+ (.*) ✅""),'Quartier prepositions'!A"&amp;":E, 5, 0) ,  if(H182=""region"",vlookup(REGEXEXTRACT(C182, ""🏘️ \w+ \w+ (.*) ✅""),'Region prepositions'!B:F, 5, 0),  REGEXEXTRACT(C182, ""🏘️ \w+ \w+ (.*) ✅""))))"),"au Liechtenstein")</f>
        <v>au Liechtenstein</v>
      </c>
      <c r="F182" s="2" t="str">
        <f>IFERROR(__xludf.DUMMYFUNCTION("REGEXEXTRACT(C182, ""🏘️ (\w+) \w+ .* ✅"")"),"Louer")</f>
        <v>Louer</v>
      </c>
      <c r="G182" s="2" t="str">
        <f>IFERROR(__xludf.DUMMYFUNCTION("REGEXEXTRACT(C182, ""🏘️ \w+ (\w+) .* ✅"")"),"maison")</f>
        <v>maison</v>
      </c>
      <c r="H182" s="4" t="str">
        <f>IFERROR(__xludf.DUMMYFUNCTION("REGEXEXTRACT(A182, ""/(\w+)-.*?"")"),"pays")</f>
        <v>pays</v>
      </c>
      <c r="I182" s="4" t="str">
        <f>IFERROR(__xludf.DUMMYFUNCTION("if(D182=""variant"",  substitute(filter(Templates!E:E, Templates!A:A = F182, Templates!B:B = G182, Templates!C:C = H182), ""{{}}"", E182), B182)"),"🏘  Vous cherchez un appartement à louer au Liechtenstein? ✅ Les annonces les plus actuelles sont sur ImmoScout24.ch.")</f>
        <v>🏘  Vous cherchez un appartement à louer au Liechtenstein? ✅ Les annonces les plus actuelles sont sur ImmoScout24.ch.</v>
      </c>
      <c r="J182" s="4" t="s">
        <v>552</v>
      </c>
    </row>
    <row r="183">
      <c r="A183" s="5" t="s">
        <v>553</v>
      </c>
      <c r="B183" s="2" t="s">
        <v>554</v>
      </c>
      <c r="C183" s="4" t="str">
        <f>IFERROR(__xludf.DUMMYFUNCTION("""🏘️ ""&amp;REGEXEXTRACT(B183, ""^(.*): "")&amp;"" ✅ "" &amp;REGEXEXTRACT(B183, ""(Trouvez.*)"")"),"🏘️ Louer appartement Sous-Gare - Ouchy (Lausanne) ✅ Trouvez le bien immobilier qui correspond idéalement à vos désirs sur ImmoScout24 - La plateforme de l'immobilier en Suisse.")</f>
        <v>🏘️ Louer appartement Sous-Gare - Ouchy (Lausanne) ✅ Trouvez le bien immobilier qui correspond idéalement à vos désirs sur ImmoScout24 - La plateforme de l'immobilier en Suisse.</v>
      </c>
      <c r="D183" s="4" t="str">
        <f>vlookup(A183, Sheet2!D:E, 2, 0)</f>
        <v>variant</v>
      </c>
      <c r="E183" s="4" t="str">
        <f>IFERROR(__xludf.DUMMYFUNCTION("if(H183=""pays"",vlookup(REGEXEXTRACT(C183, ""🏘️ \w+ \w+ (.*) ✅""),'Country prepositions'!A:B, 2, 0) &amp; "" "" &amp; REGEXEXTRACT(C183, ""🏘️ \w+ \w+ (.*) ✅"") ,  if(H183=""quartier"",vlookup(REGEXEXTRACT(C183, ""🏘️ \w+ \w+ (.*) ✅""),'Quartier prepositions'!A"&amp;":E, 5, 0) ,  if(H183=""region"",vlookup(REGEXEXTRACT(C183, ""🏘️ \w+ \w+ (.*) ✅""),'Region prepositions'!B:F, 5, 0),  REGEXEXTRACT(C183, ""🏘️ \w+ \w+ (.*) ✅""))))"),"dans le quartier de Sous-Gare - Ouchy (Lausanne)")</f>
        <v>dans le quartier de Sous-Gare - Ouchy (Lausanne)</v>
      </c>
      <c r="F183" s="2" t="str">
        <f>IFERROR(__xludf.DUMMYFUNCTION("REGEXEXTRACT(C183, ""🏘️ (\w+) \w+ .* ✅"")"),"Louer")</f>
        <v>Louer</v>
      </c>
      <c r="G183" s="2" t="str">
        <f>IFERROR(__xludf.DUMMYFUNCTION("REGEXEXTRACT(C183, ""🏘️ \w+ (\w+) .* ✅"")"),"appartement")</f>
        <v>appartement</v>
      </c>
      <c r="H183" s="4" t="str">
        <f>IFERROR(__xludf.DUMMYFUNCTION("REGEXEXTRACT(A183, ""/(\w+)-.*?"")"),"quartier")</f>
        <v>quartier</v>
      </c>
      <c r="I183" s="4" t="str">
        <f>IFERROR(__xludf.DUMMYFUNCTION("if(D183=""variant"",  substitute(filter(Templates!E:E, Templates!A:A = F183, Templates!B:B = G183, Templates!C:C = H183), ""{{}}"", E183), B183)"),"🏘  Vous cherchez un appartement à louer dans le quartier de Sous-Gare - Ouchy (Lausanne)? ✅ Les annonces les plus actuelles sont sur ImmoScout24.ch.")</f>
        <v>🏘  Vous cherchez un appartement à louer dans le quartier de Sous-Gare - Ouchy (Lausanne)? ✅ Les annonces les plus actuelles sont sur ImmoScout24.ch.</v>
      </c>
      <c r="J183" s="4" t="s">
        <v>555</v>
      </c>
    </row>
    <row r="184">
      <c r="A184" s="5" t="s">
        <v>556</v>
      </c>
      <c r="B184" s="2" t="s">
        <v>557</v>
      </c>
      <c r="C184" s="4" t="str">
        <f>IFERROR(__xludf.DUMMYFUNCTION("""🏘️ ""&amp;REGEXEXTRACT(B184, ""^(.*): "")&amp;"" ✅ "" &amp;REGEXEXTRACT(B184, ""(Trouvez.*)"")"),"🏘️ Vendre maison Trimbach ✅ Trouvez le bien immobilier qui correspond idéalement à vos désirs sur ImmoScout24 - La plateforme de l'immobilier en Suisse.")</f>
        <v>🏘️ Vendre maison Trimbach ✅ Trouvez le bien immobilier qui correspond idéalement à vos désirs sur ImmoScout24 - La plateforme de l'immobilier en Suisse.</v>
      </c>
      <c r="D184" s="4" t="str">
        <f>vlookup(A184, Sheet2!D:E, 2, 0)</f>
        <v>variant</v>
      </c>
      <c r="E184" s="4" t="str">
        <f>IFERROR(__xludf.DUMMYFUNCTION("if(H184=""pays"",vlookup(REGEXEXTRACT(C184, ""🏘️ \w+ \w+ (.*) ✅""),'Country prepositions'!A:B, 2, 0) &amp; "" "" &amp; REGEXEXTRACT(C184, ""🏘️ \w+ \w+ (.*) ✅"") ,  if(H184=""quartier"",vlookup(REGEXEXTRACT(C184, ""🏘️ \w+ \w+ (.*) ✅""),'Quartier prepositions'!A"&amp;":E, 5, 0) ,  if(H184=""region"",vlookup(REGEXEXTRACT(C184, ""🏘️ \w+ \w+ (.*) ✅""),'Region prepositions'!B:F, 5, 0),  REGEXEXTRACT(C184, ""🏘️ \w+ \w+ (.*) ✅""))))"),"Trimbach")</f>
        <v>Trimbach</v>
      </c>
      <c r="F184" s="2" t="str">
        <f>IFERROR(__xludf.DUMMYFUNCTION("REGEXEXTRACT(C184, ""🏘️ (\w+) \w+ .* ✅"")"),"Vendre")</f>
        <v>Vendre</v>
      </c>
      <c r="G184" s="2" t="str">
        <f>IFERROR(__xludf.DUMMYFUNCTION("REGEXEXTRACT(C184, ""🏘️ \w+ (\w+) .* ✅"")"),"maison")</f>
        <v>maison</v>
      </c>
      <c r="H184" s="4" t="str">
        <f>IFERROR(__xludf.DUMMYFUNCTION("REGEXEXTRACT(A184, ""/(\w+)-.*?"")"),"lieu")</f>
        <v>lieu</v>
      </c>
      <c r="I184" s="4" t="str">
        <f>IFERROR(__xludf.DUMMYFUNCTION("if(D184=""variant"",  substitute(filter(Templates!E:E, Templates!A:A = F184, Templates!B:B = G184, Templates!C:C = H184), ""{{}}"", E184), B184)"),"🏘  Vous souhaitez acheter une maison à Trimbach? ✅ Jetez un œil aux dernières offres sur ImmoScout24.ch.")</f>
        <v>🏘  Vous souhaitez acheter une maison à Trimbach? ✅ Jetez un œil aux dernières offres sur ImmoScout24.ch.</v>
      </c>
      <c r="J184" s="4" t="s">
        <v>558</v>
      </c>
    </row>
    <row r="185">
      <c r="A185" s="5" t="s">
        <v>559</v>
      </c>
      <c r="B185" s="2" t="s">
        <v>560</v>
      </c>
      <c r="C185" s="4" t="str">
        <f>IFERROR(__xludf.DUMMYFUNCTION("""🏘️ ""&amp;REGEXEXTRACT(B185, ""^(.*): "")&amp;"" ✅ "" &amp;REGEXEXTRACT(B185, ""(Trouvez.*)"")"),"🏘️ Vendre appartement Brunnen ✅ Trouvez le bien immobilier qui correspond idéalement à vos désirs sur ImmoScout24 - La plateforme de l'immobilier en Suisse.")</f>
        <v>🏘️ Vendre appartement Brunnen ✅ Trouvez le bien immobilier qui correspond idéalement à vos désirs sur ImmoScout24 - La plateforme de l'immobilier en Suisse.</v>
      </c>
      <c r="D185" s="4" t="str">
        <f>vlookup(A185, Sheet2!D:E, 2, 0)</f>
        <v>variant</v>
      </c>
      <c r="E185" s="4" t="str">
        <f>IFERROR(__xludf.DUMMYFUNCTION("if(H185=""pays"",vlookup(REGEXEXTRACT(C185, ""🏘️ \w+ \w+ (.*) ✅""),'Country prepositions'!A:B, 2, 0) &amp; "" "" &amp; REGEXEXTRACT(C185, ""🏘️ \w+ \w+ (.*) ✅"") ,  if(H185=""quartier"",vlookup(REGEXEXTRACT(C185, ""🏘️ \w+ \w+ (.*) ✅""),'Quartier prepositions'!A"&amp;":E, 5, 0) ,  if(H185=""region"",vlookup(REGEXEXTRACT(C185, ""🏘️ \w+ \w+ (.*) ✅""),'Region prepositions'!B:F, 5, 0),  REGEXEXTRACT(C185, ""🏘️ \w+ \w+ (.*) ✅""))))"),"Brunnen")</f>
        <v>Brunnen</v>
      </c>
      <c r="F185" s="2" t="str">
        <f>IFERROR(__xludf.DUMMYFUNCTION("REGEXEXTRACT(C185, ""🏘️ (\w+) \w+ .* ✅"")"),"Vendre")</f>
        <v>Vendre</v>
      </c>
      <c r="G185" s="2" t="str">
        <f>IFERROR(__xludf.DUMMYFUNCTION("REGEXEXTRACT(C185, ""🏘️ \w+ (\w+) .* ✅"")"),"appartement")</f>
        <v>appartement</v>
      </c>
      <c r="H185" s="4" t="str">
        <f>IFERROR(__xludf.DUMMYFUNCTION("REGEXEXTRACT(A185, ""/(\w+)-.*?"")"),"lieu")</f>
        <v>lieu</v>
      </c>
      <c r="I185" s="4" t="str">
        <f>IFERROR(__xludf.DUMMYFUNCTION("if(D185=""variant"",  substitute(filter(Templates!E:E, Templates!A:A = F185, Templates!B:B = G185, Templates!C:C = H185), ""{{}}"", E185), B185)"),"🏘  L’appartement de vos rêves se trouve sur ImmoScout24.ch ✅ Découvrez les dernières annonces de vente à Brunnen.")</f>
        <v>🏘  L’appartement de vos rêves se trouve sur ImmoScout24.ch ✅ Découvrez les dernières annonces de vente à Brunnen.</v>
      </c>
      <c r="J185" s="4" t="s">
        <v>561</v>
      </c>
    </row>
    <row r="186">
      <c r="A186" s="5" t="s">
        <v>562</v>
      </c>
      <c r="B186" s="2" t="s">
        <v>563</v>
      </c>
      <c r="C186" s="4" t="str">
        <f>IFERROR(__xludf.DUMMYFUNCTION("""🏘️ ""&amp;REGEXEXTRACT(B186, ""^(.*): "")&amp;"" ✅ "" &amp;REGEXEXTRACT(B186, ""(Trouvez.*)"")"),"🏘️ Vendre maison Schaan ✅ Trouvez le bien immobilier qui correspond idéalement à vos désirs sur ImmoScout24 - La plateforme de l'immobilier en Suisse.")</f>
        <v>🏘️ Vendre maison Schaan ✅ Trouvez le bien immobilier qui correspond idéalement à vos désirs sur ImmoScout24 - La plateforme de l'immobilier en Suisse.</v>
      </c>
      <c r="D186" s="4" t="str">
        <f>vlookup(A186, Sheet2!D:E, 2, 0)</f>
        <v>variant</v>
      </c>
      <c r="E186" s="4" t="str">
        <f>IFERROR(__xludf.DUMMYFUNCTION("if(H186=""pays"",vlookup(REGEXEXTRACT(C186, ""🏘️ \w+ \w+ (.*) ✅""),'Country prepositions'!A:B, 2, 0) &amp; "" "" &amp; REGEXEXTRACT(C186, ""🏘️ \w+ \w+ (.*) ✅"") ,  if(H186=""quartier"",vlookup(REGEXEXTRACT(C186, ""🏘️ \w+ \w+ (.*) ✅""),'Quartier prepositions'!A"&amp;":E, 5, 0) ,  if(H186=""region"",vlookup(REGEXEXTRACT(C186, ""🏘️ \w+ \w+ (.*) ✅""),'Region prepositions'!B:F, 5, 0),  REGEXEXTRACT(C186, ""🏘️ \w+ \w+ (.*) ✅""))))"),"Schaan")</f>
        <v>Schaan</v>
      </c>
      <c r="F186" s="2" t="str">
        <f>IFERROR(__xludf.DUMMYFUNCTION("REGEXEXTRACT(C186, ""🏘️ (\w+) \w+ .* ✅"")"),"Vendre")</f>
        <v>Vendre</v>
      </c>
      <c r="G186" s="2" t="str">
        <f>IFERROR(__xludf.DUMMYFUNCTION("REGEXEXTRACT(C186, ""🏘️ \w+ (\w+) .* ✅"")"),"maison")</f>
        <v>maison</v>
      </c>
      <c r="H186" s="4" t="str">
        <f>IFERROR(__xludf.DUMMYFUNCTION("REGEXEXTRACT(A186, ""/(\w+)-.*?"")"),"lieu")</f>
        <v>lieu</v>
      </c>
      <c r="I186" s="4" t="str">
        <f>IFERROR(__xludf.DUMMYFUNCTION("if(D186=""variant"",  substitute(filter(Templates!E:E, Templates!A:A = F186, Templates!B:B = G186, Templates!C:C = H186), ""{{}}"", E186), B186)"),"🏘  Vous souhaitez acheter une maison à Schaan? ✅ Jetez un œil aux dernières offres sur ImmoScout24.ch.")</f>
        <v>🏘  Vous souhaitez acheter une maison à Schaan? ✅ Jetez un œil aux dernières offres sur ImmoScout24.ch.</v>
      </c>
      <c r="J186" s="4" t="s">
        <v>564</v>
      </c>
    </row>
    <row r="187">
      <c r="A187" s="5" t="s">
        <v>565</v>
      </c>
      <c r="B187" s="2" t="s">
        <v>566</v>
      </c>
      <c r="C187" s="4" t="str">
        <f>IFERROR(__xludf.DUMMYFUNCTION("""🏘️ ""&amp;REGEXEXTRACT(B187, ""^(.*): "")&amp;"" ✅ "" &amp;REGEXEXTRACT(B187, ""(Trouvez.*)"")"),"🏘️ Vendre maison La Comballaz ✅ Trouvez le bien immobilier qui correspond idéalement à vos désirs sur ImmoScout24 - La plateforme de l'immobilier en Suisse.")</f>
        <v>🏘️ Vendre maison La Comballaz ✅ Trouvez le bien immobilier qui correspond idéalement à vos désirs sur ImmoScout24 - La plateforme de l'immobilier en Suisse.</v>
      </c>
      <c r="D187" s="4" t="str">
        <f>vlookup(A187, Sheet2!D:E, 2, 0)</f>
        <v>variant</v>
      </c>
      <c r="E187" s="4" t="str">
        <f>IFERROR(__xludf.DUMMYFUNCTION("if(H187=""pays"",vlookup(REGEXEXTRACT(C187, ""🏘️ \w+ \w+ (.*) ✅""),'Country prepositions'!A:B, 2, 0) &amp; "" "" &amp; REGEXEXTRACT(C187, ""🏘️ \w+ \w+ (.*) ✅"") ,  if(H187=""quartier"",vlookup(REGEXEXTRACT(C187, ""🏘️ \w+ \w+ (.*) ✅""),'Quartier prepositions'!A"&amp;":E, 5, 0) ,  if(H187=""region"",vlookup(REGEXEXTRACT(C187, ""🏘️ \w+ \w+ (.*) ✅""),'Region prepositions'!B:F, 5, 0),  REGEXEXTRACT(C187, ""🏘️ \w+ \w+ (.*) ✅""))))"),"La Comballaz")</f>
        <v>La Comballaz</v>
      </c>
      <c r="F187" s="2" t="str">
        <f>IFERROR(__xludf.DUMMYFUNCTION("REGEXEXTRACT(C187, ""🏘️ (\w+) \w+ .* ✅"")"),"Vendre")</f>
        <v>Vendre</v>
      </c>
      <c r="G187" s="2" t="str">
        <f>IFERROR(__xludf.DUMMYFUNCTION("REGEXEXTRACT(C187, ""🏘️ \w+ (\w+) .* ✅"")"),"maison")</f>
        <v>maison</v>
      </c>
      <c r="H187" s="4" t="str">
        <f>IFERROR(__xludf.DUMMYFUNCTION("REGEXEXTRACT(A187, ""/(\w+)-.*?"")"),"lieu")</f>
        <v>lieu</v>
      </c>
      <c r="I187" s="4" t="str">
        <f>IFERROR(__xludf.DUMMYFUNCTION("if(D187=""variant"",  substitute(filter(Templates!E:E, Templates!A:A = F187, Templates!B:B = G187, Templates!C:C = H187), ""{{}}"", E187), B187)"),"🏘  Vous souhaitez acheter une maison à La Comballaz? ✅ Jetez un œil aux dernières offres sur ImmoScout24.ch.")</f>
        <v>🏘  Vous souhaitez acheter une maison à La Comballaz? ✅ Jetez un œil aux dernières offres sur ImmoScout24.ch.</v>
      </c>
      <c r="J187" s="4" t="s">
        <v>567</v>
      </c>
    </row>
    <row r="188">
      <c r="A188" s="5" t="s">
        <v>568</v>
      </c>
      <c r="B188" s="2" t="s">
        <v>569</v>
      </c>
      <c r="C188" s="4" t="str">
        <f>IFERROR(__xludf.DUMMYFUNCTION("""🏘️ ""&amp;REGEXEXTRACT(B188, ""^(.*): "")&amp;"" ✅ "" &amp;REGEXEXTRACT(B188, ""(Trouvez.*)"")"),"🏘️ Vendre maison Boulens ✅ Trouvez le bien immobilier qui correspond idéalement à vos désirs sur ImmoScout24 - La plateforme de l'immobilier en Suisse.")</f>
        <v>🏘️ Vendre maison Boulens ✅ Trouvez le bien immobilier qui correspond idéalement à vos désirs sur ImmoScout24 - La plateforme de l'immobilier en Suisse.</v>
      </c>
      <c r="D188" s="4" t="str">
        <f>vlookup(A188, Sheet2!D:E, 2, 0)</f>
        <v>variant</v>
      </c>
      <c r="E188" s="4" t="str">
        <f>IFERROR(__xludf.DUMMYFUNCTION("if(H188=""pays"",vlookup(REGEXEXTRACT(C188, ""🏘️ \w+ \w+ (.*) ✅""),'Country prepositions'!A:B, 2, 0) &amp; "" "" &amp; REGEXEXTRACT(C188, ""🏘️ \w+ \w+ (.*) ✅"") ,  if(H188=""quartier"",vlookup(REGEXEXTRACT(C188, ""🏘️ \w+ \w+ (.*) ✅""),'Quartier prepositions'!A"&amp;":E, 5, 0) ,  if(H188=""region"",vlookup(REGEXEXTRACT(C188, ""🏘️ \w+ \w+ (.*) ✅""),'Region prepositions'!B:F, 5, 0),  REGEXEXTRACT(C188, ""🏘️ \w+ \w+ (.*) ✅""))))"),"Boulens")</f>
        <v>Boulens</v>
      </c>
      <c r="F188" s="2" t="str">
        <f>IFERROR(__xludf.DUMMYFUNCTION("REGEXEXTRACT(C188, ""🏘️ (\w+) \w+ .* ✅"")"),"Vendre")</f>
        <v>Vendre</v>
      </c>
      <c r="G188" s="2" t="str">
        <f>IFERROR(__xludf.DUMMYFUNCTION("REGEXEXTRACT(C188, ""🏘️ \w+ (\w+) .* ✅"")"),"maison")</f>
        <v>maison</v>
      </c>
      <c r="H188" s="4" t="str">
        <f>IFERROR(__xludf.DUMMYFUNCTION("REGEXEXTRACT(A188, ""/(\w+)-.*?"")"),"lieu")</f>
        <v>lieu</v>
      </c>
      <c r="I188" s="4" t="str">
        <f>IFERROR(__xludf.DUMMYFUNCTION("if(D188=""variant"",  substitute(filter(Templates!E:E, Templates!A:A = F188, Templates!B:B = G188, Templates!C:C = H188), ""{{}}"", E188), B188)"),"🏘  Vous souhaitez acheter une maison à Boulens? ✅ Jetez un œil aux dernières offres sur ImmoScout24.ch.")</f>
        <v>🏘  Vous souhaitez acheter une maison à Boulens? ✅ Jetez un œil aux dernières offres sur ImmoScout24.ch.</v>
      </c>
      <c r="J188" s="4" t="s">
        <v>570</v>
      </c>
    </row>
    <row r="189">
      <c r="A189" s="5" t="s">
        <v>571</v>
      </c>
      <c r="B189" s="2" t="s">
        <v>572</v>
      </c>
      <c r="C189" s="4" t="str">
        <f>IFERROR(__xludf.DUMMYFUNCTION("""🏘️ ""&amp;REGEXEXTRACT(B189, ""^(.*): "")&amp;"" ✅ "" &amp;REGEXEXTRACT(B189, ""(Trouvez.*)"")"),"🏘️ Louer appartement Schwadernau ✅ Trouvez le bien immobilier qui correspond idéalement à vos désirs sur ImmoScout24 - La plateforme de l'immobilier en Suisse.")</f>
        <v>🏘️ Louer appartement Schwadernau ✅ Trouvez le bien immobilier qui correspond idéalement à vos désirs sur ImmoScout24 - La plateforme de l'immobilier en Suisse.</v>
      </c>
      <c r="D189" s="4" t="str">
        <f>vlookup(A189, Sheet2!D:E, 2, 0)</f>
        <v>variant</v>
      </c>
      <c r="E189" s="4" t="str">
        <f>IFERROR(__xludf.DUMMYFUNCTION("if(H189=""pays"",vlookup(REGEXEXTRACT(C189, ""🏘️ \w+ \w+ (.*) ✅""),'Country prepositions'!A:B, 2, 0) &amp; "" "" &amp; REGEXEXTRACT(C189, ""🏘️ \w+ \w+ (.*) ✅"") ,  if(H189=""quartier"",vlookup(REGEXEXTRACT(C189, ""🏘️ \w+ \w+ (.*) ✅""),'Quartier prepositions'!A"&amp;":E, 5, 0) ,  if(H189=""region"",vlookup(REGEXEXTRACT(C189, ""🏘️ \w+ \w+ (.*) ✅""),'Region prepositions'!B:F, 5, 0),  REGEXEXTRACT(C189, ""🏘️ \w+ \w+ (.*) ✅""))))"),"Schwadernau")</f>
        <v>Schwadernau</v>
      </c>
      <c r="F189" s="2" t="str">
        <f>IFERROR(__xludf.DUMMYFUNCTION("REGEXEXTRACT(C189, ""🏘️ (\w+) \w+ .* ✅"")"),"Louer")</f>
        <v>Louer</v>
      </c>
      <c r="G189" s="2" t="str">
        <f>IFERROR(__xludf.DUMMYFUNCTION("REGEXEXTRACT(C189, ""🏘️ \w+ (\w+) .* ✅"")"),"appartement")</f>
        <v>appartement</v>
      </c>
      <c r="H189" s="4" t="str">
        <f>IFERROR(__xludf.DUMMYFUNCTION("REGEXEXTRACT(A189, ""/(\w+)-.*?"")"),"lieu")</f>
        <v>lieu</v>
      </c>
      <c r="I189" s="4" t="str">
        <f>IFERROR(__xludf.DUMMYFUNCTION("if(D189=""variant"",  substitute(filter(Templates!E:E, Templates!A:A = F189, Templates!B:B = G189, Templates!C:C = H189), ""{{}}"", E189), B189)"),"🏘  Vous cherchez un appartement à louer à Schwadernau? ✅ Les annonces les plus actuelles sont sur ImmoScout24.ch.")</f>
        <v>🏘  Vous cherchez un appartement à louer à Schwadernau? ✅ Les annonces les plus actuelles sont sur ImmoScout24.ch.</v>
      </c>
      <c r="J189" s="4" t="s">
        <v>573</v>
      </c>
    </row>
    <row r="190">
      <c r="A190" s="5" t="s">
        <v>574</v>
      </c>
      <c r="B190" s="2" t="s">
        <v>575</v>
      </c>
      <c r="C190" s="4" t="str">
        <f>IFERROR(__xludf.DUMMYFUNCTION("""🏘️ ""&amp;REGEXEXTRACT(B190, ""^(.*): "")&amp;"" ✅ "" &amp;REGEXEXTRACT(B190, ""(Trouvez.*)"")"),"🏘️ Vendre appartement Bioley-Orjulaz ✅ Trouvez le bien immobilier qui correspond idéalement à vos désirs sur ImmoScout24 - La plateforme de l'immobilier en Suisse.")</f>
        <v>🏘️ Vendre appartement Bioley-Orjulaz ✅ Trouvez le bien immobilier qui correspond idéalement à vos désirs sur ImmoScout24 - La plateforme de l'immobilier en Suisse.</v>
      </c>
      <c r="D190" s="4" t="str">
        <f>vlookup(A190, Sheet2!D:E, 2, 0)</f>
        <v>variant</v>
      </c>
      <c r="E190" s="4" t="str">
        <f>IFERROR(__xludf.DUMMYFUNCTION("if(H190=""pays"",vlookup(REGEXEXTRACT(C190, ""🏘️ \w+ \w+ (.*) ✅""),'Country prepositions'!A:B, 2, 0) &amp; "" "" &amp; REGEXEXTRACT(C190, ""🏘️ \w+ \w+ (.*) ✅"") ,  if(H190=""quartier"",vlookup(REGEXEXTRACT(C190, ""🏘️ \w+ \w+ (.*) ✅""),'Quartier prepositions'!A"&amp;":E, 5, 0) ,  if(H190=""region"",vlookup(REGEXEXTRACT(C190, ""🏘️ \w+ \w+ (.*) ✅""),'Region prepositions'!B:F, 5, 0),  REGEXEXTRACT(C190, ""🏘️ \w+ \w+ (.*) ✅""))))"),"Bioley-Orjulaz")</f>
        <v>Bioley-Orjulaz</v>
      </c>
      <c r="F190" s="2" t="str">
        <f>IFERROR(__xludf.DUMMYFUNCTION("REGEXEXTRACT(C190, ""🏘️ (\w+) \w+ .* ✅"")"),"Vendre")</f>
        <v>Vendre</v>
      </c>
      <c r="G190" s="2" t="str">
        <f>IFERROR(__xludf.DUMMYFUNCTION("REGEXEXTRACT(C190, ""🏘️ \w+ (\w+) .* ✅"")"),"appartement")</f>
        <v>appartement</v>
      </c>
      <c r="H190" s="4" t="str">
        <f>IFERROR(__xludf.DUMMYFUNCTION("REGEXEXTRACT(A190, ""/(\w+)-.*?"")"),"lieu")</f>
        <v>lieu</v>
      </c>
      <c r="I190" s="4" t="str">
        <f>IFERROR(__xludf.DUMMYFUNCTION("if(D190=""variant"",  substitute(filter(Templates!E:E, Templates!A:A = F190, Templates!B:B = G190, Templates!C:C = H190), ""{{}}"", E190), B190)"),"🏘  L’appartement de vos rêves se trouve sur ImmoScout24.ch ✅ Découvrez les dernières annonces de vente à Bioley-Orjulaz.")</f>
        <v>🏘  L’appartement de vos rêves se trouve sur ImmoScout24.ch ✅ Découvrez les dernières annonces de vente à Bioley-Orjulaz.</v>
      </c>
      <c r="J190" s="4" t="s">
        <v>576</v>
      </c>
    </row>
    <row r="191">
      <c r="A191" s="5" t="s">
        <v>577</v>
      </c>
      <c r="B191" s="2" t="s">
        <v>578</v>
      </c>
      <c r="C191" s="4" t="str">
        <f>IFERROR(__xludf.DUMMYFUNCTION("""🏘️ ""&amp;REGEXEXTRACT(B191, ""^(.*): "")&amp;"" ✅ "" &amp;REGEXEXTRACT(B191, ""(Trouvez.*)"")"),"🏘️ Vendre maison Prangins ✅ Trouvez le bien immobilier qui correspond idéalement à vos désirs sur ImmoScout24 - La plateforme de l'immobilier en Suisse.")</f>
        <v>🏘️ Vendre maison Prangins ✅ Trouvez le bien immobilier qui correspond idéalement à vos désirs sur ImmoScout24 - La plateforme de l'immobilier en Suisse.</v>
      </c>
      <c r="D191" s="4" t="str">
        <f>vlookup(A191, Sheet2!D:E, 2, 0)</f>
        <v>variant</v>
      </c>
      <c r="E191" s="4" t="str">
        <f>IFERROR(__xludf.DUMMYFUNCTION("if(H191=""pays"",vlookup(REGEXEXTRACT(C191, ""🏘️ \w+ \w+ (.*) ✅""),'Country prepositions'!A:B, 2, 0) &amp; "" "" &amp; REGEXEXTRACT(C191, ""🏘️ \w+ \w+ (.*) ✅"") ,  if(H191=""quartier"",vlookup(REGEXEXTRACT(C191, ""🏘️ \w+ \w+ (.*) ✅""),'Quartier prepositions'!A"&amp;":E, 5, 0) ,  if(H191=""region"",vlookup(REGEXEXTRACT(C191, ""🏘️ \w+ \w+ (.*) ✅""),'Region prepositions'!B:F, 5, 0),  REGEXEXTRACT(C191, ""🏘️ \w+ \w+ (.*) ✅""))))"),"Prangins")</f>
        <v>Prangins</v>
      </c>
      <c r="F191" s="2" t="str">
        <f>IFERROR(__xludf.DUMMYFUNCTION("REGEXEXTRACT(C191, ""🏘️ (\w+) \w+ .* ✅"")"),"Vendre")</f>
        <v>Vendre</v>
      </c>
      <c r="G191" s="2" t="str">
        <f>IFERROR(__xludf.DUMMYFUNCTION("REGEXEXTRACT(C191, ""🏘️ \w+ (\w+) .* ✅"")"),"maison")</f>
        <v>maison</v>
      </c>
      <c r="H191" s="4" t="str">
        <f>IFERROR(__xludf.DUMMYFUNCTION("REGEXEXTRACT(A191, ""/(\w+)-.*?"")"),"lieu")</f>
        <v>lieu</v>
      </c>
      <c r="I191" s="4" t="str">
        <f>IFERROR(__xludf.DUMMYFUNCTION("if(D191=""variant"",  substitute(filter(Templates!E:E, Templates!A:A = F191, Templates!B:B = G191, Templates!C:C = H191), ""{{}}"", E191), B191)"),"🏘  Vous souhaitez acheter une maison à Prangins? ✅ Jetez un œil aux dernières offres sur ImmoScout24.ch.")</f>
        <v>🏘  Vous souhaitez acheter une maison à Prangins? ✅ Jetez un œil aux dernières offres sur ImmoScout24.ch.</v>
      </c>
      <c r="J191" s="4" t="s">
        <v>579</v>
      </c>
    </row>
    <row r="192">
      <c r="A192" s="5" t="s">
        <v>580</v>
      </c>
      <c r="B192" s="2" t="s">
        <v>581</v>
      </c>
      <c r="C192" s="4" t="str">
        <f>IFERROR(__xludf.DUMMYFUNCTION("""🏘️ ""&amp;REGEXEXTRACT(B192, ""^(.*): "")&amp;"" ✅ "" &amp;REGEXEXTRACT(B192, ""(Trouvez.*)"")"),"🏘️ Louer appartement Oberhofen am Thunersee ✅ Trouvez le bien immobilier qui correspond idéalement à vos désirs sur ImmoScout24 - La plateforme de l'immobilier en Suisse.")</f>
        <v>🏘️ Louer appartement Oberhofen am Thunersee ✅ Trouvez le bien immobilier qui correspond idéalement à vos désirs sur ImmoScout24 - La plateforme de l'immobilier en Suisse.</v>
      </c>
      <c r="D192" s="4" t="str">
        <f>vlookup(A192, Sheet2!D:E, 2, 0)</f>
        <v>variant</v>
      </c>
      <c r="E192" s="4" t="str">
        <f>IFERROR(__xludf.DUMMYFUNCTION("if(H192=""pays"",vlookup(REGEXEXTRACT(C192, ""🏘️ \w+ \w+ (.*) ✅""),'Country prepositions'!A:B, 2, 0) &amp; "" "" &amp; REGEXEXTRACT(C192, ""🏘️ \w+ \w+ (.*) ✅"") ,  if(H192=""quartier"",vlookup(REGEXEXTRACT(C192, ""🏘️ \w+ \w+ (.*) ✅""),'Quartier prepositions'!A"&amp;":E, 5, 0) ,  if(H192=""region"",vlookup(REGEXEXTRACT(C192, ""🏘️ \w+ \w+ (.*) ✅""),'Region prepositions'!B:F, 5, 0),  REGEXEXTRACT(C192, ""🏘️ \w+ \w+ (.*) ✅""))))"),"Oberhofen am Thunersee")</f>
        <v>Oberhofen am Thunersee</v>
      </c>
      <c r="F192" s="2" t="str">
        <f>IFERROR(__xludf.DUMMYFUNCTION("REGEXEXTRACT(C192, ""🏘️ (\w+) \w+ .* ✅"")"),"Louer")</f>
        <v>Louer</v>
      </c>
      <c r="G192" s="2" t="str">
        <f>IFERROR(__xludf.DUMMYFUNCTION("REGEXEXTRACT(C192, ""🏘️ \w+ (\w+) .* ✅"")"),"appartement")</f>
        <v>appartement</v>
      </c>
      <c r="H192" s="4" t="str">
        <f>IFERROR(__xludf.DUMMYFUNCTION("REGEXEXTRACT(A192, ""/(\w+)-.*?"")"),"lieu")</f>
        <v>lieu</v>
      </c>
      <c r="I192" s="4" t="str">
        <f>IFERROR(__xludf.DUMMYFUNCTION("if(D192=""variant"",  substitute(filter(Templates!E:E, Templates!A:A = F192, Templates!B:B = G192, Templates!C:C = H192), ""{{}}"", E192), B192)"),"🏘  Vous cherchez un appartement à louer à Oberhofen am Thunersee? ✅ Les annonces les plus actuelles sont sur ImmoScout24.ch.")</f>
        <v>🏘  Vous cherchez un appartement à louer à Oberhofen am Thunersee? ✅ Les annonces les plus actuelles sont sur ImmoScout24.ch.</v>
      </c>
      <c r="J192" s="4" t="s">
        <v>582</v>
      </c>
    </row>
    <row r="193">
      <c r="A193" s="5" t="s">
        <v>583</v>
      </c>
      <c r="B193" s="2" t="s">
        <v>584</v>
      </c>
      <c r="C193" s="4" t="str">
        <f>IFERROR(__xludf.DUMMYFUNCTION("""🏘️ ""&amp;REGEXEXTRACT(B193, ""^(.*): "")&amp;"" ✅ "" &amp;REGEXEXTRACT(B193, ""(Trouvez.*)"")"),"🏘️ Vendre maison Les Moulins ✅ Trouvez le bien immobilier qui correspond idéalement à vos désirs sur ImmoScout24 - La plateforme de l'immobilier en Suisse.")</f>
        <v>🏘️ Vendre maison Les Moulins ✅ Trouvez le bien immobilier qui correspond idéalement à vos désirs sur ImmoScout24 - La plateforme de l'immobilier en Suisse.</v>
      </c>
      <c r="D193" s="4" t="str">
        <f>vlookup(A193, Sheet2!D:E, 2, 0)</f>
        <v>variant</v>
      </c>
      <c r="E193" s="4" t="str">
        <f>IFERROR(__xludf.DUMMYFUNCTION("if(H193=""pays"",vlookup(REGEXEXTRACT(C193, ""🏘️ \w+ \w+ (.*) ✅""),'Country prepositions'!A:B, 2, 0) &amp; "" "" &amp; REGEXEXTRACT(C193, ""🏘️ \w+ \w+ (.*) ✅"") ,  if(H193=""quartier"",vlookup(REGEXEXTRACT(C193, ""🏘️ \w+ \w+ (.*) ✅""),'Quartier prepositions'!A"&amp;":E, 5, 0) ,  if(H193=""region"",vlookup(REGEXEXTRACT(C193, ""🏘️ \w+ \w+ (.*) ✅""),'Region prepositions'!B:F, 5, 0),  REGEXEXTRACT(C193, ""🏘️ \w+ \w+ (.*) ✅""))))"),"Les Moulins")</f>
        <v>Les Moulins</v>
      </c>
      <c r="F193" s="2" t="str">
        <f>IFERROR(__xludf.DUMMYFUNCTION("REGEXEXTRACT(C193, ""🏘️ (\w+) \w+ .* ✅"")"),"Vendre")</f>
        <v>Vendre</v>
      </c>
      <c r="G193" s="2" t="str">
        <f>IFERROR(__xludf.DUMMYFUNCTION("REGEXEXTRACT(C193, ""🏘️ \w+ (\w+) .* ✅"")"),"maison")</f>
        <v>maison</v>
      </c>
      <c r="H193" s="4" t="str">
        <f>IFERROR(__xludf.DUMMYFUNCTION("REGEXEXTRACT(A193, ""/(\w+)-.*?"")"),"lieu")</f>
        <v>lieu</v>
      </c>
      <c r="I193" s="8" t="str">
        <f>IFERROR(__xludf.DUMMYFUNCTION("if(D193=""variant"",  substitute(filter(Templates!E:E, Templates!A:A = F193, Templates!B:B = G193, Templates!C:C = H193), ""{{}}"", E193), B193)"),"🏘  Vous souhaitez acheter une maison à Les Moulins? ✅ Jetez un œil aux dernières offres sur ImmoScout24.ch.")</f>
        <v>🏘  Vous souhaitez acheter une maison à Les Moulins? ✅ Jetez un œil aux dernières offres sur ImmoScout24.ch.</v>
      </c>
      <c r="J193" s="2" t="s">
        <v>585</v>
      </c>
    </row>
    <row r="194">
      <c r="A194" s="5" t="s">
        <v>586</v>
      </c>
      <c r="B194" s="2" t="s">
        <v>587</v>
      </c>
      <c r="C194" s="4" t="str">
        <f>IFERROR(__xludf.DUMMYFUNCTION("""🏘️ ""&amp;REGEXEXTRACT(B194, ""^(.*): "")&amp;"" ✅ "" &amp;REGEXEXTRACT(B194, ""(Trouvez.*)"")"),"🏘️ Louer maison Gumefens ✅ Trouvez le bien immobilier qui correspond idéalement à vos désirs sur ImmoScout24 - La plateforme de l'immobilier en Suisse.")</f>
        <v>🏘️ Louer maison Gumefens ✅ Trouvez le bien immobilier qui correspond idéalement à vos désirs sur ImmoScout24 - La plateforme de l'immobilier en Suisse.</v>
      </c>
      <c r="D194" s="4" t="str">
        <f>vlookup(A194, Sheet2!D:E, 2, 0)</f>
        <v>variant</v>
      </c>
      <c r="E194" s="4" t="str">
        <f>IFERROR(__xludf.DUMMYFUNCTION("if(H194=""pays"",vlookup(REGEXEXTRACT(C194, ""🏘️ \w+ \w+ (.*) ✅""),'Country prepositions'!A:B, 2, 0) &amp; "" "" &amp; REGEXEXTRACT(C194, ""🏘️ \w+ \w+ (.*) ✅"") ,  if(H194=""quartier"",vlookup(REGEXEXTRACT(C194, ""🏘️ \w+ \w+ (.*) ✅""),'Quartier prepositions'!A"&amp;":E, 5, 0) ,  if(H194=""region"",vlookup(REGEXEXTRACT(C194, ""🏘️ \w+ \w+ (.*) ✅""),'Region prepositions'!B:F, 5, 0),  REGEXEXTRACT(C194, ""🏘️ \w+ \w+ (.*) ✅""))))"),"Gumefens")</f>
        <v>Gumefens</v>
      </c>
      <c r="F194" s="2" t="str">
        <f>IFERROR(__xludf.DUMMYFUNCTION("REGEXEXTRACT(C194, ""🏘️ (\w+) \w+ .* ✅"")"),"Louer")</f>
        <v>Louer</v>
      </c>
      <c r="G194" s="2" t="str">
        <f>IFERROR(__xludf.DUMMYFUNCTION("REGEXEXTRACT(C194, ""🏘️ \w+ (\w+) .* ✅"")"),"maison")</f>
        <v>maison</v>
      </c>
      <c r="H194" s="4" t="str">
        <f>IFERROR(__xludf.DUMMYFUNCTION("REGEXEXTRACT(A194, ""/(\w+)-.*?"")"),"lieu")</f>
        <v>lieu</v>
      </c>
      <c r="I194" s="4" t="str">
        <f>IFERROR(__xludf.DUMMYFUNCTION("if(D194=""variant"",  substitute(filter(Templates!E:E, Templates!A:A = F194, Templates!B:B = G194, Templates!C:C = H194), ""{{}}"", E194), B194)"),"🏘  Vous cherchez une maison à louer à Gumefens? ✅ Découvrez nos nombreuses annonces sur ImmoScout24.ch.")</f>
        <v>🏘  Vous cherchez une maison à louer à Gumefens? ✅ Découvrez nos nombreuses annonces sur ImmoScout24.ch.</v>
      </c>
      <c r="J194" s="4" t="s">
        <v>588</v>
      </c>
    </row>
    <row r="195">
      <c r="A195" s="5" t="s">
        <v>589</v>
      </c>
      <c r="B195" s="2" t="s">
        <v>590</v>
      </c>
      <c r="C195" s="4" t="str">
        <f>IFERROR(__xludf.DUMMYFUNCTION("""🏘️ ""&amp;REGEXEXTRACT(B195, ""^(.*): "")&amp;"" ✅ "" &amp;REGEXEXTRACT(B195, ""(Trouvez.*)"")"),"🏘️ Vendre appartement Vich ✅ Trouvez le bien immobilier qui correspond idéalement à vos désirs sur ImmoScout24 - La plateforme de l'immobilier en Suisse.")</f>
        <v>🏘️ Vendre appartement Vich ✅ Trouvez le bien immobilier qui correspond idéalement à vos désirs sur ImmoScout24 - La plateforme de l'immobilier en Suisse.</v>
      </c>
      <c r="D195" s="4" t="str">
        <f>vlookup(A195, Sheet2!D:E, 2, 0)</f>
        <v>variant</v>
      </c>
      <c r="E195" s="4" t="str">
        <f>IFERROR(__xludf.DUMMYFUNCTION("if(H195=""pays"",vlookup(REGEXEXTRACT(C195, ""🏘️ \w+ \w+ (.*) ✅""),'Country prepositions'!A:B, 2, 0) &amp; "" "" &amp; REGEXEXTRACT(C195, ""🏘️ \w+ \w+ (.*) ✅"") ,  if(H195=""quartier"",vlookup(REGEXEXTRACT(C195, ""🏘️ \w+ \w+ (.*) ✅""),'Quartier prepositions'!A"&amp;":E, 5, 0) ,  if(H195=""region"",vlookup(REGEXEXTRACT(C195, ""🏘️ \w+ \w+ (.*) ✅""),'Region prepositions'!B:F, 5, 0),  REGEXEXTRACT(C195, ""🏘️ \w+ \w+ (.*) ✅""))))"),"Vich")</f>
        <v>Vich</v>
      </c>
      <c r="F195" s="2" t="str">
        <f>IFERROR(__xludf.DUMMYFUNCTION("REGEXEXTRACT(C195, ""🏘️ (\w+) \w+ .* ✅"")"),"Vendre")</f>
        <v>Vendre</v>
      </c>
      <c r="G195" s="2" t="str">
        <f>IFERROR(__xludf.DUMMYFUNCTION("REGEXEXTRACT(C195, ""🏘️ \w+ (\w+) .* ✅"")"),"appartement")</f>
        <v>appartement</v>
      </c>
      <c r="H195" s="4" t="str">
        <f>IFERROR(__xludf.DUMMYFUNCTION("REGEXEXTRACT(A195, ""/(\w+)-.*?"")"),"lieu")</f>
        <v>lieu</v>
      </c>
      <c r="I195" s="4" t="str">
        <f>IFERROR(__xludf.DUMMYFUNCTION("if(D195=""variant"",  substitute(filter(Templates!E:E, Templates!A:A = F195, Templates!B:B = G195, Templates!C:C = H195), ""{{}}"", E195), B195)"),"🏘  L’appartement de vos rêves se trouve sur ImmoScout24.ch ✅ Découvrez les dernières annonces de vente à Vich.")</f>
        <v>🏘  L’appartement de vos rêves se trouve sur ImmoScout24.ch ✅ Découvrez les dernières annonces de vente à Vich.</v>
      </c>
      <c r="J195" s="4" t="s">
        <v>591</v>
      </c>
    </row>
    <row r="196">
      <c r="A196" s="5" t="s">
        <v>592</v>
      </c>
      <c r="B196" s="2" t="s">
        <v>593</v>
      </c>
      <c r="C196" s="4" t="str">
        <f>IFERROR(__xludf.DUMMYFUNCTION("""🏘️ ""&amp;REGEXEXTRACT(B196, ""^(.*): "")&amp;"" ✅ "" &amp;REGEXEXTRACT(B196, ""(Trouvez.*)"")"),"🏘️ Vendre appartement Val de Travers ✅ Trouvez le bien immobilier qui correspond idéalement à vos désirs sur ImmoScout24 - La plateforme de l'immobilier en Suisse.")</f>
        <v>🏘️ Vendre appartement Val de Travers ✅ Trouvez le bien immobilier qui correspond idéalement à vos désirs sur ImmoScout24 - La plateforme de l'immobilier en Suisse.</v>
      </c>
      <c r="D196" s="4" t="str">
        <f>vlookup(A196, Sheet2!D:E, 2, 0)</f>
        <v>variant</v>
      </c>
      <c r="E196" s="4" t="str">
        <f>IFERROR(__xludf.DUMMYFUNCTION("if(H196=""pays"",vlookup(REGEXEXTRACT(C196, ""🏘️ \w+ \w+ (.*) ✅""),'Country prepositions'!A:B, 2, 0) &amp; "" "" &amp; REGEXEXTRACT(C196, ""🏘️ \w+ \w+ (.*) ✅"") ,  if(H196=""quartier"",vlookup(REGEXEXTRACT(C196, ""🏘️ \w+ \w+ (.*) ✅""),'Quartier prepositions'!A"&amp;":E, 5, 0) ,  if(H196=""region"",vlookup(REGEXEXTRACT(C196, ""🏘️ \w+ \w+ (.*) ✅""),'Region prepositions'!B:F, 5, 0),  REGEXEXTRACT(C196, ""🏘️ \w+ \w+ (.*) ✅""))))"),"dans le Val-de-Travers")</f>
        <v>dans le Val-de-Travers</v>
      </c>
      <c r="F196" s="2" t="str">
        <f>IFERROR(__xludf.DUMMYFUNCTION("REGEXEXTRACT(C196, ""🏘️ (\w+) \w+ .* ✅"")"),"Vendre")</f>
        <v>Vendre</v>
      </c>
      <c r="G196" s="2" t="str">
        <f>IFERROR(__xludf.DUMMYFUNCTION("REGEXEXTRACT(C196, ""🏘️ \w+ (\w+) .* ✅"")"),"appartement")</f>
        <v>appartement</v>
      </c>
      <c r="H196" s="4" t="str">
        <f>IFERROR(__xludf.DUMMYFUNCTION("REGEXEXTRACT(A196, ""/(\w+)-.*?"")"),"region")</f>
        <v>region</v>
      </c>
      <c r="I196" s="4" t="str">
        <f>IFERROR(__xludf.DUMMYFUNCTION("if(D196=""variant"",  substitute(filter(Templates!E:E, Templates!A:A = F196, Templates!B:B = G196, Templates!C:C = H196), ""{{}}"", E196), B196)"),"🏘  L’appartement de vos rêves se trouve sur ImmoScout24.ch ✅ Découvrez les dernières annonces de vente dans le Val-de-Travers.")</f>
        <v>🏘  L’appartement de vos rêves se trouve sur ImmoScout24.ch ✅ Découvrez les dernières annonces de vente dans le Val-de-Travers.</v>
      </c>
      <c r="J196" s="4" t="s">
        <v>594</v>
      </c>
    </row>
    <row r="197">
      <c r="A197" s="5" t="s">
        <v>595</v>
      </c>
      <c r="B197" s="2" t="s">
        <v>596</v>
      </c>
      <c r="C197" s="4" t="str">
        <f>IFERROR(__xludf.DUMMYFUNCTION("""🏘️ ""&amp;REGEXEXTRACT(B197, ""^(.*): "")&amp;"" ✅ "" &amp;REGEXEXTRACT(B197, ""(Trouvez.*)"")"),"🏘️ Louer appartement Ponte Capriasca ✅ Trouvez le bien immobilier qui correspond idéalement à vos désirs sur ImmoScout24 - La plateforme de l'immobilier en Suisse.")</f>
        <v>🏘️ Louer appartement Ponte Capriasca ✅ Trouvez le bien immobilier qui correspond idéalement à vos désirs sur ImmoScout24 - La plateforme de l'immobilier en Suisse.</v>
      </c>
      <c r="D197" s="4" t="str">
        <f>vlookup(A197, Sheet2!D:E, 2, 0)</f>
        <v>variant</v>
      </c>
      <c r="E197" s="4" t="str">
        <f>IFERROR(__xludf.DUMMYFUNCTION("if(H197=""pays"",vlookup(REGEXEXTRACT(C197, ""🏘️ \w+ \w+ (.*) ✅""),'Country prepositions'!A:B, 2, 0) &amp; "" "" &amp; REGEXEXTRACT(C197, ""🏘️ \w+ \w+ (.*) ✅"") ,  if(H197=""quartier"",vlookup(REGEXEXTRACT(C197, ""🏘️ \w+ \w+ (.*) ✅""),'Quartier prepositions'!A"&amp;":E, 5, 0) ,  if(H197=""region"",vlookup(REGEXEXTRACT(C197, ""🏘️ \w+ \w+ (.*) ✅""),'Region prepositions'!B:F, 5, 0),  REGEXEXTRACT(C197, ""🏘️ \w+ \w+ (.*) ✅""))))"),"Ponte Capriasca")</f>
        <v>Ponte Capriasca</v>
      </c>
      <c r="F197" s="2" t="str">
        <f>IFERROR(__xludf.DUMMYFUNCTION("REGEXEXTRACT(C197, ""🏘️ (\w+) \w+ .* ✅"")"),"Louer")</f>
        <v>Louer</v>
      </c>
      <c r="G197" s="2" t="str">
        <f>IFERROR(__xludf.DUMMYFUNCTION("REGEXEXTRACT(C197, ""🏘️ \w+ (\w+) .* ✅"")"),"appartement")</f>
        <v>appartement</v>
      </c>
      <c r="H197" s="4" t="str">
        <f>IFERROR(__xludf.DUMMYFUNCTION("REGEXEXTRACT(A197, ""/(\w+)-.*?"")"),"lieu")</f>
        <v>lieu</v>
      </c>
      <c r="I197" s="4" t="str">
        <f>IFERROR(__xludf.DUMMYFUNCTION("if(D197=""variant"",  substitute(filter(Templates!E:E, Templates!A:A = F197, Templates!B:B = G197, Templates!C:C = H197), ""{{}}"", E197), B197)"),"🏘  Vous cherchez un appartement à louer à Ponte Capriasca? ✅ Les annonces les plus actuelles sont sur ImmoScout24.ch.")</f>
        <v>🏘  Vous cherchez un appartement à louer à Ponte Capriasca? ✅ Les annonces les plus actuelles sont sur ImmoScout24.ch.</v>
      </c>
      <c r="J197" s="4" t="s">
        <v>597</v>
      </c>
    </row>
    <row r="198">
      <c r="A198" s="5" t="s">
        <v>598</v>
      </c>
      <c r="B198" s="2" t="s">
        <v>599</v>
      </c>
      <c r="C198" s="4" t="str">
        <f>IFERROR(__xludf.DUMMYFUNCTION("""🏘️ ""&amp;REGEXEXTRACT(B198, ""^(.*): "")&amp;"" ✅ "" &amp;REGEXEXTRACT(B198, ""(Trouvez.*)"")"),"🏘️ Louer maison Seedorf BE ✅ Trouvez le bien immobilier qui correspond idéalement à vos désirs sur ImmoScout24 - La plateforme de l'immobilier en Suisse.")</f>
        <v>🏘️ Louer maison Seedorf BE ✅ Trouvez le bien immobilier qui correspond idéalement à vos désirs sur ImmoScout24 - La plateforme de l'immobilier en Suisse.</v>
      </c>
      <c r="D198" s="4" t="str">
        <f>vlookup(A198, Sheet2!D:E, 2, 0)</f>
        <v>variant</v>
      </c>
      <c r="E198" s="4" t="str">
        <f>IFERROR(__xludf.DUMMYFUNCTION("if(H198=""pays"",vlookup(REGEXEXTRACT(C198, ""🏘️ \w+ \w+ (.*) ✅""),'Country prepositions'!A:B, 2, 0) &amp; "" "" &amp; REGEXEXTRACT(C198, ""🏘️ \w+ \w+ (.*) ✅"") ,  if(H198=""quartier"",vlookup(REGEXEXTRACT(C198, ""🏘️ \w+ \w+ (.*) ✅""),'Quartier prepositions'!A"&amp;":E, 5, 0) ,  if(H198=""region"",vlookup(REGEXEXTRACT(C198, ""🏘️ \w+ \w+ (.*) ✅""),'Region prepositions'!B:F, 5, 0),  REGEXEXTRACT(C198, ""🏘️ \w+ \w+ (.*) ✅""))))"),"Seedorf BE")</f>
        <v>Seedorf BE</v>
      </c>
      <c r="F198" s="2" t="str">
        <f>IFERROR(__xludf.DUMMYFUNCTION("REGEXEXTRACT(C198, ""🏘️ (\w+) \w+ .* ✅"")"),"Louer")</f>
        <v>Louer</v>
      </c>
      <c r="G198" s="2" t="str">
        <f>IFERROR(__xludf.DUMMYFUNCTION("REGEXEXTRACT(C198, ""🏘️ \w+ (\w+) .* ✅"")"),"maison")</f>
        <v>maison</v>
      </c>
      <c r="H198" s="4" t="str">
        <f>IFERROR(__xludf.DUMMYFUNCTION("REGEXEXTRACT(A198, ""/(\w+)-.*?"")"),"lieu")</f>
        <v>lieu</v>
      </c>
      <c r="I198" s="4" t="str">
        <f>IFERROR(__xludf.DUMMYFUNCTION("if(D198=""variant"",  substitute(filter(Templates!E:E, Templates!A:A = F198, Templates!B:B = G198, Templates!C:C = H198), ""{{}}"", E198), B198)"),"🏘  Vous cherchez une maison à louer à Seedorf BE? ✅ Découvrez nos nombreuses annonces sur ImmoScout24.ch.")</f>
        <v>🏘  Vous cherchez une maison à louer à Seedorf BE? ✅ Découvrez nos nombreuses annonces sur ImmoScout24.ch.</v>
      </c>
      <c r="J198" s="4" t="s">
        <v>600</v>
      </c>
    </row>
    <row r="199">
      <c r="A199" s="5" t="s">
        <v>601</v>
      </c>
      <c r="B199" s="2" t="s">
        <v>602</v>
      </c>
      <c r="C199" s="4" t="str">
        <f>IFERROR(__xludf.DUMMYFUNCTION("""🏘️ ""&amp;REGEXEXTRACT(B199, ""^(.*): "")&amp;"" ✅ "" &amp;REGEXEXTRACT(B199, ""(Trouvez.*)"")"),"🏘️ Louer maison Richterswil ✅ Trouvez le bien immobilier qui correspond idéalement à vos désirs sur ImmoScout24 - La plateforme de l'immobilier en Suisse.")</f>
        <v>🏘️ Louer maison Richterswil ✅ Trouvez le bien immobilier qui correspond idéalement à vos désirs sur ImmoScout24 - La plateforme de l'immobilier en Suisse.</v>
      </c>
      <c r="D199" s="4" t="str">
        <f>vlookup(A199, Sheet2!D:E, 2, 0)</f>
        <v>variant</v>
      </c>
      <c r="E199" s="4" t="str">
        <f>IFERROR(__xludf.DUMMYFUNCTION("if(H199=""pays"",vlookup(REGEXEXTRACT(C199, ""🏘️ \w+ \w+ (.*) ✅""),'Country prepositions'!A:B, 2, 0) &amp; "" "" &amp; REGEXEXTRACT(C199, ""🏘️ \w+ \w+ (.*) ✅"") ,  if(H199=""quartier"",vlookup(REGEXEXTRACT(C199, ""🏘️ \w+ \w+ (.*) ✅""),'Quartier prepositions'!A"&amp;":E, 5, 0) ,  if(H199=""region"",vlookup(REGEXEXTRACT(C199, ""🏘️ \w+ \w+ (.*) ✅""),'Region prepositions'!B:F, 5, 0),  REGEXEXTRACT(C199, ""🏘️ \w+ \w+ (.*) ✅""))))"),"Richterswil")</f>
        <v>Richterswil</v>
      </c>
      <c r="F199" s="2" t="str">
        <f>IFERROR(__xludf.DUMMYFUNCTION("REGEXEXTRACT(C199, ""🏘️ (\w+) \w+ .* ✅"")"),"Louer")</f>
        <v>Louer</v>
      </c>
      <c r="G199" s="2" t="str">
        <f>IFERROR(__xludf.DUMMYFUNCTION("REGEXEXTRACT(C199, ""🏘️ \w+ (\w+) .* ✅"")"),"maison")</f>
        <v>maison</v>
      </c>
      <c r="H199" s="4" t="str">
        <f>IFERROR(__xludf.DUMMYFUNCTION("REGEXEXTRACT(A199, ""/(\w+)-.*?"")"),"lieu")</f>
        <v>lieu</v>
      </c>
      <c r="I199" s="4" t="str">
        <f>IFERROR(__xludf.DUMMYFUNCTION("if(D199=""variant"",  substitute(filter(Templates!E:E, Templates!A:A = F199, Templates!B:B = G199, Templates!C:C = H199), ""{{}}"", E199), B199)"),"🏘  Vous cherchez une maison à louer à Richterswil? ✅ Découvrez nos nombreuses annonces sur ImmoScout24.ch.")</f>
        <v>🏘  Vous cherchez une maison à louer à Richterswil? ✅ Découvrez nos nombreuses annonces sur ImmoScout24.ch.</v>
      </c>
      <c r="J199" s="4" t="s">
        <v>603</v>
      </c>
    </row>
    <row r="200">
      <c r="A200" s="5" t="s">
        <v>604</v>
      </c>
      <c r="B200" s="2" t="s">
        <v>605</v>
      </c>
      <c r="C200" s="4" t="str">
        <f>IFERROR(__xludf.DUMMYFUNCTION("""🏘️ ""&amp;REGEXEXTRACT(B200, ""^(.*): "")&amp;"" ✅ "" &amp;REGEXEXTRACT(B200, ""(Trouvez.*)"")"),"🏘️ Vendre maison Mies ✅ Trouvez le bien immobilier qui correspond idéalement à vos désirs sur ImmoScout24 - La plateforme de l'immobilier en Suisse.")</f>
        <v>🏘️ Vendre maison Mies ✅ Trouvez le bien immobilier qui correspond idéalement à vos désirs sur ImmoScout24 - La plateforme de l'immobilier en Suisse.</v>
      </c>
      <c r="D200" s="4" t="str">
        <f>vlookup(A200, Sheet2!D:E, 2, 0)</f>
        <v>variant</v>
      </c>
      <c r="E200" s="4" t="str">
        <f>IFERROR(__xludf.DUMMYFUNCTION("if(H200=""pays"",vlookup(REGEXEXTRACT(C200, ""🏘️ \w+ \w+ (.*) ✅""),'Country prepositions'!A:B, 2, 0) &amp; "" "" &amp; REGEXEXTRACT(C200, ""🏘️ \w+ \w+ (.*) ✅"") ,  if(H200=""quartier"",vlookup(REGEXEXTRACT(C200, ""🏘️ \w+ \w+ (.*) ✅""),'Quartier prepositions'!A"&amp;":E, 5, 0) ,  if(H200=""region"",vlookup(REGEXEXTRACT(C200, ""🏘️ \w+ \w+ (.*) ✅""),'Region prepositions'!B:F, 5, 0),  REGEXEXTRACT(C200, ""🏘️ \w+ \w+ (.*) ✅""))))"),"Mies")</f>
        <v>Mies</v>
      </c>
      <c r="F200" s="2" t="str">
        <f>IFERROR(__xludf.DUMMYFUNCTION("REGEXEXTRACT(C200, ""🏘️ (\w+) \w+ .* ✅"")"),"Vendre")</f>
        <v>Vendre</v>
      </c>
      <c r="G200" s="2" t="str">
        <f>IFERROR(__xludf.DUMMYFUNCTION("REGEXEXTRACT(C200, ""🏘️ \w+ (\w+) .* ✅"")"),"maison")</f>
        <v>maison</v>
      </c>
      <c r="H200" s="4" t="str">
        <f>IFERROR(__xludf.DUMMYFUNCTION("REGEXEXTRACT(A200, ""/(\w+)-.*?"")"),"lieu")</f>
        <v>lieu</v>
      </c>
      <c r="I200" s="4" t="str">
        <f>IFERROR(__xludf.DUMMYFUNCTION("if(D200=""variant"",  substitute(filter(Templates!E:E, Templates!A:A = F200, Templates!B:B = G200, Templates!C:C = H200), ""{{}}"", E200), B200)"),"🏘  Vous souhaitez acheter une maison à Mies? ✅ Jetez un œil aux dernières offres sur ImmoScout24.ch.")</f>
        <v>🏘  Vous souhaitez acheter une maison à Mies? ✅ Jetez un œil aux dernières offres sur ImmoScout24.ch.</v>
      </c>
      <c r="J200" s="4" t="s">
        <v>606</v>
      </c>
    </row>
    <row r="201">
      <c r="A201" s="5" t="s">
        <v>607</v>
      </c>
      <c r="B201" s="2" t="s">
        <v>608</v>
      </c>
      <c r="C201" s="4" t="str">
        <f>IFERROR(__xludf.DUMMYFUNCTION("""🏘️ ""&amp;REGEXEXTRACT(B201, ""^(.*): "")&amp;"" ✅ "" &amp;REGEXEXTRACT(B201, ""(Trouvez.*)"")"),"🏘️ Vendre maison Döttingen ✅ Trouvez le bien immobilier qui correspond idéalement à vos désirs sur ImmoScout24 - La plateforme de l'immobilier en Suisse.")</f>
        <v>🏘️ Vendre maison Döttingen ✅ Trouvez le bien immobilier qui correspond idéalement à vos désirs sur ImmoScout24 - La plateforme de l'immobilier en Suisse.</v>
      </c>
      <c r="D201" s="4" t="str">
        <f>vlookup(A201, Sheet2!D:E, 2, 0)</f>
        <v>variant</v>
      </c>
      <c r="E201" s="4" t="str">
        <f>IFERROR(__xludf.DUMMYFUNCTION("if(H201=""pays"",vlookup(REGEXEXTRACT(C201, ""🏘️ \w+ \w+ (.*) ✅""),'Country prepositions'!A:B, 2, 0) &amp; "" "" &amp; REGEXEXTRACT(C201, ""🏘️ \w+ \w+ (.*) ✅"") ,  if(H201=""quartier"",vlookup(REGEXEXTRACT(C201, ""🏘️ \w+ \w+ (.*) ✅""),'Quartier prepositions'!A"&amp;":E, 5, 0) ,  if(H201=""region"",vlookup(REGEXEXTRACT(C201, ""🏘️ \w+ \w+ (.*) ✅""),'Region prepositions'!B:F, 5, 0),  REGEXEXTRACT(C201, ""🏘️ \w+ \w+ (.*) ✅""))))"),"Döttingen")</f>
        <v>Döttingen</v>
      </c>
      <c r="F201" s="2" t="str">
        <f>IFERROR(__xludf.DUMMYFUNCTION("REGEXEXTRACT(C201, ""🏘️ (\w+) \w+ .* ✅"")"),"Vendre")</f>
        <v>Vendre</v>
      </c>
      <c r="G201" s="2" t="str">
        <f>IFERROR(__xludf.DUMMYFUNCTION("REGEXEXTRACT(C201, ""🏘️ \w+ (\w+) .* ✅"")"),"maison")</f>
        <v>maison</v>
      </c>
      <c r="H201" s="4" t="str">
        <f>IFERROR(__xludf.DUMMYFUNCTION("REGEXEXTRACT(A201, ""/(\w+)-.*?"")"),"lieu")</f>
        <v>lieu</v>
      </c>
      <c r="I201" s="4" t="str">
        <f>IFERROR(__xludf.DUMMYFUNCTION("if(D201=""variant"",  substitute(filter(Templates!E:E, Templates!A:A = F201, Templates!B:B = G201, Templates!C:C = H201), ""{{}}"", E201), B201)"),"🏘  Vous souhaitez acheter une maison à Döttingen? ✅ Jetez un œil aux dernières offres sur ImmoScout24.ch.")</f>
        <v>🏘  Vous souhaitez acheter une maison à Döttingen? ✅ Jetez un œil aux dernières offres sur ImmoScout24.ch.</v>
      </c>
      <c r="J201" s="4" t="s">
        <v>609</v>
      </c>
    </row>
    <row r="202">
      <c r="A202" s="5" t="s">
        <v>610</v>
      </c>
      <c r="B202" s="2" t="s">
        <v>611</v>
      </c>
      <c r="C202" s="4" t="str">
        <f>IFERROR(__xludf.DUMMYFUNCTION("""🏘️ ""&amp;REGEXEXTRACT(B202, ""^(.*): "")&amp;"" ✅ "" &amp;REGEXEXTRACT(B202, ""(Trouvez.*)"")"),"🏘️ Vendre maison Bremgarten AG ✅ Trouvez le bien immobilier qui correspond idéalement à vos désirs sur ImmoScout24 - La plateforme de l'immobilier en Suisse.")</f>
        <v>🏘️ Vendre maison Bremgarten AG ✅ Trouvez le bien immobilier qui correspond idéalement à vos désirs sur ImmoScout24 - La plateforme de l'immobilier en Suisse.</v>
      </c>
      <c r="D202" s="4" t="str">
        <f>vlookup(A202, Sheet2!D:E, 2, 0)</f>
        <v>variant</v>
      </c>
      <c r="E202" s="4" t="str">
        <f>IFERROR(__xludf.DUMMYFUNCTION("if(H202=""pays"",vlookup(REGEXEXTRACT(C202, ""🏘️ \w+ \w+ (.*) ✅""),'Country prepositions'!A:B, 2, 0) &amp; "" "" &amp; REGEXEXTRACT(C202, ""🏘️ \w+ \w+ (.*) ✅"") ,  if(H202=""quartier"",vlookup(REGEXEXTRACT(C202, ""🏘️ \w+ \w+ (.*) ✅""),'Quartier prepositions'!A"&amp;":E, 5, 0) ,  if(H202=""region"",vlookup(REGEXEXTRACT(C202, ""🏘️ \w+ \w+ (.*) ✅""),'Region prepositions'!B:F, 5, 0),  REGEXEXTRACT(C202, ""🏘️ \w+ \w+ (.*) ✅""))))"),"Bremgarten AG")</f>
        <v>Bremgarten AG</v>
      </c>
      <c r="F202" s="2" t="str">
        <f>IFERROR(__xludf.DUMMYFUNCTION("REGEXEXTRACT(C202, ""🏘️ (\w+) \w+ .* ✅"")"),"Vendre")</f>
        <v>Vendre</v>
      </c>
      <c r="G202" s="2" t="str">
        <f>IFERROR(__xludf.DUMMYFUNCTION("REGEXEXTRACT(C202, ""🏘️ \w+ (\w+) .* ✅"")"),"maison")</f>
        <v>maison</v>
      </c>
      <c r="H202" s="4" t="str">
        <f>IFERROR(__xludf.DUMMYFUNCTION("REGEXEXTRACT(A202, ""/(\w+)-.*?"")"),"lieu")</f>
        <v>lieu</v>
      </c>
      <c r="I202" s="4" t="str">
        <f>IFERROR(__xludf.DUMMYFUNCTION("if(D202=""variant"",  substitute(filter(Templates!E:E, Templates!A:A = F202, Templates!B:B = G202, Templates!C:C = H202), ""{{}}"", E202), B202)"),"🏘  Vous souhaitez acheter une maison à Bremgarten AG? ✅ Jetez un œil aux dernières offres sur ImmoScout24.ch.")</f>
        <v>🏘  Vous souhaitez acheter une maison à Bremgarten AG? ✅ Jetez un œil aux dernières offres sur ImmoScout24.ch.</v>
      </c>
      <c r="J202" s="4" t="s">
        <v>612</v>
      </c>
    </row>
    <row r="203">
      <c r="A203" s="5" t="s">
        <v>613</v>
      </c>
      <c r="B203" s="2" t="s">
        <v>614</v>
      </c>
      <c r="C203" s="4" t="str">
        <f>IFERROR(__xludf.DUMMYFUNCTION("""🏘️ ""&amp;REGEXEXTRACT(B203, ""^(.*): "")&amp;"" ✅ "" &amp;REGEXEXTRACT(B203, ""(Trouvez.*)"")"),"🏘️ Vendre maison Vernier ✅ Trouvez le bien immobilier qui correspond idéalement à vos désirs sur ImmoScout24 - La plateforme de l'immobilier en Suisse.")</f>
        <v>🏘️ Vendre maison Vernier ✅ Trouvez le bien immobilier qui correspond idéalement à vos désirs sur ImmoScout24 - La plateforme de l'immobilier en Suisse.</v>
      </c>
      <c r="D203" s="4" t="str">
        <f>vlookup(A203, Sheet2!D:E, 2, 0)</f>
        <v>variant</v>
      </c>
      <c r="E203" s="4" t="str">
        <f>IFERROR(__xludf.DUMMYFUNCTION("if(H203=""pays"",vlookup(REGEXEXTRACT(C203, ""🏘️ \w+ \w+ (.*) ✅""),'Country prepositions'!A:B, 2, 0) &amp; "" "" &amp; REGEXEXTRACT(C203, ""🏘️ \w+ \w+ (.*) ✅"") ,  if(H203=""quartier"",vlookup(REGEXEXTRACT(C203, ""🏘️ \w+ \w+ (.*) ✅""),'Quartier prepositions'!A"&amp;":E, 5, 0) ,  if(H203=""region"",vlookup(REGEXEXTRACT(C203, ""🏘️ \w+ \w+ (.*) ✅""),'Region prepositions'!B:F, 5, 0),  REGEXEXTRACT(C203, ""🏘️ \w+ \w+ (.*) ✅""))))"),"Vernier")</f>
        <v>Vernier</v>
      </c>
      <c r="F203" s="2" t="str">
        <f>IFERROR(__xludf.DUMMYFUNCTION("REGEXEXTRACT(C203, ""🏘️ (\w+) \w+ .* ✅"")"),"Vendre")</f>
        <v>Vendre</v>
      </c>
      <c r="G203" s="2" t="str">
        <f>IFERROR(__xludf.DUMMYFUNCTION("REGEXEXTRACT(C203, ""🏘️ \w+ (\w+) .* ✅"")"),"maison")</f>
        <v>maison</v>
      </c>
      <c r="H203" s="4" t="str">
        <f>IFERROR(__xludf.DUMMYFUNCTION("REGEXEXTRACT(A203, ""/(\w+)-.*?"")"),"lieu")</f>
        <v>lieu</v>
      </c>
      <c r="I203" s="4" t="str">
        <f>IFERROR(__xludf.DUMMYFUNCTION("if(D203=""variant"",  substitute(filter(Templates!E:E, Templates!A:A = F203, Templates!B:B = G203, Templates!C:C = H203), ""{{}}"", E203), B203)"),"🏘  Vous souhaitez acheter une maison à Vernier? ✅ Jetez un œil aux dernières offres sur ImmoScout24.ch.")</f>
        <v>🏘  Vous souhaitez acheter une maison à Vernier? ✅ Jetez un œil aux dernières offres sur ImmoScout24.ch.</v>
      </c>
      <c r="J203" s="4" t="s">
        <v>615</v>
      </c>
    </row>
    <row r="204">
      <c r="A204" s="5" t="s">
        <v>616</v>
      </c>
      <c r="B204" s="2" t="s">
        <v>617</v>
      </c>
      <c r="C204" s="4" t="str">
        <f>IFERROR(__xludf.DUMMYFUNCTION("""🏘️ ""&amp;REGEXEXTRACT(B204, ""^(.*): "")&amp;"" ✅ "" &amp;REGEXEXTRACT(B204, ""(Trouvez.*)"")"),"🏘️ Louer appartement Cordast ✅ Trouvez le bien immobilier qui correspond idéalement à vos désirs sur ImmoScout24 - La plateforme de l'immobilier en Suisse.")</f>
        <v>🏘️ Louer appartement Cordast ✅ Trouvez le bien immobilier qui correspond idéalement à vos désirs sur ImmoScout24 - La plateforme de l'immobilier en Suisse.</v>
      </c>
      <c r="D204" s="4" t="str">
        <f>vlookup(A204, Sheet2!D:E, 2, 0)</f>
        <v>variant</v>
      </c>
      <c r="E204" s="4" t="str">
        <f>IFERROR(__xludf.DUMMYFUNCTION("if(H204=""pays"",vlookup(REGEXEXTRACT(C204, ""🏘️ \w+ \w+ (.*) ✅""),'Country prepositions'!A:B, 2, 0) &amp; "" "" &amp; REGEXEXTRACT(C204, ""🏘️ \w+ \w+ (.*) ✅"") ,  if(H204=""quartier"",vlookup(REGEXEXTRACT(C204, ""🏘️ \w+ \w+ (.*) ✅""),'Quartier prepositions'!A"&amp;":E, 5, 0) ,  if(H204=""region"",vlookup(REGEXEXTRACT(C204, ""🏘️ \w+ \w+ (.*) ✅""),'Region prepositions'!B:F, 5, 0),  REGEXEXTRACT(C204, ""🏘️ \w+ \w+ (.*) ✅""))))"),"Cordast")</f>
        <v>Cordast</v>
      </c>
      <c r="F204" s="2" t="str">
        <f>IFERROR(__xludf.DUMMYFUNCTION("REGEXEXTRACT(C204, ""🏘️ (\w+) \w+ .* ✅"")"),"Louer")</f>
        <v>Louer</v>
      </c>
      <c r="G204" s="2" t="str">
        <f>IFERROR(__xludf.DUMMYFUNCTION("REGEXEXTRACT(C204, ""🏘️ \w+ (\w+) .* ✅"")"),"appartement")</f>
        <v>appartement</v>
      </c>
      <c r="H204" s="4" t="str">
        <f>IFERROR(__xludf.DUMMYFUNCTION("REGEXEXTRACT(A204, ""/(\w+)-.*?"")"),"lieu")</f>
        <v>lieu</v>
      </c>
      <c r="I204" s="4" t="str">
        <f>IFERROR(__xludf.DUMMYFUNCTION("if(D204=""variant"",  substitute(filter(Templates!E:E, Templates!A:A = F204, Templates!B:B = G204, Templates!C:C = H204), ""{{}}"", E204), B204)"),"🏘  Vous cherchez un appartement à louer à Cordast? ✅ Les annonces les plus actuelles sont sur ImmoScout24.ch.")</f>
        <v>🏘  Vous cherchez un appartement à louer à Cordast? ✅ Les annonces les plus actuelles sont sur ImmoScout24.ch.</v>
      </c>
      <c r="J204" s="4" t="s">
        <v>618</v>
      </c>
    </row>
    <row r="205">
      <c r="A205" s="5" t="s">
        <v>619</v>
      </c>
      <c r="B205" s="2" t="s">
        <v>620</v>
      </c>
      <c r="C205" s="4" t="str">
        <f>IFERROR(__xludf.DUMMYFUNCTION("""🏘️ ""&amp;REGEXEXTRACT(B205, ""^(.*): "")&amp;"" ✅ "" &amp;REGEXEXTRACT(B205, ""(Trouvez.*)"")"),"🏘️ Louer maison Reichenbach im Kandertal ✅ Trouvez le bien immobilier qui correspond idéalement à vos désirs sur ImmoScout24 - La plateforme de l'immobilier en Suisse.")</f>
        <v>🏘️ Louer maison Reichenbach im Kandertal ✅ Trouvez le bien immobilier qui correspond idéalement à vos désirs sur ImmoScout24 - La plateforme de l'immobilier en Suisse.</v>
      </c>
      <c r="D205" s="4" t="str">
        <f>vlookup(A205, Sheet2!D:E, 2, 0)</f>
        <v>variant</v>
      </c>
      <c r="E205" s="4" t="str">
        <f>IFERROR(__xludf.DUMMYFUNCTION("if(H205=""pays"",vlookup(REGEXEXTRACT(C205, ""🏘️ \w+ \w+ (.*) ✅""),'Country prepositions'!A:B, 2, 0) &amp; "" "" &amp; REGEXEXTRACT(C205, ""🏘️ \w+ \w+ (.*) ✅"") ,  if(H205=""quartier"",vlookup(REGEXEXTRACT(C205, ""🏘️ \w+ \w+ (.*) ✅""),'Quartier prepositions'!A"&amp;":E, 5, 0) ,  if(H205=""region"",vlookup(REGEXEXTRACT(C205, ""🏘️ \w+ \w+ (.*) ✅""),'Region prepositions'!B:F, 5, 0),  REGEXEXTRACT(C205, ""🏘️ \w+ \w+ (.*) ✅""))))"),"Reichenbach im Kandertal")</f>
        <v>Reichenbach im Kandertal</v>
      </c>
      <c r="F205" s="2" t="str">
        <f>IFERROR(__xludf.DUMMYFUNCTION("REGEXEXTRACT(C205, ""🏘️ (\w+) \w+ .* ✅"")"),"Louer")</f>
        <v>Louer</v>
      </c>
      <c r="G205" s="2" t="str">
        <f>IFERROR(__xludf.DUMMYFUNCTION("REGEXEXTRACT(C205, ""🏘️ \w+ (\w+) .* ✅"")"),"maison")</f>
        <v>maison</v>
      </c>
      <c r="H205" s="4" t="str">
        <f>IFERROR(__xludf.DUMMYFUNCTION("REGEXEXTRACT(A205, ""/(\w+)-.*?"")"),"lieu")</f>
        <v>lieu</v>
      </c>
      <c r="I205" s="4" t="str">
        <f>IFERROR(__xludf.DUMMYFUNCTION("if(D205=""variant"",  substitute(filter(Templates!E:E, Templates!A:A = F205, Templates!B:B = G205, Templates!C:C = H205), ""{{}}"", E205), B205)"),"🏘  Vous cherchez une maison à louer à Reichenbach im Kandertal? ✅ Découvrez nos nombreuses annonces sur ImmoScout24.ch.")</f>
        <v>🏘  Vous cherchez une maison à louer à Reichenbach im Kandertal? ✅ Découvrez nos nombreuses annonces sur ImmoScout24.ch.</v>
      </c>
      <c r="J205" s="4" t="s">
        <v>621</v>
      </c>
    </row>
    <row r="206">
      <c r="A206" s="5" t="s">
        <v>622</v>
      </c>
      <c r="B206" s="2" t="s">
        <v>623</v>
      </c>
      <c r="C206" s="4" t="str">
        <f>IFERROR(__xludf.DUMMYFUNCTION("""🏘️ ""&amp;REGEXEXTRACT(B206, ""^(.*): "")&amp;"" ✅ "" &amp;REGEXEXTRACT(B206, ""(Trouvez.*)"")"),"🏘️ Vendre maison Forel FR ✅ Trouvez le bien immobilier qui correspond idéalement à vos désirs sur ImmoScout24 - La plateforme de l'immobilier en Suisse.")</f>
        <v>🏘️ Vendre maison Forel FR ✅ Trouvez le bien immobilier qui correspond idéalement à vos désirs sur ImmoScout24 - La plateforme de l'immobilier en Suisse.</v>
      </c>
      <c r="D206" s="4" t="str">
        <f>vlookup(A206, Sheet2!D:E, 2, 0)</f>
        <v>variant</v>
      </c>
      <c r="E206" s="4" t="str">
        <f>IFERROR(__xludf.DUMMYFUNCTION("if(H206=""pays"",vlookup(REGEXEXTRACT(C206, ""🏘️ \w+ \w+ (.*) ✅""),'Country prepositions'!A:B, 2, 0) &amp; "" "" &amp; REGEXEXTRACT(C206, ""🏘️ \w+ \w+ (.*) ✅"") ,  if(H206=""quartier"",vlookup(REGEXEXTRACT(C206, ""🏘️ \w+ \w+ (.*) ✅""),'Quartier prepositions'!A"&amp;":E, 5, 0) ,  if(H206=""region"",vlookup(REGEXEXTRACT(C206, ""🏘️ \w+ \w+ (.*) ✅""),'Region prepositions'!B:F, 5, 0),  REGEXEXTRACT(C206, ""🏘️ \w+ \w+ (.*) ✅""))))"),"Forel FR")</f>
        <v>Forel FR</v>
      </c>
      <c r="F206" s="2" t="str">
        <f>IFERROR(__xludf.DUMMYFUNCTION("REGEXEXTRACT(C206, ""🏘️ (\w+) \w+ .* ✅"")"),"Vendre")</f>
        <v>Vendre</v>
      </c>
      <c r="G206" s="2" t="str">
        <f>IFERROR(__xludf.DUMMYFUNCTION("REGEXEXTRACT(C206, ""🏘️ \w+ (\w+) .* ✅"")"),"maison")</f>
        <v>maison</v>
      </c>
      <c r="H206" s="4" t="str">
        <f>IFERROR(__xludf.DUMMYFUNCTION("REGEXEXTRACT(A206, ""/(\w+)-.*?"")"),"lieu")</f>
        <v>lieu</v>
      </c>
      <c r="I206" s="4" t="str">
        <f>IFERROR(__xludf.DUMMYFUNCTION("if(D206=""variant"",  substitute(filter(Templates!E:E, Templates!A:A = F206, Templates!B:B = G206, Templates!C:C = H206), ""{{}}"", E206), B206)"),"🏘  Vous souhaitez acheter une maison à Forel FR? ✅ Jetez un œil aux dernières offres sur ImmoScout24.ch.")</f>
        <v>🏘  Vous souhaitez acheter une maison à Forel FR? ✅ Jetez un œil aux dernières offres sur ImmoScout24.ch.</v>
      </c>
      <c r="J206" s="4" t="s">
        <v>624</v>
      </c>
    </row>
    <row r="207">
      <c r="A207" s="5" t="s">
        <v>625</v>
      </c>
      <c r="B207" s="2" t="s">
        <v>626</v>
      </c>
      <c r="C207" s="4" t="str">
        <f>IFERROR(__xludf.DUMMYFUNCTION("""🏘️ ""&amp;REGEXEXTRACT(B207, ""^(.*): "")&amp;"" ✅ "" &amp;REGEXEXTRACT(B207, ""(Trouvez.*)"")"),"🏘️ Vendre appartement Chalais ✅ Trouvez le bien immobilier qui correspond idéalement à vos désirs sur ImmoScout24 - La plateforme de l'immobilier en Suisse.")</f>
        <v>🏘️ Vendre appartement Chalais ✅ Trouvez le bien immobilier qui correspond idéalement à vos désirs sur ImmoScout24 - La plateforme de l'immobilier en Suisse.</v>
      </c>
      <c r="D207" s="4" t="str">
        <f>vlookup(A207, Sheet2!D:E, 2, 0)</f>
        <v>variant</v>
      </c>
      <c r="E207" s="4" t="str">
        <f>IFERROR(__xludf.DUMMYFUNCTION("if(H207=""pays"",vlookup(REGEXEXTRACT(C207, ""🏘️ \w+ \w+ (.*) ✅""),'Country prepositions'!A:B, 2, 0) &amp; "" "" &amp; REGEXEXTRACT(C207, ""🏘️ \w+ \w+ (.*) ✅"") ,  if(H207=""quartier"",vlookup(REGEXEXTRACT(C207, ""🏘️ \w+ \w+ (.*) ✅""),'Quartier prepositions'!A"&amp;":E, 5, 0) ,  if(H207=""region"",vlookup(REGEXEXTRACT(C207, ""🏘️ \w+ \w+ (.*) ✅""),'Region prepositions'!B:F, 5, 0),  REGEXEXTRACT(C207, ""🏘️ \w+ \w+ (.*) ✅""))))"),"Chalais")</f>
        <v>Chalais</v>
      </c>
      <c r="F207" s="2" t="str">
        <f>IFERROR(__xludf.DUMMYFUNCTION("REGEXEXTRACT(C207, ""🏘️ (\w+) \w+ .* ✅"")"),"Vendre")</f>
        <v>Vendre</v>
      </c>
      <c r="G207" s="2" t="str">
        <f>IFERROR(__xludf.DUMMYFUNCTION("REGEXEXTRACT(C207, ""🏘️ \w+ (\w+) .* ✅"")"),"appartement")</f>
        <v>appartement</v>
      </c>
      <c r="H207" s="4" t="str">
        <f>IFERROR(__xludf.DUMMYFUNCTION("REGEXEXTRACT(A207, ""/(\w+)-.*?"")"),"lieu")</f>
        <v>lieu</v>
      </c>
      <c r="I207" s="4" t="str">
        <f>IFERROR(__xludf.DUMMYFUNCTION("if(D207=""variant"",  substitute(filter(Templates!E:E, Templates!A:A = F207, Templates!B:B = G207, Templates!C:C = H207), ""{{}}"", E207), B207)"),"🏘  L’appartement de vos rêves se trouve sur ImmoScout24.ch ✅ Découvrez les dernières annonces de vente à Chalais.")</f>
        <v>🏘  L’appartement de vos rêves se trouve sur ImmoScout24.ch ✅ Découvrez les dernières annonces de vente à Chalais.</v>
      </c>
      <c r="J207" s="4" t="s">
        <v>627</v>
      </c>
    </row>
    <row r="208">
      <c r="A208" s="5" t="s">
        <v>628</v>
      </c>
      <c r="B208" s="2" t="s">
        <v>629</v>
      </c>
      <c r="C208" s="4" t="str">
        <f>IFERROR(__xludf.DUMMYFUNCTION("""🏘️ ""&amp;REGEXEXTRACT(B208, ""^(.*): "")&amp;"" ✅ "" &amp;REGEXEXTRACT(B208, ""(Trouvez.*)"")"),"🏘️ Louer maison Luterbach ✅ Trouvez le bien immobilier qui correspond idéalement à vos désirs sur ImmoScout24 - La plateforme de l'immobilier en Suisse.")</f>
        <v>🏘️ Louer maison Luterbach ✅ Trouvez le bien immobilier qui correspond idéalement à vos désirs sur ImmoScout24 - La plateforme de l'immobilier en Suisse.</v>
      </c>
      <c r="D208" s="4" t="str">
        <f>vlookup(A208, Sheet2!D:E, 2, 0)</f>
        <v>variant</v>
      </c>
      <c r="E208" s="4" t="str">
        <f>IFERROR(__xludf.DUMMYFUNCTION("if(H208=""pays"",vlookup(REGEXEXTRACT(C208, ""🏘️ \w+ \w+ (.*) ✅""),'Country prepositions'!A:B, 2, 0) &amp; "" "" &amp; REGEXEXTRACT(C208, ""🏘️ \w+ \w+ (.*) ✅"") ,  if(H208=""quartier"",vlookup(REGEXEXTRACT(C208, ""🏘️ \w+ \w+ (.*) ✅""),'Quartier prepositions'!A"&amp;":E, 5, 0) ,  if(H208=""region"",vlookup(REGEXEXTRACT(C208, ""🏘️ \w+ \w+ (.*) ✅""),'Region prepositions'!B:F, 5, 0),  REGEXEXTRACT(C208, ""🏘️ \w+ \w+ (.*) ✅""))))"),"Luterbach")</f>
        <v>Luterbach</v>
      </c>
      <c r="F208" s="2" t="str">
        <f>IFERROR(__xludf.DUMMYFUNCTION("REGEXEXTRACT(C208, ""🏘️ (\w+) \w+ .* ✅"")"),"Louer")</f>
        <v>Louer</v>
      </c>
      <c r="G208" s="2" t="str">
        <f>IFERROR(__xludf.DUMMYFUNCTION("REGEXEXTRACT(C208, ""🏘️ \w+ (\w+) .* ✅"")"),"maison")</f>
        <v>maison</v>
      </c>
      <c r="H208" s="4" t="str">
        <f>IFERROR(__xludf.DUMMYFUNCTION("REGEXEXTRACT(A208, ""/(\w+)-.*?"")"),"lieu")</f>
        <v>lieu</v>
      </c>
      <c r="I208" s="4" t="str">
        <f>IFERROR(__xludf.DUMMYFUNCTION("if(D208=""variant"",  substitute(filter(Templates!E:E, Templates!A:A = F208, Templates!B:B = G208, Templates!C:C = H208), ""{{}}"", E208), B208)"),"🏘  Vous cherchez une maison à louer à Luterbach? ✅ Découvrez nos nombreuses annonces sur ImmoScout24.ch.")</f>
        <v>🏘  Vous cherchez une maison à louer à Luterbach? ✅ Découvrez nos nombreuses annonces sur ImmoScout24.ch.</v>
      </c>
      <c r="J208" s="4" t="s">
        <v>630</v>
      </c>
    </row>
    <row r="209">
      <c r="A209" s="5" t="s">
        <v>631</v>
      </c>
      <c r="B209" s="2" t="s">
        <v>632</v>
      </c>
      <c r="C209" s="4" t="str">
        <f>IFERROR(__xludf.DUMMYFUNCTION("""🏘️ ""&amp;REGEXEXTRACT(B209, ""^(.*): "")&amp;"" ✅ "" &amp;REGEXEXTRACT(B209, ""(Trouvez.*)"")"),"🏘️ Vendre maison Orges ✅ Trouvez le bien immobilier qui correspond idéalement à vos désirs sur ImmoScout24 - La plateforme de l'immobilier en Suisse.")</f>
        <v>🏘️ Vendre maison Orges ✅ Trouvez le bien immobilier qui correspond idéalement à vos désirs sur ImmoScout24 - La plateforme de l'immobilier en Suisse.</v>
      </c>
      <c r="D209" s="4" t="str">
        <f>vlookup(A209, Sheet2!D:E, 2, 0)</f>
        <v>variant</v>
      </c>
      <c r="E209" s="4" t="str">
        <f>IFERROR(__xludf.DUMMYFUNCTION("if(H209=""pays"",vlookup(REGEXEXTRACT(C209, ""🏘️ \w+ \w+ (.*) ✅""),'Country prepositions'!A:B, 2, 0) &amp; "" "" &amp; REGEXEXTRACT(C209, ""🏘️ \w+ \w+ (.*) ✅"") ,  if(H209=""quartier"",vlookup(REGEXEXTRACT(C209, ""🏘️ \w+ \w+ (.*) ✅""),'Quartier prepositions'!A"&amp;":E, 5, 0) ,  if(H209=""region"",vlookup(REGEXEXTRACT(C209, ""🏘️ \w+ \w+ (.*) ✅""),'Region prepositions'!B:F, 5, 0),  REGEXEXTRACT(C209, ""🏘️ \w+ \w+ (.*) ✅""))))"),"Orges")</f>
        <v>Orges</v>
      </c>
      <c r="F209" s="2" t="str">
        <f>IFERROR(__xludf.DUMMYFUNCTION("REGEXEXTRACT(C209, ""🏘️ (\w+) \w+ .* ✅"")"),"Vendre")</f>
        <v>Vendre</v>
      </c>
      <c r="G209" s="2" t="str">
        <f>IFERROR(__xludf.DUMMYFUNCTION("REGEXEXTRACT(C209, ""🏘️ \w+ (\w+) .* ✅"")"),"maison")</f>
        <v>maison</v>
      </c>
      <c r="H209" s="4" t="str">
        <f>IFERROR(__xludf.DUMMYFUNCTION("REGEXEXTRACT(A209, ""/(\w+)-.*?"")"),"lieu")</f>
        <v>lieu</v>
      </c>
      <c r="I209" s="4" t="str">
        <f>IFERROR(__xludf.DUMMYFUNCTION("if(D209=""variant"",  substitute(filter(Templates!E:E, Templates!A:A = F209, Templates!B:B = G209, Templates!C:C = H209), ""{{}}"", E209), B209)"),"🏘  Vous souhaitez acheter une maison à Orges? ✅ Jetez un œil aux dernières offres sur ImmoScout24.ch.")</f>
        <v>🏘  Vous souhaitez acheter une maison à Orges? ✅ Jetez un œil aux dernières offres sur ImmoScout24.ch.</v>
      </c>
      <c r="J209" s="4" t="s">
        <v>633</v>
      </c>
    </row>
    <row r="210">
      <c r="A210" s="5" t="s">
        <v>634</v>
      </c>
      <c r="B210" s="2" t="s">
        <v>635</v>
      </c>
      <c r="C210" s="4" t="str">
        <f>IFERROR(__xludf.DUMMYFUNCTION("""🏘️ ""&amp;REGEXEXTRACT(B210, ""^(.*): "")&amp;"" ✅ "" &amp;REGEXEXTRACT(B210, ""(Trouvez.*)"")"),"🏘️ Vendre maison Chippis ✅ Trouvez le bien immobilier qui correspond idéalement à vos désirs sur ImmoScout24 - La plateforme de l'immobilier en Suisse.")</f>
        <v>🏘️ Vendre maison Chippis ✅ Trouvez le bien immobilier qui correspond idéalement à vos désirs sur ImmoScout24 - La plateforme de l'immobilier en Suisse.</v>
      </c>
      <c r="D210" s="4" t="str">
        <f>vlookup(A210, Sheet2!D:E, 2, 0)</f>
        <v>variant</v>
      </c>
      <c r="E210" s="4" t="str">
        <f>IFERROR(__xludf.DUMMYFUNCTION("if(H210=""pays"",vlookup(REGEXEXTRACT(C210, ""🏘️ \w+ \w+ (.*) ✅""),'Country prepositions'!A:B, 2, 0) &amp; "" "" &amp; REGEXEXTRACT(C210, ""🏘️ \w+ \w+ (.*) ✅"") ,  if(H210=""quartier"",vlookup(REGEXEXTRACT(C210, ""🏘️ \w+ \w+ (.*) ✅""),'Quartier prepositions'!A"&amp;":E, 5, 0) ,  if(H210=""region"",vlookup(REGEXEXTRACT(C210, ""🏘️ \w+ \w+ (.*) ✅""),'Region prepositions'!B:F, 5, 0),  REGEXEXTRACT(C210, ""🏘️ \w+ \w+ (.*) ✅""))))"),"Chippis")</f>
        <v>Chippis</v>
      </c>
      <c r="F210" s="2" t="str">
        <f>IFERROR(__xludf.DUMMYFUNCTION("REGEXEXTRACT(C210, ""🏘️ (\w+) \w+ .* ✅"")"),"Vendre")</f>
        <v>Vendre</v>
      </c>
      <c r="G210" s="2" t="str">
        <f>IFERROR(__xludf.DUMMYFUNCTION("REGEXEXTRACT(C210, ""🏘️ \w+ (\w+) .* ✅"")"),"maison")</f>
        <v>maison</v>
      </c>
      <c r="H210" s="4" t="str">
        <f>IFERROR(__xludf.DUMMYFUNCTION("REGEXEXTRACT(A210, ""/(\w+)-.*?"")"),"lieu")</f>
        <v>lieu</v>
      </c>
      <c r="I210" s="4" t="str">
        <f>IFERROR(__xludf.DUMMYFUNCTION("if(D210=""variant"",  substitute(filter(Templates!E:E, Templates!A:A = F210, Templates!B:B = G210, Templates!C:C = H210), ""{{}}"", E210), B210)"),"🏘  Vous souhaitez acheter une maison à Chippis? ✅ Jetez un œil aux dernières offres sur ImmoScout24.ch.")</f>
        <v>🏘  Vous souhaitez acheter une maison à Chippis? ✅ Jetez un œil aux dernières offres sur ImmoScout24.ch.</v>
      </c>
      <c r="J210" s="4" t="s">
        <v>636</v>
      </c>
    </row>
    <row r="211">
      <c r="A211" s="5" t="s">
        <v>637</v>
      </c>
      <c r="B211" s="2" t="s">
        <v>638</v>
      </c>
      <c r="C211" s="4" t="str">
        <f>IFERROR(__xludf.DUMMYFUNCTION("""🏘️ ""&amp;REGEXEXTRACT(B211, ""^(.*): "")&amp;"" ✅ "" &amp;REGEXEXTRACT(B211, ""(Trouvez.*)"")"),"🏘️ Louer appartement Les Sciernes-d'Albeuve ✅ Trouvez le bien immobilier qui correspond idéalement à vos désirs sur ImmoScout24 - La plateforme de l'immobilier en Suisse.")</f>
        <v>🏘️ Louer appartement Les Sciernes-d'Albeuve ✅ Trouvez le bien immobilier qui correspond idéalement à vos désirs sur ImmoScout24 - La plateforme de l'immobilier en Suisse.</v>
      </c>
      <c r="D211" s="4" t="str">
        <f>vlookup(A211, Sheet2!D:E, 2, 0)</f>
        <v>variant</v>
      </c>
      <c r="E211" s="4" t="str">
        <f>IFERROR(__xludf.DUMMYFUNCTION("if(H211=""pays"",vlookup(REGEXEXTRACT(C211, ""🏘️ \w+ \w+ (.*) ✅""),'Country prepositions'!A:B, 2, 0) &amp; "" "" &amp; REGEXEXTRACT(C211, ""🏘️ \w+ \w+ (.*) ✅"") ,  if(H211=""quartier"",vlookup(REGEXEXTRACT(C211, ""🏘️ \w+ \w+ (.*) ✅""),'Quartier prepositions'!A"&amp;":E, 5, 0) ,  if(H211=""region"",vlookup(REGEXEXTRACT(C211, ""🏘️ \w+ \w+ (.*) ✅""),'Region prepositions'!B:F, 5, 0),  REGEXEXTRACT(C211, ""🏘️ \w+ \w+ (.*) ✅""))))"),"Les Sciernes-d'Albeuve")</f>
        <v>Les Sciernes-d'Albeuve</v>
      </c>
      <c r="F211" s="2" t="str">
        <f>IFERROR(__xludf.DUMMYFUNCTION("REGEXEXTRACT(C211, ""🏘️ (\w+) \w+ .* ✅"")"),"Louer")</f>
        <v>Louer</v>
      </c>
      <c r="G211" s="2" t="str">
        <f>IFERROR(__xludf.DUMMYFUNCTION("REGEXEXTRACT(C211, ""🏘️ \w+ (\w+) .* ✅"")"),"appartement")</f>
        <v>appartement</v>
      </c>
      <c r="H211" s="4" t="str">
        <f>IFERROR(__xludf.DUMMYFUNCTION("REGEXEXTRACT(A211, ""/(\w+)-.*?"")"),"lieu")</f>
        <v>lieu</v>
      </c>
      <c r="I211" s="8" t="str">
        <f>IFERROR(__xludf.DUMMYFUNCTION("if(D211=""variant"",  substitute(filter(Templates!E:E, Templates!A:A = F211, Templates!B:B = G211, Templates!C:C = H211), ""{{}}"", E211), B211)"),"🏘  Vous cherchez un appartement à louer à Les Sciernes-d'Albeuve? ✅ Les annonces les plus actuelles sont sur ImmoScout24.ch.")</f>
        <v>🏘  Vous cherchez un appartement à louer à Les Sciernes-d'Albeuve? ✅ Les annonces les plus actuelles sont sur ImmoScout24.ch.</v>
      </c>
      <c r="J211" s="2" t="s">
        <v>639</v>
      </c>
    </row>
    <row r="212">
      <c r="A212" s="5" t="s">
        <v>640</v>
      </c>
      <c r="B212" s="2" t="s">
        <v>641</v>
      </c>
      <c r="C212" s="4" t="str">
        <f>IFERROR(__xludf.DUMMYFUNCTION("""🏘️ ""&amp;REGEXEXTRACT(B212, ""^(.*): "")&amp;"" ✅ "" &amp;REGEXEXTRACT(B212, ""(Trouvez.*)"")"),"🏘️ Vendre appartement Gals ✅ Trouvez le bien immobilier qui correspond idéalement à vos désirs sur ImmoScout24 - La plateforme de l'immobilier en Suisse.")</f>
        <v>🏘️ Vendre appartement Gals ✅ Trouvez le bien immobilier qui correspond idéalement à vos désirs sur ImmoScout24 - La plateforme de l'immobilier en Suisse.</v>
      </c>
      <c r="D212" s="4" t="str">
        <f>vlookup(A212, Sheet2!D:E, 2, 0)</f>
        <v>variant</v>
      </c>
      <c r="E212" s="4" t="str">
        <f>IFERROR(__xludf.DUMMYFUNCTION("if(H212=""pays"",vlookup(REGEXEXTRACT(C212, ""🏘️ \w+ \w+ (.*) ✅""),'Country prepositions'!A:B, 2, 0) &amp; "" "" &amp; REGEXEXTRACT(C212, ""🏘️ \w+ \w+ (.*) ✅"") ,  if(H212=""quartier"",vlookup(REGEXEXTRACT(C212, ""🏘️ \w+ \w+ (.*) ✅""),'Quartier prepositions'!A"&amp;":E, 5, 0) ,  if(H212=""region"",vlookup(REGEXEXTRACT(C212, ""🏘️ \w+ \w+ (.*) ✅""),'Region prepositions'!B:F, 5, 0),  REGEXEXTRACT(C212, ""🏘️ \w+ \w+ (.*) ✅""))))"),"Gals")</f>
        <v>Gals</v>
      </c>
      <c r="F212" s="2" t="str">
        <f>IFERROR(__xludf.DUMMYFUNCTION("REGEXEXTRACT(C212, ""🏘️ (\w+) \w+ .* ✅"")"),"Vendre")</f>
        <v>Vendre</v>
      </c>
      <c r="G212" s="2" t="str">
        <f>IFERROR(__xludf.DUMMYFUNCTION("REGEXEXTRACT(C212, ""🏘️ \w+ (\w+) .* ✅"")"),"appartement")</f>
        <v>appartement</v>
      </c>
      <c r="H212" s="4" t="str">
        <f>IFERROR(__xludf.DUMMYFUNCTION("REGEXEXTRACT(A212, ""/(\w+)-.*?"")"),"lieu")</f>
        <v>lieu</v>
      </c>
      <c r="I212" s="4" t="str">
        <f>IFERROR(__xludf.DUMMYFUNCTION("if(D212=""variant"",  substitute(filter(Templates!E:E, Templates!A:A = F212, Templates!B:B = G212, Templates!C:C = H212), ""{{}}"", E212), B212)"),"🏘  L’appartement de vos rêves se trouve sur ImmoScout24.ch ✅ Découvrez les dernières annonces de vente à Gals.")</f>
        <v>🏘  L’appartement de vos rêves se trouve sur ImmoScout24.ch ✅ Découvrez les dernières annonces de vente à Gals.</v>
      </c>
      <c r="J212" s="4" t="s">
        <v>642</v>
      </c>
    </row>
    <row r="213">
      <c r="A213" s="5" t="s">
        <v>643</v>
      </c>
      <c r="B213" s="2" t="s">
        <v>644</v>
      </c>
      <c r="C213" s="4" t="str">
        <f>IFERROR(__xludf.DUMMYFUNCTION("""🏘️ ""&amp;REGEXEXTRACT(B213, ""^(.*): "")&amp;"" ✅ "" &amp;REGEXEXTRACT(B213, ""(Trouvez.*)"")"),"🏘️ Vendre appartement Vitznau ✅ Trouvez le bien immobilier qui correspond idéalement à vos désirs sur ImmoScout24 - La plateforme de l'immobilier en Suisse.")</f>
        <v>🏘️ Vendre appartement Vitznau ✅ Trouvez le bien immobilier qui correspond idéalement à vos désirs sur ImmoScout24 - La plateforme de l'immobilier en Suisse.</v>
      </c>
      <c r="D213" s="4" t="str">
        <f>vlookup(A213, Sheet2!D:E, 2, 0)</f>
        <v>variant</v>
      </c>
      <c r="E213" s="4" t="str">
        <f>IFERROR(__xludf.DUMMYFUNCTION("if(H213=""pays"",vlookup(REGEXEXTRACT(C213, ""🏘️ \w+ \w+ (.*) ✅""),'Country prepositions'!A:B, 2, 0) &amp; "" "" &amp; REGEXEXTRACT(C213, ""🏘️ \w+ \w+ (.*) ✅"") ,  if(H213=""quartier"",vlookup(REGEXEXTRACT(C213, ""🏘️ \w+ \w+ (.*) ✅""),'Quartier prepositions'!A"&amp;":E, 5, 0) ,  if(H213=""region"",vlookup(REGEXEXTRACT(C213, ""🏘️ \w+ \w+ (.*) ✅""),'Region prepositions'!B:F, 5, 0),  REGEXEXTRACT(C213, ""🏘️ \w+ \w+ (.*) ✅""))))"),"Vitznau")</f>
        <v>Vitznau</v>
      </c>
      <c r="F213" s="2" t="str">
        <f>IFERROR(__xludf.DUMMYFUNCTION("REGEXEXTRACT(C213, ""🏘️ (\w+) \w+ .* ✅"")"),"Vendre")</f>
        <v>Vendre</v>
      </c>
      <c r="G213" s="2" t="str">
        <f>IFERROR(__xludf.DUMMYFUNCTION("REGEXEXTRACT(C213, ""🏘️ \w+ (\w+) .* ✅"")"),"appartement")</f>
        <v>appartement</v>
      </c>
      <c r="H213" s="4" t="str">
        <f>IFERROR(__xludf.DUMMYFUNCTION("REGEXEXTRACT(A213, ""/(\w+)-.*?"")"),"lieu")</f>
        <v>lieu</v>
      </c>
      <c r="I213" s="4" t="str">
        <f>IFERROR(__xludf.DUMMYFUNCTION("if(D213=""variant"",  substitute(filter(Templates!E:E, Templates!A:A = F213, Templates!B:B = G213, Templates!C:C = H213), ""{{}}"", E213), B213)"),"🏘  L’appartement de vos rêves se trouve sur ImmoScout24.ch ✅ Découvrez les dernières annonces de vente à Vitznau.")</f>
        <v>🏘  L’appartement de vos rêves se trouve sur ImmoScout24.ch ✅ Découvrez les dernières annonces de vente à Vitznau.</v>
      </c>
      <c r="J213" s="4" t="s">
        <v>645</v>
      </c>
    </row>
    <row r="214">
      <c r="A214" s="5" t="s">
        <v>646</v>
      </c>
      <c r="B214" s="2" t="s">
        <v>647</v>
      </c>
      <c r="C214" s="4" t="str">
        <f>IFERROR(__xludf.DUMMYFUNCTION("""🏘️ ""&amp;REGEXEXTRACT(B214, ""^(.*): "")&amp;"" ✅ "" &amp;REGEXEXTRACT(B214, ""(Trouvez.*)"")"),"🏘️ Vendre maison Némiaz (Chamoson) ✅ Trouvez le bien immobilier qui correspond idéalement à vos désirs sur ImmoScout24 - La plateforme de l'immobilier en Suisse.")</f>
        <v>🏘️ Vendre maison Némiaz (Chamoson) ✅ Trouvez le bien immobilier qui correspond idéalement à vos désirs sur ImmoScout24 - La plateforme de l'immobilier en Suisse.</v>
      </c>
      <c r="D214" s="4" t="str">
        <f>vlookup(A214, Sheet2!D:E, 2, 0)</f>
        <v>variant</v>
      </c>
      <c r="E214" s="4" t="str">
        <f>IFERROR(__xludf.DUMMYFUNCTION("if(H214=""pays"",vlookup(REGEXEXTRACT(C214, ""🏘️ \w+ \w+ (.*) ✅""),'Country prepositions'!A:B, 2, 0) &amp; "" "" &amp; REGEXEXTRACT(C214, ""🏘️ \w+ \w+ (.*) ✅"") ,  if(H214=""quartier"",vlookup(REGEXEXTRACT(C214, ""🏘️ \w+ \w+ (.*) ✅""),'Quartier prepositions'!A"&amp;":E, 5, 0) ,  if(H214=""region"",vlookup(REGEXEXTRACT(C214, ""🏘️ \w+ \w+ (.*) ✅""),'Region prepositions'!B:F, 5, 0),  REGEXEXTRACT(C214, ""🏘️ \w+ \w+ (.*) ✅""))))"),"Némiaz (Chamoson)")</f>
        <v>Némiaz (Chamoson)</v>
      </c>
      <c r="F214" s="2" t="str">
        <f>IFERROR(__xludf.DUMMYFUNCTION("REGEXEXTRACT(C214, ""🏘️ (\w+) \w+ .* ✅"")"),"Vendre")</f>
        <v>Vendre</v>
      </c>
      <c r="G214" s="2" t="str">
        <f>IFERROR(__xludf.DUMMYFUNCTION("REGEXEXTRACT(C214, ""🏘️ \w+ (\w+) .* ✅"")"),"maison")</f>
        <v>maison</v>
      </c>
      <c r="H214" s="4" t="str">
        <f>IFERROR(__xludf.DUMMYFUNCTION("REGEXEXTRACT(A214, ""/(\w+)-.*?"")"),"lieu")</f>
        <v>lieu</v>
      </c>
      <c r="I214" s="4" t="str">
        <f>IFERROR(__xludf.DUMMYFUNCTION("if(D214=""variant"",  substitute(filter(Templates!E:E, Templates!A:A = F214, Templates!B:B = G214, Templates!C:C = H214), ""{{}}"", E214), B214)"),"🏘  Vous souhaitez acheter une maison à Némiaz (Chamoson)? ✅ Jetez un œil aux dernières offres sur ImmoScout24.ch.")</f>
        <v>🏘  Vous souhaitez acheter une maison à Némiaz (Chamoson)? ✅ Jetez un œil aux dernières offres sur ImmoScout24.ch.</v>
      </c>
      <c r="J214" s="4" t="s">
        <v>648</v>
      </c>
    </row>
    <row r="215">
      <c r="A215" s="5" t="s">
        <v>649</v>
      </c>
      <c r="B215" s="2" t="s">
        <v>650</v>
      </c>
      <c r="C215" s="4" t="str">
        <f>IFERROR(__xludf.DUMMYFUNCTION("""🏘️ ""&amp;REGEXEXTRACT(B215, ""^(.*): "")&amp;"" ✅ "" &amp;REGEXEXTRACT(B215, ""(Trouvez.*)"")"),"🏘️ Louer maison Champagne ✅ Trouvez le bien immobilier qui correspond idéalement à vos désirs sur ImmoScout24 - La plateforme de l'immobilier en Suisse.")</f>
        <v>🏘️ Louer maison Champagne ✅ Trouvez le bien immobilier qui correspond idéalement à vos désirs sur ImmoScout24 - La plateforme de l'immobilier en Suisse.</v>
      </c>
      <c r="D215" s="4" t="str">
        <f>vlookup(A215, Sheet2!D:E, 2, 0)</f>
        <v>variant</v>
      </c>
      <c r="E215" s="4" t="str">
        <f>IFERROR(__xludf.DUMMYFUNCTION("if(H215=""pays"",vlookup(REGEXEXTRACT(C215, ""🏘️ \w+ \w+ (.*) ✅""),'Country prepositions'!A:B, 2, 0) &amp; "" "" &amp; REGEXEXTRACT(C215, ""🏘️ \w+ \w+ (.*) ✅"") ,  if(H215=""quartier"",vlookup(REGEXEXTRACT(C215, ""🏘️ \w+ \w+ (.*) ✅""),'Quartier prepositions'!A"&amp;":E, 5, 0) ,  if(H215=""region"",vlookup(REGEXEXTRACT(C215, ""🏘️ \w+ \w+ (.*) ✅""),'Region prepositions'!B:F, 5, 0),  REGEXEXTRACT(C215, ""🏘️ \w+ \w+ (.*) ✅""))))"),"Champagne")</f>
        <v>Champagne</v>
      </c>
      <c r="F215" s="2" t="str">
        <f>IFERROR(__xludf.DUMMYFUNCTION("REGEXEXTRACT(C215, ""🏘️ (\w+) \w+ .* ✅"")"),"Louer")</f>
        <v>Louer</v>
      </c>
      <c r="G215" s="2" t="str">
        <f>IFERROR(__xludf.DUMMYFUNCTION("REGEXEXTRACT(C215, ""🏘️ \w+ (\w+) .* ✅"")"),"maison")</f>
        <v>maison</v>
      </c>
      <c r="H215" s="4" t="str">
        <f>IFERROR(__xludf.DUMMYFUNCTION("REGEXEXTRACT(A215, ""/(\w+)-.*?"")"),"lieu")</f>
        <v>lieu</v>
      </c>
      <c r="I215" s="4" t="str">
        <f>IFERROR(__xludf.DUMMYFUNCTION("if(D215=""variant"",  substitute(filter(Templates!E:E, Templates!A:A = F215, Templates!B:B = G215, Templates!C:C = H215), ""{{}}"", E215), B215)"),"🏘  Vous cherchez une maison à louer à Champagne? ✅ Découvrez nos nombreuses annonces sur ImmoScout24.ch.")</f>
        <v>🏘  Vous cherchez une maison à louer à Champagne? ✅ Découvrez nos nombreuses annonces sur ImmoScout24.ch.</v>
      </c>
      <c r="J215" s="4" t="s">
        <v>651</v>
      </c>
    </row>
    <row r="216">
      <c r="A216" s="5" t="s">
        <v>652</v>
      </c>
      <c r="B216" s="2" t="s">
        <v>653</v>
      </c>
      <c r="C216" s="4" t="str">
        <f>IFERROR(__xludf.DUMMYFUNCTION("""🏘️ ""&amp;REGEXEXTRACT(B216, ""^(.*): "")&amp;"" ✅ "" &amp;REGEXEXTRACT(B216, ""(Trouvez.*)"")"),"🏘️ Louer appartement Chiasso ✅ Trouvez le bien immobilier qui correspond idéalement à vos désirs sur ImmoScout24 - La plateforme de l'immobilier en Suisse.")</f>
        <v>🏘️ Louer appartement Chiasso ✅ Trouvez le bien immobilier qui correspond idéalement à vos désirs sur ImmoScout24 - La plateforme de l'immobilier en Suisse.</v>
      </c>
      <c r="D216" s="4" t="str">
        <f>vlookup(A216, Sheet2!D:E, 2, 0)</f>
        <v>variant</v>
      </c>
      <c r="E216" s="4" t="str">
        <f>IFERROR(__xludf.DUMMYFUNCTION("if(H216=""pays"",vlookup(REGEXEXTRACT(C216, ""🏘️ \w+ \w+ (.*) ✅""),'Country prepositions'!A:B, 2, 0) &amp; "" "" &amp; REGEXEXTRACT(C216, ""🏘️ \w+ \w+ (.*) ✅"") ,  if(H216=""quartier"",vlookup(REGEXEXTRACT(C216, ""🏘️ \w+ \w+ (.*) ✅""),'Quartier prepositions'!A"&amp;":E, 5, 0) ,  if(H216=""region"",vlookup(REGEXEXTRACT(C216, ""🏘️ \w+ \w+ (.*) ✅""),'Region prepositions'!B:F, 5, 0),  REGEXEXTRACT(C216, ""🏘️ \w+ \w+ (.*) ✅""))))"),"Chiasso")</f>
        <v>Chiasso</v>
      </c>
      <c r="F216" s="2" t="str">
        <f>IFERROR(__xludf.DUMMYFUNCTION("REGEXEXTRACT(C216, ""🏘️ (\w+) \w+ .* ✅"")"),"Louer")</f>
        <v>Louer</v>
      </c>
      <c r="G216" s="2" t="str">
        <f>IFERROR(__xludf.DUMMYFUNCTION("REGEXEXTRACT(C216, ""🏘️ \w+ (\w+) .* ✅"")"),"appartement")</f>
        <v>appartement</v>
      </c>
      <c r="H216" s="4" t="str">
        <f>IFERROR(__xludf.DUMMYFUNCTION("REGEXEXTRACT(A216, ""/(\w+)-.*?"")"),"lieu")</f>
        <v>lieu</v>
      </c>
      <c r="I216" s="4" t="str">
        <f>IFERROR(__xludf.DUMMYFUNCTION("if(D216=""variant"",  substitute(filter(Templates!E:E, Templates!A:A = F216, Templates!B:B = G216, Templates!C:C = H216), ""{{}}"", E216), B216)"),"🏘  Vous cherchez un appartement à louer à Chiasso? ✅ Les annonces les plus actuelles sont sur ImmoScout24.ch.")</f>
        <v>🏘  Vous cherchez un appartement à louer à Chiasso? ✅ Les annonces les plus actuelles sont sur ImmoScout24.ch.</v>
      </c>
      <c r="J216" s="4" t="s">
        <v>654</v>
      </c>
    </row>
    <row r="217">
      <c r="A217" s="5" t="s">
        <v>655</v>
      </c>
      <c r="B217" s="2" t="s">
        <v>656</v>
      </c>
      <c r="C217" s="4" t="str">
        <f>IFERROR(__xludf.DUMMYFUNCTION("""🏘️ ""&amp;REGEXEXTRACT(B217, ""^(.*): "")&amp;"" ✅ "" &amp;REGEXEXTRACT(B217, ""(Trouvez.*)"")"),"🏘️ Louer maison Campagne - Gros de Vaud ✅ Trouvez le bien immobilier qui correspond idéalement à vos désirs sur ImmoScout24 - La plateforme de l'immobilier en Suisse.")</f>
        <v>🏘️ Louer maison Campagne - Gros de Vaud ✅ Trouvez le bien immobilier qui correspond idéalement à vos désirs sur ImmoScout24 - La plateforme de l'immobilier en Suisse.</v>
      </c>
      <c r="D217" s="4" t="str">
        <f>vlookup(A217, Sheet2!D:E, 2, 0)</f>
        <v>variant</v>
      </c>
      <c r="E217" s="4" t="str">
        <f>IFERROR(__xludf.DUMMYFUNCTION("if(H217=""pays"",vlookup(REGEXEXTRACT(C217, ""🏘️ \w+ \w+ (.*) ✅""),'Country prepositions'!A:B, 2, 0) &amp; "" "" &amp; REGEXEXTRACT(C217, ""🏘️ \w+ \w+ (.*) ✅"") ,  if(H217=""quartier"",vlookup(REGEXEXTRACT(C217, ""🏘️ \w+ \w+ (.*) ✅""),'Quartier prepositions'!A"&amp;":E, 5, 0) ,  if(H217=""region"",vlookup(REGEXEXTRACT(C217, ""🏘️ \w+ \w+ (.*) ✅""),'Region prepositions'!B:F, 5, 0),  REGEXEXTRACT(C217, ""🏘️ \w+ \w+ (.*) ✅""))))"),"à Gros-de-Vaud")</f>
        <v>à Gros-de-Vaud</v>
      </c>
      <c r="F217" s="2" t="str">
        <f>IFERROR(__xludf.DUMMYFUNCTION("REGEXEXTRACT(C217, ""🏘️ (\w+) \w+ .* ✅"")"),"Louer")</f>
        <v>Louer</v>
      </c>
      <c r="G217" s="2" t="str">
        <f>IFERROR(__xludf.DUMMYFUNCTION("REGEXEXTRACT(C217, ""🏘️ \w+ (\w+) .* ✅"")"),"maison")</f>
        <v>maison</v>
      </c>
      <c r="H217" s="4" t="str">
        <f>IFERROR(__xludf.DUMMYFUNCTION("REGEXEXTRACT(A217, ""/(\w+)-.*?"")"),"region")</f>
        <v>region</v>
      </c>
      <c r="I217" s="8" t="str">
        <f>IFERROR(__xludf.DUMMYFUNCTION("if(D217=""variant"",  substitute(filter(Templates!E:E, Templates!A:A = F217, Templates!B:B = G217, Templates!C:C = H217), ""{{}}"", E217), B217)"),"🏘  Vous cherchez une maison à louer à Gros-de-Vaud? ✅ Découvrez nos nombreuses annonces sur ImmoScout24.ch.")</f>
        <v>🏘  Vous cherchez une maison à louer à Gros-de-Vaud? ✅ Découvrez nos nombreuses annonces sur ImmoScout24.ch.</v>
      </c>
      <c r="J217" s="4" t="s">
        <v>657</v>
      </c>
    </row>
    <row r="218">
      <c r="A218" s="5" t="s">
        <v>658</v>
      </c>
      <c r="B218" s="2" t="s">
        <v>659</v>
      </c>
      <c r="C218" s="4" t="str">
        <f>IFERROR(__xludf.DUMMYFUNCTION("""🏘️ ""&amp;REGEXEXTRACT(B218, ""^(.*): "")&amp;"" ✅ "" &amp;REGEXEXTRACT(B218, ""(Trouvez.*)"")"),"🏘️ Vendre appartement Volketswil ✅ Trouvez le bien immobilier qui correspond idéalement à vos désirs sur ImmoScout24 - La plateforme de l'immobilier en Suisse.")</f>
        <v>🏘️ Vendre appartement Volketswil ✅ Trouvez le bien immobilier qui correspond idéalement à vos désirs sur ImmoScout24 - La plateforme de l'immobilier en Suisse.</v>
      </c>
      <c r="D218" s="4" t="str">
        <f>vlookup(A218, Sheet2!D:E, 2, 0)</f>
        <v>variant</v>
      </c>
      <c r="E218" s="4" t="str">
        <f>IFERROR(__xludf.DUMMYFUNCTION("if(H218=""pays"",vlookup(REGEXEXTRACT(C218, ""🏘️ \w+ \w+ (.*) ✅""),'Country prepositions'!A:B, 2, 0) &amp; "" "" &amp; REGEXEXTRACT(C218, ""🏘️ \w+ \w+ (.*) ✅"") ,  if(H218=""quartier"",vlookup(REGEXEXTRACT(C218, ""🏘️ \w+ \w+ (.*) ✅""),'Quartier prepositions'!A"&amp;":E, 5, 0) ,  if(H218=""region"",vlookup(REGEXEXTRACT(C218, ""🏘️ \w+ \w+ (.*) ✅""),'Region prepositions'!B:F, 5, 0),  REGEXEXTRACT(C218, ""🏘️ \w+ \w+ (.*) ✅""))))"),"Volketswil")</f>
        <v>Volketswil</v>
      </c>
      <c r="F218" s="2" t="str">
        <f>IFERROR(__xludf.DUMMYFUNCTION("REGEXEXTRACT(C218, ""🏘️ (\w+) \w+ .* ✅"")"),"Vendre")</f>
        <v>Vendre</v>
      </c>
      <c r="G218" s="2" t="str">
        <f>IFERROR(__xludf.DUMMYFUNCTION("REGEXEXTRACT(C218, ""🏘️ \w+ (\w+) .* ✅"")"),"appartement")</f>
        <v>appartement</v>
      </c>
      <c r="H218" s="4" t="str">
        <f>IFERROR(__xludf.DUMMYFUNCTION("REGEXEXTRACT(A218, ""/(\w+)-.*?"")"),"lieu")</f>
        <v>lieu</v>
      </c>
      <c r="I218" s="4" t="str">
        <f>IFERROR(__xludf.DUMMYFUNCTION("if(D218=""variant"",  substitute(filter(Templates!E:E, Templates!A:A = F218, Templates!B:B = G218, Templates!C:C = H218), ""{{}}"", E218), B218)"),"🏘  L’appartement de vos rêves se trouve sur ImmoScout24.ch ✅ Découvrez les dernières annonces de vente à Volketswil.")</f>
        <v>🏘  L’appartement de vos rêves se trouve sur ImmoScout24.ch ✅ Découvrez les dernières annonces de vente à Volketswil.</v>
      </c>
      <c r="J218" s="4" t="s">
        <v>660</v>
      </c>
    </row>
    <row r="219">
      <c r="A219" s="5" t="s">
        <v>661</v>
      </c>
      <c r="B219" s="2" t="s">
        <v>662</v>
      </c>
      <c r="C219" s="4" t="str">
        <f>IFERROR(__xludf.DUMMYFUNCTION("""🏘️ ""&amp;REGEXEXTRACT(B219, ""^(.*): "")&amp;"" ✅ "" &amp;REGEXEXTRACT(B219, ""(Trouvez.*)"")"),"🏘️ Louer appartement Rüfenacht BE ✅ Trouvez le bien immobilier qui correspond idéalement à vos désirs sur ImmoScout24 - La plateforme de l'immobilier en Suisse.")</f>
        <v>🏘️ Louer appartement Rüfenacht BE ✅ Trouvez le bien immobilier qui correspond idéalement à vos désirs sur ImmoScout24 - La plateforme de l'immobilier en Suisse.</v>
      </c>
      <c r="D219" s="4" t="str">
        <f>vlookup(A219, Sheet2!D:E, 2, 0)</f>
        <v>variant</v>
      </c>
      <c r="E219" s="4" t="str">
        <f>IFERROR(__xludf.DUMMYFUNCTION("if(H219=""pays"",vlookup(REGEXEXTRACT(C219, ""🏘️ \w+ \w+ (.*) ✅""),'Country prepositions'!A:B, 2, 0) &amp; "" "" &amp; REGEXEXTRACT(C219, ""🏘️ \w+ \w+ (.*) ✅"") ,  if(H219=""quartier"",vlookup(REGEXEXTRACT(C219, ""🏘️ \w+ \w+ (.*) ✅""),'Quartier prepositions'!A"&amp;":E, 5, 0) ,  if(H219=""region"",vlookup(REGEXEXTRACT(C219, ""🏘️ \w+ \w+ (.*) ✅""),'Region prepositions'!B:F, 5, 0),  REGEXEXTRACT(C219, ""🏘️ \w+ \w+ (.*) ✅""))))"),"Rüfenacht BE")</f>
        <v>Rüfenacht BE</v>
      </c>
      <c r="F219" s="2" t="str">
        <f>IFERROR(__xludf.DUMMYFUNCTION("REGEXEXTRACT(C219, ""🏘️ (\w+) \w+ .* ✅"")"),"Louer")</f>
        <v>Louer</v>
      </c>
      <c r="G219" s="2" t="str">
        <f>IFERROR(__xludf.DUMMYFUNCTION("REGEXEXTRACT(C219, ""🏘️ \w+ (\w+) .* ✅"")"),"appartement")</f>
        <v>appartement</v>
      </c>
      <c r="H219" s="4" t="str">
        <f>IFERROR(__xludf.DUMMYFUNCTION("REGEXEXTRACT(A219, ""/(\w+)-.*?"")"),"lieu")</f>
        <v>lieu</v>
      </c>
      <c r="I219" s="4" t="str">
        <f>IFERROR(__xludf.DUMMYFUNCTION("if(D219=""variant"",  substitute(filter(Templates!E:E, Templates!A:A = F219, Templates!B:B = G219, Templates!C:C = H219), ""{{}}"", E219), B219)"),"🏘  Vous cherchez un appartement à louer à Rüfenacht BE? ✅ Les annonces les plus actuelles sont sur ImmoScout24.ch.")</f>
        <v>🏘  Vous cherchez un appartement à louer à Rüfenacht BE? ✅ Les annonces les plus actuelles sont sur ImmoScout24.ch.</v>
      </c>
      <c r="J219" s="4" t="s">
        <v>663</v>
      </c>
    </row>
    <row r="220">
      <c r="A220" s="5" t="s">
        <v>664</v>
      </c>
      <c r="B220" s="2" t="s">
        <v>665</v>
      </c>
      <c r="C220" s="4" t="str">
        <f>IFERROR(__xludf.DUMMYFUNCTION("""🏘️ ""&amp;REGEXEXTRACT(B220, ""^(.*): "")&amp;"" ✅ "" &amp;REGEXEXTRACT(B220, ""(Trouvez.*)"")"),"🏘️ Vendre maison Renens VD ✅ Trouvez le bien immobilier qui correspond idéalement à vos désirs sur ImmoScout24 - La plateforme de l'immobilier en Suisse.")</f>
        <v>🏘️ Vendre maison Renens VD ✅ Trouvez le bien immobilier qui correspond idéalement à vos désirs sur ImmoScout24 - La plateforme de l'immobilier en Suisse.</v>
      </c>
      <c r="D220" s="4" t="str">
        <f>vlookup(A220, Sheet2!D:E, 2, 0)</f>
        <v>variant</v>
      </c>
      <c r="E220" s="4" t="str">
        <f>IFERROR(__xludf.DUMMYFUNCTION("if(H220=""pays"",vlookup(REGEXEXTRACT(C220, ""🏘️ \w+ \w+ (.*) ✅""),'Country prepositions'!A:B, 2, 0) &amp; "" "" &amp; REGEXEXTRACT(C220, ""🏘️ \w+ \w+ (.*) ✅"") ,  if(H220=""quartier"",vlookup(REGEXEXTRACT(C220, ""🏘️ \w+ \w+ (.*) ✅""),'Quartier prepositions'!A"&amp;":E, 5, 0) ,  if(H220=""region"",vlookup(REGEXEXTRACT(C220, ""🏘️ \w+ \w+ (.*) ✅""),'Region prepositions'!B:F, 5, 0),  REGEXEXTRACT(C220, ""🏘️ \w+ \w+ (.*) ✅""))))"),"Renens VD")</f>
        <v>Renens VD</v>
      </c>
      <c r="F220" s="2" t="str">
        <f>IFERROR(__xludf.DUMMYFUNCTION("REGEXEXTRACT(C220, ""🏘️ (\w+) \w+ .* ✅"")"),"Vendre")</f>
        <v>Vendre</v>
      </c>
      <c r="G220" s="2" t="str">
        <f>IFERROR(__xludf.DUMMYFUNCTION("REGEXEXTRACT(C220, ""🏘️ \w+ (\w+) .* ✅"")"),"maison")</f>
        <v>maison</v>
      </c>
      <c r="H220" s="4" t="str">
        <f>IFERROR(__xludf.DUMMYFUNCTION("REGEXEXTRACT(A220, ""/(\w+)-.*?"")"),"lieu")</f>
        <v>lieu</v>
      </c>
      <c r="I220" s="4" t="str">
        <f>IFERROR(__xludf.DUMMYFUNCTION("if(D220=""variant"",  substitute(filter(Templates!E:E, Templates!A:A = F220, Templates!B:B = G220, Templates!C:C = H220), ""{{}}"", E220), B220)"),"🏘  Vous souhaitez acheter une maison à Renens VD? ✅ Jetez un œil aux dernières offres sur ImmoScout24.ch.")</f>
        <v>🏘  Vous souhaitez acheter une maison à Renens VD? ✅ Jetez un œil aux dernières offres sur ImmoScout24.ch.</v>
      </c>
      <c r="J220" s="4" t="s">
        <v>666</v>
      </c>
    </row>
    <row r="221">
      <c r="A221" s="5" t="s">
        <v>667</v>
      </c>
      <c r="B221" s="2" t="s">
        <v>668</v>
      </c>
      <c r="C221" s="4" t="str">
        <f>IFERROR(__xludf.DUMMYFUNCTION("""🏘️ ""&amp;REGEXEXTRACT(B221, ""^(.*): "")&amp;"" ✅ "" &amp;REGEXEXTRACT(B221, ""(Trouvez.*)"")"),"🏘️ Louer maison Givrins ✅ Trouvez le bien immobilier qui correspond idéalement à vos désirs sur ImmoScout24 - La plateforme de l'immobilier en Suisse.")</f>
        <v>🏘️ Louer maison Givrins ✅ Trouvez le bien immobilier qui correspond idéalement à vos désirs sur ImmoScout24 - La plateforme de l'immobilier en Suisse.</v>
      </c>
      <c r="D221" s="4" t="str">
        <f>vlookup(A221, Sheet2!D:E, 2, 0)</f>
        <v>variant</v>
      </c>
      <c r="E221" s="4" t="str">
        <f>IFERROR(__xludf.DUMMYFUNCTION("if(H221=""pays"",vlookup(REGEXEXTRACT(C221, ""🏘️ \w+ \w+ (.*) ✅""),'Country prepositions'!A:B, 2, 0) &amp; "" "" &amp; REGEXEXTRACT(C221, ""🏘️ \w+ \w+ (.*) ✅"") ,  if(H221=""quartier"",vlookup(REGEXEXTRACT(C221, ""🏘️ \w+ \w+ (.*) ✅""),'Quartier prepositions'!A"&amp;":E, 5, 0) ,  if(H221=""region"",vlookup(REGEXEXTRACT(C221, ""🏘️ \w+ \w+ (.*) ✅""),'Region prepositions'!B:F, 5, 0),  REGEXEXTRACT(C221, ""🏘️ \w+ \w+ (.*) ✅""))))"),"Givrins")</f>
        <v>Givrins</v>
      </c>
      <c r="F221" s="2" t="str">
        <f>IFERROR(__xludf.DUMMYFUNCTION("REGEXEXTRACT(C221, ""🏘️ (\w+) \w+ .* ✅"")"),"Louer")</f>
        <v>Louer</v>
      </c>
      <c r="G221" s="2" t="str">
        <f>IFERROR(__xludf.DUMMYFUNCTION("REGEXEXTRACT(C221, ""🏘️ \w+ (\w+) .* ✅"")"),"maison")</f>
        <v>maison</v>
      </c>
      <c r="H221" s="4" t="str">
        <f>IFERROR(__xludf.DUMMYFUNCTION("REGEXEXTRACT(A221, ""/(\w+)-.*?"")"),"lieu")</f>
        <v>lieu</v>
      </c>
      <c r="I221" s="4" t="str">
        <f>IFERROR(__xludf.DUMMYFUNCTION("if(D221=""variant"",  substitute(filter(Templates!E:E, Templates!A:A = F221, Templates!B:B = G221, Templates!C:C = H221), ""{{}}"", E221), B221)"),"🏘  Vous cherchez une maison à louer à Givrins? ✅ Découvrez nos nombreuses annonces sur ImmoScout24.ch.")</f>
        <v>🏘  Vous cherchez une maison à louer à Givrins? ✅ Découvrez nos nombreuses annonces sur ImmoScout24.ch.</v>
      </c>
      <c r="J221" s="4" t="s">
        <v>669</v>
      </c>
    </row>
    <row r="222">
      <c r="A222" s="5" t="s">
        <v>670</v>
      </c>
      <c r="B222" s="2" t="s">
        <v>671</v>
      </c>
      <c r="C222" s="4" t="str">
        <f>IFERROR(__xludf.DUMMYFUNCTION("""🏘️ ""&amp;REGEXEXTRACT(B222, ""^(.*): "")&amp;"" ✅ "" &amp;REGEXEXTRACT(B222, ""(Trouvez.*)"")"),"🏘️ Vendre maison Sévaz ✅ Trouvez le bien immobilier qui correspond idéalement à vos désirs sur ImmoScout24 - La plateforme de l'immobilier en Suisse.")</f>
        <v>🏘️ Vendre maison Sévaz ✅ Trouvez le bien immobilier qui correspond idéalement à vos désirs sur ImmoScout24 - La plateforme de l'immobilier en Suisse.</v>
      </c>
      <c r="D222" s="4" t="str">
        <f>vlookup(A222, Sheet2!D:E, 2, 0)</f>
        <v>variant</v>
      </c>
      <c r="E222" s="4" t="str">
        <f>IFERROR(__xludf.DUMMYFUNCTION("if(H222=""pays"",vlookup(REGEXEXTRACT(C222, ""🏘️ \w+ \w+ (.*) ✅""),'Country prepositions'!A:B, 2, 0) &amp; "" "" &amp; REGEXEXTRACT(C222, ""🏘️ \w+ \w+ (.*) ✅"") ,  if(H222=""quartier"",vlookup(REGEXEXTRACT(C222, ""🏘️ \w+ \w+ (.*) ✅""),'Quartier prepositions'!A"&amp;":E, 5, 0) ,  if(H222=""region"",vlookup(REGEXEXTRACT(C222, ""🏘️ \w+ \w+ (.*) ✅""),'Region prepositions'!B:F, 5, 0),  REGEXEXTRACT(C222, ""🏘️ \w+ \w+ (.*) ✅""))))"),"Sévaz")</f>
        <v>Sévaz</v>
      </c>
      <c r="F222" s="2" t="str">
        <f>IFERROR(__xludf.DUMMYFUNCTION("REGEXEXTRACT(C222, ""🏘️ (\w+) \w+ .* ✅"")"),"Vendre")</f>
        <v>Vendre</v>
      </c>
      <c r="G222" s="2" t="str">
        <f>IFERROR(__xludf.DUMMYFUNCTION("REGEXEXTRACT(C222, ""🏘️ \w+ (\w+) .* ✅"")"),"maison")</f>
        <v>maison</v>
      </c>
      <c r="H222" s="4" t="str">
        <f>IFERROR(__xludf.DUMMYFUNCTION("REGEXEXTRACT(A222, ""/(\w+)-.*?"")"),"lieu")</f>
        <v>lieu</v>
      </c>
      <c r="I222" s="4" t="str">
        <f>IFERROR(__xludf.DUMMYFUNCTION("if(D222=""variant"",  substitute(filter(Templates!E:E, Templates!A:A = F222, Templates!B:B = G222, Templates!C:C = H222), ""{{}}"", E222), B222)"),"🏘  Vous souhaitez acheter une maison à Sévaz? ✅ Jetez un œil aux dernières offres sur ImmoScout24.ch.")</f>
        <v>🏘  Vous souhaitez acheter une maison à Sévaz? ✅ Jetez un œil aux dernières offres sur ImmoScout24.ch.</v>
      </c>
      <c r="J222" s="4" t="s">
        <v>672</v>
      </c>
    </row>
    <row r="223">
      <c r="A223" s="5" t="s">
        <v>673</v>
      </c>
      <c r="B223" s="2" t="s">
        <v>674</v>
      </c>
      <c r="C223" s="4" t="str">
        <f>IFERROR(__xludf.DUMMYFUNCTION("""🏘️ ""&amp;REGEXEXTRACT(B223, ""^(.*): "")&amp;"" ✅ "" &amp;REGEXEXTRACT(B223, ""(Trouvez.*)"")"),"🏘️ Louer appartement Treytorrens (Payerne) ✅ Trouvez le bien immobilier qui correspond idéalement à vos désirs sur ImmoScout24 - La plateforme de l'immobilier en Suisse.")</f>
        <v>🏘️ Louer appartement Treytorrens (Payerne) ✅ Trouvez le bien immobilier qui correspond idéalement à vos désirs sur ImmoScout24 - La plateforme de l'immobilier en Suisse.</v>
      </c>
      <c r="D223" s="4" t="str">
        <f>vlookup(A223, Sheet2!D:E, 2, 0)</f>
        <v>variant</v>
      </c>
      <c r="E223" s="4" t="str">
        <f>IFERROR(__xludf.DUMMYFUNCTION("if(H223=""pays"",vlookup(REGEXEXTRACT(C223, ""🏘️ \w+ \w+ (.*) ✅""),'Country prepositions'!A:B, 2, 0) &amp; "" "" &amp; REGEXEXTRACT(C223, ""🏘️ \w+ \w+ (.*) ✅"") ,  if(H223=""quartier"",vlookup(REGEXEXTRACT(C223, ""🏘️ \w+ \w+ (.*) ✅""),'Quartier prepositions'!A"&amp;":E, 5, 0) ,  if(H223=""region"",vlookup(REGEXEXTRACT(C223, ""🏘️ \w+ \w+ (.*) ✅""),'Region prepositions'!B:F, 5, 0),  REGEXEXTRACT(C223, ""🏘️ \w+ \w+ (.*) ✅""))))"),"Treytorrens (Payerne)")</f>
        <v>Treytorrens (Payerne)</v>
      </c>
      <c r="F223" s="2" t="str">
        <f>IFERROR(__xludf.DUMMYFUNCTION("REGEXEXTRACT(C223, ""🏘️ (\w+) \w+ .* ✅"")"),"Louer")</f>
        <v>Louer</v>
      </c>
      <c r="G223" s="2" t="str">
        <f>IFERROR(__xludf.DUMMYFUNCTION("REGEXEXTRACT(C223, ""🏘️ \w+ (\w+) .* ✅"")"),"appartement")</f>
        <v>appartement</v>
      </c>
      <c r="H223" s="4" t="str">
        <f>IFERROR(__xludf.DUMMYFUNCTION("REGEXEXTRACT(A223, ""/(\w+)-.*?"")"),"lieu")</f>
        <v>lieu</v>
      </c>
      <c r="I223" s="4" t="str">
        <f>IFERROR(__xludf.DUMMYFUNCTION("if(D223=""variant"",  substitute(filter(Templates!E:E, Templates!A:A = F223, Templates!B:B = G223, Templates!C:C = H223), ""{{}}"", E223), B223)"),"🏘  Vous cherchez un appartement à louer à Treytorrens (Payerne)? ✅ Les annonces les plus actuelles sont sur ImmoScout24.ch.")</f>
        <v>🏘  Vous cherchez un appartement à louer à Treytorrens (Payerne)? ✅ Les annonces les plus actuelles sont sur ImmoScout24.ch.</v>
      </c>
      <c r="J223" s="4" t="s">
        <v>675</v>
      </c>
    </row>
    <row r="224">
      <c r="A224" s="5" t="s">
        <v>676</v>
      </c>
      <c r="B224" s="2" t="s">
        <v>677</v>
      </c>
      <c r="C224" s="4" t="str">
        <f>IFERROR(__xludf.DUMMYFUNCTION("""🏘️ ""&amp;REGEXEXTRACT(B224, ""^(.*): "")&amp;"" ✅ "" &amp;REGEXEXTRACT(B224, ""(Trouvez.*)"")"),"🏘️ Louer maison Nax ✅ Trouvez le bien immobilier qui correspond idéalement à vos désirs sur ImmoScout24 - La plateforme de l'immobilier en Suisse.")</f>
        <v>🏘️ Louer maison Nax ✅ Trouvez le bien immobilier qui correspond idéalement à vos désirs sur ImmoScout24 - La plateforme de l'immobilier en Suisse.</v>
      </c>
      <c r="D224" s="4" t="str">
        <f>vlookup(A224, Sheet2!D:E, 2, 0)</f>
        <v>variant</v>
      </c>
      <c r="E224" s="4" t="str">
        <f>IFERROR(__xludf.DUMMYFUNCTION("if(H224=""pays"",vlookup(REGEXEXTRACT(C224, ""🏘️ \w+ \w+ (.*) ✅""),'Country prepositions'!A:B, 2, 0) &amp; "" "" &amp; REGEXEXTRACT(C224, ""🏘️ \w+ \w+ (.*) ✅"") ,  if(H224=""quartier"",vlookup(REGEXEXTRACT(C224, ""🏘️ \w+ \w+ (.*) ✅""),'Quartier prepositions'!A"&amp;":E, 5, 0) ,  if(H224=""region"",vlookup(REGEXEXTRACT(C224, ""🏘️ \w+ \w+ (.*) ✅""),'Region prepositions'!B:F, 5, 0),  REGEXEXTRACT(C224, ""🏘️ \w+ \w+ (.*) ✅""))))"),"Nax")</f>
        <v>Nax</v>
      </c>
      <c r="F224" s="2" t="str">
        <f>IFERROR(__xludf.DUMMYFUNCTION("REGEXEXTRACT(C224, ""🏘️ (\w+) \w+ .* ✅"")"),"Louer")</f>
        <v>Louer</v>
      </c>
      <c r="G224" s="2" t="str">
        <f>IFERROR(__xludf.DUMMYFUNCTION("REGEXEXTRACT(C224, ""🏘️ \w+ (\w+) .* ✅"")"),"maison")</f>
        <v>maison</v>
      </c>
      <c r="H224" s="4" t="str">
        <f>IFERROR(__xludf.DUMMYFUNCTION("REGEXEXTRACT(A224, ""/(\w+)-.*?"")"),"lieu")</f>
        <v>lieu</v>
      </c>
      <c r="I224" s="4" t="str">
        <f>IFERROR(__xludf.DUMMYFUNCTION("if(D224=""variant"",  substitute(filter(Templates!E:E, Templates!A:A = F224, Templates!B:B = G224, Templates!C:C = H224), ""{{}}"", E224), B224)"),"🏘  Vous cherchez une maison à louer à Nax? ✅ Découvrez nos nombreuses annonces sur ImmoScout24.ch.")</f>
        <v>🏘  Vous cherchez une maison à louer à Nax? ✅ Découvrez nos nombreuses annonces sur ImmoScout24.ch.</v>
      </c>
      <c r="J224" s="4" t="s">
        <v>678</v>
      </c>
    </row>
    <row r="225">
      <c r="A225" s="5" t="s">
        <v>679</v>
      </c>
      <c r="B225" s="2" t="s">
        <v>680</v>
      </c>
      <c r="C225" s="4" t="str">
        <f>IFERROR(__xludf.DUMMYFUNCTION("""🏘️ ""&amp;REGEXEXTRACT(B225, ""^(.*): "")&amp;"" ✅ "" &amp;REGEXEXTRACT(B225, ""(Trouvez.*)"")"),"🏘️ Vendre maison Gurmels ✅ Trouvez le bien immobilier qui correspond idéalement à vos désirs sur ImmoScout24 - La plateforme de l'immobilier en Suisse.")</f>
        <v>🏘️ Vendre maison Gurmels ✅ Trouvez le bien immobilier qui correspond idéalement à vos désirs sur ImmoScout24 - La plateforme de l'immobilier en Suisse.</v>
      </c>
      <c r="D225" s="4" t="str">
        <f>vlookup(A225, Sheet2!D:E, 2, 0)</f>
        <v>variant</v>
      </c>
      <c r="E225" s="4" t="str">
        <f>IFERROR(__xludf.DUMMYFUNCTION("if(H225=""pays"",vlookup(REGEXEXTRACT(C225, ""🏘️ \w+ \w+ (.*) ✅""),'Country prepositions'!A:B, 2, 0) &amp; "" "" &amp; REGEXEXTRACT(C225, ""🏘️ \w+ \w+ (.*) ✅"") ,  if(H225=""quartier"",vlookup(REGEXEXTRACT(C225, ""🏘️ \w+ \w+ (.*) ✅""),'Quartier prepositions'!A"&amp;":E, 5, 0) ,  if(H225=""region"",vlookup(REGEXEXTRACT(C225, ""🏘️ \w+ \w+ (.*) ✅""),'Region prepositions'!B:F, 5, 0),  REGEXEXTRACT(C225, ""🏘️ \w+ \w+ (.*) ✅""))))"),"Gurmels")</f>
        <v>Gurmels</v>
      </c>
      <c r="F225" s="2" t="str">
        <f>IFERROR(__xludf.DUMMYFUNCTION("REGEXEXTRACT(C225, ""🏘️ (\w+) \w+ .* ✅"")"),"Vendre")</f>
        <v>Vendre</v>
      </c>
      <c r="G225" s="2" t="str">
        <f>IFERROR(__xludf.DUMMYFUNCTION("REGEXEXTRACT(C225, ""🏘️ \w+ (\w+) .* ✅"")"),"maison")</f>
        <v>maison</v>
      </c>
      <c r="H225" s="4" t="str">
        <f>IFERROR(__xludf.DUMMYFUNCTION("REGEXEXTRACT(A225, ""/(\w+)-.*?"")"),"lieu")</f>
        <v>lieu</v>
      </c>
      <c r="I225" s="4" t="str">
        <f>IFERROR(__xludf.DUMMYFUNCTION("if(D225=""variant"",  substitute(filter(Templates!E:E, Templates!A:A = F225, Templates!B:B = G225, Templates!C:C = H225), ""{{}}"", E225), B225)"),"🏘  Vous souhaitez acheter une maison à Gurmels? ✅ Jetez un œil aux dernières offres sur ImmoScout24.ch.")</f>
        <v>🏘  Vous souhaitez acheter une maison à Gurmels? ✅ Jetez un œil aux dernières offres sur ImmoScout24.ch.</v>
      </c>
      <c r="J225" s="4" t="s">
        <v>681</v>
      </c>
    </row>
    <row r="226">
      <c r="A226" s="5" t="s">
        <v>682</v>
      </c>
      <c r="B226" s="2" t="s">
        <v>683</v>
      </c>
      <c r="C226" s="4" t="str">
        <f>IFERROR(__xludf.DUMMYFUNCTION("""🏘️ ""&amp;REGEXEXTRACT(B226, ""^(.*): "")&amp;"" ✅ "" &amp;REGEXEXTRACT(B226, ""(Trouvez.*)"")"),"🏘️ Louer appartement Allaman ✅ Trouvez le bien immobilier qui correspond idéalement à vos désirs sur ImmoScout24 - La plateforme de l'immobilier en Suisse.")</f>
        <v>🏘️ Louer appartement Allaman ✅ Trouvez le bien immobilier qui correspond idéalement à vos désirs sur ImmoScout24 - La plateforme de l'immobilier en Suisse.</v>
      </c>
      <c r="D226" s="4" t="str">
        <f>vlookup(A226, Sheet2!D:E, 2, 0)</f>
        <v>variant</v>
      </c>
      <c r="E226" s="4" t="str">
        <f>IFERROR(__xludf.DUMMYFUNCTION("if(H226=""pays"",vlookup(REGEXEXTRACT(C226, ""🏘️ \w+ \w+ (.*) ✅""),'Country prepositions'!A:B, 2, 0) &amp; "" "" &amp; REGEXEXTRACT(C226, ""🏘️ \w+ \w+ (.*) ✅"") ,  if(H226=""quartier"",vlookup(REGEXEXTRACT(C226, ""🏘️ \w+ \w+ (.*) ✅""),'Quartier prepositions'!A"&amp;":E, 5, 0) ,  if(H226=""region"",vlookup(REGEXEXTRACT(C226, ""🏘️ \w+ \w+ (.*) ✅""),'Region prepositions'!B:F, 5, 0),  REGEXEXTRACT(C226, ""🏘️ \w+ \w+ (.*) ✅""))))"),"Allaman")</f>
        <v>Allaman</v>
      </c>
      <c r="F226" s="2" t="str">
        <f>IFERROR(__xludf.DUMMYFUNCTION("REGEXEXTRACT(C226, ""🏘️ (\w+) \w+ .* ✅"")"),"Louer")</f>
        <v>Louer</v>
      </c>
      <c r="G226" s="2" t="str">
        <f>IFERROR(__xludf.DUMMYFUNCTION("REGEXEXTRACT(C226, ""🏘️ \w+ (\w+) .* ✅"")"),"appartement")</f>
        <v>appartement</v>
      </c>
      <c r="H226" s="4" t="str">
        <f>IFERROR(__xludf.DUMMYFUNCTION("REGEXEXTRACT(A226, ""/(\w+)-.*?"")"),"lieu")</f>
        <v>lieu</v>
      </c>
      <c r="I226" s="4" t="str">
        <f>IFERROR(__xludf.DUMMYFUNCTION("if(D226=""variant"",  substitute(filter(Templates!E:E, Templates!A:A = F226, Templates!B:B = G226, Templates!C:C = H226), ""{{}}"", E226), B226)"),"🏘  Vous cherchez un appartement à louer à Allaman? ✅ Les annonces les plus actuelles sont sur ImmoScout24.ch.")</f>
        <v>🏘  Vous cherchez un appartement à louer à Allaman? ✅ Les annonces les plus actuelles sont sur ImmoScout24.ch.</v>
      </c>
      <c r="J226" s="4" t="s">
        <v>684</v>
      </c>
    </row>
    <row r="227">
      <c r="A227" s="5" t="s">
        <v>685</v>
      </c>
      <c r="B227" s="2" t="s">
        <v>686</v>
      </c>
      <c r="C227" s="4" t="str">
        <f>IFERROR(__xludf.DUMMYFUNCTION("""🏘️ ""&amp;REGEXEXTRACT(B227, ""^(.*): "")&amp;"" ✅ "" &amp;REGEXEXTRACT(B227, ""(Trouvez.*)"")"),"🏘️ Louer appartement Le Séchey ✅ Trouvez le bien immobilier qui correspond idéalement à vos désirs sur ImmoScout24 - La plateforme de l'immobilier en Suisse.")</f>
        <v>🏘️ Louer appartement Le Séchey ✅ Trouvez le bien immobilier qui correspond idéalement à vos désirs sur ImmoScout24 - La plateforme de l'immobilier en Suisse.</v>
      </c>
      <c r="D227" s="4" t="str">
        <f>vlookup(A227, Sheet2!D:E, 2, 0)</f>
        <v>variant</v>
      </c>
      <c r="E227" s="4" t="str">
        <f>IFERROR(__xludf.DUMMYFUNCTION("if(H227=""pays"",vlookup(REGEXEXTRACT(C227, ""🏘️ \w+ \w+ (.*) ✅""),'Country prepositions'!A:B, 2, 0) &amp; "" "" &amp; REGEXEXTRACT(C227, ""🏘️ \w+ \w+ (.*) ✅"") ,  if(H227=""quartier"",vlookup(REGEXEXTRACT(C227, ""🏘️ \w+ \w+ (.*) ✅""),'Quartier prepositions'!A"&amp;":E, 5, 0) ,  if(H227=""region"",vlookup(REGEXEXTRACT(C227, ""🏘️ \w+ \w+ (.*) ✅""),'Region prepositions'!B:F, 5, 0),  REGEXEXTRACT(C227, ""🏘️ \w+ \w+ (.*) ✅""))))"),"Le Séchey")</f>
        <v>Le Séchey</v>
      </c>
      <c r="F227" s="2" t="str">
        <f>IFERROR(__xludf.DUMMYFUNCTION("REGEXEXTRACT(C227, ""🏘️ (\w+) \w+ .* ✅"")"),"Louer")</f>
        <v>Louer</v>
      </c>
      <c r="G227" s="2" t="str">
        <f>IFERROR(__xludf.DUMMYFUNCTION("REGEXEXTRACT(C227, ""🏘️ \w+ (\w+) .* ✅"")"),"appartement")</f>
        <v>appartement</v>
      </c>
      <c r="H227" s="4" t="str">
        <f>IFERROR(__xludf.DUMMYFUNCTION("REGEXEXTRACT(A227, ""/(\w+)-.*?"")"),"lieu")</f>
        <v>lieu</v>
      </c>
      <c r="I227" s="8" t="str">
        <f>IFERROR(__xludf.DUMMYFUNCTION("if(D227=""variant"",  substitute(filter(Templates!E:E, Templates!A:A = F227, Templates!B:B = G227, Templates!C:C = H227), ""{{}}"", E227), B227)"),"🏘  Vous cherchez un appartement à louer à Le Séchey? ✅ Les annonces les plus actuelles sont sur ImmoScout24.ch.")</f>
        <v>🏘  Vous cherchez un appartement à louer à Le Séchey? ✅ Les annonces les plus actuelles sont sur ImmoScout24.ch.</v>
      </c>
      <c r="J227" s="2" t="s">
        <v>687</v>
      </c>
    </row>
    <row r="228">
      <c r="A228" s="5" t="s">
        <v>688</v>
      </c>
      <c r="B228" s="2" t="s">
        <v>689</v>
      </c>
      <c r="C228" s="4" t="str">
        <f>IFERROR(__xludf.DUMMYFUNCTION("""🏘️ ""&amp;REGEXEXTRACT(B228, ""^(.*): "")&amp;"" ✅ "" &amp;REGEXEXTRACT(B228, ""(Trouvez.*)"")"),"🏘️ Louer appartement Gümligen ✅ Trouvez le bien immobilier qui correspond idéalement à vos désirs sur ImmoScout24 - La plateforme de l'immobilier en Suisse.")</f>
        <v>🏘️ Louer appartement Gümligen ✅ Trouvez le bien immobilier qui correspond idéalement à vos désirs sur ImmoScout24 - La plateforme de l'immobilier en Suisse.</v>
      </c>
      <c r="D228" s="4" t="str">
        <f>vlookup(A228, Sheet2!D:E, 2, 0)</f>
        <v>variant</v>
      </c>
      <c r="E228" s="4" t="str">
        <f>IFERROR(__xludf.DUMMYFUNCTION("if(H228=""pays"",vlookup(REGEXEXTRACT(C228, ""🏘️ \w+ \w+ (.*) ✅""),'Country prepositions'!A:B, 2, 0) &amp; "" "" &amp; REGEXEXTRACT(C228, ""🏘️ \w+ \w+ (.*) ✅"") ,  if(H228=""quartier"",vlookup(REGEXEXTRACT(C228, ""🏘️ \w+ \w+ (.*) ✅""),'Quartier prepositions'!A"&amp;":E, 5, 0) ,  if(H228=""region"",vlookup(REGEXEXTRACT(C228, ""🏘️ \w+ \w+ (.*) ✅""),'Region prepositions'!B:F, 5, 0),  REGEXEXTRACT(C228, ""🏘️ \w+ \w+ (.*) ✅""))))"),"Gümligen")</f>
        <v>Gümligen</v>
      </c>
      <c r="F228" s="2" t="str">
        <f>IFERROR(__xludf.DUMMYFUNCTION("REGEXEXTRACT(C228, ""🏘️ (\w+) \w+ .* ✅"")"),"Louer")</f>
        <v>Louer</v>
      </c>
      <c r="G228" s="2" t="str">
        <f>IFERROR(__xludf.DUMMYFUNCTION("REGEXEXTRACT(C228, ""🏘️ \w+ (\w+) .* ✅"")"),"appartement")</f>
        <v>appartement</v>
      </c>
      <c r="H228" s="4" t="str">
        <f>IFERROR(__xludf.DUMMYFUNCTION("REGEXEXTRACT(A228, ""/(\w+)-.*?"")"),"lieu")</f>
        <v>lieu</v>
      </c>
      <c r="I228" s="4" t="str">
        <f>IFERROR(__xludf.DUMMYFUNCTION("if(D228=""variant"",  substitute(filter(Templates!E:E, Templates!A:A = F228, Templates!B:B = G228, Templates!C:C = H228), ""{{}}"", E228), B228)"),"🏘  Vous cherchez un appartement à louer à Gümligen? ✅ Les annonces les plus actuelles sont sur ImmoScout24.ch.")</f>
        <v>🏘  Vous cherchez un appartement à louer à Gümligen? ✅ Les annonces les plus actuelles sont sur ImmoScout24.ch.</v>
      </c>
      <c r="J228" s="4" t="s">
        <v>690</v>
      </c>
    </row>
    <row r="229">
      <c r="A229" s="5" t="s">
        <v>691</v>
      </c>
      <c r="B229" s="2" t="s">
        <v>692</v>
      </c>
      <c r="C229" s="4" t="str">
        <f>IFERROR(__xludf.DUMMYFUNCTION("""🏘️ ""&amp;REGEXEXTRACT(B229, ""^(.*): "")&amp;"" ✅ "" &amp;REGEXEXTRACT(B229, ""(Trouvez.*)"")"),"🏘️ Louer appartement Biasca ✅ Trouvez le bien immobilier qui correspond idéalement à vos désirs sur ImmoScout24 - La plateforme de l'immobilier en Suisse.")</f>
        <v>🏘️ Louer appartement Biasca ✅ Trouvez le bien immobilier qui correspond idéalement à vos désirs sur ImmoScout24 - La plateforme de l'immobilier en Suisse.</v>
      </c>
      <c r="D229" s="4" t="str">
        <f>vlookup(A229, Sheet2!D:E, 2, 0)</f>
        <v>variant</v>
      </c>
      <c r="E229" s="4" t="str">
        <f>IFERROR(__xludf.DUMMYFUNCTION("if(H229=""pays"",vlookup(REGEXEXTRACT(C229, ""🏘️ \w+ \w+ (.*) ✅""),'Country prepositions'!A:B, 2, 0) &amp; "" "" &amp; REGEXEXTRACT(C229, ""🏘️ \w+ \w+ (.*) ✅"") ,  if(H229=""quartier"",vlookup(REGEXEXTRACT(C229, ""🏘️ \w+ \w+ (.*) ✅""),'Quartier prepositions'!A"&amp;":E, 5, 0) ,  if(H229=""region"",vlookup(REGEXEXTRACT(C229, ""🏘️ \w+ \w+ (.*) ✅""),'Region prepositions'!B:F, 5, 0),  REGEXEXTRACT(C229, ""🏘️ \w+ \w+ (.*) ✅""))))"),"Biasca")</f>
        <v>Biasca</v>
      </c>
      <c r="F229" s="2" t="str">
        <f>IFERROR(__xludf.DUMMYFUNCTION("REGEXEXTRACT(C229, ""🏘️ (\w+) \w+ .* ✅"")"),"Louer")</f>
        <v>Louer</v>
      </c>
      <c r="G229" s="2" t="str">
        <f>IFERROR(__xludf.DUMMYFUNCTION("REGEXEXTRACT(C229, ""🏘️ \w+ (\w+) .* ✅"")"),"appartement")</f>
        <v>appartement</v>
      </c>
      <c r="H229" s="4" t="str">
        <f>IFERROR(__xludf.DUMMYFUNCTION("REGEXEXTRACT(A229, ""/(\w+)-.*?"")"),"lieu")</f>
        <v>lieu</v>
      </c>
      <c r="I229" s="4" t="str">
        <f>IFERROR(__xludf.DUMMYFUNCTION("if(D229=""variant"",  substitute(filter(Templates!E:E, Templates!A:A = F229, Templates!B:B = G229, Templates!C:C = H229), ""{{}}"", E229), B229)"),"🏘  Vous cherchez un appartement à louer à Biasca? ✅ Les annonces les plus actuelles sont sur ImmoScout24.ch.")</f>
        <v>🏘  Vous cherchez un appartement à louer à Biasca? ✅ Les annonces les plus actuelles sont sur ImmoScout24.ch.</v>
      </c>
      <c r="J229" s="4" t="s">
        <v>693</v>
      </c>
    </row>
    <row r="230">
      <c r="A230" s="5" t="s">
        <v>694</v>
      </c>
      <c r="B230" s="2" t="s">
        <v>695</v>
      </c>
      <c r="C230" s="4" t="str">
        <f>IFERROR(__xludf.DUMMYFUNCTION("""🏘️ ""&amp;REGEXEXTRACT(B230, ""^(.*): "")&amp;"" ✅ "" &amp;REGEXEXTRACT(B230, ""(Trouvez.*)"")"),"🏘️ Louer maison Meinier ✅ Trouvez le bien immobilier qui correspond idéalement à vos désirs sur ImmoScout24 - La plateforme de l'immobilier en Suisse.")</f>
        <v>🏘️ Louer maison Meinier ✅ Trouvez le bien immobilier qui correspond idéalement à vos désirs sur ImmoScout24 - La plateforme de l'immobilier en Suisse.</v>
      </c>
      <c r="D230" s="4" t="str">
        <f>vlookup(A230, Sheet2!D:E, 2, 0)</f>
        <v>variant</v>
      </c>
      <c r="E230" s="4" t="str">
        <f>IFERROR(__xludf.DUMMYFUNCTION("if(H230=""pays"",vlookup(REGEXEXTRACT(C230, ""🏘️ \w+ \w+ (.*) ✅""),'Country prepositions'!A:B, 2, 0) &amp; "" "" &amp; REGEXEXTRACT(C230, ""🏘️ \w+ \w+ (.*) ✅"") ,  if(H230=""quartier"",vlookup(REGEXEXTRACT(C230, ""🏘️ \w+ \w+ (.*) ✅""),'Quartier prepositions'!A"&amp;":E, 5, 0) ,  if(H230=""region"",vlookup(REGEXEXTRACT(C230, ""🏘️ \w+ \w+ (.*) ✅""),'Region prepositions'!B:F, 5, 0),  REGEXEXTRACT(C230, ""🏘️ \w+ \w+ (.*) ✅""))))"),"Meinier")</f>
        <v>Meinier</v>
      </c>
      <c r="F230" s="2" t="str">
        <f>IFERROR(__xludf.DUMMYFUNCTION("REGEXEXTRACT(C230, ""🏘️ (\w+) \w+ .* ✅"")"),"Louer")</f>
        <v>Louer</v>
      </c>
      <c r="G230" s="2" t="str">
        <f>IFERROR(__xludf.DUMMYFUNCTION("REGEXEXTRACT(C230, ""🏘️ \w+ (\w+) .* ✅"")"),"maison")</f>
        <v>maison</v>
      </c>
      <c r="H230" s="4" t="str">
        <f>IFERROR(__xludf.DUMMYFUNCTION("REGEXEXTRACT(A230, ""/(\w+)-.*?"")"),"lieu")</f>
        <v>lieu</v>
      </c>
      <c r="I230" s="4" t="str">
        <f>IFERROR(__xludf.DUMMYFUNCTION("if(D230=""variant"",  substitute(filter(Templates!E:E, Templates!A:A = F230, Templates!B:B = G230, Templates!C:C = H230), ""{{}}"", E230), B230)"),"🏘  Vous cherchez une maison à louer à Meinier? ✅ Découvrez nos nombreuses annonces sur ImmoScout24.ch.")</f>
        <v>🏘  Vous cherchez une maison à louer à Meinier? ✅ Découvrez nos nombreuses annonces sur ImmoScout24.ch.</v>
      </c>
      <c r="J230" s="4" t="s">
        <v>696</v>
      </c>
    </row>
    <row r="231">
      <c r="A231" s="5" t="s">
        <v>697</v>
      </c>
      <c r="B231" s="2" t="s">
        <v>698</v>
      </c>
      <c r="C231" s="4" t="str">
        <f>IFERROR(__xludf.DUMMYFUNCTION("""🏘️ ""&amp;REGEXEXTRACT(B231, ""^(.*): "")&amp;"" ✅ "" &amp;REGEXEXTRACT(B231, ""(Trouvez.*)"")"),"🏘️ Vendre maison Bioley-Orjulaz ✅ Trouvez le bien immobilier qui correspond idéalement à vos désirs sur ImmoScout24 - La plateforme de l'immobilier en Suisse.")</f>
        <v>🏘️ Vendre maison Bioley-Orjulaz ✅ Trouvez le bien immobilier qui correspond idéalement à vos désirs sur ImmoScout24 - La plateforme de l'immobilier en Suisse.</v>
      </c>
      <c r="D231" s="4" t="str">
        <f>vlookup(A231, Sheet2!D:E, 2, 0)</f>
        <v>variant</v>
      </c>
      <c r="E231" s="4" t="str">
        <f>IFERROR(__xludf.DUMMYFUNCTION("if(H231=""pays"",vlookup(REGEXEXTRACT(C231, ""🏘️ \w+ \w+ (.*) ✅""),'Country prepositions'!A:B, 2, 0) &amp; "" "" &amp; REGEXEXTRACT(C231, ""🏘️ \w+ \w+ (.*) ✅"") ,  if(H231=""quartier"",vlookup(REGEXEXTRACT(C231, ""🏘️ \w+ \w+ (.*) ✅""),'Quartier prepositions'!A"&amp;":E, 5, 0) ,  if(H231=""region"",vlookup(REGEXEXTRACT(C231, ""🏘️ \w+ \w+ (.*) ✅""),'Region prepositions'!B:F, 5, 0),  REGEXEXTRACT(C231, ""🏘️ \w+ \w+ (.*) ✅""))))"),"Bioley-Orjulaz")</f>
        <v>Bioley-Orjulaz</v>
      </c>
      <c r="F231" s="2" t="str">
        <f>IFERROR(__xludf.DUMMYFUNCTION("REGEXEXTRACT(C231, ""🏘️ (\w+) \w+ .* ✅"")"),"Vendre")</f>
        <v>Vendre</v>
      </c>
      <c r="G231" s="2" t="str">
        <f>IFERROR(__xludf.DUMMYFUNCTION("REGEXEXTRACT(C231, ""🏘️ \w+ (\w+) .* ✅"")"),"maison")</f>
        <v>maison</v>
      </c>
      <c r="H231" s="4" t="str">
        <f>IFERROR(__xludf.DUMMYFUNCTION("REGEXEXTRACT(A231, ""/(\w+)-.*?"")"),"lieu")</f>
        <v>lieu</v>
      </c>
      <c r="I231" s="4" t="str">
        <f>IFERROR(__xludf.DUMMYFUNCTION("if(D231=""variant"",  substitute(filter(Templates!E:E, Templates!A:A = F231, Templates!B:B = G231, Templates!C:C = H231), ""{{}}"", E231), B231)"),"🏘  Vous souhaitez acheter une maison à Bioley-Orjulaz? ✅ Jetez un œil aux dernières offres sur ImmoScout24.ch.")</f>
        <v>🏘  Vous souhaitez acheter une maison à Bioley-Orjulaz? ✅ Jetez un œil aux dernières offres sur ImmoScout24.ch.</v>
      </c>
      <c r="J231" s="4" t="s">
        <v>699</v>
      </c>
    </row>
    <row r="232">
      <c r="A232" s="5" t="s">
        <v>700</v>
      </c>
      <c r="B232" s="2" t="s">
        <v>701</v>
      </c>
      <c r="C232" s="4" t="str">
        <f>IFERROR(__xludf.DUMMYFUNCTION("""🏘️ ""&amp;REGEXEXTRACT(B232, ""^(.*): "")&amp;"" ✅ "" &amp;REGEXEXTRACT(B232, ""(Trouvez.*)"")"),"🏘️ Vendre maison Cugnasco ✅ Trouvez le bien immobilier qui correspond idéalement à vos désirs sur ImmoScout24 - La plateforme de l'immobilier en Suisse.")</f>
        <v>🏘️ Vendre maison Cugnasco ✅ Trouvez le bien immobilier qui correspond idéalement à vos désirs sur ImmoScout24 - La plateforme de l'immobilier en Suisse.</v>
      </c>
      <c r="D232" s="4" t="str">
        <f>vlookup(A232, Sheet2!D:E, 2, 0)</f>
        <v>variant</v>
      </c>
      <c r="E232" s="4" t="str">
        <f>IFERROR(__xludf.DUMMYFUNCTION("if(H232=""pays"",vlookup(REGEXEXTRACT(C232, ""🏘️ \w+ \w+ (.*) ✅""),'Country prepositions'!A:B, 2, 0) &amp; "" "" &amp; REGEXEXTRACT(C232, ""🏘️ \w+ \w+ (.*) ✅"") ,  if(H232=""quartier"",vlookup(REGEXEXTRACT(C232, ""🏘️ \w+ \w+ (.*) ✅""),'Quartier prepositions'!A"&amp;":E, 5, 0) ,  if(H232=""region"",vlookup(REGEXEXTRACT(C232, ""🏘️ \w+ \w+ (.*) ✅""),'Region prepositions'!B:F, 5, 0),  REGEXEXTRACT(C232, ""🏘️ \w+ \w+ (.*) ✅""))))"),"Cugnasco")</f>
        <v>Cugnasco</v>
      </c>
      <c r="F232" s="2" t="str">
        <f>IFERROR(__xludf.DUMMYFUNCTION("REGEXEXTRACT(C232, ""🏘️ (\w+) \w+ .* ✅"")"),"Vendre")</f>
        <v>Vendre</v>
      </c>
      <c r="G232" s="2" t="str">
        <f>IFERROR(__xludf.DUMMYFUNCTION("REGEXEXTRACT(C232, ""🏘️ \w+ (\w+) .* ✅"")"),"maison")</f>
        <v>maison</v>
      </c>
      <c r="H232" s="4" t="str">
        <f>IFERROR(__xludf.DUMMYFUNCTION("REGEXEXTRACT(A232, ""/(\w+)-.*?"")"),"lieu")</f>
        <v>lieu</v>
      </c>
      <c r="I232" s="4" t="str">
        <f>IFERROR(__xludf.DUMMYFUNCTION("if(D232=""variant"",  substitute(filter(Templates!E:E, Templates!A:A = F232, Templates!B:B = G232, Templates!C:C = H232), ""{{}}"", E232), B232)"),"🏘  Vous souhaitez acheter une maison à Cugnasco? ✅ Jetez un œil aux dernières offres sur ImmoScout24.ch.")</f>
        <v>🏘  Vous souhaitez acheter une maison à Cugnasco? ✅ Jetez un œil aux dernières offres sur ImmoScout24.ch.</v>
      </c>
      <c r="J232" s="4" t="s">
        <v>702</v>
      </c>
    </row>
    <row r="233">
      <c r="A233" s="5" t="s">
        <v>703</v>
      </c>
      <c r="B233" s="2" t="s">
        <v>704</v>
      </c>
      <c r="C233" s="4" t="str">
        <f>IFERROR(__xludf.DUMMYFUNCTION("""🏘️ ""&amp;REGEXEXTRACT(B233, ""^(.*): "")&amp;"" ✅ "" &amp;REGEXEXTRACT(B233, ""(Trouvez.*)"")"),"🏘️ Vendre appartement Boussens ✅ Trouvez le bien immobilier qui correspond idéalement à vos désirs sur ImmoScout24 - La plateforme de l'immobilier en Suisse.")</f>
        <v>🏘️ Vendre appartement Boussens ✅ Trouvez le bien immobilier qui correspond idéalement à vos désirs sur ImmoScout24 - La plateforme de l'immobilier en Suisse.</v>
      </c>
      <c r="D233" s="4" t="str">
        <f>vlookup(A233, Sheet2!D:E, 2, 0)</f>
        <v>variant</v>
      </c>
      <c r="E233" s="4" t="str">
        <f>IFERROR(__xludf.DUMMYFUNCTION("if(H233=""pays"",vlookup(REGEXEXTRACT(C233, ""🏘️ \w+ \w+ (.*) ✅""),'Country prepositions'!A:B, 2, 0) &amp; "" "" &amp; REGEXEXTRACT(C233, ""🏘️ \w+ \w+ (.*) ✅"") ,  if(H233=""quartier"",vlookup(REGEXEXTRACT(C233, ""🏘️ \w+ \w+ (.*) ✅""),'Quartier prepositions'!A"&amp;":E, 5, 0) ,  if(H233=""region"",vlookup(REGEXEXTRACT(C233, ""🏘️ \w+ \w+ (.*) ✅""),'Region prepositions'!B:F, 5, 0),  REGEXEXTRACT(C233, ""🏘️ \w+ \w+ (.*) ✅""))))"),"Boussens")</f>
        <v>Boussens</v>
      </c>
      <c r="F233" s="2" t="str">
        <f>IFERROR(__xludf.DUMMYFUNCTION("REGEXEXTRACT(C233, ""🏘️ (\w+) \w+ .* ✅"")"),"Vendre")</f>
        <v>Vendre</v>
      </c>
      <c r="G233" s="2" t="str">
        <f>IFERROR(__xludf.DUMMYFUNCTION("REGEXEXTRACT(C233, ""🏘️ \w+ (\w+) .* ✅"")"),"appartement")</f>
        <v>appartement</v>
      </c>
      <c r="H233" s="4" t="str">
        <f>IFERROR(__xludf.DUMMYFUNCTION("REGEXEXTRACT(A233, ""/(\w+)-.*?"")"),"lieu")</f>
        <v>lieu</v>
      </c>
      <c r="I233" s="4" t="str">
        <f>IFERROR(__xludf.DUMMYFUNCTION("if(D233=""variant"",  substitute(filter(Templates!E:E, Templates!A:A = F233, Templates!B:B = G233, Templates!C:C = H233), ""{{}}"", E233), B233)"),"🏘  L’appartement de vos rêves se trouve sur ImmoScout24.ch ✅ Découvrez les dernières annonces de vente à Boussens.")</f>
        <v>🏘  L’appartement de vos rêves se trouve sur ImmoScout24.ch ✅ Découvrez les dernières annonces de vente à Boussens.</v>
      </c>
      <c r="J233" s="4" t="s">
        <v>705</v>
      </c>
    </row>
    <row r="234">
      <c r="A234" s="5" t="s">
        <v>706</v>
      </c>
      <c r="B234" s="2" t="s">
        <v>707</v>
      </c>
      <c r="C234" s="4" t="str">
        <f>IFERROR(__xludf.DUMMYFUNCTION("""🏘️ ""&amp;REGEXEXTRACT(B234, ""^(.*): "")&amp;"" ✅ "" &amp;REGEXEXTRACT(B234, ""(Trouvez.*)"")"),"🏘️ Louer maison Volketswil ✅ Trouvez le bien immobilier qui correspond idéalement à vos désirs sur ImmoScout24 - La plateforme de l'immobilier en Suisse.")</f>
        <v>🏘️ Louer maison Volketswil ✅ Trouvez le bien immobilier qui correspond idéalement à vos désirs sur ImmoScout24 - La plateforme de l'immobilier en Suisse.</v>
      </c>
      <c r="D234" s="4" t="str">
        <f>vlookup(A234, Sheet2!D:E, 2, 0)</f>
        <v>variant</v>
      </c>
      <c r="E234" s="4" t="str">
        <f>IFERROR(__xludf.DUMMYFUNCTION("if(H234=""pays"",vlookup(REGEXEXTRACT(C234, ""🏘️ \w+ \w+ (.*) ✅""),'Country prepositions'!A:B, 2, 0) &amp; "" "" &amp; REGEXEXTRACT(C234, ""🏘️ \w+ \w+ (.*) ✅"") ,  if(H234=""quartier"",vlookup(REGEXEXTRACT(C234, ""🏘️ \w+ \w+ (.*) ✅""),'Quartier prepositions'!A"&amp;":E, 5, 0) ,  if(H234=""region"",vlookup(REGEXEXTRACT(C234, ""🏘️ \w+ \w+ (.*) ✅""),'Region prepositions'!B:F, 5, 0),  REGEXEXTRACT(C234, ""🏘️ \w+ \w+ (.*) ✅""))))"),"Volketswil")</f>
        <v>Volketswil</v>
      </c>
      <c r="F234" s="2" t="str">
        <f>IFERROR(__xludf.DUMMYFUNCTION("REGEXEXTRACT(C234, ""🏘️ (\w+) \w+ .* ✅"")"),"Louer")</f>
        <v>Louer</v>
      </c>
      <c r="G234" s="2" t="str">
        <f>IFERROR(__xludf.DUMMYFUNCTION("REGEXEXTRACT(C234, ""🏘️ \w+ (\w+) .* ✅"")"),"maison")</f>
        <v>maison</v>
      </c>
      <c r="H234" s="4" t="str">
        <f>IFERROR(__xludf.DUMMYFUNCTION("REGEXEXTRACT(A234, ""/(\w+)-.*?"")"),"lieu")</f>
        <v>lieu</v>
      </c>
      <c r="I234" s="4" t="str">
        <f>IFERROR(__xludf.DUMMYFUNCTION("if(D234=""variant"",  substitute(filter(Templates!E:E, Templates!A:A = F234, Templates!B:B = G234, Templates!C:C = H234), ""{{}}"", E234), B234)"),"🏘  Vous cherchez une maison à louer à Volketswil? ✅ Découvrez nos nombreuses annonces sur ImmoScout24.ch.")</f>
        <v>🏘  Vous cherchez une maison à louer à Volketswil? ✅ Découvrez nos nombreuses annonces sur ImmoScout24.ch.</v>
      </c>
      <c r="J234" s="4" t="s">
        <v>708</v>
      </c>
    </row>
    <row r="235">
      <c r="A235" s="5" t="s">
        <v>709</v>
      </c>
      <c r="B235" s="2" t="s">
        <v>710</v>
      </c>
      <c r="C235" s="4" t="str">
        <f>IFERROR(__xludf.DUMMYFUNCTION("""🏘️ ""&amp;REGEXEXTRACT(B235, ""^(.*): "")&amp;"" ✅ "" &amp;REGEXEXTRACT(B235, ""(Trouvez.*)"")"),"🏘️ Vendre maison Rorschacherberg ✅ Trouvez le bien immobilier qui correspond idéalement à vos désirs sur ImmoScout24 - La plateforme de l'immobilier en Suisse.")</f>
        <v>🏘️ Vendre maison Rorschacherberg ✅ Trouvez le bien immobilier qui correspond idéalement à vos désirs sur ImmoScout24 - La plateforme de l'immobilier en Suisse.</v>
      </c>
      <c r="D235" s="4" t="str">
        <f>vlookup(A235, Sheet2!D:E, 2, 0)</f>
        <v>variant</v>
      </c>
      <c r="E235" s="4" t="str">
        <f>IFERROR(__xludf.DUMMYFUNCTION("if(H235=""pays"",vlookup(REGEXEXTRACT(C235, ""🏘️ \w+ \w+ (.*) ✅""),'Country prepositions'!A:B, 2, 0) &amp; "" "" &amp; REGEXEXTRACT(C235, ""🏘️ \w+ \w+ (.*) ✅"") ,  if(H235=""quartier"",vlookup(REGEXEXTRACT(C235, ""🏘️ \w+ \w+ (.*) ✅""),'Quartier prepositions'!A"&amp;":E, 5, 0) ,  if(H235=""region"",vlookup(REGEXEXTRACT(C235, ""🏘️ \w+ \w+ (.*) ✅""),'Region prepositions'!B:F, 5, 0),  REGEXEXTRACT(C235, ""🏘️ \w+ \w+ (.*) ✅""))))"),"Rorschacherberg")</f>
        <v>Rorschacherberg</v>
      </c>
      <c r="F235" s="2" t="str">
        <f>IFERROR(__xludf.DUMMYFUNCTION("REGEXEXTRACT(C235, ""🏘️ (\w+) \w+ .* ✅"")"),"Vendre")</f>
        <v>Vendre</v>
      </c>
      <c r="G235" s="2" t="str">
        <f>IFERROR(__xludf.DUMMYFUNCTION("REGEXEXTRACT(C235, ""🏘️ \w+ (\w+) .* ✅"")"),"maison")</f>
        <v>maison</v>
      </c>
      <c r="H235" s="4" t="str">
        <f>IFERROR(__xludf.DUMMYFUNCTION("REGEXEXTRACT(A235, ""/(\w+)-.*?"")"),"lieu")</f>
        <v>lieu</v>
      </c>
      <c r="I235" s="4" t="str">
        <f>IFERROR(__xludf.DUMMYFUNCTION("if(D235=""variant"",  substitute(filter(Templates!E:E, Templates!A:A = F235, Templates!B:B = G235, Templates!C:C = H235), ""{{}}"", E235), B235)"),"🏘  Vous souhaitez acheter une maison à Rorschacherberg? ✅ Jetez un œil aux dernières offres sur ImmoScout24.ch.")</f>
        <v>🏘  Vous souhaitez acheter une maison à Rorschacherberg? ✅ Jetez un œil aux dernières offres sur ImmoScout24.ch.</v>
      </c>
      <c r="J235" s="4" t="s">
        <v>711</v>
      </c>
    </row>
    <row r="236">
      <c r="A236" s="5" t="s">
        <v>712</v>
      </c>
      <c r="B236" s="2" t="s">
        <v>713</v>
      </c>
      <c r="C236" s="4" t="str">
        <f>IFERROR(__xludf.DUMMYFUNCTION("""🏘️ ""&amp;REGEXEXTRACT(B236, ""^(.*): "")&amp;"" ✅ "" &amp;REGEXEXTRACT(B236, ""(Trouvez.*)"")"),"🏘️ Louer maison Hagneck ✅ Trouvez le bien immobilier qui correspond idéalement à vos désirs sur ImmoScout24 - La plateforme de l'immobilier en Suisse.")</f>
        <v>🏘️ Louer maison Hagneck ✅ Trouvez le bien immobilier qui correspond idéalement à vos désirs sur ImmoScout24 - La plateforme de l'immobilier en Suisse.</v>
      </c>
      <c r="D236" s="4" t="str">
        <f>vlookup(A236, Sheet2!D:E, 2, 0)</f>
        <v>variant</v>
      </c>
      <c r="E236" s="4" t="str">
        <f>IFERROR(__xludf.DUMMYFUNCTION("if(H236=""pays"",vlookup(REGEXEXTRACT(C236, ""🏘️ \w+ \w+ (.*) ✅""),'Country prepositions'!A:B, 2, 0) &amp; "" "" &amp; REGEXEXTRACT(C236, ""🏘️ \w+ \w+ (.*) ✅"") ,  if(H236=""quartier"",vlookup(REGEXEXTRACT(C236, ""🏘️ \w+ \w+ (.*) ✅""),'Quartier prepositions'!A"&amp;":E, 5, 0) ,  if(H236=""region"",vlookup(REGEXEXTRACT(C236, ""🏘️ \w+ \w+ (.*) ✅""),'Region prepositions'!B:F, 5, 0),  REGEXEXTRACT(C236, ""🏘️ \w+ \w+ (.*) ✅""))))"),"Hagneck")</f>
        <v>Hagneck</v>
      </c>
      <c r="F236" s="2" t="str">
        <f>IFERROR(__xludf.DUMMYFUNCTION("REGEXEXTRACT(C236, ""🏘️ (\w+) \w+ .* ✅"")"),"Louer")</f>
        <v>Louer</v>
      </c>
      <c r="G236" s="2" t="str">
        <f>IFERROR(__xludf.DUMMYFUNCTION("REGEXEXTRACT(C236, ""🏘️ \w+ (\w+) .* ✅"")"),"maison")</f>
        <v>maison</v>
      </c>
      <c r="H236" s="4" t="str">
        <f>IFERROR(__xludf.DUMMYFUNCTION("REGEXEXTRACT(A236, ""/(\w+)-.*?"")"),"lieu")</f>
        <v>lieu</v>
      </c>
      <c r="I236" s="4" t="str">
        <f>IFERROR(__xludf.DUMMYFUNCTION("if(D236=""variant"",  substitute(filter(Templates!E:E, Templates!A:A = F236, Templates!B:B = G236, Templates!C:C = H236), ""{{}}"", E236), B236)"),"🏘  Vous cherchez une maison à louer à Hagneck? ✅ Découvrez nos nombreuses annonces sur ImmoScout24.ch.")</f>
        <v>🏘  Vous cherchez une maison à louer à Hagneck? ✅ Découvrez nos nombreuses annonces sur ImmoScout24.ch.</v>
      </c>
      <c r="J236" s="4" t="s">
        <v>714</v>
      </c>
    </row>
    <row r="237">
      <c r="A237" s="5" t="s">
        <v>715</v>
      </c>
      <c r="B237" s="2" t="s">
        <v>716</v>
      </c>
      <c r="C237" s="4" t="str">
        <f>IFERROR(__xludf.DUMMYFUNCTION("""🏘️ ""&amp;REGEXEXTRACT(B237, ""^(.*): "")&amp;"" ✅ "" &amp;REGEXEXTRACT(B237, ""(Trouvez.*)"")"),"🏘️ Louer maison La Ferrière ✅ Trouvez le bien immobilier qui correspond idéalement à vos désirs sur ImmoScout24 - La plateforme de l'immobilier en Suisse.")</f>
        <v>🏘️ Louer maison La Ferrière ✅ Trouvez le bien immobilier qui correspond idéalement à vos désirs sur ImmoScout24 - La plateforme de l'immobilier en Suisse.</v>
      </c>
      <c r="D237" s="4" t="str">
        <f>vlookup(A237, Sheet2!D:E, 2, 0)</f>
        <v>variant</v>
      </c>
      <c r="E237" s="4" t="str">
        <f>IFERROR(__xludf.DUMMYFUNCTION("if(H237=""pays"",vlookup(REGEXEXTRACT(C237, ""🏘️ \w+ \w+ (.*) ✅""),'Country prepositions'!A:B, 2, 0) &amp; "" "" &amp; REGEXEXTRACT(C237, ""🏘️ \w+ \w+ (.*) ✅"") ,  if(H237=""quartier"",vlookup(REGEXEXTRACT(C237, ""🏘️ \w+ \w+ (.*) ✅""),'Quartier prepositions'!A"&amp;":E, 5, 0) ,  if(H237=""region"",vlookup(REGEXEXTRACT(C237, ""🏘️ \w+ \w+ (.*) ✅""),'Region prepositions'!B:F, 5, 0),  REGEXEXTRACT(C237, ""🏘️ \w+ \w+ (.*) ✅""))))"),"La Ferrière")</f>
        <v>La Ferrière</v>
      </c>
      <c r="F237" s="2" t="str">
        <f>IFERROR(__xludf.DUMMYFUNCTION("REGEXEXTRACT(C237, ""🏘️ (\w+) \w+ .* ✅"")"),"Louer")</f>
        <v>Louer</v>
      </c>
      <c r="G237" s="2" t="str">
        <f>IFERROR(__xludf.DUMMYFUNCTION("REGEXEXTRACT(C237, ""🏘️ \w+ (\w+) .* ✅"")"),"maison")</f>
        <v>maison</v>
      </c>
      <c r="H237" s="4" t="str">
        <f>IFERROR(__xludf.DUMMYFUNCTION("REGEXEXTRACT(A237, ""/(\w+)-.*?"")"),"lieu")</f>
        <v>lieu</v>
      </c>
      <c r="I237" s="4" t="str">
        <f>IFERROR(__xludf.DUMMYFUNCTION("if(D237=""variant"",  substitute(filter(Templates!E:E, Templates!A:A = F237, Templates!B:B = G237, Templates!C:C = H237), ""{{}}"", E237), B237)"),"🏘  Vous cherchez une maison à louer à La Ferrière? ✅ Découvrez nos nombreuses annonces sur ImmoScout24.ch.")</f>
        <v>🏘  Vous cherchez une maison à louer à La Ferrière? ✅ Découvrez nos nombreuses annonces sur ImmoScout24.ch.</v>
      </c>
      <c r="J237" s="4" t="s">
        <v>717</v>
      </c>
    </row>
    <row r="238">
      <c r="A238" s="5" t="s">
        <v>718</v>
      </c>
      <c r="B238" s="2" t="s">
        <v>719</v>
      </c>
      <c r="C238" s="4" t="str">
        <f>IFERROR(__xludf.DUMMYFUNCTION("""🏘️ ""&amp;REGEXEXTRACT(B238, ""^(.*): "")&amp;"" ✅ "" &amp;REGEXEXTRACT(B238, ""(Trouvez.*)"")"),"🏘️ Vendre appartement Miège ✅ Trouvez le bien immobilier qui correspond idéalement à vos désirs sur ImmoScout24 - La plateforme de l'immobilier en Suisse.")</f>
        <v>🏘️ Vendre appartement Miège ✅ Trouvez le bien immobilier qui correspond idéalement à vos désirs sur ImmoScout24 - La plateforme de l'immobilier en Suisse.</v>
      </c>
      <c r="D238" s="4" t="str">
        <f>vlookup(A238, Sheet2!D:E, 2, 0)</f>
        <v>variant</v>
      </c>
      <c r="E238" s="4" t="str">
        <f>IFERROR(__xludf.DUMMYFUNCTION("if(H238=""pays"",vlookup(REGEXEXTRACT(C238, ""🏘️ \w+ \w+ (.*) ✅""),'Country prepositions'!A:B, 2, 0) &amp; "" "" &amp; REGEXEXTRACT(C238, ""🏘️ \w+ \w+ (.*) ✅"") ,  if(H238=""quartier"",vlookup(REGEXEXTRACT(C238, ""🏘️ \w+ \w+ (.*) ✅""),'Quartier prepositions'!A"&amp;":E, 5, 0) ,  if(H238=""region"",vlookup(REGEXEXTRACT(C238, ""🏘️ \w+ \w+ (.*) ✅""),'Region prepositions'!B:F, 5, 0),  REGEXEXTRACT(C238, ""🏘️ \w+ \w+ (.*) ✅""))))"),"Miège")</f>
        <v>Miège</v>
      </c>
      <c r="F238" s="2" t="str">
        <f>IFERROR(__xludf.DUMMYFUNCTION("REGEXEXTRACT(C238, ""🏘️ (\w+) \w+ .* ✅"")"),"Vendre")</f>
        <v>Vendre</v>
      </c>
      <c r="G238" s="2" t="str">
        <f>IFERROR(__xludf.DUMMYFUNCTION("REGEXEXTRACT(C238, ""🏘️ \w+ (\w+) .* ✅"")"),"appartement")</f>
        <v>appartement</v>
      </c>
      <c r="H238" s="4" t="str">
        <f>IFERROR(__xludf.DUMMYFUNCTION("REGEXEXTRACT(A238, ""/(\w+)-.*?"")"),"lieu")</f>
        <v>lieu</v>
      </c>
      <c r="I238" s="4" t="str">
        <f>IFERROR(__xludf.DUMMYFUNCTION("if(D238=""variant"",  substitute(filter(Templates!E:E, Templates!A:A = F238, Templates!B:B = G238, Templates!C:C = H238), ""{{}}"", E238), B238)"),"🏘  L’appartement de vos rêves se trouve sur ImmoScout24.ch ✅ Découvrez les dernières annonces de vente à Miège.")</f>
        <v>🏘  L’appartement de vos rêves se trouve sur ImmoScout24.ch ✅ Découvrez les dernières annonces de vente à Miège.</v>
      </c>
      <c r="J238" s="4" t="s">
        <v>720</v>
      </c>
    </row>
    <row r="239">
      <c r="A239" s="5" t="s">
        <v>721</v>
      </c>
      <c r="B239" s="2" t="s">
        <v>722</v>
      </c>
      <c r="C239" s="4" t="str">
        <f>IFERROR(__xludf.DUMMYFUNCTION("""🏘️ ""&amp;REGEXEXTRACT(B239, ""^(.*): "")&amp;"" ✅ "" &amp;REGEXEXTRACT(B239, ""(Trouvez.*)"")"),"🏘️ Vendre maison Ipsach ✅ Trouvez le bien immobilier qui correspond idéalement à vos désirs sur ImmoScout24 - La plateforme de l'immobilier en Suisse.")</f>
        <v>🏘️ Vendre maison Ipsach ✅ Trouvez le bien immobilier qui correspond idéalement à vos désirs sur ImmoScout24 - La plateforme de l'immobilier en Suisse.</v>
      </c>
      <c r="D239" s="4" t="str">
        <f>vlookup(A239, Sheet2!D:E, 2, 0)</f>
        <v>variant</v>
      </c>
      <c r="E239" s="4" t="str">
        <f>IFERROR(__xludf.DUMMYFUNCTION("if(H239=""pays"",vlookup(REGEXEXTRACT(C239, ""🏘️ \w+ \w+ (.*) ✅""),'Country prepositions'!A:B, 2, 0) &amp; "" "" &amp; REGEXEXTRACT(C239, ""🏘️ \w+ \w+ (.*) ✅"") ,  if(H239=""quartier"",vlookup(REGEXEXTRACT(C239, ""🏘️ \w+ \w+ (.*) ✅""),'Quartier prepositions'!A"&amp;":E, 5, 0) ,  if(H239=""region"",vlookup(REGEXEXTRACT(C239, ""🏘️ \w+ \w+ (.*) ✅""),'Region prepositions'!B:F, 5, 0),  REGEXEXTRACT(C239, ""🏘️ \w+ \w+ (.*) ✅""))))"),"Ipsach")</f>
        <v>Ipsach</v>
      </c>
      <c r="F239" s="2" t="str">
        <f>IFERROR(__xludf.DUMMYFUNCTION("REGEXEXTRACT(C239, ""🏘️ (\w+) \w+ .* ✅"")"),"Vendre")</f>
        <v>Vendre</v>
      </c>
      <c r="G239" s="2" t="str">
        <f>IFERROR(__xludf.DUMMYFUNCTION("REGEXEXTRACT(C239, ""🏘️ \w+ (\w+) .* ✅"")"),"maison")</f>
        <v>maison</v>
      </c>
      <c r="H239" s="4" t="str">
        <f>IFERROR(__xludf.DUMMYFUNCTION("REGEXEXTRACT(A239, ""/(\w+)-.*?"")"),"lieu")</f>
        <v>lieu</v>
      </c>
      <c r="I239" s="4" t="str">
        <f>IFERROR(__xludf.DUMMYFUNCTION("if(D239=""variant"",  substitute(filter(Templates!E:E, Templates!A:A = F239, Templates!B:B = G239, Templates!C:C = H239), ""{{}}"", E239), B239)"),"🏘  Vous souhaitez acheter une maison à Ipsach? ✅ Jetez un œil aux dernières offres sur ImmoScout24.ch.")</f>
        <v>🏘  Vous souhaitez acheter une maison à Ipsach? ✅ Jetez un œil aux dernières offres sur ImmoScout24.ch.</v>
      </c>
      <c r="J239" s="4" t="s">
        <v>723</v>
      </c>
    </row>
    <row r="240">
      <c r="A240" s="5" t="s">
        <v>724</v>
      </c>
      <c r="B240" s="2" t="s">
        <v>725</v>
      </c>
      <c r="C240" s="4" t="str">
        <f>IFERROR(__xludf.DUMMYFUNCTION("""🏘️ ""&amp;REGEXEXTRACT(B240, ""^(.*): "")&amp;"" ✅ "" &amp;REGEXEXTRACT(B240, ""(Trouvez.*)"")"),"🏘️ Louer maison Val de Ruz ✅ Trouvez le bien immobilier qui correspond idéalement à vos désirs sur ImmoScout24 - La plateforme de l'immobilier en Suisse.")</f>
        <v>🏘️ Louer maison Val de Ruz ✅ Trouvez le bien immobilier qui correspond idéalement à vos désirs sur ImmoScout24 - La plateforme de l'immobilier en Suisse.</v>
      </c>
      <c r="D240" s="4" t="str">
        <f>vlookup(A240, Sheet2!D:E, 2, 0)</f>
        <v>variant</v>
      </c>
      <c r="E240" s="4" t="str">
        <f>IFERROR(__xludf.DUMMYFUNCTION("if(H240=""pays"",vlookup(REGEXEXTRACT(C240, ""🏘️ \w+ \w+ (.*) ✅""),'Country prepositions'!A:B, 2, 0) &amp; "" "" &amp; REGEXEXTRACT(C240, ""🏘️ \w+ \w+ (.*) ✅"") ,  if(H240=""quartier"",vlookup(REGEXEXTRACT(C240, ""🏘️ \w+ \w+ (.*) ✅""),'Quartier prepositions'!A"&amp;":E, 5, 0) ,  if(H240=""region"",vlookup(REGEXEXTRACT(C240, ""🏘️ \w+ \w+ (.*) ✅""),'Region prepositions'!B:F, 5, 0),  REGEXEXTRACT(C240, ""🏘️ \w+ \w+ (.*) ✅""))))"),"dans le Val-de-Ruz")</f>
        <v>dans le Val-de-Ruz</v>
      </c>
      <c r="F240" s="2" t="str">
        <f>IFERROR(__xludf.DUMMYFUNCTION("REGEXEXTRACT(C240, ""🏘️ (\w+) \w+ .* ✅"")"),"Louer")</f>
        <v>Louer</v>
      </c>
      <c r="G240" s="2" t="str">
        <f>IFERROR(__xludf.DUMMYFUNCTION("REGEXEXTRACT(C240, ""🏘️ \w+ (\w+) .* ✅"")"),"maison")</f>
        <v>maison</v>
      </c>
      <c r="H240" s="4" t="str">
        <f>IFERROR(__xludf.DUMMYFUNCTION("REGEXEXTRACT(A240, ""/(\w+)-.*?"")"),"region")</f>
        <v>region</v>
      </c>
      <c r="I240" s="4" t="str">
        <f>IFERROR(__xludf.DUMMYFUNCTION("if(D240=""variant"",  substitute(filter(Templates!E:E, Templates!A:A = F240, Templates!B:B = G240, Templates!C:C = H240), ""{{}}"", E240), B240)"),"🏘  Vous cherchez une maison à louer dans le Val-de-Ruz? ✅ Découvrez nos nombreuses annonces sur ImmoScout24.ch.")</f>
        <v>🏘  Vous cherchez une maison à louer dans le Val-de-Ruz? ✅ Découvrez nos nombreuses annonces sur ImmoScout24.ch.</v>
      </c>
      <c r="J240" s="4" t="s">
        <v>726</v>
      </c>
    </row>
    <row r="241">
      <c r="A241" s="5" t="s">
        <v>727</v>
      </c>
      <c r="B241" s="2" t="s">
        <v>728</v>
      </c>
      <c r="C241" s="4" t="str">
        <f>IFERROR(__xludf.DUMMYFUNCTION("""🏘️ ""&amp;REGEXEXTRACT(B241, ""^(.*): "")&amp;"" ✅ "" &amp;REGEXEXTRACT(B241, ""(Trouvez.*)"")"),"🏘️ Louer maison Lossy ✅ Trouvez le bien immobilier qui correspond idéalement à vos désirs sur ImmoScout24 - La plateforme de l'immobilier en Suisse.")</f>
        <v>🏘️ Louer maison Lossy ✅ Trouvez le bien immobilier qui correspond idéalement à vos désirs sur ImmoScout24 - La plateforme de l'immobilier en Suisse.</v>
      </c>
      <c r="D241" s="4" t="str">
        <f>vlookup(A241, Sheet2!D:E, 2, 0)</f>
        <v>variant</v>
      </c>
      <c r="E241" s="4" t="str">
        <f>IFERROR(__xludf.DUMMYFUNCTION("if(H241=""pays"",vlookup(REGEXEXTRACT(C241, ""🏘️ \w+ \w+ (.*) ✅""),'Country prepositions'!A:B, 2, 0) &amp; "" "" &amp; REGEXEXTRACT(C241, ""🏘️ \w+ \w+ (.*) ✅"") ,  if(H241=""quartier"",vlookup(REGEXEXTRACT(C241, ""🏘️ \w+ \w+ (.*) ✅""),'Quartier prepositions'!A"&amp;":E, 5, 0) ,  if(H241=""region"",vlookup(REGEXEXTRACT(C241, ""🏘️ \w+ \w+ (.*) ✅""),'Region prepositions'!B:F, 5, 0),  REGEXEXTRACT(C241, ""🏘️ \w+ \w+ (.*) ✅""))))"),"Lossy")</f>
        <v>Lossy</v>
      </c>
      <c r="F241" s="2" t="str">
        <f>IFERROR(__xludf.DUMMYFUNCTION("REGEXEXTRACT(C241, ""🏘️ (\w+) \w+ .* ✅"")"),"Louer")</f>
        <v>Louer</v>
      </c>
      <c r="G241" s="2" t="str">
        <f>IFERROR(__xludf.DUMMYFUNCTION("REGEXEXTRACT(C241, ""🏘️ \w+ (\w+) .* ✅"")"),"maison")</f>
        <v>maison</v>
      </c>
      <c r="H241" s="4" t="str">
        <f>IFERROR(__xludf.DUMMYFUNCTION("REGEXEXTRACT(A241, ""/(\w+)-.*?"")"),"lieu")</f>
        <v>lieu</v>
      </c>
      <c r="I241" s="4" t="str">
        <f>IFERROR(__xludf.DUMMYFUNCTION("if(D241=""variant"",  substitute(filter(Templates!E:E, Templates!A:A = F241, Templates!B:B = G241, Templates!C:C = H241), ""{{}}"", E241), B241)"),"🏘  Vous cherchez une maison à louer à Lossy? ✅ Découvrez nos nombreuses annonces sur ImmoScout24.ch.")</f>
        <v>🏘  Vous cherchez une maison à louer à Lossy? ✅ Découvrez nos nombreuses annonces sur ImmoScout24.ch.</v>
      </c>
      <c r="J241" s="4" t="s">
        <v>729</v>
      </c>
    </row>
    <row r="242">
      <c r="A242" s="5" t="s">
        <v>730</v>
      </c>
      <c r="B242" s="2" t="s">
        <v>731</v>
      </c>
      <c r="C242" s="4" t="str">
        <f>IFERROR(__xludf.DUMMYFUNCTION("""🏘️ ""&amp;REGEXEXTRACT(B242, ""^(.*): "")&amp;"" ✅ "" &amp;REGEXEXTRACT(B242, ""(Trouvez.*)"")"),"🏘️ Louer appartement Flaach ✅ Trouvez le bien immobilier qui correspond idéalement à vos désirs sur ImmoScout24 - La plateforme de l'immobilier en Suisse.")</f>
        <v>🏘️ Louer appartement Flaach ✅ Trouvez le bien immobilier qui correspond idéalement à vos désirs sur ImmoScout24 - La plateforme de l'immobilier en Suisse.</v>
      </c>
      <c r="D242" s="4" t="str">
        <f>vlookup(A242, Sheet2!D:E, 2, 0)</f>
        <v>variant</v>
      </c>
      <c r="E242" s="4" t="str">
        <f>IFERROR(__xludf.DUMMYFUNCTION("if(H242=""pays"",vlookup(REGEXEXTRACT(C242, ""🏘️ \w+ \w+ (.*) ✅""),'Country prepositions'!A:B, 2, 0) &amp; "" "" &amp; REGEXEXTRACT(C242, ""🏘️ \w+ \w+ (.*) ✅"") ,  if(H242=""quartier"",vlookup(REGEXEXTRACT(C242, ""🏘️ \w+ \w+ (.*) ✅""),'Quartier prepositions'!A"&amp;":E, 5, 0) ,  if(H242=""region"",vlookup(REGEXEXTRACT(C242, ""🏘️ \w+ \w+ (.*) ✅""),'Region prepositions'!B:F, 5, 0),  REGEXEXTRACT(C242, ""🏘️ \w+ \w+ (.*) ✅""))))"),"Flaach")</f>
        <v>Flaach</v>
      </c>
      <c r="F242" s="2" t="str">
        <f>IFERROR(__xludf.DUMMYFUNCTION("REGEXEXTRACT(C242, ""🏘️ (\w+) \w+ .* ✅"")"),"Louer")</f>
        <v>Louer</v>
      </c>
      <c r="G242" s="2" t="str">
        <f>IFERROR(__xludf.DUMMYFUNCTION("REGEXEXTRACT(C242, ""🏘️ \w+ (\w+) .* ✅"")"),"appartement")</f>
        <v>appartement</v>
      </c>
      <c r="H242" s="4" t="str">
        <f>IFERROR(__xludf.DUMMYFUNCTION("REGEXEXTRACT(A242, ""/(\w+)-.*?"")"),"lieu")</f>
        <v>lieu</v>
      </c>
      <c r="I242" s="4" t="str">
        <f>IFERROR(__xludf.DUMMYFUNCTION("if(D242=""variant"",  substitute(filter(Templates!E:E, Templates!A:A = F242, Templates!B:B = G242, Templates!C:C = H242), ""{{}}"", E242), B242)"),"🏘  Vous cherchez un appartement à louer à Flaach? ✅ Les annonces les plus actuelles sont sur ImmoScout24.ch.")</f>
        <v>🏘  Vous cherchez un appartement à louer à Flaach? ✅ Les annonces les plus actuelles sont sur ImmoScout24.ch.</v>
      </c>
      <c r="J242" s="4" t="s">
        <v>732</v>
      </c>
    </row>
    <row r="243">
      <c r="A243" s="5" t="s">
        <v>733</v>
      </c>
      <c r="B243" s="2" t="s">
        <v>734</v>
      </c>
      <c r="C243" s="4" t="str">
        <f>IFERROR(__xludf.DUMMYFUNCTION("""🏘️ ""&amp;REGEXEXTRACT(B243, ""^(.*): "")&amp;"" ✅ "" &amp;REGEXEXTRACT(B243, ""(Trouvez.*)"")"),"🏘️ Louer appartement Bourrignon ✅ Trouvez le bien immobilier qui correspond idéalement à vos désirs sur ImmoScout24 - La plateforme de l'immobilier en Suisse.")</f>
        <v>🏘️ Louer appartement Bourrignon ✅ Trouvez le bien immobilier qui correspond idéalement à vos désirs sur ImmoScout24 - La plateforme de l'immobilier en Suisse.</v>
      </c>
      <c r="D243" s="4" t="str">
        <f>vlookup(A243, Sheet2!D:E, 2, 0)</f>
        <v>variant</v>
      </c>
      <c r="E243" s="4" t="str">
        <f>IFERROR(__xludf.DUMMYFUNCTION("if(H243=""pays"",vlookup(REGEXEXTRACT(C243, ""🏘️ \w+ \w+ (.*) ✅""),'Country prepositions'!A:B, 2, 0) &amp; "" "" &amp; REGEXEXTRACT(C243, ""🏘️ \w+ \w+ (.*) ✅"") ,  if(H243=""quartier"",vlookup(REGEXEXTRACT(C243, ""🏘️ \w+ \w+ (.*) ✅""),'Quartier prepositions'!A"&amp;":E, 5, 0) ,  if(H243=""region"",vlookup(REGEXEXTRACT(C243, ""🏘️ \w+ \w+ (.*) ✅""),'Region prepositions'!B:F, 5, 0),  REGEXEXTRACT(C243, ""🏘️ \w+ \w+ (.*) ✅""))))"),"Bourrignon")</f>
        <v>Bourrignon</v>
      </c>
      <c r="F243" s="2" t="str">
        <f>IFERROR(__xludf.DUMMYFUNCTION("REGEXEXTRACT(C243, ""🏘️ (\w+) \w+ .* ✅"")"),"Louer")</f>
        <v>Louer</v>
      </c>
      <c r="G243" s="2" t="str">
        <f>IFERROR(__xludf.DUMMYFUNCTION("REGEXEXTRACT(C243, ""🏘️ \w+ (\w+) .* ✅"")"),"appartement")</f>
        <v>appartement</v>
      </c>
      <c r="H243" s="4" t="str">
        <f>IFERROR(__xludf.DUMMYFUNCTION("REGEXEXTRACT(A243, ""/(\w+)-.*?"")"),"lieu")</f>
        <v>lieu</v>
      </c>
      <c r="I243" s="4" t="str">
        <f>IFERROR(__xludf.DUMMYFUNCTION("if(D243=""variant"",  substitute(filter(Templates!E:E, Templates!A:A = F243, Templates!B:B = G243, Templates!C:C = H243), ""{{}}"", E243), B243)"),"🏘  Vous cherchez un appartement à louer à Bourrignon? ✅ Les annonces les plus actuelles sont sur ImmoScout24.ch.")</f>
        <v>🏘  Vous cherchez un appartement à louer à Bourrignon? ✅ Les annonces les plus actuelles sont sur ImmoScout24.ch.</v>
      </c>
      <c r="J243" s="4" t="s">
        <v>735</v>
      </c>
    </row>
    <row r="244">
      <c r="A244" s="5" t="s">
        <v>736</v>
      </c>
      <c r="B244" s="2" t="s">
        <v>737</v>
      </c>
      <c r="C244" s="4" t="str">
        <f>IFERROR(__xludf.DUMMYFUNCTION("""🏘️ ""&amp;REGEXEXTRACT(B244, ""^(.*): "")&amp;"" ✅ "" &amp;REGEXEXTRACT(B244, ""(Trouvez.*)"")"),"🏘️ Vendre maison Agno ✅ Trouvez le bien immobilier qui correspond idéalement à vos désirs sur ImmoScout24 - La plateforme de l'immobilier en Suisse.")</f>
        <v>🏘️ Vendre maison Agno ✅ Trouvez le bien immobilier qui correspond idéalement à vos désirs sur ImmoScout24 - La plateforme de l'immobilier en Suisse.</v>
      </c>
      <c r="D244" s="4" t="str">
        <f>vlookup(A244, Sheet2!D:E, 2, 0)</f>
        <v>variant</v>
      </c>
      <c r="E244" s="4" t="str">
        <f>IFERROR(__xludf.DUMMYFUNCTION("if(H244=""pays"",vlookup(REGEXEXTRACT(C244, ""🏘️ \w+ \w+ (.*) ✅""),'Country prepositions'!A:B, 2, 0) &amp; "" "" &amp; REGEXEXTRACT(C244, ""🏘️ \w+ \w+ (.*) ✅"") ,  if(H244=""quartier"",vlookup(REGEXEXTRACT(C244, ""🏘️ \w+ \w+ (.*) ✅""),'Quartier prepositions'!A"&amp;":E, 5, 0) ,  if(H244=""region"",vlookup(REGEXEXTRACT(C244, ""🏘️ \w+ \w+ (.*) ✅""),'Region prepositions'!B:F, 5, 0),  REGEXEXTRACT(C244, ""🏘️ \w+ \w+ (.*) ✅""))))"),"Agno")</f>
        <v>Agno</v>
      </c>
      <c r="F244" s="2" t="str">
        <f>IFERROR(__xludf.DUMMYFUNCTION("REGEXEXTRACT(C244, ""🏘️ (\w+) \w+ .* ✅"")"),"Vendre")</f>
        <v>Vendre</v>
      </c>
      <c r="G244" s="2" t="str">
        <f>IFERROR(__xludf.DUMMYFUNCTION("REGEXEXTRACT(C244, ""🏘️ \w+ (\w+) .* ✅"")"),"maison")</f>
        <v>maison</v>
      </c>
      <c r="H244" s="4" t="str">
        <f>IFERROR(__xludf.DUMMYFUNCTION("REGEXEXTRACT(A244, ""/(\w+)-.*?"")"),"lieu")</f>
        <v>lieu</v>
      </c>
      <c r="I244" s="4" t="str">
        <f>IFERROR(__xludf.DUMMYFUNCTION("if(D244=""variant"",  substitute(filter(Templates!E:E, Templates!A:A = F244, Templates!B:B = G244, Templates!C:C = H244), ""{{}}"", E244), B244)"),"🏘  Vous souhaitez acheter une maison à Agno? ✅ Jetez un œil aux dernières offres sur ImmoScout24.ch.")</f>
        <v>🏘  Vous souhaitez acheter une maison à Agno? ✅ Jetez un œil aux dernières offres sur ImmoScout24.ch.</v>
      </c>
      <c r="J244" s="4" t="s">
        <v>738</v>
      </c>
    </row>
    <row r="245">
      <c r="A245" s="5" t="s">
        <v>739</v>
      </c>
      <c r="B245" s="2" t="s">
        <v>740</v>
      </c>
      <c r="C245" s="4" t="str">
        <f>IFERROR(__xludf.DUMMYFUNCTION("""🏘️ ""&amp;REGEXEXTRACT(B245, ""^(.*): "")&amp;"" ✅ "" &amp;REGEXEXTRACT(B245, ""(Trouvez.*)"")"),"🏘️ Vendre appartement La Conversion ✅ Trouvez le bien immobilier qui correspond idéalement à vos désirs sur ImmoScout24 - La plateforme de l'immobilier en Suisse.")</f>
        <v>🏘️ Vendre appartement La Conversion ✅ Trouvez le bien immobilier qui correspond idéalement à vos désirs sur ImmoScout24 - La plateforme de l'immobilier en Suisse.</v>
      </c>
      <c r="D245" s="4" t="str">
        <f>vlookup(A245, Sheet2!D:E, 2, 0)</f>
        <v>variant</v>
      </c>
      <c r="E245" s="4" t="str">
        <f>IFERROR(__xludf.DUMMYFUNCTION("if(H245=""pays"",vlookup(REGEXEXTRACT(C245, ""🏘️ \w+ \w+ (.*) ✅""),'Country prepositions'!A:B, 2, 0) &amp; "" "" &amp; REGEXEXTRACT(C245, ""🏘️ \w+ \w+ (.*) ✅"") ,  if(H245=""quartier"",vlookup(REGEXEXTRACT(C245, ""🏘️ \w+ \w+ (.*) ✅""),'Quartier prepositions'!A"&amp;":E, 5, 0) ,  if(H245=""region"",vlookup(REGEXEXTRACT(C245, ""🏘️ \w+ \w+ (.*) ✅""),'Region prepositions'!B:F, 5, 0),  REGEXEXTRACT(C245, ""🏘️ \w+ \w+ (.*) ✅""))))"),"La Conversion")</f>
        <v>La Conversion</v>
      </c>
      <c r="F245" s="2" t="str">
        <f>IFERROR(__xludf.DUMMYFUNCTION("REGEXEXTRACT(C245, ""🏘️ (\w+) \w+ .* ✅"")"),"Vendre")</f>
        <v>Vendre</v>
      </c>
      <c r="G245" s="2" t="str">
        <f>IFERROR(__xludf.DUMMYFUNCTION("REGEXEXTRACT(C245, ""🏘️ \w+ (\w+) .* ✅"")"),"appartement")</f>
        <v>appartement</v>
      </c>
      <c r="H245" s="4" t="str">
        <f>IFERROR(__xludf.DUMMYFUNCTION("REGEXEXTRACT(A245, ""/(\w+)-.*?"")"),"lieu")</f>
        <v>lieu</v>
      </c>
      <c r="I245" s="4" t="str">
        <f>IFERROR(__xludf.DUMMYFUNCTION("if(D245=""variant"",  substitute(filter(Templates!E:E, Templates!A:A = F245, Templates!B:B = G245, Templates!C:C = H245), ""{{}}"", E245), B245)"),"🏘  L’appartement de vos rêves se trouve sur ImmoScout24.ch ✅ Découvrez les dernières annonces de vente à La Conversion.")</f>
        <v>🏘  L’appartement de vos rêves se trouve sur ImmoScout24.ch ✅ Découvrez les dernières annonces de vente à La Conversion.</v>
      </c>
      <c r="J245" s="4" t="s">
        <v>741</v>
      </c>
    </row>
    <row r="246">
      <c r="A246" s="5" t="s">
        <v>742</v>
      </c>
      <c r="B246" s="2" t="s">
        <v>743</v>
      </c>
      <c r="C246" s="4" t="str">
        <f>IFERROR(__xludf.DUMMYFUNCTION("""🏘️ ""&amp;REGEXEXTRACT(B246, ""^(.*): "")&amp;"" ✅ "" &amp;REGEXEXTRACT(B246, ""(Trouvez.*)"")"),"🏘️ Louer appartement Weissenbühl (Berne) ✅ Trouvez le bien immobilier qui correspond idéalement à vos désirs sur ImmoScout24 - La plateforme de l'immobilier en Suisse.")</f>
        <v>🏘️ Louer appartement Weissenbühl (Berne) ✅ Trouvez le bien immobilier qui correspond idéalement à vos désirs sur ImmoScout24 - La plateforme de l'immobilier en Suisse.</v>
      </c>
      <c r="D246" s="4" t="str">
        <f>vlookup(A246, Sheet2!D:E, 2, 0)</f>
        <v>variant</v>
      </c>
      <c r="E246" s="4" t="str">
        <f>IFERROR(__xludf.DUMMYFUNCTION("if(H246=""pays"",vlookup(REGEXEXTRACT(C246, ""🏘️ \w+ \w+ (.*) ✅""),'Country prepositions'!A:B, 2, 0) &amp; "" "" &amp; REGEXEXTRACT(C246, ""🏘️ \w+ \w+ (.*) ✅"") ,  if(H246=""quartier"",vlookup(REGEXEXTRACT(C246, ""🏘️ \w+ \w+ (.*) ✅""),'Quartier prepositions'!A"&amp;":E, 5, 0) ,  if(H246=""region"",vlookup(REGEXEXTRACT(C246, ""🏘️ \w+ \w+ (.*) ✅""),'Region prepositions'!B:F, 5, 0),  REGEXEXTRACT(C246, ""🏘️ \w+ \w+ (.*) ✅""))))"),"dans le quartier de Weissenbühl (Berne)")</f>
        <v>dans le quartier de Weissenbühl (Berne)</v>
      </c>
      <c r="F246" s="2" t="str">
        <f>IFERROR(__xludf.DUMMYFUNCTION("REGEXEXTRACT(C246, ""🏘️ (\w+) \w+ .* ✅"")"),"Louer")</f>
        <v>Louer</v>
      </c>
      <c r="G246" s="2" t="str">
        <f>IFERROR(__xludf.DUMMYFUNCTION("REGEXEXTRACT(C246, ""🏘️ \w+ (\w+) .* ✅"")"),"appartement")</f>
        <v>appartement</v>
      </c>
      <c r="H246" s="4" t="str">
        <f>IFERROR(__xludf.DUMMYFUNCTION("REGEXEXTRACT(A246, ""/(\w+)-.*?"")"),"quartier")</f>
        <v>quartier</v>
      </c>
      <c r="I246" s="4" t="str">
        <f>IFERROR(__xludf.DUMMYFUNCTION("if(D246=""variant"",  substitute(filter(Templates!E:E, Templates!A:A = F246, Templates!B:B = G246, Templates!C:C = H246), ""{{}}"", E246), B246)"),"🏘  Vous cherchez un appartement à louer dans le quartier de Weissenbühl (Berne)? ✅ Les annonces les plus actuelles sont sur ImmoScout24.ch.")</f>
        <v>🏘  Vous cherchez un appartement à louer dans le quartier de Weissenbühl (Berne)? ✅ Les annonces les plus actuelles sont sur ImmoScout24.ch.</v>
      </c>
      <c r="J246" s="4" t="s">
        <v>744</v>
      </c>
    </row>
    <row r="247">
      <c r="A247" s="5" t="s">
        <v>745</v>
      </c>
      <c r="B247" s="2" t="s">
        <v>746</v>
      </c>
      <c r="C247" s="4" t="str">
        <f>IFERROR(__xludf.DUMMYFUNCTION("""🏘️ ""&amp;REGEXEXTRACT(B247, ""^(.*): "")&amp;"" ✅ "" &amp;REGEXEXTRACT(B247, ""(Trouvez.*)"")"),"🏘️ Vendre maison Hellikon ✅ Trouvez le bien immobilier qui correspond idéalement à vos désirs sur ImmoScout24 - La plateforme de l'immobilier en Suisse.")</f>
        <v>🏘️ Vendre maison Hellikon ✅ Trouvez le bien immobilier qui correspond idéalement à vos désirs sur ImmoScout24 - La plateforme de l'immobilier en Suisse.</v>
      </c>
      <c r="D247" s="4" t="str">
        <f>vlookup(A247, Sheet2!D:E, 2, 0)</f>
        <v>variant</v>
      </c>
      <c r="E247" s="4" t="str">
        <f>IFERROR(__xludf.DUMMYFUNCTION("if(H247=""pays"",vlookup(REGEXEXTRACT(C247, ""🏘️ \w+ \w+ (.*) ✅""),'Country prepositions'!A:B, 2, 0) &amp; "" "" &amp; REGEXEXTRACT(C247, ""🏘️ \w+ \w+ (.*) ✅"") ,  if(H247=""quartier"",vlookup(REGEXEXTRACT(C247, ""🏘️ \w+ \w+ (.*) ✅""),'Quartier prepositions'!A"&amp;":E, 5, 0) ,  if(H247=""region"",vlookup(REGEXEXTRACT(C247, ""🏘️ \w+ \w+ (.*) ✅""),'Region prepositions'!B:F, 5, 0),  REGEXEXTRACT(C247, ""🏘️ \w+ \w+ (.*) ✅""))))"),"Hellikon")</f>
        <v>Hellikon</v>
      </c>
      <c r="F247" s="2" t="str">
        <f>IFERROR(__xludf.DUMMYFUNCTION("REGEXEXTRACT(C247, ""🏘️ (\w+) \w+ .* ✅"")"),"Vendre")</f>
        <v>Vendre</v>
      </c>
      <c r="G247" s="2" t="str">
        <f>IFERROR(__xludf.DUMMYFUNCTION("REGEXEXTRACT(C247, ""🏘️ \w+ (\w+) .* ✅"")"),"maison")</f>
        <v>maison</v>
      </c>
      <c r="H247" s="4" t="str">
        <f>IFERROR(__xludf.DUMMYFUNCTION("REGEXEXTRACT(A247, ""/(\w+)-.*?"")"),"lieu")</f>
        <v>lieu</v>
      </c>
      <c r="I247" s="4" t="str">
        <f>IFERROR(__xludf.DUMMYFUNCTION("if(D247=""variant"",  substitute(filter(Templates!E:E, Templates!A:A = F247, Templates!B:B = G247, Templates!C:C = H247), ""{{}}"", E247), B247)"),"🏘  Vous souhaitez acheter une maison à Hellikon? ✅ Jetez un œil aux dernières offres sur ImmoScout24.ch.")</f>
        <v>🏘  Vous souhaitez acheter une maison à Hellikon? ✅ Jetez un œil aux dernières offres sur ImmoScout24.ch.</v>
      </c>
      <c r="J247" s="4" t="s">
        <v>747</v>
      </c>
    </row>
    <row r="248">
      <c r="A248" s="5" t="s">
        <v>748</v>
      </c>
      <c r="B248" s="2" t="s">
        <v>749</v>
      </c>
      <c r="C248" s="4" t="str">
        <f>IFERROR(__xludf.DUMMYFUNCTION("""🏘️ ""&amp;REGEXEXTRACT(B248, ""^(.*): "")&amp;"" ✅ "" &amp;REGEXEXTRACT(B248, ""(Trouvez.*)"")"),"🏘️ Vendre maison Praz (Vully) ✅ Trouvez le bien immobilier qui correspond idéalement à vos désirs sur ImmoScout24 - La plateforme de l'immobilier en Suisse.")</f>
        <v>🏘️ Vendre maison Praz (Vully) ✅ Trouvez le bien immobilier qui correspond idéalement à vos désirs sur ImmoScout24 - La plateforme de l'immobilier en Suisse.</v>
      </c>
      <c r="D248" s="4" t="str">
        <f>vlookup(A248, Sheet2!D:E, 2, 0)</f>
        <v>variant</v>
      </c>
      <c r="E248" s="4" t="str">
        <f>IFERROR(__xludf.DUMMYFUNCTION("if(H248=""pays"",vlookup(REGEXEXTRACT(C248, ""🏘️ \w+ \w+ (.*) ✅""),'Country prepositions'!A:B, 2, 0) &amp; "" "" &amp; REGEXEXTRACT(C248, ""🏘️ \w+ \w+ (.*) ✅"") ,  if(H248=""quartier"",vlookup(REGEXEXTRACT(C248, ""🏘️ \w+ \w+ (.*) ✅""),'Quartier prepositions'!A"&amp;":E, 5, 0) ,  if(H248=""region"",vlookup(REGEXEXTRACT(C248, ""🏘️ \w+ \w+ (.*) ✅""),'Region prepositions'!B:F, 5, 0),  REGEXEXTRACT(C248, ""🏘️ \w+ \w+ (.*) ✅""))))"),"Praz (Vully)")</f>
        <v>Praz (Vully)</v>
      </c>
      <c r="F248" s="2" t="str">
        <f>IFERROR(__xludf.DUMMYFUNCTION("REGEXEXTRACT(C248, ""🏘️ (\w+) \w+ .* ✅"")"),"Vendre")</f>
        <v>Vendre</v>
      </c>
      <c r="G248" s="2" t="str">
        <f>IFERROR(__xludf.DUMMYFUNCTION("REGEXEXTRACT(C248, ""🏘️ \w+ (\w+) .* ✅"")"),"maison")</f>
        <v>maison</v>
      </c>
      <c r="H248" s="4" t="str">
        <f>IFERROR(__xludf.DUMMYFUNCTION("REGEXEXTRACT(A248, ""/(\w+)-.*?"")"),"lieu")</f>
        <v>lieu</v>
      </c>
      <c r="I248" s="4" t="str">
        <f>IFERROR(__xludf.DUMMYFUNCTION("if(D248=""variant"",  substitute(filter(Templates!E:E, Templates!A:A = F248, Templates!B:B = G248, Templates!C:C = H248), ""{{}}"", E248), B248)"),"🏘  Vous souhaitez acheter une maison à Praz (Vully)? ✅ Jetez un œil aux dernières offres sur ImmoScout24.ch.")</f>
        <v>🏘  Vous souhaitez acheter une maison à Praz (Vully)? ✅ Jetez un œil aux dernières offres sur ImmoScout24.ch.</v>
      </c>
      <c r="J248" s="4" t="s">
        <v>750</v>
      </c>
    </row>
    <row r="249">
      <c r="A249" s="5" t="s">
        <v>751</v>
      </c>
      <c r="B249" s="2" t="s">
        <v>752</v>
      </c>
      <c r="C249" s="4" t="str">
        <f>IFERROR(__xludf.DUMMYFUNCTION("""🏘️ ""&amp;REGEXEXTRACT(B249, ""^(.*): "")&amp;"" ✅ "" &amp;REGEXEXTRACT(B249, ""(Trouvez.*)"")"),"🏘️ Vendre maison Vauderens ✅ Trouvez le bien immobilier qui correspond idéalement à vos désirs sur ImmoScout24 - La plateforme de l'immobilier en Suisse.")</f>
        <v>🏘️ Vendre maison Vauderens ✅ Trouvez le bien immobilier qui correspond idéalement à vos désirs sur ImmoScout24 - La plateforme de l'immobilier en Suisse.</v>
      </c>
      <c r="D249" s="4" t="str">
        <f>vlookup(A249, Sheet2!D:E, 2, 0)</f>
        <v>variant</v>
      </c>
      <c r="E249" s="4" t="str">
        <f>IFERROR(__xludf.DUMMYFUNCTION("if(H249=""pays"",vlookup(REGEXEXTRACT(C249, ""🏘️ \w+ \w+ (.*) ✅""),'Country prepositions'!A:B, 2, 0) &amp; "" "" &amp; REGEXEXTRACT(C249, ""🏘️ \w+ \w+ (.*) ✅"") ,  if(H249=""quartier"",vlookup(REGEXEXTRACT(C249, ""🏘️ \w+ \w+ (.*) ✅""),'Quartier prepositions'!A"&amp;":E, 5, 0) ,  if(H249=""region"",vlookup(REGEXEXTRACT(C249, ""🏘️ \w+ \w+ (.*) ✅""),'Region prepositions'!B:F, 5, 0),  REGEXEXTRACT(C249, ""🏘️ \w+ \w+ (.*) ✅""))))"),"Vauderens")</f>
        <v>Vauderens</v>
      </c>
      <c r="F249" s="2" t="str">
        <f>IFERROR(__xludf.DUMMYFUNCTION("REGEXEXTRACT(C249, ""🏘️ (\w+) \w+ .* ✅"")"),"Vendre")</f>
        <v>Vendre</v>
      </c>
      <c r="G249" s="2" t="str">
        <f>IFERROR(__xludf.DUMMYFUNCTION("REGEXEXTRACT(C249, ""🏘️ \w+ (\w+) .* ✅"")"),"maison")</f>
        <v>maison</v>
      </c>
      <c r="H249" s="4" t="str">
        <f>IFERROR(__xludf.DUMMYFUNCTION("REGEXEXTRACT(A249, ""/(\w+)-.*?"")"),"lieu")</f>
        <v>lieu</v>
      </c>
      <c r="I249" s="4" t="str">
        <f>IFERROR(__xludf.DUMMYFUNCTION("if(D249=""variant"",  substitute(filter(Templates!E:E, Templates!A:A = F249, Templates!B:B = G249, Templates!C:C = H249), ""{{}}"", E249), B249)"),"🏘  Vous souhaitez acheter une maison à Vauderens? ✅ Jetez un œil aux dernières offres sur ImmoScout24.ch.")</f>
        <v>🏘  Vous souhaitez acheter une maison à Vauderens? ✅ Jetez un œil aux dernières offres sur ImmoScout24.ch.</v>
      </c>
      <c r="J249" s="4" t="s">
        <v>753</v>
      </c>
    </row>
    <row r="250">
      <c r="A250" s="5" t="s">
        <v>754</v>
      </c>
      <c r="B250" s="2" t="s">
        <v>755</v>
      </c>
      <c r="C250" s="4" t="str">
        <f>IFERROR(__xludf.DUMMYFUNCTION("""🏘️ ""&amp;REGEXEXTRACT(B250, ""^(.*): "")&amp;"" ✅ "" &amp;REGEXEXTRACT(B250, ""(Trouvez.*)"")"),"🏘️ Louer maison Villarbeney ✅ Trouvez le bien immobilier qui correspond idéalement à vos désirs sur ImmoScout24 - La plateforme de l'immobilier en Suisse.")</f>
        <v>🏘️ Louer maison Villarbeney ✅ Trouvez le bien immobilier qui correspond idéalement à vos désirs sur ImmoScout24 - La plateforme de l'immobilier en Suisse.</v>
      </c>
      <c r="D250" s="4" t="str">
        <f>vlookup(A250, Sheet2!D:E, 2, 0)</f>
        <v>variant</v>
      </c>
      <c r="E250" s="4" t="str">
        <f>IFERROR(__xludf.DUMMYFUNCTION("if(H250=""pays"",vlookup(REGEXEXTRACT(C250, ""🏘️ \w+ \w+ (.*) ✅""),'Country prepositions'!A:B, 2, 0) &amp; "" "" &amp; REGEXEXTRACT(C250, ""🏘️ \w+ \w+ (.*) ✅"") ,  if(H250=""quartier"",vlookup(REGEXEXTRACT(C250, ""🏘️ \w+ \w+ (.*) ✅""),'Quartier prepositions'!A"&amp;":E, 5, 0) ,  if(H250=""region"",vlookup(REGEXEXTRACT(C250, ""🏘️ \w+ \w+ (.*) ✅""),'Region prepositions'!B:F, 5, 0),  REGEXEXTRACT(C250, ""🏘️ \w+ \w+ (.*) ✅""))))"),"Villarbeney")</f>
        <v>Villarbeney</v>
      </c>
      <c r="F250" s="2" t="str">
        <f>IFERROR(__xludf.DUMMYFUNCTION("REGEXEXTRACT(C250, ""🏘️ (\w+) \w+ .* ✅"")"),"Louer")</f>
        <v>Louer</v>
      </c>
      <c r="G250" s="2" t="str">
        <f>IFERROR(__xludf.DUMMYFUNCTION("REGEXEXTRACT(C250, ""🏘️ \w+ (\w+) .* ✅"")"),"maison")</f>
        <v>maison</v>
      </c>
      <c r="H250" s="4" t="str">
        <f>IFERROR(__xludf.DUMMYFUNCTION("REGEXEXTRACT(A250, ""/(\w+)-.*?"")"),"lieu")</f>
        <v>lieu</v>
      </c>
      <c r="I250" s="4" t="str">
        <f>IFERROR(__xludf.DUMMYFUNCTION("if(D250=""variant"",  substitute(filter(Templates!E:E, Templates!A:A = F250, Templates!B:B = G250, Templates!C:C = H250), ""{{}}"", E250), B250)"),"🏘  Vous cherchez une maison à louer à Villarbeney? ✅ Découvrez nos nombreuses annonces sur ImmoScout24.ch.")</f>
        <v>🏘  Vous cherchez une maison à louer à Villarbeney? ✅ Découvrez nos nombreuses annonces sur ImmoScout24.ch.</v>
      </c>
      <c r="J250" s="4" t="s">
        <v>756</v>
      </c>
    </row>
    <row r="251">
      <c r="A251" s="5" t="s">
        <v>757</v>
      </c>
      <c r="B251" s="2" t="s">
        <v>758</v>
      </c>
      <c r="C251" s="4" t="str">
        <f>IFERROR(__xludf.DUMMYFUNCTION("""🏘️ ""&amp;REGEXEXTRACT(B251, ""^(.*): "")&amp;"" ✅ "" &amp;REGEXEXTRACT(B251, ""(Trouvez.*)"")"),"🏘️ Vendre maison Nussbaumen AG ✅ Trouvez le bien immobilier qui correspond idéalement à vos désirs sur ImmoScout24 - La plateforme de l'immobilier en Suisse.")</f>
        <v>🏘️ Vendre maison Nussbaumen AG ✅ Trouvez le bien immobilier qui correspond idéalement à vos désirs sur ImmoScout24 - La plateforme de l'immobilier en Suisse.</v>
      </c>
      <c r="D251" s="4" t="str">
        <f>vlookup(A251, Sheet2!D:E, 2, 0)</f>
        <v>variant</v>
      </c>
      <c r="E251" s="4" t="str">
        <f>IFERROR(__xludf.DUMMYFUNCTION("if(H251=""pays"",vlookup(REGEXEXTRACT(C251, ""🏘️ \w+ \w+ (.*) ✅""),'Country prepositions'!A:B, 2, 0) &amp; "" "" &amp; REGEXEXTRACT(C251, ""🏘️ \w+ \w+ (.*) ✅"") ,  if(H251=""quartier"",vlookup(REGEXEXTRACT(C251, ""🏘️ \w+ \w+ (.*) ✅""),'Quartier prepositions'!A"&amp;":E, 5, 0) ,  if(H251=""region"",vlookup(REGEXEXTRACT(C251, ""🏘️ \w+ \w+ (.*) ✅""),'Region prepositions'!B:F, 5, 0),  REGEXEXTRACT(C251, ""🏘️ \w+ \w+ (.*) ✅""))))"),"Nussbaumen AG")</f>
        <v>Nussbaumen AG</v>
      </c>
      <c r="F251" s="2" t="str">
        <f>IFERROR(__xludf.DUMMYFUNCTION("REGEXEXTRACT(C251, ""🏘️ (\w+) \w+ .* ✅"")"),"Vendre")</f>
        <v>Vendre</v>
      </c>
      <c r="G251" s="2" t="str">
        <f>IFERROR(__xludf.DUMMYFUNCTION("REGEXEXTRACT(C251, ""🏘️ \w+ (\w+) .* ✅"")"),"maison")</f>
        <v>maison</v>
      </c>
      <c r="H251" s="4" t="str">
        <f>IFERROR(__xludf.DUMMYFUNCTION("REGEXEXTRACT(A251, ""/(\w+)-.*?"")"),"lieu")</f>
        <v>lieu</v>
      </c>
      <c r="I251" s="4" t="str">
        <f>IFERROR(__xludf.DUMMYFUNCTION("if(D251=""variant"",  substitute(filter(Templates!E:E, Templates!A:A = F251, Templates!B:B = G251, Templates!C:C = H251), ""{{}}"", E251), B251)"),"🏘  Vous souhaitez acheter une maison à Nussbaumen AG? ✅ Jetez un œil aux dernières offres sur ImmoScout24.ch.")</f>
        <v>🏘  Vous souhaitez acheter une maison à Nussbaumen AG? ✅ Jetez un œil aux dernières offres sur ImmoScout24.ch.</v>
      </c>
      <c r="J251" s="4" t="s">
        <v>759</v>
      </c>
    </row>
    <row r="252">
      <c r="A252" s="5" t="s">
        <v>760</v>
      </c>
      <c r="B252" s="2" t="s">
        <v>761</v>
      </c>
      <c r="C252" s="4" t="str">
        <f>IFERROR(__xludf.DUMMYFUNCTION("""🏘️ ""&amp;REGEXEXTRACT(B252, ""^(.*): "")&amp;"" ✅ "" &amp;REGEXEXTRACT(B252, ""(Trouvez.*)"")"),"🏘️ Vendre appartement Florimont - Chissiez (Lausanne) ✅ Trouvez le bien immobilier qui correspond idéalement à vos désirs sur ImmoScout24 - La plateforme de l'immobilier en Suisse.")</f>
        <v>🏘️ Vendre appartement Florimont - Chissiez (Lausanne) ✅ Trouvez le bien immobilier qui correspond idéalement à vos désirs sur ImmoScout24 - La plateforme de l'immobilier en Suisse.</v>
      </c>
      <c r="D252" s="4" t="str">
        <f>vlookup(A252, Sheet2!D:E, 2, 0)</f>
        <v>variant</v>
      </c>
      <c r="E252" s="4" t="str">
        <f>IFERROR(__xludf.DUMMYFUNCTION("if(H252=""pays"",vlookup(REGEXEXTRACT(C252, ""🏘️ \w+ \w+ (.*) ✅""),'Country prepositions'!A:B, 2, 0) &amp; "" "" &amp; REGEXEXTRACT(C252, ""🏘️ \w+ \w+ (.*) ✅"") ,  if(H252=""quartier"",vlookup(REGEXEXTRACT(C252, ""🏘️ \w+ \w+ (.*) ✅""),'Quartier prepositions'!A"&amp;":E, 5, 0) ,  if(H252=""region"",vlookup(REGEXEXTRACT(C252, ""🏘️ \w+ \w+ (.*) ✅""),'Region prepositions'!B:F, 5, 0),  REGEXEXTRACT(C252, ""🏘️ \w+ \w+ (.*) ✅""))))"),"dans le quartier de Florimont - Chissiez (Lausanne)")</f>
        <v>dans le quartier de Florimont - Chissiez (Lausanne)</v>
      </c>
      <c r="F252" s="2" t="str">
        <f>IFERROR(__xludf.DUMMYFUNCTION("REGEXEXTRACT(C252, ""🏘️ (\w+) \w+ .* ✅"")"),"Vendre")</f>
        <v>Vendre</v>
      </c>
      <c r="G252" s="2" t="str">
        <f>IFERROR(__xludf.DUMMYFUNCTION("REGEXEXTRACT(C252, ""🏘️ \w+ (\w+) .* ✅"")"),"appartement")</f>
        <v>appartement</v>
      </c>
      <c r="H252" s="4" t="str">
        <f>IFERROR(__xludf.DUMMYFUNCTION("REGEXEXTRACT(A252, ""/(\w+)-.*?"")"),"quartier")</f>
        <v>quartier</v>
      </c>
      <c r="I252" s="4" t="str">
        <f>IFERROR(__xludf.DUMMYFUNCTION("if(D252=""variant"",  substitute(filter(Templates!E:E, Templates!A:A = F252, Templates!B:B = G252, Templates!C:C = H252), ""{{}}"", E252), B252)"),"🏘  L’appartement de vos rêves se trouve sur ImmoScout24.ch ✅ Découvrez les dernières annonces de vente dans le quartier de Florimont - Chissiez (Lausanne).")</f>
        <v>🏘  L’appartement de vos rêves se trouve sur ImmoScout24.ch ✅ Découvrez les dernières annonces de vente dans le quartier de Florimont - Chissiez (Lausanne).</v>
      </c>
      <c r="J252" s="4" t="s">
        <v>762</v>
      </c>
    </row>
    <row r="253">
      <c r="A253" s="5" t="s">
        <v>763</v>
      </c>
      <c r="B253" s="2" t="s">
        <v>764</v>
      </c>
      <c r="C253" s="4" t="str">
        <f>IFERROR(__xludf.DUMMYFUNCTION("""🏘️ ""&amp;REGEXEXTRACT(B253, ""^(.*): "")&amp;"" ✅ "" &amp;REGEXEXTRACT(B253, ""(Trouvez.*)"")"),"🏘️ Louer appartement Kilchberg ZH ✅ Trouvez le bien immobilier qui correspond idéalement à vos désirs sur ImmoScout24 - La plateforme de l'immobilier en Suisse.")</f>
        <v>🏘️ Louer appartement Kilchberg ZH ✅ Trouvez le bien immobilier qui correspond idéalement à vos désirs sur ImmoScout24 - La plateforme de l'immobilier en Suisse.</v>
      </c>
      <c r="D253" s="4" t="str">
        <f>vlookup(A253, Sheet2!D:E, 2, 0)</f>
        <v>variant</v>
      </c>
      <c r="E253" s="4" t="str">
        <f>IFERROR(__xludf.DUMMYFUNCTION("if(H253=""pays"",vlookup(REGEXEXTRACT(C253, ""🏘️ \w+ \w+ (.*) ✅""),'Country prepositions'!A:B, 2, 0) &amp; "" "" &amp; REGEXEXTRACT(C253, ""🏘️ \w+ \w+ (.*) ✅"") ,  if(H253=""quartier"",vlookup(REGEXEXTRACT(C253, ""🏘️ \w+ \w+ (.*) ✅""),'Quartier prepositions'!A"&amp;":E, 5, 0) ,  if(H253=""region"",vlookup(REGEXEXTRACT(C253, ""🏘️ \w+ \w+ (.*) ✅""),'Region prepositions'!B:F, 5, 0),  REGEXEXTRACT(C253, ""🏘️ \w+ \w+ (.*) ✅""))))"),"Kilchberg ZH")</f>
        <v>Kilchberg ZH</v>
      </c>
      <c r="F253" s="2" t="str">
        <f>IFERROR(__xludf.DUMMYFUNCTION("REGEXEXTRACT(C253, ""🏘️ (\w+) \w+ .* ✅"")"),"Louer")</f>
        <v>Louer</v>
      </c>
      <c r="G253" s="2" t="str">
        <f>IFERROR(__xludf.DUMMYFUNCTION("REGEXEXTRACT(C253, ""🏘️ \w+ (\w+) .* ✅"")"),"appartement")</f>
        <v>appartement</v>
      </c>
      <c r="H253" s="4" t="str">
        <f>IFERROR(__xludf.DUMMYFUNCTION("REGEXEXTRACT(A253, ""/(\w+)-.*?"")"),"lieu")</f>
        <v>lieu</v>
      </c>
      <c r="I253" s="4" t="str">
        <f>IFERROR(__xludf.DUMMYFUNCTION("if(D253=""variant"",  substitute(filter(Templates!E:E, Templates!A:A = F253, Templates!B:B = G253, Templates!C:C = H253), ""{{}}"", E253), B253)"),"🏘  Vous cherchez un appartement à louer à Kilchberg ZH? ✅ Les annonces les plus actuelles sont sur ImmoScout24.ch.")</f>
        <v>🏘  Vous cherchez un appartement à louer à Kilchberg ZH? ✅ Les annonces les plus actuelles sont sur ImmoScout24.ch.</v>
      </c>
      <c r="J253" s="4" t="s">
        <v>765</v>
      </c>
    </row>
    <row r="254">
      <c r="A254" s="5" t="s">
        <v>766</v>
      </c>
      <c r="B254" s="2" t="s">
        <v>767</v>
      </c>
      <c r="C254" s="4" t="str">
        <f>IFERROR(__xludf.DUMMYFUNCTION("""🏘️ ""&amp;REGEXEXTRACT(B254, ""^(.*): "")&amp;"" ✅ "" &amp;REGEXEXTRACT(B254, ""(Trouvez.*)"")"),"🏘️ Louer appartement Lotzwil ✅ Trouvez le bien immobilier qui correspond idéalement à vos désirs sur ImmoScout24 - La plateforme de l'immobilier en Suisse.")</f>
        <v>🏘️ Louer appartement Lotzwil ✅ Trouvez le bien immobilier qui correspond idéalement à vos désirs sur ImmoScout24 - La plateforme de l'immobilier en Suisse.</v>
      </c>
      <c r="D254" s="4" t="str">
        <f>vlookup(A254, Sheet2!D:E, 2, 0)</f>
        <v>variant</v>
      </c>
      <c r="E254" s="4" t="str">
        <f>IFERROR(__xludf.DUMMYFUNCTION("if(H254=""pays"",vlookup(REGEXEXTRACT(C254, ""🏘️ \w+ \w+ (.*) ✅""),'Country prepositions'!A:B, 2, 0) &amp; "" "" &amp; REGEXEXTRACT(C254, ""🏘️ \w+ \w+ (.*) ✅"") ,  if(H254=""quartier"",vlookup(REGEXEXTRACT(C254, ""🏘️ \w+ \w+ (.*) ✅""),'Quartier prepositions'!A"&amp;":E, 5, 0) ,  if(H254=""region"",vlookup(REGEXEXTRACT(C254, ""🏘️ \w+ \w+ (.*) ✅""),'Region prepositions'!B:F, 5, 0),  REGEXEXTRACT(C254, ""🏘️ \w+ \w+ (.*) ✅""))))"),"Lotzwil")</f>
        <v>Lotzwil</v>
      </c>
      <c r="F254" s="2" t="str">
        <f>IFERROR(__xludf.DUMMYFUNCTION("REGEXEXTRACT(C254, ""🏘️ (\w+) \w+ .* ✅"")"),"Louer")</f>
        <v>Louer</v>
      </c>
      <c r="G254" s="2" t="str">
        <f>IFERROR(__xludf.DUMMYFUNCTION("REGEXEXTRACT(C254, ""🏘️ \w+ (\w+) .* ✅"")"),"appartement")</f>
        <v>appartement</v>
      </c>
      <c r="H254" s="4" t="str">
        <f>IFERROR(__xludf.DUMMYFUNCTION("REGEXEXTRACT(A254, ""/(\w+)-.*?"")"),"lieu")</f>
        <v>lieu</v>
      </c>
      <c r="I254" s="4" t="str">
        <f>IFERROR(__xludf.DUMMYFUNCTION("if(D254=""variant"",  substitute(filter(Templates!E:E, Templates!A:A = F254, Templates!B:B = G254, Templates!C:C = H254), ""{{}}"", E254), B254)"),"🏘  Vous cherchez un appartement à louer à Lotzwil? ✅ Les annonces les plus actuelles sont sur ImmoScout24.ch.")</f>
        <v>🏘  Vous cherchez un appartement à louer à Lotzwil? ✅ Les annonces les plus actuelles sont sur ImmoScout24.ch.</v>
      </c>
      <c r="J254" s="4" t="s">
        <v>768</v>
      </c>
    </row>
    <row r="255">
      <c r="A255" s="5" t="s">
        <v>769</v>
      </c>
      <c r="B255" s="2" t="s">
        <v>770</v>
      </c>
      <c r="C255" s="4" t="str">
        <f>IFERROR(__xludf.DUMMYFUNCTION("""🏘️ ""&amp;REGEXEXTRACT(B255, ""^(.*): "")&amp;"" ✅ "" &amp;REGEXEXTRACT(B255, ""(Trouvez.*)"")"),"🏘️ Vendre maison Brè sopra Lugano ✅ Trouvez le bien immobilier qui correspond idéalement à vos désirs sur ImmoScout24 - La plateforme de l'immobilier en Suisse.")</f>
        <v>🏘️ Vendre maison Brè sopra Lugano ✅ Trouvez le bien immobilier qui correspond idéalement à vos désirs sur ImmoScout24 - La plateforme de l'immobilier en Suisse.</v>
      </c>
      <c r="D255" s="4" t="str">
        <f>vlookup(A255, Sheet2!D:E, 2, 0)</f>
        <v>variant</v>
      </c>
      <c r="E255" s="4" t="str">
        <f>IFERROR(__xludf.DUMMYFUNCTION("if(H255=""pays"",vlookup(REGEXEXTRACT(C255, ""🏘️ \w+ \w+ (.*) ✅""),'Country prepositions'!A:B, 2, 0) &amp; "" "" &amp; REGEXEXTRACT(C255, ""🏘️ \w+ \w+ (.*) ✅"") ,  if(H255=""quartier"",vlookup(REGEXEXTRACT(C255, ""🏘️ \w+ \w+ (.*) ✅""),'Quartier prepositions'!A"&amp;":E, 5, 0) ,  if(H255=""region"",vlookup(REGEXEXTRACT(C255, ""🏘️ \w+ \w+ (.*) ✅""),'Region prepositions'!B:F, 5, 0),  REGEXEXTRACT(C255, ""🏘️ \w+ \w+ (.*) ✅""))))"),"Brè sopra Lugano")</f>
        <v>Brè sopra Lugano</v>
      </c>
      <c r="F255" s="2" t="str">
        <f>IFERROR(__xludf.DUMMYFUNCTION("REGEXEXTRACT(C255, ""🏘️ (\w+) \w+ .* ✅"")"),"Vendre")</f>
        <v>Vendre</v>
      </c>
      <c r="G255" s="2" t="str">
        <f>IFERROR(__xludf.DUMMYFUNCTION("REGEXEXTRACT(C255, ""🏘️ \w+ (\w+) .* ✅"")"),"maison")</f>
        <v>maison</v>
      </c>
      <c r="H255" s="4" t="str">
        <f>IFERROR(__xludf.DUMMYFUNCTION("REGEXEXTRACT(A255, ""/(\w+)-.*?"")"),"lieu")</f>
        <v>lieu</v>
      </c>
      <c r="I255" s="4" t="str">
        <f>IFERROR(__xludf.DUMMYFUNCTION("if(D255=""variant"",  substitute(filter(Templates!E:E, Templates!A:A = F255, Templates!B:B = G255, Templates!C:C = H255), ""{{}}"", E255), B255)"),"🏘  Vous souhaitez acheter une maison à Brè sopra Lugano? ✅ Jetez un œil aux dernières offres sur ImmoScout24.ch.")</f>
        <v>🏘  Vous souhaitez acheter une maison à Brè sopra Lugano? ✅ Jetez un œil aux dernières offres sur ImmoScout24.ch.</v>
      </c>
      <c r="J255" s="4" t="s">
        <v>771</v>
      </c>
    </row>
    <row r="256">
      <c r="A256" s="5" t="s">
        <v>772</v>
      </c>
      <c r="B256" s="2" t="s">
        <v>773</v>
      </c>
      <c r="C256" s="4" t="str">
        <f>IFERROR(__xludf.DUMMYFUNCTION("""🏘️ ""&amp;REGEXEXTRACT(B256, ""^(.*): "")&amp;"" ✅ "" &amp;REGEXEXTRACT(B256, ""(Trouvez.*)"")"),"🏘️ Vendre appartement France ✅ Trouvez le bien immobilier qui correspond idéalement à vos désirs sur ImmoScout24 - La plateforme de l'immobilier en Suisse.")</f>
        <v>🏘️ Vendre appartement France ✅ Trouvez le bien immobilier qui correspond idéalement à vos désirs sur ImmoScout24 - La plateforme de l'immobilier en Suisse.</v>
      </c>
      <c r="D256" s="4" t="str">
        <f>vlookup(A256, Sheet2!D:E, 2, 0)</f>
        <v>variant</v>
      </c>
      <c r="E256" s="4" t="str">
        <f>IFERROR(__xludf.DUMMYFUNCTION("if(H256=""pays"",vlookup(REGEXEXTRACT(C256, ""🏘️ \w+ \w+ (.*) ✅""),'Country prepositions'!A:B, 2, 0) &amp; "" "" &amp; REGEXEXTRACT(C256, ""🏘️ \w+ \w+ (.*) ✅"") ,  if(H256=""quartier"",vlookup(REGEXEXTRACT(C256, ""🏘️ \w+ \w+ (.*) ✅""),'Quartier prepositions'!A"&amp;":E, 5, 0) ,  if(H256=""region"",vlookup(REGEXEXTRACT(C256, ""🏘️ \w+ \w+ (.*) ✅""),'Region prepositions'!B:F, 5, 0),  REGEXEXTRACT(C256, ""🏘️ \w+ \w+ (.*) ✅""))))"),"en France")</f>
        <v>en France</v>
      </c>
      <c r="F256" s="2" t="str">
        <f>IFERROR(__xludf.DUMMYFUNCTION("REGEXEXTRACT(C256, ""🏘️ (\w+) \w+ .* ✅"")"),"Vendre")</f>
        <v>Vendre</v>
      </c>
      <c r="G256" s="2" t="str">
        <f>IFERROR(__xludf.DUMMYFUNCTION("REGEXEXTRACT(C256, ""🏘️ \w+ (\w+) .* ✅"")"),"appartement")</f>
        <v>appartement</v>
      </c>
      <c r="H256" s="4" t="str">
        <f>IFERROR(__xludf.DUMMYFUNCTION("REGEXEXTRACT(A256, ""/(\w+)-.*?"")"),"pays")</f>
        <v>pays</v>
      </c>
      <c r="I256" s="4" t="str">
        <f>IFERROR(__xludf.DUMMYFUNCTION("if(D256=""variant"",  substitute(filter(Templates!E:E, Templates!A:A = F256, Templates!B:B = G256, Templates!C:C = H256), ""{{}}"", E256), B256)"),"🏘  Vous cherchez un appartement à louer en France? ✅ Les annonces les plus actuelles sont sur ImmoScout24.ch.")</f>
        <v>🏘  Vous cherchez un appartement à louer en France? ✅ Les annonces les plus actuelles sont sur ImmoScout24.ch.</v>
      </c>
      <c r="J256" s="4" t="s">
        <v>774</v>
      </c>
    </row>
    <row r="257">
      <c r="A257" s="5" t="s">
        <v>775</v>
      </c>
      <c r="B257" s="2" t="s">
        <v>776</v>
      </c>
      <c r="C257" s="4" t="str">
        <f>IFERROR(__xludf.DUMMYFUNCTION("""🏘️ ""&amp;REGEXEXTRACT(B257, ""^(.*): "")&amp;"" ✅ "" &amp;REGEXEXTRACT(B257, ""(Trouvez.*)"")"),"🏘️ Louer maison Les Pontins ✅ Trouvez le bien immobilier qui correspond idéalement à vos désirs sur ImmoScout24 - La plateforme de l'immobilier en Suisse.")</f>
        <v>🏘️ Louer maison Les Pontins ✅ Trouvez le bien immobilier qui correspond idéalement à vos désirs sur ImmoScout24 - La plateforme de l'immobilier en Suisse.</v>
      </c>
      <c r="D257" s="4" t="str">
        <f>vlookup(A257, Sheet2!D:E, 2, 0)</f>
        <v>variant</v>
      </c>
      <c r="E257" s="4" t="str">
        <f>IFERROR(__xludf.DUMMYFUNCTION("if(H257=""pays"",vlookup(REGEXEXTRACT(C257, ""🏘️ \w+ \w+ (.*) ✅""),'Country prepositions'!A:B, 2, 0) &amp; "" "" &amp; REGEXEXTRACT(C257, ""🏘️ \w+ \w+ (.*) ✅"") ,  if(H257=""quartier"",vlookup(REGEXEXTRACT(C257, ""🏘️ \w+ \w+ (.*) ✅""),'Quartier prepositions'!A"&amp;":E, 5, 0) ,  if(H257=""region"",vlookup(REGEXEXTRACT(C257, ""🏘️ \w+ \w+ (.*) ✅""),'Region prepositions'!B:F, 5, 0),  REGEXEXTRACT(C257, ""🏘️ \w+ \w+ (.*) ✅""))))"),"Les Pontins")</f>
        <v>Les Pontins</v>
      </c>
      <c r="F257" s="2" t="str">
        <f>IFERROR(__xludf.DUMMYFUNCTION("REGEXEXTRACT(C257, ""🏘️ (\w+) \w+ .* ✅"")"),"Louer")</f>
        <v>Louer</v>
      </c>
      <c r="G257" s="2" t="str">
        <f>IFERROR(__xludf.DUMMYFUNCTION("REGEXEXTRACT(C257, ""🏘️ \w+ (\w+) .* ✅"")"),"maison")</f>
        <v>maison</v>
      </c>
      <c r="H257" s="4" t="str">
        <f>IFERROR(__xludf.DUMMYFUNCTION("REGEXEXTRACT(A257, ""/(\w+)-.*?"")"),"lieu")</f>
        <v>lieu</v>
      </c>
      <c r="I257" s="8" t="str">
        <f>IFERROR(__xludf.DUMMYFUNCTION("if(D257=""variant"",  substitute(filter(Templates!E:E, Templates!A:A = F257, Templates!B:B = G257, Templates!C:C = H257), ""{{}}"", E257), B257)"),"🏘  Vous cherchez une maison à louer à Les Pontins? ✅ Découvrez nos nombreuses annonces sur ImmoScout24.ch.")</f>
        <v>🏘  Vous cherchez une maison à louer à Les Pontins? ✅ Découvrez nos nombreuses annonces sur ImmoScout24.ch.</v>
      </c>
      <c r="J257" s="2" t="s">
        <v>777</v>
      </c>
    </row>
    <row r="258">
      <c r="A258" s="5" t="s">
        <v>778</v>
      </c>
      <c r="B258" s="2" t="s">
        <v>779</v>
      </c>
      <c r="C258" s="4" t="str">
        <f>IFERROR(__xludf.DUMMYFUNCTION("""🏘️ ""&amp;REGEXEXTRACT(B258, ""^(.*): "")&amp;"" ✅ "" &amp;REGEXEXTRACT(B258, ""(Trouvez.*)"")"),"🏘️ Vendre maison Lenzerheide/Lai ✅ Trouvez le bien immobilier qui correspond idéalement à vos désirs sur ImmoScout24 - La plateforme de l'immobilier en Suisse.")</f>
        <v>🏘️ Vendre maison Lenzerheide/Lai ✅ Trouvez le bien immobilier qui correspond idéalement à vos désirs sur ImmoScout24 - La plateforme de l'immobilier en Suisse.</v>
      </c>
      <c r="D258" s="4" t="str">
        <f>vlookup(A258, Sheet2!D:E, 2, 0)</f>
        <v>variant</v>
      </c>
      <c r="E258" s="4" t="str">
        <f>IFERROR(__xludf.DUMMYFUNCTION("if(H258=""pays"",vlookup(REGEXEXTRACT(C258, ""🏘️ \w+ \w+ (.*) ✅""),'Country prepositions'!A:B, 2, 0) &amp; "" "" &amp; REGEXEXTRACT(C258, ""🏘️ \w+ \w+ (.*) ✅"") ,  if(H258=""quartier"",vlookup(REGEXEXTRACT(C258, ""🏘️ \w+ \w+ (.*) ✅""),'Quartier prepositions'!A"&amp;":E, 5, 0) ,  if(H258=""region"",vlookup(REGEXEXTRACT(C258, ""🏘️ \w+ \w+ (.*) ✅""),'Region prepositions'!B:F, 5, 0),  REGEXEXTRACT(C258, ""🏘️ \w+ \w+ (.*) ✅""))))"),"Lenzerheide/Lai")</f>
        <v>Lenzerheide/Lai</v>
      </c>
      <c r="F258" s="2" t="str">
        <f>IFERROR(__xludf.DUMMYFUNCTION("REGEXEXTRACT(C258, ""🏘️ (\w+) \w+ .* ✅"")"),"Vendre")</f>
        <v>Vendre</v>
      </c>
      <c r="G258" s="2" t="str">
        <f>IFERROR(__xludf.DUMMYFUNCTION("REGEXEXTRACT(C258, ""🏘️ \w+ (\w+) .* ✅"")"),"maison")</f>
        <v>maison</v>
      </c>
      <c r="H258" s="4" t="str">
        <f>IFERROR(__xludf.DUMMYFUNCTION("REGEXEXTRACT(A258, ""/(\w+)-.*?"")"),"lieu")</f>
        <v>lieu</v>
      </c>
      <c r="I258" s="4" t="str">
        <f>IFERROR(__xludf.DUMMYFUNCTION("if(D258=""variant"",  substitute(filter(Templates!E:E, Templates!A:A = F258, Templates!B:B = G258, Templates!C:C = H258), ""{{}}"", E258), B258)"),"🏘  Vous souhaitez acheter une maison à Lenzerheide/Lai? ✅ Jetez un œil aux dernières offres sur ImmoScout24.ch.")</f>
        <v>🏘  Vous souhaitez acheter une maison à Lenzerheide/Lai? ✅ Jetez un œil aux dernières offres sur ImmoScout24.ch.</v>
      </c>
      <c r="J258" s="2" t="s">
        <v>780</v>
      </c>
    </row>
    <row r="259">
      <c r="A259" s="5" t="s">
        <v>781</v>
      </c>
      <c r="B259" s="2" t="s">
        <v>782</v>
      </c>
      <c r="C259" s="4" t="str">
        <f>IFERROR(__xludf.DUMMYFUNCTION("""🏘️ ""&amp;REGEXEXTRACT(B259, ""^(.*): "")&amp;"" ✅ "" &amp;REGEXEXTRACT(B259, ""(Trouvez.*)"")"),"🏘️ Louer appartement Feusisberg ✅ Trouvez le bien immobilier qui correspond idéalement à vos désirs sur ImmoScout24 - La plateforme de l'immobilier en Suisse.")</f>
        <v>🏘️ Louer appartement Feusisberg ✅ Trouvez le bien immobilier qui correspond idéalement à vos désirs sur ImmoScout24 - La plateforme de l'immobilier en Suisse.</v>
      </c>
      <c r="D259" s="4" t="str">
        <f>vlookup(A259, Sheet2!D:E, 2, 0)</f>
        <v>variant</v>
      </c>
      <c r="E259" s="4" t="str">
        <f>IFERROR(__xludf.DUMMYFUNCTION("if(H259=""pays"",vlookup(REGEXEXTRACT(C259, ""🏘️ \w+ \w+ (.*) ✅""),'Country prepositions'!A:B, 2, 0) &amp; "" "" &amp; REGEXEXTRACT(C259, ""🏘️ \w+ \w+ (.*) ✅"") ,  if(H259=""quartier"",vlookup(REGEXEXTRACT(C259, ""🏘️ \w+ \w+ (.*) ✅""),'Quartier prepositions'!A"&amp;":E, 5, 0) ,  if(H259=""region"",vlookup(REGEXEXTRACT(C259, ""🏘️ \w+ \w+ (.*) ✅""),'Region prepositions'!B:F, 5, 0),  REGEXEXTRACT(C259, ""🏘️ \w+ \w+ (.*) ✅""))))"),"Feusisberg")</f>
        <v>Feusisberg</v>
      </c>
      <c r="F259" s="2" t="str">
        <f>IFERROR(__xludf.DUMMYFUNCTION("REGEXEXTRACT(C259, ""🏘️ (\w+) \w+ .* ✅"")"),"Louer")</f>
        <v>Louer</v>
      </c>
      <c r="G259" s="2" t="str">
        <f>IFERROR(__xludf.DUMMYFUNCTION("REGEXEXTRACT(C259, ""🏘️ \w+ (\w+) .* ✅"")"),"appartement")</f>
        <v>appartement</v>
      </c>
      <c r="H259" s="4" t="str">
        <f>IFERROR(__xludf.DUMMYFUNCTION("REGEXEXTRACT(A259, ""/(\w+)-.*?"")"),"lieu")</f>
        <v>lieu</v>
      </c>
      <c r="I259" s="4" t="str">
        <f>IFERROR(__xludf.DUMMYFUNCTION("if(D259=""variant"",  substitute(filter(Templates!E:E, Templates!A:A = F259, Templates!B:B = G259, Templates!C:C = H259), ""{{}}"", E259), B259)"),"🏘  Vous cherchez un appartement à louer à Feusisberg? ✅ Les annonces les plus actuelles sont sur ImmoScout24.ch.")</f>
        <v>🏘  Vous cherchez un appartement à louer à Feusisberg? ✅ Les annonces les plus actuelles sont sur ImmoScout24.ch.</v>
      </c>
      <c r="J259" s="4" t="s">
        <v>783</v>
      </c>
    </row>
    <row r="260">
      <c r="A260" s="5" t="s">
        <v>784</v>
      </c>
      <c r="B260" s="2" t="s">
        <v>785</v>
      </c>
      <c r="C260" s="4" t="str">
        <f>IFERROR(__xludf.DUMMYFUNCTION("""🏘️ ""&amp;REGEXEXTRACT(B260, ""^(.*): "")&amp;"" ✅ "" &amp;REGEXEXTRACT(B260, ""(Trouvez.*)"")"),"🏘️ Vendre maison St-Ursanne ✅ Trouvez le bien immobilier qui correspond idéalement à vos désirs sur ImmoScout24 - La plateforme de l'immobilier en Suisse.")</f>
        <v>🏘️ Vendre maison St-Ursanne ✅ Trouvez le bien immobilier qui correspond idéalement à vos désirs sur ImmoScout24 - La plateforme de l'immobilier en Suisse.</v>
      </c>
      <c r="D260" s="4" t="str">
        <f>vlookup(A260, Sheet2!D:E, 2, 0)</f>
        <v>variant</v>
      </c>
      <c r="E260" s="4" t="str">
        <f>IFERROR(__xludf.DUMMYFUNCTION("if(H260=""pays"",vlookup(REGEXEXTRACT(C260, ""🏘️ \w+ \w+ (.*) ✅""),'Country prepositions'!A:B, 2, 0) &amp; "" "" &amp; REGEXEXTRACT(C260, ""🏘️ \w+ \w+ (.*) ✅"") ,  if(H260=""quartier"",vlookup(REGEXEXTRACT(C260, ""🏘️ \w+ \w+ (.*) ✅""),'Quartier prepositions'!A"&amp;":E, 5, 0) ,  if(H260=""region"",vlookup(REGEXEXTRACT(C260, ""🏘️ \w+ \w+ (.*) ✅""),'Region prepositions'!B:F, 5, 0),  REGEXEXTRACT(C260, ""🏘️ \w+ \w+ (.*) ✅""))))"),"St-Ursanne")</f>
        <v>St-Ursanne</v>
      </c>
      <c r="F260" s="2" t="str">
        <f>IFERROR(__xludf.DUMMYFUNCTION("REGEXEXTRACT(C260, ""🏘️ (\w+) \w+ .* ✅"")"),"Vendre")</f>
        <v>Vendre</v>
      </c>
      <c r="G260" s="2" t="str">
        <f>IFERROR(__xludf.DUMMYFUNCTION("REGEXEXTRACT(C260, ""🏘️ \w+ (\w+) .* ✅"")"),"maison")</f>
        <v>maison</v>
      </c>
      <c r="H260" s="4" t="str">
        <f>IFERROR(__xludf.DUMMYFUNCTION("REGEXEXTRACT(A260, ""/(\w+)-.*?"")"),"lieu")</f>
        <v>lieu</v>
      </c>
      <c r="I260" s="4" t="str">
        <f>IFERROR(__xludf.DUMMYFUNCTION("if(D260=""variant"",  substitute(filter(Templates!E:E, Templates!A:A = F260, Templates!B:B = G260, Templates!C:C = H260), ""{{}}"", E260), B260)"),"🏘  Vous souhaitez acheter une maison à St-Ursanne? ✅ Jetez un œil aux dernières offres sur ImmoScout24.ch.")</f>
        <v>🏘  Vous souhaitez acheter une maison à St-Ursanne? ✅ Jetez un œil aux dernières offres sur ImmoScout24.ch.</v>
      </c>
      <c r="J260" s="4" t="s">
        <v>786</v>
      </c>
    </row>
    <row r="261">
      <c r="A261" s="5" t="s">
        <v>787</v>
      </c>
      <c r="B261" s="2" t="s">
        <v>788</v>
      </c>
      <c r="C261" s="4" t="str">
        <f>IFERROR(__xludf.DUMMYFUNCTION("""🏘️ ""&amp;REGEXEXTRACT(B261, ""^(.*): "")&amp;"" ✅ "" &amp;REGEXEXTRACT(B261, ""(Trouvez.*)"")"),"🏘️ Vendre maison Coinsins ✅ Trouvez le bien immobilier qui correspond idéalement à vos désirs sur ImmoScout24 - La plateforme de l'immobilier en Suisse.")</f>
        <v>🏘️ Vendre maison Coinsins ✅ Trouvez le bien immobilier qui correspond idéalement à vos désirs sur ImmoScout24 - La plateforme de l'immobilier en Suisse.</v>
      </c>
      <c r="D261" s="4" t="str">
        <f>vlookup(A261, Sheet2!D:E, 2, 0)</f>
        <v>variant</v>
      </c>
      <c r="E261" s="4" t="str">
        <f>IFERROR(__xludf.DUMMYFUNCTION("if(H261=""pays"",vlookup(REGEXEXTRACT(C261, ""🏘️ \w+ \w+ (.*) ✅""),'Country prepositions'!A:B, 2, 0) &amp; "" "" &amp; REGEXEXTRACT(C261, ""🏘️ \w+ \w+ (.*) ✅"") ,  if(H261=""quartier"",vlookup(REGEXEXTRACT(C261, ""🏘️ \w+ \w+ (.*) ✅""),'Quartier prepositions'!A"&amp;":E, 5, 0) ,  if(H261=""region"",vlookup(REGEXEXTRACT(C261, ""🏘️ \w+ \w+ (.*) ✅""),'Region prepositions'!B:F, 5, 0),  REGEXEXTRACT(C261, ""🏘️ \w+ \w+ (.*) ✅""))))"),"Coinsins")</f>
        <v>Coinsins</v>
      </c>
      <c r="F261" s="2" t="str">
        <f>IFERROR(__xludf.DUMMYFUNCTION("REGEXEXTRACT(C261, ""🏘️ (\w+) \w+ .* ✅"")"),"Vendre")</f>
        <v>Vendre</v>
      </c>
      <c r="G261" s="2" t="str">
        <f>IFERROR(__xludf.DUMMYFUNCTION("REGEXEXTRACT(C261, ""🏘️ \w+ (\w+) .* ✅"")"),"maison")</f>
        <v>maison</v>
      </c>
      <c r="H261" s="4" t="str">
        <f>IFERROR(__xludf.DUMMYFUNCTION("REGEXEXTRACT(A261, ""/(\w+)-.*?"")"),"lieu")</f>
        <v>lieu</v>
      </c>
      <c r="I261" s="4" t="str">
        <f>IFERROR(__xludf.DUMMYFUNCTION("if(D261=""variant"",  substitute(filter(Templates!E:E, Templates!A:A = F261, Templates!B:B = G261, Templates!C:C = H261), ""{{}}"", E261), B261)"),"🏘  Vous souhaitez acheter une maison à Coinsins? ✅ Jetez un œil aux dernières offres sur ImmoScout24.ch.")</f>
        <v>🏘  Vous souhaitez acheter une maison à Coinsins? ✅ Jetez un œil aux dernières offres sur ImmoScout24.ch.</v>
      </c>
      <c r="J261" s="4" t="s">
        <v>789</v>
      </c>
    </row>
    <row r="262">
      <c r="A262" s="5" t="s">
        <v>790</v>
      </c>
      <c r="B262" s="2" t="s">
        <v>791</v>
      </c>
      <c r="C262" s="4" t="str">
        <f>IFERROR(__xludf.DUMMYFUNCTION("""🏘️ ""&amp;REGEXEXTRACT(B262, ""^(.*): "")&amp;"" ✅ "" &amp;REGEXEXTRACT(B262, ""(Trouvez.*)"")"),"🏘️ Louer appartement Vals ✅ Trouvez le bien immobilier qui correspond idéalement à vos désirs sur ImmoScout24 - La plateforme de l'immobilier en Suisse.")</f>
        <v>🏘️ Louer appartement Vals ✅ Trouvez le bien immobilier qui correspond idéalement à vos désirs sur ImmoScout24 - La plateforme de l'immobilier en Suisse.</v>
      </c>
      <c r="D262" s="4" t="str">
        <f>vlookup(A262, Sheet2!D:E, 2, 0)</f>
        <v>variant</v>
      </c>
      <c r="E262" s="4" t="str">
        <f>IFERROR(__xludf.DUMMYFUNCTION("if(H262=""pays"",vlookup(REGEXEXTRACT(C262, ""🏘️ \w+ \w+ (.*) ✅""),'Country prepositions'!A:B, 2, 0) &amp; "" "" &amp; REGEXEXTRACT(C262, ""🏘️ \w+ \w+ (.*) ✅"") ,  if(H262=""quartier"",vlookup(REGEXEXTRACT(C262, ""🏘️ \w+ \w+ (.*) ✅""),'Quartier prepositions'!A"&amp;":E, 5, 0) ,  if(H262=""region"",vlookup(REGEXEXTRACT(C262, ""🏘️ \w+ \w+ (.*) ✅""),'Region prepositions'!B:F, 5, 0),  REGEXEXTRACT(C262, ""🏘️ \w+ \w+ (.*) ✅""))))"),"Vals")</f>
        <v>Vals</v>
      </c>
      <c r="F262" s="2" t="str">
        <f>IFERROR(__xludf.DUMMYFUNCTION("REGEXEXTRACT(C262, ""🏘️ (\w+) \w+ .* ✅"")"),"Louer")</f>
        <v>Louer</v>
      </c>
      <c r="G262" s="2" t="str">
        <f>IFERROR(__xludf.DUMMYFUNCTION("REGEXEXTRACT(C262, ""🏘️ \w+ (\w+) .* ✅"")"),"appartement")</f>
        <v>appartement</v>
      </c>
      <c r="H262" s="4" t="str">
        <f>IFERROR(__xludf.DUMMYFUNCTION("REGEXEXTRACT(A262, ""/(\w+)-.*?"")"),"lieu")</f>
        <v>lieu</v>
      </c>
      <c r="I262" s="4" t="str">
        <f>IFERROR(__xludf.DUMMYFUNCTION("if(D262=""variant"",  substitute(filter(Templates!E:E, Templates!A:A = F262, Templates!B:B = G262, Templates!C:C = H262), ""{{}}"", E262), B262)"),"🏘  Vous cherchez un appartement à louer à Vals? ✅ Les annonces les plus actuelles sont sur ImmoScout24.ch.")</f>
        <v>🏘  Vous cherchez un appartement à louer à Vals? ✅ Les annonces les plus actuelles sont sur ImmoScout24.ch.</v>
      </c>
      <c r="J262" s="4" t="s">
        <v>792</v>
      </c>
    </row>
    <row r="263">
      <c r="A263" s="5" t="s">
        <v>793</v>
      </c>
      <c r="B263" s="2" t="s">
        <v>794</v>
      </c>
      <c r="C263" s="4" t="str">
        <f>IFERROR(__xludf.DUMMYFUNCTION("""🏘️ ""&amp;REGEXEXTRACT(B263, ""^(.*): "")&amp;"" ✅ "" &amp;REGEXEXTRACT(B263, ""(Trouvez.*)"")"),"🏘️ Vendre maison USA ✅ Trouvez le bien immobilier qui correspond idéalement à vos désirs sur ImmoScout24 - La plateforme de l'immobilier en Suisse.")</f>
        <v>🏘️ Vendre maison USA ✅ Trouvez le bien immobilier qui correspond idéalement à vos désirs sur ImmoScout24 - La plateforme de l'immobilier en Suisse.</v>
      </c>
      <c r="D263" s="4" t="str">
        <f>vlookup(A263, Sheet2!D:E, 2, 0)</f>
        <v>variant</v>
      </c>
      <c r="E263" s="4" t="str">
        <f>IFERROR(__xludf.DUMMYFUNCTION("if(H263=""pays"",vlookup(REGEXEXTRACT(C263, ""🏘️ \w+ \w+ (.*) ✅""),'Country prepositions'!A:B, 2, 0) &amp; "" "" &amp; REGEXEXTRACT(C263, ""🏘️ \w+ \w+ (.*) ✅"") ,  if(H263=""quartier"",vlookup(REGEXEXTRACT(C263, ""🏘️ \w+ \w+ (.*) ✅""),'Quartier prepositions'!A"&amp;":E, 5, 0) ,  if(H263=""region"",vlookup(REGEXEXTRACT(C263, ""🏘️ \w+ \w+ (.*) ✅""),'Region prepositions'!B:F, 5, 0),  REGEXEXTRACT(C263, ""🏘️ \w+ \w+ (.*) ✅""))))"),"aux USA")</f>
        <v>aux USA</v>
      </c>
      <c r="F263" s="2" t="str">
        <f>IFERROR(__xludf.DUMMYFUNCTION("REGEXEXTRACT(C263, ""🏘️ (\w+) \w+ .* ✅"")"),"Vendre")</f>
        <v>Vendre</v>
      </c>
      <c r="G263" s="2" t="str">
        <f>IFERROR(__xludf.DUMMYFUNCTION("REGEXEXTRACT(C263, ""🏘️ \w+ (\w+) .* ✅"")"),"maison")</f>
        <v>maison</v>
      </c>
      <c r="H263" s="4" t="str">
        <f>IFERROR(__xludf.DUMMYFUNCTION("REGEXEXTRACT(A263, ""/(\w+)-.*?"")"),"pays")</f>
        <v>pays</v>
      </c>
      <c r="I263" s="4" t="str">
        <f>IFERROR(__xludf.DUMMYFUNCTION("if(D263=""variant"",  substitute(filter(Templates!E:E, Templates!A:A = F263, Templates!B:B = G263, Templates!C:C = H263), ""{{}}"", E263), B263)"),"🏘  Vous cherchez un appartement à louer aux USA? ✅ Les annonces les plus actuelles sont sur ImmoScout24.ch.")</f>
        <v>🏘  Vous cherchez un appartement à louer aux USA? ✅ Les annonces les plus actuelles sont sur ImmoScout24.ch.</v>
      </c>
      <c r="J263" s="4" t="s">
        <v>795</v>
      </c>
    </row>
    <row r="264">
      <c r="A264" s="5" t="s">
        <v>796</v>
      </c>
      <c r="B264" s="2" t="s">
        <v>797</v>
      </c>
      <c r="C264" s="4" t="str">
        <f>IFERROR(__xludf.DUMMYFUNCTION("""🏘️ ""&amp;REGEXEXTRACT(B264, ""^(.*): "")&amp;"" ✅ "" &amp;REGEXEXTRACT(B264, ""(Trouvez.*)"")"),"🏘️ Vendre appartement Gampelen ✅ Trouvez le bien immobilier qui correspond idéalement à vos désirs sur ImmoScout24 - La plateforme de l'immobilier en Suisse.")</f>
        <v>🏘️ Vendre appartement Gampelen ✅ Trouvez le bien immobilier qui correspond idéalement à vos désirs sur ImmoScout24 - La plateforme de l'immobilier en Suisse.</v>
      </c>
      <c r="D264" s="4" t="str">
        <f>vlookup(A264, Sheet2!D:E, 2, 0)</f>
        <v>variant</v>
      </c>
      <c r="E264" s="4" t="str">
        <f>IFERROR(__xludf.DUMMYFUNCTION("if(H264=""pays"",vlookup(REGEXEXTRACT(C264, ""🏘️ \w+ \w+ (.*) ✅""),'Country prepositions'!A:B, 2, 0) &amp; "" "" &amp; REGEXEXTRACT(C264, ""🏘️ \w+ \w+ (.*) ✅"") ,  if(H264=""quartier"",vlookup(REGEXEXTRACT(C264, ""🏘️ \w+ \w+ (.*) ✅""),'Quartier prepositions'!A"&amp;":E, 5, 0) ,  if(H264=""region"",vlookup(REGEXEXTRACT(C264, ""🏘️ \w+ \w+ (.*) ✅""),'Region prepositions'!B:F, 5, 0),  REGEXEXTRACT(C264, ""🏘️ \w+ \w+ (.*) ✅""))))"),"Gampelen")</f>
        <v>Gampelen</v>
      </c>
      <c r="F264" s="2" t="str">
        <f>IFERROR(__xludf.DUMMYFUNCTION("REGEXEXTRACT(C264, ""🏘️ (\w+) \w+ .* ✅"")"),"Vendre")</f>
        <v>Vendre</v>
      </c>
      <c r="G264" s="2" t="str">
        <f>IFERROR(__xludf.DUMMYFUNCTION("REGEXEXTRACT(C264, ""🏘️ \w+ (\w+) .* ✅"")"),"appartement")</f>
        <v>appartement</v>
      </c>
      <c r="H264" s="4" t="str">
        <f>IFERROR(__xludf.DUMMYFUNCTION("REGEXEXTRACT(A264, ""/(\w+)-.*?"")"),"lieu")</f>
        <v>lieu</v>
      </c>
      <c r="I264" s="4" t="str">
        <f>IFERROR(__xludf.DUMMYFUNCTION("if(D264=""variant"",  substitute(filter(Templates!E:E, Templates!A:A = F264, Templates!B:B = G264, Templates!C:C = H264), ""{{}}"", E264), B264)"),"🏘  L’appartement de vos rêves se trouve sur ImmoScout24.ch ✅ Découvrez les dernières annonces de vente à Gampelen.")</f>
        <v>🏘  L’appartement de vos rêves se trouve sur ImmoScout24.ch ✅ Découvrez les dernières annonces de vente à Gampelen.</v>
      </c>
      <c r="J264" s="4" t="s">
        <v>798</v>
      </c>
    </row>
    <row r="265">
      <c r="A265" s="5" t="s">
        <v>799</v>
      </c>
      <c r="B265" s="2" t="s">
        <v>800</v>
      </c>
      <c r="C265" s="4" t="str">
        <f>IFERROR(__xludf.DUMMYFUNCTION("""🏘️ ""&amp;REGEXEXTRACT(B265, ""^(.*): "")&amp;"" ✅ "" &amp;REGEXEXTRACT(B265, ""(Trouvez.*)"")"),"🏘️ Vendre appartement Les Geneveys-sur-Coffrane ✅ Trouvez le bien immobilier qui correspond idéalement à vos désirs sur ImmoScout24 - La plateforme de l'immobilier en Suisse.")</f>
        <v>🏘️ Vendre appartement Les Geneveys-sur-Coffrane ✅ Trouvez le bien immobilier qui correspond idéalement à vos désirs sur ImmoScout24 - La plateforme de l'immobilier en Suisse.</v>
      </c>
      <c r="D265" s="4" t="str">
        <f>vlookup(A265, Sheet2!D:E, 2, 0)</f>
        <v>variant</v>
      </c>
      <c r="E265" s="4" t="str">
        <f>IFERROR(__xludf.DUMMYFUNCTION("if(H265=""pays"",vlookup(REGEXEXTRACT(C265, ""🏘️ \w+ \w+ (.*) ✅""),'Country prepositions'!A:B, 2, 0) &amp; "" "" &amp; REGEXEXTRACT(C265, ""🏘️ \w+ \w+ (.*) ✅"") ,  if(H265=""quartier"",vlookup(REGEXEXTRACT(C265, ""🏘️ \w+ \w+ (.*) ✅""),'Quartier prepositions'!A"&amp;":E, 5, 0) ,  if(H265=""region"",vlookup(REGEXEXTRACT(C265, ""🏘️ \w+ \w+ (.*) ✅""),'Region prepositions'!B:F, 5, 0),  REGEXEXTRACT(C265, ""🏘️ \w+ \w+ (.*) ✅""))))"),"Les Geneveys-sur-Coffrane")</f>
        <v>Les Geneveys-sur-Coffrane</v>
      </c>
      <c r="F265" s="2" t="str">
        <f>IFERROR(__xludf.DUMMYFUNCTION("REGEXEXTRACT(C265, ""🏘️ (\w+) \w+ .* ✅"")"),"Vendre")</f>
        <v>Vendre</v>
      </c>
      <c r="G265" s="2" t="str">
        <f>IFERROR(__xludf.DUMMYFUNCTION("REGEXEXTRACT(C265, ""🏘️ \w+ (\w+) .* ✅"")"),"appartement")</f>
        <v>appartement</v>
      </c>
      <c r="H265" s="4" t="str">
        <f>IFERROR(__xludf.DUMMYFUNCTION("REGEXEXTRACT(A265, ""/(\w+)-.*?"")"),"lieu")</f>
        <v>lieu</v>
      </c>
      <c r="I265" s="8" t="str">
        <f>IFERROR(__xludf.DUMMYFUNCTION("if(D265=""variant"",  substitute(filter(Templates!E:E, Templates!A:A = F265, Templates!B:B = G265, Templates!C:C = H265), ""{{}}"", E265), B265)"),"🏘  L’appartement de vos rêves se trouve sur ImmoScout24.ch ✅ Découvrez les dernières annonces de vente à Les Geneveys-sur-Coffrane.")</f>
        <v>🏘  L’appartement de vos rêves se trouve sur ImmoScout24.ch ✅ Découvrez les dernières annonces de vente à Les Geneveys-sur-Coffrane.</v>
      </c>
      <c r="J265" s="2" t="s">
        <v>801</v>
      </c>
    </row>
    <row r="266">
      <c r="A266" s="5" t="s">
        <v>802</v>
      </c>
      <c r="B266" s="2" t="s">
        <v>803</v>
      </c>
      <c r="C266" s="4" t="str">
        <f>IFERROR(__xludf.DUMMYFUNCTION("""🏘️ ""&amp;REGEXEXTRACT(B266, ""^(.*): "")&amp;"" ✅ "" &amp;REGEXEXTRACT(B266, ""(Trouvez.*)"")"),"🏘️ Vendre maison Lausanne 25 ✅ Trouvez le bien immobilier qui correspond idéalement à vos désirs sur ImmoScout24 - La plateforme de l'immobilier en Suisse.")</f>
        <v>🏘️ Vendre maison Lausanne 25 ✅ Trouvez le bien immobilier qui correspond idéalement à vos désirs sur ImmoScout24 - La plateforme de l'immobilier en Suisse.</v>
      </c>
      <c r="D266" s="4" t="str">
        <f>vlookup(A266, Sheet2!D:E, 2, 0)</f>
        <v>variant</v>
      </c>
      <c r="E266" s="4" t="str">
        <f>IFERROR(__xludf.DUMMYFUNCTION("if(H266=""pays"",vlookup(REGEXEXTRACT(C266, ""🏘️ \w+ \w+ (.*) ✅""),'Country prepositions'!A:B, 2, 0) &amp; "" "" &amp; REGEXEXTRACT(C266, ""🏘️ \w+ \w+ (.*) ✅"") ,  if(H266=""quartier"",vlookup(REGEXEXTRACT(C266, ""🏘️ \w+ \w+ (.*) ✅""),'Quartier prepositions'!A"&amp;":E, 5, 0) ,  if(H266=""region"",vlookup(REGEXEXTRACT(C266, ""🏘️ \w+ \w+ (.*) ✅""),'Region prepositions'!B:F, 5, 0),  REGEXEXTRACT(C266, ""🏘️ \w+ \w+ (.*) ✅""))))"),"Lausanne 25")</f>
        <v>Lausanne 25</v>
      </c>
      <c r="F266" s="2" t="str">
        <f>IFERROR(__xludf.DUMMYFUNCTION("REGEXEXTRACT(C266, ""🏘️ (\w+) \w+ .* ✅"")"),"Vendre")</f>
        <v>Vendre</v>
      </c>
      <c r="G266" s="2" t="str">
        <f>IFERROR(__xludf.DUMMYFUNCTION("REGEXEXTRACT(C266, ""🏘️ \w+ (\w+) .* ✅"")"),"maison")</f>
        <v>maison</v>
      </c>
      <c r="H266" s="4" t="str">
        <f>IFERROR(__xludf.DUMMYFUNCTION("REGEXEXTRACT(A266, ""/(\w+)-.*?"")"),"lieu")</f>
        <v>lieu</v>
      </c>
      <c r="I266" s="4" t="str">
        <f>IFERROR(__xludf.DUMMYFUNCTION("if(D266=""variant"",  substitute(filter(Templates!E:E, Templates!A:A = F266, Templates!B:B = G266, Templates!C:C = H266), ""{{}}"", E266), B266)"),"🏘  Vous souhaitez acheter une maison à Lausanne 25? ✅ Jetez un œil aux dernières offres sur ImmoScout24.ch.")</f>
        <v>🏘  Vous souhaitez acheter une maison à Lausanne 25? ✅ Jetez un œil aux dernières offres sur ImmoScout24.ch.</v>
      </c>
      <c r="J266" s="4" t="s">
        <v>804</v>
      </c>
    </row>
    <row r="267">
      <c r="A267" s="5" t="s">
        <v>805</v>
      </c>
      <c r="B267" s="2" t="s">
        <v>806</v>
      </c>
      <c r="C267" s="4" t="str">
        <f>IFERROR(__xludf.DUMMYFUNCTION("""🏘️ ""&amp;REGEXEXTRACT(B267, ""^(.*): "")&amp;"" ✅ "" &amp;REGEXEXTRACT(B267, ""(Trouvez.*)"")"),"🏘️ Louer appartement Laupen - Sense ✅ Trouvez le bien immobilier qui correspond idéalement à vos désirs sur ImmoScout24 - La plateforme de l'immobilier en Suisse.")</f>
        <v>🏘️ Louer appartement Laupen - Sense ✅ Trouvez le bien immobilier qui correspond idéalement à vos désirs sur ImmoScout24 - La plateforme de l'immobilier en Suisse.</v>
      </c>
      <c r="D267" s="4" t="str">
        <f>vlookup(A267, Sheet2!D:E, 2, 0)</f>
        <v>variant</v>
      </c>
      <c r="E267" s="4" t="str">
        <f>IFERROR(__xludf.DUMMYFUNCTION("if(H267=""pays"",vlookup(REGEXEXTRACT(C267, ""🏘️ \w+ \w+ (.*) ✅""),'Country prepositions'!A:B, 2, 0) &amp; "" "" &amp; REGEXEXTRACT(C267, ""🏘️ \w+ \w+ (.*) ✅"") ,  if(H267=""quartier"",vlookup(REGEXEXTRACT(C267, ""🏘️ \w+ \w+ (.*) ✅""),'Quartier prepositions'!A"&amp;":E, 5, 0) ,  if(H267=""region"",vlookup(REGEXEXTRACT(C267, ""🏘️ \w+ \w+ (.*) ✅""),'Region prepositions'!B:F, 5, 0),  REGEXEXTRACT(C267, ""🏘️ \w+ \w+ (.*) ✅""))))"),"à Laupen")</f>
        <v>à Laupen</v>
      </c>
      <c r="F267" s="2" t="str">
        <f>IFERROR(__xludf.DUMMYFUNCTION("REGEXEXTRACT(C267, ""🏘️ (\w+) \w+ .* ✅"")"),"Louer")</f>
        <v>Louer</v>
      </c>
      <c r="G267" s="2" t="str">
        <f>IFERROR(__xludf.DUMMYFUNCTION("REGEXEXTRACT(C267, ""🏘️ \w+ (\w+) .* ✅"")"),"appartement")</f>
        <v>appartement</v>
      </c>
      <c r="H267" s="4" t="str">
        <f>IFERROR(__xludf.DUMMYFUNCTION("REGEXEXTRACT(A267, ""/(\w+)-.*?"")"),"region")</f>
        <v>region</v>
      </c>
      <c r="I267" s="4" t="str">
        <f>IFERROR(__xludf.DUMMYFUNCTION("if(D267=""variant"",  substitute(filter(Templates!E:E, Templates!A:A = F267, Templates!B:B = G267, Templates!C:C = H267), ""{{}}"", E267), B267)"),"🏘  Vous cherchez un appartement à louer à Laupen? ✅ Les annonces les plus actuelles sont sur ImmoScout24.ch.")</f>
        <v>🏘  Vous cherchez un appartement à louer à Laupen? ✅ Les annonces les plus actuelles sont sur ImmoScout24.ch.</v>
      </c>
      <c r="J267" s="4" t="s">
        <v>807</v>
      </c>
    </row>
    <row r="268">
      <c r="A268" s="5" t="s">
        <v>808</v>
      </c>
      <c r="B268" s="2" t="s">
        <v>809</v>
      </c>
      <c r="C268" s="4" t="str">
        <f>IFERROR(__xludf.DUMMYFUNCTION("""🏘️ ""&amp;REGEXEXTRACT(B268, ""^(.*): "")&amp;"" ✅ "" &amp;REGEXEXTRACT(B268, ""(Trouvez.*)"")"),"🏘️ Vendre maison Concise ✅ Trouvez le bien immobilier qui correspond idéalement à vos désirs sur ImmoScout24 - La plateforme de l'immobilier en Suisse.")</f>
        <v>🏘️ Vendre maison Concise ✅ Trouvez le bien immobilier qui correspond idéalement à vos désirs sur ImmoScout24 - La plateforme de l'immobilier en Suisse.</v>
      </c>
      <c r="D268" s="4" t="str">
        <f>vlookup(A268, Sheet2!D:E, 2, 0)</f>
        <v>variant</v>
      </c>
      <c r="E268" s="4" t="str">
        <f>IFERROR(__xludf.DUMMYFUNCTION("if(H268=""pays"",vlookup(REGEXEXTRACT(C268, ""🏘️ \w+ \w+ (.*) ✅""),'Country prepositions'!A:B, 2, 0) &amp; "" "" &amp; REGEXEXTRACT(C268, ""🏘️ \w+ \w+ (.*) ✅"") ,  if(H268=""quartier"",vlookup(REGEXEXTRACT(C268, ""🏘️ \w+ \w+ (.*) ✅""),'Quartier prepositions'!A"&amp;":E, 5, 0) ,  if(H268=""region"",vlookup(REGEXEXTRACT(C268, ""🏘️ \w+ \w+ (.*) ✅""),'Region prepositions'!B:F, 5, 0),  REGEXEXTRACT(C268, ""🏘️ \w+ \w+ (.*) ✅""))))"),"Concise")</f>
        <v>Concise</v>
      </c>
      <c r="F268" s="2" t="str">
        <f>IFERROR(__xludf.DUMMYFUNCTION("REGEXEXTRACT(C268, ""🏘️ (\w+) \w+ .* ✅"")"),"Vendre")</f>
        <v>Vendre</v>
      </c>
      <c r="G268" s="2" t="str">
        <f>IFERROR(__xludf.DUMMYFUNCTION("REGEXEXTRACT(C268, ""🏘️ \w+ (\w+) .* ✅"")"),"maison")</f>
        <v>maison</v>
      </c>
      <c r="H268" s="4" t="str">
        <f>IFERROR(__xludf.DUMMYFUNCTION("REGEXEXTRACT(A268, ""/(\w+)-.*?"")"),"lieu")</f>
        <v>lieu</v>
      </c>
      <c r="I268" s="4" t="str">
        <f>IFERROR(__xludf.DUMMYFUNCTION("if(D268=""variant"",  substitute(filter(Templates!E:E, Templates!A:A = F268, Templates!B:B = G268, Templates!C:C = H268), ""{{}}"", E268), B268)"),"🏘  Vous souhaitez acheter une maison à Concise? ✅ Jetez un œil aux dernières offres sur ImmoScout24.ch.")</f>
        <v>🏘  Vous souhaitez acheter une maison à Concise? ✅ Jetez un œil aux dernières offres sur ImmoScout24.ch.</v>
      </c>
      <c r="J268" s="4" t="s">
        <v>810</v>
      </c>
    </row>
    <row r="269">
      <c r="A269" s="5" t="s">
        <v>811</v>
      </c>
      <c r="B269" s="2" t="s">
        <v>812</v>
      </c>
      <c r="C269" s="4" t="str">
        <f>IFERROR(__xludf.DUMMYFUNCTION("""🏘️ ""&amp;REGEXEXTRACT(B269, ""^(.*): "")&amp;"" ✅ "" &amp;REGEXEXTRACT(B269, ""(Trouvez.*)"")"),"🏘️ Vendre appartement Bossons - Blécherette (Lausanne) ✅ Trouvez le bien immobilier qui correspond idéalement à vos désirs sur ImmoScout24 - La plateforme de l'immobilier en Suisse.")</f>
        <v>🏘️ Vendre appartement Bossons - Blécherette (Lausanne) ✅ Trouvez le bien immobilier qui correspond idéalement à vos désirs sur ImmoScout24 - La plateforme de l'immobilier en Suisse.</v>
      </c>
      <c r="D269" s="4" t="str">
        <f>vlookup(A269, Sheet2!D:E, 2, 0)</f>
        <v>variant</v>
      </c>
      <c r="E269" s="4" t="str">
        <f>IFERROR(__xludf.DUMMYFUNCTION("if(H269=""pays"",vlookup(REGEXEXTRACT(C269, ""🏘️ \w+ \w+ (.*) ✅""),'Country prepositions'!A:B, 2, 0) &amp; "" "" &amp; REGEXEXTRACT(C269, ""🏘️ \w+ \w+ (.*) ✅"") ,  if(H269=""quartier"",vlookup(REGEXEXTRACT(C269, ""🏘️ \w+ \w+ (.*) ✅""),'Quartier prepositions'!A"&amp;":E, 5, 0) ,  if(H269=""region"",vlookup(REGEXEXTRACT(C269, ""🏘️ \w+ \w+ (.*) ✅""),'Region prepositions'!B:F, 5, 0),  REGEXEXTRACT(C269, ""🏘️ \w+ \w+ (.*) ✅""))))"),"dans le quartier de Bossons - Blécherette (Lausanne)")</f>
        <v>dans le quartier de Bossons - Blécherette (Lausanne)</v>
      </c>
      <c r="F269" s="2" t="str">
        <f>IFERROR(__xludf.DUMMYFUNCTION("REGEXEXTRACT(C269, ""🏘️ (\w+) \w+ .* ✅"")"),"Vendre")</f>
        <v>Vendre</v>
      </c>
      <c r="G269" s="2" t="str">
        <f>IFERROR(__xludf.DUMMYFUNCTION("REGEXEXTRACT(C269, ""🏘️ \w+ (\w+) .* ✅"")"),"appartement")</f>
        <v>appartement</v>
      </c>
      <c r="H269" s="4" t="str">
        <f>IFERROR(__xludf.DUMMYFUNCTION("REGEXEXTRACT(A269, ""/(\w+)-.*?"")"),"quartier")</f>
        <v>quartier</v>
      </c>
      <c r="I269" s="4" t="str">
        <f>IFERROR(__xludf.DUMMYFUNCTION("if(D269=""variant"",  substitute(filter(Templates!E:E, Templates!A:A = F269, Templates!B:B = G269, Templates!C:C = H269), ""{{}}"", E269), B269)"),"🏘  L’appartement de vos rêves se trouve sur ImmoScout24.ch ✅ Découvrez les dernières annonces de vente dans le quartier de Bossons - Blécherette (Lausanne).")</f>
        <v>🏘  L’appartement de vos rêves se trouve sur ImmoScout24.ch ✅ Découvrez les dernières annonces de vente dans le quartier de Bossons - Blécherette (Lausanne).</v>
      </c>
      <c r="J269" s="4" t="s">
        <v>813</v>
      </c>
    </row>
    <row r="270">
      <c r="A270" s="5" t="s">
        <v>814</v>
      </c>
      <c r="B270" s="2" t="s">
        <v>815</v>
      </c>
      <c r="C270" s="4" t="str">
        <f>IFERROR(__xludf.DUMMYFUNCTION("""🏘️ ""&amp;REGEXEXTRACT(B270, ""^(.*): "")&amp;"" ✅ "" &amp;REGEXEXTRACT(B270, ""(Trouvez.*)"")"),"🏘️ Louer appartement Grancia ✅ Trouvez le bien immobilier qui correspond idéalement à vos désirs sur ImmoScout24 - La plateforme de l'immobilier en Suisse.")</f>
        <v>🏘️ Louer appartement Grancia ✅ Trouvez le bien immobilier qui correspond idéalement à vos désirs sur ImmoScout24 - La plateforme de l'immobilier en Suisse.</v>
      </c>
      <c r="D270" s="4" t="str">
        <f>vlookup(A270, Sheet2!D:E, 2, 0)</f>
        <v>variant</v>
      </c>
      <c r="E270" s="4" t="str">
        <f>IFERROR(__xludf.DUMMYFUNCTION("if(H270=""pays"",vlookup(REGEXEXTRACT(C270, ""🏘️ \w+ \w+ (.*) ✅""),'Country prepositions'!A:B, 2, 0) &amp; "" "" &amp; REGEXEXTRACT(C270, ""🏘️ \w+ \w+ (.*) ✅"") ,  if(H270=""quartier"",vlookup(REGEXEXTRACT(C270, ""🏘️ \w+ \w+ (.*) ✅""),'Quartier prepositions'!A"&amp;":E, 5, 0) ,  if(H270=""region"",vlookup(REGEXEXTRACT(C270, ""🏘️ \w+ \w+ (.*) ✅""),'Region prepositions'!B:F, 5, 0),  REGEXEXTRACT(C270, ""🏘️ \w+ \w+ (.*) ✅""))))"),"Grancia")</f>
        <v>Grancia</v>
      </c>
      <c r="F270" s="2" t="str">
        <f>IFERROR(__xludf.DUMMYFUNCTION("REGEXEXTRACT(C270, ""🏘️ (\w+) \w+ .* ✅"")"),"Louer")</f>
        <v>Louer</v>
      </c>
      <c r="G270" s="2" t="str">
        <f>IFERROR(__xludf.DUMMYFUNCTION("REGEXEXTRACT(C270, ""🏘️ \w+ (\w+) .* ✅"")"),"appartement")</f>
        <v>appartement</v>
      </c>
      <c r="H270" s="4" t="str">
        <f>IFERROR(__xludf.DUMMYFUNCTION("REGEXEXTRACT(A270, ""/(\w+)-.*?"")"),"lieu")</f>
        <v>lieu</v>
      </c>
      <c r="I270" s="4" t="str">
        <f>IFERROR(__xludf.DUMMYFUNCTION("if(D270=""variant"",  substitute(filter(Templates!E:E, Templates!A:A = F270, Templates!B:B = G270, Templates!C:C = H270), ""{{}}"", E270), B270)"),"🏘  Vous cherchez un appartement à louer à Grancia? ✅ Les annonces les plus actuelles sont sur ImmoScout24.ch.")</f>
        <v>🏘  Vous cherchez un appartement à louer à Grancia? ✅ Les annonces les plus actuelles sont sur ImmoScout24.ch.</v>
      </c>
      <c r="J270" s="4" t="s">
        <v>816</v>
      </c>
    </row>
    <row r="271">
      <c r="A271" s="5" t="s">
        <v>817</v>
      </c>
      <c r="B271" s="2" t="s">
        <v>818</v>
      </c>
      <c r="C271" s="4" t="str">
        <f>IFERROR(__xludf.DUMMYFUNCTION("""🏘️ ""&amp;REGEXEXTRACT(B271, ""^(.*): "")&amp;"" ✅ "" &amp;REGEXEXTRACT(B271, ""(Trouvez.*)"")"),"🏘️ Vendre appartement Plasselb ✅ Trouvez le bien immobilier qui correspond idéalement à vos désirs sur ImmoScout24 - La plateforme de l'immobilier en Suisse.")</f>
        <v>🏘️ Vendre appartement Plasselb ✅ Trouvez le bien immobilier qui correspond idéalement à vos désirs sur ImmoScout24 - La plateforme de l'immobilier en Suisse.</v>
      </c>
      <c r="D271" s="4" t="str">
        <f>vlookup(A271, Sheet2!D:E, 2, 0)</f>
        <v>variant</v>
      </c>
      <c r="E271" s="4" t="str">
        <f>IFERROR(__xludf.DUMMYFUNCTION("if(H271=""pays"",vlookup(REGEXEXTRACT(C271, ""🏘️ \w+ \w+ (.*) ✅""),'Country prepositions'!A:B, 2, 0) &amp; "" "" &amp; REGEXEXTRACT(C271, ""🏘️ \w+ \w+ (.*) ✅"") ,  if(H271=""quartier"",vlookup(REGEXEXTRACT(C271, ""🏘️ \w+ \w+ (.*) ✅""),'Quartier prepositions'!A"&amp;":E, 5, 0) ,  if(H271=""region"",vlookup(REGEXEXTRACT(C271, ""🏘️ \w+ \w+ (.*) ✅""),'Region prepositions'!B:F, 5, 0),  REGEXEXTRACT(C271, ""🏘️ \w+ \w+ (.*) ✅""))))"),"Plasselb")</f>
        <v>Plasselb</v>
      </c>
      <c r="F271" s="2" t="str">
        <f>IFERROR(__xludf.DUMMYFUNCTION("REGEXEXTRACT(C271, ""🏘️ (\w+) \w+ .* ✅"")"),"Vendre")</f>
        <v>Vendre</v>
      </c>
      <c r="G271" s="2" t="str">
        <f>IFERROR(__xludf.DUMMYFUNCTION("REGEXEXTRACT(C271, ""🏘️ \w+ (\w+) .* ✅"")"),"appartement")</f>
        <v>appartement</v>
      </c>
      <c r="H271" s="4" t="str">
        <f>IFERROR(__xludf.DUMMYFUNCTION("REGEXEXTRACT(A271, ""/(\w+)-.*?"")"),"lieu")</f>
        <v>lieu</v>
      </c>
      <c r="I271" s="4" t="str">
        <f>IFERROR(__xludf.DUMMYFUNCTION("if(D271=""variant"",  substitute(filter(Templates!E:E, Templates!A:A = F271, Templates!B:B = G271, Templates!C:C = H271), ""{{}}"", E271), B271)"),"🏘  L’appartement de vos rêves se trouve sur ImmoScout24.ch ✅ Découvrez les dernières annonces de vente à Plasselb.")</f>
        <v>🏘  L’appartement de vos rêves se trouve sur ImmoScout24.ch ✅ Découvrez les dernières annonces de vente à Plasselb.</v>
      </c>
      <c r="J271" s="4" t="s">
        <v>819</v>
      </c>
    </row>
    <row r="272">
      <c r="A272" s="5" t="s">
        <v>820</v>
      </c>
      <c r="B272" s="2" t="s">
        <v>821</v>
      </c>
      <c r="C272" s="4" t="str">
        <f>IFERROR(__xludf.DUMMYFUNCTION("""🏘️ ""&amp;REGEXEXTRACT(B272, ""^(.*): "")&amp;"" ✅ "" &amp;REGEXEXTRACT(B272, ""(Trouvez.*)"")"),"🏘️ Vendre maison Oftringen ✅ Trouvez le bien immobilier qui correspond idéalement à vos désirs sur ImmoScout24 - La plateforme de l'immobilier en Suisse.")</f>
        <v>🏘️ Vendre maison Oftringen ✅ Trouvez le bien immobilier qui correspond idéalement à vos désirs sur ImmoScout24 - La plateforme de l'immobilier en Suisse.</v>
      </c>
      <c r="D272" s="4" t="str">
        <f>vlookup(A272, Sheet2!D:E, 2, 0)</f>
        <v>variant</v>
      </c>
      <c r="E272" s="4" t="str">
        <f>IFERROR(__xludf.DUMMYFUNCTION("if(H272=""pays"",vlookup(REGEXEXTRACT(C272, ""🏘️ \w+ \w+ (.*) ✅""),'Country prepositions'!A:B, 2, 0) &amp; "" "" &amp; REGEXEXTRACT(C272, ""🏘️ \w+ \w+ (.*) ✅"") ,  if(H272=""quartier"",vlookup(REGEXEXTRACT(C272, ""🏘️ \w+ \w+ (.*) ✅""),'Quartier prepositions'!A"&amp;":E, 5, 0) ,  if(H272=""region"",vlookup(REGEXEXTRACT(C272, ""🏘️ \w+ \w+ (.*) ✅""),'Region prepositions'!B:F, 5, 0),  REGEXEXTRACT(C272, ""🏘️ \w+ \w+ (.*) ✅""))))"),"Oftringen")</f>
        <v>Oftringen</v>
      </c>
      <c r="F272" s="2" t="str">
        <f>IFERROR(__xludf.DUMMYFUNCTION("REGEXEXTRACT(C272, ""🏘️ (\w+) \w+ .* ✅"")"),"Vendre")</f>
        <v>Vendre</v>
      </c>
      <c r="G272" s="2" t="str">
        <f>IFERROR(__xludf.DUMMYFUNCTION("REGEXEXTRACT(C272, ""🏘️ \w+ (\w+) .* ✅"")"),"maison")</f>
        <v>maison</v>
      </c>
      <c r="H272" s="4" t="str">
        <f>IFERROR(__xludf.DUMMYFUNCTION("REGEXEXTRACT(A272, ""/(\w+)-.*?"")"),"lieu")</f>
        <v>lieu</v>
      </c>
      <c r="I272" s="4" t="str">
        <f>IFERROR(__xludf.DUMMYFUNCTION("if(D272=""variant"",  substitute(filter(Templates!E:E, Templates!A:A = F272, Templates!B:B = G272, Templates!C:C = H272), ""{{}}"", E272), B272)"),"🏘  Vous souhaitez acheter une maison à Oftringen? ✅ Jetez un œil aux dernières offres sur ImmoScout24.ch.")</f>
        <v>🏘  Vous souhaitez acheter une maison à Oftringen? ✅ Jetez un œil aux dernières offres sur ImmoScout24.ch.</v>
      </c>
      <c r="J272" s="4" t="s">
        <v>822</v>
      </c>
    </row>
    <row r="273">
      <c r="A273" s="5" t="s">
        <v>823</v>
      </c>
      <c r="B273" s="2" t="s">
        <v>824</v>
      </c>
      <c r="C273" s="4" t="str">
        <f>IFERROR(__xludf.DUMMYFUNCTION("""🏘️ ""&amp;REGEXEXTRACT(B273, ""^(.*): "")&amp;"" ✅ "" &amp;REGEXEXTRACT(B273, ""(Trouvez.*)"")"),"🏘️ Vendre maison Contra ✅ Trouvez le bien immobilier qui correspond idéalement à vos désirs sur ImmoScout24 - La plateforme de l'immobilier en Suisse.")</f>
        <v>🏘️ Vendre maison Contra ✅ Trouvez le bien immobilier qui correspond idéalement à vos désirs sur ImmoScout24 - La plateforme de l'immobilier en Suisse.</v>
      </c>
      <c r="D273" s="4" t="str">
        <f>vlookup(A273, Sheet2!D:E, 2, 0)</f>
        <v>variant</v>
      </c>
      <c r="E273" s="4" t="str">
        <f>IFERROR(__xludf.DUMMYFUNCTION("if(H273=""pays"",vlookup(REGEXEXTRACT(C273, ""🏘️ \w+ \w+ (.*) ✅""),'Country prepositions'!A:B, 2, 0) &amp; "" "" &amp; REGEXEXTRACT(C273, ""🏘️ \w+ \w+ (.*) ✅"") ,  if(H273=""quartier"",vlookup(REGEXEXTRACT(C273, ""🏘️ \w+ \w+ (.*) ✅""),'Quartier prepositions'!A"&amp;":E, 5, 0) ,  if(H273=""region"",vlookup(REGEXEXTRACT(C273, ""🏘️ \w+ \w+ (.*) ✅""),'Region prepositions'!B:F, 5, 0),  REGEXEXTRACT(C273, ""🏘️ \w+ \w+ (.*) ✅""))))"),"Contra")</f>
        <v>Contra</v>
      </c>
      <c r="F273" s="2" t="str">
        <f>IFERROR(__xludf.DUMMYFUNCTION("REGEXEXTRACT(C273, ""🏘️ (\w+) \w+ .* ✅"")"),"Vendre")</f>
        <v>Vendre</v>
      </c>
      <c r="G273" s="2" t="str">
        <f>IFERROR(__xludf.DUMMYFUNCTION("REGEXEXTRACT(C273, ""🏘️ \w+ (\w+) .* ✅"")"),"maison")</f>
        <v>maison</v>
      </c>
      <c r="H273" s="4" t="str">
        <f>IFERROR(__xludf.DUMMYFUNCTION("REGEXEXTRACT(A273, ""/(\w+)-.*?"")"),"lieu")</f>
        <v>lieu</v>
      </c>
      <c r="I273" s="4" t="str">
        <f>IFERROR(__xludf.DUMMYFUNCTION("if(D273=""variant"",  substitute(filter(Templates!E:E, Templates!A:A = F273, Templates!B:B = G273, Templates!C:C = H273), ""{{}}"", E273), B273)"),"🏘  Vous souhaitez acheter une maison à Contra? ✅ Jetez un œil aux dernières offres sur ImmoScout24.ch.")</f>
        <v>🏘  Vous souhaitez acheter une maison à Contra? ✅ Jetez un œil aux dernières offres sur ImmoScout24.ch.</v>
      </c>
      <c r="J273" s="4" t="s">
        <v>825</v>
      </c>
    </row>
    <row r="274">
      <c r="A274" s="5" t="s">
        <v>826</v>
      </c>
      <c r="B274" s="2" t="s">
        <v>827</v>
      </c>
      <c r="C274" s="4" t="str">
        <f>IFERROR(__xludf.DUMMYFUNCTION("""🏘️ ""&amp;REGEXEXTRACT(B274, ""^(.*): "")&amp;"" ✅ "" &amp;REGEXEXTRACT(B274, ""(Trouvez.*)"")"),"🏘️ Vendre maison Canton de Bâle-Campagne ✅ Trouvez le bien immobilier qui correspond idéalement à vos désirs sur ImmoScout24 - La plateforme de l'immobilier en Suisse.")</f>
        <v>🏘️ Vendre maison Canton de Bâle-Campagne ✅ Trouvez le bien immobilier qui correspond idéalement à vos désirs sur ImmoScout24 - La plateforme de l'immobilier en Suisse.</v>
      </c>
      <c r="D274" s="4" t="str">
        <f>vlookup(A274, Sheet2!D:E, 2, 0)</f>
        <v>variant</v>
      </c>
      <c r="E274" s="4" t="str">
        <f>IFERROR(__xludf.DUMMYFUNCTION("if(H274=""pays"",vlookup(REGEXEXTRACT(C274, ""🏘️ \w+ \w+ (.*) ✅""),'Country prepositions'!A:B, 2, 0) &amp; "" "" &amp; REGEXEXTRACT(C274, ""🏘️ \w+ \w+ (.*) ✅"") ,  if(H274=""quartier"",vlookup(REGEXEXTRACT(C274, ""🏘️ \w+ \w+ (.*) ✅""),'Quartier prepositions'!A"&amp;":E, 5, 0) ,  if(H274=""region"",vlookup(REGEXEXTRACT(C274, ""🏘️ \w+ \w+ (.*) ✅""),'Region prepositions'!B:F, 5, 0),  REGEXEXTRACT(C274, ""🏘️ \w+ \w+ (.*) ✅""))))"),"Canton de Bâle-Campagne")</f>
        <v>Canton de Bâle-Campagne</v>
      </c>
      <c r="F274" s="2" t="str">
        <f>IFERROR(__xludf.DUMMYFUNCTION("REGEXEXTRACT(C274, ""🏘️ (\w+) \w+ .* ✅"")"),"Vendre")</f>
        <v>Vendre</v>
      </c>
      <c r="G274" s="2" t="str">
        <f>IFERROR(__xludf.DUMMYFUNCTION("REGEXEXTRACT(C274, ""🏘️ \w+ (\w+) .* ✅"")"),"maison")</f>
        <v>maison</v>
      </c>
      <c r="H274" s="4" t="str">
        <f>IFERROR(__xludf.DUMMYFUNCTION("REGEXEXTRACT(A274, ""/(\w+)-.*?"")"),"canton")</f>
        <v>canton</v>
      </c>
      <c r="I274" s="4" t="str">
        <f>IFERROR(__xludf.DUMMYFUNCTION("if(D274=""variant"",  substitute(filter(Templates!E:E, Templates!A:A = F274, Templates!B:B = G274, Templates!C:C = H274), ""{{}}"", E274), B274)"),"🏘  Vous souhaitez acheter une maison dans le Canton de Bâle-Campagne? ✅ Jetez un œil aux dernières offres sur ImmoScout24.ch.")</f>
        <v>🏘  Vous souhaitez acheter une maison dans le Canton de Bâle-Campagne? ✅ Jetez un œil aux dernières offres sur ImmoScout24.ch.</v>
      </c>
      <c r="J274" s="4" t="s">
        <v>828</v>
      </c>
    </row>
    <row r="275">
      <c r="A275" s="5" t="s">
        <v>829</v>
      </c>
      <c r="B275" s="2" t="s">
        <v>830</v>
      </c>
      <c r="C275" s="4" t="str">
        <f>IFERROR(__xludf.DUMMYFUNCTION("""🏘️ ""&amp;REGEXEXTRACT(B275, ""^(.*): "")&amp;"" ✅ "" &amp;REGEXEXTRACT(B275, ""(Trouvez.*)"")"),"🏘️ Louer maison Trélex ✅ Trouvez le bien immobilier qui correspond idéalement à vos désirs sur ImmoScout24 - La plateforme de l'immobilier en Suisse.")</f>
        <v>🏘️ Louer maison Trélex ✅ Trouvez le bien immobilier qui correspond idéalement à vos désirs sur ImmoScout24 - La plateforme de l'immobilier en Suisse.</v>
      </c>
      <c r="D275" s="4" t="str">
        <f>vlookup(A275, Sheet2!D:E, 2, 0)</f>
        <v>variant</v>
      </c>
      <c r="E275" s="4" t="str">
        <f>IFERROR(__xludf.DUMMYFUNCTION("if(H275=""pays"",vlookup(REGEXEXTRACT(C275, ""🏘️ \w+ \w+ (.*) ✅""),'Country prepositions'!A:B, 2, 0) &amp; "" "" &amp; REGEXEXTRACT(C275, ""🏘️ \w+ \w+ (.*) ✅"") ,  if(H275=""quartier"",vlookup(REGEXEXTRACT(C275, ""🏘️ \w+ \w+ (.*) ✅""),'Quartier prepositions'!A"&amp;":E, 5, 0) ,  if(H275=""region"",vlookup(REGEXEXTRACT(C275, ""🏘️ \w+ \w+ (.*) ✅""),'Region prepositions'!B:F, 5, 0),  REGEXEXTRACT(C275, ""🏘️ \w+ \w+ (.*) ✅""))))"),"Trélex")</f>
        <v>Trélex</v>
      </c>
      <c r="F275" s="2" t="str">
        <f>IFERROR(__xludf.DUMMYFUNCTION("REGEXEXTRACT(C275, ""🏘️ (\w+) \w+ .* ✅"")"),"Louer")</f>
        <v>Louer</v>
      </c>
      <c r="G275" s="2" t="str">
        <f>IFERROR(__xludf.DUMMYFUNCTION("REGEXEXTRACT(C275, ""🏘️ \w+ (\w+) .* ✅"")"),"maison")</f>
        <v>maison</v>
      </c>
      <c r="H275" s="4" t="str">
        <f>IFERROR(__xludf.DUMMYFUNCTION("REGEXEXTRACT(A275, ""/(\w+)-.*?"")"),"lieu")</f>
        <v>lieu</v>
      </c>
      <c r="I275" s="4" t="str">
        <f>IFERROR(__xludf.DUMMYFUNCTION("if(D275=""variant"",  substitute(filter(Templates!E:E, Templates!A:A = F275, Templates!B:B = G275, Templates!C:C = H275), ""{{}}"", E275), B275)"),"🏘  Vous cherchez une maison à louer à Trélex? ✅ Découvrez nos nombreuses annonces sur ImmoScout24.ch.")</f>
        <v>🏘  Vous cherchez une maison à louer à Trélex? ✅ Découvrez nos nombreuses annonces sur ImmoScout24.ch.</v>
      </c>
      <c r="J275" s="4" t="s">
        <v>831</v>
      </c>
    </row>
    <row r="276">
      <c r="A276" s="5" t="s">
        <v>832</v>
      </c>
      <c r="B276" s="2" t="s">
        <v>833</v>
      </c>
      <c r="C276" s="4" t="str">
        <f>IFERROR(__xludf.DUMMYFUNCTION("""🏘️ ""&amp;REGEXEXTRACT(B276, ""^(.*): "")&amp;"" ✅ "" &amp;REGEXEXTRACT(B276, ""(Trouvez.*)"")"),"🏘️ Louer appartement Mur (Vully) VD ✅ Trouvez le bien immobilier qui correspond idéalement à vos désirs sur ImmoScout24 - La plateforme de l'immobilier en Suisse.")</f>
        <v>🏘️ Louer appartement Mur (Vully) VD ✅ Trouvez le bien immobilier qui correspond idéalement à vos désirs sur ImmoScout24 - La plateforme de l'immobilier en Suisse.</v>
      </c>
      <c r="D276" s="4" t="str">
        <f>vlookup(A276, Sheet2!D:E, 2, 0)</f>
        <v>variant</v>
      </c>
      <c r="E276" s="4" t="str">
        <f>IFERROR(__xludf.DUMMYFUNCTION("if(H276=""pays"",vlookup(REGEXEXTRACT(C276, ""🏘️ \w+ \w+ (.*) ✅""),'Country prepositions'!A:B, 2, 0) &amp; "" "" &amp; REGEXEXTRACT(C276, ""🏘️ \w+ \w+ (.*) ✅"") ,  if(H276=""quartier"",vlookup(REGEXEXTRACT(C276, ""🏘️ \w+ \w+ (.*) ✅""),'Quartier prepositions'!A"&amp;":E, 5, 0) ,  if(H276=""region"",vlookup(REGEXEXTRACT(C276, ""🏘️ \w+ \w+ (.*) ✅""),'Region prepositions'!B:F, 5, 0),  REGEXEXTRACT(C276, ""🏘️ \w+ \w+ (.*) ✅""))))"),"Mur (Vully) VD")</f>
        <v>Mur (Vully) VD</v>
      </c>
      <c r="F276" s="2" t="str">
        <f>IFERROR(__xludf.DUMMYFUNCTION("REGEXEXTRACT(C276, ""🏘️ (\w+) \w+ .* ✅"")"),"Louer")</f>
        <v>Louer</v>
      </c>
      <c r="G276" s="2" t="str">
        <f>IFERROR(__xludf.DUMMYFUNCTION("REGEXEXTRACT(C276, ""🏘️ \w+ (\w+) .* ✅"")"),"appartement")</f>
        <v>appartement</v>
      </c>
      <c r="H276" s="4" t="str">
        <f>IFERROR(__xludf.DUMMYFUNCTION("REGEXEXTRACT(A276, ""/(\w+)-.*?"")"),"lieu")</f>
        <v>lieu</v>
      </c>
      <c r="I276" s="4" t="str">
        <f>IFERROR(__xludf.DUMMYFUNCTION("if(D276=""variant"",  substitute(filter(Templates!E:E, Templates!A:A = F276, Templates!B:B = G276, Templates!C:C = H276), ""{{}}"", E276), B276)"),"🏘  Vous cherchez un appartement à louer à Mur (Vully) VD? ✅ Les annonces les plus actuelles sont sur ImmoScout24.ch.")</f>
        <v>🏘  Vous cherchez un appartement à louer à Mur (Vully) VD? ✅ Les annonces les plus actuelles sont sur ImmoScout24.ch.</v>
      </c>
      <c r="J276" s="4" t="s">
        <v>834</v>
      </c>
    </row>
    <row r="277">
      <c r="A277" s="5" t="s">
        <v>835</v>
      </c>
      <c r="B277" s="2" t="s">
        <v>836</v>
      </c>
      <c r="C277" s="4" t="str">
        <f>IFERROR(__xludf.DUMMYFUNCTION("""🏘️ ""&amp;REGEXEXTRACT(B277, ""^(.*): "")&amp;"" ✅ "" &amp;REGEXEXTRACT(B277, ""(Trouvez.*)"")"),"🏘️ Louer appartement Neyruz-sur-Moudon ✅ Trouvez le bien immobilier qui correspond idéalement à vos désirs sur ImmoScout24 - La plateforme de l'immobilier en Suisse.")</f>
        <v>🏘️ Louer appartement Neyruz-sur-Moudon ✅ Trouvez le bien immobilier qui correspond idéalement à vos désirs sur ImmoScout24 - La plateforme de l'immobilier en Suisse.</v>
      </c>
      <c r="D277" s="4" t="str">
        <f>vlookup(A277, Sheet2!D:E, 2, 0)</f>
        <v>variant</v>
      </c>
      <c r="E277" s="4" t="str">
        <f>IFERROR(__xludf.DUMMYFUNCTION("if(H277=""pays"",vlookup(REGEXEXTRACT(C277, ""🏘️ \w+ \w+ (.*) ✅""),'Country prepositions'!A:B, 2, 0) &amp; "" "" &amp; REGEXEXTRACT(C277, ""🏘️ \w+ \w+ (.*) ✅"") ,  if(H277=""quartier"",vlookup(REGEXEXTRACT(C277, ""🏘️ \w+ \w+ (.*) ✅""),'Quartier prepositions'!A"&amp;":E, 5, 0) ,  if(H277=""region"",vlookup(REGEXEXTRACT(C277, ""🏘️ \w+ \w+ (.*) ✅""),'Region prepositions'!B:F, 5, 0),  REGEXEXTRACT(C277, ""🏘️ \w+ \w+ (.*) ✅""))))"),"Neyruz-sur-Moudon")</f>
        <v>Neyruz-sur-Moudon</v>
      </c>
      <c r="F277" s="2" t="str">
        <f>IFERROR(__xludf.DUMMYFUNCTION("REGEXEXTRACT(C277, ""🏘️ (\w+) \w+ .* ✅"")"),"Louer")</f>
        <v>Louer</v>
      </c>
      <c r="G277" s="2" t="str">
        <f>IFERROR(__xludf.DUMMYFUNCTION("REGEXEXTRACT(C277, ""🏘️ \w+ (\w+) .* ✅"")"),"appartement")</f>
        <v>appartement</v>
      </c>
      <c r="H277" s="4" t="str">
        <f>IFERROR(__xludf.DUMMYFUNCTION("REGEXEXTRACT(A277, ""/(\w+)-.*?"")"),"lieu")</f>
        <v>lieu</v>
      </c>
      <c r="I277" s="4" t="str">
        <f>IFERROR(__xludf.DUMMYFUNCTION("if(D277=""variant"",  substitute(filter(Templates!E:E, Templates!A:A = F277, Templates!B:B = G277, Templates!C:C = H277), ""{{}}"", E277), B277)"),"🏘  Vous cherchez un appartement à louer à Neyruz-sur-Moudon? ✅ Les annonces les plus actuelles sont sur ImmoScout24.ch.")</f>
        <v>🏘  Vous cherchez un appartement à louer à Neyruz-sur-Moudon? ✅ Les annonces les plus actuelles sont sur ImmoScout24.ch.</v>
      </c>
      <c r="J277" s="4" t="s">
        <v>837</v>
      </c>
    </row>
    <row r="278">
      <c r="A278" s="5" t="s">
        <v>838</v>
      </c>
      <c r="B278" s="2" t="s">
        <v>839</v>
      </c>
      <c r="C278" s="4" t="str">
        <f>IFERROR(__xludf.DUMMYFUNCTION("""🏘️ ""&amp;REGEXEXTRACT(B278, ""^(.*): "")&amp;"" ✅ "" &amp;REGEXEXTRACT(B278, ""(Trouvez.*)"")"),"🏘️ Louer maison Gingins ✅ Trouvez le bien immobilier qui correspond idéalement à vos désirs sur ImmoScout24 - La plateforme de l'immobilier en Suisse.")</f>
        <v>🏘️ Louer maison Gingins ✅ Trouvez le bien immobilier qui correspond idéalement à vos désirs sur ImmoScout24 - La plateforme de l'immobilier en Suisse.</v>
      </c>
      <c r="D278" s="4" t="str">
        <f>vlookup(A278, Sheet2!D:E, 2, 0)</f>
        <v>variant</v>
      </c>
      <c r="E278" s="4" t="str">
        <f>IFERROR(__xludf.DUMMYFUNCTION("if(H278=""pays"",vlookup(REGEXEXTRACT(C278, ""🏘️ \w+ \w+ (.*) ✅""),'Country prepositions'!A:B, 2, 0) &amp; "" "" &amp; REGEXEXTRACT(C278, ""🏘️ \w+ \w+ (.*) ✅"") ,  if(H278=""quartier"",vlookup(REGEXEXTRACT(C278, ""🏘️ \w+ \w+ (.*) ✅""),'Quartier prepositions'!A"&amp;":E, 5, 0) ,  if(H278=""region"",vlookup(REGEXEXTRACT(C278, ""🏘️ \w+ \w+ (.*) ✅""),'Region prepositions'!B:F, 5, 0),  REGEXEXTRACT(C278, ""🏘️ \w+ \w+ (.*) ✅""))))"),"Gingins")</f>
        <v>Gingins</v>
      </c>
      <c r="F278" s="2" t="str">
        <f>IFERROR(__xludf.DUMMYFUNCTION("REGEXEXTRACT(C278, ""🏘️ (\w+) \w+ .* ✅"")"),"Louer")</f>
        <v>Louer</v>
      </c>
      <c r="G278" s="2" t="str">
        <f>IFERROR(__xludf.DUMMYFUNCTION("REGEXEXTRACT(C278, ""🏘️ \w+ (\w+) .* ✅"")"),"maison")</f>
        <v>maison</v>
      </c>
      <c r="H278" s="4" t="str">
        <f>IFERROR(__xludf.DUMMYFUNCTION("REGEXEXTRACT(A278, ""/(\w+)-.*?"")"),"lieu")</f>
        <v>lieu</v>
      </c>
      <c r="I278" s="4" t="str">
        <f>IFERROR(__xludf.DUMMYFUNCTION("if(D278=""variant"",  substitute(filter(Templates!E:E, Templates!A:A = F278, Templates!B:B = G278, Templates!C:C = H278), ""{{}}"", E278), B278)"),"🏘  Vous cherchez une maison à louer à Gingins? ✅ Découvrez nos nombreuses annonces sur ImmoScout24.ch.")</f>
        <v>🏘  Vous cherchez une maison à louer à Gingins? ✅ Découvrez nos nombreuses annonces sur ImmoScout24.ch.</v>
      </c>
      <c r="J278" s="4" t="s">
        <v>840</v>
      </c>
    </row>
    <row r="279">
      <c r="A279" s="5" t="s">
        <v>841</v>
      </c>
      <c r="B279" s="2" t="s">
        <v>842</v>
      </c>
      <c r="C279" s="4" t="str">
        <f>IFERROR(__xludf.DUMMYFUNCTION("""🏘️ ""&amp;REGEXEXTRACT(B279, ""^(.*): "")&amp;"" ✅ "" &amp;REGEXEXTRACT(B279, ""(Trouvez.*)"")"),"🏘️ Louer maison Sala Capriasca ✅ Trouvez le bien immobilier qui correspond idéalement à vos désirs sur ImmoScout24 - La plateforme de l'immobilier en Suisse.")</f>
        <v>🏘️ Louer maison Sala Capriasca ✅ Trouvez le bien immobilier qui correspond idéalement à vos désirs sur ImmoScout24 - La plateforme de l'immobilier en Suisse.</v>
      </c>
      <c r="D279" s="4" t="str">
        <f>vlookup(A279, Sheet2!D:E, 2, 0)</f>
        <v>variant</v>
      </c>
      <c r="E279" s="4" t="str">
        <f>IFERROR(__xludf.DUMMYFUNCTION("if(H279=""pays"",vlookup(REGEXEXTRACT(C279, ""🏘️ \w+ \w+ (.*) ✅""),'Country prepositions'!A:B, 2, 0) &amp; "" "" &amp; REGEXEXTRACT(C279, ""🏘️ \w+ \w+ (.*) ✅"") ,  if(H279=""quartier"",vlookup(REGEXEXTRACT(C279, ""🏘️ \w+ \w+ (.*) ✅""),'Quartier prepositions'!A"&amp;":E, 5, 0) ,  if(H279=""region"",vlookup(REGEXEXTRACT(C279, ""🏘️ \w+ \w+ (.*) ✅""),'Region prepositions'!B:F, 5, 0),  REGEXEXTRACT(C279, ""🏘️ \w+ \w+ (.*) ✅""))))"),"Sala Capriasca")</f>
        <v>Sala Capriasca</v>
      </c>
      <c r="F279" s="2" t="str">
        <f>IFERROR(__xludf.DUMMYFUNCTION("REGEXEXTRACT(C279, ""🏘️ (\w+) \w+ .* ✅"")"),"Louer")</f>
        <v>Louer</v>
      </c>
      <c r="G279" s="2" t="str">
        <f>IFERROR(__xludf.DUMMYFUNCTION("REGEXEXTRACT(C279, ""🏘️ \w+ (\w+) .* ✅"")"),"maison")</f>
        <v>maison</v>
      </c>
      <c r="H279" s="4" t="str">
        <f>IFERROR(__xludf.DUMMYFUNCTION("REGEXEXTRACT(A279, ""/(\w+)-.*?"")"),"lieu")</f>
        <v>lieu</v>
      </c>
      <c r="I279" s="4" t="str">
        <f>IFERROR(__xludf.DUMMYFUNCTION("if(D279=""variant"",  substitute(filter(Templates!E:E, Templates!A:A = F279, Templates!B:B = G279, Templates!C:C = H279), ""{{}}"", E279), B279)"),"🏘  Vous cherchez une maison à louer à Sala Capriasca? ✅ Découvrez nos nombreuses annonces sur ImmoScout24.ch.")</f>
        <v>🏘  Vous cherchez une maison à louer à Sala Capriasca? ✅ Découvrez nos nombreuses annonces sur ImmoScout24.ch.</v>
      </c>
      <c r="J279" s="4" t="s">
        <v>843</v>
      </c>
    </row>
    <row r="280">
      <c r="A280" s="5" t="s">
        <v>844</v>
      </c>
      <c r="B280" s="2" t="s">
        <v>845</v>
      </c>
      <c r="C280" s="4" t="str">
        <f>IFERROR(__xludf.DUMMYFUNCTION("""🏘️ ""&amp;REGEXEXTRACT(B280, ""^(.*): "")&amp;"" ✅ "" &amp;REGEXEXTRACT(B280, ""(Trouvez.*)"")"),"🏘️ Louer appartement Olten ✅ Trouvez le bien immobilier qui correspond idéalement à vos désirs sur ImmoScout24 - La plateforme de l'immobilier en Suisse.")</f>
        <v>🏘️ Louer appartement Olten ✅ Trouvez le bien immobilier qui correspond idéalement à vos désirs sur ImmoScout24 - La plateforme de l'immobilier en Suisse.</v>
      </c>
      <c r="D280" s="4" t="str">
        <f>vlookup(A280, Sheet2!D:E, 2, 0)</f>
        <v>variant</v>
      </c>
      <c r="E280" s="4" t="str">
        <f>IFERROR(__xludf.DUMMYFUNCTION("if(H280=""pays"",vlookup(REGEXEXTRACT(C280, ""🏘️ \w+ \w+ (.*) ✅""),'Country prepositions'!A:B, 2, 0) &amp; "" "" &amp; REGEXEXTRACT(C280, ""🏘️ \w+ \w+ (.*) ✅"") ,  if(H280=""quartier"",vlookup(REGEXEXTRACT(C280, ""🏘️ \w+ \w+ (.*) ✅""),'Quartier prepositions'!A"&amp;":E, 5, 0) ,  if(H280=""region"",vlookup(REGEXEXTRACT(C280, ""🏘️ \w+ \w+ (.*) ✅""),'Region prepositions'!B:F, 5, 0),  REGEXEXTRACT(C280, ""🏘️ \w+ \w+ (.*) ✅""))))"),"Olten")</f>
        <v>Olten</v>
      </c>
      <c r="F280" s="2" t="str">
        <f>IFERROR(__xludf.DUMMYFUNCTION("REGEXEXTRACT(C280, ""🏘️ (\w+) \w+ .* ✅"")"),"Louer")</f>
        <v>Louer</v>
      </c>
      <c r="G280" s="2" t="str">
        <f>IFERROR(__xludf.DUMMYFUNCTION("REGEXEXTRACT(C280, ""🏘️ \w+ (\w+) .* ✅"")"),"appartement")</f>
        <v>appartement</v>
      </c>
      <c r="H280" s="4" t="str">
        <f>IFERROR(__xludf.DUMMYFUNCTION("REGEXEXTRACT(A280, ""/(\w+)-.*?"")"),"lieu")</f>
        <v>lieu</v>
      </c>
      <c r="I280" s="4" t="str">
        <f>IFERROR(__xludf.DUMMYFUNCTION("if(D280=""variant"",  substitute(filter(Templates!E:E, Templates!A:A = F280, Templates!B:B = G280, Templates!C:C = H280), ""{{}}"", E280), B280)"),"🏘  Vous cherchez un appartement à louer à Olten? ✅ Les annonces les plus actuelles sont sur ImmoScout24.ch.")</f>
        <v>🏘  Vous cherchez un appartement à louer à Olten? ✅ Les annonces les plus actuelles sont sur ImmoScout24.ch.</v>
      </c>
      <c r="J280" s="4" t="s">
        <v>846</v>
      </c>
    </row>
    <row r="281">
      <c r="A281" s="5" t="s">
        <v>847</v>
      </c>
      <c r="B281" s="2" t="s">
        <v>848</v>
      </c>
      <c r="C281" s="4" t="str">
        <f>IFERROR(__xludf.DUMMYFUNCTION("""🏘️ ""&amp;REGEXEXTRACT(B281, ""^(.*): "")&amp;"" ✅ "" &amp;REGEXEXTRACT(B281, ""(Trouvez.*)"")"),"🏘️ Vendre maison Matzendorf ✅ Trouvez le bien immobilier qui correspond idéalement à vos désirs sur ImmoScout24 - La plateforme de l'immobilier en Suisse.")</f>
        <v>🏘️ Vendre maison Matzendorf ✅ Trouvez le bien immobilier qui correspond idéalement à vos désirs sur ImmoScout24 - La plateforme de l'immobilier en Suisse.</v>
      </c>
      <c r="D281" s="4" t="str">
        <f>vlookup(A281, Sheet2!D:E, 2, 0)</f>
        <v>variant</v>
      </c>
      <c r="E281" s="4" t="str">
        <f>IFERROR(__xludf.DUMMYFUNCTION("if(H281=""pays"",vlookup(REGEXEXTRACT(C281, ""🏘️ \w+ \w+ (.*) ✅""),'Country prepositions'!A:B, 2, 0) &amp; "" "" &amp; REGEXEXTRACT(C281, ""🏘️ \w+ \w+ (.*) ✅"") ,  if(H281=""quartier"",vlookup(REGEXEXTRACT(C281, ""🏘️ \w+ \w+ (.*) ✅""),'Quartier prepositions'!A"&amp;":E, 5, 0) ,  if(H281=""region"",vlookup(REGEXEXTRACT(C281, ""🏘️ \w+ \w+ (.*) ✅""),'Region prepositions'!B:F, 5, 0),  REGEXEXTRACT(C281, ""🏘️ \w+ \w+ (.*) ✅""))))"),"Matzendorf")</f>
        <v>Matzendorf</v>
      </c>
      <c r="F281" s="2" t="str">
        <f>IFERROR(__xludf.DUMMYFUNCTION("REGEXEXTRACT(C281, ""🏘️ (\w+) \w+ .* ✅"")"),"Vendre")</f>
        <v>Vendre</v>
      </c>
      <c r="G281" s="2" t="str">
        <f>IFERROR(__xludf.DUMMYFUNCTION("REGEXEXTRACT(C281, ""🏘️ \w+ (\w+) .* ✅"")"),"maison")</f>
        <v>maison</v>
      </c>
      <c r="H281" s="4" t="str">
        <f>IFERROR(__xludf.DUMMYFUNCTION("REGEXEXTRACT(A281, ""/(\w+)-.*?"")"),"lieu")</f>
        <v>lieu</v>
      </c>
      <c r="I281" s="4" t="str">
        <f>IFERROR(__xludf.DUMMYFUNCTION("if(D281=""variant"",  substitute(filter(Templates!E:E, Templates!A:A = F281, Templates!B:B = G281, Templates!C:C = H281), ""{{}}"", E281), B281)"),"🏘  Vous souhaitez acheter une maison à Matzendorf? ✅ Jetez un œil aux dernières offres sur ImmoScout24.ch.")</f>
        <v>🏘  Vous souhaitez acheter une maison à Matzendorf? ✅ Jetez un œil aux dernières offres sur ImmoScout24.ch.</v>
      </c>
      <c r="J281" s="4" t="s">
        <v>849</v>
      </c>
    </row>
    <row r="282">
      <c r="A282" s="5" t="s">
        <v>850</v>
      </c>
      <c r="B282" s="2" t="s">
        <v>851</v>
      </c>
      <c r="C282" s="4" t="str">
        <f>IFERROR(__xludf.DUMMYFUNCTION("""🏘️ ""&amp;REGEXEXTRACT(B282, ""^(.*): "")&amp;"" ✅ "" &amp;REGEXEXTRACT(B282, ""(Trouvez.*)"")"),"🏘️ Louer appartement Corseaux ✅ Trouvez le bien immobilier qui correspond idéalement à vos désirs sur ImmoScout24 - La plateforme de l'immobilier en Suisse.")</f>
        <v>🏘️ Louer appartement Corseaux ✅ Trouvez le bien immobilier qui correspond idéalement à vos désirs sur ImmoScout24 - La plateforme de l'immobilier en Suisse.</v>
      </c>
      <c r="D282" s="4" t="str">
        <f>vlookup(A282, Sheet2!D:E, 2, 0)</f>
        <v>variant</v>
      </c>
      <c r="E282" s="4" t="str">
        <f>IFERROR(__xludf.DUMMYFUNCTION("if(H282=""pays"",vlookup(REGEXEXTRACT(C282, ""🏘️ \w+ \w+ (.*) ✅""),'Country prepositions'!A:B, 2, 0) &amp; "" "" &amp; REGEXEXTRACT(C282, ""🏘️ \w+ \w+ (.*) ✅"") ,  if(H282=""quartier"",vlookup(REGEXEXTRACT(C282, ""🏘️ \w+ \w+ (.*) ✅""),'Quartier prepositions'!A"&amp;":E, 5, 0) ,  if(H282=""region"",vlookup(REGEXEXTRACT(C282, ""🏘️ \w+ \w+ (.*) ✅""),'Region prepositions'!B:F, 5, 0),  REGEXEXTRACT(C282, ""🏘️ \w+ \w+ (.*) ✅""))))"),"Corseaux")</f>
        <v>Corseaux</v>
      </c>
      <c r="F282" s="2" t="str">
        <f>IFERROR(__xludf.DUMMYFUNCTION("REGEXEXTRACT(C282, ""🏘️ (\w+) \w+ .* ✅"")"),"Louer")</f>
        <v>Louer</v>
      </c>
      <c r="G282" s="2" t="str">
        <f>IFERROR(__xludf.DUMMYFUNCTION("REGEXEXTRACT(C282, ""🏘️ \w+ (\w+) .* ✅"")"),"appartement")</f>
        <v>appartement</v>
      </c>
      <c r="H282" s="4" t="str">
        <f>IFERROR(__xludf.DUMMYFUNCTION("REGEXEXTRACT(A282, ""/(\w+)-.*?"")"),"lieu")</f>
        <v>lieu</v>
      </c>
      <c r="I282" s="4" t="str">
        <f>IFERROR(__xludf.DUMMYFUNCTION("if(D282=""variant"",  substitute(filter(Templates!E:E, Templates!A:A = F282, Templates!B:B = G282, Templates!C:C = H282), ""{{}}"", E282), B282)"),"🏘  Vous cherchez un appartement à louer à Corseaux? ✅ Les annonces les plus actuelles sont sur ImmoScout24.ch.")</f>
        <v>🏘  Vous cherchez un appartement à louer à Corseaux? ✅ Les annonces les plus actuelles sont sur ImmoScout24.ch.</v>
      </c>
      <c r="J282" s="4" t="s">
        <v>852</v>
      </c>
    </row>
    <row r="283">
      <c r="A283" s="5" t="s">
        <v>853</v>
      </c>
      <c r="B283" s="2" t="s">
        <v>854</v>
      </c>
      <c r="C283" s="4" t="str">
        <f>IFERROR(__xludf.DUMMYFUNCTION("""🏘️ ""&amp;REGEXEXTRACT(B283, ""^(.*): "")&amp;"" ✅ "" &amp;REGEXEXTRACT(B283, ""(Trouvez.*)"")"),"🏘️ Louer appartement Glion ✅ Trouvez le bien immobilier qui correspond idéalement à vos désirs sur ImmoScout24 - La plateforme de l'immobilier en Suisse.")</f>
        <v>🏘️ Louer appartement Glion ✅ Trouvez le bien immobilier qui correspond idéalement à vos désirs sur ImmoScout24 - La plateforme de l'immobilier en Suisse.</v>
      </c>
      <c r="D283" s="4" t="str">
        <f>vlookup(A283, Sheet2!D:E, 2, 0)</f>
        <v>variant</v>
      </c>
      <c r="E283" s="4" t="str">
        <f>IFERROR(__xludf.DUMMYFUNCTION("if(H283=""pays"",vlookup(REGEXEXTRACT(C283, ""🏘️ \w+ \w+ (.*) ✅""),'Country prepositions'!A:B, 2, 0) &amp; "" "" &amp; REGEXEXTRACT(C283, ""🏘️ \w+ \w+ (.*) ✅"") ,  if(H283=""quartier"",vlookup(REGEXEXTRACT(C283, ""🏘️ \w+ \w+ (.*) ✅""),'Quartier prepositions'!A"&amp;":E, 5, 0) ,  if(H283=""region"",vlookup(REGEXEXTRACT(C283, ""🏘️ \w+ \w+ (.*) ✅""),'Region prepositions'!B:F, 5, 0),  REGEXEXTRACT(C283, ""🏘️ \w+ \w+ (.*) ✅""))))"),"Glion")</f>
        <v>Glion</v>
      </c>
      <c r="F283" s="2" t="str">
        <f>IFERROR(__xludf.DUMMYFUNCTION("REGEXEXTRACT(C283, ""🏘️ (\w+) \w+ .* ✅"")"),"Louer")</f>
        <v>Louer</v>
      </c>
      <c r="G283" s="2" t="str">
        <f>IFERROR(__xludf.DUMMYFUNCTION("REGEXEXTRACT(C283, ""🏘️ \w+ (\w+) .* ✅"")"),"appartement")</f>
        <v>appartement</v>
      </c>
      <c r="H283" s="4" t="str">
        <f>IFERROR(__xludf.DUMMYFUNCTION("REGEXEXTRACT(A283, ""/(\w+)-.*?"")"),"lieu")</f>
        <v>lieu</v>
      </c>
      <c r="I283" s="4" t="str">
        <f>IFERROR(__xludf.DUMMYFUNCTION("if(D283=""variant"",  substitute(filter(Templates!E:E, Templates!A:A = F283, Templates!B:B = G283, Templates!C:C = H283), ""{{}}"", E283), B283)"),"🏘  Vous cherchez un appartement à louer à Glion? ✅ Les annonces les plus actuelles sont sur ImmoScout24.ch.")</f>
        <v>🏘  Vous cherchez un appartement à louer à Glion? ✅ Les annonces les plus actuelles sont sur ImmoScout24.ch.</v>
      </c>
      <c r="J283" s="4" t="s">
        <v>855</v>
      </c>
    </row>
    <row r="284">
      <c r="A284" s="5" t="s">
        <v>856</v>
      </c>
      <c r="B284" s="2" t="s">
        <v>857</v>
      </c>
      <c r="C284" s="4" t="str">
        <f>IFERROR(__xludf.DUMMYFUNCTION("""🏘️ ""&amp;REGEXEXTRACT(B284, ""^(.*): "")&amp;"" ✅ "" &amp;REGEXEXTRACT(B284, ""(Trouvez.*)"")"),"🏘️ Louer appartement Bümpliz (Berne) ✅ Trouvez le bien immobilier qui correspond idéalement à vos désirs sur ImmoScout24 - La plateforme de l'immobilier en Suisse.")</f>
        <v>🏘️ Louer appartement Bümpliz (Berne) ✅ Trouvez le bien immobilier qui correspond idéalement à vos désirs sur ImmoScout24 - La plateforme de l'immobilier en Suisse.</v>
      </c>
      <c r="D284" s="4" t="str">
        <f>vlookup(A284, Sheet2!D:E, 2, 0)</f>
        <v>variant</v>
      </c>
      <c r="E284" s="4" t="str">
        <f>IFERROR(__xludf.DUMMYFUNCTION("if(H284=""pays"",vlookup(REGEXEXTRACT(C284, ""🏘️ \w+ \w+ (.*) ✅""),'Country prepositions'!A:B, 2, 0) &amp; "" "" &amp; REGEXEXTRACT(C284, ""🏘️ \w+ \w+ (.*) ✅"") ,  if(H284=""quartier"",vlookup(REGEXEXTRACT(C284, ""🏘️ \w+ \w+ (.*) ✅""),'Quartier prepositions'!A"&amp;":E, 5, 0) ,  if(H284=""region"",vlookup(REGEXEXTRACT(C284, ""🏘️ \w+ \w+ (.*) ✅""),'Region prepositions'!B:F, 5, 0),  REGEXEXTRACT(C284, ""🏘️ \w+ \w+ (.*) ✅""))))"),"dans le quartier de Bümpliz (Berne)")</f>
        <v>dans le quartier de Bümpliz (Berne)</v>
      </c>
      <c r="F284" s="2" t="str">
        <f>IFERROR(__xludf.DUMMYFUNCTION("REGEXEXTRACT(C284, ""🏘️ (\w+) \w+ .* ✅"")"),"Louer")</f>
        <v>Louer</v>
      </c>
      <c r="G284" s="2" t="str">
        <f>IFERROR(__xludf.DUMMYFUNCTION("REGEXEXTRACT(C284, ""🏘️ \w+ (\w+) .* ✅"")"),"appartement")</f>
        <v>appartement</v>
      </c>
      <c r="H284" s="4" t="str">
        <f>IFERROR(__xludf.DUMMYFUNCTION("REGEXEXTRACT(A284, ""/(\w+)-.*?"")"),"quartier")</f>
        <v>quartier</v>
      </c>
      <c r="I284" s="4" t="str">
        <f>IFERROR(__xludf.DUMMYFUNCTION("if(D284=""variant"",  substitute(filter(Templates!E:E, Templates!A:A = F284, Templates!B:B = G284, Templates!C:C = H284), ""{{}}"", E284), B284)"),"🏘  Vous cherchez un appartement à louer dans le quartier de Bümpliz (Berne)? ✅ Les annonces les plus actuelles sont sur ImmoScout24.ch.")</f>
        <v>🏘  Vous cherchez un appartement à louer dans le quartier de Bümpliz (Berne)? ✅ Les annonces les plus actuelles sont sur ImmoScout24.ch.</v>
      </c>
      <c r="J284" s="4" t="s">
        <v>858</v>
      </c>
    </row>
    <row r="285">
      <c r="A285" s="5" t="s">
        <v>859</v>
      </c>
      <c r="B285" s="2" t="s">
        <v>860</v>
      </c>
      <c r="C285" s="4" t="str">
        <f>IFERROR(__xludf.DUMMYFUNCTION("""🏘️ ""&amp;REGEXEXTRACT(B285, ""^(.*): "")&amp;"" ✅ "" &amp;REGEXEXTRACT(B285, ""(Trouvez.*)"")"),"🏘️ Louer appartement Sion ✅ Trouvez le bien immobilier qui correspond idéalement à vos désirs sur ImmoScout24 - La plateforme de l'immobilier en Suisse.")</f>
        <v>🏘️ Louer appartement Sion ✅ Trouvez le bien immobilier qui correspond idéalement à vos désirs sur ImmoScout24 - La plateforme de l'immobilier en Suisse.</v>
      </c>
      <c r="D285" s="4" t="str">
        <f>vlookup(A285, Sheet2!D:E, 2, 0)</f>
        <v>variant</v>
      </c>
      <c r="E285" s="4" t="str">
        <f>IFERROR(__xludf.DUMMYFUNCTION("if(H285=""pays"",vlookup(REGEXEXTRACT(C285, ""🏘️ \w+ \w+ (.*) ✅""),'Country prepositions'!A:B, 2, 0) &amp; "" "" &amp; REGEXEXTRACT(C285, ""🏘️ \w+ \w+ (.*) ✅"") ,  if(H285=""quartier"",vlookup(REGEXEXTRACT(C285, ""🏘️ \w+ \w+ (.*) ✅""),'Quartier prepositions'!A"&amp;":E, 5, 0) ,  if(H285=""region"",vlookup(REGEXEXTRACT(C285, ""🏘️ \w+ \w+ (.*) ✅""),'Region prepositions'!B:F, 5, 0),  REGEXEXTRACT(C285, ""🏘️ \w+ \w+ (.*) ✅""))))"),"Sion")</f>
        <v>Sion</v>
      </c>
      <c r="F285" s="2" t="str">
        <f>IFERROR(__xludf.DUMMYFUNCTION("REGEXEXTRACT(C285, ""🏘️ (\w+) \w+ .* ✅"")"),"Louer")</f>
        <v>Louer</v>
      </c>
      <c r="G285" s="2" t="str">
        <f>IFERROR(__xludf.DUMMYFUNCTION("REGEXEXTRACT(C285, ""🏘️ \w+ (\w+) .* ✅"")"),"appartement")</f>
        <v>appartement</v>
      </c>
      <c r="H285" s="4" t="str">
        <f>IFERROR(__xludf.DUMMYFUNCTION("REGEXEXTRACT(A285, ""/(\w+)-.*?"")"),"lieu")</f>
        <v>lieu</v>
      </c>
      <c r="I285" s="4" t="str">
        <f>IFERROR(__xludf.DUMMYFUNCTION("if(D285=""variant"",  substitute(filter(Templates!E:E, Templates!A:A = F285, Templates!B:B = G285, Templates!C:C = H285), ""{{}}"", E285), B285)"),"🏘  Vous cherchez un appartement à louer à Sion? ✅ Les annonces les plus actuelles sont sur ImmoScout24.ch.")</f>
        <v>🏘  Vous cherchez un appartement à louer à Sion? ✅ Les annonces les plus actuelles sont sur ImmoScout24.ch.</v>
      </c>
      <c r="J285" s="4" t="s">
        <v>861</v>
      </c>
    </row>
    <row r="286">
      <c r="A286" s="5" t="s">
        <v>862</v>
      </c>
      <c r="B286" s="2" t="s">
        <v>863</v>
      </c>
      <c r="C286" s="4" t="str">
        <f>IFERROR(__xludf.DUMMYFUNCTION("""🏘️ ""&amp;REGEXEXTRACT(B286, ""^(.*): "")&amp;"" ✅ "" &amp;REGEXEXTRACT(B286, ""(Trouvez.*)"")"),"🏘️ Vendre maison Neirivue ✅ Trouvez le bien immobilier qui correspond idéalement à vos désirs sur ImmoScout24 - La plateforme de l'immobilier en Suisse.")</f>
        <v>🏘️ Vendre maison Neirivue ✅ Trouvez le bien immobilier qui correspond idéalement à vos désirs sur ImmoScout24 - La plateforme de l'immobilier en Suisse.</v>
      </c>
      <c r="D286" s="4" t="str">
        <f>vlookup(A286, Sheet2!D:E, 2, 0)</f>
        <v>variant</v>
      </c>
      <c r="E286" s="4" t="str">
        <f>IFERROR(__xludf.DUMMYFUNCTION("if(H286=""pays"",vlookup(REGEXEXTRACT(C286, ""🏘️ \w+ \w+ (.*) ✅""),'Country prepositions'!A:B, 2, 0) &amp; "" "" &amp; REGEXEXTRACT(C286, ""🏘️ \w+ \w+ (.*) ✅"") ,  if(H286=""quartier"",vlookup(REGEXEXTRACT(C286, ""🏘️ \w+ \w+ (.*) ✅""),'Quartier prepositions'!A"&amp;":E, 5, 0) ,  if(H286=""region"",vlookup(REGEXEXTRACT(C286, ""🏘️ \w+ \w+ (.*) ✅""),'Region prepositions'!B:F, 5, 0),  REGEXEXTRACT(C286, ""🏘️ \w+ \w+ (.*) ✅""))))"),"Neirivue")</f>
        <v>Neirivue</v>
      </c>
      <c r="F286" s="2" t="str">
        <f>IFERROR(__xludf.DUMMYFUNCTION("REGEXEXTRACT(C286, ""🏘️ (\w+) \w+ .* ✅"")"),"Vendre")</f>
        <v>Vendre</v>
      </c>
      <c r="G286" s="2" t="str">
        <f>IFERROR(__xludf.DUMMYFUNCTION("REGEXEXTRACT(C286, ""🏘️ \w+ (\w+) .* ✅"")"),"maison")</f>
        <v>maison</v>
      </c>
      <c r="H286" s="4" t="str">
        <f>IFERROR(__xludf.DUMMYFUNCTION("REGEXEXTRACT(A286, ""/(\w+)-.*?"")"),"lieu")</f>
        <v>lieu</v>
      </c>
      <c r="I286" s="4" t="str">
        <f>IFERROR(__xludf.DUMMYFUNCTION("if(D286=""variant"",  substitute(filter(Templates!E:E, Templates!A:A = F286, Templates!B:B = G286, Templates!C:C = H286), ""{{}}"", E286), B286)"),"🏘  Vous souhaitez acheter une maison à Neirivue? ✅ Jetez un œil aux dernières offres sur ImmoScout24.ch.")</f>
        <v>🏘  Vous souhaitez acheter une maison à Neirivue? ✅ Jetez un œil aux dernières offres sur ImmoScout24.ch.</v>
      </c>
      <c r="J286" s="4" t="s">
        <v>864</v>
      </c>
    </row>
    <row r="287">
      <c r="A287" s="5" t="s">
        <v>865</v>
      </c>
      <c r="B287" s="2" t="s">
        <v>866</v>
      </c>
      <c r="C287" s="4" t="str">
        <f>IFERROR(__xludf.DUMMYFUNCTION("""🏘️ ""&amp;REGEXEXTRACT(B287, ""^(.*): "")&amp;"" ✅ "" &amp;REGEXEXTRACT(B287, ""(Trouvez.*)"")"),"🏘️ Vendre maison Villiers ✅ Trouvez le bien immobilier qui correspond idéalement à vos désirs sur ImmoScout24 - La plateforme de l'immobilier en Suisse.")</f>
        <v>🏘️ Vendre maison Villiers ✅ Trouvez le bien immobilier qui correspond idéalement à vos désirs sur ImmoScout24 - La plateforme de l'immobilier en Suisse.</v>
      </c>
      <c r="D287" s="4" t="str">
        <f>vlookup(A287, Sheet2!D:E, 2, 0)</f>
        <v>variant</v>
      </c>
      <c r="E287" s="4" t="str">
        <f>IFERROR(__xludf.DUMMYFUNCTION("if(H287=""pays"",vlookup(REGEXEXTRACT(C287, ""🏘️ \w+ \w+ (.*) ✅""),'Country prepositions'!A:B, 2, 0) &amp; "" "" &amp; REGEXEXTRACT(C287, ""🏘️ \w+ \w+ (.*) ✅"") ,  if(H287=""quartier"",vlookup(REGEXEXTRACT(C287, ""🏘️ \w+ \w+ (.*) ✅""),'Quartier prepositions'!A"&amp;":E, 5, 0) ,  if(H287=""region"",vlookup(REGEXEXTRACT(C287, ""🏘️ \w+ \w+ (.*) ✅""),'Region prepositions'!B:F, 5, 0),  REGEXEXTRACT(C287, ""🏘️ \w+ \w+ (.*) ✅""))))"),"Villiers")</f>
        <v>Villiers</v>
      </c>
      <c r="F287" s="2" t="str">
        <f>IFERROR(__xludf.DUMMYFUNCTION("REGEXEXTRACT(C287, ""🏘️ (\w+) \w+ .* ✅"")"),"Vendre")</f>
        <v>Vendre</v>
      </c>
      <c r="G287" s="2" t="str">
        <f>IFERROR(__xludf.DUMMYFUNCTION("REGEXEXTRACT(C287, ""🏘️ \w+ (\w+) .* ✅"")"),"maison")</f>
        <v>maison</v>
      </c>
      <c r="H287" s="4" t="str">
        <f>IFERROR(__xludf.DUMMYFUNCTION("REGEXEXTRACT(A287, ""/(\w+)-.*?"")"),"lieu")</f>
        <v>lieu</v>
      </c>
      <c r="I287" s="4" t="str">
        <f>IFERROR(__xludf.DUMMYFUNCTION("if(D287=""variant"",  substitute(filter(Templates!E:E, Templates!A:A = F287, Templates!B:B = G287, Templates!C:C = H287), ""{{}}"", E287), B287)"),"🏘  Vous souhaitez acheter une maison à Villiers? ✅ Jetez un œil aux dernières offres sur ImmoScout24.ch.")</f>
        <v>🏘  Vous souhaitez acheter une maison à Villiers? ✅ Jetez un œil aux dernières offres sur ImmoScout24.ch.</v>
      </c>
      <c r="J287" s="4" t="s">
        <v>867</v>
      </c>
    </row>
    <row r="288">
      <c r="A288" s="5" t="s">
        <v>868</v>
      </c>
      <c r="B288" s="2" t="s">
        <v>869</v>
      </c>
      <c r="C288" s="4" t="str">
        <f>IFERROR(__xludf.DUMMYFUNCTION("""🏘️ ""&amp;REGEXEXTRACT(B288, ""^(.*): "")&amp;"" ✅ "" &amp;REGEXEXTRACT(B288, ""(Trouvez.*)"")"),"🏘️ Vendre appartement Romanel-sur-Lausanne ✅ Trouvez le bien immobilier qui correspond idéalement à vos désirs sur ImmoScout24 - La plateforme de l'immobilier en Suisse.")</f>
        <v>🏘️ Vendre appartement Romanel-sur-Lausanne ✅ Trouvez le bien immobilier qui correspond idéalement à vos désirs sur ImmoScout24 - La plateforme de l'immobilier en Suisse.</v>
      </c>
      <c r="D288" s="4" t="str">
        <f>vlookup(A288, Sheet2!D:E, 2, 0)</f>
        <v>variant</v>
      </c>
      <c r="E288" s="4" t="str">
        <f>IFERROR(__xludf.DUMMYFUNCTION("if(H288=""pays"",vlookup(REGEXEXTRACT(C288, ""🏘️ \w+ \w+ (.*) ✅""),'Country prepositions'!A:B, 2, 0) &amp; "" "" &amp; REGEXEXTRACT(C288, ""🏘️ \w+ \w+ (.*) ✅"") ,  if(H288=""quartier"",vlookup(REGEXEXTRACT(C288, ""🏘️ \w+ \w+ (.*) ✅""),'Quartier prepositions'!A"&amp;":E, 5, 0) ,  if(H288=""region"",vlookup(REGEXEXTRACT(C288, ""🏘️ \w+ \w+ (.*) ✅""),'Region prepositions'!B:F, 5, 0),  REGEXEXTRACT(C288, ""🏘️ \w+ \w+ (.*) ✅""))))"),"Romanel-sur-Lausanne")</f>
        <v>Romanel-sur-Lausanne</v>
      </c>
      <c r="F288" s="2" t="str">
        <f>IFERROR(__xludf.DUMMYFUNCTION("REGEXEXTRACT(C288, ""🏘️ (\w+) \w+ .* ✅"")"),"Vendre")</f>
        <v>Vendre</v>
      </c>
      <c r="G288" s="2" t="str">
        <f>IFERROR(__xludf.DUMMYFUNCTION("REGEXEXTRACT(C288, ""🏘️ \w+ (\w+) .* ✅"")"),"appartement")</f>
        <v>appartement</v>
      </c>
      <c r="H288" s="4" t="str">
        <f>IFERROR(__xludf.DUMMYFUNCTION("REGEXEXTRACT(A288, ""/(\w+)-.*?"")"),"lieu")</f>
        <v>lieu</v>
      </c>
      <c r="I288" s="4" t="str">
        <f>IFERROR(__xludf.DUMMYFUNCTION("if(D288=""variant"",  substitute(filter(Templates!E:E, Templates!A:A = F288, Templates!B:B = G288, Templates!C:C = H288), ""{{}}"", E288), B288)"),"🏘  L’appartement de vos rêves se trouve sur ImmoScout24.ch ✅ Découvrez les dernières annonces de vente à Romanel-sur-Lausanne.")</f>
        <v>🏘  L’appartement de vos rêves se trouve sur ImmoScout24.ch ✅ Découvrez les dernières annonces de vente à Romanel-sur-Lausanne.</v>
      </c>
      <c r="J288" s="4" t="s">
        <v>870</v>
      </c>
    </row>
    <row r="289">
      <c r="A289" s="5" t="s">
        <v>871</v>
      </c>
      <c r="B289" s="2" t="s">
        <v>872</v>
      </c>
      <c r="C289" s="4" t="str">
        <f>IFERROR(__xludf.DUMMYFUNCTION("""🏘️ ""&amp;REGEXEXTRACT(B289, ""^(.*): "")&amp;"" ✅ "" &amp;REGEXEXTRACT(B289, ""(Trouvez.*)"")"),"🏘️ Vendre maison Galmiz ✅ Trouvez le bien immobilier qui correspond idéalement à vos désirs sur ImmoScout24 - La plateforme de l'immobilier en Suisse.")</f>
        <v>🏘️ Vendre maison Galmiz ✅ Trouvez le bien immobilier qui correspond idéalement à vos désirs sur ImmoScout24 - La plateforme de l'immobilier en Suisse.</v>
      </c>
      <c r="D289" s="4" t="str">
        <f>vlookup(A289, Sheet2!D:E, 2, 0)</f>
        <v>variant</v>
      </c>
      <c r="E289" s="4" t="str">
        <f>IFERROR(__xludf.DUMMYFUNCTION("if(H289=""pays"",vlookup(REGEXEXTRACT(C289, ""🏘️ \w+ \w+ (.*) ✅""),'Country prepositions'!A:B, 2, 0) &amp; "" "" &amp; REGEXEXTRACT(C289, ""🏘️ \w+ \w+ (.*) ✅"") ,  if(H289=""quartier"",vlookup(REGEXEXTRACT(C289, ""🏘️ \w+ \w+ (.*) ✅""),'Quartier prepositions'!A"&amp;":E, 5, 0) ,  if(H289=""region"",vlookup(REGEXEXTRACT(C289, ""🏘️ \w+ \w+ (.*) ✅""),'Region prepositions'!B:F, 5, 0),  REGEXEXTRACT(C289, ""🏘️ \w+ \w+ (.*) ✅""))))"),"Galmiz")</f>
        <v>Galmiz</v>
      </c>
      <c r="F289" s="2" t="str">
        <f>IFERROR(__xludf.DUMMYFUNCTION("REGEXEXTRACT(C289, ""🏘️ (\w+) \w+ .* ✅"")"),"Vendre")</f>
        <v>Vendre</v>
      </c>
      <c r="G289" s="2" t="str">
        <f>IFERROR(__xludf.DUMMYFUNCTION("REGEXEXTRACT(C289, ""🏘️ \w+ (\w+) .* ✅"")"),"maison")</f>
        <v>maison</v>
      </c>
      <c r="H289" s="4" t="str">
        <f>IFERROR(__xludf.DUMMYFUNCTION("REGEXEXTRACT(A289, ""/(\w+)-.*?"")"),"lieu")</f>
        <v>lieu</v>
      </c>
      <c r="I289" s="4" t="str">
        <f>IFERROR(__xludf.DUMMYFUNCTION("if(D289=""variant"",  substitute(filter(Templates!E:E, Templates!A:A = F289, Templates!B:B = G289, Templates!C:C = H289), ""{{}}"", E289), B289)"),"🏘  Vous souhaitez acheter une maison à Galmiz? ✅ Jetez un œil aux dernières offres sur ImmoScout24.ch.")</f>
        <v>🏘  Vous souhaitez acheter une maison à Galmiz? ✅ Jetez un œil aux dernières offres sur ImmoScout24.ch.</v>
      </c>
      <c r="J289" s="4" t="s">
        <v>873</v>
      </c>
    </row>
    <row r="290">
      <c r="A290" s="5" t="s">
        <v>874</v>
      </c>
      <c r="B290" s="2" t="s">
        <v>875</v>
      </c>
      <c r="C290" s="4" t="str">
        <f>IFERROR(__xludf.DUMMYFUNCTION("""🏘️ ""&amp;REGEXEXTRACT(B290, ""^(.*): "")&amp;"" ✅ "" &amp;REGEXEXTRACT(B290, ""(Trouvez.*)"")"),"🏘️ Vendre maison Fiaugères ✅ Trouvez le bien immobilier qui correspond idéalement à vos désirs sur ImmoScout24 - La plateforme de l'immobilier en Suisse.")</f>
        <v>🏘️ Vendre maison Fiaugères ✅ Trouvez le bien immobilier qui correspond idéalement à vos désirs sur ImmoScout24 - La plateforme de l'immobilier en Suisse.</v>
      </c>
      <c r="D290" s="4" t="str">
        <f>vlookup(A290, Sheet2!D:E, 2, 0)</f>
        <v>variant</v>
      </c>
      <c r="E290" s="4" t="str">
        <f>IFERROR(__xludf.DUMMYFUNCTION("if(H290=""pays"",vlookup(REGEXEXTRACT(C290, ""🏘️ \w+ \w+ (.*) ✅""),'Country prepositions'!A:B, 2, 0) &amp; "" "" &amp; REGEXEXTRACT(C290, ""🏘️ \w+ \w+ (.*) ✅"") ,  if(H290=""quartier"",vlookup(REGEXEXTRACT(C290, ""🏘️ \w+ \w+ (.*) ✅""),'Quartier prepositions'!A"&amp;":E, 5, 0) ,  if(H290=""region"",vlookup(REGEXEXTRACT(C290, ""🏘️ \w+ \w+ (.*) ✅""),'Region prepositions'!B:F, 5, 0),  REGEXEXTRACT(C290, ""🏘️ \w+ \w+ (.*) ✅""))))"),"Fiaugères")</f>
        <v>Fiaugères</v>
      </c>
      <c r="F290" s="2" t="str">
        <f>IFERROR(__xludf.DUMMYFUNCTION("REGEXEXTRACT(C290, ""🏘️ (\w+) \w+ .* ✅"")"),"Vendre")</f>
        <v>Vendre</v>
      </c>
      <c r="G290" s="2" t="str">
        <f>IFERROR(__xludf.DUMMYFUNCTION("REGEXEXTRACT(C290, ""🏘️ \w+ (\w+) .* ✅"")"),"maison")</f>
        <v>maison</v>
      </c>
      <c r="H290" s="4" t="str">
        <f>IFERROR(__xludf.DUMMYFUNCTION("REGEXEXTRACT(A290, ""/(\w+)-.*?"")"),"lieu")</f>
        <v>lieu</v>
      </c>
      <c r="I290" s="4" t="str">
        <f>IFERROR(__xludf.DUMMYFUNCTION("if(D290=""variant"",  substitute(filter(Templates!E:E, Templates!A:A = F290, Templates!B:B = G290, Templates!C:C = H290), ""{{}}"", E290), B290)"),"🏘  Vous souhaitez acheter une maison à Fiaugères? ✅ Jetez un œil aux dernières offres sur ImmoScout24.ch.")</f>
        <v>🏘  Vous souhaitez acheter une maison à Fiaugères? ✅ Jetez un œil aux dernières offres sur ImmoScout24.ch.</v>
      </c>
      <c r="J290" s="4" t="s">
        <v>876</v>
      </c>
    </row>
    <row r="291">
      <c r="A291" s="5" t="s">
        <v>877</v>
      </c>
      <c r="B291" s="2" t="s">
        <v>878</v>
      </c>
      <c r="C291" s="4" t="str">
        <f>IFERROR(__xludf.DUMMYFUNCTION("""🏘️ ""&amp;REGEXEXTRACT(B291, ""^(.*): "")&amp;"" ✅ "" &amp;REGEXEXTRACT(B291, ""(Trouvez.*)"")"),"🏘️ Louer maison Rueyres ✅ Trouvez le bien immobilier qui correspond idéalement à vos désirs sur ImmoScout24 - La plateforme de l'immobilier en Suisse.")</f>
        <v>🏘️ Louer maison Rueyres ✅ Trouvez le bien immobilier qui correspond idéalement à vos désirs sur ImmoScout24 - La plateforme de l'immobilier en Suisse.</v>
      </c>
      <c r="D291" s="4" t="str">
        <f>vlookup(A291, Sheet2!D:E, 2, 0)</f>
        <v>variant</v>
      </c>
      <c r="E291" s="4" t="str">
        <f>IFERROR(__xludf.DUMMYFUNCTION("if(H291=""pays"",vlookup(REGEXEXTRACT(C291, ""🏘️ \w+ \w+ (.*) ✅""),'Country prepositions'!A:B, 2, 0) &amp; "" "" &amp; REGEXEXTRACT(C291, ""🏘️ \w+ \w+ (.*) ✅"") ,  if(H291=""quartier"",vlookup(REGEXEXTRACT(C291, ""🏘️ \w+ \w+ (.*) ✅""),'Quartier prepositions'!A"&amp;":E, 5, 0) ,  if(H291=""region"",vlookup(REGEXEXTRACT(C291, ""🏘️ \w+ \w+ (.*) ✅""),'Region prepositions'!B:F, 5, 0),  REGEXEXTRACT(C291, ""🏘️ \w+ \w+ (.*) ✅""))))"),"Rueyres")</f>
        <v>Rueyres</v>
      </c>
      <c r="F291" s="2" t="str">
        <f>IFERROR(__xludf.DUMMYFUNCTION("REGEXEXTRACT(C291, ""🏘️ (\w+) \w+ .* ✅"")"),"Louer")</f>
        <v>Louer</v>
      </c>
      <c r="G291" s="2" t="str">
        <f>IFERROR(__xludf.DUMMYFUNCTION("REGEXEXTRACT(C291, ""🏘️ \w+ (\w+) .* ✅"")"),"maison")</f>
        <v>maison</v>
      </c>
      <c r="H291" s="4" t="str">
        <f>IFERROR(__xludf.DUMMYFUNCTION("REGEXEXTRACT(A291, ""/(\w+)-.*?"")"),"lieu")</f>
        <v>lieu</v>
      </c>
      <c r="I291" s="4" t="str">
        <f>IFERROR(__xludf.DUMMYFUNCTION("if(D291=""variant"",  substitute(filter(Templates!E:E, Templates!A:A = F291, Templates!B:B = G291, Templates!C:C = H291), ""{{}}"", E291), B291)"),"🏘  Vous cherchez une maison à louer à Rueyres? ✅ Découvrez nos nombreuses annonces sur ImmoScout24.ch.")</f>
        <v>🏘  Vous cherchez une maison à louer à Rueyres? ✅ Découvrez nos nombreuses annonces sur ImmoScout24.ch.</v>
      </c>
      <c r="J291" s="4" t="s">
        <v>879</v>
      </c>
    </row>
    <row r="292">
      <c r="A292" s="5" t="s">
        <v>880</v>
      </c>
      <c r="B292" s="2" t="s">
        <v>881</v>
      </c>
      <c r="C292" s="4" t="str">
        <f>IFERROR(__xludf.DUMMYFUNCTION("""🏘️ ""&amp;REGEXEXTRACT(B292, ""^(.*): "")&amp;"" ✅ "" &amp;REGEXEXTRACT(B292, ""(Trouvez.*)"")"),"🏘️ Louer appartement Succès (La Chaux-de-Fonds) ✅ Trouvez le bien immobilier qui correspond idéalement à vos désirs sur ImmoScout24 - La plateforme de l'immobilier en Suisse.")</f>
        <v>🏘️ Louer appartement Succès (La Chaux-de-Fonds) ✅ Trouvez le bien immobilier qui correspond idéalement à vos désirs sur ImmoScout24 - La plateforme de l'immobilier en Suisse.</v>
      </c>
      <c r="D292" s="4" t="str">
        <f>vlookup(A292, Sheet2!D:E, 2, 0)</f>
        <v>variant</v>
      </c>
      <c r="E292" s="4" t="str">
        <f>IFERROR(__xludf.DUMMYFUNCTION("if(H292=""pays"",vlookup(REGEXEXTRACT(C292, ""🏘️ \w+ \w+ (.*) ✅""),'Country prepositions'!A:B, 2, 0) &amp; "" "" &amp; REGEXEXTRACT(C292, ""🏘️ \w+ \w+ (.*) ✅"") ,  if(H292=""quartier"",vlookup(REGEXEXTRACT(C292, ""🏘️ \w+ \w+ (.*) ✅""),'Quartier prepositions'!A"&amp;":E, 5, 0) ,  if(H292=""region"",vlookup(REGEXEXTRACT(C292, ""🏘️ \w+ \w+ (.*) ✅""),'Region prepositions'!B:F, 5, 0),  REGEXEXTRACT(C292, ""🏘️ \w+ \w+ (.*) ✅""))))"),"dans le quartier de Succès (La Chaux-de-Fonds)")</f>
        <v>dans le quartier de Succès (La Chaux-de-Fonds)</v>
      </c>
      <c r="F292" s="2" t="str">
        <f>IFERROR(__xludf.DUMMYFUNCTION("REGEXEXTRACT(C292, ""🏘️ (\w+) \w+ .* ✅"")"),"Louer")</f>
        <v>Louer</v>
      </c>
      <c r="G292" s="2" t="str">
        <f>IFERROR(__xludf.DUMMYFUNCTION("REGEXEXTRACT(C292, ""🏘️ \w+ (\w+) .* ✅"")"),"appartement")</f>
        <v>appartement</v>
      </c>
      <c r="H292" s="4" t="str">
        <f>IFERROR(__xludf.DUMMYFUNCTION("REGEXEXTRACT(A292, ""/(\w+)-.*?"")"),"quartier")</f>
        <v>quartier</v>
      </c>
      <c r="I292" s="4" t="str">
        <f>IFERROR(__xludf.DUMMYFUNCTION("if(D292=""variant"",  substitute(filter(Templates!E:E, Templates!A:A = F292, Templates!B:B = G292, Templates!C:C = H292), ""{{}}"", E292), B292)"),"🏘  Vous cherchez un appartement à louer dans le quartier de Succès (La Chaux-de-Fonds)? ✅ Les annonces les plus actuelles sont sur ImmoScout24.ch.")</f>
        <v>🏘  Vous cherchez un appartement à louer dans le quartier de Succès (La Chaux-de-Fonds)? ✅ Les annonces les plus actuelles sont sur ImmoScout24.ch.</v>
      </c>
      <c r="J292" s="4" t="s">
        <v>882</v>
      </c>
    </row>
    <row r="293">
      <c r="A293" s="5" t="s">
        <v>883</v>
      </c>
      <c r="B293" s="2" t="s">
        <v>884</v>
      </c>
      <c r="C293" s="4" t="str">
        <f>IFERROR(__xludf.DUMMYFUNCTION("""🏘️ ""&amp;REGEXEXTRACT(B293, ""^(.*): "")&amp;"" ✅ "" &amp;REGEXEXTRACT(B293, ""(Trouvez.*)"")"),"🏘️ Vendre maison Bühler ✅ Trouvez le bien immobilier qui correspond idéalement à vos désirs sur ImmoScout24 - La plateforme de l'immobilier en Suisse.")</f>
        <v>🏘️ Vendre maison Bühler ✅ Trouvez le bien immobilier qui correspond idéalement à vos désirs sur ImmoScout24 - La plateforme de l'immobilier en Suisse.</v>
      </c>
      <c r="D293" s="4" t="str">
        <f>vlookup(A293, Sheet2!D:E, 2, 0)</f>
        <v>variant</v>
      </c>
      <c r="E293" s="4" t="str">
        <f>IFERROR(__xludf.DUMMYFUNCTION("if(H293=""pays"",vlookup(REGEXEXTRACT(C293, ""🏘️ \w+ \w+ (.*) ✅""),'Country prepositions'!A:B, 2, 0) &amp; "" "" &amp; REGEXEXTRACT(C293, ""🏘️ \w+ \w+ (.*) ✅"") ,  if(H293=""quartier"",vlookup(REGEXEXTRACT(C293, ""🏘️ \w+ \w+ (.*) ✅""),'Quartier prepositions'!A"&amp;":E, 5, 0) ,  if(H293=""region"",vlookup(REGEXEXTRACT(C293, ""🏘️ \w+ \w+ (.*) ✅""),'Region prepositions'!B:F, 5, 0),  REGEXEXTRACT(C293, ""🏘️ \w+ \w+ (.*) ✅""))))"),"Bühler")</f>
        <v>Bühler</v>
      </c>
      <c r="F293" s="2" t="str">
        <f>IFERROR(__xludf.DUMMYFUNCTION("REGEXEXTRACT(C293, ""🏘️ (\w+) \w+ .* ✅"")"),"Vendre")</f>
        <v>Vendre</v>
      </c>
      <c r="G293" s="2" t="str">
        <f>IFERROR(__xludf.DUMMYFUNCTION("REGEXEXTRACT(C293, ""🏘️ \w+ (\w+) .* ✅"")"),"maison")</f>
        <v>maison</v>
      </c>
      <c r="H293" s="4" t="str">
        <f>IFERROR(__xludf.DUMMYFUNCTION("REGEXEXTRACT(A293, ""/(\w+)-.*?"")"),"lieu")</f>
        <v>lieu</v>
      </c>
      <c r="I293" s="4" t="str">
        <f>IFERROR(__xludf.DUMMYFUNCTION("if(D293=""variant"",  substitute(filter(Templates!E:E, Templates!A:A = F293, Templates!B:B = G293, Templates!C:C = H293), ""{{}}"", E293), B293)"),"🏘  Vous souhaitez acheter une maison à Bühler? ✅ Jetez un œil aux dernières offres sur ImmoScout24.ch.")</f>
        <v>🏘  Vous souhaitez acheter une maison à Bühler? ✅ Jetez un œil aux dernières offres sur ImmoScout24.ch.</v>
      </c>
      <c r="J293" s="4" t="s">
        <v>885</v>
      </c>
    </row>
    <row r="294">
      <c r="A294" s="5" t="s">
        <v>886</v>
      </c>
      <c r="B294" s="2" t="s">
        <v>887</v>
      </c>
      <c r="C294" s="4" t="str">
        <f>IFERROR(__xludf.DUMMYFUNCTION("""🏘️ ""&amp;REGEXEXTRACT(B294, ""^(.*): "")&amp;"" ✅ "" &amp;REGEXEXTRACT(B294, ""(Trouvez.*)"")"),"🏘️ Vendre maison Piotta ✅ Trouvez le bien immobilier qui correspond idéalement à vos désirs sur ImmoScout24 - La plateforme de l'immobilier en Suisse.")</f>
        <v>🏘️ Vendre maison Piotta ✅ Trouvez le bien immobilier qui correspond idéalement à vos désirs sur ImmoScout24 - La plateforme de l'immobilier en Suisse.</v>
      </c>
      <c r="D294" s="4" t="str">
        <f>vlookup(A294, Sheet2!D:E, 2, 0)</f>
        <v>variant</v>
      </c>
      <c r="E294" s="4" t="str">
        <f>IFERROR(__xludf.DUMMYFUNCTION("if(H294=""pays"",vlookup(REGEXEXTRACT(C294, ""🏘️ \w+ \w+ (.*) ✅""),'Country prepositions'!A:B, 2, 0) &amp; "" "" &amp; REGEXEXTRACT(C294, ""🏘️ \w+ \w+ (.*) ✅"") ,  if(H294=""quartier"",vlookup(REGEXEXTRACT(C294, ""🏘️ \w+ \w+ (.*) ✅""),'Quartier prepositions'!A"&amp;":E, 5, 0) ,  if(H294=""region"",vlookup(REGEXEXTRACT(C294, ""🏘️ \w+ \w+ (.*) ✅""),'Region prepositions'!B:F, 5, 0),  REGEXEXTRACT(C294, ""🏘️ \w+ \w+ (.*) ✅""))))"),"Piotta")</f>
        <v>Piotta</v>
      </c>
      <c r="F294" s="2" t="str">
        <f>IFERROR(__xludf.DUMMYFUNCTION("REGEXEXTRACT(C294, ""🏘️ (\w+) \w+ .* ✅"")"),"Vendre")</f>
        <v>Vendre</v>
      </c>
      <c r="G294" s="2" t="str">
        <f>IFERROR(__xludf.DUMMYFUNCTION("REGEXEXTRACT(C294, ""🏘️ \w+ (\w+) .* ✅"")"),"maison")</f>
        <v>maison</v>
      </c>
      <c r="H294" s="4" t="str">
        <f>IFERROR(__xludf.DUMMYFUNCTION("REGEXEXTRACT(A294, ""/(\w+)-.*?"")"),"lieu")</f>
        <v>lieu</v>
      </c>
      <c r="I294" s="4" t="str">
        <f>IFERROR(__xludf.DUMMYFUNCTION("if(D294=""variant"",  substitute(filter(Templates!E:E, Templates!A:A = F294, Templates!B:B = G294, Templates!C:C = H294), ""{{}}"", E294), B294)"),"🏘  Vous souhaitez acheter une maison à Piotta? ✅ Jetez un œil aux dernières offres sur ImmoScout24.ch.")</f>
        <v>🏘  Vous souhaitez acheter une maison à Piotta? ✅ Jetez un œil aux dernières offres sur ImmoScout24.ch.</v>
      </c>
      <c r="J294" s="4" t="s">
        <v>888</v>
      </c>
    </row>
    <row r="295">
      <c r="A295" s="5" t="s">
        <v>889</v>
      </c>
      <c r="B295" s="2" t="s">
        <v>890</v>
      </c>
      <c r="C295" s="4" t="str">
        <f>IFERROR(__xludf.DUMMYFUNCTION("""🏘️ ""&amp;REGEXEXTRACT(B295, ""^(.*): "")&amp;"" ✅ "" &amp;REGEXEXTRACT(B295, ""(Trouvez.*)"")"),"🏘️ Vendre maison Strada ✅ Trouvez le bien immobilier qui correspond idéalement à vos désirs sur ImmoScout24 - La plateforme de l'immobilier en Suisse.")</f>
        <v>🏘️ Vendre maison Strada ✅ Trouvez le bien immobilier qui correspond idéalement à vos désirs sur ImmoScout24 - La plateforme de l'immobilier en Suisse.</v>
      </c>
      <c r="D295" s="4" t="str">
        <f>vlookup(A295, Sheet2!D:E, 2, 0)</f>
        <v>variant</v>
      </c>
      <c r="E295" s="4" t="str">
        <f>IFERROR(__xludf.DUMMYFUNCTION("if(H295=""pays"",vlookup(REGEXEXTRACT(C295, ""🏘️ \w+ \w+ (.*) ✅""),'Country prepositions'!A:B, 2, 0) &amp; "" "" &amp; REGEXEXTRACT(C295, ""🏘️ \w+ \w+ (.*) ✅"") ,  if(H295=""quartier"",vlookup(REGEXEXTRACT(C295, ""🏘️ \w+ \w+ (.*) ✅""),'Quartier prepositions'!A"&amp;":E, 5, 0) ,  if(H295=""region"",vlookup(REGEXEXTRACT(C295, ""🏘️ \w+ \w+ (.*) ✅""),'Region prepositions'!B:F, 5, 0),  REGEXEXTRACT(C295, ""🏘️ \w+ \w+ (.*) ✅""))))"),"Strada")</f>
        <v>Strada</v>
      </c>
      <c r="F295" s="2" t="str">
        <f>IFERROR(__xludf.DUMMYFUNCTION("REGEXEXTRACT(C295, ""🏘️ (\w+) \w+ .* ✅"")"),"Vendre")</f>
        <v>Vendre</v>
      </c>
      <c r="G295" s="2" t="str">
        <f>IFERROR(__xludf.DUMMYFUNCTION("REGEXEXTRACT(C295, ""🏘️ \w+ (\w+) .* ✅"")"),"maison")</f>
        <v>maison</v>
      </c>
      <c r="H295" s="4" t="str">
        <f>IFERROR(__xludf.DUMMYFUNCTION("REGEXEXTRACT(A295, ""/(\w+)-.*?"")"),"lieu")</f>
        <v>lieu</v>
      </c>
      <c r="I295" s="4" t="str">
        <f>IFERROR(__xludf.DUMMYFUNCTION("if(D295=""variant"",  substitute(filter(Templates!E:E, Templates!A:A = F295, Templates!B:B = G295, Templates!C:C = H295), ""{{}}"", E295), B295)"),"🏘  Vous souhaitez acheter une maison à Strada? ✅ Jetez un œil aux dernières offres sur ImmoScout24.ch.")</f>
        <v>🏘  Vous souhaitez acheter une maison à Strada? ✅ Jetez un œil aux dernières offres sur ImmoScout24.ch.</v>
      </c>
      <c r="J295" s="4" t="s">
        <v>891</v>
      </c>
    </row>
    <row r="296">
      <c r="A296" s="5" t="s">
        <v>892</v>
      </c>
      <c r="B296" s="2" t="s">
        <v>893</v>
      </c>
      <c r="C296" s="4" t="str">
        <f>IFERROR(__xludf.DUMMYFUNCTION("""🏘️ ""&amp;REGEXEXTRACT(B296, ""^(.*): "")&amp;"" ✅ "" &amp;REGEXEXTRACT(B296, ""(Trouvez.*)"")"),"🏘️ Vendre maison Twann ✅ Trouvez le bien immobilier qui correspond idéalement à vos désirs sur ImmoScout24 - La plateforme de l'immobilier en Suisse.")</f>
        <v>🏘️ Vendre maison Twann ✅ Trouvez le bien immobilier qui correspond idéalement à vos désirs sur ImmoScout24 - La plateforme de l'immobilier en Suisse.</v>
      </c>
      <c r="D296" s="4" t="str">
        <f>vlookup(A296, Sheet2!D:E, 2, 0)</f>
        <v>variant</v>
      </c>
      <c r="E296" s="4" t="str">
        <f>IFERROR(__xludf.DUMMYFUNCTION("if(H296=""pays"",vlookup(REGEXEXTRACT(C296, ""🏘️ \w+ \w+ (.*) ✅""),'Country prepositions'!A:B, 2, 0) &amp; "" "" &amp; REGEXEXTRACT(C296, ""🏘️ \w+ \w+ (.*) ✅"") ,  if(H296=""quartier"",vlookup(REGEXEXTRACT(C296, ""🏘️ \w+ \w+ (.*) ✅""),'Quartier prepositions'!A"&amp;":E, 5, 0) ,  if(H296=""region"",vlookup(REGEXEXTRACT(C296, ""🏘️ \w+ \w+ (.*) ✅""),'Region prepositions'!B:F, 5, 0),  REGEXEXTRACT(C296, ""🏘️ \w+ \w+ (.*) ✅""))))"),"Twann")</f>
        <v>Twann</v>
      </c>
      <c r="F296" s="2" t="str">
        <f>IFERROR(__xludf.DUMMYFUNCTION("REGEXEXTRACT(C296, ""🏘️ (\w+) \w+ .* ✅"")"),"Vendre")</f>
        <v>Vendre</v>
      </c>
      <c r="G296" s="2" t="str">
        <f>IFERROR(__xludf.DUMMYFUNCTION("REGEXEXTRACT(C296, ""🏘️ \w+ (\w+) .* ✅"")"),"maison")</f>
        <v>maison</v>
      </c>
      <c r="H296" s="4" t="str">
        <f>IFERROR(__xludf.DUMMYFUNCTION("REGEXEXTRACT(A296, ""/(\w+)-.*?"")"),"lieu")</f>
        <v>lieu</v>
      </c>
      <c r="I296" s="4" t="str">
        <f>IFERROR(__xludf.DUMMYFUNCTION("if(D296=""variant"",  substitute(filter(Templates!E:E, Templates!A:A = F296, Templates!B:B = G296, Templates!C:C = H296), ""{{}}"", E296), B296)"),"🏘  Vous souhaitez acheter une maison à Twann? ✅ Jetez un œil aux dernières offres sur ImmoScout24.ch.")</f>
        <v>🏘  Vous souhaitez acheter une maison à Twann? ✅ Jetez un œil aux dernières offres sur ImmoScout24.ch.</v>
      </c>
      <c r="J296" s="4" t="s">
        <v>894</v>
      </c>
    </row>
    <row r="297">
      <c r="A297" s="5" t="s">
        <v>895</v>
      </c>
      <c r="B297" s="2" t="s">
        <v>896</v>
      </c>
      <c r="C297" s="4" t="str">
        <f>IFERROR(__xludf.DUMMYFUNCTION("""🏘️ ""&amp;REGEXEXTRACT(B297, ""^(.*): "")&amp;"" ✅ "" &amp;REGEXEXTRACT(B297, ""(Trouvez.*)"")"),"🏘️ Louer maison Attalens ✅ Trouvez le bien immobilier qui correspond idéalement à vos désirs sur ImmoScout24 - La plateforme de l'immobilier en Suisse.")</f>
        <v>🏘️ Louer maison Attalens ✅ Trouvez le bien immobilier qui correspond idéalement à vos désirs sur ImmoScout24 - La plateforme de l'immobilier en Suisse.</v>
      </c>
      <c r="D297" s="4" t="str">
        <f>vlookup(A297, Sheet2!D:E, 2, 0)</f>
        <v>variant</v>
      </c>
      <c r="E297" s="4" t="str">
        <f>IFERROR(__xludf.DUMMYFUNCTION("if(H297=""pays"",vlookup(REGEXEXTRACT(C297, ""🏘️ \w+ \w+ (.*) ✅""),'Country prepositions'!A:B, 2, 0) &amp; "" "" &amp; REGEXEXTRACT(C297, ""🏘️ \w+ \w+ (.*) ✅"") ,  if(H297=""quartier"",vlookup(REGEXEXTRACT(C297, ""🏘️ \w+ \w+ (.*) ✅""),'Quartier prepositions'!A"&amp;":E, 5, 0) ,  if(H297=""region"",vlookup(REGEXEXTRACT(C297, ""🏘️ \w+ \w+ (.*) ✅""),'Region prepositions'!B:F, 5, 0),  REGEXEXTRACT(C297, ""🏘️ \w+ \w+ (.*) ✅""))))"),"Attalens")</f>
        <v>Attalens</v>
      </c>
      <c r="F297" s="2" t="str">
        <f>IFERROR(__xludf.DUMMYFUNCTION("REGEXEXTRACT(C297, ""🏘️ (\w+) \w+ .* ✅"")"),"Louer")</f>
        <v>Louer</v>
      </c>
      <c r="G297" s="2" t="str">
        <f>IFERROR(__xludf.DUMMYFUNCTION("REGEXEXTRACT(C297, ""🏘️ \w+ (\w+) .* ✅"")"),"maison")</f>
        <v>maison</v>
      </c>
      <c r="H297" s="4" t="str">
        <f>IFERROR(__xludf.DUMMYFUNCTION("REGEXEXTRACT(A297, ""/(\w+)-.*?"")"),"lieu")</f>
        <v>lieu</v>
      </c>
      <c r="I297" s="4" t="str">
        <f>IFERROR(__xludf.DUMMYFUNCTION("if(D297=""variant"",  substitute(filter(Templates!E:E, Templates!A:A = F297, Templates!B:B = G297, Templates!C:C = H297), ""{{}}"", E297), B297)"),"🏘  Vous cherchez une maison à louer à Attalens? ✅ Découvrez nos nombreuses annonces sur ImmoScout24.ch.")</f>
        <v>🏘  Vous cherchez une maison à louer à Attalens? ✅ Découvrez nos nombreuses annonces sur ImmoScout24.ch.</v>
      </c>
      <c r="J297" s="4" t="s">
        <v>897</v>
      </c>
    </row>
    <row r="298">
      <c r="A298" s="5" t="s">
        <v>898</v>
      </c>
      <c r="B298" s="2" t="s">
        <v>899</v>
      </c>
      <c r="C298" s="4" t="str">
        <f>IFERROR(__xludf.DUMMYFUNCTION("""🏘️ ""&amp;REGEXEXTRACT(B298, ""^(.*): "")&amp;"" ✅ "" &amp;REGEXEXTRACT(B298, ""(Trouvez.*)"")"),"🏘️ Vendre appartement Uvrier ✅ Trouvez le bien immobilier qui correspond idéalement à vos désirs sur ImmoScout24 - La plateforme de l'immobilier en Suisse.")</f>
        <v>🏘️ Vendre appartement Uvrier ✅ Trouvez le bien immobilier qui correspond idéalement à vos désirs sur ImmoScout24 - La plateforme de l'immobilier en Suisse.</v>
      </c>
      <c r="D298" s="4" t="str">
        <f>vlookup(A298, Sheet2!D:E, 2, 0)</f>
        <v>variant</v>
      </c>
      <c r="E298" s="4" t="str">
        <f>IFERROR(__xludf.DUMMYFUNCTION("if(H298=""pays"",vlookup(REGEXEXTRACT(C298, ""🏘️ \w+ \w+ (.*) ✅""),'Country prepositions'!A:B, 2, 0) &amp; "" "" &amp; REGEXEXTRACT(C298, ""🏘️ \w+ \w+ (.*) ✅"") ,  if(H298=""quartier"",vlookup(REGEXEXTRACT(C298, ""🏘️ \w+ \w+ (.*) ✅""),'Quartier prepositions'!A"&amp;":E, 5, 0) ,  if(H298=""region"",vlookup(REGEXEXTRACT(C298, ""🏘️ \w+ \w+ (.*) ✅""),'Region prepositions'!B:F, 5, 0),  REGEXEXTRACT(C298, ""🏘️ \w+ \w+ (.*) ✅""))))"),"Uvrier")</f>
        <v>Uvrier</v>
      </c>
      <c r="F298" s="2" t="str">
        <f>IFERROR(__xludf.DUMMYFUNCTION("REGEXEXTRACT(C298, ""🏘️ (\w+) \w+ .* ✅"")"),"Vendre")</f>
        <v>Vendre</v>
      </c>
      <c r="G298" s="2" t="str">
        <f>IFERROR(__xludf.DUMMYFUNCTION("REGEXEXTRACT(C298, ""🏘️ \w+ (\w+) .* ✅"")"),"appartement")</f>
        <v>appartement</v>
      </c>
      <c r="H298" s="4" t="str">
        <f>IFERROR(__xludf.DUMMYFUNCTION("REGEXEXTRACT(A298, ""/(\w+)-.*?"")"),"lieu")</f>
        <v>lieu</v>
      </c>
      <c r="I298" s="4" t="str">
        <f>IFERROR(__xludf.DUMMYFUNCTION("if(D298=""variant"",  substitute(filter(Templates!E:E, Templates!A:A = F298, Templates!B:B = G298, Templates!C:C = H298), ""{{}}"", E298), B298)"),"🏘  L’appartement de vos rêves se trouve sur ImmoScout24.ch ✅ Découvrez les dernières annonces de vente à Uvrier.")</f>
        <v>🏘  L’appartement de vos rêves se trouve sur ImmoScout24.ch ✅ Découvrez les dernières annonces de vente à Uvrier.</v>
      </c>
      <c r="J298" s="4" t="s">
        <v>900</v>
      </c>
    </row>
    <row r="299">
      <c r="A299" s="5" t="s">
        <v>901</v>
      </c>
      <c r="B299" s="2" t="s">
        <v>902</v>
      </c>
      <c r="C299" s="4" t="str">
        <f>IFERROR(__xludf.DUMMYFUNCTION("""🏘️ ""&amp;REGEXEXTRACT(B299, ""^(.*): "")&amp;"" ✅ "" &amp;REGEXEXTRACT(B299, ""(Trouvez.*)"")"),"🏘️ Louer maison Chailly - Rovéréaz (Lausanne) ✅ Trouvez le bien immobilier qui correspond idéalement à vos désirs sur ImmoScout24 - La plateforme de l'immobilier en Suisse.")</f>
        <v>🏘️ Louer maison Chailly - Rovéréaz (Lausanne) ✅ Trouvez le bien immobilier qui correspond idéalement à vos désirs sur ImmoScout24 - La plateforme de l'immobilier en Suisse.</v>
      </c>
      <c r="D299" s="4" t="str">
        <f>vlookup(A299, Sheet2!D:E, 2, 0)</f>
        <v>variant</v>
      </c>
      <c r="E299" s="4" t="str">
        <f>IFERROR(__xludf.DUMMYFUNCTION("if(H299=""pays"",vlookup(REGEXEXTRACT(C299, ""🏘️ \w+ \w+ (.*) ✅""),'Country prepositions'!A:B, 2, 0) &amp; "" "" &amp; REGEXEXTRACT(C299, ""🏘️ \w+ \w+ (.*) ✅"") ,  if(H299=""quartier"",vlookup(REGEXEXTRACT(C299, ""🏘️ \w+ \w+ (.*) ✅""),'Quartier prepositions'!A"&amp;":E, 5, 0) ,  if(H299=""region"",vlookup(REGEXEXTRACT(C299, ""🏘️ \w+ \w+ (.*) ✅""),'Region prepositions'!B:F, 5, 0),  REGEXEXTRACT(C299, ""🏘️ \w+ \w+ (.*) ✅""))))"),"dans le quartier de Chailly - Rovéréaz (Lausanne)")</f>
        <v>dans le quartier de Chailly - Rovéréaz (Lausanne)</v>
      </c>
      <c r="F299" s="2" t="str">
        <f>IFERROR(__xludf.DUMMYFUNCTION("REGEXEXTRACT(C299, ""🏘️ (\w+) \w+ .* ✅"")"),"Louer")</f>
        <v>Louer</v>
      </c>
      <c r="G299" s="2" t="str">
        <f>IFERROR(__xludf.DUMMYFUNCTION("REGEXEXTRACT(C299, ""🏘️ \w+ (\w+) .* ✅"")"),"maison")</f>
        <v>maison</v>
      </c>
      <c r="H299" s="4" t="str">
        <f>IFERROR(__xludf.DUMMYFUNCTION("REGEXEXTRACT(A299, ""/(\w+)-.*?"")"),"quartier")</f>
        <v>quartier</v>
      </c>
      <c r="I299" s="4" t="str">
        <f>IFERROR(__xludf.DUMMYFUNCTION("if(D299=""variant"",  substitute(filter(Templates!E:E, Templates!A:A = F299, Templates!B:B = G299, Templates!C:C = H299), ""{{}}"", E299), B299)"),"🏘  Vous cherchez une maison à louer dans le quartier de Chailly - Rovéréaz (Lausanne)? ✅ Découvrez nos nombreuses annonces sur ImmoScout24.ch.")</f>
        <v>🏘  Vous cherchez une maison à louer dans le quartier de Chailly - Rovéréaz (Lausanne)? ✅ Découvrez nos nombreuses annonces sur ImmoScout24.ch.</v>
      </c>
      <c r="J299" s="4" t="s">
        <v>903</v>
      </c>
    </row>
    <row r="300">
      <c r="A300" s="5" t="s">
        <v>904</v>
      </c>
      <c r="B300" s="2" t="s">
        <v>905</v>
      </c>
      <c r="C300" s="4" t="str">
        <f>IFERROR(__xludf.DUMMYFUNCTION("""🏘️ ""&amp;REGEXEXTRACT(B300, ""^(.*): "")&amp;"" ✅ "" &amp;REGEXEXTRACT(B300, ""(Trouvez.*)"")"),"🏘️ Louer maison St-Léonard ✅ Trouvez le bien immobilier qui correspond idéalement à vos désirs sur ImmoScout24 - La plateforme de l'immobilier en Suisse.")</f>
        <v>🏘️ Louer maison St-Léonard ✅ Trouvez le bien immobilier qui correspond idéalement à vos désirs sur ImmoScout24 - La plateforme de l'immobilier en Suisse.</v>
      </c>
      <c r="D300" s="4" t="str">
        <f>vlookup(A300, Sheet2!D:E, 2, 0)</f>
        <v>variant</v>
      </c>
      <c r="E300" s="4" t="str">
        <f>IFERROR(__xludf.DUMMYFUNCTION("if(H300=""pays"",vlookup(REGEXEXTRACT(C300, ""🏘️ \w+ \w+ (.*) ✅""),'Country prepositions'!A:B, 2, 0) &amp; "" "" &amp; REGEXEXTRACT(C300, ""🏘️ \w+ \w+ (.*) ✅"") ,  if(H300=""quartier"",vlookup(REGEXEXTRACT(C300, ""🏘️ \w+ \w+ (.*) ✅""),'Quartier prepositions'!A"&amp;":E, 5, 0) ,  if(H300=""region"",vlookup(REGEXEXTRACT(C300, ""🏘️ \w+ \w+ (.*) ✅""),'Region prepositions'!B:F, 5, 0),  REGEXEXTRACT(C300, ""🏘️ \w+ \w+ (.*) ✅""))))"),"St-Léonard")</f>
        <v>St-Léonard</v>
      </c>
      <c r="F300" s="2" t="str">
        <f>IFERROR(__xludf.DUMMYFUNCTION("REGEXEXTRACT(C300, ""🏘️ (\w+) \w+ .* ✅"")"),"Louer")</f>
        <v>Louer</v>
      </c>
      <c r="G300" s="2" t="str">
        <f>IFERROR(__xludf.DUMMYFUNCTION("REGEXEXTRACT(C300, ""🏘️ \w+ (\w+) .* ✅"")"),"maison")</f>
        <v>maison</v>
      </c>
      <c r="H300" s="4" t="str">
        <f>IFERROR(__xludf.DUMMYFUNCTION("REGEXEXTRACT(A300, ""/(\w+)-.*?"")"),"lieu")</f>
        <v>lieu</v>
      </c>
      <c r="I300" s="4" t="str">
        <f>IFERROR(__xludf.DUMMYFUNCTION("if(D300=""variant"",  substitute(filter(Templates!E:E, Templates!A:A = F300, Templates!B:B = G300, Templates!C:C = H300), ""{{}}"", E300), B300)"),"🏘  Vous cherchez une maison à louer à St-Léonard? ✅ Découvrez nos nombreuses annonces sur ImmoScout24.ch.")</f>
        <v>🏘  Vous cherchez une maison à louer à St-Léonard? ✅ Découvrez nos nombreuses annonces sur ImmoScout24.ch.</v>
      </c>
      <c r="J300" s="4" t="s">
        <v>906</v>
      </c>
    </row>
    <row r="301">
      <c r="A301" s="5" t="s">
        <v>907</v>
      </c>
      <c r="B301" s="2" t="s">
        <v>908</v>
      </c>
      <c r="C301" s="4" t="str">
        <f>IFERROR(__xludf.DUMMYFUNCTION("""🏘️ ""&amp;REGEXEXTRACT(B301, ""^(.*): "")&amp;"" ✅ "" &amp;REGEXEXTRACT(B301, ""(Trouvez.*)"")"),"🏘️ Vendre appartement Canton du Jura ✅ Trouvez le bien immobilier qui correspond idéalement à vos désirs sur ImmoScout24 - La plateforme de l'immobilier en Suisse.")</f>
        <v>🏘️ Vendre appartement Canton du Jura ✅ Trouvez le bien immobilier qui correspond idéalement à vos désirs sur ImmoScout24 - La plateforme de l'immobilier en Suisse.</v>
      </c>
      <c r="D301" s="4" t="str">
        <f>vlookup(A301, Sheet2!D:E, 2, 0)</f>
        <v>variant</v>
      </c>
      <c r="E301" s="4" t="str">
        <f>IFERROR(__xludf.DUMMYFUNCTION("if(H301=""pays"",vlookup(REGEXEXTRACT(C301, ""🏘️ \w+ \w+ (.*) ✅""),'Country prepositions'!A:B, 2, 0) &amp; "" "" &amp; REGEXEXTRACT(C301, ""🏘️ \w+ \w+ (.*) ✅"") ,  if(H301=""quartier"",vlookup(REGEXEXTRACT(C301, ""🏘️ \w+ \w+ (.*) ✅""),'Quartier prepositions'!A"&amp;":E, 5, 0) ,  if(H301=""region"",vlookup(REGEXEXTRACT(C301, ""🏘️ \w+ \w+ (.*) ✅""),'Region prepositions'!B:F, 5, 0),  REGEXEXTRACT(C301, ""🏘️ \w+ \w+ (.*) ✅""))))"),"Canton du Jura")</f>
        <v>Canton du Jura</v>
      </c>
      <c r="F301" s="2" t="str">
        <f>IFERROR(__xludf.DUMMYFUNCTION("REGEXEXTRACT(C301, ""🏘️ (\w+) \w+ .* ✅"")"),"Vendre")</f>
        <v>Vendre</v>
      </c>
      <c r="G301" s="2" t="str">
        <f>IFERROR(__xludf.DUMMYFUNCTION("REGEXEXTRACT(C301, ""🏘️ \w+ (\w+) .* ✅"")"),"appartement")</f>
        <v>appartement</v>
      </c>
      <c r="H301" s="4" t="str">
        <f>IFERROR(__xludf.DUMMYFUNCTION("REGEXEXTRACT(A301, ""/(\w+)-.*?"")"),"canton")</f>
        <v>canton</v>
      </c>
      <c r="I301" s="4" t="str">
        <f>IFERROR(__xludf.DUMMYFUNCTION("if(D301=""variant"",  substitute(filter(Templates!E:E, Templates!A:A = F301, Templates!B:B = G301, Templates!C:C = H301), ""{{}}"", E301), B301)"),"#N/A")</f>
        <v>#N/A</v>
      </c>
      <c r="J301" s="4" t="s">
        <v>909</v>
      </c>
    </row>
    <row r="302">
      <c r="A302" s="5" t="s">
        <v>910</v>
      </c>
      <c r="B302" s="2" t="s">
        <v>911</v>
      </c>
      <c r="C302" s="4" t="str">
        <f>IFERROR(__xludf.DUMMYFUNCTION("""🏘️ ""&amp;REGEXEXTRACT(B302, ""^(.*): "")&amp;"" ✅ "" &amp;REGEXEXTRACT(B302, ""(Trouvez.*)"")"),"🏘️ Louer appartement Mürren ✅ Trouvez le bien immobilier qui correspond idéalement à vos désirs sur ImmoScout24 - La plateforme de l'immobilier en Suisse.")</f>
        <v>🏘️ Louer appartement Mürren ✅ Trouvez le bien immobilier qui correspond idéalement à vos désirs sur ImmoScout24 - La plateforme de l'immobilier en Suisse.</v>
      </c>
      <c r="D302" s="4" t="str">
        <f>vlookup(A302, Sheet2!D:E, 2, 0)</f>
        <v>variant</v>
      </c>
      <c r="E302" s="4" t="str">
        <f>IFERROR(__xludf.DUMMYFUNCTION("if(H302=""pays"",vlookup(REGEXEXTRACT(C302, ""🏘️ \w+ \w+ (.*) ✅""),'Country prepositions'!A:B, 2, 0) &amp; "" "" &amp; REGEXEXTRACT(C302, ""🏘️ \w+ \w+ (.*) ✅"") ,  if(H302=""quartier"",vlookup(REGEXEXTRACT(C302, ""🏘️ \w+ \w+ (.*) ✅""),'Quartier prepositions'!A"&amp;":E, 5, 0) ,  if(H302=""region"",vlookup(REGEXEXTRACT(C302, ""🏘️ \w+ \w+ (.*) ✅""),'Region prepositions'!B:F, 5, 0),  REGEXEXTRACT(C302, ""🏘️ \w+ \w+ (.*) ✅""))))"),"Mürren")</f>
        <v>Mürren</v>
      </c>
      <c r="F302" s="2" t="str">
        <f>IFERROR(__xludf.DUMMYFUNCTION("REGEXEXTRACT(C302, ""🏘️ (\w+) \w+ .* ✅"")"),"Louer")</f>
        <v>Louer</v>
      </c>
      <c r="G302" s="2" t="str">
        <f>IFERROR(__xludf.DUMMYFUNCTION("REGEXEXTRACT(C302, ""🏘️ \w+ (\w+) .* ✅"")"),"appartement")</f>
        <v>appartement</v>
      </c>
      <c r="H302" s="4" t="str">
        <f>IFERROR(__xludf.DUMMYFUNCTION("REGEXEXTRACT(A302, ""/(\w+)-.*?"")"),"lieu")</f>
        <v>lieu</v>
      </c>
      <c r="I302" s="4" t="str">
        <f>IFERROR(__xludf.DUMMYFUNCTION("if(D302=""variant"",  substitute(filter(Templates!E:E, Templates!A:A = F302, Templates!B:B = G302, Templates!C:C = H302), ""{{}}"", E302), B302)"),"🏘  Vous cherchez un appartement à louer à Mürren? ✅ Les annonces les plus actuelles sont sur ImmoScout24.ch.")</f>
        <v>🏘  Vous cherchez un appartement à louer à Mürren? ✅ Les annonces les plus actuelles sont sur ImmoScout24.ch.</v>
      </c>
      <c r="J302" s="4" t="s">
        <v>912</v>
      </c>
    </row>
    <row r="303">
      <c r="A303" s="5" t="s">
        <v>913</v>
      </c>
      <c r="B303" s="2" t="s">
        <v>914</v>
      </c>
      <c r="C303" s="4" t="str">
        <f>IFERROR(__xludf.DUMMYFUNCTION("""🏘️ ""&amp;REGEXEXTRACT(B303, ""^(.*): "")&amp;"" ✅ "" &amp;REGEXEXTRACT(B303, ""(Trouvez.*)"")"),"🏘️ Louer appartement Fontaine Dessus (Liddes) ✅ Trouvez le bien immobilier qui correspond idéalement à vos désirs sur ImmoScout24 - La plateforme de l'immobilier en Suisse.")</f>
        <v>🏘️ Louer appartement Fontaine Dessus (Liddes) ✅ Trouvez le bien immobilier qui correspond idéalement à vos désirs sur ImmoScout24 - La plateforme de l'immobilier en Suisse.</v>
      </c>
      <c r="D303" s="4" t="str">
        <f>vlookup(A303, Sheet2!D:E, 2, 0)</f>
        <v>variant</v>
      </c>
      <c r="E303" s="4" t="str">
        <f>IFERROR(__xludf.DUMMYFUNCTION("if(H303=""pays"",vlookup(REGEXEXTRACT(C303, ""🏘️ \w+ \w+ (.*) ✅""),'Country prepositions'!A:B, 2, 0) &amp; "" "" &amp; REGEXEXTRACT(C303, ""🏘️ \w+ \w+ (.*) ✅"") ,  if(H303=""quartier"",vlookup(REGEXEXTRACT(C303, ""🏘️ \w+ \w+ (.*) ✅""),'Quartier prepositions'!A"&amp;":E, 5, 0) ,  if(H303=""region"",vlookup(REGEXEXTRACT(C303, ""🏘️ \w+ \w+ (.*) ✅""),'Region prepositions'!B:F, 5, 0),  REGEXEXTRACT(C303, ""🏘️ \w+ \w+ (.*) ✅""))))"),"Fontaine Dessus (Liddes)")</f>
        <v>Fontaine Dessus (Liddes)</v>
      </c>
      <c r="F303" s="2" t="str">
        <f>IFERROR(__xludf.DUMMYFUNCTION("REGEXEXTRACT(C303, ""🏘️ (\w+) \w+ .* ✅"")"),"Louer")</f>
        <v>Louer</v>
      </c>
      <c r="G303" s="2" t="str">
        <f>IFERROR(__xludf.DUMMYFUNCTION("REGEXEXTRACT(C303, ""🏘️ \w+ (\w+) .* ✅"")"),"appartement")</f>
        <v>appartement</v>
      </c>
      <c r="H303" s="4" t="str">
        <f>IFERROR(__xludf.DUMMYFUNCTION("REGEXEXTRACT(A303, ""/(\w+)-.*?"")"),"lieu")</f>
        <v>lieu</v>
      </c>
      <c r="I303" s="4" t="str">
        <f>IFERROR(__xludf.DUMMYFUNCTION("if(D303=""variant"",  substitute(filter(Templates!E:E, Templates!A:A = F303, Templates!B:B = G303, Templates!C:C = H303), ""{{}}"", E303), B303)"),"🏘  Vous cherchez un appartement à louer à Fontaine Dessus (Liddes)? ✅ Les annonces les plus actuelles sont sur ImmoScout24.ch.")</f>
        <v>🏘  Vous cherchez un appartement à louer à Fontaine Dessus (Liddes)? ✅ Les annonces les plus actuelles sont sur ImmoScout24.ch.</v>
      </c>
      <c r="J303" s="4" t="s">
        <v>915</v>
      </c>
    </row>
    <row r="304">
      <c r="A304" s="5" t="s">
        <v>916</v>
      </c>
      <c r="B304" s="2" t="s">
        <v>917</v>
      </c>
      <c r="C304" s="4" t="str">
        <f>IFERROR(__xludf.DUMMYFUNCTION("""🏘️ ""&amp;REGEXEXTRACT(B304, ""^(.*): "")&amp;"" ✅ "" &amp;REGEXEXTRACT(B304, ""(Trouvez.*)"")"),"🏘️ Vendre maison Bercher ✅ Trouvez le bien immobilier qui correspond idéalement à vos désirs sur ImmoScout24 - La plateforme de l'immobilier en Suisse.")</f>
        <v>🏘️ Vendre maison Bercher ✅ Trouvez le bien immobilier qui correspond idéalement à vos désirs sur ImmoScout24 - La plateforme de l'immobilier en Suisse.</v>
      </c>
      <c r="D304" s="4" t="str">
        <f>vlookup(A304, Sheet2!D:E, 2, 0)</f>
        <v>variant</v>
      </c>
      <c r="E304" s="4" t="str">
        <f>IFERROR(__xludf.DUMMYFUNCTION("if(H304=""pays"",vlookup(REGEXEXTRACT(C304, ""🏘️ \w+ \w+ (.*) ✅""),'Country prepositions'!A:B, 2, 0) &amp; "" "" &amp; REGEXEXTRACT(C304, ""🏘️ \w+ \w+ (.*) ✅"") ,  if(H304=""quartier"",vlookup(REGEXEXTRACT(C304, ""🏘️ \w+ \w+ (.*) ✅""),'Quartier prepositions'!A"&amp;":E, 5, 0) ,  if(H304=""region"",vlookup(REGEXEXTRACT(C304, ""🏘️ \w+ \w+ (.*) ✅""),'Region prepositions'!B:F, 5, 0),  REGEXEXTRACT(C304, ""🏘️ \w+ \w+ (.*) ✅""))))"),"Bercher")</f>
        <v>Bercher</v>
      </c>
      <c r="F304" s="2" t="str">
        <f>IFERROR(__xludf.DUMMYFUNCTION("REGEXEXTRACT(C304, ""🏘️ (\w+) \w+ .* ✅"")"),"Vendre")</f>
        <v>Vendre</v>
      </c>
      <c r="G304" s="2" t="str">
        <f>IFERROR(__xludf.DUMMYFUNCTION("REGEXEXTRACT(C304, ""🏘️ \w+ (\w+) .* ✅"")"),"maison")</f>
        <v>maison</v>
      </c>
      <c r="H304" s="4" t="str">
        <f>IFERROR(__xludf.DUMMYFUNCTION("REGEXEXTRACT(A304, ""/(\w+)-.*?"")"),"lieu")</f>
        <v>lieu</v>
      </c>
      <c r="I304" s="4" t="str">
        <f>IFERROR(__xludf.DUMMYFUNCTION("if(D304=""variant"",  substitute(filter(Templates!E:E, Templates!A:A = F304, Templates!B:B = G304, Templates!C:C = H304), ""{{}}"", E304), B304)"),"🏘  Vous souhaitez acheter une maison à Bercher? ✅ Jetez un œil aux dernières offres sur ImmoScout24.ch.")</f>
        <v>🏘  Vous souhaitez acheter une maison à Bercher? ✅ Jetez un œil aux dernières offres sur ImmoScout24.ch.</v>
      </c>
      <c r="J304" s="4" t="s">
        <v>918</v>
      </c>
    </row>
    <row r="305">
      <c r="A305" s="5" t="s">
        <v>919</v>
      </c>
      <c r="B305" s="2" t="s">
        <v>920</v>
      </c>
      <c r="C305" s="4" t="str">
        <f>IFERROR(__xludf.DUMMYFUNCTION("""🏘️ ""&amp;REGEXEXTRACT(B305, ""^(.*): "")&amp;"" ✅ "" &amp;REGEXEXTRACT(B305, ""(Trouvez.*)"")"),"🏘️ Louer maison Ecublens VD ✅ Trouvez le bien immobilier qui correspond idéalement à vos désirs sur ImmoScout24 - La plateforme de l'immobilier en Suisse.")</f>
        <v>🏘️ Louer maison Ecublens VD ✅ Trouvez le bien immobilier qui correspond idéalement à vos désirs sur ImmoScout24 - La plateforme de l'immobilier en Suisse.</v>
      </c>
      <c r="D305" s="4" t="str">
        <f>vlookup(A305, Sheet2!D:E, 2, 0)</f>
        <v>variant</v>
      </c>
      <c r="E305" s="4" t="str">
        <f>IFERROR(__xludf.DUMMYFUNCTION("if(H305=""pays"",vlookup(REGEXEXTRACT(C305, ""🏘️ \w+ \w+ (.*) ✅""),'Country prepositions'!A:B, 2, 0) &amp; "" "" &amp; REGEXEXTRACT(C305, ""🏘️ \w+ \w+ (.*) ✅"") ,  if(H305=""quartier"",vlookup(REGEXEXTRACT(C305, ""🏘️ \w+ \w+ (.*) ✅""),'Quartier prepositions'!A"&amp;":E, 5, 0) ,  if(H305=""region"",vlookup(REGEXEXTRACT(C305, ""🏘️ \w+ \w+ (.*) ✅""),'Region prepositions'!B:F, 5, 0),  REGEXEXTRACT(C305, ""🏘️ \w+ \w+ (.*) ✅""))))"),"Ecublens VD")</f>
        <v>Ecublens VD</v>
      </c>
      <c r="F305" s="2" t="str">
        <f>IFERROR(__xludf.DUMMYFUNCTION("REGEXEXTRACT(C305, ""🏘️ (\w+) \w+ .* ✅"")"),"Louer")</f>
        <v>Louer</v>
      </c>
      <c r="G305" s="2" t="str">
        <f>IFERROR(__xludf.DUMMYFUNCTION("REGEXEXTRACT(C305, ""🏘️ \w+ (\w+) .* ✅"")"),"maison")</f>
        <v>maison</v>
      </c>
      <c r="H305" s="4" t="str">
        <f>IFERROR(__xludf.DUMMYFUNCTION("REGEXEXTRACT(A305, ""/(\w+)-.*?"")"),"lieu")</f>
        <v>lieu</v>
      </c>
      <c r="I305" s="4" t="str">
        <f>IFERROR(__xludf.DUMMYFUNCTION("if(D305=""variant"",  substitute(filter(Templates!E:E, Templates!A:A = F305, Templates!B:B = G305, Templates!C:C = H305), ""{{}}"", E305), B305)"),"🏘  Vous cherchez une maison à louer à Ecublens VD? ✅ Découvrez nos nombreuses annonces sur ImmoScout24.ch.")</f>
        <v>🏘  Vous cherchez une maison à louer à Ecublens VD? ✅ Découvrez nos nombreuses annonces sur ImmoScout24.ch.</v>
      </c>
      <c r="J305" s="4" t="s">
        <v>921</v>
      </c>
    </row>
    <row r="306">
      <c r="A306" s="5" t="s">
        <v>922</v>
      </c>
      <c r="B306" s="2" t="s">
        <v>923</v>
      </c>
      <c r="C306" s="4" t="str">
        <f>IFERROR(__xludf.DUMMYFUNCTION("""🏘️ ""&amp;REGEXEXTRACT(B306, ""^(.*): "")&amp;"" ✅ "" &amp;REGEXEXTRACT(B306, ""(Trouvez.*)"")"),"🏘️ Louer appartement Granges (Veveyse) ✅ Trouvez le bien immobilier qui correspond idéalement à vos désirs sur ImmoScout24 - La plateforme de l'immobilier en Suisse.")</f>
        <v>🏘️ Louer appartement Granges (Veveyse) ✅ Trouvez le bien immobilier qui correspond idéalement à vos désirs sur ImmoScout24 - La plateforme de l'immobilier en Suisse.</v>
      </c>
      <c r="D306" s="4" t="str">
        <f>vlookup(A306, Sheet2!D:E, 2, 0)</f>
        <v>variant</v>
      </c>
      <c r="E306" s="4" t="str">
        <f>IFERROR(__xludf.DUMMYFUNCTION("if(H306=""pays"",vlookup(REGEXEXTRACT(C306, ""🏘️ \w+ \w+ (.*) ✅""),'Country prepositions'!A:B, 2, 0) &amp; "" "" &amp; REGEXEXTRACT(C306, ""🏘️ \w+ \w+ (.*) ✅"") ,  if(H306=""quartier"",vlookup(REGEXEXTRACT(C306, ""🏘️ \w+ \w+ (.*) ✅""),'Quartier prepositions'!A"&amp;":E, 5, 0) ,  if(H306=""region"",vlookup(REGEXEXTRACT(C306, ""🏘️ \w+ \w+ (.*) ✅""),'Region prepositions'!B:F, 5, 0),  REGEXEXTRACT(C306, ""🏘️ \w+ \w+ (.*) ✅""))))"),"Granges (Veveyse)")</f>
        <v>Granges (Veveyse)</v>
      </c>
      <c r="F306" s="2" t="str">
        <f>IFERROR(__xludf.DUMMYFUNCTION("REGEXEXTRACT(C306, ""🏘️ (\w+) \w+ .* ✅"")"),"Louer")</f>
        <v>Louer</v>
      </c>
      <c r="G306" s="2" t="str">
        <f>IFERROR(__xludf.DUMMYFUNCTION("REGEXEXTRACT(C306, ""🏘️ \w+ (\w+) .* ✅"")"),"appartement")</f>
        <v>appartement</v>
      </c>
      <c r="H306" s="4" t="str">
        <f>IFERROR(__xludf.DUMMYFUNCTION("REGEXEXTRACT(A306, ""/(\w+)-.*?"")"),"lieu")</f>
        <v>lieu</v>
      </c>
      <c r="I306" s="4" t="str">
        <f>IFERROR(__xludf.DUMMYFUNCTION("if(D306=""variant"",  substitute(filter(Templates!E:E, Templates!A:A = F306, Templates!B:B = G306, Templates!C:C = H306), ""{{}}"", E306), B306)"),"🏘  Vous cherchez un appartement à louer à Granges (Veveyse)? ✅ Les annonces les plus actuelles sont sur ImmoScout24.ch.")</f>
        <v>🏘  Vous cherchez un appartement à louer à Granges (Veveyse)? ✅ Les annonces les plus actuelles sont sur ImmoScout24.ch.</v>
      </c>
      <c r="J306" s="4" t="s">
        <v>924</v>
      </c>
    </row>
    <row r="307">
      <c r="A307" s="5" t="s">
        <v>925</v>
      </c>
      <c r="B307" s="2" t="s">
        <v>926</v>
      </c>
      <c r="C307" s="4" t="str">
        <f>IFERROR(__xludf.DUMMYFUNCTION("""🏘️ ""&amp;REGEXEXTRACT(B307, ""^(.*): "")&amp;"" ✅ "" &amp;REGEXEXTRACT(B307, ""(Trouvez.*)"")"),"🏘️ Louer appartement Glattpark (Opfikon) ✅ Trouvez le bien immobilier qui correspond idéalement à vos désirs sur ImmoScout24 - La plateforme de l'immobilier en Suisse.")</f>
        <v>🏘️ Louer appartement Glattpark (Opfikon) ✅ Trouvez le bien immobilier qui correspond idéalement à vos désirs sur ImmoScout24 - La plateforme de l'immobilier en Suisse.</v>
      </c>
      <c r="D307" s="4" t="str">
        <f>vlookup(A307, Sheet2!D:E, 2, 0)</f>
        <v>variant</v>
      </c>
      <c r="E307" s="4" t="str">
        <f>IFERROR(__xludf.DUMMYFUNCTION("if(H307=""pays"",vlookup(REGEXEXTRACT(C307, ""🏘️ \w+ \w+ (.*) ✅""),'Country prepositions'!A:B, 2, 0) &amp; "" "" &amp; REGEXEXTRACT(C307, ""🏘️ \w+ \w+ (.*) ✅"") ,  if(H307=""quartier"",vlookup(REGEXEXTRACT(C307, ""🏘️ \w+ \w+ (.*) ✅""),'Quartier prepositions'!A"&amp;":E, 5, 0) ,  if(H307=""region"",vlookup(REGEXEXTRACT(C307, ""🏘️ \w+ \w+ (.*) ✅""),'Region prepositions'!B:F, 5, 0),  REGEXEXTRACT(C307, ""🏘️ \w+ \w+ (.*) ✅""))))"),"Glattpark (Opfikon)")</f>
        <v>Glattpark (Opfikon)</v>
      </c>
      <c r="F307" s="2" t="str">
        <f>IFERROR(__xludf.DUMMYFUNCTION("REGEXEXTRACT(C307, ""🏘️ (\w+) \w+ .* ✅"")"),"Louer")</f>
        <v>Louer</v>
      </c>
      <c r="G307" s="2" t="str">
        <f>IFERROR(__xludf.DUMMYFUNCTION("REGEXEXTRACT(C307, ""🏘️ \w+ (\w+) .* ✅"")"),"appartement")</f>
        <v>appartement</v>
      </c>
      <c r="H307" s="4" t="str">
        <f>IFERROR(__xludf.DUMMYFUNCTION("REGEXEXTRACT(A307, ""/(\w+)-.*?"")"),"lieu")</f>
        <v>lieu</v>
      </c>
      <c r="I307" s="4" t="str">
        <f>IFERROR(__xludf.DUMMYFUNCTION("if(D307=""variant"",  substitute(filter(Templates!E:E, Templates!A:A = F307, Templates!B:B = G307, Templates!C:C = H307), ""{{}}"", E307), B307)"),"🏘  Vous cherchez un appartement à louer à Glattpark (Opfikon)? ✅ Les annonces les plus actuelles sont sur ImmoScout24.ch.")</f>
        <v>🏘  Vous cherchez un appartement à louer à Glattpark (Opfikon)? ✅ Les annonces les plus actuelles sont sur ImmoScout24.ch.</v>
      </c>
      <c r="J307" s="4" t="s">
        <v>927</v>
      </c>
    </row>
    <row r="308">
      <c r="A308" s="5" t="s">
        <v>928</v>
      </c>
      <c r="B308" s="2" t="s">
        <v>929</v>
      </c>
      <c r="C308" s="4" t="str">
        <f>IFERROR(__xludf.DUMMYFUNCTION("""🏘️ ""&amp;REGEXEXTRACT(B308, ""^(.*): "")&amp;"" ✅ "" &amp;REGEXEXTRACT(B308, ""(Trouvez.*)"")"),"🏘️ Vendre appartement Le Brassus ✅ Trouvez le bien immobilier qui correspond idéalement à vos désirs sur ImmoScout24 - La plateforme de l'immobilier en Suisse.")</f>
        <v>🏘️ Vendre appartement Le Brassus ✅ Trouvez le bien immobilier qui correspond idéalement à vos désirs sur ImmoScout24 - La plateforme de l'immobilier en Suisse.</v>
      </c>
      <c r="D308" s="4" t="str">
        <f>vlookup(A308, Sheet2!D:E, 2, 0)</f>
        <v>variant</v>
      </c>
      <c r="E308" s="4" t="str">
        <f>IFERROR(__xludf.DUMMYFUNCTION("if(H308=""pays"",vlookup(REGEXEXTRACT(C308, ""🏘️ \w+ \w+ (.*) ✅""),'Country prepositions'!A:B, 2, 0) &amp; "" "" &amp; REGEXEXTRACT(C308, ""🏘️ \w+ \w+ (.*) ✅"") ,  if(H308=""quartier"",vlookup(REGEXEXTRACT(C308, ""🏘️ \w+ \w+ (.*) ✅""),'Quartier prepositions'!A"&amp;":E, 5, 0) ,  if(H308=""region"",vlookup(REGEXEXTRACT(C308, ""🏘️ \w+ \w+ (.*) ✅""),'Region prepositions'!B:F, 5, 0),  REGEXEXTRACT(C308, ""🏘️ \w+ \w+ (.*) ✅""))))"),"Le Brassus")</f>
        <v>Le Brassus</v>
      </c>
      <c r="F308" s="2" t="str">
        <f>IFERROR(__xludf.DUMMYFUNCTION("REGEXEXTRACT(C308, ""🏘️ (\w+) \w+ .* ✅"")"),"Vendre")</f>
        <v>Vendre</v>
      </c>
      <c r="G308" s="2" t="str">
        <f>IFERROR(__xludf.DUMMYFUNCTION("REGEXEXTRACT(C308, ""🏘️ \w+ (\w+) .* ✅"")"),"appartement")</f>
        <v>appartement</v>
      </c>
      <c r="H308" s="4" t="str">
        <f>IFERROR(__xludf.DUMMYFUNCTION("REGEXEXTRACT(A308, ""/(\w+)-.*?"")"),"lieu")</f>
        <v>lieu</v>
      </c>
      <c r="I308" s="8" t="str">
        <f>IFERROR(__xludf.DUMMYFUNCTION("if(D308=""variant"",  substitute(filter(Templates!E:E, Templates!A:A = F308, Templates!B:B = G308, Templates!C:C = H308), ""{{}}"", E308), B308)"),"🏘  L’appartement de vos rêves se trouve sur ImmoScout24.ch ✅ Découvrez les dernières annonces de vente à Le Brassus.")</f>
        <v>🏘  L’appartement de vos rêves se trouve sur ImmoScout24.ch ✅ Découvrez les dernières annonces de vente à Le Brassus.</v>
      </c>
      <c r="J308" s="2" t="s">
        <v>930</v>
      </c>
    </row>
    <row r="309">
      <c r="A309" s="5" t="s">
        <v>931</v>
      </c>
      <c r="B309" s="2" t="s">
        <v>932</v>
      </c>
      <c r="C309" s="4" t="str">
        <f>IFERROR(__xludf.DUMMYFUNCTION("""🏘️ ""&amp;REGEXEXTRACT(B309, ""^(.*): "")&amp;"" ✅ "" &amp;REGEXEXTRACT(B309, ""(Trouvez.*)"")"),"🏘️ Vendre maison France ✅ Trouvez le bien immobilier qui correspond idéalement à vos désirs sur ImmoScout24 - La plateforme de l'immobilier en Suisse.")</f>
        <v>🏘️ Vendre maison France ✅ Trouvez le bien immobilier qui correspond idéalement à vos désirs sur ImmoScout24 - La plateforme de l'immobilier en Suisse.</v>
      </c>
      <c r="D309" s="4" t="str">
        <f>vlookup(A309, Sheet2!D:E, 2, 0)</f>
        <v>variant</v>
      </c>
      <c r="E309" s="4" t="str">
        <f>IFERROR(__xludf.DUMMYFUNCTION("if(H309=""pays"",vlookup(REGEXEXTRACT(C309, ""🏘️ \w+ \w+ (.*) ✅""),'Country prepositions'!A:B, 2, 0) &amp; "" "" &amp; REGEXEXTRACT(C309, ""🏘️ \w+ \w+ (.*) ✅"") ,  if(H309=""quartier"",vlookup(REGEXEXTRACT(C309, ""🏘️ \w+ \w+ (.*) ✅""),'Quartier prepositions'!A"&amp;":E, 5, 0) ,  if(H309=""region"",vlookup(REGEXEXTRACT(C309, ""🏘️ \w+ \w+ (.*) ✅""),'Region prepositions'!B:F, 5, 0),  REGEXEXTRACT(C309, ""🏘️ \w+ \w+ (.*) ✅""))))"),"en France")</f>
        <v>en France</v>
      </c>
      <c r="F309" s="2" t="str">
        <f>IFERROR(__xludf.DUMMYFUNCTION("REGEXEXTRACT(C309, ""🏘️ (\w+) \w+ .* ✅"")"),"Vendre")</f>
        <v>Vendre</v>
      </c>
      <c r="G309" s="2" t="str">
        <f>IFERROR(__xludf.DUMMYFUNCTION("REGEXEXTRACT(C309, ""🏘️ \w+ (\w+) .* ✅"")"),"maison")</f>
        <v>maison</v>
      </c>
      <c r="H309" s="4" t="str">
        <f>IFERROR(__xludf.DUMMYFUNCTION("REGEXEXTRACT(A309, ""/(\w+)-.*?"")"),"pays")</f>
        <v>pays</v>
      </c>
      <c r="I309" s="4" t="str">
        <f>IFERROR(__xludf.DUMMYFUNCTION("if(D309=""variant"",  substitute(filter(Templates!E:E, Templates!A:A = F309, Templates!B:B = G309, Templates!C:C = H309), ""{{}}"", E309), B309)"),"🏘  Vous cherchez un appartement à louer en France? ✅ Les annonces les plus actuelles sont sur ImmoScout24.ch.")</f>
        <v>🏘  Vous cherchez un appartement à louer en France? ✅ Les annonces les plus actuelles sont sur ImmoScout24.ch.</v>
      </c>
      <c r="J309" s="4" t="s">
        <v>774</v>
      </c>
    </row>
    <row r="310">
      <c r="A310" s="5" t="s">
        <v>933</v>
      </c>
      <c r="B310" s="2" t="s">
        <v>934</v>
      </c>
      <c r="C310" s="4" t="str">
        <f>IFERROR(__xludf.DUMMYFUNCTION("""🏘️ ""&amp;REGEXEXTRACT(B310, ""^(.*): "")&amp;"" ✅ "" &amp;REGEXEXTRACT(B310, ""(Trouvez.*)"")"),"🏘️ Vendre appartement Stans ✅ Trouvez le bien immobilier qui correspond idéalement à vos désirs sur ImmoScout24 - La plateforme de l'immobilier en Suisse.")</f>
        <v>🏘️ Vendre appartement Stans ✅ Trouvez le bien immobilier qui correspond idéalement à vos désirs sur ImmoScout24 - La plateforme de l'immobilier en Suisse.</v>
      </c>
      <c r="D310" s="4" t="str">
        <f>vlookup(A310, Sheet2!D:E, 2, 0)</f>
        <v>variant</v>
      </c>
      <c r="E310" s="4" t="str">
        <f>IFERROR(__xludf.DUMMYFUNCTION("if(H310=""pays"",vlookup(REGEXEXTRACT(C310, ""🏘️ \w+ \w+ (.*) ✅""),'Country prepositions'!A:B, 2, 0) &amp; "" "" &amp; REGEXEXTRACT(C310, ""🏘️ \w+ \w+ (.*) ✅"") ,  if(H310=""quartier"",vlookup(REGEXEXTRACT(C310, ""🏘️ \w+ \w+ (.*) ✅""),'Quartier prepositions'!A"&amp;":E, 5, 0) ,  if(H310=""region"",vlookup(REGEXEXTRACT(C310, ""🏘️ \w+ \w+ (.*) ✅""),'Region prepositions'!B:F, 5, 0),  REGEXEXTRACT(C310, ""🏘️ \w+ \w+ (.*) ✅""))))"),"Stans")</f>
        <v>Stans</v>
      </c>
      <c r="F310" s="2" t="str">
        <f>IFERROR(__xludf.DUMMYFUNCTION("REGEXEXTRACT(C310, ""🏘️ (\w+) \w+ .* ✅"")"),"Vendre")</f>
        <v>Vendre</v>
      </c>
      <c r="G310" s="2" t="str">
        <f>IFERROR(__xludf.DUMMYFUNCTION("REGEXEXTRACT(C310, ""🏘️ \w+ (\w+) .* ✅"")"),"appartement")</f>
        <v>appartement</v>
      </c>
      <c r="H310" s="4" t="str">
        <f>IFERROR(__xludf.DUMMYFUNCTION("REGEXEXTRACT(A310, ""/(\w+)-.*?"")"),"lieu")</f>
        <v>lieu</v>
      </c>
      <c r="I310" s="4" t="str">
        <f>IFERROR(__xludf.DUMMYFUNCTION("if(D310=""variant"",  substitute(filter(Templates!E:E, Templates!A:A = F310, Templates!B:B = G310, Templates!C:C = H310), ""{{}}"", E310), B310)"),"🏘  L’appartement de vos rêves se trouve sur ImmoScout24.ch ✅ Découvrez les dernières annonces de vente à Stans.")</f>
        <v>🏘  L’appartement de vos rêves se trouve sur ImmoScout24.ch ✅ Découvrez les dernières annonces de vente à Stans.</v>
      </c>
      <c r="J310" s="4" t="s">
        <v>935</v>
      </c>
    </row>
    <row r="311">
      <c r="A311" s="5" t="s">
        <v>936</v>
      </c>
      <c r="B311" s="2" t="s">
        <v>937</v>
      </c>
      <c r="C311" s="4" t="str">
        <f>IFERROR(__xludf.DUMMYFUNCTION("""🏘️ ""&amp;REGEXEXTRACT(B311, ""^(.*): "")&amp;"" ✅ "" &amp;REGEXEXTRACT(B311, ""(Trouvez.*)"")"),"🏘️ Louer maison Lutry ✅ Trouvez le bien immobilier qui correspond idéalement à vos désirs sur ImmoScout24 - La plateforme de l'immobilier en Suisse.")</f>
        <v>🏘️ Louer maison Lutry ✅ Trouvez le bien immobilier qui correspond idéalement à vos désirs sur ImmoScout24 - La plateforme de l'immobilier en Suisse.</v>
      </c>
      <c r="D311" s="4" t="str">
        <f>vlookup(A311, Sheet2!D:E, 2, 0)</f>
        <v>variant</v>
      </c>
      <c r="E311" s="4" t="str">
        <f>IFERROR(__xludf.DUMMYFUNCTION("if(H311=""pays"",vlookup(REGEXEXTRACT(C311, ""🏘️ \w+ \w+ (.*) ✅""),'Country prepositions'!A:B, 2, 0) &amp; "" "" &amp; REGEXEXTRACT(C311, ""🏘️ \w+ \w+ (.*) ✅"") ,  if(H311=""quartier"",vlookup(REGEXEXTRACT(C311, ""🏘️ \w+ \w+ (.*) ✅""),'Quartier prepositions'!A"&amp;":E, 5, 0) ,  if(H311=""region"",vlookup(REGEXEXTRACT(C311, ""🏘️ \w+ \w+ (.*) ✅""),'Region prepositions'!B:F, 5, 0),  REGEXEXTRACT(C311, ""🏘️ \w+ \w+ (.*) ✅""))))"),"Lutry")</f>
        <v>Lutry</v>
      </c>
      <c r="F311" s="2" t="str">
        <f>IFERROR(__xludf.DUMMYFUNCTION("REGEXEXTRACT(C311, ""🏘️ (\w+) \w+ .* ✅"")"),"Louer")</f>
        <v>Louer</v>
      </c>
      <c r="G311" s="2" t="str">
        <f>IFERROR(__xludf.DUMMYFUNCTION("REGEXEXTRACT(C311, ""🏘️ \w+ (\w+) .* ✅"")"),"maison")</f>
        <v>maison</v>
      </c>
      <c r="H311" s="4" t="str">
        <f>IFERROR(__xludf.DUMMYFUNCTION("REGEXEXTRACT(A311, ""/(\w+)-.*?"")"),"lieu")</f>
        <v>lieu</v>
      </c>
      <c r="I311" s="4" t="str">
        <f>IFERROR(__xludf.DUMMYFUNCTION("if(D311=""variant"",  substitute(filter(Templates!E:E, Templates!A:A = F311, Templates!B:B = G311, Templates!C:C = H311), ""{{}}"", E311), B311)"),"🏘  Vous cherchez une maison à louer à Lutry? ✅ Découvrez nos nombreuses annonces sur ImmoScout24.ch.")</f>
        <v>🏘  Vous cherchez une maison à louer à Lutry? ✅ Découvrez nos nombreuses annonces sur ImmoScout24.ch.</v>
      </c>
      <c r="J311" s="4" t="s">
        <v>938</v>
      </c>
    </row>
    <row r="312">
      <c r="A312" s="5" t="s">
        <v>939</v>
      </c>
      <c r="B312" s="2" t="s">
        <v>940</v>
      </c>
      <c r="C312" s="4" t="str">
        <f>IFERROR(__xludf.DUMMYFUNCTION("""🏘️ ""&amp;REGEXEXTRACT(B312, ""^(.*): "")&amp;"" ✅ "" &amp;REGEXEXTRACT(B312, ""(Trouvez.*)"")"),"🏘️ Vendre appartement Kerzers ✅ Trouvez le bien immobilier qui correspond idéalement à vos désirs sur ImmoScout24 - La plateforme de l'immobilier en Suisse.")</f>
        <v>🏘️ Vendre appartement Kerzers ✅ Trouvez le bien immobilier qui correspond idéalement à vos désirs sur ImmoScout24 - La plateforme de l'immobilier en Suisse.</v>
      </c>
      <c r="D312" s="4" t="str">
        <f>vlookup(A312, Sheet2!D:E, 2, 0)</f>
        <v>variant</v>
      </c>
      <c r="E312" s="4" t="str">
        <f>IFERROR(__xludf.DUMMYFUNCTION("if(H312=""pays"",vlookup(REGEXEXTRACT(C312, ""🏘️ \w+ \w+ (.*) ✅""),'Country prepositions'!A:B, 2, 0) &amp; "" "" &amp; REGEXEXTRACT(C312, ""🏘️ \w+ \w+ (.*) ✅"") ,  if(H312=""quartier"",vlookup(REGEXEXTRACT(C312, ""🏘️ \w+ \w+ (.*) ✅""),'Quartier prepositions'!A"&amp;":E, 5, 0) ,  if(H312=""region"",vlookup(REGEXEXTRACT(C312, ""🏘️ \w+ \w+ (.*) ✅""),'Region prepositions'!B:F, 5, 0),  REGEXEXTRACT(C312, ""🏘️ \w+ \w+ (.*) ✅""))))"),"Kerzers")</f>
        <v>Kerzers</v>
      </c>
      <c r="F312" s="2" t="str">
        <f>IFERROR(__xludf.DUMMYFUNCTION("REGEXEXTRACT(C312, ""🏘️ (\w+) \w+ .* ✅"")"),"Vendre")</f>
        <v>Vendre</v>
      </c>
      <c r="G312" s="2" t="str">
        <f>IFERROR(__xludf.DUMMYFUNCTION("REGEXEXTRACT(C312, ""🏘️ \w+ (\w+) .* ✅"")"),"appartement")</f>
        <v>appartement</v>
      </c>
      <c r="H312" s="4" t="str">
        <f>IFERROR(__xludf.DUMMYFUNCTION("REGEXEXTRACT(A312, ""/(\w+)-.*?"")"),"lieu")</f>
        <v>lieu</v>
      </c>
      <c r="I312" s="4" t="str">
        <f>IFERROR(__xludf.DUMMYFUNCTION("if(D312=""variant"",  substitute(filter(Templates!E:E, Templates!A:A = F312, Templates!B:B = G312, Templates!C:C = H312), ""{{}}"", E312), B312)"),"🏘  L’appartement de vos rêves se trouve sur ImmoScout24.ch ✅ Découvrez les dernières annonces de vente à Kerzers.")</f>
        <v>🏘  L’appartement de vos rêves se trouve sur ImmoScout24.ch ✅ Découvrez les dernières annonces de vente à Kerzers.</v>
      </c>
      <c r="J312" s="4" t="s">
        <v>941</v>
      </c>
    </row>
    <row r="313">
      <c r="A313" s="5" t="s">
        <v>942</v>
      </c>
      <c r="B313" s="2" t="s">
        <v>943</v>
      </c>
      <c r="C313" s="4" t="str">
        <f>IFERROR(__xludf.DUMMYFUNCTION("""🏘️ ""&amp;REGEXEXTRACT(B313, ""^(.*): "")&amp;"" ✅ "" &amp;REGEXEXTRACT(B313, ""(Trouvez.*)"")"),"🏘️ Vendre maison Ecuvillens ✅ Trouvez le bien immobilier qui correspond idéalement à vos désirs sur ImmoScout24 - La plateforme de l'immobilier en Suisse.")</f>
        <v>🏘️ Vendre maison Ecuvillens ✅ Trouvez le bien immobilier qui correspond idéalement à vos désirs sur ImmoScout24 - La plateforme de l'immobilier en Suisse.</v>
      </c>
      <c r="D313" s="4" t="str">
        <f>vlookup(A313, Sheet2!D:E, 2, 0)</f>
        <v>variant</v>
      </c>
      <c r="E313" s="4" t="str">
        <f>IFERROR(__xludf.DUMMYFUNCTION("if(H313=""pays"",vlookup(REGEXEXTRACT(C313, ""🏘️ \w+ \w+ (.*) ✅""),'Country prepositions'!A:B, 2, 0) &amp; "" "" &amp; REGEXEXTRACT(C313, ""🏘️ \w+ \w+ (.*) ✅"") ,  if(H313=""quartier"",vlookup(REGEXEXTRACT(C313, ""🏘️ \w+ \w+ (.*) ✅""),'Quartier prepositions'!A"&amp;":E, 5, 0) ,  if(H313=""region"",vlookup(REGEXEXTRACT(C313, ""🏘️ \w+ \w+ (.*) ✅""),'Region prepositions'!B:F, 5, 0),  REGEXEXTRACT(C313, ""🏘️ \w+ \w+ (.*) ✅""))))"),"Ecuvillens")</f>
        <v>Ecuvillens</v>
      </c>
      <c r="F313" s="2" t="str">
        <f>IFERROR(__xludf.DUMMYFUNCTION("REGEXEXTRACT(C313, ""🏘️ (\w+) \w+ .* ✅"")"),"Vendre")</f>
        <v>Vendre</v>
      </c>
      <c r="G313" s="2" t="str">
        <f>IFERROR(__xludf.DUMMYFUNCTION("REGEXEXTRACT(C313, ""🏘️ \w+ (\w+) .* ✅"")"),"maison")</f>
        <v>maison</v>
      </c>
      <c r="H313" s="4" t="str">
        <f>IFERROR(__xludf.DUMMYFUNCTION("REGEXEXTRACT(A313, ""/(\w+)-.*?"")"),"lieu")</f>
        <v>lieu</v>
      </c>
      <c r="I313" s="4" t="str">
        <f>IFERROR(__xludf.DUMMYFUNCTION("if(D313=""variant"",  substitute(filter(Templates!E:E, Templates!A:A = F313, Templates!B:B = G313, Templates!C:C = H313), ""{{}}"", E313), B313)"),"🏘  Vous souhaitez acheter une maison à Ecuvillens? ✅ Jetez un œil aux dernières offres sur ImmoScout24.ch.")</f>
        <v>🏘  Vous souhaitez acheter une maison à Ecuvillens? ✅ Jetez un œil aux dernières offres sur ImmoScout24.ch.</v>
      </c>
      <c r="J313" s="4" t="s">
        <v>944</v>
      </c>
    </row>
    <row r="314">
      <c r="A314" s="5" t="s">
        <v>945</v>
      </c>
      <c r="B314" s="2" t="s">
        <v>946</v>
      </c>
      <c r="C314" s="4" t="str">
        <f>IFERROR(__xludf.DUMMYFUNCTION("""🏘️ ""&amp;REGEXEXTRACT(B314, ""^(.*): "")&amp;"" ✅ "" &amp;REGEXEXTRACT(B314, ""(Trouvez.*)"")"),"🏘️ Vendre maison Les Bayards ✅ Trouvez le bien immobilier qui correspond idéalement à vos désirs sur ImmoScout24 - La plateforme de l'immobilier en Suisse.")</f>
        <v>🏘️ Vendre maison Les Bayards ✅ Trouvez le bien immobilier qui correspond idéalement à vos désirs sur ImmoScout24 - La plateforme de l'immobilier en Suisse.</v>
      </c>
      <c r="D314" s="4" t="str">
        <f>vlookup(A314, Sheet2!D:E, 2, 0)</f>
        <v>variant</v>
      </c>
      <c r="E314" s="4" t="str">
        <f>IFERROR(__xludf.DUMMYFUNCTION("if(H314=""pays"",vlookup(REGEXEXTRACT(C314, ""🏘️ \w+ \w+ (.*) ✅""),'Country prepositions'!A:B, 2, 0) &amp; "" "" &amp; REGEXEXTRACT(C314, ""🏘️ \w+ \w+ (.*) ✅"") ,  if(H314=""quartier"",vlookup(REGEXEXTRACT(C314, ""🏘️ \w+ \w+ (.*) ✅""),'Quartier prepositions'!A"&amp;":E, 5, 0) ,  if(H314=""region"",vlookup(REGEXEXTRACT(C314, ""🏘️ \w+ \w+ (.*) ✅""),'Region prepositions'!B:F, 5, 0),  REGEXEXTRACT(C314, ""🏘️ \w+ \w+ (.*) ✅""))))"),"Les Bayards")</f>
        <v>Les Bayards</v>
      </c>
      <c r="F314" s="2" t="str">
        <f>IFERROR(__xludf.DUMMYFUNCTION("REGEXEXTRACT(C314, ""🏘️ (\w+) \w+ .* ✅"")"),"Vendre")</f>
        <v>Vendre</v>
      </c>
      <c r="G314" s="2" t="str">
        <f>IFERROR(__xludf.DUMMYFUNCTION("REGEXEXTRACT(C314, ""🏘️ \w+ (\w+) .* ✅"")"),"maison")</f>
        <v>maison</v>
      </c>
      <c r="H314" s="4" t="str">
        <f>IFERROR(__xludf.DUMMYFUNCTION("REGEXEXTRACT(A314, ""/(\w+)-.*?"")"),"lieu")</f>
        <v>lieu</v>
      </c>
      <c r="I314" s="8" t="str">
        <f>IFERROR(__xludf.DUMMYFUNCTION("if(D314=""variant"",  substitute(filter(Templates!E:E, Templates!A:A = F314, Templates!B:B = G314, Templates!C:C = H314), ""{{}}"", E314), B314)"),"🏘  Vous souhaitez acheter une maison à Les Bayards? ✅ Jetez un œil aux dernières offres sur ImmoScout24.ch.")</f>
        <v>🏘  Vous souhaitez acheter une maison à Les Bayards? ✅ Jetez un œil aux dernières offres sur ImmoScout24.ch.</v>
      </c>
      <c r="J314" s="2" t="s">
        <v>947</v>
      </c>
    </row>
    <row r="315">
      <c r="A315" s="5" t="s">
        <v>948</v>
      </c>
      <c r="B315" s="2" t="s">
        <v>949</v>
      </c>
      <c r="C315" s="4" t="str">
        <f>IFERROR(__xludf.DUMMYFUNCTION("""🏘️ ""&amp;REGEXEXTRACT(B315, ""^(.*): "")&amp;"" ✅ "" &amp;REGEXEXTRACT(B315, ""(Trouvez.*)"")"),"🏘️ Louer appartement Safenwil ✅ Trouvez le bien immobilier qui correspond idéalement à vos désirs sur ImmoScout24 - La plateforme de l'immobilier en Suisse.")</f>
        <v>🏘️ Louer appartement Safenwil ✅ Trouvez le bien immobilier qui correspond idéalement à vos désirs sur ImmoScout24 - La plateforme de l'immobilier en Suisse.</v>
      </c>
      <c r="D315" s="4" t="str">
        <f>vlookup(A315, Sheet2!D:E, 2, 0)</f>
        <v>variant</v>
      </c>
      <c r="E315" s="4" t="str">
        <f>IFERROR(__xludf.DUMMYFUNCTION("if(H315=""pays"",vlookup(REGEXEXTRACT(C315, ""🏘️ \w+ \w+ (.*) ✅""),'Country prepositions'!A:B, 2, 0) &amp; "" "" &amp; REGEXEXTRACT(C315, ""🏘️ \w+ \w+ (.*) ✅"") ,  if(H315=""quartier"",vlookup(REGEXEXTRACT(C315, ""🏘️ \w+ \w+ (.*) ✅""),'Quartier prepositions'!A"&amp;":E, 5, 0) ,  if(H315=""region"",vlookup(REGEXEXTRACT(C315, ""🏘️ \w+ \w+ (.*) ✅""),'Region prepositions'!B:F, 5, 0),  REGEXEXTRACT(C315, ""🏘️ \w+ \w+ (.*) ✅""))))"),"Safenwil")</f>
        <v>Safenwil</v>
      </c>
      <c r="F315" s="2" t="str">
        <f>IFERROR(__xludf.DUMMYFUNCTION("REGEXEXTRACT(C315, ""🏘️ (\w+) \w+ .* ✅"")"),"Louer")</f>
        <v>Louer</v>
      </c>
      <c r="G315" s="2" t="str">
        <f>IFERROR(__xludf.DUMMYFUNCTION("REGEXEXTRACT(C315, ""🏘️ \w+ (\w+) .* ✅"")"),"appartement")</f>
        <v>appartement</v>
      </c>
      <c r="H315" s="4" t="str">
        <f>IFERROR(__xludf.DUMMYFUNCTION("REGEXEXTRACT(A315, ""/(\w+)-.*?"")"),"lieu")</f>
        <v>lieu</v>
      </c>
      <c r="I315" s="4" t="str">
        <f>IFERROR(__xludf.DUMMYFUNCTION("if(D315=""variant"",  substitute(filter(Templates!E:E, Templates!A:A = F315, Templates!B:B = G315, Templates!C:C = H315), ""{{}}"", E315), B315)"),"🏘  Vous cherchez un appartement à louer à Safenwil? ✅ Les annonces les plus actuelles sont sur ImmoScout24.ch.")</f>
        <v>🏘  Vous cherchez un appartement à louer à Safenwil? ✅ Les annonces les plus actuelles sont sur ImmoScout24.ch.</v>
      </c>
      <c r="J315" s="4" t="s">
        <v>950</v>
      </c>
    </row>
    <row r="316">
      <c r="A316" s="5" t="s">
        <v>951</v>
      </c>
      <c r="B316" s="2" t="s">
        <v>952</v>
      </c>
      <c r="C316" s="4" t="str">
        <f>IFERROR(__xludf.DUMMYFUNCTION("""🏘️ ""&amp;REGEXEXTRACT(B316, ""^(.*): "")&amp;"" ✅ "" &amp;REGEXEXTRACT(B316, ""(Trouvez.*)"")"),"🏘️ Vendre appartement Sugiez ✅ Trouvez le bien immobilier qui correspond idéalement à vos désirs sur ImmoScout24 - La plateforme de l'immobilier en Suisse.")</f>
        <v>🏘️ Vendre appartement Sugiez ✅ Trouvez le bien immobilier qui correspond idéalement à vos désirs sur ImmoScout24 - La plateforme de l'immobilier en Suisse.</v>
      </c>
      <c r="D316" s="4" t="str">
        <f>vlookup(A316, Sheet2!D:E, 2, 0)</f>
        <v>variant</v>
      </c>
      <c r="E316" s="4" t="str">
        <f>IFERROR(__xludf.DUMMYFUNCTION("if(H316=""pays"",vlookup(REGEXEXTRACT(C316, ""🏘️ \w+ \w+ (.*) ✅""),'Country prepositions'!A:B, 2, 0) &amp; "" "" &amp; REGEXEXTRACT(C316, ""🏘️ \w+ \w+ (.*) ✅"") ,  if(H316=""quartier"",vlookup(REGEXEXTRACT(C316, ""🏘️ \w+ \w+ (.*) ✅""),'Quartier prepositions'!A"&amp;":E, 5, 0) ,  if(H316=""region"",vlookup(REGEXEXTRACT(C316, ""🏘️ \w+ \w+ (.*) ✅""),'Region prepositions'!B:F, 5, 0),  REGEXEXTRACT(C316, ""🏘️ \w+ \w+ (.*) ✅""))))"),"Sugiez")</f>
        <v>Sugiez</v>
      </c>
      <c r="F316" s="2" t="str">
        <f>IFERROR(__xludf.DUMMYFUNCTION("REGEXEXTRACT(C316, ""🏘️ (\w+) \w+ .* ✅"")"),"Vendre")</f>
        <v>Vendre</v>
      </c>
      <c r="G316" s="2" t="str">
        <f>IFERROR(__xludf.DUMMYFUNCTION("REGEXEXTRACT(C316, ""🏘️ \w+ (\w+) .* ✅"")"),"appartement")</f>
        <v>appartement</v>
      </c>
      <c r="H316" s="4" t="str">
        <f>IFERROR(__xludf.DUMMYFUNCTION("REGEXEXTRACT(A316, ""/(\w+)-.*?"")"),"lieu")</f>
        <v>lieu</v>
      </c>
      <c r="I316" s="4" t="str">
        <f>IFERROR(__xludf.DUMMYFUNCTION("if(D316=""variant"",  substitute(filter(Templates!E:E, Templates!A:A = F316, Templates!B:B = G316, Templates!C:C = H316), ""{{}}"", E316), B316)"),"🏘  L’appartement de vos rêves se trouve sur ImmoScout24.ch ✅ Découvrez les dernières annonces de vente à Sugiez.")</f>
        <v>🏘  L’appartement de vos rêves se trouve sur ImmoScout24.ch ✅ Découvrez les dernières annonces de vente à Sugiez.</v>
      </c>
      <c r="J316" s="4" t="s">
        <v>953</v>
      </c>
    </row>
    <row r="317">
      <c r="A317" s="5" t="s">
        <v>954</v>
      </c>
      <c r="B317" s="2" t="s">
        <v>955</v>
      </c>
      <c r="C317" s="4" t="str">
        <f>IFERROR(__xludf.DUMMYFUNCTION("""🏘️ ""&amp;REGEXEXTRACT(B317, ""^(.*): "")&amp;"" ✅ "" &amp;REGEXEXTRACT(B317, ""(Trouvez.*)"")"),"🏘️ Vendre maison Riehen ✅ Trouvez le bien immobilier qui correspond idéalement à vos désirs sur ImmoScout24 - La plateforme de l'immobilier en Suisse.")</f>
        <v>🏘️ Vendre maison Riehen ✅ Trouvez le bien immobilier qui correspond idéalement à vos désirs sur ImmoScout24 - La plateforme de l'immobilier en Suisse.</v>
      </c>
      <c r="D317" s="4" t="str">
        <f>vlookup(A317, Sheet2!D:E, 2, 0)</f>
        <v>variant</v>
      </c>
      <c r="E317" s="4" t="str">
        <f>IFERROR(__xludf.DUMMYFUNCTION("if(H317=""pays"",vlookup(REGEXEXTRACT(C317, ""🏘️ \w+ \w+ (.*) ✅""),'Country prepositions'!A:B, 2, 0) &amp; "" "" &amp; REGEXEXTRACT(C317, ""🏘️ \w+ \w+ (.*) ✅"") ,  if(H317=""quartier"",vlookup(REGEXEXTRACT(C317, ""🏘️ \w+ \w+ (.*) ✅""),'Quartier prepositions'!A"&amp;":E, 5, 0) ,  if(H317=""region"",vlookup(REGEXEXTRACT(C317, ""🏘️ \w+ \w+ (.*) ✅""),'Region prepositions'!B:F, 5, 0),  REGEXEXTRACT(C317, ""🏘️ \w+ \w+ (.*) ✅""))))"),"Riehen")</f>
        <v>Riehen</v>
      </c>
      <c r="F317" s="2" t="str">
        <f>IFERROR(__xludf.DUMMYFUNCTION("REGEXEXTRACT(C317, ""🏘️ (\w+) \w+ .* ✅"")"),"Vendre")</f>
        <v>Vendre</v>
      </c>
      <c r="G317" s="2" t="str">
        <f>IFERROR(__xludf.DUMMYFUNCTION("REGEXEXTRACT(C317, ""🏘️ \w+ (\w+) .* ✅"")"),"maison")</f>
        <v>maison</v>
      </c>
      <c r="H317" s="4" t="str">
        <f>IFERROR(__xludf.DUMMYFUNCTION("REGEXEXTRACT(A317, ""/(\w+)-.*?"")"),"lieu")</f>
        <v>lieu</v>
      </c>
      <c r="I317" s="4" t="str">
        <f>IFERROR(__xludf.DUMMYFUNCTION("if(D317=""variant"",  substitute(filter(Templates!E:E, Templates!A:A = F317, Templates!B:B = G317, Templates!C:C = H317), ""{{}}"", E317), B317)"),"🏘  Vous souhaitez acheter une maison à Riehen? ✅ Jetez un œil aux dernières offres sur ImmoScout24.ch.")</f>
        <v>🏘  Vous souhaitez acheter une maison à Riehen? ✅ Jetez un œil aux dernières offres sur ImmoScout24.ch.</v>
      </c>
      <c r="J317" s="4" t="s">
        <v>956</v>
      </c>
    </row>
    <row r="318">
      <c r="A318" s="5" t="s">
        <v>957</v>
      </c>
      <c r="B318" s="2" t="s">
        <v>958</v>
      </c>
      <c r="C318" s="4" t="str">
        <f>IFERROR(__xludf.DUMMYFUNCTION("""🏘️ ""&amp;REGEXEXTRACT(B318, ""^(.*): "")&amp;"" ✅ "" &amp;REGEXEXTRACT(B318, ""(Trouvez.*)"")"),"🏘️ Louer maison Miège ✅ Trouvez le bien immobilier qui correspond idéalement à vos désirs sur ImmoScout24 - La plateforme de l'immobilier en Suisse.")</f>
        <v>🏘️ Louer maison Miège ✅ Trouvez le bien immobilier qui correspond idéalement à vos désirs sur ImmoScout24 - La plateforme de l'immobilier en Suisse.</v>
      </c>
      <c r="D318" s="4" t="str">
        <f>vlookup(A318, Sheet2!D:E, 2, 0)</f>
        <v>variant</v>
      </c>
      <c r="E318" s="4" t="str">
        <f>IFERROR(__xludf.DUMMYFUNCTION("if(H318=""pays"",vlookup(REGEXEXTRACT(C318, ""🏘️ \w+ \w+ (.*) ✅""),'Country prepositions'!A:B, 2, 0) &amp; "" "" &amp; REGEXEXTRACT(C318, ""🏘️ \w+ \w+ (.*) ✅"") ,  if(H318=""quartier"",vlookup(REGEXEXTRACT(C318, ""🏘️ \w+ \w+ (.*) ✅""),'Quartier prepositions'!A"&amp;":E, 5, 0) ,  if(H318=""region"",vlookup(REGEXEXTRACT(C318, ""🏘️ \w+ \w+ (.*) ✅""),'Region prepositions'!B:F, 5, 0),  REGEXEXTRACT(C318, ""🏘️ \w+ \w+ (.*) ✅""))))"),"Miège")</f>
        <v>Miège</v>
      </c>
      <c r="F318" s="2" t="str">
        <f>IFERROR(__xludf.DUMMYFUNCTION("REGEXEXTRACT(C318, ""🏘️ (\w+) \w+ .* ✅"")"),"Louer")</f>
        <v>Louer</v>
      </c>
      <c r="G318" s="2" t="str">
        <f>IFERROR(__xludf.DUMMYFUNCTION("REGEXEXTRACT(C318, ""🏘️ \w+ (\w+) .* ✅"")"),"maison")</f>
        <v>maison</v>
      </c>
      <c r="H318" s="4" t="str">
        <f>IFERROR(__xludf.DUMMYFUNCTION("REGEXEXTRACT(A318, ""/(\w+)-.*?"")"),"lieu")</f>
        <v>lieu</v>
      </c>
      <c r="I318" s="4" t="str">
        <f>IFERROR(__xludf.DUMMYFUNCTION("if(D318=""variant"",  substitute(filter(Templates!E:E, Templates!A:A = F318, Templates!B:B = G318, Templates!C:C = H318), ""{{}}"", E318), B318)"),"🏘  Vous cherchez une maison à louer à Miège? ✅ Découvrez nos nombreuses annonces sur ImmoScout24.ch.")</f>
        <v>🏘  Vous cherchez une maison à louer à Miège? ✅ Découvrez nos nombreuses annonces sur ImmoScout24.ch.</v>
      </c>
      <c r="J318" s="4" t="s">
        <v>959</v>
      </c>
    </row>
    <row r="319">
      <c r="A319" s="5" t="s">
        <v>960</v>
      </c>
      <c r="B319" s="2" t="s">
        <v>961</v>
      </c>
      <c r="C319" s="4" t="str">
        <f>IFERROR(__xludf.DUMMYFUNCTION("""🏘️ ""&amp;REGEXEXTRACT(B319, ""^(.*): "")&amp;"" ✅ "" &amp;REGEXEXTRACT(B319, ""(Trouvez.*)"")"),"🏘️ Vendre appartement Villa (Evolène) ✅ Trouvez le bien immobilier qui correspond idéalement à vos désirs sur ImmoScout24 - La plateforme de l'immobilier en Suisse.")</f>
        <v>🏘️ Vendre appartement Villa (Evolène) ✅ Trouvez le bien immobilier qui correspond idéalement à vos désirs sur ImmoScout24 - La plateforme de l'immobilier en Suisse.</v>
      </c>
      <c r="D319" s="4" t="str">
        <f>vlookup(A319, Sheet2!D:E, 2, 0)</f>
        <v>variant</v>
      </c>
      <c r="E319" s="4" t="str">
        <f>IFERROR(__xludf.DUMMYFUNCTION("if(H319=""pays"",vlookup(REGEXEXTRACT(C319, ""🏘️ \w+ \w+ (.*) ✅""),'Country prepositions'!A:B, 2, 0) &amp; "" "" &amp; REGEXEXTRACT(C319, ""🏘️ \w+ \w+ (.*) ✅"") ,  if(H319=""quartier"",vlookup(REGEXEXTRACT(C319, ""🏘️ \w+ \w+ (.*) ✅""),'Quartier prepositions'!A"&amp;":E, 5, 0) ,  if(H319=""region"",vlookup(REGEXEXTRACT(C319, ""🏘️ \w+ \w+ (.*) ✅""),'Region prepositions'!B:F, 5, 0),  REGEXEXTRACT(C319, ""🏘️ \w+ \w+ (.*) ✅""))))"),"Villa (Evolène)")</f>
        <v>Villa (Evolène)</v>
      </c>
      <c r="F319" s="2" t="str">
        <f>IFERROR(__xludf.DUMMYFUNCTION("REGEXEXTRACT(C319, ""🏘️ (\w+) \w+ .* ✅"")"),"Vendre")</f>
        <v>Vendre</v>
      </c>
      <c r="G319" s="2" t="str">
        <f>IFERROR(__xludf.DUMMYFUNCTION("REGEXEXTRACT(C319, ""🏘️ \w+ (\w+) .* ✅"")"),"appartement")</f>
        <v>appartement</v>
      </c>
      <c r="H319" s="4" t="str">
        <f>IFERROR(__xludf.DUMMYFUNCTION("REGEXEXTRACT(A319, ""/(\w+)-.*?"")"),"lieu")</f>
        <v>lieu</v>
      </c>
      <c r="I319" s="4" t="str">
        <f>IFERROR(__xludf.DUMMYFUNCTION("if(D319=""variant"",  substitute(filter(Templates!E:E, Templates!A:A = F319, Templates!B:B = G319, Templates!C:C = H319), ""{{}}"", E319), B319)"),"🏘  L’appartement de vos rêves se trouve sur ImmoScout24.ch ✅ Découvrez les dernières annonces de vente à Villa (Evolène).")</f>
        <v>🏘  L’appartement de vos rêves se trouve sur ImmoScout24.ch ✅ Découvrez les dernières annonces de vente à Villa (Evolène).</v>
      </c>
      <c r="J319" s="4" t="s">
        <v>962</v>
      </c>
    </row>
    <row r="320">
      <c r="A320" s="5" t="s">
        <v>963</v>
      </c>
      <c r="B320" s="2" t="s">
        <v>964</v>
      </c>
      <c r="C320" s="4" t="str">
        <f>IFERROR(__xludf.DUMMYFUNCTION("""🏘️ ""&amp;REGEXEXTRACT(B320, ""^(.*): "")&amp;"" ✅ "" &amp;REGEXEXTRACT(B320, ""(Trouvez.*)"")"),"🏘️ Vendre maison St-Léonard ✅ Trouvez le bien immobilier qui correspond idéalement à vos désirs sur ImmoScout24 - La plateforme de l'immobilier en Suisse.")</f>
        <v>🏘️ Vendre maison St-Léonard ✅ Trouvez le bien immobilier qui correspond idéalement à vos désirs sur ImmoScout24 - La plateforme de l'immobilier en Suisse.</v>
      </c>
      <c r="D320" s="4" t="str">
        <f>vlookup(A320, Sheet2!D:E, 2, 0)</f>
        <v>variant</v>
      </c>
      <c r="E320" s="4" t="str">
        <f>IFERROR(__xludf.DUMMYFUNCTION("if(H320=""pays"",vlookup(REGEXEXTRACT(C320, ""🏘️ \w+ \w+ (.*) ✅""),'Country prepositions'!A:B, 2, 0) &amp; "" "" &amp; REGEXEXTRACT(C320, ""🏘️ \w+ \w+ (.*) ✅"") ,  if(H320=""quartier"",vlookup(REGEXEXTRACT(C320, ""🏘️ \w+ \w+ (.*) ✅""),'Quartier prepositions'!A"&amp;":E, 5, 0) ,  if(H320=""region"",vlookup(REGEXEXTRACT(C320, ""🏘️ \w+ \w+ (.*) ✅""),'Region prepositions'!B:F, 5, 0),  REGEXEXTRACT(C320, ""🏘️ \w+ \w+ (.*) ✅""))))"),"St-Léonard")</f>
        <v>St-Léonard</v>
      </c>
      <c r="F320" s="2" t="str">
        <f>IFERROR(__xludf.DUMMYFUNCTION("REGEXEXTRACT(C320, ""🏘️ (\w+) \w+ .* ✅"")"),"Vendre")</f>
        <v>Vendre</v>
      </c>
      <c r="G320" s="2" t="str">
        <f>IFERROR(__xludf.DUMMYFUNCTION("REGEXEXTRACT(C320, ""🏘️ \w+ (\w+) .* ✅"")"),"maison")</f>
        <v>maison</v>
      </c>
      <c r="H320" s="4" t="str">
        <f>IFERROR(__xludf.DUMMYFUNCTION("REGEXEXTRACT(A320, ""/(\w+)-.*?"")"),"lieu")</f>
        <v>lieu</v>
      </c>
      <c r="I320" s="4" t="str">
        <f>IFERROR(__xludf.DUMMYFUNCTION("if(D320=""variant"",  substitute(filter(Templates!E:E, Templates!A:A = F320, Templates!B:B = G320, Templates!C:C = H320), ""{{}}"", E320), B320)"),"🏘  Vous souhaitez acheter une maison à St-Léonard? ✅ Jetez un œil aux dernières offres sur ImmoScout24.ch.")</f>
        <v>🏘  Vous souhaitez acheter une maison à St-Léonard? ✅ Jetez un œil aux dernières offres sur ImmoScout24.ch.</v>
      </c>
      <c r="J320" s="4" t="s">
        <v>965</v>
      </c>
    </row>
    <row r="321">
      <c r="A321" s="5" t="s">
        <v>966</v>
      </c>
      <c r="B321" s="2" t="s">
        <v>967</v>
      </c>
      <c r="C321" s="4" t="str">
        <f>IFERROR(__xludf.DUMMYFUNCTION("""🏘️ ""&amp;REGEXEXTRACT(B321, ""^(.*): "")&amp;"" ✅ "" &amp;REGEXEXTRACT(B321, ""(Trouvez.*)"")"),"🏘️ Vendre maison Centre-Ville (Lausanne) ✅ Trouvez le bien immobilier qui correspond idéalement à vos désirs sur ImmoScout24 - La plateforme de l'immobilier en Suisse.")</f>
        <v>🏘️ Vendre maison Centre-Ville (Lausanne) ✅ Trouvez le bien immobilier qui correspond idéalement à vos désirs sur ImmoScout24 - La plateforme de l'immobilier en Suisse.</v>
      </c>
      <c r="D321" s="4" t="str">
        <f>vlookup(A321, Sheet2!D:E, 2, 0)</f>
        <v>variant</v>
      </c>
      <c r="E321" s="4" t="str">
        <f>IFERROR(__xludf.DUMMYFUNCTION("if(H321=""pays"",vlookup(REGEXEXTRACT(C321, ""🏘️ \w+ \w+ (.*) ✅""),'Country prepositions'!A:B, 2, 0) &amp; "" "" &amp; REGEXEXTRACT(C321, ""🏘️ \w+ \w+ (.*) ✅"") ,  if(H321=""quartier"",vlookup(REGEXEXTRACT(C321, ""🏘️ \w+ \w+ (.*) ✅""),'Quartier prepositions'!A"&amp;":E, 5, 0) ,  if(H321=""region"",vlookup(REGEXEXTRACT(C321, ""🏘️ \w+ \w+ (.*) ✅""),'Region prepositions'!B:F, 5, 0),  REGEXEXTRACT(C321, ""🏘️ \w+ \w+ (.*) ✅""))))"),"au Centre-Ville (Lausanne)")</f>
        <v>au Centre-Ville (Lausanne)</v>
      </c>
      <c r="F321" s="2" t="str">
        <f>IFERROR(__xludf.DUMMYFUNCTION("REGEXEXTRACT(C321, ""🏘️ (\w+) \w+ .* ✅"")"),"Vendre")</f>
        <v>Vendre</v>
      </c>
      <c r="G321" s="2" t="str">
        <f>IFERROR(__xludf.DUMMYFUNCTION("REGEXEXTRACT(C321, ""🏘️ \w+ (\w+) .* ✅"")"),"maison")</f>
        <v>maison</v>
      </c>
      <c r="H321" s="4" t="str">
        <f>IFERROR(__xludf.DUMMYFUNCTION("REGEXEXTRACT(A321, ""/(\w+)-.*?"")"),"quartier")</f>
        <v>quartier</v>
      </c>
      <c r="I321" s="4" t="str">
        <f>IFERROR(__xludf.DUMMYFUNCTION("if(D321=""variant"",  substitute(filter(Templates!E:E, Templates!A:A = F321, Templates!B:B = G321, Templates!C:C = H321), ""{{}}"", E321), B321)"),"🏘  Vous souhaitez acheter une maison au Centre-Ville (Lausanne)? ✅ Jetez un œil aux dernières offres sur ImmoScout24.ch.")</f>
        <v>🏘  Vous souhaitez acheter une maison au Centre-Ville (Lausanne)? ✅ Jetez un œil aux dernières offres sur ImmoScout24.ch.</v>
      </c>
      <c r="J321" s="4" t="s">
        <v>968</v>
      </c>
    </row>
    <row r="322">
      <c r="A322" s="5" t="s">
        <v>969</v>
      </c>
      <c r="B322" s="2" t="s">
        <v>970</v>
      </c>
      <c r="C322" s="4" t="str">
        <f>IFERROR(__xludf.DUMMYFUNCTION("""🏘️ ""&amp;REGEXEXTRACT(B322, ""^(.*): "")&amp;"" ✅ "" &amp;REGEXEXTRACT(B322, ""(Trouvez.*)"")"),"🏘️ Louer appartement Les Rasses ✅ Trouvez le bien immobilier qui correspond idéalement à vos désirs sur ImmoScout24 - La plateforme de l'immobilier en Suisse.")</f>
        <v>🏘️ Louer appartement Les Rasses ✅ Trouvez le bien immobilier qui correspond idéalement à vos désirs sur ImmoScout24 - La plateforme de l'immobilier en Suisse.</v>
      </c>
      <c r="D322" s="4" t="str">
        <f>vlookup(A322, Sheet2!D:E, 2, 0)</f>
        <v>variant</v>
      </c>
      <c r="E322" s="4" t="str">
        <f>IFERROR(__xludf.DUMMYFUNCTION("if(H322=""pays"",vlookup(REGEXEXTRACT(C322, ""🏘️ \w+ \w+ (.*) ✅""),'Country prepositions'!A:B, 2, 0) &amp; "" "" &amp; REGEXEXTRACT(C322, ""🏘️ \w+ \w+ (.*) ✅"") ,  if(H322=""quartier"",vlookup(REGEXEXTRACT(C322, ""🏘️ \w+ \w+ (.*) ✅""),'Quartier prepositions'!A"&amp;":E, 5, 0) ,  if(H322=""region"",vlookup(REGEXEXTRACT(C322, ""🏘️ \w+ \w+ (.*) ✅""),'Region prepositions'!B:F, 5, 0),  REGEXEXTRACT(C322, ""🏘️ \w+ \w+ (.*) ✅""))))"),"Les Rasses")</f>
        <v>Les Rasses</v>
      </c>
      <c r="F322" s="2" t="str">
        <f>IFERROR(__xludf.DUMMYFUNCTION("REGEXEXTRACT(C322, ""🏘️ (\w+) \w+ .* ✅"")"),"Louer")</f>
        <v>Louer</v>
      </c>
      <c r="G322" s="2" t="str">
        <f>IFERROR(__xludf.DUMMYFUNCTION("REGEXEXTRACT(C322, ""🏘️ \w+ (\w+) .* ✅"")"),"appartement")</f>
        <v>appartement</v>
      </c>
      <c r="H322" s="4" t="str">
        <f>IFERROR(__xludf.DUMMYFUNCTION("REGEXEXTRACT(A322, ""/(\w+)-.*?"")"),"lieu")</f>
        <v>lieu</v>
      </c>
      <c r="I322" s="8" t="str">
        <f>IFERROR(__xludf.DUMMYFUNCTION("if(D322=""variant"",  substitute(filter(Templates!E:E, Templates!A:A = F322, Templates!B:B = G322, Templates!C:C = H322), ""{{}}"", E322), B322)"),"🏘  Vous cherchez un appartement à louer à Les Rasses? ✅ Les annonces les plus actuelles sont sur ImmoScout24.ch.")</f>
        <v>🏘  Vous cherchez un appartement à louer à Les Rasses? ✅ Les annonces les plus actuelles sont sur ImmoScout24.ch.</v>
      </c>
      <c r="J322" s="2" t="s">
        <v>971</v>
      </c>
    </row>
    <row r="323">
      <c r="A323" s="5" t="s">
        <v>972</v>
      </c>
      <c r="B323" s="2" t="s">
        <v>973</v>
      </c>
      <c r="C323" s="4" t="str">
        <f>IFERROR(__xludf.DUMMYFUNCTION("""🏘️ ""&amp;REGEXEXTRACT(B323, ""^(.*): "")&amp;"" ✅ "" &amp;REGEXEXTRACT(B323, ""(Trouvez.*)"")"),"🏘️ Vendre appartement Val de Ruz ✅ Trouvez le bien immobilier qui correspond idéalement à vos désirs sur ImmoScout24 - La plateforme de l'immobilier en Suisse.")</f>
        <v>🏘️ Vendre appartement Val de Ruz ✅ Trouvez le bien immobilier qui correspond idéalement à vos désirs sur ImmoScout24 - La plateforme de l'immobilier en Suisse.</v>
      </c>
      <c r="D323" s="4" t="str">
        <f>vlookup(A323, Sheet2!D:E, 2, 0)</f>
        <v>variant</v>
      </c>
      <c r="E323" s="4" t="str">
        <f>IFERROR(__xludf.DUMMYFUNCTION("if(H323=""pays"",vlookup(REGEXEXTRACT(C323, ""🏘️ \w+ \w+ (.*) ✅""),'Country prepositions'!A:B, 2, 0) &amp; "" "" &amp; REGEXEXTRACT(C323, ""🏘️ \w+ \w+ (.*) ✅"") ,  if(H323=""quartier"",vlookup(REGEXEXTRACT(C323, ""🏘️ \w+ \w+ (.*) ✅""),'Quartier prepositions'!A"&amp;":E, 5, 0) ,  if(H323=""region"",vlookup(REGEXEXTRACT(C323, ""🏘️ \w+ \w+ (.*) ✅""),'Region prepositions'!B:F, 5, 0),  REGEXEXTRACT(C323, ""🏘️ \w+ \w+ (.*) ✅""))))"),"dans le Val-de-Ruz")</f>
        <v>dans le Val-de-Ruz</v>
      </c>
      <c r="F323" s="2" t="str">
        <f>IFERROR(__xludf.DUMMYFUNCTION("REGEXEXTRACT(C323, ""🏘️ (\w+) \w+ .* ✅"")"),"Vendre")</f>
        <v>Vendre</v>
      </c>
      <c r="G323" s="2" t="str">
        <f>IFERROR(__xludf.DUMMYFUNCTION("REGEXEXTRACT(C323, ""🏘️ \w+ (\w+) .* ✅"")"),"appartement")</f>
        <v>appartement</v>
      </c>
      <c r="H323" s="4" t="str">
        <f>IFERROR(__xludf.DUMMYFUNCTION("REGEXEXTRACT(A323, ""/(\w+)-.*?"")"),"region")</f>
        <v>region</v>
      </c>
      <c r="I323" s="4" t="str">
        <f>IFERROR(__xludf.DUMMYFUNCTION("if(D323=""variant"",  substitute(filter(Templates!E:E, Templates!A:A = F323, Templates!B:B = G323, Templates!C:C = H323), ""{{}}"", E323), B323)"),"🏘  L’appartement de vos rêves se trouve sur ImmoScout24.ch ✅ Découvrez les dernières annonces de vente dans le Val-de-Ruz.")</f>
        <v>🏘  L’appartement de vos rêves se trouve sur ImmoScout24.ch ✅ Découvrez les dernières annonces de vente dans le Val-de-Ruz.</v>
      </c>
      <c r="J323" s="4" t="s">
        <v>974</v>
      </c>
    </row>
    <row r="324">
      <c r="A324" s="5" t="s">
        <v>975</v>
      </c>
      <c r="B324" s="2" t="s">
        <v>976</v>
      </c>
      <c r="C324" s="4" t="str">
        <f>IFERROR(__xludf.DUMMYFUNCTION("""🏘️ ""&amp;REGEXEXTRACT(B324, ""^(.*): "")&amp;"" ✅ "" &amp;REGEXEXTRACT(B324, ""(Trouvez.*)"")"),"🏘️ Louer appartement Echichens ✅ Trouvez le bien immobilier qui correspond idéalement à vos désirs sur ImmoScout24 - La plateforme de l'immobilier en Suisse.")</f>
        <v>🏘️ Louer appartement Echichens ✅ Trouvez le bien immobilier qui correspond idéalement à vos désirs sur ImmoScout24 - La plateforme de l'immobilier en Suisse.</v>
      </c>
      <c r="D324" s="4" t="str">
        <f>vlookup(A324, Sheet2!D:E, 2, 0)</f>
        <v>variant</v>
      </c>
      <c r="E324" s="4" t="str">
        <f>IFERROR(__xludf.DUMMYFUNCTION("if(H324=""pays"",vlookup(REGEXEXTRACT(C324, ""🏘️ \w+ \w+ (.*) ✅""),'Country prepositions'!A:B, 2, 0) &amp; "" "" &amp; REGEXEXTRACT(C324, ""🏘️ \w+ \w+ (.*) ✅"") ,  if(H324=""quartier"",vlookup(REGEXEXTRACT(C324, ""🏘️ \w+ \w+ (.*) ✅""),'Quartier prepositions'!A"&amp;":E, 5, 0) ,  if(H324=""region"",vlookup(REGEXEXTRACT(C324, ""🏘️ \w+ \w+ (.*) ✅""),'Region prepositions'!B:F, 5, 0),  REGEXEXTRACT(C324, ""🏘️ \w+ \w+ (.*) ✅""))))"),"Echichens")</f>
        <v>Echichens</v>
      </c>
      <c r="F324" s="2" t="str">
        <f>IFERROR(__xludf.DUMMYFUNCTION("REGEXEXTRACT(C324, ""🏘️ (\w+) \w+ .* ✅"")"),"Louer")</f>
        <v>Louer</v>
      </c>
      <c r="G324" s="2" t="str">
        <f>IFERROR(__xludf.DUMMYFUNCTION("REGEXEXTRACT(C324, ""🏘️ \w+ (\w+) .* ✅"")"),"appartement")</f>
        <v>appartement</v>
      </c>
      <c r="H324" s="4" t="str">
        <f>IFERROR(__xludf.DUMMYFUNCTION("REGEXEXTRACT(A324, ""/(\w+)-.*?"")"),"lieu")</f>
        <v>lieu</v>
      </c>
      <c r="I324" s="4" t="str">
        <f>IFERROR(__xludf.DUMMYFUNCTION("if(D324=""variant"",  substitute(filter(Templates!E:E, Templates!A:A = F324, Templates!B:B = G324, Templates!C:C = H324), ""{{}}"", E324), B324)"),"🏘  Vous cherchez un appartement à louer à Echichens? ✅ Les annonces les plus actuelles sont sur ImmoScout24.ch.")</f>
        <v>🏘  Vous cherchez un appartement à louer à Echichens? ✅ Les annonces les plus actuelles sont sur ImmoScout24.ch.</v>
      </c>
      <c r="J324" s="4" t="s">
        <v>977</v>
      </c>
    </row>
    <row r="325">
      <c r="A325" s="5" t="s">
        <v>978</v>
      </c>
      <c r="B325" s="2" t="s">
        <v>979</v>
      </c>
      <c r="C325" s="4" t="str">
        <f>IFERROR(__xludf.DUMMYFUNCTION("""🏘️ ""&amp;REGEXEXTRACT(B325, ""^(.*): "")&amp;"" ✅ "" &amp;REGEXEXTRACT(B325, ""(Trouvez.*)"")"),"🏘️ Louer appartement Essertines-sur-Yverdon ✅ Trouvez le bien immobilier qui correspond idéalement à vos désirs sur ImmoScout24 - La plateforme de l'immobilier en Suisse.")</f>
        <v>🏘️ Louer appartement Essertines-sur-Yverdon ✅ Trouvez le bien immobilier qui correspond idéalement à vos désirs sur ImmoScout24 - La plateforme de l'immobilier en Suisse.</v>
      </c>
      <c r="D325" s="4" t="str">
        <f>vlookup(A325, Sheet2!D:E, 2, 0)</f>
        <v>variant</v>
      </c>
      <c r="E325" s="4" t="str">
        <f>IFERROR(__xludf.DUMMYFUNCTION("if(H325=""pays"",vlookup(REGEXEXTRACT(C325, ""🏘️ \w+ \w+ (.*) ✅""),'Country prepositions'!A:B, 2, 0) &amp; "" "" &amp; REGEXEXTRACT(C325, ""🏘️ \w+ \w+ (.*) ✅"") ,  if(H325=""quartier"",vlookup(REGEXEXTRACT(C325, ""🏘️ \w+ \w+ (.*) ✅""),'Quartier prepositions'!A"&amp;":E, 5, 0) ,  if(H325=""region"",vlookup(REGEXEXTRACT(C325, ""🏘️ \w+ \w+ (.*) ✅""),'Region prepositions'!B:F, 5, 0),  REGEXEXTRACT(C325, ""🏘️ \w+ \w+ (.*) ✅""))))"),"Essertines-sur-Yverdon")</f>
        <v>Essertines-sur-Yverdon</v>
      </c>
      <c r="F325" s="2" t="str">
        <f>IFERROR(__xludf.DUMMYFUNCTION("REGEXEXTRACT(C325, ""🏘️ (\w+) \w+ .* ✅"")"),"Louer")</f>
        <v>Louer</v>
      </c>
      <c r="G325" s="2" t="str">
        <f>IFERROR(__xludf.DUMMYFUNCTION("REGEXEXTRACT(C325, ""🏘️ \w+ (\w+) .* ✅"")"),"appartement")</f>
        <v>appartement</v>
      </c>
      <c r="H325" s="4" t="str">
        <f>IFERROR(__xludf.DUMMYFUNCTION("REGEXEXTRACT(A325, ""/(\w+)-.*?"")"),"lieu")</f>
        <v>lieu</v>
      </c>
      <c r="I325" s="4" t="str">
        <f>IFERROR(__xludf.DUMMYFUNCTION("if(D325=""variant"",  substitute(filter(Templates!E:E, Templates!A:A = F325, Templates!B:B = G325, Templates!C:C = H325), ""{{}}"", E325), B325)"),"🏘  Vous cherchez un appartement à louer à Essertines-sur-Yverdon? ✅ Les annonces les plus actuelles sont sur ImmoScout24.ch.")</f>
        <v>🏘  Vous cherchez un appartement à louer à Essertines-sur-Yverdon? ✅ Les annonces les plus actuelles sont sur ImmoScout24.ch.</v>
      </c>
      <c r="J325" s="4" t="s">
        <v>980</v>
      </c>
    </row>
    <row r="326">
      <c r="A326" s="5" t="s">
        <v>981</v>
      </c>
      <c r="B326" s="2" t="s">
        <v>982</v>
      </c>
      <c r="C326" s="4" t="str">
        <f>IFERROR(__xludf.DUMMYFUNCTION("""🏘️ ""&amp;REGEXEXTRACT(B326, ""^(.*): "")&amp;"" ✅ "" &amp;REGEXEXTRACT(B326, ""(Trouvez.*)"")"),"🏘️ Louer appartement Pfeffingen ✅ Trouvez le bien immobilier qui correspond idéalement à vos désirs sur ImmoScout24 - La plateforme de l'immobilier en Suisse.")</f>
        <v>🏘️ Louer appartement Pfeffingen ✅ Trouvez le bien immobilier qui correspond idéalement à vos désirs sur ImmoScout24 - La plateforme de l'immobilier en Suisse.</v>
      </c>
      <c r="D326" s="4" t="str">
        <f>vlookup(A326, Sheet2!D:E, 2, 0)</f>
        <v>variant</v>
      </c>
      <c r="E326" s="4" t="str">
        <f>IFERROR(__xludf.DUMMYFUNCTION("if(H326=""pays"",vlookup(REGEXEXTRACT(C326, ""🏘️ \w+ \w+ (.*) ✅""),'Country prepositions'!A:B, 2, 0) &amp; "" "" &amp; REGEXEXTRACT(C326, ""🏘️ \w+ \w+ (.*) ✅"") ,  if(H326=""quartier"",vlookup(REGEXEXTRACT(C326, ""🏘️ \w+ \w+ (.*) ✅""),'Quartier prepositions'!A"&amp;":E, 5, 0) ,  if(H326=""region"",vlookup(REGEXEXTRACT(C326, ""🏘️ \w+ \w+ (.*) ✅""),'Region prepositions'!B:F, 5, 0),  REGEXEXTRACT(C326, ""🏘️ \w+ \w+ (.*) ✅""))))"),"Pfeffingen")</f>
        <v>Pfeffingen</v>
      </c>
      <c r="F326" s="2" t="str">
        <f>IFERROR(__xludf.DUMMYFUNCTION("REGEXEXTRACT(C326, ""🏘️ (\w+) \w+ .* ✅"")"),"Louer")</f>
        <v>Louer</v>
      </c>
      <c r="G326" s="2" t="str">
        <f>IFERROR(__xludf.DUMMYFUNCTION("REGEXEXTRACT(C326, ""🏘️ \w+ (\w+) .* ✅"")"),"appartement")</f>
        <v>appartement</v>
      </c>
      <c r="H326" s="4" t="str">
        <f>IFERROR(__xludf.DUMMYFUNCTION("REGEXEXTRACT(A326, ""/(\w+)-.*?"")"),"lieu")</f>
        <v>lieu</v>
      </c>
      <c r="I326" s="4" t="str">
        <f>IFERROR(__xludf.DUMMYFUNCTION("if(D326=""variant"",  substitute(filter(Templates!E:E, Templates!A:A = F326, Templates!B:B = G326, Templates!C:C = H326), ""{{}}"", E326), B326)"),"🏘  Vous cherchez un appartement à louer à Pfeffingen? ✅ Les annonces les plus actuelles sont sur ImmoScout24.ch.")</f>
        <v>🏘  Vous cherchez un appartement à louer à Pfeffingen? ✅ Les annonces les plus actuelles sont sur ImmoScout24.ch.</v>
      </c>
      <c r="J326" s="4" t="s">
        <v>983</v>
      </c>
    </row>
    <row r="327">
      <c r="A327" s="5" t="s">
        <v>984</v>
      </c>
      <c r="B327" s="2" t="s">
        <v>985</v>
      </c>
      <c r="C327" s="4" t="str">
        <f>IFERROR(__xludf.DUMMYFUNCTION("""🏘️ ""&amp;REGEXEXTRACT(B327, ""^(.*): "")&amp;"" ✅ "" &amp;REGEXEXTRACT(B327, ""(Trouvez.*)"")"),"🏘️ Vendre appartement Brügg BE ✅ Trouvez le bien immobilier qui correspond idéalement à vos désirs sur ImmoScout24 - La plateforme de l'immobilier en Suisse.")</f>
        <v>🏘️ Vendre appartement Brügg BE ✅ Trouvez le bien immobilier qui correspond idéalement à vos désirs sur ImmoScout24 - La plateforme de l'immobilier en Suisse.</v>
      </c>
      <c r="D327" s="4" t="str">
        <f>vlookup(A327, Sheet2!D:E, 2, 0)</f>
        <v>variant</v>
      </c>
      <c r="E327" s="4" t="str">
        <f>IFERROR(__xludf.DUMMYFUNCTION("if(H327=""pays"",vlookup(REGEXEXTRACT(C327, ""🏘️ \w+ \w+ (.*) ✅""),'Country prepositions'!A:B, 2, 0) &amp; "" "" &amp; REGEXEXTRACT(C327, ""🏘️ \w+ \w+ (.*) ✅"") ,  if(H327=""quartier"",vlookup(REGEXEXTRACT(C327, ""🏘️ \w+ \w+ (.*) ✅""),'Quartier prepositions'!A"&amp;":E, 5, 0) ,  if(H327=""region"",vlookup(REGEXEXTRACT(C327, ""🏘️ \w+ \w+ (.*) ✅""),'Region prepositions'!B:F, 5, 0),  REGEXEXTRACT(C327, ""🏘️ \w+ \w+ (.*) ✅""))))"),"Brügg BE")</f>
        <v>Brügg BE</v>
      </c>
      <c r="F327" s="2" t="str">
        <f>IFERROR(__xludf.DUMMYFUNCTION("REGEXEXTRACT(C327, ""🏘️ (\w+) \w+ .* ✅"")"),"Vendre")</f>
        <v>Vendre</v>
      </c>
      <c r="G327" s="2" t="str">
        <f>IFERROR(__xludf.DUMMYFUNCTION("REGEXEXTRACT(C327, ""🏘️ \w+ (\w+) .* ✅"")"),"appartement")</f>
        <v>appartement</v>
      </c>
      <c r="H327" s="4" t="str">
        <f>IFERROR(__xludf.DUMMYFUNCTION("REGEXEXTRACT(A327, ""/(\w+)-.*?"")"),"lieu")</f>
        <v>lieu</v>
      </c>
      <c r="I327" s="4" t="str">
        <f>IFERROR(__xludf.DUMMYFUNCTION("if(D327=""variant"",  substitute(filter(Templates!E:E, Templates!A:A = F327, Templates!B:B = G327, Templates!C:C = H327), ""{{}}"", E327), B327)"),"🏘  L’appartement de vos rêves se trouve sur ImmoScout24.ch ✅ Découvrez les dernières annonces de vente à Brügg BE.")</f>
        <v>🏘  L’appartement de vos rêves se trouve sur ImmoScout24.ch ✅ Découvrez les dernières annonces de vente à Brügg BE.</v>
      </c>
      <c r="J327" s="4" t="s">
        <v>986</v>
      </c>
    </row>
    <row r="328">
      <c r="A328" s="5" t="s">
        <v>987</v>
      </c>
      <c r="B328" s="2" t="s">
        <v>988</v>
      </c>
      <c r="C328" s="4" t="str">
        <f>IFERROR(__xludf.DUMMYFUNCTION("""🏘️ ""&amp;REGEXEXTRACT(B328, ""^(.*): "")&amp;"" ✅ "" &amp;REGEXEXTRACT(B328, ""(Trouvez.*)"")"),"🏘️ Louer appartement Blumenau (Winterthur) ✅ Trouvez le bien immobilier qui correspond idéalement à vos désirs sur ImmoScout24 - La plateforme de l'immobilier en Suisse.")</f>
        <v>🏘️ Louer appartement Blumenau (Winterthur) ✅ Trouvez le bien immobilier qui correspond idéalement à vos désirs sur ImmoScout24 - La plateforme de l'immobilier en Suisse.</v>
      </c>
      <c r="D328" s="4" t="str">
        <f>vlookup(A328, Sheet2!D:E, 2, 0)</f>
        <v>variant</v>
      </c>
      <c r="E328" s="4" t="str">
        <f>IFERROR(__xludf.DUMMYFUNCTION("if(H328=""pays"",vlookup(REGEXEXTRACT(C328, ""🏘️ \w+ \w+ (.*) ✅""),'Country prepositions'!A:B, 2, 0) &amp; "" "" &amp; REGEXEXTRACT(C328, ""🏘️ \w+ \w+ (.*) ✅"") ,  if(H328=""quartier"",vlookup(REGEXEXTRACT(C328, ""🏘️ \w+ \w+ (.*) ✅""),'Quartier prepositions'!A"&amp;":E, 5, 0) ,  if(H328=""region"",vlookup(REGEXEXTRACT(C328, ""🏘️ \w+ \w+ (.*) ✅""),'Region prepositions'!B:F, 5, 0),  REGEXEXTRACT(C328, ""🏘️ \w+ \w+ (.*) ✅""))))"),"dans le quartier de Blumenau (Winterthur)")</f>
        <v>dans le quartier de Blumenau (Winterthur)</v>
      </c>
      <c r="F328" s="2" t="str">
        <f>IFERROR(__xludf.DUMMYFUNCTION("REGEXEXTRACT(C328, ""🏘️ (\w+) \w+ .* ✅"")"),"Louer")</f>
        <v>Louer</v>
      </c>
      <c r="G328" s="2" t="str">
        <f>IFERROR(__xludf.DUMMYFUNCTION("REGEXEXTRACT(C328, ""🏘️ \w+ (\w+) .* ✅"")"),"appartement")</f>
        <v>appartement</v>
      </c>
      <c r="H328" s="4" t="str">
        <f>IFERROR(__xludf.DUMMYFUNCTION("REGEXEXTRACT(A328, ""/(\w+)-.*?"")"),"quartier")</f>
        <v>quartier</v>
      </c>
      <c r="I328" s="4" t="str">
        <f>IFERROR(__xludf.DUMMYFUNCTION("if(D328=""variant"",  substitute(filter(Templates!E:E, Templates!A:A = F328, Templates!B:B = G328, Templates!C:C = H328), ""{{}}"", E328), B328)"),"🏘  Vous cherchez un appartement à louer dans le quartier de Blumenau (Winterthur)? ✅ Les annonces les plus actuelles sont sur ImmoScout24.ch.")</f>
        <v>🏘  Vous cherchez un appartement à louer dans le quartier de Blumenau (Winterthur)? ✅ Les annonces les plus actuelles sont sur ImmoScout24.ch.</v>
      </c>
      <c r="J328" s="4" t="s">
        <v>989</v>
      </c>
    </row>
    <row r="329">
      <c r="A329" s="5" t="s">
        <v>990</v>
      </c>
      <c r="B329" s="2" t="s">
        <v>991</v>
      </c>
      <c r="C329" s="4" t="str">
        <f>IFERROR(__xludf.DUMMYFUNCTION("""🏘️ ""&amp;REGEXEXTRACT(B329, ""^(.*): "")&amp;"" ✅ "" &amp;REGEXEXTRACT(B329, ""(Trouvez.*)"")"),"🏘️ Louer appartement Prêles ✅ Trouvez le bien immobilier qui correspond idéalement à vos désirs sur ImmoScout24 - La plateforme de l'immobilier en Suisse.")</f>
        <v>🏘️ Louer appartement Prêles ✅ Trouvez le bien immobilier qui correspond idéalement à vos désirs sur ImmoScout24 - La plateforme de l'immobilier en Suisse.</v>
      </c>
      <c r="D329" s="4" t="str">
        <f>vlookup(A329, Sheet2!D:E, 2, 0)</f>
        <v>variant</v>
      </c>
      <c r="E329" s="4" t="str">
        <f>IFERROR(__xludf.DUMMYFUNCTION("if(H329=""pays"",vlookup(REGEXEXTRACT(C329, ""🏘️ \w+ \w+ (.*) ✅""),'Country prepositions'!A:B, 2, 0) &amp; "" "" &amp; REGEXEXTRACT(C329, ""🏘️ \w+ \w+ (.*) ✅"") ,  if(H329=""quartier"",vlookup(REGEXEXTRACT(C329, ""🏘️ \w+ \w+ (.*) ✅""),'Quartier prepositions'!A"&amp;":E, 5, 0) ,  if(H329=""region"",vlookup(REGEXEXTRACT(C329, ""🏘️ \w+ \w+ (.*) ✅""),'Region prepositions'!B:F, 5, 0),  REGEXEXTRACT(C329, ""🏘️ \w+ \w+ (.*) ✅""))))"),"Prêles")</f>
        <v>Prêles</v>
      </c>
      <c r="F329" s="2" t="str">
        <f>IFERROR(__xludf.DUMMYFUNCTION("REGEXEXTRACT(C329, ""🏘️ (\w+) \w+ .* ✅"")"),"Louer")</f>
        <v>Louer</v>
      </c>
      <c r="G329" s="2" t="str">
        <f>IFERROR(__xludf.DUMMYFUNCTION("REGEXEXTRACT(C329, ""🏘️ \w+ (\w+) .* ✅"")"),"appartement")</f>
        <v>appartement</v>
      </c>
      <c r="H329" s="4" t="str">
        <f>IFERROR(__xludf.DUMMYFUNCTION("REGEXEXTRACT(A329, ""/(\w+)-.*?"")"),"lieu")</f>
        <v>lieu</v>
      </c>
      <c r="I329" s="4" t="str">
        <f>IFERROR(__xludf.DUMMYFUNCTION("if(D329=""variant"",  substitute(filter(Templates!E:E, Templates!A:A = F329, Templates!B:B = G329, Templates!C:C = H329), ""{{}}"", E329), B329)"),"🏘  Vous cherchez un appartement à louer à Prêles? ✅ Les annonces les plus actuelles sont sur ImmoScout24.ch.")</f>
        <v>🏘  Vous cherchez un appartement à louer à Prêles? ✅ Les annonces les plus actuelles sont sur ImmoScout24.ch.</v>
      </c>
      <c r="J329" s="4" t="s">
        <v>992</v>
      </c>
    </row>
    <row r="330">
      <c r="A330" s="5" t="s">
        <v>993</v>
      </c>
      <c r="B330" s="2" t="s">
        <v>994</v>
      </c>
      <c r="C330" s="4" t="str">
        <f>IFERROR(__xludf.DUMMYFUNCTION("""🏘️ ""&amp;REGEXEXTRACT(B330, ""^(.*): "")&amp;"" ✅ "" &amp;REGEXEXTRACT(B330, ""(Trouvez.*)"")"),"🏘️ Vendre maison Vuadens ✅ Trouvez le bien immobilier qui correspond idéalement à vos désirs sur ImmoScout24 - La plateforme de l'immobilier en Suisse.")</f>
        <v>🏘️ Vendre maison Vuadens ✅ Trouvez le bien immobilier qui correspond idéalement à vos désirs sur ImmoScout24 - La plateforme de l'immobilier en Suisse.</v>
      </c>
      <c r="D330" s="4" t="str">
        <f>vlookup(A330, Sheet2!D:E, 2, 0)</f>
        <v>variant</v>
      </c>
      <c r="E330" s="4" t="str">
        <f>IFERROR(__xludf.DUMMYFUNCTION("if(H330=""pays"",vlookup(REGEXEXTRACT(C330, ""🏘️ \w+ \w+ (.*) ✅""),'Country prepositions'!A:B, 2, 0) &amp; "" "" &amp; REGEXEXTRACT(C330, ""🏘️ \w+ \w+ (.*) ✅"") ,  if(H330=""quartier"",vlookup(REGEXEXTRACT(C330, ""🏘️ \w+ \w+ (.*) ✅""),'Quartier prepositions'!A"&amp;":E, 5, 0) ,  if(H330=""region"",vlookup(REGEXEXTRACT(C330, ""🏘️ \w+ \w+ (.*) ✅""),'Region prepositions'!B:F, 5, 0),  REGEXEXTRACT(C330, ""🏘️ \w+ \w+ (.*) ✅""))))"),"Vuadens")</f>
        <v>Vuadens</v>
      </c>
      <c r="F330" s="2" t="str">
        <f>IFERROR(__xludf.DUMMYFUNCTION("REGEXEXTRACT(C330, ""🏘️ (\w+) \w+ .* ✅"")"),"Vendre")</f>
        <v>Vendre</v>
      </c>
      <c r="G330" s="2" t="str">
        <f>IFERROR(__xludf.DUMMYFUNCTION("REGEXEXTRACT(C330, ""🏘️ \w+ (\w+) .* ✅"")"),"maison")</f>
        <v>maison</v>
      </c>
      <c r="H330" s="4" t="str">
        <f>IFERROR(__xludf.DUMMYFUNCTION("REGEXEXTRACT(A330, ""/(\w+)-.*?"")"),"lieu")</f>
        <v>lieu</v>
      </c>
      <c r="I330" s="4" t="str">
        <f>IFERROR(__xludf.DUMMYFUNCTION("if(D330=""variant"",  substitute(filter(Templates!E:E, Templates!A:A = F330, Templates!B:B = G330, Templates!C:C = H330), ""{{}}"", E330), B330)"),"🏘  Vous souhaitez acheter une maison à Vuadens? ✅ Jetez un œil aux dernières offres sur ImmoScout24.ch.")</f>
        <v>🏘  Vous souhaitez acheter une maison à Vuadens? ✅ Jetez un œil aux dernières offres sur ImmoScout24.ch.</v>
      </c>
      <c r="J330" s="4" t="s">
        <v>995</v>
      </c>
    </row>
    <row r="331">
      <c r="A331" s="5" t="s">
        <v>996</v>
      </c>
      <c r="B331" s="2" t="s">
        <v>997</v>
      </c>
      <c r="C331" s="4" t="str">
        <f>IFERROR(__xludf.DUMMYFUNCTION("""🏘️ ""&amp;REGEXEXTRACT(B331, ""^(.*): "")&amp;"" ✅ "" &amp;REGEXEXTRACT(B331, ""(Trouvez.*)"")"),"🏘️ Louer appartement Glarnerland ✅ Trouvez le bien immobilier qui correspond idéalement à vos désirs sur ImmoScout24 - La plateforme de l'immobilier en Suisse.")</f>
        <v>🏘️ Louer appartement Glarnerland ✅ Trouvez le bien immobilier qui correspond idéalement à vos désirs sur ImmoScout24 - La plateforme de l'immobilier en Suisse.</v>
      </c>
      <c r="D331" s="4" t="str">
        <f>vlookup(A331, Sheet2!D:E, 2, 0)</f>
        <v>variant</v>
      </c>
      <c r="E331" s="4" t="str">
        <f>IFERROR(__xludf.DUMMYFUNCTION("if(H331=""pays"",vlookup(REGEXEXTRACT(C331, ""🏘️ \w+ \w+ (.*) ✅""),'Country prepositions'!A:B, 2, 0) &amp; "" "" &amp; REGEXEXTRACT(C331, ""🏘️ \w+ \w+ (.*) ✅"") ,  if(H331=""quartier"",vlookup(REGEXEXTRACT(C331, ""🏘️ \w+ \w+ (.*) ✅""),'Quartier prepositions'!A"&amp;":E, 5, 0) ,  if(H331=""region"",vlookup(REGEXEXTRACT(C331, ""🏘️ \w+ \w+ (.*) ✅""),'Region prepositions'!B:F, 5, 0),  REGEXEXTRACT(C331, ""🏘️ \w+ \w+ (.*) ✅""))))"),"dans le Glarnerland")</f>
        <v>dans le Glarnerland</v>
      </c>
      <c r="F331" s="2" t="str">
        <f>IFERROR(__xludf.DUMMYFUNCTION("REGEXEXTRACT(C331, ""🏘️ (\w+) \w+ .* ✅"")"),"Louer")</f>
        <v>Louer</v>
      </c>
      <c r="G331" s="2" t="str">
        <f>IFERROR(__xludf.DUMMYFUNCTION("REGEXEXTRACT(C331, ""🏘️ \w+ (\w+) .* ✅"")"),"appartement")</f>
        <v>appartement</v>
      </c>
      <c r="H331" s="4" t="str">
        <f>IFERROR(__xludf.DUMMYFUNCTION("REGEXEXTRACT(A331, ""/(\w+)-.*?"")"),"region")</f>
        <v>region</v>
      </c>
      <c r="I331" s="4" t="str">
        <f>IFERROR(__xludf.DUMMYFUNCTION("if(D331=""variant"",  substitute(filter(Templates!E:E, Templates!A:A = F331, Templates!B:B = G331, Templates!C:C = H331), ""{{}}"", E331), B331)"),"🏘  Vous cherchez un appartement à louer dans le Glarnerland? ✅ Les annonces les plus actuelles sont sur ImmoScout24.ch.")</f>
        <v>🏘  Vous cherchez un appartement à louer dans le Glarnerland? ✅ Les annonces les plus actuelles sont sur ImmoScout24.ch.</v>
      </c>
      <c r="J331" s="4" t="s">
        <v>998</v>
      </c>
    </row>
    <row r="332">
      <c r="A332" s="5" t="s">
        <v>999</v>
      </c>
      <c r="B332" s="2" t="s">
        <v>1000</v>
      </c>
      <c r="C332" s="4" t="str">
        <f>IFERROR(__xludf.DUMMYFUNCTION("""🏘️ ""&amp;REGEXEXTRACT(B332, ""^(.*): "")&amp;"" ✅ "" &amp;REGEXEXTRACT(B332, ""(Trouvez.*)"")"),"🏘️ Vendre maison Villette (Lavaux) ✅ Trouvez le bien immobilier qui correspond idéalement à vos désirs sur ImmoScout24 - La plateforme de l'immobilier en Suisse.")</f>
        <v>🏘️ Vendre maison Villette (Lavaux) ✅ Trouvez le bien immobilier qui correspond idéalement à vos désirs sur ImmoScout24 - La plateforme de l'immobilier en Suisse.</v>
      </c>
      <c r="D332" s="4" t="str">
        <f>vlookup(A332, Sheet2!D:E, 2, 0)</f>
        <v>variant</v>
      </c>
      <c r="E332" s="4" t="str">
        <f>IFERROR(__xludf.DUMMYFUNCTION("if(H332=""pays"",vlookup(REGEXEXTRACT(C332, ""🏘️ \w+ \w+ (.*) ✅""),'Country prepositions'!A:B, 2, 0) &amp; "" "" &amp; REGEXEXTRACT(C332, ""🏘️ \w+ \w+ (.*) ✅"") ,  if(H332=""quartier"",vlookup(REGEXEXTRACT(C332, ""🏘️ \w+ \w+ (.*) ✅""),'Quartier prepositions'!A"&amp;":E, 5, 0) ,  if(H332=""region"",vlookup(REGEXEXTRACT(C332, ""🏘️ \w+ \w+ (.*) ✅""),'Region prepositions'!B:F, 5, 0),  REGEXEXTRACT(C332, ""🏘️ \w+ \w+ (.*) ✅""))))"),"Villette (Lavaux)")</f>
        <v>Villette (Lavaux)</v>
      </c>
      <c r="F332" s="2" t="str">
        <f>IFERROR(__xludf.DUMMYFUNCTION("REGEXEXTRACT(C332, ""🏘️ (\w+) \w+ .* ✅"")"),"Vendre")</f>
        <v>Vendre</v>
      </c>
      <c r="G332" s="2" t="str">
        <f>IFERROR(__xludf.DUMMYFUNCTION("REGEXEXTRACT(C332, ""🏘️ \w+ (\w+) .* ✅"")"),"maison")</f>
        <v>maison</v>
      </c>
      <c r="H332" s="4" t="str">
        <f>IFERROR(__xludf.DUMMYFUNCTION("REGEXEXTRACT(A332, ""/(\w+)-.*?"")"),"lieu")</f>
        <v>lieu</v>
      </c>
      <c r="I332" s="4" t="str">
        <f>IFERROR(__xludf.DUMMYFUNCTION("if(D332=""variant"",  substitute(filter(Templates!E:E, Templates!A:A = F332, Templates!B:B = G332, Templates!C:C = H332), ""{{}}"", E332), B332)"),"🏘  Vous souhaitez acheter une maison à Villette (Lavaux)? ✅ Jetez un œil aux dernières offres sur ImmoScout24.ch.")</f>
        <v>🏘  Vous souhaitez acheter une maison à Villette (Lavaux)? ✅ Jetez un œil aux dernières offres sur ImmoScout24.ch.</v>
      </c>
      <c r="J332" s="4" t="s">
        <v>1001</v>
      </c>
    </row>
    <row r="333">
      <c r="A333" s="5" t="s">
        <v>1002</v>
      </c>
      <c r="B333" s="2" t="s">
        <v>1003</v>
      </c>
      <c r="C333" s="4" t="str">
        <f>IFERROR(__xludf.DUMMYFUNCTION("""🏘️ ""&amp;REGEXEXTRACT(B333, ""^(.*): "")&amp;"" ✅ "" &amp;REGEXEXTRACT(B333, ""(Trouvez.*)"")"),"🏘️ Vendre maison St-Prex ✅ Trouvez le bien immobilier qui correspond idéalement à vos désirs sur ImmoScout24 - La plateforme de l'immobilier en Suisse.")</f>
        <v>🏘️ Vendre maison St-Prex ✅ Trouvez le bien immobilier qui correspond idéalement à vos désirs sur ImmoScout24 - La plateforme de l'immobilier en Suisse.</v>
      </c>
      <c r="D333" s="4" t="str">
        <f>vlookup(A333, Sheet2!D:E, 2, 0)</f>
        <v>variant</v>
      </c>
      <c r="E333" s="4" t="str">
        <f>IFERROR(__xludf.DUMMYFUNCTION("if(H333=""pays"",vlookup(REGEXEXTRACT(C333, ""🏘️ \w+ \w+ (.*) ✅""),'Country prepositions'!A:B, 2, 0) &amp; "" "" &amp; REGEXEXTRACT(C333, ""🏘️ \w+ \w+ (.*) ✅"") ,  if(H333=""quartier"",vlookup(REGEXEXTRACT(C333, ""🏘️ \w+ \w+ (.*) ✅""),'Quartier prepositions'!A"&amp;":E, 5, 0) ,  if(H333=""region"",vlookup(REGEXEXTRACT(C333, ""🏘️ \w+ \w+ (.*) ✅""),'Region prepositions'!B:F, 5, 0),  REGEXEXTRACT(C333, ""🏘️ \w+ \w+ (.*) ✅""))))"),"St-Prex")</f>
        <v>St-Prex</v>
      </c>
      <c r="F333" s="2" t="str">
        <f>IFERROR(__xludf.DUMMYFUNCTION("REGEXEXTRACT(C333, ""🏘️ (\w+) \w+ .* ✅"")"),"Vendre")</f>
        <v>Vendre</v>
      </c>
      <c r="G333" s="2" t="str">
        <f>IFERROR(__xludf.DUMMYFUNCTION("REGEXEXTRACT(C333, ""🏘️ \w+ (\w+) .* ✅"")"),"maison")</f>
        <v>maison</v>
      </c>
      <c r="H333" s="4" t="str">
        <f>IFERROR(__xludf.DUMMYFUNCTION("REGEXEXTRACT(A333, ""/(\w+)-.*?"")"),"lieu")</f>
        <v>lieu</v>
      </c>
      <c r="I333" s="4" t="str">
        <f>IFERROR(__xludf.DUMMYFUNCTION("if(D333=""variant"",  substitute(filter(Templates!E:E, Templates!A:A = F333, Templates!B:B = G333, Templates!C:C = H333), ""{{}}"", E333), B333)"),"🏘  Vous souhaitez acheter une maison à St-Prex? ✅ Jetez un œil aux dernières offres sur ImmoScout24.ch.")</f>
        <v>🏘  Vous souhaitez acheter une maison à St-Prex? ✅ Jetez un œil aux dernières offres sur ImmoScout24.ch.</v>
      </c>
      <c r="J333" s="4" t="s">
        <v>1004</v>
      </c>
    </row>
    <row r="334">
      <c r="A334" s="5" t="s">
        <v>1005</v>
      </c>
      <c r="B334" s="2" t="s">
        <v>1006</v>
      </c>
      <c r="C334" s="4" t="str">
        <f>IFERROR(__xludf.DUMMYFUNCTION("""🏘️ ""&amp;REGEXEXTRACT(B334, ""^(.*): "")&amp;"" ✅ "" &amp;REGEXEXTRACT(B334, ""(Trouvez.*)"")"),"🏘️ Vendre appartement Flumserberg Tannenheim ✅ Trouvez le bien immobilier qui correspond idéalement à vos désirs sur ImmoScout24 - La plateforme de l'immobilier en Suisse.")</f>
        <v>🏘️ Vendre appartement Flumserberg Tannenheim ✅ Trouvez le bien immobilier qui correspond idéalement à vos désirs sur ImmoScout24 - La plateforme de l'immobilier en Suisse.</v>
      </c>
      <c r="D334" s="4" t="str">
        <f>vlookup(A334, Sheet2!D:E, 2, 0)</f>
        <v>variant</v>
      </c>
      <c r="E334" s="4" t="str">
        <f>IFERROR(__xludf.DUMMYFUNCTION("if(H334=""pays"",vlookup(REGEXEXTRACT(C334, ""🏘️ \w+ \w+ (.*) ✅""),'Country prepositions'!A:B, 2, 0) &amp; "" "" &amp; REGEXEXTRACT(C334, ""🏘️ \w+ \w+ (.*) ✅"") ,  if(H334=""quartier"",vlookup(REGEXEXTRACT(C334, ""🏘️ \w+ \w+ (.*) ✅""),'Quartier prepositions'!A"&amp;":E, 5, 0) ,  if(H334=""region"",vlookup(REGEXEXTRACT(C334, ""🏘️ \w+ \w+ (.*) ✅""),'Region prepositions'!B:F, 5, 0),  REGEXEXTRACT(C334, ""🏘️ \w+ \w+ (.*) ✅""))))"),"Flumserberg Tannenheim")</f>
        <v>Flumserberg Tannenheim</v>
      </c>
      <c r="F334" s="2" t="str">
        <f>IFERROR(__xludf.DUMMYFUNCTION("REGEXEXTRACT(C334, ""🏘️ (\w+) \w+ .* ✅"")"),"Vendre")</f>
        <v>Vendre</v>
      </c>
      <c r="G334" s="2" t="str">
        <f>IFERROR(__xludf.DUMMYFUNCTION("REGEXEXTRACT(C334, ""🏘️ \w+ (\w+) .* ✅"")"),"appartement")</f>
        <v>appartement</v>
      </c>
      <c r="H334" s="4" t="str">
        <f>IFERROR(__xludf.DUMMYFUNCTION("REGEXEXTRACT(A334, ""/(\w+)-.*?"")"),"lieu")</f>
        <v>lieu</v>
      </c>
      <c r="I334" s="4" t="str">
        <f>IFERROR(__xludf.DUMMYFUNCTION("if(D334=""variant"",  substitute(filter(Templates!E:E, Templates!A:A = F334, Templates!B:B = G334, Templates!C:C = H334), ""{{}}"", E334), B334)"),"🏘  L’appartement de vos rêves se trouve sur ImmoScout24.ch ✅ Découvrez les dernières annonces de vente à Flumserberg Tannenheim.")</f>
        <v>🏘  L’appartement de vos rêves se trouve sur ImmoScout24.ch ✅ Découvrez les dernières annonces de vente à Flumserberg Tannenheim.</v>
      </c>
      <c r="J334" s="4" t="s">
        <v>1007</v>
      </c>
    </row>
    <row r="335">
      <c r="A335" s="5" t="s">
        <v>1008</v>
      </c>
      <c r="B335" s="2" t="s">
        <v>1009</v>
      </c>
      <c r="C335" s="4" t="str">
        <f>IFERROR(__xludf.DUMMYFUNCTION("""🏘️ ""&amp;REGEXEXTRACT(B335, ""^(.*): "")&amp;"" ✅ "" &amp;REGEXEXTRACT(B335, ""(Trouvez.*)"")"),"🏘️ Vendre maison Nouvelle ville sud (Biel/Bienne) ✅ Trouvez le bien immobilier qui correspond idéalement à vos désirs sur ImmoScout24 - La plateforme de l'immobilier en Suisse.")</f>
        <v>🏘️ Vendre maison Nouvelle ville sud (Biel/Bienne) ✅ Trouvez le bien immobilier qui correspond idéalement à vos désirs sur ImmoScout24 - La plateforme de l'immobilier en Suisse.</v>
      </c>
      <c r="D335" s="4" t="str">
        <f>vlookup(A335, Sheet2!D:E, 2, 0)</f>
        <v>variant</v>
      </c>
      <c r="E335" s="4" t="str">
        <f>IFERROR(__xludf.DUMMYFUNCTION("if(H335=""pays"",vlookup(REGEXEXTRACT(C335, ""🏘️ \w+ \w+ (.*) ✅""),'Country prepositions'!A:B, 2, 0) &amp; "" "" &amp; REGEXEXTRACT(C335, ""🏘️ \w+ \w+ (.*) ✅"") ,  if(H335=""quartier"",vlookup(REGEXEXTRACT(C335, ""🏘️ \w+ \w+ (.*) ✅""),'Quartier prepositions'!A"&amp;":E, 5, 0) ,  if(H335=""region"",vlookup(REGEXEXTRACT(C335, ""🏘️ \w+ \w+ (.*) ✅""),'Region prepositions'!B:F, 5, 0),  REGEXEXTRACT(C335, ""🏘️ \w+ \w+ (.*) ✅""))))"),"dans le quartier de la Nouvelle ville sud (Biel/Bienne)")</f>
        <v>dans le quartier de la Nouvelle ville sud (Biel/Bienne)</v>
      </c>
      <c r="F335" s="2" t="str">
        <f>IFERROR(__xludf.DUMMYFUNCTION("REGEXEXTRACT(C335, ""🏘️ (\w+) \w+ .* ✅"")"),"Vendre")</f>
        <v>Vendre</v>
      </c>
      <c r="G335" s="2" t="str">
        <f>IFERROR(__xludf.DUMMYFUNCTION("REGEXEXTRACT(C335, ""🏘️ \w+ (\w+) .* ✅"")"),"maison")</f>
        <v>maison</v>
      </c>
      <c r="H335" s="4" t="str">
        <f>IFERROR(__xludf.DUMMYFUNCTION("REGEXEXTRACT(A335, ""/(\w+)-.*?"")"),"quartier")</f>
        <v>quartier</v>
      </c>
      <c r="I335" s="4" t="str">
        <f>IFERROR(__xludf.DUMMYFUNCTION("if(D335=""variant"",  substitute(filter(Templates!E:E, Templates!A:A = F335, Templates!B:B = G335, Templates!C:C = H335), ""{{}}"", E335), B335)"),"🏘  Vous souhaitez acheter une maison dans le quartier de la Nouvelle ville sud (Biel/Bienne)? ✅ Jetez un œil aux dernières offres sur ImmoScout24.ch.")</f>
        <v>🏘  Vous souhaitez acheter une maison dans le quartier de la Nouvelle ville sud (Biel/Bienne)? ✅ Jetez un œil aux dernières offres sur ImmoScout24.ch.</v>
      </c>
      <c r="J335" s="4" t="s">
        <v>1010</v>
      </c>
    </row>
    <row r="336">
      <c r="A336" s="5" t="s">
        <v>1011</v>
      </c>
      <c r="B336" s="2" t="s">
        <v>1012</v>
      </c>
      <c r="C336" s="4" t="str">
        <f>IFERROR(__xludf.DUMMYFUNCTION("""🏘️ ""&amp;REGEXEXTRACT(B336, ""^(.*): "")&amp;"" ✅ "" &amp;REGEXEXTRACT(B336, ""(Trouvez.*)"")"),"🏘️ Louer appartement La Roche FR ✅ Trouvez le bien immobilier qui correspond idéalement à vos désirs sur ImmoScout24 - La plateforme de l'immobilier en Suisse.")</f>
        <v>🏘️ Louer appartement La Roche FR ✅ Trouvez le bien immobilier qui correspond idéalement à vos désirs sur ImmoScout24 - La plateforme de l'immobilier en Suisse.</v>
      </c>
      <c r="D336" s="4" t="str">
        <f>vlookup(A336, Sheet2!D:E, 2, 0)</f>
        <v>variant</v>
      </c>
      <c r="E336" s="4" t="str">
        <f>IFERROR(__xludf.DUMMYFUNCTION("if(H336=""pays"",vlookup(REGEXEXTRACT(C336, ""🏘️ \w+ \w+ (.*) ✅""),'Country prepositions'!A:B, 2, 0) &amp; "" "" &amp; REGEXEXTRACT(C336, ""🏘️ \w+ \w+ (.*) ✅"") ,  if(H336=""quartier"",vlookup(REGEXEXTRACT(C336, ""🏘️ \w+ \w+ (.*) ✅""),'Quartier prepositions'!A"&amp;":E, 5, 0) ,  if(H336=""region"",vlookup(REGEXEXTRACT(C336, ""🏘️ \w+ \w+ (.*) ✅""),'Region prepositions'!B:F, 5, 0),  REGEXEXTRACT(C336, ""🏘️ \w+ \w+ (.*) ✅""))))"),"La Roche FR")</f>
        <v>La Roche FR</v>
      </c>
      <c r="F336" s="2" t="str">
        <f>IFERROR(__xludf.DUMMYFUNCTION("REGEXEXTRACT(C336, ""🏘️ (\w+) \w+ .* ✅"")"),"Louer")</f>
        <v>Louer</v>
      </c>
      <c r="G336" s="2" t="str">
        <f>IFERROR(__xludf.DUMMYFUNCTION("REGEXEXTRACT(C336, ""🏘️ \w+ (\w+) .* ✅"")"),"appartement")</f>
        <v>appartement</v>
      </c>
      <c r="H336" s="4" t="str">
        <f>IFERROR(__xludf.DUMMYFUNCTION("REGEXEXTRACT(A336, ""/(\w+)-.*?"")"),"lieu")</f>
        <v>lieu</v>
      </c>
      <c r="I336" s="4" t="str">
        <f>IFERROR(__xludf.DUMMYFUNCTION("if(D336=""variant"",  substitute(filter(Templates!E:E, Templates!A:A = F336, Templates!B:B = G336, Templates!C:C = H336), ""{{}}"", E336), B336)"),"🏘  Vous cherchez un appartement à louer à La Roche FR? ✅ Les annonces les plus actuelles sont sur ImmoScout24.ch.")</f>
        <v>🏘  Vous cherchez un appartement à louer à La Roche FR? ✅ Les annonces les plus actuelles sont sur ImmoScout24.ch.</v>
      </c>
      <c r="J336" s="4" t="s">
        <v>1013</v>
      </c>
    </row>
    <row r="337">
      <c r="A337" s="5" t="s">
        <v>1014</v>
      </c>
      <c r="B337" s="2" t="s">
        <v>1015</v>
      </c>
      <c r="C337" s="4" t="str">
        <f>IFERROR(__xludf.DUMMYFUNCTION("""🏘️ ""&amp;REGEXEXTRACT(B337, ""^(.*): "")&amp;"" ✅ "" &amp;REGEXEXTRACT(B337, ""(Trouvez.*)"")"),"🏘️ Louer appartement Eclépens ✅ Trouvez le bien immobilier qui correspond idéalement à vos désirs sur ImmoScout24 - La plateforme de l'immobilier en Suisse.")</f>
        <v>🏘️ Louer appartement Eclépens ✅ Trouvez le bien immobilier qui correspond idéalement à vos désirs sur ImmoScout24 - La plateforme de l'immobilier en Suisse.</v>
      </c>
      <c r="D337" s="4" t="str">
        <f>vlookup(A337, Sheet2!D:E, 2, 0)</f>
        <v>variant</v>
      </c>
      <c r="E337" s="4" t="str">
        <f>IFERROR(__xludf.DUMMYFUNCTION("if(H337=""pays"",vlookup(REGEXEXTRACT(C337, ""🏘️ \w+ \w+ (.*) ✅""),'Country prepositions'!A:B, 2, 0) &amp; "" "" &amp; REGEXEXTRACT(C337, ""🏘️ \w+ \w+ (.*) ✅"") ,  if(H337=""quartier"",vlookup(REGEXEXTRACT(C337, ""🏘️ \w+ \w+ (.*) ✅""),'Quartier prepositions'!A"&amp;":E, 5, 0) ,  if(H337=""region"",vlookup(REGEXEXTRACT(C337, ""🏘️ \w+ \w+ (.*) ✅""),'Region prepositions'!B:F, 5, 0),  REGEXEXTRACT(C337, ""🏘️ \w+ \w+ (.*) ✅""))))"),"Eclépens")</f>
        <v>Eclépens</v>
      </c>
      <c r="F337" s="2" t="str">
        <f>IFERROR(__xludf.DUMMYFUNCTION("REGEXEXTRACT(C337, ""🏘️ (\w+) \w+ .* ✅"")"),"Louer")</f>
        <v>Louer</v>
      </c>
      <c r="G337" s="2" t="str">
        <f>IFERROR(__xludf.DUMMYFUNCTION("REGEXEXTRACT(C337, ""🏘️ \w+ (\w+) .* ✅"")"),"appartement")</f>
        <v>appartement</v>
      </c>
      <c r="H337" s="4" t="str">
        <f>IFERROR(__xludf.DUMMYFUNCTION("REGEXEXTRACT(A337, ""/(\w+)-.*?"")"),"lieu")</f>
        <v>lieu</v>
      </c>
      <c r="I337" s="4" t="str">
        <f>IFERROR(__xludf.DUMMYFUNCTION("if(D337=""variant"",  substitute(filter(Templates!E:E, Templates!A:A = F337, Templates!B:B = G337, Templates!C:C = H337), ""{{}}"", E337), B337)"),"🏘  Vous cherchez un appartement à louer à Eclépens? ✅ Les annonces les plus actuelles sont sur ImmoScout24.ch.")</f>
        <v>🏘  Vous cherchez un appartement à louer à Eclépens? ✅ Les annonces les plus actuelles sont sur ImmoScout24.ch.</v>
      </c>
      <c r="J337" s="4" t="s">
        <v>1016</v>
      </c>
    </row>
    <row r="338">
      <c r="A338" s="5" t="s">
        <v>1017</v>
      </c>
      <c r="B338" s="2" t="s">
        <v>1018</v>
      </c>
      <c r="C338" s="4" t="str">
        <f>IFERROR(__xludf.DUMMYFUNCTION("""🏘️ ""&amp;REGEXEXTRACT(B338, ""^(.*): "")&amp;"" ✅ "" &amp;REGEXEXTRACT(B338, ""(Trouvez.*)"")"),"🏘️ Vendre appartement Villeret ✅ Trouvez le bien immobilier qui correspond idéalement à vos désirs sur ImmoScout24 - La plateforme de l'immobilier en Suisse.")</f>
        <v>🏘️ Vendre appartement Villeret ✅ Trouvez le bien immobilier qui correspond idéalement à vos désirs sur ImmoScout24 - La plateforme de l'immobilier en Suisse.</v>
      </c>
      <c r="D338" s="4" t="str">
        <f>vlookup(A338, Sheet2!D:E, 2, 0)</f>
        <v>variant</v>
      </c>
      <c r="E338" s="4" t="str">
        <f>IFERROR(__xludf.DUMMYFUNCTION("if(H338=""pays"",vlookup(REGEXEXTRACT(C338, ""🏘️ \w+ \w+ (.*) ✅""),'Country prepositions'!A:B, 2, 0) &amp; "" "" &amp; REGEXEXTRACT(C338, ""🏘️ \w+ \w+ (.*) ✅"") ,  if(H338=""quartier"",vlookup(REGEXEXTRACT(C338, ""🏘️ \w+ \w+ (.*) ✅""),'Quartier prepositions'!A"&amp;":E, 5, 0) ,  if(H338=""region"",vlookup(REGEXEXTRACT(C338, ""🏘️ \w+ \w+ (.*) ✅""),'Region prepositions'!B:F, 5, 0),  REGEXEXTRACT(C338, ""🏘️ \w+ \w+ (.*) ✅""))))"),"Villeret")</f>
        <v>Villeret</v>
      </c>
      <c r="F338" s="2" t="str">
        <f>IFERROR(__xludf.DUMMYFUNCTION("REGEXEXTRACT(C338, ""🏘️ (\w+) \w+ .* ✅"")"),"Vendre")</f>
        <v>Vendre</v>
      </c>
      <c r="G338" s="2" t="str">
        <f>IFERROR(__xludf.DUMMYFUNCTION("REGEXEXTRACT(C338, ""🏘️ \w+ (\w+) .* ✅"")"),"appartement")</f>
        <v>appartement</v>
      </c>
      <c r="H338" s="4" t="str">
        <f>IFERROR(__xludf.DUMMYFUNCTION("REGEXEXTRACT(A338, ""/(\w+)-.*?"")"),"lieu")</f>
        <v>lieu</v>
      </c>
      <c r="I338" s="4" t="str">
        <f>IFERROR(__xludf.DUMMYFUNCTION("if(D338=""variant"",  substitute(filter(Templates!E:E, Templates!A:A = F338, Templates!B:B = G338, Templates!C:C = H338), ""{{}}"", E338), B338)"),"🏘  L’appartement de vos rêves se trouve sur ImmoScout24.ch ✅ Découvrez les dernières annonces de vente à Villeret.")</f>
        <v>🏘  L’appartement de vos rêves se trouve sur ImmoScout24.ch ✅ Découvrez les dernières annonces de vente à Villeret.</v>
      </c>
      <c r="J338" s="4" t="s">
        <v>1019</v>
      </c>
    </row>
    <row r="339">
      <c r="A339" s="5" t="s">
        <v>1020</v>
      </c>
      <c r="B339" s="2" t="s">
        <v>1021</v>
      </c>
      <c r="C339" s="4" t="str">
        <f>IFERROR(__xludf.DUMMYFUNCTION("""🏘️ ""&amp;REGEXEXTRACT(B339, ""^(.*): "")&amp;"" ✅ "" &amp;REGEXEXTRACT(B339, ""(Trouvez.*)"")"),"🏘️ Louer appartement Troistorrents ✅ Trouvez le bien immobilier qui correspond idéalement à vos désirs sur ImmoScout24 - La plateforme de l'immobilier en Suisse.")</f>
        <v>🏘️ Louer appartement Troistorrents ✅ Trouvez le bien immobilier qui correspond idéalement à vos désirs sur ImmoScout24 - La plateforme de l'immobilier en Suisse.</v>
      </c>
      <c r="D339" s="4" t="str">
        <f>vlookup(A339, Sheet2!D:E, 2, 0)</f>
        <v>variant</v>
      </c>
      <c r="E339" s="4" t="str">
        <f>IFERROR(__xludf.DUMMYFUNCTION("if(H339=""pays"",vlookup(REGEXEXTRACT(C339, ""🏘️ \w+ \w+ (.*) ✅""),'Country prepositions'!A:B, 2, 0) &amp; "" "" &amp; REGEXEXTRACT(C339, ""🏘️ \w+ \w+ (.*) ✅"") ,  if(H339=""quartier"",vlookup(REGEXEXTRACT(C339, ""🏘️ \w+ \w+ (.*) ✅""),'Quartier prepositions'!A"&amp;":E, 5, 0) ,  if(H339=""region"",vlookup(REGEXEXTRACT(C339, ""🏘️ \w+ \w+ (.*) ✅""),'Region prepositions'!B:F, 5, 0),  REGEXEXTRACT(C339, ""🏘️ \w+ \w+ (.*) ✅""))))"),"Troistorrents")</f>
        <v>Troistorrents</v>
      </c>
      <c r="F339" s="2" t="str">
        <f>IFERROR(__xludf.DUMMYFUNCTION("REGEXEXTRACT(C339, ""🏘️ (\w+) \w+ .* ✅"")"),"Louer")</f>
        <v>Louer</v>
      </c>
      <c r="G339" s="2" t="str">
        <f>IFERROR(__xludf.DUMMYFUNCTION("REGEXEXTRACT(C339, ""🏘️ \w+ (\w+) .* ✅"")"),"appartement")</f>
        <v>appartement</v>
      </c>
      <c r="H339" s="4" t="str">
        <f>IFERROR(__xludf.DUMMYFUNCTION("REGEXEXTRACT(A339, ""/(\w+)-.*?"")"),"lieu")</f>
        <v>lieu</v>
      </c>
      <c r="I339" s="4" t="str">
        <f>IFERROR(__xludf.DUMMYFUNCTION("if(D339=""variant"",  substitute(filter(Templates!E:E, Templates!A:A = F339, Templates!B:B = G339, Templates!C:C = H339), ""{{}}"", E339), B339)"),"🏘  Vous cherchez un appartement à louer à Troistorrents? ✅ Les annonces les plus actuelles sont sur ImmoScout24.ch.")</f>
        <v>🏘  Vous cherchez un appartement à louer à Troistorrents? ✅ Les annonces les plus actuelles sont sur ImmoScout24.ch.</v>
      </c>
      <c r="J339" s="4" t="s">
        <v>1022</v>
      </c>
    </row>
    <row r="340">
      <c r="A340" s="5" t="s">
        <v>1023</v>
      </c>
      <c r="B340" s="2" t="s">
        <v>1024</v>
      </c>
      <c r="C340" s="4" t="str">
        <f>IFERROR(__xludf.DUMMYFUNCTION("""🏘️ ""&amp;REGEXEXTRACT(B340, ""^(.*): "")&amp;"" ✅ "" &amp;REGEXEXTRACT(B340, ""(Trouvez.*)"")"),"🏘️ Louer appartement Uetliberg ✅ Trouvez le bien immobilier qui correspond idéalement à vos désirs sur ImmoScout24 - La plateforme de l'immobilier en Suisse.")</f>
        <v>🏘️ Louer appartement Uetliberg ✅ Trouvez le bien immobilier qui correspond idéalement à vos désirs sur ImmoScout24 - La plateforme de l'immobilier en Suisse.</v>
      </c>
      <c r="D340" s="4" t="str">
        <f>vlookup(A340, Sheet2!D:E, 2, 0)</f>
        <v>variant</v>
      </c>
      <c r="E340" s="4" t="str">
        <f>IFERROR(__xludf.DUMMYFUNCTION("if(H340=""pays"",vlookup(REGEXEXTRACT(C340, ""🏘️ \w+ \w+ (.*) ✅""),'Country prepositions'!A:B, 2, 0) &amp; "" "" &amp; REGEXEXTRACT(C340, ""🏘️ \w+ \w+ (.*) ✅"") ,  if(H340=""quartier"",vlookup(REGEXEXTRACT(C340, ""🏘️ \w+ \w+ (.*) ✅""),'Quartier prepositions'!A"&amp;":E, 5, 0) ,  if(H340=""region"",vlookup(REGEXEXTRACT(C340, ""🏘️ \w+ \w+ (.*) ✅""),'Region prepositions'!B:F, 5, 0),  REGEXEXTRACT(C340, ""🏘️ \w+ \w+ (.*) ✅""))))"),"Uetliberg")</f>
        <v>Uetliberg</v>
      </c>
      <c r="F340" s="2" t="str">
        <f>IFERROR(__xludf.DUMMYFUNCTION("REGEXEXTRACT(C340, ""🏘️ (\w+) \w+ .* ✅"")"),"Louer")</f>
        <v>Louer</v>
      </c>
      <c r="G340" s="2" t="str">
        <f>IFERROR(__xludf.DUMMYFUNCTION("REGEXEXTRACT(C340, ""🏘️ \w+ (\w+) .* ✅"")"),"appartement")</f>
        <v>appartement</v>
      </c>
      <c r="H340" s="4" t="str">
        <f>IFERROR(__xludf.DUMMYFUNCTION("REGEXEXTRACT(A340, ""/(\w+)-.*?"")"),"lieu")</f>
        <v>lieu</v>
      </c>
      <c r="I340" s="4" t="str">
        <f>IFERROR(__xludf.DUMMYFUNCTION("if(D340=""variant"",  substitute(filter(Templates!E:E, Templates!A:A = F340, Templates!B:B = G340, Templates!C:C = H340), ""{{}}"", E340), B340)"),"🏘  Vous cherchez un appartement à louer à Uetliberg? ✅ Les annonces les plus actuelles sont sur ImmoScout24.ch.")</f>
        <v>🏘  Vous cherchez un appartement à louer à Uetliberg? ✅ Les annonces les plus actuelles sont sur ImmoScout24.ch.</v>
      </c>
      <c r="J340" s="4" t="s">
        <v>1025</v>
      </c>
    </row>
    <row r="341">
      <c r="A341" s="5" t="s">
        <v>1026</v>
      </c>
      <c r="B341" s="2" t="s">
        <v>1027</v>
      </c>
      <c r="C341" s="4" t="str">
        <f>IFERROR(__xludf.DUMMYFUNCTION("""🏘️ ""&amp;REGEXEXTRACT(B341, ""^(.*): "")&amp;"" ✅ "" &amp;REGEXEXTRACT(B341, ""(Trouvez.*)"")"),"🏘️ Vendre maison Les Ponts-de-Martel ✅ Trouvez le bien immobilier qui correspond idéalement à vos désirs sur ImmoScout24 - La plateforme de l'immobilier en Suisse.")</f>
        <v>🏘️ Vendre maison Les Ponts-de-Martel ✅ Trouvez le bien immobilier qui correspond idéalement à vos désirs sur ImmoScout24 - La plateforme de l'immobilier en Suisse.</v>
      </c>
      <c r="D341" s="4" t="str">
        <f>vlookup(A341, Sheet2!D:E, 2, 0)</f>
        <v>variant</v>
      </c>
      <c r="E341" s="4" t="str">
        <f>IFERROR(__xludf.DUMMYFUNCTION("if(H341=""pays"",vlookup(REGEXEXTRACT(C341, ""🏘️ \w+ \w+ (.*) ✅""),'Country prepositions'!A:B, 2, 0) &amp; "" "" &amp; REGEXEXTRACT(C341, ""🏘️ \w+ \w+ (.*) ✅"") ,  if(H341=""quartier"",vlookup(REGEXEXTRACT(C341, ""🏘️ \w+ \w+ (.*) ✅""),'Quartier prepositions'!A"&amp;":E, 5, 0) ,  if(H341=""region"",vlookup(REGEXEXTRACT(C341, ""🏘️ \w+ \w+ (.*) ✅""),'Region prepositions'!B:F, 5, 0),  REGEXEXTRACT(C341, ""🏘️ \w+ \w+ (.*) ✅""))))"),"Les Ponts-de-Martel")</f>
        <v>Les Ponts-de-Martel</v>
      </c>
      <c r="F341" s="2" t="str">
        <f>IFERROR(__xludf.DUMMYFUNCTION("REGEXEXTRACT(C341, ""🏘️ (\w+) \w+ .* ✅"")"),"Vendre")</f>
        <v>Vendre</v>
      </c>
      <c r="G341" s="2" t="str">
        <f>IFERROR(__xludf.DUMMYFUNCTION("REGEXEXTRACT(C341, ""🏘️ \w+ (\w+) .* ✅"")"),"maison")</f>
        <v>maison</v>
      </c>
      <c r="H341" s="4" t="str">
        <f>IFERROR(__xludf.DUMMYFUNCTION("REGEXEXTRACT(A341, ""/(\w+)-.*?"")"),"lieu")</f>
        <v>lieu</v>
      </c>
      <c r="I341" s="8" t="str">
        <f>IFERROR(__xludf.DUMMYFUNCTION("if(D341=""variant"",  substitute(filter(Templates!E:E, Templates!A:A = F341, Templates!B:B = G341, Templates!C:C = H341), ""{{}}"", E341), B341)"),"🏘  Vous souhaitez acheter une maison à Les Ponts-de-Martel? ✅ Jetez un œil aux dernières offres sur ImmoScout24.ch.")</f>
        <v>🏘  Vous souhaitez acheter une maison à Les Ponts-de-Martel? ✅ Jetez un œil aux dernières offres sur ImmoScout24.ch.</v>
      </c>
      <c r="J341" s="2" t="s">
        <v>1028</v>
      </c>
    </row>
    <row r="342">
      <c r="A342" s="5" t="s">
        <v>1029</v>
      </c>
      <c r="B342" s="2" t="s">
        <v>1030</v>
      </c>
      <c r="C342" s="4" t="str">
        <f>IFERROR(__xludf.DUMMYFUNCTION("""🏘️ ""&amp;REGEXEXTRACT(B342, ""^(.*): "")&amp;"" ✅ "" &amp;REGEXEXTRACT(B342, ""(Trouvez.*)"")"),"🏘️ Louer appartement Campione d'Italia ✅ Trouvez le bien immobilier qui correspond idéalement à vos désirs sur ImmoScout24 - La plateforme de l'immobilier en Suisse.")</f>
        <v>🏘️ Louer appartement Campione d'Italia ✅ Trouvez le bien immobilier qui correspond idéalement à vos désirs sur ImmoScout24 - La plateforme de l'immobilier en Suisse.</v>
      </c>
      <c r="D342" s="4" t="str">
        <f>vlookup(A342, Sheet2!D:E, 2, 0)</f>
        <v>variant</v>
      </c>
      <c r="E342" s="4" t="str">
        <f>IFERROR(__xludf.DUMMYFUNCTION("if(H342=""pays"",vlookup(REGEXEXTRACT(C342, ""🏘️ \w+ \w+ (.*) ✅""),'Country prepositions'!A:B, 2, 0) &amp; "" "" &amp; REGEXEXTRACT(C342, ""🏘️ \w+ \w+ (.*) ✅"") ,  if(H342=""quartier"",vlookup(REGEXEXTRACT(C342, ""🏘️ \w+ \w+ (.*) ✅""),'Quartier prepositions'!A"&amp;":E, 5, 0) ,  if(H342=""region"",vlookup(REGEXEXTRACT(C342, ""🏘️ \w+ \w+ (.*) ✅""),'Region prepositions'!B:F, 5, 0),  REGEXEXTRACT(C342, ""🏘️ \w+ \w+ (.*) ✅""))))"),"Campione d'Italia")</f>
        <v>Campione d'Italia</v>
      </c>
      <c r="F342" s="2" t="str">
        <f>IFERROR(__xludf.DUMMYFUNCTION("REGEXEXTRACT(C342, ""🏘️ (\w+) \w+ .* ✅"")"),"Louer")</f>
        <v>Louer</v>
      </c>
      <c r="G342" s="2" t="str">
        <f>IFERROR(__xludf.DUMMYFUNCTION("REGEXEXTRACT(C342, ""🏘️ \w+ (\w+) .* ✅"")"),"appartement")</f>
        <v>appartement</v>
      </c>
      <c r="H342" s="4" t="str">
        <f>IFERROR(__xludf.DUMMYFUNCTION("REGEXEXTRACT(A342, ""/(\w+)-.*?"")"),"lieu")</f>
        <v>lieu</v>
      </c>
      <c r="I342" s="4" t="str">
        <f>IFERROR(__xludf.DUMMYFUNCTION("if(D342=""variant"",  substitute(filter(Templates!E:E, Templates!A:A = F342, Templates!B:B = G342, Templates!C:C = H342), ""{{}}"", E342), B342)"),"🏘  Vous cherchez un appartement à louer à Campione d'Italia? ✅ Les annonces les plus actuelles sont sur ImmoScout24.ch.")</f>
        <v>🏘  Vous cherchez un appartement à louer à Campione d'Italia? ✅ Les annonces les plus actuelles sont sur ImmoScout24.ch.</v>
      </c>
      <c r="J342" s="4" t="s">
        <v>1031</v>
      </c>
    </row>
    <row r="343">
      <c r="A343" s="5" t="s">
        <v>1032</v>
      </c>
      <c r="B343" s="2" t="s">
        <v>1033</v>
      </c>
      <c r="C343" s="4" t="str">
        <f>IFERROR(__xludf.DUMMYFUNCTION("""🏘️ ""&amp;REGEXEXTRACT(B343, ""^(.*): "")&amp;"" ✅ "" &amp;REGEXEXTRACT(B343, ""(Trouvez.*)"")"),"🏘️ Vendre maison La Roche FR ✅ Trouvez le bien immobilier qui correspond idéalement à vos désirs sur ImmoScout24 - La plateforme de l'immobilier en Suisse.")</f>
        <v>🏘️ Vendre maison La Roche FR ✅ Trouvez le bien immobilier qui correspond idéalement à vos désirs sur ImmoScout24 - La plateforme de l'immobilier en Suisse.</v>
      </c>
      <c r="D343" s="4" t="str">
        <f>vlookup(A343, Sheet2!D:E, 2, 0)</f>
        <v>variant</v>
      </c>
      <c r="E343" s="4" t="str">
        <f>IFERROR(__xludf.DUMMYFUNCTION("if(H343=""pays"",vlookup(REGEXEXTRACT(C343, ""🏘️ \w+ \w+ (.*) ✅""),'Country prepositions'!A:B, 2, 0) &amp; "" "" &amp; REGEXEXTRACT(C343, ""🏘️ \w+ \w+ (.*) ✅"") ,  if(H343=""quartier"",vlookup(REGEXEXTRACT(C343, ""🏘️ \w+ \w+ (.*) ✅""),'Quartier prepositions'!A"&amp;":E, 5, 0) ,  if(H343=""region"",vlookup(REGEXEXTRACT(C343, ""🏘️ \w+ \w+ (.*) ✅""),'Region prepositions'!B:F, 5, 0),  REGEXEXTRACT(C343, ""🏘️ \w+ \w+ (.*) ✅""))))"),"La Roche FR")</f>
        <v>La Roche FR</v>
      </c>
      <c r="F343" s="2" t="str">
        <f>IFERROR(__xludf.DUMMYFUNCTION("REGEXEXTRACT(C343, ""🏘️ (\w+) \w+ .* ✅"")"),"Vendre")</f>
        <v>Vendre</v>
      </c>
      <c r="G343" s="2" t="str">
        <f>IFERROR(__xludf.DUMMYFUNCTION("REGEXEXTRACT(C343, ""🏘️ \w+ (\w+) .* ✅"")"),"maison")</f>
        <v>maison</v>
      </c>
      <c r="H343" s="4" t="str">
        <f>IFERROR(__xludf.DUMMYFUNCTION("REGEXEXTRACT(A343, ""/(\w+)-.*?"")"),"lieu")</f>
        <v>lieu</v>
      </c>
      <c r="I343" s="4" t="str">
        <f>IFERROR(__xludf.DUMMYFUNCTION("if(D343=""variant"",  substitute(filter(Templates!E:E, Templates!A:A = F343, Templates!B:B = G343, Templates!C:C = H343), ""{{}}"", E343), B343)"),"🏘  Vous souhaitez acheter une maison à La Roche FR? ✅ Jetez un œil aux dernières offres sur ImmoScout24.ch.")</f>
        <v>🏘  Vous souhaitez acheter une maison à La Roche FR? ✅ Jetez un œil aux dernières offres sur ImmoScout24.ch.</v>
      </c>
      <c r="J343" s="4" t="s">
        <v>1034</v>
      </c>
    </row>
    <row r="344">
      <c r="A344" s="5" t="s">
        <v>1035</v>
      </c>
      <c r="B344" s="2" t="s">
        <v>1036</v>
      </c>
      <c r="C344" s="4" t="str">
        <f>IFERROR(__xludf.DUMMYFUNCTION("""🏘️ ""&amp;REGEXEXTRACT(B344, ""^(.*): "")&amp;"" ✅ "" &amp;REGEXEXTRACT(B344, ""(Trouvez.*)"")"),"🏘️ Louer maison Canton de Vaud ✅ Trouvez le bien immobilier qui correspond idéalement à vos désirs sur ImmoScout24 - La plateforme de l'immobilier en Suisse.")</f>
        <v>🏘️ Louer maison Canton de Vaud ✅ Trouvez le bien immobilier qui correspond idéalement à vos désirs sur ImmoScout24 - La plateforme de l'immobilier en Suisse.</v>
      </c>
      <c r="D344" s="4" t="str">
        <f>vlookup(A344, Sheet2!D:E, 2, 0)</f>
        <v>variant</v>
      </c>
      <c r="E344" s="4" t="str">
        <f>IFERROR(__xludf.DUMMYFUNCTION("if(H344=""pays"",vlookup(REGEXEXTRACT(C344, ""🏘️ \w+ \w+ (.*) ✅""),'Country prepositions'!A:B, 2, 0) &amp; "" "" &amp; REGEXEXTRACT(C344, ""🏘️ \w+ \w+ (.*) ✅"") ,  if(H344=""quartier"",vlookup(REGEXEXTRACT(C344, ""🏘️ \w+ \w+ (.*) ✅""),'Quartier prepositions'!A"&amp;":E, 5, 0) ,  if(H344=""region"",vlookup(REGEXEXTRACT(C344, ""🏘️ \w+ \w+ (.*) ✅""),'Region prepositions'!B:F, 5, 0),  REGEXEXTRACT(C344, ""🏘️ \w+ \w+ (.*) ✅""))))"),"Canton de Vaud")</f>
        <v>Canton de Vaud</v>
      </c>
      <c r="F344" s="2" t="str">
        <f>IFERROR(__xludf.DUMMYFUNCTION("REGEXEXTRACT(C344, ""🏘️ (\w+) \w+ .* ✅"")"),"Louer")</f>
        <v>Louer</v>
      </c>
      <c r="G344" s="2" t="str">
        <f>IFERROR(__xludf.DUMMYFUNCTION("REGEXEXTRACT(C344, ""🏘️ \w+ (\w+) .* ✅"")"),"maison")</f>
        <v>maison</v>
      </c>
      <c r="H344" s="4" t="str">
        <f>IFERROR(__xludf.DUMMYFUNCTION("REGEXEXTRACT(A344, ""/(\w+)-.*?"")"),"canton")</f>
        <v>canton</v>
      </c>
      <c r="I344" s="4" t="str">
        <f>IFERROR(__xludf.DUMMYFUNCTION("if(D344=""variant"",  substitute(filter(Templates!E:E, Templates!A:A = F344, Templates!B:B = G344, Templates!C:C = H344), ""{{}}"", E344), B344)"),"🏘  Vous cherchez une maison à louer dans le Canton de Vaud? ✅ Découvrez nos nombreuses annonces sur ImmoScout24.ch.")</f>
        <v>🏘  Vous cherchez une maison à louer dans le Canton de Vaud? ✅ Découvrez nos nombreuses annonces sur ImmoScout24.ch.</v>
      </c>
      <c r="J344" s="4" t="s">
        <v>1037</v>
      </c>
    </row>
    <row r="345">
      <c r="A345" s="5" t="s">
        <v>1038</v>
      </c>
      <c r="B345" s="2" t="s">
        <v>1039</v>
      </c>
      <c r="C345" s="4" t="str">
        <f>IFERROR(__xludf.DUMMYFUNCTION("""🏘️ ""&amp;REGEXEXTRACT(B345, ""^(.*): "")&amp;"" ✅ "" &amp;REGEXEXTRACT(B345, ""(Trouvez.*)"")"),"🏘️ Louer appartement Rougemont ✅ Trouvez le bien immobilier qui correspond idéalement à vos désirs sur ImmoScout24 - La plateforme de l'immobilier en Suisse.")</f>
        <v>🏘️ Louer appartement Rougemont ✅ Trouvez le bien immobilier qui correspond idéalement à vos désirs sur ImmoScout24 - La plateforme de l'immobilier en Suisse.</v>
      </c>
      <c r="D345" s="4" t="str">
        <f>vlookup(A345, Sheet2!D:E, 2, 0)</f>
        <v>variant</v>
      </c>
      <c r="E345" s="4" t="str">
        <f>IFERROR(__xludf.DUMMYFUNCTION("if(H345=""pays"",vlookup(REGEXEXTRACT(C345, ""🏘️ \w+ \w+ (.*) ✅""),'Country prepositions'!A:B, 2, 0) &amp; "" "" &amp; REGEXEXTRACT(C345, ""🏘️ \w+ \w+ (.*) ✅"") ,  if(H345=""quartier"",vlookup(REGEXEXTRACT(C345, ""🏘️ \w+ \w+ (.*) ✅""),'Quartier prepositions'!A"&amp;":E, 5, 0) ,  if(H345=""region"",vlookup(REGEXEXTRACT(C345, ""🏘️ \w+ \w+ (.*) ✅""),'Region prepositions'!B:F, 5, 0),  REGEXEXTRACT(C345, ""🏘️ \w+ \w+ (.*) ✅""))))"),"Rougemont")</f>
        <v>Rougemont</v>
      </c>
      <c r="F345" s="2" t="str">
        <f>IFERROR(__xludf.DUMMYFUNCTION("REGEXEXTRACT(C345, ""🏘️ (\w+) \w+ .* ✅"")"),"Louer")</f>
        <v>Louer</v>
      </c>
      <c r="G345" s="2" t="str">
        <f>IFERROR(__xludf.DUMMYFUNCTION("REGEXEXTRACT(C345, ""🏘️ \w+ (\w+) .* ✅"")"),"appartement")</f>
        <v>appartement</v>
      </c>
      <c r="H345" s="4" t="str">
        <f>IFERROR(__xludf.DUMMYFUNCTION("REGEXEXTRACT(A345, ""/(\w+)-.*?"")"),"lieu")</f>
        <v>lieu</v>
      </c>
      <c r="I345" s="4" t="str">
        <f>IFERROR(__xludf.DUMMYFUNCTION("if(D345=""variant"",  substitute(filter(Templates!E:E, Templates!A:A = F345, Templates!B:B = G345, Templates!C:C = H345), ""{{}}"", E345), B345)"),"🏘  Vous cherchez un appartement à louer à Rougemont? ✅ Les annonces les plus actuelles sont sur ImmoScout24.ch.")</f>
        <v>🏘  Vous cherchez un appartement à louer à Rougemont? ✅ Les annonces les plus actuelles sont sur ImmoScout24.ch.</v>
      </c>
      <c r="J345" s="4" t="s">
        <v>1040</v>
      </c>
    </row>
    <row r="346">
      <c r="A346" s="5" t="s">
        <v>1041</v>
      </c>
      <c r="B346" s="2" t="s">
        <v>1042</v>
      </c>
      <c r="C346" s="4" t="str">
        <f>IFERROR(__xludf.DUMMYFUNCTION("""🏘️ ""&amp;REGEXEXTRACT(B346, ""^(.*): "")&amp;"" ✅ "" &amp;REGEXEXTRACT(B346, ""(Trouvez.*)"")"),"🏘️ Louer appartement Kallnach ✅ Trouvez le bien immobilier qui correspond idéalement à vos désirs sur ImmoScout24 - La plateforme de l'immobilier en Suisse.")</f>
        <v>🏘️ Louer appartement Kallnach ✅ Trouvez le bien immobilier qui correspond idéalement à vos désirs sur ImmoScout24 - La plateforme de l'immobilier en Suisse.</v>
      </c>
      <c r="D346" s="4" t="str">
        <f>vlookup(A346, Sheet2!D:E, 2, 0)</f>
        <v>variant</v>
      </c>
      <c r="E346" s="4" t="str">
        <f>IFERROR(__xludf.DUMMYFUNCTION("if(H346=""pays"",vlookup(REGEXEXTRACT(C346, ""🏘️ \w+ \w+ (.*) ✅""),'Country prepositions'!A:B, 2, 0) &amp; "" "" &amp; REGEXEXTRACT(C346, ""🏘️ \w+ \w+ (.*) ✅"") ,  if(H346=""quartier"",vlookup(REGEXEXTRACT(C346, ""🏘️ \w+ \w+ (.*) ✅""),'Quartier prepositions'!A"&amp;":E, 5, 0) ,  if(H346=""region"",vlookup(REGEXEXTRACT(C346, ""🏘️ \w+ \w+ (.*) ✅""),'Region prepositions'!B:F, 5, 0),  REGEXEXTRACT(C346, ""🏘️ \w+ \w+ (.*) ✅""))))"),"Kallnach")</f>
        <v>Kallnach</v>
      </c>
      <c r="F346" s="2" t="str">
        <f>IFERROR(__xludf.DUMMYFUNCTION("REGEXEXTRACT(C346, ""🏘️ (\w+) \w+ .* ✅"")"),"Louer")</f>
        <v>Louer</v>
      </c>
      <c r="G346" s="2" t="str">
        <f>IFERROR(__xludf.DUMMYFUNCTION("REGEXEXTRACT(C346, ""🏘️ \w+ (\w+) .* ✅"")"),"appartement")</f>
        <v>appartement</v>
      </c>
      <c r="H346" s="4" t="str">
        <f>IFERROR(__xludf.DUMMYFUNCTION("REGEXEXTRACT(A346, ""/(\w+)-.*?"")"),"lieu")</f>
        <v>lieu</v>
      </c>
      <c r="I346" s="4" t="str">
        <f>IFERROR(__xludf.DUMMYFUNCTION("if(D346=""variant"",  substitute(filter(Templates!E:E, Templates!A:A = F346, Templates!B:B = G346, Templates!C:C = H346), ""{{}}"", E346), B346)"),"🏘  Vous cherchez un appartement à louer à Kallnach? ✅ Les annonces les plus actuelles sont sur ImmoScout24.ch.")</f>
        <v>🏘  Vous cherchez un appartement à louer à Kallnach? ✅ Les annonces les plus actuelles sont sur ImmoScout24.ch.</v>
      </c>
      <c r="J346" s="4" t="s">
        <v>1043</v>
      </c>
    </row>
    <row r="347">
      <c r="A347" s="5" t="s">
        <v>1044</v>
      </c>
      <c r="B347" s="2" t="s">
        <v>1045</v>
      </c>
      <c r="C347" s="4" t="str">
        <f>IFERROR(__xludf.DUMMYFUNCTION("""🏘️ ""&amp;REGEXEXTRACT(B347, ""^(.*): "")&amp;"" ✅ "" &amp;REGEXEXTRACT(B347, ""(Trouvez.*)"")"),"🏘️ Vendre maison Trélex ✅ Trouvez le bien immobilier qui correspond idéalement à vos désirs sur ImmoScout24 - La plateforme de l'immobilier en Suisse.")</f>
        <v>🏘️ Vendre maison Trélex ✅ Trouvez le bien immobilier qui correspond idéalement à vos désirs sur ImmoScout24 - La plateforme de l'immobilier en Suisse.</v>
      </c>
      <c r="D347" s="4" t="str">
        <f>vlookup(A347, Sheet2!D:E, 2, 0)</f>
        <v>variant</v>
      </c>
      <c r="E347" s="4" t="str">
        <f>IFERROR(__xludf.DUMMYFUNCTION("if(H347=""pays"",vlookup(REGEXEXTRACT(C347, ""🏘️ \w+ \w+ (.*) ✅""),'Country prepositions'!A:B, 2, 0) &amp; "" "" &amp; REGEXEXTRACT(C347, ""🏘️ \w+ \w+ (.*) ✅"") ,  if(H347=""quartier"",vlookup(REGEXEXTRACT(C347, ""🏘️ \w+ \w+ (.*) ✅""),'Quartier prepositions'!A"&amp;":E, 5, 0) ,  if(H347=""region"",vlookup(REGEXEXTRACT(C347, ""🏘️ \w+ \w+ (.*) ✅""),'Region prepositions'!B:F, 5, 0),  REGEXEXTRACT(C347, ""🏘️ \w+ \w+ (.*) ✅""))))"),"Trélex")</f>
        <v>Trélex</v>
      </c>
      <c r="F347" s="2" t="str">
        <f>IFERROR(__xludf.DUMMYFUNCTION("REGEXEXTRACT(C347, ""🏘️ (\w+) \w+ .* ✅"")"),"Vendre")</f>
        <v>Vendre</v>
      </c>
      <c r="G347" s="2" t="str">
        <f>IFERROR(__xludf.DUMMYFUNCTION("REGEXEXTRACT(C347, ""🏘️ \w+ (\w+) .* ✅"")"),"maison")</f>
        <v>maison</v>
      </c>
      <c r="H347" s="4" t="str">
        <f>IFERROR(__xludf.DUMMYFUNCTION("REGEXEXTRACT(A347, ""/(\w+)-.*?"")"),"lieu")</f>
        <v>lieu</v>
      </c>
      <c r="I347" s="4" t="str">
        <f>IFERROR(__xludf.DUMMYFUNCTION("if(D347=""variant"",  substitute(filter(Templates!E:E, Templates!A:A = F347, Templates!B:B = G347, Templates!C:C = H347), ""{{}}"", E347), B347)"),"🏘  Vous souhaitez acheter une maison à Trélex? ✅ Jetez un œil aux dernières offres sur ImmoScout24.ch.")</f>
        <v>🏘  Vous souhaitez acheter une maison à Trélex? ✅ Jetez un œil aux dernières offres sur ImmoScout24.ch.</v>
      </c>
      <c r="J347" s="4" t="s">
        <v>1046</v>
      </c>
    </row>
    <row r="348">
      <c r="A348" s="5" t="s">
        <v>1047</v>
      </c>
      <c r="B348" s="2" t="s">
        <v>1048</v>
      </c>
      <c r="C348" s="4" t="str">
        <f>IFERROR(__xludf.DUMMYFUNCTION("""🏘️ ""&amp;REGEXEXTRACT(B348, ""^(.*): "")&amp;"" ✅ "" &amp;REGEXEXTRACT(B348, ""(Trouvez.*)"")"),"🏘️ Louer appartement Aesch ZH ✅ Trouvez le bien immobilier qui correspond idéalement à vos désirs sur ImmoScout24 - La plateforme de l'immobilier en Suisse.")</f>
        <v>🏘️ Louer appartement Aesch ZH ✅ Trouvez le bien immobilier qui correspond idéalement à vos désirs sur ImmoScout24 - La plateforme de l'immobilier en Suisse.</v>
      </c>
      <c r="D348" s="4" t="str">
        <f>vlookup(A348, Sheet2!D:E, 2, 0)</f>
        <v>variant</v>
      </c>
      <c r="E348" s="4" t="str">
        <f>IFERROR(__xludf.DUMMYFUNCTION("if(H348=""pays"",vlookup(REGEXEXTRACT(C348, ""🏘️ \w+ \w+ (.*) ✅""),'Country prepositions'!A:B, 2, 0) &amp; "" "" &amp; REGEXEXTRACT(C348, ""🏘️ \w+ \w+ (.*) ✅"") ,  if(H348=""quartier"",vlookup(REGEXEXTRACT(C348, ""🏘️ \w+ \w+ (.*) ✅""),'Quartier prepositions'!A"&amp;":E, 5, 0) ,  if(H348=""region"",vlookup(REGEXEXTRACT(C348, ""🏘️ \w+ \w+ (.*) ✅""),'Region prepositions'!B:F, 5, 0),  REGEXEXTRACT(C348, ""🏘️ \w+ \w+ (.*) ✅""))))"),"Aesch ZH")</f>
        <v>Aesch ZH</v>
      </c>
      <c r="F348" s="2" t="str">
        <f>IFERROR(__xludf.DUMMYFUNCTION("REGEXEXTRACT(C348, ""🏘️ (\w+) \w+ .* ✅"")"),"Louer")</f>
        <v>Louer</v>
      </c>
      <c r="G348" s="2" t="str">
        <f>IFERROR(__xludf.DUMMYFUNCTION("REGEXEXTRACT(C348, ""🏘️ \w+ (\w+) .* ✅"")"),"appartement")</f>
        <v>appartement</v>
      </c>
      <c r="H348" s="4" t="str">
        <f>IFERROR(__xludf.DUMMYFUNCTION("REGEXEXTRACT(A348, ""/(\w+)-.*?"")"),"lieu")</f>
        <v>lieu</v>
      </c>
      <c r="I348" s="4" t="str">
        <f>IFERROR(__xludf.DUMMYFUNCTION("if(D348=""variant"",  substitute(filter(Templates!E:E, Templates!A:A = F348, Templates!B:B = G348, Templates!C:C = H348), ""{{}}"", E348), B348)"),"🏘  Vous cherchez un appartement à louer à Aesch ZH? ✅ Les annonces les plus actuelles sont sur ImmoScout24.ch.")</f>
        <v>🏘  Vous cherchez un appartement à louer à Aesch ZH? ✅ Les annonces les plus actuelles sont sur ImmoScout24.ch.</v>
      </c>
      <c r="J348" s="4" t="s">
        <v>1049</v>
      </c>
    </row>
    <row r="349">
      <c r="A349" s="5" t="s">
        <v>1050</v>
      </c>
      <c r="B349" s="2" t="s">
        <v>1051</v>
      </c>
      <c r="C349" s="4" t="str">
        <f>IFERROR(__xludf.DUMMYFUNCTION("""🏘️ ""&amp;REGEXEXTRACT(B349, ""^(.*): "")&amp;"" ✅ "" &amp;REGEXEXTRACT(B349, ""(Trouvez.*)"")"),"🏘️ Louer appartement Vaumarcus ✅ Trouvez le bien immobilier qui correspond idéalement à vos désirs sur ImmoScout24 - La plateforme de l'immobilier en Suisse.")</f>
        <v>🏘️ Louer appartement Vaumarcus ✅ Trouvez le bien immobilier qui correspond idéalement à vos désirs sur ImmoScout24 - La plateforme de l'immobilier en Suisse.</v>
      </c>
      <c r="D349" s="4" t="str">
        <f>vlookup(A349, Sheet2!D:E, 2, 0)</f>
        <v>variant</v>
      </c>
      <c r="E349" s="4" t="str">
        <f>IFERROR(__xludf.DUMMYFUNCTION("if(H349=""pays"",vlookup(REGEXEXTRACT(C349, ""🏘️ \w+ \w+ (.*) ✅""),'Country prepositions'!A:B, 2, 0) &amp; "" "" &amp; REGEXEXTRACT(C349, ""🏘️ \w+ \w+ (.*) ✅"") ,  if(H349=""quartier"",vlookup(REGEXEXTRACT(C349, ""🏘️ \w+ \w+ (.*) ✅""),'Quartier prepositions'!A"&amp;":E, 5, 0) ,  if(H349=""region"",vlookup(REGEXEXTRACT(C349, ""🏘️ \w+ \w+ (.*) ✅""),'Region prepositions'!B:F, 5, 0),  REGEXEXTRACT(C349, ""🏘️ \w+ \w+ (.*) ✅""))))"),"Vaumarcus")</f>
        <v>Vaumarcus</v>
      </c>
      <c r="F349" s="2" t="str">
        <f>IFERROR(__xludf.DUMMYFUNCTION("REGEXEXTRACT(C349, ""🏘️ (\w+) \w+ .* ✅"")"),"Louer")</f>
        <v>Louer</v>
      </c>
      <c r="G349" s="2" t="str">
        <f>IFERROR(__xludf.DUMMYFUNCTION("REGEXEXTRACT(C349, ""🏘️ \w+ (\w+) .* ✅"")"),"appartement")</f>
        <v>appartement</v>
      </c>
      <c r="H349" s="4" t="str">
        <f>IFERROR(__xludf.DUMMYFUNCTION("REGEXEXTRACT(A349, ""/(\w+)-.*?"")"),"lieu")</f>
        <v>lieu</v>
      </c>
      <c r="I349" s="4" t="str">
        <f>IFERROR(__xludf.DUMMYFUNCTION("if(D349=""variant"",  substitute(filter(Templates!E:E, Templates!A:A = F349, Templates!B:B = G349, Templates!C:C = H349), ""{{}}"", E349), B349)"),"🏘  Vous cherchez un appartement à louer à Vaumarcus? ✅ Les annonces les plus actuelles sont sur ImmoScout24.ch.")</f>
        <v>🏘  Vous cherchez un appartement à louer à Vaumarcus? ✅ Les annonces les plus actuelles sont sur ImmoScout24.ch.</v>
      </c>
      <c r="J349" s="4" t="s">
        <v>1052</v>
      </c>
    </row>
    <row r="350">
      <c r="A350" s="5" t="s">
        <v>1053</v>
      </c>
      <c r="B350" s="2" t="s">
        <v>1054</v>
      </c>
      <c r="C350" s="4" t="str">
        <f>IFERROR(__xludf.DUMMYFUNCTION("""🏘️ ""&amp;REGEXEXTRACT(B350, ""^(.*): "")&amp;"" ✅ "" &amp;REGEXEXTRACT(B350, ""(Trouvez.*)"")"),"🏘️ Vendre appartement St-Gingolph ✅ Trouvez le bien immobilier qui correspond idéalement à vos désirs sur ImmoScout24 - La plateforme de l'immobilier en Suisse.")</f>
        <v>🏘️ Vendre appartement St-Gingolph ✅ Trouvez le bien immobilier qui correspond idéalement à vos désirs sur ImmoScout24 - La plateforme de l'immobilier en Suisse.</v>
      </c>
      <c r="D350" s="4" t="str">
        <f>vlookup(A350, Sheet2!D:E, 2, 0)</f>
        <v>variant</v>
      </c>
      <c r="E350" s="4" t="str">
        <f>IFERROR(__xludf.DUMMYFUNCTION("if(H350=""pays"",vlookup(REGEXEXTRACT(C350, ""🏘️ \w+ \w+ (.*) ✅""),'Country prepositions'!A:B, 2, 0) &amp; "" "" &amp; REGEXEXTRACT(C350, ""🏘️ \w+ \w+ (.*) ✅"") ,  if(H350=""quartier"",vlookup(REGEXEXTRACT(C350, ""🏘️ \w+ \w+ (.*) ✅""),'Quartier prepositions'!A"&amp;":E, 5, 0) ,  if(H350=""region"",vlookup(REGEXEXTRACT(C350, ""🏘️ \w+ \w+ (.*) ✅""),'Region prepositions'!B:F, 5, 0),  REGEXEXTRACT(C350, ""🏘️ \w+ \w+ (.*) ✅""))))"),"St-Gingolph")</f>
        <v>St-Gingolph</v>
      </c>
      <c r="F350" s="2" t="str">
        <f>IFERROR(__xludf.DUMMYFUNCTION("REGEXEXTRACT(C350, ""🏘️ (\w+) \w+ .* ✅"")"),"Vendre")</f>
        <v>Vendre</v>
      </c>
      <c r="G350" s="2" t="str">
        <f>IFERROR(__xludf.DUMMYFUNCTION("REGEXEXTRACT(C350, ""🏘️ \w+ (\w+) .* ✅"")"),"appartement")</f>
        <v>appartement</v>
      </c>
      <c r="H350" s="4" t="str">
        <f>IFERROR(__xludf.DUMMYFUNCTION("REGEXEXTRACT(A350, ""/(\w+)-.*?"")"),"lieu")</f>
        <v>lieu</v>
      </c>
      <c r="I350" s="4" t="str">
        <f>IFERROR(__xludf.DUMMYFUNCTION("if(D350=""variant"",  substitute(filter(Templates!E:E, Templates!A:A = F350, Templates!B:B = G350, Templates!C:C = H350), ""{{}}"", E350), B350)"),"🏘  L’appartement de vos rêves se trouve sur ImmoScout24.ch ✅ Découvrez les dernières annonces de vente à St-Gingolph.")</f>
        <v>🏘  L’appartement de vos rêves se trouve sur ImmoScout24.ch ✅ Découvrez les dernières annonces de vente à St-Gingolph.</v>
      </c>
      <c r="J350" s="4" t="s">
        <v>1055</v>
      </c>
    </row>
    <row r="351">
      <c r="A351" s="5" t="s">
        <v>1056</v>
      </c>
      <c r="B351" s="2" t="s">
        <v>1057</v>
      </c>
      <c r="C351" s="4" t="str">
        <f>IFERROR(__xludf.DUMMYFUNCTION("""🏘️ ""&amp;REGEXEXTRACT(B351, ""^(.*): "")&amp;"" ✅ "" &amp;REGEXEXTRACT(B351, ""(Trouvez.*)"")"),"🏘️ Vendre appartement Wangen b. Dübendorf ✅ Trouvez le bien immobilier qui correspond idéalement à vos désirs sur ImmoScout24 - La plateforme de l'immobilier en Suisse.")</f>
        <v>🏘️ Vendre appartement Wangen b. Dübendorf ✅ Trouvez le bien immobilier qui correspond idéalement à vos désirs sur ImmoScout24 - La plateforme de l'immobilier en Suisse.</v>
      </c>
      <c r="D351" s="4" t="str">
        <f>vlookup(A351, Sheet2!D:E, 2, 0)</f>
        <v>variant</v>
      </c>
      <c r="E351" s="4" t="str">
        <f>IFERROR(__xludf.DUMMYFUNCTION("if(H351=""pays"",vlookup(REGEXEXTRACT(C351, ""🏘️ \w+ \w+ (.*) ✅""),'Country prepositions'!A:B, 2, 0) &amp; "" "" &amp; REGEXEXTRACT(C351, ""🏘️ \w+ \w+ (.*) ✅"") ,  if(H351=""quartier"",vlookup(REGEXEXTRACT(C351, ""🏘️ \w+ \w+ (.*) ✅""),'Quartier prepositions'!A"&amp;":E, 5, 0) ,  if(H351=""region"",vlookup(REGEXEXTRACT(C351, ""🏘️ \w+ \w+ (.*) ✅""),'Region prepositions'!B:F, 5, 0),  REGEXEXTRACT(C351, ""🏘️ \w+ \w+ (.*) ✅""))))"),"Wangen b. Dübendorf")</f>
        <v>Wangen b. Dübendorf</v>
      </c>
      <c r="F351" s="2" t="str">
        <f>IFERROR(__xludf.DUMMYFUNCTION("REGEXEXTRACT(C351, ""🏘️ (\w+) \w+ .* ✅"")"),"Vendre")</f>
        <v>Vendre</v>
      </c>
      <c r="G351" s="2" t="str">
        <f>IFERROR(__xludf.DUMMYFUNCTION("REGEXEXTRACT(C351, ""🏘️ \w+ (\w+) .* ✅"")"),"appartement")</f>
        <v>appartement</v>
      </c>
      <c r="H351" s="4" t="str">
        <f>IFERROR(__xludf.DUMMYFUNCTION("REGEXEXTRACT(A351, ""/(\w+)-.*?"")"),"lieu")</f>
        <v>lieu</v>
      </c>
      <c r="I351" s="4" t="str">
        <f>IFERROR(__xludf.DUMMYFUNCTION("if(D351=""variant"",  substitute(filter(Templates!E:E, Templates!A:A = F351, Templates!B:B = G351, Templates!C:C = H351), ""{{}}"", E351), B351)"),"🏘  L’appartement de vos rêves se trouve sur ImmoScout24.ch ✅ Découvrez les dernières annonces de vente à Wangen b. Dübendorf.")</f>
        <v>🏘  L’appartement de vos rêves se trouve sur ImmoScout24.ch ✅ Découvrez les dernières annonces de vente à Wangen b. Dübendorf.</v>
      </c>
      <c r="J351" s="4" t="s">
        <v>1058</v>
      </c>
    </row>
    <row r="352">
      <c r="A352" s="5" t="s">
        <v>1059</v>
      </c>
      <c r="B352" s="2" t="s">
        <v>1060</v>
      </c>
      <c r="C352" s="4" t="str">
        <f>IFERROR(__xludf.DUMMYFUNCTION("""🏘️ ""&amp;REGEXEXTRACT(B352, ""^(.*): "")&amp;"" ✅ "" &amp;REGEXEXTRACT(B352, ""(Trouvez.*)"")"),"🏘️ Vendre appartement Les Brenets ✅ Trouvez le bien immobilier qui correspond idéalement à vos désirs sur ImmoScout24 - La plateforme de l'immobilier en Suisse.")</f>
        <v>🏘️ Vendre appartement Les Brenets ✅ Trouvez le bien immobilier qui correspond idéalement à vos désirs sur ImmoScout24 - La plateforme de l'immobilier en Suisse.</v>
      </c>
      <c r="D352" s="4" t="str">
        <f>vlookup(A352, Sheet2!D:E, 2, 0)</f>
        <v>variant</v>
      </c>
      <c r="E352" s="4" t="str">
        <f>IFERROR(__xludf.DUMMYFUNCTION("if(H352=""pays"",vlookup(REGEXEXTRACT(C352, ""🏘️ \w+ \w+ (.*) ✅""),'Country prepositions'!A:B, 2, 0) &amp; "" "" &amp; REGEXEXTRACT(C352, ""🏘️ \w+ \w+ (.*) ✅"") ,  if(H352=""quartier"",vlookup(REGEXEXTRACT(C352, ""🏘️ \w+ \w+ (.*) ✅""),'Quartier prepositions'!A"&amp;":E, 5, 0) ,  if(H352=""region"",vlookup(REGEXEXTRACT(C352, ""🏘️ \w+ \w+ (.*) ✅""),'Region prepositions'!B:F, 5, 0),  REGEXEXTRACT(C352, ""🏘️ \w+ \w+ (.*) ✅""))))"),"Les Brenets")</f>
        <v>Les Brenets</v>
      </c>
      <c r="F352" s="2" t="str">
        <f>IFERROR(__xludf.DUMMYFUNCTION("REGEXEXTRACT(C352, ""🏘️ (\w+) \w+ .* ✅"")"),"Vendre")</f>
        <v>Vendre</v>
      </c>
      <c r="G352" s="2" t="str">
        <f>IFERROR(__xludf.DUMMYFUNCTION("REGEXEXTRACT(C352, ""🏘️ \w+ (\w+) .* ✅"")"),"appartement")</f>
        <v>appartement</v>
      </c>
      <c r="H352" s="4" t="str">
        <f>IFERROR(__xludf.DUMMYFUNCTION("REGEXEXTRACT(A352, ""/(\w+)-.*?"")"),"lieu")</f>
        <v>lieu</v>
      </c>
      <c r="I352" s="8" t="str">
        <f>IFERROR(__xludf.DUMMYFUNCTION("if(D352=""variant"",  substitute(filter(Templates!E:E, Templates!A:A = F352, Templates!B:B = G352, Templates!C:C = H352), ""{{}}"", E352), B352)"),"🏘  L’appartement de vos rêves se trouve sur ImmoScout24.ch ✅ Découvrez les dernières annonces de vente à Les Brenets.")</f>
        <v>🏘  L’appartement de vos rêves se trouve sur ImmoScout24.ch ✅ Découvrez les dernières annonces de vente à Les Brenets.</v>
      </c>
      <c r="J352" s="2" t="s">
        <v>1061</v>
      </c>
    </row>
    <row r="353">
      <c r="A353" s="5" t="s">
        <v>1062</v>
      </c>
      <c r="B353" s="2" t="s">
        <v>1063</v>
      </c>
      <c r="C353" s="4" t="str">
        <f>IFERROR(__xludf.DUMMYFUNCTION("""🏘️ ""&amp;REGEXEXTRACT(B353, ""^(.*): "")&amp;"" ✅ "" &amp;REGEXEXTRACT(B353, ""(Trouvez.*)"")"),"🏘️ Louer appartement Belgique ✅ Trouvez le bien immobilier qui correspond idéalement à vos désirs sur ImmoScout24 - La plateforme de l'immobilier en Suisse.")</f>
        <v>🏘️ Louer appartement Belgique ✅ Trouvez le bien immobilier qui correspond idéalement à vos désirs sur ImmoScout24 - La plateforme de l'immobilier en Suisse.</v>
      </c>
      <c r="D353" s="4" t="str">
        <f>vlookup(A353, Sheet2!D:E, 2, 0)</f>
        <v>variant</v>
      </c>
      <c r="E353" s="4" t="str">
        <f>IFERROR(__xludf.DUMMYFUNCTION("if(H353=""pays"",vlookup(REGEXEXTRACT(C353, ""🏘️ \w+ \w+ (.*) ✅""),'Country prepositions'!A:B, 2, 0) &amp; "" "" &amp; REGEXEXTRACT(C353, ""🏘️ \w+ \w+ (.*) ✅"") ,  if(H353=""quartier"",vlookup(REGEXEXTRACT(C353, ""🏘️ \w+ \w+ (.*) ✅""),'Quartier prepositions'!A"&amp;":E, 5, 0) ,  if(H353=""region"",vlookup(REGEXEXTRACT(C353, ""🏘️ \w+ \w+ (.*) ✅""),'Region prepositions'!B:F, 5, 0),  REGEXEXTRACT(C353, ""🏘️ \w+ \w+ (.*) ✅""))))"),"en Belgique")</f>
        <v>en Belgique</v>
      </c>
      <c r="F353" s="2" t="str">
        <f>IFERROR(__xludf.DUMMYFUNCTION("REGEXEXTRACT(C353, ""🏘️ (\w+) \w+ .* ✅"")"),"Louer")</f>
        <v>Louer</v>
      </c>
      <c r="G353" s="2" t="str">
        <f>IFERROR(__xludf.DUMMYFUNCTION("REGEXEXTRACT(C353, ""🏘️ \w+ (\w+) .* ✅"")"),"appartement")</f>
        <v>appartement</v>
      </c>
      <c r="H353" s="4" t="str">
        <f>IFERROR(__xludf.DUMMYFUNCTION("REGEXEXTRACT(A353, ""/(\w+)-.*?"")"),"pays")</f>
        <v>pays</v>
      </c>
      <c r="I353" s="4" t="str">
        <f>IFERROR(__xludf.DUMMYFUNCTION("if(D353=""variant"",  substitute(filter(Templates!E:E, Templates!A:A = F353, Templates!B:B = G353, Templates!C:C = H353), ""{{}}"", E353), B353)"),"🏘  Vous cherchez un appartement à louer en Belgique? ✅ Les annonces les plus actuelles sont sur ImmoScout24.ch.")</f>
        <v>🏘  Vous cherchez un appartement à louer en Belgique? ✅ Les annonces les plus actuelles sont sur ImmoScout24.ch.</v>
      </c>
      <c r="J353" s="4" t="s">
        <v>1064</v>
      </c>
    </row>
    <row r="354">
      <c r="A354" s="5" t="s">
        <v>1065</v>
      </c>
      <c r="B354" s="2" t="s">
        <v>1066</v>
      </c>
      <c r="C354" s="4" t="str">
        <f>IFERROR(__xludf.DUMMYFUNCTION("""🏘️ ""&amp;REGEXEXTRACT(B354, ""^(.*): "")&amp;"" ✅ "" &amp;REGEXEXTRACT(B354, ""(Trouvez.*)"")"),"🏘️ Vendre maison Tre Valli ✅ Trouvez le bien immobilier qui correspond idéalement à vos désirs sur ImmoScout24 - La plateforme de l'immobilier en Suisse.")</f>
        <v>🏘️ Vendre maison Tre Valli ✅ Trouvez le bien immobilier qui correspond idéalement à vos désirs sur ImmoScout24 - La plateforme de l'immobilier en Suisse.</v>
      </c>
      <c r="D354" s="4" t="str">
        <f>vlookup(A354, Sheet2!D:E, 2, 0)</f>
        <v>variant</v>
      </c>
      <c r="E354" s="4" t="str">
        <f>IFERROR(__xludf.DUMMYFUNCTION("if(H354=""pays"",vlookup(REGEXEXTRACT(C354, ""🏘️ \w+ \w+ (.*) ✅""),'Country prepositions'!A:B, 2, 0) &amp; "" "" &amp; REGEXEXTRACT(C354, ""🏘️ \w+ \w+ (.*) ✅"") ,  if(H354=""quartier"",vlookup(REGEXEXTRACT(C354, ""🏘️ \w+ \w+ (.*) ✅""),'Quartier prepositions'!A"&amp;":E, 5, 0) ,  if(H354=""region"",vlookup(REGEXEXTRACT(C354, ""🏘️ \w+ \w+ (.*) ✅""),'Region prepositions'!B:F, 5, 0),  REGEXEXTRACT(C354, ""🏘️ \w+ \w+ (.*) ✅""))))"),"dans la région de Tre Valli")</f>
        <v>dans la région de Tre Valli</v>
      </c>
      <c r="F354" s="2" t="str">
        <f>IFERROR(__xludf.DUMMYFUNCTION("REGEXEXTRACT(C354, ""🏘️ (\w+) \w+ .* ✅"")"),"Vendre")</f>
        <v>Vendre</v>
      </c>
      <c r="G354" s="2" t="str">
        <f>IFERROR(__xludf.DUMMYFUNCTION("REGEXEXTRACT(C354, ""🏘️ \w+ (\w+) .* ✅"")"),"maison")</f>
        <v>maison</v>
      </c>
      <c r="H354" s="4" t="str">
        <f>IFERROR(__xludf.DUMMYFUNCTION("REGEXEXTRACT(A354, ""/(\w+)-.*?"")"),"region")</f>
        <v>region</v>
      </c>
      <c r="I354" s="4" t="str">
        <f>IFERROR(__xludf.DUMMYFUNCTION("if(D354=""variant"",  substitute(filter(Templates!E:E, Templates!A:A = F354, Templates!B:B = G354, Templates!C:C = H354), ""{{}}"", E354), B354)"),"🏘  Vous souhaitez acheter une maison dans la région de Tre Valli? ✅ Jetez un œil aux dernières offres sur ImmoScout24.ch.")</f>
        <v>🏘  Vous souhaitez acheter une maison dans la région de Tre Valli? ✅ Jetez un œil aux dernières offres sur ImmoScout24.ch.</v>
      </c>
      <c r="J354" s="4" t="s">
        <v>1067</v>
      </c>
    </row>
    <row r="355">
      <c r="A355" s="5" t="s">
        <v>1068</v>
      </c>
      <c r="B355" s="2" t="s">
        <v>1069</v>
      </c>
      <c r="C355" s="4" t="str">
        <f>IFERROR(__xludf.DUMMYFUNCTION("""🏘️ ""&amp;REGEXEXTRACT(B355, ""^(.*): "")&amp;"" ✅ "" &amp;REGEXEXTRACT(B355, ""(Trouvez.*)"")"),"🏘️ Vendre maison Longirod ✅ Trouvez le bien immobilier qui correspond idéalement à vos désirs sur ImmoScout24 - La plateforme de l'immobilier en Suisse.")</f>
        <v>🏘️ Vendre maison Longirod ✅ Trouvez le bien immobilier qui correspond idéalement à vos désirs sur ImmoScout24 - La plateforme de l'immobilier en Suisse.</v>
      </c>
      <c r="D355" s="4" t="str">
        <f>vlookup(A355, Sheet2!D:E, 2, 0)</f>
        <v>variant</v>
      </c>
      <c r="E355" s="4" t="str">
        <f>IFERROR(__xludf.DUMMYFUNCTION("if(H355=""pays"",vlookup(REGEXEXTRACT(C355, ""🏘️ \w+ \w+ (.*) ✅""),'Country prepositions'!A:B, 2, 0) &amp; "" "" &amp; REGEXEXTRACT(C355, ""🏘️ \w+ \w+ (.*) ✅"") ,  if(H355=""quartier"",vlookup(REGEXEXTRACT(C355, ""🏘️ \w+ \w+ (.*) ✅""),'Quartier prepositions'!A"&amp;":E, 5, 0) ,  if(H355=""region"",vlookup(REGEXEXTRACT(C355, ""🏘️ \w+ \w+ (.*) ✅""),'Region prepositions'!B:F, 5, 0),  REGEXEXTRACT(C355, ""🏘️ \w+ \w+ (.*) ✅""))))"),"Longirod")</f>
        <v>Longirod</v>
      </c>
      <c r="F355" s="2" t="str">
        <f>IFERROR(__xludf.DUMMYFUNCTION("REGEXEXTRACT(C355, ""🏘️ (\w+) \w+ .* ✅"")"),"Vendre")</f>
        <v>Vendre</v>
      </c>
      <c r="G355" s="2" t="str">
        <f>IFERROR(__xludf.DUMMYFUNCTION("REGEXEXTRACT(C355, ""🏘️ \w+ (\w+) .* ✅"")"),"maison")</f>
        <v>maison</v>
      </c>
      <c r="H355" s="4" t="str">
        <f>IFERROR(__xludf.DUMMYFUNCTION("REGEXEXTRACT(A355, ""/(\w+)-.*?"")"),"lieu")</f>
        <v>lieu</v>
      </c>
      <c r="I355" s="4" t="str">
        <f>IFERROR(__xludf.DUMMYFUNCTION("if(D355=""variant"",  substitute(filter(Templates!E:E, Templates!A:A = F355, Templates!B:B = G355, Templates!C:C = H355), ""{{}}"", E355), B355)"),"🏘  Vous souhaitez acheter une maison à Longirod? ✅ Jetez un œil aux dernières offres sur ImmoScout24.ch.")</f>
        <v>🏘  Vous souhaitez acheter une maison à Longirod? ✅ Jetez un œil aux dernières offres sur ImmoScout24.ch.</v>
      </c>
      <c r="J355" s="4" t="s">
        <v>1070</v>
      </c>
    </row>
    <row r="356">
      <c r="A356" s="5" t="s">
        <v>1071</v>
      </c>
      <c r="B356" s="2" t="s">
        <v>1072</v>
      </c>
      <c r="C356" s="4" t="str">
        <f>IFERROR(__xludf.DUMMYFUNCTION("""🏘️ ""&amp;REGEXEXTRACT(B356, ""^(.*): "")&amp;"" ✅ "" &amp;REGEXEXTRACT(B356, ""(Trouvez.*)"")"),"🏘️ Louer maison Pomy ✅ Trouvez le bien immobilier qui correspond idéalement à vos désirs sur ImmoScout24 - La plateforme de l'immobilier en Suisse.")</f>
        <v>🏘️ Louer maison Pomy ✅ Trouvez le bien immobilier qui correspond idéalement à vos désirs sur ImmoScout24 - La plateforme de l'immobilier en Suisse.</v>
      </c>
      <c r="D356" s="4" t="str">
        <f>vlookup(A356, Sheet2!D:E, 2, 0)</f>
        <v>variant</v>
      </c>
      <c r="E356" s="4" t="str">
        <f>IFERROR(__xludf.DUMMYFUNCTION("if(H356=""pays"",vlookup(REGEXEXTRACT(C356, ""🏘️ \w+ \w+ (.*) ✅""),'Country prepositions'!A:B, 2, 0) &amp; "" "" &amp; REGEXEXTRACT(C356, ""🏘️ \w+ \w+ (.*) ✅"") ,  if(H356=""quartier"",vlookup(REGEXEXTRACT(C356, ""🏘️ \w+ \w+ (.*) ✅""),'Quartier prepositions'!A"&amp;":E, 5, 0) ,  if(H356=""region"",vlookup(REGEXEXTRACT(C356, ""🏘️ \w+ \w+ (.*) ✅""),'Region prepositions'!B:F, 5, 0),  REGEXEXTRACT(C356, ""🏘️ \w+ \w+ (.*) ✅""))))"),"Pomy")</f>
        <v>Pomy</v>
      </c>
      <c r="F356" s="2" t="str">
        <f>IFERROR(__xludf.DUMMYFUNCTION("REGEXEXTRACT(C356, ""🏘️ (\w+) \w+ .* ✅"")"),"Louer")</f>
        <v>Louer</v>
      </c>
      <c r="G356" s="2" t="str">
        <f>IFERROR(__xludf.DUMMYFUNCTION("REGEXEXTRACT(C356, ""🏘️ \w+ (\w+) .* ✅"")"),"maison")</f>
        <v>maison</v>
      </c>
      <c r="H356" s="4" t="str">
        <f>IFERROR(__xludf.DUMMYFUNCTION("REGEXEXTRACT(A356, ""/(\w+)-.*?"")"),"lieu")</f>
        <v>lieu</v>
      </c>
      <c r="I356" s="4" t="str">
        <f>IFERROR(__xludf.DUMMYFUNCTION("if(D356=""variant"",  substitute(filter(Templates!E:E, Templates!A:A = F356, Templates!B:B = G356, Templates!C:C = H356), ""{{}}"", E356), B356)"),"🏘  Vous cherchez une maison à louer à Pomy? ✅ Découvrez nos nombreuses annonces sur ImmoScout24.ch.")</f>
        <v>🏘  Vous cherchez une maison à louer à Pomy? ✅ Découvrez nos nombreuses annonces sur ImmoScout24.ch.</v>
      </c>
      <c r="J356" s="4" t="s">
        <v>1073</v>
      </c>
    </row>
    <row r="357">
      <c r="A357" s="5" t="s">
        <v>1074</v>
      </c>
      <c r="B357" s="2" t="s">
        <v>1075</v>
      </c>
      <c r="C357" s="4" t="str">
        <f>IFERROR(__xludf.DUMMYFUNCTION("""🏘️ ""&amp;REGEXEXTRACT(B357, ""^(.*): "")&amp;"" ✅ "" &amp;REGEXEXTRACT(B357, ""(Trouvez.*)"")"),"🏘️ Vendre maison Châtel-St-Denis ✅ Trouvez le bien immobilier qui correspond idéalement à vos désirs sur ImmoScout24 - La plateforme de l'immobilier en Suisse.")</f>
        <v>🏘️ Vendre maison Châtel-St-Denis ✅ Trouvez le bien immobilier qui correspond idéalement à vos désirs sur ImmoScout24 - La plateforme de l'immobilier en Suisse.</v>
      </c>
      <c r="D357" s="4" t="str">
        <f>vlookup(A357, Sheet2!D:E, 2, 0)</f>
        <v>variant</v>
      </c>
      <c r="E357" s="4" t="str">
        <f>IFERROR(__xludf.DUMMYFUNCTION("if(H357=""pays"",vlookup(REGEXEXTRACT(C357, ""🏘️ \w+ \w+ (.*) ✅""),'Country prepositions'!A:B, 2, 0) &amp; "" "" &amp; REGEXEXTRACT(C357, ""🏘️ \w+ \w+ (.*) ✅"") ,  if(H357=""quartier"",vlookup(REGEXEXTRACT(C357, ""🏘️ \w+ \w+ (.*) ✅""),'Quartier prepositions'!A"&amp;":E, 5, 0) ,  if(H357=""region"",vlookup(REGEXEXTRACT(C357, ""🏘️ \w+ \w+ (.*) ✅""),'Region prepositions'!B:F, 5, 0),  REGEXEXTRACT(C357, ""🏘️ \w+ \w+ (.*) ✅""))))"),"Châtel-St-Denis")</f>
        <v>Châtel-St-Denis</v>
      </c>
      <c r="F357" s="2" t="str">
        <f>IFERROR(__xludf.DUMMYFUNCTION("REGEXEXTRACT(C357, ""🏘️ (\w+) \w+ .* ✅"")"),"Vendre")</f>
        <v>Vendre</v>
      </c>
      <c r="G357" s="2" t="str">
        <f>IFERROR(__xludf.DUMMYFUNCTION("REGEXEXTRACT(C357, ""🏘️ \w+ (\w+) .* ✅"")"),"maison")</f>
        <v>maison</v>
      </c>
      <c r="H357" s="4" t="str">
        <f>IFERROR(__xludf.DUMMYFUNCTION("REGEXEXTRACT(A357, ""/(\w+)-.*?"")"),"lieu")</f>
        <v>lieu</v>
      </c>
      <c r="I357" s="4" t="str">
        <f>IFERROR(__xludf.DUMMYFUNCTION("if(D357=""variant"",  substitute(filter(Templates!E:E, Templates!A:A = F357, Templates!B:B = G357, Templates!C:C = H357), ""{{}}"", E357), B357)"),"🏘  Vous souhaitez acheter une maison à Châtel-St-Denis? ✅ Jetez un œil aux dernières offres sur ImmoScout24.ch.")</f>
        <v>🏘  Vous souhaitez acheter une maison à Châtel-St-Denis? ✅ Jetez un œil aux dernières offres sur ImmoScout24.ch.</v>
      </c>
      <c r="J357" s="4" t="s">
        <v>1076</v>
      </c>
    </row>
    <row r="358">
      <c r="A358" s="5" t="s">
        <v>1077</v>
      </c>
      <c r="B358" s="2" t="s">
        <v>1078</v>
      </c>
      <c r="C358" s="4" t="str">
        <f>IFERROR(__xludf.DUMMYFUNCTION("""🏘️ ""&amp;REGEXEXTRACT(B358, ""^(.*): "")&amp;"" ✅ "" &amp;REGEXEXTRACT(B358, ""(Trouvez.*)"")"),"🏘️ Vendre appartement Vevey ✅ Trouvez le bien immobilier qui correspond idéalement à vos désirs sur ImmoScout24 - La plateforme de l'immobilier en Suisse.")</f>
        <v>🏘️ Vendre appartement Vevey ✅ Trouvez le bien immobilier qui correspond idéalement à vos désirs sur ImmoScout24 - La plateforme de l'immobilier en Suisse.</v>
      </c>
      <c r="D358" s="4" t="str">
        <f>vlookup(A358, Sheet2!D:E, 2, 0)</f>
        <v>variant</v>
      </c>
      <c r="E358" s="4" t="str">
        <f>IFERROR(__xludf.DUMMYFUNCTION("if(H358=""pays"",vlookup(REGEXEXTRACT(C358, ""🏘️ \w+ \w+ (.*) ✅""),'Country prepositions'!A:B, 2, 0) &amp; "" "" &amp; REGEXEXTRACT(C358, ""🏘️ \w+ \w+ (.*) ✅"") ,  if(H358=""quartier"",vlookup(REGEXEXTRACT(C358, ""🏘️ \w+ \w+ (.*) ✅""),'Quartier prepositions'!A"&amp;":E, 5, 0) ,  if(H358=""region"",vlookup(REGEXEXTRACT(C358, ""🏘️ \w+ \w+ (.*) ✅""),'Region prepositions'!B:F, 5, 0),  REGEXEXTRACT(C358, ""🏘️ \w+ \w+ (.*) ✅""))))"),"Vevey")</f>
        <v>Vevey</v>
      </c>
      <c r="F358" s="2" t="str">
        <f>IFERROR(__xludf.DUMMYFUNCTION("REGEXEXTRACT(C358, ""🏘️ (\w+) \w+ .* ✅"")"),"Vendre")</f>
        <v>Vendre</v>
      </c>
      <c r="G358" s="2" t="str">
        <f>IFERROR(__xludf.DUMMYFUNCTION("REGEXEXTRACT(C358, ""🏘️ \w+ (\w+) .* ✅"")"),"appartement")</f>
        <v>appartement</v>
      </c>
      <c r="H358" s="4" t="str">
        <f>IFERROR(__xludf.DUMMYFUNCTION("REGEXEXTRACT(A358, ""/(\w+)-.*?"")"),"lieu")</f>
        <v>lieu</v>
      </c>
      <c r="I358" s="4" t="str">
        <f>IFERROR(__xludf.DUMMYFUNCTION("if(D358=""variant"",  substitute(filter(Templates!E:E, Templates!A:A = F358, Templates!B:B = G358, Templates!C:C = H358), ""{{}}"", E358), B358)"),"🏘  L’appartement de vos rêves se trouve sur ImmoScout24.ch ✅ Découvrez les dernières annonces de vente à Vevey.")</f>
        <v>🏘  L’appartement de vos rêves se trouve sur ImmoScout24.ch ✅ Découvrez les dernières annonces de vente à Vevey.</v>
      </c>
      <c r="J358" s="4" t="s">
        <v>1079</v>
      </c>
    </row>
    <row r="359">
      <c r="A359" s="5" t="s">
        <v>1080</v>
      </c>
      <c r="B359" s="2" t="s">
        <v>1081</v>
      </c>
      <c r="C359" s="4" t="str">
        <f>IFERROR(__xludf.DUMMYFUNCTION("""🏘️ ""&amp;REGEXEXTRACT(B359, ""^(.*): "")&amp;"" ✅ "" &amp;REGEXEXTRACT(B359, ""(Trouvez.*)"")"),"🏘️ Vendre appartement Nidau ✅ Trouvez le bien immobilier qui correspond idéalement à vos désirs sur ImmoScout24 - La plateforme de l'immobilier en Suisse.")</f>
        <v>🏘️ Vendre appartement Nidau ✅ Trouvez le bien immobilier qui correspond idéalement à vos désirs sur ImmoScout24 - La plateforme de l'immobilier en Suisse.</v>
      </c>
      <c r="D359" s="4" t="str">
        <f>vlookup(A359, Sheet2!D:E, 2, 0)</f>
        <v>variant</v>
      </c>
      <c r="E359" s="4" t="str">
        <f>IFERROR(__xludf.DUMMYFUNCTION("if(H359=""pays"",vlookup(REGEXEXTRACT(C359, ""🏘️ \w+ \w+ (.*) ✅""),'Country prepositions'!A:B, 2, 0) &amp; "" "" &amp; REGEXEXTRACT(C359, ""🏘️ \w+ \w+ (.*) ✅"") ,  if(H359=""quartier"",vlookup(REGEXEXTRACT(C359, ""🏘️ \w+ \w+ (.*) ✅""),'Quartier prepositions'!A"&amp;":E, 5, 0) ,  if(H359=""region"",vlookup(REGEXEXTRACT(C359, ""🏘️ \w+ \w+ (.*) ✅""),'Region prepositions'!B:F, 5, 0),  REGEXEXTRACT(C359, ""🏘️ \w+ \w+ (.*) ✅""))))"),"Nidau")</f>
        <v>Nidau</v>
      </c>
      <c r="F359" s="2" t="str">
        <f>IFERROR(__xludf.DUMMYFUNCTION("REGEXEXTRACT(C359, ""🏘️ (\w+) \w+ .* ✅"")"),"Vendre")</f>
        <v>Vendre</v>
      </c>
      <c r="G359" s="2" t="str">
        <f>IFERROR(__xludf.DUMMYFUNCTION("REGEXEXTRACT(C359, ""🏘️ \w+ (\w+) .* ✅"")"),"appartement")</f>
        <v>appartement</v>
      </c>
      <c r="H359" s="4" t="str">
        <f>IFERROR(__xludf.DUMMYFUNCTION("REGEXEXTRACT(A359, ""/(\w+)-.*?"")"),"lieu")</f>
        <v>lieu</v>
      </c>
      <c r="I359" s="4" t="str">
        <f>IFERROR(__xludf.DUMMYFUNCTION("if(D359=""variant"",  substitute(filter(Templates!E:E, Templates!A:A = F359, Templates!B:B = G359, Templates!C:C = H359), ""{{}}"", E359), B359)"),"🏘  L’appartement de vos rêves se trouve sur ImmoScout24.ch ✅ Découvrez les dernières annonces de vente à Nidau.")</f>
        <v>🏘  L’appartement de vos rêves se trouve sur ImmoScout24.ch ✅ Découvrez les dernières annonces de vente à Nidau.</v>
      </c>
      <c r="J359" s="4" t="s">
        <v>1082</v>
      </c>
    </row>
    <row r="360">
      <c r="A360" s="5" t="s">
        <v>1083</v>
      </c>
      <c r="B360" s="2" t="s">
        <v>1084</v>
      </c>
      <c r="C360" s="4" t="str">
        <f>IFERROR(__xludf.DUMMYFUNCTION("""🏘️ ""&amp;REGEXEXTRACT(B360, ""^(.*): "")&amp;"" ✅ "" &amp;REGEXEXTRACT(B360, ""(Trouvez.*)"")"),"🏘️ Vendre maison Arisdorf ✅ Trouvez le bien immobilier qui correspond idéalement à vos désirs sur ImmoScout24 - La plateforme de l'immobilier en Suisse.")</f>
        <v>🏘️ Vendre maison Arisdorf ✅ Trouvez le bien immobilier qui correspond idéalement à vos désirs sur ImmoScout24 - La plateforme de l'immobilier en Suisse.</v>
      </c>
      <c r="D360" s="4" t="str">
        <f>vlookup(A360, Sheet2!D:E, 2, 0)</f>
        <v>variant</v>
      </c>
      <c r="E360" s="4" t="str">
        <f>IFERROR(__xludf.DUMMYFUNCTION("if(H360=""pays"",vlookup(REGEXEXTRACT(C360, ""🏘️ \w+ \w+ (.*) ✅""),'Country prepositions'!A:B, 2, 0) &amp; "" "" &amp; REGEXEXTRACT(C360, ""🏘️ \w+ \w+ (.*) ✅"") ,  if(H360=""quartier"",vlookup(REGEXEXTRACT(C360, ""🏘️ \w+ \w+ (.*) ✅""),'Quartier prepositions'!A"&amp;":E, 5, 0) ,  if(H360=""region"",vlookup(REGEXEXTRACT(C360, ""🏘️ \w+ \w+ (.*) ✅""),'Region prepositions'!B:F, 5, 0),  REGEXEXTRACT(C360, ""🏘️ \w+ \w+ (.*) ✅""))))"),"Arisdorf")</f>
        <v>Arisdorf</v>
      </c>
      <c r="F360" s="2" t="str">
        <f>IFERROR(__xludf.DUMMYFUNCTION("REGEXEXTRACT(C360, ""🏘️ (\w+) \w+ .* ✅"")"),"Vendre")</f>
        <v>Vendre</v>
      </c>
      <c r="G360" s="2" t="str">
        <f>IFERROR(__xludf.DUMMYFUNCTION("REGEXEXTRACT(C360, ""🏘️ \w+ (\w+) .* ✅"")"),"maison")</f>
        <v>maison</v>
      </c>
      <c r="H360" s="4" t="str">
        <f>IFERROR(__xludf.DUMMYFUNCTION("REGEXEXTRACT(A360, ""/(\w+)-.*?"")"),"lieu")</f>
        <v>lieu</v>
      </c>
      <c r="I360" s="4" t="str">
        <f>IFERROR(__xludf.DUMMYFUNCTION("if(D360=""variant"",  substitute(filter(Templates!E:E, Templates!A:A = F360, Templates!B:B = G360, Templates!C:C = H360), ""{{}}"", E360), B360)"),"🏘  Vous souhaitez acheter une maison à Arisdorf? ✅ Jetez un œil aux dernières offres sur ImmoScout24.ch.")</f>
        <v>🏘  Vous souhaitez acheter une maison à Arisdorf? ✅ Jetez un œil aux dernières offres sur ImmoScout24.ch.</v>
      </c>
      <c r="J360" s="4" t="s">
        <v>1085</v>
      </c>
    </row>
    <row r="361">
      <c r="A361" s="5" t="s">
        <v>1086</v>
      </c>
      <c r="B361" s="2" t="s">
        <v>1087</v>
      </c>
      <c r="C361" s="4" t="str">
        <f>IFERROR(__xludf.DUMMYFUNCTION("""🏘️ ""&amp;REGEXEXTRACT(B361, ""^(.*): "")&amp;"" ✅ "" &amp;REGEXEXTRACT(B361, ""(Trouvez.*)"")"),"🏘️ Louer appartement Gretzenbach ✅ Trouvez le bien immobilier qui correspond idéalement à vos désirs sur ImmoScout24 - La plateforme de l'immobilier en Suisse.")</f>
        <v>🏘️ Louer appartement Gretzenbach ✅ Trouvez le bien immobilier qui correspond idéalement à vos désirs sur ImmoScout24 - La plateforme de l'immobilier en Suisse.</v>
      </c>
      <c r="D361" s="4" t="str">
        <f>vlookup(A361, Sheet2!D:E, 2, 0)</f>
        <v>variant</v>
      </c>
      <c r="E361" s="4" t="str">
        <f>IFERROR(__xludf.DUMMYFUNCTION("if(H361=""pays"",vlookup(REGEXEXTRACT(C361, ""🏘️ \w+ \w+ (.*) ✅""),'Country prepositions'!A:B, 2, 0) &amp; "" "" &amp; REGEXEXTRACT(C361, ""🏘️ \w+ \w+ (.*) ✅"") ,  if(H361=""quartier"",vlookup(REGEXEXTRACT(C361, ""🏘️ \w+ \w+ (.*) ✅""),'Quartier prepositions'!A"&amp;":E, 5, 0) ,  if(H361=""region"",vlookup(REGEXEXTRACT(C361, ""🏘️ \w+ \w+ (.*) ✅""),'Region prepositions'!B:F, 5, 0),  REGEXEXTRACT(C361, ""🏘️ \w+ \w+ (.*) ✅""))))"),"Gretzenbach")</f>
        <v>Gretzenbach</v>
      </c>
      <c r="F361" s="2" t="str">
        <f>IFERROR(__xludf.DUMMYFUNCTION("REGEXEXTRACT(C361, ""🏘️ (\w+) \w+ .* ✅"")"),"Louer")</f>
        <v>Louer</v>
      </c>
      <c r="G361" s="2" t="str">
        <f>IFERROR(__xludf.DUMMYFUNCTION("REGEXEXTRACT(C361, ""🏘️ \w+ (\w+) .* ✅"")"),"appartement")</f>
        <v>appartement</v>
      </c>
      <c r="H361" s="4" t="str">
        <f>IFERROR(__xludf.DUMMYFUNCTION("REGEXEXTRACT(A361, ""/(\w+)-.*?"")"),"lieu")</f>
        <v>lieu</v>
      </c>
      <c r="I361" s="4" t="str">
        <f>IFERROR(__xludf.DUMMYFUNCTION("if(D361=""variant"",  substitute(filter(Templates!E:E, Templates!A:A = F361, Templates!B:B = G361, Templates!C:C = H361), ""{{}}"", E361), B361)"),"🏘  Vous cherchez un appartement à louer à Gretzenbach? ✅ Les annonces les plus actuelles sont sur ImmoScout24.ch.")</f>
        <v>🏘  Vous cherchez un appartement à louer à Gretzenbach? ✅ Les annonces les plus actuelles sont sur ImmoScout24.ch.</v>
      </c>
      <c r="J361" s="4" t="s">
        <v>1088</v>
      </c>
    </row>
    <row r="362">
      <c r="A362" s="5" t="s">
        <v>1089</v>
      </c>
      <c r="B362" s="2" t="s">
        <v>1090</v>
      </c>
      <c r="C362" s="4" t="str">
        <f>IFERROR(__xludf.DUMMYFUNCTION("""🏘️ ""&amp;REGEXEXTRACT(B362, ""^(.*): "")&amp;"" ✅ "" &amp;REGEXEXTRACT(B362, ""(Trouvez.*)"")"),"🏘️ Vendre appartement Davos Platz ✅ Trouvez le bien immobilier qui correspond idéalement à vos désirs sur ImmoScout24 - La plateforme de l'immobilier en Suisse.")</f>
        <v>🏘️ Vendre appartement Davos Platz ✅ Trouvez le bien immobilier qui correspond idéalement à vos désirs sur ImmoScout24 - La plateforme de l'immobilier en Suisse.</v>
      </c>
      <c r="D362" s="4" t="str">
        <f>vlookup(A362, Sheet2!D:E, 2, 0)</f>
        <v>variant</v>
      </c>
      <c r="E362" s="4" t="str">
        <f>IFERROR(__xludf.DUMMYFUNCTION("if(H362=""pays"",vlookup(REGEXEXTRACT(C362, ""🏘️ \w+ \w+ (.*) ✅""),'Country prepositions'!A:B, 2, 0) &amp; "" "" &amp; REGEXEXTRACT(C362, ""🏘️ \w+ \w+ (.*) ✅"") ,  if(H362=""quartier"",vlookup(REGEXEXTRACT(C362, ""🏘️ \w+ \w+ (.*) ✅""),'Quartier prepositions'!A"&amp;":E, 5, 0) ,  if(H362=""region"",vlookup(REGEXEXTRACT(C362, ""🏘️ \w+ \w+ (.*) ✅""),'Region prepositions'!B:F, 5, 0),  REGEXEXTRACT(C362, ""🏘️ \w+ \w+ (.*) ✅""))))"),"Davos Platz")</f>
        <v>Davos Platz</v>
      </c>
      <c r="F362" s="2" t="str">
        <f>IFERROR(__xludf.DUMMYFUNCTION("REGEXEXTRACT(C362, ""🏘️ (\w+) \w+ .* ✅"")"),"Vendre")</f>
        <v>Vendre</v>
      </c>
      <c r="G362" s="2" t="str">
        <f>IFERROR(__xludf.DUMMYFUNCTION("REGEXEXTRACT(C362, ""🏘️ \w+ (\w+) .* ✅"")"),"appartement")</f>
        <v>appartement</v>
      </c>
      <c r="H362" s="4" t="str">
        <f>IFERROR(__xludf.DUMMYFUNCTION("REGEXEXTRACT(A362, ""/(\w+)-.*?"")"),"lieu")</f>
        <v>lieu</v>
      </c>
      <c r="I362" s="4" t="str">
        <f>IFERROR(__xludf.DUMMYFUNCTION("if(D362=""variant"",  substitute(filter(Templates!E:E, Templates!A:A = F362, Templates!B:B = G362, Templates!C:C = H362), ""{{}}"", E362), B362)"),"🏘  L’appartement de vos rêves se trouve sur ImmoScout24.ch ✅ Découvrez les dernières annonces de vente à Davos Platz.")</f>
        <v>🏘  L’appartement de vos rêves se trouve sur ImmoScout24.ch ✅ Découvrez les dernières annonces de vente à Davos Platz.</v>
      </c>
      <c r="J362" s="4" t="s">
        <v>1091</v>
      </c>
    </row>
    <row r="363">
      <c r="A363" s="5" t="s">
        <v>1092</v>
      </c>
      <c r="B363" s="2" t="s">
        <v>1093</v>
      </c>
      <c r="C363" s="4" t="str">
        <f>IFERROR(__xludf.DUMMYFUNCTION("""🏘️ ""&amp;REGEXEXTRACT(B363, ""^(.*): "")&amp;"" ✅ "" &amp;REGEXEXTRACT(B363, ""(Trouvez.*)"")"),"🏘️ Vendre appartement Mariastein ✅ Trouvez le bien immobilier qui correspond idéalement à vos désirs sur ImmoScout24 - La plateforme de l'immobilier en Suisse.")</f>
        <v>🏘️ Vendre appartement Mariastein ✅ Trouvez le bien immobilier qui correspond idéalement à vos désirs sur ImmoScout24 - La plateforme de l'immobilier en Suisse.</v>
      </c>
      <c r="D363" s="4" t="str">
        <f>vlookup(A363, Sheet2!D:E, 2, 0)</f>
        <v>variant</v>
      </c>
      <c r="E363" s="4" t="str">
        <f>IFERROR(__xludf.DUMMYFUNCTION("if(H363=""pays"",vlookup(REGEXEXTRACT(C363, ""🏘️ \w+ \w+ (.*) ✅""),'Country prepositions'!A:B, 2, 0) &amp; "" "" &amp; REGEXEXTRACT(C363, ""🏘️ \w+ \w+ (.*) ✅"") ,  if(H363=""quartier"",vlookup(REGEXEXTRACT(C363, ""🏘️ \w+ \w+ (.*) ✅""),'Quartier prepositions'!A"&amp;":E, 5, 0) ,  if(H363=""region"",vlookup(REGEXEXTRACT(C363, ""🏘️ \w+ \w+ (.*) ✅""),'Region prepositions'!B:F, 5, 0),  REGEXEXTRACT(C363, ""🏘️ \w+ \w+ (.*) ✅""))))"),"Mariastein")</f>
        <v>Mariastein</v>
      </c>
      <c r="F363" s="2" t="str">
        <f>IFERROR(__xludf.DUMMYFUNCTION("REGEXEXTRACT(C363, ""🏘️ (\w+) \w+ .* ✅"")"),"Vendre")</f>
        <v>Vendre</v>
      </c>
      <c r="G363" s="2" t="str">
        <f>IFERROR(__xludf.DUMMYFUNCTION("REGEXEXTRACT(C363, ""🏘️ \w+ (\w+) .* ✅"")"),"appartement")</f>
        <v>appartement</v>
      </c>
      <c r="H363" s="4" t="str">
        <f>IFERROR(__xludf.DUMMYFUNCTION("REGEXEXTRACT(A363, ""/(\w+)-.*?"")"),"lieu")</f>
        <v>lieu</v>
      </c>
      <c r="I363" s="4" t="str">
        <f>IFERROR(__xludf.DUMMYFUNCTION("if(D363=""variant"",  substitute(filter(Templates!E:E, Templates!A:A = F363, Templates!B:B = G363, Templates!C:C = H363), ""{{}}"", E363), B363)"),"🏘  L’appartement de vos rêves se trouve sur ImmoScout24.ch ✅ Découvrez les dernières annonces de vente à Mariastein.")</f>
        <v>🏘  L’appartement de vos rêves se trouve sur ImmoScout24.ch ✅ Découvrez les dernières annonces de vente à Mariastein.</v>
      </c>
      <c r="J363" s="4" t="s">
        <v>1094</v>
      </c>
    </row>
    <row r="364">
      <c r="A364" s="5" t="s">
        <v>1095</v>
      </c>
      <c r="B364" s="2" t="s">
        <v>1096</v>
      </c>
      <c r="C364" s="4" t="str">
        <f>IFERROR(__xludf.DUMMYFUNCTION("""🏘️ ""&amp;REGEXEXTRACT(B364, ""^(.*): "")&amp;"" ✅ "" &amp;REGEXEXTRACT(B364, ""(Trouvez.*)"")"),"🏘️ Louer maison Soyhières ✅ Trouvez le bien immobilier qui correspond idéalement à vos désirs sur ImmoScout24 - La plateforme de l'immobilier en Suisse.")</f>
        <v>🏘️ Louer maison Soyhières ✅ Trouvez le bien immobilier qui correspond idéalement à vos désirs sur ImmoScout24 - La plateforme de l'immobilier en Suisse.</v>
      </c>
      <c r="D364" s="4" t="str">
        <f>vlookup(A364, Sheet2!D:E, 2, 0)</f>
        <v>variant</v>
      </c>
      <c r="E364" s="4" t="str">
        <f>IFERROR(__xludf.DUMMYFUNCTION("if(H364=""pays"",vlookup(REGEXEXTRACT(C364, ""🏘️ \w+ \w+ (.*) ✅""),'Country prepositions'!A:B, 2, 0) &amp; "" "" &amp; REGEXEXTRACT(C364, ""🏘️ \w+ \w+ (.*) ✅"") ,  if(H364=""quartier"",vlookup(REGEXEXTRACT(C364, ""🏘️ \w+ \w+ (.*) ✅""),'Quartier prepositions'!A"&amp;":E, 5, 0) ,  if(H364=""region"",vlookup(REGEXEXTRACT(C364, ""🏘️ \w+ \w+ (.*) ✅""),'Region prepositions'!B:F, 5, 0),  REGEXEXTRACT(C364, ""🏘️ \w+ \w+ (.*) ✅""))))"),"Soyhières")</f>
        <v>Soyhières</v>
      </c>
      <c r="F364" s="2" t="str">
        <f>IFERROR(__xludf.DUMMYFUNCTION("REGEXEXTRACT(C364, ""🏘️ (\w+) \w+ .* ✅"")"),"Louer")</f>
        <v>Louer</v>
      </c>
      <c r="G364" s="2" t="str">
        <f>IFERROR(__xludf.DUMMYFUNCTION("REGEXEXTRACT(C364, ""🏘️ \w+ (\w+) .* ✅"")"),"maison")</f>
        <v>maison</v>
      </c>
      <c r="H364" s="4" t="str">
        <f>IFERROR(__xludf.DUMMYFUNCTION("REGEXEXTRACT(A364, ""/(\w+)-.*?"")"),"lieu")</f>
        <v>lieu</v>
      </c>
      <c r="I364" s="4" t="str">
        <f>IFERROR(__xludf.DUMMYFUNCTION("if(D364=""variant"",  substitute(filter(Templates!E:E, Templates!A:A = F364, Templates!B:B = G364, Templates!C:C = H364), ""{{}}"", E364), B364)"),"🏘  Vous cherchez une maison à louer à Soyhières? ✅ Découvrez nos nombreuses annonces sur ImmoScout24.ch.")</f>
        <v>🏘  Vous cherchez une maison à louer à Soyhières? ✅ Découvrez nos nombreuses annonces sur ImmoScout24.ch.</v>
      </c>
      <c r="J364" s="4" t="s">
        <v>1097</v>
      </c>
    </row>
    <row r="365">
      <c r="A365" s="5" t="s">
        <v>1098</v>
      </c>
      <c r="B365" s="2" t="s">
        <v>1099</v>
      </c>
      <c r="C365" s="4" t="str">
        <f>IFERROR(__xludf.DUMMYFUNCTION("""🏘️ ""&amp;REGEXEXTRACT(B365, ""^(.*): "")&amp;"" ✅ "" &amp;REGEXEXTRACT(B365, ""(Trouvez.*)"")"),"🏘️ Vendre maison Granges-de-Vesin ✅ Trouvez le bien immobilier qui correspond idéalement à vos désirs sur ImmoScout24 - La plateforme de l'immobilier en Suisse.")</f>
        <v>🏘️ Vendre maison Granges-de-Vesin ✅ Trouvez le bien immobilier qui correspond idéalement à vos désirs sur ImmoScout24 - La plateforme de l'immobilier en Suisse.</v>
      </c>
      <c r="D365" s="4" t="str">
        <f>vlookup(A365, Sheet2!D:E, 2, 0)</f>
        <v>variant</v>
      </c>
      <c r="E365" s="4" t="str">
        <f>IFERROR(__xludf.DUMMYFUNCTION("if(H365=""pays"",vlookup(REGEXEXTRACT(C365, ""🏘️ \w+ \w+ (.*) ✅""),'Country prepositions'!A:B, 2, 0) &amp; "" "" &amp; REGEXEXTRACT(C365, ""🏘️ \w+ \w+ (.*) ✅"") ,  if(H365=""quartier"",vlookup(REGEXEXTRACT(C365, ""🏘️ \w+ \w+ (.*) ✅""),'Quartier prepositions'!A"&amp;":E, 5, 0) ,  if(H365=""region"",vlookup(REGEXEXTRACT(C365, ""🏘️ \w+ \w+ (.*) ✅""),'Region prepositions'!B:F, 5, 0),  REGEXEXTRACT(C365, ""🏘️ \w+ \w+ (.*) ✅""))))"),"Granges-de-Vesin")</f>
        <v>Granges-de-Vesin</v>
      </c>
      <c r="F365" s="2" t="str">
        <f>IFERROR(__xludf.DUMMYFUNCTION("REGEXEXTRACT(C365, ""🏘️ (\w+) \w+ .* ✅"")"),"Vendre")</f>
        <v>Vendre</v>
      </c>
      <c r="G365" s="2" t="str">
        <f>IFERROR(__xludf.DUMMYFUNCTION("REGEXEXTRACT(C365, ""🏘️ \w+ (\w+) .* ✅"")"),"maison")</f>
        <v>maison</v>
      </c>
      <c r="H365" s="4" t="str">
        <f>IFERROR(__xludf.DUMMYFUNCTION("REGEXEXTRACT(A365, ""/(\w+)-.*?"")"),"lieu")</f>
        <v>lieu</v>
      </c>
      <c r="I365" s="4" t="str">
        <f>IFERROR(__xludf.DUMMYFUNCTION("if(D365=""variant"",  substitute(filter(Templates!E:E, Templates!A:A = F365, Templates!B:B = G365, Templates!C:C = H365), ""{{}}"", E365), B365)"),"🏘  Vous souhaitez acheter une maison à Granges-de-Vesin? ✅ Jetez un œil aux dernières offres sur ImmoScout24.ch.")</f>
        <v>🏘  Vous souhaitez acheter une maison à Granges-de-Vesin? ✅ Jetez un œil aux dernières offres sur ImmoScout24.ch.</v>
      </c>
      <c r="J365" s="4" t="s">
        <v>1100</v>
      </c>
    </row>
    <row r="366">
      <c r="A366" s="5" t="s">
        <v>1101</v>
      </c>
      <c r="B366" s="2" t="s">
        <v>1102</v>
      </c>
      <c r="C366" s="4" t="str">
        <f>IFERROR(__xludf.DUMMYFUNCTION("""🏘️ ""&amp;REGEXEXTRACT(B366, ""^(.*): "")&amp;"" ✅ "" &amp;REGEXEXTRACT(B366, ""(Trouvez.*)"")"),"🏘️ Louer appartement Weggis ✅ Trouvez le bien immobilier qui correspond idéalement à vos désirs sur ImmoScout24 - La plateforme de l'immobilier en Suisse.")</f>
        <v>🏘️ Louer appartement Weggis ✅ Trouvez le bien immobilier qui correspond idéalement à vos désirs sur ImmoScout24 - La plateforme de l'immobilier en Suisse.</v>
      </c>
      <c r="D366" s="4" t="str">
        <f>vlookup(A366, Sheet2!D:E, 2, 0)</f>
        <v>variant</v>
      </c>
      <c r="E366" s="4" t="str">
        <f>IFERROR(__xludf.DUMMYFUNCTION("if(H366=""pays"",vlookup(REGEXEXTRACT(C366, ""🏘️ \w+ \w+ (.*) ✅""),'Country prepositions'!A:B, 2, 0) &amp; "" "" &amp; REGEXEXTRACT(C366, ""🏘️ \w+ \w+ (.*) ✅"") ,  if(H366=""quartier"",vlookup(REGEXEXTRACT(C366, ""🏘️ \w+ \w+ (.*) ✅""),'Quartier prepositions'!A"&amp;":E, 5, 0) ,  if(H366=""region"",vlookup(REGEXEXTRACT(C366, ""🏘️ \w+ \w+ (.*) ✅""),'Region prepositions'!B:F, 5, 0),  REGEXEXTRACT(C366, ""🏘️ \w+ \w+ (.*) ✅""))))"),"Weggis")</f>
        <v>Weggis</v>
      </c>
      <c r="F366" s="2" t="str">
        <f>IFERROR(__xludf.DUMMYFUNCTION("REGEXEXTRACT(C366, ""🏘️ (\w+) \w+ .* ✅"")"),"Louer")</f>
        <v>Louer</v>
      </c>
      <c r="G366" s="2" t="str">
        <f>IFERROR(__xludf.DUMMYFUNCTION("REGEXEXTRACT(C366, ""🏘️ \w+ (\w+) .* ✅"")"),"appartement")</f>
        <v>appartement</v>
      </c>
      <c r="H366" s="4" t="str">
        <f>IFERROR(__xludf.DUMMYFUNCTION("REGEXEXTRACT(A366, ""/(\w+)-.*?"")"),"lieu")</f>
        <v>lieu</v>
      </c>
      <c r="I366" s="4" t="str">
        <f>IFERROR(__xludf.DUMMYFUNCTION("if(D366=""variant"",  substitute(filter(Templates!E:E, Templates!A:A = F366, Templates!B:B = G366, Templates!C:C = H366), ""{{}}"", E366), B366)"),"🏘  Vous cherchez un appartement à louer à Weggis? ✅ Les annonces les plus actuelles sont sur ImmoScout24.ch.")</f>
        <v>🏘  Vous cherchez un appartement à louer à Weggis? ✅ Les annonces les plus actuelles sont sur ImmoScout24.ch.</v>
      </c>
      <c r="J366" s="4" t="s">
        <v>1103</v>
      </c>
    </row>
    <row r="367">
      <c r="A367" s="5" t="s">
        <v>1104</v>
      </c>
      <c r="B367" s="2" t="s">
        <v>1105</v>
      </c>
      <c r="C367" s="4" t="str">
        <f>IFERROR(__xludf.DUMMYFUNCTION("""🏘️ ""&amp;REGEXEXTRACT(B367, ""^(.*): "")&amp;"" ✅ "" &amp;REGEXEXTRACT(B367, ""(Trouvez.*)"")"),"🏘️ Louer appartement Littoral Neuchâtelois ✅ Trouvez le bien immobilier qui correspond idéalement à vos désirs sur ImmoScout24 - La plateforme de l'immobilier en Suisse.")</f>
        <v>🏘️ Louer appartement Littoral Neuchâtelois ✅ Trouvez le bien immobilier qui correspond idéalement à vos désirs sur ImmoScout24 - La plateforme de l'immobilier en Suisse.</v>
      </c>
      <c r="D367" s="4" t="str">
        <f>vlookup(A367, Sheet2!D:E, 2, 0)</f>
        <v>variant</v>
      </c>
      <c r="E367" s="4" t="str">
        <f>IFERROR(__xludf.DUMMYFUNCTION("if(H367=""pays"",vlookup(REGEXEXTRACT(C367, ""🏘️ \w+ \w+ (.*) ✅""),'Country prepositions'!A:B, 2, 0) &amp; "" "" &amp; REGEXEXTRACT(C367, ""🏘️ \w+ \w+ (.*) ✅"") ,  if(H367=""quartier"",vlookup(REGEXEXTRACT(C367, ""🏘️ \w+ \w+ (.*) ✅""),'Quartier prepositions'!A"&amp;":E, 5, 0) ,  if(H367=""region"",vlookup(REGEXEXTRACT(C367, ""🏘️ \w+ \w+ (.*) ✅""),'Region prepositions'!B:F, 5, 0),  REGEXEXTRACT(C367, ""🏘️ \w+ \w+ (.*) ✅""))))"),"sur le Littoral neuchâtelois")</f>
        <v>sur le Littoral neuchâtelois</v>
      </c>
      <c r="F367" s="2" t="str">
        <f>IFERROR(__xludf.DUMMYFUNCTION("REGEXEXTRACT(C367, ""🏘️ (\w+) \w+ .* ✅"")"),"Louer")</f>
        <v>Louer</v>
      </c>
      <c r="G367" s="2" t="str">
        <f>IFERROR(__xludf.DUMMYFUNCTION("REGEXEXTRACT(C367, ""🏘️ \w+ (\w+) .* ✅"")"),"appartement")</f>
        <v>appartement</v>
      </c>
      <c r="H367" s="4" t="str">
        <f>IFERROR(__xludf.DUMMYFUNCTION("REGEXEXTRACT(A367, ""/(\w+)-.*?"")"),"region")</f>
        <v>region</v>
      </c>
      <c r="I367" s="4" t="str">
        <f>IFERROR(__xludf.DUMMYFUNCTION("if(D367=""variant"",  substitute(filter(Templates!E:E, Templates!A:A = F367, Templates!B:B = G367, Templates!C:C = H367), ""{{}}"", E367), B367)"),"🏘  Vous cherchez un appartement à louer sur le Littoral neuchâtelois? ✅ Les annonces les plus actuelles sont sur ImmoScout24.ch.")</f>
        <v>🏘  Vous cherchez un appartement à louer sur le Littoral neuchâtelois? ✅ Les annonces les plus actuelles sont sur ImmoScout24.ch.</v>
      </c>
      <c r="J367" s="4" t="s">
        <v>1106</v>
      </c>
    </row>
    <row r="368">
      <c r="A368" s="5" t="s">
        <v>1107</v>
      </c>
      <c r="B368" s="2" t="s">
        <v>1108</v>
      </c>
      <c r="C368" s="4" t="str">
        <f>IFERROR(__xludf.DUMMYFUNCTION("""🏘️ ""&amp;REGEXEXTRACT(B368, ""^(.*): "")&amp;"" ✅ "" &amp;REGEXEXTRACT(B368, ""(Trouvez.*)"")"),"🏘️ Vendre maison Onnens FR ✅ Trouvez le bien immobilier qui correspond idéalement à vos désirs sur ImmoScout24 - La plateforme de l'immobilier en Suisse.")</f>
        <v>🏘️ Vendre maison Onnens FR ✅ Trouvez le bien immobilier qui correspond idéalement à vos désirs sur ImmoScout24 - La plateforme de l'immobilier en Suisse.</v>
      </c>
      <c r="D368" s="4" t="str">
        <f>vlookup(A368, Sheet2!D:E, 2, 0)</f>
        <v>variant</v>
      </c>
      <c r="E368" s="4" t="str">
        <f>IFERROR(__xludf.DUMMYFUNCTION("if(H368=""pays"",vlookup(REGEXEXTRACT(C368, ""🏘️ \w+ \w+ (.*) ✅""),'Country prepositions'!A:B, 2, 0) &amp; "" "" &amp; REGEXEXTRACT(C368, ""🏘️ \w+ \w+ (.*) ✅"") ,  if(H368=""quartier"",vlookup(REGEXEXTRACT(C368, ""🏘️ \w+ \w+ (.*) ✅""),'Quartier prepositions'!A"&amp;":E, 5, 0) ,  if(H368=""region"",vlookup(REGEXEXTRACT(C368, ""🏘️ \w+ \w+ (.*) ✅""),'Region prepositions'!B:F, 5, 0),  REGEXEXTRACT(C368, ""🏘️ \w+ \w+ (.*) ✅""))))"),"Onnens FR")</f>
        <v>Onnens FR</v>
      </c>
      <c r="F368" s="2" t="str">
        <f>IFERROR(__xludf.DUMMYFUNCTION("REGEXEXTRACT(C368, ""🏘️ (\w+) \w+ .* ✅"")"),"Vendre")</f>
        <v>Vendre</v>
      </c>
      <c r="G368" s="2" t="str">
        <f>IFERROR(__xludf.DUMMYFUNCTION("REGEXEXTRACT(C368, ""🏘️ \w+ (\w+) .* ✅"")"),"maison")</f>
        <v>maison</v>
      </c>
      <c r="H368" s="4" t="str">
        <f>IFERROR(__xludf.DUMMYFUNCTION("REGEXEXTRACT(A368, ""/(\w+)-.*?"")"),"lieu")</f>
        <v>lieu</v>
      </c>
      <c r="I368" s="4" t="str">
        <f>IFERROR(__xludf.DUMMYFUNCTION("if(D368=""variant"",  substitute(filter(Templates!E:E, Templates!A:A = F368, Templates!B:B = G368, Templates!C:C = H368), ""{{}}"", E368), B368)"),"🏘  Vous souhaitez acheter une maison à Onnens FR? ✅ Jetez un œil aux dernières offres sur ImmoScout24.ch.")</f>
        <v>🏘  Vous souhaitez acheter une maison à Onnens FR? ✅ Jetez un œil aux dernières offres sur ImmoScout24.ch.</v>
      </c>
      <c r="J368" s="4" t="s">
        <v>1109</v>
      </c>
    </row>
    <row r="369">
      <c r="A369" s="5" t="s">
        <v>1110</v>
      </c>
      <c r="B369" s="2" t="s">
        <v>1111</v>
      </c>
      <c r="C369" s="4" t="str">
        <f>IFERROR(__xludf.DUMMYFUNCTION("""🏘️ ""&amp;REGEXEXTRACT(B369, ""^(.*): "")&amp;"" ✅ "" &amp;REGEXEXTRACT(B369, ""(Trouvez.*)"")"),"🏘️ Vendre appartement Oberönz ✅ Trouvez le bien immobilier qui correspond idéalement à vos désirs sur ImmoScout24 - La plateforme de l'immobilier en Suisse.")</f>
        <v>🏘️ Vendre appartement Oberönz ✅ Trouvez le bien immobilier qui correspond idéalement à vos désirs sur ImmoScout24 - La plateforme de l'immobilier en Suisse.</v>
      </c>
      <c r="D369" s="4" t="str">
        <f>vlookup(A369, Sheet2!D:E, 2, 0)</f>
        <v>variant</v>
      </c>
      <c r="E369" s="4" t="str">
        <f>IFERROR(__xludf.DUMMYFUNCTION("if(H369=""pays"",vlookup(REGEXEXTRACT(C369, ""🏘️ \w+ \w+ (.*) ✅""),'Country prepositions'!A:B, 2, 0) &amp; "" "" &amp; REGEXEXTRACT(C369, ""🏘️ \w+ \w+ (.*) ✅"") ,  if(H369=""quartier"",vlookup(REGEXEXTRACT(C369, ""🏘️ \w+ \w+ (.*) ✅""),'Quartier prepositions'!A"&amp;":E, 5, 0) ,  if(H369=""region"",vlookup(REGEXEXTRACT(C369, ""🏘️ \w+ \w+ (.*) ✅""),'Region prepositions'!B:F, 5, 0),  REGEXEXTRACT(C369, ""🏘️ \w+ \w+ (.*) ✅""))))"),"Oberönz")</f>
        <v>Oberönz</v>
      </c>
      <c r="F369" s="2" t="str">
        <f>IFERROR(__xludf.DUMMYFUNCTION("REGEXEXTRACT(C369, ""🏘️ (\w+) \w+ .* ✅"")"),"Vendre")</f>
        <v>Vendre</v>
      </c>
      <c r="G369" s="2" t="str">
        <f>IFERROR(__xludf.DUMMYFUNCTION("REGEXEXTRACT(C369, ""🏘️ \w+ (\w+) .* ✅"")"),"appartement")</f>
        <v>appartement</v>
      </c>
      <c r="H369" s="4" t="str">
        <f>IFERROR(__xludf.DUMMYFUNCTION("REGEXEXTRACT(A369, ""/(\w+)-.*?"")"),"lieu")</f>
        <v>lieu</v>
      </c>
      <c r="I369" s="4" t="str">
        <f>IFERROR(__xludf.DUMMYFUNCTION("if(D369=""variant"",  substitute(filter(Templates!E:E, Templates!A:A = F369, Templates!B:B = G369, Templates!C:C = H369), ""{{}}"", E369), B369)"),"🏘  L’appartement de vos rêves se trouve sur ImmoScout24.ch ✅ Découvrez les dernières annonces de vente à Oberönz.")</f>
        <v>🏘  L’appartement de vos rêves se trouve sur ImmoScout24.ch ✅ Découvrez les dernières annonces de vente à Oberönz.</v>
      </c>
      <c r="J369" s="4" t="s">
        <v>1112</v>
      </c>
    </row>
    <row r="370">
      <c r="A370" s="5" t="s">
        <v>1113</v>
      </c>
      <c r="B370" s="2" t="s">
        <v>1114</v>
      </c>
      <c r="C370" s="4" t="str">
        <f>IFERROR(__xludf.DUMMYFUNCTION("""🏘️ ""&amp;REGEXEXTRACT(B370, ""^(.*): "")&amp;"" ✅ "" &amp;REGEXEXTRACT(B370, ""(Trouvez.*)"")"),"🏘️ Vendre appartement Rueras ✅ Trouvez le bien immobilier qui correspond idéalement à vos désirs sur ImmoScout24 - La plateforme de l'immobilier en Suisse.")</f>
        <v>🏘️ Vendre appartement Rueras ✅ Trouvez le bien immobilier qui correspond idéalement à vos désirs sur ImmoScout24 - La plateforme de l'immobilier en Suisse.</v>
      </c>
      <c r="D370" s="4" t="str">
        <f>vlookup(A370, Sheet2!D:E, 2, 0)</f>
        <v>variant</v>
      </c>
      <c r="E370" s="4" t="str">
        <f>IFERROR(__xludf.DUMMYFUNCTION("if(H370=""pays"",vlookup(REGEXEXTRACT(C370, ""🏘️ \w+ \w+ (.*) ✅""),'Country prepositions'!A:B, 2, 0) &amp; "" "" &amp; REGEXEXTRACT(C370, ""🏘️ \w+ \w+ (.*) ✅"") ,  if(H370=""quartier"",vlookup(REGEXEXTRACT(C370, ""🏘️ \w+ \w+ (.*) ✅""),'Quartier prepositions'!A"&amp;":E, 5, 0) ,  if(H370=""region"",vlookup(REGEXEXTRACT(C370, ""🏘️ \w+ \w+ (.*) ✅""),'Region prepositions'!B:F, 5, 0),  REGEXEXTRACT(C370, ""🏘️ \w+ \w+ (.*) ✅""))))"),"Rueras")</f>
        <v>Rueras</v>
      </c>
      <c r="F370" s="2" t="str">
        <f>IFERROR(__xludf.DUMMYFUNCTION("REGEXEXTRACT(C370, ""🏘️ (\w+) \w+ .* ✅"")"),"Vendre")</f>
        <v>Vendre</v>
      </c>
      <c r="G370" s="2" t="str">
        <f>IFERROR(__xludf.DUMMYFUNCTION("REGEXEXTRACT(C370, ""🏘️ \w+ (\w+) .* ✅"")"),"appartement")</f>
        <v>appartement</v>
      </c>
      <c r="H370" s="4" t="str">
        <f>IFERROR(__xludf.DUMMYFUNCTION("REGEXEXTRACT(A370, ""/(\w+)-.*?"")"),"lieu")</f>
        <v>lieu</v>
      </c>
      <c r="I370" s="4" t="str">
        <f>IFERROR(__xludf.DUMMYFUNCTION("if(D370=""variant"",  substitute(filter(Templates!E:E, Templates!A:A = F370, Templates!B:B = G370, Templates!C:C = H370), ""{{}}"", E370), B370)"),"🏘  L’appartement de vos rêves se trouve sur ImmoScout24.ch ✅ Découvrez les dernières annonces de vente à Rueras.")</f>
        <v>🏘  L’appartement de vos rêves se trouve sur ImmoScout24.ch ✅ Découvrez les dernières annonces de vente à Rueras.</v>
      </c>
      <c r="J370" s="4" t="s">
        <v>1115</v>
      </c>
    </row>
    <row r="371">
      <c r="A371" s="5" t="s">
        <v>1116</v>
      </c>
      <c r="B371" s="2" t="s">
        <v>1117</v>
      </c>
      <c r="C371" s="4" t="str">
        <f>IFERROR(__xludf.DUMMYFUNCTION("""🏘️ ""&amp;REGEXEXTRACT(B371, ""^(.*): "")&amp;"" ✅ "" &amp;REGEXEXTRACT(B371, ""(Trouvez.*)"")"),"🏘️ Louer appartement Vérossaz ✅ Trouvez le bien immobilier qui correspond idéalement à vos désirs sur ImmoScout24 - La plateforme de l'immobilier en Suisse.")</f>
        <v>🏘️ Louer appartement Vérossaz ✅ Trouvez le bien immobilier qui correspond idéalement à vos désirs sur ImmoScout24 - La plateforme de l'immobilier en Suisse.</v>
      </c>
      <c r="D371" s="4" t="str">
        <f>vlookup(A371, Sheet2!D:E, 2, 0)</f>
        <v>variant</v>
      </c>
      <c r="E371" s="4" t="str">
        <f>IFERROR(__xludf.DUMMYFUNCTION("if(H371=""pays"",vlookup(REGEXEXTRACT(C371, ""🏘️ \w+ \w+ (.*) ✅""),'Country prepositions'!A:B, 2, 0) &amp; "" "" &amp; REGEXEXTRACT(C371, ""🏘️ \w+ \w+ (.*) ✅"") ,  if(H371=""quartier"",vlookup(REGEXEXTRACT(C371, ""🏘️ \w+ \w+ (.*) ✅""),'Quartier prepositions'!A"&amp;":E, 5, 0) ,  if(H371=""region"",vlookup(REGEXEXTRACT(C371, ""🏘️ \w+ \w+ (.*) ✅""),'Region prepositions'!B:F, 5, 0),  REGEXEXTRACT(C371, ""🏘️ \w+ \w+ (.*) ✅""))))"),"Vérossaz")</f>
        <v>Vérossaz</v>
      </c>
      <c r="F371" s="2" t="str">
        <f>IFERROR(__xludf.DUMMYFUNCTION("REGEXEXTRACT(C371, ""🏘️ (\w+) \w+ .* ✅"")"),"Louer")</f>
        <v>Louer</v>
      </c>
      <c r="G371" s="2" t="str">
        <f>IFERROR(__xludf.DUMMYFUNCTION("REGEXEXTRACT(C371, ""🏘️ \w+ (\w+) .* ✅"")"),"appartement")</f>
        <v>appartement</v>
      </c>
      <c r="H371" s="4" t="str">
        <f>IFERROR(__xludf.DUMMYFUNCTION("REGEXEXTRACT(A371, ""/(\w+)-.*?"")"),"lieu")</f>
        <v>lieu</v>
      </c>
      <c r="I371" s="4" t="str">
        <f>IFERROR(__xludf.DUMMYFUNCTION("if(D371=""variant"",  substitute(filter(Templates!E:E, Templates!A:A = F371, Templates!B:B = G371, Templates!C:C = H371), ""{{}}"", E371), B371)"),"🏘  Vous cherchez un appartement à louer à Vérossaz? ✅ Les annonces les plus actuelles sont sur ImmoScout24.ch.")</f>
        <v>🏘  Vous cherchez un appartement à louer à Vérossaz? ✅ Les annonces les plus actuelles sont sur ImmoScout24.ch.</v>
      </c>
      <c r="J371" s="4" t="s">
        <v>1118</v>
      </c>
    </row>
    <row r="372">
      <c r="A372" s="5" t="s">
        <v>1119</v>
      </c>
      <c r="B372" s="2" t="s">
        <v>1120</v>
      </c>
      <c r="C372" s="4" t="str">
        <f>IFERROR(__xludf.DUMMYFUNCTION("""🏘️ ""&amp;REGEXEXTRACT(B372, ""^(.*): "")&amp;"" ✅ "" &amp;REGEXEXTRACT(B372, ""(Trouvez.*)"")"),"🏘️ Louer appartement Weesen ✅ Trouvez le bien immobilier qui correspond idéalement à vos désirs sur ImmoScout24 - La plateforme de l'immobilier en Suisse.")</f>
        <v>🏘️ Louer appartement Weesen ✅ Trouvez le bien immobilier qui correspond idéalement à vos désirs sur ImmoScout24 - La plateforme de l'immobilier en Suisse.</v>
      </c>
      <c r="D372" s="4" t="str">
        <f>vlookup(A372, Sheet2!D:E, 2, 0)</f>
        <v>variant</v>
      </c>
      <c r="E372" s="4" t="str">
        <f>IFERROR(__xludf.DUMMYFUNCTION("if(H372=""pays"",vlookup(REGEXEXTRACT(C372, ""🏘️ \w+ \w+ (.*) ✅""),'Country prepositions'!A:B, 2, 0) &amp; "" "" &amp; REGEXEXTRACT(C372, ""🏘️ \w+ \w+ (.*) ✅"") ,  if(H372=""quartier"",vlookup(REGEXEXTRACT(C372, ""🏘️ \w+ \w+ (.*) ✅""),'Quartier prepositions'!A"&amp;":E, 5, 0) ,  if(H372=""region"",vlookup(REGEXEXTRACT(C372, ""🏘️ \w+ \w+ (.*) ✅""),'Region prepositions'!B:F, 5, 0),  REGEXEXTRACT(C372, ""🏘️ \w+ \w+ (.*) ✅""))))"),"Weesen")</f>
        <v>Weesen</v>
      </c>
      <c r="F372" s="2" t="str">
        <f>IFERROR(__xludf.DUMMYFUNCTION("REGEXEXTRACT(C372, ""🏘️ (\w+) \w+ .* ✅"")"),"Louer")</f>
        <v>Louer</v>
      </c>
      <c r="G372" s="2" t="str">
        <f>IFERROR(__xludf.DUMMYFUNCTION("REGEXEXTRACT(C372, ""🏘️ \w+ (\w+) .* ✅"")"),"appartement")</f>
        <v>appartement</v>
      </c>
      <c r="H372" s="4" t="str">
        <f>IFERROR(__xludf.DUMMYFUNCTION("REGEXEXTRACT(A372, ""/(\w+)-.*?"")"),"lieu")</f>
        <v>lieu</v>
      </c>
      <c r="I372" s="4" t="str">
        <f>IFERROR(__xludf.DUMMYFUNCTION("if(D372=""variant"",  substitute(filter(Templates!E:E, Templates!A:A = F372, Templates!B:B = G372, Templates!C:C = H372), ""{{}}"", E372), B372)"),"🏘  Vous cherchez un appartement à louer à Weesen? ✅ Les annonces les plus actuelles sont sur ImmoScout24.ch.")</f>
        <v>🏘  Vous cherchez un appartement à louer à Weesen? ✅ Les annonces les plus actuelles sont sur ImmoScout24.ch.</v>
      </c>
      <c r="J372" s="4" t="s">
        <v>1121</v>
      </c>
    </row>
    <row r="373">
      <c r="A373" s="5" t="s">
        <v>1122</v>
      </c>
      <c r="B373" s="2" t="s">
        <v>1123</v>
      </c>
      <c r="C373" s="4" t="str">
        <f>IFERROR(__xludf.DUMMYFUNCTION("""🏘️ ""&amp;REGEXEXTRACT(B373, ""^(.*): "")&amp;"" ✅ "" &amp;REGEXEXTRACT(B373, ""(Trouvez.*)"")"),"🏘️ Vendre maison Fontainemelon ✅ Trouvez le bien immobilier qui correspond idéalement à vos désirs sur ImmoScout24 - La plateforme de l'immobilier en Suisse.")</f>
        <v>🏘️ Vendre maison Fontainemelon ✅ Trouvez le bien immobilier qui correspond idéalement à vos désirs sur ImmoScout24 - La plateforme de l'immobilier en Suisse.</v>
      </c>
      <c r="D373" s="4" t="str">
        <f>vlookup(A373, Sheet2!D:E, 2, 0)</f>
        <v>variant</v>
      </c>
      <c r="E373" s="4" t="str">
        <f>IFERROR(__xludf.DUMMYFUNCTION("if(H373=""pays"",vlookup(REGEXEXTRACT(C373, ""🏘️ \w+ \w+ (.*) ✅""),'Country prepositions'!A:B, 2, 0) &amp; "" "" &amp; REGEXEXTRACT(C373, ""🏘️ \w+ \w+ (.*) ✅"") ,  if(H373=""quartier"",vlookup(REGEXEXTRACT(C373, ""🏘️ \w+ \w+ (.*) ✅""),'Quartier prepositions'!A"&amp;":E, 5, 0) ,  if(H373=""region"",vlookup(REGEXEXTRACT(C373, ""🏘️ \w+ \w+ (.*) ✅""),'Region prepositions'!B:F, 5, 0),  REGEXEXTRACT(C373, ""🏘️ \w+ \w+ (.*) ✅""))))"),"Fontainemelon")</f>
        <v>Fontainemelon</v>
      </c>
      <c r="F373" s="2" t="str">
        <f>IFERROR(__xludf.DUMMYFUNCTION("REGEXEXTRACT(C373, ""🏘️ (\w+) \w+ .* ✅"")"),"Vendre")</f>
        <v>Vendre</v>
      </c>
      <c r="G373" s="2" t="str">
        <f>IFERROR(__xludf.DUMMYFUNCTION("REGEXEXTRACT(C373, ""🏘️ \w+ (\w+) .* ✅"")"),"maison")</f>
        <v>maison</v>
      </c>
      <c r="H373" s="4" t="str">
        <f>IFERROR(__xludf.DUMMYFUNCTION("REGEXEXTRACT(A373, ""/(\w+)-.*?"")"),"lieu")</f>
        <v>lieu</v>
      </c>
      <c r="I373" s="4" t="str">
        <f>IFERROR(__xludf.DUMMYFUNCTION("if(D373=""variant"",  substitute(filter(Templates!E:E, Templates!A:A = F373, Templates!B:B = G373, Templates!C:C = H373), ""{{}}"", E373), B373)"),"🏘  Vous souhaitez acheter une maison à Fontainemelon? ✅ Jetez un œil aux dernières offres sur ImmoScout24.ch.")</f>
        <v>🏘  Vous souhaitez acheter une maison à Fontainemelon? ✅ Jetez un œil aux dernières offres sur ImmoScout24.ch.</v>
      </c>
      <c r="J373" s="4" t="s">
        <v>1124</v>
      </c>
    </row>
    <row r="374">
      <c r="A374" s="5" t="s">
        <v>1125</v>
      </c>
      <c r="B374" s="2" t="s">
        <v>1126</v>
      </c>
      <c r="C374" s="4" t="str">
        <f>IFERROR(__xludf.DUMMYFUNCTION("""🏘️ ""&amp;REGEXEXTRACT(B374, ""^(.*): "")&amp;"" ✅ "" &amp;REGEXEXTRACT(B374, ""(Trouvez.*)"")"),"🏘️ Louer appartement Canton des Grisons ✅ Trouvez le bien immobilier qui correspond idéalement à vos désirs sur ImmoScout24 - La plateforme de l'immobilier en Suisse.")</f>
        <v>🏘️ Louer appartement Canton des Grisons ✅ Trouvez le bien immobilier qui correspond idéalement à vos désirs sur ImmoScout24 - La plateforme de l'immobilier en Suisse.</v>
      </c>
      <c r="D374" s="4" t="str">
        <f>vlookup(A374, Sheet2!D:E, 2, 0)</f>
        <v>variant</v>
      </c>
      <c r="E374" s="4" t="str">
        <f>IFERROR(__xludf.DUMMYFUNCTION("if(H374=""pays"",vlookup(REGEXEXTRACT(C374, ""🏘️ \w+ \w+ (.*) ✅""),'Country prepositions'!A:B, 2, 0) &amp; "" "" &amp; REGEXEXTRACT(C374, ""🏘️ \w+ \w+ (.*) ✅"") ,  if(H374=""quartier"",vlookup(REGEXEXTRACT(C374, ""🏘️ \w+ \w+ (.*) ✅""),'Quartier prepositions'!A"&amp;":E, 5, 0) ,  if(H374=""region"",vlookup(REGEXEXTRACT(C374, ""🏘️ \w+ \w+ (.*) ✅""),'Region prepositions'!B:F, 5, 0),  REGEXEXTRACT(C374, ""🏘️ \w+ \w+ (.*) ✅""))))"),"Canton des Grisons")</f>
        <v>Canton des Grisons</v>
      </c>
      <c r="F374" s="2" t="str">
        <f>IFERROR(__xludf.DUMMYFUNCTION("REGEXEXTRACT(C374, ""🏘️ (\w+) \w+ .* ✅"")"),"Louer")</f>
        <v>Louer</v>
      </c>
      <c r="G374" s="2" t="str">
        <f>IFERROR(__xludf.DUMMYFUNCTION("REGEXEXTRACT(C374, ""🏘️ \w+ (\w+) .* ✅"")"),"appartement")</f>
        <v>appartement</v>
      </c>
      <c r="H374" s="4" t="str">
        <f>IFERROR(__xludf.DUMMYFUNCTION("REGEXEXTRACT(A374, ""/(\w+)-.*?"")"),"canton")</f>
        <v>canton</v>
      </c>
      <c r="I374" s="4" t="str">
        <f>IFERROR(__xludf.DUMMYFUNCTION("if(D374=""variant"",  substitute(filter(Templates!E:E, Templates!A:A = F374, Templates!B:B = G374, Templates!C:C = H374), ""{{}}"", E374), B374)"),"🏘  Vous cherchez un appartement à louer dans le Canton des Grisons? ✅ Les annonces les plus actuelles sont sur ImmoScout24.ch.")</f>
        <v>🏘  Vous cherchez un appartement à louer dans le Canton des Grisons? ✅ Les annonces les plus actuelles sont sur ImmoScout24.ch.</v>
      </c>
      <c r="J374" s="4" t="s">
        <v>1127</v>
      </c>
    </row>
    <row r="375">
      <c r="A375" s="5" t="s">
        <v>1128</v>
      </c>
      <c r="B375" s="2" t="s">
        <v>1129</v>
      </c>
      <c r="C375" s="4" t="str">
        <f>IFERROR(__xludf.DUMMYFUNCTION("""🏘️ ""&amp;REGEXEXTRACT(B375, ""^(.*): "")&amp;"" ✅ "" &amp;REGEXEXTRACT(B375, ""(Trouvez.*)"")"),"🏘️ Vendre appartement Klosters ✅ Trouvez le bien immobilier qui correspond idéalement à vos désirs sur ImmoScout24 - La plateforme de l'immobilier en Suisse.")</f>
        <v>🏘️ Vendre appartement Klosters ✅ Trouvez le bien immobilier qui correspond idéalement à vos désirs sur ImmoScout24 - La plateforme de l'immobilier en Suisse.</v>
      </c>
      <c r="D375" s="4" t="str">
        <f>vlookup(A375, Sheet2!D:E, 2, 0)</f>
        <v>variant</v>
      </c>
      <c r="E375" s="4" t="str">
        <f>IFERROR(__xludf.DUMMYFUNCTION("if(H375=""pays"",vlookup(REGEXEXTRACT(C375, ""🏘️ \w+ \w+ (.*) ✅""),'Country prepositions'!A:B, 2, 0) &amp; "" "" &amp; REGEXEXTRACT(C375, ""🏘️ \w+ \w+ (.*) ✅"") ,  if(H375=""quartier"",vlookup(REGEXEXTRACT(C375, ""🏘️ \w+ \w+ (.*) ✅""),'Quartier prepositions'!A"&amp;":E, 5, 0) ,  if(H375=""region"",vlookup(REGEXEXTRACT(C375, ""🏘️ \w+ \w+ (.*) ✅""),'Region prepositions'!B:F, 5, 0),  REGEXEXTRACT(C375, ""🏘️ \w+ \w+ (.*) ✅""))))"),"Klosters")</f>
        <v>Klosters</v>
      </c>
      <c r="F375" s="2" t="str">
        <f>IFERROR(__xludf.DUMMYFUNCTION("REGEXEXTRACT(C375, ""🏘️ (\w+) \w+ .* ✅"")"),"Vendre")</f>
        <v>Vendre</v>
      </c>
      <c r="G375" s="2" t="str">
        <f>IFERROR(__xludf.DUMMYFUNCTION("REGEXEXTRACT(C375, ""🏘️ \w+ (\w+) .* ✅"")"),"appartement")</f>
        <v>appartement</v>
      </c>
      <c r="H375" s="4" t="str">
        <f>IFERROR(__xludf.DUMMYFUNCTION("REGEXEXTRACT(A375, ""/(\w+)-.*?"")"),"lieu")</f>
        <v>lieu</v>
      </c>
      <c r="I375" s="4" t="str">
        <f>IFERROR(__xludf.DUMMYFUNCTION("if(D375=""variant"",  substitute(filter(Templates!E:E, Templates!A:A = F375, Templates!B:B = G375, Templates!C:C = H375), ""{{}}"", E375), B375)"),"🏘  L’appartement de vos rêves se trouve sur ImmoScout24.ch ✅ Découvrez les dernières annonces de vente à Klosters.")</f>
        <v>🏘  L’appartement de vos rêves se trouve sur ImmoScout24.ch ✅ Découvrez les dernières annonces de vente à Klosters.</v>
      </c>
      <c r="J375" s="4" t="s">
        <v>1130</v>
      </c>
    </row>
    <row r="376">
      <c r="A376" s="5" t="s">
        <v>1131</v>
      </c>
      <c r="B376" s="2" t="s">
        <v>1132</v>
      </c>
      <c r="C376" s="4" t="str">
        <f>IFERROR(__xludf.DUMMYFUNCTION("""🏘️ ""&amp;REGEXEXTRACT(B376, ""^(.*): "")&amp;"" ✅ "" &amp;REGEXEXTRACT(B376, ""(Trouvez.*)"")"),"🏘️ Vendre maison Troinex ✅ Trouvez le bien immobilier qui correspond idéalement à vos désirs sur ImmoScout24 - La plateforme de l'immobilier en Suisse.")</f>
        <v>🏘️ Vendre maison Troinex ✅ Trouvez le bien immobilier qui correspond idéalement à vos désirs sur ImmoScout24 - La plateforme de l'immobilier en Suisse.</v>
      </c>
      <c r="D376" s="4" t="str">
        <f>vlookup(A376, Sheet2!D:E, 2, 0)</f>
        <v>variant</v>
      </c>
      <c r="E376" s="4" t="str">
        <f>IFERROR(__xludf.DUMMYFUNCTION("if(H376=""pays"",vlookup(REGEXEXTRACT(C376, ""🏘️ \w+ \w+ (.*) ✅""),'Country prepositions'!A:B, 2, 0) &amp; "" "" &amp; REGEXEXTRACT(C376, ""🏘️ \w+ \w+ (.*) ✅"") ,  if(H376=""quartier"",vlookup(REGEXEXTRACT(C376, ""🏘️ \w+ \w+ (.*) ✅""),'Quartier prepositions'!A"&amp;":E, 5, 0) ,  if(H376=""region"",vlookup(REGEXEXTRACT(C376, ""🏘️ \w+ \w+ (.*) ✅""),'Region prepositions'!B:F, 5, 0),  REGEXEXTRACT(C376, ""🏘️ \w+ \w+ (.*) ✅""))))"),"Troinex")</f>
        <v>Troinex</v>
      </c>
      <c r="F376" s="2" t="str">
        <f>IFERROR(__xludf.DUMMYFUNCTION("REGEXEXTRACT(C376, ""🏘️ (\w+) \w+ .* ✅"")"),"Vendre")</f>
        <v>Vendre</v>
      </c>
      <c r="G376" s="2" t="str">
        <f>IFERROR(__xludf.DUMMYFUNCTION("REGEXEXTRACT(C376, ""🏘️ \w+ (\w+) .* ✅"")"),"maison")</f>
        <v>maison</v>
      </c>
      <c r="H376" s="4" t="str">
        <f>IFERROR(__xludf.DUMMYFUNCTION("REGEXEXTRACT(A376, ""/(\w+)-.*?"")"),"lieu")</f>
        <v>lieu</v>
      </c>
      <c r="I376" s="4" t="str">
        <f>IFERROR(__xludf.DUMMYFUNCTION("if(D376=""variant"",  substitute(filter(Templates!E:E, Templates!A:A = F376, Templates!B:B = G376, Templates!C:C = H376), ""{{}}"", E376), B376)"),"🏘  Vous souhaitez acheter une maison à Troinex? ✅ Jetez un œil aux dernières offres sur ImmoScout24.ch.")</f>
        <v>🏘  Vous souhaitez acheter une maison à Troinex? ✅ Jetez un œil aux dernières offres sur ImmoScout24.ch.</v>
      </c>
      <c r="J376" s="4" t="s">
        <v>1133</v>
      </c>
    </row>
    <row r="377">
      <c r="A377" s="5" t="s">
        <v>1134</v>
      </c>
      <c r="B377" s="2" t="s">
        <v>1135</v>
      </c>
      <c r="C377" s="4" t="str">
        <f>IFERROR(__xludf.DUMMYFUNCTION("""🏘️ ""&amp;REGEXEXTRACT(B377, ""^(.*): "")&amp;"" ✅ "" &amp;REGEXEXTRACT(B377, ""(Trouvez.*)"")"),"🏘️ Vendre maison Cité - Centre (Genève) ✅ Trouvez le bien immobilier qui correspond idéalement à vos désirs sur ImmoScout24 - La plateforme de l'immobilier en Suisse.")</f>
        <v>🏘️ Vendre maison Cité - Centre (Genève) ✅ Trouvez le bien immobilier qui correspond idéalement à vos désirs sur ImmoScout24 - La plateforme de l'immobilier en Suisse.</v>
      </c>
      <c r="D377" s="4" t="str">
        <f>vlookup(A377, Sheet2!D:E, 2, 0)</f>
        <v>variant</v>
      </c>
      <c r="E377" s="4" t="str">
        <f>IFERROR(__xludf.DUMMYFUNCTION("if(H377=""pays"",vlookup(REGEXEXTRACT(C377, ""🏘️ \w+ \w+ (.*) ✅""),'Country prepositions'!A:B, 2, 0) &amp; "" "" &amp; REGEXEXTRACT(C377, ""🏘️ \w+ \w+ (.*) ✅"") ,  if(H377=""quartier"",vlookup(REGEXEXTRACT(C377, ""🏘️ \w+ \w+ (.*) ✅""),'Quartier prepositions'!A"&amp;":E, 5, 0) ,  if(H377=""region"",vlookup(REGEXEXTRACT(C377, ""🏘️ \w+ \w+ (.*) ✅""),'Region prepositions'!B:F, 5, 0),  REGEXEXTRACT(C377, ""🏘️ \w+ \w+ (.*) ✅""))))"),"dans le quartier de Cité - Centre (Genève)")</f>
        <v>dans le quartier de Cité - Centre (Genève)</v>
      </c>
      <c r="F377" s="2" t="str">
        <f>IFERROR(__xludf.DUMMYFUNCTION("REGEXEXTRACT(C377, ""🏘️ (\w+) \w+ .* ✅"")"),"Vendre")</f>
        <v>Vendre</v>
      </c>
      <c r="G377" s="2" t="str">
        <f>IFERROR(__xludf.DUMMYFUNCTION("REGEXEXTRACT(C377, ""🏘️ \w+ (\w+) .* ✅"")"),"maison")</f>
        <v>maison</v>
      </c>
      <c r="H377" s="4" t="str">
        <f>IFERROR(__xludf.DUMMYFUNCTION("REGEXEXTRACT(A377, ""/(\w+)-.*?"")"),"quartier")</f>
        <v>quartier</v>
      </c>
      <c r="I377" s="4" t="str">
        <f>IFERROR(__xludf.DUMMYFUNCTION("if(D377=""variant"",  substitute(filter(Templates!E:E, Templates!A:A = F377, Templates!B:B = G377, Templates!C:C = H377), ""{{}}"", E377), B377)"),"🏘  Vous souhaitez acheter une maison dans le quartier de Cité - Centre (Genève)? ✅ Jetez un œil aux dernières offres sur ImmoScout24.ch.")</f>
        <v>🏘  Vous souhaitez acheter une maison dans le quartier de Cité - Centre (Genève)? ✅ Jetez un œil aux dernières offres sur ImmoScout24.ch.</v>
      </c>
      <c r="J377" s="4" t="s">
        <v>1136</v>
      </c>
    </row>
    <row r="378">
      <c r="A378" s="5" t="s">
        <v>1137</v>
      </c>
      <c r="B378" s="2" t="s">
        <v>1138</v>
      </c>
      <c r="C378" s="4" t="str">
        <f>IFERROR(__xludf.DUMMYFUNCTION("""🏘️ ""&amp;REGEXEXTRACT(B378, ""^(.*): "")&amp;"" ✅ "" &amp;REGEXEXTRACT(B378, ""(Trouvez.*)"")"),"🏘️ Vendre appartement Haldenstein ✅ Trouvez le bien immobilier qui correspond idéalement à vos désirs sur ImmoScout24 - La plateforme de l'immobilier en Suisse.")</f>
        <v>🏘️ Vendre appartement Haldenstein ✅ Trouvez le bien immobilier qui correspond idéalement à vos désirs sur ImmoScout24 - La plateforme de l'immobilier en Suisse.</v>
      </c>
      <c r="D378" s="4" t="str">
        <f>vlookup(A378, Sheet2!D:E, 2, 0)</f>
        <v>variant</v>
      </c>
      <c r="E378" s="4" t="str">
        <f>IFERROR(__xludf.DUMMYFUNCTION("if(H378=""pays"",vlookup(REGEXEXTRACT(C378, ""🏘️ \w+ \w+ (.*) ✅""),'Country prepositions'!A:B, 2, 0) &amp; "" "" &amp; REGEXEXTRACT(C378, ""🏘️ \w+ \w+ (.*) ✅"") ,  if(H378=""quartier"",vlookup(REGEXEXTRACT(C378, ""🏘️ \w+ \w+ (.*) ✅""),'Quartier prepositions'!A"&amp;":E, 5, 0) ,  if(H378=""region"",vlookup(REGEXEXTRACT(C378, ""🏘️ \w+ \w+ (.*) ✅""),'Region prepositions'!B:F, 5, 0),  REGEXEXTRACT(C378, ""🏘️ \w+ \w+ (.*) ✅""))))"),"Haldenstein")</f>
        <v>Haldenstein</v>
      </c>
      <c r="F378" s="2" t="str">
        <f>IFERROR(__xludf.DUMMYFUNCTION("REGEXEXTRACT(C378, ""🏘️ (\w+) \w+ .* ✅"")"),"Vendre")</f>
        <v>Vendre</v>
      </c>
      <c r="G378" s="2" t="str">
        <f>IFERROR(__xludf.DUMMYFUNCTION("REGEXEXTRACT(C378, ""🏘️ \w+ (\w+) .* ✅"")"),"appartement")</f>
        <v>appartement</v>
      </c>
      <c r="H378" s="4" t="str">
        <f>IFERROR(__xludf.DUMMYFUNCTION("REGEXEXTRACT(A378, ""/(\w+)-.*?"")"),"lieu")</f>
        <v>lieu</v>
      </c>
      <c r="I378" s="4" t="str">
        <f>IFERROR(__xludf.DUMMYFUNCTION("if(D378=""variant"",  substitute(filter(Templates!E:E, Templates!A:A = F378, Templates!B:B = G378, Templates!C:C = H378), ""{{}}"", E378), B378)"),"🏘  L’appartement de vos rêves se trouve sur ImmoScout24.ch ✅ Découvrez les dernières annonces de vente à Haldenstein.")</f>
        <v>🏘  L’appartement de vos rêves se trouve sur ImmoScout24.ch ✅ Découvrez les dernières annonces de vente à Haldenstein.</v>
      </c>
      <c r="J378" s="4" t="s">
        <v>1139</v>
      </c>
    </row>
    <row r="379">
      <c r="A379" s="5" t="s">
        <v>1140</v>
      </c>
      <c r="B379" s="2" t="s">
        <v>1141</v>
      </c>
      <c r="C379" s="4" t="str">
        <f>IFERROR(__xludf.DUMMYFUNCTION("""🏘️ ""&amp;REGEXEXTRACT(B379, ""^(.*): "")&amp;"" ✅ "" &amp;REGEXEXTRACT(B379, ""(Trouvez.*)"")"),"🏘️ Vendre maison Cameroun ✅ Trouvez le bien immobilier qui correspond idéalement à vos désirs sur ImmoScout24 - La plateforme de l'immobilier en Suisse.")</f>
        <v>🏘️ Vendre maison Cameroun ✅ Trouvez le bien immobilier qui correspond idéalement à vos désirs sur ImmoScout24 - La plateforme de l'immobilier en Suisse.</v>
      </c>
      <c r="D379" s="4" t="str">
        <f>vlookup(A379, Sheet2!D:E, 2, 0)</f>
        <v>variant</v>
      </c>
      <c r="E379" s="4" t="str">
        <f>IFERROR(__xludf.DUMMYFUNCTION("if(H379=""pays"",vlookup(REGEXEXTRACT(C379, ""🏘️ \w+ \w+ (.*) ✅""),'Country prepositions'!A:B, 2, 0) &amp; "" "" &amp; REGEXEXTRACT(C379, ""🏘️ \w+ \w+ (.*) ✅"") ,  if(H379=""quartier"",vlookup(REGEXEXTRACT(C379, ""🏘️ \w+ \w+ (.*) ✅""),'Quartier prepositions'!A"&amp;":E, 5, 0) ,  if(H379=""region"",vlookup(REGEXEXTRACT(C379, ""🏘️ \w+ \w+ (.*) ✅""),'Region prepositions'!B:F, 5, 0),  REGEXEXTRACT(C379, ""🏘️ \w+ \w+ (.*) ✅""))))"),"au Cameroun")</f>
        <v>au Cameroun</v>
      </c>
      <c r="F379" s="2" t="str">
        <f>IFERROR(__xludf.DUMMYFUNCTION("REGEXEXTRACT(C379, ""🏘️ (\w+) \w+ .* ✅"")"),"Vendre")</f>
        <v>Vendre</v>
      </c>
      <c r="G379" s="2" t="str">
        <f>IFERROR(__xludf.DUMMYFUNCTION("REGEXEXTRACT(C379, ""🏘️ \w+ (\w+) .* ✅"")"),"maison")</f>
        <v>maison</v>
      </c>
      <c r="H379" s="4" t="str">
        <f>IFERROR(__xludf.DUMMYFUNCTION("REGEXEXTRACT(A379, ""/(\w+)-.*?"")"),"pays")</f>
        <v>pays</v>
      </c>
      <c r="I379" s="4" t="str">
        <f>IFERROR(__xludf.DUMMYFUNCTION("if(D379=""variant"",  substitute(filter(Templates!E:E, Templates!A:A = F379, Templates!B:B = G379, Templates!C:C = H379), ""{{}}"", E379), B379)"),"🏘  Vous cherchez un appartement à louer au Cameroun? ✅ Les annonces les plus actuelles sont sur ImmoScout24.ch.")</f>
        <v>🏘  Vous cherchez un appartement à louer au Cameroun? ✅ Les annonces les plus actuelles sont sur ImmoScout24.ch.</v>
      </c>
      <c r="J379" s="4" t="s">
        <v>1142</v>
      </c>
    </row>
    <row r="380">
      <c r="A380" s="5" t="s">
        <v>1143</v>
      </c>
      <c r="B380" s="2" t="s">
        <v>1144</v>
      </c>
      <c r="C380" s="4" t="str">
        <f>IFERROR(__xludf.DUMMYFUNCTION("""🏘️ ""&amp;REGEXEXTRACT(B380, ""^(.*): "")&amp;"" ✅ "" &amp;REGEXEXTRACT(B380, ""(Trouvez.*)"")"),"🏘️ Vendre appartement Eysins ✅ Trouvez le bien immobilier qui correspond idéalement à vos désirs sur ImmoScout24 - La plateforme de l'immobilier en Suisse.")</f>
        <v>🏘️ Vendre appartement Eysins ✅ Trouvez le bien immobilier qui correspond idéalement à vos désirs sur ImmoScout24 - La plateforme de l'immobilier en Suisse.</v>
      </c>
      <c r="D380" s="4" t="str">
        <f>vlookup(A380, Sheet2!D:E, 2, 0)</f>
        <v>variant</v>
      </c>
      <c r="E380" s="4" t="str">
        <f>IFERROR(__xludf.DUMMYFUNCTION("if(H380=""pays"",vlookup(REGEXEXTRACT(C380, ""🏘️ \w+ \w+ (.*) ✅""),'Country prepositions'!A:B, 2, 0) &amp; "" "" &amp; REGEXEXTRACT(C380, ""🏘️ \w+ \w+ (.*) ✅"") ,  if(H380=""quartier"",vlookup(REGEXEXTRACT(C380, ""🏘️ \w+ \w+ (.*) ✅""),'Quartier prepositions'!A"&amp;":E, 5, 0) ,  if(H380=""region"",vlookup(REGEXEXTRACT(C380, ""🏘️ \w+ \w+ (.*) ✅""),'Region prepositions'!B:F, 5, 0),  REGEXEXTRACT(C380, ""🏘️ \w+ \w+ (.*) ✅""))))"),"Eysins")</f>
        <v>Eysins</v>
      </c>
      <c r="F380" s="2" t="str">
        <f>IFERROR(__xludf.DUMMYFUNCTION("REGEXEXTRACT(C380, ""🏘️ (\w+) \w+ .* ✅"")"),"Vendre")</f>
        <v>Vendre</v>
      </c>
      <c r="G380" s="2" t="str">
        <f>IFERROR(__xludf.DUMMYFUNCTION("REGEXEXTRACT(C380, ""🏘️ \w+ (\w+) .* ✅"")"),"appartement")</f>
        <v>appartement</v>
      </c>
      <c r="H380" s="4" t="str">
        <f>IFERROR(__xludf.DUMMYFUNCTION("REGEXEXTRACT(A380, ""/(\w+)-.*?"")"),"lieu")</f>
        <v>lieu</v>
      </c>
      <c r="I380" s="4" t="str">
        <f>IFERROR(__xludf.DUMMYFUNCTION("if(D380=""variant"",  substitute(filter(Templates!E:E, Templates!A:A = F380, Templates!B:B = G380, Templates!C:C = H380), ""{{}}"", E380), B380)"),"🏘  L’appartement de vos rêves se trouve sur ImmoScout24.ch ✅ Découvrez les dernières annonces de vente à Eysins.")</f>
        <v>🏘  L’appartement de vos rêves se trouve sur ImmoScout24.ch ✅ Découvrez les dernières annonces de vente à Eysins.</v>
      </c>
      <c r="J380" s="4" t="s">
        <v>1145</v>
      </c>
    </row>
    <row r="381">
      <c r="A381" s="5" t="s">
        <v>1146</v>
      </c>
      <c r="B381" s="2" t="s">
        <v>1147</v>
      </c>
      <c r="C381" s="4" t="str">
        <f>IFERROR(__xludf.DUMMYFUNCTION("""🏘️ ""&amp;REGEXEXTRACT(B381, ""^(.*): "")&amp;"" ✅ "" &amp;REGEXEXTRACT(B381, ""(Trouvez.*)"")"),"🏘️ Vendre maison Avenches - Payerne ✅ Trouvez le bien immobilier qui correspond idéalement à vos désirs sur ImmoScout24 - La plateforme de l'immobilier en Suisse.")</f>
        <v>🏘️ Vendre maison Avenches - Payerne ✅ Trouvez le bien immobilier qui correspond idéalement à vos désirs sur ImmoScout24 - La plateforme de l'immobilier en Suisse.</v>
      </c>
      <c r="D381" s="4" t="str">
        <f>vlookup(A381, Sheet2!D:E, 2, 0)</f>
        <v>variant</v>
      </c>
      <c r="E381" s="4" t="str">
        <f>IFERROR(__xludf.DUMMYFUNCTION("if(H381=""pays"",vlookup(REGEXEXTRACT(C381, ""🏘️ \w+ \w+ (.*) ✅""),'Country prepositions'!A:B, 2, 0) &amp; "" "" &amp; REGEXEXTRACT(C381, ""🏘️ \w+ \w+ (.*) ✅"") ,  if(H381=""quartier"",vlookup(REGEXEXTRACT(C381, ""🏘️ \w+ \w+ (.*) ✅""),'Quartier prepositions'!A"&amp;":E, 5, 0) ,  if(H381=""region"",vlookup(REGEXEXTRACT(C381, ""🏘️ \w+ \w+ (.*) ✅""),'Region prepositions'!B:F, 5, 0),  REGEXEXTRACT(C381, ""🏘️ \w+ \w+ (.*) ✅""))))"),"dans la région d'Avenches - Payerne")</f>
        <v>dans la région d'Avenches - Payerne</v>
      </c>
      <c r="F381" s="2" t="str">
        <f>IFERROR(__xludf.DUMMYFUNCTION("REGEXEXTRACT(C381, ""🏘️ (\w+) \w+ .* ✅"")"),"Vendre")</f>
        <v>Vendre</v>
      </c>
      <c r="G381" s="2" t="str">
        <f>IFERROR(__xludf.DUMMYFUNCTION("REGEXEXTRACT(C381, ""🏘️ \w+ (\w+) .* ✅"")"),"maison")</f>
        <v>maison</v>
      </c>
      <c r="H381" s="4" t="str">
        <f>IFERROR(__xludf.DUMMYFUNCTION("REGEXEXTRACT(A381, ""/(\w+)-.*?"")"),"region")</f>
        <v>region</v>
      </c>
      <c r="I381" s="4" t="str">
        <f>IFERROR(__xludf.DUMMYFUNCTION("if(D381=""variant"",  substitute(filter(Templates!E:E, Templates!A:A = F381, Templates!B:B = G381, Templates!C:C = H381), ""{{}}"", E381), B381)"),"🏘  Vous souhaitez acheter une maison dans la région d'Avenches - Payerne? ✅ Jetez un œil aux dernières offres sur ImmoScout24.ch.")</f>
        <v>🏘  Vous souhaitez acheter une maison dans la région d'Avenches - Payerne? ✅ Jetez un œil aux dernières offres sur ImmoScout24.ch.</v>
      </c>
      <c r="J381" s="4" t="s">
        <v>1148</v>
      </c>
    </row>
    <row r="382">
      <c r="A382" s="5" t="s">
        <v>1149</v>
      </c>
      <c r="B382" s="2" t="s">
        <v>1150</v>
      </c>
      <c r="C382" s="4" t="str">
        <f>IFERROR(__xludf.DUMMYFUNCTION("""🏘️ ""&amp;REGEXEXTRACT(B382, ""^(.*): "")&amp;"" ✅ "" &amp;REGEXEXTRACT(B382, ""(Trouvez.*)"")"),"🏘️ Louer appartement Le Pâquier NE ✅ Trouvez le bien immobilier qui correspond idéalement à vos désirs sur ImmoScout24 - La plateforme de l'immobilier en Suisse.")</f>
        <v>🏘️ Louer appartement Le Pâquier NE ✅ Trouvez le bien immobilier qui correspond idéalement à vos désirs sur ImmoScout24 - La plateforme de l'immobilier en Suisse.</v>
      </c>
      <c r="D382" s="4" t="str">
        <f>vlookup(A382, Sheet2!D:E, 2, 0)</f>
        <v>variant</v>
      </c>
      <c r="E382" s="4" t="str">
        <f>IFERROR(__xludf.DUMMYFUNCTION("if(H382=""pays"",vlookup(REGEXEXTRACT(C382, ""🏘️ \w+ \w+ (.*) ✅""),'Country prepositions'!A:B, 2, 0) &amp; "" "" &amp; REGEXEXTRACT(C382, ""🏘️ \w+ \w+ (.*) ✅"") ,  if(H382=""quartier"",vlookup(REGEXEXTRACT(C382, ""🏘️ \w+ \w+ (.*) ✅""),'Quartier prepositions'!A"&amp;":E, 5, 0) ,  if(H382=""region"",vlookup(REGEXEXTRACT(C382, ""🏘️ \w+ \w+ (.*) ✅""),'Region prepositions'!B:F, 5, 0),  REGEXEXTRACT(C382, ""🏘️ \w+ \w+ (.*) ✅""))))"),"Le Pâquier NE")</f>
        <v>Le Pâquier NE</v>
      </c>
      <c r="F382" s="2" t="str">
        <f>IFERROR(__xludf.DUMMYFUNCTION("REGEXEXTRACT(C382, ""🏘️ (\w+) \w+ .* ✅"")"),"Louer")</f>
        <v>Louer</v>
      </c>
      <c r="G382" s="2" t="str">
        <f>IFERROR(__xludf.DUMMYFUNCTION("REGEXEXTRACT(C382, ""🏘️ \w+ (\w+) .* ✅"")"),"appartement")</f>
        <v>appartement</v>
      </c>
      <c r="H382" s="4" t="str">
        <f>IFERROR(__xludf.DUMMYFUNCTION("REGEXEXTRACT(A382, ""/(\w+)-.*?"")"),"lieu")</f>
        <v>lieu</v>
      </c>
      <c r="I382" s="8" t="str">
        <f>IFERROR(__xludf.DUMMYFUNCTION("if(D382=""variant"",  substitute(filter(Templates!E:E, Templates!A:A = F382, Templates!B:B = G382, Templates!C:C = H382), ""{{}}"", E382), B382)"),"🏘  Vous cherchez un appartement à louer à Le Pâquier NE? ✅ Les annonces les plus actuelles sont sur ImmoScout24.ch.")</f>
        <v>🏘  Vous cherchez un appartement à louer à Le Pâquier NE? ✅ Les annonces les plus actuelles sont sur ImmoScout24.ch.</v>
      </c>
      <c r="J382" s="2" t="s">
        <v>1151</v>
      </c>
    </row>
    <row r="383">
      <c r="A383" s="5" t="s">
        <v>1152</v>
      </c>
      <c r="B383" s="2" t="s">
        <v>1153</v>
      </c>
      <c r="C383" s="4" t="str">
        <f>IFERROR(__xludf.DUMMYFUNCTION("""🏘️ ""&amp;REGEXEXTRACT(B383, ""^(.*): "")&amp;"" ✅ "" &amp;REGEXEXTRACT(B383, ""(Trouvez.*)"")"),"🏘️ Louer appartement Chaumont ✅ Trouvez le bien immobilier qui correspond idéalement à vos désirs sur ImmoScout24 - La plateforme de l'immobilier en Suisse.")</f>
        <v>🏘️ Louer appartement Chaumont ✅ Trouvez le bien immobilier qui correspond idéalement à vos désirs sur ImmoScout24 - La plateforme de l'immobilier en Suisse.</v>
      </c>
      <c r="D383" s="4" t="str">
        <f>vlookup(A383, Sheet2!D:E, 2, 0)</f>
        <v>variant</v>
      </c>
      <c r="E383" s="4" t="str">
        <f>IFERROR(__xludf.DUMMYFUNCTION("if(H383=""pays"",vlookup(REGEXEXTRACT(C383, ""🏘️ \w+ \w+ (.*) ✅""),'Country prepositions'!A:B, 2, 0) &amp; "" "" &amp; REGEXEXTRACT(C383, ""🏘️ \w+ \w+ (.*) ✅"") ,  if(H383=""quartier"",vlookup(REGEXEXTRACT(C383, ""🏘️ \w+ \w+ (.*) ✅""),'Quartier prepositions'!A"&amp;":E, 5, 0) ,  if(H383=""region"",vlookup(REGEXEXTRACT(C383, ""🏘️ \w+ \w+ (.*) ✅""),'Region prepositions'!B:F, 5, 0),  REGEXEXTRACT(C383, ""🏘️ \w+ \w+ (.*) ✅""))))"),"Chaumont")</f>
        <v>Chaumont</v>
      </c>
      <c r="F383" s="2" t="str">
        <f>IFERROR(__xludf.DUMMYFUNCTION("REGEXEXTRACT(C383, ""🏘️ (\w+) \w+ .* ✅"")"),"Louer")</f>
        <v>Louer</v>
      </c>
      <c r="G383" s="2" t="str">
        <f>IFERROR(__xludf.DUMMYFUNCTION("REGEXEXTRACT(C383, ""🏘️ \w+ (\w+) .* ✅"")"),"appartement")</f>
        <v>appartement</v>
      </c>
      <c r="H383" s="4" t="str">
        <f>IFERROR(__xludf.DUMMYFUNCTION("REGEXEXTRACT(A383, ""/(\w+)-.*?"")"),"lieu")</f>
        <v>lieu</v>
      </c>
      <c r="I383" s="4" t="str">
        <f>IFERROR(__xludf.DUMMYFUNCTION("if(D383=""variant"",  substitute(filter(Templates!E:E, Templates!A:A = F383, Templates!B:B = G383, Templates!C:C = H383), ""{{}}"", E383), B383)"),"🏘  Vous cherchez un appartement à louer à Chaumont? ✅ Les annonces les plus actuelles sont sur ImmoScout24.ch.")</f>
        <v>🏘  Vous cherchez un appartement à louer à Chaumont? ✅ Les annonces les plus actuelles sont sur ImmoScout24.ch.</v>
      </c>
      <c r="J383" s="4" t="s">
        <v>1154</v>
      </c>
    </row>
    <row r="384">
      <c r="A384" s="5" t="s">
        <v>1155</v>
      </c>
      <c r="B384" s="2" t="s">
        <v>1156</v>
      </c>
      <c r="C384" s="4" t="str">
        <f>IFERROR(__xludf.DUMMYFUNCTION("""🏘️ ""&amp;REGEXEXTRACT(B384, ""^(.*): "")&amp;"" ✅ "" &amp;REGEXEXTRACT(B384, ""(Trouvez.*)"")"),"🏘️ Louer appartement Oberaargau ✅ Trouvez le bien immobilier qui correspond idéalement à vos désirs sur ImmoScout24 - La plateforme de l'immobilier en Suisse.")</f>
        <v>🏘️ Louer appartement Oberaargau ✅ Trouvez le bien immobilier qui correspond idéalement à vos désirs sur ImmoScout24 - La plateforme de l'immobilier en Suisse.</v>
      </c>
      <c r="D384" s="4" t="str">
        <f>vlookup(A384, Sheet2!D:E, 2, 0)</f>
        <v>variant</v>
      </c>
      <c r="E384" s="4" t="str">
        <f>IFERROR(__xludf.DUMMYFUNCTION("if(H384=""pays"",vlookup(REGEXEXTRACT(C384, ""🏘️ \w+ \w+ (.*) ✅""),'Country prepositions'!A:B, 2, 0) &amp; "" "" &amp; REGEXEXTRACT(C384, ""🏘️ \w+ \w+ (.*) ✅"") ,  if(H384=""quartier"",vlookup(REGEXEXTRACT(C384, ""🏘️ \w+ \w+ (.*) ✅""),'Quartier prepositions'!A"&amp;":E, 5, 0) ,  if(H384=""region"",vlookup(REGEXEXTRACT(C384, ""🏘️ \w+ \w+ (.*) ✅""),'Region prepositions'!B:F, 5, 0),  REGEXEXTRACT(C384, ""🏘️ \w+ \w+ (.*) ✅""))))"),"en Haute-Argovie")</f>
        <v>en Haute-Argovie</v>
      </c>
      <c r="F384" s="2" t="str">
        <f>IFERROR(__xludf.DUMMYFUNCTION("REGEXEXTRACT(C384, ""🏘️ (\w+) \w+ .* ✅"")"),"Louer")</f>
        <v>Louer</v>
      </c>
      <c r="G384" s="2" t="str">
        <f>IFERROR(__xludf.DUMMYFUNCTION("REGEXEXTRACT(C384, ""🏘️ \w+ (\w+) .* ✅"")"),"appartement")</f>
        <v>appartement</v>
      </c>
      <c r="H384" s="4" t="str">
        <f>IFERROR(__xludf.DUMMYFUNCTION("REGEXEXTRACT(A384, ""/(\w+)-.*?"")"),"region")</f>
        <v>region</v>
      </c>
      <c r="I384" s="4" t="str">
        <f>IFERROR(__xludf.DUMMYFUNCTION("if(D384=""variant"",  substitute(filter(Templates!E:E, Templates!A:A = F384, Templates!B:B = G384, Templates!C:C = H384), ""{{}}"", E384), B384)"),"🏘  Vous cherchez un appartement à louer en Haute-Argovie? ✅ Les annonces les plus actuelles sont sur ImmoScout24.ch.")</f>
        <v>🏘  Vous cherchez un appartement à louer en Haute-Argovie? ✅ Les annonces les plus actuelles sont sur ImmoScout24.ch.</v>
      </c>
      <c r="J384" s="4" t="s">
        <v>1157</v>
      </c>
    </row>
    <row r="385">
      <c r="A385" s="5" t="s">
        <v>1158</v>
      </c>
      <c r="B385" s="2" t="s">
        <v>1159</v>
      </c>
      <c r="C385" s="4" t="str">
        <f>IFERROR(__xludf.DUMMYFUNCTION("""🏘️ ""&amp;REGEXEXTRACT(B385, ""^(.*): "")&amp;"" ✅ "" &amp;REGEXEXTRACT(B385, ""(Trouvez.*)"")"),"🏘️ Louer appartement Trogne (St-Martin) ✅ Trouvez le bien immobilier qui correspond idéalement à vos désirs sur ImmoScout24 - La plateforme de l'immobilier en Suisse.")</f>
        <v>🏘️ Louer appartement Trogne (St-Martin) ✅ Trouvez le bien immobilier qui correspond idéalement à vos désirs sur ImmoScout24 - La plateforme de l'immobilier en Suisse.</v>
      </c>
      <c r="D385" s="4" t="str">
        <f>vlookup(A385, Sheet2!D:E, 2, 0)</f>
        <v>variant</v>
      </c>
      <c r="E385" s="4" t="str">
        <f>IFERROR(__xludf.DUMMYFUNCTION("if(H385=""pays"",vlookup(REGEXEXTRACT(C385, ""🏘️ \w+ \w+ (.*) ✅""),'Country prepositions'!A:B, 2, 0) &amp; "" "" &amp; REGEXEXTRACT(C385, ""🏘️ \w+ \w+ (.*) ✅"") ,  if(H385=""quartier"",vlookup(REGEXEXTRACT(C385, ""🏘️ \w+ \w+ (.*) ✅""),'Quartier prepositions'!A"&amp;":E, 5, 0) ,  if(H385=""region"",vlookup(REGEXEXTRACT(C385, ""🏘️ \w+ \w+ (.*) ✅""),'Region prepositions'!B:F, 5, 0),  REGEXEXTRACT(C385, ""🏘️ \w+ \w+ (.*) ✅""))))"),"Trogne (St-Martin)")</f>
        <v>Trogne (St-Martin)</v>
      </c>
      <c r="F385" s="2" t="str">
        <f>IFERROR(__xludf.DUMMYFUNCTION("REGEXEXTRACT(C385, ""🏘️ (\w+) \w+ .* ✅"")"),"Louer")</f>
        <v>Louer</v>
      </c>
      <c r="G385" s="2" t="str">
        <f>IFERROR(__xludf.DUMMYFUNCTION("REGEXEXTRACT(C385, ""🏘️ \w+ (\w+) .* ✅"")"),"appartement")</f>
        <v>appartement</v>
      </c>
      <c r="H385" s="4" t="str">
        <f>IFERROR(__xludf.DUMMYFUNCTION("REGEXEXTRACT(A385, ""/(\w+)-.*?"")"),"lieu")</f>
        <v>lieu</v>
      </c>
      <c r="I385" s="4" t="str">
        <f>IFERROR(__xludf.DUMMYFUNCTION("if(D385=""variant"",  substitute(filter(Templates!E:E, Templates!A:A = F385, Templates!B:B = G385, Templates!C:C = H385), ""{{}}"", E385), B385)"),"🏘  Vous cherchez un appartement à louer à Trogne (St-Martin)? ✅ Les annonces les plus actuelles sont sur ImmoScout24.ch.")</f>
        <v>🏘  Vous cherchez un appartement à louer à Trogne (St-Martin)? ✅ Les annonces les plus actuelles sont sur ImmoScout24.ch.</v>
      </c>
      <c r="J385" s="4" t="s">
        <v>1160</v>
      </c>
    </row>
    <row r="386">
      <c r="A386" s="5" t="s">
        <v>1161</v>
      </c>
      <c r="B386" s="2" t="s">
        <v>1162</v>
      </c>
      <c r="C386" s="4" t="str">
        <f>IFERROR(__xludf.DUMMYFUNCTION("""🏘️ ""&amp;REGEXEXTRACT(B386, ""^(.*): "")&amp;"" ✅ "" &amp;REGEXEXTRACT(B386, ""(Trouvez.*)"")"),"🏘️ Louer appartement Seetal - Hochdorf ✅ Trouvez le bien immobilier qui correspond idéalement à vos désirs sur ImmoScout24 - La plateforme de l'immobilier en Suisse.")</f>
        <v>🏘️ Louer appartement Seetal - Hochdorf ✅ Trouvez le bien immobilier qui correspond idéalement à vos désirs sur ImmoScout24 - La plateforme de l'immobilier en Suisse.</v>
      </c>
      <c r="D386" s="4" t="str">
        <f>vlookup(A386, Sheet2!D:E, 2, 0)</f>
        <v>variant</v>
      </c>
      <c r="E386" s="4" t="str">
        <f>IFERROR(__xludf.DUMMYFUNCTION("if(H386=""pays"",vlookup(REGEXEXTRACT(C386, ""🏘️ \w+ \w+ (.*) ✅""),'Country prepositions'!A:B, 2, 0) &amp; "" "" &amp; REGEXEXTRACT(C386, ""🏘️ \w+ \w+ (.*) ✅"") ,  if(H386=""quartier"",vlookup(REGEXEXTRACT(C386, ""🏘️ \w+ \w+ (.*) ✅""),'Quartier prepositions'!A"&amp;":E, 5, 0) ,  if(H386=""region"",vlookup(REGEXEXTRACT(C386, ""🏘️ \w+ \w+ (.*) ✅""),'Region prepositions'!B:F, 5, 0),  REGEXEXTRACT(C386, ""🏘️ \w+ \w+ (.*) ✅""))))"),"dans le Seetal")</f>
        <v>dans le Seetal</v>
      </c>
      <c r="F386" s="2" t="str">
        <f>IFERROR(__xludf.DUMMYFUNCTION("REGEXEXTRACT(C386, ""🏘️ (\w+) \w+ .* ✅"")"),"Louer")</f>
        <v>Louer</v>
      </c>
      <c r="G386" s="2" t="str">
        <f>IFERROR(__xludf.DUMMYFUNCTION("REGEXEXTRACT(C386, ""🏘️ \w+ (\w+) .* ✅"")"),"appartement")</f>
        <v>appartement</v>
      </c>
      <c r="H386" s="4" t="str">
        <f>IFERROR(__xludf.DUMMYFUNCTION("REGEXEXTRACT(A386, ""/(\w+)-.*?"")"),"region")</f>
        <v>region</v>
      </c>
      <c r="I386" s="4" t="str">
        <f>IFERROR(__xludf.DUMMYFUNCTION("if(D386=""variant"",  substitute(filter(Templates!E:E, Templates!A:A = F386, Templates!B:B = G386, Templates!C:C = H386), ""{{}}"", E386), B386)"),"🏘  Vous cherchez un appartement à louer dans le Seetal? ✅ Les annonces les plus actuelles sont sur ImmoScout24.ch.")</f>
        <v>🏘  Vous cherchez un appartement à louer dans le Seetal? ✅ Les annonces les plus actuelles sont sur ImmoScout24.ch.</v>
      </c>
      <c r="J386" s="4" t="s">
        <v>1163</v>
      </c>
    </row>
    <row r="387">
      <c r="A387" s="5" t="s">
        <v>1164</v>
      </c>
      <c r="B387" s="2" t="s">
        <v>1165</v>
      </c>
      <c r="C387" s="4" t="str">
        <f>IFERROR(__xludf.DUMMYFUNCTION("""🏘️ ""&amp;REGEXEXTRACT(B387, ""^(.*): "")&amp;"" ✅ "" &amp;REGEXEXTRACT(B387, ""(Trouvez.*)"")"),"🏘️ Vendre maison Schmitten FR ✅ Trouvez le bien immobilier qui correspond idéalement à vos désirs sur ImmoScout24 - La plateforme de l'immobilier en Suisse.")</f>
        <v>🏘️ Vendre maison Schmitten FR ✅ Trouvez le bien immobilier qui correspond idéalement à vos désirs sur ImmoScout24 - La plateforme de l'immobilier en Suisse.</v>
      </c>
      <c r="D387" s="4" t="str">
        <f>vlookup(A387, Sheet2!D:E, 2, 0)</f>
        <v>variant</v>
      </c>
      <c r="E387" s="4" t="str">
        <f>IFERROR(__xludf.DUMMYFUNCTION("if(H387=""pays"",vlookup(REGEXEXTRACT(C387, ""🏘️ \w+ \w+ (.*) ✅""),'Country prepositions'!A:B, 2, 0) &amp; "" "" &amp; REGEXEXTRACT(C387, ""🏘️ \w+ \w+ (.*) ✅"") ,  if(H387=""quartier"",vlookup(REGEXEXTRACT(C387, ""🏘️ \w+ \w+ (.*) ✅""),'Quartier prepositions'!A"&amp;":E, 5, 0) ,  if(H387=""region"",vlookup(REGEXEXTRACT(C387, ""🏘️ \w+ \w+ (.*) ✅""),'Region prepositions'!B:F, 5, 0),  REGEXEXTRACT(C387, ""🏘️ \w+ \w+ (.*) ✅""))))"),"Schmitten FR")</f>
        <v>Schmitten FR</v>
      </c>
      <c r="F387" s="2" t="str">
        <f>IFERROR(__xludf.DUMMYFUNCTION("REGEXEXTRACT(C387, ""🏘️ (\w+) \w+ .* ✅"")"),"Vendre")</f>
        <v>Vendre</v>
      </c>
      <c r="G387" s="2" t="str">
        <f>IFERROR(__xludf.DUMMYFUNCTION("REGEXEXTRACT(C387, ""🏘️ \w+ (\w+) .* ✅"")"),"maison")</f>
        <v>maison</v>
      </c>
      <c r="H387" s="4" t="str">
        <f>IFERROR(__xludf.DUMMYFUNCTION("REGEXEXTRACT(A387, ""/(\w+)-.*?"")"),"lieu")</f>
        <v>lieu</v>
      </c>
      <c r="I387" s="4" t="str">
        <f>IFERROR(__xludf.DUMMYFUNCTION("if(D387=""variant"",  substitute(filter(Templates!E:E, Templates!A:A = F387, Templates!B:B = G387, Templates!C:C = H387), ""{{}}"", E387), B387)"),"🏘  Vous souhaitez acheter une maison à Schmitten FR? ✅ Jetez un œil aux dernières offres sur ImmoScout24.ch.")</f>
        <v>🏘  Vous souhaitez acheter une maison à Schmitten FR? ✅ Jetez un œil aux dernières offres sur ImmoScout24.ch.</v>
      </c>
      <c r="J387" s="4" t="s">
        <v>1166</v>
      </c>
    </row>
    <row r="388">
      <c r="A388" s="5" t="s">
        <v>1167</v>
      </c>
      <c r="B388" s="2" t="s">
        <v>1168</v>
      </c>
      <c r="C388" s="4" t="str">
        <f>IFERROR(__xludf.DUMMYFUNCTION("""🏘️ ""&amp;REGEXEXTRACT(B388, ""^(.*): "")&amp;"" ✅ "" &amp;REGEXEXTRACT(B388, ""(Trouvez.*)"")"),"🏘️ Vendre appartement Ferpicloz ✅ Trouvez le bien immobilier qui correspond idéalement à vos désirs sur ImmoScout24 - La plateforme de l'immobilier en Suisse.")</f>
        <v>🏘️ Vendre appartement Ferpicloz ✅ Trouvez le bien immobilier qui correspond idéalement à vos désirs sur ImmoScout24 - La plateforme de l'immobilier en Suisse.</v>
      </c>
      <c r="D388" s="4" t="str">
        <f>vlookup(A388, Sheet2!D:E, 2, 0)</f>
        <v>variant</v>
      </c>
      <c r="E388" s="4" t="str">
        <f>IFERROR(__xludf.DUMMYFUNCTION("if(H388=""pays"",vlookup(REGEXEXTRACT(C388, ""🏘️ \w+ \w+ (.*) ✅""),'Country prepositions'!A:B, 2, 0) &amp; "" "" &amp; REGEXEXTRACT(C388, ""🏘️ \w+ \w+ (.*) ✅"") ,  if(H388=""quartier"",vlookup(REGEXEXTRACT(C388, ""🏘️ \w+ \w+ (.*) ✅""),'Quartier prepositions'!A"&amp;":E, 5, 0) ,  if(H388=""region"",vlookup(REGEXEXTRACT(C388, ""🏘️ \w+ \w+ (.*) ✅""),'Region prepositions'!B:F, 5, 0),  REGEXEXTRACT(C388, ""🏘️ \w+ \w+ (.*) ✅""))))"),"Ferpicloz")</f>
        <v>Ferpicloz</v>
      </c>
      <c r="F388" s="2" t="str">
        <f>IFERROR(__xludf.DUMMYFUNCTION("REGEXEXTRACT(C388, ""🏘️ (\w+) \w+ .* ✅"")"),"Vendre")</f>
        <v>Vendre</v>
      </c>
      <c r="G388" s="2" t="str">
        <f>IFERROR(__xludf.DUMMYFUNCTION("REGEXEXTRACT(C388, ""🏘️ \w+ (\w+) .* ✅"")"),"appartement")</f>
        <v>appartement</v>
      </c>
      <c r="H388" s="4" t="str">
        <f>IFERROR(__xludf.DUMMYFUNCTION("REGEXEXTRACT(A388, ""/(\w+)-.*?"")"),"lieu")</f>
        <v>lieu</v>
      </c>
      <c r="I388" s="4" t="str">
        <f>IFERROR(__xludf.DUMMYFUNCTION("if(D388=""variant"",  substitute(filter(Templates!E:E, Templates!A:A = F388, Templates!B:B = G388, Templates!C:C = H388), ""{{}}"", E388), B388)"),"🏘  L’appartement de vos rêves se trouve sur ImmoScout24.ch ✅ Découvrez les dernières annonces de vente à Ferpicloz.")</f>
        <v>🏘  L’appartement de vos rêves se trouve sur ImmoScout24.ch ✅ Découvrez les dernières annonces de vente à Ferpicloz.</v>
      </c>
      <c r="J388" s="4" t="s">
        <v>1169</v>
      </c>
    </row>
    <row r="389">
      <c r="A389" s="5" t="s">
        <v>1170</v>
      </c>
      <c r="B389" s="2" t="s">
        <v>1171</v>
      </c>
      <c r="C389" s="4" t="str">
        <f>IFERROR(__xludf.DUMMYFUNCTION("""🏘️ ""&amp;REGEXEXTRACT(B389, ""^(.*): "")&amp;"" ✅ "" &amp;REGEXEXTRACT(B389, ""(Trouvez.*)"")"),"🏘️ Louer maison Schwarzenburg ✅ Trouvez le bien immobilier qui correspond idéalement à vos désirs sur ImmoScout24 - La plateforme de l'immobilier en Suisse.")</f>
        <v>🏘️ Louer maison Schwarzenburg ✅ Trouvez le bien immobilier qui correspond idéalement à vos désirs sur ImmoScout24 - La plateforme de l'immobilier en Suisse.</v>
      </c>
      <c r="D389" s="4" t="str">
        <f>vlookup(A389, Sheet2!D:E, 2, 0)</f>
        <v>variant</v>
      </c>
      <c r="E389" s="4" t="str">
        <f>IFERROR(__xludf.DUMMYFUNCTION("if(H389=""pays"",vlookup(REGEXEXTRACT(C389, ""🏘️ \w+ \w+ (.*) ✅""),'Country prepositions'!A:B, 2, 0) &amp; "" "" &amp; REGEXEXTRACT(C389, ""🏘️ \w+ \w+ (.*) ✅"") ,  if(H389=""quartier"",vlookup(REGEXEXTRACT(C389, ""🏘️ \w+ \w+ (.*) ✅""),'Quartier prepositions'!A"&amp;":E, 5, 0) ,  if(H389=""region"",vlookup(REGEXEXTRACT(C389, ""🏘️ \w+ \w+ (.*) ✅""),'Region prepositions'!B:F, 5, 0),  REGEXEXTRACT(C389, ""🏘️ \w+ \w+ (.*) ✅""))))"),"Schwarzenburg")</f>
        <v>Schwarzenburg</v>
      </c>
      <c r="F389" s="2" t="str">
        <f>IFERROR(__xludf.DUMMYFUNCTION("REGEXEXTRACT(C389, ""🏘️ (\w+) \w+ .* ✅"")"),"Louer")</f>
        <v>Louer</v>
      </c>
      <c r="G389" s="2" t="str">
        <f>IFERROR(__xludf.DUMMYFUNCTION("REGEXEXTRACT(C389, ""🏘️ \w+ (\w+) .* ✅"")"),"maison")</f>
        <v>maison</v>
      </c>
      <c r="H389" s="4" t="str">
        <f>IFERROR(__xludf.DUMMYFUNCTION("REGEXEXTRACT(A389, ""/(\w+)-.*?"")"),"lieu")</f>
        <v>lieu</v>
      </c>
      <c r="I389" s="4" t="str">
        <f>IFERROR(__xludf.DUMMYFUNCTION("if(D389=""variant"",  substitute(filter(Templates!E:E, Templates!A:A = F389, Templates!B:B = G389, Templates!C:C = H389), ""{{}}"", E389), B389)"),"🏘  Vous cherchez une maison à louer à Schwarzenburg? ✅ Découvrez nos nombreuses annonces sur ImmoScout24.ch.")</f>
        <v>🏘  Vous cherchez une maison à louer à Schwarzenburg? ✅ Découvrez nos nombreuses annonces sur ImmoScout24.ch.</v>
      </c>
      <c r="J389" s="4" t="s">
        <v>1172</v>
      </c>
    </row>
    <row r="390">
      <c r="A390" s="5" t="s">
        <v>1173</v>
      </c>
      <c r="B390" s="2" t="s">
        <v>1174</v>
      </c>
      <c r="C390" s="4" t="str">
        <f>IFERROR(__xludf.DUMMYFUNCTION("""🏘️ ""&amp;REGEXEXTRACT(B390, ""^(.*): "")&amp;"" ✅ "" &amp;REGEXEXTRACT(B390, ""(Trouvez.*)"")"),"🏘️ Vendre maison Borex ✅ Trouvez le bien immobilier qui correspond idéalement à vos désirs sur ImmoScout24 - La plateforme de l'immobilier en Suisse.")</f>
        <v>🏘️ Vendre maison Borex ✅ Trouvez le bien immobilier qui correspond idéalement à vos désirs sur ImmoScout24 - La plateforme de l'immobilier en Suisse.</v>
      </c>
      <c r="D390" s="4" t="str">
        <f>vlookup(A390, Sheet2!D:E, 2, 0)</f>
        <v>variant</v>
      </c>
      <c r="E390" s="4" t="str">
        <f>IFERROR(__xludf.DUMMYFUNCTION("if(H390=""pays"",vlookup(REGEXEXTRACT(C390, ""🏘️ \w+ \w+ (.*) ✅""),'Country prepositions'!A:B, 2, 0) &amp; "" "" &amp; REGEXEXTRACT(C390, ""🏘️ \w+ \w+ (.*) ✅"") ,  if(H390=""quartier"",vlookup(REGEXEXTRACT(C390, ""🏘️ \w+ \w+ (.*) ✅""),'Quartier prepositions'!A"&amp;":E, 5, 0) ,  if(H390=""region"",vlookup(REGEXEXTRACT(C390, ""🏘️ \w+ \w+ (.*) ✅""),'Region prepositions'!B:F, 5, 0),  REGEXEXTRACT(C390, ""🏘️ \w+ \w+ (.*) ✅""))))"),"Borex")</f>
        <v>Borex</v>
      </c>
      <c r="F390" s="2" t="str">
        <f>IFERROR(__xludf.DUMMYFUNCTION("REGEXEXTRACT(C390, ""🏘️ (\w+) \w+ .* ✅"")"),"Vendre")</f>
        <v>Vendre</v>
      </c>
      <c r="G390" s="2" t="str">
        <f>IFERROR(__xludf.DUMMYFUNCTION("REGEXEXTRACT(C390, ""🏘️ \w+ (\w+) .* ✅"")"),"maison")</f>
        <v>maison</v>
      </c>
      <c r="H390" s="4" t="str">
        <f>IFERROR(__xludf.DUMMYFUNCTION("REGEXEXTRACT(A390, ""/(\w+)-.*?"")"),"lieu")</f>
        <v>lieu</v>
      </c>
      <c r="I390" s="4" t="str">
        <f>IFERROR(__xludf.DUMMYFUNCTION("if(D390=""variant"",  substitute(filter(Templates!E:E, Templates!A:A = F390, Templates!B:B = G390, Templates!C:C = H390), ""{{}}"", E390), B390)"),"🏘  Vous souhaitez acheter une maison à Borex? ✅ Jetez un œil aux dernières offres sur ImmoScout24.ch.")</f>
        <v>🏘  Vous souhaitez acheter une maison à Borex? ✅ Jetez un œil aux dernières offres sur ImmoScout24.ch.</v>
      </c>
      <c r="J390" s="4" t="s">
        <v>1175</v>
      </c>
    </row>
    <row r="391">
      <c r="A391" s="5" t="s">
        <v>1176</v>
      </c>
      <c r="B391" s="2" t="s">
        <v>1177</v>
      </c>
      <c r="C391" s="4" t="str">
        <f>IFERROR(__xludf.DUMMYFUNCTION("""🏘️ ""&amp;REGEXEXTRACT(B391, ""^(.*): "")&amp;"" ✅ "" &amp;REGEXEXTRACT(B391, ""(Trouvez.*)"")"),"🏘️ Vendre maison Villars-Burquin ✅ Trouvez le bien immobilier qui correspond idéalement à vos désirs sur ImmoScout24 - La plateforme de l'immobilier en Suisse.")</f>
        <v>🏘️ Vendre maison Villars-Burquin ✅ Trouvez le bien immobilier qui correspond idéalement à vos désirs sur ImmoScout24 - La plateforme de l'immobilier en Suisse.</v>
      </c>
      <c r="D391" s="4" t="str">
        <f>vlookup(A391, Sheet2!D:E, 2, 0)</f>
        <v>variant</v>
      </c>
      <c r="E391" s="4" t="str">
        <f>IFERROR(__xludf.DUMMYFUNCTION("if(H391=""pays"",vlookup(REGEXEXTRACT(C391, ""🏘️ \w+ \w+ (.*) ✅""),'Country prepositions'!A:B, 2, 0) &amp; "" "" &amp; REGEXEXTRACT(C391, ""🏘️ \w+ \w+ (.*) ✅"") ,  if(H391=""quartier"",vlookup(REGEXEXTRACT(C391, ""🏘️ \w+ \w+ (.*) ✅""),'Quartier prepositions'!A"&amp;":E, 5, 0) ,  if(H391=""region"",vlookup(REGEXEXTRACT(C391, ""🏘️ \w+ \w+ (.*) ✅""),'Region prepositions'!B:F, 5, 0),  REGEXEXTRACT(C391, ""🏘️ \w+ \w+ (.*) ✅""))))"),"Villars-Burquin")</f>
        <v>Villars-Burquin</v>
      </c>
      <c r="F391" s="2" t="str">
        <f>IFERROR(__xludf.DUMMYFUNCTION("REGEXEXTRACT(C391, ""🏘️ (\w+) \w+ .* ✅"")"),"Vendre")</f>
        <v>Vendre</v>
      </c>
      <c r="G391" s="2" t="str">
        <f>IFERROR(__xludf.DUMMYFUNCTION("REGEXEXTRACT(C391, ""🏘️ \w+ (\w+) .* ✅"")"),"maison")</f>
        <v>maison</v>
      </c>
      <c r="H391" s="4" t="str">
        <f>IFERROR(__xludf.DUMMYFUNCTION("REGEXEXTRACT(A391, ""/(\w+)-.*?"")"),"lieu")</f>
        <v>lieu</v>
      </c>
      <c r="I391" s="4" t="str">
        <f>IFERROR(__xludf.DUMMYFUNCTION("if(D391=""variant"",  substitute(filter(Templates!E:E, Templates!A:A = F391, Templates!B:B = G391, Templates!C:C = H391), ""{{}}"", E391), B391)"),"🏘  Vous souhaitez acheter une maison à Villars-Burquin? ✅ Jetez un œil aux dernières offres sur ImmoScout24.ch.")</f>
        <v>🏘  Vous souhaitez acheter une maison à Villars-Burquin? ✅ Jetez un œil aux dernières offres sur ImmoScout24.ch.</v>
      </c>
      <c r="J391" s="4" t="s">
        <v>1178</v>
      </c>
    </row>
    <row r="392">
      <c r="A392" s="5" t="s">
        <v>1179</v>
      </c>
      <c r="B392" s="2" t="s">
        <v>1180</v>
      </c>
      <c r="C392" s="4" t="str">
        <f>IFERROR(__xludf.DUMMYFUNCTION("""🏘️ ""&amp;REGEXEXTRACT(B392, ""^(.*): "")&amp;"" ✅ "" &amp;REGEXEXTRACT(B392, ""(Trouvez.*)"")"),"🏘️ Louer appartement Lindau ✅ Trouvez le bien immobilier qui correspond idéalement à vos désirs sur ImmoScout24 - La plateforme de l'immobilier en Suisse.")</f>
        <v>🏘️ Louer appartement Lindau ✅ Trouvez le bien immobilier qui correspond idéalement à vos désirs sur ImmoScout24 - La plateforme de l'immobilier en Suisse.</v>
      </c>
      <c r="D392" s="4" t="str">
        <f>vlookup(A392, Sheet2!D:E, 2, 0)</f>
        <v>variant</v>
      </c>
      <c r="E392" s="4" t="str">
        <f>IFERROR(__xludf.DUMMYFUNCTION("if(H392=""pays"",vlookup(REGEXEXTRACT(C392, ""🏘️ \w+ \w+ (.*) ✅""),'Country prepositions'!A:B, 2, 0) &amp; "" "" &amp; REGEXEXTRACT(C392, ""🏘️ \w+ \w+ (.*) ✅"") ,  if(H392=""quartier"",vlookup(REGEXEXTRACT(C392, ""🏘️ \w+ \w+ (.*) ✅""),'Quartier prepositions'!A"&amp;":E, 5, 0) ,  if(H392=""region"",vlookup(REGEXEXTRACT(C392, ""🏘️ \w+ \w+ (.*) ✅""),'Region prepositions'!B:F, 5, 0),  REGEXEXTRACT(C392, ""🏘️ \w+ \w+ (.*) ✅""))))"),"Lindau")</f>
        <v>Lindau</v>
      </c>
      <c r="F392" s="2" t="str">
        <f>IFERROR(__xludf.DUMMYFUNCTION("REGEXEXTRACT(C392, ""🏘️ (\w+) \w+ .* ✅"")"),"Louer")</f>
        <v>Louer</v>
      </c>
      <c r="G392" s="2" t="str">
        <f>IFERROR(__xludf.DUMMYFUNCTION("REGEXEXTRACT(C392, ""🏘️ \w+ (\w+) .* ✅"")"),"appartement")</f>
        <v>appartement</v>
      </c>
      <c r="H392" s="4" t="str">
        <f>IFERROR(__xludf.DUMMYFUNCTION("REGEXEXTRACT(A392, ""/(\w+)-.*?"")"),"lieu")</f>
        <v>lieu</v>
      </c>
      <c r="I392" s="4" t="str">
        <f>IFERROR(__xludf.DUMMYFUNCTION("if(D392=""variant"",  substitute(filter(Templates!E:E, Templates!A:A = F392, Templates!B:B = G392, Templates!C:C = H392), ""{{}}"", E392), B392)"),"🏘  Vous cherchez un appartement à louer à Lindau? ✅ Les annonces les plus actuelles sont sur ImmoScout24.ch.")</f>
        <v>🏘  Vous cherchez un appartement à louer à Lindau? ✅ Les annonces les plus actuelles sont sur ImmoScout24.ch.</v>
      </c>
      <c r="J392" s="4" t="s">
        <v>1181</v>
      </c>
    </row>
    <row r="393">
      <c r="A393" s="5" t="s">
        <v>1182</v>
      </c>
      <c r="B393" s="2" t="s">
        <v>1183</v>
      </c>
      <c r="C393" s="4" t="str">
        <f>IFERROR(__xludf.DUMMYFUNCTION("""🏘️ ""&amp;REGEXEXTRACT(B393, ""^(.*): "")&amp;"" ✅ "" &amp;REGEXEXTRACT(B393, ""(Trouvez.*)"")"),"🏘️ Louer appartement Bioley-Orjulaz ✅ Trouvez le bien immobilier qui correspond idéalement à vos désirs sur ImmoScout24 - La plateforme de l'immobilier en Suisse.")</f>
        <v>🏘️ Louer appartement Bioley-Orjulaz ✅ Trouvez le bien immobilier qui correspond idéalement à vos désirs sur ImmoScout24 - La plateforme de l'immobilier en Suisse.</v>
      </c>
      <c r="D393" s="4" t="str">
        <f>vlookup(A393, Sheet2!D:E, 2, 0)</f>
        <v>variant</v>
      </c>
      <c r="E393" s="4" t="str">
        <f>IFERROR(__xludf.DUMMYFUNCTION("if(H393=""pays"",vlookup(REGEXEXTRACT(C393, ""🏘️ \w+ \w+ (.*) ✅""),'Country prepositions'!A:B, 2, 0) &amp; "" "" &amp; REGEXEXTRACT(C393, ""🏘️ \w+ \w+ (.*) ✅"") ,  if(H393=""quartier"",vlookup(REGEXEXTRACT(C393, ""🏘️ \w+ \w+ (.*) ✅""),'Quartier prepositions'!A"&amp;":E, 5, 0) ,  if(H393=""region"",vlookup(REGEXEXTRACT(C393, ""🏘️ \w+ \w+ (.*) ✅""),'Region prepositions'!B:F, 5, 0),  REGEXEXTRACT(C393, ""🏘️ \w+ \w+ (.*) ✅""))))"),"Bioley-Orjulaz")</f>
        <v>Bioley-Orjulaz</v>
      </c>
      <c r="F393" s="2" t="str">
        <f>IFERROR(__xludf.DUMMYFUNCTION("REGEXEXTRACT(C393, ""🏘️ (\w+) \w+ .* ✅"")"),"Louer")</f>
        <v>Louer</v>
      </c>
      <c r="G393" s="2" t="str">
        <f>IFERROR(__xludf.DUMMYFUNCTION("REGEXEXTRACT(C393, ""🏘️ \w+ (\w+) .* ✅"")"),"appartement")</f>
        <v>appartement</v>
      </c>
      <c r="H393" s="4" t="str">
        <f>IFERROR(__xludf.DUMMYFUNCTION("REGEXEXTRACT(A393, ""/(\w+)-.*?"")"),"lieu")</f>
        <v>lieu</v>
      </c>
      <c r="I393" s="4" t="str">
        <f>IFERROR(__xludf.DUMMYFUNCTION("if(D393=""variant"",  substitute(filter(Templates!E:E, Templates!A:A = F393, Templates!B:B = G393, Templates!C:C = H393), ""{{}}"", E393), B393)"),"🏘  Vous cherchez un appartement à louer à Bioley-Orjulaz? ✅ Les annonces les plus actuelles sont sur ImmoScout24.ch.")</f>
        <v>🏘  Vous cherchez un appartement à louer à Bioley-Orjulaz? ✅ Les annonces les plus actuelles sont sur ImmoScout24.ch.</v>
      </c>
      <c r="J393" s="4" t="s">
        <v>1184</v>
      </c>
    </row>
    <row r="394">
      <c r="A394" s="5" t="s">
        <v>1185</v>
      </c>
      <c r="B394" s="2" t="s">
        <v>1186</v>
      </c>
      <c r="C394" s="4" t="str">
        <f>IFERROR(__xludf.DUMMYFUNCTION("""🏘️ ""&amp;REGEXEXTRACT(B394, ""^(.*): "")&amp;"" ✅ "" &amp;REGEXEXTRACT(B394, ""(Trouvez.*)"")"),"🏘️ Vendre maison Ringgenberg BE ✅ Trouvez le bien immobilier qui correspond idéalement à vos désirs sur ImmoScout24 - La plateforme de l'immobilier en Suisse.")</f>
        <v>🏘️ Vendre maison Ringgenberg BE ✅ Trouvez le bien immobilier qui correspond idéalement à vos désirs sur ImmoScout24 - La plateforme de l'immobilier en Suisse.</v>
      </c>
      <c r="D394" s="4" t="str">
        <f>vlookup(A394, Sheet2!D:E, 2, 0)</f>
        <v>variant</v>
      </c>
      <c r="E394" s="4" t="str">
        <f>IFERROR(__xludf.DUMMYFUNCTION("if(H394=""pays"",vlookup(REGEXEXTRACT(C394, ""🏘️ \w+ \w+ (.*) ✅""),'Country prepositions'!A:B, 2, 0) &amp; "" "" &amp; REGEXEXTRACT(C394, ""🏘️ \w+ \w+ (.*) ✅"") ,  if(H394=""quartier"",vlookup(REGEXEXTRACT(C394, ""🏘️ \w+ \w+ (.*) ✅""),'Quartier prepositions'!A"&amp;":E, 5, 0) ,  if(H394=""region"",vlookup(REGEXEXTRACT(C394, ""🏘️ \w+ \w+ (.*) ✅""),'Region prepositions'!B:F, 5, 0),  REGEXEXTRACT(C394, ""🏘️ \w+ \w+ (.*) ✅""))))"),"Ringgenberg BE")</f>
        <v>Ringgenberg BE</v>
      </c>
      <c r="F394" s="2" t="str">
        <f>IFERROR(__xludf.DUMMYFUNCTION("REGEXEXTRACT(C394, ""🏘️ (\w+) \w+ .* ✅"")"),"Vendre")</f>
        <v>Vendre</v>
      </c>
      <c r="G394" s="2" t="str">
        <f>IFERROR(__xludf.DUMMYFUNCTION("REGEXEXTRACT(C394, ""🏘️ \w+ (\w+) .* ✅"")"),"maison")</f>
        <v>maison</v>
      </c>
      <c r="H394" s="4" t="str">
        <f>IFERROR(__xludf.DUMMYFUNCTION("REGEXEXTRACT(A394, ""/(\w+)-.*?"")"),"lieu")</f>
        <v>lieu</v>
      </c>
      <c r="I394" s="4" t="str">
        <f>IFERROR(__xludf.DUMMYFUNCTION("if(D394=""variant"",  substitute(filter(Templates!E:E, Templates!A:A = F394, Templates!B:B = G394, Templates!C:C = H394), ""{{}}"", E394), B394)"),"🏘  Vous souhaitez acheter une maison à Ringgenberg BE? ✅ Jetez un œil aux dernières offres sur ImmoScout24.ch.")</f>
        <v>🏘  Vous souhaitez acheter une maison à Ringgenberg BE? ✅ Jetez un œil aux dernières offres sur ImmoScout24.ch.</v>
      </c>
      <c r="J394" s="4" t="s">
        <v>1187</v>
      </c>
    </row>
    <row r="395">
      <c r="A395" s="5" t="s">
        <v>1188</v>
      </c>
      <c r="B395" s="2" t="s">
        <v>1189</v>
      </c>
      <c r="C395" s="4" t="str">
        <f>IFERROR(__xludf.DUMMYFUNCTION("""🏘️ ""&amp;REGEXEXTRACT(B395, ""^(.*): "")&amp;"" ✅ "" &amp;REGEXEXTRACT(B395, ""(Trouvez.*)"")"),"🏘️ Vendre appartement Chavannes-de-Bogis ✅ Trouvez le bien immobilier qui correspond idéalement à vos désirs sur ImmoScout24 - La plateforme de l'immobilier en Suisse.")</f>
        <v>🏘️ Vendre appartement Chavannes-de-Bogis ✅ Trouvez le bien immobilier qui correspond idéalement à vos désirs sur ImmoScout24 - La plateforme de l'immobilier en Suisse.</v>
      </c>
      <c r="D395" s="4" t="str">
        <f>vlookup(A395, Sheet2!D:E, 2, 0)</f>
        <v>variant</v>
      </c>
      <c r="E395" s="4" t="str">
        <f>IFERROR(__xludf.DUMMYFUNCTION("if(H395=""pays"",vlookup(REGEXEXTRACT(C395, ""🏘️ \w+ \w+ (.*) ✅""),'Country prepositions'!A:B, 2, 0) &amp; "" "" &amp; REGEXEXTRACT(C395, ""🏘️ \w+ \w+ (.*) ✅"") ,  if(H395=""quartier"",vlookup(REGEXEXTRACT(C395, ""🏘️ \w+ \w+ (.*) ✅""),'Quartier prepositions'!A"&amp;":E, 5, 0) ,  if(H395=""region"",vlookup(REGEXEXTRACT(C395, ""🏘️ \w+ \w+ (.*) ✅""),'Region prepositions'!B:F, 5, 0),  REGEXEXTRACT(C395, ""🏘️ \w+ \w+ (.*) ✅""))))"),"Chavannes-de-Bogis")</f>
        <v>Chavannes-de-Bogis</v>
      </c>
      <c r="F395" s="2" t="str">
        <f>IFERROR(__xludf.DUMMYFUNCTION("REGEXEXTRACT(C395, ""🏘️ (\w+) \w+ .* ✅"")"),"Vendre")</f>
        <v>Vendre</v>
      </c>
      <c r="G395" s="2" t="str">
        <f>IFERROR(__xludf.DUMMYFUNCTION("REGEXEXTRACT(C395, ""🏘️ \w+ (\w+) .* ✅"")"),"appartement")</f>
        <v>appartement</v>
      </c>
      <c r="H395" s="4" t="str">
        <f>IFERROR(__xludf.DUMMYFUNCTION("REGEXEXTRACT(A395, ""/(\w+)-.*?"")"),"lieu")</f>
        <v>lieu</v>
      </c>
      <c r="I395" s="4" t="str">
        <f>IFERROR(__xludf.DUMMYFUNCTION("if(D395=""variant"",  substitute(filter(Templates!E:E, Templates!A:A = F395, Templates!B:B = G395, Templates!C:C = H395), ""{{}}"", E395), B395)"),"🏘  L’appartement de vos rêves se trouve sur ImmoScout24.ch ✅ Découvrez les dernières annonces de vente à Chavannes-de-Bogis.")</f>
        <v>🏘  L’appartement de vos rêves se trouve sur ImmoScout24.ch ✅ Découvrez les dernières annonces de vente à Chavannes-de-Bogis.</v>
      </c>
      <c r="J395" s="4" t="s">
        <v>1190</v>
      </c>
    </row>
    <row r="396">
      <c r="A396" s="5" t="s">
        <v>1191</v>
      </c>
      <c r="B396" s="2" t="s">
        <v>1192</v>
      </c>
      <c r="C396" s="4" t="str">
        <f>IFERROR(__xludf.DUMMYFUNCTION("""🏘️ ""&amp;REGEXEXTRACT(B396, ""^(.*): "")&amp;"" ✅ "" &amp;REGEXEXTRACT(B396, ""(Trouvez.*)"")"),"🏘️ Vendre appartement Sargans ✅ Trouvez le bien immobilier qui correspond idéalement à vos désirs sur ImmoScout24 - La plateforme de l'immobilier en Suisse.")</f>
        <v>🏘️ Vendre appartement Sargans ✅ Trouvez le bien immobilier qui correspond idéalement à vos désirs sur ImmoScout24 - La plateforme de l'immobilier en Suisse.</v>
      </c>
      <c r="D396" s="4" t="str">
        <f>vlookup(A396, Sheet2!D:E, 2, 0)</f>
        <v>variant</v>
      </c>
      <c r="E396" s="4" t="str">
        <f>IFERROR(__xludf.DUMMYFUNCTION("if(H396=""pays"",vlookup(REGEXEXTRACT(C396, ""🏘️ \w+ \w+ (.*) ✅""),'Country prepositions'!A:B, 2, 0) &amp; "" "" &amp; REGEXEXTRACT(C396, ""🏘️ \w+ \w+ (.*) ✅"") ,  if(H396=""quartier"",vlookup(REGEXEXTRACT(C396, ""🏘️ \w+ \w+ (.*) ✅""),'Quartier prepositions'!A"&amp;":E, 5, 0) ,  if(H396=""region"",vlookup(REGEXEXTRACT(C396, ""🏘️ \w+ \w+ (.*) ✅""),'Region prepositions'!B:F, 5, 0),  REGEXEXTRACT(C396, ""🏘️ \w+ \w+ (.*) ✅""))))"),"Sargans")</f>
        <v>Sargans</v>
      </c>
      <c r="F396" s="2" t="str">
        <f>IFERROR(__xludf.DUMMYFUNCTION("REGEXEXTRACT(C396, ""🏘️ (\w+) \w+ .* ✅"")"),"Vendre")</f>
        <v>Vendre</v>
      </c>
      <c r="G396" s="2" t="str">
        <f>IFERROR(__xludf.DUMMYFUNCTION("REGEXEXTRACT(C396, ""🏘️ \w+ (\w+) .* ✅"")"),"appartement")</f>
        <v>appartement</v>
      </c>
      <c r="H396" s="4" t="str">
        <f>IFERROR(__xludf.DUMMYFUNCTION("REGEXEXTRACT(A396, ""/(\w+)-.*?"")"),"lieu")</f>
        <v>lieu</v>
      </c>
      <c r="I396" s="4" t="str">
        <f>IFERROR(__xludf.DUMMYFUNCTION("if(D396=""variant"",  substitute(filter(Templates!E:E, Templates!A:A = F396, Templates!B:B = G396, Templates!C:C = H396), ""{{}}"", E396), B396)"),"🏘  L’appartement de vos rêves se trouve sur ImmoScout24.ch ✅ Découvrez les dernières annonces de vente à Sargans.")</f>
        <v>🏘  L’appartement de vos rêves se trouve sur ImmoScout24.ch ✅ Découvrez les dernières annonces de vente à Sargans.</v>
      </c>
      <c r="J396" s="4" t="s">
        <v>1193</v>
      </c>
    </row>
    <row r="397">
      <c r="A397" s="5" t="s">
        <v>1194</v>
      </c>
      <c r="B397" s="2" t="s">
        <v>1195</v>
      </c>
      <c r="C397" s="4" t="str">
        <f>IFERROR(__xludf.DUMMYFUNCTION("""🏘️ ""&amp;REGEXEXTRACT(B397, ""^(.*): "")&amp;"" ✅ "" &amp;REGEXEXTRACT(B397, ""(Trouvez.*)"")"),"🏘️ Louer appartement Hombrechtikon ✅ Trouvez le bien immobilier qui correspond idéalement à vos désirs sur ImmoScout24 - La plateforme de l'immobilier en Suisse.")</f>
        <v>🏘️ Louer appartement Hombrechtikon ✅ Trouvez le bien immobilier qui correspond idéalement à vos désirs sur ImmoScout24 - La plateforme de l'immobilier en Suisse.</v>
      </c>
      <c r="D397" s="4" t="str">
        <f>vlookup(A397, Sheet2!D:E, 2, 0)</f>
        <v>variant</v>
      </c>
      <c r="E397" s="4" t="str">
        <f>IFERROR(__xludf.DUMMYFUNCTION("if(H397=""pays"",vlookup(REGEXEXTRACT(C397, ""🏘️ \w+ \w+ (.*) ✅""),'Country prepositions'!A:B, 2, 0) &amp; "" "" &amp; REGEXEXTRACT(C397, ""🏘️ \w+ \w+ (.*) ✅"") ,  if(H397=""quartier"",vlookup(REGEXEXTRACT(C397, ""🏘️ \w+ \w+ (.*) ✅""),'Quartier prepositions'!A"&amp;":E, 5, 0) ,  if(H397=""region"",vlookup(REGEXEXTRACT(C397, ""🏘️ \w+ \w+ (.*) ✅""),'Region prepositions'!B:F, 5, 0),  REGEXEXTRACT(C397, ""🏘️ \w+ \w+ (.*) ✅""))))"),"Hombrechtikon")</f>
        <v>Hombrechtikon</v>
      </c>
      <c r="F397" s="2" t="str">
        <f>IFERROR(__xludf.DUMMYFUNCTION("REGEXEXTRACT(C397, ""🏘️ (\w+) \w+ .* ✅"")"),"Louer")</f>
        <v>Louer</v>
      </c>
      <c r="G397" s="2" t="str">
        <f>IFERROR(__xludf.DUMMYFUNCTION("REGEXEXTRACT(C397, ""🏘️ \w+ (\w+) .* ✅"")"),"appartement")</f>
        <v>appartement</v>
      </c>
      <c r="H397" s="4" t="str">
        <f>IFERROR(__xludf.DUMMYFUNCTION("REGEXEXTRACT(A397, ""/(\w+)-.*?"")"),"lieu")</f>
        <v>lieu</v>
      </c>
      <c r="I397" s="4" t="str">
        <f>IFERROR(__xludf.DUMMYFUNCTION("if(D397=""variant"",  substitute(filter(Templates!E:E, Templates!A:A = F397, Templates!B:B = G397, Templates!C:C = H397), ""{{}}"", E397), B397)"),"🏘  Vous cherchez un appartement à louer à Hombrechtikon? ✅ Les annonces les plus actuelles sont sur ImmoScout24.ch.")</f>
        <v>🏘  Vous cherchez un appartement à louer à Hombrechtikon? ✅ Les annonces les plus actuelles sont sur ImmoScout24.ch.</v>
      </c>
      <c r="J397" s="4" t="s">
        <v>1196</v>
      </c>
    </row>
    <row r="398">
      <c r="A398" s="5" t="s">
        <v>1197</v>
      </c>
      <c r="B398" s="2" t="s">
        <v>1198</v>
      </c>
      <c r="C398" s="4" t="str">
        <f>IFERROR(__xludf.DUMMYFUNCTION("""🏘️ ""&amp;REGEXEXTRACT(B398, ""^(.*): "")&amp;"" ✅ "" &amp;REGEXEXTRACT(B398, ""(Trouvez.*)"")"),"🏘️ Vendre appartement Täuffelen ✅ Trouvez le bien immobilier qui correspond idéalement à vos désirs sur ImmoScout24 - La plateforme de l'immobilier en Suisse.")</f>
        <v>🏘️ Vendre appartement Täuffelen ✅ Trouvez le bien immobilier qui correspond idéalement à vos désirs sur ImmoScout24 - La plateforme de l'immobilier en Suisse.</v>
      </c>
      <c r="D398" s="4" t="str">
        <f>vlookup(A398, Sheet2!D:E, 2, 0)</f>
        <v>variant</v>
      </c>
      <c r="E398" s="4" t="str">
        <f>IFERROR(__xludf.DUMMYFUNCTION("if(H398=""pays"",vlookup(REGEXEXTRACT(C398, ""🏘️ \w+ \w+ (.*) ✅""),'Country prepositions'!A:B, 2, 0) &amp; "" "" &amp; REGEXEXTRACT(C398, ""🏘️ \w+ \w+ (.*) ✅"") ,  if(H398=""quartier"",vlookup(REGEXEXTRACT(C398, ""🏘️ \w+ \w+ (.*) ✅""),'Quartier prepositions'!A"&amp;":E, 5, 0) ,  if(H398=""region"",vlookup(REGEXEXTRACT(C398, ""🏘️ \w+ \w+ (.*) ✅""),'Region prepositions'!B:F, 5, 0),  REGEXEXTRACT(C398, ""🏘️ \w+ \w+ (.*) ✅""))))"),"Täuffelen")</f>
        <v>Täuffelen</v>
      </c>
      <c r="F398" s="2" t="str">
        <f>IFERROR(__xludf.DUMMYFUNCTION("REGEXEXTRACT(C398, ""🏘️ (\w+) \w+ .* ✅"")"),"Vendre")</f>
        <v>Vendre</v>
      </c>
      <c r="G398" s="2" t="str">
        <f>IFERROR(__xludf.DUMMYFUNCTION("REGEXEXTRACT(C398, ""🏘️ \w+ (\w+) .* ✅"")"),"appartement")</f>
        <v>appartement</v>
      </c>
      <c r="H398" s="4" t="str">
        <f>IFERROR(__xludf.DUMMYFUNCTION("REGEXEXTRACT(A398, ""/(\w+)-.*?"")"),"lieu")</f>
        <v>lieu</v>
      </c>
      <c r="I398" s="4" t="str">
        <f>IFERROR(__xludf.DUMMYFUNCTION("if(D398=""variant"",  substitute(filter(Templates!E:E, Templates!A:A = F398, Templates!B:B = G398, Templates!C:C = H398), ""{{}}"", E398), B398)"),"🏘  L’appartement de vos rêves se trouve sur ImmoScout24.ch ✅ Découvrez les dernières annonces de vente à Täuffelen.")</f>
        <v>🏘  L’appartement de vos rêves se trouve sur ImmoScout24.ch ✅ Découvrez les dernières annonces de vente à Täuffelen.</v>
      </c>
      <c r="J398" s="4" t="s">
        <v>1199</v>
      </c>
    </row>
    <row r="399">
      <c r="A399" s="5" t="s">
        <v>1200</v>
      </c>
      <c r="B399" s="2" t="s">
        <v>1201</v>
      </c>
      <c r="C399" s="4" t="str">
        <f>IFERROR(__xludf.DUMMYFUNCTION("""🏘️ ""&amp;REGEXEXTRACT(B399, ""^(.*): "")&amp;"" ✅ "" &amp;REGEXEXTRACT(B399, ""(Trouvez.*)"")"),"🏘️ Louer appartement Stansstad ✅ Trouvez le bien immobilier qui correspond idéalement à vos désirs sur ImmoScout24 - La plateforme de l'immobilier en Suisse.")</f>
        <v>🏘️ Louer appartement Stansstad ✅ Trouvez le bien immobilier qui correspond idéalement à vos désirs sur ImmoScout24 - La plateforme de l'immobilier en Suisse.</v>
      </c>
      <c r="D399" s="4" t="str">
        <f>vlookup(A399, Sheet2!D:E, 2, 0)</f>
        <v>variant</v>
      </c>
      <c r="E399" s="4" t="str">
        <f>IFERROR(__xludf.DUMMYFUNCTION("if(H399=""pays"",vlookup(REGEXEXTRACT(C399, ""🏘️ \w+ \w+ (.*) ✅""),'Country prepositions'!A:B, 2, 0) &amp; "" "" &amp; REGEXEXTRACT(C399, ""🏘️ \w+ \w+ (.*) ✅"") ,  if(H399=""quartier"",vlookup(REGEXEXTRACT(C399, ""🏘️ \w+ \w+ (.*) ✅""),'Quartier prepositions'!A"&amp;":E, 5, 0) ,  if(H399=""region"",vlookup(REGEXEXTRACT(C399, ""🏘️ \w+ \w+ (.*) ✅""),'Region prepositions'!B:F, 5, 0),  REGEXEXTRACT(C399, ""🏘️ \w+ \w+ (.*) ✅""))))"),"Stansstad")</f>
        <v>Stansstad</v>
      </c>
      <c r="F399" s="2" t="str">
        <f>IFERROR(__xludf.DUMMYFUNCTION("REGEXEXTRACT(C399, ""🏘️ (\w+) \w+ .* ✅"")"),"Louer")</f>
        <v>Louer</v>
      </c>
      <c r="G399" s="2" t="str">
        <f>IFERROR(__xludf.DUMMYFUNCTION("REGEXEXTRACT(C399, ""🏘️ \w+ (\w+) .* ✅"")"),"appartement")</f>
        <v>appartement</v>
      </c>
      <c r="H399" s="4" t="str">
        <f>IFERROR(__xludf.DUMMYFUNCTION("REGEXEXTRACT(A399, ""/(\w+)-.*?"")"),"lieu")</f>
        <v>lieu</v>
      </c>
      <c r="I399" s="4" t="str">
        <f>IFERROR(__xludf.DUMMYFUNCTION("if(D399=""variant"",  substitute(filter(Templates!E:E, Templates!A:A = F399, Templates!B:B = G399, Templates!C:C = H399), ""{{}}"", E399), B399)"),"🏘  Vous cherchez un appartement à louer à Stansstad? ✅ Les annonces les plus actuelles sont sur ImmoScout24.ch.")</f>
        <v>🏘  Vous cherchez un appartement à louer à Stansstad? ✅ Les annonces les plus actuelles sont sur ImmoScout24.ch.</v>
      </c>
      <c r="J399" s="4" t="s">
        <v>1202</v>
      </c>
    </row>
    <row r="400">
      <c r="A400" s="5" t="s">
        <v>1203</v>
      </c>
      <c r="B400" s="2" t="s">
        <v>1204</v>
      </c>
      <c r="C400" s="4" t="str">
        <f>IFERROR(__xludf.DUMMYFUNCTION("""🏘️ ""&amp;REGEXEXTRACT(B400, ""^(.*): "")&amp;"" ✅ "" &amp;REGEXEXTRACT(B400, ""(Trouvez.*)"")"),"🏘️ Louer appartement Chénens ✅ Trouvez le bien immobilier qui correspond idéalement à vos désirs sur ImmoScout24 - La plateforme de l'immobilier en Suisse.")</f>
        <v>🏘️ Louer appartement Chénens ✅ Trouvez le bien immobilier qui correspond idéalement à vos désirs sur ImmoScout24 - La plateforme de l'immobilier en Suisse.</v>
      </c>
      <c r="D400" s="4" t="str">
        <f>vlookup(A400, Sheet2!D:E, 2, 0)</f>
        <v>variant</v>
      </c>
      <c r="E400" s="4" t="str">
        <f>IFERROR(__xludf.DUMMYFUNCTION("if(H400=""pays"",vlookup(REGEXEXTRACT(C400, ""🏘️ \w+ \w+ (.*) ✅""),'Country prepositions'!A:B, 2, 0) &amp; "" "" &amp; REGEXEXTRACT(C400, ""🏘️ \w+ \w+ (.*) ✅"") ,  if(H400=""quartier"",vlookup(REGEXEXTRACT(C400, ""🏘️ \w+ \w+ (.*) ✅""),'Quartier prepositions'!A"&amp;":E, 5, 0) ,  if(H400=""region"",vlookup(REGEXEXTRACT(C400, ""🏘️ \w+ \w+ (.*) ✅""),'Region prepositions'!B:F, 5, 0),  REGEXEXTRACT(C400, ""🏘️ \w+ \w+ (.*) ✅""))))"),"Chénens")</f>
        <v>Chénens</v>
      </c>
      <c r="F400" s="2" t="str">
        <f>IFERROR(__xludf.DUMMYFUNCTION("REGEXEXTRACT(C400, ""🏘️ (\w+) \w+ .* ✅"")"),"Louer")</f>
        <v>Louer</v>
      </c>
      <c r="G400" s="2" t="str">
        <f>IFERROR(__xludf.DUMMYFUNCTION("REGEXEXTRACT(C400, ""🏘️ \w+ (\w+) .* ✅"")"),"appartement")</f>
        <v>appartement</v>
      </c>
      <c r="H400" s="4" t="str">
        <f>IFERROR(__xludf.DUMMYFUNCTION("REGEXEXTRACT(A400, ""/(\w+)-.*?"")"),"lieu")</f>
        <v>lieu</v>
      </c>
      <c r="I400" s="4" t="str">
        <f>IFERROR(__xludf.DUMMYFUNCTION("if(D400=""variant"",  substitute(filter(Templates!E:E, Templates!A:A = F400, Templates!B:B = G400, Templates!C:C = H400), ""{{}}"", E400), B400)"),"🏘  Vous cherchez un appartement à louer à Chénens? ✅ Les annonces les plus actuelles sont sur ImmoScout24.ch.")</f>
        <v>🏘  Vous cherchez un appartement à louer à Chénens? ✅ Les annonces les plus actuelles sont sur ImmoScout24.ch.</v>
      </c>
      <c r="J400" s="4" t="s">
        <v>1205</v>
      </c>
    </row>
    <row r="401">
      <c r="A401" s="5" t="s">
        <v>1206</v>
      </c>
      <c r="B401" s="2" t="s">
        <v>1207</v>
      </c>
      <c r="C401" s="4" t="str">
        <f>IFERROR(__xludf.DUMMYFUNCTION("""🏘️ ""&amp;REGEXEXTRACT(B401, ""^(.*): "")&amp;"" ✅ "" &amp;REGEXEXTRACT(B401, ""(Trouvez.*)"")"),"🏘️ Vendre maison Schlatt TG ✅ Trouvez le bien immobilier qui correspond idéalement à vos désirs sur ImmoScout24 - La plateforme de l'immobilier en Suisse.")</f>
        <v>🏘️ Vendre maison Schlatt TG ✅ Trouvez le bien immobilier qui correspond idéalement à vos désirs sur ImmoScout24 - La plateforme de l'immobilier en Suisse.</v>
      </c>
      <c r="D401" s="4" t="str">
        <f>vlookup(A401, Sheet2!D:E, 2, 0)</f>
        <v>variant</v>
      </c>
      <c r="E401" s="4" t="str">
        <f>IFERROR(__xludf.DUMMYFUNCTION("if(H401=""pays"",vlookup(REGEXEXTRACT(C401, ""🏘️ \w+ \w+ (.*) ✅""),'Country prepositions'!A:B, 2, 0) &amp; "" "" &amp; REGEXEXTRACT(C401, ""🏘️ \w+ \w+ (.*) ✅"") ,  if(H401=""quartier"",vlookup(REGEXEXTRACT(C401, ""🏘️ \w+ \w+ (.*) ✅""),'Quartier prepositions'!A"&amp;":E, 5, 0) ,  if(H401=""region"",vlookup(REGEXEXTRACT(C401, ""🏘️ \w+ \w+ (.*) ✅""),'Region prepositions'!B:F, 5, 0),  REGEXEXTRACT(C401, ""🏘️ \w+ \w+ (.*) ✅""))))"),"Schlatt TG")</f>
        <v>Schlatt TG</v>
      </c>
      <c r="F401" s="2" t="str">
        <f>IFERROR(__xludf.DUMMYFUNCTION("REGEXEXTRACT(C401, ""🏘️ (\w+) \w+ .* ✅"")"),"Vendre")</f>
        <v>Vendre</v>
      </c>
      <c r="G401" s="2" t="str">
        <f>IFERROR(__xludf.DUMMYFUNCTION("REGEXEXTRACT(C401, ""🏘️ \w+ (\w+) .* ✅"")"),"maison")</f>
        <v>maison</v>
      </c>
      <c r="H401" s="4" t="str">
        <f>IFERROR(__xludf.DUMMYFUNCTION("REGEXEXTRACT(A401, ""/(\w+)-.*?"")"),"lieu")</f>
        <v>lieu</v>
      </c>
      <c r="I401" s="4" t="str">
        <f>IFERROR(__xludf.DUMMYFUNCTION("if(D401=""variant"",  substitute(filter(Templates!E:E, Templates!A:A = F401, Templates!B:B = G401, Templates!C:C = H401), ""{{}}"", E401), B401)"),"🏘  Vous souhaitez acheter une maison à Schlatt TG? ✅ Jetez un œil aux dernières offres sur ImmoScout24.ch.")</f>
        <v>🏘  Vous souhaitez acheter une maison à Schlatt TG? ✅ Jetez un œil aux dernières offres sur ImmoScout24.ch.</v>
      </c>
      <c r="J401" s="4" t="s">
        <v>1208</v>
      </c>
    </row>
    <row r="402">
      <c r="A402" s="5" t="s">
        <v>1209</v>
      </c>
      <c r="B402" s="2" t="s">
        <v>1210</v>
      </c>
      <c r="C402" s="4" t="str">
        <f>IFERROR(__xludf.DUMMYFUNCTION("""🏘️ ""&amp;REGEXEXTRACT(B402, ""^(.*): "")&amp;"" ✅ "" &amp;REGEXEXTRACT(B402, ""(Trouvez.*)"")"),"🏘️ Vendre appartement Krattigen ✅ Trouvez le bien immobilier qui correspond idéalement à vos désirs sur ImmoScout24 - La plateforme de l'immobilier en Suisse.")</f>
        <v>🏘️ Vendre appartement Krattigen ✅ Trouvez le bien immobilier qui correspond idéalement à vos désirs sur ImmoScout24 - La plateforme de l'immobilier en Suisse.</v>
      </c>
      <c r="D402" s="4" t="str">
        <f>vlookup(A402, Sheet2!D:E, 2, 0)</f>
        <v>variant</v>
      </c>
      <c r="E402" s="4" t="str">
        <f>IFERROR(__xludf.DUMMYFUNCTION("if(H402=""pays"",vlookup(REGEXEXTRACT(C402, ""🏘️ \w+ \w+ (.*) ✅""),'Country prepositions'!A:B, 2, 0) &amp; "" "" &amp; REGEXEXTRACT(C402, ""🏘️ \w+ \w+ (.*) ✅"") ,  if(H402=""quartier"",vlookup(REGEXEXTRACT(C402, ""🏘️ \w+ \w+ (.*) ✅""),'Quartier prepositions'!A"&amp;":E, 5, 0) ,  if(H402=""region"",vlookup(REGEXEXTRACT(C402, ""🏘️ \w+ \w+ (.*) ✅""),'Region prepositions'!B:F, 5, 0),  REGEXEXTRACT(C402, ""🏘️ \w+ \w+ (.*) ✅""))))"),"Krattigen")</f>
        <v>Krattigen</v>
      </c>
      <c r="F402" s="2" t="str">
        <f>IFERROR(__xludf.DUMMYFUNCTION("REGEXEXTRACT(C402, ""🏘️ (\w+) \w+ .* ✅"")"),"Vendre")</f>
        <v>Vendre</v>
      </c>
      <c r="G402" s="2" t="str">
        <f>IFERROR(__xludf.DUMMYFUNCTION("REGEXEXTRACT(C402, ""🏘️ \w+ (\w+) .* ✅"")"),"appartement")</f>
        <v>appartement</v>
      </c>
      <c r="H402" s="4" t="str">
        <f>IFERROR(__xludf.DUMMYFUNCTION("REGEXEXTRACT(A402, ""/(\w+)-.*?"")"),"lieu")</f>
        <v>lieu</v>
      </c>
      <c r="I402" s="4" t="str">
        <f>IFERROR(__xludf.DUMMYFUNCTION("if(D402=""variant"",  substitute(filter(Templates!E:E, Templates!A:A = F402, Templates!B:B = G402, Templates!C:C = H402), ""{{}}"", E402), B402)"),"🏘  L’appartement de vos rêves se trouve sur ImmoScout24.ch ✅ Découvrez les dernières annonces de vente à Krattigen.")</f>
        <v>🏘  L’appartement de vos rêves se trouve sur ImmoScout24.ch ✅ Découvrez les dernières annonces de vente à Krattigen.</v>
      </c>
      <c r="J402" s="4" t="s">
        <v>1211</v>
      </c>
    </row>
    <row r="403">
      <c r="A403" s="5" t="s">
        <v>1212</v>
      </c>
      <c r="B403" s="2" t="s">
        <v>1213</v>
      </c>
      <c r="C403" s="4" t="str">
        <f>IFERROR(__xludf.DUMMYFUNCTION("""🏘️ ""&amp;REGEXEXTRACT(B403, ""^(.*): "")&amp;"" ✅ "" &amp;REGEXEXTRACT(B403, ""(Trouvez.*)"")"),"🏘️ Vendre appartement Bellinzona ✅ Trouvez le bien immobilier qui correspond idéalement à vos désirs sur ImmoScout24 - La plateforme de l'immobilier en Suisse.")</f>
        <v>🏘️ Vendre appartement Bellinzona ✅ Trouvez le bien immobilier qui correspond idéalement à vos désirs sur ImmoScout24 - La plateforme de l'immobilier en Suisse.</v>
      </c>
      <c r="D403" s="4" t="str">
        <f>vlookup(A403, Sheet2!D:E, 2, 0)</f>
        <v>variant</v>
      </c>
      <c r="E403" s="4" t="str">
        <f>IFERROR(__xludf.DUMMYFUNCTION("if(H403=""pays"",vlookup(REGEXEXTRACT(C403, ""🏘️ \w+ \w+ (.*) ✅""),'Country prepositions'!A:B, 2, 0) &amp; "" "" &amp; REGEXEXTRACT(C403, ""🏘️ \w+ \w+ (.*) ✅"") ,  if(H403=""quartier"",vlookup(REGEXEXTRACT(C403, ""🏘️ \w+ \w+ (.*) ✅""),'Quartier prepositions'!A"&amp;":E, 5, 0) ,  if(H403=""region"",vlookup(REGEXEXTRACT(C403, ""🏘️ \w+ \w+ (.*) ✅""),'Region prepositions'!B:F, 5, 0),  REGEXEXTRACT(C403, ""🏘️ \w+ \w+ (.*) ✅""))))"),"Bellinzona")</f>
        <v>Bellinzona</v>
      </c>
      <c r="F403" s="2" t="str">
        <f>IFERROR(__xludf.DUMMYFUNCTION("REGEXEXTRACT(C403, ""🏘️ (\w+) \w+ .* ✅"")"),"Vendre")</f>
        <v>Vendre</v>
      </c>
      <c r="G403" s="2" t="str">
        <f>IFERROR(__xludf.DUMMYFUNCTION("REGEXEXTRACT(C403, ""🏘️ \w+ (\w+) .* ✅"")"),"appartement")</f>
        <v>appartement</v>
      </c>
      <c r="H403" s="4" t="str">
        <f>IFERROR(__xludf.DUMMYFUNCTION("REGEXEXTRACT(A403, ""/(\w+)-.*?"")"),"lieu")</f>
        <v>lieu</v>
      </c>
      <c r="I403" s="4" t="str">
        <f>IFERROR(__xludf.DUMMYFUNCTION("if(D403=""variant"",  substitute(filter(Templates!E:E, Templates!A:A = F403, Templates!B:B = G403, Templates!C:C = H403), ""{{}}"", E403), B403)"),"🏘  L’appartement de vos rêves se trouve sur ImmoScout24.ch ✅ Découvrez les dernières annonces de vente à Bellinzona.")</f>
        <v>🏘  L’appartement de vos rêves se trouve sur ImmoScout24.ch ✅ Découvrez les dernières annonces de vente à Bellinzona.</v>
      </c>
      <c r="J403" s="4" t="s">
        <v>1214</v>
      </c>
    </row>
    <row r="404">
      <c r="A404" s="5" t="s">
        <v>1215</v>
      </c>
      <c r="B404" s="2" t="s">
        <v>1216</v>
      </c>
      <c r="C404" s="4" t="str">
        <f>IFERROR(__xludf.DUMMYFUNCTION("""🏘️ ""&amp;REGEXEXTRACT(B404, ""^(.*): "")&amp;"" ✅ "" &amp;REGEXEXTRACT(B404, ""(Trouvez.*)"")"),"🏘️ Vendre maison Juriens ✅ Trouvez le bien immobilier qui correspond idéalement à vos désirs sur ImmoScout24 - La plateforme de l'immobilier en Suisse.")</f>
        <v>🏘️ Vendre maison Juriens ✅ Trouvez le bien immobilier qui correspond idéalement à vos désirs sur ImmoScout24 - La plateforme de l'immobilier en Suisse.</v>
      </c>
      <c r="D404" s="4" t="str">
        <f>vlookup(A404, Sheet2!D:E, 2, 0)</f>
        <v>variant</v>
      </c>
      <c r="E404" s="4" t="str">
        <f>IFERROR(__xludf.DUMMYFUNCTION("if(H404=""pays"",vlookup(REGEXEXTRACT(C404, ""🏘️ \w+ \w+ (.*) ✅""),'Country prepositions'!A:B, 2, 0) &amp; "" "" &amp; REGEXEXTRACT(C404, ""🏘️ \w+ \w+ (.*) ✅"") ,  if(H404=""quartier"",vlookup(REGEXEXTRACT(C404, ""🏘️ \w+ \w+ (.*) ✅""),'Quartier prepositions'!A"&amp;":E, 5, 0) ,  if(H404=""region"",vlookup(REGEXEXTRACT(C404, ""🏘️ \w+ \w+ (.*) ✅""),'Region prepositions'!B:F, 5, 0),  REGEXEXTRACT(C404, ""🏘️ \w+ \w+ (.*) ✅""))))"),"Juriens")</f>
        <v>Juriens</v>
      </c>
      <c r="F404" s="2" t="str">
        <f>IFERROR(__xludf.DUMMYFUNCTION("REGEXEXTRACT(C404, ""🏘️ (\w+) \w+ .* ✅"")"),"Vendre")</f>
        <v>Vendre</v>
      </c>
      <c r="G404" s="2" t="str">
        <f>IFERROR(__xludf.DUMMYFUNCTION("REGEXEXTRACT(C404, ""🏘️ \w+ (\w+) .* ✅"")"),"maison")</f>
        <v>maison</v>
      </c>
      <c r="H404" s="4" t="str">
        <f>IFERROR(__xludf.DUMMYFUNCTION("REGEXEXTRACT(A404, ""/(\w+)-.*?"")"),"lieu")</f>
        <v>lieu</v>
      </c>
      <c r="I404" s="4" t="str">
        <f>IFERROR(__xludf.DUMMYFUNCTION("if(D404=""variant"",  substitute(filter(Templates!E:E, Templates!A:A = F404, Templates!B:B = G404, Templates!C:C = H404), ""{{}}"", E404), B404)"),"🏘  Vous souhaitez acheter une maison à Juriens? ✅ Jetez un œil aux dernières offres sur ImmoScout24.ch.")</f>
        <v>🏘  Vous souhaitez acheter une maison à Juriens? ✅ Jetez un œil aux dernières offres sur ImmoScout24.ch.</v>
      </c>
      <c r="J404" s="4" t="s">
        <v>1217</v>
      </c>
    </row>
    <row r="405">
      <c r="A405" s="5" t="s">
        <v>1218</v>
      </c>
      <c r="B405" s="2" t="s">
        <v>1219</v>
      </c>
      <c r="C405" s="4" t="str">
        <f>IFERROR(__xludf.DUMMYFUNCTION("""🏘️ ""&amp;REGEXEXTRACT(B405, ""^(.*): "")&amp;"" ✅ "" &amp;REGEXEXTRACT(B405, ""(Trouvez.*)"")"),"🏘️ Vendre maison Savigny ✅ Trouvez le bien immobilier qui correspond idéalement à vos désirs sur ImmoScout24 - La plateforme de l'immobilier en Suisse.")</f>
        <v>🏘️ Vendre maison Savigny ✅ Trouvez le bien immobilier qui correspond idéalement à vos désirs sur ImmoScout24 - La plateforme de l'immobilier en Suisse.</v>
      </c>
      <c r="D405" s="4" t="str">
        <f>vlookup(A405, Sheet2!D:E, 2, 0)</f>
        <v>variant</v>
      </c>
      <c r="E405" s="4" t="str">
        <f>IFERROR(__xludf.DUMMYFUNCTION("if(H405=""pays"",vlookup(REGEXEXTRACT(C405, ""🏘️ \w+ \w+ (.*) ✅""),'Country prepositions'!A:B, 2, 0) &amp; "" "" &amp; REGEXEXTRACT(C405, ""🏘️ \w+ \w+ (.*) ✅"") ,  if(H405=""quartier"",vlookup(REGEXEXTRACT(C405, ""🏘️ \w+ \w+ (.*) ✅""),'Quartier prepositions'!A"&amp;":E, 5, 0) ,  if(H405=""region"",vlookup(REGEXEXTRACT(C405, ""🏘️ \w+ \w+ (.*) ✅""),'Region prepositions'!B:F, 5, 0),  REGEXEXTRACT(C405, ""🏘️ \w+ \w+ (.*) ✅""))))"),"Savigny")</f>
        <v>Savigny</v>
      </c>
      <c r="F405" s="2" t="str">
        <f>IFERROR(__xludf.DUMMYFUNCTION("REGEXEXTRACT(C405, ""🏘️ (\w+) \w+ .* ✅"")"),"Vendre")</f>
        <v>Vendre</v>
      </c>
      <c r="G405" s="2" t="str">
        <f>IFERROR(__xludf.DUMMYFUNCTION("REGEXEXTRACT(C405, ""🏘️ \w+ (\w+) .* ✅"")"),"maison")</f>
        <v>maison</v>
      </c>
      <c r="H405" s="4" t="str">
        <f>IFERROR(__xludf.DUMMYFUNCTION("REGEXEXTRACT(A405, ""/(\w+)-.*?"")"),"lieu")</f>
        <v>lieu</v>
      </c>
      <c r="I405" s="4" t="str">
        <f>IFERROR(__xludf.DUMMYFUNCTION("if(D405=""variant"",  substitute(filter(Templates!E:E, Templates!A:A = F405, Templates!B:B = G405, Templates!C:C = H405), ""{{}}"", E405), B405)"),"🏘  Vous souhaitez acheter une maison à Savigny? ✅ Jetez un œil aux dernières offres sur ImmoScout24.ch.")</f>
        <v>🏘  Vous souhaitez acheter une maison à Savigny? ✅ Jetez un œil aux dernières offres sur ImmoScout24.ch.</v>
      </c>
      <c r="J405" s="4" t="s">
        <v>1220</v>
      </c>
    </row>
    <row r="406">
      <c r="A406" s="5" t="s">
        <v>1221</v>
      </c>
      <c r="B406" s="2" t="s">
        <v>1222</v>
      </c>
      <c r="C406" s="4" t="str">
        <f>IFERROR(__xludf.DUMMYFUNCTION("""🏘️ ""&amp;REGEXEXTRACT(B406, ""^(.*): "")&amp;"" ✅ "" &amp;REGEXEXTRACT(B406, ""(Trouvez.*)"")"),"🏘️ Louer maison Aumont ✅ Trouvez le bien immobilier qui correspond idéalement à vos désirs sur ImmoScout24 - La plateforme de l'immobilier en Suisse.")</f>
        <v>🏘️ Louer maison Aumont ✅ Trouvez le bien immobilier qui correspond idéalement à vos désirs sur ImmoScout24 - La plateforme de l'immobilier en Suisse.</v>
      </c>
      <c r="D406" s="4" t="str">
        <f>vlookup(A406, Sheet2!D:E, 2, 0)</f>
        <v>variant</v>
      </c>
      <c r="E406" s="4" t="str">
        <f>IFERROR(__xludf.DUMMYFUNCTION("if(H406=""pays"",vlookup(REGEXEXTRACT(C406, ""🏘️ \w+ \w+ (.*) ✅""),'Country prepositions'!A:B, 2, 0) &amp; "" "" &amp; REGEXEXTRACT(C406, ""🏘️ \w+ \w+ (.*) ✅"") ,  if(H406=""quartier"",vlookup(REGEXEXTRACT(C406, ""🏘️ \w+ \w+ (.*) ✅""),'Quartier prepositions'!A"&amp;":E, 5, 0) ,  if(H406=""region"",vlookup(REGEXEXTRACT(C406, ""🏘️ \w+ \w+ (.*) ✅""),'Region prepositions'!B:F, 5, 0),  REGEXEXTRACT(C406, ""🏘️ \w+ \w+ (.*) ✅""))))"),"Aumont")</f>
        <v>Aumont</v>
      </c>
      <c r="F406" s="2" t="str">
        <f>IFERROR(__xludf.DUMMYFUNCTION("REGEXEXTRACT(C406, ""🏘️ (\w+) \w+ .* ✅"")"),"Louer")</f>
        <v>Louer</v>
      </c>
      <c r="G406" s="2" t="str">
        <f>IFERROR(__xludf.DUMMYFUNCTION("REGEXEXTRACT(C406, ""🏘️ \w+ (\w+) .* ✅"")"),"maison")</f>
        <v>maison</v>
      </c>
      <c r="H406" s="4" t="str">
        <f>IFERROR(__xludf.DUMMYFUNCTION("REGEXEXTRACT(A406, ""/(\w+)-.*?"")"),"lieu")</f>
        <v>lieu</v>
      </c>
      <c r="I406" s="4" t="str">
        <f>IFERROR(__xludf.DUMMYFUNCTION("if(D406=""variant"",  substitute(filter(Templates!E:E, Templates!A:A = F406, Templates!B:B = G406, Templates!C:C = H406), ""{{}}"", E406), B406)"),"🏘  Vous cherchez une maison à louer à Aumont? ✅ Découvrez nos nombreuses annonces sur ImmoScout24.ch.")</f>
        <v>🏘  Vous cherchez une maison à louer à Aumont? ✅ Découvrez nos nombreuses annonces sur ImmoScout24.ch.</v>
      </c>
      <c r="J406" s="4" t="s">
        <v>1223</v>
      </c>
    </row>
    <row r="407">
      <c r="A407" s="5" t="s">
        <v>1224</v>
      </c>
      <c r="B407" s="2" t="s">
        <v>1225</v>
      </c>
      <c r="C407" s="4" t="str">
        <f>IFERROR(__xludf.DUMMYFUNCTION("""🏘️ ""&amp;REGEXEXTRACT(B407, ""^(.*): "")&amp;"" ✅ "" &amp;REGEXEXTRACT(B407, ""(Trouvez.*)"")"),"🏘️ Vendre maison Neuhausen am Rheinfall ✅ Trouvez le bien immobilier qui correspond idéalement à vos désirs sur ImmoScout24 - La plateforme de l'immobilier en Suisse.")</f>
        <v>🏘️ Vendre maison Neuhausen am Rheinfall ✅ Trouvez le bien immobilier qui correspond idéalement à vos désirs sur ImmoScout24 - La plateforme de l'immobilier en Suisse.</v>
      </c>
      <c r="D407" s="4" t="str">
        <f>vlookup(A407, Sheet2!D:E, 2, 0)</f>
        <v>variant</v>
      </c>
      <c r="E407" s="4" t="str">
        <f>IFERROR(__xludf.DUMMYFUNCTION("if(H407=""pays"",vlookup(REGEXEXTRACT(C407, ""🏘️ \w+ \w+ (.*) ✅""),'Country prepositions'!A:B, 2, 0) &amp; "" "" &amp; REGEXEXTRACT(C407, ""🏘️ \w+ \w+ (.*) ✅"") ,  if(H407=""quartier"",vlookup(REGEXEXTRACT(C407, ""🏘️ \w+ \w+ (.*) ✅""),'Quartier prepositions'!A"&amp;":E, 5, 0) ,  if(H407=""region"",vlookup(REGEXEXTRACT(C407, ""🏘️ \w+ \w+ (.*) ✅""),'Region prepositions'!B:F, 5, 0),  REGEXEXTRACT(C407, ""🏘️ \w+ \w+ (.*) ✅""))))"),"Neuhausen am Rheinfall")</f>
        <v>Neuhausen am Rheinfall</v>
      </c>
      <c r="F407" s="2" t="str">
        <f>IFERROR(__xludf.DUMMYFUNCTION("REGEXEXTRACT(C407, ""🏘️ (\w+) \w+ .* ✅"")"),"Vendre")</f>
        <v>Vendre</v>
      </c>
      <c r="G407" s="2" t="str">
        <f>IFERROR(__xludf.DUMMYFUNCTION("REGEXEXTRACT(C407, ""🏘️ \w+ (\w+) .* ✅"")"),"maison")</f>
        <v>maison</v>
      </c>
      <c r="H407" s="4" t="str">
        <f>IFERROR(__xludf.DUMMYFUNCTION("REGEXEXTRACT(A407, ""/(\w+)-.*?"")"),"lieu")</f>
        <v>lieu</v>
      </c>
      <c r="I407" s="4" t="str">
        <f>IFERROR(__xludf.DUMMYFUNCTION("if(D407=""variant"",  substitute(filter(Templates!E:E, Templates!A:A = F407, Templates!B:B = G407, Templates!C:C = H407), ""{{}}"", E407), B407)"),"🏘  Vous souhaitez acheter une maison à Neuhausen am Rheinfall? ✅ Jetez un œil aux dernières offres sur ImmoScout24.ch.")</f>
        <v>🏘  Vous souhaitez acheter une maison à Neuhausen am Rheinfall? ✅ Jetez un œil aux dernières offres sur ImmoScout24.ch.</v>
      </c>
      <c r="J407" s="4" t="s">
        <v>1226</v>
      </c>
    </row>
    <row r="408">
      <c r="A408" s="5" t="s">
        <v>1227</v>
      </c>
      <c r="B408" s="2" t="s">
        <v>1228</v>
      </c>
      <c r="C408" s="4" t="str">
        <f>IFERROR(__xludf.DUMMYFUNCTION("""🏘️ ""&amp;REGEXEXTRACT(B408, ""^(.*): "")&amp;"" ✅ "" &amp;REGEXEXTRACT(B408, ""(Trouvez.*)"")"),"🏘️ Louer appartement Gwatt (Thun) ✅ Trouvez le bien immobilier qui correspond idéalement à vos désirs sur ImmoScout24 - La plateforme de l'immobilier en Suisse.")</f>
        <v>🏘️ Louer appartement Gwatt (Thun) ✅ Trouvez le bien immobilier qui correspond idéalement à vos désirs sur ImmoScout24 - La plateforme de l'immobilier en Suisse.</v>
      </c>
      <c r="D408" s="4" t="str">
        <f>vlookup(A408, Sheet2!D:E, 2, 0)</f>
        <v>variant</v>
      </c>
      <c r="E408" s="4" t="str">
        <f>IFERROR(__xludf.DUMMYFUNCTION("if(H408=""pays"",vlookup(REGEXEXTRACT(C408, ""🏘️ \w+ \w+ (.*) ✅""),'Country prepositions'!A:B, 2, 0) &amp; "" "" &amp; REGEXEXTRACT(C408, ""🏘️ \w+ \w+ (.*) ✅"") ,  if(H408=""quartier"",vlookup(REGEXEXTRACT(C408, ""🏘️ \w+ \w+ (.*) ✅""),'Quartier prepositions'!A"&amp;":E, 5, 0) ,  if(H408=""region"",vlookup(REGEXEXTRACT(C408, ""🏘️ \w+ \w+ (.*) ✅""),'Region prepositions'!B:F, 5, 0),  REGEXEXTRACT(C408, ""🏘️ \w+ \w+ (.*) ✅""))))"),"Gwatt (Thun)")</f>
        <v>Gwatt (Thun)</v>
      </c>
      <c r="F408" s="2" t="str">
        <f>IFERROR(__xludf.DUMMYFUNCTION("REGEXEXTRACT(C408, ""🏘️ (\w+) \w+ .* ✅"")"),"Louer")</f>
        <v>Louer</v>
      </c>
      <c r="G408" s="2" t="str">
        <f>IFERROR(__xludf.DUMMYFUNCTION("REGEXEXTRACT(C408, ""🏘️ \w+ (\w+) .* ✅"")"),"appartement")</f>
        <v>appartement</v>
      </c>
      <c r="H408" s="4" t="str">
        <f>IFERROR(__xludf.DUMMYFUNCTION("REGEXEXTRACT(A408, ""/(\w+)-.*?"")"),"lieu")</f>
        <v>lieu</v>
      </c>
      <c r="I408" s="4" t="str">
        <f>IFERROR(__xludf.DUMMYFUNCTION("if(D408=""variant"",  substitute(filter(Templates!E:E, Templates!A:A = F408, Templates!B:B = G408, Templates!C:C = H408), ""{{}}"", E408), B408)"),"🏘  Vous cherchez un appartement à louer à Gwatt (Thun)? ✅ Les annonces les plus actuelles sont sur ImmoScout24.ch.")</f>
        <v>🏘  Vous cherchez un appartement à louer à Gwatt (Thun)? ✅ Les annonces les plus actuelles sont sur ImmoScout24.ch.</v>
      </c>
      <c r="J408" s="4" t="s">
        <v>1229</v>
      </c>
    </row>
    <row r="409">
      <c r="A409" s="5" t="s">
        <v>1230</v>
      </c>
      <c r="B409" s="2" t="s">
        <v>1231</v>
      </c>
      <c r="C409" s="4" t="str">
        <f>IFERROR(__xludf.DUMMYFUNCTION("""🏘️ ""&amp;REGEXEXTRACT(B409, ""^(.*): "")&amp;"" ✅ "" &amp;REGEXEXTRACT(B409, ""(Trouvez.*)"")"),"🏘️ Louer appartement Vouvry ✅ Trouvez le bien immobilier qui correspond idéalement à vos désirs sur ImmoScout24 - La plateforme de l'immobilier en Suisse.")</f>
        <v>🏘️ Louer appartement Vouvry ✅ Trouvez le bien immobilier qui correspond idéalement à vos désirs sur ImmoScout24 - La plateforme de l'immobilier en Suisse.</v>
      </c>
      <c r="D409" s="4" t="str">
        <f>vlookup(A409, Sheet2!D:E, 2, 0)</f>
        <v>variant</v>
      </c>
      <c r="E409" s="4" t="str">
        <f>IFERROR(__xludf.DUMMYFUNCTION("if(H409=""pays"",vlookup(REGEXEXTRACT(C409, ""🏘️ \w+ \w+ (.*) ✅""),'Country prepositions'!A:B, 2, 0) &amp; "" "" &amp; REGEXEXTRACT(C409, ""🏘️ \w+ \w+ (.*) ✅"") ,  if(H409=""quartier"",vlookup(REGEXEXTRACT(C409, ""🏘️ \w+ \w+ (.*) ✅""),'Quartier prepositions'!A"&amp;":E, 5, 0) ,  if(H409=""region"",vlookup(REGEXEXTRACT(C409, ""🏘️ \w+ \w+ (.*) ✅""),'Region prepositions'!B:F, 5, 0),  REGEXEXTRACT(C409, ""🏘️ \w+ \w+ (.*) ✅""))))"),"Vouvry")</f>
        <v>Vouvry</v>
      </c>
      <c r="F409" s="2" t="str">
        <f>IFERROR(__xludf.DUMMYFUNCTION("REGEXEXTRACT(C409, ""🏘️ (\w+) \w+ .* ✅"")"),"Louer")</f>
        <v>Louer</v>
      </c>
      <c r="G409" s="2" t="str">
        <f>IFERROR(__xludf.DUMMYFUNCTION("REGEXEXTRACT(C409, ""🏘️ \w+ (\w+) .* ✅"")"),"appartement")</f>
        <v>appartement</v>
      </c>
      <c r="H409" s="4" t="str">
        <f>IFERROR(__xludf.DUMMYFUNCTION("REGEXEXTRACT(A409, ""/(\w+)-.*?"")"),"lieu")</f>
        <v>lieu</v>
      </c>
      <c r="I409" s="4" t="str">
        <f>IFERROR(__xludf.DUMMYFUNCTION("if(D409=""variant"",  substitute(filter(Templates!E:E, Templates!A:A = F409, Templates!B:B = G409, Templates!C:C = H409), ""{{}}"", E409), B409)"),"🏘  Vous cherchez un appartement à louer à Vouvry? ✅ Les annonces les plus actuelles sont sur ImmoScout24.ch.")</f>
        <v>🏘  Vous cherchez un appartement à louer à Vouvry? ✅ Les annonces les plus actuelles sont sur ImmoScout24.ch.</v>
      </c>
      <c r="J409" s="4" t="s">
        <v>1232</v>
      </c>
    </row>
    <row r="410">
      <c r="A410" s="5" t="s">
        <v>1233</v>
      </c>
      <c r="B410" s="2" t="s">
        <v>1234</v>
      </c>
      <c r="C410" s="4" t="str">
        <f>IFERROR(__xludf.DUMMYFUNCTION("""🏘️ ""&amp;REGEXEXTRACT(B410, ""^(.*): "")&amp;"" ✅ "" &amp;REGEXEXTRACT(B410, ""(Trouvez.*)"")"),"🏘️ Vendre appartement Granges-près-Marnand ✅ Trouvez le bien immobilier qui correspond idéalement à vos désirs sur ImmoScout24 - La plateforme de l'immobilier en Suisse.")</f>
        <v>🏘️ Vendre appartement Granges-près-Marnand ✅ Trouvez le bien immobilier qui correspond idéalement à vos désirs sur ImmoScout24 - La plateforme de l'immobilier en Suisse.</v>
      </c>
      <c r="D410" s="4" t="str">
        <f>vlookup(A410, Sheet2!D:E, 2, 0)</f>
        <v>variant</v>
      </c>
      <c r="E410" s="4" t="str">
        <f>IFERROR(__xludf.DUMMYFUNCTION("if(H410=""pays"",vlookup(REGEXEXTRACT(C410, ""🏘️ \w+ \w+ (.*) ✅""),'Country prepositions'!A:B, 2, 0) &amp; "" "" &amp; REGEXEXTRACT(C410, ""🏘️ \w+ \w+ (.*) ✅"") ,  if(H410=""quartier"",vlookup(REGEXEXTRACT(C410, ""🏘️ \w+ \w+ (.*) ✅""),'Quartier prepositions'!A"&amp;":E, 5, 0) ,  if(H410=""region"",vlookup(REGEXEXTRACT(C410, ""🏘️ \w+ \w+ (.*) ✅""),'Region prepositions'!B:F, 5, 0),  REGEXEXTRACT(C410, ""🏘️ \w+ \w+ (.*) ✅""))))"),"Granges-près-Marnand")</f>
        <v>Granges-près-Marnand</v>
      </c>
      <c r="F410" s="2" t="str">
        <f>IFERROR(__xludf.DUMMYFUNCTION("REGEXEXTRACT(C410, ""🏘️ (\w+) \w+ .* ✅"")"),"Vendre")</f>
        <v>Vendre</v>
      </c>
      <c r="G410" s="2" t="str">
        <f>IFERROR(__xludf.DUMMYFUNCTION("REGEXEXTRACT(C410, ""🏘️ \w+ (\w+) .* ✅"")"),"appartement")</f>
        <v>appartement</v>
      </c>
      <c r="H410" s="4" t="str">
        <f>IFERROR(__xludf.DUMMYFUNCTION("REGEXEXTRACT(A410, ""/(\w+)-.*?"")"),"lieu")</f>
        <v>lieu</v>
      </c>
      <c r="I410" s="4" t="str">
        <f>IFERROR(__xludf.DUMMYFUNCTION("if(D410=""variant"",  substitute(filter(Templates!E:E, Templates!A:A = F410, Templates!B:B = G410, Templates!C:C = H410), ""{{}}"", E410), B410)"),"🏘  L’appartement de vos rêves se trouve sur ImmoScout24.ch ✅ Découvrez les dernières annonces de vente à Granges-près-Marnand.")</f>
        <v>🏘  L’appartement de vos rêves se trouve sur ImmoScout24.ch ✅ Découvrez les dernières annonces de vente à Granges-près-Marnand.</v>
      </c>
      <c r="J410" s="4" t="s">
        <v>1235</v>
      </c>
    </row>
    <row r="411">
      <c r="A411" s="5" t="s">
        <v>1236</v>
      </c>
      <c r="B411" s="2" t="s">
        <v>1237</v>
      </c>
      <c r="C411" s="4" t="str">
        <f>IFERROR(__xludf.DUMMYFUNCTION("""🏘️ ""&amp;REGEXEXTRACT(B411, ""^(.*): "")&amp;"" ✅ "" &amp;REGEXEXTRACT(B411, ""(Trouvez.*)"")"),"🏘️ Louer appartement Wengi b. Büren ✅ Trouvez le bien immobilier qui correspond idéalement à vos désirs sur ImmoScout24 - La plateforme de l'immobilier en Suisse.")</f>
        <v>🏘️ Louer appartement Wengi b. Büren ✅ Trouvez le bien immobilier qui correspond idéalement à vos désirs sur ImmoScout24 - La plateforme de l'immobilier en Suisse.</v>
      </c>
      <c r="D411" s="4" t="str">
        <f>vlookup(A411, Sheet2!D:E, 2, 0)</f>
        <v>variant</v>
      </c>
      <c r="E411" s="4" t="str">
        <f>IFERROR(__xludf.DUMMYFUNCTION("if(H411=""pays"",vlookup(REGEXEXTRACT(C411, ""🏘️ \w+ \w+ (.*) ✅""),'Country prepositions'!A:B, 2, 0) &amp; "" "" &amp; REGEXEXTRACT(C411, ""🏘️ \w+ \w+ (.*) ✅"") ,  if(H411=""quartier"",vlookup(REGEXEXTRACT(C411, ""🏘️ \w+ \w+ (.*) ✅""),'Quartier prepositions'!A"&amp;":E, 5, 0) ,  if(H411=""region"",vlookup(REGEXEXTRACT(C411, ""🏘️ \w+ \w+ (.*) ✅""),'Region prepositions'!B:F, 5, 0),  REGEXEXTRACT(C411, ""🏘️ \w+ \w+ (.*) ✅""))))"),"Wengi b. Büren")</f>
        <v>Wengi b. Büren</v>
      </c>
      <c r="F411" s="2" t="str">
        <f>IFERROR(__xludf.DUMMYFUNCTION("REGEXEXTRACT(C411, ""🏘️ (\w+) \w+ .* ✅"")"),"Louer")</f>
        <v>Louer</v>
      </c>
      <c r="G411" s="2" t="str">
        <f>IFERROR(__xludf.DUMMYFUNCTION("REGEXEXTRACT(C411, ""🏘️ \w+ (\w+) .* ✅"")"),"appartement")</f>
        <v>appartement</v>
      </c>
      <c r="H411" s="4" t="str">
        <f>IFERROR(__xludf.DUMMYFUNCTION("REGEXEXTRACT(A411, ""/(\w+)-.*?"")"),"lieu")</f>
        <v>lieu</v>
      </c>
      <c r="I411" s="4" t="str">
        <f>IFERROR(__xludf.DUMMYFUNCTION("if(D411=""variant"",  substitute(filter(Templates!E:E, Templates!A:A = F411, Templates!B:B = G411, Templates!C:C = H411), ""{{}}"", E411), B411)"),"🏘  Vous cherchez un appartement à louer à Wengi b. Büren? ✅ Les annonces les plus actuelles sont sur ImmoScout24.ch.")</f>
        <v>🏘  Vous cherchez un appartement à louer à Wengi b. Büren? ✅ Les annonces les plus actuelles sont sur ImmoScout24.ch.</v>
      </c>
      <c r="J411" s="4" t="s">
        <v>1238</v>
      </c>
    </row>
    <row r="412">
      <c r="A412" s="5" t="s">
        <v>1239</v>
      </c>
      <c r="B412" s="2" t="s">
        <v>1240</v>
      </c>
      <c r="C412" s="4" t="str">
        <f>IFERROR(__xludf.DUMMYFUNCTION("""🏘️ ""&amp;REGEXEXTRACT(B412, ""^(.*): "")&amp;"" ✅ "" &amp;REGEXEXTRACT(B412, ""(Trouvez.*)"")"),"🏘️ Vendre appartement Boécourt ✅ Trouvez le bien immobilier qui correspond idéalement à vos désirs sur ImmoScout24 - La plateforme de l'immobilier en Suisse.")</f>
        <v>🏘️ Vendre appartement Boécourt ✅ Trouvez le bien immobilier qui correspond idéalement à vos désirs sur ImmoScout24 - La plateforme de l'immobilier en Suisse.</v>
      </c>
      <c r="D412" s="4" t="str">
        <f>vlookup(A412, Sheet2!D:E, 2, 0)</f>
        <v>variant</v>
      </c>
      <c r="E412" s="4" t="str">
        <f>IFERROR(__xludf.DUMMYFUNCTION("if(H412=""pays"",vlookup(REGEXEXTRACT(C412, ""🏘️ \w+ \w+ (.*) ✅""),'Country prepositions'!A:B, 2, 0) &amp; "" "" &amp; REGEXEXTRACT(C412, ""🏘️ \w+ \w+ (.*) ✅"") ,  if(H412=""quartier"",vlookup(REGEXEXTRACT(C412, ""🏘️ \w+ \w+ (.*) ✅""),'Quartier prepositions'!A"&amp;":E, 5, 0) ,  if(H412=""region"",vlookup(REGEXEXTRACT(C412, ""🏘️ \w+ \w+ (.*) ✅""),'Region prepositions'!B:F, 5, 0),  REGEXEXTRACT(C412, ""🏘️ \w+ \w+ (.*) ✅""))))"),"Boécourt")</f>
        <v>Boécourt</v>
      </c>
      <c r="F412" s="2" t="str">
        <f>IFERROR(__xludf.DUMMYFUNCTION("REGEXEXTRACT(C412, ""🏘️ (\w+) \w+ .* ✅"")"),"Vendre")</f>
        <v>Vendre</v>
      </c>
      <c r="G412" s="2" t="str">
        <f>IFERROR(__xludf.DUMMYFUNCTION("REGEXEXTRACT(C412, ""🏘️ \w+ (\w+) .* ✅"")"),"appartement")</f>
        <v>appartement</v>
      </c>
      <c r="H412" s="4" t="str">
        <f>IFERROR(__xludf.DUMMYFUNCTION("REGEXEXTRACT(A412, ""/(\w+)-.*?"")"),"lieu")</f>
        <v>lieu</v>
      </c>
      <c r="I412" s="4" t="str">
        <f>IFERROR(__xludf.DUMMYFUNCTION("if(D412=""variant"",  substitute(filter(Templates!E:E, Templates!A:A = F412, Templates!B:B = G412, Templates!C:C = H412), ""{{}}"", E412), B412)"),"🏘  L’appartement de vos rêves se trouve sur ImmoScout24.ch ✅ Découvrez les dernières annonces de vente à Boécourt.")</f>
        <v>🏘  L’appartement de vos rêves se trouve sur ImmoScout24.ch ✅ Découvrez les dernières annonces de vente à Boécourt.</v>
      </c>
      <c r="J412" s="4" t="s">
        <v>1241</v>
      </c>
    </row>
    <row r="413">
      <c r="A413" s="5" t="s">
        <v>1242</v>
      </c>
      <c r="B413" s="2" t="s">
        <v>1243</v>
      </c>
      <c r="C413" s="4" t="str">
        <f>IFERROR(__xludf.DUMMYFUNCTION("""🏘️ ""&amp;REGEXEXTRACT(B413, ""^(.*): "")&amp;"" ✅ "" &amp;REGEXEXTRACT(B413, ""(Trouvez.*)"")"),"🏘️ Louer maison Aarberg ✅ Trouvez le bien immobilier qui correspond idéalement à vos désirs sur ImmoScout24 - La plateforme de l'immobilier en Suisse.")</f>
        <v>🏘️ Louer maison Aarberg ✅ Trouvez le bien immobilier qui correspond idéalement à vos désirs sur ImmoScout24 - La plateforme de l'immobilier en Suisse.</v>
      </c>
      <c r="D413" s="4" t="str">
        <f>vlookup(A413, Sheet2!D:E, 2, 0)</f>
        <v>variant</v>
      </c>
      <c r="E413" s="4" t="str">
        <f>IFERROR(__xludf.DUMMYFUNCTION("if(H413=""pays"",vlookup(REGEXEXTRACT(C413, ""🏘️ \w+ \w+ (.*) ✅""),'Country prepositions'!A:B, 2, 0) &amp; "" "" &amp; REGEXEXTRACT(C413, ""🏘️ \w+ \w+ (.*) ✅"") ,  if(H413=""quartier"",vlookup(REGEXEXTRACT(C413, ""🏘️ \w+ \w+ (.*) ✅""),'Quartier prepositions'!A"&amp;":E, 5, 0) ,  if(H413=""region"",vlookup(REGEXEXTRACT(C413, ""🏘️ \w+ \w+ (.*) ✅""),'Region prepositions'!B:F, 5, 0),  REGEXEXTRACT(C413, ""🏘️ \w+ \w+ (.*) ✅""))))"),"Aarberg")</f>
        <v>Aarberg</v>
      </c>
      <c r="F413" s="2" t="str">
        <f>IFERROR(__xludf.DUMMYFUNCTION("REGEXEXTRACT(C413, ""🏘️ (\w+) \w+ .* ✅"")"),"Louer")</f>
        <v>Louer</v>
      </c>
      <c r="G413" s="2" t="str">
        <f>IFERROR(__xludf.DUMMYFUNCTION("REGEXEXTRACT(C413, ""🏘️ \w+ (\w+) .* ✅"")"),"maison")</f>
        <v>maison</v>
      </c>
      <c r="H413" s="4" t="str">
        <f>IFERROR(__xludf.DUMMYFUNCTION("REGEXEXTRACT(A413, ""/(\w+)-.*?"")"),"lieu")</f>
        <v>lieu</v>
      </c>
      <c r="I413" s="4" t="str">
        <f>IFERROR(__xludf.DUMMYFUNCTION("if(D413=""variant"",  substitute(filter(Templates!E:E, Templates!A:A = F413, Templates!B:B = G413, Templates!C:C = H413), ""{{}}"", E413), B413)"),"🏘  Vous cherchez une maison à louer à Aarberg? ✅ Découvrez nos nombreuses annonces sur ImmoScout24.ch.")</f>
        <v>🏘  Vous cherchez une maison à louer à Aarberg? ✅ Découvrez nos nombreuses annonces sur ImmoScout24.ch.</v>
      </c>
      <c r="J413" s="4" t="s">
        <v>1244</v>
      </c>
    </row>
    <row r="414">
      <c r="A414" s="5" t="s">
        <v>1245</v>
      </c>
      <c r="B414" s="2" t="s">
        <v>1246</v>
      </c>
      <c r="C414" s="4" t="str">
        <f>IFERROR(__xludf.DUMMYFUNCTION("""🏘️ ""&amp;REGEXEXTRACT(B414, ""^(.*): "")&amp;"" ✅ "" &amp;REGEXEXTRACT(B414, ""(Trouvez.*)"")"),"🏘️ Vendre appartement St-Aubin-Sauges ✅ Trouvez le bien immobilier qui correspond idéalement à vos désirs sur ImmoScout24 - La plateforme de l'immobilier en Suisse.")</f>
        <v>🏘️ Vendre appartement St-Aubin-Sauges ✅ Trouvez le bien immobilier qui correspond idéalement à vos désirs sur ImmoScout24 - La plateforme de l'immobilier en Suisse.</v>
      </c>
      <c r="D414" s="4" t="str">
        <f>vlookup(A414, Sheet2!D:E, 2, 0)</f>
        <v>variant</v>
      </c>
      <c r="E414" s="4" t="str">
        <f>IFERROR(__xludf.DUMMYFUNCTION("if(H414=""pays"",vlookup(REGEXEXTRACT(C414, ""🏘️ \w+ \w+ (.*) ✅""),'Country prepositions'!A:B, 2, 0) &amp; "" "" &amp; REGEXEXTRACT(C414, ""🏘️ \w+ \w+ (.*) ✅"") ,  if(H414=""quartier"",vlookup(REGEXEXTRACT(C414, ""🏘️ \w+ \w+ (.*) ✅""),'Quartier prepositions'!A"&amp;":E, 5, 0) ,  if(H414=""region"",vlookup(REGEXEXTRACT(C414, ""🏘️ \w+ \w+ (.*) ✅""),'Region prepositions'!B:F, 5, 0),  REGEXEXTRACT(C414, ""🏘️ \w+ \w+ (.*) ✅""))))"),"St-Aubin-Sauges")</f>
        <v>St-Aubin-Sauges</v>
      </c>
      <c r="F414" s="2" t="str">
        <f>IFERROR(__xludf.DUMMYFUNCTION("REGEXEXTRACT(C414, ""🏘️ (\w+) \w+ .* ✅"")"),"Vendre")</f>
        <v>Vendre</v>
      </c>
      <c r="G414" s="2" t="str">
        <f>IFERROR(__xludf.DUMMYFUNCTION("REGEXEXTRACT(C414, ""🏘️ \w+ (\w+) .* ✅"")"),"appartement")</f>
        <v>appartement</v>
      </c>
      <c r="H414" s="4" t="str">
        <f>IFERROR(__xludf.DUMMYFUNCTION("REGEXEXTRACT(A414, ""/(\w+)-.*?"")"),"lieu")</f>
        <v>lieu</v>
      </c>
      <c r="I414" s="4" t="str">
        <f>IFERROR(__xludf.DUMMYFUNCTION("if(D414=""variant"",  substitute(filter(Templates!E:E, Templates!A:A = F414, Templates!B:B = G414, Templates!C:C = H414), ""{{}}"", E414), B414)"),"🏘  L’appartement de vos rêves se trouve sur ImmoScout24.ch ✅ Découvrez les dernières annonces de vente à St-Aubin-Sauges.")</f>
        <v>🏘  L’appartement de vos rêves se trouve sur ImmoScout24.ch ✅ Découvrez les dernières annonces de vente à St-Aubin-Sauges.</v>
      </c>
      <c r="J414" s="4" t="s">
        <v>1247</v>
      </c>
    </row>
    <row r="415">
      <c r="A415" s="5" t="s">
        <v>1248</v>
      </c>
      <c r="B415" s="2" t="s">
        <v>1249</v>
      </c>
      <c r="C415" s="4" t="str">
        <f>IFERROR(__xludf.DUMMYFUNCTION("""🏘️ ""&amp;REGEXEXTRACT(B415, ""^(.*): "")&amp;"" ✅ "" &amp;REGEXEXTRACT(B415, ""(Trouvez.*)"")"),"🏘️ Vendre maison Rekingen AG ✅ Trouvez le bien immobilier qui correspond idéalement à vos désirs sur ImmoScout24 - La plateforme de l'immobilier en Suisse.")</f>
        <v>🏘️ Vendre maison Rekingen AG ✅ Trouvez le bien immobilier qui correspond idéalement à vos désirs sur ImmoScout24 - La plateforme de l'immobilier en Suisse.</v>
      </c>
      <c r="D415" s="4" t="str">
        <f>vlookup(A415, Sheet2!D:E, 2, 0)</f>
        <v>variant</v>
      </c>
      <c r="E415" s="4" t="str">
        <f>IFERROR(__xludf.DUMMYFUNCTION("if(H415=""pays"",vlookup(REGEXEXTRACT(C415, ""🏘️ \w+ \w+ (.*) ✅""),'Country prepositions'!A:B, 2, 0) &amp; "" "" &amp; REGEXEXTRACT(C415, ""🏘️ \w+ \w+ (.*) ✅"") ,  if(H415=""quartier"",vlookup(REGEXEXTRACT(C415, ""🏘️ \w+ \w+ (.*) ✅""),'Quartier prepositions'!A"&amp;":E, 5, 0) ,  if(H415=""region"",vlookup(REGEXEXTRACT(C415, ""🏘️ \w+ \w+ (.*) ✅""),'Region prepositions'!B:F, 5, 0),  REGEXEXTRACT(C415, ""🏘️ \w+ \w+ (.*) ✅""))))"),"Rekingen AG")</f>
        <v>Rekingen AG</v>
      </c>
      <c r="F415" s="2" t="str">
        <f>IFERROR(__xludf.DUMMYFUNCTION("REGEXEXTRACT(C415, ""🏘️ (\w+) \w+ .* ✅"")"),"Vendre")</f>
        <v>Vendre</v>
      </c>
      <c r="G415" s="2" t="str">
        <f>IFERROR(__xludf.DUMMYFUNCTION("REGEXEXTRACT(C415, ""🏘️ \w+ (\w+) .* ✅"")"),"maison")</f>
        <v>maison</v>
      </c>
      <c r="H415" s="4" t="str">
        <f>IFERROR(__xludf.DUMMYFUNCTION("REGEXEXTRACT(A415, ""/(\w+)-.*?"")"),"lieu")</f>
        <v>lieu</v>
      </c>
      <c r="I415" s="4" t="str">
        <f>IFERROR(__xludf.DUMMYFUNCTION("if(D415=""variant"",  substitute(filter(Templates!E:E, Templates!A:A = F415, Templates!B:B = G415, Templates!C:C = H415), ""{{}}"", E415), B415)"),"🏘  Vous souhaitez acheter une maison à Rekingen AG? ✅ Jetez un œil aux dernières offres sur ImmoScout24.ch.")</f>
        <v>🏘  Vous souhaitez acheter une maison à Rekingen AG? ✅ Jetez un œil aux dernières offres sur ImmoScout24.ch.</v>
      </c>
      <c r="J415" s="4" t="s">
        <v>1250</v>
      </c>
    </row>
    <row r="416">
      <c r="A416" s="5" t="s">
        <v>1251</v>
      </c>
      <c r="B416" s="2" t="s">
        <v>1252</v>
      </c>
      <c r="C416" s="4" t="str">
        <f>IFERROR(__xludf.DUMMYFUNCTION("""🏘️ ""&amp;REGEXEXTRACT(B416, ""^(.*): "")&amp;"" ✅ "" &amp;REGEXEXTRACT(B416, ""(Trouvez.*)"")"),"🏘️ Vendre appartement Bern ✅ Trouvez le bien immobilier qui correspond idéalement à vos désirs sur ImmoScout24 - La plateforme de l'immobilier en Suisse.")</f>
        <v>🏘️ Vendre appartement Bern ✅ Trouvez le bien immobilier qui correspond idéalement à vos désirs sur ImmoScout24 - La plateforme de l'immobilier en Suisse.</v>
      </c>
      <c r="D416" s="4" t="str">
        <f>vlookup(A416, Sheet2!D:E, 2, 0)</f>
        <v>variant</v>
      </c>
      <c r="E416" s="4" t="str">
        <f>IFERROR(__xludf.DUMMYFUNCTION("if(H416=""pays"",vlookup(REGEXEXTRACT(C416, ""🏘️ \w+ \w+ (.*) ✅""),'Country prepositions'!A:B, 2, 0) &amp; "" "" &amp; REGEXEXTRACT(C416, ""🏘️ \w+ \w+ (.*) ✅"") ,  if(H416=""quartier"",vlookup(REGEXEXTRACT(C416, ""🏘️ \w+ \w+ (.*) ✅""),'Quartier prepositions'!A"&amp;":E, 5, 0) ,  if(H416=""region"",vlookup(REGEXEXTRACT(C416, ""🏘️ \w+ \w+ (.*) ✅""),'Region prepositions'!B:F, 5, 0),  REGEXEXTRACT(C416, ""🏘️ \w+ \w+ (.*) ✅""))))"),"Bern")</f>
        <v>Bern</v>
      </c>
      <c r="F416" s="2" t="str">
        <f>IFERROR(__xludf.DUMMYFUNCTION("REGEXEXTRACT(C416, ""🏘️ (\w+) \w+ .* ✅"")"),"Vendre")</f>
        <v>Vendre</v>
      </c>
      <c r="G416" s="2" t="str">
        <f>IFERROR(__xludf.DUMMYFUNCTION("REGEXEXTRACT(C416, ""🏘️ \w+ (\w+) .* ✅"")"),"appartement")</f>
        <v>appartement</v>
      </c>
      <c r="H416" s="4" t="str">
        <f>IFERROR(__xludf.DUMMYFUNCTION("REGEXEXTRACT(A416, ""/(\w+)-.*?"")"),"lieu")</f>
        <v>lieu</v>
      </c>
      <c r="I416" s="8" t="str">
        <f>IFERROR(__xludf.DUMMYFUNCTION("if(D416=""variant"",  substitute(filter(Templates!E:E, Templates!A:A = F416, Templates!B:B = G416, Templates!C:C = H416), ""{{}}"", E416), B416)"),"🏘  L’appartement de vos rêves se trouve sur ImmoScout24.ch ✅ Découvrez les dernières annonces de vente à Bern.")</f>
        <v>🏘  L’appartement de vos rêves se trouve sur ImmoScout24.ch ✅ Découvrez les dernières annonces de vente à Bern.</v>
      </c>
      <c r="J416" s="4" t="s">
        <v>1253</v>
      </c>
    </row>
    <row r="417">
      <c r="A417" s="5" t="s">
        <v>1254</v>
      </c>
      <c r="B417" s="2" t="s">
        <v>1255</v>
      </c>
      <c r="C417" s="4" t="str">
        <f>IFERROR(__xludf.DUMMYFUNCTION("""🏘️ ""&amp;REGEXEXTRACT(B417, ""^(.*): "")&amp;"" ✅ "" &amp;REGEXEXTRACT(B417, ""(Trouvez.*)"")"),"🏘️ Vendre maison Salvan ✅ Trouvez le bien immobilier qui correspond idéalement à vos désirs sur ImmoScout24 - La plateforme de l'immobilier en Suisse.")</f>
        <v>🏘️ Vendre maison Salvan ✅ Trouvez le bien immobilier qui correspond idéalement à vos désirs sur ImmoScout24 - La plateforme de l'immobilier en Suisse.</v>
      </c>
      <c r="D417" s="4" t="str">
        <f>vlookup(A417, Sheet2!D:E, 2, 0)</f>
        <v>variant</v>
      </c>
      <c r="E417" s="4" t="str">
        <f>IFERROR(__xludf.DUMMYFUNCTION("if(H417=""pays"",vlookup(REGEXEXTRACT(C417, ""🏘️ \w+ \w+ (.*) ✅""),'Country prepositions'!A:B, 2, 0) &amp; "" "" &amp; REGEXEXTRACT(C417, ""🏘️ \w+ \w+ (.*) ✅"") ,  if(H417=""quartier"",vlookup(REGEXEXTRACT(C417, ""🏘️ \w+ \w+ (.*) ✅""),'Quartier prepositions'!A"&amp;":E, 5, 0) ,  if(H417=""region"",vlookup(REGEXEXTRACT(C417, ""🏘️ \w+ \w+ (.*) ✅""),'Region prepositions'!B:F, 5, 0),  REGEXEXTRACT(C417, ""🏘️ \w+ \w+ (.*) ✅""))))"),"Salvan")</f>
        <v>Salvan</v>
      </c>
      <c r="F417" s="2" t="str">
        <f>IFERROR(__xludf.DUMMYFUNCTION("REGEXEXTRACT(C417, ""🏘️ (\w+) \w+ .* ✅"")"),"Vendre")</f>
        <v>Vendre</v>
      </c>
      <c r="G417" s="2" t="str">
        <f>IFERROR(__xludf.DUMMYFUNCTION("REGEXEXTRACT(C417, ""🏘️ \w+ (\w+) .* ✅"")"),"maison")</f>
        <v>maison</v>
      </c>
      <c r="H417" s="4" t="str">
        <f>IFERROR(__xludf.DUMMYFUNCTION("REGEXEXTRACT(A417, ""/(\w+)-.*?"")"),"lieu")</f>
        <v>lieu</v>
      </c>
      <c r="I417" s="4" t="str">
        <f>IFERROR(__xludf.DUMMYFUNCTION("if(D417=""variant"",  substitute(filter(Templates!E:E, Templates!A:A = F417, Templates!B:B = G417, Templates!C:C = H417), ""{{}}"", E417), B417)"),"🏘  Vous souhaitez acheter une maison à Salvan? ✅ Jetez un œil aux dernières offres sur ImmoScout24.ch.")</f>
        <v>🏘  Vous souhaitez acheter une maison à Salvan? ✅ Jetez un œil aux dernières offres sur ImmoScout24.ch.</v>
      </c>
      <c r="J417" s="4" t="s">
        <v>1256</v>
      </c>
    </row>
    <row r="418">
      <c r="A418" s="5" t="s">
        <v>1257</v>
      </c>
      <c r="B418" s="2" t="s">
        <v>1258</v>
      </c>
      <c r="C418" s="4" t="str">
        <f>IFERROR(__xludf.DUMMYFUNCTION("""🏘️ ""&amp;REGEXEXTRACT(B418, ""^(.*): "")&amp;"" ✅ "" &amp;REGEXEXTRACT(B418, ""(Trouvez.*)"")"),"🏘️ Louer maison Lugnorre ✅ Trouvez le bien immobilier qui correspond idéalement à vos désirs sur ImmoScout24 - La plateforme de l'immobilier en Suisse.")</f>
        <v>🏘️ Louer maison Lugnorre ✅ Trouvez le bien immobilier qui correspond idéalement à vos désirs sur ImmoScout24 - La plateforme de l'immobilier en Suisse.</v>
      </c>
      <c r="D418" s="4" t="str">
        <f>vlookup(A418, Sheet2!D:E, 2, 0)</f>
        <v>variant</v>
      </c>
      <c r="E418" s="4" t="str">
        <f>IFERROR(__xludf.DUMMYFUNCTION("if(H418=""pays"",vlookup(REGEXEXTRACT(C418, ""🏘️ \w+ \w+ (.*) ✅""),'Country prepositions'!A:B, 2, 0) &amp; "" "" &amp; REGEXEXTRACT(C418, ""🏘️ \w+ \w+ (.*) ✅"") ,  if(H418=""quartier"",vlookup(REGEXEXTRACT(C418, ""🏘️ \w+ \w+ (.*) ✅""),'Quartier prepositions'!A"&amp;":E, 5, 0) ,  if(H418=""region"",vlookup(REGEXEXTRACT(C418, ""🏘️ \w+ \w+ (.*) ✅""),'Region prepositions'!B:F, 5, 0),  REGEXEXTRACT(C418, ""🏘️ \w+ \w+ (.*) ✅""))))"),"Lugnorre")</f>
        <v>Lugnorre</v>
      </c>
      <c r="F418" s="2" t="str">
        <f>IFERROR(__xludf.DUMMYFUNCTION("REGEXEXTRACT(C418, ""🏘️ (\w+) \w+ .* ✅"")"),"Louer")</f>
        <v>Louer</v>
      </c>
      <c r="G418" s="2" t="str">
        <f>IFERROR(__xludf.DUMMYFUNCTION("REGEXEXTRACT(C418, ""🏘️ \w+ (\w+) .* ✅"")"),"maison")</f>
        <v>maison</v>
      </c>
      <c r="H418" s="4" t="str">
        <f>IFERROR(__xludf.DUMMYFUNCTION("REGEXEXTRACT(A418, ""/(\w+)-.*?"")"),"lieu")</f>
        <v>lieu</v>
      </c>
      <c r="I418" s="4" t="str">
        <f>IFERROR(__xludf.DUMMYFUNCTION("if(D418=""variant"",  substitute(filter(Templates!E:E, Templates!A:A = F418, Templates!B:B = G418, Templates!C:C = H418), ""{{}}"", E418), B418)"),"🏘  Vous cherchez une maison à louer à Lugnorre? ✅ Découvrez nos nombreuses annonces sur ImmoScout24.ch.")</f>
        <v>🏘  Vous cherchez une maison à louer à Lugnorre? ✅ Découvrez nos nombreuses annonces sur ImmoScout24.ch.</v>
      </c>
      <c r="J418" s="4" t="s">
        <v>1259</v>
      </c>
    </row>
    <row r="419">
      <c r="A419" s="5" t="s">
        <v>1260</v>
      </c>
      <c r="B419" s="2" t="s">
        <v>1261</v>
      </c>
      <c r="C419" s="4" t="str">
        <f>IFERROR(__xludf.DUMMYFUNCTION("""🏘️ ""&amp;REGEXEXTRACT(B419, ""^(.*): "")&amp;"" ✅ "" &amp;REGEXEXTRACT(B419, ""(Trouvez.*)"")"),"🏘️ Vendre appartement Châtel-sur-Montsalvens ✅ Trouvez le bien immobilier qui correspond idéalement à vos désirs sur ImmoScout24 - La plateforme de l'immobilier en Suisse.")</f>
        <v>🏘️ Vendre appartement Châtel-sur-Montsalvens ✅ Trouvez le bien immobilier qui correspond idéalement à vos désirs sur ImmoScout24 - La plateforme de l'immobilier en Suisse.</v>
      </c>
      <c r="D419" s="4" t="str">
        <f>vlookup(A419, Sheet2!D:E, 2, 0)</f>
        <v>variant</v>
      </c>
      <c r="E419" s="4" t="str">
        <f>IFERROR(__xludf.DUMMYFUNCTION("if(H419=""pays"",vlookup(REGEXEXTRACT(C419, ""🏘️ \w+ \w+ (.*) ✅""),'Country prepositions'!A:B, 2, 0) &amp; "" "" &amp; REGEXEXTRACT(C419, ""🏘️ \w+ \w+ (.*) ✅"") ,  if(H419=""quartier"",vlookup(REGEXEXTRACT(C419, ""🏘️ \w+ \w+ (.*) ✅""),'Quartier prepositions'!A"&amp;":E, 5, 0) ,  if(H419=""region"",vlookup(REGEXEXTRACT(C419, ""🏘️ \w+ \w+ (.*) ✅""),'Region prepositions'!B:F, 5, 0),  REGEXEXTRACT(C419, ""🏘️ \w+ \w+ (.*) ✅""))))"),"Châtel-sur-Montsalvens")</f>
        <v>Châtel-sur-Montsalvens</v>
      </c>
      <c r="F419" s="2" t="str">
        <f>IFERROR(__xludf.DUMMYFUNCTION("REGEXEXTRACT(C419, ""🏘️ (\w+) \w+ .* ✅"")"),"Vendre")</f>
        <v>Vendre</v>
      </c>
      <c r="G419" s="2" t="str">
        <f>IFERROR(__xludf.DUMMYFUNCTION("REGEXEXTRACT(C419, ""🏘️ \w+ (\w+) .* ✅"")"),"appartement")</f>
        <v>appartement</v>
      </c>
      <c r="H419" s="4" t="str">
        <f>IFERROR(__xludf.DUMMYFUNCTION("REGEXEXTRACT(A419, ""/(\w+)-.*?"")"),"lieu")</f>
        <v>lieu</v>
      </c>
      <c r="I419" s="4" t="str">
        <f>IFERROR(__xludf.DUMMYFUNCTION("if(D419=""variant"",  substitute(filter(Templates!E:E, Templates!A:A = F419, Templates!B:B = G419, Templates!C:C = H419), ""{{}}"", E419), B419)"),"🏘  L’appartement de vos rêves se trouve sur ImmoScout24.ch ✅ Découvrez les dernières annonces de vente à Châtel-sur-Montsalvens.")</f>
        <v>🏘  L’appartement de vos rêves se trouve sur ImmoScout24.ch ✅ Découvrez les dernières annonces de vente à Châtel-sur-Montsalvens.</v>
      </c>
      <c r="J419" s="4" t="s">
        <v>1262</v>
      </c>
    </row>
    <row r="420">
      <c r="A420" s="5" t="s">
        <v>1263</v>
      </c>
      <c r="B420" s="2" t="s">
        <v>1264</v>
      </c>
      <c r="C420" s="4" t="str">
        <f>IFERROR(__xludf.DUMMYFUNCTION("""🏘️ ""&amp;REGEXEXTRACT(B420, ""^(.*): "")&amp;"" ✅ "" &amp;REGEXEXTRACT(B420, ""(Trouvez.*)"")"),"🏘️ Louer appartement Evilard ✅ Trouvez le bien immobilier qui correspond idéalement à vos désirs sur ImmoScout24 - La plateforme de l'immobilier en Suisse.")</f>
        <v>🏘️ Louer appartement Evilard ✅ Trouvez le bien immobilier qui correspond idéalement à vos désirs sur ImmoScout24 - La plateforme de l'immobilier en Suisse.</v>
      </c>
      <c r="D420" s="4" t="str">
        <f>vlookup(A420, Sheet2!D:E, 2, 0)</f>
        <v>variant</v>
      </c>
      <c r="E420" s="4" t="str">
        <f>IFERROR(__xludf.DUMMYFUNCTION("if(H420=""pays"",vlookup(REGEXEXTRACT(C420, ""🏘️ \w+ \w+ (.*) ✅""),'Country prepositions'!A:B, 2, 0) &amp; "" "" &amp; REGEXEXTRACT(C420, ""🏘️ \w+ \w+ (.*) ✅"") ,  if(H420=""quartier"",vlookup(REGEXEXTRACT(C420, ""🏘️ \w+ \w+ (.*) ✅""),'Quartier prepositions'!A"&amp;":E, 5, 0) ,  if(H420=""region"",vlookup(REGEXEXTRACT(C420, ""🏘️ \w+ \w+ (.*) ✅""),'Region prepositions'!B:F, 5, 0),  REGEXEXTRACT(C420, ""🏘️ \w+ \w+ (.*) ✅""))))"),"Evilard")</f>
        <v>Evilard</v>
      </c>
      <c r="F420" s="2" t="str">
        <f>IFERROR(__xludf.DUMMYFUNCTION("REGEXEXTRACT(C420, ""🏘️ (\w+) \w+ .* ✅"")"),"Louer")</f>
        <v>Louer</v>
      </c>
      <c r="G420" s="2" t="str">
        <f>IFERROR(__xludf.DUMMYFUNCTION("REGEXEXTRACT(C420, ""🏘️ \w+ (\w+) .* ✅"")"),"appartement")</f>
        <v>appartement</v>
      </c>
      <c r="H420" s="4" t="str">
        <f>IFERROR(__xludf.DUMMYFUNCTION("REGEXEXTRACT(A420, ""/(\w+)-.*?"")"),"lieu")</f>
        <v>lieu</v>
      </c>
      <c r="I420" s="4" t="str">
        <f>IFERROR(__xludf.DUMMYFUNCTION("if(D420=""variant"",  substitute(filter(Templates!E:E, Templates!A:A = F420, Templates!B:B = G420, Templates!C:C = H420), ""{{}}"", E420), B420)"),"🏘  Vous cherchez un appartement à louer à Evilard? ✅ Les annonces les plus actuelles sont sur ImmoScout24.ch.")</f>
        <v>🏘  Vous cherchez un appartement à louer à Evilard? ✅ Les annonces les plus actuelles sont sur ImmoScout24.ch.</v>
      </c>
      <c r="J420" s="4" t="s">
        <v>1265</v>
      </c>
    </row>
    <row r="421">
      <c r="A421" s="5" t="s">
        <v>1266</v>
      </c>
      <c r="B421" s="2" t="s">
        <v>1267</v>
      </c>
      <c r="C421" s="4" t="str">
        <f>IFERROR(__xludf.DUMMYFUNCTION("""🏘️ ""&amp;REGEXEXTRACT(B421, ""^(.*): "")&amp;"" ✅ "" &amp;REGEXEXTRACT(B421, ""(Trouvez.*)"")"),"🏘️ Vendre maison Steffisburg ✅ Trouvez le bien immobilier qui correspond idéalement à vos désirs sur ImmoScout24 - La plateforme de l'immobilier en Suisse.")</f>
        <v>🏘️ Vendre maison Steffisburg ✅ Trouvez le bien immobilier qui correspond idéalement à vos désirs sur ImmoScout24 - La plateforme de l'immobilier en Suisse.</v>
      </c>
      <c r="D421" s="4" t="str">
        <f>vlookup(A421, Sheet2!D:E, 2, 0)</f>
        <v>variant</v>
      </c>
      <c r="E421" s="4" t="str">
        <f>IFERROR(__xludf.DUMMYFUNCTION("if(H421=""pays"",vlookup(REGEXEXTRACT(C421, ""🏘️ \w+ \w+ (.*) ✅""),'Country prepositions'!A:B, 2, 0) &amp; "" "" &amp; REGEXEXTRACT(C421, ""🏘️ \w+ \w+ (.*) ✅"") ,  if(H421=""quartier"",vlookup(REGEXEXTRACT(C421, ""🏘️ \w+ \w+ (.*) ✅""),'Quartier prepositions'!A"&amp;":E, 5, 0) ,  if(H421=""region"",vlookup(REGEXEXTRACT(C421, ""🏘️ \w+ \w+ (.*) ✅""),'Region prepositions'!B:F, 5, 0),  REGEXEXTRACT(C421, ""🏘️ \w+ \w+ (.*) ✅""))))"),"Steffisburg")</f>
        <v>Steffisburg</v>
      </c>
      <c r="F421" s="2" t="str">
        <f>IFERROR(__xludf.DUMMYFUNCTION("REGEXEXTRACT(C421, ""🏘️ (\w+) \w+ .* ✅"")"),"Vendre")</f>
        <v>Vendre</v>
      </c>
      <c r="G421" s="2" t="str">
        <f>IFERROR(__xludf.DUMMYFUNCTION("REGEXEXTRACT(C421, ""🏘️ \w+ (\w+) .* ✅"")"),"maison")</f>
        <v>maison</v>
      </c>
      <c r="H421" s="4" t="str">
        <f>IFERROR(__xludf.DUMMYFUNCTION("REGEXEXTRACT(A421, ""/(\w+)-.*?"")"),"lieu")</f>
        <v>lieu</v>
      </c>
      <c r="I421" s="4" t="str">
        <f>IFERROR(__xludf.DUMMYFUNCTION("if(D421=""variant"",  substitute(filter(Templates!E:E, Templates!A:A = F421, Templates!B:B = G421, Templates!C:C = H421), ""{{}}"", E421), B421)"),"🏘  Vous souhaitez acheter une maison à Steffisburg? ✅ Jetez un œil aux dernières offres sur ImmoScout24.ch.")</f>
        <v>🏘  Vous souhaitez acheter une maison à Steffisburg? ✅ Jetez un œil aux dernières offres sur ImmoScout24.ch.</v>
      </c>
      <c r="J421" s="4" t="s">
        <v>1268</v>
      </c>
    </row>
    <row r="422">
      <c r="A422" s="5" t="s">
        <v>1269</v>
      </c>
      <c r="B422" s="2" t="s">
        <v>1270</v>
      </c>
      <c r="C422" s="4" t="str">
        <f>IFERROR(__xludf.DUMMYFUNCTION("""🏘️ ""&amp;REGEXEXTRACT(B422, ""^(.*): "")&amp;"" ✅ "" &amp;REGEXEXTRACT(B422, ""(Trouvez.*)"")"),"🏘️ Vendre maison Siselen BE ✅ Trouvez le bien immobilier qui correspond idéalement à vos désirs sur ImmoScout24 - La plateforme de l'immobilier en Suisse.")</f>
        <v>🏘️ Vendre maison Siselen BE ✅ Trouvez le bien immobilier qui correspond idéalement à vos désirs sur ImmoScout24 - La plateforme de l'immobilier en Suisse.</v>
      </c>
      <c r="D422" s="4" t="str">
        <f>vlookup(A422, Sheet2!D:E, 2, 0)</f>
        <v>variant</v>
      </c>
      <c r="E422" s="4" t="str">
        <f>IFERROR(__xludf.DUMMYFUNCTION("if(H422=""pays"",vlookup(REGEXEXTRACT(C422, ""🏘️ \w+ \w+ (.*) ✅""),'Country prepositions'!A:B, 2, 0) &amp; "" "" &amp; REGEXEXTRACT(C422, ""🏘️ \w+ \w+ (.*) ✅"") ,  if(H422=""quartier"",vlookup(REGEXEXTRACT(C422, ""🏘️ \w+ \w+ (.*) ✅""),'Quartier prepositions'!A"&amp;":E, 5, 0) ,  if(H422=""region"",vlookup(REGEXEXTRACT(C422, ""🏘️ \w+ \w+ (.*) ✅""),'Region prepositions'!B:F, 5, 0),  REGEXEXTRACT(C422, ""🏘️ \w+ \w+ (.*) ✅""))))"),"Siselen BE")</f>
        <v>Siselen BE</v>
      </c>
      <c r="F422" s="2" t="str">
        <f>IFERROR(__xludf.DUMMYFUNCTION("REGEXEXTRACT(C422, ""🏘️ (\w+) \w+ .* ✅"")"),"Vendre")</f>
        <v>Vendre</v>
      </c>
      <c r="G422" s="2" t="str">
        <f>IFERROR(__xludf.DUMMYFUNCTION("REGEXEXTRACT(C422, ""🏘️ \w+ (\w+) .* ✅"")"),"maison")</f>
        <v>maison</v>
      </c>
      <c r="H422" s="4" t="str">
        <f>IFERROR(__xludf.DUMMYFUNCTION("REGEXEXTRACT(A422, ""/(\w+)-.*?"")"),"lieu")</f>
        <v>lieu</v>
      </c>
      <c r="I422" s="4" t="str">
        <f>IFERROR(__xludf.DUMMYFUNCTION("if(D422=""variant"",  substitute(filter(Templates!E:E, Templates!A:A = F422, Templates!B:B = G422, Templates!C:C = H422), ""{{}}"", E422), B422)"),"🏘  Vous souhaitez acheter une maison à Siselen BE? ✅ Jetez un œil aux dernières offres sur ImmoScout24.ch.")</f>
        <v>🏘  Vous souhaitez acheter une maison à Siselen BE? ✅ Jetez un œil aux dernières offres sur ImmoScout24.ch.</v>
      </c>
      <c r="J422" s="4" t="s">
        <v>1271</v>
      </c>
    </row>
    <row r="423">
      <c r="A423" s="5" t="s">
        <v>1272</v>
      </c>
      <c r="B423" s="2" t="s">
        <v>1273</v>
      </c>
      <c r="C423" s="4" t="str">
        <f>IFERROR(__xludf.DUMMYFUNCTION("""🏘️ ""&amp;REGEXEXTRACT(B423, ""^(.*): "")&amp;"" ✅ "" &amp;REGEXEXTRACT(B423, ""(Trouvez.*)"")"),"🏘️ Louer appartement Iseltwald ✅ Trouvez le bien immobilier qui correspond idéalement à vos désirs sur ImmoScout24 - La plateforme de l'immobilier en Suisse.")</f>
        <v>🏘️ Louer appartement Iseltwald ✅ Trouvez le bien immobilier qui correspond idéalement à vos désirs sur ImmoScout24 - La plateforme de l'immobilier en Suisse.</v>
      </c>
      <c r="D423" s="4" t="str">
        <f>vlookup(A423, Sheet2!D:E, 2, 0)</f>
        <v>variant</v>
      </c>
      <c r="E423" s="4" t="str">
        <f>IFERROR(__xludf.DUMMYFUNCTION("if(H423=""pays"",vlookup(REGEXEXTRACT(C423, ""🏘️ \w+ \w+ (.*) ✅""),'Country prepositions'!A:B, 2, 0) &amp; "" "" &amp; REGEXEXTRACT(C423, ""🏘️ \w+ \w+ (.*) ✅"") ,  if(H423=""quartier"",vlookup(REGEXEXTRACT(C423, ""🏘️ \w+ \w+ (.*) ✅""),'Quartier prepositions'!A"&amp;":E, 5, 0) ,  if(H423=""region"",vlookup(REGEXEXTRACT(C423, ""🏘️ \w+ \w+ (.*) ✅""),'Region prepositions'!B:F, 5, 0),  REGEXEXTRACT(C423, ""🏘️ \w+ \w+ (.*) ✅""))))"),"Iseltwald")</f>
        <v>Iseltwald</v>
      </c>
      <c r="F423" s="2" t="str">
        <f>IFERROR(__xludf.DUMMYFUNCTION("REGEXEXTRACT(C423, ""🏘️ (\w+) \w+ .* ✅"")"),"Louer")</f>
        <v>Louer</v>
      </c>
      <c r="G423" s="2" t="str">
        <f>IFERROR(__xludf.DUMMYFUNCTION("REGEXEXTRACT(C423, ""🏘️ \w+ (\w+) .* ✅"")"),"appartement")</f>
        <v>appartement</v>
      </c>
      <c r="H423" s="4" t="str">
        <f>IFERROR(__xludf.DUMMYFUNCTION("REGEXEXTRACT(A423, ""/(\w+)-.*?"")"),"lieu")</f>
        <v>lieu</v>
      </c>
      <c r="I423" s="4" t="str">
        <f>IFERROR(__xludf.DUMMYFUNCTION("if(D423=""variant"",  substitute(filter(Templates!E:E, Templates!A:A = F423, Templates!B:B = G423, Templates!C:C = H423), ""{{}}"", E423), B423)"),"🏘  Vous cherchez un appartement à louer à Iseltwald? ✅ Les annonces les plus actuelles sont sur ImmoScout24.ch.")</f>
        <v>🏘  Vous cherchez un appartement à louer à Iseltwald? ✅ Les annonces les plus actuelles sont sur ImmoScout24.ch.</v>
      </c>
      <c r="J423" s="4" t="s">
        <v>1274</v>
      </c>
    </row>
    <row r="424">
      <c r="A424" s="5" t="s">
        <v>1275</v>
      </c>
      <c r="B424" s="2" t="s">
        <v>1276</v>
      </c>
      <c r="C424" s="4" t="str">
        <f>IFERROR(__xludf.DUMMYFUNCTION("""🏘️ ""&amp;REGEXEXTRACT(B424, ""^(.*): "")&amp;"" ✅ "" &amp;REGEXEXTRACT(B424, ""(Trouvez.*)"")"),"🏘️ Vendre maison Vucherens ✅ Trouvez le bien immobilier qui correspond idéalement à vos désirs sur ImmoScout24 - La plateforme de l'immobilier en Suisse.")</f>
        <v>🏘️ Vendre maison Vucherens ✅ Trouvez le bien immobilier qui correspond idéalement à vos désirs sur ImmoScout24 - La plateforme de l'immobilier en Suisse.</v>
      </c>
      <c r="D424" s="4" t="str">
        <f>vlookup(A424, Sheet2!D:E, 2, 0)</f>
        <v>variant</v>
      </c>
      <c r="E424" s="4" t="str">
        <f>IFERROR(__xludf.DUMMYFUNCTION("if(H424=""pays"",vlookup(REGEXEXTRACT(C424, ""🏘️ \w+ \w+ (.*) ✅""),'Country prepositions'!A:B, 2, 0) &amp; "" "" &amp; REGEXEXTRACT(C424, ""🏘️ \w+ \w+ (.*) ✅"") ,  if(H424=""quartier"",vlookup(REGEXEXTRACT(C424, ""🏘️ \w+ \w+ (.*) ✅""),'Quartier prepositions'!A"&amp;":E, 5, 0) ,  if(H424=""region"",vlookup(REGEXEXTRACT(C424, ""🏘️ \w+ \w+ (.*) ✅""),'Region prepositions'!B:F, 5, 0),  REGEXEXTRACT(C424, ""🏘️ \w+ \w+ (.*) ✅""))))"),"Vucherens")</f>
        <v>Vucherens</v>
      </c>
      <c r="F424" s="2" t="str">
        <f>IFERROR(__xludf.DUMMYFUNCTION("REGEXEXTRACT(C424, ""🏘️ (\w+) \w+ .* ✅"")"),"Vendre")</f>
        <v>Vendre</v>
      </c>
      <c r="G424" s="2" t="str">
        <f>IFERROR(__xludf.DUMMYFUNCTION("REGEXEXTRACT(C424, ""🏘️ \w+ (\w+) .* ✅"")"),"maison")</f>
        <v>maison</v>
      </c>
      <c r="H424" s="4" t="str">
        <f>IFERROR(__xludf.DUMMYFUNCTION("REGEXEXTRACT(A424, ""/(\w+)-.*?"")"),"lieu")</f>
        <v>lieu</v>
      </c>
      <c r="I424" s="4" t="str">
        <f>IFERROR(__xludf.DUMMYFUNCTION("if(D424=""variant"",  substitute(filter(Templates!E:E, Templates!A:A = F424, Templates!B:B = G424, Templates!C:C = H424), ""{{}}"", E424), B424)"),"🏘  Vous souhaitez acheter une maison à Vucherens? ✅ Jetez un œil aux dernières offres sur ImmoScout24.ch.")</f>
        <v>🏘  Vous souhaitez acheter une maison à Vucherens? ✅ Jetez un œil aux dernières offres sur ImmoScout24.ch.</v>
      </c>
      <c r="J424" s="4" t="s">
        <v>1277</v>
      </c>
    </row>
    <row r="425">
      <c r="A425" s="5" t="s">
        <v>1278</v>
      </c>
      <c r="B425" s="2" t="s">
        <v>1279</v>
      </c>
      <c r="C425" s="4" t="str">
        <f>IFERROR(__xludf.DUMMYFUNCTION("""🏘️ ""&amp;REGEXEXTRACT(B425, ""^(.*): "")&amp;"" ✅ "" &amp;REGEXEXTRACT(B425, ""(Trouvez.*)"")"),"🏘️ Louer maison Merligen ✅ Trouvez le bien immobilier qui correspond idéalement à vos désirs sur ImmoScout24 - La plateforme de l'immobilier en Suisse.")</f>
        <v>🏘️ Louer maison Merligen ✅ Trouvez le bien immobilier qui correspond idéalement à vos désirs sur ImmoScout24 - La plateforme de l'immobilier en Suisse.</v>
      </c>
      <c r="D425" s="4" t="str">
        <f>vlookup(A425, Sheet2!D:E, 2, 0)</f>
        <v>variant</v>
      </c>
      <c r="E425" s="4" t="str">
        <f>IFERROR(__xludf.DUMMYFUNCTION("if(H425=""pays"",vlookup(REGEXEXTRACT(C425, ""🏘️ \w+ \w+ (.*) ✅""),'Country prepositions'!A:B, 2, 0) &amp; "" "" &amp; REGEXEXTRACT(C425, ""🏘️ \w+ \w+ (.*) ✅"") ,  if(H425=""quartier"",vlookup(REGEXEXTRACT(C425, ""🏘️ \w+ \w+ (.*) ✅""),'Quartier prepositions'!A"&amp;":E, 5, 0) ,  if(H425=""region"",vlookup(REGEXEXTRACT(C425, ""🏘️ \w+ \w+ (.*) ✅""),'Region prepositions'!B:F, 5, 0),  REGEXEXTRACT(C425, ""🏘️ \w+ \w+ (.*) ✅""))))"),"Merligen")</f>
        <v>Merligen</v>
      </c>
      <c r="F425" s="2" t="str">
        <f>IFERROR(__xludf.DUMMYFUNCTION("REGEXEXTRACT(C425, ""🏘️ (\w+) \w+ .* ✅"")"),"Louer")</f>
        <v>Louer</v>
      </c>
      <c r="G425" s="2" t="str">
        <f>IFERROR(__xludf.DUMMYFUNCTION("REGEXEXTRACT(C425, ""🏘️ \w+ (\w+) .* ✅"")"),"maison")</f>
        <v>maison</v>
      </c>
      <c r="H425" s="4" t="str">
        <f>IFERROR(__xludf.DUMMYFUNCTION("REGEXEXTRACT(A425, ""/(\w+)-.*?"")"),"lieu")</f>
        <v>lieu</v>
      </c>
      <c r="I425" s="4" t="str">
        <f>IFERROR(__xludf.DUMMYFUNCTION("if(D425=""variant"",  substitute(filter(Templates!E:E, Templates!A:A = F425, Templates!B:B = G425, Templates!C:C = H425), ""{{}}"", E425), B425)"),"🏘  Vous cherchez une maison à louer à Merligen? ✅ Découvrez nos nombreuses annonces sur ImmoScout24.ch.")</f>
        <v>🏘  Vous cherchez une maison à louer à Merligen? ✅ Découvrez nos nombreuses annonces sur ImmoScout24.ch.</v>
      </c>
      <c r="J425" s="4" t="s">
        <v>1280</v>
      </c>
    </row>
    <row r="426">
      <c r="A426" s="5" t="s">
        <v>1281</v>
      </c>
      <c r="B426" s="2" t="s">
        <v>1282</v>
      </c>
      <c r="C426" s="4" t="str">
        <f>IFERROR(__xludf.DUMMYFUNCTION("""🏘️ ""&amp;REGEXEXTRACT(B426, ""^(.*): "")&amp;"" ✅ "" &amp;REGEXEXTRACT(B426, ""(Trouvez.*)"")"),"🏘️ Louer appartement Bex ✅ Trouvez le bien immobilier qui correspond idéalement à vos désirs sur ImmoScout24 - La plateforme de l'immobilier en Suisse.")</f>
        <v>🏘️ Louer appartement Bex ✅ Trouvez le bien immobilier qui correspond idéalement à vos désirs sur ImmoScout24 - La plateforme de l'immobilier en Suisse.</v>
      </c>
      <c r="D426" s="4" t="str">
        <f>vlookup(A426, Sheet2!D:E, 2, 0)</f>
        <v>variant</v>
      </c>
      <c r="E426" s="4" t="str">
        <f>IFERROR(__xludf.DUMMYFUNCTION("if(H426=""pays"",vlookup(REGEXEXTRACT(C426, ""🏘️ \w+ \w+ (.*) ✅""),'Country prepositions'!A:B, 2, 0) &amp; "" "" &amp; REGEXEXTRACT(C426, ""🏘️ \w+ \w+ (.*) ✅"") ,  if(H426=""quartier"",vlookup(REGEXEXTRACT(C426, ""🏘️ \w+ \w+ (.*) ✅""),'Quartier prepositions'!A"&amp;":E, 5, 0) ,  if(H426=""region"",vlookup(REGEXEXTRACT(C426, ""🏘️ \w+ \w+ (.*) ✅""),'Region prepositions'!B:F, 5, 0),  REGEXEXTRACT(C426, ""🏘️ \w+ \w+ (.*) ✅""))))"),"Bex")</f>
        <v>Bex</v>
      </c>
      <c r="F426" s="2" t="str">
        <f>IFERROR(__xludf.DUMMYFUNCTION("REGEXEXTRACT(C426, ""🏘️ (\w+) \w+ .* ✅"")"),"Louer")</f>
        <v>Louer</v>
      </c>
      <c r="G426" s="2" t="str">
        <f>IFERROR(__xludf.DUMMYFUNCTION("REGEXEXTRACT(C426, ""🏘️ \w+ (\w+) .* ✅"")"),"appartement")</f>
        <v>appartement</v>
      </c>
      <c r="H426" s="4" t="str">
        <f>IFERROR(__xludf.DUMMYFUNCTION("REGEXEXTRACT(A426, ""/(\w+)-.*?"")"),"lieu")</f>
        <v>lieu</v>
      </c>
      <c r="I426" s="4" t="str">
        <f>IFERROR(__xludf.DUMMYFUNCTION("if(D426=""variant"",  substitute(filter(Templates!E:E, Templates!A:A = F426, Templates!B:B = G426, Templates!C:C = H426), ""{{}}"", E426), B426)"),"🏘  Vous cherchez un appartement à louer à Bex? ✅ Les annonces les plus actuelles sont sur ImmoScout24.ch.")</f>
        <v>🏘  Vous cherchez un appartement à louer à Bex? ✅ Les annonces les plus actuelles sont sur ImmoScout24.ch.</v>
      </c>
      <c r="J426" s="4" t="s">
        <v>1283</v>
      </c>
    </row>
    <row r="427">
      <c r="A427" s="5" t="s">
        <v>1284</v>
      </c>
      <c r="B427" s="2" t="s">
        <v>1285</v>
      </c>
      <c r="C427" s="4" t="str">
        <f>IFERROR(__xludf.DUMMYFUNCTION("""🏘️ ""&amp;REGEXEXTRACT(B427, ""^(.*): "")&amp;"" ✅ "" &amp;REGEXEXTRACT(B427, ""(Trouvez.*)"")"),"🏘️ Louer appartement Savosa ✅ Trouvez le bien immobilier qui correspond idéalement à vos désirs sur ImmoScout24 - La plateforme de l'immobilier en Suisse.")</f>
        <v>🏘️ Louer appartement Savosa ✅ Trouvez le bien immobilier qui correspond idéalement à vos désirs sur ImmoScout24 - La plateforme de l'immobilier en Suisse.</v>
      </c>
      <c r="D427" s="4" t="str">
        <f>vlookup(A427, Sheet2!D:E, 2, 0)</f>
        <v>variant</v>
      </c>
      <c r="E427" s="4" t="str">
        <f>IFERROR(__xludf.DUMMYFUNCTION("if(H427=""pays"",vlookup(REGEXEXTRACT(C427, ""🏘️ \w+ \w+ (.*) ✅""),'Country prepositions'!A:B, 2, 0) &amp; "" "" &amp; REGEXEXTRACT(C427, ""🏘️ \w+ \w+ (.*) ✅"") ,  if(H427=""quartier"",vlookup(REGEXEXTRACT(C427, ""🏘️ \w+ \w+ (.*) ✅""),'Quartier prepositions'!A"&amp;":E, 5, 0) ,  if(H427=""region"",vlookup(REGEXEXTRACT(C427, ""🏘️ \w+ \w+ (.*) ✅""),'Region prepositions'!B:F, 5, 0),  REGEXEXTRACT(C427, ""🏘️ \w+ \w+ (.*) ✅""))))"),"Savosa")</f>
        <v>Savosa</v>
      </c>
      <c r="F427" s="2" t="str">
        <f>IFERROR(__xludf.DUMMYFUNCTION("REGEXEXTRACT(C427, ""🏘️ (\w+) \w+ .* ✅"")"),"Louer")</f>
        <v>Louer</v>
      </c>
      <c r="G427" s="2" t="str">
        <f>IFERROR(__xludf.DUMMYFUNCTION("REGEXEXTRACT(C427, ""🏘️ \w+ (\w+) .* ✅"")"),"appartement")</f>
        <v>appartement</v>
      </c>
      <c r="H427" s="4" t="str">
        <f>IFERROR(__xludf.DUMMYFUNCTION("REGEXEXTRACT(A427, ""/(\w+)-.*?"")"),"lieu")</f>
        <v>lieu</v>
      </c>
      <c r="I427" s="4" t="str">
        <f>IFERROR(__xludf.DUMMYFUNCTION("if(D427=""variant"",  substitute(filter(Templates!E:E, Templates!A:A = F427, Templates!B:B = G427, Templates!C:C = H427), ""{{}}"", E427), B427)"),"🏘  Vous cherchez un appartement à louer à Savosa? ✅ Les annonces les plus actuelles sont sur ImmoScout24.ch.")</f>
        <v>🏘  Vous cherchez un appartement à louer à Savosa? ✅ Les annonces les plus actuelles sont sur ImmoScout24.ch.</v>
      </c>
      <c r="J427" s="4" t="s">
        <v>1286</v>
      </c>
    </row>
    <row r="428">
      <c r="A428" s="5" t="s">
        <v>1287</v>
      </c>
      <c r="B428" s="2" t="s">
        <v>1288</v>
      </c>
      <c r="C428" s="4" t="str">
        <f>IFERROR(__xludf.DUMMYFUNCTION("""🏘️ ""&amp;REGEXEXTRACT(B428, ""^(.*): "")&amp;"" ✅ "" &amp;REGEXEXTRACT(B428, ""(Trouvez.*)"")"),"🏘️ Vendre maison Mont-sur-Rolle ✅ Trouvez le bien immobilier qui correspond idéalement à vos désirs sur ImmoScout24 - La plateforme de l'immobilier en Suisse.")</f>
        <v>🏘️ Vendre maison Mont-sur-Rolle ✅ Trouvez le bien immobilier qui correspond idéalement à vos désirs sur ImmoScout24 - La plateforme de l'immobilier en Suisse.</v>
      </c>
      <c r="D428" s="4" t="str">
        <f>vlookup(A428, Sheet2!D:E, 2, 0)</f>
        <v>variant</v>
      </c>
      <c r="E428" s="4" t="str">
        <f>IFERROR(__xludf.DUMMYFUNCTION("if(H428=""pays"",vlookup(REGEXEXTRACT(C428, ""🏘️ \w+ \w+ (.*) ✅""),'Country prepositions'!A:B, 2, 0) &amp; "" "" &amp; REGEXEXTRACT(C428, ""🏘️ \w+ \w+ (.*) ✅"") ,  if(H428=""quartier"",vlookup(REGEXEXTRACT(C428, ""🏘️ \w+ \w+ (.*) ✅""),'Quartier prepositions'!A"&amp;":E, 5, 0) ,  if(H428=""region"",vlookup(REGEXEXTRACT(C428, ""🏘️ \w+ \w+ (.*) ✅""),'Region prepositions'!B:F, 5, 0),  REGEXEXTRACT(C428, ""🏘️ \w+ \w+ (.*) ✅""))))"),"Mont-sur-Rolle")</f>
        <v>Mont-sur-Rolle</v>
      </c>
      <c r="F428" s="2" t="str">
        <f>IFERROR(__xludf.DUMMYFUNCTION("REGEXEXTRACT(C428, ""🏘️ (\w+) \w+ .* ✅"")"),"Vendre")</f>
        <v>Vendre</v>
      </c>
      <c r="G428" s="2" t="str">
        <f>IFERROR(__xludf.DUMMYFUNCTION("REGEXEXTRACT(C428, ""🏘️ \w+ (\w+) .* ✅"")"),"maison")</f>
        <v>maison</v>
      </c>
      <c r="H428" s="4" t="str">
        <f>IFERROR(__xludf.DUMMYFUNCTION("REGEXEXTRACT(A428, ""/(\w+)-.*?"")"),"lieu")</f>
        <v>lieu</v>
      </c>
      <c r="I428" s="4" t="str">
        <f>IFERROR(__xludf.DUMMYFUNCTION("if(D428=""variant"",  substitute(filter(Templates!E:E, Templates!A:A = F428, Templates!B:B = G428, Templates!C:C = H428), ""{{}}"", E428), B428)"),"🏘  Vous souhaitez acheter une maison à Mont-sur-Rolle? ✅ Jetez un œil aux dernières offres sur ImmoScout24.ch.")</f>
        <v>🏘  Vous souhaitez acheter une maison à Mont-sur-Rolle? ✅ Jetez un œil aux dernières offres sur ImmoScout24.ch.</v>
      </c>
      <c r="J428" s="4" t="s">
        <v>1289</v>
      </c>
    </row>
    <row r="429">
      <c r="A429" s="5" t="s">
        <v>1290</v>
      </c>
      <c r="B429" s="2" t="s">
        <v>1291</v>
      </c>
      <c r="C429" s="4" t="str">
        <f>IFERROR(__xludf.DUMMYFUNCTION("""🏘️ ""&amp;REGEXEXTRACT(B429, ""^(.*): "")&amp;"" ✅ "" &amp;REGEXEXTRACT(B429, ""(Trouvez.*)"")"),"🏘️ Louer appartement Villarzel ✅ Trouvez le bien immobilier qui correspond idéalement à vos désirs sur ImmoScout24 - La plateforme de l'immobilier en Suisse.")</f>
        <v>🏘️ Louer appartement Villarzel ✅ Trouvez le bien immobilier qui correspond idéalement à vos désirs sur ImmoScout24 - La plateforme de l'immobilier en Suisse.</v>
      </c>
      <c r="D429" s="4" t="str">
        <f>vlookup(A429, Sheet2!D:E, 2, 0)</f>
        <v>variant</v>
      </c>
      <c r="E429" s="4" t="str">
        <f>IFERROR(__xludf.DUMMYFUNCTION("if(H429=""pays"",vlookup(REGEXEXTRACT(C429, ""🏘️ \w+ \w+ (.*) ✅""),'Country prepositions'!A:B, 2, 0) &amp; "" "" &amp; REGEXEXTRACT(C429, ""🏘️ \w+ \w+ (.*) ✅"") ,  if(H429=""quartier"",vlookup(REGEXEXTRACT(C429, ""🏘️ \w+ \w+ (.*) ✅""),'Quartier prepositions'!A"&amp;":E, 5, 0) ,  if(H429=""region"",vlookup(REGEXEXTRACT(C429, ""🏘️ \w+ \w+ (.*) ✅""),'Region prepositions'!B:F, 5, 0),  REGEXEXTRACT(C429, ""🏘️ \w+ \w+ (.*) ✅""))))"),"Villarzel")</f>
        <v>Villarzel</v>
      </c>
      <c r="F429" s="2" t="str">
        <f>IFERROR(__xludf.DUMMYFUNCTION("REGEXEXTRACT(C429, ""🏘️ (\w+) \w+ .* ✅"")"),"Louer")</f>
        <v>Louer</v>
      </c>
      <c r="G429" s="2" t="str">
        <f>IFERROR(__xludf.DUMMYFUNCTION("REGEXEXTRACT(C429, ""🏘️ \w+ (\w+) .* ✅"")"),"appartement")</f>
        <v>appartement</v>
      </c>
      <c r="H429" s="4" t="str">
        <f>IFERROR(__xludf.DUMMYFUNCTION("REGEXEXTRACT(A429, ""/(\w+)-.*?"")"),"lieu")</f>
        <v>lieu</v>
      </c>
      <c r="I429" s="4" t="str">
        <f>IFERROR(__xludf.DUMMYFUNCTION("if(D429=""variant"",  substitute(filter(Templates!E:E, Templates!A:A = F429, Templates!B:B = G429, Templates!C:C = H429), ""{{}}"", E429), B429)"),"🏘  Vous cherchez un appartement à louer à Villarzel? ✅ Les annonces les plus actuelles sont sur ImmoScout24.ch.")</f>
        <v>🏘  Vous cherchez un appartement à louer à Villarzel? ✅ Les annonces les plus actuelles sont sur ImmoScout24.ch.</v>
      </c>
      <c r="J429" s="4" t="s">
        <v>1292</v>
      </c>
    </row>
    <row r="430">
      <c r="A430" s="5" t="s">
        <v>1293</v>
      </c>
      <c r="B430" s="2" t="s">
        <v>1294</v>
      </c>
      <c r="C430" s="4" t="str">
        <f>IFERROR(__xludf.DUMMYFUNCTION("""🏘️ ""&amp;REGEXEXTRACT(B430, ""^(.*): "")&amp;"" ✅ "" &amp;REGEXEXTRACT(B430, ""(Trouvez.*)"")"),"🏘️ Vendre maison Gudo ✅ Trouvez le bien immobilier qui correspond idéalement à vos désirs sur ImmoScout24 - La plateforme de l'immobilier en Suisse.")</f>
        <v>🏘️ Vendre maison Gudo ✅ Trouvez le bien immobilier qui correspond idéalement à vos désirs sur ImmoScout24 - La plateforme de l'immobilier en Suisse.</v>
      </c>
      <c r="D430" s="4" t="str">
        <f>vlookup(A430, Sheet2!D:E, 2, 0)</f>
        <v>variant</v>
      </c>
      <c r="E430" s="4" t="str">
        <f>IFERROR(__xludf.DUMMYFUNCTION("if(H430=""pays"",vlookup(REGEXEXTRACT(C430, ""🏘️ \w+ \w+ (.*) ✅""),'Country prepositions'!A:B, 2, 0) &amp; "" "" &amp; REGEXEXTRACT(C430, ""🏘️ \w+ \w+ (.*) ✅"") ,  if(H430=""quartier"",vlookup(REGEXEXTRACT(C430, ""🏘️ \w+ \w+ (.*) ✅""),'Quartier prepositions'!A"&amp;":E, 5, 0) ,  if(H430=""region"",vlookup(REGEXEXTRACT(C430, ""🏘️ \w+ \w+ (.*) ✅""),'Region prepositions'!B:F, 5, 0),  REGEXEXTRACT(C430, ""🏘️ \w+ \w+ (.*) ✅""))))"),"Gudo")</f>
        <v>Gudo</v>
      </c>
      <c r="F430" s="2" t="str">
        <f>IFERROR(__xludf.DUMMYFUNCTION("REGEXEXTRACT(C430, ""🏘️ (\w+) \w+ .* ✅"")"),"Vendre")</f>
        <v>Vendre</v>
      </c>
      <c r="G430" s="2" t="str">
        <f>IFERROR(__xludf.DUMMYFUNCTION("REGEXEXTRACT(C430, ""🏘️ \w+ (\w+) .* ✅"")"),"maison")</f>
        <v>maison</v>
      </c>
      <c r="H430" s="4" t="str">
        <f>IFERROR(__xludf.DUMMYFUNCTION("REGEXEXTRACT(A430, ""/(\w+)-.*?"")"),"lieu")</f>
        <v>lieu</v>
      </c>
      <c r="I430" s="4" t="str">
        <f>IFERROR(__xludf.DUMMYFUNCTION("if(D430=""variant"",  substitute(filter(Templates!E:E, Templates!A:A = F430, Templates!B:B = G430, Templates!C:C = H430), ""{{}}"", E430), B430)"),"🏘  Vous souhaitez acheter une maison à Gudo? ✅ Jetez un œil aux dernières offres sur ImmoScout24.ch.")</f>
        <v>🏘  Vous souhaitez acheter une maison à Gudo? ✅ Jetez un œil aux dernières offres sur ImmoScout24.ch.</v>
      </c>
      <c r="J430" s="4" t="s">
        <v>1295</v>
      </c>
    </row>
    <row r="431">
      <c r="A431" s="5" t="s">
        <v>1296</v>
      </c>
      <c r="B431" s="2" t="s">
        <v>1297</v>
      </c>
      <c r="C431" s="4" t="str">
        <f>IFERROR(__xludf.DUMMYFUNCTION("""🏘️ ""&amp;REGEXEXTRACT(B431, ""^(.*): "")&amp;"" ✅ "" &amp;REGEXEXTRACT(B431, ""(Trouvez.*)"")"),"🏘️ Louer appartement La Cibourg ✅ Trouvez le bien immobilier qui correspond idéalement à vos désirs sur ImmoScout24 - La plateforme de l'immobilier en Suisse.")</f>
        <v>🏘️ Louer appartement La Cibourg ✅ Trouvez le bien immobilier qui correspond idéalement à vos désirs sur ImmoScout24 - La plateforme de l'immobilier en Suisse.</v>
      </c>
      <c r="D431" s="4" t="str">
        <f>vlookup(A431, Sheet2!D:E, 2, 0)</f>
        <v>variant</v>
      </c>
      <c r="E431" s="4" t="str">
        <f>IFERROR(__xludf.DUMMYFUNCTION("if(H431=""pays"",vlookup(REGEXEXTRACT(C431, ""🏘️ \w+ \w+ (.*) ✅""),'Country prepositions'!A:B, 2, 0) &amp; "" "" &amp; REGEXEXTRACT(C431, ""🏘️ \w+ \w+ (.*) ✅"") ,  if(H431=""quartier"",vlookup(REGEXEXTRACT(C431, ""🏘️ \w+ \w+ (.*) ✅""),'Quartier prepositions'!A"&amp;":E, 5, 0) ,  if(H431=""region"",vlookup(REGEXEXTRACT(C431, ""🏘️ \w+ \w+ (.*) ✅""),'Region prepositions'!B:F, 5, 0),  REGEXEXTRACT(C431, ""🏘️ \w+ \w+ (.*) ✅""))))"),"La Cibourg")</f>
        <v>La Cibourg</v>
      </c>
      <c r="F431" s="2" t="str">
        <f>IFERROR(__xludf.DUMMYFUNCTION("REGEXEXTRACT(C431, ""🏘️ (\w+) \w+ .* ✅"")"),"Louer")</f>
        <v>Louer</v>
      </c>
      <c r="G431" s="2" t="str">
        <f>IFERROR(__xludf.DUMMYFUNCTION("REGEXEXTRACT(C431, ""🏘️ \w+ (\w+) .* ✅"")"),"appartement")</f>
        <v>appartement</v>
      </c>
      <c r="H431" s="4" t="str">
        <f>IFERROR(__xludf.DUMMYFUNCTION("REGEXEXTRACT(A431, ""/(\w+)-.*?"")"),"lieu")</f>
        <v>lieu</v>
      </c>
      <c r="I431" s="4" t="str">
        <f>IFERROR(__xludf.DUMMYFUNCTION("if(D431=""variant"",  substitute(filter(Templates!E:E, Templates!A:A = F431, Templates!B:B = G431, Templates!C:C = H431), ""{{}}"", E431), B431)"),"🏘  Vous cherchez un appartement à louer à La Cibourg? ✅ Les annonces les plus actuelles sont sur ImmoScout24.ch.")</f>
        <v>🏘  Vous cherchez un appartement à louer à La Cibourg? ✅ Les annonces les plus actuelles sont sur ImmoScout24.ch.</v>
      </c>
      <c r="J431" s="4" t="s">
        <v>1298</v>
      </c>
    </row>
    <row r="432">
      <c r="A432" s="5" t="s">
        <v>1299</v>
      </c>
      <c r="B432" s="2" t="s">
        <v>1300</v>
      </c>
      <c r="C432" s="4" t="str">
        <f>IFERROR(__xludf.DUMMYFUNCTION("""🏘️ ""&amp;REGEXEXTRACT(B432, ""^(.*): "")&amp;"" ✅ "" &amp;REGEXEXTRACT(B432, ""(Trouvez.*)"")"),"🏘️ Louer appartement Rennaz ✅ Trouvez le bien immobilier qui correspond idéalement à vos désirs sur ImmoScout24 - La plateforme de l'immobilier en Suisse.")</f>
        <v>🏘️ Louer appartement Rennaz ✅ Trouvez le bien immobilier qui correspond idéalement à vos désirs sur ImmoScout24 - La plateforme de l'immobilier en Suisse.</v>
      </c>
      <c r="D432" s="4" t="str">
        <f>vlookup(A432, Sheet2!D:E, 2, 0)</f>
        <v>variant</v>
      </c>
      <c r="E432" s="4" t="str">
        <f>IFERROR(__xludf.DUMMYFUNCTION("if(H432=""pays"",vlookup(REGEXEXTRACT(C432, ""🏘️ \w+ \w+ (.*) ✅""),'Country prepositions'!A:B, 2, 0) &amp; "" "" &amp; REGEXEXTRACT(C432, ""🏘️ \w+ \w+ (.*) ✅"") ,  if(H432=""quartier"",vlookup(REGEXEXTRACT(C432, ""🏘️ \w+ \w+ (.*) ✅""),'Quartier prepositions'!A"&amp;":E, 5, 0) ,  if(H432=""region"",vlookup(REGEXEXTRACT(C432, ""🏘️ \w+ \w+ (.*) ✅""),'Region prepositions'!B:F, 5, 0),  REGEXEXTRACT(C432, ""🏘️ \w+ \w+ (.*) ✅""))))"),"Rennaz")</f>
        <v>Rennaz</v>
      </c>
      <c r="F432" s="2" t="str">
        <f>IFERROR(__xludf.DUMMYFUNCTION("REGEXEXTRACT(C432, ""🏘️ (\w+) \w+ .* ✅"")"),"Louer")</f>
        <v>Louer</v>
      </c>
      <c r="G432" s="2" t="str">
        <f>IFERROR(__xludf.DUMMYFUNCTION("REGEXEXTRACT(C432, ""🏘️ \w+ (\w+) .* ✅"")"),"appartement")</f>
        <v>appartement</v>
      </c>
      <c r="H432" s="4" t="str">
        <f>IFERROR(__xludf.DUMMYFUNCTION("REGEXEXTRACT(A432, ""/(\w+)-.*?"")"),"lieu")</f>
        <v>lieu</v>
      </c>
      <c r="I432" s="4" t="str">
        <f>IFERROR(__xludf.DUMMYFUNCTION("if(D432=""variant"",  substitute(filter(Templates!E:E, Templates!A:A = F432, Templates!B:B = G432, Templates!C:C = H432), ""{{}}"", E432), B432)"),"🏘  Vous cherchez un appartement à louer à Rennaz? ✅ Les annonces les plus actuelles sont sur ImmoScout24.ch.")</f>
        <v>🏘  Vous cherchez un appartement à louer à Rennaz? ✅ Les annonces les plus actuelles sont sur ImmoScout24.ch.</v>
      </c>
      <c r="J432" s="4" t="s">
        <v>1301</v>
      </c>
    </row>
    <row r="433">
      <c r="A433" s="5" t="s">
        <v>1302</v>
      </c>
      <c r="B433" s="2" t="s">
        <v>1303</v>
      </c>
      <c r="C433" s="4" t="str">
        <f>IFERROR(__xludf.DUMMYFUNCTION("""🏘️ ""&amp;REGEXEXTRACT(B433, ""^(.*): "")&amp;"" ✅ "" &amp;REGEXEXTRACT(B433, ""(Trouvez.*)"")"),"🏘️ Louer appartement Riehen ✅ Trouvez le bien immobilier qui correspond idéalement à vos désirs sur ImmoScout24 - La plateforme de l'immobilier en Suisse.")</f>
        <v>🏘️ Louer appartement Riehen ✅ Trouvez le bien immobilier qui correspond idéalement à vos désirs sur ImmoScout24 - La plateforme de l'immobilier en Suisse.</v>
      </c>
      <c r="D433" s="4" t="str">
        <f>vlookup(A433, Sheet2!D:E, 2, 0)</f>
        <v>variant</v>
      </c>
      <c r="E433" s="4" t="str">
        <f>IFERROR(__xludf.DUMMYFUNCTION("if(H433=""pays"",vlookup(REGEXEXTRACT(C433, ""🏘️ \w+ \w+ (.*) ✅""),'Country prepositions'!A:B, 2, 0) &amp; "" "" &amp; REGEXEXTRACT(C433, ""🏘️ \w+ \w+ (.*) ✅"") ,  if(H433=""quartier"",vlookup(REGEXEXTRACT(C433, ""🏘️ \w+ \w+ (.*) ✅""),'Quartier prepositions'!A"&amp;":E, 5, 0) ,  if(H433=""region"",vlookup(REGEXEXTRACT(C433, ""🏘️ \w+ \w+ (.*) ✅""),'Region prepositions'!B:F, 5, 0),  REGEXEXTRACT(C433, ""🏘️ \w+ \w+ (.*) ✅""))))"),"Riehen")</f>
        <v>Riehen</v>
      </c>
      <c r="F433" s="2" t="str">
        <f>IFERROR(__xludf.DUMMYFUNCTION("REGEXEXTRACT(C433, ""🏘️ (\w+) \w+ .* ✅"")"),"Louer")</f>
        <v>Louer</v>
      </c>
      <c r="G433" s="2" t="str">
        <f>IFERROR(__xludf.DUMMYFUNCTION("REGEXEXTRACT(C433, ""🏘️ \w+ (\w+) .* ✅"")"),"appartement")</f>
        <v>appartement</v>
      </c>
      <c r="H433" s="4" t="str">
        <f>IFERROR(__xludf.DUMMYFUNCTION("REGEXEXTRACT(A433, ""/(\w+)-.*?"")"),"lieu")</f>
        <v>lieu</v>
      </c>
      <c r="I433" s="4" t="str">
        <f>IFERROR(__xludf.DUMMYFUNCTION("if(D433=""variant"",  substitute(filter(Templates!E:E, Templates!A:A = F433, Templates!B:B = G433, Templates!C:C = H433), ""{{}}"", E433), B433)"),"🏘  Vous cherchez un appartement à louer à Riehen? ✅ Les annonces les plus actuelles sont sur ImmoScout24.ch.")</f>
        <v>🏘  Vous cherchez un appartement à louer à Riehen? ✅ Les annonces les plus actuelles sont sur ImmoScout24.ch.</v>
      </c>
      <c r="J433" s="4" t="s">
        <v>1304</v>
      </c>
    </row>
    <row r="434">
      <c r="A434" s="5" t="s">
        <v>1305</v>
      </c>
      <c r="B434" s="2" t="s">
        <v>1306</v>
      </c>
      <c r="C434" s="4" t="str">
        <f>IFERROR(__xludf.DUMMYFUNCTION("""🏘️ ""&amp;REGEXEXTRACT(B434, ""^(.*): "")&amp;"" ✅ "" &amp;REGEXEXTRACT(B434, ""(Trouvez.*)"")"),"🏘️ Vendre maison Rive Gauche ✅ Trouvez le bien immobilier qui correspond idéalement à vos désirs sur ImmoScout24 - La plateforme de l'immobilier en Suisse.")</f>
        <v>🏘️ Vendre maison Rive Gauche ✅ Trouvez le bien immobilier qui correspond idéalement à vos désirs sur ImmoScout24 - La plateforme de l'immobilier en Suisse.</v>
      </c>
      <c r="D434" s="4" t="str">
        <f>vlookup(A434, Sheet2!D:E, 2, 0)</f>
        <v>variant</v>
      </c>
      <c r="E434" s="4" t="str">
        <f>IFERROR(__xludf.DUMMYFUNCTION("if(H434=""pays"",vlookup(REGEXEXTRACT(C434, ""🏘️ \w+ \w+ (.*) ✅""),'Country prepositions'!A:B, 2, 0) &amp; "" "" &amp; REGEXEXTRACT(C434, ""🏘️ \w+ \w+ (.*) ✅"") ,  if(H434=""quartier"",vlookup(REGEXEXTRACT(C434, ""🏘️ \w+ \w+ (.*) ✅""),'Quartier prepositions'!A"&amp;":E, 5, 0) ,  if(H434=""region"",vlookup(REGEXEXTRACT(C434, ""🏘️ \w+ \w+ (.*) ✅""),'Region prepositions'!B:F, 5, 0),  REGEXEXTRACT(C434, ""🏘️ \w+ \w+ (.*) ✅""))))"),"à Rive gauche")</f>
        <v>à Rive gauche</v>
      </c>
      <c r="F434" s="2" t="str">
        <f>IFERROR(__xludf.DUMMYFUNCTION("REGEXEXTRACT(C434, ""🏘️ (\w+) \w+ .* ✅"")"),"Vendre")</f>
        <v>Vendre</v>
      </c>
      <c r="G434" s="2" t="str">
        <f>IFERROR(__xludf.DUMMYFUNCTION("REGEXEXTRACT(C434, ""🏘️ \w+ (\w+) .* ✅"")"),"maison")</f>
        <v>maison</v>
      </c>
      <c r="H434" s="4" t="str">
        <f>IFERROR(__xludf.DUMMYFUNCTION("REGEXEXTRACT(A434, ""/(\w+)-.*?"")"),"region")</f>
        <v>region</v>
      </c>
      <c r="I434" s="4" t="str">
        <f>IFERROR(__xludf.DUMMYFUNCTION("if(D434=""variant"",  substitute(filter(Templates!E:E, Templates!A:A = F434, Templates!B:B = G434, Templates!C:C = H434), ""{{}}"", E434), B434)"),"🏘  Vous souhaitez acheter une maison à Rive gauche? ✅ Jetez un œil aux dernières offres sur ImmoScout24.ch.")</f>
        <v>🏘  Vous souhaitez acheter une maison à Rive gauche? ✅ Jetez un œil aux dernières offres sur ImmoScout24.ch.</v>
      </c>
      <c r="J434" s="4" t="s">
        <v>1307</v>
      </c>
    </row>
    <row r="435">
      <c r="A435" s="5" t="s">
        <v>1308</v>
      </c>
      <c r="B435" s="2" t="s">
        <v>1309</v>
      </c>
      <c r="C435" s="4" t="str">
        <f>IFERROR(__xludf.DUMMYFUNCTION("""🏘️ ""&amp;REGEXEXTRACT(B435, ""^(.*): "")&amp;"" ✅ "" &amp;REGEXEXTRACT(B435, ""(Trouvez.*)"")"),"🏘️ Vendre maison Dizy ✅ Trouvez le bien immobilier qui correspond idéalement à vos désirs sur ImmoScout24 - La plateforme de l'immobilier en Suisse.")</f>
        <v>🏘️ Vendre maison Dizy ✅ Trouvez le bien immobilier qui correspond idéalement à vos désirs sur ImmoScout24 - La plateforme de l'immobilier en Suisse.</v>
      </c>
      <c r="D435" s="4" t="str">
        <f>vlookup(A435, Sheet2!D:E, 2, 0)</f>
        <v>variant</v>
      </c>
      <c r="E435" s="4" t="str">
        <f>IFERROR(__xludf.DUMMYFUNCTION("if(H435=""pays"",vlookup(REGEXEXTRACT(C435, ""🏘️ \w+ \w+ (.*) ✅""),'Country prepositions'!A:B, 2, 0) &amp; "" "" &amp; REGEXEXTRACT(C435, ""🏘️ \w+ \w+ (.*) ✅"") ,  if(H435=""quartier"",vlookup(REGEXEXTRACT(C435, ""🏘️ \w+ \w+ (.*) ✅""),'Quartier prepositions'!A"&amp;":E, 5, 0) ,  if(H435=""region"",vlookup(REGEXEXTRACT(C435, ""🏘️ \w+ \w+ (.*) ✅""),'Region prepositions'!B:F, 5, 0),  REGEXEXTRACT(C435, ""🏘️ \w+ \w+ (.*) ✅""))))"),"Dizy")</f>
        <v>Dizy</v>
      </c>
      <c r="F435" s="2" t="str">
        <f>IFERROR(__xludf.DUMMYFUNCTION("REGEXEXTRACT(C435, ""🏘️ (\w+) \w+ .* ✅"")"),"Vendre")</f>
        <v>Vendre</v>
      </c>
      <c r="G435" s="2" t="str">
        <f>IFERROR(__xludf.DUMMYFUNCTION("REGEXEXTRACT(C435, ""🏘️ \w+ (\w+) .* ✅"")"),"maison")</f>
        <v>maison</v>
      </c>
      <c r="H435" s="4" t="str">
        <f>IFERROR(__xludf.DUMMYFUNCTION("REGEXEXTRACT(A435, ""/(\w+)-.*?"")"),"lieu")</f>
        <v>lieu</v>
      </c>
      <c r="I435" s="4" t="str">
        <f>IFERROR(__xludf.DUMMYFUNCTION("if(D435=""variant"",  substitute(filter(Templates!E:E, Templates!A:A = F435, Templates!B:B = G435, Templates!C:C = H435), ""{{}}"", E435), B435)"),"🏘  Vous souhaitez acheter une maison à Dizy? ✅ Jetez un œil aux dernières offres sur ImmoScout24.ch.")</f>
        <v>🏘  Vous souhaitez acheter une maison à Dizy? ✅ Jetez un œil aux dernières offres sur ImmoScout24.ch.</v>
      </c>
      <c r="J435" s="4" t="s">
        <v>1310</v>
      </c>
    </row>
    <row r="436">
      <c r="A436" s="5" t="s">
        <v>1311</v>
      </c>
      <c r="B436" s="2" t="s">
        <v>1312</v>
      </c>
      <c r="C436" s="4" t="str">
        <f>IFERROR(__xludf.DUMMYFUNCTION("""🏘️ ""&amp;REGEXEXTRACT(B436, ""^(.*): "")&amp;"" ✅ "" &amp;REGEXEXTRACT(B436, ""(Trouvez.*)"")"),"🏘️ Louer appartement Jona ✅ Trouvez le bien immobilier qui correspond idéalement à vos désirs sur ImmoScout24 - La plateforme de l'immobilier en Suisse.")</f>
        <v>🏘️ Louer appartement Jona ✅ Trouvez le bien immobilier qui correspond idéalement à vos désirs sur ImmoScout24 - La plateforme de l'immobilier en Suisse.</v>
      </c>
      <c r="D436" s="4" t="str">
        <f>vlookup(A436, Sheet2!D:E, 2, 0)</f>
        <v>variant</v>
      </c>
      <c r="E436" s="4" t="str">
        <f>IFERROR(__xludf.DUMMYFUNCTION("if(H436=""pays"",vlookup(REGEXEXTRACT(C436, ""🏘️ \w+ \w+ (.*) ✅""),'Country prepositions'!A:B, 2, 0) &amp; "" "" &amp; REGEXEXTRACT(C436, ""🏘️ \w+ \w+ (.*) ✅"") ,  if(H436=""quartier"",vlookup(REGEXEXTRACT(C436, ""🏘️ \w+ \w+ (.*) ✅""),'Quartier prepositions'!A"&amp;":E, 5, 0) ,  if(H436=""region"",vlookup(REGEXEXTRACT(C436, ""🏘️ \w+ \w+ (.*) ✅""),'Region prepositions'!B:F, 5, 0),  REGEXEXTRACT(C436, ""🏘️ \w+ \w+ (.*) ✅""))))"),"Jona")</f>
        <v>Jona</v>
      </c>
      <c r="F436" s="2" t="str">
        <f>IFERROR(__xludf.DUMMYFUNCTION("REGEXEXTRACT(C436, ""🏘️ (\w+) \w+ .* ✅"")"),"Louer")</f>
        <v>Louer</v>
      </c>
      <c r="G436" s="2" t="str">
        <f>IFERROR(__xludf.DUMMYFUNCTION("REGEXEXTRACT(C436, ""🏘️ \w+ (\w+) .* ✅"")"),"appartement")</f>
        <v>appartement</v>
      </c>
      <c r="H436" s="4" t="str">
        <f>IFERROR(__xludf.DUMMYFUNCTION("REGEXEXTRACT(A436, ""/(\w+)-.*?"")"),"lieu")</f>
        <v>lieu</v>
      </c>
      <c r="I436" s="4" t="str">
        <f>IFERROR(__xludf.DUMMYFUNCTION("if(D436=""variant"",  substitute(filter(Templates!E:E, Templates!A:A = F436, Templates!B:B = G436, Templates!C:C = H436), ""{{}}"", E436), B436)"),"🏘  Vous cherchez un appartement à louer à Jona? ✅ Les annonces les plus actuelles sont sur ImmoScout24.ch.")</f>
        <v>🏘  Vous cherchez un appartement à louer à Jona? ✅ Les annonces les plus actuelles sont sur ImmoScout24.ch.</v>
      </c>
      <c r="J436" s="4" t="s">
        <v>1313</v>
      </c>
    </row>
    <row r="437">
      <c r="A437" s="5" t="s">
        <v>1314</v>
      </c>
      <c r="B437" s="2" t="s">
        <v>1315</v>
      </c>
      <c r="C437" s="4" t="str">
        <f>IFERROR(__xludf.DUMMYFUNCTION("""🏘️ ""&amp;REGEXEXTRACT(B437, ""^(.*): "")&amp;"" ✅ "" &amp;REGEXEXTRACT(B437, ""(Trouvez.*)"")"),"🏘️ Louer appartement Aeschi b. Spiez ✅ Trouvez le bien immobilier qui correspond idéalement à vos désirs sur ImmoScout24 - La plateforme de l'immobilier en Suisse.")</f>
        <v>🏘️ Louer appartement Aeschi b. Spiez ✅ Trouvez le bien immobilier qui correspond idéalement à vos désirs sur ImmoScout24 - La plateforme de l'immobilier en Suisse.</v>
      </c>
      <c r="D437" s="4" t="str">
        <f>vlookup(A437, Sheet2!D:E, 2, 0)</f>
        <v>variant</v>
      </c>
      <c r="E437" s="4" t="str">
        <f>IFERROR(__xludf.DUMMYFUNCTION("if(H437=""pays"",vlookup(REGEXEXTRACT(C437, ""🏘️ \w+ \w+ (.*) ✅""),'Country prepositions'!A:B, 2, 0) &amp; "" "" &amp; REGEXEXTRACT(C437, ""🏘️ \w+ \w+ (.*) ✅"") ,  if(H437=""quartier"",vlookup(REGEXEXTRACT(C437, ""🏘️ \w+ \w+ (.*) ✅""),'Quartier prepositions'!A"&amp;":E, 5, 0) ,  if(H437=""region"",vlookup(REGEXEXTRACT(C437, ""🏘️ \w+ \w+ (.*) ✅""),'Region prepositions'!B:F, 5, 0),  REGEXEXTRACT(C437, ""🏘️ \w+ \w+ (.*) ✅""))))"),"Aeschi b. Spiez")</f>
        <v>Aeschi b. Spiez</v>
      </c>
      <c r="F437" s="2" t="str">
        <f>IFERROR(__xludf.DUMMYFUNCTION("REGEXEXTRACT(C437, ""🏘️ (\w+) \w+ .* ✅"")"),"Louer")</f>
        <v>Louer</v>
      </c>
      <c r="G437" s="2" t="str">
        <f>IFERROR(__xludf.DUMMYFUNCTION("REGEXEXTRACT(C437, ""🏘️ \w+ (\w+) .* ✅"")"),"appartement")</f>
        <v>appartement</v>
      </c>
      <c r="H437" s="4" t="str">
        <f>IFERROR(__xludf.DUMMYFUNCTION("REGEXEXTRACT(A437, ""/(\w+)-.*?"")"),"lieu")</f>
        <v>lieu</v>
      </c>
      <c r="I437" s="4" t="str">
        <f>IFERROR(__xludf.DUMMYFUNCTION("if(D437=""variant"",  substitute(filter(Templates!E:E, Templates!A:A = F437, Templates!B:B = G437, Templates!C:C = H437), ""{{}}"", E437), B437)"),"🏘  Vous cherchez un appartement à louer à Aeschi b. Spiez? ✅ Les annonces les plus actuelles sont sur ImmoScout24.ch.")</f>
        <v>🏘  Vous cherchez un appartement à louer à Aeschi b. Spiez? ✅ Les annonces les plus actuelles sont sur ImmoScout24.ch.</v>
      </c>
      <c r="J437" s="4" t="s">
        <v>1316</v>
      </c>
    </row>
    <row r="438">
      <c r="A438" s="5" t="s">
        <v>1317</v>
      </c>
      <c r="B438" s="2" t="s">
        <v>1318</v>
      </c>
      <c r="C438" s="4" t="str">
        <f>IFERROR(__xludf.DUMMYFUNCTION("""🏘️ ""&amp;REGEXEXTRACT(B438, ""^(.*): "")&amp;"" ✅ "" &amp;REGEXEXTRACT(B438, ""(Trouvez.*)"")"),"🏘️ Louer appartement Zofingen ✅ Trouvez le bien immobilier qui correspond idéalement à vos désirs sur ImmoScout24 - La plateforme de l'immobilier en Suisse.")</f>
        <v>🏘️ Louer appartement Zofingen ✅ Trouvez le bien immobilier qui correspond idéalement à vos désirs sur ImmoScout24 - La plateforme de l'immobilier en Suisse.</v>
      </c>
      <c r="D438" s="4" t="str">
        <f>vlookup(A438, Sheet2!D:E, 2, 0)</f>
        <v>variant</v>
      </c>
      <c r="E438" s="4" t="str">
        <f>IFERROR(__xludf.DUMMYFUNCTION("if(H438=""pays"",vlookup(REGEXEXTRACT(C438, ""🏘️ \w+ \w+ (.*) ✅""),'Country prepositions'!A:B, 2, 0) &amp; "" "" &amp; REGEXEXTRACT(C438, ""🏘️ \w+ \w+ (.*) ✅"") ,  if(H438=""quartier"",vlookup(REGEXEXTRACT(C438, ""🏘️ \w+ \w+ (.*) ✅""),'Quartier prepositions'!A"&amp;":E, 5, 0) ,  if(H438=""region"",vlookup(REGEXEXTRACT(C438, ""🏘️ \w+ \w+ (.*) ✅""),'Region prepositions'!B:F, 5, 0),  REGEXEXTRACT(C438, ""🏘️ \w+ \w+ (.*) ✅""))))"),"Zofingen")</f>
        <v>Zofingen</v>
      </c>
      <c r="F438" s="2" t="str">
        <f>IFERROR(__xludf.DUMMYFUNCTION("REGEXEXTRACT(C438, ""🏘️ (\w+) \w+ .* ✅"")"),"Louer")</f>
        <v>Louer</v>
      </c>
      <c r="G438" s="2" t="str">
        <f>IFERROR(__xludf.DUMMYFUNCTION("REGEXEXTRACT(C438, ""🏘️ \w+ (\w+) .* ✅"")"),"appartement")</f>
        <v>appartement</v>
      </c>
      <c r="H438" s="4" t="str">
        <f>IFERROR(__xludf.DUMMYFUNCTION("REGEXEXTRACT(A438, ""/(\w+)-.*?"")"),"lieu")</f>
        <v>lieu</v>
      </c>
      <c r="I438" s="4" t="str">
        <f>IFERROR(__xludf.DUMMYFUNCTION("if(D438=""variant"",  substitute(filter(Templates!E:E, Templates!A:A = F438, Templates!B:B = G438, Templates!C:C = H438), ""{{}}"", E438), B438)"),"🏘  Vous cherchez un appartement à louer à Zofingen? ✅ Les annonces les plus actuelles sont sur ImmoScout24.ch.")</f>
        <v>🏘  Vous cherchez un appartement à louer à Zofingen? ✅ Les annonces les plus actuelles sont sur ImmoScout24.ch.</v>
      </c>
      <c r="J438" s="4" t="s">
        <v>1319</v>
      </c>
    </row>
    <row r="439">
      <c r="A439" s="5" t="s">
        <v>1320</v>
      </c>
      <c r="B439" s="2" t="s">
        <v>1321</v>
      </c>
      <c r="C439" s="4" t="str">
        <f>IFERROR(__xludf.DUMMYFUNCTION("""🏘️ ""&amp;REGEXEXTRACT(B439, ""^(.*): "")&amp;"" ✅ "" &amp;REGEXEXTRACT(B439, ""(Trouvez.*)"")"),"🏘️ Vendre maison Montagne-de-Sonvilier ✅ Trouvez le bien immobilier qui correspond idéalement à vos désirs sur ImmoScout24 - La plateforme de l'immobilier en Suisse.")</f>
        <v>🏘️ Vendre maison Montagne-de-Sonvilier ✅ Trouvez le bien immobilier qui correspond idéalement à vos désirs sur ImmoScout24 - La plateforme de l'immobilier en Suisse.</v>
      </c>
      <c r="D439" s="4" t="str">
        <f>vlookup(A439, Sheet2!D:E, 2, 0)</f>
        <v>variant</v>
      </c>
      <c r="E439" s="4" t="str">
        <f>IFERROR(__xludf.DUMMYFUNCTION("if(H439=""pays"",vlookup(REGEXEXTRACT(C439, ""🏘️ \w+ \w+ (.*) ✅""),'Country prepositions'!A:B, 2, 0) &amp; "" "" &amp; REGEXEXTRACT(C439, ""🏘️ \w+ \w+ (.*) ✅"") ,  if(H439=""quartier"",vlookup(REGEXEXTRACT(C439, ""🏘️ \w+ \w+ (.*) ✅""),'Quartier prepositions'!A"&amp;":E, 5, 0) ,  if(H439=""region"",vlookup(REGEXEXTRACT(C439, ""🏘️ \w+ \w+ (.*) ✅""),'Region prepositions'!B:F, 5, 0),  REGEXEXTRACT(C439, ""🏘️ \w+ \w+ (.*) ✅""))))"),"Montagne-de-Sonvilier")</f>
        <v>Montagne-de-Sonvilier</v>
      </c>
      <c r="F439" s="2" t="str">
        <f>IFERROR(__xludf.DUMMYFUNCTION("REGEXEXTRACT(C439, ""🏘️ (\w+) \w+ .* ✅"")"),"Vendre")</f>
        <v>Vendre</v>
      </c>
      <c r="G439" s="2" t="str">
        <f>IFERROR(__xludf.DUMMYFUNCTION("REGEXEXTRACT(C439, ""🏘️ \w+ (\w+) .* ✅"")"),"maison")</f>
        <v>maison</v>
      </c>
      <c r="H439" s="4" t="str">
        <f>IFERROR(__xludf.DUMMYFUNCTION("REGEXEXTRACT(A439, ""/(\w+)-.*?"")"),"lieu")</f>
        <v>lieu</v>
      </c>
      <c r="I439" s="4" t="str">
        <f>IFERROR(__xludf.DUMMYFUNCTION("if(D439=""variant"",  substitute(filter(Templates!E:E, Templates!A:A = F439, Templates!B:B = G439, Templates!C:C = H439), ""{{}}"", E439), B439)"),"🏘  Vous souhaitez acheter une maison à Montagne-de-Sonvilier? ✅ Jetez un œil aux dernières offres sur ImmoScout24.ch.")</f>
        <v>🏘  Vous souhaitez acheter une maison à Montagne-de-Sonvilier? ✅ Jetez un œil aux dernières offres sur ImmoScout24.ch.</v>
      </c>
      <c r="J439" s="4" t="s">
        <v>1322</v>
      </c>
    </row>
    <row r="440">
      <c r="A440" s="5" t="s">
        <v>1323</v>
      </c>
      <c r="B440" s="2" t="s">
        <v>1324</v>
      </c>
      <c r="C440" s="4" t="str">
        <f>IFERROR(__xludf.DUMMYFUNCTION("""🏘️ ""&amp;REGEXEXTRACT(B440, ""^(.*): "")&amp;"" ✅ "" &amp;REGEXEXTRACT(B440, ""(Trouvez.*)"")"),"🏘️ Vendre appartement Jura Vaudois ✅ Trouvez le bien immobilier qui correspond idéalement à vos désirs sur ImmoScout24 - La plateforme de l'immobilier en Suisse.")</f>
        <v>🏘️ Vendre appartement Jura Vaudois ✅ Trouvez le bien immobilier qui correspond idéalement à vos désirs sur ImmoScout24 - La plateforme de l'immobilier en Suisse.</v>
      </c>
      <c r="D440" s="4" t="str">
        <f>vlookup(A440, Sheet2!D:E, 2, 0)</f>
        <v>variant</v>
      </c>
      <c r="E440" s="4" t="str">
        <f>IFERROR(__xludf.DUMMYFUNCTION("if(H440=""pays"",vlookup(REGEXEXTRACT(C440, ""🏘️ \w+ \w+ (.*) ✅""),'Country prepositions'!A:B, 2, 0) &amp; "" "" &amp; REGEXEXTRACT(C440, ""🏘️ \w+ \w+ (.*) ✅"") ,  if(H440=""quartier"",vlookup(REGEXEXTRACT(C440, ""🏘️ \w+ \w+ (.*) ✅""),'Quartier prepositions'!A"&amp;":E, 5, 0) ,  if(H440=""region"",vlookup(REGEXEXTRACT(C440, ""🏘️ \w+ \w+ (.*) ✅""),'Region prepositions'!B:F, 5, 0),  REGEXEXTRACT(C440, ""🏘️ \w+ \w+ (.*) ✅""))))"),"dans le Jura vaudois")</f>
        <v>dans le Jura vaudois</v>
      </c>
      <c r="F440" s="2" t="str">
        <f>IFERROR(__xludf.DUMMYFUNCTION("REGEXEXTRACT(C440, ""🏘️ (\w+) \w+ .* ✅"")"),"Vendre")</f>
        <v>Vendre</v>
      </c>
      <c r="G440" s="2" t="str">
        <f>IFERROR(__xludf.DUMMYFUNCTION("REGEXEXTRACT(C440, ""🏘️ \w+ (\w+) .* ✅"")"),"appartement")</f>
        <v>appartement</v>
      </c>
      <c r="H440" s="4" t="str">
        <f>IFERROR(__xludf.DUMMYFUNCTION("REGEXEXTRACT(A440, ""/(\w+)-.*?"")"),"region")</f>
        <v>region</v>
      </c>
      <c r="I440" s="4" t="str">
        <f>IFERROR(__xludf.DUMMYFUNCTION("if(D440=""variant"",  substitute(filter(Templates!E:E, Templates!A:A = F440, Templates!B:B = G440, Templates!C:C = H440), ""{{}}"", E440), B440)"),"🏘  L’appartement de vos rêves se trouve sur ImmoScout24.ch ✅ Découvrez les dernières annonces de vente dans le Jura vaudois.")</f>
        <v>🏘  L’appartement de vos rêves se trouve sur ImmoScout24.ch ✅ Découvrez les dernières annonces de vente dans le Jura vaudois.</v>
      </c>
      <c r="J440" s="4" t="s">
        <v>1325</v>
      </c>
    </row>
    <row r="441">
      <c r="A441" s="5" t="s">
        <v>1326</v>
      </c>
      <c r="B441" s="2" t="s">
        <v>1327</v>
      </c>
      <c r="C441" s="4" t="str">
        <f>IFERROR(__xludf.DUMMYFUNCTION("""🏘️ ""&amp;REGEXEXTRACT(B441, ""^(.*): "")&amp;"" ✅ "" &amp;REGEXEXTRACT(B441, ""(Trouvez.*)"")"),"🏘️ Louer appartement Windisch ✅ Trouvez le bien immobilier qui correspond idéalement à vos désirs sur ImmoScout24 - La plateforme de l'immobilier en Suisse.")</f>
        <v>🏘️ Louer appartement Windisch ✅ Trouvez le bien immobilier qui correspond idéalement à vos désirs sur ImmoScout24 - La plateforme de l'immobilier en Suisse.</v>
      </c>
      <c r="D441" s="4" t="str">
        <f>vlookup(A441, Sheet2!D:E, 2, 0)</f>
        <v>variant</v>
      </c>
      <c r="E441" s="4" t="str">
        <f>IFERROR(__xludf.DUMMYFUNCTION("if(H441=""pays"",vlookup(REGEXEXTRACT(C441, ""🏘️ \w+ \w+ (.*) ✅""),'Country prepositions'!A:B, 2, 0) &amp; "" "" &amp; REGEXEXTRACT(C441, ""🏘️ \w+ \w+ (.*) ✅"") ,  if(H441=""quartier"",vlookup(REGEXEXTRACT(C441, ""🏘️ \w+ \w+ (.*) ✅""),'Quartier prepositions'!A"&amp;":E, 5, 0) ,  if(H441=""region"",vlookup(REGEXEXTRACT(C441, ""🏘️ \w+ \w+ (.*) ✅""),'Region prepositions'!B:F, 5, 0),  REGEXEXTRACT(C441, ""🏘️ \w+ \w+ (.*) ✅""))))"),"Windisch")</f>
        <v>Windisch</v>
      </c>
      <c r="F441" s="2" t="str">
        <f>IFERROR(__xludf.DUMMYFUNCTION("REGEXEXTRACT(C441, ""🏘️ (\w+) \w+ .* ✅"")"),"Louer")</f>
        <v>Louer</v>
      </c>
      <c r="G441" s="2" t="str">
        <f>IFERROR(__xludf.DUMMYFUNCTION("REGEXEXTRACT(C441, ""🏘️ \w+ (\w+) .* ✅"")"),"appartement")</f>
        <v>appartement</v>
      </c>
      <c r="H441" s="4" t="str">
        <f>IFERROR(__xludf.DUMMYFUNCTION("REGEXEXTRACT(A441, ""/(\w+)-.*?"")"),"lieu")</f>
        <v>lieu</v>
      </c>
      <c r="I441" s="4" t="str">
        <f>IFERROR(__xludf.DUMMYFUNCTION("if(D441=""variant"",  substitute(filter(Templates!E:E, Templates!A:A = F441, Templates!B:B = G441, Templates!C:C = H441), ""{{}}"", E441), B441)"),"🏘  Vous cherchez un appartement à louer à Windisch? ✅ Les annonces les plus actuelles sont sur ImmoScout24.ch.")</f>
        <v>🏘  Vous cherchez un appartement à louer à Windisch? ✅ Les annonces les plus actuelles sont sur ImmoScout24.ch.</v>
      </c>
      <c r="J441" s="4" t="s">
        <v>1328</v>
      </c>
    </row>
    <row r="442">
      <c r="A442" s="5" t="s">
        <v>1329</v>
      </c>
      <c r="B442" s="2" t="s">
        <v>1330</v>
      </c>
      <c r="C442" s="4" t="str">
        <f>IFERROR(__xludf.DUMMYFUNCTION("""🏘️ ""&amp;REGEXEXTRACT(B442, ""^(.*): "")&amp;"" ✅ "" &amp;REGEXEXTRACT(B442, ""(Trouvez.*)"")"),"🏘️ Vendre appartement Minusio ✅ Trouvez le bien immobilier qui correspond idéalement à vos désirs sur ImmoScout24 - La plateforme de l'immobilier en Suisse.")</f>
        <v>🏘️ Vendre appartement Minusio ✅ Trouvez le bien immobilier qui correspond idéalement à vos désirs sur ImmoScout24 - La plateforme de l'immobilier en Suisse.</v>
      </c>
      <c r="D442" s="4" t="str">
        <f>vlookup(A442, Sheet2!D:E, 2, 0)</f>
        <v>variant</v>
      </c>
      <c r="E442" s="4" t="str">
        <f>IFERROR(__xludf.DUMMYFUNCTION("if(H442=""pays"",vlookup(REGEXEXTRACT(C442, ""🏘️ \w+ \w+ (.*) ✅""),'Country prepositions'!A:B, 2, 0) &amp; "" "" &amp; REGEXEXTRACT(C442, ""🏘️ \w+ \w+ (.*) ✅"") ,  if(H442=""quartier"",vlookup(REGEXEXTRACT(C442, ""🏘️ \w+ \w+ (.*) ✅""),'Quartier prepositions'!A"&amp;":E, 5, 0) ,  if(H442=""region"",vlookup(REGEXEXTRACT(C442, ""🏘️ \w+ \w+ (.*) ✅""),'Region prepositions'!B:F, 5, 0),  REGEXEXTRACT(C442, ""🏘️ \w+ \w+ (.*) ✅""))))"),"Minusio")</f>
        <v>Minusio</v>
      </c>
      <c r="F442" s="2" t="str">
        <f>IFERROR(__xludf.DUMMYFUNCTION("REGEXEXTRACT(C442, ""🏘️ (\w+) \w+ .* ✅"")"),"Vendre")</f>
        <v>Vendre</v>
      </c>
      <c r="G442" s="2" t="str">
        <f>IFERROR(__xludf.DUMMYFUNCTION("REGEXEXTRACT(C442, ""🏘️ \w+ (\w+) .* ✅"")"),"appartement")</f>
        <v>appartement</v>
      </c>
      <c r="H442" s="4" t="str">
        <f>IFERROR(__xludf.DUMMYFUNCTION("REGEXEXTRACT(A442, ""/(\w+)-.*?"")"),"lieu")</f>
        <v>lieu</v>
      </c>
      <c r="I442" s="4" t="str">
        <f>IFERROR(__xludf.DUMMYFUNCTION("if(D442=""variant"",  substitute(filter(Templates!E:E, Templates!A:A = F442, Templates!B:B = G442, Templates!C:C = H442), ""{{}}"", E442), B442)"),"🏘  L’appartement de vos rêves se trouve sur ImmoScout24.ch ✅ Découvrez les dernières annonces de vente à Minusio.")</f>
        <v>🏘  L’appartement de vos rêves se trouve sur ImmoScout24.ch ✅ Découvrez les dernières annonces de vente à Minusio.</v>
      </c>
      <c r="J442" s="4" t="s">
        <v>1331</v>
      </c>
    </row>
    <row r="443">
      <c r="A443" s="5" t="s">
        <v>1332</v>
      </c>
      <c r="B443" s="2" t="s">
        <v>1333</v>
      </c>
      <c r="C443" s="4" t="str">
        <f>IFERROR(__xludf.DUMMYFUNCTION("""🏘️ ""&amp;REGEXEXTRACT(B443, ""^(.*): "")&amp;"" ✅ "" &amp;REGEXEXTRACT(B443, ""(Trouvez.*)"")"),"🏘️ Vendre appartement Vico Morcote ✅ Trouvez le bien immobilier qui correspond idéalement à vos désirs sur ImmoScout24 - La plateforme de l'immobilier en Suisse.")</f>
        <v>🏘️ Vendre appartement Vico Morcote ✅ Trouvez le bien immobilier qui correspond idéalement à vos désirs sur ImmoScout24 - La plateforme de l'immobilier en Suisse.</v>
      </c>
      <c r="D443" s="4" t="str">
        <f>vlookup(A443, Sheet2!D:E, 2, 0)</f>
        <v>variant</v>
      </c>
      <c r="E443" s="4" t="str">
        <f>IFERROR(__xludf.DUMMYFUNCTION("if(H443=""pays"",vlookup(REGEXEXTRACT(C443, ""🏘️ \w+ \w+ (.*) ✅""),'Country prepositions'!A:B, 2, 0) &amp; "" "" &amp; REGEXEXTRACT(C443, ""🏘️ \w+ \w+ (.*) ✅"") ,  if(H443=""quartier"",vlookup(REGEXEXTRACT(C443, ""🏘️ \w+ \w+ (.*) ✅""),'Quartier prepositions'!A"&amp;":E, 5, 0) ,  if(H443=""region"",vlookup(REGEXEXTRACT(C443, ""🏘️ \w+ \w+ (.*) ✅""),'Region prepositions'!B:F, 5, 0),  REGEXEXTRACT(C443, ""🏘️ \w+ \w+ (.*) ✅""))))"),"Vico Morcote")</f>
        <v>Vico Morcote</v>
      </c>
      <c r="F443" s="2" t="str">
        <f>IFERROR(__xludf.DUMMYFUNCTION("REGEXEXTRACT(C443, ""🏘️ (\w+) \w+ .* ✅"")"),"Vendre")</f>
        <v>Vendre</v>
      </c>
      <c r="G443" s="2" t="str">
        <f>IFERROR(__xludf.DUMMYFUNCTION("REGEXEXTRACT(C443, ""🏘️ \w+ (\w+) .* ✅"")"),"appartement")</f>
        <v>appartement</v>
      </c>
      <c r="H443" s="4" t="str">
        <f>IFERROR(__xludf.DUMMYFUNCTION("REGEXEXTRACT(A443, ""/(\w+)-.*?"")"),"lieu")</f>
        <v>lieu</v>
      </c>
      <c r="I443" s="4" t="str">
        <f>IFERROR(__xludf.DUMMYFUNCTION("if(D443=""variant"",  substitute(filter(Templates!E:E, Templates!A:A = F443, Templates!B:B = G443, Templates!C:C = H443), ""{{}}"", E443), B443)"),"🏘  L’appartement de vos rêves se trouve sur ImmoScout24.ch ✅ Découvrez les dernières annonces de vente à Vico Morcote.")</f>
        <v>🏘  L’appartement de vos rêves se trouve sur ImmoScout24.ch ✅ Découvrez les dernières annonces de vente à Vico Morcote.</v>
      </c>
      <c r="J443" s="4" t="s">
        <v>1334</v>
      </c>
    </row>
    <row r="444">
      <c r="A444" s="5" t="s">
        <v>1335</v>
      </c>
      <c r="B444" s="2" t="s">
        <v>1336</v>
      </c>
      <c r="C444" s="4" t="str">
        <f>IFERROR(__xludf.DUMMYFUNCTION("""🏘️ ""&amp;REGEXEXTRACT(B444, ""^(.*): "")&amp;"" ✅ "" &amp;REGEXEXTRACT(B444, ""(Trouvez.*)"")"),"🏘️ Vendre maison Pully ✅ Trouvez le bien immobilier qui correspond idéalement à vos désirs sur ImmoScout24 - La plateforme de l'immobilier en Suisse.")</f>
        <v>🏘️ Vendre maison Pully ✅ Trouvez le bien immobilier qui correspond idéalement à vos désirs sur ImmoScout24 - La plateforme de l'immobilier en Suisse.</v>
      </c>
      <c r="D444" s="4" t="str">
        <f>vlookup(A444, Sheet2!D:E, 2, 0)</f>
        <v>variant</v>
      </c>
      <c r="E444" s="4" t="str">
        <f>IFERROR(__xludf.DUMMYFUNCTION("if(H444=""pays"",vlookup(REGEXEXTRACT(C444, ""🏘️ \w+ \w+ (.*) ✅""),'Country prepositions'!A:B, 2, 0) &amp; "" "" &amp; REGEXEXTRACT(C444, ""🏘️ \w+ \w+ (.*) ✅"") ,  if(H444=""quartier"",vlookup(REGEXEXTRACT(C444, ""🏘️ \w+ \w+ (.*) ✅""),'Quartier prepositions'!A"&amp;":E, 5, 0) ,  if(H444=""region"",vlookup(REGEXEXTRACT(C444, ""🏘️ \w+ \w+ (.*) ✅""),'Region prepositions'!B:F, 5, 0),  REGEXEXTRACT(C444, ""🏘️ \w+ \w+ (.*) ✅""))))"),"Pully")</f>
        <v>Pully</v>
      </c>
      <c r="F444" s="2" t="str">
        <f>IFERROR(__xludf.DUMMYFUNCTION("REGEXEXTRACT(C444, ""🏘️ (\w+) \w+ .* ✅"")"),"Vendre")</f>
        <v>Vendre</v>
      </c>
      <c r="G444" s="2" t="str">
        <f>IFERROR(__xludf.DUMMYFUNCTION("REGEXEXTRACT(C444, ""🏘️ \w+ (\w+) .* ✅"")"),"maison")</f>
        <v>maison</v>
      </c>
      <c r="H444" s="4" t="str">
        <f>IFERROR(__xludf.DUMMYFUNCTION("REGEXEXTRACT(A444, ""/(\w+)-.*?"")"),"lieu")</f>
        <v>lieu</v>
      </c>
      <c r="I444" s="4" t="str">
        <f>IFERROR(__xludf.DUMMYFUNCTION("if(D444=""variant"",  substitute(filter(Templates!E:E, Templates!A:A = F444, Templates!B:B = G444, Templates!C:C = H444), ""{{}}"", E444), B444)"),"🏘  Vous souhaitez acheter une maison à Pully? ✅ Jetez un œil aux dernières offres sur ImmoScout24.ch.")</f>
        <v>🏘  Vous souhaitez acheter une maison à Pully? ✅ Jetez un œil aux dernières offres sur ImmoScout24.ch.</v>
      </c>
      <c r="J444" s="4" t="s">
        <v>1337</v>
      </c>
    </row>
    <row r="445">
      <c r="A445" s="5" t="s">
        <v>1338</v>
      </c>
      <c r="B445" s="2" t="s">
        <v>1339</v>
      </c>
      <c r="C445" s="4" t="str">
        <f>IFERROR(__xludf.DUMMYFUNCTION("""🏘️ ""&amp;REGEXEXTRACT(B445, ""^(.*): "")&amp;"" ✅ "" &amp;REGEXEXTRACT(B445, ""(Trouvez.*)"")"),"🏘️ Louer maison Grandson ✅ Trouvez le bien immobilier qui correspond idéalement à vos désirs sur ImmoScout24 - La plateforme de l'immobilier en Suisse.")</f>
        <v>🏘️ Louer maison Grandson ✅ Trouvez le bien immobilier qui correspond idéalement à vos désirs sur ImmoScout24 - La plateforme de l'immobilier en Suisse.</v>
      </c>
      <c r="D445" s="4" t="str">
        <f>vlookup(A445, Sheet2!D:E, 2, 0)</f>
        <v>variant</v>
      </c>
      <c r="E445" s="4" t="str">
        <f>IFERROR(__xludf.DUMMYFUNCTION("if(H445=""pays"",vlookup(REGEXEXTRACT(C445, ""🏘️ \w+ \w+ (.*) ✅""),'Country prepositions'!A:B, 2, 0) &amp; "" "" &amp; REGEXEXTRACT(C445, ""🏘️ \w+ \w+ (.*) ✅"") ,  if(H445=""quartier"",vlookup(REGEXEXTRACT(C445, ""🏘️ \w+ \w+ (.*) ✅""),'Quartier prepositions'!A"&amp;":E, 5, 0) ,  if(H445=""region"",vlookup(REGEXEXTRACT(C445, ""🏘️ \w+ \w+ (.*) ✅""),'Region prepositions'!B:F, 5, 0),  REGEXEXTRACT(C445, ""🏘️ \w+ \w+ (.*) ✅""))))"),"Grandson")</f>
        <v>Grandson</v>
      </c>
      <c r="F445" s="2" t="str">
        <f>IFERROR(__xludf.DUMMYFUNCTION("REGEXEXTRACT(C445, ""🏘️ (\w+) \w+ .* ✅"")"),"Louer")</f>
        <v>Louer</v>
      </c>
      <c r="G445" s="2" t="str">
        <f>IFERROR(__xludf.DUMMYFUNCTION("REGEXEXTRACT(C445, ""🏘️ \w+ (\w+) .* ✅"")"),"maison")</f>
        <v>maison</v>
      </c>
      <c r="H445" s="4" t="str">
        <f>IFERROR(__xludf.DUMMYFUNCTION("REGEXEXTRACT(A445, ""/(\w+)-.*?"")"),"lieu")</f>
        <v>lieu</v>
      </c>
      <c r="I445" s="4" t="str">
        <f>IFERROR(__xludf.DUMMYFUNCTION("if(D445=""variant"",  substitute(filter(Templates!E:E, Templates!A:A = F445, Templates!B:B = G445, Templates!C:C = H445), ""{{}}"", E445), B445)"),"🏘  Vous cherchez une maison à louer à Grandson? ✅ Découvrez nos nombreuses annonces sur ImmoScout24.ch.")</f>
        <v>🏘  Vous cherchez une maison à louer à Grandson? ✅ Découvrez nos nombreuses annonces sur ImmoScout24.ch.</v>
      </c>
      <c r="J445" s="4" t="s">
        <v>1340</v>
      </c>
    </row>
    <row r="446">
      <c r="A446" s="5" t="s">
        <v>1341</v>
      </c>
      <c r="B446" s="2" t="s">
        <v>1342</v>
      </c>
      <c r="C446" s="4" t="str">
        <f>IFERROR(__xludf.DUMMYFUNCTION("""🏘️ ""&amp;REGEXEXTRACT(B446, ""^(.*): "")&amp;"" ✅ "" &amp;REGEXEXTRACT(B446, ""(Trouvez.*)"")"),"🏘️ Vendre maison Lavey-Village ✅ Trouvez le bien immobilier qui correspond idéalement à vos désirs sur ImmoScout24 - La plateforme de l'immobilier en Suisse.")</f>
        <v>🏘️ Vendre maison Lavey-Village ✅ Trouvez le bien immobilier qui correspond idéalement à vos désirs sur ImmoScout24 - La plateforme de l'immobilier en Suisse.</v>
      </c>
      <c r="D446" s="4" t="str">
        <f>vlookup(A446, Sheet2!D:E, 2, 0)</f>
        <v>variant</v>
      </c>
      <c r="E446" s="4" t="str">
        <f>IFERROR(__xludf.DUMMYFUNCTION("if(H446=""pays"",vlookup(REGEXEXTRACT(C446, ""🏘️ \w+ \w+ (.*) ✅""),'Country prepositions'!A:B, 2, 0) &amp; "" "" &amp; REGEXEXTRACT(C446, ""🏘️ \w+ \w+ (.*) ✅"") ,  if(H446=""quartier"",vlookup(REGEXEXTRACT(C446, ""🏘️ \w+ \w+ (.*) ✅""),'Quartier prepositions'!A"&amp;":E, 5, 0) ,  if(H446=""region"",vlookup(REGEXEXTRACT(C446, ""🏘️ \w+ \w+ (.*) ✅""),'Region prepositions'!B:F, 5, 0),  REGEXEXTRACT(C446, ""🏘️ \w+ \w+ (.*) ✅""))))"),"Lavey-Village")</f>
        <v>Lavey-Village</v>
      </c>
      <c r="F446" s="2" t="str">
        <f>IFERROR(__xludf.DUMMYFUNCTION("REGEXEXTRACT(C446, ""🏘️ (\w+) \w+ .* ✅"")"),"Vendre")</f>
        <v>Vendre</v>
      </c>
      <c r="G446" s="2" t="str">
        <f>IFERROR(__xludf.DUMMYFUNCTION("REGEXEXTRACT(C446, ""🏘️ \w+ (\w+) .* ✅"")"),"maison")</f>
        <v>maison</v>
      </c>
      <c r="H446" s="4" t="str">
        <f>IFERROR(__xludf.DUMMYFUNCTION("REGEXEXTRACT(A446, ""/(\w+)-.*?"")"),"lieu")</f>
        <v>lieu</v>
      </c>
      <c r="I446" s="4" t="str">
        <f>IFERROR(__xludf.DUMMYFUNCTION("if(D446=""variant"",  substitute(filter(Templates!E:E, Templates!A:A = F446, Templates!B:B = G446, Templates!C:C = H446), ""{{}}"", E446), B446)"),"🏘  Vous souhaitez acheter une maison à Lavey-Village? ✅ Jetez un œil aux dernières offres sur ImmoScout24.ch.")</f>
        <v>🏘  Vous souhaitez acheter une maison à Lavey-Village? ✅ Jetez un œil aux dernières offres sur ImmoScout24.ch.</v>
      </c>
      <c r="J446" s="4" t="s">
        <v>1343</v>
      </c>
    </row>
    <row r="447">
      <c r="A447" s="5" t="s">
        <v>1344</v>
      </c>
      <c r="B447" s="2" t="s">
        <v>1345</v>
      </c>
      <c r="C447" s="4" t="str">
        <f>IFERROR(__xludf.DUMMYFUNCTION("""🏘️ ""&amp;REGEXEXTRACT(B447, ""^(.*): "")&amp;"" ✅ "" &amp;REGEXEXTRACT(B447, ""(Trouvez.*)"")"),"🏘️ Vendre appartement Avry-sur-Matran ✅ Trouvez le bien immobilier qui correspond idéalement à vos désirs sur ImmoScout24 - La plateforme de l'immobilier en Suisse.")</f>
        <v>🏘️ Vendre appartement Avry-sur-Matran ✅ Trouvez le bien immobilier qui correspond idéalement à vos désirs sur ImmoScout24 - La plateforme de l'immobilier en Suisse.</v>
      </c>
      <c r="D447" s="4" t="str">
        <f>vlookup(A447, Sheet2!D:E, 2, 0)</f>
        <v>variant</v>
      </c>
      <c r="E447" s="4" t="str">
        <f>IFERROR(__xludf.DUMMYFUNCTION("if(H447=""pays"",vlookup(REGEXEXTRACT(C447, ""🏘️ \w+ \w+ (.*) ✅""),'Country prepositions'!A:B, 2, 0) &amp; "" "" &amp; REGEXEXTRACT(C447, ""🏘️ \w+ \w+ (.*) ✅"") ,  if(H447=""quartier"",vlookup(REGEXEXTRACT(C447, ""🏘️ \w+ \w+ (.*) ✅""),'Quartier prepositions'!A"&amp;":E, 5, 0) ,  if(H447=""region"",vlookup(REGEXEXTRACT(C447, ""🏘️ \w+ \w+ (.*) ✅""),'Region prepositions'!B:F, 5, 0),  REGEXEXTRACT(C447, ""🏘️ \w+ \w+ (.*) ✅""))))"),"Avry-sur-Matran")</f>
        <v>Avry-sur-Matran</v>
      </c>
      <c r="F447" s="2" t="str">
        <f>IFERROR(__xludf.DUMMYFUNCTION("REGEXEXTRACT(C447, ""🏘️ (\w+) \w+ .* ✅"")"),"Vendre")</f>
        <v>Vendre</v>
      </c>
      <c r="G447" s="2" t="str">
        <f>IFERROR(__xludf.DUMMYFUNCTION("REGEXEXTRACT(C447, ""🏘️ \w+ (\w+) .* ✅"")"),"appartement")</f>
        <v>appartement</v>
      </c>
      <c r="H447" s="4" t="str">
        <f>IFERROR(__xludf.DUMMYFUNCTION("REGEXEXTRACT(A447, ""/(\w+)-.*?"")"),"lieu")</f>
        <v>lieu</v>
      </c>
      <c r="I447" s="4" t="str">
        <f>IFERROR(__xludf.DUMMYFUNCTION("if(D447=""variant"",  substitute(filter(Templates!E:E, Templates!A:A = F447, Templates!B:B = G447, Templates!C:C = H447), ""{{}}"", E447), B447)"),"🏘  L’appartement de vos rêves se trouve sur ImmoScout24.ch ✅ Découvrez les dernières annonces de vente à Avry-sur-Matran.")</f>
        <v>🏘  L’appartement de vos rêves se trouve sur ImmoScout24.ch ✅ Découvrez les dernières annonces de vente à Avry-sur-Matran.</v>
      </c>
      <c r="J447" s="4" t="s">
        <v>1346</v>
      </c>
    </row>
    <row r="448">
      <c r="A448" s="5" t="s">
        <v>1347</v>
      </c>
      <c r="B448" s="2" t="s">
        <v>1348</v>
      </c>
      <c r="C448" s="4" t="str">
        <f>IFERROR(__xludf.DUMMYFUNCTION("""🏘️ ""&amp;REGEXEXTRACT(B448, ""^(.*): "")&amp;"" ✅ "" &amp;REGEXEXTRACT(B448, ""(Trouvez.*)"")"),"🏘️ Vendre maison Magnedens ✅ Trouvez le bien immobilier qui correspond idéalement à vos désirs sur ImmoScout24 - La plateforme de l'immobilier en Suisse.")</f>
        <v>🏘️ Vendre maison Magnedens ✅ Trouvez le bien immobilier qui correspond idéalement à vos désirs sur ImmoScout24 - La plateforme de l'immobilier en Suisse.</v>
      </c>
      <c r="D448" s="4" t="str">
        <f>vlookup(A448, Sheet2!D:E, 2, 0)</f>
        <v>variant</v>
      </c>
      <c r="E448" s="4" t="str">
        <f>IFERROR(__xludf.DUMMYFUNCTION("if(H448=""pays"",vlookup(REGEXEXTRACT(C448, ""🏘️ \w+ \w+ (.*) ✅""),'Country prepositions'!A:B, 2, 0) &amp; "" "" &amp; REGEXEXTRACT(C448, ""🏘️ \w+ \w+ (.*) ✅"") ,  if(H448=""quartier"",vlookup(REGEXEXTRACT(C448, ""🏘️ \w+ \w+ (.*) ✅""),'Quartier prepositions'!A"&amp;":E, 5, 0) ,  if(H448=""region"",vlookup(REGEXEXTRACT(C448, ""🏘️ \w+ \w+ (.*) ✅""),'Region prepositions'!B:F, 5, 0),  REGEXEXTRACT(C448, ""🏘️ \w+ \w+ (.*) ✅""))))"),"Magnedens")</f>
        <v>Magnedens</v>
      </c>
      <c r="F448" s="2" t="str">
        <f>IFERROR(__xludf.DUMMYFUNCTION("REGEXEXTRACT(C448, ""🏘️ (\w+) \w+ .* ✅"")"),"Vendre")</f>
        <v>Vendre</v>
      </c>
      <c r="G448" s="2" t="str">
        <f>IFERROR(__xludf.DUMMYFUNCTION("REGEXEXTRACT(C448, ""🏘️ \w+ (\w+) .* ✅"")"),"maison")</f>
        <v>maison</v>
      </c>
      <c r="H448" s="4" t="str">
        <f>IFERROR(__xludf.DUMMYFUNCTION("REGEXEXTRACT(A448, ""/(\w+)-.*?"")"),"lieu")</f>
        <v>lieu</v>
      </c>
      <c r="I448" s="4" t="str">
        <f>IFERROR(__xludf.DUMMYFUNCTION("if(D448=""variant"",  substitute(filter(Templates!E:E, Templates!A:A = F448, Templates!B:B = G448, Templates!C:C = H448), ""{{}}"", E448), B448)"),"🏘  Vous souhaitez acheter une maison à Magnedens? ✅ Jetez un œil aux dernières offres sur ImmoScout24.ch.")</f>
        <v>🏘  Vous souhaitez acheter une maison à Magnedens? ✅ Jetez un œil aux dernières offres sur ImmoScout24.ch.</v>
      </c>
      <c r="J448" s="4" t="s">
        <v>1349</v>
      </c>
    </row>
    <row r="449">
      <c r="A449" s="5" t="s">
        <v>1350</v>
      </c>
      <c r="B449" s="2" t="s">
        <v>1351</v>
      </c>
      <c r="C449" s="4" t="str">
        <f>IFERROR(__xludf.DUMMYFUNCTION("""🏘️ ""&amp;REGEXEXTRACT(B449, ""^(.*): "")&amp;"" ✅ "" &amp;REGEXEXTRACT(B449, ""(Trouvez.*)"")"),"🏘️ Louer appartement Köniz ✅ Trouvez le bien immobilier qui correspond idéalement à vos désirs sur ImmoScout24 - La plateforme de l'immobilier en Suisse.")</f>
        <v>🏘️ Louer appartement Köniz ✅ Trouvez le bien immobilier qui correspond idéalement à vos désirs sur ImmoScout24 - La plateforme de l'immobilier en Suisse.</v>
      </c>
      <c r="D449" s="4" t="str">
        <f>vlookup(A449, Sheet2!D:E, 2, 0)</f>
        <v>variant</v>
      </c>
      <c r="E449" s="4" t="str">
        <f>IFERROR(__xludf.DUMMYFUNCTION("if(H449=""pays"",vlookup(REGEXEXTRACT(C449, ""🏘️ \w+ \w+ (.*) ✅""),'Country prepositions'!A:B, 2, 0) &amp; "" "" &amp; REGEXEXTRACT(C449, ""🏘️ \w+ \w+ (.*) ✅"") ,  if(H449=""quartier"",vlookup(REGEXEXTRACT(C449, ""🏘️ \w+ \w+ (.*) ✅""),'Quartier prepositions'!A"&amp;":E, 5, 0) ,  if(H449=""region"",vlookup(REGEXEXTRACT(C449, ""🏘️ \w+ \w+ (.*) ✅""),'Region prepositions'!B:F, 5, 0),  REGEXEXTRACT(C449, ""🏘️ \w+ \w+ (.*) ✅""))))"),"Köniz")</f>
        <v>Köniz</v>
      </c>
      <c r="F449" s="2" t="str">
        <f>IFERROR(__xludf.DUMMYFUNCTION("REGEXEXTRACT(C449, ""🏘️ (\w+) \w+ .* ✅"")"),"Louer")</f>
        <v>Louer</v>
      </c>
      <c r="G449" s="2" t="str">
        <f>IFERROR(__xludf.DUMMYFUNCTION("REGEXEXTRACT(C449, ""🏘️ \w+ (\w+) .* ✅"")"),"appartement")</f>
        <v>appartement</v>
      </c>
      <c r="H449" s="4" t="str">
        <f>IFERROR(__xludf.DUMMYFUNCTION("REGEXEXTRACT(A449, ""/(\w+)-.*?"")"),"lieu")</f>
        <v>lieu</v>
      </c>
      <c r="I449" s="4" t="str">
        <f>IFERROR(__xludf.DUMMYFUNCTION("if(D449=""variant"",  substitute(filter(Templates!E:E, Templates!A:A = F449, Templates!B:B = G449, Templates!C:C = H449), ""{{}}"", E449), B449)"),"🏘  Vous cherchez un appartement à louer à Köniz? ✅ Les annonces les plus actuelles sont sur ImmoScout24.ch.")</f>
        <v>🏘  Vous cherchez un appartement à louer à Köniz? ✅ Les annonces les plus actuelles sont sur ImmoScout24.ch.</v>
      </c>
      <c r="J449" s="4" t="s">
        <v>1352</v>
      </c>
    </row>
    <row r="450">
      <c r="A450" s="5" t="s">
        <v>1353</v>
      </c>
      <c r="B450" s="2" t="s">
        <v>1354</v>
      </c>
      <c r="C450" s="4" t="str">
        <f>IFERROR(__xludf.DUMMYFUNCTION("""🏘️ ""&amp;REGEXEXTRACT(B450, ""^(.*): "")&amp;"" ✅ "" &amp;REGEXEXTRACT(B450, ""(Trouvez.*)"")"),"🏘️ Vendre appartement Obergerlafingen ✅ Trouvez le bien immobilier qui correspond idéalement à vos désirs sur ImmoScout24 - La plateforme de l'immobilier en Suisse.")</f>
        <v>🏘️ Vendre appartement Obergerlafingen ✅ Trouvez le bien immobilier qui correspond idéalement à vos désirs sur ImmoScout24 - La plateforme de l'immobilier en Suisse.</v>
      </c>
      <c r="D450" s="4" t="str">
        <f>vlookup(A450, Sheet2!D:E, 2, 0)</f>
        <v>variant</v>
      </c>
      <c r="E450" s="4" t="str">
        <f>IFERROR(__xludf.DUMMYFUNCTION("if(H450=""pays"",vlookup(REGEXEXTRACT(C450, ""🏘️ \w+ \w+ (.*) ✅""),'Country prepositions'!A:B, 2, 0) &amp; "" "" &amp; REGEXEXTRACT(C450, ""🏘️ \w+ \w+ (.*) ✅"") ,  if(H450=""quartier"",vlookup(REGEXEXTRACT(C450, ""🏘️ \w+ \w+ (.*) ✅""),'Quartier prepositions'!A"&amp;":E, 5, 0) ,  if(H450=""region"",vlookup(REGEXEXTRACT(C450, ""🏘️ \w+ \w+ (.*) ✅""),'Region prepositions'!B:F, 5, 0),  REGEXEXTRACT(C450, ""🏘️ \w+ \w+ (.*) ✅""))))"),"Obergerlafingen")</f>
        <v>Obergerlafingen</v>
      </c>
      <c r="F450" s="2" t="str">
        <f>IFERROR(__xludf.DUMMYFUNCTION("REGEXEXTRACT(C450, ""🏘️ (\w+) \w+ .* ✅"")"),"Vendre")</f>
        <v>Vendre</v>
      </c>
      <c r="G450" s="2" t="str">
        <f>IFERROR(__xludf.DUMMYFUNCTION("REGEXEXTRACT(C450, ""🏘️ \w+ (\w+) .* ✅"")"),"appartement")</f>
        <v>appartement</v>
      </c>
      <c r="H450" s="4" t="str">
        <f>IFERROR(__xludf.DUMMYFUNCTION("REGEXEXTRACT(A450, ""/(\w+)-.*?"")"),"lieu")</f>
        <v>lieu</v>
      </c>
      <c r="I450" s="4" t="str">
        <f>IFERROR(__xludf.DUMMYFUNCTION("if(D450=""variant"",  substitute(filter(Templates!E:E, Templates!A:A = F450, Templates!B:B = G450, Templates!C:C = H450), ""{{}}"", E450), B450)"),"🏘  L’appartement de vos rêves se trouve sur ImmoScout24.ch ✅ Découvrez les dernières annonces de vente à Obergerlafingen.")</f>
        <v>🏘  L’appartement de vos rêves se trouve sur ImmoScout24.ch ✅ Découvrez les dernières annonces de vente à Obergerlafingen.</v>
      </c>
      <c r="J450" s="4" t="s">
        <v>1355</v>
      </c>
    </row>
    <row r="451">
      <c r="A451" s="5" t="s">
        <v>1356</v>
      </c>
      <c r="B451" s="2" t="s">
        <v>1357</v>
      </c>
      <c r="C451" s="4" t="str">
        <f>IFERROR(__xludf.DUMMYFUNCTION("""🏘️ ""&amp;REGEXEXTRACT(B451, ""^(.*): "")&amp;"" ✅ "" &amp;REGEXEXTRACT(B451, ""(Trouvez.*)"")"),"🏘️ Vendre maison Frinvillier ✅ Trouvez le bien immobilier qui correspond idéalement à vos désirs sur ImmoScout24 - La plateforme de l'immobilier en Suisse.")</f>
        <v>🏘️ Vendre maison Frinvillier ✅ Trouvez le bien immobilier qui correspond idéalement à vos désirs sur ImmoScout24 - La plateforme de l'immobilier en Suisse.</v>
      </c>
      <c r="D451" s="4" t="str">
        <f>vlookup(A451, Sheet2!D:E, 2, 0)</f>
        <v>variant</v>
      </c>
      <c r="E451" s="4" t="str">
        <f>IFERROR(__xludf.DUMMYFUNCTION("if(H451=""pays"",vlookup(REGEXEXTRACT(C451, ""🏘️ \w+ \w+ (.*) ✅""),'Country prepositions'!A:B, 2, 0) &amp; "" "" &amp; REGEXEXTRACT(C451, ""🏘️ \w+ \w+ (.*) ✅"") ,  if(H451=""quartier"",vlookup(REGEXEXTRACT(C451, ""🏘️ \w+ \w+ (.*) ✅""),'Quartier prepositions'!A"&amp;":E, 5, 0) ,  if(H451=""region"",vlookup(REGEXEXTRACT(C451, ""🏘️ \w+ \w+ (.*) ✅""),'Region prepositions'!B:F, 5, 0),  REGEXEXTRACT(C451, ""🏘️ \w+ \w+ (.*) ✅""))))"),"Frinvillier")</f>
        <v>Frinvillier</v>
      </c>
      <c r="F451" s="2" t="str">
        <f>IFERROR(__xludf.DUMMYFUNCTION("REGEXEXTRACT(C451, ""🏘️ (\w+) \w+ .* ✅"")"),"Vendre")</f>
        <v>Vendre</v>
      </c>
      <c r="G451" s="2" t="str">
        <f>IFERROR(__xludf.DUMMYFUNCTION("REGEXEXTRACT(C451, ""🏘️ \w+ (\w+) .* ✅"")"),"maison")</f>
        <v>maison</v>
      </c>
      <c r="H451" s="4" t="str">
        <f>IFERROR(__xludf.DUMMYFUNCTION("REGEXEXTRACT(A451, ""/(\w+)-.*?"")"),"lieu")</f>
        <v>lieu</v>
      </c>
      <c r="I451" s="4" t="str">
        <f>IFERROR(__xludf.DUMMYFUNCTION("if(D451=""variant"",  substitute(filter(Templates!E:E, Templates!A:A = F451, Templates!B:B = G451, Templates!C:C = H451), ""{{}}"", E451), B451)"),"🏘  Vous souhaitez acheter une maison à Frinvillier? ✅ Jetez un œil aux dernières offres sur ImmoScout24.ch.")</f>
        <v>🏘  Vous souhaitez acheter une maison à Frinvillier? ✅ Jetez un œil aux dernières offres sur ImmoScout24.ch.</v>
      </c>
      <c r="J451" s="4" t="s">
        <v>1358</v>
      </c>
    </row>
    <row r="452">
      <c r="A452" s="5" t="s">
        <v>1359</v>
      </c>
      <c r="B452" s="2" t="s">
        <v>1360</v>
      </c>
      <c r="C452" s="4" t="str">
        <f>IFERROR(__xludf.DUMMYFUNCTION("""🏘️ ""&amp;REGEXEXTRACT(B452, ""^(.*): "")&amp;"" ✅ "" &amp;REGEXEXTRACT(B452, ""(Trouvez.*)"")"),"🏘️ Louer appartement Breitenrain (Berne) ✅ Trouvez le bien immobilier qui correspond idéalement à vos désirs sur ImmoScout24 - La plateforme de l'immobilier en Suisse.")</f>
        <v>🏘️ Louer appartement Breitenrain (Berne) ✅ Trouvez le bien immobilier qui correspond idéalement à vos désirs sur ImmoScout24 - La plateforme de l'immobilier en Suisse.</v>
      </c>
      <c r="D452" s="4" t="str">
        <f>vlookup(A452, Sheet2!D:E, 2, 0)</f>
        <v>variant</v>
      </c>
      <c r="E452" s="4" t="str">
        <f>IFERROR(__xludf.DUMMYFUNCTION("if(H452=""pays"",vlookup(REGEXEXTRACT(C452, ""🏘️ \w+ \w+ (.*) ✅""),'Country prepositions'!A:B, 2, 0) &amp; "" "" &amp; REGEXEXTRACT(C452, ""🏘️ \w+ \w+ (.*) ✅"") ,  if(H452=""quartier"",vlookup(REGEXEXTRACT(C452, ""🏘️ \w+ \w+ (.*) ✅""),'Quartier prepositions'!A"&amp;":E, 5, 0) ,  if(H452=""region"",vlookup(REGEXEXTRACT(C452, ""🏘️ \w+ \w+ (.*) ✅""),'Region prepositions'!B:F, 5, 0),  REGEXEXTRACT(C452, ""🏘️ \w+ \w+ (.*) ✅""))))"),"dans le quartier de Breitenrain (Berne)")</f>
        <v>dans le quartier de Breitenrain (Berne)</v>
      </c>
      <c r="F452" s="2" t="str">
        <f>IFERROR(__xludf.DUMMYFUNCTION("REGEXEXTRACT(C452, ""🏘️ (\w+) \w+ .* ✅"")"),"Louer")</f>
        <v>Louer</v>
      </c>
      <c r="G452" s="2" t="str">
        <f>IFERROR(__xludf.DUMMYFUNCTION("REGEXEXTRACT(C452, ""🏘️ \w+ (\w+) .* ✅"")"),"appartement")</f>
        <v>appartement</v>
      </c>
      <c r="H452" s="4" t="str">
        <f>IFERROR(__xludf.DUMMYFUNCTION("REGEXEXTRACT(A452, ""/(\w+)-.*?"")"),"quartier")</f>
        <v>quartier</v>
      </c>
      <c r="I452" s="4" t="str">
        <f>IFERROR(__xludf.DUMMYFUNCTION("if(D452=""variant"",  substitute(filter(Templates!E:E, Templates!A:A = F452, Templates!B:B = G452, Templates!C:C = H452), ""{{}}"", E452), B452)"),"🏘  Vous cherchez un appartement à louer dans le quartier de Breitenrain (Berne)? ✅ Les annonces les plus actuelles sont sur ImmoScout24.ch.")</f>
        <v>🏘  Vous cherchez un appartement à louer dans le quartier de Breitenrain (Berne)? ✅ Les annonces les plus actuelles sont sur ImmoScout24.ch.</v>
      </c>
      <c r="J452" s="4" t="s">
        <v>1361</v>
      </c>
    </row>
    <row r="453">
      <c r="A453" s="5" t="s">
        <v>1362</v>
      </c>
      <c r="B453" s="2" t="s">
        <v>1363</v>
      </c>
      <c r="C453" s="4" t="str">
        <f>IFERROR(__xludf.DUMMYFUNCTION("""🏘️ ""&amp;REGEXEXTRACT(B453, ""^(.*): "")&amp;"" ✅ "" &amp;REGEXEXTRACT(B453, ""(Trouvez.*)"")"),"🏘️ Vendre maison Pierrafortscha ✅ Trouvez le bien immobilier qui correspond idéalement à vos désirs sur ImmoScout24 - La plateforme de l'immobilier en Suisse.")</f>
        <v>🏘️ Vendre maison Pierrafortscha ✅ Trouvez le bien immobilier qui correspond idéalement à vos désirs sur ImmoScout24 - La plateforme de l'immobilier en Suisse.</v>
      </c>
      <c r="D453" s="4" t="str">
        <f>vlookup(A453, Sheet2!D:E, 2, 0)</f>
        <v>variant</v>
      </c>
      <c r="E453" s="4" t="str">
        <f>IFERROR(__xludf.DUMMYFUNCTION("if(H453=""pays"",vlookup(REGEXEXTRACT(C453, ""🏘️ \w+ \w+ (.*) ✅""),'Country prepositions'!A:B, 2, 0) &amp; "" "" &amp; REGEXEXTRACT(C453, ""🏘️ \w+ \w+ (.*) ✅"") ,  if(H453=""quartier"",vlookup(REGEXEXTRACT(C453, ""🏘️ \w+ \w+ (.*) ✅""),'Quartier prepositions'!A"&amp;":E, 5, 0) ,  if(H453=""region"",vlookup(REGEXEXTRACT(C453, ""🏘️ \w+ \w+ (.*) ✅""),'Region prepositions'!B:F, 5, 0),  REGEXEXTRACT(C453, ""🏘️ \w+ \w+ (.*) ✅""))))"),"Pierrafortscha")</f>
        <v>Pierrafortscha</v>
      </c>
      <c r="F453" s="2" t="str">
        <f>IFERROR(__xludf.DUMMYFUNCTION("REGEXEXTRACT(C453, ""🏘️ (\w+) \w+ .* ✅"")"),"Vendre")</f>
        <v>Vendre</v>
      </c>
      <c r="G453" s="2" t="str">
        <f>IFERROR(__xludf.DUMMYFUNCTION("REGEXEXTRACT(C453, ""🏘️ \w+ (\w+) .* ✅"")"),"maison")</f>
        <v>maison</v>
      </c>
      <c r="H453" s="4" t="str">
        <f>IFERROR(__xludf.DUMMYFUNCTION("REGEXEXTRACT(A453, ""/(\w+)-.*?"")"),"lieu")</f>
        <v>lieu</v>
      </c>
      <c r="I453" s="4" t="str">
        <f>IFERROR(__xludf.DUMMYFUNCTION("if(D453=""variant"",  substitute(filter(Templates!E:E, Templates!A:A = F453, Templates!B:B = G453, Templates!C:C = H453), ""{{}}"", E453), B453)"),"🏘  Vous souhaitez acheter une maison à Pierrafortscha? ✅ Jetez un œil aux dernières offres sur ImmoScout24.ch.")</f>
        <v>🏘  Vous souhaitez acheter une maison à Pierrafortscha? ✅ Jetez un œil aux dernières offres sur ImmoScout24.ch.</v>
      </c>
      <c r="J453" s="4" t="s">
        <v>1364</v>
      </c>
    </row>
    <row r="454">
      <c r="A454" s="5" t="s">
        <v>1365</v>
      </c>
      <c r="B454" s="2" t="s">
        <v>1366</v>
      </c>
      <c r="C454" s="4" t="str">
        <f>IFERROR(__xludf.DUMMYFUNCTION("""🏘️ ""&amp;REGEXEXTRACT(B454, ""^(.*): "")&amp;"" ✅ "" &amp;REGEXEXTRACT(B454, ""(Trouvez.*)"")"),"🏘️ Vendre maison Les Brenets ✅ Trouvez le bien immobilier qui correspond idéalement à vos désirs sur ImmoScout24 - La plateforme de l'immobilier en Suisse.")</f>
        <v>🏘️ Vendre maison Les Brenets ✅ Trouvez le bien immobilier qui correspond idéalement à vos désirs sur ImmoScout24 - La plateforme de l'immobilier en Suisse.</v>
      </c>
      <c r="D454" s="4" t="str">
        <f>vlookup(A454, Sheet2!D:E, 2, 0)</f>
        <v>variant</v>
      </c>
      <c r="E454" s="4" t="str">
        <f>IFERROR(__xludf.DUMMYFUNCTION("if(H454=""pays"",vlookup(REGEXEXTRACT(C454, ""🏘️ \w+ \w+ (.*) ✅""),'Country prepositions'!A:B, 2, 0) &amp; "" "" &amp; REGEXEXTRACT(C454, ""🏘️ \w+ \w+ (.*) ✅"") ,  if(H454=""quartier"",vlookup(REGEXEXTRACT(C454, ""🏘️ \w+ \w+ (.*) ✅""),'Quartier prepositions'!A"&amp;":E, 5, 0) ,  if(H454=""region"",vlookup(REGEXEXTRACT(C454, ""🏘️ \w+ \w+ (.*) ✅""),'Region prepositions'!B:F, 5, 0),  REGEXEXTRACT(C454, ""🏘️ \w+ \w+ (.*) ✅""))))"),"Les Brenets")</f>
        <v>Les Brenets</v>
      </c>
      <c r="F454" s="2" t="str">
        <f>IFERROR(__xludf.DUMMYFUNCTION("REGEXEXTRACT(C454, ""🏘️ (\w+) \w+ .* ✅"")"),"Vendre")</f>
        <v>Vendre</v>
      </c>
      <c r="G454" s="2" t="str">
        <f>IFERROR(__xludf.DUMMYFUNCTION("REGEXEXTRACT(C454, ""🏘️ \w+ (\w+) .* ✅"")"),"maison")</f>
        <v>maison</v>
      </c>
      <c r="H454" s="4" t="str">
        <f>IFERROR(__xludf.DUMMYFUNCTION("REGEXEXTRACT(A454, ""/(\w+)-.*?"")"),"lieu")</f>
        <v>lieu</v>
      </c>
      <c r="I454" s="8" t="str">
        <f>IFERROR(__xludf.DUMMYFUNCTION("if(D454=""variant"",  substitute(filter(Templates!E:E, Templates!A:A = F454, Templates!B:B = G454, Templates!C:C = H454), ""{{}}"", E454), B454)"),"🏘  Vous souhaitez acheter une maison à Les Brenets? ✅ Jetez un œil aux dernières offres sur ImmoScout24.ch.")</f>
        <v>🏘  Vous souhaitez acheter une maison à Les Brenets? ✅ Jetez un œil aux dernières offres sur ImmoScout24.ch.</v>
      </c>
      <c r="J454" s="2" t="s">
        <v>1367</v>
      </c>
    </row>
    <row r="455">
      <c r="A455" s="5" t="s">
        <v>1368</v>
      </c>
      <c r="B455" s="2" t="s">
        <v>1369</v>
      </c>
      <c r="C455" s="4" t="str">
        <f>IFERROR(__xludf.DUMMYFUNCTION("""🏘️ ""&amp;REGEXEXTRACT(B455, ""^(.*): "")&amp;"" ✅ "" &amp;REGEXEXTRACT(B455, ""(Trouvez.*)"")"),"🏘️ Louer maison Locarno ✅ Trouvez le bien immobilier qui correspond idéalement à vos désirs sur ImmoScout24 - La plateforme de l'immobilier en Suisse.")</f>
        <v>🏘️ Louer maison Locarno ✅ Trouvez le bien immobilier qui correspond idéalement à vos désirs sur ImmoScout24 - La plateforme de l'immobilier en Suisse.</v>
      </c>
      <c r="D455" s="4" t="str">
        <f>vlookup(A455, Sheet2!D:E, 2, 0)</f>
        <v>variant</v>
      </c>
      <c r="E455" s="4" t="str">
        <f>IFERROR(__xludf.DUMMYFUNCTION("if(H455=""pays"",vlookup(REGEXEXTRACT(C455, ""🏘️ \w+ \w+ (.*) ✅""),'Country prepositions'!A:B, 2, 0) &amp; "" "" &amp; REGEXEXTRACT(C455, ""🏘️ \w+ \w+ (.*) ✅"") ,  if(H455=""quartier"",vlookup(REGEXEXTRACT(C455, ""🏘️ \w+ \w+ (.*) ✅""),'Quartier prepositions'!A"&amp;":E, 5, 0) ,  if(H455=""region"",vlookup(REGEXEXTRACT(C455, ""🏘️ \w+ \w+ (.*) ✅""),'Region prepositions'!B:F, 5, 0),  REGEXEXTRACT(C455, ""🏘️ \w+ \w+ (.*) ✅""))))"),"Locarno")</f>
        <v>Locarno</v>
      </c>
      <c r="F455" s="2" t="str">
        <f>IFERROR(__xludf.DUMMYFUNCTION("REGEXEXTRACT(C455, ""🏘️ (\w+) \w+ .* ✅"")"),"Louer")</f>
        <v>Louer</v>
      </c>
      <c r="G455" s="2" t="str">
        <f>IFERROR(__xludf.DUMMYFUNCTION("REGEXEXTRACT(C455, ""🏘️ \w+ (\w+) .* ✅"")"),"maison")</f>
        <v>maison</v>
      </c>
      <c r="H455" s="4" t="str">
        <f>IFERROR(__xludf.DUMMYFUNCTION("REGEXEXTRACT(A455, ""/(\w+)-.*?"")"),"lieu")</f>
        <v>lieu</v>
      </c>
      <c r="I455" s="4" t="str">
        <f>IFERROR(__xludf.DUMMYFUNCTION("if(D455=""variant"",  substitute(filter(Templates!E:E, Templates!A:A = F455, Templates!B:B = G455, Templates!C:C = H455), ""{{}}"", E455), B455)"),"🏘  Vous cherchez une maison à louer à Locarno? ✅ Découvrez nos nombreuses annonces sur ImmoScout24.ch.")</f>
        <v>🏘  Vous cherchez une maison à louer à Locarno? ✅ Découvrez nos nombreuses annonces sur ImmoScout24.ch.</v>
      </c>
      <c r="J455" s="4" t="s">
        <v>1370</v>
      </c>
    </row>
    <row r="456">
      <c r="A456" s="5" t="s">
        <v>1371</v>
      </c>
      <c r="B456" s="2" t="s">
        <v>1372</v>
      </c>
      <c r="C456" s="4" t="str">
        <f>IFERROR(__xludf.DUMMYFUNCTION("""🏘️ ""&amp;REGEXEXTRACT(B456, ""^(.*): "")&amp;"" ✅ "" &amp;REGEXEXTRACT(B456, ""(Trouvez.*)"")"),"🏘️ Vendre maison Châtillon JU ✅ Trouvez le bien immobilier qui correspond idéalement à vos désirs sur ImmoScout24 - La plateforme de l'immobilier en Suisse.")</f>
        <v>🏘️ Vendre maison Châtillon JU ✅ Trouvez le bien immobilier qui correspond idéalement à vos désirs sur ImmoScout24 - La plateforme de l'immobilier en Suisse.</v>
      </c>
      <c r="D456" s="4" t="str">
        <f>vlookup(A456, Sheet2!D:E, 2, 0)</f>
        <v>variant</v>
      </c>
      <c r="E456" s="4" t="str">
        <f>IFERROR(__xludf.DUMMYFUNCTION("if(H456=""pays"",vlookup(REGEXEXTRACT(C456, ""🏘️ \w+ \w+ (.*) ✅""),'Country prepositions'!A:B, 2, 0) &amp; "" "" &amp; REGEXEXTRACT(C456, ""🏘️ \w+ \w+ (.*) ✅"") ,  if(H456=""quartier"",vlookup(REGEXEXTRACT(C456, ""🏘️ \w+ \w+ (.*) ✅""),'Quartier prepositions'!A"&amp;":E, 5, 0) ,  if(H456=""region"",vlookup(REGEXEXTRACT(C456, ""🏘️ \w+ \w+ (.*) ✅""),'Region prepositions'!B:F, 5, 0),  REGEXEXTRACT(C456, ""🏘️ \w+ \w+ (.*) ✅""))))"),"Châtillon JU")</f>
        <v>Châtillon JU</v>
      </c>
      <c r="F456" s="2" t="str">
        <f>IFERROR(__xludf.DUMMYFUNCTION("REGEXEXTRACT(C456, ""🏘️ (\w+) \w+ .* ✅"")"),"Vendre")</f>
        <v>Vendre</v>
      </c>
      <c r="G456" s="2" t="str">
        <f>IFERROR(__xludf.DUMMYFUNCTION("REGEXEXTRACT(C456, ""🏘️ \w+ (\w+) .* ✅"")"),"maison")</f>
        <v>maison</v>
      </c>
      <c r="H456" s="4" t="str">
        <f>IFERROR(__xludf.DUMMYFUNCTION("REGEXEXTRACT(A456, ""/(\w+)-.*?"")"),"lieu")</f>
        <v>lieu</v>
      </c>
      <c r="I456" s="4" t="str">
        <f>IFERROR(__xludf.DUMMYFUNCTION("if(D456=""variant"",  substitute(filter(Templates!E:E, Templates!A:A = F456, Templates!B:B = G456, Templates!C:C = H456), ""{{}}"", E456), B456)"),"🏘  Vous souhaitez acheter une maison à Châtillon JU? ✅ Jetez un œil aux dernières offres sur ImmoScout24.ch.")</f>
        <v>🏘  Vous souhaitez acheter une maison à Châtillon JU? ✅ Jetez un œil aux dernières offres sur ImmoScout24.ch.</v>
      </c>
      <c r="J456" s="4" t="s">
        <v>1373</v>
      </c>
    </row>
    <row r="457">
      <c r="A457" s="5" t="s">
        <v>1374</v>
      </c>
      <c r="B457" s="2" t="s">
        <v>1375</v>
      </c>
      <c r="C457" s="4" t="str">
        <f>IFERROR(__xludf.DUMMYFUNCTION("""🏘️ ""&amp;REGEXEXTRACT(B457, ""^(.*): "")&amp;"" ✅ "" &amp;REGEXEXTRACT(B457, ""(Trouvez.*)"")"),"🏘️ Louer appartement Chabrey ✅ Trouvez le bien immobilier qui correspond idéalement à vos désirs sur ImmoScout24 - La plateforme de l'immobilier en Suisse.")</f>
        <v>🏘️ Louer appartement Chabrey ✅ Trouvez le bien immobilier qui correspond idéalement à vos désirs sur ImmoScout24 - La plateforme de l'immobilier en Suisse.</v>
      </c>
      <c r="D457" s="4" t="str">
        <f>vlookup(A457, Sheet2!D:E, 2, 0)</f>
        <v>variant</v>
      </c>
      <c r="E457" s="4" t="str">
        <f>IFERROR(__xludf.DUMMYFUNCTION("if(H457=""pays"",vlookup(REGEXEXTRACT(C457, ""🏘️ \w+ \w+ (.*) ✅""),'Country prepositions'!A:B, 2, 0) &amp; "" "" &amp; REGEXEXTRACT(C457, ""🏘️ \w+ \w+ (.*) ✅"") ,  if(H457=""quartier"",vlookup(REGEXEXTRACT(C457, ""🏘️ \w+ \w+ (.*) ✅""),'Quartier prepositions'!A"&amp;":E, 5, 0) ,  if(H457=""region"",vlookup(REGEXEXTRACT(C457, ""🏘️ \w+ \w+ (.*) ✅""),'Region prepositions'!B:F, 5, 0),  REGEXEXTRACT(C457, ""🏘️ \w+ \w+ (.*) ✅""))))"),"Chabrey")</f>
        <v>Chabrey</v>
      </c>
      <c r="F457" s="2" t="str">
        <f>IFERROR(__xludf.DUMMYFUNCTION("REGEXEXTRACT(C457, ""🏘️ (\w+) \w+ .* ✅"")"),"Louer")</f>
        <v>Louer</v>
      </c>
      <c r="G457" s="2" t="str">
        <f>IFERROR(__xludf.DUMMYFUNCTION("REGEXEXTRACT(C457, ""🏘️ \w+ (\w+) .* ✅"")"),"appartement")</f>
        <v>appartement</v>
      </c>
      <c r="H457" s="4" t="str">
        <f>IFERROR(__xludf.DUMMYFUNCTION("REGEXEXTRACT(A457, ""/(\w+)-.*?"")"),"lieu")</f>
        <v>lieu</v>
      </c>
      <c r="I457" s="4" t="str">
        <f>IFERROR(__xludf.DUMMYFUNCTION("if(D457=""variant"",  substitute(filter(Templates!E:E, Templates!A:A = F457, Templates!B:B = G457, Templates!C:C = H457), ""{{}}"", E457), B457)"),"🏘  Vous cherchez un appartement à louer à Chabrey? ✅ Les annonces les plus actuelles sont sur ImmoScout24.ch.")</f>
        <v>🏘  Vous cherchez un appartement à louer à Chabrey? ✅ Les annonces les plus actuelles sont sur ImmoScout24.ch.</v>
      </c>
      <c r="J457" s="4" t="s">
        <v>1376</v>
      </c>
    </row>
    <row r="458">
      <c r="A458" s="5" t="s">
        <v>1377</v>
      </c>
      <c r="B458" s="2" t="s">
        <v>1378</v>
      </c>
      <c r="C458" s="4" t="str">
        <f>IFERROR(__xludf.DUMMYFUNCTION("""🏘️ ""&amp;REGEXEXTRACT(B458, ""^(.*): "")&amp;"" ✅ "" &amp;REGEXEXTRACT(B458, ""(Trouvez.*)"")"),"🏘️ Louer maison Le Pâquier NE ✅ Trouvez le bien immobilier qui correspond idéalement à vos désirs sur ImmoScout24 - La plateforme de l'immobilier en Suisse.")</f>
        <v>🏘️ Louer maison Le Pâquier NE ✅ Trouvez le bien immobilier qui correspond idéalement à vos désirs sur ImmoScout24 - La plateforme de l'immobilier en Suisse.</v>
      </c>
      <c r="D458" s="4" t="str">
        <f>vlookup(A458, Sheet2!D:E, 2, 0)</f>
        <v>variant</v>
      </c>
      <c r="E458" s="4" t="str">
        <f>IFERROR(__xludf.DUMMYFUNCTION("if(H458=""pays"",vlookup(REGEXEXTRACT(C458, ""🏘️ \w+ \w+ (.*) ✅""),'Country prepositions'!A:B, 2, 0) &amp; "" "" &amp; REGEXEXTRACT(C458, ""🏘️ \w+ \w+ (.*) ✅"") ,  if(H458=""quartier"",vlookup(REGEXEXTRACT(C458, ""🏘️ \w+ \w+ (.*) ✅""),'Quartier prepositions'!A"&amp;":E, 5, 0) ,  if(H458=""region"",vlookup(REGEXEXTRACT(C458, ""🏘️ \w+ \w+ (.*) ✅""),'Region prepositions'!B:F, 5, 0),  REGEXEXTRACT(C458, ""🏘️ \w+ \w+ (.*) ✅""))))"),"Le Pâquier NE")</f>
        <v>Le Pâquier NE</v>
      </c>
      <c r="F458" s="2" t="str">
        <f>IFERROR(__xludf.DUMMYFUNCTION("REGEXEXTRACT(C458, ""🏘️ (\w+) \w+ .* ✅"")"),"Louer")</f>
        <v>Louer</v>
      </c>
      <c r="G458" s="2" t="str">
        <f>IFERROR(__xludf.DUMMYFUNCTION("REGEXEXTRACT(C458, ""🏘️ \w+ (\w+) .* ✅"")"),"maison")</f>
        <v>maison</v>
      </c>
      <c r="H458" s="4" t="str">
        <f>IFERROR(__xludf.DUMMYFUNCTION("REGEXEXTRACT(A458, ""/(\w+)-.*?"")"),"lieu")</f>
        <v>lieu</v>
      </c>
      <c r="I458" s="8" t="str">
        <f>IFERROR(__xludf.DUMMYFUNCTION("if(D458=""variant"",  substitute(filter(Templates!E:E, Templates!A:A = F458, Templates!B:B = G458, Templates!C:C = H458), ""{{}}"", E458), B458)"),"🏘  Vous cherchez une maison à louer à Le Pâquier NE? ✅ Découvrez nos nombreuses annonces sur ImmoScout24.ch.")</f>
        <v>🏘  Vous cherchez une maison à louer à Le Pâquier NE? ✅ Découvrez nos nombreuses annonces sur ImmoScout24.ch.</v>
      </c>
      <c r="J458" s="2" t="s">
        <v>1379</v>
      </c>
    </row>
    <row r="459">
      <c r="A459" s="5" t="s">
        <v>1380</v>
      </c>
      <c r="B459" s="2" t="s">
        <v>1381</v>
      </c>
      <c r="C459" s="4" t="str">
        <f>IFERROR(__xludf.DUMMYFUNCTION("""🏘️ ""&amp;REGEXEXTRACT(B459, ""^(.*): "")&amp;"" ✅ "" &amp;REGEXEXTRACT(B459, ""(Trouvez.*)"")"),"🏘️ Louer appartement Avegno ✅ Trouvez le bien immobilier qui correspond idéalement à vos désirs sur ImmoScout24 - La plateforme de l'immobilier en Suisse.")</f>
        <v>🏘️ Louer appartement Avegno ✅ Trouvez le bien immobilier qui correspond idéalement à vos désirs sur ImmoScout24 - La plateforme de l'immobilier en Suisse.</v>
      </c>
      <c r="D459" s="4" t="str">
        <f>vlookup(A459, Sheet2!D:E, 2, 0)</f>
        <v>variant</v>
      </c>
      <c r="E459" s="4" t="str">
        <f>IFERROR(__xludf.DUMMYFUNCTION("if(H459=""pays"",vlookup(REGEXEXTRACT(C459, ""🏘️ \w+ \w+ (.*) ✅""),'Country prepositions'!A:B, 2, 0) &amp; "" "" &amp; REGEXEXTRACT(C459, ""🏘️ \w+ \w+ (.*) ✅"") ,  if(H459=""quartier"",vlookup(REGEXEXTRACT(C459, ""🏘️ \w+ \w+ (.*) ✅""),'Quartier prepositions'!A"&amp;":E, 5, 0) ,  if(H459=""region"",vlookup(REGEXEXTRACT(C459, ""🏘️ \w+ \w+ (.*) ✅""),'Region prepositions'!B:F, 5, 0),  REGEXEXTRACT(C459, ""🏘️ \w+ \w+ (.*) ✅""))))"),"Avegno")</f>
        <v>Avegno</v>
      </c>
      <c r="F459" s="2" t="str">
        <f>IFERROR(__xludf.DUMMYFUNCTION("REGEXEXTRACT(C459, ""🏘️ (\w+) \w+ .* ✅"")"),"Louer")</f>
        <v>Louer</v>
      </c>
      <c r="G459" s="2" t="str">
        <f>IFERROR(__xludf.DUMMYFUNCTION("REGEXEXTRACT(C459, ""🏘️ \w+ (\w+) .* ✅"")"),"appartement")</f>
        <v>appartement</v>
      </c>
      <c r="H459" s="4" t="str">
        <f>IFERROR(__xludf.DUMMYFUNCTION("REGEXEXTRACT(A459, ""/(\w+)-.*?"")"),"lieu")</f>
        <v>lieu</v>
      </c>
      <c r="I459" s="4" t="str">
        <f>IFERROR(__xludf.DUMMYFUNCTION("if(D459=""variant"",  substitute(filter(Templates!E:E, Templates!A:A = F459, Templates!B:B = G459, Templates!C:C = H459), ""{{}}"", E459), B459)"),"🏘  Vous cherchez un appartement à louer à Avegno? ✅ Les annonces les plus actuelles sont sur ImmoScout24.ch.")</f>
        <v>🏘  Vous cherchez un appartement à louer à Avegno? ✅ Les annonces les plus actuelles sont sur ImmoScout24.ch.</v>
      </c>
      <c r="J459" s="4" t="s">
        <v>1382</v>
      </c>
    </row>
    <row r="460">
      <c r="A460" s="5" t="s">
        <v>1383</v>
      </c>
      <c r="B460" s="2" t="s">
        <v>1384</v>
      </c>
      <c r="C460" s="4" t="str">
        <f>IFERROR(__xludf.DUMMYFUNCTION("""🏘️ ""&amp;REGEXEXTRACT(B460, ""^(.*): "")&amp;"" ✅ "" &amp;REGEXEXTRACT(B460, ""(Trouvez.*)"")"),"🏘️ Louer maison Anzère ✅ Trouvez le bien immobilier qui correspond idéalement à vos désirs sur ImmoScout24 - La plateforme de l'immobilier en Suisse.")</f>
        <v>🏘️ Louer maison Anzère ✅ Trouvez le bien immobilier qui correspond idéalement à vos désirs sur ImmoScout24 - La plateforme de l'immobilier en Suisse.</v>
      </c>
      <c r="D460" s="4" t="str">
        <f>vlookup(A460, Sheet2!D:E, 2, 0)</f>
        <v>variant</v>
      </c>
      <c r="E460" s="4" t="str">
        <f>IFERROR(__xludf.DUMMYFUNCTION("if(H460=""pays"",vlookup(REGEXEXTRACT(C460, ""🏘️ \w+ \w+ (.*) ✅""),'Country prepositions'!A:B, 2, 0) &amp; "" "" &amp; REGEXEXTRACT(C460, ""🏘️ \w+ \w+ (.*) ✅"") ,  if(H460=""quartier"",vlookup(REGEXEXTRACT(C460, ""🏘️ \w+ \w+ (.*) ✅""),'Quartier prepositions'!A"&amp;":E, 5, 0) ,  if(H460=""region"",vlookup(REGEXEXTRACT(C460, ""🏘️ \w+ \w+ (.*) ✅""),'Region prepositions'!B:F, 5, 0),  REGEXEXTRACT(C460, ""🏘️ \w+ \w+ (.*) ✅""))))"),"Anzère")</f>
        <v>Anzère</v>
      </c>
      <c r="F460" s="2" t="str">
        <f>IFERROR(__xludf.DUMMYFUNCTION("REGEXEXTRACT(C460, ""🏘️ (\w+) \w+ .* ✅"")"),"Louer")</f>
        <v>Louer</v>
      </c>
      <c r="G460" s="2" t="str">
        <f>IFERROR(__xludf.DUMMYFUNCTION("REGEXEXTRACT(C460, ""🏘️ \w+ (\w+) .* ✅"")"),"maison")</f>
        <v>maison</v>
      </c>
      <c r="H460" s="4" t="str">
        <f>IFERROR(__xludf.DUMMYFUNCTION("REGEXEXTRACT(A460, ""/(\w+)-.*?"")"),"lieu")</f>
        <v>lieu</v>
      </c>
      <c r="I460" s="4" t="str">
        <f>IFERROR(__xludf.DUMMYFUNCTION("if(D460=""variant"",  substitute(filter(Templates!E:E, Templates!A:A = F460, Templates!B:B = G460, Templates!C:C = H460), ""{{}}"", E460), B460)"),"🏘  Vous cherchez une maison à louer à Anzère? ✅ Découvrez nos nombreuses annonces sur ImmoScout24.ch.")</f>
        <v>🏘  Vous cherchez une maison à louer à Anzère? ✅ Découvrez nos nombreuses annonces sur ImmoScout24.ch.</v>
      </c>
      <c r="J460" s="4" t="s">
        <v>1385</v>
      </c>
    </row>
    <row r="461">
      <c r="A461" s="5" t="s">
        <v>1386</v>
      </c>
      <c r="B461" s="2" t="s">
        <v>1387</v>
      </c>
      <c r="C461" s="4" t="str">
        <f>IFERROR(__xludf.DUMMYFUNCTION("""🏘️ ""&amp;REGEXEXTRACT(B461, ""^(.*): "")&amp;"" ✅ "" &amp;REGEXEXTRACT(B461, ""(Trouvez.*)"")"),"🏘️ Louer appartement Abtwil SG ✅ Trouvez le bien immobilier qui correspond idéalement à vos désirs sur ImmoScout24 - La plateforme de l'immobilier en Suisse.")</f>
        <v>🏘️ Louer appartement Abtwil SG ✅ Trouvez le bien immobilier qui correspond idéalement à vos désirs sur ImmoScout24 - La plateforme de l'immobilier en Suisse.</v>
      </c>
      <c r="D461" s="4" t="str">
        <f>vlookup(A461, Sheet2!D:E, 2, 0)</f>
        <v>variant</v>
      </c>
      <c r="E461" s="4" t="str">
        <f>IFERROR(__xludf.DUMMYFUNCTION("if(H461=""pays"",vlookup(REGEXEXTRACT(C461, ""🏘️ \w+ \w+ (.*) ✅""),'Country prepositions'!A:B, 2, 0) &amp; "" "" &amp; REGEXEXTRACT(C461, ""🏘️ \w+ \w+ (.*) ✅"") ,  if(H461=""quartier"",vlookup(REGEXEXTRACT(C461, ""🏘️ \w+ \w+ (.*) ✅""),'Quartier prepositions'!A"&amp;":E, 5, 0) ,  if(H461=""region"",vlookup(REGEXEXTRACT(C461, ""🏘️ \w+ \w+ (.*) ✅""),'Region prepositions'!B:F, 5, 0),  REGEXEXTRACT(C461, ""🏘️ \w+ \w+ (.*) ✅""))))"),"Abtwil SG")</f>
        <v>Abtwil SG</v>
      </c>
      <c r="F461" s="2" t="str">
        <f>IFERROR(__xludf.DUMMYFUNCTION("REGEXEXTRACT(C461, ""🏘️ (\w+) \w+ .* ✅"")"),"Louer")</f>
        <v>Louer</v>
      </c>
      <c r="G461" s="2" t="str">
        <f>IFERROR(__xludf.DUMMYFUNCTION("REGEXEXTRACT(C461, ""🏘️ \w+ (\w+) .* ✅"")"),"appartement")</f>
        <v>appartement</v>
      </c>
      <c r="H461" s="4" t="str">
        <f>IFERROR(__xludf.DUMMYFUNCTION("REGEXEXTRACT(A461, ""/(\w+)-.*?"")"),"lieu")</f>
        <v>lieu</v>
      </c>
      <c r="I461" s="4" t="str">
        <f>IFERROR(__xludf.DUMMYFUNCTION("if(D461=""variant"",  substitute(filter(Templates!E:E, Templates!A:A = F461, Templates!B:B = G461, Templates!C:C = H461), ""{{}}"", E461), B461)"),"🏘  Vous cherchez un appartement à louer à Abtwil SG? ✅ Les annonces les plus actuelles sont sur ImmoScout24.ch.")</f>
        <v>🏘  Vous cherchez un appartement à louer à Abtwil SG? ✅ Les annonces les plus actuelles sont sur ImmoScout24.ch.</v>
      </c>
      <c r="J461" s="4" t="s">
        <v>1388</v>
      </c>
    </row>
    <row r="462">
      <c r="A462" s="5" t="s">
        <v>1389</v>
      </c>
      <c r="B462" s="2" t="s">
        <v>1390</v>
      </c>
      <c r="C462" s="4" t="str">
        <f>IFERROR(__xludf.DUMMYFUNCTION("""🏘️ ""&amp;REGEXEXTRACT(B462, ""^(.*): "")&amp;"" ✅ "" &amp;REGEXEXTRACT(B462, ""(Trouvez.*)"")"),"🏘️ Louer appartement Soleure et environs ✅ Trouvez le bien immobilier qui correspond idéalement à vos désirs sur ImmoScout24 - La plateforme de l'immobilier en Suisse.")</f>
        <v>🏘️ Louer appartement Soleure et environs ✅ Trouvez le bien immobilier qui correspond idéalement à vos désirs sur ImmoScout24 - La plateforme de l'immobilier en Suisse.</v>
      </c>
      <c r="D462" s="4" t="str">
        <f>vlookup(A462, Sheet2!D:E, 2, 0)</f>
        <v>variant</v>
      </c>
      <c r="E462" s="4" t="str">
        <f>IFERROR(__xludf.DUMMYFUNCTION("if(H462=""pays"",vlookup(REGEXEXTRACT(C462, ""🏘️ \w+ \w+ (.*) ✅""),'Country prepositions'!A:B, 2, 0) &amp; "" "" &amp; REGEXEXTRACT(C462, ""🏘️ \w+ \w+ (.*) ✅"") ,  if(H462=""quartier"",vlookup(REGEXEXTRACT(C462, ""🏘️ \w+ \w+ (.*) ✅""),'Quartier prepositions'!A"&amp;":E, 5, 0) ,  if(H462=""region"",vlookup(REGEXEXTRACT(C462, ""🏘️ \w+ \w+ (.*) ✅""),'Region prepositions'!B:F, 5, 0),  REGEXEXTRACT(C462, ""🏘️ \w+ \w+ (.*) ✅""))))"),"à Soleure et environs")</f>
        <v>à Soleure et environs</v>
      </c>
      <c r="F462" s="2" t="str">
        <f>IFERROR(__xludf.DUMMYFUNCTION("REGEXEXTRACT(C462, ""🏘️ (\w+) \w+ .* ✅"")"),"Louer")</f>
        <v>Louer</v>
      </c>
      <c r="G462" s="2" t="str">
        <f>IFERROR(__xludf.DUMMYFUNCTION("REGEXEXTRACT(C462, ""🏘️ \w+ (\w+) .* ✅"")"),"appartement")</f>
        <v>appartement</v>
      </c>
      <c r="H462" s="4" t="str">
        <f>IFERROR(__xludf.DUMMYFUNCTION("REGEXEXTRACT(A462, ""/(\w+)-.*?"")"),"region")</f>
        <v>region</v>
      </c>
      <c r="I462" s="4" t="str">
        <f>IFERROR(__xludf.DUMMYFUNCTION("if(D462=""variant"",  substitute(filter(Templates!E:E, Templates!A:A = F462, Templates!B:B = G462, Templates!C:C = H462), ""{{}}"", E462), B462)"),"🏘  Vous cherchez un appartement à louer à Soleure et environs? ✅ Les annonces les plus actuelles sont sur ImmoScout24.ch.")</f>
        <v>🏘  Vous cherchez un appartement à louer à Soleure et environs? ✅ Les annonces les plus actuelles sont sur ImmoScout24.ch.</v>
      </c>
      <c r="J462" s="4" t="s">
        <v>1391</v>
      </c>
    </row>
    <row r="463">
      <c r="A463" s="5" t="s">
        <v>1392</v>
      </c>
      <c r="B463" s="2" t="s">
        <v>1393</v>
      </c>
      <c r="C463" s="4" t="str">
        <f>IFERROR(__xludf.DUMMYFUNCTION("""🏘️ ""&amp;REGEXEXTRACT(B463, ""^(.*): "")&amp;"" ✅ "" &amp;REGEXEXTRACT(B463, ""(Trouvez.*)"")"),"🏘️ Vendre maison Cudrefin ✅ Trouvez le bien immobilier qui correspond idéalement à vos désirs sur ImmoScout24 - La plateforme de l'immobilier en Suisse.")</f>
        <v>🏘️ Vendre maison Cudrefin ✅ Trouvez le bien immobilier qui correspond idéalement à vos désirs sur ImmoScout24 - La plateforme de l'immobilier en Suisse.</v>
      </c>
      <c r="D463" s="4" t="str">
        <f>vlookup(A463, Sheet2!D:E, 2, 0)</f>
        <v>variant</v>
      </c>
      <c r="E463" s="4" t="str">
        <f>IFERROR(__xludf.DUMMYFUNCTION("if(H463=""pays"",vlookup(REGEXEXTRACT(C463, ""🏘️ \w+ \w+ (.*) ✅""),'Country prepositions'!A:B, 2, 0) &amp; "" "" &amp; REGEXEXTRACT(C463, ""🏘️ \w+ \w+ (.*) ✅"") ,  if(H463=""quartier"",vlookup(REGEXEXTRACT(C463, ""🏘️ \w+ \w+ (.*) ✅""),'Quartier prepositions'!A"&amp;":E, 5, 0) ,  if(H463=""region"",vlookup(REGEXEXTRACT(C463, ""🏘️ \w+ \w+ (.*) ✅""),'Region prepositions'!B:F, 5, 0),  REGEXEXTRACT(C463, ""🏘️ \w+ \w+ (.*) ✅""))))"),"Cudrefin")</f>
        <v>Cudrefin</v>
      </c>
      <c r="F463" s="2" t="str">
        <f>IFERROR(__xludf.DUMMYFUNCTION("REGEXEXTRACT(C463, ""🏘️ (\w+) \w+ .* ✅"")"),"Vendre")</f>
        <v>Vendre</v>
      </c>
      <c r="G463" s="2" t="str">
        <f>IFERROR(__xludf.DUMMYFUNCTION("REGEXEXTRACT(C463, ""🏘️ \w+ (\w+) .* ✅"")"),"maison")</f>
        <v>maison</v>
      </c>
      <c r="H463" s="4" t="str">
        <f>IFERROR(__xludf.DUMMYFUNCTION("REGEXEXTRACT(A463, ""/(\w+)-.*?"")"),"lieu")</f>
        <v>lieu</v>
      </c>
      <c r="I463" s="4" t="str">
        <f>IFERROR(__xludf.DUMMYFUNCTION("if(D463=""variant"",  substitute(filter(Templates!E:E, Templates!A:A = F463, Templates!B:B = G463, Templates!C:C = H463), ""{{}}"", E463), B463)"),"🏘  Vous souhaitez acheter une maison à Cudrefin? ✅ Jetez un œil aux dernières offres sur ImmoScout24.ch.")</f>
        <v>🏘  Vous souhaitez acheter une maison à Cudrefin? ✅ Jetez un œil aux dernières offres sur ImmoScout24.ch.</v>
      </c>
      <c r="J463" s="4" t="s">
        <v>1394</v>
      </c>
    </row>
    <row r="464">
      <c r="A464" s="5" t="s">
        <v>1395</v>
      </c>
      <c r="B464" s="2" t="s">
        <v>1396</v>
      </c>
      <c r="C464" s="4" t="str">
        <f>IFERROR(__xludf.DUMMYFUNCTION("""🏘️ ""&amp;REGEXEXTRACT(B464, ""^(.*): "")&amp;"" ✅ "" &amp;REGEXEXTRACT(B464, ""(Trouvez.*)"")"),"🏘️ Vendre appartement Verbier ✅ Trouvez le bien immobilier qui correspond idéalement à vos désirs sur ImmoScout24 - La plateforme de l'immobilier en Suisse.")</f>
        <v>🏘️ Vendre appartement Verbier ✅ Trouvez le bien immobilier qui correspond idéalement à vos désirs sur ImmoScout24 - La plateforme de l'immobilier en Suisse.</v>
      </c>
      <c r="D464" s="4" t="str">
        <f>vlookup(A464, Sheet2!D:E, 2, 0)</f>
        <v>variant</v>
      </c>
      <c r="E464" s="4" t="str">
        <f>IFERROR(__xludf.DUMMYFUNCTION("if(H464=""pays"",vlookup(REGEXEXTRACT(C464, ""🏘️ \w+ \w+ (.*) ✅""),'Country prepositions'!A:B, 2, 0) &amp; "" "" &amp; REGEXEXTRACT(C464, ""🏘️ \w+ \w+ (.*) ✅"") ,  if(H464=""quartier"",vlookup(REGEXEXTRACT(C464, ""🏘️ \w+ \w+ (.*) ✅""),'Quartier prepositions'!A"&amp;":E, 5, 0) ,  if(H464=""region"",vlookup(REGEXEXTRACT(C464, ""🏘️ \w+ \w+ (.*) ✅""),'Region prepositions'!B:F, 5, 0),  REGEXEXTRACT(C464, ""🏘️ \w+ \w+ (.*) ✅""))))"),"Verbier")</f>
        <v>Verbier</v>
      </c>
      <c r="F464" s="2" t="str">
        <f>IFERROR(__xludf.DUMMYFUNCTION("REGEXEXTRACT(C464, ""🏘️ (\w+) \w+ .* ✅"")"),"Vendre")</f>
        <v>Vendre</v>
      </c>
      <c r="G464" s="2" t="str">
        <f>IFERROR(__xludf.DUMMYFUNCTION("REGEXEXTRACT(C464, ""🏘️ \w+ (\w+) .* ✅"")"),"appartement")</f>
        <v>appartement</v>
      </c>
      <c r="H464" s="4" t="str">
        <f>IFERROR(__xludf.DUMMYFUNCTION("REGEXEXTRACT(A464, ""/(\w+)-.*?"")"),"lieu")</f>
        <v>lieu</v>
      </c>
      <c r="I464" s="4" t="str">
        <f>IFERROR(__xludf.DUMMYFUNCTION("if(D464=""variant"",  substitute(filter(Templates!E:E, Templates!A:A = F464, Templates!B:B = G464, Templates!C:C = H464), ""{{}}"", E464), B464)"),"🏘  L’appartement de vos rêves se trouve sur ImmoScout24.ch ✅ Découvrez les dernières annonces de vente à Verbier.")</f>
        <v>🏘  L’appartement de vos rêves se trouve sur ImmoScout24.ch ✅ Découvrez les dernières annonces de vente à Verbier.</v>
      </c>
      <c r="J464" s="4" t="s">
        <v>1397</v>
      </c>
    </row>
    <row r="465">
      <c r="A465" s="5" t="s">
        <v>1398</v>
      </c>
      <c r="B465" s="2" t="s">
        <v>1399</v>
      </c>
      <c r="C465" s="4" t="str">
        <f>IFERROR(__xludf.DUMMYFUNCTION("""🏘️ ""&amp;REGEXEXTRACT(B465, ""^(.*): "")&amp;"" ✅ "" &amp;REGEXEXTRACT(B465, ""(Trouvez.*)"")"),"🏘️ Louer appartement Bernex ✅ Trouvez le bien immobilier qui correspond idéalement à vos désirs sur ImmoScout24 - La plateforme de l'immobilier en Suisse.")</f>
        <v>🏘️ Louer appartement Bernex ✅ Trouvez le bien immobilier qui correspond idéalement à vos désirs sur ImmoScout24 - La plateforme de l'immobilier en Suisse.</v>
      </c>
      <c r="D465" s="4" t="str">
        <f>vlookup(A465, Sheet2!D:E, 2, 0)</f>
        <v>variant</v>
      </c>
      <c r="E465" s="4" t="str">
        <f>IFERROR(__xludf.DUMMYFUNCTION("if(H465=""pays"",vlookup(REGEXEXTRACT(C465, ""🏘️ \w+ \w+ (.*) ✅""),'Country prepositions'!A:B, 2, 0) &amp; "" "" &amp; REGEXEXTRACT(C465, ""🏘️ \w+ \w+ (.*) ✅"") ,  if(H465=""quartier"",vlookup(REGEXEXTRACT(C465, ""🏘️ \w+ \w+ (.*) ✅""),'Quartier prepositions'!A"&amp;":E, 5, 0) ,  if(H465=""region"",vlookup(REGEXEXTRACT(C465, ""🏘️ \w+ \w+ (.*) ✅""),'Region prepositions'!B:F, 5, 0),  REGEXEXTRACT(C465, ""🏘️ \w+ \w+ (.*) ✅""))))"),"Bernex")</f>
        <v>Bernex</v>
      </c>
      <c r="F465" s="2" t="str">
        <f>IFERROR(__xludf.DUMMYFUNCTION("REGEXEXTRACT(C465, ""🏘️ (\w+) \w+ .* ✅"")"),"Louer")</f>
        <v>Louer</v>
      </c>
      <c r="G465" s="2" t="str">
        <f>IFERROR(__xludf.DUMMYFUNCTION("REGEXEXTRACT(C465, ""🏘️ \w+ (\w+) .* ✅"")"),"appartement")</f>
        <v>appartement</v>
      </c>
      <c r="H465" s="4" t="str">
        <f>IFERROR(__xludf.DUMMYFUNCTION("REGEXEXTRACT(A465, ""/(\w+)-.*?"")"),"lieu")</f>
        <v>lieu</v>
      </c>
      <c r="I465" s="4" t="str">
        <f>IFERROR(__xludf.DUMMYFUNCTION("if(D465=""variant"",  substitute(filter(Templates!E:E, Templates!A:A = F465, Templates!B:B = G465, Templates!C:C = H465), ""{{}}"", E465), B465)"),"🏘  Vous cherchez un appartement à louer à Bernex? ✅ Les annonces les plus actuelles sont sur ImmoScout24.ch.")</f>
        <v>🏘  Vous cherchez un appartement à louer à Bernex? ✅ Les annonces les plus actuelles sont sur ImmoScout24.ch.</v>
      </c>
      <c r="J465" s="4" t="s">
        <v>1400</v>
      </c>
    </row>
    <row r="466">
      <c r="A466" s="5" t="s">
        <v>1401</v>
      </c>
      <c r="B466" s="2" t="s">
        <v>1402</v>
      </c>
      <c r="C466" s="4" t="str">
        <f>IFERROR(__xludf.DUMMYFUNCTION("""🏘️ ""&amp;REGEXEXTRACT(B466, ""^(.*): "")&amp;"" ✅ "" &amp;REGEXEXTRACT(B466, ""(Trouvez.*)"")"),"🏘️ Louer maison Yverdon-les-Bains ✅ Trouvez le bien immobilier qui correspond idéalement à vos désirs sur ImmoScout24 - La plateforme de l'immobilier en Suisse.")</f>
        <v>🏘️ Louer maison Yverdon-les-Bains ✅ Trouvez le bien immobilier qui correspond idéalement à vos désirs sur ImmoScout24 - La plateforme de l'immobilier en Suisse.</v>
      </c>
      <c r="D466" s="4" t="str">
        <f>vlookup(A466, Sheet2!D:E, 2, 0)</f>
        <v>variant</v>
      </c>
      <c r="E466" s="4" t="str">
        <f>IFERROR(__xludf.DUMMYFUNCTION("if(H466=""pays"",vlookup(REGEXEXTRACT(C466, ""🏘️ \w+ \w+ (.*) ✅""),'Country prepositions'!A:B, 2, 0) &amp; "" "" &amp; REGEXEXTRACT(C466, ""🏘️ \w+ \w+ (.*) ✅"") ,  if(H466=""quartier"",vlookup(REGEXEXTRACT(C466, ""🏘️ \w+ \w+ (.*) ✅""),'Quartier prepositions'!A"&amp;":E, 5, 0) ,  if(H466=""region"",vlookup(REGEXEXTRACT(C466, ""🏘️ \w+ \w+ (.*) ✅""),'Region prepositions'!B:F, 5, 0),  REGEXEXTRACT(C466, ""🏘️ \w+ \w+ (.*) ✅""))))"),"Yverdon-les-Bains")</f>
        <v>Yverdon-les-Bains</v>
      </c>
      <c r="F466" s="2" t="str">
        <f>IFERROR(__xludf.DUMMYFUNCTION("REGEXEXTRACT(C466, ""🏘️ (\w+) \w+ .* ✅"")"),"Louer")</f>
        <v>Louer</v>
      </c>
      <c r="G466" s="2" t="str">
        <f>IFERROR(__xludf.DUMMYFUNCTION("REGEXEXTRACT(C466, ""🏘️ \w+ (\w+) .* ✅"")"),"maison")</f>
        <v>maison</v>
      </c>
      <c r="H466" s="4" t="str">
        <f>IFERROR(__xludf.DUMMYFUNCTION("REGEXEXTRACT(A466, ""/(\w+)-.*?"")"),"lieu")</f>
        <v>lieu</v>
      </c>
      <c r="I466" s="4" t="str">
        <f>IFERROR(__xludf.DUMMYFUNCTION("if(D466=""variant"",  substitute(filter(Templates!E:E, Templates!A:A = F466, Templates!B:B = G466, Templates!C:C = H466), ""{{}}"", E466), B466)"),"🏘  Vous cherchez une maison à louer à Yverdon-les-Bains? ✅ Découvrez nos nombreuses annonces sur ImmoScout24.ch.")</f>
        <v>🏘  Vous cherchez une maison à louer à Yverdon-les-Bains? ✅ Découvrez nos nombreuses annonces sur ImmoScout24.ch.</v>
      </c>
      <c r="J466" s="4" t="s">
        <v>1403</v>
      </c>
    </row>
    <row r="467">
      <c r="A467" s="5" t="s">
        <v>1404</v>
      </c>
      <c r="B467" s="2" t="s">
        <v>1405</v>
      </c>
      <c r="C467" s="4" t="str">
        <f>IFERROR(__xludf.DUMMYFUNCTION("""🏘️ ""&amp;REGEXEXTRACT(B467, ""^(.*): "")&amp;"" ✅ "" &amp;REGEXEXTRACT(B467, ""(Trouvez.*)"")"),"🏘️ Vendre maison Mauborget ✅ Trouvez le bien immobilier qui correspond idéalement à vos désirs sur ImmoScout24 - La plateforme de l'immobilier en Suisse.")</f>
        <v>🏘️ Vendre maison Mauborget ✅ Trouvez le bien immobilier qui correspond idéalement à vos désirs sur ImmoScout24 - La plateforme de l'immobilier en Suisse.</v>
      </c>
      <c r="D467" s="4" t="str">
        <f>vlookup(A467, Sheet2!D:E, 2, 0)</f>
        <v>variant</v>
      </c>
      <c r="E467" s="4" t="str">
        <f>IFERROR(__xludf.DUMMYFUNCTION("if(H467=""pays"",vlookup(REGEXEXTRACT(C467, ""🏘️ \w+ \w+ (.*) ✅""),'Country prepositions'!A:B, 2, 0) &amp; "" "" &amp; REGEXEXTRACT(C467, ""🏘️ \w+ \w+ (.*) ✅"") ,  if(H467=""quartier"",vlookup(REGEXEXTRACT(C467, ""🏘️ \w+ \w+ (.*) ✅""),'Quartier prepositions'!A"&amp;":E, 5, 0) ,  if(H467=""region"",vlookup(REGEXEXTRACT(C467, ""🏘️ \w+ \w+ (.*) ✅""),'Region prepositions'!B:F, 5, 0),  REGEXEXTRACT(C467, ""🏘️ \w+ \w+ (.*) ✅""))))"),"Mauborget")</f>
        <v>Mauborget</v>
      </c>
      <c r="F467" s="2" t="str">
        <f>IFERROR(__xludf.DUMMYFUNCTION("REGEXEXTRACT(C467, ""🏘️ (\w+) \w+ .* ✅"")"),"Vendre")</f>
        <v>Vendre</v>
      </c>
      <c r="G467" s="2" t="str">
        <f>IFERROR(__xludf.DUMMYFUNCTION("REGEXEXTRACT(C467, ""🏘️ \w+ (\w+) .* ✅"")"),"maison")</f>
        <v>maison</v>
      </c>
      <c r="H467" s="4" t="str">
        <f>IFERROR(__xludf.DUMMYFUNCTION("REGEXEXTRACT(A467, ""/(\w+)-.*?"")"),"lieu")</f>
        <v>lieu</v>
      </c>
      <c r="I467" s="4" t="str">
        <f>IFERROR(__xludf.DUMMYFUNCTION("if(D467=""variant"",  substitute(filter(Templates!E:E, Templates!A:A = F467, Templates!B:B = G467, Templates!C:C = H467), ""{{}}"", E467), B467)"),"🏘  Vous souhaitez acheter une maison à Mauborget? ✅ Jetez un œil aux dernières offres sur ImmoScout24.ch.")</f>
        <v>🏘  Vous souhaitez acheter une maison à Mauborget? ✅ Jetez un œil aux dernières offres sur ImmoScout24.ch.</v>
      </c>
      <c r="J467" s="4" t="s">
        <v>1406</v>
      </c>
    </row>
    <row r="468">
      <c r="A468" s="5" t="s">
        <v>1407</v>
      </c>
      <c r="B468" s="2" t="s">
        <v>1408</v>
      </c>
      <c r="C468" s="4" t="str">
        <f>IFERROR(__xludf.DUMMYFUNCTION("""🏘️ ""&amp;REGEXEXTRACT(B468, ""^(.*): "")&amp;"" ✅ "" &amp;REGEXEXTRACT(B468, ""(Trouvez.*)"")"),"🏘️ Louer appartement Pensier ✅ Trouvez le bien immobilier qui correspond idéalement à vos désirs sur ImmoScout24 - La plateforme de l'immobilier en Suisse.")</f>
        <v>🏘️ Louer appartement Pensier ✅ Trouvez le bien immobilier qui correspond idéalement à vos désirs sur ImmoScout24 - La plateforme de l'immobilier en Suisse.</v>
      </c>
      <c r="D468" s="4" t="str">
        <f>vlookup(A468, Sheet2!D:E, 2, 0)</f>
        <v>variant</v>
      </c>
      <c r="E468" s="4" t="str">
        <f>IFERROR(__xludf.DUMMYFUNCTION("if(H468=""pays"",vlookup(REGEXEXTRACT(C468, ""🏘️ \w+ \w+ (.*) ✅""),'Country prepositions'!A:B, 2, 0) &amp; "" "" &amp; REGEXEXTRACT(C468, ""🏘️ \w+ \w+ (.*) ✅"") ,  if(H468=""quartier"",vlookup(REGEXEXTRACT(C468, ""🏘️ \w+ \w+ (.*) ✅""),'Quartier prepositions'!A"&amp;":E, 5, 0) ,  if(H468=""region"",vlookup(REGEXEXTRACT(C468, ""🏘️ \w+ \w+ (.*) ✅""),'Region prepositions'!B:F, 5, 0),  REGEXEXTRACT(C468, ""🏘️ \w+ \w+ (.*) ✅""))))"),"Pensier")</f>
        <v>Pensier</v>
      </c>
      <c r="F468" s="2" t="str">
        <f>IFERROR(__xludf.DUMMYFUNCTION("REGEXEXTRACT(C468, ""🏘️ (\w+) \w+ .* ✅"")"),"Louer")</f>
        <v>Louer</v>
      </c>
      <c r="G468" s="2" t="str">
        <f>IFERROR(__xludf.DUMMYFUNCTION("REGEXEXTRACT(C468, ""🏘️ \w+ (\w+) .* ✅"")"),"appartement")</f>
        <v>appartement</v>
      </c>
      <c r="H468" s="4" t="str">
        <f>IFERROR(__xludf.DUMMYFUNCTION("REGEXEXTRACT(A468, ""/(\w+)-.*?"")"),"lieu")</f>
        <v>lieu</v>
      </c>
      <c r="I468" s="4" t="str">
        <f>IFERROR(__xludf.DUMMYFUNCTION("if(D468=""variant"",  substitute(filter(Templates!E:E, Templates!A:A = F468, Templates!B:B = G468, Templates!C:C = H468), ""{{}}"", E468), B468)"),"🏘  Vous cherchez un appartement à louer à Pensier? ✅ Les annonces les plus actuelles sont sur ImmoScout24.ch.")</f>
        <v>🏘  Vous cherchez un appartement à louer à Pensier? ✅ Les annonces les plus actuelles sont sur ImmoScout24.ch.</v>
      </c>
      <c r="J468" s="4" t="s">
        <v>1409</v>
      </c>
    </row>
    <row r="469">
      <c r="A469" s="5" t="s">
        <v>1410</v>
      </c>
      <c r="B469" s="2" t="s">
        <v>1411</v>
      </c>
      <c r="C469" s="4" t="str">
        <f>IFERROR(__xludf.DUMMYFUNCTION("""🏘️ ""&amp;REGEXEXTRACT(B469, ""^(.*): "")&amp;"" ✅ "" &amp;REGEXEXTRACT(B469, ""(Trouvez.*)"")"),"🏘️ Vendre appartement Steinach ✅ Trouvez le bien immobilier qui correspond idéalement à vos désirs sur ImmoScout24 - La plateforme de l'immobilier en Suisse.")</f>
        <v>🏘️ Vendre appartement Steinach ✅ Trouvez le bien immobilier qui correspond idéalement à vos désirs sur ImmoScout24 - La plateforme de l'immobilier en Suisse.</v>
      </c>
      <c r="D469" s="4" t="str">
        <f>vlookup(A469, Sheet2!D:E, 2, 0)</f>
        <v>variant</v>
      </c>
      <c r="E469" s="4" t="str">
        <f>IFERROR(__xludf.DUMMYFUNCTION("if(H469=""pays"",vlookup(REGEXEXTRACT(C469, ""🏘️ \w+ \w+ (.*) ✅""),'Country prepositions'!A:B, 2, 0) &amp; "" "" &amp; REGEXEXTRACT(C469, ""🏘️ \w+ \w+ (.*) ✅"") ,  if(H469=""quartier"",vlookup(REGEXEXTRACT(C469, ""🏘️ \w+ \w+ (.*) ✅""),'Quartier prepositions'!A"&amp;":E, 5, 0) ,  if(H469=""region"",vlookup(REGEXEXTRACT(C469, ""🏘️ \w+ \w+ (.*) ✅""),'Region prepositions'!B:F, 5, 0),  REGEXEXTRACT(C469, ""🏘️ \w+ \w+ (.*) ✅""))))"),"Steinach")</f>
        <v>Steinach</v>
      </c>
      <c r="F469" s="2" t="str">
        <f>IFERROR(__xludf.DUMMYFUNCTION("REGEXEXTRACT(C469, ""🏘️ (\w+) \w+ .* ✅"")"),"Vendre")</f>
        <v>Vendre</v>
      </c>
      <c r="G469" s="2" t="str">
        <f>IFERROR(__xludf.DUMMYFUNCTION("REGEXEXTRACT(C469, ""🏘️ \w+ (\w+) .* ✅"")"),"appartement")</f>
        <v>appartement</v>
      </c>
      <c r="H469" s="4" t="str">
        <f>IFERROR(__xludf.DUMMYFUNCTION("REGEXEXTRACT(A469, ""/(\w+)-.*?"")"),"lieu")</f>
        <v>lieu</v>
      </c>
      <c r="I469" s="4" t="str">
        <f>IFERROR(__xludf.DUMMYFUNCTION("if(D469=""variant"",  substitute(filter(Templates!E:E, Templates!A:A = F469, Templates!B:B = G469, Templates!C:C = H469), ""{{}}"", E469), B469)"),"🏘  L’appartement de vos rêves se trouve sur ImmoScout24.ch ✅ Découvrez les dernières annonces de vente à Steinach.")</f>
        <v>🏘  L’appartement de vos rêves se trouve sur ImmoScout24.ch ✅ Découvrez les dernières annonces de vente à Steinach.</v>
      </c>
      <c r="J469" s="4" t="s">
        <v>1412</v>
      </c>
    </row>
    <row r="470">
      <c r="A470" s="5" t="s">
        <v>1413</v>
      </c>
      <c r="B470" s="2" t="s">
        <v>1414</v>
      </c>
      <c r="C470" s="4" t="str">
        <f>IFERROR(__xludf.DUMMYFUNCTION("""🏘️ ""&amp;REGEXEXTRACT(B470, ""^(.*): "")&amp;"" ✅ "" &amp;REGEXEXTRACT(B470, ""(Trouvez.*)"")"),"🏘️ Louer appartement Fislisbach ✅ Trouvez le bien immobilier qui correspond idéalement à vos désirs sur ImmoScout24 - La plateforme de l'immobilier en Suisse.")</f>
        <v>🏘️ Louer appartement Fislisbach ✅ Trouvez le bien immobilier qui correspond idéalement à vos désirs sur ImmoScout24 - La plateforme de l'immobilier en Suisse.</v>
      </c>
      <c r="D470" s="4" t="str">
        <f>vlookup(A470, Sheet2!D:E, 2, 0)</f>
        <v>variant</v>
      </c>
      <c r="E470" s="4" t="str">
        <f>IFERROR(__xludf.DUMMYFUNCTION("if(H470=""pays"",vlookup(REGEXEXTRACT(C470, ""🏘️ \w+ \w+ (.*) ✅""),'Country prepositions'!A:B, 2, 0) &amp; "" "" &amp; REGEXEXTRACT(C470, ""🏘️ \w+ \w+ (.*) ✅"") ,  if(H470=""quartier"",vlookup(REGEXEXTRACT(C470, ""🏘️ \w+ \w+ (.*) ✅""),'Quartier prepositions'!A"&amp;":E, 5, 0) ,  if(H470=""region"",vlookup(REGEXEXTRACT(C470, ""🏘️ \w+ \w+ (.*) ✅""),'Region prepositions'!B:F, 5, 0),  REGEXEXTRACT(C470, ""🏘️ \w+ \w+ (.*) ✅""))))"),"Fislisbach")</f>
        <v>Fislisbach</v>
      </c>
      <c r="F470" s="2" t="str">
        <f>IFERROR(__xludf.DUMMYFUNCTION("REGEXEXTRACT(C470, ""🏘️ (\w+) \w+ .* ✅"")"),"Louer")</f>
        <v>Louer</v>
      </c>
      <c r="G470" s="2" t="str">
        <f>IFERROR(__xludf.DUMMYFUNCTION("REGEXEXTRACT(C470, ""🏘️ \w+ (\w+) .* ✅"")"),"appartement")</f>
        <v>appartement</v>
      </c>
      <c r="H470" s="4" t="str">
        <f>IFERROR(__xludf.DUMMYFUNCTION("REGEXEXTRACT(A470, ""/(\w+)-.*?"")"),"lieu")</f>
        <v>lieu</v>
      </c>
      <c r="I470" s="4" t="str">
        <f>IFERROR(__xludf.DUMMYFUNCTION("if(D470=""variant"",  substitute(filter(Templates!E:E, Templates!A:A = F470, Templates!B:B = G470, Templates!C:C = H470), ""{{}}"", E470), B470)"),"🏘  Vous cherchez un appartement à louer à Fislisbach? ✅ Les annonces les plus actuelles sont sur ImmoScout24.ch.")</f>
        <v>🏘  Vous cherchez un appartement à louer à Fislisbach? ✅ Les annonces les plus actuelles sont sur ImmoScout24.ch.</v>
      </c>
      <c r="J470" s="4" t="s">
        <v>1415</v>
      </c>
    </row>
    <row r="471">
      <c r="A471" s="5" t="s">
        <v>1416</v>
      </c>
      <c r="B471" s="2" t="s">
        <v>1417</v>
      </c>
      <c r="C471" s="4" t="str">
        <f>IFERROR(__xludf.DUMMYFUNCTION("""🏘️ ""&amp;REGEXEXTRACT(B471, ""^(.*): "")&amp;"" ✅ "" &amp;REGEXEXTRACT(B471, ""(Trouvez.*)"")"),"🏘️ Louer maison Bougy-Villars ✅ Trouvez le bien immobilier qui correspond idéalement à vos désirs sur ImmoScout24 - La plateforme de l'immobilier en Suisse.")</f>
        <v>🏘️ Louer maison Bougy-Villars ✅ Trouvez le bien immobilier qui correspond idéalement à vos désirs sur ImmoScout24 - La plateforme de l'immobilier en Suisse.</v>
      </c>
      <c r="D471" s="4" t="str">
        <f>vlookup(A471, Sheet2!D:E, 2, 0)</f>
        <v>variant</v>
      </c>
      <c r="E471" s="4" t="str">
        <f>IFERROR(__xludf.DUMMYFUNCTION("if(H471=""pays"",vlookup(REGEXEXTRACT(C471, ""🏘️ \w+ \w+ (.*) ✅""),'Country prepositions'!A:B, 2, 0) &amp; "" "" &amp; REGEXEXTRACT(C471, ""🏘️ \w+ \w+ (.*) ✅"") ,  if(H471=""quartier"",vlookup(REGEXEXTRACT(C471, ""🏘️ \w+ \w+ (.*) ✅""),'Quartier prepositions'!A"&amp;":E, 5, 0) ,  if(H471=""region"",vlookup(REGEXEXTRACT(C471, ""🏘️ \w+ \w+ (.*) ✅""),'Region prepositions'!B:F, 5, 0),  REGEXEXTRACT(C471, ""🏘️ \w+ \w+ (.*) ✅""))))"),"Bougy-Villars")</f>
        <v>Bougy-Villars</v>
      </c>
      <c r="F471" s="2" t="str">
        <f>IFERROR(__xludf.DUMMYFUNCTION("REGEXEXTRACT(C471, ""🏘️ (\w+) \w+ .* ✅"")"),"Louer")</f>
        <v>Louer</v>
      </c>
      <c r="G471" s="2" t="str">
        <f>IFERROR(__xludf.DUMMYFUNCTION("REGEXEXTRACT(C471, ""🏘️ \w+ (\w+) .* ✅"")"),"maison")</f>
        <v>maison</v>
      </c>
      <c r="H471" s="4" t="str">
        <f>IFERROR(__xludf.DUMMYFUNCTION("REGEXEXTRACT(A471, ""/(\w+)-.*?"")"),"lieu")</f>
        <v>lieu</v>
      </c>
      <c r="I471" s="4" t="str">
        <f>IFERROR(__xludf.DUMMYFUNCTION("if(D471=""variant"",  substitute(filter(Templates!E:E, Templates!A:A = F471, Templates!B:B = G471, Templates!C:C = H471), ""{{}}"", E471), B471)"),"🏘  Vous cherchez une maison à louer à Bougy-Villars? ✅ Découvrez nos nombreuses annonces sur ImmoScout24.ch.")</f>
        <v>🏘  Vous cherchez une maison à louer à Bougy-Villars? ✅ Découvrez nos nombreuses annonces sur ImmoScout24.ch.</v>
      </c>
      <c r="J471" s="4" t="s">
        <v>1418</v>
      </c>
    </row>
    <row r="472">
      <c r="A472" s="5" t="s">
        <v>1419</v>
      </c>
      <c r="B472" s="2" t="s">
        <v>1420</v>
      </c>
      <c r="C472" s="4" t="str">
        <f>IFERROR(__xludf.DUMMYFUNCTION("""🏘️ ""&amp;REGEXEXTRACT(B472, ""^(.*): "")&amp;"" ✅ "" &amp;REGEXEXTRACT(B472, ""(Trouvez.*)"")"),"🏘️ Vendre appartement Obwalden ✅ Trouvez le bien immobilier qui correspond idéalement à vos désirs sur ImmoScout24 - La plateforme de l'immobilier en Suisse.")</f>
        <v>🏘️ Vendre appartement Obwalden ✅ Trouvez le bien immobilier qui correspond idéalement à vos désirs sur ImmoScout24 - La plateforme de l'immobilier en Suisse.</v>
      </c>
      <c r="D472" s="4" t="str">
        <f>vlookup(A472, Sheet2!D:E, 2, 0)</f>
        <v>variant</v>
      </c>
      <c r="E472" s="4" t="str">
        <f>IFERROR(__xludf.DUMMYFUNCTION("if(H472=""pays"",vlookup(REGEXEXTRACT(C472, ""🏘️ \w+ \w+ (.*) ✅""),'Country prepositions'!A:B, 2, 0) &amp; "" "" &amp; REGEXEXTRACT(C472, ""🏘️ \w+ \w+ (.*) ✅"") ,  if(H472=""quartier"",vlookup(REGEXEXTRACT(C472, ""🏘️ \w+ \w+ (.*) ✅""),'Quartier prepositions'!A"&amp;":E, 5, 0) ,  if(H472=""region"",vlookup(REGEXEXTRACT(C472, ""🏘️ \w+ \w+ (.*) ✅""),'Region prepositions'!B:F, 5, 0),  REGEXEXTRACT(C472, ""🏘️ \w+ \w+ (.*) ✅""))))"),"dans le canton d'Obwalden")</f>
        <v>dans le canton d'Obwalden</v>
      </c>
      <c r="F472" s="2" t="str">
        <f>IFERROR(__xludf.DUMMYFUNCTION("REGEXEXTRACT(C472, ""🏘️ (\w+) \w+ .* ✅"")"),"Vendre")</f>
        <v>Vendre</v>
      </c>
      <c r="G472" s="2" t="str">
        <f>IFERROR(__xludf.DUMMYFUNCTION("REGEXEXTRACT(C472, ""🏘️ \w+ (\w+) .* ✅"")"),"appartement")</f>
        <v>appartement</v>
      </c>
      <c r="H472" s="4" t="str">
        <f>IFERROR(__xludf.DUMMYFUNCTION("REGEXEXTRACT(A472, ""/(\w+)-.*?"")"),"region")</f>
        <v>region</v>
      </c>
      <c r="I472" s="8" t="str">
        <f>IFERROR(__xludf.DUMMYFUNCTION("if(D472=""variant"",  substitute(filter(Templates!E:E, Templates!A:A = F472, Templates!B:B = G472, Templates!C:C = H472), ""{{}}"", E472), B472)"),"🏘  L’appartement de vos rêves se trouve sur ImmoScout24.ch ✅ Découvrez les dernières annonces de vente dans le canton d'Obwalden.")</f>
        <v>🏘  L’appartement de vos rêves se trouve sur ImmoScout24.ch ✅ Découvrez les dernières annonces de vente dans le canton d'Obwalden.</v>
      </c>
      <c r="J472" s="4" t="s">
        <v>1421</v>
      </c>
    </row>
    <row r="473">
      <c r="A473" s="5" t="s">
        <v>1422</v>
      </c>
      <c r="B473" s="2" t="s">
        <v>1423</v>
      </c>
      <c r="C473" s="4" t="str">
        <f>IFERROR(__xludf.DUMMYFUNCTION("""🏘️ ""&amp;REGEXEXTRACT(B473, ""^(.*): "")&amp;"" ✅ "" &amp;REGEXEXTRACT(B473, ""(Trouvez.*)"")"),"🏘️ Louer appartement Lamboing ✅ Trouvez le bien immobilier qui correspond idéalement à vos désirs sur ImmoScout24 - La plateforme de l'immobilier en Suisse.")</f>
        <v>🏘️ Louer appartement Lamboing ✅ Trouvez le bien immobilier qui correspond idéalement à vos désirs sur ImmoScout24 - La plateforme de l'immobilier en Suisse.</v>
      </c>
      <c r="D473" s="4" t="str">
        <f>vlookup(A473, Sheet2!D:E, 2, 0)</f>
        <v>variant</v>
      </c>
      <c r="E473" s="4" t="str">
        <f>IFERROR(__xludf.DUMMYFUNCTION("if(H473=""pays"",vlookup(REGEXEXTRACT(C473, ""🏘️ \w+ \w+ (.*) ✅""),'Country prepositions'!A:B, 2, 0) &amp; "" "" &amp; REGEXEXTRACT(C473, ""🏘️ \w+ \w+ (.*) ✅"") ,  if(H473=""quartier"",vlookup(REGEXEXTRACT(C473, ""🏘️ \w+ \w+ (.*) ✅""),'Quartier prepositions'!A"&amp;":E, 5, 0) ,  if(H473=""region"",vlookup(REGEXEXTRACT(C473, ""🏘️ \w+ \w+ (.*) ✅""),'Region prepositions'!B:F, 5, 0),  REGEXEXTRACT(C473, ""🏘️ \w+ \w+ (.*) ✅""))))"),"Lamboing")</f>
        <v>Lamboing</v>
      </c>
      <c r="F473" s="2" t="str">
        <f>IFERROR(__xludf.DUMMYFUNCTION("REGEXEXTRACT(C473, ""🏘️ (\w+) \w+ .* ✅"")"),"Louer")</f>
        <v>Louer</v>
      </c>
      <c r="G473" s="2" t="str">
        <f>IFERROR(__xludf.DUMMYFUNCTION("REGEXEXTRACT(C473, ""🏘️ \w+ (\w+) .* ✅"")"),"appartement")</f>
        <v>appartement</v>
      </c>
      <c r="H473" s="4" t="str">
        <f>IFERROR(__xludf.DUMMYFUNCTION("REGEXEXTRACT(A473, ""/(\w+)-.*?"")"),"lieu")</f>
        <v>lieu</v>
      </c>
      <c r="I473" s="4" t="str">
        <f>IFERROR(__xludf.DUMMYFUNCTION("if(D473=""variant"",  substitute(filter(Templates!E:E, Templates!A:A = F473, Templates!B:B = G473, Templates!C:C = H473), ""{{}}"", E473), B473)"),"🏘  Vous cherchez un appartement à louer à Lamboing? ✅ Les annonces les plus actuelles sont sur ImmoScout24.ch.")</f>
        <v>🏘  Vous cherchez un appartement à louer à Lamboing? ✅ Les annonces les plus actuelles sont sur ImmoScout24.ch.</v>
      </c>
      <c r="J473" s="4" t="s">
        <v>1424</v>
      </c>
    </row>
    <row r="474">
      <c r="A474" s="5" t="s">
        <v>1425</v>
      </c>
      <c r="B474" s="2" t="s">
        <v>1426</v>
      </c>
      <c r="C474" s="4" t="str">
        <f>IFERROR(__xludf.DUMMYFUNCTION("""🏘️ ""&amp;REGEXEXTRACT(B474, ""^(.*): "")&amp;"" ✅ "" &amp;REGEXEXTRACT(B474, ""(Trouvez.*)"")"),"🏘️ Louer appartement Italie ✅ Trouvez le bien immobilier qui correspond idéalement à vos désirs sur ImmoScout24 - La plateforme de l'immobilier en Suisse.")</f>
        <v>🏘️ Louer appartement Italie ✅ Trouvez le bien immobilier qui correspond idéalement à vos désirs sur ImmoScout24 - La plateforme de l'immobilier en Suisse.</v>
      </c>
      <c r="D474" s="4" t="str">
        <f>vlookup(A474, Sheet2!D:E, 2, 0)</f>
        <v>variant</v>
      </c>
      <c r="E474" s="4" t="str">
        <f>IFERROR(__xludf.DUMMYFUNCTION("if(H474=""pays"",vlookup(REGEXEXTRACT(C474, ""🏘️ \w+ \w+ (.*) ✅""),'Country prepositions'!A:B, 2, 0) &amp; "" "" &amp; REGEXEXTRACT(C474, ""🏘️ \w+ \w+ (.*) ✅"") ,  if(H474=""quartier"",vlookup(REGEXEXTRACT(C474, ""🏘️ \w+ \w+ (.*) ✅""),'Quartier prepositions'!A"&amp;":E, 5, 0) ,  if(H474=""region"",vlookup(REGEXEXTRACT(C474, ""🏘️ \w+ \w+ (.*) ✅""),'Region prepositions'!B:F, 5, 0),  REGEXEXTRACT(C474, ""🏘️ \w+ \w+ (.*) ✅""))))"),"en Italie")</f>
        <v>en Italie</v>
      </c>
      <c r="F474" s="2" t="str">
        <f>IFERROR(__xludf.DUMMYFUNCTION("REGEXEXTRACT(C474, ""🏘️ (\w+) \w+ .* ✅"")"),"Louer")</f>
        <v>Louer</v>
      </c>
      <c r="G474" s="2" t="str">
        <f>IFERROR(__xludf.DUMMYFUNCTION("REGEXEXTRACT(C474, ""🏘️ \w+ (\w+) .* ✅"")"),"appartement")</f>
        <v>appartement</v>
      </c>
      <c r="H474" s="4" t="str">
        <f>IFERROR(__xludf.DUMMYFUNCTION("REGEXEXTRACT(A474, ""/(\w+)-.*?"")"),"pays")</f>
        <v>pays</v>
      </c>
      <c r="I474" s="4" t="str">
        <f>IFERROR(__xludf.DUMMYFUNCTION("if(D474=""variant"",  substitute(filter(Templates!E:E, Templates!A:A = F474, Templates!B:B = G474, Templates!C:C = H474), ""{{}}"", E474), B474)"),"🏘  Vous cherchez un appartement à louer en Italie? ✅ Les annonces les plus actuelles sont sur ImmoScout24.ch.")</f>
        <v>🏘  Vous cherchez un appartement à louer en Italie? ✅ Les annonces les plus actuelles sont sur ImmoScout24.ch.</v>
      </c>
      <c r="J474" s="4" t="s">
        <v>1427</v>
      </c>
    </row>
    <row r="475">
      <c r="A475" s="5" t="s">
        <v>1428</v>
      </c>
      <c r="B475" s="2" t="s">
        <v>1429</v>
      </c>
      <c r="C475" s="4" t="str">
        <f>IFERROR(__xludf.DUMMYFUNCTION("""🏘️ ""&amp;REGEXEXTRACT(B475, ""^(.*): "")&amp;"" ✅ "" &amp;REGEXEXTRACT(B475, ""(Trouvez.*)"")"),"🏘️ Vendre maison Rigi Kaltbad ✅ Trouvez le bien immobilier qui correspond idéalement à vos désirs sur ImmoScout24 - La plateforme de l'immobilier en Suisse.")</f>
        <v>🏘️ Vendre maison Rigi Kaltbad ✅ Trouvez le bien immobilier qui correspond idéalement à vos désirs sur ImmoScout24 - La plateforme de l'immobilier en Suisse.</v>
      </c>
      <c r="D475" s="4" t="str">
        <f>vlookup(A475, Sheet2!D:E, 2, 0)</f>
        <v>variant</v>
      </c>
      <c r="E475" s="4" t="str">
        <f>IFERROR(__xludf.DUMMYFUNCTION("if(H475=""pays"",vlookup(REGEXEXTRACT(C475, ""🏘️ \w+ \w+ (.*) ✅""),'Country prepositions'!A:B, 2, 0) &amp; "" "" &amp; REGEXEXTRACT(C475, ""🏘️ \w+ \w+ (.*) ✅"") ,  if(H475=""quartier"",vlookup(REGEXEXTRACT(C475, ""🏘️ \w+ \w+ (.*) ✅""),'Quartier prepositions'!A"&amp;":E, 5, 0) ,  if(H475=""region"",vlookup(REGEXEXTRACT(C475, ""🏘️ \w+ \w+ (.*) ✅""),'Region prepositions'!B:F, 5, 0),  REGEXEXTRACT(C475, ""🏘️ \w+ \w+ (.*) ✅""))))"),"Rigi Kaltbad")</f>
        <v>Rigi Kaltbad</v>
      </c>
      <c r="F475" s="2" t="str">
        <f>IFERROR(__xludf.DUMMYFUNCTION("REGEXEXTRACT(C475, ""🏘️ (\w+) \w+ .* ✅"")"),"Vendre")</f>
        <v>Vendre</v>
      </c>
      <c r="G475" s="2" t="str">
        <f>IFERROR(__xludf.DUMMYFUNCTION("REGEXEXTRACT(C475, ""🏘️ \w+ (\w+) .* ✅"")"),"maison")</f>
        <v>maison</v>
      </c>
      <c r="H475" s="4" t="str">
        <f>IFERROR(__xludf.DUMMYFUNCTION("REGEXEXTRACT(A475, ""/(\w+)-.*?"")"),"lieu")</f>
        <v>lieu</v>
      </c>
      <c r="I475" s="4" t="str">
        <f>IFERROR(__xludf.DUMMYFUNCTION("if(D475=""variant"",  substitute(filter(Templates!E:E, Templates!A:A = F475, Templates!B:B = G475, Templates!C:C = H475), ""{{}}"", E475), B475)"),"🏘  Vous souhaitez acheter une maison à Rigi Kaltbad? ✅ Jetez un œil aux dernières offres sur ImmoScout24.ch.")</f>
        <v>🏘  Vous souhaitez acheter une maison à Rigi Kaltbad? ✅ Jetez un œil aux dernières offres sur ImmoScout24.ch.</v>
      </c>
      <c r="J475" s="4" t="s">
        <v>1430</v>
      </c>
    </row>
    <row r="476">
      <c r="A476" s="5" t="s">
        <v>1431</v>
      </c>
      <c r="B476" s="2" t="s">
        <v>1432</v>
      </c>
      <c r="C476" s="4" t="str">
        <f>IFERROR(__xludf.DUMMYFUNCTION("""🏘️ ""&amp;REGEXEXTRACT(B476, ""^(.*): "")&amp;"" ✅ "" &amp;REGEXEXTRACT(B476, ""(Trouvez.*)"")"),"🏘️ Louer appartement Huémoz ✅ Trouvez le bien immobilier qui correspond idéalement à vos désirs sur ImmoScout24 - La plateforme de l'immobilier en Suisse.")</f>
        <v>🏘️ Louer appartement Huémoz ✅ Trouvez le bien immobilier qui correspond idéalement à vos désirs sur ImmoScout24 - La plateforme de l'immobilier en Suisse.</v>
      </c>
      <c r="D476" s="4" t="str">
        <f>vlookup(A476, Sheet2!D:E, 2, 0)</f>
        <v>variant</v>
      </c>
      <c r="E476" s="4" t="str">
        <f>IFERROR(__xludf.DUMMYFUNCTION("if(H476=""pays"",vlookup(REGEXEXTRACT(C476, ""🏘️ \w+ \w+ (.*) ✅""),'Country prepositions'!A:B, 2, 0) &amp; "" "" &amp; REGEXEXTRACT(C476, ""🏘️ \w+ \w+ (.*) ✅"") ,  if(H476=""quartier"",vlookup(REGEXEXTRACT(C476, ""🏘️ \w+ \w+ (.*) ✅""),'Quartier prepositions'!A"&amp;":E, 5, 0) ,  if(H476=""region"",vlookup(REGEXEXTRACT(C476, ""🏘️ \w+ \w+ (.*) ✅""),'Region prepositions'!B:F, 5, 0),  REGEXEXTRACT(C476, ""🏘️ \w+ \w+ (.*) ✅""))))"),"Huémoz")</f>
        <v>Huémoz</v>
      </c>
      <c r="F476" s="2" t="str">
        <f>IFERROR(__xludf.DUMMYFUNCTION("REGEXEXTRACT(C476, ""🏘️ (\w+) \w+ .* ✅"")"),"Louer")</f>
        <v>Louer</v>
      </c>
      <c r="G476" s="2" t="str">
        <f>IFERROR(__xludf.DUMMYFUNCTION("REGEXEXTRACT(C476, ""🏘️ \w+ (\w+) .* ✅"")"),"appartement")</f>
        <v>appartement</v>
      </c>
      <c r="H476" s="4" t="str">
        <f>IFERROR(__xludf.DUMMYFUNCTION("REGEXEXTRACT(A476, ""/(\w+)-.*?"")"),"lieu")</f>
        <v>lieu</v>
      </c>
      <c r="I476" s="4" t="str">
        <f>IFERROR(__xludf.DUMMYFUNCTION("if(D476=""variant"",  substitute(filter(Templates!E:E, Templates!A:A = F476, Templates!B:B = G476, Templates!C:C = H476), ""{{}}"", E476), B476)"),"🏘  Vous cherchez un appartement à louer à Huémoz? ✅ Les annonces les plus actuelles sont sur ImmoScout24.ch.")</f>
        <v>🏘  Vous cherchez un appartement à louer à Huémoz? ✅ Les annonces les plus actuelles sont sur ImmoScout24.ch.</v>
      </c>
      <c r="J476" s="4" t="s">
        <v>1433</v>
      </c>
    </row>
    <row r="477">
      <c r="A477" s="5" t="s">
        <v>1434</v>
      </c>
      <c r="B477" s="2" t="s">
        <v>1435</v>
      </c>
      <c r="C477" s="4" t="str">
        <f>IFERROR(__xludf.DUMMYFUNCTION("""🏘️ ""&amp;REGEXEXTRACT(B477, ""^(.*): "")&amp;"" ✅ "" &amp;REGEXEXTRACT(B477, ""(Trouvez.*)"")"),"🏘️ Vendre appartement Rathaus (Zurich) ✅ Trouvez le bien immobilier qui correspond idéalement à vos désirs sur ImmoScout24 - La plateforme de l'immobilier en Suisse.")</f>
        <v>🏘️ Vendre appartement Rathaus (Zurich) ✅ Trouvez le bien immobilier qui correspond idéalement à vos désirs sur ImmoScout24 - La plateforme de l'immobilier en Suisse.</v>
      </c>
      <c r="D477" s="4" t="str">
        <f>vlookup(A477, Sheet2!D:E, 2, 0)</f>
        <v>variant</v>
      </c>
      <c r="E477" s="4" t="str">
        <f>IFERROR(__xludf.DUMMYFUNCTION("if(H477=""pays"",vlookup(REGEXEXTRACT(C477, ""🏘️ \w+ \w+ (.*) ✅""),'Country prepositions'!A:B, 2, 0) &amp; "" "" &amp; REGEXEXTRACT(C477, ""🏘️ \w+ \w+ (.*) ✅"") ,  if(H477=""quartier"",vlookup(REGEXEXTRACT(C477, ""🏘️ \w+ \w+ (.*) ✅""),'Quartier prepositions'!A"&amp;":E, 5, 0) ,  if(H477=""region"",vlookup(REGEXEXTRACT(C477, ""🏘️ \w+ \w+ (.*) ✅""),'Region prepositions'!B:F, 5, 0),  REGEXEXTRACT(C477, ""🏘️ \w+ \w+ (.*) ✅""))))"),"dans le quartier Rathaus (Zurich)")</f>
        <v>dans le quartier Rathaus (Zurich)</v>
      </c>
      <c r="F477" s="2" t="str">
        <f>IFERROR(__xludf.DUMMYFUNCTION("REGEXEXTRACT(C477, ""🏘️ (\w+) \w+ .* ✅"")"),"Vendre")</f>
        <v>Vendre</v>
      </c>
      <c r="G477" s="2" t="str">
        <f>IFERROR(__xludf.DUMMYFUNCTION("REGEXEXTRACT(C477, ""🏘️ \w+ (\w+) .* ✅"")"),"appartement")</f>
        <v>appartement</v>
      </c>
      <c r="H477" s="4" t="str">
        <f>IFERROR(__xludf.DUMMYFUNCTION("REGEXEXTRACT(A477, ""/(\w+)-.*?"")"),"quartier")</f>
        <v>quartier</v>
      </c>
      <c r="I477" s="8" t="str">
        <f>IFERROR(__xludf.DUMMYFUNCTION("if(D477=""variant"",  substitute(filter(Templates!E:E, Templates!A:A = F477, Templates!B:B = G477, Templates!C:C = H477), ""{{}}"", E477), B477)"),"🏘  L’appartement de vos rêves se trouve sur ImmoScout24.ch ✅ Découvrez les dernières annonces de vente dans le quartier Rathaus (Zurich).")</f>
        <v>🏘  L’appartement de vos rêves se trouve sur ImmoScout24.ch ✅ Découvrez les dernières annonces de vente dans le quartier Rathaus (Zurich).</v>
      </c>
      <c r="J477" s="4" t="s">
        <v>1436</v>
      </c>
    </row>
    <row r="478">
      <c r="A478" s="5" t="s">
        <v>1437</v>
      </c>
      <c r="B478" s="2" t="s">
        <v>1438</v>
      </c>
      <c r="C478" s="4" t="str">
        <f>IFERROR(__xludf.DUMMYFUNCTION("""🏘️ ""&amp;REGEXEXTRACT(B478, ""^(.*): "")&amp;"" ✅ "" &amp;REGEXEXTRACT(B478, ""(Trouvez.*)"")"),"🏘️ Louer appartement Miécourt ✅ Trouvez le bien immobilier qui correspond idéalement à vos désirs sur ImmoScout24 - La plateforme de l'immobilier en Suisse.")</f>
        <v>🏘️ Louer appartement Miécourt ✅ Trouvez le bien immobilier qui correspond idéalement à vos désirs sur ImmoScout24 - La plateforme de l'immobilier en Suisse.</v>
      </c>
      <c r="D478" s="4" t="str">
        <f>vlookup(A478, Sheet2!D:E, 2, 0)</f>
        <v>variant</v>
      </c>
      <c r="E478" s="4" t="str">
        <f>IFERROR(__xludf.DUMMYFUNCTION("if(H478=""pays"",vlookup(REGEXEXTRACT(C478, ""🏘️ \w+ \w+ (.*) ✅""),'Country prepositions'!A:B, 2, 0) &amp; "" "" &amp; REGEXEXTRACT(C478, ""🏘️ \w+ \w+ (.*) ✅"") ,  if(H478=""quartier"",vlookup(REGEXEXTRACT(C478, ""🏘️ \w+ \w+ (.*) ✅""),'Quartier prepositions'!A"&amp;":E, 5, 0) ,  if(H478=""region"",vlookup(REGEXEXTRACT(C478, ""🏘️ \w+ \w+ (.*) ✅""),'Region prepositions'!B:F, 5, 0),  REGEXEXTRACT(C478, ""🏘️ \w+ \w+ (.*) ✅""))))"),"Miécourt")</f>
        <v>Miécourt</v>
      </c>
      <c r="F478" s="2" t="str">
        <f>IFERROR(__xludf.DUMMYFUNCTION("REGEXEXTRACT(C478, ""🏘️ (\w+) \w+ .* ✅"")"),"Louer")</f>
        <v>Louer</v>
      </c>
      <c r="G478" s="2" t="str">
        <f>IFERROR(__xludf.DUMMYFUNCTION("REGEXEXTRACT(C478, ""🏘️ \w+ (\w+) .* ✅"")"),"appartement")</f>
        <v>appartement</v>
      </c>
      <c r="H478" s="4" t="str">
        <f>IFERROR(__xludf.DUMMYFUNCTION("REGEXEXTRACT(A478, ""/(\w+)-.*?"")"),"lieu")</f>
        <v>lieu</v>
      </c>
      <c r="I478" s="4" t="str">
        <f>IFERROR(__xludf.DUMMYFUNCTION("if(D478=""variant"",  substitute(filter(Templates!E:E, Templates!A:A = F478, Templates!B:B = G478, Templates!C:C = H478), ""{{}}"", E478), B478)"),"🏘  Vous cherchez un appartement à louer à Miécourt? ✅ Les annonces les plus actuelles sont sur ImmoScout24.ch.")</f>
        <v>🏘  Vous cherchez un appartement à louer à Miécourt? ✅ Les annonces les plus actuelles sont sur ImmoScout24.ch.</v>
      </c>
      <c r="J478" s="4" t="s">
        <v>1439</v>
      </c>
    </row>
    <row r="479">
      <c r="A479" s="5" t="s">
        <v>1440</v>
      </c>
      <c r="B479" s="2" t="s">
        <v>1441</v>
      </c>
      <c r="C479" s="4" t="str">
        <f>IFERROR(__xludf.DUMMYFUNCTION("""🏘️ ""&amp;REGEXEXTRACT(B479, ""^(.*): "")&amp;"" ✅ "" &amp;REGEXEXTRACT(B479, ""(Trouvez.*)"")"),"🏘️ Louer appartement Apples ✅ Trouvez le bien immobilier qui correspond idéalement à vos désirs sur ImmoScout24 - La plateforme de l'immobilier en Suisse.")</f>
        <v>🏘️ Louer appartement Apples ✅ Trouvez le bien immobilier qui correspond idéalement à vos désirs sur ImmoScout24 - La plateforme de l'immobilier en Suisse.</v>
      </c>
      <c r="D479" s="4" t="str">
        <f>vlookup(A479, Sheet2!D:E, 2, 0)</f>
        <v>variant</v>
      </c>
      <c r="E479" s="4" t="str">
        <f>IFERROR(__xludf.DUMMYFUNCTION("if(H479=""pays"",vlookup(REGEXEXTRACT(C479, ""🏘️ \w+ \w+ (.*) ✅""),'Country prepositions'!A:B, 2, 0) &amp; "" "" &amp; REGEXEXTRACT(C479, ""🏘️ \w+ \w+ (.*) ✅"") ,  if(H479=""quartier"",vlookup(REGEXEXTRACT(C479, ""🏘️ \w+ \w+ (.*) ✅""),'Quartier prepositions'!A"&amp;":E, 5, 0) ,  if(H479=""region"",vlookup(REGEXEXTRACT(C479, ""🏘️ \w+ \w+ (.*) ✅""),'Region prepositions'!B:F, 5, 0),  REGEXEXTRACT(C479, ""🏘️ \w+ \w+ (.*) ✅""))))"),"Apples")</f>
        <v>Apples</v>
      </c>
      <c r="F479" s="2" t="str">
        <f>IFERROR(__xludf.DUMMYFUNCTION("REGEXEXTRACT(C479, ""🏘️ (\w+) \w+ .* ✅"")"),"Louer")</f>
        <v>Louer</v>
      </c>
      <c r="G479" s="2" t="str">
        <f>IFERROR(__xludf.DUMMYFUNCTION("REGEXEXTRACT(C479, ""🏘️ \w+ (\w+) .* ✅"")"),"appartement")</f>
        <v>appartement</v>
      </c>
      <c r="H479" s="4" t="str">
        <f>IFERROR(__xludf.DUMMYFUNCTION("REGEXEXTRACT(A479, ""/(\w+)-.*?"")"),"lieu")</f>
        <v>lieu</v>
      </c>
      <c r="I479" s="4" t="str">
        <f>IFERROR(__xludf.DUMMYFUNCTION("if(D479=""variant"",  substitute(filter(Templates!E:E, Templates!A:A = F479, Templates!B:B = G479, Templates!C:C = H479), ""{{}}"", E479), B479)"),"🏘  Vous cherchez un appartement à louer à Apples? ✅ Les annonces les plus actuelles sont sur ImmoScout24.ch.")</f>
        <v>🏘  Vous cherchez un appartement à louer à Apples? ✅ Les annonces les plus actuelles sont sur ImmoScout24.ch.</v>
      </c>
      <c r="J479" s="4" t="s">
        <v>1442</v>
      </c>
      <c r="R479" s="2" t="s">
        <v>1443</v>
      </c>
    </row>
    <row r="480">
      <c r="A480" s="5" t="s">
        <v>1444</v>
      </c>
      <c r="B480" s="2" t="s">
        <v>1445</v>
      </c>
      <c r="C480" s="4" t="str">
        <f>IFERROR(__xludf.DUMMYFUNCTION("""🏘️ ""&amp;REGEXEXTRACT(B480, ""^(.*): "")&amp;"" ✅ "" &amp;REGEXEXTRACT(B480, ""(Trouvez.*)"")"),"🏘️ Louer appartement Vessy ✅ Trouvez le bien immobilier qui correspond idéalement à vos désirs sur ImmoScout24 - La plateforme de l'immobilier en Suisse.")</f>
        <v>🏘️ Louer appartement Vessy ✅ Trouvez le bien immobilier qui correspond idéalement à vos désirs sur ImmoScout24 - La plateforme de l'immobilier en Suisse.</v>
      </c>
      <c r="D480" s="4" t="str">
        <f>vlookup(A480, Sheet2!D:E, 2, 0)</f>
        <v>variant</v>
      </c>
      <c r="E480" s="4" t="str">
        <f>IFERROR(__xludf.DUMMYFUNCTION("if(H480=""pays"",vlookup(REGEXEXTRACT(C480, ""🏘️ \w+ \w+ (.*) ✅""),'Country prepositions'!A:B, 2, 0) &amp; "" "" &amp; REGEXEXTRACT(C480, ""🏘️ \w+ \w+ (.*) ✅"") ,  if(H480=""quartier"",vlookup(REGEXEXTRACT(C480, ""🏘️ \w+ \w+ (.*) ✅""),'Quartier prepositions'!A"&amp;":E, 5, 0) ,  if(H480=""region"",vlookup(REGEXEXTRACT(C480, ""🏘️ \w+ \w+ (.*) ✅""),'Region prepositions'!B:F, 5, 0),  REGEXEXTRACT(C480, ""🏘️ \w+ \w+ (.*) ✅""))))"),"Vessy")</f>
        <v>Vessy</v>
      </c>
      <c r="F480" s="2" t="str">
        <f>IFERROR(__xludf.DUMMYFUNCTION("REGEXEXTRACT(C480, ""🏘️ (\w+) \w+ .* ✅"")"),"Louer")</f>
        <v>Louer</v>
      </c>
      <c r="G480" s="2" t="str">
        <f>IFERROR(__xludf.DUMMYFUNCTION("REGEXEXTRACT(C480, ""🏘️ \w+ (\w+) .* ✅"")"),"appartement")</f>
        <v>appartement</v>
      </c>
      <c r="H480" s="4" t="str">
        <f>IFERROR(__xludf.DUMMYFUNCTION("REGEXEXTRACT(A480, ""/(\w+)-.*?"")"),"lieu")</f>
        <v>lieu</v>
      </c>
      <c r="I480" s="4" t="str">
        <f>IFERROR(__xludf.DUMMYFUNCTION("if(D480=""variant"",  substitute(filter(Templates!E:E, Templates!A:A = F480, Templates!B:B = G480, Templates!C:C = H480), ""{{}}"", E480), B480)"),"🏘  Vous cherchez un appartement à louer à Vessy? ✅ Les annonces les plus actuelles sont sur ImmoScout24.ch.")</f>
        <v>🏘  Vous cherchez un appartement à louer à Vessy? ✅ Les annonces les plus actuelles sont sur ImmoScout24.ch.</v>
      </c>
      <c r="J480" s="4" t="s">
        <v>1446</v>
      </c>
      <c r="R480" s="2" t="s">
        <v>1447</v>
      </c>
    </row>
    <row r="481">
      <c r="A481" s="5" t="s">
        <v>1448</v>
      </c>
      <c r="B481" s="2" t="s">
        <v>1449</v>
      </c>
      <c r="C481" s="4" t="str">
        <f>IFERROR(__xludf.DUMMYFUNCTION("""🏘️ ""&amp;REGEXEXTRACT(B481, ""^(.*): "")&amp;"" ✅ "" &amp;REGEXEXTRACT(B481, ""(Trouvez.*)"")"),"🏘️ Louer maison Crans-près-Céligny ✅ Trouvez le bien immobilier qui correspond idéalement à vos désirs sur ImmoScout24 - La plateforme de l'immobilier en Suisse.")</f>
        <v>🏘️ Louer maison Crans-près-Céligny ✅ Trouvez le bien immobilier qui correspond idéalement à vos désirs sur ImmoScout24 - La plateforme de l'immobilier en Suisse.</v>
      </c>
      <c r="D481" s="4" t="str">
        <f>vlookup(A481, Sheet2!D:E, 2, 0)</f>
        <v>variant</v>
      </c>
      <c r="E481" s="4" t="str">
        <f>IFERROR(__xludf.DUMMYFUNCTION("if(H481=""pays"",vlookup(REGEXEXTRACT(C481, ""🏘️ \w+ \w+ (.*) ✅""),'Country prepositions'!A:B, 2, 0) &amp; "" "" &amp; REGEXEXTRACT(C481, ""🏘️ \w+ \w+ (.*) ✅"") ,  if(H481=""quartier"",vlookup(REGEXEXTRACT(C481, ""🏘️ \w+ \w+ (.*) ✅""),'Quartier prepositions'!A"&amp;":E, 5, 0) ,  if(H481=""region"",vlookup(REGEXEXTRACT(C481, ""🏘️ \w+ \w+ (.*) ✅""),'Region prepositions'!B:F, 5, 0),  REGEXEXTRACT(C481, ""🏘️ \w+ \w+ (.*) ✅""))))"),"Crans-près-Céligny")</f>
        <v>Crans-près-Céligny</v>
      </c>
      <c r="F481" s="2" t="str">
        <f>IFERROR(__xludf.DUMMYFUNCTION("REGEXEXTRACT(C481, ""🏘️ (\w+) \w+ .* ✅"")"),"Louer")</f>
        <v>Louer</v>
      </c>
      <c r="G481" s="2" t="str">
        <f>IFERROR(__xludf.DUMMYFUNCTION("REGEXEXTRACT(C481, ""🏘️ \w+ (\w+) .* ✅"")"),"maison")</f>
        <v>maison</v>
      </c>
      <c r="H481" s="4" t="str">
        <f>IFERROR(__xludf.DUMMYFUNCTION("REGEXEXTRACT(A481, ""/(\w+)-.*?"")"),"lieu")</f>
        <v>lieu</v>
      </c>
      <c r="I481" s="4" t="str">
        <f>IFERROR(__xludf.DUMMYFUNCTION("if(D481=""variant"",  substitute(filter(Templates!E:E, Templates!A:A = F481, Templates!B:B = G481, Templates!C:C = H481), ""{{}}"", E481), B481)"),"🏘  Vous cherchez une maison à louer à Crans-près-Céligny? ✅ Découvrez nos nombreuses annonces sur ImmoScout24.ch.")</f>
        <v>🏘  Vous cherchez une maison à louer à Crans-près-Céligny? ✅ Découvrez nos nombreuses annonces sur ImmoScout24.ch.</v>
      </c>
      <c r="J481" s="4" t="s">
        <v>1450</v>
      </c>
    </row>
    <row r="482">
      <c r="A482" s="5" t="s">
        <v>1451</v>
      </c>
      <c r="B482" s="2" t="s">
        <v>1452</v>
      </c>
      <c r="C482" s="4" t="str">
        <f>IFERROR(__xludf.DUMMYFUNCTION("""🏘️ ""&amp;REGEXEXTRACT(B482, ""^(.*): "")&amp;"" ✅ "" &amp;REGEXEXTRACT(B482, ""(Trouvez.*)"")"),"🏘️ Vendre maison La Cibourg ✅ Trouvez le bien immobilier qui correspond idéalement à vos désirs sur ImmoScout24 - La plateforme de l'immobilier en Suisse.")</f>
        <v>🏘️ Vendre maison La Cibourg ✅ Trouvez le bien immobilier qui correspond idéalement à vos désirs sur ImmoScout24 - La plateforme de l'immobilier en Suisse.</v>
      </c>
      <c r="D482" s="4" t="str">
        <f>vlookup(A482, Sheet2!D:E, 2, 0)</f>
        <v>variant</v>
      </c>
      <c r="E482" s="4" t="str">
        <f>IFERROR(__xludf.DUMMYFUNCTION("if(H482=""pays"",vlookup(REGEXEXTRACT(C482, ""🏘️ \w+ \w+ (.*) ✅""),'Country prepositions'!A:B, 2, 0) &amp; "" "" &amp; REGEXEXTRACT(C482, ""🏘️ \w+ \w+ (.*) ✅"") ,  if(H482=""quartier"",vlookup(REGEXEXTRACT(C482, ""🏘️ \w+ \w+ (.*) ✅""),'Quartier prepositions'!A"&amp;":E, 5, 0) ,  if(H482=""region"",vlookup(REGEXEXTRACT(C482, ""🏘️ \w+ \w+ (.*) ✅""),'Region prepositions'!B:F, 5, 0),  REGEXEXTRACT(C482, ""🏘️ \w+ \w+ (.*) ✅""))))"),"La Cibourg")</f>
        <v>La Cibourg</v>
      </c>
      <c r="F482" s="2" t="str">
        <f>IFERROR(__xludf.DUMMYFUNCTION("REGEXEXTRACT(C482, ""🏘️ (\w+) \w+ .* ✅"")"),"Vendre")</f>
        <v>Vendre</v>
      </c>
      <c r="G482" s="2" t="str">
        <f>IFERROR(__xludf.DUMMYFUNCTION("REGEXEXTRACT(C482, ""🏘️ \w+ (\w+) .* ✅"")"),"maison")</f>
        <v>maison</v>
      </c>
      <c r="H482" s="4" t="str">
        <f>IFERROR(__xludf.DUMMYFUNCTION("REGEXEXTRACT(A482, ""/(\w+)-.*?"")"),"lieu")</f>
        <v>lieu</v>
      </c>
      <c r="I482" s="4" t="str">
        <f>IFERROR(__xludf.DUMMYFUNCTION("if(D482=""variant"",  substitute(filter(Templates!E:E, Templates!A:A = F482, Templates!B:B = G482, Templates!C:C = H482), ""{{}}"", E482), B482)"),"🏘  Vous souhaitez acheter une maison à La Cibourg? ✅ Jetez un œil aux dernières offres sur ImmoScout24.ch.")</f>
        <v>🏘  Vous souhaitez acheter une maison à La Cibourg? ✅ Jetez un œil aux dernières offres sur ImmoScout24.ch.</v>
      </c>
      <c r="J482" s="4" t="s">
        <v>1453</v>
      </c>
    </row>
    <row r="483">
      <c r="A483" s="5" t="s">
        <v>1454</v>
      </c>
      <c r="B483" s="2" t="s">
        <v>1455</v>
      </c>
      <c r="C483" s="4" t="str">
        <f>IFERROR(__xludf.DUMMYFUNCTION("""🏘️ ""&amp;REGEXEXTRACT(B483, ""^(.*): "")&amp;"" ✅ "" &amp;REGEXEXTRACT(B483, ""(Trouvez.*)"")"),"🏘️ Vendre maison Faido ✅ Trouvez le bien immobilier qui correspond idéalement à vos désirs sur ImmoScout24 - La plateforme de l'immobilier en Suisse.")</f>
        <v>🏘️ Vendre maison Faido ✅ Trouvez le bien immobilier qui correspond idéalement à vos désirs sur ImmoScout24 - La plateforme de l'immobilier en Suisse.</v>
      </c>
      <c r="D483" s="4" t="str">
        <f>vlookup(A483, Sheet2!D:E, 2, 0)</f>
        <v>variant</v>
      </c>
      <c r="E483" s="4" t="str">
        <f>IFERROR(__xludf.DUMMYFUNCTION("if(H483=""pays"",vlookup(REGEXEXTRACT(C483, ""🏘️ \w+ \w+ (.*) ✅""),'Country prepositions'!A:B, 2, 0) &amp; "" "" &amp; REGEXEXTRACT(C483, ""🏘️ \w+ \w+ (.*) ✅"") ,  if(H483=""quartier"",vlookup(REGEXEXTRACT(C483, ""🏘️ \w+ \w+ (.*) ✅""),'Quartier prepositions'!A"&amp;":E, 5, 0) ,  if(H483=""region"",vlookup(REGEXEXTRACT(C483, ""🏘️ \w+ \w+ (.*) ✅""),'Region prepositions'!B:F, 5, 0),  REGEXEXTRACT(C483, ""🏘️ \w+ \w+ (.*) ✅""))))"),"Faido")</f>
        <v>Faido</v>
      </c>
      <c r="F483" s="2" t="str">
        <f>IFERROR(__xludf.DUMMYFUNCTION("REGEXEXTRACT(C483, ""🏘️ (\w+) \w+ .* ✅"")"),"Vendre")</f>
        <v>Vendre</v>
      </c>
      <c r="G483" s="2" t="str">
        <f>IFERROR(__xludf.DUMMYFUNCTION("REGEXEXTRACT(C483, ""🏘️ \w+ (\w+) .* ✅"")"),"maison")</f>
        <v>maison</v>
      </c>
      <c r="H483" s="4" t="str">
        <f>IFERROR(__xludf.DUMMYFUNCTION("REGEXEXTRACT(A483, ""/(\w+)-.*?"")"),"lieu")</f>
        <v>lieu</v>
      </c>
      <c r="I483" s="4" t="str">
        <f>IFERROR(__xludf.DUMMYFUNCTION("if(D483=""variant"",  substitute(filter(Templates!E:E, Templates!A:A = F483, Templates!B:B = G483, Templates!C:C = H483), ""{{}}"", E483), B483)"),"🏘  Vous souhaitez acheter une maison à Faido? ✅ Jetez un œil aux dernières offres sur ImmoScout24.ch.")</f>
        <v>🏘  Vous souhaitez acheter une maison à Faido? ✅ Jetez un œil aux dernières offres sur ImmoScout24.ch.</v>
      </c>
      <c r="J483" s="4" t="s">
        <v>1456</v>
      </c>
    </row>
    <row r="484">
      <c r="A484" s="5" t="s">
        <v>1457</v>
      </c>
      <c r="B484" s="2" t="s">
        <v>1458</v>
      </c>
      <c r="C484" s="4" t="str">
        <f>IFERROR(__xludf.DUMMYFUNCTION("""🏘️ ""&amp;REGEXEXTRACT(B484, ""^(.*): "")&amp;"" ✅ "" &amp;REGEXEXTRACT(B484, ""(Trouvez.*)"")"),"🏘️ Louer maison Chamoson ✅ Trouvez le bien immobilier qui correspond idéalement à vos désirs sur ImmoScout24 - La plateforme de l'immobilier en Suisse.")</f>
        <v>🏘️ Louer maison Chamoson ✅ Trouvez le bien immobilier qui correspond idéalement à vos désirs sur ImmoScout24 - La plateforme de l'immobilier en Suisse.</v>
      </c>
      <c r="D484" s="4" t="str">
        <f>vlookup(A484, Sheet2!D:E, 2, 0)</f>
        <v>variant</v>
      </c>
      <c r="E484" s="4" t="str">
        <f>IFERROR(__xludf.DUMMYFUNCTION("if(H484=""pays"",vlookup(REGEXEXTRACT(C484, ""🏘️ \w+ \w+ (.*) ✅""),'Country prepositions'!A:B, 2, 0) &amp; "" "" &amp; REGEXEXTRACT(C484, ""🏘️ \w+ \w+ (.*) ✅"") ,  if(H484=""quartier"",vlookup(REGEXEXTRACT(C484, ""🏘️ \w+ \w+ (.*) ✅""),'Quartier prepositions'!A"&amp;":E, 5, 0) ,  if(H484=""region"",vlookup(REGEXEXTRACT(C484, ""🏘️ \w+ \w+ (.*) ✅""),'Region prepositions'!B:F, 5, 0),  REGEXEXTRACT(C484, ""🏘️ \w+ \w+ (.*) ✅""))))"),"Chamoson")</f>
        <v>Chamoson</v>
      </c>
      <c r="F484" s="2" t="str">
        <f>IFERROR(__xludf.DUMMYFUNCTION("REGEXEXTRACT(C484, ""🏘️ (\w+) \w+ .* ✅"")"),"Louer")</f>
        <v>Louer</v>
      </c>
      <c r="G484" s="2" t="str">
        <f>IFERROR(__xludf.DUMMYFUNCTION("REGEXEXTRACT(C484, ""🏘️ \w+ (\w+) .* ✅"")"),"maison")</f>
        <v>maison</v>
      </c>
      <c r="H484" s="4" t="str">
        <f>IFERROR(__xludf.DUMMYFUNCTION("REGEXEXTRACT(A484, ""/(\w+)-.*?"")"),"lieu")</f>
        <v>lieu</v>
      </c>
      <c r="I484" s="4" t="str">
        <f>IFERROR(__xludf.DUMMYFUNCTION("if(D484=""variant"",  substitute(filter(Templates!E:E, Templates!A:A = F484, Templates!B:B = G484, Templates!C:C = H484), ""{{}}"", E484), B484)"),"🏘  Vous cherchez une maison à louer à Chamoson? ✅ Découvrez nos nombreuses annonces sur ImmoScout24.ch.")</f>
        <v>🏘  Vous cherchez une maison à louer à Chamoson? ✅ Découvrez nos nombreuses annonces sur ImmoScout24.ch.</v>
      </c>
      <c r="J484" s="4" t="s">
        <v>1459</v>
      </c>
    </row>
    <row r="485">
      <c r="A485" s="5" t="s">
        <v>1460</v>
      </c>
      <c r="B485" s="2" t="s">
        <v>1461</v>
      </c>
      <c r="C485" s="4" t="str">
        <f>IFERROR(__xludf.DUMMYFUNCTION("""🏘️ ""&amp;REGEXEXTRACT(B485, ""^(.*): "")&amp;"" ✅ "" &amp;REGEXEXTRACT(B485, ""(Trouvez.*)"")"),"🏘️ Vendre maison Corserey ✅ Trouvez le bien immobilier qui correspond idéalement à vos désirs sur ImmoScout24 - La plateforme de l'immobilier en Suisse.")</f>
        <v>🏘️ Vendre maison Corserey ✅ Trouvez le bien immobilier qui correspond idéalement à vos désirs sur ImmoScout24 - La plateforme de l'immobilier en Suisse.</v>
      </c>
      <c r="D485" s="4" t="str">
        <f>vlookup(A485, Sheet2!D:E, 2, 0)</f>
        <v>variant</v>
      </c>
      <c r="E485" s="4" t="str">
        <f>IFERROR(__xludf.DUMMYFUNCTION("if(H485=""pays"",vlookup(REGEXEXTRACT(C485, ""🏘️ \w+ \w+ (.*) ✅""),'Country prepositions'!A:B, 2, 0) &amp; "" "" &amp; REGEXEXTRACT(C485, ""🏘️ \w+ \w+ (.*) ✅"") ,  if(H485=""quartier"",vlookup(REGEXEXTRACT(C485, ""🏘️ \w+ \w+ (.*) ✅""),'Quartier prepositions'!A"&amp;":E, 5, 0) ,  if(H485=""region"",vlookup(REGEXEXTRACT(C485, ""🏘️ \w+ \w+ (.*) ✅""),'Region prepositions'!B:F, 5, 0),  REGEXEXTRACT(C485, ""🏘️ \w+ \w+ (.*) ✅""))))"),"Corserey")</f>
        <v>Corserey</v>
      </c>
      <c r="F485" s="2" t="str">
        <f>IFERROR(__xludf.DUMMYFUNCTION("REGEXEXTRACT(C485, ""🏘️ (\w+) \w+ .* ✅"")"),"Vendre")</f>
        <v>Vendre</v>
      </c>
      <c r="G485" s="2" t="str">
        <f>IFERROR(__xludf.DUMMYFUNCTION("REGEXEXTRACT(C485, ""🏘️ \w+ (\w+) .* ✅"")"),"maison")</f>
        <v>maison</v>
      </c>
      <c r="H485" s="4" t="str">
        <f>IFERROR(__xludf.DUMMYFUNCTION("REGEXEXTRACT(A485, ""/(\w+)-.*?"")"),"lieu")</f>
        <v>lieu</v>
      </c>
      <c r="I485" s="4" t="str">
        <f>IFERROR(__xludf.DUMMYFUNCTION("if(D485=""variant"",  substitute(filter(Templates!E:E, Templates!A:A = F485, Templates!B:B = G485, Templates!C:C = H485), ""{{}}"", E485), B485)"),"🏘  Vous souhaitez acheter une maison à Corserey? ✅ Jetez un œil aux dernières offres sur ImmoScout24.ch.")</f>
        <v>🏘  Vous souhaitez acheter une maison à Corserey? ✅ Jetez un œil aux dernières offres sur ImmoScout24.ch.</v>
      </c>
      <c r="J485" s="4" t="s">
        <v>1462</v>
      </c>
    </row>
    <row r="486">
      <c r="A486" s="5" t="s">
        <v>1463</v>
      </c>
      <c r="B486" s="2" t="s">
        <v>1464</v>
      </c>
      <c r="C486" s="4" t="str">
        <f>IFERROR(__xludf.DUMMYFUNCTION("""🏘️ ""&amp;REGEXEXTRACT(B486, ""^(.*): "")&amp;"" ✅ "" &amp;REGEXEXTRACT(B486, ""(Trouvez.*)"")"),"🏘️ Louer appartement Fraubrunnen ✅ Trouvez le bien immobilier qui correspond idéalement à vos désirs sur ImmoScout24 - La plateforme de l'immobilier en Suisse.")</f>
        <v>🏘️ Louer appartement Fraubrunnen ✅ Trouvez le bien immobilier qui correspond idéalement à vos désirs sur ImmoScout24 - La plateforme de l'immobilier en Suisse.</v>
      </c>
      <c r="D486" s="4" t="str">
        <f>vlookup(A486, Sheet2!D:E, 2, 0)</f>
        <v>variant</v>
      </c>
      <c r="E486" s="4" t="str">
        <f>IFERROR(__xludf.DUMMYFUNCTION("if(H486=""pays"",vlookup(REGEXEXTRACT(C486, ""🏘️ \w+ \w+ (.*) ✅""),'Country prepositions'!A:B, 2, 0) &amp; "" "" &amp; REGEXEXTRACT(C486, ""🏘️ \w+ \w+ (.*) ✅"") ,  if(H486=""quartier"",vlookup(REGEXEXTRACT(C486, ""🏘️ \w+ \w+ (.*) ✅""),'Quartier prepositions'!A"&amp;":E, 5, 0) ,  if(H486=""region"",vlookup(REGEXEXTRACT(C486, ""🏘️ \w+ \w+ (.*) ✅""),'Region prepositions'!B:F, 5, 0),  REGEXEXTRACT(C486, ""🏘️ \w+ \w+ (.*) ✅""))))"),"Fraubrunnen")</f>
        <v>Fraubrunnen</v>
      </c>
      <c r="F486" s="2" t="str">
        <f>IFERROR(__xludf.DUMMYFUNCTION("REGEXEXTRACT(C486, ""🏘️ (\w+) \w+ .* ✅"")"),"Louer")</f>
        <v>Louer</v>
      </c>
      <c r="G486" s="2" t="str">
        <f>IFERROR(__xludf.DUMMYFUNCTION("REGEXEXTRACT(C486, ""🏘️ \w+ (\w+) .* ✅"")"),"appartement")</f>
        <v>appartement</v>
      </c>
      <c r="H486" s="4" t="str">
        <f>IFERROR(__xludf.DUMMYFUNCTION("REGEXEXTRACT(A486, ""/(\w+)-.*?"")"),"lieu")</f>
        <v>lieu</v>
      </c>
      <c r="I486" s="4" t="str">
        <f>IFERROR(__xludf.DUMMYFUNCTION("if(D486=""variant"",  substitute(filter(Templates!E:E, Templates!A:A = F486, Templates!B:B = G486, Templates!C:C = H486), ""{{}}"", E486), B486)"),"🏘  Vous cherchez un appartement à louer à Fraubrunnen? ✅ Les annonces les plus actuelles sont sur ImmoScout24.ch.")</f>
        <v>🏘  Vous cherchez un appartement à louer à Fraubrunnen? ✅ Les annonces les plus actuelles sont sur ImmoScout24.ch.</v>
      </c>
      <c r="J486" s="4" t="s">
        <v>1465</v>
      </c>
    </row>
    <row r="487">
      <c r="A487" s="5" t="s">
        <v>1466</v>
      </c>
      <c r="B487" s="2" t="s">
        <v>1467</v>
      </c>
      <c r="C487" s="4" t="str">
        <f>IFERROR(__xludf.DUMMYFUNCTION("""🏘️ ""&amp;REGEXEXTRACT(B487, ""^(.*): "")&amp;"" ✅ "" &amp;REGEXEXTRACT(B487, ""(Trouvez.*)"")"),"🏘️ Louer appartement Näfels ✅ Trouvez le bien immobilier qui correspond idéalement à vos désirs sur ImmoScout24 - La plateforme de l'immobilier en Suisse.")</f>
        <v>🏘️ Louer appartement Näfels ✅ Trouvez le bien immobilier qui correspond idéalement à vos désirs sur ImmoScout24 - La plateforme de l'immobilier en Suisse.</v>
      </c>
      <c r="D487" s="4" t="str">
        <f>vlookup(A487, Sheet2!D:E, 2, 0)</f>
        <v>variant</v>
      </c>
      <c r="E487" s="4" t="str">
        <f>IFERROR(__xludf.DUMMYFUNCTION("if(H487=""pays"",vlookup(REGEXEXTRACT(C487, ""🏘️ \w+ \w+ (.*) ✅""),'Country prepositions'!A:B, 2, 0) &amp; "" "" &amp; REGEXEXTRACT(C487, ""🏘️ \w+ \w+ (.*) ✅"") ,  if(H487=""quartier"",vlookup(REGEXEXTRACT(C487, ""🏘️ \w+ \w+ (.*) ✅""),'Quartier prepositions'!A"&amp;":E, 5, 0) ,  if(H487=""region"",vlookup(REGEXEXTRACT(C487, ""🏘️ \w+ \w+ (.*) ✅""),'Region prepositions'!B:F, 5, 0),  REGEXEXTRACT(C487, ""🏘️ \w+ \w+ (.*) ✅""))))"),"Näfels")</f>
        <v>Näfels</v>
      </c>
      <c r="F487" s="2" t="str">
        <f>IFERROR(__xludf.DUMMYFUNCTION("REGEXEXTRACT(C487, ""🏘️ (\w+) \w+ .* ✅"")"),"Louer")</f>
        <v>Louer</v>
      </c>
      <c r="G487" s="2" t="str">
        <f>IFERROR(__xludf.DUMMYFUNCTION("REGEXEXTRACT(C487, ""🏘️ \w+ (\w+) .* ✅"")"),"appartement")</f>
        <v>appartement</v>
      </c>
      <c r="H487" s="4" t="str">
        <f>IFERROR(__xludf.DUMMYFUNCTION("REGEXEXTRACT(A487, ""/(\w+)-.*?"")"),"lieu")</f>
        <v>lieu</v>
      </c>
      <c r="I487" s="4" t="str">
        <f>IFERROR(__xludf.DUMMYFUNCTION("if(D487=""variant"",  substitute(filter(Templates!E:E, Templates!A:A = F487, Templates!B:B = G487, Templates!C:C = H487), ""{{}}"", E487), B487)"),"🏘  Vous cherchez un appartement à louer à Näfels? ✅ Les annonces les plus actuelles sont sur ImmoScout24.ch.")</f>
        <v>🏘  Vous cherchez un appartement à louer à Näfels? ✅ Les annonces les plus actuelles sont sur ImmoScout24.ch.</v>
      </c>
      <c r="J487" s="4" t="s">
        <v>1468</v>
      </c>
    </row>
    <row r="488">
      <c r="A488" s="5" t="s">
        <v>1469</v>
      </c>
      <c r="B488" s="2" t="s">
        <v>1470</v>
      </c>
      <c r="C488" s="4" t="str">
        <f>IFERROR(__xludf.DUMMYFUNCTION("""🏘️ ""&amp;REGEXEXTRACT(B488, ""^(.*): "")&amp;"" ✅ "" &amp;REGEXEXTRACT(B488, ""(Trouvez.*)"")"),"🏘️ Vendre maison Mörigen ✅ Trouvez le bien immobilier qui correspond idéalement à vos désirs sur ImmoScout24 - La plateforme de l'immobilier en Suisse.")</f>
        <v>🏘️ Vendre maison Mörigen ✅ Trouvez le bien immobilier qui correspond idéalement à vos désirs sur ImmoScout24 - La plateforme de l'immobilier en Suisse.</v>
      </c>
      <c r="D488" s="4" t="str">
        <f>vlookup(A488, Sheet2!D:E, 2, 0)</f>
        <v>variant</v>
      </c>
      <c r="E488" s="4" t="str">
        <f>IFERROR(__xludf.DUMMYFUNCTION("if(H488=""pays"",vlookup(REGEXEXTRACT(C488, ""🏘️ \w+ \w+ (.*) ✅""),'Country prepositions'!A:B, 2, 0) &amp; "" "" &amp; REGEXEXTRACT(C488, ""🏘️ \w+ \w+ (.*) ✅"") ,  if(H488=""quartier"",vlookup(REGEXEXTRACT(C488, ""🏘️ \w+ \w+ (.*) ✅""),'Quartier prepositions'!A"&amp;":E, 5, 0) ,  if(H488=""region"",vlookup(REGEXEXTRACT(C488, ""🏘️ \w+ \w+ (.*) ✅""),'Region prepositions'!B:F, 5, 0),  REGEXEXTRACT(C488, ""🏘️ \w+ \w+ (.*) ✅""))))"),"Mörigen")</f>
        <v>Mörigen</v>
      </c>
      <c r="F488" s="2" t="str">
        <f>IFERROR(__xludf.DUMMYFUNCTION("REGEXEXTRACT(C488, ""🏘️ (\w+) \w+ .* ✅"")"),"Vendre")</f>
        <v>Vendre</v>
      </c>
      <c r="G488" s="2" t="str">
        <f>IFERROR(__xludf.DUMMYFUNCTION("REGEXEXTRACT(C488, ""🏘️ \w+ (\w+) .* ✅"")"),"maison")</f>
        <v>maison</v>
      </c>
      <c r="H488" s="4" t="str">
        <f>IFERROR(__xludf.DUMMYFUNCTION("REGEXEXTRACT(A488, ""/(\w+)-.*?"")"),"lieu")</f>
        <v>lieu</v>
      </c>
      <c r="I488" s="4" t="str">
        <f>IFERROR(__xludf.DUMMYFUNCTION("if(D488=""variant"",  substitute(filter(Templates!E:E, Templates!A:A = F488, Templates!B:B = G488, Templates!C:C = H488), ""{{}}"", E488), B488)"),"🏘  Vous souhaitez acheter une maison à Mörigen? ✅ Jetez un œil aux dernières offres sur ImmoScout24.ch.")</f>
        <v>🏘  Vous souhaitez acheter une maison à Mörigen? ✅ Jetez un œil aux dernières offres sur ImmoScout24.ch.</v>
      </c>
      <c r="J488" s="4" t="s">
        <v>1471</v>
      </c>
    </row>
    <row r="489">
      <c r="A489" s="5" t="s">
        <v>1472</v>
      </c>
      <c r="B489" s="2" t="s">
        <v>1473</v>
      </c>
      <c r="C489" s="4" t="str">
        <f>IFERROR(__xludf.DUMMYFUNCTION("""🏘️ ""&amp;REGEXEXTRACT(B489, ""^(.*): "")&amp;"" ✅ "" &amp;REGEXEXTRACT(B489, ""(Trouvez.*)"")"),"🏘️ Vendre appartement Montchoisi (Lausanne) ✅ Trouvez le bien immobilier qui correspond idéalement à vos désirs sur ImmoScout24 - La plateforme de l'immobilier en Suisse.")</f>
        <v>🏘️ Vendre appartement Montchoisi (Lausanne) ✅ Trouvez le bien immobilier qui correspond idéalement à vos désirs sur ImmoScout24 - La plateforme de l'immobilier en Suisse.</v>
      </c>
      <c r="D489" s="4" t="str">
        <f>vlookup(A489, Sheet2!D:E, 2, 0)</f>
        <v>variant</v>
      </c>
      <c r="E489" s="4" t="str">
        <f>IFERROR(__xludf.DUMMYFUNCTION("if(H489=""pays"",vlookup(REGEXEXTRACT(C489, ""🏘️ \w+ \w+ (.*) ✅""),'Country prepositions'!A:B, 2, 0) &amp; "" "" &amp; REGEXEXTRACT(C489, ""🏘️ \w+ \w+ (.*) ✅"") ,  if(H489=""quartier"",vlookup(REGEXEXTRACT(C489, ""🏘️ \w+ \w+ (.*) ✅""),'Quartier prepositions'!A"&amp;":E, 5, 0) ,  if(H489=""region"",vlookup(REGEXEXTRACT(C489, ""🏘️ \w+ \w+ (.*) ✅""),'Region prepositions'!B:F, 5, 0),  REGEXEXTRACT(C489, ""🏘️ \w+ \w+ (.*) ✅""))))"),"dans le quartier de Montchoisi (Lausanne)")</f>
        <v>dans le quartier de Montchoisi (Lausanne)</v>
      </c>
      <c r="F489" s="2" t="str">
        <f>IFERROR(__xludf.DUMMYFUNCTION("REGEXEXTRACT(C489, ""🏘️ (\w+) \w+ .* ✅"")"),"Vendre")</f>
        <v>Vendre</v>
      </c>
      <c r="G489" s="2" t="str">
        <f>IFERROR(__xludf.DUMMYFUNCTION("REGEXEXTRACT(C489, ""🏘️ \w+ (\w+) .* ✅"")"),"appartement")</f>
        <v>appartement</v>
      </c>
      <c r="H489" s="4" t="str">
        <f>IFERROR(__xludf.DUMMYFUNCTION("REGEXEXTRACT(A489, ""/(\w+)-.*?"")"),"quartier")</f>
        <v>quartier</v>
      </c>
      <c r="I489" s="4" t="str">
        <f>IFERROR(__xludf.DUMMYFUNCTION("if(D489=""variant"",  substitute(filter(Templates!E:E, Templates!A:A = F489, Templates!B:B = G489, Templates!C:C = H489), ""{{}}"", E489), B489)"),"🏘  L’appartement de vos rêves se trouve sur ImmoScout24.ch ✅ Découvrez les dernières annonces de vente dans le quartier de Montchoisi (Lausanne).")</f>
        <v>🏘  L’appartement de vos rêves se trouve sur ImmoScout24.ch ✅ Découvrez les dernières annonces de vente dans le quartier de Montchoisi (Lausanne).</v>
      </c>
      <c r="J489" s="4" t="s">
        <v>1474</v>
      </c>
    </row>
    <row r="490">
      <c r="A490" s="5" t="s">
        <v>1475</v>
      </c>
      <c r="B490" s="2" t="s">
        <v>1476</v>
      </c>
      <c r="C490" s="4" t="str">
        <f>IFERROR(__xludf.DUMMYFUNCTION("""🏘️ ""&amp;REGEXEXTRACT(B490, ""^(.*): "")&amp;"" ✅ "" &amp;REGEXEXTRACT(B490, ""(Trouvez.*)"")"),"🏘️ Vendre appartement Oron-la-Ville ✅ Trouvez le bien immobilier qui correspond idéalement à vos désirs sur ImmoScout24 - La plateforme de l'immobilier en Suisse.")</f>
        <v>🏘️ Vendre appartement Oron-la-Ville ✅ Trouvez le bien immobilier qui correspond idéalement à vos désirs sur ImmoScout24 - La plateforme de l'immobilier en Suisse.</v>
      </c>
      <c r="D490" s="4" t="str">
        <f>vlookup(A490, Sheet2!D:E, 2, 0)</f>
        <v>variant</v>
      </c>
      <c r="E490" s="4" t="str">
        <f>IFERROR(__xludf.DUMMYFUNCTION("if(H490=""pays"",vlookup(REGEXEXTRACT(C490, ""🏘️ \w+ \w+ (.*) ✅""),'Country prepositions'!A:B, 2, 0) &amp; "" "" &amp; REGEXEXTRACT(C490, ""🏘️ \w+ \w+ (.*) ✅"") ,  if(H490=""quartier"",vlookup(REGEXEXTRACT(C490, ""🏘️ \w+ \w+ (.*) ✅""),'Quartier prepositions'!A"&amp;":E, 5, 0) ,  if(H490=""region"",vlookup(REGEXEXTRACT(C490, ""🏘️ \w+ \w+ (.*) ✅""),'Region prepositions'!B:F, 5, 0),  REGEXEXTRACT(C490, ""🏘️ \w+ \w+ (.*) ✅""))))"),"Oron-la-Ville")</f>
        <v>Oron-la-Ville</v>
      </c>
      <c r="F490" s="2" t="str">
        <f>IFERROR(__xludf.DUMMYFUNCTION("REGEXEXTRACT(C490, ""🏘️ (\w+) \w+ .* ✅"")"),"Vendre")</f>
        <v>Vendre</v>
      </c>
      <c r="G490" s="2" t="str">
        <f>IFERROR(__xludf.DUMMYFUNCTION("REGEXEXTRACT(C490, ""🏘️ \w+ (\w+) .* ✅"")"),"appartement")</f>
        <v>appartement</v>
      </c>
      <c r="H490" s="4" t="str">
        <f>IFERROR(__xludf.DUMMYFUNCTION("REGEXEXTRACT(A490, ""/(\w+)-.*?"")"),"lieu")</f>
        <v>lieu</v>
      </c>
      <c r="I490" s="4" t="str">
        <f>IFERROR(__xludf.DUMMYFUNCTION("if(D490=""variant"",  substitute(filter(Templates!E:E, Templates!A:A = F490, Templates!B:B = G490, Templates!C:C = H490), ""{{}}"", E490), B490)"),"🏘  L’appartement de vos rêves se trouve sur ImmoScout24.ch ✅ Découvrez les dernières annonces de vente à Oron-la-Ville.")</f>
        <v>🏘  L’appartement de vos rêves se trouve sur ImmoScout24.ch ✅ Découvrez les dernières annonces de vente à Oron-la-Ville.</v>
      </c>
      <c r="J490" s="4" t="s">
        <v>1477</v>
      </c>
    </row>
    <row r="491">
      <c r="A491" s="5" t="s">
        <v>1478</v>
      </c>
      <c r="B491" s="2" t="s">
        <v>1479</v>
      </c>
      <c r="C491" s="4" t="str">
        <f>IFERROR(__xludf.DUMMYFUNCTION("""🏘️ ""&amp;REGEXEXTRACT(B491, ""^(.*): "")&amp;"" ✅ "" &amp;REGEXEXTRACT(B491, ""(Trouvez.*)"")"),"🏘️ Vendre appartement Corminboeuf ✅ Trouvez le bien immobilier qui correspond idéalement à vos désirs sur ImmoScout24 - La plateforme de l'immobilier en Suisse.")</f>
        <v>🏘️ Vendre appartement Corminboeuf ✅ Trouvez le bien immobilier qui correspond idéalement à vos désirs sur ImmoScout24 - La plateforme de l'immobilier en Suisse.</v>
      </c>
      <c r="D491" s="4" t="str">
        <f>vlookup(A491, Sheet2!D:E, 2, 0)</f>
        <v>variant</v>
      </c>
      <c r="E491" s="4" t="str">
        <f>IFERROR(__xludf.DUMMYFUNCTION("if(H491=""pays"",vlookup(REGEXEXTRACT(C491, ""🏘️ \w+ \w+ (.*) ✅""),'Country prepositions'!A:B, 2, 0) &amp; "" "" &amp; REGEXEXTRACT(C491, ""🏘️ \w+ \w+ (.*) ✅"") ,  if(H491=""quartier"",vlookup(REGEXEXTRACT(C491, ""🏘️ \w+ \w+ (.*) ✅""),'Quartier prepositions'!A"&amp;":E, 5, 0) ,  if(H491=""region"",vlookup(REGEXEXTRACT(C491, ""🏘️ \w+ \w+ (.*) ✅""),'Region prepositions'!B:F, 5, 0),  REGEXEXTRACT(C491, ""🏘️ \w+ \w+ (.*) ✅""))))"),"Corminboeuf")</f>
        <v>Corminboeuf</v>
      </c>
      <c r="F491" s="2" t="str">
        <f>IFERROR(__xludf.DUMMYFUNCTION("REGEXEXTRACT(C491, ""🏘️ (\w+) \w+ .* ✅"")"),"Vendre")</f>
        <v>Vendre</v>
      </c>
      <c r="G491" s="2" t="str">
        <f>IFERROR(__xludf.DUMMYFUNCTION("REGEXEXTRACT(C491, ""🏘️ \w+ (\w+) .* ✅"")"),"appartement")</f>
        <v>appartement</v>
      </c>
      <c r="H491" s="4" t="str">
        <f>IFERROR(__xludf.DUMMYFUNCTION("REGEXEXTRACT(A491, ""/(\w+)-.*?"")"),"lieu")</f>
        <v>lieu</v>
      </c>
      <c r="I491" s="4" t="str">
        <f>IFERROR(__xludf.DUMMYFUNCTION("if(D491=""variant"",  substitute(filter(Templates!E:E, Templates!A:A = F491, Templates!B:B = G491, Templates!C:C = H491), ""{{}}"", E491), B491)"),"🏘  L’appartement de vos rêves se trouve sur ImmoScout24.ch ✅ Découvrez les dernières annonces de vente à Corminboeuf.")</f>
        <v>🏘  L’appartement de vos rêves se trouve sur ImmoScout24.ch ✅ Découvrez les dernières annonces de vente à Corminboeuf.</v>
      </c>
      <c r="J491" s="4" t="s">
        <v>1480</v>
      </c>
    </row>
    <row r="492">
      <c r="A492" s="5" t="s">
        <v>1481</v>
      </c>
      <c r="B492" s="2" t="s">
        <v>1482</v>
      </c>
      <c r="C492" s="4" t="str">
        <f>IFERROR(__xludf.DUMMYFUNCTION("""🏘️ ""&amp;REGEXEXTRACT(B492, ""^(.*): "")&amp;"" ✅ "" &amp;REGEXEXTRACT(B492, ""(Trouvez.*)"")"),"🏘️ Vendre maison Crissier ✅ Trouvez le bien immobilier qui correspond idéalement à vos désirs sur ImmoScout24 - La plateforme de l'immobilier en Suisse.")</f>
        <v>🏘️ Vendre maison Crissier ✅ Trouvez le bien immobilier qui correspond idéalement à vos désirs sur ImmoScout24 - La plateforme de l'immobilier en Suisse.</v>
      </c>
      <c r="D492" s="4" t="str">
        <f>vlookup(A492, Sheet2!D:E, 2, 0)</f>
        <v>variant</v>
      </c>
      <c r="E492" s="4" t="str">
        <f>IFERROR(__xludf.DUMMYFUNCTION("if(H492=""pays"",vlookup(REGEXEXTRACT(C492, ""🏘️ \w+ \w+ (.*) ✅""),'Country prepositions'!A:B, 2, 0) &amp; "" "" &amp; REGEXEXTRACT(C492, ""🏘️ \w+ \w+ (.*) ✅"") ,  if(H492=""quartier"",vlookup(REGEXEXTRACT(C492, ""🏘️ \w+ \w+ (.*) ✅""),'Quartier prepositions'!A"&amp;":E, 5, 0) ,  if(H492=""region"",vlookup(REGEXEXTRACT(C492, ""🏘️ \w+ \w+ (.*) ✅""),'Region prepositions'!B:F, 5, 0),  REGEXEXTRACT(C492, ""🏘️ \w+ \w+ (.*) ✅""))))"),"Crissier")</f>
        <v>Crissier</v>
      </c>
      <c r="F492" s="2" t="str">
        <f>IFERROR(__xludf.DUMMYFUNCTION("REGEXEXTRACT(C492, ""🏘️ (\w+) \w+ .* ✅"")"),"Vendre")</f>
        <v>Vendre</v>
      </c>
      <c r="G492" s="2" t="str">
        <f>IFERROR(__xludf.DUMMYFUNCTION("REGEXEXTRACT(C492, ""🏘️ \w+ (\w+) .* ✅"")"),"maison")</f>
        <v>maison</v>
      </c>
      <c r="H492" s="4" t="str">
        <f>IFERROR(__xludf.DUMMYFUNCTION("REGEXEXTRACT(A492, ""/(\w+)-.*?"")"),"lieu")</f>
        <v>lieu</v>
      </c>
      <c r="I492" s="4" t="str">
        <f>IFERROR(__xludf.DUMMYFUNCTION("if(D492=""variant"",  substitute(filter(Templates!E:E, Templates!A:A = F492, Templates!B:B = G492, Templates!C:C = H492), ""{{}}"", E492), B492)"),"🏘  Vous souhaitez acheter une maison à Crissier? ✅ Jetez un œil aux dernières offres sur ImmoScout24.ch.")</f>
        <v>🏘  Vous souhaitez acheter une maison à Crissier? ✅ Jetez un œil aux dernières offres sur ImmoScout24.ch.</v>
      </c>
      <c r="J492" s="4" t="s">
        <v>1483</v>
      </c>
    </row>
    <row r="493">
      <c r="A493" s="5" t="s">
        <v>1484</v>
      </c>
      <c r="B493" s="2" t="s">
        <v>1485</v>
      </c>
      <c r="C493" s="4" t="str">
        <f>IFERROR(__xludf.DUMMYFUNCTION("""🏘️ ""&amp;REGEXEXTRACT(B493, ""^(.*): "")&amp;"" ✅ "" &amp;REGEXEXTRACT(B493, ""(Trouvez.*)"")"),"🏘️ Louer appartement Brügg BE ✅ Trouvez le bien immobilier qui correspond idéalement à vos désirs sur ImmoScout24 - La plateforme de l'immobilier en Suisse.")</f>
        <v>🏘️ Louer appartement Brügg BE ✅ Trouvez le bien immobilier qui correspond idéalement à vos désirs sur ImmoScout24 - La plateforme de l'immobilier en Suisse.</v>
      </c>
      <c r="D493" s="4" t="str">
        <f>vlookup(A493, Sheet2!D:E, 2, 0)</f>
        <v>variant</v>
      </c>
      <c r="E493" s="4" t="str">
        <f>IFERROR(__xludf.DUMMYFUNCTION("if(H493=""pays"",vlookup(REGEXEXTRACT(C493, ""🏘️ \w+ \w+ (.*) ✅""),'Country prepositions'!A:B, 2, 0) &amp; "" "" &amp; REGEXEXTRACT(C493, ""🏘️ \w+ \w+ (.*) ✅"") ,  if(H493=""quartier"",vlookup(REGEXEXTRACT(C493, ""🏘️ \w+ \w+ (.*) ✅""),'Quartier prepositions'!A"&amp;":E, 5, 0) ,  if(H493=""region"",vlookup(REGEXEXTRACT(C493, ""🏘️ \w+ \w+ (.*) ✅""),'Region prepositions'!B:F, 5, 0),  REGEXEXTRACT(C493, ""🏘️ \w+ \w+ (.*) ✅""))))"),"Brügg BE")</f>
        <v>Brügg BE</v>
      </c>
      <c r="F493" s="2" t="str">
        <f>IFERROR(__xludf.DUMMYFUNCTION("REGEXEXTRACT(C493, ""🏘️ (\w+) \w+ .* ✅"")"),"Louer")</f>
        <v>Louer</v>
      </c>
      <c r="G493" s="2" t="str">
        <f>IFERROR(__xludf.DUMMYFUNCTION("REGEXEXTRACT(C493, ""🏘️ \w+ (\w+) .* ✅"")"),"appartement")</f>
        <v>appartement</v>
      </c>
      <c r="H493" s="4" t="str">
        <f>IFERROR(__xludf.DUMMYFUNCTION("REGEXEXTRACT(A493, ""/(\w+)-.*?"")"),"lieu")</f>
        <v>lieu</v>
      </c>
      <c r="I493" s="4" t="str">
        <f>IFERROR(__xludf.DUMMYFUNCTION("if(D493=""variant"",  substitute(filter(Templates!E:E, Templates!A:A = F493, Templates!B:B = G493, Templates!C:C = H493), ""{{}}"", E493), B493)"),"🏘  Vous cherchez un appartement à louer à Brügg BE? ✅ Les annonces les plus actuelles sont sur ImmoScout24.ch.")</f>
        <v>🏘  Vous cherchez un appartement à louer à Brügg BE? ✅ Les annonces les plus actuelles sont sur ImmoScout24.ch.</v>
      </c>
      <c r="J493" s="4" t="s">
        <v>1486</v>
      </c>
    </row>
    <row r="494">
      <c r="A494" s="5" t="s">
        <v>1487</v>
      </c>
      <c r="B494" s="2" t="s">
        <v>1488</v>
      </c>
      <c r="C494" s="4" t="str">
        <f>IFERROR(__xludf.DUMMYFUNCTION("""🏘️ ""&amp;REGEXEXTRACT(B494, ""^(.*): "")&amp;"" ✅ "" &amp;REGEXEXTRACT(B494, ""(Trouvez.*)"")"),"🏘️ Louer maison Bottmingen ✅ Trouvez le bien immobilier qui correspond idéalement à vos désirs sur ImmoScout24 - La plateforme de l'immobilier en Suisse.")</f>
        <v>🏘️ Louer maison Bottmingen ✅ Trouvez le bien immobilier qui correspond idéalement à vos désirs sur ImmoScout24 - La plateforme de l'immobilier en Suisse.</v>
      </c>
      <c r="D494" s="4" t="str">
        <f>vlookup(A494, Sheet2!D:E, 2, 0)</f>
        <v>variant</v>
      </c>
      <c r="E494" s="4" t="str">
        <f>IFERROR(__xludf.DUMMYFUNCTION("if(H494=""pays"",vlookup(REGEXEXTRACT(C494, ""🏘️ \w+ \w+ (.*) ✅""),'Country prepositions'!A:B, 2, 0) &amp; "" "" &amp; REGEXEXTRACT(C494, ""🏘️ \w+ \w+ (.*) ✅"") ,  if(H494=""quartier"",vlookup(REGEXEXTRACT(C494, ""🏘️ \w+ \w+ (.*) ✅""),'Quartier prepositions'!A"&amp;":E, 5, 0) ,  if(H494=""region"",vlookup(REGEXEXTRACT(C494, ""🏘️ \w+ \w+ (.*) ✅""),'Region prepositions'!B:F, 5, 0),  REGEXEXTRACT(C494, ""🏘️ \w+ \w+ (.*) ✅""))))"),"Bottmingen")</f>
        <v>Bottmingen</v>
      </c>
      <c r="F494" s="2" t="str">
        <f>IFERROR(__xludf.DUMMYFUNCTION("REGEXEXTRACT(C494, ""🏘️ (\w+) \w+ .* ✅"")"),"Louer")</f>
        <v>Louer</v>
      </c>
      <c r="G494" s="2" t="str">
        <f>IFERROR(__xludf.DUMMYFUNCTION("REGEXEXTRACT(C494, ""🏘️ \w+ (\w+) .* ✅"")"),"maison")</f>
        <v>maison</v>
      </c>
      <c r="H494" s="4" t="str">
        <f>IFERROR(__xludf.DUMMYFUNCTION("REGEXEXTRACT(A494, ""/(\w+)-.*?"")"),"lieu")</f>
        <v>lieu</v>
      </c>
      <c r="I494" s="4" t="str">
        <f>IFERROR(__xludf.DUMMYFUNCTION("if(D494=""variant"",  substitute(filter(Templates!E:E, Templates!A:A = F494, Templates!B:B = G494, Templates!C:C = H494), ""{{}}"", E494), B494)"),"🏘  Vous cherchez une maison à louer à Bottmingen? ✅ Découvrez nos nombreuses annonces sur ImmoScout24.ch.")</f>
        <v>🏘  Vous cherchez une maison à louer à Bottmingen? ✅ Découvrez nos nombreuses annonces sur ImmoScout24.ch.</v>
      </c>
      <c r="J494" s="4" t="s">
        <v>1489</v>
      </c>
    </row>
    <row r="495">
      <c r="A495" s="5" t="s">
        <v>1490</v>
      </c>
      <c r="B495" s="2" t="s">
        <v>1491</v>
      </c>
      <c r="C495" s="4" t="str">
        <f>IFERROR(__xludf.DUMMYFUNCTION("""🏘️ ""&amp;REGEXEXTRACT(B495, ""^(.*): "")&amp;"" ✅ "" &amp;REGEXEXTRACT(B495, ""(Trouvez.*)"")"),"🏘️ Louer appartement Castione ✅ Trouvez le bien immobilier qui correspond idéalement à vos désirs sur ImmoScout24 - La plateforme de l'immobilier en Suisse.")</f>
        <v>🏘️ Louer appartement Castione ✅ Trouvez le bien immobilier qui correspond idéalement à vos désirs sur ImmoScout24 - La plateforme de l'immobilier en Suisse.</v>
      </c>
      <c r="D495" s="4" t="str">
        <f>vlookup(A495, Sheet2!D:E, 2, 0)</f>
        <v>variant</v>
      </c>
      <c r="E495" s="4" t="str">
        <f>IFERROR(__xludf.DUMMYFUNCTION("if(H495=""pays"",vlookup(REGEXEXTRACT(C495, ""🏘️ \w+ \w+ (.*) ✅""),'Country prepositions'!A:B, 2, 0) &amp; "" "" &amp; REGEXEXTRACT(C495, ""🏘️ \w+ \w+ (.*) ✅"") ,  if(H495=""quartier"",vlookup(REGEXEXTRACT(C495, ""🏘️ \w+ \w+ (.*) ✅""),'Quartier prepositions'!A"&amp;":E, 5, 0) ,  if(H495=""region"",vlookup(REGEXEXTRACT(C495, ""🏘️ \w+ \w+ (.*) ✅""),'Region prepositions'!B:F, 5, 0),  REGEXEXTRACT(C495, ""🏘️ \w+ \w+ (.*) ✅""))))"),"Castione")</f>
        <v>Castione</v>
      </c>
      <c r="F495" s="2" t="str">
        <f>IFERROR(__xludf.DUMMYFUNCTION("REGEXEXTRACT(C495, ""🏘️ (\w+) \w+ .* ✅"")"),"Louer")</f>
        <v>Louer</v>
      </c>
      <c r="G495" s="2" t="str">
        <f>IFERROR(__xludf.DUMMYFUNCTION("REGEXEXTRACT(C495, ""🏘️ \w+ (\w+) .* ✅"")"),"appartement")</f>
        <v>appartement</v>
      </c>
      <c r="H495" s="4" t="str">
        <f>IFERROR(__xludf.DUMMYFUNCTION("REGEXEXTRACT(A495, ""/(\w+)-.*?"")"),"lieu")</f>
        <v>lieu</v>
      </c>
      <c r="I495" s="4" t="str">
        <f>IFERROR(__xludf.DUMMYFUNCTION("if(D495=""variant"",  substitute(filter(Templates!E:E, Templates!A:A = F495, Templates!B:B = G495, Templates!C:C = H495), ""{{}}"", E495), B495)"),"🏘  Vous cherchez un appartement à louer à Castione? ✅ Les annonces les plus actuelles sont sur ImmoScout24.ch.")</f>
        <v>🏘  Vous cherchez un appartement à louer à Castione? ✅ Les annonces les plus actuelles sont sur ImmoScout24.ch.</v>
      </c>
      <c r="J495" s="4" t="s">
        <v>1492</v>
      </c>
    </row>
    <row r="496">
      <c r="A496" s="5" t="s">
        <v>1493</v>
      </c>
      <c r="B496" s="2" t="s">
        <v>1494</v>
      </c>
      <c r="C496" s="4" t="str">
        <f>IFERROR(__xludf.DUMMYFUNCTION("""🏘️ ""&amp;REGEXEXTRACT(B496, ""^(.*): "")&amp;"" ✅ "" &amp;REGEXEXTRACT(B496, ""(Trouvez.*)"")"),"🏘️ Vendre maison Lyss ✅ Trouvez le bien immobilier qui correspond idéalement à vos désirs sur ImmoScout24 - La plateforme de l'immobilier en Suisse.")</f>
        <v>🏘️ Vendre maison Lyss ✅ Trouvez le bien immobilier qui correspond idéalement à vos désirs sur ImmoScout24 - La plateforme de l'immobilier en Suisse.</v>
      </c>
      <c r="D496" s="4" t="str">
        <f>vlookup(A496, Sheet2!D:E, 2, 0)</f>
        <v>variant</v>
      </c>
      <c r="E496" s="4" t="str">
        <f>IFERROR(__xludf.DUMMYFUNCTION("if(H496=""pays"",vlookup(REGEXEXTRACT(C496, ""🏘️ \w+ \w+ (.*) ✅""),'Country prepositions'!A:B, 2, 0) &amp; "" "" &amp; REGEXEXTRACT(C496, ""🏘️ \w+ \w+ (.*) ✅"") ,  if(H496=""quartier"",vlookup(REGEXEXTRACT(C496, ""🏘️ \w+ \w+ (.*) ✅""),'Quartier prepositions'!A"&amp;":E, 5, 0) ,  if(H496=""region"",vlookup(REGEXEXTRACT(C496, ""🏘️ \w+ \w+ (.*) ✅""),'Region prepositions'!B:F, 5, 0),  REGEXEXTRACT(C496, ""🏘️ \w+ \w+ (.*) ✅""))))"),"Lyss")</f>
        <v>Lyss</v>
      </c>
      <c r="F496" s="2" t="str">
        <f>IFERROR(__xludf.DUMMYFUNCTION("REGEXEXTRACT(C496, ""🏘️ (\w+) \w+ .* ✅"")"),"Vendre")</f>
        <v>Vendre</v>
      </c>
      <c r="G496" s="2" t="str">
        <f>IFERROR(__xludf.DUMMYFUNCTION("REGEXEXTRACT(C496, ""🏘️ \w+ (\w+) .* ✅"")"),"maison")</f>
        <v>maison</v>
      </c>
      <c r="H496" s="4" t="str">
        <f>IFERROR(__xludf.DUMMYFUNCTION("REGEXEXTRACT(A496, ""/(\w+)-.*?"")"),"lieu")</f>
        <v>lieu</v>
      </c>
      <c r="I496" s="4" t="str">
        <f>IFERROR(__xludf.DUMMYFUNCTION("if(D496=""variant"",  substitute(filter(Templates!E:E, Templates!A:A = F496, Templates!B:B = G496, Templates!C:C = H496), ""{{}}"", E496), B496)"),"🏘  Vous souhaitez acheter une maison à Lyss? ✅ Jetez un œil aux dernières offres sur ImmoScout24.ch.")</f>
        <v>🏘  Vous souhaitez acheter une maison à Lyss? ✅ Jetez un œil aux dernières offres sur ImmoScout24.ch.</v>
      </c>
      <c r="J496" s="4" t="s">
        <v>1495</v>
      </c>
    </row>
    <row r="497">
      <c r="A497" s="5" t="s">
        <v>1496</v>
      </c>
      <c r="B497" s="2" t="s">
        <v>1497</v>
      </c>
      <c r="C497" s="4" t="str">
        <f>IFERROR(__xludf.DUMMYFUNCTION("""🏘️ ""&amp;REGEXEXTRACT(B497, ""^(.*): "")&amp;"" ✅ "" &amp;REGEXEXTRACT(B497, ""(Trouvez.*)"")"),"🏘️ Louer appartement Pazzallo ✅ Trouvez le bien immobilier qui correspond idéalement à vos désirs sur ImmoScout24 - La plateforme de l'immobilier en Suisse.")</f>
        <v>🏘️ Louer appartement Pazzallo ✅ Trouvez le bien immobilier qui correspond idéalement à vos désirs sur ImmoScout24 - La plateforme de l'immobilier en Suisse.</v>
      </c>
      <c r="D497" s="4" t="str">
        <f>vlookup(A497, Sheet2!D:E, 2, 0)</f>
        <v>variant</v>
      </c>
      <c r="E497" s="4" t="str">
        <f>IFERROR(__xludf.DUMMYFUNCTION("if(H497=""pays"",vlookup(REGEXEXTRACT(C497, ""🏘️ \w+ \w+ (.*) ✅""),'Country prepositions'!A:B, 2, 0) &amp; "" "" &amp; REGEXEXTRACT(C497, ""🏘️ \w+ \w+ (.*) ✅"") ,  if(H497=""quartier"",vlookup(REGEXEXTRACT(C497, ""🏘️ \w+ \w+ (.*) ✅""),'Quartier prepositions'!A"&amp;":E, 5, 0) ,  if(H497=""region"",vlookup(REGEXEXTRACT(C497, ""🏘️ \w+ \w+ (.*) ✅""),'Region prepositions'!B:F, 5, 0),  REGEXEXTRACT(C497, ""🏘️ \w+ \w+ (.*) ✅""))))"),"Pazzallo")</f>
        <v>Pazzallo</v>
      </c>
      <c r="F497" s="2" t="str">
        <f>IFERROR(__xludf.DUMMYFUNCTION("REGEXEXTRACT(C497, ""🏘️ (\w+) \w+ .* ✅"")"),"Louer")</f>
        <v>Louer</v>
      </c>
      <c r="G497" s="2" t="str">
        <f>IFERROR(__xludf.DUMMYFUNCTION("REGEXEXTRACT(C497, ""🏘️ \w+ (\w+) .* ✅"")"),"appartement")</f>
        <v>appartement</v>
      </c>
      <c r="H497" s="4" t="str">
        <f>IFERROR(__xludf.DUMMYFUNCTION("REGEXEXTRACT(A497, ""/(\w+)-.*?"")"),"lieu")</f>
        <v>lieu</v>
      </c>
      <c r="I497" s="4" t="str">
        <f>IFERROR(__xludf.DUMMYFUNCTION("if(D497=""variant"",  substitute(filter(Templates!E:E, Templates!A:A = F497, Templates!B:B = G497, Templates!C:C = H497), ""{{}}"", E497), B497)"),"🏘  Vous cherchez un appartement à louer à Pazzallo? ✅ Les annonces les plus actuelles sont sur ImmoScout24.ch.")</f>
        <v>🏘  Vous cherchez un appartement à louer à Pazzallo? ✅ Les annonces les plus actuelles sont sur ImmoScout24.ch.</v>
      </c>
      <c r="J497" s="4" t="s">
        <v>1498</v>
      </c>
    </row>
    <row r="498">
      <c r="A498" s="5" t="s">
        <v>1499</v>
      </c>
      <c r="B498" s="2" t="s">
        <v>1500</v>
      </c>
      <c r="C498" s="4" t="str">
        <f>IFERROR(__xludf.DUMMYFUNCTION("""🏘️ ""&amp;REGEXEXTRACT(B498, ""^(.*): "")&amp;"" ✅ "" &amp;REGEXEXTRACT(B498, ""(Trouvez.*)"")"),"🏘️ Louer maison Jura Bernois ✅ Trouvez le bien immobilier qui correspond idéalement à vos désirs sur ImmoScout24 - La plateforme de l'immobilier en Suisse.")</f>
        <v>🏘️ Louer maison Jura Bernois ✅ Trouvez le bien immobilier qui correspond idéalement à vos désirs sur ImmoScout24 - La plateforme de l'immobilier en Suisse.</v>
      </c>
      <c r="D498" s="4" t="str">
        <f>vlookup(A498, Sheet2!D:E, 2, 0)</f>
        <v>variant</v>
      </c>
      <c r="E498" s="4" t="str">
        <f>IFERROR(__xludf.DUMMYFUNCTION("if(H498=""pays"",vlookup(REGEXEXTRACT(C498, ""🏘️ \w+ \w+ (.*) ✅""),'Country prepositions'!A:B, 2, 0) &amp; "" "" &amp; REGEXEXTRACT(C498, ""🏘️ \w+ \w+ (.*) ✅"") ,  if(H498=""quartier"",vlookup(REGEXEXTRACT(C498, ""🏘️ \w+ \w+ (.*) ✅""),'Quartier prepositions'!A"&amp;":E, 5, 0) ,  if(H498=""region"",vlookup(REGEXEXTRACT(C498, ""🏘️ \w+ \w+ (.*) ✅""),'Region prepositions'!B:F, 5, 0),  REGEXEXTRACT(C498, ""🏘️ \w+ \w+ (.*) ✅""))))"),"dans le Jura bernois")</f>
        <v>dans le Jura bernois</v>
      </c>
      <c r="F498" s="2" t="str">
        <f>IFERROR(__xludf.DUMMYFUNCTION("REGEXEXTRACT(C498, ""🏘️ (\w+) \w+ .* ✅"")"),"Louer")</f>
        <v>Louer</v>
      </c>
      <c r="G498" s="2" t="str">
        <f>IFERROR(__xludf.DUMMYFUNCTION("REGEXEXTRACT(C498, ""🏘️ \w+ (\w+) .* ✅"")"),"maison")</f>
        <v>maison</v>
      </c>
      <c r="H498" s="4" t="str">
        <f>IFERROR(__xludf.DUMMYFUNCTION("REGEXEXTRACT(A498, ""/(\w+)-.*?"")"),"region")</f>
        <v>region</v>
      </c>
      <c r="I498" s="4" t="str">
        <f>IFERROR(__xludf.DUMMYFUNCTION("if(D498=""variant"",  substitute(filter(Templates!E:E, Templates!A:A = F498, Templates!B:B = G498, Templates!C:C = H498), ""{{}}"", E498), B498)"),"🏘  Vous cherchez une maison à louer dans le Jura bernois? ✅ Découvrez nos nombreuses annonces sur ImmoScout24.ch.")</f>
        <v>🏘  Vous cherchez une maison à louer dans le Jura bernois? ✅ Découvrez nos nombreuses annonces sur ImmoScout24.ch.</v>
      </c>
      <c r="J498" s="4" t="s">
        <v>1501</v>
      </c>
    </row>
    <row r="499">
      <c r="A499" s="5" t="s">
        <v>1502</v>
      </c>
      <c r="B499" s="2" t="s">
        <v>1503</v>
      </c>
      <c r="C499" s="4" t="str">
        <f>IFERROR(__xludf.DUMMYFUNCTION("""🏘️ ""&amp;REGEXEXTRACT(B499, ""^(.*): "")&amp;"" ✅ "" &amp;REGEXEXTRACT(B499, ""(Trouvez.*)"")"),"🏘️ Louer appartement Rive Gauche ✅ Trouvez le bien immobilier qui correspond idéalement à vos désirs sur ImmoScout24 - La plateforme de l'immobilier en Suisse.")</f>
        <v>🏘️ Louer appartement Rive Gauche ✅ Trouvez le bien immobilier qui correspond idéalement à vos désirs sur ImmoScout24 - La plateforme de l'immobilier en Suisse.</v>
      </c>
      <c r="D499" s="4" t="str">
        <f>vlookup(A499, Sheet2!D:E, 2, 0)</f>
        <v>variant</v>
      </c>
      <c r="E499" s="4" t="str">
        <f>IFERROR(__xludf.DUMMYFUNCTION("if(H499=""pays"",vlookup(REGEXEXTRACT(C499, ""🏘️ \w+ \w+ (.*) ✅""),'Country prepositions'!A:B, 2, 0) &amp; "" "" &amp; REGEXEXTRACT(C499, ""🏘️ \w+ \w+ (.*) ✅"") ,  if(H499=""quartier"",vlookup(REGEXEXTRACT(C499, ""🏘️ \w+ \w+ (.*) ✅""),'Quartier prepositions'!A"&amp;":E, 5, 0) ,  if(H499=""region"",vlookup(REGEXEXTRACT(C499, ""🏘️ \w+ \w+ (.*) ✅""),'Region prepositions'!B:F, 5, 0),  REGEXEXTRACT(C499, ""🏘️ \w+ \w+ (.*) ✅""))))"),"à Rive gauche")</f>
        <v>à Rive gauche</v>
      </c>
      <c r="F499" s="2" t="str">
        <f>IFERROR(__xludf.DUMMYFUNCTION("REGEXEXTRACT(C499, ""🏘️ (\w+) \w+ .* ✅"")"),"Louer")</f>
        <v>Louer</v>
      </c>
      <c r="G499" s="2" t="str">
        <f>IFERROR(__xludf.DUMMYFUNCTION("REGEXEXTRACT(C499, ""🏘️ \w+ (\w+) .* ✅"")"),"appartement")</f>
        <v>appartement</v>
      </c>
      <c r="H499" s="4" t="str">
        <f>IFERROR(__xludf.DUMMYFUNCTION("REGEXEXTRACT(A499, ""/(\w+)-.*?"")"),"region")</f>
        <v>region</v>
      </c>
      <c r="I499" s="4" t="str">
        <f>IFERROR(__xludf.DUMMYFUNCTION("if(D499=""variant"",  substitute(filter(Templates!E:E, Templates!A:A = F499, Templates!B:B = G499, Templates!C:C = H499), ""{{}}"", E499), B499)"),"🏘  Vous cherchez un appartement à louer à Rive gauche? ✅ Les annonces les plus actuelles sont sur ImmoScout24.ch.")</f>
        <v>🏘  Vous cherchez un appartement à louer à Rive gauche? ✅ Les annonces les plus actuelles sont sur ImmoScout24.ch.</v>
      </c>
      <c r="J499" s="4" t="s">
        <v>1504</v>
      </c>
    </row>
    <row r="500">
      <c r="A500" s="5" t="s">
        <v>1505</v>
      </c>
      <c r="B500" s="2" t="s">
        <v>1506</v>
      </c>
      <c r="C500" s="4" t="str">
        <f>IFERROR(__xludf.DUMMYFUNCTION("""🏘️ ""&amp;REGEXEXTRACT(B500, ""^(.*): "")&amp;"" ✅ "" &amp;REGEXEXTRACT(B500, ""(Trouvez.*)"")"),"🏘️ Louer appartement Campocologno ✅ Trouvez le bien immobilier qui correspond idéalement à vos désirs sur ImmoScout24 - La plateforme de l'immobilier en Suisse.")</f>
        <v>🏘️ Louer appartement Campocologno ✅ Trouvez le bien immobilier qui correspond idéalement à vos désirs sur ImmoScout24 - La plateforme de l'immobilier en Suisse.</v>
      </c>
      <c r="D500" s="4" t="str">
        <f>vlookup(A500, Sheet2!D:E, 2, 0)</f>
        <v>variant</v>
      </c>
      <c r="E500" s="4" t="str">
        <f>IFERROR(__xludf.DUMMYFUNCTION("if(H500=""pays"",vlookup(REGEXEXTRACT(C500, ""🏘️ \w+ \w+ (.*) ✅""),'Country prepositions'!A:B, 2, 0) &amp; "" "" &amp; REGEXEXTRACT(C500, ""🏘️ \w+ \w+ (.*) ✅"") ,  if(H500=""quartier"",vlookup(REGEXEXTRACT(C500, ""🏘️ \w+ \w+ (.*) ✅""),'Quartier prepositions'!A"&amp;":E, 5, 0) ,  if(H500=""region"",vlookup(REGEXEXTRACT(C500, ""🏘️ \w+ \w+ (.*) ✅""),'Region prepositions'!B:F, 5, 0),  REGEXEXTRACT(C500, ""🏘️ \w+ \w+ (.*) ✅""))))"),"Campocologno")</f>
        <v>Campocologno</v>
      </c>
      <c r="F500" s="2" t="str">
        <f>IFERROR(__xludf.DUMMYFUNCTION("REGEXEXTRACT(C500, ""🏘️ (\w+) \w+ .* ✅"")"),"Louer")</f>
        <v>Louer</v>
      </c>
      <c r="G500" s="2" t="str">
        <f>IFERROR(__xludf.DUMMYFUNCTION("REGEXEXTRACT(C500, ""🏘️ \w+ (\w+) .* ✅"")"),"appartement")</f>
        <v>appartement</v>
      </c>
      <c r="H500" s="4" t="str">
        <f>IFERROR(__xludf.DUMMYFUNCTION("REGEXEXTRACT(A500, ""/(\w+)-.*?"")"),"lieu")</f>
        <v>lieu</v>
      </c>
      <c r="I500" s="4" t="str">
        <f>IFERROR(__xludf.DUMMYFUNCTION("if(D500=""variant"",  substitute(filter(Templates!E:E, Templates!A:A = F500, Templates!B:B = G500, Templates!C:C = H500), ""{{}}"", E500), B500)"),"🏘  Vous cherchez un appartement à louer à Campocologno? ✅ Les annonces les plus actuelles sont sur ImmoScout24.ch.")</f>
        <v>🏘  Vous cherchez un appartement à louer à Campocologno? ✅ Les annonces les plus actuelles sont sur ImmoScout24.ch.</v>
      </c>
      <c r="J500" s="4" t="s">
        <v>1507</v>
      </c>
    </row>
    <row r="501">
      <c r="A501" s="5" t="s">
        <v>1508</v>
      </c>
      <c r="B501" s="2" t="s">
        <v>1509</v>
      </c>
      <c r="C501" s="4" t="str">
        <f>IFERROR(__xludf.DUMMYFUNCTION("""🏘️ ""&amp;REGEXEXTRACT(B501, ""^(.*): "")&amp;"" ✅ "" &amp;REGEXEXTRACT(B501, ""(Trouvez.*)"")"),"🏘️ Vendre appartement Glis ✅ Trouvez le bien immobilier qui correspond idéalement à vos désirs sur ImmoScout24 - La plateforme de l'immobilier en Suisse.")</f>
        <v>🏘️ Vendre appartement Glis ✅ Trouvez le bien immobilier qui correspond idéalement à vos désirs sur ImmoScout24 - La plateforme de l'immobilier en Suisse.</v>
      </c>
      <c r="D501" s="4" t="str">
        <f>vlookup(A501, Sheet2!D:E, 2, 0)</f>
        <v>variant</v>
      </c>
      <c r="E501" s="4" t="str">
        <f>IFERROR(__xludf.DUMMYFUNCTION("if(H501=""pays"",vlookup(REGEXEXTRACT(C501, ""🏘️ \w+ \w+ (.*) ✅""),'Country prepositions'!A:B, 2, 0) &amp; "" "" &amp; REGEXEXTRACT(C501, ""🏘️ \w+ \w+ (.*) ✅"") ,  if(H501=""quartier"",vlookup(REGEXEXTRACT(C501, ""🏘️ \w+ \w+ (.*) ✅""),'Quartier prepositions'!A"&amp;":E, 5, 0) ,  if(H501=""region"",vlookup(REGEXEXTRACT(C501, ""🏘️ \w+ \w+ (.*) ✅""),'Region prepositions'!B:F, 5, 0),  REGEXEXTRACT(C501, ""🏘️ \w+ \w+ (.*) ✅""))))"),"Glis")</f>
        <v>Glis</v>
      </c>
      <c r="F501" s="2" t="str">
        <f>IFERROR(__xludf.DUMMYFUNCTION("REGEXEXTRACT(C501, ""🏘️ (\w+) \w+ .* ✅"")"),"Vendre")</f>
        <v>Vendre</v>
      </c>
      <c r="G501" s="2" t="str">
        <f>IFERROR(__xludf.DUMMYFUNCTION("REGEXEXTRACT(C501, ""🏘️ \w+ (\w+) .* ✅"")"),"appartement")</f>
        <v>appartement</v>
      </c>
      <c r="H501" s="4" t="str">
        <f>IFERROR(__xludf.DUMMYFUNCTION("REGEXEXTRACT(A501, ""/(\w+)-.*?"")"),"lieu")</f>
        <v>lieu</v>
      </c>
      <c r="I501" s="4" t="str">
        <f>IFERROR(__xludf.DUMMYFUNCTION("if(D501=""variant"",  substitute(filter(Templates!E:E, Templates!A:A = F501, Templates!B:B = G501, Templates!C:C = H501), ""{{}}"", E501), B501)"),"🏘  L’appartement de vos rêves se trouve sur ImmoScout24.ch ✅ Découvrez les dernières annonces de vente à Glis.")</f>
        <v>🏘  L’appartement de vos rêves se trouve sur ImmoScout24.ch ✅ Découvrez les dernières annonces de vente à Glis.</v>
      </c>
      <c r="J501" s="4" t="s">
        <v>1510</v>
      </c>
    </row>
    <row r="502">
      <c r="A502" s="5" t="s">
        <v>1511</v>
      </c>
      <c r="B502" s="2" t="s">
        <v>1512</v>
      </c>
      <c r="C502" s="4" t="str">
        <f>IFERROR(__xludf.DUMMYFUNCTION("""🏘️ ""&amp;REGEXEXTRACT(B502, ""^(.*): "")&amp;"" ✅ "" &amp;REGEXEXTRACT(B502, ""(Trouvez.*)"")"),"🏘️ Vendre appartement Bex ✅ Trouvez le bien immobilier qui correspond idéalement à vos désirs sur ImmoScout24 - La plateforme de l'immobilier en Suisse.")</f>
        <v>🏘️ Vendre appartement Bex ✅ Trouvez le bien immobilier qui correspond idéalement à vos désirs sur ImmoScout24 - La plateforme de l'immobilier en Suisse.</v>
      </c>
      <c r="D502" s="4" t="str">
        <f>vlookup(A502, Sheet2!D:E, 2, 0)</f>
        <v>variant</v>
      </c>
      <c r="E502" s="4" t="str">
        <f>IFERROR(__xludf.DUMMYFUNCTION("if(H502=""pays"",vlookup(REGEXEXTRACT(C502, ""🏘️ \w+ \w+ (.*) ✅""),'Country prepositions'!A:B, 2, 0) &amp; "" "" &amp; REGEXEXTRACT(C502, ""🏘️ \w+ \w+ (.*) ✅"") ,  if(H502=""quartier"",vlookup(REGEXEXTRACT(C502, ""🏘️ \w+ \w+ (.*) ✅""),'Quartier prepositions'!A"&amp;":E, 5, 0) ,  if(H502=""region"",vlookup(REGEXEXTRACT(C502, ""🏘️ \w+ \w+ (.*) ✅""),'Region prepositions'!B:F, 5, 0),  REGEXEXTRACT(C502, ""🏘️ \w+ \w+ (.*) ✅""))))"),"Bex")</f>
        <v>Bex</v>
      </c>
      <c r="F502" s="2" t="str">
        <f>IFERROR(__xludf.DUMMYFUNCTION("REGEXEXTRACT(C502, ""🏘️ (\w+) \w+ .* ✅"")"),"Vendre")</f>
        <v>Vendre</v>
      </c>
      <c r="G502" s="2" t="str">
        <f>IFERROR(__xludf.DUMMYFUNCTION("REGEXEXTRACT(C502, ""🏘️ \w+ (\w+) .* ✅"")"),"appartement")</f>
        <v>appartement</v>
      </c>
      <c r="H502" s="4" t="str">
        <f>IFERROR(__xludf.DUMMYFUNCTION("REGEXEXTRACT(A502, ""/(\w+)-.*?"")"),"lieu")</f>
        <v>lieu</v>
      </c>
      <c r="I502" s="4" t="str">
        <f>IFERROR(__xludf.DUMMYFUNCTION("if(D502=""variant"",  substitute(filter(Templates!E:E, Templates!A:A = F502, Templates!B:B = G502, Templates!C:C = H502), ""{{}}"", E502), B502)"),"🏘  L’appartement de vos rêves se trouve sur ImmoScout24.ch ✅ Découvrez les dernières annonces de vente à Bex.")</f>
        <v>🏘  L’appartement de vos rêves se trouve sur ImmoScout24.ch ✅ Découvrez les dernières annonces de vente à Bex.</v>
      </c>
      <c r="J502" s="4" t="s">
        <v>1513</v>
      </c>
    </row>
    <row r="503">
      <c r="A503" s="5" t="s">
        <v>1514</v>
      </c>
      <c r="B503" s="2" t="s">
        <v>1515</v>
      </c>
      <c r="C503" s="4" t="str">
        <f>IFERROR(__xludf.DUMMYFUNCTION("""🏘️ ""&amp;REGEXEXTRACT(B503, ""^(.*): "")&amp;"" ✅ "" &amp;REGEXEXTRACT(B503, ""(Trouvez.*)"")"),"🏘️ Vendre appartement Vufflens-la-Ville ✅ Trouvez le bien immobilier qui correspond idéalement à vos désirs sur ImmoScout24 - La plateforme de l'immobilier en Suisse.")</f>
        <v>🏘️ Vendre appartement Vufflens-la-Ville ✅ Trouvez le bien immobilier qui correspond idéalement à vos désirs sur ImmoScout24 - La plateforme de l'immobilier en Suisse.</v>
      </c>
      <c r="D503" s="4" t="str">
        <f>vlookup(A503, Sheet2!D:E, 2, 0)</f>
        <v>variant</v>
      </c>
      <c r="E503" s="4" t="str">
        <f>IFERROR(__xludf.DUMMYFUNCTION("if(H503=""pays"",vlookup(REGEXEXTRACT(C503, ""🏘️ \w+ \w+ (.*) ✅""),'Country prepositions'!A:B, 2, 0) &amp; "" "" &amp; REGEXEXTRACT(C503, ""🏘️ \w+ \w+ (.*) ✅"") ,  if(H503=""quartier"",vlookup(REGEXEXTRACT(C503, ""🏘️ \w+ \w+ (.*) ✅""),'Quartier prepositions'!A"&amp;":E, 5, 0) ,  if(H503=""region"",vlookup(REGEXEXTRACT(C503, ""🏘️ \w+ \w+ (.*) ✅""),'Region prepositions'!B:F, 5, 0),  REGEXEXTRACT(C503, ""🏘️ \w+ \w+ (.*) ✅""))))"),"Vufflens-la-Ville")</f>
        <v>Vufflens-la-Ville</v>
      </c>
      <c r="F503" s="2" t="str">
        <f>IFERROR(__xludf.DUMMYFUNCTION("REGEXEXTRACT(C503, ""🏘️ (\w+) \w+ .* ✅"")"),"Vendre")</f>
        <v>Vendre</v>
      </c>
      <c r="G503" s="2" t="str">
        <f>IFERROR(__xludf.DUMMYFUNCTION("REGEXEXTRACT(C503, ""🏘️ \w+ (\w+) .* ✅"")"),"appartement")</f>
        <v>appartement</v>
      </c>
      <c r="H503" s="4" t="str">
        <f>IFERROR(__xludf.DUMMYFUNCTION("REGEXEXTRACT(A503, ""/(\w+)-.*?"")"),"lieu")</f>
        <v>lieu</v>
      </c>
      <c r="I503" s="4" t="str">
        <f>IFERROR(__xludf.DUMMYFUNCTION("if(D503=""variant"",  substitute(filter(Templates!E:E, Templates!A:A = F503, Templates!B:B = G503, Templates!C:C = H503), ""{{}}"", E503), B503)"),"🏘  L’appartement de vos rêves se trouve sur ImmoScout24.ch ✅ Découvrez les dernières annonces de vente à Vufflens-la-Ville.")</f>
        <v>🏘  L’appartement de vos rêves se trouve sur ImmoScout24.ch ✅ Découvrez les dernières annonces de vente à Vufflens-la-Ville.</v>
      </c>
      <c r="J503" s="4" t="s">
        <v>1516</v>
      </c>
    </row>
    <row r="504">
      <c r="A504" s="5" t="s">
        <v>1517</v>
      </c>
      <c r="B504" s="2" t="s">
        <v>1518</v>
      </c>
      <c r="C504" s="4" t="str">
        <f>IFERROR(__xludf.DUMMYFUNCTION("""🏘️ ""&amp;REGEXEXTRACT(B504, ""^(.*): "")&amp;"" ✅ "" &amp;REGEXEXTRACT(B504, ""(Trouvez.*)"")"),"🏘️ Vendre maison Neyruz-sur-Moudon ✅ Trouvez le bien immobilier qui correspond idéalement à vos désirs sur ImmoScout24 - La plateforme de l'immobilier en Suisse.")</f>
        <v>🏘️ Vendre maison Neyruz-sur-Moudon ✅ Trouvez le bien immobilier qui correspond idéalement à vos désirs sur ImmoScout24 - La plateforme de l'immobilier en Suisse.</v>
      </c>
      <c r="D504" s="4" t="str">
        <f>vlookup(A504, Sheet2!D:E, 2, 0)</f>
        <v>variant</v>
      </c>
      <c r="E504" s="4" t="str">
        <f>IFERROR(__xludf.DUMMYFUNCTION("if(H504=""pays"",vlookup(REGEXEXTRACT(C504, ""🏘️ \w+ \w+ (.*) ✅""),'Country prepositions'!A:B, 2, 0) &amp; "" "" &amp; REGEXEXTRACT(C504, ""🏘️ \w+ \w+ (.*) ✅"") ,  if(H504=""quartier"",vlookup(REGEXEXTRACT(C504, ""🏘️ \w+ \w+ (.*) ✅""),'Quartier prepositions'!A"&amp;":E, 5, 0) ,  if(H504=""region"",vlookup(REGEXEXTRACT(C504, ""🏘️ \w+ \w+ (.*) ✅""),'Region prepositions'!B:F, 5, 0),  REGEXEXTRACT(C504, ""🏘️ \w+ \w+ (.*) ✅""))))"),"Neyruz-sur-Moudon")</f>
        <v>Neyruz-sur-Moudon</v>
      </c>
      <c r="F504" s="2" t="str">
        <f>IFERROR(__xludf.DUMMYFUNCTION("REGEXEXTRACT(C504, ""🏘️ (\w+) \w+ .* ✅"")"),"Vendre")</f>
        <v>Vendre</v>
      </c>
      <c r="G504" s="2" t="str">
        <f>IFERROR(__xludf.DUMMYFUNCTION("REGEXEXTRACT(C504, ""🏘️ \w+ (\w+) .* ✅"")"),"maison")</f>
        <v>maison</v>
      </c>
      <c r="H504" s="4" t="str">
        <f>IFERROR(__xludf.DUMMYFUNCTION("REGEXEXTRACT(A504, ""/(\w+)-.*?"")"),"lieu")</f>
        <v>lieu</v>
      </c>
      <c r="I504" s="4" t="str">
        <f>IFERROR(__xludf.DUMMYFUNCTION("if(D504=""variant"",  substitute(filter(Templates!E:E, Templates!A:A = F504, Templates!B:B = G504, Templates!C:C = H504), ""{{}}"", E504), B504)"),"🏘  Vous souhaitez acheter une maison à Neyruz-sur-Moudon? ✅ Jetez un œil aux dernières offres sur ImmoScout24.ch.")</f>
        <v>🏘  Vous souhaitez acheter une maison à Neyruz-sur-Moudon? ✅ Jetez un œil aux dernières offres sur ImmoScout24.ch.</v>
      </c>
      <c r="J504" s="4" t="s">
        <v>1519</v>
      </c>
    </row>
    <row r="505">
      <c r="A505" s="5" t="s">
        <v>1520</v>
      </c>
      <c r="B505" s="2" t="s">
        <v>1521</v>
      </c>
      <c r="C505" s="4" t="str">
        <f>IFERROR(__xludf.DUMMYFUNCTION("""🏘️ ""&amp;REGEXEXTRACT(B505, ""^(.*): "")&amp;"" ✅ "" &amp;REGEXEXTRACT(B505, ""(Trouvez.*)"")"),"🏘️ Vendre maison Malvaglia ✅ Trouvez le bien immobilier qui correspond idéalement à vos désirs sur ImmoScout24 - La plateforme de l'immobilier en Suisse.")</f>
        <v>🏘️ Vendre maison Malvaglia ✅ Trouvez le bien immobilier qui correspond idéalement à vos désirs sur ImmoScout24 - La plateforme de l'immobilier en Suisse.</v>
      </c>
      <c r="D505" s="4" t="str">
        <f>vlookup(A505, Sheet2!D:E, 2, 0)</f>
        <v>variant</v>
      </c>
      <c r="E505" s="4" t="str">
        <f>IFERROR(__xludf.DUMMYFUNCTION("if(H505=""pays"",vlookup(REGEXEXTRACT(C505, ""🏘️ \w+ \w+ (.*) ✅""),'Country prepositions'!A:B, 2, 0) &amp; "" "" &amp; REGEXEXTRACT(C505, ""🏘️ \w+ \w+ (.*) ✅"") ,  if(H505=""quartier"",vlookup(REGEXEXTRACT(C505, ""🏘️ \w+ \w+ (.*) ✅""),'Quartier prepositions'!A"&amp;":E, 5, 0) ,  if(H505=""region"",vlookup(REGEXEXTRACT(C505, ""🏘️ \w+ \w+ (.*) ✅""),'Region prepositions'!B:F, 5, 0),  REGEXEXTRACT(C505, ""🏘️ \w+ \w+ (.*) ✅""))))"),"Malvaglia")</f>
        <v>Malvaglia</v>
      </c>
      <c r="F505" s="2" t="str">
        <f>IFERROR(__xludf.DUMMYFUNCTION("REGEXEXTRACT(C505, ""🏘️ (\w+) \w+ .* ✅"")"),"Vendre")</f>
        <v>Vendre</v>
      </c>
      <c r="G505" s="2" t="str">
        <f>IFERROR(__xludf.DUMMYFUNCTION("REGEXEXTRACT(C505, ""🏘️ \w+ (\w+) .* ✅"")"),"maison")</f>
        <v>maison</v>
      </c>
      <c r="H505" s="4" t="str">
        <f>IFERROR(__xludf.DUMMYFUNCTION("REGEXEXTRACT(A505, ""/(\w+)-.*?"")"),"lieu")</f>
        <v>lieu</v>
      </c>
      <c r="I505" s="4" t="str">
        <f>IFERROR(__xludf.DUMMYFUNCTION("if(D505=""variant"",  substitute(filter(Templates!E:E, Templates!A:A = F505, Templates!B:B = G505, Templates!C:C = H505), ""{{}}"", E505), B505)"),"🏘  Vous souhaitez acheter une maison à Malvaglia? ✅ Jetez un œil aux dernières offres sur ImmoScout24.ch.")</f>
        <v>🏘  Vous souhaitez acheter une maison à Malvaglia? ✅ Jetez un œil aux dernières offres sur ImmoScout24.ch.</v>
      </c>
      <c r="J505" s="4" t="s">
        <v>1522</v>
      </c>
    </row>
    <row r="506">
      <c r="A506" s="5" t="s">
        <v>1523</v>
      </c>
      <c r="B506" s="2" t="s">
        <v>1524</v>
      </c>
      <c r="C506" s="4" t="str">
        <f>IFERROR(__xludf.DUMMYFUNCTION("""🏘️ ""&amp;REGEXEXTRACT(B506, ""^(.*): "")&amp;"" ✅ "" &amp;REGEXEXTRACT(B506, ""(Trouvez.*)"")"),"🏘️ Louer appartement Hinterkappelen ✅ Trouvez le bien immobilier qui correspond idéalement à vos désirs sur ImmoScout24 - La plateforme de l'immobilier en Suisse.")</f>
        <v>🏘️ Louer appartement Hinterkappelen ✅ Trouvez le bien immobilier qui correspond idéalement à vos désirs sur ImmoScout24 - La plateforme de l'immobilier en Suisse.</v>
      </c>
      <c r="D506" s="4" t="str">
        <f>vlookup(A506, Sheet2!D:E, 2, 0)</f>
        <v>variant</v>
      </c>
      <c r="E506" s="4" t="str">
        <f>IFERROR(__xludf.DUMMYFUNCTION("if(H506=""pays"",vlookup(REGEXEXTRACT(C506, ""🏘️ \w+ \w+ (.*) ✅""),'Country prepositions'!A:B, 2, 0) &amp; "" "" &amp; REGEXEXTRACT(C506, ""🏘️ \w+ \w+ (.*) ✅"") ,  if(H506=""quartier"",vlookup(REGEXEXTRACT(C506, ""🏘️ \w+ \w+ (.*) ✅""),'Quartier prepositions'!A"&amp;":E, 5, 0) ,  if(H506=""region"",vlookup(REGEXEXTRACT(C506, ""🏘️ \w+ \w+ (.*) ✅""),'Region prepositions'!B:F, 5, 0),  REGEXEXTRACT(C506, ""🏘️ \w+ \w+ (.*) ✅""))))"),"Hinterkappelen")</f>
        <v>Hinterkappelen</v>
      </c>
      <c r="F506" s="2" t="str">
        <f>IFERROR(__xludf.DUMMYFUNCTION("REGEXEXTRACT(C506, ""🏘️ (\w+) \w+ .* ✅"")"),"Louer")</f>
        <v>Louer</v>
      </c>
      <c r="G506" s="2" t="str">
        <f>IFERROR(__xludf.DUMMYFUNCTION("REGEXEXTRACT(C506, ""🏘️ \w+ (\w+) .* ✅"")"),"appartement")</f>
        <v>appartement</v>
      </c>
      <c r="H506" s="4" t="str">
        <f>IFERROR(__xludf.DUMMYFUNCTION("REGEXEXTRACT(A506, ""/(\w+)-.*?"")"),"lieu")</f>
        <v>lieu</v>
      </c>
      <c r="I506" s="4" t="str">
        <f>IFERROR(__xludf.DUMMYFUNCTION("if(D506=""variant"",  substitute(filter(Templates!E:E, Templates!A:A = F506, Templates!B:B = G506, Templates!C:C = H506), ""{{}}"", E506), B506)"),"🏘  Vous cherchez un appartement à louer à Hinterkappelen? ✅ Les annonces les plus actuelles sont sur ImmoScout24.ch.")</f>
        <v>🏘  Vous cherchez un appartement à louer à Hinterkappelen? ✅ Les annonces les plus actuelles sont sur ImmoScout24.ch.</v>
      </c>
      <c r="J506" s="4" t="s">
        <v>1525</v>
      </c>
    </row>
    <row r="507">
      <c r="A507" s="5" t="s">
        <v>1526</v>
      </c>
      <c r="B507" s="2" t="s">
        <v>1527</v>
      </c>
      <c r="C507" s="4" t="str">
        <f>IFERROR(__xludf.DUMMYFUNCTION("""🏘️ ""&amp;REGEXEXTRACT(B507, ""^(.*): "")&amp;"" ✅ "" &amp;REGEXEXTRACT(B507, ""(Trouvez.*)"")"),"🏘️ Vendre appartement Melide ✅ Trouvez le bien immobilier qui correspond idéalement à vos désirs sur ImmoScout24 - La plateforme de l'immobilier en Suisse.")</f>
        <v>🏘️ Vendre appartement Melide ✅ Trouvez le bien immobilier qui correspond idéalement à vos désirs sur ImmoScout24 - La plateforme de l'immobilier en Suisse.</v>
      </c>
      <c r="D507" s="4" t="str">
        <f>vlookup(A507, Sheet2!D:E, 2, 0)</f>
        <v>variant</v>
      </c>
      <c r="E507" s="4" t="str">
        <f>IFERROR(__xludf.DUMMYFUNCTION("if(H507=""pays"",vlookup(REGEXEXTRACT(C507, ""🏘️ \w+ \w+ (.*) ✅""),'Country prepositions'!A:B, 2, 0) &amp; "" "" &amp; REGEXEXTRACT(C507, ""🏘️ \w+ \w+ (.*) ✅"") ,  if(H507=""quartier"",vlookup(REGEXEXTRACT(C507, ""🏘️ \w+ \w+ (.*) ✅""),'Quartier prepositions'!A"&amp;":E, 5, 0) ,  if(H507=""region"",vlookup(REGEXEXTRACT(C507, ""🏘️ \w+ \w+ (.*) ✅""),'Region prepositions'!B:F, 5, 0),  REGEXEXTRACT(C507, ""🏘️ \w+ \w+ (.*) ✅""))))"),"Melide")</f>
        <v>Melide</v>
      </c>
      <c r="F507" s="2" t="str">
        <f>IFERROR(__xludf.DUMMYFUNCTION("REGEXEXTRACT(C507, ""🏘️ (\w+) \w+ .* ✅"")"),"Vendre")</f>
        <v>Vendre</v>
      </c>
      <c r="G507" s="2" t="str">
        <f>IFERROR(__xludf.DUMMYFUNCTION("REGEXEXTRACT(C507, ""🏘️ \w+ (\w+) .* ✅"")"),"appartement")</f>
        <v>appartement</v>
      </c>
      <c r="H507" s="4" t="str">
        <f>IFERROR(__xludf.DUMMYFUNCTION("REGEXEXTRACT(A507, ""/(\w+)-.*?"")"),"lieu")</f>
        <v>lieu</v>
      </c>
      <c r="I507" s="4" t="str">
        <f>IFERROR(__xludf.DUMMYFUNCTION("if(D507=""variant"",  substitute(filter(Templates!E:E, Templates!A:A = F507, Templates!B:B = G507, Templates!C:C = H507), ""{{}}"", E507), B507)"),"🏘  L’appartement de vos rêves se trouve sur ImmoScout24.ch ✅ Découvrez les dernières annonces de vente à Melide.")</f>
        <v>🏘  L’appartement de vos rêves se trouve sur ImmoScout24.ch ✅ Découvrez les dernières annonces de vente à Melide.</v>
      </c>
      <c r="J507" s="4" t="s">
        <v>1528</v>
      </c>
    </row>
    <row r="508">
      <c r="A508" s="5" t="s">
        <v>1529</v>
      </c>
      <c r="B508" s="2" t="s">
        <v>1530</v>
      </c>
      <c r="C508" s="4" t="str">
        <f>IFERROR(__xludf.DUMMYFUNCTION("""🏘️ ""&amp;REGEXEXTRACT(B508, ""^(.*): "")&amp;"" ✅ "" &amp;REGEXEXTRACT(B508, ""(Trouvez.*)"")"),"🏘️ Vendre maison Schwarzsee ✅ Trouvez le bien immobilier qui correspond idéalement à vos désirs sur ImmoScout24 - La plateforme de l'immobilier en Suisse.")</f>
        <v>🏘️ Vendre maison Schwarzsee ✅ Trouvez le bien immobilier qui correspond idéalement à vos désirs sur ImmoScout24 - La plateforme de l'immobilier en Suisse.</v>
      </c>
      <c r="D508" s="4" t="str">
        <f>vlookup(A508, Sheet2!D:E, 2, 0)</f>
        <v>variant</v>
      </c>
      <c r="E508" s="4" t="str">
        <f>IFERROR(__xludf.DUMMYFUNCTION("if(H508=""pays"",vlookup(REGEXEXTRACT(C508, ""🏘️ \w+ \w+ (.*) ✅""),'Country prepositions'!A:B, 2, 0) &amp; "" "" &amp; REGEXEXTRACT(C508, ""🏘️ \w+ \w+ (.*) ✅"") ,  if(H508=""quartier"",vlookup(REGEXEXTRACT(C508, ""🏘️ \w+ \w+ (.*) ✅""),'Quartier prepositions'!A"&amp;":E, 5, 0) ,  if(H508=""region"",vlookup(REGEXEXTRACT(C508, ""🏘️ \w+ \w+ (.*) ✅""),'Region prepositions'!B:F, 5, 0),  REGEXEXTRACT(C508, ""🏘️ \w+ \w+ (.*) ✅""))))"),"Schwarzsee")</f>
        <v>Schwarzsee</v>
      </c>
      <c r="F508" s="2" t="str">
        <f>IFERROR(__xludf.DUMMYFUNCTION("REGEXEXTRACT(C508, ""🏘️ (\w+) \w+ .* ✅"")"),"Vendre")</f>
        <v>Vendre</v>
      </c>
      <c r="G508" s="2" t="str">
        <f>IFERROR(__xludf.DUMMYFUNCTION("REGEXEXTRACT(C508, ""🏘️ \w+ (\w+) .* ✅"")"),"maison")</f>
        <v>maison</v>
      </c>
      <c r="H508" s="4" t="str">
        <f>IFERROR(__xludf.DUMMYFUNCTION("REGEXEXTRACT(A508, ""/(\w+)-.*?"")"),"lieu")</f>
        <v>lieu</v>
      </c>
      <c r="I508" s="4" t="str">
        <f>IFERROR(__xludf.DUMMYFUNCTION("if(D508=""variant"",  substitute(filter(Templates!E:E, Templates!A:A = F508, Templates!B:B = G508, Templates!C:C = H508), ""{{}}"", E508), B508)"),"🏘  Vous souhaitez acheter une maison à Schwarzsee? ✅ Jetez un œil aux dernières offres sur ImmoScout24.ch.")</f>
        <v>🏘  Vous souhaitez acheter une maison à Schwarzsee? ✅ Jetez un œil aux dernières offres sur ImmoScout24.ch.</v>
      </c>
      <c r="J508" s="4" t="s">
        <v>1531</v>
      </c>
    </row>
    <row r="509">
      <c r="A509" s="5" t="s">
        <v>1532</v>
      </c>
      <c r="B509" s="2" t="s">
        <v>1533</v>
      </c>
      <c r="C509" s="4" t="str">
        <f>IFERROR(__xludf.DUMMYFUNCTION("""🏘️ ""&amp;REGEXEXTRACT(B509, ""^(.*): "")&amp;"" ✅ "" &amp;REGEXEXTRACT(B509, ""(Trouvez.*)"")"),"🏘️ Louer appartement Sempach ✅ Trouvez le bien immobilier qui correspond idéalement à vos désirs sur ImmoScout24 - La plateforme de l'immobilier en Suisse.")</f>
        <v>🏘️ Louer appartement Sempach ✅ Trouvez le bien immobilier qui correspond idéalement à vos désirs sur ImmoScout24 - La plateforme de l'immobilier en Suisse.</v>
      </c>
      <c r="D509" s="4" t="str">
        <f>vlookup(A509, Sheet2!D:E, 2, 0)</f>
        <v>variant</v>
      </c>
      <c r="E509" s="4" t="str">
        <f>IFERROR(__xludf.DUMMYFUNCTION("if(H509=""pays"",vlookup(REGEXEXTRACT(C509, ""🏘️ \w+ \w+ (.*) ✅""),'Country prepositions'!A:B, 2, 0) &amp; "" "" &amp; REGEXEXTRACT(C509, ""🏘️ \w+ \w+ (.*) ✅"") ,  if(H509=""quartier"",vlookup(REGEXEXTRACT(C509, ""🏘️ \w+ \w+ (.*) ✅""),'Quartier prepositions'!A"&amp;":E, 5, 0) ,  if(H509=""region"",vlookup(REGEXEXTRACT(C509, ""🏘️ \w+ \w+ (.*) ✅""),'Region prepositions'!B:F, 5, 0),  REGEXEXTRACT(C509, ""🏘️ \w+ \w+ (.*) ✅""))))"),"Sempach")</f>
        <v>Sempach</v>
      </c>
      <c r="F509" s="2" t="str">
        <f>IFERROR(__xludf.DUMMYFUNCTION("REGEXEXTRACT(C509, ""🏘️ (\w+) \w+ .* ✅"")"),"Louer")</f>
        <v>Louer</v>
      </c>
      <c r="G509" s="2" t="str">
        <f>IFERROR(__xludf.DUMMYFUNCTION("REGEXEXTRACT(C509, ""🏘️ \w+ (\w+) .* ✅"")"),"appartement")</f>
        <v>appartement</v>
      </c>
      <c r="H509" s="4" t="str">
        <f>IFERROR(__xludf.DUMMYFUNCTION("REGEXEXTRACT(A509, ""/(\w+)-.*?"")"),"lieu")</f>
        <v>lieu</v>
      </c>
      <c r="I509" s="4" t="str">
        <f>IFERROR(__xludf.DUMMYFUNCTION("if(D509=""variant"",  substitute(filter(Templates!E:E, Templates!A:A = F509, Templates!B:B = G509, Templates!C:C = H509), ""{{}}"", E509), B509)"),"🏘  Vous cherchez un appartement à louer à Sempach? ✅ Les annonces les plus actuelles sont sur ImmoScout24.ch.")</f>
        <v>🏘  Vous cherchez un appartement à louer à Sempach? ✅ Les annonces les plus actuelles sont sur ImmoScout24.ch.</v>
      </c>
      <c r="J509" s="4" t="s">
        <v>1534</v>
      </c>
    </row>
    <row r="510">
      <c r="A510" s="5" t="s">
        <v>1535</v>
      </c>
      <c r="B510" s="2" t="s">
        <v>1536</v>
      </c>
      <c r="C510" s="4" t="str">
        <f>IFERROR(__xludf.DUMMYFUNCTION("""🏘️ ""&amp;REGEXEXTRACT(B510, ""^(.*): "")&amp;"" ✅ "" &amp;REGEXEXTRACT(B510, ""(Trouvez.*)"")"),"🏘️ Louer maison Gruyère - La Broye - Lac - Veveyse ✅ Trouvez le bien immobilier qui correspond idéalement à vos désirs sur ImmoScout24 - La plateforme de l'immobilier en Suisse.")</f>
        <v>🏘️ Louer maison Gruyère - La Broye - Lac - Veveyse ✅ Trouvez le bien immobilier qui correspond idéalement à vos désirs sur ImmoScout24 - La plateforme de l'immobilier en Suisse.</v>
      </c>
      <c r="D510" s="4" t="str">
        <f>vlookup(A510, Sheet2!D:E, 2, 0)</f>
        <v>variant</v>
      </c>
      <c r="E510" s="4" t="str">
        <f>IFERROR(__xludf.DUMMYFUNCTION("if(H510=""pays"",vlookup(REGEXEXTRACT(C510, ""🏘️ \w+ \w+ (.*) ✅""),'Country prepositions'!A:B, 2, 0) &amp; "" "" &amp; REGEXEXTRACT(C510, ""🏘️ \w+ \w+ (.*) ✅"") ,  if(H510=""quartier"",vlookup(REGEXEXTRACT(C510, ""🏘️ \w+ \w+ (.*) ✅""),'Quartier prepositions'!A"&amp;":E, 5, 0) ,  if(H510=""region"",vlookup(REGEXEXTRACT(C510, ""🏘️ \w+ \w+ (.*) ✅""),'Region prepositions'!B:F, 5, 0),  REGEXEXTRACT(C510, ""🏘️ \w+ \w+ (.*) ✅""))))"),"dans les districts de Gruyère - La Broye - Lac - Veveyse")</f>
        <v>dans les districts de Gruyère - La Broye - Lac - Veveyse</v>
      </c>
      <c r="F510" s="2" t="str">
        <f>IFERROR(__xludf.DUMMYFUNCTION("REGEXEXTRACT(C510, ""🏘️ (\w+) \w+ .* ✅"")"),"Louer")</f>
        <v>Louer</v>
      </c>
      <c r="G510" s="2" t="str">
        <f>IFERROR(__xludf.DUMMYFUNCTION("REGEXEXTRACT(C510, ""🏘️ \w+ (\w+) .* ✅"")"),"maison")</f>
        <v>maison</v>
      </c>
      <c r="H510" s="4" t="str">
        <f>IFERROR(__xludf.DUMMYFUNCTION("REGEXEXTRACT(A510, ""/(\w+)-.*?"")"),"region")</f>
        <v>region</v>
      </c>
      <c r="I510" s="4" t="str">
        <f>IFERROR(__xludf.DUMMYFUNCTION("if(D510=""variant"",  substitute(filter(Templates!E:E, Templates!A:A = F510, Templates!B:B = G510, Templates!C:C = H510), ""{{}}"", E510), B510)"),"🏘  Vous cherchez une maison à louer dans les districts de Gruyère - La Broye - Lac - Veveyse? ✅ Découvrez nos nombreuses annonces sur ImmoScout24.ch.")</f>
        <v>🏘  Vous cherchez une maison à louer dans les districts de Gruyère - La Broye - Lac - Veveyse? ✅ Découvrez nos nombreuses annonces sur ImmoScout24.ch.</v>
      </c>
      <c r="J510" s="4" t="s">
        <v>1537</v>
      </c>
    </row>
    <row r="511">
      <c r="A511" s="5" t="s">
        <v>1538</v>
      </c>
      <c r="B511" s="2" t="s">
        <v>1539</v>
      </c>
      <c r="C511" s="4" t="str">
        <f>IFERROR(__xludf.DUMMYFUNCTION("""🏘️ ""&amp;REGEXEXTRACT(B511, ""^(.*): "")&amp;"" ✅ "" &amp;REGEXEXTRACT(B511, ""(Trouvez.*)"")"),"🏘️ Louer appartement Montet (Broye) ✅ Trouvez le bien immobilier qui correspond idéalement à vos désirs sur ImmoScout24 - La plateforme de l'immobilier en Suisse.")</f>
        <v>🏘️ Louer appartement Montet (Broye) ✅ Trouvez le bien immobilier qui correspond idéalement à vos désirs sur ImmoScout24 - La plateforme de l'immobilier en Suisse.</v>
      </c>
      <c r="D511" s="4" t="str">
        <f>vlookup(A511, Sheet2!D:E, 2, 0)</f>
        <v>variant</v>
      </c>
      <c r="E511" s="4" t="str">
        <f>IFERROR(__xludf.DUMMYFUNCTION("if(H511=""pays"",vlookup(REGEXEXTRACT(C511, ""🏘️ \w+ \w+ (.*) ✅""),'Country prepositions'!A:B, 2, 0) &amp; "" "" &amp; REGEXEXTRACT(C511, ""🏘️ \w+ \w+ (.*) ✅"") ,  if(H511=""quartier"",vlookup(REGEXEXTRACT(C511, ""🏘️ \w+ \w+ (.*) ✅""),'Quartier prepositions'!A"&amp;":E, 5, 0) ,  if(H511=""region"",vlookup(REGEXEXTRACT(C511, ""🏘️ \w+ \w+ (.*) ✅""),'Region prepositions'!B:F, 5, 0),  REGEXEXTRACT(C511, ""🏘️ \w+ \w+ (.*) ✅""))))"),"Montet (Broye)")</f>
        <v>Montet (Broye)</v>
      </c>
      <c r="F511" s="2" t="str">
        <f>IFERROR(__xludf.DUMMYFUNCTION("REGEXEXTRACT(C511, ""🏘️ (\w+) \w+ .* ✅"")"),"Louer")</f>
        <v>Louer</v>
      </c>
      <c r="G511" s="2" t="str">
        <f>IFERROR(__xludf.DUMMYFUNCTION("REGEXEXTRACT(C511, ""🏘️ \w+ (\w+) .* ✅"")"),"appartement")</f>
        <v>appartement</v>
      </c>
      <c r="H511" s="4" t="str">
        <f>IFERROR(__xludf.DUMMYFUNCTION("REGEXEXTRACT(A511, ""/(\w+)-.*?"")"),"lieu")</f>
        <v>lieu</v>
      </c>
      <c r="I511" s="4" t="str">
        <f>IFERROR(__xludf.DUMMYFUNCTION("if(D511=""variant"",  substitute(filter(Templates!E:E, Templates!A:A = F511, Templates!B:B = G511, Templates!C:C = H511), ""{{}}"", E511), B511)"),"🏘  Vous cherchez un appartement à louer à Montet (Broye)? ✅ Les annonces les plus actuelles sont sur ImmoScout24.ch.")</f>
        <v>🏘  Vous cherchez un appartement à louer à Montet (Broye)? ✅ Les annonces les plus actuelles sont sur ImmoScout24.ch.</v>
      </c>
      <c r="J511" s="4" t="s">
        <v>1540</v>
      </c>
    </row>
    <row r="512">
      <c r="A512" s="5" t="s">
        <v>1541</v>
      </c>
      <c r="B512" s="2" t="s">
        <v>1542</v>
      </c>
      <c r="C512" s="4" t="str">
        <f>IFERROR(__xludf.DUMMYFUNCTION("""🏘️ ""&amp;REGEXEXTRACT(B512, ""^(.*): "")&amp;"" ✅ "" &amp;REGEXEXTRACT(B512, ""(Trouvez.*)"")"),"🏘️ Louer appartement Engeried (Berne) ✅ Trouvez le bien immobilier qui correspond idéalement à vos désirs sur ImmoScout24 - La plateforme de l'immobilier en Suisse.")</f>
        <v>🏘️ Louer appartement Engeried (Berne) ✅ Trouvez le bien immobilier qui correspond idéalement à vos désirs sur ImmoScout24 - La plateforme de l'immobilier en Suisse.</v>
      </c>
      <c r="D512" s="4" t="str">
        <f>vlookup(A512, Sheet2!D:E, 2, 0)</f>
        <v>variant</v>
      </c>
      <c r="E512" s="4" t="str">
        <f>IFERROR(__xludf.DUMMYFUNCTION("if(H512=""pays"",vlookup(REGEXEXTRACT(C512, ""🏘️ \w+ \w+ (.*) ✅""),'Country prepositions'!A:B, 2, 0) &amp; "" "" &amp; REGEXEXTRACT(C512, ""🏘️ \w+ \w+ (.*) ✅"") ,  if(H512=""quartier"",vlookup(REGEXEXTRACT(C512, ""🏘️ \w+ \w+ (.*) ✅""),'Quartier prepositions'!A"&amp;":E, 5, 0) ,  if(H512=""region"",vlookup(REGEXEXTRACT(C512, ""🏘️ \w+ \w+ (.*) ✅""),'Region prepositions'!B:F, 5, 0),  REGEXEXTRACT(C512, ""🏘️ \w+ \w+ (.*) ✅""))))"),"dans le quartier d'Engeried (Berne)")</f>
        <v>dans le quartier d'Engeried (Berne)</v>
      </c>
      <c r="F512" s="2" t="str">
        <f>IFERROR(__xludf.DUMMYFUNCTION("REGEXEXTRACT(C512, ""🏘️ (\w+) \w+ .* ✅"")"),"Louer")</f>
        <v>Louer</v>
      </c>
      <c r="G512" s="2" t="str">
        <f>IFERROR(__xludf.DUMMYFUNCTION("REGEXEXTRACT(C512, ""🏘️ \w+ (\w+) .* ✅"")"),"appartement")</f>
        <v>appartement</v>
      </c>
      <c r="H512" s="4" t="str">
        <f>IFERROR(__xludf.DUMMYFUNCTION("REGEXEXTRACT(A512, ""/(\w+)-.*?"")"),"quartier")</f>
        <v>quartier</v>
      </c>
      <c r="I512" s="4" t="str">
        <f>IFERROR(__xludf.DUMMYFUNCTION("if(D512=""variant"",  substitute(filter(Templates!E:E, Templates!A:A = F512, Templates!B:B = G512, Templates!C:C = H512), ""{{}}"", E512), B512)"),"🏘  Vous cherchez un appartement à louer dans le quartier d'Engeried (Berne)? ✅ Les annonces les plus actuelles sont sur ImmoScout24.ch.")</f>
        <v>🏘  Vous cherchez un appartement à louer dans le quartier d'Engeried (Berne)? ✅ Les annonces les plus actuelles sont sur ImmoScout24.ch.</v>
      </c>
      <c r="J512" s="4" t="s">
        <v>1543</v>
      </c>
    </row>
    <row r="513">
      <c r="A513" s="5" t="s">
        <v>1544</v>
      </c>
      <c r="B513" s="2" t="s">
        <v>1545</v>
      </c>
      <c r="C513" s="4" t="str">
        <f>IFERROR(__xludf.DUMMYFUNCTION("""🏘️ ""&amp;REGEXEXTRACT(B513, ""^(.*): "")&amp;"" ✅ "" &amp;REGEXEXTRACT(B513, ""(Trouvez.*)"")"),"🏘️ Vendre appartement Vernayaz ✅ Trouvez le bien immobilier qui correspond idéalement à vos désirs sur ImmoScout24 - La plateforme de l'immobilier en Suisse.")</f>
        <v>🏘️ Vendre appartement Vernayaz ✅ Trouvez le bien immobilier qui correspond idéalement à vos désirs sur ImmoScout24 - La plateforme de l'immobilier en Suisse.</v>
      </c>
      <c r="D513" s="4" t="str">
        <f>vlookup(A513, Sheet2!D:E, 2, 0)</f>
        <v>variant</v>
      </c>
      <c r="E513" s="4" t="str">
        <f>IFERROR(__xludf.DUMMYFUNCTION("if(H513=""pays"",vlookup(REGEXEXTRACT(C513, ""🏘️ \w+ \w+ (.*) ✅""),'Country prepositions'!A:B, 2, 0) &amp; "" "" &amp; REGEXEXTRACT(C513, ""🏘️ \w+ \w+ (.*) ✅"") ,  if(H513=""quartier"",vlookup(REGEXEXTRACT(C513, ""🏘️ \w+ \w+ (.*) ✅""),'Quartier prepositions'!A"&amp;":E, 5, 0) ,  if(H513=""region"",vlookup(REGEXEXTRACT(C513, ""🏘️ \w+ \w+ (.*) ✅""),'Region prepositions'!B:F, 5, 0),  REGEXEXTRACT(C513, ""🏘️ \w+ \w+ (.*) ✅""))))"),"Vernayaz")</f>
        <v>Vernayaz</v>
      </c>
      <c r="F513" s="2" t="str">
        <f>IFERROR(__xludf.DUMMYFUNCTION("REGEXEXTRACT(C513, ""🏘️ (\w+) \w+ .* ✅"")"),"Vendre")</f>
        <v>Vendre</v>
      </c>
      <c r="G513" s="2" t="str">
        <f>IFERROR(__xludf.DUMMYFUNCTION("REGEXEXTRACT(C513, ""🏘️ \w+ (\w+) .* ✅"")"),"appartement")</f>
        <v>appartement</v>
      </c>
      <c r="H513" s="4" t="str">
        <f>IFERROR(__xludf.DUMMYFUNCTION("REGEXEXTRACT(A513, ""/(\w+)-.*?"")"),"lieu")</f>
        <v>lieu</v>
      </c>
      <c r="I513" s="4" t="str">
        <f>IFERROR(__xludf.DUMMYFUNCTION("if(D513=""variant"",  substitute(filter(Templates!E:E, Templates!A:A = F513, Templates!B:B = G513, Templates!C:C = H513), ""{{}}"", E513), B513)"),"🏘  L’appartement de vos rêves se trouve sur ImmoScout24.ch ✅ Découvrez les dernières annonces de vente à Vernayaz.")</f>
        <v>🏘  L’appartement de vos rêves se trouve sur ImmoScout24.ch ✅ Découvrez les dernières annonces de vente à Vernayaz.</v>
      </c>
      <c r="J513" s="4" t="s">
        <v>1546</v>
      </c>
    </row>
    <row r="514">
      <c r="A514" s="5" t="s">
        <v>1547</v>
      </c>
      <c r="B514" s="2" t="s">
        <v>1548</v>
      </c>
      <c r="C514" s="4" t="str">
        <f>IFERROR(__xludf.DUMMYFUNCTION("""🏘️ ""&amp;REGEXEXTRACT(B514, ""^(.*): "")&amp;"" ✅ "" &amp;REGEXEXTRACT(B514, ""(Trouvez.*)"")"),"🏘️ Louer appartement Minusio ✅ Trouvez le bien immobilier qui correspond idéalement à vos désirs sur ImmoScout24 - La plateforme de l'immobilier en Suisse.")</f>
        <v>🏘️ Louer appartement Minusio ✅ Trouvez le bien immobilier qui correspond idéalement à vos désirs sur ImmoScout24 - La plateforme de l'immobilier en Suisse.</v>
      </c>
      <c r="D514" s="4" t="str">
        <f>vlookup(A514, Sheet2!D:E, 2, 0)</f>
        <v>variant</v>
      </c>
      <c r="E514" s="4" t="str">
        <f>IFERROR(__xludf.DUMMYFUNCTION("if(H514=""pays"",vlookup(REGEXEXTRACT(C514, ""🏘️ \w+ \w+ (.*) ✅""),'Country prepositions'!A:B, 2, 0) &amp; "" "" &amp; REGEXEXTRACT(C514, ""🏘️ \w+ \w+ (.*) ✅"") ,  if(H514=""quartier"",vlookup(REGEXEXTRACT(C514, ""🏘️ \w+ \w+ (.*) ✅""),'Quartier prepositions'!A"&amp;":E, 5, 0) ,  if(H514=""region"",vlookup(REGEXEXTRACT(C514, ""🏘️ \w+ \w+ (.*) ✅""),'Region prepositions'!B:F, 5, 0),  REGEXEXTRACT(C514, ""🏘️ \w+ \w+ (.*) ✅""))))"),"Minusio")</f>
        <v>Minusio</v>
      </c>
      <c r="F514" s="2" t="str">
        <f>IFERROR(__xludf.DUMMYFUNCTION("REGEXEXTRACT(C514, ""🏘️ (\w+) \w+ .* ✅"")"),"Louer")</f>
        <v>Louer</v>
      </c>
      <c r="G514" s="2" t="str">
        <f>IFERROR(__xludf.DUMMYFUNCTION("REGEXEXTRACT(C514, ""🏘️ \w+ (\w+) .* ✅"")"),"appartement")</f>
        <v>appartement</v>
      </c>
      <c r="H514" s="4" t="str">
        <f>IFERROR(__xludf.DUMMYFUNCTION("REGEXEXTRACT(A514, ""/(\w+)-.*?"")"),"lieu")</f>
        <v>lieu</v>
      </c>
      <c r="I514" s="4" t="str">
        <f>IFERROR(__xludf.DUMMYFUNCTION("if(D514=""variant"",  substitute(filter(Templates!E:E, Templates!A:A = F514, Templates!B:B = G514, Templates!C:C = H514), ""{{}}"", E514), B514)"),"🏘  Vous cherchez un appartement à louer à Minusio? ✅ Les annonces les plus actuelles sont sur ImmoScout24.ch.")</f>
        <v>🏘  Vous cherchez un appartement à louer à Minusio? ✅ Les annonces les plus actuelles sont sur ImmoScout24.ch.</v>
      </c>
      <c r="J514" s="4" t="s">
        <v>1549</v>
      </c>
    </row>
    <row r="515">
      <c r="A515" s="5" t="s">
        <v>1550</v>
      </c>
      <c r="B515" s="2" t="s">
        <v>1551</v>
      </c>
      <c r="C515" s="4" t="str">
        <f>IFERROR(__xludf.DUMMYFUNCTION("""🏘️ ""&amp;REGEXEXTRACT(B515, ""^(.*): "")&amp;"" ✅ "" &amp;REGEXEXTRACT(B515, ""(Trouvez.*)"")"),"🏘️ Vendre maison Zermatt ✅ Trouvez le bien immobilier qui correspond idéalement à vos désirs sur ImmoScout24 - La plateforme de l'immobilier en Suisse.")</f>
        <v>🏘️ Vendre maison Zermatt ✅ Trouvez le bien immobilier qui correspond idéalement à vos désirs sur ImmoScout24 - La plateforme de l'immobilier en Suisse.</v>
      </c>
      <c r="D515" s="4" t="str">
        <f>vlookup(A515, Sheet2!D:E, 2, 0)</f>
        <v>variant</v>
      </c>
      <c r="E515" s="4" t="str">
        <f>IFERROR(__xludf.DUMMYFUNCTION("if(H515=""pays"",vlookup(REGEXEXTRACT(C515, ""🏘️ \w+ \w+ (.*) ✅""),'Country prepositions'!A:B, 2, 0) &amp; "" "" &amp; REGEXEXTRACT(C515, ""🏘️ \w+ \w+ (.*) ✅"") ,  if(H515=""quartier"",vlookup(REGEXEXTRACT(C515, ""🏘️ \w+ \w+ (.*) ✅""),'Quartier prepositions'!A"&amp;":E, 5, 0) ,  if(H515=""region"",vlookup(REGEXEXTRACT(C515, ""🏘️ \w+ \w+ (.*) ✅""),'Region prepositions'!B:F, 5, 0),  REGEXEXTRACT(C515, ""🏘️ \w+ \w+ (.*) ✅""))))"),"Zermatt")</f>
        <v>Zermatt</v>
      </c>
      <c r="F515" s="2" t="str">
        <f>IFERROR(__xludf.DUMMYFUNCTION("REGEXEXTRACT(C515, ""🏘️ (\w+) \w+ .* ✅"")"),"Vendre")</f>
        <v>Vendre</v>
      </c>
      <c r="G515" s="2" t="str">
        <f>IFERROR(__xludf.DUMMYFUNCTION("REGEXEXTRACT(C515, ""🏘️ \w+ (\w+) .* ✅"")"),"maison")</f>
        <v>maison</v>
      </c>
      <c r="H515" s="4" t="str">
        <f>IFERROR(__xludf.DUMMYFUNCTION("REGEXEXTRACT(A515, ""/(\w+)-.*?"")"),"lieu")</f>
        <v>lieu</v>
      </c>
      <c r="I515" s="4" t="str">
        <f>IFERROR(__xludf.DUMMYFUNCTION("if(D515=""variant"",  substitute(filter(Templates!E:E, Templates!A:A = F515, Templates!B:B = G515, Templates!C:C = H515), ""{{}}"", E515), B515)"),"🏘  Vous souhaitez acheter une maison à Zermatt? ✅ Jetez un œil aux dernières offres sur ImmoScout24.ch.")</f>
        <v>🏘  Vous souhaitez acheter une maison à Zermatt? ✅ Jetez un œil aux dernières offres sur ImmoScout24.ch.</v>
      </c>
      <c r="J515" s="4" t="s">
        <v>1552</v>
      </c>
    </row>
    <row r="516">
      <c r="A516" s="5" t="s">
        <v>1553</v>
      </c>
      <c r="B516" s="2" t="s">
        <v>1554</v>
      </c>
      <c r="C516" s="4" t="str">
        <f>IFERROR(__xludf.DUMMYFUNCTION("""🏘️ ""&amp;REGEXEXTRACT(B516, ""^(.*): "")&amp;"" ✅ "" &amp;REGEXEXTRACT(B516, ""(Trouvez.*)"")"),"🏘️ Vendre appartement Chine ✅ Trouvez le bien immobilier qui correspond idéalement à vos désirs sur ImmoScout24 - La plateforme de l'immobilier en Suisse.")</f>
        <v>🏘️ Vendre appartement Chine ✅ Trouvez le bien immobilier qui correspond idéalement à vos désirs sur ImmoScout24 - La plateforme de l'immobilier en Suisse.</v>
      </c>
      <c r="D516" s="4" t="str">
        <f>vlookup(A516, Sheet2!D:E, 2, 0)</f>
        <v>variant</v>
      </c>
      <c r="E516" s="4" t="str">
        <f>IFERROR(__xludf.DUMMYFUNCTION("if(H516=""pays"",vlookup(REGEXEXTRACT(C516, ""🏘️ \w+ \w+ (.*) ✅""),'Country prepositions'!A:B, 2, 0) &amp; "" "" &amp; REGEXEXTRACT(C516, ""🏘️ \w+ \w+ (.*) ✅"") ,  if(H516=""quartier"",vlookup(REGEXEXTRACT(C516, ""🏘️ \w+ \w+ (.*) ✅""),'Quartier prepositions'!A"&amp;":E, 5, 0) ,  if(H516=""region"",vlookup(REGEXEXTRACT(C516, ""🏘️ \w+ \w+ (.*) ✅""),'Region prepositions'!B:F, 5, 0),  REGEXEXTRACT(C516, ""🏘️ \w+ \w+ (.*) ✅""))))"),"en Chine")</f>
        <v>en Chine</v>
      </c>
      <c r="F516" s="2" t="str">
        <f>IFERROR(__xludf.DUMMYFUNCTION("REGEXEXTRACT(C516, ""🏘️ (\w+) \w+ .* ✅"")"),"Vendre")</f>
        <v>Vendre</v>
      </c>
      <c r="G516" s="2" t="str">
        <f>IFERROR(__xludf.DUMMYFUNCTION("REGEXEXTRACT(C516, ""🏘️ \w+ (\w+) .* ✅"")"),"appartement")</f>
        <v>appartement</v>
      </c>
      <c r="H516" s="4" t="str">
        <f>IFERROR(__xludf.DUMMYFUNCTION("REGEXEXTRACT(A516, ""/(\w+)-.*?"")"),"pays")</f>
        <v>pays</v>
      </c>
      <c r="I516" s="4" t="str">
        <f>IFERROR(__xludf.DUMMYFUNCTION("if(D516=""variant"",  substitute(filter(Templates!E:E, Templates!A:A = F516, Templates!B:B = G516, Templates!C:C = H516), ""{{}}"", E516), B516)"),"🏘  Vous cherchez un appartement à louer en Chine? ✅ Les annonces les plus actuelles sont sur ImmoScout24.ch.")</f>
        <v>🏘  Vous cherchez un appartement à louer en Chine? ✅ Les annonces les plus actuelles sont sur ImmoScout24.ch.</v>
      </c>
      <c r="J516" s="4" t="s">
        <v>1555</v>
      </c>
    </row>
    <row r="517">
      <c r="A517" s="5" t="s">
        <v>1556</v>
      </c>
      <c r="B517" s="2" t="s">
        <v>1557</v>
      </c>
      <c r="C517" s="4" t="str">
        <f>IFERROR(__xludf.DUMMYFUNCTION("""🏘️ ""&amp;REGEXEXTRACT(B517, ""^(.*): "")&amp;"" ✅ "" &amp;REGEXEXTRACT(B517, ""(Trouvez.*)"")"),"🏘️ Vendre maison Les Planchettes ✅ Trouvez le bien immobilier qui correspond idéalement à vos désirs sur ImmoScout24 - La plateforme de l'immobilier en Suisse.")</f>
        <v>🏘️ Vendre maison Les Planchettes ✅ Trouvez le bien immobilier qui correspond idéalement à vos désirs sur ImmoScout24 - La plateforme de l'immobilier en Suisse.</v>
      </c>
      <c r="D517" s="4" t="str">
        <f>vlookup(A517, Sheet2!D:E, 2, 0)</f>
        <v>variant</v>
      </c>
      <c r="E517" s="4" t="str">
        <f>IFERROR(__xludf.DUMMYFUNCTION("if(H517=""pays"",vlookup(REGEXEXTRACT(C517, ""🏘️ \w+ \w+ (.*) ✅""),'Country prepositions'!A:B, 2, 0) &amp; "" "" &amp; REGEXEXTRACT(C517, ""🏘️ \w+ \w+ (.*) ✅"") ,  if(H517=""quartier"",vlookup(REGEXEXTRACT(C517, ""🏘️ \w+ \w+ (.*) ✅""),'Quartier prepositions'!A"&amp;":E, 5, 0) ,  if(H517=""region"",vlookup(REGEXEXTRACT(C517, ""🏘️ \w+ \w+ (.*) ✅""),'Region prepositions'!B:F, 5, 0),  REGEXEXTRACT(C517, ""🏘️ \w+ \w+ (.*) ✅""))))"),"Les Planchettes")</f>
        <v>Les Planchettes</v>
      </c>
      <c r="F517" s="2" t="str">
        <f>IFERROR(__xludf.DUMMYFUNCTION("REGEXEXTRACT(C517, ""🏘️ (\w+) \w+ .* ✅"")"),"Vendre")</f>
        <v>Vendre</v>
      </c>
      <c r="G517" s="2" t="str">
        <f>IFERROR(__xludf.DUMMYFUNCTION("REGEXEXTRACT(C517, ""🏘️ \w+ (\w+) .* ✅"")"),"maison")</f>
        <v>maison</v>
      </c>
      <c r="H517" s="4" t="str">
        <f>IFERROR(__xludf.DUMMYFUNCTION("REGEXEXTRACT(A517, ""/(\w+)-.*?"")"),"lieu")</f>
        <v>lieu</v>
      </c>
      <c r="I517" s="8" t="str">
        <f>IFERROR(__xludf.DUMMYFUNCTION("if(D517=""variant"",  substitute(filter(Templates!E:E, Templates!A:A = F517, Templates!B:B = G517, Templates!C:C = H517), ""{{}}"", E517), B517)"),"🏘  Vous souhaitez acheter une maison à Les Planchettes? ✅ Jetez un œil aux dernières offres sur ImmoScout24.ch.")</f>
        <v>🏘  Vous souhaitez acheter une maison à Les Planchettes? ✅ Jetez un œil aux dernières offres sur ImmoScout24.ch.</v>
      </c>
      <c r="J517" s="2" t="s">
        <v>1558</v>
      </c>
    </row>
    <row r="518">
      <c r="A518" s="5" t="s">
        <v>1559</v>
      </c>
      <c r="B518" s="2" t="s">
        <v>1560</v>
      </c>
      <c r="C518" s="4" t="str">
        <f>IFERROR(__xludf.DUMMYFUNCTION("""🏘️ ""&amp;REGEXEXTRACT(B518, ""^(.*): "")&amp;"" ✅ "" &amp;REGEXEXTRACT(B518, ""(Trouvez.*)"")"),"🏘️ Vendre maison Vernand (Lausanne) ✅ Trouvez le bien immobilier qui correspond idéalement à vos désirs sur ImmoScout24 - La plateforme de l'immobilier en Suisse.")</f>
        <v>🏘️ Vendre maison Vernand (Lausanne) ✅ Trouvez le bien immobilier qui correspond idéalement à vos désirs sur ImmoScout24 - La plateforme de l'immobilier en Suisse.</v>
      </c>
      <c r="D518" s="4" t="str">
        <f>vlookup(A518, Sheet2!D:E, 2, 0)</f>
        <v>variant</v>
      </c>
      <c r="E518" s="4" t="str">
        <f>IFERROR(__xludf.DUMMYFUNCTION("if(H518=""pays"",vlookup(REGEXEXTRACT(C518, ""🏘️ \w+ \w+ (.*) ✅""),'Country prepositions'!A:B, 2, 0) &amp; "" "" &amp; REGEXEXTRACT(C518, ""🏘️ \w+ \w+ (.*) ✅"") ,  if(H518=""quartier"",vlookup(REGEXEXTRACT(C518, ""🏘️ \w+ \w+ (.*) ✅""),'Quartier prepositions'!A"&amp;":E, 5, 0) ,  if(H518=""region"",vlookup(REGEXEXTRACT(C518, ""🏘️ \w+ \w+ (.*) ✅""),'Region prepositions'!B:F, 5, 0),  REGEXEXTRACT(C518, ""🏘️ \w+ \w+ (.*) ✅""))))"),"dans le quartier de Vernand (Lausanne)")</f>
        <v>dans le quartier de Vernand (Lausanne)</v>
      </c>
      <c r="F518" s="2" t="str">
        <f>IFERROR(__xludf.DUMMYFUNCTION("REGEXEXTRACT(C518, ""🏘️ (\w+) \w+ .* ✅"")"),"Vendre")</f>
        <v>Vendre</v>
      </c>
      <c r="G518" s="2" t="str">
        <f>IFERROR(__xludf.DUMMYFUNCTION("REGEXEXTRACT(C518, ""🏘️ \w+ (\w+) .* ✅"")"),"maison")</f>
        <v>maison</v>
      </c>
      <c r="H518" s="4" t="str">
        <f>IFERROR(__xludf.DUMMYFUNCTION("REGEXEXTRACT(A518, ""/(\w+)-.*?"")"),"quartier")</f>
        <v>quartier</v>
      </c>
      <c r="I518" s="4" t="str">
        <f>IFERROR(__xludf.DUMMYFUNCTION("if(D518=""variant"",  substitute(filter(Templates!E:E, Templates!A:A = F518, Templates!B:B = G518, Templates!C:C = H518), ""{{}}"", E518), B518)"),"🏘  Vous souhaitez acheter une maison dans le quartier de Vernand (Lausanne)? ✅ Jetez un œil aux dernières offres sur ImmoScout24.ch.")</f>
        <v>🏘  Vous souhaitez acheter une maison dans le quartier de Vernand (Lausanne)? ✅ Jetez un œil aux dernières offres sur ImmoScout24.ch.</v>
      </c>
      <c r="J518" s="4" t="s">
        <v>1561</v>
      </c>
    </row>
    <row r="519">
      <c r="A519" s="5" t="s">
        <v>1562</v>
      </c>
      <c r="B519" s="2" t="s">
        <v>1563</v>
      </c>
      <c r="C519" s="4" t="str">
        <f>IFERROR(__xludf.DUMMYFUNCTION("""🏘️ ""&amp;REGEXEXTRACT(B519, ""^(.*): "")&amp;"" ✅ "" &amp;REGEXEXTRACT(B519, ""(Trouvez.*)"")"),"🏘️ Louer maison Montbovon ✅ Trouvez le bien immobilier qui correspond idéalement à vos désirs sur ImmoScout24 - La plateforme de l'immobilier en Suisse.")</f>
        <v>🏘️ Louer maison Montbovon ✅ Trouvez le bien immobilier qui correspond idéalement à vos désirs sur ImmoScout24 - La plateforme de l'immobilier en Suisse.</v>
      </c>
      <c r="D519" s="4" t="str">
        <f>vlookup(A519, Sheet2!D:E, 2, 0)</f>
        <v>variant</v>
      </c>
      <c r="E519" s="4" t="str">
        <f>IFERROR(__xludf.DUMMYFUNCTION("if(H519=""pays"",vlookup(REGEXEXTRACT(C519, ""🏘️ \w+ \w+ (.*) ✅""),'Country prepositions'!A:B, 2, 0) &amp; "" "" &amp; REGEXEXTRACT(C519, ""🏘️ \w+ \w+ (.*) ✅"") ,  if(H519=""quartier"",vlookup(REGEXEXTRACT(C519, ""🏘️ \w+ \w+ (.*) ✅""),'Quartier prepositions'!A"&amp;":E, 5, 0) ,  if(H519=""region"",vlookup(REGEXEXTRACT(C519, ""🏘️ \w+ \w+ (.*) ✅""),'Region prepositions'!B:F, 5, 0),  REGEXEXTRACT(C519, ""🏘️ \w+ \w+ (.*) ✅""))))"),"Montbovon")</f>
        <v>Montbovon</v>
      </c>
      <c r="F519" s="2" t="str">
        <f>IFERROR(__xludf.DUMMYFUNCTION("REGEXEXTRACT(C519, ""🏘️ (\w+) \w+ .* ✅"")"),"Louer")</f>
        <v>Louer</v>
      </c>
      <c r="G519" s="2" t="str">
        <f>IFERROR(__xludf.DUMMYFUNCTION("REGEXEXTRACT(C519, ""🏘️ \w+ (\w+) .* ✅"")"),"maison")</f>
        <v>maison</v>
      </c>
      <c r="H519" s="4" t="str">
        <f>IFERROR(__xludf.DUMMYFUNCTION("REGEXEXTRACT(A519, ""/(\w+)-.*?"")"),"lieu")</f>
        <v>lieu</v>
      </c>
      <c r="I519" s="4" t="str">
        <f>IFERROR(__xludf.DUMMYFUNCTION("if(D519=""variant"",  substitute(filter(Templates!E:E, Templates!A:A = F519, Templates!B:B = G519, Templates!C:C = H519), ""{{}}"", E519), B519)"),"🏘  Vous cherchez une maison à louer à Montbovon? ✅ Découvrez nos nombreuses annonces sur ImmoScout24.ch.")</f>
        <v>🏘  Vous cherchez une maison à louer à Montbovon? ✅ Découvrez nos nombreuses annonces sur ImmoScout24.ch.</v>
      </c>
      <c r="J519" s="4" t="s">
        <v>1564</v>
      </c>
    </row>
    <row r="520">
      <c r="A520" s="5" t="s">
        <v>1565</v>
      </c>
      <c r="B520" s="2" t="s">
        <v>1566</v>
      </c>
      <c r="C520" s="4" t="str">
        <f>IFERROR(__xludf.DUMMYFUNCTION("""🏘️ ""&amp;REGEXEXTRACT(B520, ""^(.*): "")&amp;"" ✅ "" &amp;REGEXEXTRACT(B520, ""(Trouvez.*)"")"),"🏘️ Louer appartement S. Antonino ✅ Trouvez le bien immobilier qui correspond idéalement à vos désirs sur ImmoScout24 - La plateforme de l'immobilier en Suisse.")</f>
        <v>🏘️ Louer appartement S. Antonino ✅ Trouvez le bien immobilier qui correspond idéalement à vos désirs sur ImmoScout24 - La plateforme de l'immobilier en Suisse.</v>
      </c>
      <c r="D520" s="4" t="str">
        <f>vlookup(A520, Sheet2!D:E, 2, 0)</f>
        <v>variant</v>
      </c>
      <c r="E520" s="4" t="str">
        <f>IFERROR(__xludf.DUMMYFUNCTION("if(H520=""pays"",vlookup(REGEXEXTRACT(C520, ""🏘️ \w+ \w+ (.*) ✅""),'Country prepositions'!A:B, 2, 0) &amp; "" "" &amp; REGEXEXTRACT(C520, ""🏘️ \w+ \w+ (.*) ✅"") ,  if(H520=""quartier"",vlookup(REGEXEXTRACT(C520, ""🏘️ \w+ \w+ (.*) ✅""),'Quartier prepositions'!A"&amp;":E, 5, 0) ,  if(H520=""region"",vlookup(REGEXEXTRACT(C520, ""🏘️ \w+ \w+ (.*) ✅""),'Region prepositions'!B:F, 5, 0),  REGEXEXTRACT(C520, ""🏘️ \w+ \w+ (.*) ✅""))))"),"S. Antonino")</f>
        <v>S. Antonino</v>
      </c>
      <c r="F520" s="2" t="str">
        <f>IFERROR(__xludf.DUMMYFUNCTION("REGEXEXTRACT(C520, ""🏘️ (\w+) \w+ .* ✅"")"),"Louer")</f>
        <v>Louer</v>
      </c>
      <c r="G520" s="2" t="str">
        <f>IFERROR(__xludf.DUMMYFUNCTION("REGEXEXTRACT(C520, ""🏘️ \w+ (\w+) .* ✅"")"),"appartement")</f>
        <v>appartement</v>
      </c>
      <c r="H520" s="4" t="str">
        <f>IFERROR(__xludf.DUMMYFUNCTION("REGEXEXTRACT(A520, ""/(\w+)-.*?"")"),"lieu")</f>
        <v>lieu</v>
      </c>
      <c r="I520" s="4" t="str">
        <f>IFERROR(__xludf.DUMMYFUNCTION("if(D520=""variant"",  substitute(filter(Templates!E:E, Templates!A:A = F520, Templates!B:B = G520, Templates!C:C = H520), ""{{}}"", E520), B520)"),"🏘  Vous cherchez un appartement à louer à S. Antonino? ✅ Les annonces les plus actuelles sont sur ImmoScout24.ch.")</f>
        <v>🏘  Vous cherchez un appartement à louer à S. Antonino? ✅ Les annonces les plus actuelles sont sur ImmoScout24.ch.</v>
      </c>
      <c r="J520" s="4" t="s">
        <v>1567</v>
      </c>
    </row>
    <row r="521">
      <c r="A521" s="5" t="s">
        <v>1568</v>
      </c>
      <c r="B521" s="2" t="s">
        <v>1569</v>
      </c>
      <c r="C521" s="4" t="str">
        <f>IFERROR(__xludf.DUMMYFUNCTION("""🏘️ ""&amp;REGEXEXTRACT(B521, ""^(.*): "")&amp;"" ✅ "" &amp;REGEXEXTRACT(B521, ""(Trouvez.*)"")"),"🏘️ Louer maison Muri b. Bern ✅ Trouvez le bien immobilier qui correspond idéalement à vos désirs sur ImmoScout24 - La plateforme de l'immobilier en Suisse.")</f>
        <v>🏘️ Louer maison Muri b. Bern ✅ Trouvez le bien immobilier qui correspond idéalement à vos désirs sur ImmoScout24 - La plateforme de l'immobilier en Suisse.</v>
      </c>
      <c r="D521" s="4" t="str">
        <f>vlookup(A521, Sheet2!D:E, 2, 0)</f>
        <v>variant</v>
      </c>
      <c r="E521" s="4" t="str">
        <f>IFERROR(__xludf.DUMMYFUNCTION("if(H521=""pays"",vlookup(REGEXEXTRACT(C521, ""🏘️ \w+ \w+ (.*) ✅""),'Country prepositions'!A:B, 2, 0) &amp; "" "" &amp; REGEXEXTRACT(C521, ""🏘️ \w+ \w+ (.*) ✅"") ,  if(H521=""quartier"",vlookup(REGEXEXTRACT(C521, ""🏘️ \w+ \w+ (.*) ✅""),'Quartier prepositions'!A"&amp;":E, 5, 0) ,  if(H521=""region"",vlookup(REGEXEXTRACT(C521, ""🏘️ \w+ \w+ (.*) ✅""),'Region prepositions'!B:F, 5, 0),  REGEXEXTRACT(C521, ""🏘️ \w+ \w+ (.*) ✅""))))"),"Muri b. Bern")</f>
        <v>Muri b. Bern</v>
      </c>
      <c r="F521" s="2" t="str">
        <f>IFERROR(__xludf.DUMMYFUNCTION("REGEXEXTRACT(C521, ""🏘️ (\w+) \w+ .* ✅"")"),"Louer")</f>
        <v>Louer</v>
      </c>
      <c r="G521" s="2" t="str">
        <f>IFERROR(__xludf.DUMMYFUNCTION("REGEXEXTRACT(C521, ""🏘️ \w+ (\w+) .* ✅"")"),"maison")</f>
        <v>maison</v>
      </c>
      <c r="H521" s="4" t="str">
        <f>IFERROR(__xludf.DUMMYFUNCTION("REGEXEXTRACT(A521, ""/(\w+)-.*?"")"),"lieu")</f>
        <v>lieu</v>
      </c>
      <c r="I521" s="4" t="str">
        <f>IFERROR(__xludf.DUMMYFUNCTION("if(D521=""variant"",  substitute(filter(Templates!E:E, Templates!A:A = F521, Templates!B:B = G521, Templates!C:C = H521), ""{{}}"", E521), B521)"),"🏘  Vous cherchez une maison à louer à Muri b. Bern? ✅ Découvrez nos nombreuses annonces sur ImmoScout24.ch.")</f>
        <v>🏘  Vous cherchez une maison à louer à Muri b. Bern? ✅ Découvrez nos nombreuses annonces sur ImmoScout24.ch.</v>
      </c>
      <c r="J521" s="4" t="s">
        <v>1570</v>
      </c>
    </row>
    <row r="522">
      <c r="A522" s="5" t="s">
        <v>1571</v>
      </c>
      <c r="B522" s="2" t="s">
        <v>1572</v>
      </c>
      <c r="C522" s="4" t="str">
        <f>IFERROR(__xludf.DUMMYFUNCTION("""🏘️ ""&amp;REGEXEXTRACT(B522, ""^(.*): "")&amp;"" ✅ "" &amp;REGEXEXTRACT(B522, ""(Trouvez.*)"")"),"🏘️ Vendre maison Givrins ✅ Trouvez le bien immobilier qui correspond idéalement à vos désirs sur ImmoScout24 - La plateforme de l'immobilier en Suisse.")</f>
        <v>🏘️ Vendre maison Givrins ✅ Trouvez le bien immobilier qui correspond idéalement à vos désirs sur ImmoScout24 - La plateforme de l'immobilier en Suisse.</v>
      </c>
      <c r="D522" s="4" t="str">
        <f>vlookup(A522, Sheet2!D:E, 2, 0)</f>
        <v>variant</v>
      </c>
      <c r="E522" s="4" t="str">
        <f>IFERROR(__xludf.DUMMYFUNCTION("if(H522=""pays"",vlookup(REGEXEXTRACT(C522, ""🏘️ \w+ \w+ (.*) ✅""),'Country prepositions'!A:B, 2, 0) &amp; "" "" &amp; REGEXEXTRACT(C522, ""🏘️ \w+ \w+ (.*) ✅"") ,  if(H522=""quartier"",vlookup(REGEXEXTRACT(C522, ""🏘️ \w+ \w+ (.*) ✅""),'Quartier prepositions'!A"&amp;":E, 5, 0) ,  if(H522=""region"",vlookup(REGEXEXTRACT(C522, ""🏘️ \w+ \w+ (.*) ✅""),'Region prepositions'!B:F, 5, 0),  REGEXEXTRACT(C522, ""🏘️ \w+ \w+ (.*) ✅""))))"),"Givrins")</f>
        <v>Givrins</v>
      </c>
      <c r="F522" s="2" t="str">
        <f>IFERROR(__xludf.DUMMYFUNCTION("REGEXEXTRACT(C522, ""🏘️ (\w+) \w+ .* ✅"")"),"Vendre")</f>
        <v>Vendre</v>
      </c>
      <c r="G522" s="2" t="str">
        <f>IFERROR(__xludf.DUMMYFUNCTION("REGEXEXTRACT(C522, ""🏘️ \w+ (\w+) .* ✅"")"),"maison")</f>
        <v>maison</v>
      </c>
      <c r="H522" s="4" t="str">
        <f>IFERROR(__xludf.DUMMYFUNCTION("REGEXEXTRACT(A522, ""/(\w+)-.*?"")"),"lieu")</f>
        <v>lieu</v>
      </c>
      <c r="I522" s="4" t="str">
        <f>IFERROR(__xludf.DUMMYFUNCTION("if(D522=""variant"",  substitute(filter(Templates!E:E, Templates!A:A = F522, Templates!B:B = G522, Templates!C:C = H522), ""{{}}"", E522), B522)"),"🏘  Vous souhaitez acheter une maison à Givrins? ✅ Jetez un œil aux dernières offres sur ImmoScout24.ch.")</f>
        <v>🏘  Vous souhaitez acheter une maison à Givrins? ✅ Jetez un œil aux dernières offres sur ImmoScout24.ch.</v>
      </c>
      <c r="J522" s="4" t="s">
        <v>1573</v>
      </c>
    </row>
    <row r="523">
      <c r="A523" s="5" t="s">
        <v>1574</v>
      </c>
      <c r="B523" s="2" t="s">
        <v>1575</v>
      </c>
      <c r="C523" s="4" t="str">
        <f>IFERROR(__xludf.DUMMYFUNCTION("""🏘️ ""&amp;REGEXEXTRACT(B523, ""^(.*): "")&amp;"" ✅ "" &amp;REGEXEXTRACT(B523, ""(Trouvez.*)"")"),"🏘️ Louer appartement Réclère ✅ Trouvez le bien immobilier qui correspond idéalement à vos désirs sur ImmoScout24 - La plateforme de l'immobilier en Suisse.")</f>
        <v>🏘️ Louer appartement Réclère ✅ Trouvez le bien immobilier qui correspond idéalement à vos désirs sur ImmoScout24 - La plateforme de l'immobilier en Suisse.</v>
      </c>
      <c r="D523" s="4" t="str">
        <f>vlookup(A523, Sheet2!D:E, 2, 0)</f>
        <v>variant</v>
      </c>
      <c r="E523" s="4" t="str">
        <f>IFERROR(__xludf.DUMMYFUNCTION("if(H523=""pays"",vlookup(REGEXEXTRACT(C523, ""🏘️ \w+ \w+ (.*) ✅""),'Country prepositions'!A:B, 2, 0) &amp; "" "" &amp; REGEXEXTRACT(C523, ""🏘️ \w+ \w+ (.*) ✅"") ,  if(H523=""quartier"",vlookup(REGEXEXTRACT(C523, ""🏘️ \w+ \w+ (.*) ✅""),'Quartier prepositions'!A"&amp;":E, 5, 0) ,  if(H523=""region"",vlookup(REGEXEXTRACT(C523, ""🏘️ \w+ \w+ (.*) ✅""),'Region prepositions'!B:F, 5, 0),  REGEXEXTRACT(C523, ""🏘️ \w+ \w+ (.*) ✅""))))"),"Réclère")</f>
        <v>Réclère</v>
      </c>
      <c r="F523" s="2" t="str">
        <f>IFERROR(__xludf.DUMMYFUNCTION("REGEXEXTRACT(C523, ""🏘️ (\w+) \w+ .* ✅"")"),"Louer")</f>
        <v>Louer</v>
      </c>
      <c r="G523" s="2" t="str">
        <f>IFERROR(__xludf.DUMMYFUNCTION("REGEXEXTRACT(C523, ""🏘️ \w+ (\w+) .* ✅"")"),"appartement")</f>
        <v>appartement</v>
      </c>
      <c r="H523" s="4" t="str">
        <f>IFERROR(__xludf.DUMMYFUNCTION("REGEXEXTRACT(A523, ""/(\w+)-.*?"")"),"lieu")</f>
        <v>lieu</v>
      </c>
      <c r="I523" s="4" t="str">
        <f>IFERROR(__xludf.DUMMYFUNCTION("if(D523=""variant"",  substitute(filter(Templates!E:E, Templates!A:A = F523, Templates!B:B = G523, Templates!C:C = H523), ""{{}}"", E523), B523)"),"🏘  Vous cherchez un appartement à louer à Réclère? ✅ Les annonces les plus actuelles sont sur ImmoScout24.ch.")</f>
        <v>🏘  Vous cherchez un appartement à louer à Réclère? ✅ Les annonces les plus actuelles sont sur ImmoScout24.ch.</v>
      </c>
      <c r="J523" s="4" t="s">
        <v>1576</v>
      </c>
    </row>
    <row r="524">
      <c r="A524" s="5" t="s">
        <v>1577</v>
      </c>
      <c r="B524" s="2" t="s">
        <v>1578</v>
      </c>
      <c r="C524" s="4" t="str">
        <f>IFERROR(__xludf.DUMMYFUNCTION("""🏘️ ""&amp;REGEXEXTRACT(B524, ""^(.*): "")&amp;"" ✅ "" &amp;REGEXEXTRACT(B524, ""(Trouvez.*)"")"),"🏘️ Vendre maison Rosé ✅ Trouvez le bien immobilier qui correspond idéalement à vos désirs sur ImmoScout24 - La plateforme de l'immobilier en Suisse.")</f>
        <v>🏘️ Vendre maison Rosé ✅ Trouvez le bien immobilier qui correspond idéalement à vos désirs sur ImmoScout24 - La plateforme de l'immobilier en Suisse.</v>
      </c>
      <c r="D524" s="4" t="str">
        <f>vlookup(A524, Sheet2!D:E, 2, 0)</f>
        <v>variant</v>
      </c>
      <c r="E524" s="4" t="str">
        <f>IFERROR(__xludf.DUMMYFUNCTION("if(H524=""pays"",vlookup(REGEXEXTRACT(C524, ""🏘️ \w+ \w+ (.*) ✅""),'Country prepositions'!A:B, 2, 0) &amp; "" "" &amp; REGEXEXTRACT(C524, ""🏘️ \w+ \w+ (.*) ✅"") ,  if(H524=""quartier"",vlookup(REGEXEXTRACT(C524, ""🏘️ \w+ \w+ (.*) ✅""),'Quartier prepositions'!A"&amp;":E, 5, 0) ,  if(H524=""region"",vlookup(REGEXEXTRACT(C524, ""🏘️ \w+ \w+ (.*) ✅""),'Region prepositions'!B:F, 5, 0),  REGEXEXTRACT(C524, ""🏘️ \w+ \w+ (.*) ✅""))))"),"Rosé")</f>
        <v>Rosé</v>
      </c>
      <c r="F524" s="2" t="str">
        <f>IFERROR(__xludf.DUMMYFUNCTION("REGEXEXTRACT(C524, ""🏘️ (\w+) \w+ .* ✅"")"),"Vendre")</f>
        <v>Vendre</v>
      </c>
      <c r="G524" s="2" t="str">
        <f>IFERROR(__xludf.DUMMYFUNCTION("REGEXEXTRACT(C524, ""🏘️ \w+ (\w+) .* ✅"")"),"maison")</f>
        <v>maison</v>
      </c>
      <c r="H524" s="4" t="str">
        <f>IFERROR(__xludf.DUMMYFUNCTION("REGEXEXTRACT(A524, ""/(\w+)-.*?"")"),"lieu")</f>
        <v>lieu</v>
      </c>
      <c r="I524" s="4" t="str">
        <f>IFERROR(__xludf.DUMMYFUNCTION("if(D524=""variant"",  substitute(filter(Templates!E:E, Templates!A:A = F524, Templates!B:B = G524, Templates!C:C = H524), ""{{}}"", E524), B524)"),"🏘  Vous souhaitez acheter une maison à Rosé? ✅ Jetez un œil aux dernières offres sur ImmoScout24.ch.")</f>
        <v>🏘  Vous souhaitez acheter une maison à Rosé? ✅ Jetez un œil aux dernières offres sur ImmoScout24.ch.</v>
      </c>
      <c r="J524" s="4" t="s">
        <v>1579</v>
      </c>
    </row>
    <row r="525">
      <c r="A525" s="5" t="s">
        <v>1580</v>
      </c>
      <c r="B525" s="2" t="s">
        <v>1581</v>
      </c>
      <c r="C525" s="4" t="str">
        <f>IFERROR(__xludf.DUMMYFUNCTION("""🏘️ ""&amp;REGEXEXTRACT(B525, ""^(.*): "")&amp;"" ✅ "" &amp;REGEXEXTRACT(B525, ""(Trouvez.*)"")"),"🏘️ Louer appartement Vallon - Béthusy (Lausanne) ✅ Trouvez le bien immobilier qui correspond idéalement à vos désirs sur ImmoScout24 - La plateforme de l'immobilier en Suisse.")</f>
        <v>🏘️ Louer appartement Vallon - Béthusy (Lausanne) ✅ Trouvez le bien immobilier qui correspond idéalement à vos désirs sur ImmoScout24 - La plateforme de l'immobilier en Suisse.</v>
      </c>
      <c r="D525" s="4" t="str">
        <f>vlookup(A525, Sheet2!D:E, 2, 0)</f>
        <v>variant</v>
      </c>
      <c r="E525" s="4" t="str">
        <f>IFERROR(__xludf.DUMMYFUNCTION("if(H525=""pays"",vlookup(REGEXEXTRACT(C525, ""🏘️ \w+ \w+ (.*) ✅""),'Country prepositions'!A:B, 2, 0) &amp; "" "" &amp; REGEXEXTRACT(C525, ""🏘️ \w+ \w+ (.*) ✅"") ,  if(H525=""quartier"",vlookup(REGEXEXTRACT(C525, ""🏘️ \w+ \w+ (.*) ✅""),'Quartier prepositions'!A"&amp;":E, 5, 0) ,  if(H525=""region"",vlookup(REGEXEXTRACT(C525, ""🏘️ \w+ \w+ (.*) ✅""),'Region prepositions'!B:F, 5, 0),  REGEXEXTRACT(C525, ""🏘️ \w+ \w+ (.*) ✅""))))"),"dans le quartier de Vallon - Béthusy (Lausanne)")</f>
        <v>dans le quartier de Vallon - Béthusy (Lausanne)</v>
      </c>
      <c r="F525" s="2" t="str">
        <f>IFERROR(__xludf.DUMMYFUNCTION("REGEXEXTRACT(C525, ""🏘️ (\w+) \w+ .* ✅"")"),"Louer")</f>
        <v>Louer</v>
      </c>
      <c r="G525" s="2" t="str">
        <f>IFERROR(__xludf.DUMMYFUNCTION("REGEXEXTRACT(C525, ""🏘️ \w+ (\w+) .* ✅"")"),"appartement")</f>
        <v>appartement</v>
      </c>
      <c r="H525" s="4" t="str">
        <f>IFERROR(__xludf.DUMMYFUNCTION("REGEXEXTRACT(A525, ""/(\w+)-.*?"")"),"quartier")</f>
        <v>quartier</v>
      </c>
      <c r="I525" s="4" t="str">
        <f>IFERROR(__xludf.DUMMYFUNCTION("if(D525=""variant"",  substitute(filter(Templates!E:E, Templates!A:A = F525, Templates!B:B = G525, Templates!C:C = H525), ""{{}}"", E525), B525)"),"🏘  Vous cherchez un appartement à louer dans le quartier de Vallon - Béthusy (Lausanne)? ✅ Les annonces les plus actuelles sont sur ImmoScout24.ch.")</f>
        <v>🏘  Vous cherchez un appartement à louer dans le quartier de Vallon - Béthusy (Lausanne)? ✅ Les annonces les plus actuelles sont sur ImmoScout24.ch.</v>
      </c>
      <c r="J525" s="4" t="s">
        <v>1582</v>
      </c>
    </row>
    <row r="526">
      <c r="A526" s="5" t="s">
        <v>1583</v>
      </c>
      <c r="B526" s="2" t="s">
        <v>1584</v>
      </c>
      <c r="C526" s="4" t="str">
        <f>IFERROR(__xludf.DUMMYFUNCTION("""🏘️ ""&amp;REGEXEXTRACT(B526, ""^(.*): "")&amp;"" ✅ "" &amp;REGEXEXTRACT(B526, ""(Trouvez.*)"")"),"🏘️ Louer appartement Massagno ✅ Trouvez le bien immobilier qui correspond idéalement à vos désirs sur ImmoScout24 - La plateforme de l'immobilier en Suisse.")</f>
        <v>🏘️ Louer appartement Massagno ✅ Trouvez le bien immobilier qui correspond idéalement à vos désirs sur ImmoScout24 - La plateforme de l'immobilier en Suisse.</v>
      </c>
      <c r="D526" s="4" t="str">
        <f>vlookup(A526, Sheet2!D:E, 2, 0)</f>
        <v>variant</v>
      </c>
      <c r="E526" s="4" t="str">
        <f>IFERROR(__xludf.DUMMYFUNCTION("if(H526=""pays"",vlookup(REGEXEXTRACT(C526, ""🏘️ \w+ \w+ (.*) ✅""),'Country prepositions'!A:B, 2, 0) &amp; "" "" &amp; REGEXEXTRACT(C526, ""🏘️ \w+ \w+ (.*) ✅"") ,  if(H526=""quartier"",vlookup(REGEXEXTRACT(C526, ""🏘️ \w+ \w+ (.*) ✅""),'Quartier prepositions'!A"&amp;":E, 5, 0) ,  if(H526=""region"",vlookup(REGEXEXTRACT(C526, ""🏘️ \w+ \w+ (.*) ✅""),'Region prepositions'!B:F, 5, 0),  REGEXEXTRACT(C526, ""🏘️ \w+ \w+ (.*) ✅""))))"),"Massagno")</f>
        <v>Massagno</v>
      </c>
      <c r="F526" s="2" t="str">
        <f>IFERROR(__xludf.DUMMYFUNCTION("REGEXEXTRACT(C526, ""🏘️ (\w+) \w+ .* ✅"")"),"Louer")</f>
        <v>Louer</v>
      </c>
      <c r="G526" s="2" t="str">
        <f>IFERROR(__xludf.DUMMYFUNCTION("REGEXEXTRACT(C526, ""🏘️ \w+ (\w+) .* ✅"")"),"appartement")</f>
        <v>appartement</v>
      </c>
      <c r="H526" s="4" t="str">
        <f>IFERROR(__xludf.DUMMYFUNCTION("REGEXEXTRACT(A526, ""/(\w+)-.*?"")"),"lieu")</f>
        <v>lieu</v>
      </c>
      <c r="I526" s="4" t="str">
        <f>IFERROR(__xludf.DUMMYFUNCTION("if(D526=""variant"",  substitute(filter(Templates!E:E, Templates!A:A = F526, Templates!B:B = G526, Templates!C:C = H526), ""{{}}"", E526), B526)"),"🏘  Vous cherchez un appartement à louer à Massagno? ✅ Les annonces les plus actuelles sont sur ImmoScout24.ch.")</f>
        <v>🏘  Vous cherchez un appartement à louer à Massagno? ✅ Les annonces les plus actuelles sont sur ImmoScout24.ch.</v>
      </c>
      <c r="J526" s="4" t="s">
        <v>1585</v>
      </c>
    </row>
    <row r="527">
      <c r="A527" s="5" t="s">
        <v>1586</v>
      </c>
      <c r="B527" s="2" t="s">
        <v>1587</v>
      </c>
      <c r="C527" s="4" t="str">
        <f>IFERROR(__xludf.DUMMYFUNCTION("""🏘️ ""&amp;REGEXEXTRACT(B527, ""^(.*): "")&amp;"" ✅ "" &amp;REGEXEXTRACT(B527, ""(Trouvez.*)"")"),"🏘️ Vendre maison Grand-Lancy ✅ Trouvez le bien immobilier qui correspond idéalement à vos désirs sur ImmoScout24 - La plateforme de l'immobilier en Suisse.")</f>
        <v>🏘️ Vendre maison Grand-Lancy ✅ Trouvez le bien immobilier qui correspond idéalement à vos désirs sur ImmoScout24 - La plateforme de l'immobilier en Suisse.</v>
      </c>
      <c r="D527" s="4" t="str">
        <f>vlookup(A527, Sheet2!D:E, 2, 0)</f>
        <v>variant</v>
      </c>
      <c r="E527" s="4" t="str">
        <f>IFERROR(__xludf.DUMMYFUNCTION("if(H527=""pays"",vlookup(REGEXEXTRACT(C527, ""🏘️ \w+ \w+ (.*) ✅""),'Country prepositions'!A:B, 2, 0) &amp; "" "" &amp; REGEXEXTRACT(C527, ""🏘️ \w+ \w+ (.*) ✅"") ,  if(H527=""quartier"",vlookup(REGEXEXTRACT(C527, ""🏘️ \w+ \w+ (.*) ✅""),'Quartier prepositions'!A"&amp;":E, 5, 0) ,  if(H527=""region"",vlookup(REGEXEXTRACT(C527, ""🏘️ \w+ \w+ (.*) ✅""),'Region prepositions'!B:F, 5, 0),  REGEXEXTRACT(C527, ""🏘️ \w+ \w+ (.*) ✅""))))"),"Grand-Lancy")</f>
        <v>Grand-Lancy</v>
      </c>
      <c r="F527" s="2" t="str">
        <f>IFERROR(__xludf.DUMMYFUNCTION("REGEXEXTRACT(C527, ""🏘️ (\w+) \w+ .* ✅"")"),"Vendre")</f>
        <v>Vendre</v>
      </c>
      <c r="G527" s="2" t="str">
        <f>IFERROR(__xludf.DUMMYFUNCTION("REGEXEXTRACT(C527, ""🏘️ \w+ (\w+) .* ✅"")"),"maison")</f>
        <v>maison</v>
      </c>
      <c r="H527" s="4" t="str">
        <f>IFERROR(__xludf.DUMMYFUNCTION("REGEXEXTRACT(A527, ""/(\w+)-.*?"")"),"lieu")</f>
        <v>lieu</v>
      </c>
      <c r="I527" s="4" t="str">
        <f>IFERROR(__xludf.DUMMYFUNCTION("if(D527=""variant"",  substitute(filter(Templates!E:E, Templates!A:A = F527, Templates!B:B = G527, Templates!C:C = H527), ""{{}}"", E527), B527)"),"🏘  Vous souhaitez acheter une maison à Grand-Lancy? ✅ Jetez un œil aux dernières offres sur ImmoScout24.ch.")</f>
        <v>🏘  Vous souhaitez acheter une maison à Grand-Lancy? ✅ Jetez un œil aux dernières offres sur ImmoScout24.ch.</v>
      </c>
      <c r="J527" s="4" t="s">
        <v>1588</v>
      </c>
    </row>
    <row r="528">
      <c r="A528" s="5" t="s">
        <v>1589</v>
      </c>
      <c r="B528" s="2" t="s">
        <v>1590</v>
      </c>
      <c r="C528" s="4" t="str">
        <f>IFERROR(__xludf.DUMMYFUNCTION("""🏘️ ""&amp;REGEXEXTRACT(B528, ""^(.*): "")&amp;"" ✅ "" &amp;REGEXEXTRACT(B528, ""(Trouvez.*)"")"),"🏘️ Louer appartement Pregassona (Lugano) ✅ Trouvez le bien immobilier qui correspond idéalement à vos désirs sur ImmoScout24 - La plateforme de l'immobilier en Suisse.")</f>
        <v>🏘️ Louer appartement Pregassona (Lugano) ✅ Trouvez le bien immobilier qui correspond idéalement à vos désirs sur ImmoScout24 - La plateforme de l'immobilier en Suisse.</v>
      </c>
      <c r="D528" s="4" t="str">
        <f>vlookup(A528, Sheet2!D:E, 2, 0)</f>
        <v>variant</v>
      </c>
      <c r="E528" s="4" t="str">
        <f>IFERROR(__xludf.DUMMYFUNCTION("if(H528=""pays"",vlookup(REGEXEXTRACT(C528, ""🏘️ \w+ \w+ (.*) ✅""),'Country prepositions'!A:B, 2, 0) &amp; "" "" &amp; REGEXEXTRACT(C528, ""🏘️ \w+ \w+ (.*) ✅"") ,  if(H528=""quartier"",vlookup(REGEXEXTRACT(C528, ""🏘️ \w+ \w+ (.*) ✅""),'Quartier prepositions'!A"&amp;":E, 5, 0) ,  if(H528=""region"",vlookup(REGEXEXTRACT(C528, ""🏘️ \w+ \w+ (.*) ✅""),'Region prepositions'!B:F, 5, 0),  REGEXEXTRACT(C528, ""🏘️ \w+ \w+ (.*) ✅""))))"),"dans le quartier de Pregassona (Lugano)")</f>
        <v>dans le quartier de Pregassona (Lugano)</v>
      </c>
      <c r="F528" s="2" t="str">
        <f>IFERROR(__xludf.DUMMYFUNCTION("REGEXEXTRACT(C528, ""🏘️ (\w+) \w+ .* ✅"")"),"Louer")</f>
        <v>Louer</v>
      </c>
      <c r="G528" s="2" t="str">
        <f>IFERROR(__xludf.DUMMYFUNCTION("REGEXEXTRACT(C528, ""🏘️ \w+ (\w+) .* ✅"")"),"appartement")</f>
        <v>appartement</v>
      </c>
      <c r="H528" s="4" t="str">
        <f>IFERROR(__xludf.DUMMYFUNCTION("REGEXEXTRACT(A528, ""/(\w+)-.*?"")"),"quartier")</f>
        <v>quartier</v>
      </c>
      <c r="I528" s="4" t="str">
        <f>IFERROR(__xludf.DUMMYFUNCTION("if(D528=""variant"",  substitute(filter(Templates!E:E, Templates!A:A = F528, Templates!B:B = G528, Templates!C:C = H528), ""{{}}"", E528), B528)"),"🏘  Vous cherchez un appartement à louer dans le quartier de Pregassona (Lugano)? ✅ Les annonces les plus actuelles sont sur ImmoScout24.ch.")</f>
        <v>🏘  Vous cherchez un appartement à louer dans le quartier de Pregassona (Lugano)? ✅ Les annonces les plus actuelles sont sur ImmoScout24.ch.</v>
      </c>
      <c r="J528" s="4" t="s">
        <v>1591</v>
      </c>
    </row>
    <row r="529">
      <c r="A529" s="5" t="s">
        <v>1592</v>
      </c>
      <c r="B529" s="2" t="s">
        <v>1593</v>
      </c>
      <c r="C529" s="4" t="str">
        <f>IFERROR(__xludf.DUMMYFUNCTION("""🏘️ ""&amp;REGEXEXTRACT(B529, ""^(.*): "")&amp;"" ✅ "" &amp;REGEXEXTRACT(B529, ""(Trouvez.*)"")"),"🏘️ Vendre maison Etagnières ✅ Trouvez le bien immobilier qui correspond idéalement à vos désirs sur ImmoScout24 - La plateforme de l'immobilier en Suisse.")</f>
        <v>🏘️ Vendre maison Etagnières ✅ Trouvez le bien immobilier qui correspond idéalement à vos désirs sur ImmoScout24 - La plateforme de l'immobilier en Suisse.</v>
      </c>
      <c r="D529" s="4" t="str">
        <f>vlookup(A529, Sheet2!D:E, 2, 0)</f>
        <v>variant</v>
      </c>
      <c r="E529" s="4" t="str">
        <f>IFERROR(__xludf.DUMMYFUNCTION("if(H529=""pays"",vlookup(REGEXEXTRACT(C529, ""🏘️ \w+ \w+ (.*) ✅""),'Country prepositions'!A:B, 2, 0) &amp; "" "" &amp; REGEXEXTRACT(C529, ""🏘️ \w+ \w+ (.*) ✅"") ,  if(H529=""quartier"",vlookup(REGEXEXTRACT(C529, ""🏘️ \w+ \w+ (.*) ✅""),'Quartier prepositions'!A"&amp;":E, 5, 0) ,  if(H529=""region"",vlookup(REGEXEXTRACT(C529, ""🏘️ \w+ \w+ (.*) ✅""),'Region prepositions'!B:F, 5, 0),  REGEXEXTRACT(C529, ""🏘️ \w+ \w+ (.*) ✅""))))"),"Etagnières")</f>
        <v>Etagnières</v>
      </c>
      <c r="F529" s="2" t="str">
        <f>IFERROR(__xludf.DUMMYFUNCTION("REGEXEXTRACT(C529, ""🏘️ (\w+) \w+ .* ✅"")"),"Vendre")</f>
        <v>Vendre</v>
      </c>
      <c r="G529" s="2" t="str">
        <f>IFERROR(__xludf.DUMMYFUNCTION("REGEXEXTRACT(C529, ""🏘️ \w+ (\w+) .* ✅"")"),"maison")</f>
        <v>maison</v>
      </c>
      <c r="H529" s="4" t="str">
        <f>IFERROR(__xludf.DUMMYFUNCTION("REGEXEXTRACT(A529, ""/(\w+)-.*?"")"),"lieu")</f>
        <v>lieu</v>
      </c>
      <c r="I529" s="4" t="str">
        <f>IFERROR(__xludf.DUMMYFUNCTION("if(D529=""variant"",  substitute(filter(Templates!E:E, Templates!A:A = F529, Templates!B:B = G529, Templates!C:C = H529), ""{{}}"", E529), B529)"),"🏘  Vous souhaitez acheter une maison à Etagnières? ✅ Jetez un œil aux dernières offres sur ImmoScout24.ch.")</f>
        <v>🏘  Vous souhaitez acheter une maison à Etagnières? ✅ Jetez un œil aux dernières offres sur ImmoScout24.ch.</v>
      </c>
      <c r="J529" s="4" t="s">
        <v>1594</v>
      </c>
    </row>
    <row r="530">
      <c r="A530" s="5" t="s">
        <v>1595</v>
      </c>
      <c r="B530" s="2" t="s">
        <v>1596</v>
      </c>
      <c r="C530" s="4" t="str">
        <f>IFERROR(__xludf.DUMMYFUNCTION("""🏘️ ""&amp;REGEXEXTRACT(B530, ""^(.*): "")&amp;"" ✅ "" &amp;REGEXEXTRACT(B530, ""(Trouvez.*)"")"),"🏘️ Vendre maison Soleure et environs ✅ Trouvez le bien immobilier qui correspond idéalement à vos désirs sur ImmoScout24 - La plateforme de l'immobilier en Suisse.")</f>
        <v>🏘️ Vendre maison Soleure et environs ✅ Trouvez le bien immobilier qui correspond idéalement à vos désirs sur ImmoScout24 - La plateforme de l'immobilier en Suisse.</v>
      </c>
      <c r="D530" s="4" t="str">
        <f>vlookup(A530, Sheet2!D:E, 2, 0)</f>
        <v>variant</v>
      </c>
      <c r="E530" s="4" t="str">
        <f>IFERROR(__xludf.DUMMYFUNCTION("if(H530=""pays"",vlookup(REGEXEXTRACT(C530, ""🏘️ \w+ \w+ (.*) ✅""),'Country prepositions'!A:B, 2, 0) &amp; "" "" &amp; REGEXEXTRACT(C530, ""🏘️ \w+ \w+ (.*) ✅"") ,  if(H530=""quartier"",vlookup(REGEXEXTRACT(C530, ""🏘️ \w+ \w+ (.*) ✅""),'Quartier prepositions'!A"&amp;":E, 5, 0) ,  if(H530=""region"",vlookup(REGEXEXTRACT(C530, ""🏘️ \w+ \w+ (.*) ✅""),'Region prepositions'!B:F, 5, 0),  REGEXEXTRACT(C530, ""🏘️ \w+ \w+ (.*) ✅""))))"),"à Soleure et environs")</f>
        <v>à Soleure et environs</v>
      </c>
      <c r="F530" s="2" t="str">
        <f>IFERROR(__xludf.DUMMYFUNCTION("REGEXEXTRACT(C530, ""🏘️ (\w+) \w+ .* ✅"")"),"Vendre")</f>
        <v>Vendre</v>
      </c>
      <c r="G530" s="2" t="str">
        <f>IFERROR(__xludf.DUMMYFUNCTION("REGEXEXTRACT(C530, ""🏘️ \w+ (\w+) .* ✅"")"),"maison")</f>
        <v>maison</v>
      </c>
      <c r="H530" s="4" t="str">
        <f>IFERROR(__xludf.DUMMYFUNCTION("REGEXEXTRACT(A530, ""/(\w+)-.*?"")"),"region")</f>
        <v>region</v>
      </c>
      <c r="I530" s="4" t="str">
        <f>IFERROR(__xludf.DUMMYFUNCTION("if(D530=""variant"",  substitute(filter(Templates!E:E, Templates!A:A = F530, Templates!B:B = G530, Templates!C:C = H530), ""{{}}"", E530), B530)"),"🏘  Vous souhaitez acheter une maison à Soleure et environs? ✅ Jetez un œil aux dernières offres sur ImmoScout24.ch.")</f>
        <v>🏘  Vous souhaitez acheter une maison à Soleure et environs? ✅ Jetez un œil aux dernières offres sur ImmoScout24.ch.</v>
      </c>
      <c r="J530" s="4" t="s">
        <v>1597</v>
      </c>
    </row>
    <row r="531">
      <c r="A531" s="5" t="s">
        <v>1598</v>
      </c>
      <c r="B531" s="2" t="s">
        <v>1599</v>
      </c>
      <c r="C531" s="4" t="str">
        <f>IFERROR(__xludf.DUMMYFUNCTION("""🏘️ ""&amp;REGEXEXTRACT(B531, ""^(.*): "")&amp;"" ✅ "" &amp;REGEXEXTRACT(B531, ""(Trouvez.*)"")"),"🏘️ Louer appartement Oberrieden ✅ Trouvez le bien immobilier qui correspond idéalement à vos désirs sur ImmoScout24 - La plateforme de l'immobilier en Suisse.")</f>
        <v>🏘️ Louer appartement Oberrieden ✅ Trouvez le bien immobilier qui correspond idéalement à vos désirs sur ImmoScout24 - La plateforme de l'immobilier en Suisse.</v>
      </c>
      <c r="D531" s="4" t="str">
        <f>vlookup(A531, Sheet2!D:E, 2, 0)</f>
        <v>variant</v>
      </c>
      <c r="E531" s="4" t="str">
        <f>IFERROR(__xludf.DUMMYFUNCTION("if(H531=""pays"",vlookup(REGEXEXTRACT(C531, ""🏘️ \w+ \w+ (.*) ✅""),'Country prepositions'!A:B, 2, 0) &amp; "" "" &amp; REGEXEXTRACT(C531, ""🏘️ \w+ \w+ (.*) ✅"") ,  if(H531=""quartier"",vlookup(REGEXEXTRACT(C531, ""🏘️ \w+ \w+ (.*) ✅""),'Quartier prepositions'!A"&amp;":E, 5, 0) ,  if(H531=""region"",vlookup(REGEXEXTRACT(C531, ""🏘️ \w+ \w+ (.*) ✅""),'Region prepositions'!B:F, 5, 0),  REGEXEXTRACT(C531, ""🏘️ \w+ \w+ (.*) ✅""))))"),"Oberrieden")</f>
        <v>Oberrieden</v>
      </c>
      <c r="F531" s="2" t="str">
        <f>IFERROR(__xludf.DUMMYFUNCTION("REGEXEXTRACT(C531, ""🏘️ (\w+) \w+ .* ✅"")"),"Louer")</f>
        <v>Louer</v>
      </c>
      <c r="G531" s="2" t="str">
        <f>IFERROR(__xludf.DUMMYFUNCTION("REGEXEXTRACT(C531, ""🏘️ \w+ (\w+) .* ✅"")"),"appartement")</f>
        <v>appartement</v>
      </c>
      <c r="H531" s="4" t="str">
        <f>IFERROR(__xludf.DUMMYFUNCTION("REGEXEXTRACT(A531, ""/(\w+)-.*?"")"),"lieu")</f>
        <v>lieu</v>
      </c>
      <c r="I531" s="4" t="str">
        <f>IFERROR(__xludf.DUMMYFUNCTION("if(D531=""variant"",  substitute(filter(Templates!E:E, Templates!A:A = F531, Templates!B:B = G531, Templates!C:C = H531), ""{{}}"", E531), B531)"),"🏘  Vous cherchez un appartement à louer à Oberrieden? ✅ Les annonces les plus actuelles sont sur ImmoScout24.ch.")</f>
        <v>🏘  Vous cherchez un appartement à louer à Oberrieden? ✅ Les annonces les plus actuelles sont sur ImmoScout24.ch.</v>
      </c>
      <c r="J531" s="4" t="s">
        <v>1600</v>
      </c>
    </row>
    <row r="532">
      <c r="A532" s="5" t="s">
        <v>1601</v>
      </c>
      <c r="B532" s="2" t="s">
        <v>1602</v>
      </c>
      <c r="C532" s="4" t="str">
        <f>IFERROR(__xludf.DUMMYFUNCTION("""🏘️ ""&amp;REGEXEXTRACT(B532, ""^(.*): "")&amp;"" ✅ "" &amp;REGEXEXTRACT(B532, ""(Trouvez.*)"")"),"🏘️ Louer appartement Orvin ✅ Trouvez le bien immobilier qui correspond idéalement à vos désirs sur ImmoScout24 - La plateforme de l'immobilier en Suisse.")</f>
        <v>🏘️ Louer appartement Orvin ✅ Trouvez le bien immobilier qui correspond idéalement à vos désirs sur ImmoScout24 - La plateforme de l'immobilier en Suisse.</v>
      </c>
      <c r="D532" s="4" t="str">
        <f>vlookup(A532, Sheet2!D:E, 2, 0)</f>
        <v>variant</v>
      </c>
      <c r="E532" s="4" t="str">
        <f>IFERROR(__xludf.DUMMYFUNCTION("if(H532=""pays"",vlookup(REGEXEXTRACT(C532, ""🏘️ \w+ \w+ (.*) ✅""),'Country prepositions'!A:B, 2, 0) &amp; "" "" &amp; REGEXEXTRACT(C532, ""🏘️ \w+ \w+ (.*) ✅"") ,  if(H532=""quartier"",vlookup(REGEXEXTRACT(C532, ""🏘️ \w+ \w+ (.*) ✅""),'Quartier prepositions'!A"&amp;":E, 5, 0) ,  if(H532=""region"",vlookup(REGEXEXTRACT(C532, ""🏘️ \w+ \w+ (.*) ✅""),'Region prepositions'!B:F, 5, 0),  REGEXEXTRACT(C532, ""🏘️ \w+ \w+ (.*) ✅""))))"),"Orvin")</f>
        <v>Orvin</v>
      </c>
      <c r="F532" s="2" t="str">
        <f>IFERROR(__xludf.DUMMYFUNCTION("REGEXEXTRACT(C532, ""🏘️ (\w+) \w+ .* ✅"")"),"Louer")</f>
        <v>Louer</v>
      </c>
      <c r="G532" s="2" t="str">
        <f>IFERROR(__xludf.DUMMYFUNCTION("REGEXEXTRACT(C532, ""🏘️ \w+ (\w+) .* ✅"")"),"appartement")</f>
        <v>appartement</v>
      </c>
      <c r="H532" s="4" t="str">
        <f>IFERROR(__xludf.DUMMYFUNCTION("REGEXEXTRACT(A532, ""/(\w+)-.*?"")"),"lieu")</f>
        <v>lieu</v>
      </c>
      <c r="I532" s="4" t="str">
        <f>IFERROR(__xludf.DUMMYFUNCTION("if(D532=""variant"",  substitute(filter(Templates!E:E, Templates!A:A = F532, Templates!B:B = G532, Templates!C:C = H532), ""{{}}"", E532), B532)"),"🏘  Vous cherchez un appartement à louer à Orvin? ✅ Les annonces les plus actuelles sont sur ImmoScout24.ch.")</f>
        <v>🏘  Vous cherchez un appartement à louer à Orvin? ✅ Les annonces les plus actuelles sont sur ImmoScout24.ch.</v>
      </c>
      <c r="J532" s="4" t="s">
        <v>1603</v>
      </c>
    </row>
    <row r="533">
      <c r="A533" s="5" t="s">
        <v>1604</v>
      </c>
      <c r="B533" s="2" t="s">
        <v>1605</v>
      </c>
      <c r="C533" s="4" t="str">
        <f>IFERROR(__xludf.DUMMYFUNCTION("""🏘️ ""&amp;REGEXEXTRACT(B533, ""^(.*): "")&amp;"" ✅ "" &amp;REGEXEXTRACT(B533, ""(Trouvez.*)"")"),"🏘️ Louer appartement Mesocco ✅ Trouvez le bien immobilier qui correspond idéalement à vos désirs sur ImmoScout24 - La plateforme de l'immobilier en Suisse.")</f>
        <v>🏘️ Louer appartement Mesocco ✅ Trouvez le bien immobilier qui correspond idéalement à vos désirs sur ImmoScout24 - La plateforme de l'immobilier en Suisse.</v>
      </c>
      <c r="D533" s="4" t="str">
        <f>vlookup(A533, Sheet2!D:E, 2, 0)</f>
        <v>variant</v>
      </c>
      <c r="E533" s="4" t="str">
        <f>IFERROR(__xludf.DUMMYFUNCTION("if(H533=""pays"",vlookup(REGEXEXTRACT(C533, ""🏘️ \w+ \w+ (.*) ✅""),'Country prepositions'!A:B, 2, 0) &amp; "" "" &amp; REGEXEXTRACT(C533, ""🏘️ \w+ \w+ (.*) ✅"") ,  if(H533=""quartier"",vlookup(REGEXEXTRACT(C533, ""🏘️ \w+ \w+ (.*) ✅""),'Quartier prepositions'!A"&amp;":E, 5, 0) ,  if(H533=""region"",vlookup(REGEXEXTRACT(C533, ""🏘️ \w+ \w+ (.*) ✅""),'Region prepositions'!B:F, 5, 0),  REGEXEXTRACT(C533, ""🏘️ \w+ \w+ (.*) ✅""))))"),"Mesocco")</f>
        <v>Mesocco</v>
      </c>
      <c r="F533" s="2" t="str">
        <f>IFERROR(__xludf.DUMMYFUNCTION("REGEXEXTRACT(C533, ""🏘️ (\w+) \w+ .* ✅"")"),"Louer")</f>
        <v>Louer</v>
      </c>
      <c r="G533" s="2" t="str">
        <f>IFERROR(__xludf.DUMMYFUNCTION("REGEXEXTRACT(C533, ""🏘️ \w+ (\w+) .* ✅"")"),"appartement")</f>
        <v>appartement</v>
      </c>
      <c r="H533" s="4" t="str">
        <f>IFERROR(__xludf.DUMMYFUNCTION("REGEXEXTRACT(A533, ""/(\w+)-.*?"")"),"lieu")</f>
        <v>lieu</v>
      </c>
      <c r="I533" s="4" t="str">
        <f>IFERROR(__xludf.DUMMYFUNCTION("if(D533=""variant"",  substitute(filter(Templates!E:E, Templates!A:A = F533, Templates!B:B = G533, Templates!C:C = H533), ""{{}}"", E533), B533)"),"🏘  Vous cherchez un appartement à louer à Mesocco? ✅ Les annonces les plus actuelles sont sur ImmoScout24.ch.")</f>
        <v>🏘  Vous cherchez un appartement à louer à Mesocco? ✅ Les annonces les plus actuelles sont sur ImmoScout24.ch.</v>
      </c>
      <c r="J533" s="4" t="s">
        <v>1606</v>
      </c>
    </row>
    <row r="534">
      <c r="A534" s="5" t="s">
        <v>1607</v>
      </c>
      <c r="B534" s="2" t="s">
        <v>1608</v>
      </c>
      <c r="C534" s="4" t="str">
        <f>IFERROR(__xludf.DUMMYFUNCTION("""🏘️ ""&amp;REGEXEXTRACT(B534, ""^(.*): "")&amp;"" ✅ "" &amp;REGEXEXTRACT(B534, ""(Trouvez.*)"")"),"🏘️ Louer appartement Aeschi SO ✅ Trouvez le bien immobilier qui correspond idéalement à vos désirs sur ImmoScout24 - La plateforme de l'immobilier en Suisse.")</f>
        <v>🏘️ Louer appartement Aeschi SO ✅ Trouvez le bien immobilier qui correspond idéalement à vos désirs sur ImmoScout24 - La plateforme de l'immobilier en Suisse.</v>
      </c>
      <c r="D534" s="4" t="str">
        <f>vlookup(A534, Sheet2!D:E, 2, 0)</f>
        <v>variant</v>
      </c>
      <c r="E534" s="4" t="str">
        <f>IFERROR(__xludf.DUMMYFUNCTION("if(H534=""pays"",vlookup(REGEXEXTRACT(C534, ""🏘️ \w+ \w+ (.*) ✅""),'Country prepositions'!A:B, 2, 0) &amp; "" "" &amp; REGEXEXTRACT(C534, ""🏘️ \w+ \w+ (.*) ✅"") ,  if(H534=""quartier"",vlookup(REGEXEXTRACT(C534, ""🏘️ \w+ \w+ (.*) ✅""),'Quartier prepositions'!A"&amp;":E, 5, 0) ,  if(H534=""region"",vlookup(REGEXEXTRACT(C534, ""🏘️ \w+ \w+ (.*) ✅""),'Region prepositions'!B:F, 5, 0),  REGEXEXTRACT(C534, ""🏘️ \w+ \w+ (.*) ✅""))))"),"Aeschi SO")</f>
        <v>Aeschi SO</v>
      </c>
      <c r="F534" s="2" t="str">
        <f>IFERROR(__xludf.DUMMYFUNCTION("REGEXEXTRACT(C534, ""🏘️ (\w+) \w+ .* ✅"")"),"Louer")</f>
        <v>Louer</v>
      </c>
      <c r="G534" s="2" t="str">
        <f>IFERROR(__xludf.DUMMYFUNCTION("REGEXEXTRACT(C534, ""🏘️ \w+ (\w+) .* ✅"")"),"appartement")</f>
        <v>appartement</v>
      </c>
      <c r="H534" s="4" t="str">
        <f>IFERROR(__xludf.DUMMYFUNCTION("REGEXEXTRACT(A534, ""/(\w+)-.*?"")"),"lieu")</f>
        <v>lieu</v>
      </c>
      <c r="I534" s="4" t="str">
        <f>IFERROR(__xludf.DUMMYFUNCTION("if(D534=""variant"",  substitute(filter(Templates!E:E, Templates!A:A = F534, Templates!B:B = G534, Templates!C:C = H534), ""{{}}"", E534), B534)"),"🏘  Vous cherchez un appartement à louer à Aeschi SO? ✅ Les annonces les plus actuelles sont sur ImmoScout24.ch.")</f>
        <v>🏘  Vous cherchez un appartement à louer à Aeschi SO? ✅ Les annonces les plus actuelles sont sur ImmoScout24.ch.</v>
      </c>
      <c r="J534" s="4" t="s">
        <v>1609</v>
      </c>
    </row>
    <row r="535">
      <c r="A535" s="5" t="s">
        <v>1610</v>
      </c>
      <c r="B535" s="2" t="s">
        <v>1611</v>
      </c>
      <c r="C535" s="4" t="str">
        <f>IFERROR(__xludf.DUMMYFUNCTION("""🏘️ ""&amp;REGEXEXTRACT(B535, ""^(.*): "")&amp;"" ✅ "" &amp;REGEXEXTRACT(B535, ""(Trouvez.*)"")"),"🏘️ Louer appartement La Russille ✅ Trouvez le bien immobilier qui correspond idéalement à vos désirs sur ImmoScout24 - La plateforme de l'immobilier en Suisse.")</f>
        <v>🏘️ Louer appartement La Russille ✅ Trouvez le bien immobilier qui correspond idéalement à vos désirs sur ImmoScout24 - La plateforme de l'immobilier en Suisse.</v>
      </c>
      <c r="D535" s="4" t="str">
        <f>vlookup(A535, Sheet2!D:E, 2, 0)</f>
        <v>variant</v>
      </c>
      <c r="E535" s="4" t="str">
        <f>IFERROR(__xludf.DUMMYFUNCTION("if(H535=""pays"",vlookup(REGEXEXTRACT(C535, ""🏘️ \w+ \w+ (.*) ✅""),'Country prepositions'!A:B, 2, 0) &amp; "" "" &amp; REGEXEXTRACT(C535, ""🏘️ \w+ \w+ (.*) ✅"") ,  if(H535=""quartier"",vlookup(REGEXEXTRACT(C535, ""🏘️ \w+ \w+ (.*) ✅""),'Quartier prepositions'!A"&amp;":E, 5, 0) ,  if(H535=""region"",vlookup(REGEXEXTRACT(C535, ""🏘️ \w+ \w+ (.*) ✅""),'Region prepositions'!B:F, 5, 0),  REGEXEXTRACT(C535, ""🏘️ \w+ \w+ (.*) ✅""))))"),"La Russille")</f>
        <v>La Russille</v>
      </c>
      <c r="F535" s="2" t="str">
        <f>IFERROR(__xludf.DUMMYFUNCTION("REGEXEXTRACT(C535, ""🏘️ (\w+) \w+ .* ✅"")"),"Louer")</f>
        <v>Louer</v>
      </c>
      <c r="G535" s="2" t="str">
        <f>IFERROR(__xludf.DUMMYFUNCTION("REGEXEXTRACT(C535, ""🏘️ \w+ (\w+) .* ✅"")"),"appartement")</f>
        <v>appartement</v>
      </c>
      <c r="H535" s="4" t="str">
        <f>IFERROR(__xludf.DUMMYFUNCTION("REGEXEXTRACT(A535, ""/(\w+)-.*?"")"),"lieu")</f>
        <v>lieu</v>
      </c>
      <c r="I535" s="4" t="str">
        <f>IFERROR(__xludf.DUMMYFUNCTION("if(D535=""variant"",  substitute(filter(Templates!E:E, Templates!A:A = F535, Templates!B:B = G535, Templates!C:C = H535), ""{{}}"", E535), B535)"),"🏘  Vous cherchez un appartement à louer à La Russille? ✅ Les annonces les plus actuelles sont sur ImmoScout24.ch.")</f>
        <v>🏘  Vous cherchez un appartement à louer à La Russille? ✅ Les annonces les plus actuelles sont sur ImmoScout24.ch.</v>
      </c>
      <c r="J535" s="4" t="s">
        <v>1612</v>
      </c>
    </row>
    <row r="536">
      <c r="A536" s="5" t="s">
        <v>1613</v>
      </c>
      <c r="B536" s="2" t="s">
        <v>1614</v>
      </c>
      <c r="C536" s="4" t="str">
        <f>IFERROR(__xludf.DUMMYFUNCTION("""🏘️ ""&amp;REGEXEXTRACT(B536, ""^(.*): "")&amp;"" ✅ "" &amp;REGEXEXTRACT(B536, ""(Trouvez.*)"")"),"🏘️ Louer appartement Guttet-Feschel ✅ Trouvez le bien immobilier qui correspond idéalement à vos désirs sur ImmoScout24 - La plateforme de l'immobilier en Suisse.")</f>
        <v>🏘️ Louer appartement Guttet-Feschel ✅ Trouvez le bien immobilier qui correspond idéalement à vos désirs sur ImmoScout24 - La plateforme de l'immobilier en Suisse.</v>
      </c>
      <c r="D536" s="4" t="str">
        <f>vlookup(A536, Sheet2!D:E, 2, 0)</f>
        <v>variant</v>
      </c>
      <c r="E536" s="4" t="str">
        <f>IFERROR(__xludf.DUMMYFUNCTION("if(H536=""pays"",vlookup(REGEXEXTRACT(C536, ""🏘️ \w+ \w+ (.*) ✅""),'Country prepositions'!A:B, 2, 0) &amp; "" "" &amp; REGEXEXTRACT(C536, ""🏘️ \w+ \w+ (.*) ✅"") ,  if(H536=""quartier"",vlookup(REGEXEXTRACT(C536, ""🏘️ \w+ \w+ (.*) ✅""),'Quartier prepositions'!A"&amp;":E, 5, 0) ,  if(H536=""region"",vlookup(REGEXEXTRACT(C536, ""🏘️ \w+ \w+ (.*) ✅""),'Region prepositions'!B:F, 5, 0),  REGEXEXTRACT(C536, ""🏘️ \w+ \w+ (.*) ✅""))))"),"Guttet-Feschel")</f>
        <v>Guttet-Feschel</v>
      </c>
      <c r="F536" s="2" t="str">
        <f>IFERROR(__xludf.DUMMYFUNCTION("REGEXEXTRACT(C536, ""🏘️ (\w+) \w+ .* ✅"")"),"Louer")</f>
        <v>Louer</v>
      </c>
      <c r="G536" s="2" t="str">
        <f>IFERROR(__xludf.DUMMYFUNCTION("REGEXEXTRACT(C536, ""🏘️ \w+ (\w+) .* ✅"")"),"appartement")</f>
        <v>appartement</v>
      </c>
      <c r="H536" s="4" t="str">
        <f>IFERROR(__xludf.DUMMYFUNCTION("REGEXEXTRACT(A536, ""/(\w+)-.*?"")"),"lieu")</f>
        <v>lieu</v>
      </c>
      <c r="I536" s="4" t="str">
        <f>IFERROR(__xludf.DUMMYFUNCTION("if(D536=""variant"",  substitute(filter(Templates!E:E, Templates!A:A = F536, Templates!B:B = G536, Templates!C:C = H536), ""{{}}"", E536), B536)"),"🏘  Vous cherchez un appartement à louer à Guttet-Feschel? ✅ Les annonces les plus actuelles sont sur ImmoScout24.ch.")</f>
        <v>🏘  Vous cherchez un appartement à louer à Guttet-Feschel? ✅ Les annonces les plus actuelles sont sur ImmoScout24.ch.</v>
      </c>
      <c r="J536" s="4" t="s">
        <v>1615</v>
      </c>
    </row>
    <row r="537">
      <c r="A537" s="5" t="s">
        <v>1616</v>
      </c>
      <c r="B537" s="2" t="s">
        <v>1617</v>
      </c>
      <c r="C537" s="4" t="str">
        <f>IFERROR(__xludf.DUMMYFUNCTION("""🏘️ ""&amp;REGEXEXTRACT(B537, ""^(.*): "")&amp;"" ✅ "" &amp;REGEXEXTRACT(B537, ""(Trouvez.*)"")"),"🏘️ Louer appartement Le Crêt-près-Semsales ✅ Trouvez le bien immobilier qui correspond idéalement à vos désirs sur ImmoScout24 - La plateforme de l'immobilier en Suisse.")</f>
        <v>🏘️ Louer appartement Le Crêt-près-Semsales ✅ Trouvez le bien immobilier qui correspond idéalement à vos désirs sur ImmoScout24 - La plateforme de l'immobilier en Suisse.</v>
      </c>
      <c r="D537" s="4" t="str">
        <f>vlookup(A537, Sheet2!D:E, 2, 0)</f>
        <v>variant</v>
      </c>
      <c r="E537" s="4" t="str">
        <f>IFERROR(__xludf.DUMMYFUNCTION("if(H537=""pays"",vlookup(REGEXEXTRACT(C537, ""🏘️ \w+ \w+ (.*) ✅""),'Country prepositions'!A:B, 2, 0) &amp; "" "" &amp; REGEXEXTRACT(C537, ""🏘️ \w+ \w+ (.*) ✅"") ,  if(H537=""quartier"",vlookup(REGEXEXTRACT(C537, ""🏘️ \w+ \w+ (.*) ✅""),'Quartier prepositions'!A"&amp;":E, 5, 0) ,  if(H537=""region"",vlookup(REGEXEXTRACT(C537, ""🏘️ \w+ \w+ (.*) ✅""),'Region prepositions'!B:F, 5, 0),  REGEXEXTRACT(C537, ""🏘️ \w+ \w+ (.*) ✅""))))"),"Le Crêt-près-Semsales")</f>
        <v>Le Crêt-près-Semsales</v>
      </c>
      <c r="F537" s="2" t="str">
        <f>IFERROR(__xludf.DUMMYFUNCTION("REGEXEXTRACT(C537, ""🏘️ (\w+) \w+ .* ✅"")"),"Louer")</f>
        <v>Louer</v>
      </c>
      <c r="G537" s="2" t="str">
        <f>IFERROR(__xludf.DUMMYFUNCTION("REGEXEXTRACT(C537, ""🏘️ \w+ (\w+) .* ✅"")"),"appartement")</f>
        <v>appartement</v>
      </c>
      <c r="H537" s="4" t="str">
        <f>IFERROR(__xludf.DUMMYFUNCTION("REGEXEXTRACT(A537, ""/(\w+)-.*?"")"),"lieu")</f>
        <v>lieu</v>
      </c>
      <c r="I537" s="8" t="str">
        <f>IFERROR(__xludf.DUMMYFUNCTION("if(D537=""variant"",  substitute(filter(Templates!E:E, Templates!A:A = F537, Templates!B:B = G537, Templates!C:C = H537), ""{{}}"", E537), B537)"),"🏘  Vous cherchez un appartement à louer à Le Crêt-près-Semsales? ✅ Les annonces les plus actuelles sont sur ImmoScout24.ch.")</f>
        <v>🏘  Vous cherchez un appartement à louer à Le Crêt-près-Semsales? ✅ Les annonces les plus actuelles sont sur ImmoScout24.ch.</v>
      </c>
      <c r="J537" s="2" t="s">
        <v>1618</v>
      </c>
    </row>
    <row r="538">
      <c r="A538" s="5" t="s">
        <v>1619</v>
      </c>
      <c r="B538" s="2" t="s">
        <v>1620</v>
      </c>
      <c r="C538" s="4" t="str">
        <f>IFERROR(__xludf.DUMMYFUNCTION("""🏘️ ""&amp;REGEXEXTRACT(B538, ""^(.*): "")&amp;"" ✅ "" &amp;REGEXEXTRACT(B538, ""(Trouvez.*)"")"),"🏘️ Louer appartement Meinier ✅ Trouvez le bien immobilier qui correspond idéalement à vos désirs sur ImmoScout24 - La plateforme de l'immobilier en Suisse.")</f>
        <v>🏘️ Louer appartement Meinier ✅ Trouvez le bien immobilier qui correspond idéalement à vos désirs sur ImmoScout24 - La plateforme de l'immobilier en Suisse.</v>
      </c>
      <c r="D538" s="4" t="str">
        <f>vlookup(A538, Sheet2!D:E, 2, 0)</f>
        <v>variant</v>
      </c>
      <c r="E538" s="4" t="str">
        <f>IFERROR(__xludf.DUMMYFUNCTION("if(H538=""pays"",vlookup(REGEXEXTRACT(C538, ""🏘️ \w+ \w+ (.*) ✅""),'Country prepositions'!A:B, 2, 0) &amp; "" "" &amp; REGEXEXTRACT(C538, ""🏘️ \w+ \w+ (.*) ✅"") ,  if(H538=""quartier"",vlookup(REGEXEXTRACT(C538, ""🏘️ \w+ \w+ (.*) ✅""),'Quartier prepositions'!A"&amp;":E, 5, 0) ,  if(H538=""region"",vlookup(REGEXEXTRACT(C538, ""🏘️ \w+ \w+ (.*) ✅""),'Region prepositions'!B:F, 5, 0),  REGEXEXTRACT(C538, ""🏘️ \w+ \w+ (.*) ✅""))))"),"Meinier")</f>
        <v>Meinier</v>
      </c>
      <c r="F538" s="2" t="str">
        <f>IFERROR(__xludf.DUMMYFUNCTION("REGEXEXTRACT(C538, ""🏘️ (\w+) \w+ .* ✅"")"),"Louer")</f>
        <v>Louer</v>
      </c>
      <c r="G538" s="2" t="str">
        <f>IFERROR(__xludf.DUMMYFUNCTION("REGEXEXTRACT(C538, ""🏘️ \w+ (\w+) .* ✅"")"),"appartement")</f>
        <v>appartement</v>
      </c>
      <c r="H538" s="4" t="str">
        <f>IFERROR(__xludf.DUMMYFUNCTION("REGEXEXTRACT(A538, ""/(\w+)-.*?"")"),"lieu")</f>
        <v>lieu</v>
      </c>
      <c r="I538" s="4" t="str">
        <f>IFERROR(__xludf.DUMMYFUNCTION("if(D538=""variant"",  substitute(filter(Templates!E:E, Templates!A:A = F538, Templates!B:B = G538, Templates!C:C = H538), ""{{}}"", E538), B538)"),"🏘  Vous cherchez un appartement à louer à Meinier? ✅ Les annonces les plus actuelles sont sur ImmoScout24.ch.")</f>
        <v>🏘  Vous cherchez un appartement à louer à Meinier? ✅ Les annonces les plus actuelles sont sur ImmoScout24.ch.</v>
      </c>
      <c r="J538" s="4" t="s">
        <v>1621</v>
      </c>
    </row>
    <row r="539">
      <c r="A539" s="5" t="s">
        <v>1622</v>
      </c>
      <c r="B539" s="2" t="s">
        <v>1623</v>
      </c>
      <c r="C539" s="4" t="str">
        <f>IFERROR(__xludf.DUMMYFUNCTION("""🏘️ ""&amp;REGEXEXTRACT(B539, ""^(.*): "")&amp;"" ✅ "" &amp;REGEXEXTRACT(B539, ""(Trouvez.*)"")"),"🏘️ Louer appartement Bovernier ✅ Trouvez le bien immobilier qui correspond idéalement à vos désirs sur ImmoScout24 - La plateforme de l'immobilier en Suisse.")</f>
        <v>🏘️ Louer appartement Bovernier ✅ Trouvez le bien immobilier qui correspond idéalement à vos désirs sur ImmoScout24 - La plateforme de l'immobilier en Suisse.</v>
      </c>
      <c r="D539" s="4" t="str">
        <f>vlookup(A539, Sheet2!D:E, 2, 0)</f>
        <v>variant</v>
      </c>
      <c r="E539" s="4" t="str">
        <f>IFERROR(__xludf.DUMMYFUNCTION("if(H539=""pays"",vlookup(REGEXEXTRACT(C539, ""🏘️ \w+ \w+ (.*) ✅""),'Country prepositions'!A:B, 2, 0) &amp; "" "" &amp; REGEXEXTRACT(C539, ""🏘️ \w+ \w+ (.*) ✅"") ,  if(H539=""quartier"",vlookup(REGEXEXTRACT(C539, ""🏘️ \w+ \w+ (.*) ✅""),'Quartier prepositions'!A"&amp;":E, 5, 0) ,  if(H539=""region"",vlookup(REGEXEXTRACT(C539, ""🏘️ \w+ \w+ (.*) ✅""),'Region prepositions'!B:F, 5, 0),  REGEXEXTRACT(C539, ""🏘️ \w+ \w+ (.*) ✅""))))"),"Bovernier")</f>
        <v>Bovernier</v>
      </c>
      <c r="F539" s="2" t="str">
        <f>IFERROR(__xludf.DUMMYFUNCTION("REGEXEXTRACT(C539, ""🏘️ (\w+) \w+ .* ✅"")"),"Louer")</f>
        <v>Louer</v>
      </c>
      <c r="G539" s="2" t="str">
        <f>IFERROR(__xludf.DUMMYFUNCTION("REGEXEXTRACT(C539, ""🏘️ \w+ (\w+) .* ✅"")"),"appartement")</f>
        <v>appartement</v>
      </c>
      <c r="H539" s="4" t="str">
        <f>IFERROR(__xludf.DUMMYFUNCTION("REGEXEXTRACT(A539, ""/(\w+)-.*?"")"),"lieu")</f>
        <v>lieu</v>
      </c>
      <c r="I539" s="4" t="str">
        <f>IFERROR(__xludf.DUMMYFUNCTION("if(D539=""variant"",  substitute(filter(Templates!E:E, Templates!A:A = F539, Templates!B:B = G539, Templates!C:C = H539), ""{{}}"", E539), B539)"),"🏘  Vous cherchez un appartement à louer à Bovernier? ✅ Les annonces les plus actuelles sont sur ImmoScout24.ch.")</f>
        <v>🏘  Vous cherchez un appartement à louer à Bovernier? ✅ Les annonces les plus actuelles sont sur ImmoScout24.ch.</v>
      </c>
      <c r="J539" s="4" t="s">
        <v>1624</v>
      </c>
    </row>
    <row r="540">
      <c r="A540" s="5" t="s">
        <v>1625</v>
      </c>
      <c r="B540" s="2" t="s">
        <v>1626</v>
      </c>
      <c r="C540" s="4" t="str">
        <f>IFERROR(__xludf.DUMMYFUNCTION("""🏘️ ""&amp;REGEXEXTRACT(B540, ""^(.*): "")&amp;"" ✅ "" &amp;REGEXEXTRACT(B540, ""(Trouvez.*)"")"),"🏘️ Louer appartement Frauenfeld ✅ Trouvez le bien immobilier qui correspond idéalement à vos désirs sur ImmoScout24 - La plateforme de l'immobilier en Suisse.")</f>
        <v>🏘️ Louer appartement Frauenfeld ✅ Trouvez le bien immobilier qui correspond idéalement à vos désirs sur ImmoScout24 - La plateforme de l'immobilier en Suisse.</v>
      </c>
      <c r="D540" s="4" t="str">
        <f>vlookup(A540, Sheet2!D:E, 2, 0)</f>
        <v>variant</v>
      </c>
      <c r="E540" s="4" t="str">
        <f>IFERROR(__xludf.DUMMYFUNCTION("if(H540=""pays"",vlookup(REGEXEXTRACT(C540, ""🏘️ \w+ \w+ (.*) ✅""),'Country prepositions'!A:B, 2, 0) &amp; "" "" &amp; REGEXEXTRACT(C540, ""🏘️ \w+ \w+ (.*) ✅"") ,  if(H540=""quartier"",vlookup(REGEXEXTRACT(C540, ""🏘️ \w+ \w+ (.*) ✅""),'Quartier prepositions'!A"&amp;":E, 5, 0) ,  if(H540=""region"",vlookup(REGEXEXTRACT(C540, ""🏘️ \w+ \w+ (.*) ✅""),'Region prepositions'!B:F, 5, 0),  REGEXEXTRACT(C540, ""🏘️ \w+ \w+ (.*) ✅""))))"),"Frauenfeld")</f>
        <v>Frauenfeld</v>
      </c>
      <c r="F540" s="2" t="str">
        <f>IFERROR(__xludf.DUMMYFUNCTION("REGEXEXTRACT(C540, ""🏘️ (\w+) \w+ .* ✅"")"),"Louer")</f>
        <v>Louer</v>
      </c>
      <c r="G540" s="2" t="str">
        <f>IFERROR(__xludf.DUMMYFUNCTION("REGEXEXTRACT(C540, ""🏘️ \w+ (\w+) .* ✅"")"),"appartement")</f>
        <v>appartement</v>
      </c>
      <c r="H540" s="4" t="str">
        <f>IFERROR(__xludf.DUMMYFUNCTION("REGEXEXTRACT(A540, ""/(\w+)-.*?"")"),"lieu")</f>
        <v>lieu</v>
      </c>
      <c r="I540" s="4" t="str">
        <f>IFERROR(__xludf.DUMMYFUNCTION("if(D540=""variant"",  substitute(filter(Templates!E:E, Templates!A:A = F540, Templates!B:B = G540, Templates!C:C = H540), ""{{}}"", E540), B540)"),"🏘  Vous cherchez un appartement à louer à Frauenfeld? ✅ Les annonces les plus actuelles sont sur ImmoScout24.ch.")</f>
        <v>🏘  Vous cherchez un appartement à louer à Frauenfeld? ✅ Les annonces les plus actuelles sont sur ImmoScout24.ch.</v>
      </c>
      <c r="J540" s="4" t="s">
        <v>1627</v>
      </c>
    </row>
    <row r="541">
      <c r="A541" s="5" t="s">
        <v>1628</v>
      </c>
      <c r="B541" s="2" t="s">
        <v>1629</v>
      </c>
      <c r="C541" s="4" t="str">
        <f>IFERROR(__xludf.DUMMYFUNCTION("""🏘️ ""&amp;REGEXEXTRACT(B541, ""^(.*): "")&amp;"" ✅ "" &amp;REGEXEXTRACT(B541, ""(Trouvez.*)"")"),"🏘️ Louer maison Arzier-Le Muids ✅ Trouvez le bien immobilier qui correspond idéalement à vos désirs sur ImmoScout24 - La plateforme de l'immobilier en Suisse.")</f>
        <v>🏘️ Louer maison Arzier-Le Muids ✅ Trouvez le bien immobilier qui correspond idéalement à vos désirs sur ImmoScout24 - La plateforme de l'immobilier en Suisse.</v>
      </c>
      <c r="D541" s="4" t="str">
        <f>vlookup(A541, Sheet2!D:E, 2, 0)</f>
        <v>variant</v>
      </c>
      <c r="E541" s="4" t="str">
        <f>IFERROR(__xludf.DUMMYFUNCTION("if(H541=""pays"",vlookup(REGEXEXTRACT(C541, ""🏘️ \w+ \w+ (.*) ✅""),'Country prepositions'!A:B, 2, 0) &amp; "" "" &amp; REGEXEXTRACT(C541, ""🏘️ \w+ \w+ (.*) ✅"") ,  if(H541=""quartier"",vlookup(REGEXEXTRACT(C541, ""🏘️ \w+ \w+ (.*) ✅""),'Quartier prepositions'!A"&amp;":E, 5, 0) ,  if(H541=""region"",vlookup(REGEXEXTRACT(C541, ""🏘️ \w+ \w+ (.*) ✅""),'Region prepositions'!B:F, 5, 0),  REGEXEXTRACT(C541, ""🏘️ \w+ \w+ (.*) ✅""))))"),"Arzier-Le Muids")</f>
        <v>Arzier-Le Muids</v>
      </c>
      <c r="F541" s="2" t="str">
        <f>IFERROR(__xludf.DUMMYFUNCTION("REGEXEXTRACT(C541, ""🏘️ (\w+) \w+ .* ✅"")"),"Louer")</f>
        <v>Louer</v>
      </c>
      <c r="G541" s="2" t="str">
        <f>IFERROR(__xludf.DUMMYFUNCTION("REGEXEXTRACT(C541, ""🏘️ \w+ (\w+) .* ✅"")"),"maison")</f>
        <v>maison</v>
      </c>
      <c r="H541" s="4" t="str">
        <f>IFERROR(__xludf.DUMMYFUNCTION("REGEXEXTRACT(A541, ""/(\w+)-.*?"")"),"lieu")</f>
        <v>lieu</v>
      </c>
      <c r="I541" s="4" t="str">
        <f>IFERROR(__xludf.DUMMYFUNCTION("if(D541=""variant"",  substitute(filter(Templates!E:E, Templates!A:A = F541, Templates!B:B = G541, Templates!C:C = H541), ""{{}}"", E541), B541)"),"🏘  Vous cherchez une maison à louer à Arzier-Le Muids? ✅ Découvrez nos nombreuses annonces sur ImmoScout24.ch.")</f>
        <v>🏘  Vous cherchez une maison à louer à Arzier-Le Muids? ✅ Découvrez nos nombreuses annonces sur ImmoScout24.ch.</v>
      </c>
      <c r="J541" s="4" t="s">
        <v>1630</v>
      </c>
    </row>
    <row r="542">
      <c r="A542" s="5" t="s">
        <v>1631</v>
      </c>
      <c r="B542" s="2" t="s">
        <v>1632</v>
      </c>
      <c r="C542" s="4" t="str">
        <f>IFERROR(__xludf.DUMMYFUNCTION("""🏘️ ""&amp;REGEXEXTRACT(B542, ""^(.*): "")&amp;"" ✅ "" &amp;REGEXEXTRACT(B542, ""(Trouvez.*)"")"),"🏘️ Vendre maison Mollie-Margot ✅ Trouvez le bien immobilier qui correspond idéalement à vos désirs sur ImmoScout24 - La plateforme de l'immobilier en Suisse.")</f>
        <v>🏘️ Vendre maison Mollie-Margot ✅ Trouvez le bien immobilier qui correspond idéalement à vos désirs sur ImmoScout24 - La plateforme de l'immobilier en Suisse.</v>
      </c>
      <c r="D542" s="4" t="str">
        <f>vlookup(A542, Sheet2!D:E, 2, 0)</f>
        <v>variant</v>
      </c>
      <c r="E542" s="4" t="str">
        <f>IFERROR(__xludf.DUMMYFUNCTION("if(H542=""pays"",vlookup(REGEXEXTRACT(C542, ""🏘️ \w+ \w+ (.*) ✅""),'Country prepositions'!A:B, 2, 0) &amp; "" "" &amp; REGEXEXTRACT(C542, ""🏘️ \w+ \w+ (.*) ✅"") ,  if(H542=""quartier"",vlookup(REGEXEXTRACT(C542, ""🏘️ \w+ \w+ (.*) ✅""),'Quartier prepositions'!A"&amp;":E, 5, 0) ,  if(H542=""region"",vlookup(REGEXEXTRACT(C542, ""🏘️ \w+ \w+ (.*) ✅""),'Region prepositions'!B:F, 5, 0),  REGEXEXTRACT(C542, ""🏘️ \w+ \w+ (.*) ✅""))))"),"Mollie-Margot")</f>
        <v>Mollie-Margot</v>
      </c>
      <c r="F542" s="2" t="str">
        <f>IFERROR(__xludf.DUMMYFUNCTION("REGEXEXTRACT(C542, ""🏘️ (\w+) \w+ .* ✅"")"),"Vendre")</f>
        <v>Vendre</v>
      </c>
      <c r="G542" s="2" t="str">
        <f>IFERROR(__xludf.DUMMYFUNCTION("REGEXEXTRACT(C542, ""🏘️ \w+ (\w+) .* ✅"")"),"maison")</f>
        <v>maison</v>
      </c>
      <c r="H542" s="4" t="str">
        <f>IFERROR(__xludf.DUMMYFUNCTION("REGEXEXTRACT(A542, ""/(\w+)-.*?"")"),"lieu")</f>
        <v>lieu</v>
      </c>
      <c r="I542" s="4" t="str">
        <f>IFERROR(__xludf.DUMMYFUNCTION("if(D542=""variant"",  substitute(filter(Templates!E:E, Templates!A:A = F542, Templates!B:B = G542, Templates!C:C = H542), ""{{}}"", E542), B542)"),"🏘  Vous souhaitez acheter une maison à Mollie-Margot? ✅ Jetez un œil aux dernières offres sur ImmoScout24.ch.")</f>
        <v>🏘  Vous souhaitez acheter une maison à Mollie-Margot? ✅ Jetez un œil aux dernières offres sur ImmoScout24.ch.</v>
      </c>
      <c r="J542" s="4" t="s">
        <v>1633</v>
      </c>
    </row>
    <row r="543">
      <c r="A543" s="5" t="s">
        <v>1634</v>
      </c>
      <c r="B543" s="2" t="s">
        <v>1635</v>
      </c>
      <c r="C543" s="4" t="str">
        <f>IFERROR(__xludf.DUMMYFUNCTION("""🏘️ ""&amp;REGEXEXTRACT(B543, ""^(.*): "")&amp;"" ✅ "" &amp;REGEXEXTRACT(B543, ""(Trouvez.*)"")"),"🏘️ Louer appartement Ettingen ✅ Trouvez le bien immobilier qui correspond idéalement à vos désirs sur ImmoScout24 - La plateforme de l'immobilier en Suisse.")</f>
        <v>🏘️ Louer appartement Ettingen ✅ Trouvez le bien immobilier qui correspond idéalement à vos désirs sur ImmoScout24 - La plateforme de l'immobilier en Suisse.</v>
      </c>
      <c r="D543" s="4" t="str">
        <f>vlookup(A543, Sheet2!D:E, 2, 0)</f>
        <v>variant</v>
      </c>
      <c r="E543" s="4" t="str">
        <f>IFERROR(__xludf.DUMMYFUNCTION("if(H543=""pays"",vlookup(REGEXEXTRACT(C543, ""🏘️ \w+ \w+ (.*) ✅""),'Country prepositions'!A:B, 2, 0) &amp; "" "" &amp; REGEXEXTRACT(C543, ""🏘️ \w+ \w+ (.*) ✅"") ,  if(H543=""quartier"",vlookup(REGEXEXTRACT(C543, ""🏘️ \w+ \w+ (.*) ✅""),'Quartier prepositions'!A"&amp;":E, 5, 0) ,  if(H543=""region"",vlookup(REGEXEXTRACT(C543, ""🏘️ \w+ \w+ (.*) ✅""),'Region prepositions'!B:F, 5, 0),  REGEXEXTRACT(C543, ""🏘️ \w+ \w+ (.*) ✅""))))"),"Ettingen")</f>
        <v>Ettingen</v>
      </c>
      <c r="F543" s="2" t="str">
        <f>IFERROR(__xludf.DUMMYFUNCTION("REGEXEXTRACT(C543, ""🏘️ (\w+) \w+ .* ✅"")"),"Louer")</f>
        <v>Louer</v>
      </c>
      <c r="G543" s="2" t="str">
        <f>IFERROR(__xludf.DUMMYFUNCTION("REGEXEXTRACT(C543, ""🏘️ \w+ (\w+) .* ✅"")"),"appartement")</f>
        <v>appartement</v>
      </c>
      <c r="H543" s="4" t="str">
        <f>IFERROR(__xludf.DUMMYFUNCTION("REGEXEXTRACT(A543, ""/(\w+)-.*?"")"),"lieu")</f>
        <v>lieu</v>
      </c>
      <c r="I543" s="4" t="str">
        <f>IFERROR(__xludf.DUMMYFUNCTION("if(D543=""variant"",  substitute(filter(Templates!E:E, Templates!A:A = F543, Templates!B:B = G543, Templates!C:C = H543), ""{{}}"", E543), B543)"),"🏘  Vous cherchez un appartement à louer à Ettingen? ✅ Les annonces les plus actuelles sont sur ImmoScout24.ch.")</f>
        <v>🏘  Vous cherchez un appartement à louer à Ettingen? ✅ Les annonces les plus actuelles sont sur ImmoScout24.ch.</v>
      </c>
      <c r="J543" s="4" t="s">
        <v>1636</v>
      </c>
    </row>
    <row r="544">
      <c r="A544" s="5" t="s">
        <v>1637</v>
      </c>
      <c r="B544" s="2" t="s">
        <v>1638</v>
      </c>
      <c r="C544" s="4" t="str">
        <f>IFERROR(__xludf.DUMMYFUNCTION("""🏘️ ""&amp;REGEXEXTRACT(B544, ""^(.*): "")&amp;"" ✅ "" &amp;REGEXEXTRACT(B544, ""(Trouvez.*)"")"),"🏘️ Louer appartement Bionnens ✅ Trouvez le bien immobilier qui correspond idéalement à vos désirs sur ImmoScout24 - La plateforme de l'immobilier en Suisse.")</f>
        <v>🏘️ Louer appartement Bionnens ✅ Trouvez le bien immobilier qui correspond idéalement à vos désirs sur ImmoScout24 - La plateforme de l'immobilier en Suisse.</v>
      </c>
      <c r="D544" s="4" t="str">
        <f>vlookup(A544, Sheet2!D:E, 2, 0)</f>
        <v>variant</v>
      </c>
      <c r="E544" s="4" t="str">
        <f>IFERROR(__xludf.DUMMYFUNCTION("if(H544=""pays"",vlookup(REGEXEXTRACT(C544, ""🏘️ \w+ \w+ (.*) ✅""),'Country prepositions'!A:B, 2, 0) &amp; "" "" &amp; REGEXEXTRACT(C544, ""🏘️ \w+ \w+ (.*) ✅"") ,  if(H544=""quartier"",vlookup(REGEXEXTRACT(C544, ""🏘️ \w+ \w+ (.*) ✅""),'Quartier prepositions'!A"&amp;":E, 5, 0) ,  if(H544=""region"",vlookup(REGEXEXTRACT(C544, ""🏘️ \w+ \w+ (.*) ✅""),'Region prepositions'!B:F, 5, 0),  REGEXEXTRACT(C544, ""🏘️ \w+ \w+ (.*) ✅""))))"),"Bionnens")</f>
        <v>Bionnens</v>
      </c>
      <c r="F544" s="2" t="str">
        <f>IFERROR(__xludf.DUMMYFUNCTION("REGEXEXTRACT(C544, ""🏘️ (\w+) \w+ .* ✅"")"),"Louer")</f>
        <v>Louer</v>
      </c>
      <c r="G544" s="2" t="str">
        <f>IFERROR(__xludf.DUMMYFUNCTION("REGEXEXTRACT(C544, ""🏘️ \w+ (\w+) .* ✅"")"),"appartement")</f>
        <v>appartement</v>
      </c>
      <c r="H544" s="4" t="str">
        <f>IFERROR(__xludf.DUMMYFUNCTION("REGEXEXTRACT(A544, ""/(\w+)-.*?"")"),"lieu")</f>
        <v>lieu</v>
      </c>
      <c r="I544" s="4" t="str">
        <f>IFERROR(__xludf.DUMMYFUNCTION("if(D544=""variant"",  substitute(filter(Templates!E:E, Templates!A:A = F544, Templates!B:B = G544, Templates!C:C = H544), ""{{}}"", E544), B544)"),"🏘  Vous cherchez un appartement à louer à Bionnens? ✅ Les annonces les plus actuelles sont sur ImmoScout24.ch.")</f>
        <v>🏘  Vous cherchez un appartement à louer à Bionnens? ✅ Les annonces les plus actuelles sont sur ImmoScout24.ch.</v>
      </c>
      <c r="J544" s="4" t="s">
        <v>1639</v>
      </c>
    </row>
    <row r="545">
      <c r="A545" s="5" t="s">
        <v>1640</v>
      </c>
      <c r="B545" s="2" t="s">
        <v>1641</v>
      </c>
      <c r="C545" s="4" t="str">
        <f>IFERROR(__xludf.DUMMYFUNCTION("""🏘️ ""&amp;REGEXEXTRACT(B545, ""^(.*): "")&amp;"" ✅ "" &amp;REGEXEXTRACT(B545, ""(Trouvez.*)"")"),"🏘️ Vendre maison Fenil-sur-Corsier ✅ Trouvez le bien immobilier qui correspond idéalement à vos désirs sur ImmoScout24 - La plateforme de l'immobilier en Suisse.")</f>
        <v>🏘️ Vendre maison Fenil-sur-Corsier ✅ Trouvez le bien immobilier qui correspond idéalement à vos désirs sur ImmoScout24 - La plateforme de l'immobilier en Suisse.</v>
      </c>
      <c r="D545" s="4" t="str">
        <f>vlookup(A545, Sheet2!D:E, 2, 0)</f>
        <v>variant</v>
      </c>
      <c r="E545" s="4" t="str">
        <f>IFERROR(__xludf.DUMMYFUNCTION("if(H545=""pays"",vlookup(REGEXEXTRACT(C545, ""🏘️ \w+ \w+ (.*) ✅""),'Country prepositions'!A:B, 2, 0) &amp; "" "" &amp; REGEXEXTRACT(C545, ""🏘️ \w+ \w+ (.*) ✅"") ,  if(H545=""quartier"",vlookup(REGEXEXTRACT(C545, ""🏘️ \w+ \w+ (.*) ✅""),'Quartier prepositions'!A"&amp;":E, 5, 0) ,  if(H545=""region"",vlookup(REGEXEXTRACT(C545, ""🏘️ \w+ \w+ (.*) ✅""),'Region prepositions'!B:F, 5, 0),  REGEXEXTRACT(C545, ""🏘️ \w+ \w+ (.*) ✅""))))"),"Fenil-sur-Corsier")</f>
        <v>Fenil-sur-Corsier</v>
      </c>
      <c r="F545" s="2" t="str">
        <f>IFERROR(__xludf.DUMMYFUNCTION("REGEXEXTRACT(C545, ""🏘️ (\w+) \w+ .* ✅"")"),"Vendre")</f>
        <v>Vendre</v>
      </c>
      <c r="G545" s="2" t="str">
        <f>IFERROR(__xludf.DUMMYFUNCTION("REGEXEXTRACT(C545, ""🏘️ \w+ (\w+) .* ✅"")"),"maison")</f>
        <v>maison</v>
      </c>
      <c r="H545" s="4" t="str">
        <f>IFERROR(__xludf.DUMMYFUNCTION("REGEXEXTRACT(A545, ""/(\w+)-.*?"")"),"lieu")</f>
        <v>lieu</v>
      </c>
      <c r="I545" s="4" t="str">
        <f>IFERROR(__xludf.DUMMYFUNCTION("if(D545=""variant"",  substitute(filter(Templates!E:E, Templates!A:A = F545, Templates!B:B = G545, Templates!C:C = H545), ""{{}}"", E545), B545)"),"🏘  Vous souhaitez acheter une maison à Fenil-sur-Corsier? ✅ Jetez un œil aux dernières offres sur ImmoScout24.ch.")</f>
        <v>🏘  Vous souhaitez acheter une maison à Fenil-sur-Corsier? ✅ Jetez un œil aux dernières offres sur ImmoScout24.ch.</v>
      </c>
      <c r="J545" s="4" t="s">
        <v>1642</v>
      </c>
    </row>
    <row r="546">
      <c r="A546" s="5" t="s">
        <v>1643</v>
      </c>
      <c r="B546" s="2" t="s">
        <v>1644</v>
      </c>
      <c r="C546" s="4" t="str">
        <f>IFERROR(__xludf.DUMMYFUNCTION("""🏘️ ""&amp;REGEXEXTRACT(B546, ""^(.*): "")&amp;"" ✅ "" &amp;REGEXEXTRACT(B546, ""(Trouvez.*)"")"),"🏘️ Vendre maison Valeyres-sous-Rances ✅ Trouvez le bien immobilier qui correspond idéalement à vos désirs sur ImmoScout24 - La plateforme de l'immobilier en Suisse.")</f>
        <v>🏘️ Vendre maison Valeyres-sous-Rances ✅ Trouvez le bien immobilier qui correspond idéalement à vos désirs sur ImmoScout24 - La plateforme de l'immobilier en Suisse.</v>
      </c>
      <c r="D546" s="4" t="str">
        <f>vlookup(A546, Sheet2!D:E, 2, 0)</f>
        <v>variant</v>
      </c>
      <c r="E546" s="4" t="str">
        <f>IFERROR(__xludf.DUMMYFUNCTION("if(H546=""pays"",vlookup(REGEXEXTRACT(C546, ""🏘️ \w+ \w+ (.*) ✅""),'Country prepositions'!A:B, 2, 0) &amp; "" "" &amp; REGEXEXTRACT(C546, ""🏘️ \w+ \w+ (.*) ✅"") ,  if(H546=""quartier"",vlookup(REGEXEXTRACT(C546, ""🏘️ \w+ \w+ (.*) ✅""),'Quartier prepositions'!A"&amp;":E, 5, 0) ,  if(H546=""region"",vlookup(REGEXEXTRACT(C546, ""🏘️ \w+ \w+ (.*) ✅""),'Region prepositions'!B:F, 5, 0),  REGEXEXTRACT(C546, ""🏘️ \w+ \w+ (.*) ✅""))))"),"Valeyres-sous-Rances")</f>
        <v>Valeyres-sous-Rances</v>
      </c>
      <c r="F546" s="2" t="str">
        <f>IFERROR(__xludf.DUMMYFUNCTION("REGEXEXTRACT(C546, ""🏘️ (\w+) \w+ .* ✅"")"),"Vendre")</f>
        <v>Vendre</v>
      </c>
      <c r="G546" s="2" t="str">
        <f>IFERROR(__xludf.DUMMYFUNCTION("REGEXEXTRACT(C546, ""🏘️ \w+ (\w+) .* ✅"")"),"maison")</f>
        <v>maison</v>
      </c>
      <c r="H546" s="4" t="str">
        <f>IFERROR(__xludf.DUMMYFUNCTION("REGEXEXTRACT(A546, ""/(\w+)-.*?"")"),"lieu")</f>
        <v>lieu</v>
      </c>
      <c r="I546" s="4" t="str">
        <f>IFERROR(__xludf.DUMMYFUNCTION("if(D546=""variant"",  substitute(filter(Templates!E:E, Templates!A:A = F546, Templates!B:B = G546, Templates!C:C = H546), ""{{}}"", E546), B546)"),"🏘  Vous souhaitez acheter une maison à Valeyres-sous-Rances? ✅ Jetez un œil aux dernières offres sur ImmoScout24.ch.")</f>
        <v>🏘  Vous souhaitez acheter une maison à Valeyres-sous-Rances? ✅ Jetez un œil aux dernières offres sur ImmoScout24.ch.</v>
      </c>
      <c r="J546" s="4" t="s">
        <v>1645</v>
      </c>
    </row>
    <row r="547">
      <c r="A547" s="5" t="s">
        <v>1646</v>
      </c>
      <c r="B547" s="2" t="s">
        <v>1647</v>
      </c>
      <c r="C547" s="4" t="str">
        <f>IFERROR(__xludf.DUMMYFUNCTION("""🏘️ ""&amp;REGEXEXTRACT(B547, ""^(.*): "")&amp;"" ✅ "" &amp;REGEXEXTRACT(B547, ""(Trouvez.*)"")"),"🏘️ Vendre maison Crémines ✅ Trouvez le bien immobilier qui correspond idéalement à vos désirs sur ImmoScout24 - La plateforme de l'immobilier en Suisse.")</f>
        <v>🏘️ Vendre maison Crémines ✅ Trouvez le bien immobilier qui correspond idéalement à vos désirs sur ImmoScout24 - La plateforme de l'immobilier en Suisse.</v>
      </c>
      <c r="D547" s="4" t="str">
        <f>vlookup(A547, Sheet2!D:E, 2, 0)</f>
        <v>variant</v>
      </c>
      <c r="E547" s="4" t="str">
        <f>IFERROR(__xludf.DUMMYFUNCTION("if(H547=""pays"",vlookup(REGEXEXTRACT(C547, ""🏘️ \w+ \w+ (.*) ✅""),'Country prepositions'!A:B, 2, 0) &amp; "" "" &amp; REGEXEXTRACT(C547, ""🏘️ \w+ \w+ (.*) ✅"") ,  if(H547=""quartier"",vlookup(REGEXEXTRACT(C547, ""🏘️ \w+ \w+ (.*) ✅""),'Quartier prepositions'!A"&amp;":E, 5, 0) ,  if(H547=""region"",vlookup(REGEXEXTRACT(C547, ""🏘️ \w+ \w+ (.*) ✅""),'Region prepositions'!B:F, 5, 0),  REGEXEXTRACT(C547, ""🏘️ \w+ \w+ (.*) ✅""))))"),"Crémines")</f>
        <v>Crémines</v>
      </c>
      <c r="F547" s="2" t="str">
        <f>IFERROR(__xludf.DUMMYFUNCTION("REGEXEXTRACT(C547, ""🏘️ (\w+) \w+ .* ✅"")"),"Vendre")</f>
        <v>Vendre</v>
      </c>
      <c r="G547" s="2" t="str">
        <f>IFERROR(__xludf.DUMMYFUNCTION("REGEXEXTRACT(C547, ""🏘️ \w+ (\w+) .* ✅"")"),"maison")</f>
        <v>maison</v>
      </c>
      <c r="H547" s="4" t="str">
        <f>IFERROR(__xludf.DUMMYFUNCTION("REGEXEXTRACT(A547, ""/(\w+)-.*?"")"),"lieu")</f>
        <v>lieu</v>
      </c>
      <c r="I547" s="4" t="str">
        <f>IFERROR(__xludf.DUMMYFUNCTION("if(D547=""variant"",  substitute(filter(Templates!E:E, Templates!A:A = F547, Templates!B:B = G547, Templates!C:C = H547), ""{{}}"", E547), B547)"),"🏘  Vous souhaitez acheter une maison à Crémines? ✅ Jetez un œil aux dernières offres sur ImmoScout24.ch.")</f>
        <v>🏘  Vous souhaitez acheter une maison à Crémines? ✅ Jetez un œil aux dernières offres sur ImmoScout24.ch.</v>
      </c>
      <c r="J547" s="4" t="s">
        <v>1648</v>
      </c>
    </row>
    <row r="548">
      <c r="A548" s="5" t="s">
        <v>1649</v>
      </c>
      <c r="B548" s="2" t="s">
        <v>1650</v>
      </c>
      <c r="C548" s="4" t="str">
        <f>IFERROR(__xludf.DUMMYFUNCTION("""🏘️ ""&amp;REGEXEXTRACT(B548, ""^(.*): "")&amp;"" ✅ "" &amp;REGEXEXTRACT(B548, ""(Trouvez.*)"")"),"🏘️ Vendre maison St-Gingolph ✅ Trouvez le bien immobilier qui correspond idéalement à vos désirs sur ImmoScout24 - La plateforme de l'immobilier en Suisse.")</f>
        <v>🏘️ Vendre maison St-Gingolph ✅ Trouvez le bien immobilier qui correspond idéalement à vos désirs sur ImmoScout24 - La plateforme de l'immobilier en Suisse.</v>
      </c>
      <c r="D548" s="4" t="str">
        <f>vlookup(A548, Sheet2!D:E, 2, 0)</f>
        <v>variant</v>
      </c>
      <c r="E548" s="4" t="str">
        <f>IFERROR(__xludf.DUMMYFUNCTION("if(H548=""pays"",vlookup(REGEXEXTRACT(C548, ""🏘️ \w+ \w+ (.*) ✅""),'Country prepositions'!A:B, 2, 0) &amp; "" "" &amp; REGEXEXTRACT(C548, ""🏘️ \w+ \w+ (.*) ✅"") ,  if(H548=""quartier"",vlookup(REGEXEXTRACT(C548, ""🏘️ \w+ \w+ (.*) ✅""),'Quartier prepositions'!A"&amp;":E, 5, 0) ,  if(H548=""region"",vlookup(REGEXEXTRACT(C548, ""🏘️ \w+ \w+ (.*) ✅""),'Region prepositions'!B:F, 5, 0),  REGEXEXTRACT(C548, ""🏘️ \w+ \w+ (.*) ✅""))))"),"St-Gingolph")</f>
        <v>St-Gingolph</v>
      </c>
      <c r="F548" s="2" t="str">
        <f>IFERROR(__xludf.DUMMYFUNCTION("REGEXEXTRACT(C548, ""🏘️ (\w+) \w+ .* ✅"")"),"Vendre")</f>
        <v>Vendre</v>
      </c>
      <c r="G548" s="2" t="str">
        <f>IFERROR(__xludf.DUMMYFUNCTION("REGEXEXTRACT(C548, ""🏘️ \w+ (\w+) .* ✅"")"),"maison")</f>
        <v>maison</v>
      </c>
      <c r="H548" s="4" t="str">
        <f>IFERROR(__xludf.DUMMYFUNCTION("REGEXEXTRACT(A548, ""/(\w+)-.*?"")"),"lieu")</f>
        <v>lieu</v>
      </c>
      <c r="I548" s="4" t="str">
        <f>IFERROR(__xludf.DUMMYFUNCTION("if(D548=""variant"",  substitute(filter(Templates!E:E, Templates!A:A = F548, Templates!B:B = G548, Templates!C:C = H548), ""{{}}"", E548), B548)"),"🏘  Vous souhaitez acheter une maison à St-Gingolph? ✅ Jetez un œil aux dernières offres sur ImmoScout24.ch.")</f>
        <v>🏘  Vous souhaitez acheter une maison à St-Gingolph? ✅ Jetez un œil aux dernières offres sur ImmoScout24.ch.</v>
      </c>
      <c r="J548" s="4" t="s">
        <v>1651</v>
      </c>
    </row>
    <row r="549">
      <c r="A549" s="5" t="s">
        <v>1652</v>
      </c>
      <c r="B549" s="2" t="s">
        <v>1653</v>
      </c>
      <c r="C549" s="4" t="str">
        <f>IFERROR(__xludf.DUMMYFUNCTION("""🏘️ ""&amp;REGEXEXTRACT(B549, ""^(.*): "")&amp;"" ✅ "" &amp;REGEXEXTRACT(B549, ""(Trouvez.*)"")"),"🏘️ Vendre appartement Affoltern am Albis ✅ Trouvez le bien immobilier qui correspond idéalement à vos désirs sur ImmoScout24 - La plateforme de l'immobilier en Suisse.")</f>
        <v>🏘️ Vendre appartement Affoltern am Albis ✅ Trouvez le bien immobilier qui correspond idéalement à vos désirs sur ImmoScout24 - La plateforme de l'immobilier en Suisse.</v>
      </c>
      <c r="D549" s="4" t="str">
        <f>vlookup(A549, Sheet2!D:E, 2, 0)</f>
        <v>variant</v>
      </c>
      <c r="E549" s="4" t="str">
        <f>IFERROR(__xludf.DUMMYFUNCTION("if(H549=""pays"",vlookup(REGEXEXTRACT(C549, ""🏘️ \w+ \w+ (.*) ✅""),'Country prepositions'!A:B, 2, 0) &amp; "" "" &amp; REGEXEXTRACT(C549, ""🏘️ \w+ \w+ (.*) ✅"") ,  if(H549=""quartier"",vlookup(REGEXEXTRACT(C549, ""🏘️ \w+ \w+ (.*) ✅""),'Quartier prepositions'!A"&amp;":E, 5, 0) ,  if(H549=""region"",vlookup(REGEXEXTRACT(C549, ""🏘️ \w+ \w+ (.*) ✅""),'Region prepositions'!B:F, 5, 0),  REGEXEXTRACT(C549, ""🏘️ \w+ \w+ (.*) ✅""))))"),"Affoltern am Albis")</f>
        <v>Affoltern am Albis</v>
      </c>
      <c r="F549" s="2" t="str">
        <f>IFERROR(__xludf.DUMMYFUNCTION("REGEXEXTRACT(C549, ""🏘️ (\w+) \w+ .* ✅"")"),"Vendre")</f>
        <v>Vendre</v>
      </c>
      <c r="G549" s="2" t="str">
        <f>IFERROR(__xludf.DUMMYFUNCTION("REGEXEXTRACT(C549, ""🏘️ \w+ (\w+) .* ✅"")"),"appartement")</f>
        <v>appartement</v>
      </c>
      <c r="H549" s="4" t="str">
        <f>IFERROR(__xludf.DUMMYFUNCTION("REGEXEXTRACT(A549, ""/(\w+)-.*?"")"),"lieu")</f>
        <v>lieu</v>
      </c>
      <c r="I549" s="4" t="str">
        <f>IFERROR(__xludf.DUMMYFUNCTION("if(D549=""variant"",  substitute(filter(Templates!E:E, Templates!A:A = F549, Templates!B:B = G549, Templates!C:C = H549), ""{{}}"", E549), B549)"),"🏘  L’appartement de vos rêves se trouve sur ImmoScout24.ch ✅ Découvrez les dernières annonces de vente à Affoltern am Albis.")</f>
        <v>🏘  L’appartement de vos rêves se trouve sur ImmoScout24.ch ✅ Découvrez les dernières annonces de vente à Affoltern am Albis.</v>
      </c>
      <c r="J549" s="4" t="s">
        <v>1654</v>
      </c>
    </row>
    <row r="550">
      <c r="A550" s="5" t="s">
        <v>1655</v>
      </c>
      <c r="B550" s="2" t="s">
        <v>1656</v>
      </c>
      <c r="C550" s="4" t="str">
        <f>IFERROR(__xludf.DUMMYFUNCTION("""🏘️ ""&amp;REGEXEXTRACT(B550, ""^(.*): "")&amp;"" ✅ "" &amp;REGEXEXTRACT(B550, ""(Trouvez.*)"")"),"🏘️ Vendre appartement Laupen - Sense ✅ Trouvez le bien immobilier qui correspond idéalement à vos désirs sur ImmoScout24 - La plateforme de l'immobilier en Suisse.")</f>
        <v>🏘️ Vendre appartement Laupen - Sense ✅ Trouvez le bien immobilier qui correspond idéalement à vos désirs sur ImmoScout24 - La plateforme de l'immobilier en Suisse.</v>
      </c>
      <c r="D550" s="4" t="str">
        <f>vlookup(A550, Sheet2!D:E, 2, 0)</f>
        <v>variant</v>
      </c>
      <c r="E550" s="4" t="str">
        <f>IFERROR(__xludf.DUMMYFUNCTION("if(H550=""pays"",vlookup(REGEXEXTRACT(C550, ""🏘️ \w+ \w+ (.*) ✅""),'Country prepositions'!A:B, 2, 0) &amp; "" "" &amp; REGEXEXTRACT(C550, ""🏘️ \w+ \w+ (.*) ✅"") ,  if(H550=""quartier"",vlookup(REGEXEXTRACT(C550, ""🏘️ \w+ \w+ (.*) ✅""),'Quartier prepositions'!A"&amp;":E, 5, 0) ,  if(H550=""region"",vlookup(REGEXEXTRACT(C550, ""🏘️ \w+ \w+ (.*) ✅""),'Region prepositions'!B:F, 5, 0),  REGEXEXTRACT(C550, ""🏘️ \w+ \w+ (.*) ✅""))))"),"à Laupen")</f>
        <v>à Laupen</v>
      </c>
      <c r="F550" s="2" t="str">
        <f>IFERROR(__xludf.DUMMYFUNCTION("REGEXEXTRACT(C550, ""🏘️ (\w+) \w+ .* ✅"")"),"Vendre")</f>
        <v>Vendre</v>
      </c>
      <c r="G550" s="2" t="str">
        <f>IFERROR(__xludf.DUMMYFUNCTION("REGEXEXTRACT(C550, ""🏘️ \w+ (\w+) .* ✅"")"),"appartement")</f>
        <v>appartement</v>
      </c>
      <c r="H550" s="4" t="str">
        <f>IFERROR(__xludf.DUMMYFUNCTION("REGEXEXTRACT(A550, ""/(\w+)-.*?"")"),"region")</f>
        <v>region</v>
      </c>
      <c r="I550" s="4" t="str">
        <f>IFERROR(__xludf.DUMMYFUNCTION("if(D550=""variant"",  substitute(filter(Templates!E:E, Templates!A:A = F550, Templates!B:B = G550, Templates!C:C = H550), ""{{}}"", E550), B550)"),"🏘  L’appartement de vos rêves se trouve sur ImmoScout24.ch ✅ Découvrez les dernières annonces de vente à Laupen.")</f>
        <v>🏘  L’appartement de vos rêves se trouve sur ImmoScout24.ch ✅ Découvrez les dernières annonces de vente à Laupen.</v>
      </c>
      <c r="J550" s="4" t="s">
        <v>1657</v>
      </c>
    </row>
    <row r="551">
      <c r="A551" s="5" t="s">
        <v>1658</v>
      </c>
      <c r="B551" s="2" t="s">
        <v>1659</v>
      </c>
      <c r="C551" s="4" t="str">
        <f>IFERROR(__xludf.DUMMYFUNCTION("""🏘️ ""&amp;REGEXEXTRACT(B551, ""^(.*): "")&amp;"" ✅ "" &amp;REGEXEXTRACT(B551, ""(Trouvez.*)"")"),"🏘️ Louer maison Autigny ✅ Trouvez le bien immobilier qui correspond idéalement à vos désirs sur ImmoScout24 - La plateforme de l'immobilier en Suisse.")</f>
        <v>🏘️ Louer maison Autigny ✅ Trouvez le bien immobilier qui correspond idéalement à vos désirs sur ImmoScout24 - La plateforme de l'immobilier en Suisse.</v>
      </c>
      <c r="D551" s="4" t="str">
        <f>vlookup(A551, Sheet2!D:E, 2, 0)</f>
        <v>variant</v>
      </c>
      <c r="E551" s="4" t="str">
        <f>IFERROR(__xludf.DUMMYFUNCTION("if(H551=""pays"",vlookup(REGEXEXTRACT(C551, ""🏘️ \w+ \w+ (.*) ✅""),'Country prepositions'!A:B, 2, 0) &amp; "" "" &amp; REGEXEXTRACT(C551, ""🏘️ \w+ \w+ (.*) ✅"") ,  if(H551=""quartier"",vlookup(REGEXEXTRACT(C551, ""🏘️ \w+ \w+ (.*) ✅""),'Quartier prepositions'!A"&amp;":E, 5, 0) ,  if(H551=""region"",vlookup(REGEXEXTRACT(C551, ""🏘️ \w+ \w+ (.*) ✅""),'Region prepositions'!B:F, 5, 0),  REGEXEXTRACT(C551, ""🏘️ \w+ \w+ (.*) ✅""))))"),"Autigny")</f>
        <v>Autigny</v>
      </c>
      <c r="F551" s="2" t="str">
        <f>IFERROR(__xludf.DUMMYFUNCTION("REGEXEXTRACT(C551, ""🏘️ (\w+) \w+ .* ✅"")"),"Louer")</f>
        <v>Louer</v>
      </c>
      <c r="G551" s="2" t="str">
        <f>IFERROR(__xludf.DUMMYFUNCTION("REGEXEXTRACT(C551, ""🏘️ \w+ (\w+) .* ✅"")"),"maison")</f>
        <v>maison</v>
      </c>
      <c r="H551" s="4" t="str">
        <f>IFERROR(__xludf.DUMMYFUNCTION("REGEXEXTRACT(A551, ""/(\w+)-.*?"")"),"lieu")</f>
        <v>lieu</v>
      </c>
      <c r="I551" s="4" t="str">
        <f>IFERROR(__xludf.DUMMYFUNCTION("if(D551=""variant"",  substitute(filter(Templates!E:E, Templates!A:A = F551, Templates!B:B = G551, Templates!C:C = H551), ""{{}}"", E551), B551)"),"🏘  Vous cherchez une maison à louer à Autigny? ✅ Découvrez nos nombreuses annonces sur ImmoScout24.ch.")</f>
        <v>🏘  Vous cherchez une maison à louer à Autigny? ✅ Découvrez nos nombreuses annonces sur ImmoScout24.ch.</v>
      </c>
      <c r="J551" s="4" t="s">
        <v>1660</v>
      </c>
    </row>
    <row r="552">
      <c r="A552" s="5" t="s">
        <v>1661</v>
      </c>
      <c r="B552" s="2" t="s">
        <v>1662</v>
      </c>
      <c r="C552" s="4" t="str">
        <f>IFERROR(__xludf.DUMMYFUNCTION("""🏘️ ""&amp;REGEXEXTRACT(B552, ""^(.*): "")&amp;"" ✅ "" &amp;REGEXEXTRACT(B552, ""(Trouvez.*)"")"),"🏘️ Louer maison Oulens-sous-Echallens ✅ Trouvez le bien immobilier qui correspond idéalement à vos désirs sur ImmoScout24 - La plateforme de l'immobilier en Suisse.")</f>
        <v>🏘️ Louer maison Oulens-sous-Echallens ✅ Trouvez le bien immobilier qui correspond idéalement à vos désirs sur ImmoScout24 - La plateforme de l'immobilier en Suisse.</v>
      </c>
      <c r="D552" s="4" t="str">
        <f>vlookup(A552, Sheet2!D:E, 2, 0)</f>
        <v>variant</v>
      </c>
      <c r="E552" s="4" t="str">
        <f>IFERROR(__xludf.DUMMYFUNCTION("if(H552=""pays"",vlookup(REGEXEXTRACT(C552, ""🏘️ \w+ \w+ (.*) ✅""),'Country prepositions'!A:B, 2, 0) &amp; "" "" &amp; REGEXEXTRACT(C552, ""🏘️ \w+ \w+ (.*) ✅"") ,  if(H552=""quartier"",vlookup(REGEXEXTRACT(C552, ""🏘️ \w+ \w+ (.*) ✅""),'Quartier prepositions'!A"&amp;":E, 5, 0) ,  if(H552=""region"",vlookup(REGEXEXTRACT(C552, ""🏘️ \w+ \w+ (.*) ✅""),'Region prepositions'!B:F, 5, 0),  REGEXEXTRACT(C552, ""🏘️ \w+ \w+ (.*) ✅""))))"),"Oulens-sous-Echallens")</f>
        <v>Oulens-sous-Echallens</v>
      </c>
      <c r="F552" s="2" t="str">
        <f>IFERROR(__xludf.DUMMYFUNCTION("REGEXEXTRACT(C552, ""🏘️ (\w+) \w+ .* ✅"")"),"Louer")</f>
        <v>Louer</v>
      </c>
      <c r="G552" s="2" t="str">
        <f>IFERROR(__xludf.DUMMYFUNCTION("REGEXEXTRACT(C552, ""🏘️ \w+ (\w+) .* ✅"")"),"maison")</f>
        <v>maison</v>
      </c>
      <c r="H552" s="4" t="str">
        <f>IFERROR(__xludf.DUMMYFUNCTION("REGEXEXTRACT(A552, ""/(\w+)-.*?"")"),"lieu")</f>
        <v>lieu</v>
      </c>
      <c r="I552" s="4" t="str">
        <f>IFERROR(__xludf.DUMMYFUNCTION("if(D552=""variant"",  substitute(filter(Templates!E:E, Templates!A:A = F552, Templates!B:B = G552, Templates!C:C = H552), ""{{}}"", E552), B552)"),"🏘  Vous cherchez une maison à louer à Oulens-sous-Echallens? ✅ Découvrez nos nombreuses annonces sur ImmoScout24.ch.")</f>
        <v>🏘  Vous cherchez une maison à louer à Oulens-sous-Echallens? ✅ Découvrez nos nombreuses annonces sur ImmoScout24.ch.</v>
      </c>
      <c r="J552" s="4" t="s">
        <v>1663</v>
      </c>
    </row>
    <row r="553">
      <c r="A553" s="5" t="s">
        <v>1664</v>
      </c>
      <c r="B553" s="2" t="s">
        <v>1665</v>
      </c>
      <c r="C553" s="4" t="str">
        <f>IFERROR(__xludf.DUMMYFUNCTION("""🏘️ ""&amp;REGEXEXTRACT(B553, ""^(.*): "")&amp;"" ✅ "" &amp;REGEXEXTRACT(B553, ""(Trouvez.*)"")"),"🏘️ Vendre maison Unterengadin - Val Mustair ✅ Trouvez le bien immobilier qui correspond idéalement à vos désirs sur ImmoScout24 - La plateforme de l'immobilier en Suisse.")</f>
        <v>🏘️ Vendre maison Unterengadin - Val Mustair ✅ Trouvez le bien immobilier qui correspond idéalement à vos désirs sur ImmoScout24 - La plateforme de l'immobilier en Suisse.</v>
      </c>
      <c r="D553" s="4" t="str">
        <f>vlookup(A553, Sheet2!D:E, 2, 0)</f>
        <v>variant</v>
      </c>
      <c r="E553" s="4" t="str">
        <f>IFERROR(__xludf.DUMMYFUNCTION("if(H553=""pays"",vlookup(REGEXEXTRACT(C553, ""🏘️ \w+ \w+ (.*) ✅""),'Country prepositions'!A:B, 2, 0) &amp; "" "" &amp; REGEXEXTRACT(C553, ""🏘️ \w+ \w+ (.*) ✅"") ,  if(H553=""quartier"",vlookup(REGEXEXTRACT(C553, ""🏘️ \w+ \w+ (.*) ✅""),'Quartier prepositions'!A"&amp;":E, 5, 0) ,  if(H553=""region"",vlookup(REGEXEXTRACT(C553, ""🏘️ \w+ \w+ (.*) ✅""),'Region prepositions'!B:F, 5, 0),  REGEXEXTRACT(C553, ""🏘️ \w+ \w+ (.*) ✅""))))"),"en Basse-Engadine")</f>
        <v>en Basse-Engadine</v>
      </c>
      <c r="F553" s="2" t="str">
        <f>IFERROR(__xludf.DUMMYFUNCTION("REGEXEXTRACT(C553, ""🏘️ (\w+) \w+ .* ✅"")"),"Vendre")</f>
        <v>Vendre</v>
      </c>
      <c r="G553" s="2" t="str">
        <f>IFERROR(__xludf.DUMMYFUNCTION("REGEXEXTRACT(C553, ""🏘️ \w+ (\w+) .* ✅"")"),"maison")</f>
        <v>maison</v>
      </c>
      <c r="H553" s="4" t="str">
        <f>IFERROR(__xludf.DUMMYFUNCTION("REGEXEXTRACT(A553, ""/(\w+)-.*?"")"),"region")</f>
        <v>region</v>
      </c>
      <c r="I553" s="4" t="str">
        <f>IFERROR(__xludf.DUMMYFUNCTION("if(D553=""variant"",  substitute(filter(Templates!E:E, Templates!A:A = F553, Templates!B:B = G553, Templates!C:C = H553), ""{{}}"", E553), B553)"),"🏘  Vous souhaitez acheter une maison en Basse-Engadine? ✅ Jetez un œil aux dernières offres sur ImmoScout24.ch.")</f>
        <v>🏘  Vous souhaitez acheter une maison en Basse-Engadine? ✅ Jetez un œil aux dernières offres sur ImmoScout24.ch.</v>
      </c>
      <c r="J553" s="4" t="s">
        <v>1666</v>
      </c>
    </row>
    <row r="554">
      <c r="A554" s="5" t="s">
        <v>1667</v>
      </c>
      <c r="B554" s="2" t="s">
        <v>1668</v>
      </c>
      <c r="C554" s="4" t="str">
        <f>IFERROR(__xludf.DUMMYFUNCTION("""🏘️ ""&amp;REGEXEXTRACT(B554, ""^(.*): "")&amp;"" ✅ "" &amp;REGEXEXTRACT(B554, ""(Trouvez.*)"")"),"🏘️ Vendre maison Reiden ✅ Trouvez le bien immobilier qui correspond idéalement à vos désirs sur ImmoScout24 - La plateforme de l'immobilier en Suisse.")</f>
        <v>🏘️ Vendre maison Reiden ✅ Trouvez le bien immobilier qui correspond idéalement à vos désirs sur ImmoScout24 - La plateforme de l'immobilier en Suisse.</v>
      </c>
      <c r="D554" s="4" t="str">
        <f>vlookup(A554, Sheet2!D:E, 2, 0)</f>
        <v>variant</v>
      </c>
      <c r="E554" s="4" t="str">
        <f>IFERROR(__xludf.DUMMYFUNCTION("if(H554=""pays"",vlookup(REGEXEXTRACT(C554, ""🏘️ \w+ \w+ (.*) ✅""),'Country prepositions'!A:B, 2, 0) &amp; "" "" &amp; REGEXEXTRACT(C554, ""🏘️ \w+ \w+ (.*) ✅"") ,  if(H554=""quartier"",vlookup(REGEXEXTRACT(C554, ""🏘️ \w+ \w+ (.*) ✅""),'Quartier prepositions'!A"&amp;":E, 5, 0) ,  if(H554=""region"",vlookup(REGEXEXTRACT(C554, ""🏘️ \w+ \w+ (.*) ✅""),'Region prepositions'!B:F, 5, 0),  REGEXEXTRACT(C554, ""🏘️ \w+ \w+ (.*) ✅""))))"),"Reiden")</f>
        <v>Reiden</v>
      </c>
      <c r="F554" s="2" t="str">
        <f>IFERROR(__xludf.DUMMYFUNCTION("REGEXEXTRACT(C554, ""🏘️ (\w+) \w+ .* ✅"")"),"Vendre")</f>
        <v>Vendre</v>
      </c>
      <c r="G554" s="2" t="str">
        <f>IFERROR(__xludf.DUMMYFUNCTION("REGEXEXTRACT(C554, ""🏘️ \w+ (\w+) .* ✅"")"),"maison")</f>
        <v>maison</v>
      </c>
      <c r="H554" s="4" t="str">
        <f>IFERROR(__xludf.DUMMYFUNCTION("REGEXEXTRACT(A554, ""/(\w+)-.*?"")"),"lieu")</f>
        <v>lieu</v>
      </c>
      <c r="I554" s="4" t="str">
        <f>IFERROR(__xludf.DUMMYFUNCTION("if(D554=""variant"",  substitute(filter(Templates!E:E, Templates!A:A = F554, Templates!B:B = G554, Templates!C:C = H554), ""{{}}"", E554), B554)"),"🏘  Vous souhaitez acheter une maison à Reiden? ✅ Jetez un œil aux dernières offres sur ImmoScout24.ch.")</f>
        <v>🏘  Vous souhaitez acheter une maison à Reiden? ✅ Jetez un œil aux dernières offres sur ImmoScout24.ch.</v>
      </c>
      <c r="J554" s="4" t="s">
        <v>1669</v>
      </c>
    </row>
    <row r="555">
      <c r="A555" s="5" t="s">
        <v>1670</v>
      </c>
      <c r="B555" s="2" t="s">
        <v>1671</v>
      </c>
      <c r="C555" s="4" t="str">
        <f>IFERROR(__xludf.DUMMYFUNCTION("""🏘️ ""&amp;REGEXEXTRACT(B555, ""^(.*): "")&amp;"" ✅ "" &amp;REGEXEXTRACT(B555, ""(Trouvez.*)"")"),"🏘️ Louer appartement Gstaad ✅ Trouvez le bien immobilier qui correspond idéalement à vos désirs sur ImmoScout24 - La plateforme de l'immobilier en Suisse.")</f>
        <v>🏘️ Louer appartement Gstaad ✅ Trouvez le bien immobilier qui correspond idéalement à vos désirs sur ImmoScout24 - La plateforme de l'immobilier en Suisse.</v>
      </c>
      <c r="D555" s="4" t="str">
        <f>vlookup(A555, Sheet2!D:E, 2, 0)</f>
        <v>variant</v>
      </c>
      <c r="E555" s="4" t="str">
        <f>IFERROR(__xludf.DUMMYFUNCTION("if(H555=""pays"",vlookup(REGEXEXTRACT(C555, ""🏘️ \w+ \w+ (.*) ✅""),'Country prepositions'!A:B, 2, 0) &amp; "" "" &amp; REGEXEXTRACT(C555, ""🏘️ \w+ \w+ (.*) ✅"") ,  if(H555=""quartier"",vlookup(REGEXEXTRACT(C555, ""🏘️ \w+ \w+ (.*) ✅""),'Quartier prepositions'!A"&amp;":E, 5, 0) ,  if(H555=""region"",vlookup(REGEXEXTRACT(C555, ""🏘️ \w+ \w+ (.*) ✅""),'Region prepositions'!B:F, 5, 0),  REGEXEXTRACT(C555, ""🏘️ \w+ \w+ (.*) ✅""))))"),"Gstaad")</f>
        <v>Gstaad</v>
      </c>
      <c r="F555" s="2" t="str">
        <f>IFERROR(__xludf.DUMMYFUNCTION("REGEXEXTRACT(C555, ""🏘️ (\w+) \w+ .* ✅"")"),"Louer")</f>
        <v>Louer</v>
      </c>
      <c r="G555" s="2" t="str">
        <f>IFERROR(__xludf.DUMMYFUNCTION("REGEXEXTRACT(C555, ""🏘️ \w+ (\w+) .* ✅"")"),"appartement")</f>
        <v>appartement</v>
      </c>
      <c r="H555" s="4" t="str">
        <f>IFERROR(__xludf.DUMMYFUNCTION("REGEXEXTRACT(A555, ""/(\w+)-.*?"")"),"lieu")</f>
        <v>lieu</v>
      </c>
      <c r="I555" s="4" t="str">
        <f>IFERROR(__xludf.DUMMYFUNCTION("if(D555=""variant"",  substitute(filter(Templates!E:E, Templates!A:A = F555, Templates!B:B = G555, Templates!C:C = H555), ""{{}}"", E555), B555)"),"🏘  Vous cherchez un appartement à louer à Gstaad? ✅ Les annonces les plus actuelles sont sur ImmoScout24.ch.")</f>
        <v>🏘  Vous cherchez un appartement à louer à Gstaad? ✅ Les annonces les plus actuelles sont sur ImmoScout24.ch.</v>
      </c>
      <c r="J555" s="4" t="s">
        <v>1672</v>
      </c>
    </row>
    <row r="556">
      <c r="A556" s="5" t="s">
        <v>1673</v>
      </c>
      <c r="B556" s="2" t="s">
        <v>1674</v>
      </c>
      <c r="C556" s="4" t="str">
        <f>IFERROR(__xludf.DUMMYFUNCTION("""🏘️ ""&amp;REGEXEXTRACT(B556, ""^(.*): "")&amp;"" ✅ "" &amp;REGEXEXTRACT(B556, ""(Trouvez.*)"")"),"🏘️ Vendre appartement Mont-sur-Rolle ✅ Trouvez le bien immobilier qui correspond idéalement à vos désirs sur ImmoScout24 - La plateforme de l'immobilier en Suisse.")</f>
        <v>🏘️ Vendre appartement Mont-sur-Rolle ✅ Trouvez le bien immobilier qui correspond idéalement à vos désirs sur ImmoScout24 - La plateforme de l'immobilier en Suisse.</v>
      </c>
      <c r="D556" s="4" t="str">
        <f>vlookup(A556, Sheet2!D:E, 2, 0)</f>
        <v>variant</v>
      </c>
      <c r="E556" s="4" t="str">
        <f>IFERROR(__xludf.DUMMYFUNCTION("if(H556=""pays"",vlookup(REGEXEXTRACT(C556, ""🏘️ \w+ \w+ (.*) ✅""),'Country prepositions'!A:B, 2, 0) &amp; "" "" &amp; REGEXEXTRACT(C556, ""🏘️ \w+ \w+ (.*) ✅"") ,  if(H556=""quartier"",vlookup(REGEXEXTRACT(C556, ""🏘️ \w+ \w+ (.*) ✅""),'Quartier prepositions'!A"&amp;":E, 5, 0) ,  if(H556=""region"",vlookup(REGEXEXTRACT(C556, ""🏘️ \w+ \w+ (.*) ✅""),'Region prepositions'!B:F, 5, 0),  REGEXEXTRACT(C556, ""🏘️ \w+ \w+ (.*) ✅""))))"),"Mont-sur-Rolle")</f>
        <v>Mont-sur-Rolle</v>
      </c>
      <c r="F556" s="2" t="str">
        <f>IFERROR(__xludf.DUMMYFUNCTION("REGEXEXTRACT(C556, ""🏘️ (\w+) \w+ .* ✅"")"),"Vendre")</f>
        <v>Vendre</v>
      </c>
      <c r="G556" s="2" t="str">
        <f>IFERROR(__xludf.DUMMYFUNCTION("REGEXEXTRACT(C556, ""🏘️ \w+ (\w+) .* ✅"")"),"appartement")</f>
        <v>appartement</v>
      </c>
      <c r="H556" s="4" t="str">
        <f>IFERROR(__xludf.DUMMYFUNCTION("REGEXEXTRACT(A556, ""/(\w+)-.*?"")"),"lieu")</f>
        <v>lieu</v>
      </c>
      <c r="I556" s="4" t="str">
        <f>IFERROR(__xludf.DUMMYFUNCTION("if(D556=""variant"",  substitute(filter(Templates!E:E, Templates!A:A = F556, Templates!B:B = G556, Templates!C:C = H556), ""{{}}"", E556), B556)"),"🏘  L’appartement de vos rêves se trouve sur ImmoScout24.ch ✅ Découvrez les dernières annonces de vente à Mont-sur-Rolle.")</f>
        <v>🏘  L’appartement de vos rêves se trouve sur ImmoScout24.ch ✅ Découvrez les dernières annonces de vente à Mont-sur-Rolle.</v>
      </c>
      <c r="J556" s="4" t="s">
        <v>1675</v>
      </c>
    </row>
    <row r="557">
      <c r="A557" s="5" t="s">
        <v>1676</v>
      </c>
      <c r="B557" s="2" t="s">
        <v>1677</v>
      </c>
      <c r="C557" s="4" t="str">
        <f>IFERROR(__xludf.DUMMYFUNCTION("""🏘️ ""&amp;REGEXEXTRACT(B557, ""^(.*): "")&amp;"" ✅ "" &amp;REGEXEXTRACT(B557, ""(Trouvez.*)"")"),"🏘️ Vendre maison Krattigen ✅ Trouvez le bien immobilier qui correspond idéalement à vos désirs sur ImmoScout24 - La plateforme de l'immobilier en Suisse.")</f>
        <v>🏘️ Vendre maison Krattigen ✅ Trouvez le bien immobilier qui correspond idéalement à vos désirs sur ImmoScout24 - La plateforme de l'immobilier en Suisse.</v>
      </c>
      <c r="D557" s="4" t="str">
        <f>vlookup(A557, Sheet2!D:E, 2, 0)</f>
        <v>variant</v>
      </c>
      <c r="E557" s="4" t="str">
        <f>IFERROR(__xludf.DUMMYFUNCTION("if(H557=""pays"",vlookup(REGEXEXTRACT(C557, ""🏘️ \w+ \w+ (.*) ✅""),'Country prepositions'!A:B, 2, 0) &amp; "" "" &amp; REGEXEXTRACT(C557, ""🏘️ \w+ \w+ (.*) ✅"") ,  if(H557=""quartier"",vlookup(REGEXEXTRACT(C557, ""🏘️ \w+ \w+ (.*) ✅""),'Quartier prepositions'!A"&amp;":E, 5, 0) ,  if(H557=""region"",vlookup(REGEXEXTRACT(C557, ""🏘️ \w+ \w+ (.*) ✅""),'Region prepositions'!B:F, 5, 0),  REGEXEXTRACT(C557, ""🏘️ \w+ \w+ (.*) ✅""))))"),"Krattigen")</f>
        <v>Krattigen</v>
      </c>
      <c r="F557" s="2" t="str">
        <f>IFERROR(__xludf.DUMMYFUNCTION("REGEXEXTRACT(C557, ""🏘️ (\w+) \w+ .* ✅"")"),"Vendre")</f>
        <v>Vendre</v>
      </c>
      <c r="G557" s="2" t="str">
        <f>IFERROR(__xludf.DUMMYFUNCTION("REGEXEXTRACT(C557, ""🏘️ \w+ (\w+) .* ✅"")"),"maison")</f>
        <v>maison</v>
      </c>
      <c r="H557" s="4" t="str">
        <f>IFERROR(__xludf.DUMMYFUNCTION("REGEXEXTRACT(A557, ""/(\w+)-.*?"")"),"lieu")</f>
        <v>lieu</v>
      </c>
      <c r="I557" s="4" t="str">
        <f>IFERROR(__xludf.DUMMYFUNCTION("if(D557=""variant"",  substitute(filter(Templates!E:E, Templates!A:A = F557, Templates!B:B = G557, Templates!C:C = H557), ""{{}}"", E557), B557)"),"🏘  Vous souhaitez acheter une maison à Krattigen? ✅ Jetez un œil aux dernières offres sur ImmoScout24.ch.")</f>
        <v>🏘  Vous souhaitez acheter une maison à Krattigen? ✅ Jetez un œil aux dernières offres sur ImmoScout24.ch.</v>
      </c>
      <c r="J557" s="4" t="s">
        <v>1678</v>
      </c>
    </row>
    <row r="558">
      <c r="A558" s="5" t="s">
        <v>1679</v>
      </c>
      <c r="B558" s="2" t="s">
        <v>1680</v>
      </c>
      <c r="C558" s="4" t="str">
        <f>IFERROR(__xludf.DUMMYFUNCTION("""🏘️ ""&amp;REGEXEXTRACT(B558, ""^(.*): "")&amp;"" ✅ "" &amp;REGEXEXTRACT(B558, ""(Trouvez.*)"")"),"🏘️ Vendre appartement Appenzell et environs ✅ Trouvez le bien immobilier qui correspond idéalement à vos désirs sur ImmoScout24 - La plateforme de l'immobilier en Suisse.")</f>
        <v>🏘️ Vendre appartement Appenzell et environs ✅ Trouvez le bien immobilier qui correspond idéalement à vos désirs sur ImmoScout24 - La plateforme de l'immobilier en Suisse.</v>
      </c>
      <c r="D558" s="4" t="str">
        <f>vlookup(A558, Sheet2!D:E, 2, 0)</f>
        <v>variant</v>
      </c>
      <c r="E558" s="4" t="str">
        <f>IFERROR(__xludf.DUMMYFUNCTION("if(H558=""pays"",vlookup(REGEXEXTRACT(C558, ""🏘️ \w+ \w+ (.*) ✅""),'Country prepositions'!A:B, 2, 0) &amp; "" "" &amp; REGEXEXTRACT(C558, ""🏘️ \w+ \w+ (.*) ✅"") ,  if(H558=""quartier"",vlookup(REGEXEXTRACT(C558, ""🏘️ \w+ \w+ (.*) ✅""),'Quartier prepositions'!A"&amp;":E, 5, 0) ,  if(H558=""region"",vlookup(REGEXEXTRACT(C558, ""🏘️ \w+ \w+ (.*) ✅""),'Region prepositions'!B:F, 5, 0),  REGEXEXTRACT(C558, ""🏘️ \w+ \w+ (.*) ✅""))))"),"à Appenzell et environs")</f>
        <v>à Appenzell et environs</v>
      </c>
      <c r="F558" s="2" t="str">
        <f>IFERROR(__xludf.DUMMYFUNCTION("REGEXEXTRACT(C558, ""🏘️ (\w+) \w+ .* ✅"")"),"Vendre")</f>
        <v>Vendre</v>
      </c>
      <c r="G558" s="2" t="str">
        <f>IFERROR(__xludf.DUMMYFUNCTION("REGEXEXTRACT(C558, ""🏘️ \w+ (\w+) .* ✅"")"),"appartement")</f>
        <v>appartement</v>
      </c>
      <c r="H558" s="4" t="str">
        <f>IFERROR(__xludf.DUMMYFUNCTION("REGEXEXTRACT(A558, ""/(\w+)-.*?"")"),"region")</f>
        <v>region</v>
      </c>
      <c r="I558" s="4" t="str">
        <f>IFERROR(__xludf.DUMMYFUNCTION("if(D558=""variant"",  substitute(filter(Templates!E:E, Templates!A:A = F558, Templates!B:B = G558, Templates!C:C = H558), ""{{}}"", E558), B558)"),"🏘  L’appartement de vos rêves se trouve sur ImmoScout24.ch ✅ Découvrez les dernières annonces de vente à Appenzell et environs.")</f>
        <v>🏘  L’appartement de vos rêves se trouve sur ImmoScout24.ch ✅ Découvrez les dernières annonces de vente à Appenzell et environs.</v>
      </c>
      <c r="J558" s="4" t="s">
        <v>1681</v>
      </c>
    </row>
    <row r="559">
      <c r="A559" s="5" t="s">
        <v>1682</v>
      </c>
      <c r="B559" s="2" t="s">
        <v>1683</v>
      </c>
      <c r="C559" s="4" t="str">
        <f>IFERROR(__xludf.DUMMYFUNCTION("""🏘️ ""&amp;REGEXEXTRACT(B559, ""^(.*): "")&amp;"" ✅ "" &amp;REGEXEXTRACT(B559, ""(Trouvez.*)"")"),"🏘️ Vendre appartement Frutigen ✅ Trouvez le bien immobilier qui correspond idéalement à vos désirs sur ImmoScout24 - La plateforme de l'immobilier en Suisse.")</f>
        <v>🏘️ Vendre appartement Frutigen ✅ Trouvez le bien immobilier qui correspond idéalement à vos désirs sur ImmoScout24 - La plateforme de l'immobilier en Suisse.</v>
      </c>
      <c r="D559" s="4" t="str">
        <f>vlookup(A559, Sheet2!D:E, 2, 0)</f>
        <v>variant</v>
      </c>
      <c r="E559" s="4" t="str">
        <f>IFERROR(__xludf.DUMMYFUNCTION("if(H559=""pays"",vlookup(REGEXEXTRACT(C559, ""🏘️ \w+ \w+ (.*) ✅""),'Country prepositions'!A:B, 2, 0) &amp; "" "" &amp; REGEXEXTRACT(C559, ""🏘️ \w+ \w+ (.*) ✅"") ,  if(H559=""quartier"",vlookup(REGEXEXTRACT(C559, ""🏘️ \w+ \w+ (.*) ✅""),'Quartier prepositions'!A"&amp;":E, 5, 0) ,  if(H559=""region"",vlookup(REGEXEXTRACT(C559, ""🏘️ \w+ \w+ (.*) ✅""),'Region prepositions'!B:F, 5, 0),  REGEXEXTRACT(C559, ""🏘️ \w+ \w+ (.*) ✅""))))"),"Frutigen")</f>
        <v>Frutigen</v>
      </c>
      <c r="F559" s="2" t="str">
        <f>IFERROR(__xludf.DUMMYFUNCTION("REGEXEXTRACT(C559, ""🏘️ (\w+) \w+ .* ✅"")"),"Vendre")</f>
        <v>Vendre</v>
      </c>
      <c r="G559" s="2" t="str">
        <f>IFERROR(__xludf.DUMMYFUNCTION("REGEXEXTRACT(C559, ""🏘️ \w+ (\w+) .* ✅"")"),"appartement")</f>
        <v>appartement</v>
      </c>
      <c r="H559" s="4" t="str">
        <f>IFERROR(__xludf.DUMMYFUNCTION("REGEXEXTRACT(A559, ""/(\w+)-.*?"")"),"lieu")</f>
        <v>lieu</v>
      </c>
      <c r="I559" s="4" t="str">
        <f>IFERROR(__xludf.DUMMYFUNCTION("if(D559=""variant"",  substitute(filter(Templates!E:E, Templates!A:A = F559, Templates!B:B = G559, Templates!C:C = H559), ""{{}}"", E559), B559)"),"🏘  L’appartement de vos rêves se trouve sur ImmoScout24.ch ✅ Découvrez les dernières annonces de vente à Frutigen.")</f>
        <v>🏘  L’appartement de vos rêves se trouve sur ImmoScout24.ch ✅ Découvrez les dernières annonces de vente à Frutigen.</v>
      </c>
      <c r="J559" s="4" t="s">
        <v>1684</v>
      </c>
    </row>
    <row r="560">
      <c r="A560" s="5" t="s">
        <v>1685</v>
      </c>
      <c r="B560" s="2" t="s">
        <v>1686</v>
      </c>
      <c r="C560" s="4" t="str">
        <f>IFERROR(__xludf.DUMMYFUNCTION("""🏘️ ""&amp;REGEXEXTRACT(B560, ""^(.*): "")&amp;"" ✅ "" &amp;REGEXEXTRACT(B560, ""(Trouvez.*)"")"),"🏘️ Louer maison Sallaz - Vennes - Séchaud (Lausanne) ✅ Trouvez le bien immobilier qui correspond idéalement à vos désirs sur ImmoScout24 - La plateforme de l'immobilier en Suisse.")</f>
        <v>🏘️ Louer maison Sallaz - Vennes - Séchaud (Lausanne) ✅ Trouvez le bien immobilier qui correspond idéalement à vos désirs sur ImmoScout24 - La plateforme de l'immobilier en Suisse.</v>
      </c>
      <c r="D560" s="4" t="str">
        <f>vlookup(A560, Sheet2!D:E, 2, 0)</f>
        <v>variant</v>
      </c>
      <c r="E560" s="4" t="str">
        <f>IFERROR(__xludf.DUMMYFUNCTION("if(H560=""pays"",vlookup(REGEXEXTRACT(C560, ""🏘️ \w+ \w+ (.*) ✅""),'Country prepositions'!A:B, 2, 0) &amp; "" "" &amp; REGEXEXTRACT(C560, ""🏘️ \w+ \w+ (.*) ✅"") ,  if(H560=""quartier"",vlookup(REGEXEXTRACT(C560, ""🏘️ \w+ \w+ (.*) ✅""),'Quartier prepositions'!A"&amp;":E, 5, 0) ,  if(H560=""region"",vlookup(REGEXEXTRACT(C560, ""🏘️ \w+ \w+ (.*) ✅""),'Region prepositions'!B:F, 5, 0),  REGEXEXTRACT(C560, ""🏘️ \w+ \w+ (.*) ✅""))))"),"dans le quartier de Sallaz - Vennes - Séchaud (Lausanne)")</f>
        <v>dans le quartier de Sallaz - Vennes - Séchaud (Lausanne)</v>
      </c>
      <c r="F560" s="2" t="str">
        <f>IFERROR(__xludf.DUMMYFUNCTION("REGEXEXTRACT(C560, ""🏘️ (\w+) \w+ .* ✅"")"),"Louer")</f>
        <v>Louer</v>
      </c>
      <c r="G560" s="2" t="str">
        <f>IFERROR(__xludf.DUMMYFUNCTION("REGEXEXTRACT(C560, ""🏘️ \w+ (\w+) .* ✅"")"),"maison")</f>
        <v>maison</v>
      </c>
      <c r="H560" s="4" t="str">
        <f>IFERROR(__xludf.DUMMYFUNCTION("REGEXEXTRACT(A560, ""/(\w+)-.*?"")"),"quartier")</f>
        <v>quartier</v>
      </c>
      <c r="I560" s="4" t="str">
        <f>IFERROR(__xludf.DUMMYFUNCTION("if(D560=""variant"",  substitute(filter(Templates!E:E, Templates!A:A = F560, Templates!B:B = G560, Templates!C:C = H560), ""{{}}"", E560), B560)"),"🏘  Vous cherchez une maison à louer dans le quartier de Sallaz - Vennes - Séchaud (Lausanne)? ✅ Découvrez nos nombreuses annonces sur ImmoScout24.ch.")</f>
        <v>🏘  Vous cherchez une maison à louer dans le quartier de Sallaz - Vennes - Séchaud (Lausanne)? ✅ Découvrez nos nombreuses annonces sur ImmoScout24.ch.</v>
      </c>
      <c r="J560" s="4" t="s">
        <v>1687</v>
      </c>
    </row>
    <row r="561">
      <c r="A561" s="5" t="s">
        <v>1688</v>
      </c>
      <c r="B561" s="2" t="s">
        <v>1689</v>
      </c>
      <c r="C561" s="4" t="str">
        <f>IFERROR(__xludf.DUMMYFUNCTION("""🏘️ ""&amp;REGEXEXTRACT(B561, ""^(.*): "")&amp;"" ✅ "" &amp;REGEXEXTRACT(B561, ""(Trouvez.*)"")"),"🏘️ Vendre maison Vacallo ✅ Trouvez le bien immobilier qui correspond idéalement à vos désirs sur ImmoScout24 - La plateforme de l'immobilier en Suisse.")</f>
        <v>🏘️ Vendre maison Vacallo ✅ Trouvez le bien immobilier qui correspond idéalement à vos désirs sur ImmoScout24 - La plateforme de l'immobilier en Suisse.</v>
      </c>
      <c r="D561" s="4" t="str">
        <f>vlookup(A561, Sheet2!D:E, 2, 0)</f>
        <v>variant</v>
      </c>
      <c r="E561" s="4" t="str">
        <f>IFERROR(__xludf.DUMMYFUNCTION("if(H561=""pays"",vlookup(REGEXEXTRACT(C561, ""🏘️ \w+ \w+ (.*) ✅""),'Country prepositions'!A:B, 2, 0) &amp; "" "" &amp; REGEXEXTRACT(C561, ""🏘️ \w+ \w+ (.*) ✅"") ,  if(H561=""quartier"",vlookup(REGEXEXTRACT(C561, ""🏘️ \w+ \w+ (.*) ✅""),'Quartier prepositions'!A"&amp;":E, 5, 0) ,  if(H561=""region"",vlookup(REGEXEXTRACT(C561, ""🏘️ \w+ \w+ (.*) ✅""),'Region prepositions'!B:F, 5, 0),  REGEXEXTRACT(C561, ""🏘️ \w+ \w+ (.*) ✅""))))"),"Vacallo")</f>
        <v>Vacallo</v>
      </c>
      <c r="F561" s="2" t="str">
        <f>IFERROR(__xludf.DUMMYFUNCTION("REGEXEXTRACT(C561, ""🏘️ (\w+) \w+ .* ✅"")"),"Vendre")</f>
        <v>Vendre</v>
      </c>
      <c r="G561" s="2" t="str">
        <f>IFERROR(__xludf.DUMMYFUNCTION("REGEXEXTRACT(C561, ""🏘️ \w+ (\w+) .* ✅"")"),"maison")</f>
        <v>maison</v>
      </c>
      <c r="H561" s="4" t="str">
        <f>IFERROR(__xludf.DUMMYFUNCTION("REGEXEXTRACT(A561, ""/(\w+)-.*?"")"),"lieu")</f>
        <v>lieu</v>
      </c>
      <c r="I561" s="4" t="str">
        <f>IFERROR(__xludf.DUMMYFUNCTION("if(D561=""variant"",  substitute(filter(Templates!E:E, Templates!A:A = F561, Templates!B:B = G561, Templates!C:C = H561), ""{{}}"", E561), B561)"),"🏘  Vous souhaitez acheter une maison à Vacallo? ✅ Jetez un œil aux dernières offres sur ImmoScout24.ch.")</f>
        <v>🏘  Vous souhaitez acheter une maison à Vacallo? ✅ Jetez un œil aux dernières offres sur ImmoScout24.ch.</v>
      </c>
      <c r="J561" s="4" t="s">
        <v>1690</v>
      </c>
    </row>
    <row r="562">
      <c r="A562" s="5" t="s">
        <v>1691</v>
      </c>
      <c r="B562" s="2" t="s">
        <v>1692</v>
      </c>
      <c r="C562" s="4" t="str">
        <f>IFERROR(__xludf.DUMMYFUNCTION("""🏘️ ""&amp;REGEXEXTRACT(B562, ""^(.*): "")&amp;"" ✅ "" &amp;REGEXEXTRACT(B562, ""(Trouvez.*)"")"),"🏘️ Vendre appartement Pully ✅ Trouvez le bien immobilier qui correspond idéalement à vos désirs sur ImmoScout24 - La plateforme de l'immobilier en Suisse.")</f>
        <v>🏘️ Vendre appartement Pully ✅ Trouvez le bien immobilier qui correspond idéalement à vos désirs sur ImmoScout24 - La plateforme de l'immobilier en Suisse.</v>
      </c>
      <c r="D562" s="4" t="str">
        <f>vlookup(A562, Sheet2!D:E, 2, 0)</f>
        <v>variant</v>
      </c>
      <c r="E562" s="4" t="str">
        <f>IFERROR(__xludf.DUMMYFUNCTION("if(H562=""pays"",vlookup(REGEXEXTRACT(C562, ""🏘️ \w+ \w+ (.*) ✅""),'Country prepositions'!A:B, 2, 0) &amp; "" "" &amp; REGEXEXTRACT(C562, ""🏘️ \w+ \w+ (.*) ✅"") ,  if(H562=""quartier"",vlookup(REGEXEXTRACT(C562, ""🏘️ \w+ \w+ (.*) ✅""),'Quartier prepositions'!A"&amp;":E, 5, 0) ,  if(H562=""region"",vlookup(REGEXEXTRACT(C562, ""🏘️ \w+ \w+ (.*) ✅""),'Region prepositions'!B:F, 5, 0),  REGEXEXTRACT(C562, ""🏘️ \w+ \w+ (.*) ✅""))))"),"Pully")</f>
        <v>Pully</v>
      </c>
      <c r="F562" s="2" t="str">
        <f>IFERROR(__xludf.DUMMYFUNCTION("REGEXEXTRACT(C562, ""🏘️ (\w+) \w+ .* ✅"")"),"Vendre")</f>
        <v>Vendre</v>
      </c>
      <c r="G562" s="2" t="str">
        <f>IFERROR(__xludf.DUMMYFUNCTION("REGEXEXTRACT(C562, ""🏘️ \w+ (\w+) .* ✅"")"),"appartement")</f>
        <v>appartement</v>
      </c>
      <c r="H562" s="4" t="str">
        <f>IFERROR(__xludf.DUMMYFUNCTION("REGEXEXTRACT(A562, ""/(\w+)-.*?"")"),"lieu")</f>
        <v>lieu</v>
      </c>
      <c r="I562" s="4" t="str">
        <f>IFERROR(__xludf.DUMMYFUNCTION("if(D562=""variant"",  substitute(filter(Templates!E:E, Templates!A:A = F562, Templates!B:B = G562, Templates!C:C = H562), ""{{}}"", E562), B562)"),"🏘  L’appartement de vos rêves se trouve sur ImmoScout24.ch ✅ Découvrez les dernières annonces de vente à Pully.")</f>
        <v>🏘  L’appartement de vos rêves se trouve sur ImmoScout24.ch ✅ Découvrez les dernières annonces de vente à Pully.</v>
      </c>
      <c r="J562" s="4" t="s">
        <v>1693</v>
      </c>
    </row>
    <row r="563">
      <c r="A563" s="5" t="s">
        <v>1694</v>
      </c>
      <c r="B563" s="2" t="s">
        <v>1695</v>
      </c>
      <c r="C563" s="4" t="str">
        <f>IFERROR(__xludf.DUMMYFUNCTION("""🏘️ ""&amp;REGEXEXTRACT(B563, ""^(.*): "")&amp;"" ✅ "" &amp;REGEXEXTRACT(B563, ""(Trouvez.*)"")"),"🏘️ Vendre maison Speicher ✅ Trouvez le bien immobilier qui correspond idéalement à vos désirs sur ImmoScout24 - La plateforme de l'immobilier en Suisse.")</f>
        <v>🏘️ Vendre maison Speicher ✅ Trouvez le bien immobilier qui correspond idéalement à vos désirs sur ImmoScout24 - La plateforme de l'immobilier en Suisse.</v>
      </c>
      <c r="D563" s="4" t="str">
        <f>vlookup(A563, Sheet2!D:E, 2, 0)</f>
        <v>variant</v>
      </c>
      <c r="E563" s="4" t="str">
        <f>IFERROR(__xludf.DUMMYFUNCTION("if(H563=""pays"",vlookup(REGEXEXTRACT(C563, ""🏘️ \w+ \w+ (.*) ✅""),'Country prepositions'!A:B, 2, 0) &amp; "" "" &amp; REGEXEXTRACT(C563, ""🏘️ \w+ \w+ (.*) ✅"") ,  if(H563=""quartier"",vlookup(REGEXEXTRACT(C563, ""🏘️ \w+ \w+ (.*) ✅""),'Quartier prepositions'!A"&amp;":E, 5, 0) ,  if(H563=""region"",vlookup(REGEXEXTRACT(C563, ""🏘️ \w+ \w+ (.*) ✅""),'Region prepositions'!B:F, 5, 0),  REGEXEXTRACT(C563, ""🏘️ \w+ \w+ (.*) ✅""))))"),"Speicher")</f>
        <v>Speicher</v>
      </c>
      <c r="F563" s="2" t="str">
        <f>IFERROR(__xludf.DUMMYFUNCTION("REGEXEXTRACT(C563, ""🏘️ (\w+) \w+ .* ✅"")"),"Vendre")</f>
        <v>Vendre</v>
      </c>
      <c r="G563" s="2" t="str">
        <f>IFERROR(__xludf.DUMMYFUNCTION("REGEXEXTRACT(C563, ""🏘️ \w+ (\w+) .* ✅"")"),"maison")</f>
        <v>maison</v>
      </c>
      <c r="H563" s="4" t="str">
        <f>IFERROR(__xludf.DUMMYFUNCTION("REGEXEXTRACT(A563, ""/(\w+)-.*?"")"),"lieu")</f>
        <v>lieu</v>
      </c>
      <c r="I563" s="4" t="str">
        <f>IFERROR(__xludf.DUMMYFUNCTION("if(D563=""variant"",  substitute(filter(Templates!E:E, Templates!A:A = F563, Templates!B:B = G563, Templates!C:C = H563), ""{{}}"", E563), B563)"),"🏘  Vous souhaitez acheter une maison à Speicher? ✅ Jetez un œil aux dernières offres sur ImmoScout24.ch.")</f>
        <v>🏘  Vous souhaitez acheter une maison à Speicher? ✅ Jetez un œil aux dernières offres sur ImmoScout24.ch.</v>
      </c>
      <c r="J563" s="4" t="s">
        <v>1696</v>
      </c>
    </row>
    <row r="564">
      <c r="A564" s="5" t="s">
        <v>1697</v>
      </c>
      <c r="B564" s="2" t="s">
        <v>1698</v>
      </c>
      <c r="C564" s="4" t="str">
        <f>IFERROR(__xludf.DUMMYFUNCTION("""🏘️ ""&amp;REGEXEXTRACT(B564, ""^(.*): "")&amp;"" ✅ "" &amp;REGEXEXTRACT(B564, ""(Trouvez.*)"")"),"🏘️ Vendre maison Les Monts-de-Corsier ✅ Trouvez le bien immobilier qui correspond idéalement à vos désirs sur ImmoScout24 - La plateforme de l'immobilier en Suisse.")</f>
        <v>🏘️ Vendre maison Les Monts-de-Corsier ✅ Trouvez le bien immobilier qui correspond idéalement à vos désirs sur ImmoScout24 - La plateforme de l'immobilier en Suisse.</v>
      </c>
      <c r="D564" s="4" t="str">
        <f>vlookup(A564, Sheet2!D:E, 2, 0)</f>
        <v>variant</v>
      </c>
      <c r="E564" s="4" t="str">
        <f>IFERROR(__xludf.DUMMYFUNCTION("if(H564=""pays"",vlookup(REGEXEXTRACT(C564, ""🏘️ \w+ \w+ (.*) ✅""),'Country prepositions'!A:B, 2, 0) &amp; "" "" &amp; REGEXEXTRACT(C564, ""🏘️ \w+ \w+ (.*) ✅"") ,  if(H564=""quartier"",vlookup(REGEXEXTRACT(C564, ""🏘️ \w+ \w+ (.*) ✅""),'Quartier prepositions'!A"&amp;":E, 5, 0) ,  if(H564=""region"",vlookup(REGEXEXTRACT(C564, ""🏘️ \w+ \w+ (.*) ✅""),'Region prepositions'!B:F, 5, 0),  REGEXEXTRACT(C564, ""🏘️ \w+ \w+ (.*) ✅""))))"),"Les Monts-de-Corsier")</f>
        <v>Les Monts-de-Corsier</v>
      </c>
      <c r="F564" s="2" t="str">
        <f>IFERROR(__xludf.DUMMYFUNCTION("REGEXEXTRACT(C564, ""🏘️ (\w+) \w+ .* ✅"")"),"Vendre")</f>
        <v>Vendre</v>
      </c>
      <c r="G564" s="2" t="str">
        <f>IFERROR(__xludf.DUMMYFUNCTION("REGEXEXTRACT(C564, ""🏘️ \w+ (\w+) .* ✅"")"),"maison")</f>
        <v>maison</v>
      </c>
      <c r="H564" s="4" t="str">
        <f>IFERROR(__xludf.DUMMYFUNCTION("REGEXEXTRACT(A564, ""/(\w+)-.*?"")"),"lieu")</f>
        <v>lieu</v>
      </c>
      <c r="I564" s="8" t="str">
        <f>IFERROR(__xludf.DUMMYFUNCTION("if(D564=""variant"",  substitute(filter(Templates!E:E, Templates!A:A = F564, Templates!B:B = G564, Templates!C:C = H564), ""{{}}"", E564), B564)"),"🏘  Vous souhaitez acheter une maison à Les Monts-de-Corsier? ✅ Jetez un œil aux dernières offres sur ImmoScout24.ch.")</f>
        <v>🏘  Vous souhaitez acheter une maison à Les Monts-de-Corsier? ✅ Jetez un œil aux dernières offres sur ImmoScout24.ch.</v>
      </c>
      <c r="J564" s="2" t="s">
        <v>1699</v>
      </c>
    </row>
    <row r="565">
      <c r="A565" s="5" t="s">
        <v>1700</v>
      </c>
      <c r="B565" s="2" t="s">
        <v>1701</v>
      </c>
      <c r="C565" s="4" t="str">
        <f>IFERROR(__xludf.DUMMYFUNCTION("""🏘️ ""&amp;REGEXEXTRACT(B565, ""^(.*): "")&amp;"" ✅ "" &amp;REGEXEXTRACT(B565, ""(Trouvez.*)"")"),"🏘️ Louer appartement Gland ✅ Trouvez le bien immobilier qui correspond idéalement à vos désirs sur ImmoScout24 - La plateforme de l'immobilier en Suisse.")</f>
        <v>🏘️ Louer appartement Gland ✅ Trouvez le bien immobilier qui correspond idéalement à vos désirs sur ImmoScout24 - La plateforme de l'immobilier en Suisse.</v>
      </c>
      <c r="D565" s="4" t="str">
        <f>vlookup(A565, Sheet2!D:E, 2, 0)</f>
        <v>variant</v>
      </c>
      <c r="E565" s="4" t="str">
        <f>IFERROR(__xludf.DUMMYFUNCTION("if(H565=""pays"",vlookup(REGEXEXTRACT(C565, ""🏘️ \w+ \w+ (.*) ✅""),'Country prepositions'!A:B, 2, 0) &amp; "" "" &amp; REGEXEXTRACT(C565, ""🏘️ \w+ \w+ (.*) ✅"") ,  if(H565=""quartier"",vlookup(REGEXEXTRACT(C565, ""🏘️ \w+ \w+ (.*) ✅""),'Quartier prepositions'!A"&amp;":E, 5, 0) ,  if(H565=""region"",vlookup(REGEXEXTRACT(C565, ""🏘️ \w+ \w+ (.*) ✅""),'Region prepositions'!B:F, 5, 0),  REGEXEXTRACT(C565, ""🏘️ \w+ \w+ (.*) ✅""))))"),"Gland")</f>
        <v>Gland</v>
      </c>
      <c r="F565" s="2" t="str">
        <f>IFERROR(__xludf.DUMMYFUNCTION("REGEXEXTRACT(C565, ""🏘️ (\w+) \w+ .* ✅"")"),"Louer")</f>
        <v>Louer</v>
      </c>
      <c r="G565" s="2" t="str">
        <f>IFERROR(__xludf.DUMMYFUNCTION("REGEXEXTRACT(C565, ""🏘️ \w+ (\w+) .* ✅"")"),"appartement")</f>
        <v>appartement</v>
      </c>
      <c r="H565" s="4" t="str">
        <f>IFERROR(__xludf.DUMMYFUNCTION("REGEXEXTRACT(A565, ""/(\w+)-.*?"")"),"lieu")</f>
        <v>lieu</v>
      </c>
      <c r="I565" s="4" t="str">
        <f>IFERROR(__xludf.DUMMYFUNCTION("if(D565=""variant"",  substitute(filter(Templates!E:E, Templates!A:A = F565, Templates!B:B = G565, Templates!C:C = H565), ""{{}}"", E565), B565)"),"🏘  Vous cherchez un appartement à louer à Gland? ✅ Les annonces les plus actuelles sont sur ImmoScout24.ch.")</f>
        <v>🏘  Vous cherchez un appartement à louer à Gland? ✅ Les annonces les plus actuelles sont sur ImmoScout24.ch.</v>
      </c>
      <c r="J565" s="4" t="s">
        <v>1702</v>
      </c>
    </row>
    <row r="566">
      <c r="A566" s="5" t="s">
        <v>1703</v>
      </c>
      <c r="B566" s="2" t="s">
        <v>1704</v>
      </c>
      <c r="C566" s="4" t="str">
        <f>IFERROR(__xludf.DUMMYFUNCTION("""🏘️ ""&amp;REGEXEXTRACT(B566, ""^(.*): "")&amp;"" ✅ "" &amp;REGEXEXTRACT(B566, ""(Trouvez.*)"")"),"🏘️ Louer appartement Cossonay-Ville ✅ Trouvez le bien immobilier qui correspond idéalement à vos désirs sur ImmoScout24 - La plateforme de l'immobilier en Suisse.")</f>
        <v>🏘️ Louer appartement Cossonay-Ville ✅ Trouvez le bien immobilier qui correspond idéalement à vos désirs sur ImmoScout24 - La plateforme de l'immobilier en Suisse.</v>
      </c>
      <c r="D566" s="4" t="str">
        <f>vlookup(A566, Sheet2!D:E, 2, 0)</f>
        <v>variant</v>
      </c>
      <c r="E566" s="4" t="str">
        <f>IFERROR(__xludf.DUMMYFUNCTION("if(H566=""pays"",vlookup(REGEXEXTRACT(C566, ""🏘️ \w+ \w+ (.*) ✅""),'Country prepositions'!A:B, 2, 0) &amp; "" "" &amp; REGEXEXTRACT(C566, ""🏘️ \w+ \w+ (.*) ✅"") ,  if(H566=""quartier"",vlookup(REGEXEXTRACT(C566, ""🏘️ \w+ \w+ (.*) ✅""),'Quartier prepositions'!A"&amp;":E, 5, 0) ,  if(H566=""region"",vlookup(REGEXEXTRACT(C566, ""🏘️ \w+ \w+ (.*) ✅""),'Region prepositions'!B:F, 5, 0),  REGEXEXTRACT(C566, ""🏘️ \w+ \w+ (.*) ✅""))))"),"Cossonay-Ville")</f>
        <v>Cossonay-Ville</v>
      </c>
      <c r="F566" s="2" t="str">
        <f>IFERROR(__xludf.DUMMYFUNCTION("REGEXEXTRACT(C566, ""🏘️ (\w+) \w+ .* ✅"")"),"Louer")</f>
        <v>Louer</v>
      </c>
      <c r="G566" s="2" t="str">
        <f>IFERROR(__xludf.DUMMYFUNCTION("REGEXEXTRACT(C566, ""🏘️ \w+ (\w+) .* ✅"")"),"appartement")</f>
        <v>appartement</v>
      </c>
      <c r="H566" s="4" t="str">
        <f>IFERROR(__xludf.DUMMYFUNCTION("REGEXEXTRACT(A566, ""/(\w+)-.*?"")"),"lieu")</f>
        <v>lieu</v>
      </c>
      <c r="I566" s="4" t="str">
        <f>IFERROR(__xludf.DUMMYFUNCTION("if(D566=""variant"",  substitute(filter(Templates!E:E, Templates!A:A = F566, Templates!B:B = G566, Templates!C:C = H566), ""{{}}"", E566), B566)"),"🏘  Vous cherchez un appartement à louer à Cossonay-Ville? ✅ Les annonces les plus actuelles sont sur ImmoScout24.ch.")</f>
        <v>🏘  Vous cherchez un appartement à louer à Cossonay-Ville? ✅ Les annonces les plus actuelles sont sur ImmoScout24.ch.</v>
      </c>
      <c r="J566" s="4" t="s">
        <v>1705</v>
      </c>
    </row>
    <row r="567">
      <c r="A567" s="5" t="s">
        <v>1706</v>
      </c>
      <c r="B567" s="2" t="s">
        <v>1707</v>
      </c>
      <c r="C567" s="4" t="str">
        <f>IFERROR(__xludf.DUMMYFUNCTION("""🏘️ ""&amp;REGEXEXTRACT(B567, ""^(.*): "")&amp;"" ✅ "" &amp;REGEXEXTRACT(B567, ""(Trouvez.*)"")"),"🏘️ Vendre maison Stans ✅ Trouvez le bien immobilier qui correspond idéalement à vos désirs sur ImmoScout24 - La plateforme de l'immobilier en Suisse.")</f>
        <v>🏘️ Vendre maison Stans ✅ Trouvez le bien immobilier qui correspond idéalement à vos désirs sur ImmoScout24 - La plateforme de l'immobilier en Suisse.</v>
      </c>
      <c r="D567" s="4" t="str">
        <f>vlookup(A567, Sheet2!D:E, 2, 0)</f>
        <v>variant</v>
      </c>
      <c r="E567" s="4" t="str">
        <f>IFERROR(__xludf.DUMMYFUNCTION("if(H567=""pays"",vlookup(REGEXEXTRACT(C567, ""🏘️ \w+ \w+ (.*) ✅""),'Country prepositions'!A:B, 2, 0) &amp; "" "" &amp; REGEXEXTRACT(C567, ""🏘️ \w+ \w+ (.*) ✅"") ,  if(H567=""quartier"",vlookup(REGEXEXTRACT(C567, ""🏘️ \w+ \w+ (.*) ✅""),'Quartier prepositions'!A"&amp;":E, 5, 0) ,  if(H567=""region"",vlookup(REGEXEXTRACT(C567, ""🏘️ \w+ \w+ (.*) ✅""),'Region prepositions'!B:F, 5, 0),  REGEXEXTRACT(C567, ""🏘️ \w+ \w+ (.*) ✅""))))"),"Stans")</f>
        <v>Stans</v>
      </c>
      <c r="F567" s="2" t="str">
        <f>IFERROR(__xludf.DUMMYFUNCTION("REGEXEXTRACT(C567, ""🏘️ (\w+) \w+ .* ✅"")"),"Vendre")</f>
        <v>Vendre</v>
      </c>
      <c r="G567" s="2" t="str">
        <f>IFERROR(__xludf.DUMMYFUNCTION("REGEXEXTRACT(C567, ""🏘️ \w+ (\w+) .* ✅"")"),"maison")</f>
        <v>maison</v>
      </c>
      <c r="H567" s="4" t="str">
        <f>IFERROR(__xludf.DUMMYFUNCTION("REGEXEXTRACT(A567, ""/(\w+)-.*?"")"),"lieu")</f>
        <v>lieu</v>
      </c>
      <c r="I567" s="4" t="str">
        <f>IFERROR(__xludf.DUMMYFUNCTION("if(D567=""variant"",  substitute(filter(Templates!E:E, Templates!A:A = F567, Templates!B:B = G567, Templates!C:C = H567), ""{{}}"", E567), B567)"),"🏘  Vous souhaitez acheter une maison à Stans? ✅ Jetez un œil aux dernières offres sur ImmoScout24.ch.")</f>
        <v>🏘  Vous souhaitez acheter une maison à Stans? ✅ Jetez un œil aux dernières offres sur ImmoScout24.ch.</v>
      </c>
      <c r="J567" s="4" t="s">
        <v>1708</v>
      </c>
    </row>
    <row r="568">
      <c r="A568" s="5" t="s">
        <v>1709</v>
      </c>
      <c r="B568" s="2" t="s">
        <v>1710</v>
      </c>
      <c r="C568" s="4" t="str">
        <f>IFERROR(__xludf.DUMMYFUNCTION("""🏘️ ""&amp;REGEXEXTRACT(B568, ""^(.*): "")&amp;"" ✅ "" &amp;REGEXEXTRACT(B568, ""(Trouvez.*)"")"),"🏘️ Louer appartement Rheinfelden ✅ Trouvez le bien immobilier qui correspond idéalement à vos désirs sur ImmoScout24 - La plateforme de l'immobilier en Suisse.")</f>
        <v>🏘️ Louer appartement Rheinfelden ✅ Trouvez le bien immobilier qui correspond idéalement à vos désirs sur ImmoScout24 - La plateforme de l'immobilier en Suisse.</v>
      </c>
      <c r="D568" s="4" t="str">
        <f>vlookup(A568, Sheet2!D:E, 2, 0)</f>
        <v>variant</v>
      </c>
      <c r="E568" s="4" t="str">
        <f>IFERROR(__xludf.DUMMYFUNCTION("if(H568=""pays"",vlookup(REGEXEXTRACT(C568, ""🏘️ \w+ \w+ (.*) ✅""),'Country prepositions'!A:B, 2, 0) &amp; "" "" &amp; REGEXEXTRACT(C568, ""🏘️ \w+ \w+ (.*) ✅"") ,  if(H568=""quartier"",vlookup(REGEXEXTRACT(C568, ""🏘️ \w+ \w+ (.*) ✅""),'Quartier prepositions'!A"&amp;":E, 5, 0) ,  if(H568=""region"",vlookup(REGEXEXTRACT(C568, ""🏘️ \w+ \w+ (.*) ✅""),'Region prepositions'!B:F, 5, 0),  REGEXEXTRACT(C568, ""🏘️ \w+ \w+ (.*) ✅""))))"),"Rheinfelden")</f>
        <v>Rheinfelden</v>
      </c>
      <c r="F568" s="2" t="str">
        <f>IFERROR(__xludf.DUMMYFUNCTION("REGEXEXTRACT(C568, ""🏘️ (\w+) \w+ .* ✅"")"),"Louer")</f>
        <v>Louer</v>
      </c>
      <c r="G568" s="2" t="str">
        <f>IFERROR(__xludf.DUMMYFUNCTION("REGEXEXTRACT(C568, ""🏘️ \w+ (\w+) .* ✅"")"),"appartement")</f>
        <v>appartement</v>
      </c>
      <c r="H568" s="4" t="str">
        <f>IFERROR(__xludf.DUMMYFUNCTION("REGEXEXTRACT(A568, ""/(\w+)-.*?"")"),"lieu")</f>
        <v>lieu</v>
      </c>
      <c r="I568" s="4" t="str">
        <f>IFERROR(__xludf.DUMMYFUNCTION("if(D568=""variant"",  substitute(filter(Templates!E:E, Templates!A:A = F568, Templates!B:B = G568, Templates!C:C = H568), ""{{}}"", E568), B568)"),"🏘  Vous cherchez un appartement à louer à Rheinfelden? ✅ Les annonces les plus actuelles sont sur ImmoScout24.ch.")</f>
        <v>🏘  Vous cherchez un appartement à louer à Rheinfelden? ✅ Les annonces les plus actuelles sont sur ImmoScout24.ch.</v>
      </c>
      <c r="J568" s="4" t="s">
        <v>1711</v>
      </c>
    </row>
    <row r="569">
      <c r="A569" s="5" t="s">
        <v>1712</v>
      </c>
      <c r="B569" s="2" t="s">
        <v>1713</v>
      </c>
      <c r="C569" s="4" t="str">
        <f>IFERROR(__xludf.DUMMYFUNCTION("""🏘️ ""&amp;REGEXEXTRACT(B569, ""^(.*): "")&amp;"" ✅ "" &amp;REGEXEXTRACT(B569, ""(Trouvez.*)"")"),"🏘️ Louer appartement Limpach ✅ Trouvez le bien immobilier qui correspond idéalement à vos désirs sur ImmoScout24 - La plateforme de l'immobilier en Suisse.")</f>
        <v>🏘️ Louer appartement Limpach ✅ Trouvez le bien immobilier qui correspond idéalement à vos désirs sur ImmoScout24 - La plateforme de l'immobilier en Suisse.</v>
      </c>
      <c r="D569" s="4" t="str">
        <f>vlookup(A569, Sheet2!D:E, 2, 0)</f>
        <v>variant</v>
      </c>
      <c r="E569" s="4" t="str">
        <f>IFERROR(__xludf.DUMMYFUNCTION("if(H569=""pays"",vlookup(REGEXEXTRACT(C569, ""🏘️ \w+ \w+ (.*) ✅""),'Country prepositions'!A:B, 2, 0) &amp; "" "" &amp; REGEXEXTRACT(C569, ""🏘️ \w+ \w+ (.*) ✅"") ,  if(H569=""quartier"",vlookup(REGEXEXTRACT(C569, ""🏘️ \w+ \w+ (.*) ✅""),'Quartier prepositions'!A"&amp;":E, 5, 0) ,  if(H569=""region"",vlookup(REGEXEXTRACT(C569, ""🏘️ \w+ \w+ (.*) ✅""),'Region prepositions'!B:F, 5, 0),  REGEXEXTRACT(C569, ""🏘️ \w+ \w+ (.*) ✅""))))"),"Limpach")</f>
        <v>Limpach</v>
      </c>
      <c r="F569" s="2" t="str">
        <f>IFERROR(__xludf.DUMMYFUNCTION("REGEXEXTRACT(C569, ""🏘️ (\w+) \w+ .* ✅"")"),"Louer")</f>
        <v>Louer</v>
      </c>
      <c r="G569" s="2" t="str">
        <f>IFERROR(__xludf.DUMMYFUNCTION("REGEXEXTRACT(C569, ""🏘️ \w+ (\w+) .* ✅"")"),"appartement")</f>
        <v>appartement</v>
      </c>
      <c r="H569" s="4" t="str">
        <f>IFERROR(__xludf.DUMMYFUNCTION("REGEXEXTRACT(A569, ""/(\w+)-.*?"")"),"lieu")</f>
        <v>lieu</v>
      </c>
      <c r="I569" s="4" t="str">
        <f>IFERROR(__xludf.DUMMYFUNCTION("if(D569=""variant"",  substitute(filter(Templates!E:E, Templates!A:A = F569, Templates!B:B = G569, Templates!C:C = H569), ""{{}}"", E569), B569)"),"🏘  Vous cherchez un appartement à louer à Limpach? ✅ Les annonces les plus actuelles sont sur ImmoScout24.ch.")</f>
        <v>🏘  Vous cherchez un appartement à louer à Limpach? ✅ Les annonces les plus actuelles sont sur ImmoScout24.ch.</v>
      </c>
      <c r="J569" s="4" t="s">
        <v>1714</v>
      </c>
    </row>
    <row r="570">
      <c r="A570" s="5" t="s">
        <v>1715</v>
      </c>
      <c r="B570" s="2" t="s">
        <v>1716</v>
      </c>
      <c r="C570" s="4" t="str">
        <f>IFERROR(__xludf.DUMMYFUNCTION("""🏘️ ""&amp;REGEXEXTRACT(B570, ""^(.*): "")&amp;"" ✅ "" &amp;REGEXEXTRACT(B570, ""(Trouvez.*)"")"),"🏘️ Vendre maison Movelier ✅ Trouvez le bien immobilier qui correspond idéalement à vos désirs sur ImmoScout24 - La plateforme de l'immobilier en Suisse.")</f>
        <v>🏘️ Vendre maison Movelier ✅ Trouvez le bien immobilier qui correspond idéalement à vos désirs sur ImmoScout24 - La plateforme de l'immobilier en Suisse.</v>
      </c>
      <c r="D570" s="4" t="str">
        <f>vlookup(A570, Sheet2!D:E, 2, 0)</f>
        <v>variant</v>
      </c>
      <c r="E570" s="4" t="str">
        <f>IFERROR(__xludf.DUMMYFUNCTION("if(H570=""pays"",vlookup(REGEXEXTRACT(C570, ""🏘️ \w+ \w+ (.*) ✅""),'Country prepositions'!A:B, 2, 0) &amp; "" "" &amp; REGEXEXTRACT(C570, ""🏘️ \w+ \w+ (.*) ✅"") ,  if(H570=""quartier"",vlookup(REGEXEXTRACT(C570, ""🏘️ \w+ \w+ (.*) ✅""),'Quartier prepositions'!A"&amp;":E, 5, 0) ,  if(H570=""region"",vlookup(REGEXEXTRACT(C570, ""🏘️ \w+ \w+ (.*) ✅""),'Region prepositions'!B:F, 5, 0),  REGEXEXTRACT(C570, ""🏘️ \w+ \w+ (.*) ✅""))))"),"Movelier")</f>
        <v>Movelier</v>
      </c>
      <c r="F570" s="2" t="str">
        <f>IFERROR(__xludf.DUMMYFUNCTION("REGEXEXTRACT(C570, ""🏘️ (\w+) \w+ .* ✅"")"),"Vendre")</f>
        <v>Vendre</v>
      </c>
      <c r="G570" s="2" t="str">
        <f>IFERROR(__xludf.DUMMYFUNCTION("REGEXEXTRACT(C570, ""🏘️ \w+ (\w+) .* ✅"")"),"maison")</f>
        <v>maison</v>
      </c>
      <c r="H570" s="4" t="str">
        <f>IFERROR(__xludf.DUMMYFUNCTION("REGEXEXTRACT(A570, ""/(\w+)-.*?"")"),"lieu")</f>
        <v>lieu</v>
      </c>
      <c r="I570" s="4" t="str">
        <f>IFERROR(__xludf.DUMMYFUNCTION("if(D570=""variant"",  substitute(filter(Templates!E:E, Templates!A:A = F570, Templates!B:B = G570, Templates!C:C = H570), ""{{}}"", E570), B570)"),"🏘  Vous souhaitez acheter une maison à Movelier? ✅ Jetez un œil aux dernières offres sur ImmoScout24.ch.")</f>
        <v>🏘  Vous souhaitez acheter une maison à Movelier? ✅ Jetez un œil aux dernières offres sur ImmoScout24.ch.</v>
      </c>
      <c r="J570" s="4" t="s">
        <v>1717</v>
      </c>
    </row>
    <row r="571">
      <c r="A571" s="5" t="s">
        <v>1718</v>
      </c>
      <c r="B571" s="2" t="s">
        <v>1719</v>
      </c>
      <c r="C571" s="4" t="str">
        <f>IFERROR(__xludf.DUMMYFUNCTION("""🏘️ ""&amp;REGEXEXTRACT(B571, ""^(.*): "")&amp;"" ✅ "" &amp;REGEXEXTRACT(B571, ""(Trouvez.*)"")"),"🏘️ Louer appartement Féchy ✅ Trouvez le bien immobilier qui correspond idéalement à vos désirs sur ImmoScout24 - La plateforme de l'immobilier en Suisse.")</f>
        <v>🏘️ Louer appartement Féchy ✅ Trouvez le bien immobilier qui correspond idéalement à vos désirs sur ImmoScout24 - La plateforme de l'immobilier en Suisse.</v>
      </c>
      <c r="D571" s="4" t="str">
        <f>vlookup(A571, Sheet2!D:E, 2, 0)</f>
        <v>variant</v>
      </c>
      <c r="E571" s="4" t="str">
        <f>IFERROR(__xludf.DUMMYFUNCTION("if(H571=""pays"",vlookup(REGEXEXTRACT(C571, ""🏘️ \w+ \w+ (.*) ✅""),'Country prepositions'!A:B, 2, 0) &amp; "" "" &amp; REGEXEXTRACT(C571, ""🏘️ \w+ \w+ (.*) ✅"") ,  if(H571=""quartier"",vlookup(REGEXEXTRACT(C571, ""🏘️ \w+ \w+ (.*) ✅""),'Quartier prepositions'!A"&amp;":E, 5, 0) ,  if(H571=""region"",vlookup(REGEXEXTRACT(C571, ""🏘️ \w+ \w+ (.*) ✅""),'Region prepositions'!B:F, 5, 0),  REGEXEXTRACT(C571, ""🏘️ \w+ \w+ (.*) ✅""))))"),"Féchy")</f>
        <v>Féchy</v>
      </c>
      <c r="F571" s="2" t="str">
        <f>IFERROR(__xludf.DUMMYFUNCTION("REGEXEXTRACT(C571, ""🏘️ (\w+) \w+ .* ✅"")"),"Louer")</f>
        <v>Louer</v>
      </c>
      <c r="G571" s="2" t="str">
        <f>IFERROR(__xludf.DUMMYFUNCTION("REGEXEXTRACT(C571, ""🏘️ \w+ (\w+) .* ✅"")"),"appartement")</f>
        <v>appartement</v>
      </c>
      <c r="H571" s="4" t="str">
        <f>IFERROR(__xludf.DUMMYFUNCTION("REGEXEXTRACT(A571, ""/(\w+)-.*?"")"),"lieu")</f>
        <v>lieu</v>
      </c>
      <c r="I571" s="4" t="str">
        <f>IFERROR(__xludf.DUMMYFUNCTION("if(D571=""variant"",  substitute(filter(Templates!E:E, Templates!A:A = F571, Templates!B:B = G571, Templates!C:C = H571), ""{{}}"", E571), B571)"),"🏘  Vous cherchez un appartement à louer à Féchy? ✅ Les annonces les plus actuelles sont sur ImmoScout24.ch.")</f>
        <v>🏘  Vous cherchez un appartement à louer à Féchy? ✅ Les annonces les plus actuelles sont sur ImmoScout24.ch.</v>
      </c>
      <c r="J571" s="4" t="s">
        <v>1720</v>
      </c>
    </row>
    <row r="572">
      <c r="A572" s="5" t="s">
        <v>1721</v>
      </c>
      <c r="B572" s="2" t="s">
        <v>1722</v>
      </c>
      <c r="C572" s="4" t="str">
        <f>IFERROR(__xludf.DUMMYFUNCTION("""🏘️ ""&amp;REGEXEXTRACT(B572, ""^(.*): "")&amp;"" ✅ "" &amp;REGEXEXTRACT(B572, ""(Trouvez.*)"")"),"🏘️ Louer appartement Baar (Nendaz) ✅ Trouvez le bien immobilier qui correspond idéalement à vos désirs sur ImmoScout24 - La plateforme de l'immobilier en Suisse.")</f>
        <v>🏘️ Louer appartement Baar (Nendaz) ✅ Trouvez le bien immobilier qui correspond idéalement à vos désirs sur ImmoScout24 - La plateforme de l'immobilier en Suisse.</v>
      </c>
      <c r="D572" s="4" t="str">
        <f>vlookup(A572, Sheet2!D:E, 2, 0)</f>
        <v>variant</v>
      </c>
      <c r="E572" s="4" t="str">
        <f>IFERROR(__xludf.DUMMYFUNCTION("if(H572=""pays"",vlookup(REGEXEXTRACT(C572, ""🏘️ \w+ \w+ (.*) ✅""),'Country prepositions'!A:B, 2, 0) &amp; "" "" &amp; REGEXEXTRACT(C572, ""🏘️ \w+ \w+ (.*) ✅"") ,  if(H572=""quartier"",vlookup(REGEXEXTRACT(C572, ""🏘️ \w+ \w+ (.*) ✅""),'Quartier prepositions'!A"&amp;":E, 5, 0) ,  if(H572=""region"",vlookup(REGEXEXTRACT(C572, ""🏘️ \w+ \w+ (.*) ✅""),'Region prepositions'!B:F, 5, 0),  REGEXEXTRACT(C572, ""🏘️ \w+ \w+ (.*) ✅""))))"),"Baar (Nendaz)")</f>
        <v>Baar (Nendaz)</v>
      </c>
      <c r="F572" s="2" t="str">
        <f>IFERROR(__xludf.DUMMYFUNCTION("REGEXEXTRACT(C572, ""🏘️ (\w+) \w+ .* ✅"")"),"Louer")</f>
        <v>Louer</v>
      </c>
      <c r="G572" s="2" t="str">
        <f>IFERROR(__xludf.DUMMYFUNCTION("REGEXEXTRACT(C572, ""🏘️ \w+ (\w+) .* ✅"")"),"appartement")</f>
        <v>appartement</v>
      </c>
      <c r="H572" s="4" t="str">
        <f>IFERROR(__xludf.DUMMYFUNCTION("REGEXEXTRACT(A572, ""/(\w+)-.*?"")"),"lieu")</f>
        <v>lieu</v>
      </c>
      <c r="I572" s="4" t="str">
        <f>IFERROR(__xludf.DUMMYFUNCTION("if(D572=""variant"",  substitute(filter(Templates!E:E, Templates!A:A = F572, Templates!B:B = G572, Templates!C:C = H572), ""{{}}"", E572), B572)"),"🏘  Vous cherchez un appartement à louer à Baar (Nendaz)? ✅ Les annonces les plus actuelles sont sur ImmoScout24.ch.")</f>
        <v>🏘  Vous cherchez un appartement à louer à Baar (Nendaz)? ✅ Les annonces les plus actuelles sont sur ImmoScout24.ch.</v>
      </c>
      <c r="J572" s="4" t="s">
        <v>1723</v>
      </c>
    </row>
    <row r="573">
      <c r="A573" s="5" t="s">
        <v>1724</v>
      </c>
      <c r="B573" s="2" t="s">
        <v>1725</v>
      </c>
      <c r="C573" s="4" t="str">
        <f>IFERROR(__xludf.DUMMYFUNCTION("""🏘️ ""&amp;REGEXEXTRACT(B573, ""^(.*): "")&amp;"" ✅ "" &amp;REGEXEXTRACT(B573, ""(Trouvez.*)"")"),"🏘️ Louer maison Pont-de-la-Morge (Sion) ✅ Trouvez le bien immobilier qui correspond idéalement à vos désirs sur ImmoScout24 - La plateforme de l'immobilier en Suisse.")</f>
        <v>🏘️ Louer maison Pont-de-la-Morge (Sion) ✅ Trouvez le bien immobilier qui correspond idéalement à vos désirs sur ImmoScout24 - La plateforme de l'immobilier en Suisse.</v>
      </c>
      <c r="D573" s="4" t="str">
        <f>vlookup(A573, Sheet2!D:E, 2, 0)</f>
        <v>variant</v>
      </c>
      <c r="E573" s="4" t="str">
        <f>IFERROR(__xludf.DUMMYFUNCTION("if(H573=""pays"",vlookup(REGEXEXTRACT(C573, ""🏘️ \w+ \w+ (.*) ✅""),'Country prepositions'!A:B, 2, 0) &amp; "" "" &amp; REGEXEXTRACT(C573, ""🏘️ \w+ \w+ (.*) ✅"") ,  if(H573=""quartier"",vlookup(REGEXEXTRACT(C573, ""🏘️ \w+ \w+ (.*) ✅""),'Quartier prepositions'!A"&amp;":E, 5, 0) ,  if(H573=""region"",vlookup(REGEXEXTRACT(C573, ""🏘️ \w+ \w+ (.*) ✅""),'Region prepositions'!B:F, 5, 0),  REGEXEXTRACT(C573, ""🏘️ \w+ \w+ (.*) ✅""))))"),"Pont-de-la-Morge (Sion)")</f>
        <v>Pont-de-la-Morge (Sion)</v>
      </c>
      <c r="F573" s="2" t="str">
        <f>IFERROR(__xludf.DUMMYFUNCTION("REGEXEXTRACT(C573, ""🏘️ (\w+) \w+ .* ✅"")"),"Louer")</f>
        <v>Louer</v>
      </c>
      <c r="G573" s="2" t="str">
        <f>IFERROR(__xludf.DUMMYFUNCTION("REGEXEXTRACT(C573, ""🏘️ \w+ (\w+) .* ✅"")"),"maison")</f>
        <v>maison</v>
      </c>
      <c r="H573" s="4" t="str">
        <f>IFERROR(__xludf.DUMMYFUNCTION("REGEXEXTRACT(A573, ""/(\w+)-.*?"")"),"lieu")</f>
        <v>lieu</v>
      </c>
      <c r="I573" s="4" t="str">
        <f>IFERROR(__xludf.DUMMYFUNCTION("if(D573=""variant"",  substitute(filter(Templates!E:E, Templates!A:A = F573, Templates!B:B = G573, Templates!C:C = H573), ""{{}}"", E573), B573)"),"🏘  Vous cherchez une maison à louer à Pont-de-la-Morge (Sion)? ✅ Découvrez nos nombreuses annonces sur ImmoScout24.ch.")</f>
        <v>🏘  Vous cherchez une maison à louer à Pont-de-la-Morge (Sion)? ✅ Découvrez nos nombreuses annonces sur ImmoScout24.ch.</v>
      </c>
      <c r="J573" s="4" t="s">
        <v>1726</v>
      </c>
    </row>
    <row r="574">
      <c r="A574" s="5" t="s">
        <v>1727</v>
      </c>
      <c r="B574" s="2" t="s">
        <v>1728</v>
      </c>
      <c r="C574" s="4" t="str">
        <f>IFERROR(__xludf.DUMMYFUNCTION("""🏘️ ""&amp;REGEXEXTRACT(B574, ""^(.*): "")&amp;"" ✅ "" &amp;REGEXEXTRACT(B574, ""(Trouvez.*)"")"),"🏘️ Louer appartement Les Tavernes ✅ Trouvez le bien immobilier qui correspond idéalement à vos désirs sur ImmoScout24 - La plateforme de l'immobilier en Suisse.")</f>
        <v>🏘️ Louer appartement Les Tavernes ✅ Trouvez le bien immobilier qui correspond idéalement à vos désirs sur ImmoScout24 - La plateforme de l'immobilier en Suisse.</v>
      </c>
      <c r="D574" s="4" t="str">
        <f>vlookup(A574, Sheet2!D:E, 2, 0)</f>
        <v>variant</v>
      </c>
      <c r="E574" s="4" t="str">
        <f>IFERROR(__xludf.DUMMYFUNCTION("if(H574=""pays"",vlookup(REGEXEXTRACT(C574, ""🏘️ \w+ \w+ (.*) ✅""),'Country prepositions'!A:B, 2, 0) &amp; "" "" &amp; REGEXEXTRACT(C574, ""🏘️ \w+ \w+ (.*) ✅"") ,  if(H574=""quartier"",vlookup(REGEXEXTRACT(C574, ""🏘️ \w+ \w+ (.*) ✅""),'Quartier prepositions'!A"&amp;":E, 5, 0) ,  if(H574=""region"",vlookup(REGEXEXTRACT(C574, ""🏘️ \w+ \w+ (.*) ✅""),'Region prepositions'!B:F, 5, 0),  REGEXEXTRACT(C574, ""🏘️ \w+ \w+ (.*) ✅""))))"),"Les Tavernes")</f>
        <v>Les Tavernes</v>
      </c>
      <c r="F574" s="2" t="str">
        <f>IFERROR(__xludf.DUMMYFUNCTION("REGEXEXTRACT(C574, ""🏘️ (\w+) \w+ .* ✅"")"),"Louer")</f>
        <v>Louer</v>
      </c>
      <c r="G574" s="2" t="str">
        <f>IFERROR(__xludf.DUMMYFUNCTION("REGEXEXTRACT(C574, ""🏘️ \w+ (\w+) .* ✅"")"),"appartement")</f>
        <v>appartement</v>
      </c>
      <c r="H574" s="4" t="str">
        <f>IFERROR(__xludf.DUMMYFUNCTION("REGEXEXTRACT(A574, ""/(\w+)-.*?"")"),"lieu")</f>
        <v>lieu</v>
      </c>
      <c r="I574" s="8" t="str">
        <f>IFERROR(__xludf.DUMMYFUNCTION("if(D574=""variant"",  substitute(filter(Templates!E:E, Templates!A:A = F574, Templates!B:B = G574, Templates!C:C = H574), ""{{}}"", E574), B574)"),"🏘  Vous cherchez un appartement à louer à Les Tavernes? ✅ Les annonces les plus actuelles sont sur ImmoScout24.ch.")</f>
        <v>🏘  Vous cherchez un appartement à louer à Les Tavernes? ✅ Les annonces les plus actuelles sont sur ImmoScout24.ch.</v>
      </c>
      <c r="J574" s="2" t="s">
        <v>1729</v>
      </c>
    </row>
    <row r="575">
      <c r="A575" s="5" t="s">
        <v>1730</v>
      </c>
      <c r="B575" s="2" t="s">
        <v>1731</v>
      </c>
      <c r="C575" s="4" t="str">
        <f>IFERROR(__xludf.DUMMYFUNCTION("""🏘️ ""&amp;REGEXEXTRACT(B575, ""^(.*): "")&amp;"" ✅ "" &amp;REGEXEXTRACT(B575, ""(Trouvez.*)"")"),"🏘️ Louer maison Wipkingen (Zurich) ✅ Trouvez le bien immobilier qui correspond idéalement à vos désirs sur ImmoScout24 - La plateforme de l'immobilier en Suisse.")</f>
        <v>🏘️ Louer maison Wipkingen (Zurich) ✅ Trouvez le bien immobilier qui correspond idéalement à vos désirs sur ImmoScout24 - La plateforme de l'immobilier en Suisse.</v>
      </c>
      <c r="D575" s="4" t="str">
        <f>vlookup(A575, Sheet2!D:E, 2, 0)</f>
        <v>variant</v>
      </c>
      <c r="E575" s="4" t="str">
        <f>IFERROR(__xludf.DUMMYFUNCTION("if(H575=""pays"",vlookup(REGEXEXTRACT(C575, ""🏘️ \w+ \w+ (.*) ✅""),'Country prepositions'!A:B, 2, 0) &amp; "" "" &amp; REGEXEXTRACT(C575, ""🏘️ \w+ \w+ (.*) ✅"") ,  if(H575=""quartier"",vlookup(REGEXEXTRACT(C575, ""🏘️ \w+ \w+ (.*) ✅""),'Quartier prepositions'!A"&amp;":E, 5, 0) ,  if(H575=""region"",vlookup(REGEXEXTRACT(C575, ""🏘️ \w+ \w+ (.*) ✅""),'Region prepositions'!B:F, 5, 0),  REGEXEXTRACT(C575, ""🏘️ \w+ \w+ (.*) ✅""))))"),"dans le quartier de Wipkingen (Zurich)")</f>
        <v>dans le quartier de Wipkingen (Zurich)</v>
      </c>
      <c r="F575" s="2" t="str">
        <f>IFERROR(__xludf.DUMMYFUNCTION("REGEXEXTRACT(C575, ""🏘️ (\w+) \w+ .* ✅"")"),"Louer")</f>
        <v>Louer</v>
      </c>
      <c r="G575" s="2" t="str">
        <f>IFERROR(__xludf.DUMMYFUNCTION("REGEXEXTRACT(C575, ""🏘️ \w+ (\w+) .* ✅"")"),"maison")</f>
        <v>maison</v>
      </c>
      <c r="H575" s="4" t="str">
        <f>IFERROR(__xludf.DUMMYFUNCTION("REGEXEXTRACT(A575, ""/(\w+)-.*?"")"),"quartier")</f>
        <v>quartier</v>
      </c>
      <c r="I575" s="4" t="str">
        <f>IFERROR(__xludf.DUMMYFUNCTION("if(D575=""variant"",  substitute(filter(Templates!E:E, Templates!A:A = F575, Templates!B:B = G575, Templates!C:C = H575), ""{{}}"", E575), B575)"),"🏘  Vous cherchez une maison à louer dans le quartier de Wipkingen (Zurich)? ✅ Découvrez nos nombreuses annonces sur ImmoScout24.ch.")</f>
        <v>🏘  Vous cherchez une maison à louer dans le quartier de Wipkingen (Zurich)? ✅ Découvrez nos nombreuses annonces sur ImmoScout24.ch.</v>
      </c>
      <c r="J575" s="4" t="s">
        <v>1732</v>
      </c>
    </row>
    <row r="576">
      <c r="A576" s="5" t="s">
        <v>1733</v>
      </c>
      <c r="B576" s="2" t="s">
        <v>1734</v>
      </c>
      <c r="C576" s="4" t="str">
        <f>IFERROR(__xludf.DUMMYFUNCTION("""🏘️ ""&amp;REGEXEXTRACT(B576, ""^(.*): "")&amp;"" ✅ "" &amp;REGEXEXTRACT(B576, ""(Trouvez.*)"")"),"🏘️ Louer appartement Mex VS ✅ Trouvez le bien immobilier qui correspond idéalement à vos désirs sur ImmoScout24 - La plateforme de l'immobilier en Suisse.")</f>
        <v>🏘️ Louer appartement Mex VS ✅ Trouvez le bien immobilier qui correspond idéalement à vos désirs sur ImmoScout24 - La plateforme de l'immobilier en Suisse.</v>
      </c>
      <c r="D576" s="4" t="str">
        <f>vlookup(A576, Sheet2!D:E, 2, 0)</f>
        <v>variant</v>
      </c>
      <c r="E576" s="4" t="str">
        <f>IFERROR(__xludf.DUMMYFUNCTION("if(H576=""pays"",vlookup(REGEXEXTRACT(C576, ""🏘️ \w+ \w+ (.*) ✅""),'Country prepositions'!A:B, 2, 0) &amp; "" "" &amp; REGEXEXTRACT(C576, ""🏘️ \w+ \w+ (.*) ✅"") ,  if(H576=""quartier"",vlookup(REGEXEXTRACT(C576, ""🏘️ \w+ \w+ (.*) ✅""),'Quartier prepositions'!A"&amp;":E, 5, 0) ,  if(H576=""region"",vlookup(REGEXEXTRACT(C576, ""🏘️ \w+ \w+ (.*) ✅""),'Region prepositions'!B:F, 5, 0),  REGEXEXTRACT(C576, ""🏘️ \w+ \w+ (.*) ✅""))))"),"Mex VS")</f>
        <v>Mex VS</v>
      </c>
      <c r="F576" s="2" t="str">
        <f>IFERROR(__xludf.DUMMYFUNCTION("REGEXEXTRACT(C576, ""🏘️ (\w+) \w+ .* ✅"")"),"Louer")</f>
        <v>Louer</v>
      </c>
      <c r="G576" s="2" t="str">
        <f>IFERROR(__xludf.DUMMYFUNCTION("REGEXEXTRACT(C576, ""🏘️ \w+ (\w+) .* ✅"")"),"appartement")</f>
        <v>appartement</v>
      </c>
      <c r="H576" s="4" t="str">
        <f>IFERROR(__xludf.DUMMYFUNCTION("REGEXEXTRACT(A576, ""/(\w+)-.*?"")"),"lieu")</f>
        <v>lieu</v>
      </c>
      <c r="I576" s="4" t="str">
        <f>IFERROR(__xludf.DUMMYFUNCTION("if(D576=""variant"",  substitute(filter(Templates!E:E, Templates!A:A = F576, Templates!B:B = G576, Templates!C:C = H576), ""{{}}"", E576), B576)"),"🏘  Vous cherchez un appartement à louer à Mex VS? ✅ Les annonces les plus actuelles sont sur ImmoScout24.ch.")</f>
        <v>🏘  Vous cherchez un appartement à louer à Mex VS? ✅ Les annonces les plus actuelles sont sur ImmoScout24.ch.</v>
      </c>
      <c r="J576" s="4" t="s">
        <v>1735</v>
      </c>
    </row>
    <row r="577">
      <c r="A577" s="5" t="s">
        <v>1736</v>
      </c>
      <c r="B577" s="2" t="s">
        <v>1737</v>
      </c>
      <c r="C577" s="4" t="str">
        <f>IFERROR(__xludf.DUMMYFUNCTION("""🏘️ ""&amp;REGEXEXTRACT(B577, ""^(.*): "")&amp;"" ✅ "" &amp;REGEXEXTRACT(B577, ""(Trouvez.*)"")"),"🏘️ Louer appartement Noiraigue ✅ Trouvez le bien immobilier qui correspond idéalement à vos désirs sur ImmoScout24 - La plateforme de l'immobilier en Suisse.")</f>
        <v>🏘️ Louer appartement Noiraigue ✅ Trouvez le bien immobilier qui correspond idéalement à vos désirs sur ImmoScout24 - La plateforme de l'immobilier en Suisse.</v>
      </c>
      <c r="D577" s="4" t="str">
        <f>vlookup(A577, Sheet2!D:E, 2, 0)</f>
        <v>variant</v>
      </c>
      <c r="E577" s="4" t="str">
        <f>IFERROR(__xludf.DUMMYFUNCTION("if(H577=""pays"",vlookup(REGEXEXTRACT(C577, ""🏘️ \w+ \w+ (.*) ✅""),'Country prepositions'!A:B, 2, 0) &amp; "" "" &amp; REGEXEXTRACT(C577, ""🏘️ \w+ \w+ (.*) ✅"") ,  if(H577=""quartier"",vlookup(REGEXEXTRACT(C577, ""🏘️ \w+ \w+ (.*) ✅""),'Quartier prepositions'!A"&amp;":E, 5, 0) ,  if(H577=""region"",vlookup(REGEXEXTRACT(C577, ""🏘️ \w+ \w+ (.*) ✅""),'Region prepositions'!B:F, 5, 0),  REGEXEXTRACT(C577, ""🏘️ \w+ \w+ (.*) ✅""))))"),"Noiraigue")</f>
        <v>Noiraigue</v>
      </c>
      <c r="F577" s="2" t="str">
        <f>IFERROR(__xludf.DUMMYFUNCTION("REGEXEXTRACT(C577, ""🏘️ (\w+) \w+ .* ✅"")"),"Louer")</f>
        <v>Louer</v>
      </c>
      <c r="G577" s="2" t="str">
        <f>IFERROR(__xludf.DUMMYFUNCTION("REGEXEXTRACT(C577, ""🏘️ \w+ (\w+) .* ✅"")"),"appartement")</f>
        <v>appartement</v>
      </c>
      <c r="H577" s="4" t="str">
        <f>IFERROR(__xludf.DUMMYFUNCTION("REGEXEXTRACT(A577, ""/(\w+)-.*?"")"),"lieu")</f>
        <v>lieu</v>
      </c>
      <c r="I577" s="4" t="str">
        <f>IFERROR(__xludf.DUMMYFUNCTION("if(D577=""variant"",  substitute(filter(Templates!E:E, Templates!A:A = F577, Templates!B:B = G577, Templates!C:C = H577), ""{{}}"", E577), B577)"),"🏘  Vous cherchez un appartement à louer à Noiraigue? ✅ Les annonces les plus actuelles sont sur ImmoScout24.ch.")</f>
        <v>🏘  Vous cherchez un appartement à louer à Noiraigue? ✅ Les annonces les plus actuelles sont sur ImmoScout24.ch.</v>
      </c>
      <c r="J577" s="4" t="s">
        <v>1738</v>
      </c>
    </row>
    <row r="578">
      <c r="A578" s="5" t="s">
        <v>1739</v>
      </c>
      <c r="B578" s="2" t="s">
        <v>1740</v>
      </c>
      <c r="C578" s="4" t="str">
        <f>IFERROR(__xludf.DUMMYFUNCTION("""🏘️ ""&amp;REGEXEXTRACT(B578, ""^(.*): "")&amp;"" ✅ "" &amp;REGEXEXTRACT(B578, ""(Trouvez.*)"")"),"🏘️ Louer appartement Charmey (Gruyère) ✅ Trouvez le bien immobilier qui correspond idéalement à vos désirs sur ImmoScout24 - La plateforme de l'immobilier en Suisse.")</f>
        <v>🏘️ Louer appartement Charmey (Gruyère) ✅ Trouvez le bien immobilier qui correspond idéalement à vos désirs sur ImmoScout24 - La plateforme de l'immobilier en Suisse.</v>
      </c>
      <c r="D578" s="4" t="str">
        <f>vlookup(A578, Sheet2!D:E, 2, 0)</f>
        <v>variant</v>
      </c>
      <c r="E578" s="4" t="str">
        <f>IFERROR(__xludf.DUMMYFUNCTION("if(H578=""pays"",vlookup(REGEXEXTRACT(C578, ""🏘️ \w+ \w+ (.*) ✅""),'Country prepositions'!A:B, 2, 0) &amp; "" "" &amp; REGEXEXTRACT(C578, ""🏘️ \w+ \w+ (.*) ✅"") ,  if(H578=""quartier"",vlookup(REGEXEXTRACT(C578, ""🏘️ \w+ \w+ (.*) ✅""),'Quartier prepositions'!A"&amp;":E, 5, 0) ,  if(H578=""region"",vlookup(REGEXEXTRACT(C578, ""🏘️ \w+ \w+ (.*) ✅""),'Region prepositions'!B:F, 5, 0),  REGEXEXTRACT(C578, ""🏘️ \w+ \w+ (.*) ✅""))))"),"Charmey (Gruyère)")</f>
        <v>Charmey (Gruyère)</v>
      </c>
      <c r="F578" s="2" t="str">
        <f>IFERROR(__xludf.DUMMYFUNCTION("REGEXEXTRACT(C578, ""🏘️ (\w+) \w+ .* ✅"")"),"Louer")</f>
        <v>Louer</v>
      </c>
      <c r="G578" s="2" t="str">
        <f>IFERROR(__xludf.DUMMYFUNCTION("REGEXEXTRACT(C578, ""🏘️ \w+ (\w+) .* ✅"")"),"appartement")</f>
        <v>appartement</v>
      </c>
      <c r="H578" s="4" t="str">
        <f>IFERROR(__xludf.DUMMYFUNCTION("REGEXEXTRACT(A578, ""/(\w+)-.*?"")"),"lieu")</f>
        <v>lieu</v>
      </c>
      <c r="I578" s="4" t="str">
        <f>IFERROR(__xludf.DUMMYFUNCTION("if(D578=""variant"",  substitute(filter(Templates!E:E, Templates!A:A = F578, Templates!B:B = G578, Templates!C:C = H578), ""{{}}"", E578), B578)"),"🏘  Vous cherchez un appartement à louer à Charmey (Gruyère)? ✅ Les annonces les plus actuelles sont sur ImmoScout24.ch.")</f>
        <v>🏘  Vous cherchez un appartement à louer à Charmey (Gruyère)? ✅ Les annonces les plus actuelles sont sur ImmoScout24.ch.</v>
      </c>
      <c r="J578" s="4" t="s">
        <v>1741</v>
      </c>
    </row>
    <row r="579">
      <c r="A579" s="5" t="s">
        <v>1742</v>
      </c>
      <c r="B579" s="2" t="s">
        <v>1743</v>
      </c>
      <c r="C579" s="4" t="str">
        <f>IFERROR(__xludf.DUMMYFUNCTION("""🏘️ ""&amp;REGEXEXTRACT(B579, ""^(.*): "")&amp;"" ✅ "" &amp;REGEXEXTRACT(B579, ""(Trouvez.*)"")"),"🏘️ Louer appartement Münchwilen TG ✅ Trouvez le bien immobilier qui correspond idéalement à vos désirs sur ImmoScout24 - La plateforme de l'immobilier en Suisse.")</f>
        <v>🏘️ Louer appartement Münchwilen TG ✅ Trouvez le bien immobilier qui correspond idéalement à vos désirs sur ImmoScout24 - La plateforme de l'immobilier en Suisse.</v>
      </c>
      <c r="D579" s="4" t="str">
        <f>vlookup(A579, Sheet2!D:E, 2, 0)</f>
        <v>variant</v>
      </c>
      <c r="E579" s="4" t="str">
        <f>IFERROR(__xludf.DUMMYFUNCTION("if(H579=""pays"",vlookup(REGEXEXTRACT(C579, ""🏘️ \w+ \w+ (.*) ✅""),'Country prepositions'!A:B, 2, 0) &amp; "" "" &amp; REGEXEXTRACT(C579, ""🏘️ \w+ \w+ (.*) ✅"") ,  if(H579=""quartier"",vlookup(REGEXEXTRACT(C579, ""🏘️ \w+ \w+ (.*) ✅""),'Quartier prepositions'!A"&amp;":E, 5, 0) ,  if(H579=""region"",vlookup(REGEXEXTRACT(C579, ""🏘️ \w+ \w+ (.*) ✅""),'Region prepositions'!B:F, 5, 0),  REGEXEXTRACT(C579, ""🏘️ \w+ \w+ (.*) ✅""))))"),"Münchwilen TG")</f>
        <v>Münchwilen TG</v>
      </c>
      <c r="F579" s="2" t="str">
        <f>IFERROR(__xludf.DUMMYFUNCTION("REGEXEXTRACT(C579, ""🏘️ (\w+) \w+ .* ✅"")"),"Louer")</f>
        <v>Louer</v>
      </c>
      <c r="G579" s="2" t="str">
        <f>IFERROR(__xludf.DUMMYFUNCTION("REGEXEXTRACT(C579, ""🏘️ \w+ (\w+) .* ✅"")"),"appartement")</f>
        <v>appartement</v>
      </c>
      <c r="H579" s="4" t="str">
        <f>IFERROR(__xludf.DUMMYFUNCTION("REGEXEXTRACT(A579, ""/(\w+)-.*?"")"),"lieu")</f>
        <v>lieu</v>
      </c>
      <c r="I579" s="4" t="str">
        <f>IFERROR(__xludf.DUMMYFUNCTION("if(D579=""variant"",  substitute(filter(Templates!E:E, Templates!A:A = F579, Templates!B:B = G579, Templates!C:C = H579), ""{{}}"", E579), B579)"),"🏘  Vous cherchez un appartement à louer à Münchwilen TG? ✅ Les annonces les plus actuelles sont sur ImmoScout24.ch.")</f>
        <v>🏘  Vous cherchez un appartement à louer à Münchwilen TG? ✅ Les annonces les plus actuelles sont sur ImmoScout24.ch.</v>
      </c>
      <c r="J579" s="4" t="s">
        <v>1744</v>
      </c>
    </row>
    <row r="580">
      <c r="A580" s="5" t="s">
        <v>1745</v>
      </c>
      <c r="B580" s="2" t="s">
        <v>1746</v>
      </c>
      <c r="C580" s="4" t="str">
        <f>IFERROR(__xludf.DUMMYFUNCTION("""🏘️ ""&amp;REGEXEXTRACT(B580, ""^(.*): "")&amp;"" ✅ "" &amp;REGEXEXTRACT(B580, ""(Trouvez.*)"")"),"🏘️ Louer appartement Reverolle ✅ Trouvez le bien immobilier qui correspond idéalement à vos désirs sur ImmoScout24 - La plateforme de l'immobilier en Suisse.")</f>
        <v>🏘️ Louer appartement Reverolle ✅ Trouvez le bien immobilier qui correspond idéalement à vos désirs sur ImmoScout24 - La plateforme de l'immobilier en Suisse.</v>
      </c>
      <c r="D580" s="4" t="str">
        <f>vlookup(A580, Sheet2!D:E, 2, 0)</f>
        <v>variant</v>
      </c>
      <c r="E580" s="4" t="str">
        <f>IFERROR(__xludf.DUMMYFUNCTION("if(H580=""pays"",vlookup(REGEXEXTRACT(C580, ""🏘️ \w+ \w+ (.*) ✅""),'Country prepositions'!A:B, 2, 0) &amp; "" "" &amp; REGEXEXTRACT(C580, ""🏘️ \w+ \w+ (.*) ✅"") ,  if(H580=""quartier"",vlookup(REGEXEXTRACT(C580, ""🏘️ \w+ \w+ (.*) ✅""),'Quartier prepositions'!A"&amp;":E, 5, 0) ,  if(H580=""region"",vlookup(REGEXEXTRACT(C580, ""🏘️ \w+ \w+ (.*) ✅""),'Region prepositions'!B:F, 5, 0),  REGEXEXTRACT(C580, ""🏘️ \w+ \w+ (.*) ✅""))))"),"Reverolle")</f>
        <v>Reverolle</v>
      </c>
      <c r="F580" s="2" t="str">
        <f>IFERROR(__xludf.DUMMYFUNCTION("REGEXEXTRACT(C580, ""🏘️ (\w+) \w+ .* ✅"")"),"Louer")</f>
        <v>Louer</v>
      </c>
      <c r="G580" s="2" t="str">
        <f>IFERROR(__xludf.DUMMYFUNCTION("REGEXEXTRACT(C580, ""🏘️ \w+ (\w+) .* ✅"")"),"appartement")</f>
        <v>appartement</v>
      </c>
      <c r="H580" s="4" t="str">
        <f>IFERROR(__xludf.DUMMYFUNCTION("REGEXEXTRACT(A580, ""/(\w+)-.*?"")"),"lieu")</f>
        <v>lieu</v>
      </c>
      <c r="I580" s="4" t="str">
        <f>IFERROR(__xludf.DUMMYFUNCTION("if(D580=""variant"",  substitute(filter(Templates!E:E, Templates!A:A = F580, Templates!B:B = G580, Templates!C:C = H580), ""{{}}"", E580), B580)"),"🏘  Vous cherchez un appartement à louer à Reverolle? ✅ Les annonces les plus actuelles sont sur ImmoScout24.ch.")</f>
        <v>🏘  Vous cherchez un appartement à louer à Reverolle? ✅ Les annonces les plus actuelles sont sur ImmoScout24.ch.</v>
      </c>
      <c r="J580" s="4" t="s">
        <v>1747</v>
      </c>
    </row>
    <row r="581">
      <c r="A581" s="5" t="s">
        <v>1748</v>
      </c>
      <c r="B581" s="2" t="s">
        <v>1749</v>
      </c>
      <c r="C581" s="4" t="str">
        <f>IFERROR(__xludf.DUMMYFUNCTION("""🏘️ ""&amp;REGEXEXTRACT(B581, ""^(.*): "")&amp;"" ✅ "" &amp;REGEXEXTRACT(B581, ""(Trouvez.*)"")"),"🏘️ Louer appartement Lengnau BE ✅ Trouvez le bien immobilier qui correspond idéalement à vos désirs sur ImmoScout24 - La plateforme de l'immobilier en Suisse.")</f>
        <v>🏘️ Louer appartement Lengnau BE ✅ Trouvez le bien immobilier qui correspond idéalement à vos désirs sur ImmoScout24 - La plateforme de l'immobilier en Suisse.</v>
      </c>
      <c r="D581" s="4" t="str">
        <f>vlookup(A581, Sheet2!D:E, 2, 0)</f>
        <v>variant</v>
      </c>
      <c r="E581" s="4" t="str">
        <f>IFERROR(__xludf.DUMMYFUNCTION("if(H581=""pays"",vlookup(REGEXEXTRACT(C581, ""🏘️ \w+ \w+ (.*) ✅""),'Country prepositions'!A:B, 2, 0) &amp; "" "" &amp; REGEXEXTRACT(C581, ""🏘️ \w+ \w+ (.*) ✅"") ,  if(H581=""quartier"",vlookup(REGEXEXTRACT(C581, ""🏘️ \w+ \w+ (.*) ✅""),'Quartier prepositions'!A"&amp;":E, 5, 0) ,  if(H581=""region"",vlookup(REGEXEXTRACT(C581, ""🏘️ \w+ \w+ (.*) ✅""),'Region prepositions'!B:F, 5, 0),  REGEXEXTRACT(C581, ""🏘️ \w+ \w+ (.*) ✅""))))"),"Lengnau BE")</f>
        <v>Lengnau BE</v>
      </c>
      <c r="F581" s="2" t="str">
        <f>IFERROR(__xludf.DUMMYFUNCTION("REGEXEXTRACT(C581, ""🏘️ (\w+) \w+ .* ✅"")"),"Louer")</f>
        <v>Louer</v>
      </c>
      <c r="G581" s="2" t="str">
        <f>IFERROR(__xludf.DUMMYFUNCTION("REGEXEXTRACT(C581, ""🏘️ \w+ (\w+) .* ✅"")"),"appartement")</f>
        <v>appartement</v>
      </c>
      <c r="H581" s="4" t="str">
        <f>IFERROR(__xludf.DUMMYFUNCTION("REGEXEXTRACT(A581, ""/(\w+)-.*?"")"),"lieu")</f>
        <v>lieu</v>
      </c>
      <c r="I581" s="4" t="str">
        <f>IFERROR(__xludf.DUMMYFUNCTION("if(D581=""variant"",  substitute(filter(Templates!E:E, Templates!A:A = F581, Templates!B:B = G581, Templates!C:C = H581), ""{{}}"", E581), B581)"),"🏘  Vous cherchez un appartement à louer à Lengnau BE? ✅ Les annonces les plus actuelles sont sur ImmoScout24.ch.")</f>
        <v>🏘  Vous cherchez un appartement à louer à Lengnau BE? ✅ Les annonces les plus actuelles sont sur ImmoScout24.ch.</v>
      </c>
      <c r="J581" s="2" t="s">
        <v>1750</v>
      </c>
    </row>
    <row r="582">
      <c r="A582" s="5" t="s">
        <v>1751</v>
      </c>
      <c r="B582" s="2" t="s">
        <v>1752</v>
      </c>
      <c r="C582" s="4" t="str">
        <f>IFERROR(__xludf.DUMMYFUNCTION("""🏘️ ""&amp;REGEXEXTRACT(B582, ""^(.*): "")&amp;"" ✅ "" &amp;REGEXEXTRACT(B582, ""(Trouvez.*)"")"),"🏘️ Vendre maison Blausee-Mitholz ✅ Trouvez le bien immobilier qui correspond idéalement à vos désirs sur ImmoScout24 - La plateforme de l'immobilier en Suisse.")</f>
        <v>🏘️ Vendre maison Blausee-Mitholz ✅ Trouvez le bien immobilier qui correspond idéalement à vos désirs sur ImmoScout24 - La plateforme de l'immobilier en Suisse.</v>
      </c>
      <c r="D582" s="4" t="str">
        <f>vlookup(A582, Sheet2!D:E, 2, 0)</f>
        <v>variant</v>
      </c>
      <c r="E582" s="4" t="str">
        <f>IFERROR(__xludf.DUMMYFUNCTION("if(H582=""pays"",vlookup(REGEXEXTRACT(C582, ""🏘️ \w+ \w+ (.*) ✅""),'Country prepositions'!A:B, 2, 0) &amp; "" "" &amp; REGEXEXTRACT(C582, ""🏘️ \w+ \w+ (.*) ✅"") ,  if(H582=""quartier"",vlookup(REGEXEXTRACT(C582, ""🏘️ \w+ \w+ (.*) ✅""),'Quartier prepositions'!A"&amp;":E, 5, 0) ,  if(H582=""region"",vlookup(REGEXEXTRACT(C582, ""🏘️ \w+ \w+ (.*) ✅""),'Region prepositions'!B:F, 5, 0),  REGEXEXTRACT(C582, ""🏘️ \w+ \w+ (.*) ✅""))))"),"Blausee-Mitholz")</f>
        <v>Blausee-Mitholz</v>
      </c>
      <c r="F582" s="2" t="str">
        <f>IFERROR(__xludf.DUMMYFUNCTION("REGEXEXTRACT(C582, ""🏘️ (\w+) \w+ .* ✅"")"),"Vendre")</f>
        <v>Vendre</v>
      </c>
      <c r="G582" s="2" t="str">
        <f>IFERROR(__xludf.DUMMYFUNCTION("REGEXEXTRACT(C582, ""🏘️ \w+ (\w+) .* ✅"")"),"maison")</f>
        <v>maison</v>
      </c>
      <c r="H582" s="4" t="str">
        <f>IFERROR(__xludf.DUMMYFUNCTION("REGEXEXTRACT(A582, ""/(\w+)-.*?"")"),"lieu")</f>
        <v>lieu</v>
      </c>
      <c r="I582" s="4" t="str">
        <f>IFERROR(__xludf.DUMMYFUNCTION("if(D582=""variant"",  substitute(filter(Templates!E:E, Templates!A:A = F582, Templates!B:B = G582, Templates!C:C = H582), ""{{}}"", E582), B582)"),"🏘  Vous souhaitez acheter une maison à Blausee-Mitholz? ✅ Jetez un œil aux dernières offres sur ImmoScout24.ch.")</f>
        <v>🏘  Vous souhaitez acheter une maison à Blausee-Mitholz? ✅ Jetez un œil aux dernières offres sur ImmoScout24.ch.</v>
      </c>
      <c r="J582" s="4" t="s">
        <v>1753</v>
      </c>
    </row>
    <row r="583">
      <c r="A583" s="5" t="s">
        <v>1754</v>
      </c>
      <c r="B583" s="2" t="s">
        <v>1755</v>
      </c>
      <c r="C583" s="4" t="str">
        <f>IFERROR(__xludf.DUMMYFUNCTION("""🏘️ ""&amp;REGEXEXTRACT(B583, ""^(.*): "")&amp;"" ✅ "" &amp;REGEXEXTRACT(B583, ""(Trouvez.*)"")"),"🏘️ Vendre maison Riaz ✅ Trouvez le bien immobilier qui correspond idéalement à vos désirs sur ImmoScout24 - La plateforme de l'immobilier en Suisse.")</f>
        <v>🏘️ Vendre maison Riaz ✅ Trouvez le bien immobilier qui correspond idéalement à vos désirs sur ImmoScout24 - La plateforme de l'immobilier en Suisse.</v>
      </c>
      <c r="D583" s="4" t="str">
        <f>vlookup(A583, Sheet2!D:E, 2, 0)</f>
        <v>variant</v>
      </c>
      <c r="E583" s="4" t="str">
        <f>IFERROR(__xludf.DUMMYFUNCTION("if(H583=""pays"",vlookup(REGEXEXTRACT(C583, ""🏘️ \w+ \w+ (.*) ✅""),'Country prepositions'!A:B, 2, 0) &amp; "" "" &amp; REGEXEXTRACT(C583, ""🏘️ \w+ \w+ (.*) ✅"") ,  if(H583=""quartier"",vlookup(REGEXEXTRACT(C583, ""🏘️ \w+ \w+ (.*) ✅""),'Quartier prepositions'!A"&amp;":E, 5, 0) ,  if(H583=""region"",vlookup(REGEXEXTRACT(C583, ""🏘️ \w+ \w+ (.*) ✅""),'Region prepositions'!B:F, 5, 0),  REGEXEXTRACT(C583, ""🏘️ \w+ \w+ (.*) ✅""))))"),"Riaz")</f>
        <v>Riaz</v>
      </c>
      <c r="F583" s="2" t="str">
        <f>IFERROR(__xludf.DUMMYFUNCTION("REGEXEXTRACT(C583, ""🏘️ (\w+) \w+ .* ✅"")"),"Vendre")</f>
        <v>Vendre</v>
      </c>
      <c r="G583" s="2" t="str">
        <f>IFERROR(__xludf.DUMMYFUNCTION("REGEXEXTRACT(C583, ""🏘️ \w+ (\w+) .* ✅"")"),"maison")</f>
        <v>maison</v>
      </c>
      <c r="H583" s="4" t="str">
        <f>IFERROR(__xludf.DUMMYFUNCTION("REGEXEXTRACT(A583, ""/(\w+)-.*?"")"),"lieu")</f>
        <v>lieu</v>
      </c>
      <c r="I583" s="4" t="str">
        <f>IFERROR(__xludf.DUMMYFUNCTION("if(D583=""variant"",  substitute(filter(Templates!E:E, Templates!A:A = F583, Templates!B:B = G583, Templates!C:C = H583), ""{{}}"", E583), B583)"),"🏘  Vous souhaitez acheter une maison à Riaz? ✅ Jetez un œil aux dernières offres sur ImmoScout24.ch.")</f>
        <v>🏘  Vous souhaitez acheter une maison à Riaz? ✅ Jetez un œil aux dernières offres sur ImmoScout24.ch.</v>
      </c>
      <c r="J583" s="4" t="s">
        <v>1756</v>
      </c>
    </row>
    <row r="584">
      <c r="A584" s="5" t="s">
        <v>1757</v>
      </c>
      <c r="B584" s="2" t="s">
        <v>1758</v>
      </c>
      <c r="C584" s="4" t="str">
        <f>IFERROR(__xludf.DUMMYFUNCTION("""🏘️ ""&amp;REGEXEXTRACT(B584, ""^(.*): "")&amp;"" ✅ "" &amp;REGEXEXTRACT(B584, ""(Trouvez.*)"")"),"🏘️ Vendre appartement Winterthur ✅ Trouvez le bien immobilier qui correspond idéalement à vos désirs sur ImmoScout24 - La plateforme de l'immobilier en Suisse.")</f>
        <v>🏘️ Vendre appartement Winterthur ✅ Trouvez le bien immobilier qui correspond idéalement à vos désirs sur ImmoScout24 - La plateforme de l'immobilier en Suisse.</v>
      </c>
      <c r="D584" s="4" t="str">
        <f>vlookup(A584, Sheet2!D:E, 2, 0)</f>
        <v>variant</v>
      </c>
      <c r="E584" s="4" t="str">
        <f>IFERROR(__xludf.DUMMYFUNCTION("if(H584=""pays"",vlookup(REGEXEXTRACT(C584, ""🏘️ \w+ \w+ (.*) ✅""),'Country prepositions'!A:B, 2, 0) &amp; "" "" &amp; REGEXEXTRACT(C584, ""🏘️ \w+ \w+ (.*) ✅"") ,  if(H584=""quartier"",vlookup(REGEXEXTRACT(C584, ""🏘️ \w+ \w+ (.*) ✅""),'Quartier prepositions'!A"&amp;":E, 5, 0) ,  if(H584=""region"",vlookup(REGEXEXTRACT(C584, ""🏘️ \w+ \w+ (.*) ✅""),'Region prepositions'!B:F, 5, 0),  REGEXEXTRACT(C584, ""🏘️ \w+ \w+ (.*) ✅""))))"),"Winterthur")</f>
        <v>Winterthur</v>
      </c>
      <c r="F584" s="2" t="str">
        <f>IFERROR(__xludf.DUMMYFUNCTION("REGEXEXTRACT(C584, ""🏘️ (\w+) \w+ .* ✅"")"),"Vendre")</f>
        <v>Vendre</v>
      </c>
      <c r="G584" s="2" t="str">
        <f>IFERROR(__xludf.DUMMYFUNCTION("REGEXEXTRACT(C584, ""🏘️ \w+ (\w+) .* ✅"")"),"appartement")</f>
        <v>appartement</v>
      </c>
      <c r="H584" s="4" t="str">
        <f>IFERROR(__xludf.DUMMYFUNCTION("REGEXEXTRACT(A584, ""/(\w+)-.*?"")"),"lieu")</f>
        <v>lieu</v>
      </c>
      <c r="I584" s="4" t="str">
        <f>IFERROR(__xludf.DUMMYFUNCTION("if(D584=""variant"",  substitute(filter(Templates!E:E, Templates!A:A = F584, Templates!B:B = G584, Templates!C:C = H584), ""{{}}"", E584), B584)"),"🏘  L’appartement de vos rêves se trouve sur ImmoScout24.ch ✅ Découvrez les dernières annonces de vente à Winterthur.")</f>
        <v>🏘  L’appartement de vos rêves se trouve sur ImmoScout24.ch ✅ Découvrez les dernières annonces de vente à Winterthur.</v>
      </c>
      <c r="J584" s="4" t="s">
        <v>1759</v>
      </c>
    </row>
    <row r="585">
      <c r="A585" s="5" t="s">
        <v>1760</v>
      </c>
      <c r="B585" s="2" t="s">
        <v>1761</v>
      </c>
      <c r="C585" s="4" t="str">
        <f>IFERROR(__xludf.DUMMYFUNCTION("""🏘️ ""&amp;REGEXEXTRACT(B585, ""^(.*): "")&amp;"" ✅ "" &amp;REGEXEXTRACT(B585, ""(Trouvez.*)"")"),"🏘️ Vendre maison Glovelier ✅ Trouvez le bien immobilier qui correspond idéalement à vos désirs sur ImmoScout24 - La plateforme de l'immobilier en Suisse.")</f>
        <v>🏘️ Vendre maison Glovelier ✅ Trouvez le bien immobilier qui correspond idéalement à vos désirs sur ImmoScout24 - La plateforme de l'immobilier en Suisse.</v>
      </c>
      <c r="D585" s="4" t="str">
        <f>vlookup(A585, Sheet2!D:E, 2, 0)</f>
        <v>variant</v>
      </c>
      <c r="E585" s="4" t="str">
        <f>IFERROR(__xludf.DUMMYFUNCTION("if(H585=""pays"",vlookup(REGEXEXTRACT(C585, ""🏘️ \w+ \w+ (.*) ✅""),'Country prepositions'!A:B, 2, 0) &amp; "" "" &amp; REGEXEXTRACT(C585, ""🏘️ \w+ \w+ (.*) ✅"") ,  if(H585=""quartier"",vlookup(REGEXEXTRACT(C585, ""🏘️ \w+ \w+ (.*) ✅""),'Quartier prepositions'!A"&amp;":E, 5, 0) ,  if(H585=""region"",vlookup(REGEXEXTRACT(C585, ""🏘️ \w+ \w+ (.*) ✅""),'Region prepositions'!B:F, 5, 0),  REGEXEXTRACT(C585, ""🏘️ \w+ \w+ (.*) ✅""))))"),"Glovelier")</f>
        <v>Glovelier</v>
      </c>
      <c r="F585" s="2" t="str">
        <f>IFERROR(__xludf.DUMMYFUNCTION("REGEXEXTRACT(C585, ""🏘️ (\w+) \w+ .* ✅"")"),"Vendre")</f>
        <v>Vendre</v>
      </c>
      <c r="G585" s="2" t="str">
        <f>IFERROR(__xludf.DUMMYFUNCTION("REGEXEXTRACT(C585, ""🏘️ \w+ (\w+) .* ✅"")"),"maison")</f>
        <v>maison</v>
      </c>
      <c r="H585" s="4" t="str">
        <f>IFERROR(__xludf.DUMMYFUNCTION("REGEXEXTRACT(A585, ""/(\w+)-.*?"")"),"lieu")</f>
        <v>lieu</v>
      </c>
      <c r="I585" s="4" t="str">
        <f>IFERROR(__xludf.DUMMYFUNCTION("if(D585=""variant"",  substitute(filter(Templates!E:E, Templates!A:A = F585, Templates!B:B = G585, Templates!C:C = H585), ""{{}}"", E585), B585)"),"🏘  Vous souhaitez acheter une maison à Glovelier? ✅ Jetez un œil aux dernières offres sur ImmoScout24.ch.")</f>
        <v>🏘  Vous souhaitez acheter une maison à Glovelier? ✅ Jetez un œil aux dernières offres sur ImmoScout24.ch.</v>
      </c>
      <c r="J585" s="4" t="s">
        <v>1762</v>
      </c>
    </row>
    <row r="586">
      <c r="A586" s="3" t="s">
        <v>1763</v>
      </c>
      <c r="B586" s="2" t="s">
        <v>1764</v>
      </c>
      <c r="C586" s="4" t="str">
        <f>IFERROR(__xludf.DUMMYFUNCTION("""🏘️ ""&amp;REGEXEXTRACT(B586, ""^(.*): "")&amp;"" ✅ "" &amp;REGEXEXTRACT(B586, ""(Trouvez.*)"")"),"🏘️ Louer appartement Canton de Soleure ✅ Trouvez le bien immobilier qui correspond idéalement à vos désirs sur ImmoScout24 - La plateforme de l'immobilier en Suisse.")</f>
        <v>🏘️ Louer appartement Canton de Soleure ✅ Trouvez le bien immobilier qui correspond idéalement à vos désirs sur ImmoScout24 - La plateforme de l'immobilier en Suisse.</v>
      </c>
      <c r="D586" s="4" t="str">
        <f>vlookup(A586, Sheet2!D:E, 2, 0)</f>
        <v>variant</v>
      </c>
      <c r="E586" s="4" t="str">
        <f>IFERROR(__xludf.DUMMYFUNCTION("if(H586=""pays"",vlookup(REGEXEXTRACT(C586, ""🏘️ \w+ \w+ (.*) ✅""),'Country prepositions'!A:B, 2, 0) &amp; "" "" &amp; REGEXEXTRACT(C586, ""🏘️ \w+ \w+ (.*) ✅"") ,  if(H586=""quartier"",vlookup(REGEXEXTRACT(C586, ""🏘️ \w+ \w+ (.*) ✅""),'Quartier prepositions'!A"&amp;":E, 5, 0) ,  if(H586=""region"",vlookup(REGEXEXTRACT(C586, ""🏘️ \w+ \w+ (.*) ✅""),'Region prepositions'!B:F, 5, 0),  REGEXEXTRACT(C586, ""🏘️ \w+ \w+ (.*) ✅""))))"),"Canton de Soleure")</f>
        <v>Canton de Soleure</v>
      </c>
      <c r="F586" s="2" t="str">
        <f>IFERROR(__xludf.DUMMYFUNCTION("REGEXEXTRACT(C586, ""🏘️ (\w+) \w+ .* ✅"")"),"Louer")</f>
        <v>Louer</v>
      </c>
      <c r="G586" s="2" t="str">
        <f>IFERROR(__xludf.DUMMYFUNCTION("REGEXEXTRACT(C586, ""🏘️ \w+ (\w+) .* ✅"")"),"appartement")</f>
        <v>appartement</v>
      </c>
      <c r="H586" s="4" t="str">
        <f>IFERROR(__xludf.DUMMYFUNCTION("REGEXEXTRACT(A586, ""/(\w+)-.*?"")"),"canton")</f>
        <v>canton</v>
      </c>
      <c r="I586" s="4" t="str">
        <f>IFERROR(__xludf.DUMMYFUNCTION("if(D586=""variant"",  substitute(filter(Templates!E:E, Templates!A:A = F586, Templates!B:B = G586, Templates!C:C = H586), ""{{}}"", E586), B586)"),"🏘  Vous cherchez un appartement à louer dans le Canton de Soleure? ✅ Les annonces les plus actuelles sont sur ImmoScout24.ch.")</f>
        <v>🏘  Vous cherchez un appartement à louer dans le Canton de Soleure? ✅ Les annonces les plus actuelles sont sur ImmoScout24.ch.</v>
      </c>
      <c r="J586" s="4" t="s">
        <v>1765</v>
      </c>
    </row>
    <row r="587">
      <c r="A587" s="5" t="s">
        <v>1766</v>
      </c>
      <c r="B587" s="2" t="s">
        <v>1767</v>
      </c>
      <c r="C587" s="4" t="str">
        <f>IFERROR(__xludf.DUMMYFUNCTION("""🏘️ ""&amp;REGEXEXTRACT(B587, ""^(.*): "")&amp;"" ✅ "" &amp;REGEXEXTRACT(B587, ""(Trouvez.*)"")"),"🏘️ Vendre maison Champ-du-Moulin ✅ Trouvez le bien immobilier qui correspond idéalement à vos désirs sur ImmoScout24 - La plateforme de l'immobilier en Suisse.")</f>
        <v>🏘️ Vendre maison Champ-du-Moulin ✅ Trouvez le bien immobilier qui correspond idéalement à vos désirs sur ImmoScout24 - La plateforme de l'immobilier en Suisse.</v>
      </c>
      <c r="D587" s="4" t="str">
        <f>vlookup(A587, Sheet2!D:E, 2, 0)</f>
        <v>variant</v>
      </c>
      <c r="E587" s="4" t="str">
        <f>IFERROR(__xludf.DUMMYFUNCTION("if(H587=""pays"",vlookup(REGEXEXTRACT(C587, ""🏘️ \w+ \w+ (.*) ✅""),'Country prepositions'!A:B, 2, 0) &amp; "" "" &amp; REGEXEXTRACT(C587, ""🏘️ \w+ \w+ (.*) ✅"") ,  if(H587=""quartier"",vlookup(REGEXEXTRACT(C587, ""🏘️ \w+ \w+ (.*) ✅""),'Quartier prepositions'!A"&amp;":E, 5, 0) ,  if(H587=""region"",vlookup(REGEXEXTRACT(C587, ""🏘️ \w+ \w+ (.*) ✅""),'Region prepositions'!B:F, 5, 0),  REGEXEXTRACT(C587, ""🏘️ \w+ \w+ (.*) ✅""))))"),"Champ-du-Moulin")</f>
        <v>Champ-du-Moulin</v>
      </c>
      <c r="F587" s="2" t="str">
        <f>IFERROR(__xludf.DUMMYFUNCTION("REGEXEXTRACT(C587, ""🏘️ (\w+) \w+ .* ✅"")"),"Vendre")</f>
        <v>Vendre</v>
      </c>
      <c r="G587" s="2" t="str">
        <f>IFERROR(__xludf.DUMMYFUNCTION("REGEXEXTRACT(C587, ""🏘️ \w+ (\w+) .* ✅"")"),"maison")</f>
        <v>maison</v>
      </c>
      <c r="H587" s="4" t="str">
        <f>IFERROR(__xludf.DUMMYFUNCTION("REGEXEXTRACT(A587, ""/(\w+)-.*?"")"),"lieu")</f>
        <v>lieu</v>
      </c>
      <c r="I587" s="4" t="str">
        <f>IFERROR(__xludf.DUMMYFUNCTION("if(D587=""variant"",  substitute(filter(Templates!E:E, Templates!A:A = F587, Templates!B:B = G587, Templates!C:C = H587), ""{{}}"", E587), B587)"),"🏘  Vous souhaitez acheter une maison à Champ-du-Moulin? ✅ Jetez un œil aux dernières offres sur ImmoScout24.ch.")</f>
        <v>🏘  Vous souhaitez acheter une maison à Champ-du-Moulin? ✅ Jetez un œil aux dernières offres sur ImmoScout24.ch.</v>
      </c>
      <c r="J587" s="4" t="s">
        <v>1768</v>
      </c>
    </row>
    <row r="588">
      <c r="A588" s="5" t="s">
        <v>1769</v>
      </c>
      <c r="B588" s="2" t="s">
        <v>1770</v>
      </c>
      <c r="C588" s="4" t="str">
        <f>IFERROR(__xludf.DUMMYFUNCTION("""🏘️ ""&amp;REGEXEXTRACT(B588, ""^(.*): "")&amp;"" ✅ "" &amp;REGEXEXTRACT(B588, ""(Trouvez.*)"")"),"🏘️ Louer appartement Bethlehem (Berne) ✅ Trouvez le bien immobilier qui correspond idéalement à vos désirs sur ImmoScout24 - La plateforme de l'immobilier en Suisse.")</f>
        <v>🏘️ Louer appartement Bethlehem (Berne) ✅ Trouvez le bien immobilier qui correspond idéalement à vos désirs sur ImmoScout24 - La plateforme de l'immobilier en Suisse.</v>
      </c>
      <c r="D588" s="4" t="str">
        <f>vlookup(A588, Sheet2!D:E, 2, 0)</f>
        <v>variant</v>
      </c>
      <c r="E588" s="4" t="str">
        <f>IFERROR(__xludf.DUMMYFUNCTION("if(H588=""pays"",vlookup(REGEXEXTRACT(C588, ""🏘️ \w+ \w+ (.*) ✅""),'Country prepositions'!A:B, 2, 0) &amp; "" "" &amp; REGEXEXTRACT(C588, ""🏘️ \w+ \w+ (.*) ✅"") ,  if(H588=""quartier"",vlookup(REGEXEXTRACT(C588, ""🏘️ \w+ \w+ (.*) ✅""),'Quartier prepositions'!A"&amp;":E, 5, 0) ,  if(H588=""region"",vlookup(REGEXEXTRACT(C588, ""🏘️ \w+ \w+ (.*) ✅""),'Region prepositions'!B:F, 5, 0),  REGEXEXTRACT(C588, ""🏘️ \w+ \w+ (.*) ✅""))))"),"dans le quartier de Bethlehem (Berne)")</f>
        <v>dans le quartier de Bethlehem (Berne)</v>
      </c>
      <c r="F588" s="2" t="str">
        <f>IFERROR(__xludf.DUMMYFUNCTION("REGEXEXTRACT(C588, ""🏘️ (\w+) \w+ .* ✅"")"),"Louer")</f>
        <v>Louer</v>
      </c>
      <c r="G588" s="2" t="str">
        <f>IFERROR(__xludf.DUMMYFUNCTION("REGEXEXTRACT(C588, ""🏘️ \w+ (\w+) .* ✅"")"),"appartement")</f>
        <v>appartement</v>
      </c>
      <c r="H588" s="4" t="str">
        <f>IFERROR(__xludf.DUMMYFUNCTION("REGEXEXTRACT(A588, ""/(\w+)-.*?"")"),"quartier")</f>
        <v>quartier</v>
      </c>
      <c r="I588" s="4" t="str">
        <f>IFERROR(__xludf.DUMMYFUNCTION("if(D588=""variant"",  substitute(filter(Templates!E:E, Templates!A:A = F588, Templates!B:B = G588, Templates!C:C = H588), ""{{}}"", E588), B588)"),"🏘  Vous cherchez un appartement à louer dans le quartier de Bethlehem (Berne)? ✅ Les annonces les plus actuelles sont sur ImmoScout24.ch.")</f>
        <v>🏘  Vous cherchez un appartement à louer dans le quartier de Bethlehem (Berne)? ✅ Les annonces les plus actuelles sont sur ImmoScout24.ch.</v>
      </c>
      <c r="J588" s="4" t="s">
        <v>1771</v>
      </c>
    </row>
    <row r="589">
      <c r="A589" s="5" t="s">
        <v>1772</v>
      </c>
      <c r="B589" s="2" t="s">
        <v>1773</v>
      </c>
      <c r="C589" s="4" t="str">
        <f>IFERROR(__xludf.DUMMYFUNCTION("""🏘️ ""&amp;REGEXEXTRACT(B589, ""^(.*): "")&amp;"" ✅ "" &amp;REGEXEXTRACT(B589, ""(Trouvez.*)"")"),"🏘️ Vendre appartement Chapelle-sur-Moudon ✅ Trouvez le bien immobilier qui correspond idéalement à vos désirs sur ImmoScout24 - La plateforme de l'immobilier en Suisse.")</f>
        <v>🏘️ Vendre appartement Chapelle-sur-Moudon ✅ Trouvez le bien immobilier qui correspond idéalement à vos désirs sur ImmoScout24 - La plateforme de l'immobilier en Suisse.</v>
      </c>
      <c r="D589" s="4" t="str">
        <f>vlookup(A589, Sheet2!D:E, 2, 0)</f>
        <v>variant</v>
      </c>
      <c r="E589" s="4" t="str">
        <f>IFERROR(__xludf.DUMMYFUNCTION("if(H589=""pays"",vlookup(REGEXEXTRACT(C589, ""🏘️ \w+ \w+ (.*) ✅""),'Country prepositions'!A:B, 2, 0) &amp; "" "" &amp; REGEXEXTRACT(C589, ""🏘️ \w+ \w+ (.*) ✅"") ,  if(H589=""quartier"",vlookup(REGEXEXTRACT(C589, ""🏘️ \w+ \w+ (.*) ✅""),'Quartier prepositions'!A"&amp;":E, 5, 0) ,  if(H589=""region"",vlookup(REGEXEXTRACT(C589, ""🏘️ \w+ \w+ (.*) ✅""),'Region prepositions'!B:F, 5, 0),  REGEXEXTRACT(C589, ""🏘️ \w+ \w+ (.*) ✅""))))"),"Chapelle-sur-Moudon")</f>
        <v>Chapelle-sur-Moudon</v>
      </c>
      <c r="F589" s="2" t="str">
        <f>IFERROR(__xludf.DUMMYFUNCTION("REGEXEXTRACT(C589, ""🏘️ (\w+) \w+ .* ✅"")"),"Vendre")</f>
        <v>Vendre</v>
      </c>
      <c r="G589" s="2" t="str">
        <f>IFERROR(__xludf.DUMMYFUNCTION("REGEXEXTRACT(C589, ""🏘️ \w+ (\w+) .* ✅"")"),"appartement")</f>
        <v>appartement</v>
      </c>
      <c r="H589" s="4" t="str">
        <f>IFERROR(__xludf.DUMMYFUNCTION("REGEXEXTRACT(A589, ""/(\w+)-.*?"")"),"lieu")</f>
        <v>lieu</v>
      </c>
      <c r="I589" s="4" t="str">
        <f>IFERROR(__xludf.DUMMYFUNCTION("if(D589=""variant"",  substitute(filter(Templates!E:E, Templates!A:A = F589, Templates!B:B = G589, Templates!C:C = H589), ""{{}}"", E589), B589)"),"🏘  L’appartement de vos rêves se trouve sur ImmoScout24.ch ✅ Découvrez les dernières annonces de vente à Chapelle-sur-Moudon.")</f>
        <v>🏘  L’appartement de vos rêves se trouve sur ImmoScout24.ch ✅ Découvrez les dernières annonces de vente à Chapelle-sur-Moudon.</v>
      </c>
      <c r="J589" s="4" t="s">
        <v>1774</v>
      </c>
    </row>
    <row r="590">
      <c r="A590" s="5" t="s">
        <v>1775</v>
      </c>
      <c r="B590" s="2" t="s">
        <v>1776</v>
      </c>
      <c r="C590" s="4" t="str">
        <f>IFERROR(__xludf.DUMMYFUNCTION("""🏘️ ""&amp;REGEXEXTRACT(B590, ""^(.*): "")&amp;"" ✅ "" &amp;REGEXEXTRACT(B590, ""(Trouvez.*)"")"),"🏘️ Louer appartement La Tour-de-Peilz ✅ Trouvez le bien immobilier qui correspond idéalement à vos désirs sur ImmoScout24 - La plateforme de l'immobilier en Suisse.")</f>
        <v>🏘️ Louer appartement La Tour-de-Peilz ✅ Trouvez le bien immobilier qui correspond idéalement à vos désirs sur ImmoScout24 - La plateforme de l'immobilier en Suisse.</v>
      </c>
      <c r="D590" s="4" t="str">
        <f>vlookup(A590, Sheet2!D:E, 2, 0)</f>
        <v>variant</v>
      </c>
      <c r="E590" s="4" t="str">
        <f>IFERROR(__xludf.DUMMYFUNCTION("if(H590=""pays"",vlookup(REGEXEXTRACT(C590, ""🏘️ \w+ \w+ (.*) ✅""),'Country prepositions'!A:B, 2, 0) &amp; "" "" &amp; REGEXEXTRACT(C590, ""🏘️ \w+ \w+ (.*) ✅"") ,  if(H590=""quartier"",vlookup(REGEXEXTRACT(C590, ""🏘️ \w+ \w+ (.*) ✅""),'Quartier prepositions'!A"&amp;":E, 5, 0) ,  if(H590=""region"",vlookup(REGEXEXTRACT(C590, ""🏘️ \w+ \w+ (.*) ✅""),'Region prepositions'!B:F, 5, 0),  REGEXEXTRACT(C590, ""🏘️ \w+ \w+ (.*) ✅""))))"),"La Tour-de-Peilz")</f>
        <v>La Tour-de-Peilz</v>
      </c>
      <c r="F590" s="2" t="str">
        <f>IFERROR(__xludf.DUMMYFUNCTION("REGEXEXTRACT(C590, ""🏘️ (\w+) \w+ .* ✅"")"),"Louer")</f>
        <v>Louer</v>
      </c>
      <c r="G590" s="2" t="str">
        <f>IFERROR(__xludf.DUMMYFUNCTION("REGEXEXTRACT(C590, ""🏘️ \w+ (\w+) .* ✅"")"),"appartement")</f>
        <v>appartement</v>
      </c>
      <c r="H590" s="4" t="str">
        <f>IFERROR(__xludf.DUMMYFUNCTION("REGEXEXTRACT(A590, ""/(\w+)-.*?"")"),"lieu")</f>
        <v>lieu</v>
      </c>
      <c r="I590" s="4" t="str">
        <f>IFERROR(__xludf.DUMMYFUNCTION("if(D590=""variant"",  substitute(filter(Templates!E:E, Templates!A:A = F590, Templates!B:B = G590, Templates!C:C = H590), ""{{}}"", E590), B590)"),"🏘  Vous cherchez un appartement à louer à La Tour-de-Peilz? ✅ Les annonces les plus actuelles sont sur ImmoScout24.ch.")</f>
        <v>🏘  Vous cherchez un appartement à louer à La Tour-de-Peilz? ✅ Les annonces les plus actuelles sont sur ImmoScout24.ch.</v>
      </c>
      <c r="J590" s="4" t="s">
        <v>1777</v>
      </c>
    </row>
    <row r="591">
      <c r="A591" s="5" t="s">
        <v>1778</v>
      </c>
      <c r="B591" s="2" t="s">
        <v>1779</v>
      </c>
      <c r="C591" s="4" t="str">
        <f>IFERROR(__xludf.DUMMYFUNCTION("""🏘️ ""&amp;REGEXEXTRACT(B591, ""^(.*): "")&amp;"" ✅ "" &amp;REGEXEXTRACT(B591, ""(Trouvez.*)"")"),"🏘️ Vendre maison Wil SG ✅ Trouvez le bien immobilier qui correspond idéalement à vos désirs sur ImmoScout24 - La plateforme de l'immobilier en Suisse.")</f>
        <v>🏘️ Vendre maison Wil SG ✅ Trouvez le bien immobilier qui correspond idéalement à vos désirs sur ImmoScout24 - La plateforme de l'immobilier en Suisse.</v>
      </c>
      <c r="D591" s="4" t="str">
        <f>vlookup(A591, Sheet2!D:E, 2, 0)</f>
        <v>variant</v>
      </c>
      <c r="E591" s="4" t="str">
        <f>IFERROR(__xludf.DUMMYFUNCTION("if(H591=""pays"",vlookup(REGEXEXTRACT(C591, ""🏘️ \w+ \w+ (.*) ✅""),'Country prepositions'!A:B, 2, 0) &amp; "" "" &amp; REGEXEXTRACT(C591, ""🏘️ \w+ \w+ (.*) ✅"") ,  if(H591=""quartier"",vlookup(REGEXEXTRACT(C591, ""🏘️ \w+ \w+ (.*) ✅""),'Quartier prepositions'!A"&amp;":E, 5, 0) ,  if(H591=""region"",vlookup(REGEXEXTRACT(C591, ""🏘️ \w+ \w+ (.*) ✅""),'Region prepositions'!B:F, 5, 0),  REGEXEXTRACT(C591, ""🏘️ \w+ \w+ (.*) ✅""))))"),"Wil SG")</f>
        <v>Wil SG</v>
      </c>
      <c r="F591" s="2" t="str">
        <f>IFERROR(__xludf.DUMMYFUNCTION("REGEXEXTRACT(C591, ""🏘️ (\w+) \w+ .* ✅"")"),"Vendre")</f>
        <v>Vendre</v>
      </c>
      <c r="G591" s="2" t="str">
        <f>IFERROR(__xludf.DUMMYFUNCTION("REGEXEXTRACT(C591, ""🏘️ \w+ (\w+) .* ✅"")"),"maison")</f>
        <v>maison</v>
      </c>
      <c r="H591" s="4" t="str">
        <f>IFERROR(__xludf.DUMMYFUNCTION("REGEXEXTRACT(A591, ""/(\w+)-.*?"")"),"lieu")</f>
        <v>lieu</v>
      </c>
      <c r="I591" s="4" t="str">
        <f>IFERROR(__xludf.DUMMYFUNCTION("if(D591=""variant"",  substitute(filter(Templates!E:E, Templates!A:A = F591, Templates!B:B = G591, Templates!C:C = H591), ""{{}}"", E591), B591)"),"🏘  Vous souhaitez acheter une maison à Wil SG? ✅ Jetez un œil aux dernières offres sur ImmoScout24.ch.")</f>
        <v>🏘  Vous souhaitez acheter une maison à Wil SG? ✅ Jetez un œil aux dernières offres sur ImmoScout24.ch.</v>
      </c>
      <c r="J591" s="4" t="s">
        <v>1780</v>
      </c>
    </row>
    <row r="592">
      <c r="A592" s="5" t="s">
        <v>1781</v>
      </c>
      <c r="B592" s="2" t="s">
        <v>1782</v>
      </c>
      <c r="C592" s="4" t="str">
        <f>IFERROR(__xludf.DUMMYFUNCTION("""🏘️ ""&amp;REGEXEXTRACT(B592, ""^(.*): "")&amp;"" ✅ "" &amp;REGEXEXTRACT(B592, ""(Trouvez.*)"")"),"🏘️ Vendre appartement Gingins ✅ Trouvez le bien immobilier qui correspond idéalement à vos désirs sur ImmoScout24 - La plateforme de l'immobilier en Suisse.")</f>
        <v>🏘️ Vendre appartement Gingins ✅ Trouvez le bien immobilier qui correspond idéalement à vos désirs sur ImmoScout24 - La plateforme de l'immobilier en Suisse.</v>
      </c>
      <c r="D592" s="4" t="str">
        <f>vlookup(A592, Sheet2!D:E, 2, 0)</f>
        <v>variant</v>
      </c>
      <c r="E592" s="4" t="str">
        <f>IFERROR(__xludf.DUMMYFUNCTION("if(H592=""pays"",vlookup(REGEXEXTRACT(C592, ""🏘️ \w+ \w+ (.*) ✅""),'Country prepositions'!A:B, 2, 0) &amp; "" "" &amp; REGEXEXTRACT(C592, ""🏘️ \w+ \w+ (.*) ✅"") ,  if(H592=""quartier"",vlookup(REGEXEXTRACT(C592, ""🏘️ \w+ \w+ (.*) ✅""),'Quartier prepositions'!A"&amp;":E, 5, 0) ,  if(H592=""region"",vlookup(REGEXEXTRACT(C592, ""🏘️ \w+ \w+ (.*) ✅""),'Region prepositions'!B:F, 5, 0),  REGEXEXTRACT(C592, ""🏘️ \w+ \w+ (.*) ✅""))))"),"Gingins")</f>
        <v>Gingins</v>
      </c>
      <c r="F592" s="2" t="str">
        <f>IFERROR(__xludf.DUMMYFUNCTION("REGEXEXTRACT(C592, ""🏘️ (\w+) \w+ .* ✅"")"),"Vendre")</f>
        <v>Vendre</v>
      </c>
      <c r="G592" s="2" t="str">
        <f>IFERROR(__xludf.DUMMYFUNCTION("REGEXEXTRACT(C592, ""🏘️ \w+ (\w+) .* ✅"")"),"appartement")</f>
        <v>appartement</v>
      </c>
      <c r="H592" s="4" t="str">
        <f>IFERROR(__xludf.DUMMYFUNCTION("REGEXEXTRACT(A592, ""/(\w+)-.*?"")"),"lieu")</f>
        <v>lieu</v>
      </c>
      <c r="I592" s="4" t="str">
        <f>IFERROR(__xludf.DUMMYFUNCTION("if(D592=""variant"",  substitute(filter(Templates!E:E, Templates!A:A = F592, Templates!B:B = G592, Templates!C:C = H592), ""{{}}"", E592), B592)"),"🏘  L’appartement de vos rêves se trouve sur ImmoScout24.ch ✅ Découvrez les dernières annonces de vente à Gingins.")</f>
        <v>🏘  L’appartement de vos rêves se trouve sur ImmoScout24.ch ✅ Découvrez les dernières annonces de vente à Gingins.</v>
      </c>
      <c r="J592" s="4" t="s">
        <v>1783</v>
      </c>
    </row>
    <row r="593">
      <c r="A593" s="5" t="s">
        <v>1784</v>
      </c>
      <c r="B593" s="2" t="s">
        <v>1785</v>
      </c>
      <c r="C593" s="4" t="str">
        <f>IFERROR(__xludf.DUMMYFUNCTION("""🏘️ ""&amp;REGEXEXTRACT(B593, ""^(.*): "")&amp;"" ✅ "" &amp;REGEXEXTRACT(B593, ""(Trouvez.*)"")"),"🏘️ Vendre maison Coppet ✅ Trouvez le bien immobilier qui correspond idéalement à vos désirs sur ImmoScout24 - La plateforme de l'immobilier en Suisse.")</f>
        <v>🏘️ Vendre maison Coppet ✅ Trouvez le bien immobilier qui correspond idéalement à vos désirs sur ImmoScout24 - La plateforme de l'immobilier en Suisse.</v>
      </c>
      <c r="D593" s="4" t="str">
        <f>vlookup(A593, Sheet2!D:E, 2, 0)</f>
        <v>variant</v>
      </c>
      <c r="E593" s="4" t="str">
        <f>IFERROR(__xludf.DUMMYFUNCTION("if(H593=""pays"",vlookup(REGEXEXTRACT(C593, ""🏘️ \w+ \w+ (.*) ✅""),'Country prepositions'!A:B, 2, 0) &amp; "" "" &amp; REGEXEXTRACT(C593, ""🏘️ \w+ \w+ (.*) ✅"") ,  if(H593=""quartier"",vlookup(REGEXEXTRACT(C593, ""🏘️ \w+ \w+ (.*) ✅""),'Quartier prepositions'!A"&amp;":E, 5, 0) ,  if(H593=""region"",vlookup(REGEXEXTRACT(C593, ""🏘️ \w+ \w+ (.*) ✅""),'Region prepositions'!B:F, 5, 0),  REGEXEXTRACT(C593, ""🏘️ \w+ \w+ (.*) ✅""))))"),"Coppet")</f>
        <v>Coppet</v>
      </c>
      <c r="F593" s="2" t="str">
        <f>IFERROR(__xludf.DUMMYFUNCTION("REGEXEXTRACT(C593, ""🏘️ (\w+) \w+ .* ✅"")"),"Vendre")</f>
        <v>Vendre</v>
      </c>
      <c r="G593" s="2" t="str">
        <f>IFERROR(__xludf.DUMMYFUNCTION("REGEXEXTRACT(C593, ""🏘️ \w+ (\w+) .* ✅"")"),"maison")</f>
        <v>maison</v>
      </c>
      <c r="H593" s="4" t="str">
        <f>IFERROR(__xludf.DUMMYFUNCTION("REGEXEXTRACT(A593, ""/(\w+)-.*?"")"),"lieu")</f>
        <v>lieu</v>
      </c>
      <c r="I593" s="4" t="str">
        <f>IFERROR(__xludf.DUMMYFUNCTION("if(D593=""variant"",  substitute(filter(Templates!E:E, Templates!A:A = F593, Templates!B:B = G593, Templates!C:C = H593), ""{{}}"", E593), B593)"),"🏘  Vous souhaitez acheter une maison à Coppet? ✅ Jetez un œil aux dernières offres sur ImmoScout24.ch.")</f>
        <v>🏘  Vous souhaitez acheter une maison à Coppet? ✅ Jetez un œil aux dernières offres sur ImmoScout24.ch.</v>
      </c>
      <c r="J593" s="4" t="s">
        <v>1786</v>
      </c>
    </row>
    <row r="594">
      <c r="A594" s="5" t="s">
        <v>1787</v>
      </c>
      <c r="B594" s="2" t="s">
        <v>1788</v>
      </c>
      <c r="C594" s="4" t="str">
        <f>IFERROR(__xludf.DUMMYFUNCTION("""🏘️ ""&amp;REGEXEXTRACT(B594, ""^(.*): "")&amp;"" ✅ "" &amp;REGEXEXTRACT(B594, ""(Trouvez.*)"")"),"🏘️ Vendre appartement Montpreveyres ✅ Trouvez le bien immobilier qui correspond idéalement à vos désirs sur ImmoScout24 - La plateforme de l'immobilier en Suisse.")</f>
        <v>🏘️ Vendre appartement Montpreveyres ✅ Trouvez le bien immobilier qui correspond idéalement à vos désirs sur ImmoScout24 - La plateforme de l'immobilier en Suisse.</v>
      </c>
      <c r="D594" s="4" t="str">
        <f>vlookup(A594, Sheet2!D:E, 2, 0)</f>
        <v>variant</v>
      </c>
      <c r="E594" s="4" t="str">
        <f>IFERROR(__xludf.DUMMYFUNCTION("if(H594=""pays"",vlookup(REGEXEXTRACT(C594, ""🏘️ \w+ \w+ (.*) ✅""),'Country prepositions'!A:B, 2, 0) &amp; "" "" &amp; REGEXEXTRACT(C594, ""🏘️ \w+ \w+ (.*) ✅"") ,  if(H594=""quartier"",vlookup(REGEXEXTRACT(C594, ""🏘️ \w+ \w+ (.*) ✅""),'Quartier prepositions'!A"&amp;":E, 5, 0) ,  if(H594=""region"",vlookup(REGEXEXTRACT(C594, ""🏘️ \w+ \w+ (.*) ✅""),'Region prepositions'!B:F, 5, 0),  REGEXEXTRACT(C594, ""🏘️ \w+ \w+ (.*) ✅""))))"),"Montpreveyres")</f>
        <v>Montpreveyres</v>
      </c>
      <c r="F594" s="2" t="str">
        <f>IFERROR(__xludf.DUMMYFUNCTION("REGEXEXTRACT(C594, ""🏘️ (\w+) \w+ .* ✅"")"),"Vendre")</f>
        <v>Vendre</v>
      </c>
      <c r="G594" s="2" t="str">
        <f>IFERROR(__xludf.DUMMYFUNCTION("REGEXEXTRACT(C594, ""🏘️ \w+ (\w+) .* ✅"")"),"appartement")</f>
        <v>appartement</v>
      </c>
      <c r="H594" s="4" t="str">
        <f>IFERROR(__xludf.DUMMYFUNCTION("REGEXEXTRACT(A594, ""/(\w+)-.*?"")"),"lieu")</f>
        <v>lieu</v>
      </c>
      <c r="I594" s="4" t="str">
        <f>IFERROR(__xludf.DUMMYFUNCTION("if(D594=""variant"",  substitute(filter(Templates!E:E, Templates!A:A = F594, Templates!B:B = G594, Templates!C:C = H594), ""{{}}"", E594), B594)"),"🏘  L’appartement de vos rêves se trouve sur ImmoScout24.ch ✅ Découvrez les dernières annonces de vente à Montpreveyres.")</f>
        <v>🏘  L’appartement de vos rêves se trouve sur ImmoScout24.ch ✅ Découvrez les dernières annonces de vente à Montpreveyres.</v>
      </c>
      <c r="J594" s="4" t="s">
        <v>1789</v>
      </c>
    </row>
    <row r="595">
      <c r="A595" s="5" t="s">
        <v>1790</v>
      </c>
      <c r="B595" s="2" t="s">
        <v>1791</v>
      </c>
      <c r="C595" s="4" t="str">
        <f>IFERROR(__xludf.DUMMYFUNCTION("""🏘️ ""&amp;REGEXEXTRACT(B595, ""^(.*): "")&amp;"" ✅ "" &amp;REGEXEXTRACT(B595, ""(Trouvez.*)"")"),"🏘️ Vendre appartement Gettnau ✅ Trouvez le bien immobilier qui correspond idéalement à vos désirs sur ImmoScout24 - La plateforme de l'immobilier en Suisse.")</f>
        <v>🏘️ Vendre appartement Gettnau ✅ Trouvez le bien immobilier qui correspond idéalement à vos désirs sur ImmoScout24 - La plateforme de l'immobilier en Suisse.</v>
      </c>
      <c r="D595" s="4" t="str">
        <f>vlookup(A595, Sheet2!D:E, 2, 0)</f>
        <v>variant</v>
      </c>
      <c r="E595" s="4" t="str">
        <f>IFERROR(__xludf.DUMMYFUNCTION("if(H595=""pays"",vlookup(REGEXEXTRACT(C595, ""🏘️ \w+ \w+ (.*) ✅""),'Country prepositions'!A:B, 2, 0) &amp; "" "" &amp; REGEXEXTRACT(C595, ""🏘️ \w+ \w+ (.*) ✅"") ,  if(H595=""quartier"",vlookup(REGEXEXTRACT(C595, ""🏘️ \w+ \w+ (.*) ✅""),'Quartier prepositions'!A"&amp;":E, 5, 0) ,  if(H595=""region"",vlookup(REGEXEXTRACT(C595, ""🏘️ \w+ \w+ (.*) ✅""),'Region prepositions'!B:F, 5, 0),  REGEXEXTRACT(C595, ""🏘️ \w+ \w+ (.*) ✅""))))"),"Gettnau")</f>
        <v>Gettnau</v>
      </c>
      <c r="F595" s="2" t="str">
        <f>IFERROR(__xludf.DUMMYFUNCTION("REGEXEXTRACT(C595, ""🏘️ (\w+) \w+ .* ✅"")"),"Vendre")</f>
        <v>Vendre</v>
      </c>
      <c r="G595" s="2" t="str">
        <f>IFERROR(__xludf.DUMMYFUNCTION("REGEXEXTRACT(C595, ""🏘️ \w+ (\w+) .* ✅"")"),"appartement")</f>
        <v>appartement</v>
      </c>
      <c r="H595" s="4" t="str">
        <f>IFERROR(__xludf.DUMMYFUNCTION("REGEXEXTRACT(A595, ""/(\w+)-.*?"")"),"lieu")</f>
        <v>lieu</v>
      </c>
      <c r="I595" s="4" t="str">
        <f>IFERROR(__xludf.DUMMYFUNCTION("if(D595=""variant"",  substitute(filter(Templates!E:E, Templates!A:A = F595, Templates!B:B = G595, Templates!C:C = H595), ""{{}}"", E595), B595)"),"🏘  L’appartement de vos rêves se trouve sur ImmoScout24.ch ✅ Découvrez les dernières annonces de vente à Gettnau.")</f>
        <v>🏘  L’appartement de vos rêves se trouve sur ImmoScout24.ch ✅ Découvrez les dernières annonces de vente à Gettnau.</v>
      </c>
      <c r="J595" s="4" t="s">
        <v>1792</v>
      </c>
    </row>
    <row r="596">
      <c r="A596" s="5" t="s">
        <v>1793</v>
      </c>
      <c r="B596" s="2" t="s">
        <v>1794</v>
      </c>
      <c r="C596" s="4" t="str">
        <f>IFERROR(__xludf.DUMMYFUNCTION("""🏘️ ""&amp;REGEXEXTRACT(B596, ""^(.*): "")&amp;"" ✅ "" &amp;REGEXEXTRACT(B596, ""(Trouvez.*)"")"),"🏘️ Vendre appartement Canton d'Appenzell RE ✅ Trouvez le bien immobilier qui correspond idéalement à vos désirs sur ImmoScout24 - La plateforme de l'immobilier en Suisse.")</f>
        <v>🏘️ Vendre appartement Canton d'Appenzell RE ✅ Trouvez le bien immobilier qui correspond idéalement à vos désirs sur ImmoScout24 - La plateforme de l'immobilier en Suisse.</v>
      </c>
      <c r="D596" s="4" t="str">
        <f>vlookup(A596, Sheet2!D:E, 2, 0)</f>
        <v>variant</v>
      </c>
      <c r="E596" s="4" t="str">
        <f>IFERROR(__xludf.DUMMYFUNCTION("if(H596=""pays"",vlookup(REGEXEXTRACT(C596, ""🏘️ \w+ \w+ (.*) ✅""),'Country prepositions'!A:B, 2, 0) &amp; "" "" &amp; REGEXEXTRACT(C596, ""🏘️ \w+ \w+ (.*) ✅"") ,  if(H596=""quartier"",vlookup(REGEXEXTRACT(C596, ""🏘️ \w+ \w+ (.*) ✅""),'Quartier prepositions'!A"&amp;":E, 5, 0) ,  if(H596=""region"",vlookup(REGEXEXTRACT(C596, ""🏘️ \w+ \w+ (.*) ✅""),'Region prepositions'!B:F, 5, 0),  REGEXEXTRACT(C596, ""🏘️ \w+ \w+ (.*) ✅""))))"),"Canton d'Appenzell RE")</f>
        <v>Canton d'Appenzell RE</v>
      </c>
      <c r="F596" s="2" t="str">
        <f>IFERROR(__xludf.DUMMYFUNCTION("REGEXEXTRACT(C596, ""🏘️ (\w+) \w+ .* ✅"")"),"Vendre")</f>
        <v>Vendre</v>
      </c>
      <c r="G596" s="2" t="str">
        <f>IFERROR(__xludf.DUMMYFUNCTION("REGEXEXTRACT(C596, ""🏘️ \w+ (\w+) .* ✅"")"),"appartement")</f>
        <v>appartement</v>
      </c>
      <c r="H596" s="4" t="str">
        <f>IFERROR(__xludf.DUMMYFUNCTION("REGEXEXTRACT(A596, ""/(\w+)-.*?"")"),"canton")</f>
        <v>canton</v>
      </c>
      <c r="I596" s="4" t="str">
        <f>IFERROR(__xludf.DUMMYFUNCTION("if(D596=""variant"",  substitute(filter(Templates!E:E, Templates!A:A = F596, Templates!B:B = G596, Templates!C:C = H596), ""{{}}"", E596), B596)"),"#N/A")</f>
        <v>#N/A</v>
      </c>
      <c r="J596" s="4" t="s">
        <v>1795</v>
      </c>
    </row>
    <row r="597">
      <c r="A597" s="5" t="s">
        <v>1796</v>
      </c>
      <c r="B597" s="2" t="s">
        <v>1797</v>
      </c>
      <c r="C597" s="4" t="str">
        <f>IFERROR(__xludf.DUMMYFUNCTION("""🏘️ ""&amp;REGEXEXTRACT(B597, ""^(.*): "")&amp;"" ✅ "" &amp;REGEXEXTRACT(B597, ""(Trouvez.*)"")"),"🏘️ Vendre maison St-Jean VS ✅ Trouvez le bien immobilier qui correspond idéalement à vos désirs sur ImmoScout24 - La plateforme de l'immobilier en Suisse.")</f>
        <v>🏘️ Vendre maison St-Jean VS ✅ Trouvez le bien immobilier qui correspond idéalement à vos désirs sur ImmoScout24 - La plateforme de l'immobilier en Suisse.</v>
      </c>
      <c r="D597" s="4" t="str">
        <f>vlookup(A597, Sheet2!D:E, 2, 0)</f>
        <v>variant</v>
      </c>
      <c r="E597" s="4" t="str">
        <f>IFERROR(__xludf.DUMMYFUNCTION("if(H597=""pays"",vlookup(REGEXEXTRACT(C597, ""🏘️ \w+ \w+ (.*) ✅""),'Country prepositions'!A:B, 2, 0) &amp; "" "" &amp; REGEXEXTRACT(C597, ""🏘️ \w+ \w+ (.*) ✅"") ,  if(H597=""quartier"",vlookup(REGEXEXTRACT(C597, ""🏘️ \w+ \w+ (.*) ✅""),'Quartier prepositions'!A"&amp;":E, 5, 0) ,  if(H597=""region"",vlookup(REGEXEXTRACT(C597, ""🏘️ \w+ \w+ (.*) ✅""),'Region prepositions'!B:F, 5, 0),  REGEXEXTRACT(C597, ""🏘️ \w+ \w+ (.*) ✅""))))"),"St-Jean VS")</f>
        <v>St-Jean VS</v>
      </c>
      <c r="F597" s="2" t="str">
        <f>IFERROR(__xludf.DUMMYFUNCTION("REGEXEXTRACT(C597, ""🏘️ (\w+) \w+ .* ✅"")"),"Vendre")</f>
        <v>Vendre</v>
      </c>
      <c r="G597" s="2" t="str">
        <f>IFERROR(__xludf.DUMMYFUNCTION("REGEXEXTRACT(C597, ""🏘️ \w+ (\w+) .* ✅"")"),"maison")</f>
        <v>maison</v>
      </c>
      <c r="H597" s="4" t="str">
        <f>IFERROR(__xludf.DUMMYFUNCTION("REGEXEXTRACT(A597, ""/(\w+)-.*?"")"),"lieu")</f>
        <v>lieu</v>
      </c>
      <c r="I597" s="4" t="str">
        <f>IFERROR(__xludf.DUMMYFUNCTION("if(D597=""variant"",  substitute(filter(Templates!E:E, Templates!A:A = F597, Templates!B:B = G597, Templates!C:C = H597), ""{{}}"", E597), B597)"),"🏘  Vous souhaitez acheter une maison à St-Jean VS? ✅ Jetez un œil aux dernières offres sur ImmoScout24.ch.")</f>
        <v>🏘  Vous souhaitez acheter une maison à St-Jean VS? ✅ Jetez un œil aux dernières offres sur ImmoScout24.ch.</v>
      </c>
      <c r="J597" s="4" t="s">
        <v>1798</v>
      </c>
    </row>
    <row r="598">
      <c r="A598" s="5" t="s">
        <v>1799</v>
      </c>
      <c r="B598" s="2" t="s">
        <v>1800</v>
      </c>
      <c r="C598" s="4" t="str">
        <f>IFERROR(__xludf.DUMMYFUNCTION("""🏘️ ""&amp;REGEXEXTRACT(B598, ""^(.*): "")&amp;"" ✅ "" &amp;REGEXEXTRACT(B598, ""(Trouvez.*)"")"),"🏘️ Louer appartement Mex VD ✅ Trouvez le bien immobilier qui correspond idéalement à vos désirs sur ImmoScout24 - La plateforme de l'immobilier en Suisse.")</f>
        <v>🏘️ Louer appartement Mex VD ✅ Trouvez le bien immobilier qui correspond idéalement à vos désirs sur ImmoScout24 - La plateforme de l'immobilier en Suisse.</v>
      </c>
      <c r="D598" s="4" t="str">
        <f>vlookup(A598, Sheet2!D:E, 2, 0)</f>
        <v>variant</v>
      </c>
      <c r="E598" s="4" t="str">
        <f>IFERROR(__xludf.DUMMYFUNCTION("if(H598=""pays"",vlookup(REGEXEXTRACT(C598, ""🏘️ \w+ \w+ (.*) ✅""),'Country prepositions'!A:B, 2, 0) &amp; "" "" &amp; REGEXEXTRACT(C598, ""🏘️ \w+ \w+ (.*) ✅"") ,  if(H598=""quartier"",vlookup(REGEXEXTRACT(C598, ""🏘️ \w+ \w+ (.*) ✅""),'Quartier prepositions'!A"&amp;":E, 5, 0) ,  if(H598=""region"",vlookup(REGEXEXTRACT(C598, ""🏘️ \w+ \w+ (.*) ✅""),'Region prepositions'!B:F, 5, 0),  REGEXEXTRACT(C598, ""🏘️ \w+ \w+ (.*) ✅""))))"),"Mex VD")</f>
        <v>Mex VD</v>
      </c>
      <c r="F598" s="2" t="str">
        <f>IFERROR(__xludf.DUMMYFUNCTION("REGEXEXTRACT(C598, ""🏘️ (\w+) \w+ .* ✅"")"),"Louer")</f>
        <v>Louer</v>
      </c>
      <c r="G598" s="2" t="str">
        <f>IFERROR(__xludf.DUMMYFUNCTION("REGEXEXTRACT(C598, ""🏘️ \w+ (\w+) .* ✅"")"),"appartement")</f>
        <v>appartement</v>
      </c>
      <c r="H598" s="4" t="str">
        <f>IFERROR(__xludf.DUMMYFUNCTION("REGEXEXTRACT(A598, ""/(\w+)-.*?"")"),"lieu")</f>
        <v>lieu</v>
      </c>
      <c r="I598" s="4" t="str">
        <f>IFERROR(__xludf.DUMMYFUNCTION("if(D598=""variant"",  substitute(filter(Templates!E:E, Templates!A:A = F598, Templates!B:B = G598, Templates!C:C = H598), ""{{}}"", E598), B598)"),"🏘  Vous cherchez un appartement à louer à Mex VD? ✅ Les annonces les plus actuelles sont sur ImmoScout24.ch.")</f>
        <v>🏘  Vous cherchez un appartement à louer à Mex VD? ✅ Les annonces les plus actuelles sont sur ImmoScout24.ch.</v>
      </c>
      <c r="J598" s="4" t="s">
        <v>1801</v>
      </c>
    </row>
    <row r="599">
      <c r="A599" s="5" t="s">
        <v>1802</v>
      </c>
      <c r="B599" s="2" t="s">
        <v>1803</v>
      </c>
      <c r="C599" s="4" t="str">
        <f>IFERROR(__xludf.DUMMYFUNCTION("""🏘️ ""&amp;REGEXEXTRACT(B599, ""^(.*): "")&amp;"" ✅ "" &amp;REGEXEXTRACT(B599, ""(Trouvez.*)"")"),"🏘️ Louer appartement Sarreyer ✅ Trouvez le bien immobilier qui correspond idéalement à vos désirs sur ImmoScout24 - La plateforme de l'immobilier en Suisse.")</f>
        <v>🏘️ Louer appartement Sarreyer ✅ Trouvez le bien immobilier qui correspond idéalement à vos désirs sur ImmoScout24 - La plateforme de l'immobilier en Suisse.</v>
      </c>
      <c r="D599" s="4" t="str">
        <f>vlookup(A599, Sheet2!D:E, 2, 0)</f>
        <v>variant</v>
      </c>
      <c r="E599" s="4" t="str">
        <f>IFERROR(__xludf.DUMMYFUNCTION("if(H599=""pays"",vlookup(REGEXEXTRACT(C599, ""🏘️ \w+ \w+ (.*) ✅""),'Country prepositions'!A:B, 2, 0) &amp; "" "" &amp; REGEXEXTRACT(C599, ""🏘️ \w+ \w+ (.*) ✅"") ,  if(H599=""quartier"",vlookup(REGEXEXTRACT(C599, ""🏘️ \w+ \w+ (.*) ✅""),'Quartier prepositions'!A"&amp;":E, 5, 0) ,  if(H599=""region"",vlookup(REGEXEXTRACT(C599, ""🏘️ \w+ \w+ (.*) ✅""),'Region prepositions'!B:F, 5, 0),  REGEXEXTRACT(C599, ""🏘️ \w+ \w+ (.*) ✅""))))"),"Sarreyer")</f>
        <v>Sarreyer</v>
      </c>
      <c r="F599" s="2" t="str">
        <f>IFERROR(__xludf.DUMMYFUNCTION("REGEXEXTRACT(C599, ""🏘️ (\w+) \w+ .* ✅"")"),"Louer")</f>
        <v>Louer</v>
      </c>
      <c r="G599" s="2" t="str">
        <f>IFERROR(__xludf.DUMMYFUNCTION("REGEXEXTRACT(C599, ""🏘️ \w+ (\w+) .* ✅"")"),"appartement")</f>
        <v>appartement</v>
      </c>
      <c r="H599" s="4" t="str">
        <f>IFERROR(__xludf.DUMMYFUNCTION("REGEXEXTRACT(A599, ""/(\w+)-.*?"")"),"lieu")</f>
        <v>lieu</v>
      </c>
      <c r="I599" s="4" t="str">
        <f>IFERROR(__xludf.DUMMYFUNCTION("if(D599=""variant"",  substitute(filter(Templates!E:E, Templates!A:A = F599, Templates!B:B = G599, Templates!C:C = H599), ""{{}}"", E599), B599)"),"🏘  Vous cherchez un appartement à louer à Sarreyer? ✅ Les annonces les plus actuelles sont sur ImmoScout24.ch.")</f>
        <v>🏘  Vous cherchez un appartement à louer à Sarreyer? ✅ Les annonces les plus actuelles sont sur ImmoScout24.ch.</v>
      </c>
      <c r="J599" s="4" t="s">
        <v>1804</v>
      </c>
    </row>
    <row r="600">
      <c r="A600" s="5" t="s">
        <v>1805</v>
      </c>
      <c r="B600" s="2" t="s">
        <v>1806</v>
      </c>
      <c r="C600" s="4" t="str">
        <f>IFERROR(__xludf.DUMMYFUNCTION("""🏘️ ""&amp;REGEXEXTRACT(B600, ""^(.*): "")&amp;"" ✅ "" &amp;REGEXEXTRACT(B600, ""(Trouvez.*)"")"),"🏘️ Louer appartement Sessa ✅ Trouvez le bien immobilier qui correspond idéalement à vos désirs sur ImmoScout24 - La plateforme de l'immobilier en Suisse.")</f>
        <v>🏘️ Louer appartement Sessa ✅ Trouvez le bien immobilier qui correspond idéalement à vos désirs sur ImmoScout24 - La plateforme de l'immobilier en Suisse.</v>
      </c>
      <c r="D600" s="4" t="str">
        <f>vlookup(A600, Sheet2!D:E, 2, 0)</f>
        <v>variant</v>
      </c>
      <c r="E600" s="4" t="str">
        <f>IFERROR(__xludf.DUMMYFUNCTION("if(H600=""pays"",vlookup(REGEXEXTRACT(C600, ""🏘️ \w+ \w+ (.*) ✅""),'Country prepositions'!A:B, 2, 0) &amp; "" "" &amp; REGEXEXTRACT(C600, ""🏘️ \w+ \w+ (.*) ✅"") ,  if(H600=""quartier"",vlookup(REGEXEXTRACT(C600, ""🏘️ \w+ \w+ (.*) ✅""),'Quartier prepositions'!A"&amp;":E, 5, 0) ,  if(H600=""region"",vlookup(REGEXEXTRACT(C600, ""🏘️ \w+ \w+ (.*) ✅""),'Region prepositions'!B:F, 5, 0),  REGEXEXTRACT(C600, ""🏘️ \w+ \w+ (.*) ✅""))))"),"Sessa")</f>
        <v>Sessa</v>
      </c>
      <c r="F600" s="2" t="str">
        <f>IFERROR(__xludf.DUMMYFUNCTION("REGEXEXTRACT(C600, ""🏘️ (\w+) \w+ .* ✅"")"),"Louer")</f>
        <v>Louer</v>
      </c>
      <c r="G600" s="2" t="str">
        <f>IFERROR(__xludf.DUMMYFUNCTION("REGEXEXTRACT(C600, ""🏘️ \w+ (\w+) .* ✅"")"),"appartement")</f>
        <v>appartement</v>
      </c>
      <c r="H600" s="4" t="str">
        <f>IFERROR(__xludf.DUMMYFUNCTION("REGEXEXTRACT(A600, ""/(\w+)-.*?"")"),"lieu")</f>
        <v>lieu</v>
      </c>
      <c r="I600" s="4" t="str">
        <f>IFERROR(__xludf.DUMMYFUNCTION("if(D600=""variant"",  substitute(filter(Templates!E:E, Templates!A:A = F600, Templates!B:B = G600, Templates!C:C = H600), ""{{}}"", E600), B600)"),"🏘  Vous cherchez un appartement à louer à Sessa? ✅ Les annonces les plus actuelles sont sur ImmoScout24.ch.")</f>
        <v>🏘  Vous cherchez un appartement à louer à Sessa? ✅ Les annonces les plus actuelles sont sur ImmoScout24.ch.</v>
      </c>
      <c r="J600" s="4" t="s">
        <v>1807</v>
      </c>
    </row>
    <row r="601">
      <c r="A601" s="5" t="s">
        <v>1808</v>
      </c>
      <c r="B601" s="2" t="s">
        <v>1809</v>
      </c>
      <c r="C601" s="4" t="str">
        <f>IFERROR(__xludf.DUMMYFUNCTION("""🏘️ ""&amp;REGEXEXTRACT(B601, ""^(.*): "")&amp;"" ✅ "" &amp;REGEXEXTRACT(B601, ""(Trouvez.*)"")"),"🏘️ Vendre maison Montet (Glâne) ✅ Trouvez le bien immobilier qui correspond idéalement à vos désirs sur ImmoScout24 - La plateforme de l'immobilier en Suisse.")</f>
        <v>🏘️ Vendre maison Montet (Glâne) ✅ Trouvez le bien immobilier qui correspond idéalement à vos désirs sur ImmoScout24 - La plateforme de l'immobilier en Suisse.</v>
      </c>
      <c r="D601" s="4" t="str">
        <f>vlookup(A601, Sheet2!D:E, 2, 0)</f>
        <v>variant</v>
      </c>
      <c r="E601" s="4" t="str">
        <f>IFERROR(__xludf.DUMMYFUNCTION("if(H601=""pays"",vlookup(REGEXEXTRACT(C601, ""🏘️ \w+ \w+ (.*) ✅""),'Country prepositions'!A:B, 2, 0) &amp; "" "" &amp; REGEXEXTRACT(C601, ""🏘️ \w+ \w+ (.*) ✅"") ,  if(H601=""quartier"",vlookup(REGEXEXTRACT(C601, ""🏘️ \w+ \w+ (.*) ✅""),'Quartier prepositions'!A"&amp;":E, 5, 0) ,  if(H601=""region"",vlookup(REGEXEXTRACT(C601, ""🏘️ \w+ \w+ (.*) ✅""),'Region prepositions'!B:F, 5, 0),  REGEXEXTRACT(C601, ""🏘️ \w+ \w+ (.*) ✅""))))"),"Montet (Glâne)")</f>
        <v>Montet (Glâne)</v>
      </c>
      <c r="F601" s="2" t="str">
        <f>IFERROR(__xludf.DUMMYFUNCTION("REGEXEXTRACT(C601, ""🏘️ (\w+) \w+ .* ✅"")"),"Vendre")</f>
        <v>Vendre</v>
      </c>
      <c r="G601" s="2" t="str">
        <f>IFERROR(__xludf.DUMMYFUNCTION("REGEXEXTRACT(C601, ""🏘️ \w+ (\w+) .* ✅"")"),"maison")</f>
        <v>maison</v>
      </c>
      <c r="H601" s="4" t="str">
        <f>IFERROR(__xludf.DUMMYFUNCTION("REGEXEXTRACT(A601, ""/(\w+)-.*?"")"),"lieu")</f>
        <v>lieu</v>
      </c>
      <c r="I601" s="4" t="str">
        <f>IFERROR(__xludf.DUMMYFUNCTION("if(D601=""variant"",  substitute(filter(Templates!E:E, Templates!A:A = F601, Templates!B:B = G601, Templates!C:C = H601), ""{{}}"", E601), B601)"),"🏘  Vous souhaitez acheter une maison à Montet (Glâne)? ✅ Jetez un œil aux dernières offres sur ImmoScout24.ch.")</f>
        <v>🏘  Vous souhaitez acheter une maison à Montet (Glâne)? ✅ Jetez un œil aux dernières offres sur ImmoScout24.ch.</v>
      </c>
      <c r="J601" s="4" t="s">
        <v>1810</v>
      </c>
    </row>
    <row r="602">
      <c r="A602" s="5" t="s">
        <v>1811</v>
      </c>
      <c r="B602" s="2" t="s">
        <v>1812</v>
      </c>
      <c r="C602" s="4" t="str">
        <f>IFERROR(__xludf.DUMMYFUNCTION("""🏘️ ""&amp;REGEXEXTRACT(B602, ""^(.*): "")&amp;"" ✅ "" &amp;REGEXEXTRACT(B602, ""(Trouvez.*)"")"),"🏘️ Vendre maison Romont FR ✅ Trouvez le bien immobilier qui correspond idéalement à vos désirs sur ImmoScout24 - La plateforme de l'immobilier en Suisse.")</f>
        <v>🏘️ Vendre maison Romont FR ✅ Trouvez le bien immobilier qui correspond idéalement à vos désirs sur ImmoScout24 - La plateforme de l'immobilier en Suisse.</v>
      </c>
      <c r="D602" s="4" t="str">
        <f>vlookup(A602, Sheet2!D:E, 2, 0)</f>
        <v>variant</v>
      </c>
      <c r="E602" s="4" t="str">
        <f>IFERROR(__xludf.DUMMYFUNCTION("if(H602=""pays"",vlookup(REGEXEXTRACT(C602, ""🏘️ \w+ \w+ (.*) ✅""),'Country prepositions'!A:B, 2, 0) &amp; "" "" &amp; REGEXEXTRACT(C602, ""🏘️ \w+ \w+ (.*) ✅"") ,  if(H602=""quartier"",vlookup(REGEXEXTRACT(C602, ""🏘️ \w+ \w+ (.*) ✅""),'Quartier prepositions'!A"&amp;":E, 5, 0) ,  if(H602=""region"",vlookup(REGEXEXTRACT(C602, ""🏘️ \w+ \w+ (.*) ✅""),'Region prepositions'!B:F, 5, 0),  REGEXEXTRACT(C602, ""🏘️ \w+ \w+ (.*) ✅""))))"),"Romont FR")</f>
        <v>Romont FR</v>
      </c>
      <c r="F602" s="2" t="str">
        <f>IFERROR(__xludf.DUMMYFUNCTION("REGEXEXTRACT(C602, ""🏘️ (\w+) \w+ .* ✅"")"),"Vendre")</f>
        <v>Vendre</v>
      </c>
      <c r="G602" s="2" t="str">
        <f>IFERROR(__xludf.DUMMYFUNCTION("REGEXEXTRACT(C602, ""🏘️ \w+ (\w+) .* ✅"")"),"maison")</f>
        <v>maison</v>
      </c>
      <c r="H602" s="4" t="str">
        <f>IFERROR(__xludf.DUMMYFUNCTION("REGEXEXTRACT(A602, ""/(\w+)-.*?"")"),"lieu")</f>
        <v>lieu</v>
      </c>
      <c r="I602" s="4" t="str">
        <f>IFERROR(__xludf.DUMMYFUNCTION("if(D602=""variant"",  substitute(filter(Templates!E:E, Templates!A:A = F602, Templates!B:B = G602, Templates!C:C = H602), ""{{}}"", E602), B602)"),"🏘  Vous souhaitez acheter une maison à Romont FR? ✅ Jetez un œil aux dernières offres sur ImmoScout24.ch.")</f>
        <v>🏘  Vous souhaitez acheter une maison à Romont FR? ✅ Jetez un œil aux dernières offres sur ImmoScout24.ch.</v>
      </c>
      <c r="J602" s="4" t="s">
        <v>1813</v>
      </c>
    </row>
    <row r="603">
      <c r="A603" s="5" t="s">
        <v>1814</v>
      </c>
      <c r="B603" s="2" t="s">
        <v>1815</v>
      </c>
      <c r="C603" s="4" t="str">
        <f>IFERROR(__xludf.DUMMYFUNCTION("""🏘️ ""&amp;REGEXEXTRACT(B603, ""^(.*): "")&amp;"" ✅ "" &amp;REGEXEXTRACT(B603, ""(Trouvez.*)"")"),"🏘️ Vendre appartement Cheyres ✅ Trouvez le bien immobilier qui correspond idéalement à vos désirs sur ImmoScout24 - La plateforme de l'immobilier en Suisse.")</f>
        <v>🏘️ Vendre appartement Cheyres ✅ Trouvez le bien immobilier qui correspond idéalement à vos désirs sur ImmoScout24 - La plateforme de l'immobilier en Suisse.</v>
      </c>
      <c r="D603" s="4" t="str">
        <f>vlookup(A603, Sheet2!D:E, 2, 0)</f>
        <v>variant</v>
      </c>
      <c r="E603" s="4" t="str">
        <f>IFERROR(__xludf.DUMMYFUNCTION("if(H603=""pays"",vlookup(REGEXEXTRACT(C603, ""🏘️ \w+ \w+ (.*) ✅""),'Country prepositions'!A:B, 2, 0) &amp; "" "" &amp; REGEXEXTRACT(C603, ""🏘️ \w+ \w+ (.*) ✅"") ,  if(H603=""quartier"",vlookup(REGEXEXTRACT(C603, ""🏘️ \w+ \w+ (.*) ✅""),'Quartier prepositions'!A"&amp;":E, 5, 0) ,  if(H603=""region"",vlookup(REGEXEXTRACT(C603, ""🏘️ \w+ \w+ (.*) ✅""),'Region prepositions'!B:F, 5, 0),  REGEXEXTRACT(C603, ""🏘️ \w+ \w+ (.*) ✅""))))"),"Cheyres")</f>
        <v>Cheyres</v>
      </c>
      <c r="F603" s="2" t="str">
        <f>IFERROR(__xludf.DUMMYFUNCTION("REGEXEXTRACT(C603, ""🏘️ (\w+) \w+ .* ✅"")"),"Vendre")</f>
        <v>Vendre</v>
      </c>
      <c r="G603" s="2" t="str">
        <f>IFERROR(__xludf.DUMMYFUNCTION("REGEXEXTRACT(C603, ""🏘️ \w+ (\w+) .* ✅"")"),"appartement")</f>
        <v>appartement</v>
      </c>
      <c r="H603" s="4" t="str">
        <f>IFERROR(__xludf.DUMMYFUNCTION("REGEXEXTRACT(A603, ""/(\w+)-.*?"")"),"lieu")</f>
        <v>lieu</v>
      </c>
      <c r="I603" s="4" t="str">
        <f>IFERROR(__xludf.DUMMYFUNCTION("if(D603=""variant"",  substitute(filter(Templates!E:E, Templates!A:A = F603, Templates!B:B = G603, Templates!C:C = H603), ""{{}}"", E603), B603)"),"🏘  L’appartement de vos rêves se trouve sur ImmoScout24.ch ✅ Découvrez les dernières annonces de vente à Cheyres.")</f>
        <v>🏘  L’appartement de vos rêves se trouve sur ImmoScout24.ch ✅ Découvrez les dernières annonces de vente à Cheyres.</v>
      </c>
      <c r="J603" s="4" t="s">
        <v>1816</v>
      </c>
    </row>
    <row r="604">
      <c r="A604" s="5" t="s">
        <v>1817</v>
      </c>
      <c r="B604" s="2" t="s">
        <v>1818</v>
      </c>
      <c r="C604" s="4" t="str">
        <f>IFERROR(__xludf.DUMMYFUNCTION("""🏘️ ""&amp;REGEXEXTRACT(B604, ""^(.*): "")&amp;"" ✅ "" &amp;REGEXEXTRACT(B604, ""(Trouvez.*)"")"),"🏘️ Vendre maison Arzo ✅ Trouvez le bien immobilier qui correspond idéalement à vos désirs sur ImmoScout24 - La plateforme de l'immobilier en Suisse.")</f>
        <v>🏘️ Vendre maison Arzo ✅ Trouvez le bien immobilier qui correspond idéalement à vos désirs sur ImmoScout24 - La plateforme de l'immobilier en Suisse.</v>
      </c>
      <c r="D604" s="4" t="str">
        <f>vlookup(A604, Sheet2!D:E, 2, 0)</f>
        <v>variant</v>
      </c>
      <c r="E604" s="4" t="str">
        <f>IFERROR(__xludf.DUMMYFUNCTION("if(H604=""pays"",vlookup(REGEXEXTRACT(C604, ""🏘️ \w+ \w+ (.*) ✅""),'Country prepositions'!A:B, 2, 0) &amp; "" "" &amp; REGEXEXTRACT(C604, ""🏘️ \w+ \w+ (.*) ✅"") ,  if(H604=""quartier"",vlookup(REGEXEXTRACT(C604, ""🏘️ \w+ \w+ (.*) ✅""),'Quartier prepositions'!A"&amp;":E, 5, 0) ,  if(H604=""region"",vlookup(REGEXEXTRACT(C604, ""🏘️ \w+ \w+ (.*) ✅""),'Region prepositions'!B:F, 5, 0),  REGEXEXTRACT(C604, ""🏘️ \w+ \w+ (.*) ✅""))))"),"Arzo")</f>
        <v>Arzo</v>
      </c>
      <c r="F604" s="2" t="str">
        <f>IFERROR(__xludf.DUMMYFUNCTION("REGEXEXTRACT(C604, ""🏘️ (\w+) \w+ .* ✅"")"),"Vendre")</f>
        <v>Vendre</v>
      </c>
      <c r="G604" s="2" t="str">
        <f>IFERROR(__xludf.DUMMYFUNCTION("REGEXEXTRACT(C604, ""🏘️ \w+ (\w+) .* ✅"")"),"maison")</f>
        <v>maison</v>
      </c>
      <c r="H604" s="4" t="str">
        <f>IFERROR(__xludf.DUMMYFUNCTION("REGEXEXTRACT(A604, ""/(\w+)-.*?"")"),"lieu")</f>
        <v>lieu</v>
      </c>
      <c r="I604" s="4" t="str">
        <f>IFERROR(__xludf.DUMMYFUNCTION("if(D604=""variant"",  substitute(filter(Templates!E:E, Templates!A:A = F604, Templates!B:B = G604, Templates!C:C = H604), ""{{}}"", E604), B604)"),"🏘  Vous souhaitez acheter une maison à Arzo? ✅ Jetez un œil aux dernières offres sur ImmoScout24.ch.")</f>
        <v>🏘  Vous souhaitez acheter une maison à Arzo? ✅ Jetez un œil aux dernières offres sur ImmoScout24.ch.</v>
      </c>
      <c r="J604" s="4" t="s">
        <v>1819</v>
      </c>
    </row>
    <row r="605">
      <c r="A605" s="5" t="s">
        <v>1820</v>
      </c>
      <c r="B605" s="2" t="s">
        <v>1821</v>
      </c>
      <c r="C605" s="4" t="str">
        <f>IFERROR(__xludf.DUMMYFUNCTION("""🏘️ ""&amp;REGEXEXTRACT(B605, ""^(.*): "")&amp;"" ✅ "" &amp;REGEXEXTRACT(B605, ""(Trouvez.*)"")"),"🏘️ Vendre appartement Môtier (Vully) ✅ Trouvez le bien immobilier qui correspond idéalement à vos désirs sur ImmoScout24 - La plateforme de l'immobilier en Suisse.")</f>
        <v>🏘️ Vendre appartement Môtier (Vully) ✅ Trouvez le bien immobilier qui correspond idéalement à vos désirs sur ImmoScout24 - La plateforme de l'immobilier en Suisse.</v>
      </c>
      <c r="D605" s="4" t="str">
        <f>vlookup(A605, Sheet2!D:E, 2, 0)</f>
        <v>variant</v>
      </c>
      <c r="E605" s="4" t="str">
        <f>IFERROR(__xludf.DUMMYFUNCTION("if(H605=""pays"",vlookup(REGEXEXTRACT(C605, ""🏘️ \w+ \w+ (.*) ✅""),'Country prepositions'!A:B, 2, 0) &amp; "" "" &amp; REGEXEXTRACT(C605, ""🏘️ \w+ \w+ (.*) ✅"") ,  if(H605=""quartier"",vlookup(REGEXEXTRACT(C605, ""🏘️ \w+ \w+ (.*) ✅""),'Quartier prepositions'!A"&amp;":E, 5, 0) ,  if(H605=""region"",vlookup(REGEXEXTRACT(C605, ""🏘️ \w+ \w+ (.*) ✅""),'Region prepositions'!B:F, 5, 0),  REGEXEXTRACT(C605, ""🏘️ \w+ \w+ (.*) ✅""))))"),"Môtier (Vully)")</f>
        <v>Môtier (Vully)</v>
      </c>
      <c r="F605" s="2" t="str">
        <f>IFERROR(__xludf.DUMMYFUNCTION("REGEXEXTRACT(C605, ""🏘️ (\w+) \w+ .* ✅"")"),"Vendre")</f>
        <v>Vendre</v>
      </c>
      <c r="G605" s="2" t="str">
        <f>IFERROR(__xludf.DUMMYFUNCTION("REGEXEXTRACT(C605, ""🏘️ \w+ (\w+) .* ✅"")"),"appartement")</f>
        <v>appartement</v>
      </c>
      <c r="H605" s="4" t="str">
        <f>IFERROR(__xludf.DUMMYFUNCTION("REGEXEXTRACT(A605, ""/(\w+)-.*?"")"),"lieu")</f>
        <v>lieu</v>
      </c>
      <c r="I605" s="4" t="str">
        <f>IFERROR(__xludf.DUMMYFUNCTION("if(D605=""variant"",  substitute(filter(Templates!E:E, Templates!A:A = F605, Templates!B:B = G605, Templates!C:C = H605), ""{{}}"", E605), B605)"),"🏘  L’appartement de vos rêves se trouve sur ImmoScout24.ch ✅ Découvrez les dernières annonces de vente à Môtier (Vully).")</f>
        <v>🏘  L’appartement de vos rêves se trouve sur ImmoScout24.ch ✅ Découvrez les dernières annonces de vente à Môtier (Vully).</v>
      </c>
      <c r="J605" s="4" t="s">
        <v>1822</v>
      </c>
    </row>
    <row r="606">
      <c r="A606" s="5" t="s">
        <v>1823</v>
      </c>
      <c r="B606" s="2" t="s">
        <v>1824</v>
      </c>
      <c r="C606" s="4" t="str">
        <f>IFERROR(__xludf.DUMMYFUNCTION("""🏘️ ""&amp;REGEXEXTRACT(B606, ""^(.*): "")&amp;"" ✅ "" &amp;REGEXEXTRACT(B606, ""(Trouvez.*)"")"),"🏘️ Vendre maison Seltisberg ✅ Trouvez le bien immobilier qui correspond idéalement à vos désirs sur ImmoScout24 - La plateforme de l'immobilier en Suisse.")</f>
        <v>🏘️ Vendre maison Seltisberg ✅ Trouvez le bien immobilier qui correspond idéalement à vos désirs sur ImmoScout24 - La plateforme de l'immobilier en Suisse.</v>
      </c>
      <c r="D606" s="4" t="str">
        <f>vlookup(A606, Sheet2!D:E, 2, 0)</f>
        <v>variant</v>
      </c>
      <c r="E606" s="4" t="str">
        <f>IFERROR(__xludf.DUMMYFUNCTION("if(H606=""pays"",vlookup(REGEXEXTRACT(C606, ""🏘️ \w+ \w+ (.*) ✅""),'Country prepositions'!A:B, 2, 0) &amp; "" "" &amp; REGEXEXTRACT(C606, ""🏘️ \w+ \w+ (.*) ✅"") ,  if(H606=""quartier"",vlookup(REGEXEXTRACT(C606, ""🏘️ \w+ \w+ (.*) ✅""),'Quartier prepositions'!A"&amp;":E, 5, 0) ,  if(H606=""region"",vlookup(REGEXEXTRACT(C606, ""🏘️ \w+ \w+ (.*) ✅""),'Region prepositions'!B:F, 5, 0),  REGEXEXTRACT(C606, ""🏘️ \w+ \w+ (.*) ✅""))))"),"Seltisberg")</f>
        <v>Seltisberg</v>
      </c>
      <c r="F606" s="2" t="str">
        <f>IFERROR(__xludf.DUMMYFUNCTION("REGEXEXTRACT(C606, ""🏘️ (\w+) \w+ .* ✅"")"),"Vendre")</f>
        <v>Vendre</v>
      </c>
      <c r="G606" s="2" t="str">
        <f>IFERROR(__xludf.DUMMYFUNCTION("REGEXEXTRACT(C606, ""🏘️ \w+ (\w+) .* ✅"")"),"maison")</f>
        <v>maison</v>
      </c>
      <c r="H606" s="4" t="str">
        <f>IFERROR(__xludf.DUMMYFUNCTION("REGEXEXTRACT(A606, ""/(\w+)-.*?"")"),"lieu")</f>
        <v>lieu</v>
      </c>
      <c r="I606" s="4" t="str">
        <f>IFERROR(__xludf.DUMMYFUNCTION("if(D606=""variant"",  substitute(filter(Templates!E:E, Templates!A:A = F606, Templates!B:B = G606, Templates!C:C = H606), ""{{}}"", E606), B606)"),"🏘  Vous souhaitez acheter une maison à Seltisberg? ✅ Jetez un œil aux dernières offres sur ImmoScout24.ch.")</f>
        <v>🏘  Vous souhaitez acheter une maison à Seltisberg? ✅ Jetez un œil aux dernières offres sur ImmoScout24.ch.</v>
      </c>
      <c r="J606" s="4" t="s">
        <v>1825</v>
      </c>
    </row>
    <row r="607">
      <c r="A607" s="5" t="s">
        <v>1826</v>
      </c>
      <c r="B607" s="2" t="s">
        <v>1827</v>
      </c>
      <c r="C607" s="4" t="str">
        <f>IFERROR(__xludf.DUMMYFUNCTION("""🏘️ ""&amp;REGEXEXTRACT(B607, ""^(.*): "")&amp;"" ✅ "" &amp;REGEXEXTRACT(B607, ""(Trouvez.*)"")"),"🏘️ Louer appartement Cerniat FR ✅ Trouvez le bien immobilier qui correspond idéalement à vos désirs sur ImmoScout24 - La plateforme de l'immobilier en Suisse.")</f>
        <v>🏘️ Louer appartement Cerniat FR ✅ Trouvez le bien immobilier qui correspond idéalement à vos désirs sur ImmoScout24 - La plateforme de l'immobilier en Suisse.</v>
      </c>
      <c r="D607" s="4" t="str">
        <f>vlookup(A607, Sheet2!D:E, 2, 0)</f>
        <v>variant</v>
      </c>
      <c r="E607" s="4" t="str">
        <f>IFERROR(__xludf.DUMMYFUNCTION("if(H607=""pays"",vlookup(REGEXEXTRACT(C607, ""🏘️ \w+ \w+ (.*) ✅""),'Country prepositions'!A:B, 2, 0) &amp; "" "" &amp; REGEXEXTRACT(C607, ""🏘️ \w+ \w+ (.*) ✅"") ,  if(H607=""quartier"",vlookup(REGEXEXTRACT(C607, ""🏘️ \w+ \w+ (.*) ✅""),'Quartier prepositions'!A"&amp;":E, 5, 0) ,  if(H607=""region"",vlookup(REGEXEXTRACT(C607, ""🏘️ \w+ \w+ (.*) ✅""),'Region prepositions'!B:F, 5, 0),  REGEXEXTRACT(C607, ""🏘️ \w+ \w+ (.*) ✅""))))"),"Cerniat FR")</f>
        <v>Cerniat FR</v>
      </c>
      <c r="F607" s="2" t="str">
        <f>IFERROR(__xludf.DUMMYFUNCTION("REGEXEXTRACT(C607, ""🏘️ (\w+) \w+ .* ✅"")"),"Louer")</f>
        <v>Louer</v>
      </c>
      <c r="G607" s="2" t="str">
        <f>IFERROR(__xludf.DUMMYFUNCTION("REGEXEXTRACT(C607, ""🏘️ \w+ (\w+) .* ✅"")"),"appartement")</f>
        <v>appartement</v>
      </c>
      <c r="H607" s="4" t="str">
        <f>IFERROR(__xludf.DUMMYFUNCTION("REGEXEXTRACT(A607, ""/(\w+)-.*?"")"),"lieu")</f>
        <v>lieu</v>
      </c>
      <c r="I607" s="4" t="str">
        <f>IFERROR(__xludf.DUMMYFUNCTION("if(D607=""variant"",  substitute(filter(Templates!E:E, Templates!A:A = F607, Templates!B:B = G607, Templates!C:C = H607), ""{{}}"", E607), B607)"),"🏘  Vous cherchez un appartement à louer à Cerniat FR? ✅ Les annonces les plus actuelles sont sur ImmoScout24.ch.")</f>
        <v>🏘  Vous cherchez un appartement à louer à Cerniat FR? ✅ Les annonces les plus actuelles sont sur ImmoScout24.ch.</v>
      </c>
      <c r="J607" s="4" t="s">
        <v>1828</v>
      </c>
    </row>
    <row r="608">
      <c r="A608" s="5" t="s">
        <v>1829</v>
      </c>
      <c r="B608" s="2" t="s">
        <v>1830</v>
      </c>
      <c r="C608" s="4" t="str">
        <f>IFERROR(__xludf.DUMMYFUNCTION("""🏘️ ""&amp;REGEXEXTRACT(B608, ""^(.*): "")&amp;"" ✅ "" &amp;REGEXEXTRACT(B608, ""(Trouvez.*)"")"),"🏘️ Louer appartement Petit Vichères (Liddes) ✅ Trouvez le bien immobilier qui correspond idéalement à vos désirs sur ImmoScout24 - La plateforme de l'immobilier en Suisse.")</f>
        <v>🏘️ Louer appartement Petit Vichères (Liddes) ✅ Trouvez le bien immobilier qui correspond idéalement à vos désirs sur ImmoScout24 - La plateforme de l'immobilier en Suisse.</v>
      </c>
      <c r="D608" s="4" t="str">
        <f>vlookup(A608, Sheet2!D:E, 2, 0)</f>
        <v>variant</v>
      </c>
      <c r="E608" s="4" t="str">
        <f>IFERROR(__xludf.DUMMYFUNCTION("if(H608=""pays"",vlookup(REGEXEXTRACT(C608, ""🏘️ \w+ \w+ (.*) ✅""),'Country prepositions'!A:B, 2, 0) &amp; "" "" &amp; REGEXEXTRACT(C608, ""🏘️ \w+ \w+ (.*) ✅"") ,  if(H608=""quartier"",vlookup(REGEXEXTRACT(C608, ""🏘️ \w+ \w+ (.*) ✅""),'Quartier prepositions'!A"&amp;":E, 5, 0) ,  if(H608=""region"",vlookup(REGEXEXTRACT(C608, ""🏘️ \w+ \w+ (.*) ✅""),'Region prepositions'!B:F, 5, 0),  REGEXEXTRACT(C608, ""🏘️ \w+ \w+ (.*) ✅""))))"),"Petit Vichères (Liddes)")</f>
        <v>Petit Vichères (Liddes)</v>
      </c>
      <c r="F608" s="2" t="str">
        <f>IFERROR(__xludf.DUMMYFUNCTION("REGEXEXTRACT(C608, ""🏘️ (\w+) \w+ .* ✅"")"),"Louer")</f>
        <v>Louer</v>
      </c>
      <c r="G608" s="2" t="str">
        <f>IFERROR(__xludf.DUMMYFUNCTION("REGEXEXTRACT(C608, ""🏘️ \w+ (\w+) .* ✅"")"),"appartement")</f>
        <v>appartement</v>
      </c>
      <c r="H608" s="4" t="str">
        <f>IFERROR(__xludf.DUMMYFUNCTION("REGEXEXTRACT(A608, ""/(\w+)-.*?"")"),"lieu")</f>
        <v>lieu</v>
      </c>
      <c r="I608" s="4" t="str">
        <f>IFERROR(__xludf.DUMMYFUNCTION("if(D608=""variant"",  substitute(filter(Templates!E:E, Templates!A:A = F608, Templates!B:B = G608, Templates!C:C = H608), ""{{}}"", E608), B608)"),"🏘  Vous cherchez un appartement à louer à Petit Vichères (Liddes)? ✅ Les annonces les plus actuelles sont sur ImmoScout24.ch.")</f>
        <v>🏘  Vous cherchez un appartement à louer à Petit Vichères (Liddes)? ✅ Les annonces les plus actuelles sont sur ImmoScout24.ch.</v>
      </c>
      <c r="J608" s="4" t="s">
        <v>1831</v>
      </c>
    </row>
    <row r="609">
      <c r="A609" s="5" t="s">
        <v>1832</v>
      </c>
      <c r="B609" s="2" t="s">
        <v>1833</v>
      </c>
      <c r="C609" s="4" t="str">
        <f>IFERROR(__xludf.DUMMYFUNCTION("""🏘️ ""&amp;REGEXEXTRACT(B609, ""^(.*): "")&amp;"" ✅ "" &amp;REGEXEXTRACT(B609, ""(Trouvez.*)"")"),"🏘️ Louer appartement Montignez ✅ Trouvez le bien immobilier qui correspond idéalement à vos désirs sur ImmoScout24 - La plateforme de l'immobilier en Suisse.")</f>
        <v>🏘️ Louer appartement Montignez ✅ Trouvez le bien immobilier qui correspond idéalement à vos désirs sur ImmoScout24 - La plateforme de l'immobilier en Suisse.</v>
      </c>
      <c r="D609" s="4" t="str">
        <f>vlookup(A609, Sheet2!D:E, 2, 0)</f>
        <v>variant</v>
      </c>
      <c r="E609" s="4" t="str">
        <f>IFERROR(__xludf.DUMMYFUNCTION("if(H609=""pays"",vlookup(REGEXEXTRACT(C609, ""🏘️ \w+ \w+ (.*) ✅""),'Country prepositions'!A:B, 2, 0) &amp; "" "" &amp; REGEXEXTRACT(C609, ""🏘️ \w+ \w+ (.*) ✅"") ,  if(H609=""quartier"",vlookup(REGEXEXTRACT(C609, ""🏘️ \w+ \w+ (.*) ✅""),'Quartier prepositions'!A"&amp;":E, 5, 0) ,  if(H609=""region"",vlookup(REGEXEXTRACT(C609, ""🏘️ \w+ \w+ (.*) ✅""),'Region prepositions'!B:F, 5, 0),  REGEXEXTRACT(C609, ""🏘️ \w+ \w+ (.*) ✅""))))"),"Montignez")</f>
        <v>Montignez</v>
      </c>
      <c r="F609" s="2" t="str">
        <f>IFERROR(__xludf.DUMMYFUNCTION("REGEXEXTRACT(C609, ""🏘️ (\w+) \w+ .* ✅"")"),"Louer")</f>
        <v>Louer</v>
      </c>
      <c r="G609" s="2" t="str">
        <f>IFERROR(__xludf.DUMMYFUNCTION("REGEXEXTRACT(C609, ""🏘️ \w+ (\w+) .* ✅"")"),"appartement")</f>
        <v>appartement</v>
      </c>
      <c r="H609" s="4" t="str">
        <f>IFERROR(__xludf.DUMMYFUNCTION("REGEXEXTRACT(A609, ""/(\w+)-.*?"")"),"lieu")</f>
        <v>lieu</v>
      </c>
      <c r="I609" s="4" t="str">
        <f>IFERROR(__xludf.DUMMYFUNCTION("if(D609=""variant"",  substitute(filter(Templates!E:E, Templates!A:A = F609, Templates!B:B = G609, Templates!C:C = H609), ""{{}}"", E609), B609)"),"🏘  Vous cherchez un appartement à louer à Montignez? ✅ Les annonces les plus actuelles sont sur ImmoScout24.ch.")</f>
        <v>🏘  Vous cherchez un appartement à louer à Montignez? ✅ Les annonces les plus actuelles sont sur ImmoScout24.ch.</v>
      </c>
      <c r="J609" s="4" t="s">
        <v>1834</v>
      </c>
    </row>
    <row r="610">
      <c r="A610" s="5" t="s">
        <v>1835</v>
      </c>
      <c r="B610" s="2" t="s">
        <v>1836</v>
      </c>
      <c r="C610" s="4" t="str">
        <f>IFERROR(__xludf.DUMMYFUNCTION("""🏘️ ""&amp;REGEXEXTRACT(B610, ""^(.*): "")&amp;"" ✅ "" &amp;REGEXEXTRACT(B610, ""(Trouvez.*)"")"),"🏘️ Louer appartement Champ-du-Moulin ✅ Trouvez le bien immobilier qui correspond idéalement à vos désirs sur ImmoScout24 - La plateforme de l'immobilier en Suisse.")</f>
        <v>🏘️ Louer appartement Champ-du-Moulin ✅ Trouvez le bien immobilier qui correspond idéalement à vos désirs sur ImmoScout24 - La plateforme de l'immobilier en Suisse.</v>
      </c>
      <c r="D610" s="4" t="str">
        <f>vlookup(A610, Sheet2!D:E, 2, 0)</f>
        <v>variant</v>
      </c>
      <c r="E610" s="4" t="str">
        <f>IFERROR(__xludf.DUMMYFUNCTION("if(H610=""pays"",vlookup(REGEXEXTRACT(C610, ""🏘️ \w+ \w+ (.*) ✅""),'Country prepositions'!A:B, 2, 0) &amp; "" "" &amp; REGEXEXTRACT(C610, ""🏘️ \w+ \w+ (.*) ✅"") ,  if(H610=""quartier"",vlookup(REGEXEXTRACT(C610, ""🏘️ \w+ \w+ (.*) ✅""),'Quartier prepositions'!A"&amp;":E, 5, 0) ,  if(H610=""region"",vlookup(REGEXEXTRACT(C610, ""🏘️ \w+ \w+ (.*) ✅""),'Region prepositions'!B:F, 5, 0),  REGEXEXTRACT(C610, ""🏘️ \w+ \w+ (.*) ✅""))))"),"Champ-du-Moulin")</f>
        <v>Champ-du-Moulin</v>
      </c>
      <c r="F610" s="2" t="str">
        <f>IFERROR(__xludf.DUMMYFUNCTION("REGEXEXTRACT(C610, ""🏘️ (\w+) \w+ .* ✅"")"),"Louer")</f>
        <v>Louer</v>
      </c>
      <c r="G610" s="2" t="str">
        <f>IFERROR(__xludf.DUMMYFUNCTION("REGEXEXTRACT(C610, ""🏘️ \w+ (\w+) .* ✅"")"),"appartement")</f>
        <v>appartement</v>
      </c>
      <c r="H610" s="4" t="str">
        <f>IFERROR(__xludf.DUMMYFUNCTION("REGEXEXTRACT(A610, ""/(\w+)-.*?"")"),"lieu")</f>
        <v>lieu</v>
      </c>
      <c r="I610" s="4" t="str">
        <f>IFERROR(__xludf.DUMMYFUNCTION("if(D610=""variant"",  substitute(filter(Templates!E:E, Templates!A:A = F610, Templates!B:B = G610, Templates!C:C = H610), ""{{}}"", E610), B610)"),"🏘  Vous cherchez un appartement à louer à Champ-du-Moulin? ✅ Les annonces les plus actuelles sont sur ImmoScout24.ch.")</f>
        <v>🏘  Vous cherchez un appartement à louer à Champ-du-Moulin? ✅ Les annonces les plus actuelles sont sur ImmoScout24.ch.</v>
      </c>
      <c r="J610" s="4" t="s">
        <v>1837</v>
      </c>
    </row>
    <row r="611">
      <c r="A611" s="5" t="s">
        <v>1838</v>
      </c>
      <c r="B611" s="2" t="s">
        <v>1839</v>
      </c>
      <c r="C611" s="4" t="str">
        <f>IFERROR(__xludf.DUMMYFUNCTION("""🏘️ ""&amp;REGEXEXTRACT(B611, ""^(.*): "")&amp;"" ✅ "" &amp;REGEXEXTRACT(B611, ""(Trouvez.*)"")"),"🏘️ Vendre appartement Lonay ✅ Trouvez le bien immobilier qui correspond idéalement à vos désirs sur ImmoScout24 - La plateforme de l'immobilier en Suisse.")</f>
        <v>🏘️ Vendre appartement Lonay ✅ Trouvez le bien immobilier qui correspond idéalement à vos désirs sur ImmoScout24 - La plateforme de l'immobilier en Suisse.</v>
      </c>
      <c r="D611" s="4" t="str">
        <f>vlookup(A611, Sheet2!D:E, 2, 0)</f>
        <v>variant</v>
      </c>
      <c r="E611" s="4" t="str">
        <f>IFERROR(__xludf.DUMMYFUNCTION("if(H611=""pays"",vlookup(REGEXEXTRACT(C611, ""🏘️ \w+ \w+ (.*) ✅""),'Country prepositions'!A:B, 2, 0) &amp; "" "" &amp; REGEXEXTRACT(C611, ""🏘️ \w+ \w+ (.*) ✅"") ,  if(H611=""quartier"",vlookup(REGEXEXTRACT(C611, ""🏘️ \w+ \w+ (.*) ✅""),'Quartier prepositions'!A"&amp;":E, 5, 0) ,  if(H611=""region"",vlookup(REGEXEXTRACT(C611, ""🏘️ \w+ \w+ (.*) ✅""),'Region prepositions'!B:F, 5, 0),  REGEXEXTRACT(C611, ""🏘️ \w+ \w+ (.*) ✅""))))"),"Lonay")</f>
        <v>Lonay</v>
      </c>
      <c r="F611" s="2" t="str">
        <f>IFERROR(__xludf.DUMMYFUNCTION("REGEXEXTRACT(C611, ""🏘️ (\w+) \w+ .* ✅"")"),"Vendre")</f>
        <v>Vendre</v>
      </c>
      <c r="G611" s="2" t="str">
        <f>IFERROR(__xludf.DUMMYFUNCTION("REGEXEXTRACT(C611, ""🏘️ \w+ (\w+) .* ✅"")"),"appartement")</f>
        <v>appartement</v>
      </c>
      <c r="H611" s="4" t="str">
        <f>IFERROR(__xludf.DUMMYFUNCTION("REGEXEXTRACT(A611, ""/(\w+)-.*?"")"),"lieu")</f>
        <v>lieu</v>
      </c>
      <c r="I611" s="4" t="str">
        <f>IFERROR(__xludf.DUMMYFUNCTION("if(D611=""variant"",  substitute(filter(Templates!E:E, Templates!A:A = F611, Templates!B:B = G611, Templates!C:C = H611), ""{{}}"", E611), B611)"),"🏘  L’appartement de vos rêves se trouve sur ImmoScout24.ch ✅ Découvrez les dernières annonces de vente à Lonay.")</f>
        <v>🏘  L’appartement de vos rêves se trouve sur ImmoScout24.ch ✅ Découvrez les dernières annonces de vente à Lonay.</v>
      </c>
      <c r="J611" s="4" t="s">
        <v>1840</v>
      </c>
    </row>
    <row r="612">
      <c r="A612" s="5" t="s">
        <v>1841</v>
      </c>
      <c r="B612" s="2" t="s">
        <v>1842</v>
      </c>
      <c r="C612" s="4" t="str">
        <f>IFERROR(__xludf.DUMMYFUNCTION("""🏘️ ""&amp;REGEXEXTRACT(B612, ""^(.*): "")&amp;"" ✅ "" &amp;REGEXEXTRACT(B612, ""(Trouvez.*)"")"),"🏘️ Vendre maison Walenstadt ✅ Trouvez le bien immobilier qui correspond idéalement à vos désirs sur ImmoScout24 - La plateforme de l'immobilier en Suisse.")</f>
        <v>🏘️ Vendre maison Walenstadt ✅ Trouvez le bien immobilier qui correspond idéalement à vos désirs sur ImmoScout24 - La plateforme de l'immobilier en Suisse.</v>
      </c>
      <c r="D612" s="4" t="str">
        <f>vlookup(A612, Sheet2!D:E, 2, 0)</f>
        <v>variant</v>
      </c>
      <c r="E612" s="4" t="str">
        <f>IFERROR(__xludf.DUMMYFUNCTION("if(H612=""pays"",vlookup(REGEXEXTRACT(C612, ""🏘️ \w+ \w+ (.*) ✅""),'Country prepositions'!A:B, 2, 0) &amp; "" "" &amp; REGEXEXTRACT(C612, ""🏘️ \w+ \w+ (.*) ✅"") ,  if(H612=""quartier"",vlookup(REGEXEXTRACT(C612, ""🏘️ \w+ \w+ (.*) ✅""),'Quartier prepositions'!A"&amp;":E, 5, 0) ,  if(H612=""region"",vlookup(REGEXEXTRACT(C612, ""🏘️ \w+ \w+ (.*) ✅""),'Region prepositions'!B:F, 5, 0),  REGEXEXTRACT(C612, ""🏘️ \w+ \w+ (.*) ✅""))))"),"Walenstadt")</f>
        <v>Walenstadt</v>
      </c>
      <c r="F612" s="2" t="str">
        <f>IFERROR(__xludf.DUMMYFUNCTION("REGEXEXTRACT(C612, ""🏘️ (\w+) \w+ .* ✅"")"),"Vendre")</f>
        <v>Vendre</v>
      </c>
      <c r="G612" s="2" t="str">
        <f>IFERROR(__xludf.DUMMYFUNCTION("REGEXEXTRACT(C612, ""🏘️ \w+ (\w+) .* ✅"")"),"maison")</f>
        <v>maison</v>
      </c>
      <c r="H612" s="4" t="str">
        <f>IFERROR(__xludf.DUMMYFUNCTION("REGEXEXTRACT(A612, ""/(\w+)-.*?"")"),"lieu")</f>
        <v>lieu</v>
      </c>
      <c r="I612" s="4" t="str">
        <f>IFERROR(__xludf.DUMMYFUNCTION("if(D612=""variant"",  substitute(filter(Templates!E:E, Templates!A:A = F612, Templates!B:B = G612, Templates!C:C = H612), ""{{}}"", E612), B612)"),"🏘  Vous souhaitez acheter une maison à Walenstadt? ✅ Jetez un œil aux dernières offres sur ImmoScout24.ch.")</f>
        <v>🏘  Vous souhaitez acheter une maison à Walenstadt? ✅ Jetez un œil aux dernières offres sur ImmoScout24.ch.</v>
      </c>
      <c r="J612" s="4" t="s">
        <v>1843</v>
      </c>
    </row>
    <row r="613">
      <c r="A613" s="5" t="s">
        <v>1844</v>
      </c>
      <c r="B613" s="2" t="s">
        <v>1845</v>
      </c>
      <c r="C613" s="4" t="str">
        <f>IFERROR(__xludf.DUMMYFUNCTION("""🏘️ ""&amp;REGEXEXTRACT(B613, ""^(.*): "")&amp;"" ✅ "" &amp;REGEXEXTRACT(B613, ""(Trouvez.*)"")"),"🏘️ Vendre appartement Bernex ✅ Trouvez le bien immobilier qui correspond idéalement à vos désirs sur ImmoScout24 - La plateforme de l'immobilier en Suisse.")</f>
        <v>🏘️ Vendre appartement Bernex ✅ Trouvez le bien immobilier qui correspond idéalement à vos désirs sur ImmoScout24 - La plateforme de l'immobilier en Suisse.</v>
      </c>
      <c r="D613" s="4" t="str">
        <f>vlookup(A613, Sheet2!D:E, 2, 0)</f>
        <v>variant</v>
      </c>
      <c r="E613" s="4" t="str">
        <f>IFERROR(__xludf.DUMMYFUNCTION("if(H613=""pays"",vlookup(REGEXEXTRACT(C613, ""🏘️ \w+ \w+ (.*) ✅""),'Country prepositions'!A:B, 2, 0) &amp; "" "" &amp; REGEXEXTRACT(C613, ""🏘️ \w+ \w+ (.*) ✅"") ,  if(H613=""quartier"",vlookup(REGEXEXTRACT(C613, ""🏘️ \w+ \w+ (.*) ✅""),'Quartier prepositions'!A"&amp;":E, 5, 0) ,  if(H613=""region"",vlookup(REGEXEXTRACT(C613, ""🏘️ \w+ \w+ (.*) ✅""),'Region prepositions'!B:F, 5, 0),  REGEXEXTRACT(C613, ""🏘️ \w+ \w+ (.*) ✅""))))"),"Bernex")</f>
        <v>Bernex</v>
      </c>
      <c r="F613" s="2" t="str">
        <f>IFERROR(__xludf.DUMMYFUNCTION("REGEXEXTRACT(C613, ""🏘️ (\w+) \w+ .* ✅"")"),"Vendre")</f>
        <v>Vendre</v>
      </c>
      <c r="G613" s="2" t="str">
        <f>IFERROR(__xludf.DUMMYFUNCTION("REGEXEXTRACT(C613, ""🏘️ \w+ (\w+) .* ✅"")"),"appartement")</f>
        <v>appartement</v>
      </c>
      <c r="H613" s="4" t="str">
        <f>IFERROR(__xludf.DUMMYFUNCTION("REGEXEXTRACT(A613, ""/(\w+)-.*?"")"),"lieu")</f>
        <v>lieu</v>
      </c>
      <c r="I613" s="4" t="str">
        <f>IFERROR(__xludf.DUMMYFUNCTION("if(D613=""variant"",  substitute(filter(Templates!E:E, Templates!A:A = F613, Templates!B:B = G613, Templates!C:C = H613), ""{{}}"", E613), B613)"),"🏘  L’appartement de vos rêves se trouve sur ImmoScout24.ch ✅ Découvrez les dernières annonces de vente à Bernex.")</f>
        <v>🏘  L’appartement de vos rêves se trouve sur ImmoScout24.ch ✅ Découvrez les dernières annonces de vente à Bernex.</v>
      </c>
      <c r="J613" s="4" t="s">
        <v>1846</v>
      </c>
    </row>
    <row r="614">
      <c r="A614" s="5" t="s">
        <v>1847</v>
      </c>
      <c r="B614" s="2" t="s">
        <v>1848</v>
      </c>
      <c r="C614" s="4" t="str">
        <f>IFERROR(__xludf.DUMMYFUNCTION("""🏘️ ""&amp;REGEXEXTRACT(B614, ""^(.*): "")&amp;"" ✅ "" &amp;REGEXEXTRACT(B614, ""(Trouvez.*)"")"),"🏘️ Louer appartement Orpund ✅ Trouvez le bien immobilier qui correspond idéalement à vos désirs sur ImmoScout24 - La plateforme de l'immobilier en Suisse.")</f>
        <v>🏘️ Louer appartement Orpund ✅ Trouvez le bien immobilier qui correspond idéalement à vos désirs sur ImmoScout24 - La plateforme de l'immobilier en Suisse.</v>
      </c>
      <c r="D614" s="4" t="str">
        <f>vlookup(A614, Sheet2!D:E, 2, 0)</f>
        <v>variant</v>
      </c>
      <c r="E614" s="4" t="str">
        <f>IFERROR(__xludf.DUMMYFUNCTION("if(H614=""pays"",vlookup(REGEXEXTRACT(C614, ""🏘️ \w+ \w+ (.*) ✅""),'Country prepositions'!A:B, 2, 0) &amp; "" "" &amp; REGEXEXTRACT(C614, ""🏘️ \w+ \w+ (.*) ✅"") ,  if(H614=""quartier"",vlookup(REGEXEXTRACT(C614, ""🏘️ \w+ \w+ (.*) ✅""),'Quartier prepositions'!A"&amp;":E, 5, 0) ,  if(H614=""region"",vlookup(REGEXEXTRACT(C614, ""🏘️ \w+ \w+ (.*) ✅""),'Region prepositions'!B:F, 5, 0),  REGEXEXTRACT(C614, ""🏘️ \w+ \w+ (.*) ✅""))))"),"Orpund")</f>
        <v>Orpund</v>
      </c>
      <c r="F614" s="2" t="str">
        <f>IFERROR(__xludf.DUMMYFUNCTION("REGEXEXTRACT(C614, ""🏘️ (\w+) \w+ .* ✅"")"),"Louer")</f>
        <v>Louer</v>
      </c>
      <c r="G614" s="2" t="str">
        <f>IFERROR(__xludf.DUMMYFUNCTION("REGEXEXTRACT(C614, ""🏘️ \w+ (\w+) .* ✅"")"),"appartement")</f>
        <v>appartement</v>
      </c>
      <c r="H614" s="4" t="str">
        <f>IFERROR(__xludf.DUMMYFUNCTION("REGEXEXTRACT(A614, ""/(\w+)-.*?"")"),"lieu")</f>
        <v>lieu</v>
      </c>
      <c r="I614" s="4" t="str">
        <f>IFERROR(__xludf.DUMMYFUNCTION("if(D614=""variant"",  substitute(filter(Templates!E:E, Templates!A:A = F614, Templates!B:B = G614, Templates!C:C = H614), ""{{}}"", E614), B614)"),"🏘  Vous cherchez un appartement à louer à Orpund? ✅ Les annonces les plus actuelles sont sur ImmoScout24.ch.")</f>
        <v>🏘  Vous cherchez un appartement à louer à Orpund? ✅ Les annonces les plus actuelles sont sur ImmoScout24.ch.</v>
      </c>
      <c r="J614" s="4" t="s">
        <v>1849</v>
      </c>
    </row>
    <row r="615">
      <c r="A615" s="5" t="s">
        <v>1850</v>
      </c>
      <c r="B615" s="2" t="s">
        <v>1851</v>
      </c>
      <c r="C615" s="4" t="str">
        <f>IFERROR(__xludf.DUMMYFUNCTION("""🏘️ ""&amp;REGEXEXTRACT(B615, ""^(.*): "")&amp;"" ✅ "" &amp;REGEXEXTRACT(B615, ""(Trouvez.*)"")"),"🏘️ Vendre maison Zénauva ✅ Trouvez le bien immobilier qui correspond idéalement à vos désirs sur ImmoScout24 - La plateforme de l'immobilier en Suisse.")</f>
        <v>🏘️ Vendre maison Zénauva ✅ Trouvez le bien immobilier qui correspond idéalement à vos désirs sur ImmoScout24 - La plateforme de l'immobilier en Suisse.</v>
      </c>
      <c r="D615" s="4" t="str">
        <f>vlookup(A615, Sheet2!D:E, 2, 0)</f>
        <v>variant</v>
      </c>
      <c r="E615" s="4" t="str">
        <f>IFERROR(__xludf.DUMMYFUNCTION("if(H615=""pays"",vlookup(REGEXEXTRACT(C615, ""🏘️ \w+ \w+ (.*) ✅""),'Country prepositions'!A:B, 2, 0) &amp; "" "" &amp; REGEXEXTRACT(C615, ""🏘️ \w+ \w+ (.*) ✅"") ,  if(H615=""quartier"",vlookup(REGEXEXTRACT(C615, ""🏘️ \w+ \w+ (.*) ✅""),'Quartier prepositions'!A"&amp;":E, 5, 0) ,  if(H615=""region"",vlookup(REGEXEXTRACT(C615, ""🏘️ \w+ \w+ (.*) ✅""),'Region prepositions'!B:F, 5, 0),  REGEXEXTRACT(C615, ""🏘️ \w+ \w+ (.*) ✅""))))"),"Zénauva")</f>
        <v>Zénauva</v>
      </c>
      <c r="F615" s="2" t="str">
        <f>IFERROR(__xludf.DUMMYFUNCTION("REGEXEXTRACT(C615, ""🏘️ (\w+) \w+ .* ✅"")"),"Vendre")</f>
        <v>Vendre</v>
      </c>
      <c r="G615" s="2" t="str">
        <f>IFERROR(__xludf.DUMMYFUNCTION("REGEXEXTRACT(C615, ""🏘️ \w+ (\w+) .* ✅"")"),"maison")</f>
        <v>maison</v>
      </c>
      <c r="H615" s="4" t="str">
        <f>IFERROR(__xludf.DUMMYFUNCTION("REGEXEXTRACT(A615, ""/(\w+)-.*?"")"),"lieu")</f>
        <v>lieu</v>
      </c>
      <c r="I615" s="4" t="str">
        <f>IFERROR(__xludf.DUMMYFUNCTION("if(D615=""variant"",  substitute(filter(Templates!E:E, Templates!A:A = F615, Templates!B:B = G615, Templates!C:C = H615), ""{{}}"", E615), B615)"),"🏘  Vous souhaitez acheter une maison à Zénauva? ✅ Jetez un œil aux dernières offres sur ImmoScout24.ch.")</f>
        <v>🏘  Vous souhaitez acheter une maison à Zénauva? ✅ Jetez un œil aux dernières offres sur ImmoScout24.ch.</v>
      </c>
      <c r="J615" s="4" t="s">
        <v>1852</v>
      </c>
    </row>
    <row r="616">
      <c r="A616" s="5" t="s">
        <v>1853</v>
      </c>
      <c r="B616" s="2" t="s">
        <v>1854</v>
      </c>
      <c r="C616" s="4" t="str">
        <f>IFERROR(__xludf.DUMMYFUNCTION("""🏘️ ""&amp;REGEXEXTRACT(B616, ""^(.*): "")&amp;"" ✅ "" &amp;REGEXEXTRACT(B616, ""(Trouvez.*)"")"),"🏘️ Vendre maison Poschiavo ✅ Trouvez le bien immobilier qui correspond idéalement à vos désirs sur ImmoScout24 - La plateforme de l'immobilier en Suisse.")</f>
        <v>🏘️ Vendre maison Poschiavo ✅ Trouvez le bien immobilier qui correspond idéalement à vos désirs sur ImmoScout24 - La plateforme de l'immobilier en Suisse.</v>
      </c>
      <c r="D616" s="4" t="str">
        <f>vlookup(A616, Sheet2!D:E, 2, 0)</f>
        <v>variant</v>
      </c>
      <c r="E616" s="4" t="str">
        <f>IFERROR(__xludf.DUMMYFUNCTION("if(H616=""pays"",vlookup(REGEXEXTRACT(C616, ""🏘️ \w+ \w+ (.*) ✅""),'Country prepositions'!A:B, 2, 0) &amp; "" "" &amp; REGEXEXTRACT(C616, ""🏘️ \w+ \w+ (.*) ✅"") ,  if(H616=""quartier"",vlookup(REGEXEXTRACT(C616, ""🏘️ \w+ \w+ (.*) ✅""),'Quartier prepositions'!A"&amp;":E, 5, 0) ,  if(H616=""region"",vlookup(REGEXEXTRACT(C616, ""🏘️ \w+ \w+ (.*) ✅""),'Region prepositions'!B:F, 5, 0),  REGEXEXTRACT(C616, ""🏘️ \w+ \w+ (.*) ✅""))))"),"Poschiavo")</f>
        <v>Poschiavo</v>
      </c>
      <c r="F616" s="2" t="str">
        <f>IFERROR(__xludf.DUMMYFUNCTION("REGEXEXTRACT(C616, ""🏘️ (\w+) \w+ .* ✅"")"),"Vendre")</f>
        <v>Vendre</v>
      </c>
      <c r="G616" s="2" t="str">
        <f>IFERROR(__xludf.DUMMYFUNCTION("REGEXEXTRACT(C616, ""🏘️ \w+ (\w+) .* ✅"")"),"maison")</f>
        <v>maison</v>
      </c>
      <c r="H616" s="4" t="str">
        <f>IFERROR(__xludf.DUMMYFUNCTION("REGEXEXTRACT(A616, ""/(\w+)-.*?"")"),"lieu")</f>
        <v>lieu</v>
      </c>
      <c r="I616" s="4" t="str">
        <f>IFERROR(__xludf.DUMMYFUNCTION("if(D616=""variant"",  substitute(filter(Templates!E:E, Templates!A:A = F616, Templates!B:B = G616, Templates!C:C = H616), ""{{}}"", E616), B616)"),"🏘  Vous souhaitez acheter une maison à Poschiavo? ✅ Jetez un œil aux dernières offres sur ImmoScout24.ch.")</f>
        <v>🏘  Vous souhaitez acheter une maison à Poschiavo? ✅ Jetez un œil aux dernières offres sur ImmoScout24.ch.</v>
      </c>
      <c r="J616" s="4" t="s">
        <v>1855</v>
      </c>
    </row>
    <row r="617">
      <c r="A617" s="5" t="s">
        <v>1856</v>
      </c>
      <c r="B617" s="2" t="s">
        <v>1857</v>
      </c>
      <c r="C617" s="4" t="str">
        <f>IFERROR(__xludf.DUMMYFUNCTION("""🏘️ ""&amp;REGEXEXTRACT(B617, ""^(.*): "")&amp;"" ✅ "" &amp;REGEXEXTRACT(B617, ""(Trouvez.*)"")"),"🏘️ Vendre maison Grancia ✅ Trouvez le bien immobilier qui correspond idéalement à vos désirs sur ImmoScout24 - La plateforme de l'immobilier en Suisse.")</f>
        <v>🏘️ Vendre maison Grancia ✅ Trouvez le bien immobilier qui correspond idéalement à vos désirs sur ImmoScout24 - La plateforme de l'immobilier en Suisse.</v>
      </c>
      <c r="D617" s="4" t="str">
        <f>vlookup(A617, Sheet2!D:E, 2, 0)</f>
        <v>variant</v>
      </c>
      <c r="E617" s="4" t="str">
        <f>IFERROR(__xludf.DUMMYFUNCTION("if(H617=""pays"",vlookup(REGEXEXTRACT(C617, ""🏘️ \w+ \w+ (.*) ✅""),'Country prepositions'!A:B, 2, 0) &amp; "" "" &amp; REGEXEXTRACT(C617, ""🏘️ \w+ \w+ (.*) ✅"") ,  if(H617=""quartier"",vlookup(REGEXEXTRACT(C617, ""🏘️ \w+ \w+ (.*) ✅""),'Quartier prepositions'!A"&amp;":E, 5, 0) ,  if(H617=""region"",vlookup(REGEXEXTRACT(C617, ""🏘️ \w+ \w+ (.*) ✅""),'Region prepositions'!B:F, 5, 0),  REGEXEXTRACT(C617, ""🏘️ \w+ \w+ (.*) ✅""))))"),"Grancia")</f>
        <v>Grancia</v>
      </c>
      <c r="F617" s="2" t="str">
        <f>IFERROR(__xludf.DUMMYFUNCTION("REGEXEXTRACT(C617, ""🏘️ (\w+) \w+ .* ✅"")"),"Vendre")</f>
        <v>Vendre</v>
      </c>
      <c r="G617" s="2" t="str">
        <f>IFERROR(__xludf.DUMMYFUNCTION("REGEXEXTRACT(C617, ""🏘️ \w+ (\w+) .* ✅"")"),"maison")</f>
        <v>maison</v>
      </c>
      <c r="H617" s="4" t="str">
        <f>IFERROR(__xludf.DUMMYFUNCTION("REGEXEXTRACT(A617, ""/(\w+)-.*?"")"),"lieu")</f>
        <v>lieu</v>
      </c>
      <c r="I617" s="4" t="str">
        <f>IFERROR(__xludf.DUMMYFUNCTION("if(D617=""variant"",  substitute(filter(Templates!E:E, Templates!A:A = F617, Templates!B:B = G617, Templates!C:C = H617), ""{{}}"", E617), B617)"),"🏘  Vous souhaitez acheter une maison à Grancia? ✅ Jetez un œil aux dernières offres sur ImmoScout24.ch.")</f>
        <v>🏘  Vous souhaitez acheter une maison à Grancia? ✅ Jetez un œil aux dernières offres sur ImmoScout24.ch.</v>
      </c>
      <c r="J617" s="4" t="s">
        <v>1858</v>
      </c>
    </row>
    <row r="618">
      <c r="A618" s="5" t="s">
        <v>1859</v>
      </c>
      <c r="B618" s="2" t="s">
        <v>1860</v>
      </c>
      <c r="C618" s="4" t="str">
        <f>IFERROR(__xludf.DUMMYFUNCTION("""🏘️ ""&amp;REGEXEXTRACT(B618, ""^(.*): "")&amp;"" ✅ "" &amp;REGEXEXTRACT(B618, ""(Trouvez.*)"")"),"🏘️ Vendre appartement Chaumont (Neuchâtel) ✅ Trouvez le bien immobilier qui correspond idéalement à vos désirs sur ImmoScout24 - La plateforme de l'immobilier en Suisse.")</f>
        <v>🏘️ Vendre appartement Chaumont (Neuchâtel) ✅ Trouvez le bien immobilier qui correspond idéalement à vos désirs sur ImmoScout24 - La plateforme de l'immobilier en Suisse.</v>
      </c>
      <c r="D618" s="4" t="str">
        <f>vlookup(A618, Sheet2!D:E, 2, 0)</f>
        <v>variant</v>
      </c>
      <c r="E618" s="4" t="str">
        <f>IFERROR(__xludf.DUMMYFUNCTION("if(H618=""pays"",vlookup(REGEXEXTRACT(C618, ""🏘️ \w+ \w+ (.*) ✅""),'Country prepositions'!A:B, 2, 0) &amp; "" "" &amp; REGEXEXTRACT(C618, ""🏘️ \w+ \w+ (.*) ✅"") ,  if(H618=""quartier"",vlookup(REGEXEXTRACT(C618, ""🏘️ \w+ \w+ (.*) ✅""),'Quartier prepositions'!A"&amp;":E, 5, 0) ,  if(H618=""region"",vlookup(REGEXEXTRACT(C618, ""🏘️ \w+ \w+ (.*) ✅""),'Region prepositions'!B:F, 5, 0),  REGEXEXTRACT(C618, ""🏘️ \w+ \w+ (.*) ✅""))))"),"à Chaumont")</f>
        <v>à Chaumont</v>
      </c>
      <c r="F618" s="2" t="str">
        <f>IFERROR(__xludf.DUMMYFUNCTION("REGEXEXTRACT(C618, ""🏘️ (\w+) \w+ .* ✅"")"),"Vendre")</f>
        <v>Vendre</v>
      </c>
      <c r="G618" s="2" t="str">
        <f>IFERROR(__xludf.DUMMYFUNCTION("REGEXEXTRACT(C618, ""🏘️ \w+ (\w+) .* ✅"")"),"appartement")</f>
        <v>appartement</v>
      </c>
      <c r="H618" s="4" t="str">
        <f>IFERROR(__xludf.DUMMYFUNCTION("REGEXEXTRACT(A618, ""/(\w+)-.*?"")"),"quartier")</f>
        <v>quartier</v>
      </c>
      <c r="I618" s="4" t="str">
        <f>IFERROR(__xludf.DUMMYFUNCTION("if(D618=""variant"",  substitute(filter(Templates!E:E, Templates!A:A = F618, Templates!B:B = G618, Templates!C:C = H618), ""{{}}"", E618), B618)"),"🏘  L’appartement de vos rêves se trouve sur ImmoScout24.ch ✅ Découvrez les dernières annonces de vente à Chaumont.")</f>
        <v>🏘  L’appartement de vos rêves se trouve sur ImmoScout24.ch ✅ Découvrez les dernières annonces de vente à Chaumont.</v>
      </c>
      <c r="J618" s="4" t="s">
        <v>1861</v>
      </c>
    </row>
    <row r="619">
      <c r="A619" s="5" t="s">
        <v>1862</v>
      </c>
      <c r="B619" s="2" t="s">
        <v>1863</v>
      </c>
      <c r="C619" s="4" t="str">
        <f>IFERROR(__xludf.DUMMYFUNCTION("""🏘️ ""&amp;REGEXEXTRACT(B619, ""^(.*): "")&amp;"" ✅ "" &amp;REGEXEXTRACT(B619, ""(Trouvez.*)"")"),"🏘️ Louer appartement Dottikon ✅ Trouvez le bien immobilier qui correspond idéalement à vos désirs sur ImmoScout24 - La plateforme de l'immobilier en Suisse.")</f>
        <v>🏘️ Louer appartement Dottikon ✅ Trouvez le bien immobilier qui correspond idéalement à vos désirs sur ImmoScout24 - La plateforme de l'immobilier en Suisse.</v>
      </c>
      <c r="D619" s="4" t="str">
        <f>vlookup(A619, Sheet2!D:E, 2, 0)</f>
        <v>variant</v>
      </c>
      <c r="E619" s="4" t="str">
        <f>IFERROR(__xludf.DUMMYFUNCTION("if(H619=""pays"",vlookup(REGEXEXTRACT(C619, ""🏘️ \w+ \w+ (.*) ✅""),'Country prepositions'!A:B, 2, 0) &amp; "" "" &amp; REGEXEXTRACT(C619, ""🏘️ \w+ \w+ (.*) ✅"") ,  if(H619=""quartier"",vlookup(REGEXEXTRACT(C619, ""🏘️ \w+ \w+ (.*) ✅""),'Quartier prepositions'!A"&amp;":E, 5, 0) ,  if(H619=""region"",vlookup(REGEXEXTRACT(C619, ""🏘️ \w+ \w+ (.*) ✅""),'Region prepositions'!B:F, 5, 0),  REGEXEXTRACT(C619, ""🏘️ \w+ \w+ (.*) ✅""))))"),"Dottikon")</f>
        <v>Dottikon</v>
      </c>
      <c r="F619" s="2" t="str">
        <f>IFERROR(__xludf.DUMMYFUNCTION("REGEXEXTRACT(C619, ""🏘️ (\w+) \w+ .* ✅"")"),"Louer")</f>
        <v>Louer</v>
      </c>
      <c r="G619" s="2" t="str">
        <f>IFERROR(__xludf.DUMMYFUNCTION("REGEXEXTRACT(C619, ""🏘️ \w+ (\w+) .* ✅"")"),"appartement")</f>
        <v>appartement</v>
      </c>
      <c r="H619" s="4" t="str">
        <f>IFERROR(__xludf.DUMMYFUNCTION("REGEXEXTRACT(A619, ""/(\w+)-.*?"")"),"lieu")</f>
        <v>lieu</v>
      </c>
      <c r="I619" s="4" t="str">
        <f>IFERROR(__xludf.DUMMYFUNCTION("if(D619=""variant"",  substitute(filter(Templates!E:E, Templates!A:A = F619, Templates!B:B = G619, Templates!C:C = H619), ""{{}}"", E619), B619)"),"🏘  Vous cherchez un appartement à louer à Dottikon? ✅ Les annonces les plus actuelles sont sur ImmoScout24.ch.")</f>
        <v>🏘  Vous cherchez un appartement à louer à Dottikon? ✅ Les annonces les plus actuelles sont sur ImmoScout24.ch.</v>
      </c>
      <c r="J619" s="4" t="s">
        <v>1864</v>
      </c>
    </row>
    <row r="620">
      <c r="A620" s="5" t="s">
        <v>1865</v>
      </c>
      <c r="B620" s="2" t="s">
        <v>1866</v>
      </c>
      <c r="C620" s="4" t="str">
        <f>IFERROR(__xludf.DUMMYFUNCTION("""🏘️ ""&amp;REGEXEXTRACT(B620, ""^(.*): "")&amp;"" ✅ "" &amp;REGEXEXTRACT(B620, ""(Trouvez.*)"")"),"🏘️ Vendre maison Rennaz ✅ Trouvez le bien immobilier qui correspond idéalement à vos désirs sur ImmoScout24 - La plateforme de l'immobilier en Suisse.")</f>
        <v>🏘️ Vendre maison Rennaz ✅ Trouvez le bien immobilier qui correspond idéalement à vos désirs sur ImmoScout24 - La plateforme de l'immobilier en Suisse.</v>
      </c>
      <c r="D620" s="4" t="str">
        <f>vlookup(A620, Sheet2!D:E, 2, 0)</f>
        <v>variant</v>
      </c>
      <c r="E620" s="4" t="str">
        <f>IFERROR(__xludf.DUMMYFUNCTION("if(H620=""pays"",vlookup(REGEXEXTRACT(C620, ""🏘️ \w+ \w+ (.*) ✅""),'Country prepositions'!A:B, 2, 0) &amp; "" "" &amp; REGEXEXTRACT(C620, ""🏘️ \w+ \w+ (.*) ✅"") ,  if(H620=""quartier"",vlookup(REGEXEXTRACT(C620, ""🏘️ \w+ \w+ (.*) ✅""),'Quartier prepositions'!A"&amp;":E, 5, 0) ,  if(H620=""region"",vlookup(REGEXEXTRACT(C620, ""🏘️ \w+ \w+ (.*) ✅""),'Region prepositions'!B:F, 5, 0),  REGEXEXTRACT(C620, ""🏘️ \w+ \w+ (.*) ✅""))))"),"Rennaz")</f>
        <v>Rennaz</v>
      </c>
      <c r="F620" s="2" t="str">
        <f>IFERROR(__xludf.DUMMYFUNCTION("REGEXEXTRACT(C620, ""🏘️ (\w+) \w+ .* ✅"")"),"Vendre")</f>
        <v>Vendre</v>
      </c>
      <c r="G620" s="2" t="str">
        <f>IFERROR(__xludf.DUMMYFUNCTION("REGEXEXTRACT(C620, ""🏘️ \w+ (\w+) .* ✅"")"),"maison")</f>
        <v>maison</v>
      </c>
      <c r="H620" s="4" t="str">
        <f>IFERROR(__xludf.DUMMYFUNCTION("REGEXEXTRACT(A620, ""/(\w+)-.*?"")"),"lieu")</f>
        <v>lieu</v>
      </c>
      <c r="I620" s="4" t="str">
        <f>IFERROR(__xludf.DUMMYFUNCTION("if(D620=""variant"",  substitute(filter(Templates!E:E, Templates!A:A = F620, Templates!B:B = G620, Templates!C:C = H620), ""{{}}"", E620), B620)"),"🏘  Vous souhaitez acheter une maison à Rennaz? ✅ Jetez un œil aux dernières offres sur ImmoScout24.ch.")</f>
        <v>🏘  Vous souhaitez acheter une maison à Rennaz? ✅ Jetez un œil aux dernières offres sur ImmoScout24.ch.</v>
      </c>
      <c r="J620" s="4" t="s">
        <v>1867</v>
      </c>
    </row>
    <row r="621">
      <c r="A621" s="5" t="s">
        <v>1868</v>
      </c>
      <c r="B621" s="2" t="s">
        <v>1869</v>
      </c>
      <c r="C621" s="4" t="str">
        <f>IFERROR(__xludf.DUMMYFUNCTION("""🏘️ ""&amp;REGEXEXTRACT(B621, ""^(.*): "")&amp;"" ✅ "" &amp;REGEXEXTRACT(B621, ""(Trouvez.*)"")"),"🏘️ Louer maison Val-d'Illiez ✅ Trouvez le bien immobilier qui correspond idéalement à vos désirs sur ImmoScout24 - La plateforme de l'immobilier en Suisse.")</f>
        <v>🏘️ Louer maison Val-d'Illiez ✅ Trouvez le bien immobilier qui correspond idéalement à vos désirs sur ImmoScout24 - La plateforme de l'immobilier en Suisse.</v>
      </c>
      <c r="D621" s="4" t="str">
        <f>vlookup(A621, Sheet2!D:E, 2, 0)</f>
        <v>variant</v>
      </c>
      <c r="E621" s="4" t="str">
        <f>IFERROR(__xludf.DUMMYFUNCTION("if(H621=""pays"",vlookup(REGEXEXTRACT(C621, ""🏘️ \w+ \w+ (.*) ✅""),'Country prepositions'!A:B, 2, 0) &amp; "" "" &amp; REGEXEXTRACT(C621, ""🏘️ \w+ \w+ (.*) ✅"") ,  if(H621=""quartier"",vlookup(REGEXEXTRACT(C621, ""🏘️ \w+ \w+ (.*) ✅""),'Quartier prepositions'!A"&amp;":E, 5, 0) ,  if(H621=""region"",vlookup(REGEXEXTRACT(C621, ""🏘️ \w+ \w+ (.*) ✅""),'Region prepositions'!B:F, 5, 0),  REGEXEXTRACT(C621, ""🏘️ \w+ \w+ (.*) ✅""))))"),"Val-d'Illiez")</f>
        <v>Val-d'Illiez</v>
      </c>
      <c r="F621" s="2" t="str">
        <f>IFERROR(__xludf.DUMMYFUNCTION("REGEXEXTRACT(C621, ""🏘️ (\w+) \w+ .* ✅"")"),"Louer")</f>
        <v>Louer</v>
      </c>
      <c r="G621" s="2" t="str">
        <f>IFERROR(__xludf.DUMMYFUNCTION("REGEXEXTRACT(C621, ""🏘️ \w+ (\w+) .* ✅"")"),"maison")</f>
        <v>maison</v>
      </c>
      <c r="H621" s="4" t="str">
        <f>IFERROR(__xludf.DUMMYFUNCTION("REGEXEXTRACT(A621, ""/(\w+)-.*?"")"),"lieu")</f>
        <v>lieu</v>
      </c>
      <c r="I621" s="4" t="str">
        <f>IFERROR(__xludf.DUMMYFUNCTION("if(D621=""variant"",  substitute(filter(Templates!E:E, Templates!A:A = F621, Templates!B:B = G621, Templates!C:C = H621), ""{{}}"", E621), B621)"),"🏘  Vous cherchez une maison à louer à Val-d'Illiez? ✅ Découvrez nos nombreuses annonces sur ImmoScout24.ch.")</f>
        <v>🏘  Vous cherchez une maison à louer à Val-d'Illiez? ✅ Découvrez nos nombreuses annonces sur ImmoScout24.ch.</v>
      </c>
      <c r="J621" s="4" t="s">
        <v>1870</v>
      </c>
    </row>
    <row r="622">
      <c r="A622" s="5" t="s">
        <v>1871</v>
      </c>
      <c r="B622" s="2" t="s">
        <v>1872</v>
      </c>
      <c r="C622" s="4" t="str">
        <f>IFERROR(__xludf.DUMMYFUNCTION("""🏘️ ""&amp;REGEXEXTRACT(B622, ""^(.*): "")&amp;"" ✅ "" &amp;REGEXEXTRACT(B622, ""(Trouvez.*)"")"),"🏘️ Louer appartement Lovatens ✅ Trouvez le bien immobilier qui correspond idéalement à vos désirs sur ImmoScout24 - La plateforme de l'immobilier en Suisse.")</f>
        <v>🏘️ Louer appartement Lovatens ✅ Trouvez le bien immobilier qui correspond idéalement à vos désirs sur ImmoScout24 - La plateforme de l'immobilier en Suisse.</v>
      </c>
      <c r="D622" s="4" t="str">
        <f>vlookup(A622, Sheet2!D:E, 2, 0)</f>
        <v>variant</v>
      </c>
      <c r="E622" s="4" t="str">
        <f>IFERROR(__xludf.DUMMYFUNCTION("if(H622=""pays"",vlookup(REGEXEXTRACT(C622, ""🏘️ \w+ \w+ (.*) ✅""),'Country prepositions'!A:B, 2, 0) &amp; "" "" &amp; REGEXEXTRACT(C622, ""🏘️ \w+ \w+ (.*) ✅"") ,  if(H622=""quartier"",vlookup(REGEXEXTRACT(C622, ""🏘️ \w+ \w+ (.*) ✅""),'Quartier prepositions'!A"&amp;":E, 5, 0) ,  if(H622=""region"",vlookup(REGEXEXTRACT(C622, ""🏘️ \w+ \w+ (.*) ✅""),'Region prepositions'!B:F, 5, 0),  REGEXEXTRACT(C622, ""🏘️ \w+ \w+ (.*) ✅""))))"),"Lovatens")</f>
        <v>Lovatens</v>
      </c>
      <c r="F622" s="2" t="str">
        <f>IFERROR(__xludf.DUMMYFUNCTION("REGEXEXTRACT(C622, ""🏘️ (\w+) \w+ .* ✅"")"),"Louer")</f>
        <v>Louer</v>
      </c>
      <c r="G622" s="2" t="str">
        <f>IFERROR(__xludf.DUMMYFUNCTION("REGEXEXTRACT(C622, ""🏘️ \w+ (\w+) .* ✅"")"),"appartement")</f>
        <v>appartement</v>
      </c>
      <c r="H622" s="4" t="str">
        <f>IFERROR(__xludf.DUMMYFUNCTION("REGEXEXTRACT(A622, ""/(\w+)-.*?"")"),"lieu")</f>
        <v>lieu</v>
      </c>
      <c r="I622" s="4" t="str">
        <f>IFERROR(__xludf.DUMMYFUNCTION("if(D622=""variant"",  substitute(filter(Templates!E:E, Templates!A:A = F622, Templates!B:B = G622, Templates!C:C = H622), ""{{}}"", E622), B622)"),"🏘  Vous cherchez un appartement à louer à Lovatens? ✅ Les annonces les plus actuelles sont sur ImmoScout24.ch.")</f>
        <v>🏘  Vous cherchez un appartement à louer à Lovatens? ✅ Les annonces les plus actuelles sont sur ImmoScout24.ch.</v>
      </c>
      <c r="J622" s="4" t="s">
        <v>1873</v>
      </c>
    </row>
    <row r="623">
      <c r="A623" s="5" t="s">
        <v>1874</v>
      </c>
      <c r="B623" s="2" t="s">
        <v>1875</v>
      </c>
      <c r="C623" s="4" t="str">
        <f>IFERROR(__xludf.DUMMYFUNCTION("""🏘️ ""&amp;REGEXEXTRACT(B623, ""^(.*): "")&amp;"" ✅ "" &amp;REGEXEXTRACT(B623, ""(Trouvez.*)"")"),"🏘️ Vendre appartement Grimisuat ✅ Trouvez le bien immobilier qui correspond idéalement à vos désirs sur ImmoScout24 - La plateforme de l'immobilier en Suisse.")</f>
        <v>🏘️ Vendre appartement Grimisuat ✅ Trouvez le bien immobilier qui correspond idéalement à vos désirs sur ImmoScout24 - La plateforme de l'immobilier en Suisse.</v>
      </c>
      <c r="D623" s="4" t="str">
        <f>vlookup(A623, Sheet2!D:E, 2, 0)</f>
        <v>variant</v>
      </c>
      <c r="E623" s="4" t="str">
        <f>IFERROR(__xludf.DUMMYFUNCTION("if(H623=""pays"",vlookup(REGEXEXTRACT(C623, ""🏘️ \w+ \w+ (.*) ✅""),'Country prepositions'!A:B, 2, 0) &amp; "" "" &amp; REGEXEXTRACT(C623, ""🏘️ \w+ \w+ (.*) ✅"") ,  if(H623=""quartier"",vlookup(REGEXEXTRACT(C623, ""🏘️ \w+ \w+ (.*) ✅""),'Quartier prepositions'!A"&amp;":E, 5, 0) ,  if(H623=""region"",vlookup(REGEXEXTRACT(C623, ""🏘️ \w+ \w+ (.*) ✅""),'Region prepositions'!B:F, 5, 0),  REGEXEXTRACT(C623, ""🏘️ \w+ \w+ (.*) ✅""))))"),"Grimisuat")</f>
        <v>Grimisuat</v>
      </c>
      <c r="F623" s="2" t="str">
        <f>IFERROR(__xludf.DUMMYFUNCTION("REGEXEXTRACT(C623, ""🏘️ (\w+) \w+ .* ✅"")"),"Vendre")</f>
        <v>Vendre</v>
      </c>
      <c r="G623" s="2" t="str">
        <f>IFERROR(__xludf.DUMMYFUNCTION("REGEXEXTRACT(C623, ""🏘️ \w+ (\w+) .* ✅"")"),"appartement")</f>
        <v>appartement</v>
      </c>
      <c r="H623" s="4" t="str">
        <f>IFERROR(__xludf.DUMMYFUNCTION("REGEXEXTRACT(A623, ""/(\w+)-.*?"")"),"lieu")</f>
        <v>lieu</v>
      </c>
      <c r="I623" s="4" t="str">
        <f>IFERROR(__xludf.DUMMYFUNCTION("if(D623=""variant"",  substitute(filter(Templates!E:E, Templates!A:A = F623, Templates!B:B = G623, Templates!C:C = H623), ""{{}}"", E623), B623)"),"🏘  L’appartement de vos rêves se trouve sur ImmoScout24.ch ✅ Découvrez les dernières annonces de vente à Grimisuat.")</f>
        <v>🏘  L’appartement de vos rêves se trouve sur ImmoScout24.ch ✅ Découvrez les dernières annonces de vente à Grimisuat.</v>
      </c>
      <c r="J623" s="4" t="s">
        <v>1876</v>
      </c>
    </row>
    <row r="624">
      <c r="A624" s="5" t="s">
        <v>1877</v>
      </c>
      <c r="B624" s="2" t="s">
        <v>1878</v>
      </c>
      <c r="C624" s="4" t="str">
        <f>IFERROR(__xludf.DUMMYFUNCTION("""🏘️ ""&amp;REGEXEXTRACT(B624, ""^(.*): "")&amp;"" ✅ "" &amp;REGEXEXTRACT(B624, ""(Trouvez.*)"")"),"🏘️ Vendre maison Corticiasca ✅ Trouvez le bien immobilier qui correspond idéalement à vos désirs sur ImmoScout24 - La plateforme de l'immobilier en Suisse.")</f>
        <v>🏘️ Vendre maison Corticiasca ✅ Trouvez le bien immobilier qui correspond idéalement à vos désirs sur ImmoScout24 - La plateforme de l'immobilier en Suisse.</v>
      </c>
      <c r="D624" s="4" t="str">
        <f>vlookup(A624, Sheet2!D:E, 2, 0)</f>
        <v>variant</v>
      </c>
      <c r="E624" s="4" t="str">
        <f>IFERROR(__xludf.DUMMYFUNCTION("if(H624=""pays"",vlookup(REGEXEXTRACT(C624, ""🏘️ \w+ \w+ (.*) ✅""),'Country prepositions'!A:B, 2, 0) &amp; "" "" &amp; REGEXEXTRACT(C624, ""🏘️ \w+ \w+ (.*) ✅"") ,  if(H624=""quartier"",vlookup(REGEXEXTRACT(C624, ""🏘️ \w+ \w+ (.*) ✅""),'Quartier prepositions'!A"&amp;":E, 5, 0) ,  if(H624=""region"",vlookup(REGEXEXTRACT(C624, ""🏘️ \w+ \w+ (.*) ✅""),'Region prepositions'!B:F, 5, 0),  REGEXEXTRACT(C624, ""🏘️ \w+ \w+ (.*) ✅""))))"),"Corticiasca")</f>
        <v>Corticiasca</v>
      </c>
      <c r="F624" s="2" t="str">
        <f>IFERROR(__xludf.DUMMYFUNCTION("REGEXEXTRACT(C624, ""🏘️ (\w+) \w+ .* ✅"")"),"Vendre")</f>
        <v>Vendre</v>
      </c>
      <c r="G624" s="2" t="str">
        <f>IFERROR(__xludf.DUMMYFUNCTION("REGEXEXTRACT(C624, ""🏘️ \w+ (\w+) .* ✅"")"),"maison")</f>
        <v>maison</v>
      </c>
      <c r="H624" s="4" t="str">
        <f>IFERROR(__xludf.DUMMYFUNCTION("REGEXEXTRACT(A624, ""/(\w+)-.*?"")"),"lieu")</f>
        <v>lieu</v>
      </c>
      <c r="I624" s="4" t="str">
        <f>IFERROR(__xludf.DUMMYFUNCTION("if(D624=""variant"",  substitute(filter(Templates!E:E, Templates!A:A = F624, Templates!B:B = G624, Templates!C:C = H624), ""{{}}"", E624), B624)"),"🏘  Vous souhaitez acheter une maison à Corticiasca? ✅ Jetez un œil aux dernières offres sur ImmoScout24.ch.")</f>
        <v>🏘  Vous souhaitez acheter une maison à Corticiasca? ✅ Jetez un œil aux dernières offres sur ImmoScout24.ch.</v>
      </c>
      <c r="J624" s="4" t="s">
        <v>1879</v>
      </c>
    </row>
    <row r="625">
      <c r="A625" s="5" t="s">
        <v>1880</v>
      </c>
      <c r="B625" s="2" t="s">
        <v>1881</v>
      </c>
      <c r="C625" s="4" t="str">
        <f>IFERROR(__xludf.DUMMYFUNCTION("""🏘️ ""&amp;REGEXEXTRACT(B625, ""^(.*): "")&amp;"" ✅ "" &amp;REGEXEXTRACT(B625, ""(Trouvez.*)"")"),"🏘️ Vendre appartement Noës ✅ Trouvez le bien immobilier qui correspond idéalement à vos désirs sur ImmoScout24 - La plateforme de l'immobilier en Suisse.")</f>
        <v>🏘️ Vendre appartement Noës ✅ Trouvez le bien immobilier qui correspond idéalement à vos désirs sur ImmoScout24 - La plateforme de l'immobilier en Suisse.</v>
      </c>
      <c r="D625" s="4" t="str">
        <f>vlookup(A625, Sheet2!D:E, 2, 0)</f>
        <v>variant</v>
      </c>
      <c r="E625" s="4" t="str">
        <f>IFERROR(__xludf.DUMMYFUNCTION("if(H625=""pays"",vlookup(REGEXEXTRACT(C625, ""🏘️ \w+ \w+ (.*) ✅""),'Country prepositions'!A:B, 2, 0) &amp; "" "" &amp; REGEXEXTRACT(C625, ""🏘️ \w+ \w+ (.*) ✅"") ,  if(H625=""quartier"",vlookup(REGEXEXTRACT(C625, ""🏘️ \w+ \w+ (.*) ✅""),'Quartier prepositions'!A"&amp;":E, 5, 0) ,  if(H625=""region"",vlookup(REGEXEXTRACT(C625, ""🏘️ \w+ \w+ (.*) ✅""),'Region prepositions'!B:F, 5, 0),  REGEXEXTRACT(C625, ""🏘️ \w+ \w+ (.*) ✅""))))"),"Noës")</f>
        <v>Noës</v>
      </c>
      <c r="F625" s="2" t="str">
        <f>IFERROR(__xludf.DUMMYFUNCTION("REGEXEXTRACT(C625, ""🏘️ (\w+) \w+ .* ✅"")"),"Vendre")</f>
        <v>Vendre</v>
      </c>
      <c r="G625" s="2" t="str">
        <f>IFERROR(__xludf.DUMMYFUNCTION("REGEXEXTRACT(C625, ""🏘️ \w+ (\w+) .* ✅"")"),"appartement")</f>
        <v>appartement</v>
      </c>
      <c r="H625" s="4" t="str">
        <f>IFERROR(__xludf.DUMMYFUNCTION("REGEXEXTRACT(A625, ""/(\w+)-.*?"")"),"lieu")</f>
        <v>lieu</v>
      </c>
      <c r="I625" s="4" t="str">
        <f>IFERROR(__xludf.DUMMYFUNCTION("if(D625=""variant"",  substitute(filter(Templates!E:E, Templates!A:A = F625, Templates!B:B = G625, Templates!C:C = H625), ""{{}}"", E625), B625)"),"🏘  L’appartement de vos rêves se trouve sur ImmoScout24.ch ✅ Découvrez les dernières annonces de vente à Noës.")</f>
        <v>🏘  L’appartement de vos rêves se trouve sur ImmoScout24.ch ✅ Découvrez les dernières annonces de vente à Noës.</v>
      </c>
      <c r="J625" s="4" t="s">
        <v>1882</v>
      </c>
    </row>
    <row r="626">
      <c r="A626" s="5" t="s">
        <v>1883</v>
      </c>
      <c r="B626" s="2" t="s">
        <v>1884</v>
      </c>
      <c r="C626" s="4" t="str">
        <f>IFERROR(__xludf.DUMMYFUNCTION("""🏘️ ""&amp;REGEXEXTRACT(B626, ""^(.*): "")&amp;"" ✅ "" &amp;REGEXEXTRACT(B626, ""(Trouvez.*)"")"),"🏘️ Vendre maison Basse-Nendaz ✅ Trouvez le bien immobilier qui correspond idéalement à vos désirs sur ImmoScout24 - La plateforme de l'immobilier en Suisse.")</f>
        <v>🏘️ Vendre maison Basse-Nendaz ✅ Trouvez le bien immobilier qui correspond idéalement à vos désirs sur ImmoScout24 - La plateforme de l'immobilier en Suisse.</v>
      </c>
      <c r="D626" s="4" t="str">
        <f>vlookup(A626, Sheet2!D:E, 2, 0)</f>
        <v>variant</v>
      </c>
      <c r="E626" s="4" t="str">
        <f>IFERROR(__xludf.DUMMYFUNCTION("if(H626=""pays"",vlookup(REGEXEXTRACT(C626, ""🏘️ \w+ \w+ (.*) ✅""),'Country prepositions'!A:B, 2, 0) &amp; "" "" &amp; REGEXEXTRACT(C626, ""🏘️ \w+ \w+ (.*) ✅"") ,  if(H626=""quartier"",vlookup(REGEXEXTRACT(C626, ""🏘️ \w+ \w+ (.*) ✅""),'Quartier prepositions'!A"&amp;":E, 5, 0) ,  if(H626=""region"",vlookup(REGEXEXTRACT(C626, ""🏘️ \w+ \w+ (.*) ✅""),'Region prepositions'!B:F, 5, 0),  REGEXEXTRACT(C626, ""🏘️ \w+ \w+ (.*) ✅""))))"),"Basse-Nendaz")</f>
        <v>Basse-Nendaz</v>
      </c>
      <c r="F626" s="2" t="str">
        <f>IFERROR(__xludf.DUMMYFUNCTION("REGEXEXTRACT(C626, ""🏘️ (\w+) \w+ .* ✅"")"),"Vendre")</f>
        <v>Vendre</v>
      </c>
      <c r="G626" s="2" t="str">
        <f>IFERROR(__xludf.DUMMYFUNCTION("REGEXEXTRACT(C626, ""🏘️ \w+ (\w+) .* ✅"")"),"maison")</f>
        <v>maison</v>
      </c>
      <c r="H626" s="4" t="str">
        <f>IFERROR(__xludf.DUMMYFUNCTION("REGEXEXTRACT(A626, ""/(\w+)-.*?"")"),"lieu")</f>
        <v>lieu</v>
      </c>
      <c r="I626" s="4" t="str">
        <f>IFERROR(__xludf.DUMMYFUNCTION("if(D626=""variant"",  substitute(filter(Templates!E:E, Templates!A:A = F626, Templates!B:B = G626, Templates!C:C = H626), ""{{}}"", E626), B626)"),"🏘  Vous souhaitez acheter une maison à Basse-Nendaz? ✅ Jetez un œil aux dernières offres sur ImmoScout24.ch.")</f>
        <v>🏘  Vous souhaitez acheter une maison à Basse-Nendaz? ✅ Jetez un œil aux dernières offres sur ImmoScout24.ch.</v>
      </c>
      <c r="J626" s="4" t="s">
        <v>1885</v>
      </c>
    </row>
    <row r="627">
      <c r="A627" s="5" t="s">
        <v>1886</v>
      </c>
      <c r="B627" s="2" t="s">
        <v>1887</v>
      </c>
      <c r="C627" s="4" t="str">
        <f>IFERROR(__xludf.DUMMYFUNCTION("""🏘️ ""&amp;REGEXEXTRACT(B627, ""^(.*): "")&amp;"" ✅ "" &amp;REGEXEXTRACT(B627, ""(Trouvez.*)"")"),"🏘️ Vendre appartement Bourg-St-Pierre ✅ Trouvez le bien immobilier qui correspond idéalement à vos désirs sur ImmoScout24 - La plateforme de l'immobilier en Suisse.")</f>
        <v>🏘️ Vendre appartement Bourg-St-Pierre ✅ Trouvez le bien immobilier qui correspond idéalement à vos désirs sur ImmoScout24 - La plateforme de l'immobilier en Suisse.</v>
      </c>
      <c r="D627" s="4" t="str">
        <f>vlookup(A627, Sheet2!D:E, 2, 0)</f>
        <v>variant</v>
      </c>
      <c r="E627" s="4" t="str">
        <f>IFERROR(__xludf.DUMMYFUNCTION("if(H627=""pays"",vlookup(REGEXEXTRACT(C627, ""🏘️ \w+ \w+ (.*) ✅""),'Country prepositions'!A:B, 2, 0) &amp; "" "" &amp; REGEXEXTRACT(C627, ""🏘️ \w+ \w+ (.*) ✅"") ,  if(H627=""quartier"",vlookup(REGEXEXTRACT(C627, ""🏘️ \w+ \w+ (.*) ✅""),'Quartier prepositions'!A"&amp;":E, 5, 0) ,  if(H627=""region"",vlookup(REGEXEXTRACT(C627, ""🏘️ \w+ \w+ (.*) ✅""),'Region prepositions'!B:F, 5, 0),  REGEXEXTRACT(C627, ""🏘️ \w+ \w+ (.*) ✅""))))"),"Bourg-St-Pierre")</f>
        <v>Bourg-St-Pierre</v>
      </c>
      <c r="F627" s="2" t="str">
        <f>IFERROR(__xludf.DUMMYFUNCTION("REGEXEXTRACT(C627, ""🏘️ (\w+) \w+ .* ✅"")"),"Vendre")</f>
        <v>Vendre</v>
      </c>
      <c r="G627" s="2" t="str">
        <f>IFERROR(__xludf.DUMMYFUNCTION("REGEXEXTRACT(C627, ""🏘️ \w+ (\w+) .* ✅"")"),"appartement")</f>
        <v>appartement</v>
      </c>
      <c r="H627" s="4" t="str">
        <f>IFERROR(__xludf.DUMMYFUNCTION("REGEXEXTRACT(A627, ""/(\w+)-.*?"")"),"lieu")</f>
        <v>lieu</v>
      </c>
      <c r="I627" s="4" t="str">
        <f>IFERROR(__xludf.DUMMYFUNCTION("if(D627=""variant"",  substitute(filter(Templates!E:E, Templates!A:A = F627, Templates!B:B = G627, Templates!C:C = H627), ""{{}}"", E627), B627)"),"🏘  L’appartement de vos rêves se trouve sur ImmoScout24.ch ✅ Découvrez les dernières annonces de vente à Bourg-St-Pierre.")</f>
        <v>🏘  L’appartement de vos rêves se trouve sur ImmoScout24.ch ✅ Découvrez les dernières annonces de vente à Bourg-St-Pierre.</v>
      </c>
      <c r="J627" s="4" t="s">
        <v>1888</v>
      </c>
    </row>
    <row r="628">
      <c r="A628" s="5" t="s">
        <v>1889</v>
      </c>
      <c r="B628" s="2" t="s">
        <v>1890</v>
      </c>
      <c r="C628" s="4" t="str">
        <f>IFERROR(__xludf.DUMMYFUNCTION("""🏘️ ""&amp;REGEXEXTRACT(B628, ""^(.*): "")&amp;"" ✅ "" &amp;REGEXEXTRACT(B628, ""(Trouvez.*)"")"),"🏘️ Vendre maison Villarsel-sur-Marly ✅ Trouvez le bien immobilier qui correspond idéalement à vos désirs sur ImmoScout24 - La plateforme de l'immobilier en Suisse.")</f>
        <v>🏘️ Vendre maison Villarsel-sur-Marly ✅ Trouvez le bien immobilier qui correspond idéalement à vos désirs sur ImmoScout24 - La plateforme de l'immobilier en Suisse.</v>
      </c>
      <c r="D628" s="4" t="str">
        <f>vlookup(A628, Sheet2!D:E, 2, 0)</f>
        <v>variant</v>
      </c>
      <c r="E628" s="4" t="str">
        <f>IFERROR(__xludf.DUMMYFUNCTION("if(H628=""pays"",vlookup(REGEXEXTRACT(C628, ""🏘️ \w+ \w+ (.*) ✅""),'Country prepositions'!A:B, 2, 0) &amp; "" "" &amp; REGEXEXTRACT(C628, ""🏘️ \w+ \w+ (.*) ✅"") ,  if(H628=""quartier"",vlookup(REGEXEXTRACT(C628, ""🏘️ \w+ \w+ (.*) ✅""),'Quartier prepositions'!A"&amp;":E, 5, 0) ,  if(H628=""region"",vlookup(REGEXEXTRACT(C628, ""🏘️ \w+ \w+ (.*) ✅""),'Region prepositions'!B:F, 5, 0),  REGEXEXTRACT(C628, ""🏘️ \w+ \w+ (.*) ✅""))))"),"Villarsel-sur-Marly")</f>
        <v>Villarsel-sur-Marly</v>
      </c>
      <c r="F628" s="2" t="str">
        <f>IFERROR(__xludf.DUMMYFUNCTION("REGEXEXTRACT(C628, ""🏘️ (\w+) \w+ .* ✅"")"),"Vendre")</f>
        <v>Vendre</v>
      </c>
      <c r="G628" s="2" t="str">
        <f>IFERROR(__xludf.DUMMYFUNCTION("REGEXEXTRACT(C628, ""🏘️ \w+ (\w+) .* ✅"")"),"maison")</f>
        <v>maison</v>
      </c>
      <c r="H628" s="4" t="str">
        <f>IFERROR(__xludf.DUMMYFUNCTION("REGEXEXTRACT(A628, ""/(\w+)-.*?"")"),"lieu")</f>
        <v>lieu</v>
      </c>
      <c r="I628" s="4" t="str">
        <f>IFERROR(__xludf.DUMMYFUNCTION("if(D628=""variant"",  substitute(filter(Templates!E:E, Templates!A:A = F628, Templates!B:B = G628, Templates!C:C = H628), ""{{}}"", E628), B628)"),"🏘  Vous souhaitez acheter une maison à Villarsel-sur-Marly? ✅ Jetez un œil aux dernières offres sur ImmoScout24.ch.")</f>
        <v>🏘  Vous souhaitez acheter une maison à Villarsel-sur-Marly? ✅ Jetez un œil aux dernières offres sur ImmoScout24.ch.</v>
      </c>
      <c r="J628" s="4" t="s">
        <v>1891</v>
      </c>
    </row>
    <row r="629">
      <c r="A629" s="5" t="s">
        <v>1892</v>
      </c>
      <c r="B629" s="2" t="s">
        <v>1893</v>
      </c>
      <c r="C629" s="4" t="str">
        <f>IFERROR(__xludf.DUMMYFUNCTION("""🏘️ ""&amp;REGEXEXTRACT(B629, ""^(.*): "")&amp;"" ✅ "" &amp;REGEXEXTRACT(B629, ""(Trouvez.*)"")"),"🏘️ Vendre maison Sta. Maria in Calanca ✅ Trouvez le bien immobilier qui correspond idéalement à vos désirs sur ImmoScout24 - La plateforme de l'immobilier en Suisse.")</f>
        <v>🏘️ Vendre maison Sta. Maria in Calanca ✅ Trouvez le bien immobilier qui correspond idéalement à vos désirs sur ImmoScout24 - La plateforme de l'immobilier en Suisse.</v>
      </c>
      <c r="D629" s="4" t="str">
        <f>vlookup(A629, Sheet2!D:E, 2, 0)</f>
        <v>variant</v>
      </c>
      <c r="E629" s="4" t="str">
        <f>IFERROR(__xludf.DUMMYFUNCTION("if(H629=""pays"",vlookup(REGEXEXTRACT(C629, ""🏘️ \w+ \w+ (.*) ✅""),'Country prepositions'!A:B, 2, 0) &amp; "" "" &amp; REGEXEXTRACT(C629, ""🏘️ \w+ \w+ (.*) ✅"") ,  if(H629=""quartier"",vlookup(REGEXEXTRACT(C629, ""🏘️ \w+ \w+ (.*) ✅""),'Quartier prepositions'!A"&amp;":E, 5, 0) ,  if(H629=""region"",vlookup(REGEXEXTRACT(C629, ""🏘️ \w+ \w+ (.*) ✅""),'Region prepositions'!B:F, 5, 0),  REGEXEXTRACT(C629, ""🏘️ \w+ \w+ (.*) ✅""))))"),"Sta. Maria in Calanca")</f>
        <v>Sta. Maria in Calanca</v>
      </c>
      <c r="F629" s="2" t="str">
        <f>IFERROR(__xludf.DUMMYFUNCTION("REGEXEXTRACT(C629, ""🏘️ (\w+) \w+ .* ✅"")"),"Vendre")</f>
        <v>Vendre</v>
      </c>
      <c r="G629" s="2" t="str">
        <f>IFERROR(__xludf.DUMMYFUNCTION("REGEXEXTRACT(C629, ""🏘️ \w+ (\w+) .* ✅"")"),"maison")</f>
        <v>maison</v>
      </c>
      <c r="H629" s="4" t="str">
        <f>IFERROR(__xludf.DUMMYFUNCTION("REGEXEXTRACT(A629, ""/(\w+)-.*?"")"),"lieu")</f>
        <v>lieu</v>
      </c>
      <c r="I629" s="4" t="str">
        <f>IFERROR(__xludf.DUMMYFUNCTION("if(D629=""variant"",  substitute(filter(Templates!E:E, Templates!A:A = F629, Templates!B:B = G629, Templates!C:C = H629), ""{{}}"", E629), B629)"),"🏘  Vous souhaitez acheter une maison à Sta. Maria in Calanca? ✅ Jetez un œil aux dernières offres sur ImmoScout24.ch.")</f>
        <v>🏘  Vous souhaitez acheter une maison à Sta. Maria in Calanca? ✅ Jetez un œil aux dernières offres sur ImmoScout24.ch.</v>
      </c>
      <c r="J629" s="4" t="s">
        <v>1894</v>
      </c>
    </row>
    <row r="630">
      <c r="A630" s="5" t="s">
        <v>1895</v>
      </c>
      <c r="B630" s="2" t="s">
        <v>1896</v>
      </c>
      <c r="C630" s="4" t="str">
        <f>IFERROR(__xludf.DUMMYFUNCTION("""🏘️ ""&amp;REGEXEXTRACT(B630, ""^(.*): "")&amp;"" ✅ "" &amp;REGEXEXTRACT(B630, ""(Trouvez.*)"")"),"🏘️ Vendre maison Reconvilier ✅ Trouvez le bien immobilier qui correspond idéalement à vos désirs sur ImmoScout24 - La plateforme de l'immobilier en Suisse.")</f>
        <v>🏘️ Vendre maison Reconvilier ✅ Trouvez le bien immobilier qui correspond idéalement à vos désirs sur ImmoScout24 - La plateforme de l'immobilier en Suisse.</v>
      </c>
      <c r="D630" s="4" t="str">
        <f>vlookup(A630, Sheet2!D:E, 2, 0)</f>
        <v>variant</v>
      </c>
      <c r="E630" s="4" t="str">
        <f>IFERROR(__xludf.DUMMYFUNCTION("if(H630=""pays"",vlookup(REGEXEXTRACT(C630, ""🏘️ \w+ \w+ (.*) ✅""),'Country prepositions'!A:B, 2, 0) &amp; "" "" &amp; REGEXEXTRACT(C630, ""🏘️ \w+ \w+ (.*) ✅"") ,  if(H630=""quartier"",vlookup(REGEXEXTRACT(C630, ""🏘️ \w+ \w+ (.*) ✅""),'Quartier prepositions'!A"&amp;":E, 5, 0) ,  if(H630=""region"",vlookup(REGEXEXTRACT(C630, ""🏘️ \w+ \w+ (.*) ✅""),'Region prepositions'!B:F, 5, 0),  REGEXEXTRACT(C630, ""🏘️ \w+ \w+ (.*) ✅""))))"),"Reconvilier")</f>
        <v>Reconvilier</v>
      </c>
      <c r="F630" s="2" t="str">
        <f>IFERROR(__xludf.DUMMYFUNCTION("REGEXEXTRACT(C630, ""🏘️ (\w+) \w+ .* ✅"")"),"Vendre")</f>
        <v>Vendre</v>
      </c>
      <c r="G630" s="2" t="str">
        <f>IFERROR(__xludf.DUMMYFUNCTION("REGEXEXTRACT(C630, ""🏘️ \w+ (\w+) .* ✅"")"),"maison")</f>
        <v>maison</v>
      </c>
      <c r="H630" s="4" t="str">
        <f>IFERROR(__xludf.DUMMYFUNCTION("REGEXEXTRACT(A630, ""/(\w+)-.*?"")"),"lieu")</f>
        <v>lieu</v>
      </c>
      <c r="I630" s="4" t="str">
        <f>IFERROR(__xludf.DUMMYFUNCTION("if(D630=""variant"",  substitute(filter(Templates!E:E, Templates!A:A = F630, Templates!B:B = G630, Templates!C:C = H630), ""{{}}"", E630), B630)"),"🏘  Vous souhaitez acheter une maison à Reconvilier? ✅ Jetez un œil aux dernières offres sur ImmoScout24.ch.")</f>
        <v>🏘  Vous souhaitez acheter une maison à Reconvilier? ✅ Jetez un œil aux dernières offres sur ImmoScout24.ch.</v>
      </c>
      <c r="J630" s="4" t="s">
        <v>1897</v>
      </c>
    </row>
    <row r="631">
      <c r="A631" s="5" t="s">
        <v>1898</v>
      </c>
      <c r="B631" s="2" t="s">
        <v>1899</v>
      </c>
      <c r="C631" s="4" t="str">
        <f>IFERROR(__xludf.DUMMYFUNCTION("""🏘️ ""&amp;REGEXEXTRACT(B631, ""^(.*): "")&amp;"" ✅ "" &amp;REGEXEXTRACT(B631, ""(Trouvez.*)"")"),"🏘️ Louer appartement Buchrain ✅ Trouvez le bien immobilier qui correspond idéalement à vos désirs sur ImmoScout24 - La plateforme de l'immobilier en Suisse.")</f>
        <v>🏘️ Louer appartement Buchrain ✅ Trouvez le bien immobilier qui correspond idéalement à vos désirs sur ImmoScout24 - La plateforme de l'immobilier en Suisse.</v>
      </c>
      <c r="D631" s="4" t="str">
        <f>vlookup(A631, Sheet2!D:E, 2, 0)</f>
        <v>variant</v>
      </c>
      <c r="E631" s="4" t="str">
        <f>IFERROR(__xludf.DUMMYFUNCTION("if(H631=""pays"",vlookup(REGEXEXTRACT(C631, ""🏘️ \w+ \w+ (.*) ✅""),'Country prepositions'!A:B, 2, 0) &amp; "" "" &amp; REGEXEXTRACT(C631, ""🏘️ \w+ \w+ (.*) ✅"") ,  if(H631=""quartier"",vlookup(REGEXEXTRACT(C631, ""🏘️ \w+ \w+ (.*) ✅""),'Quartier prepositions'!A"&amp;":E, 5, 0) ,  if(H631=""region"",vlookup(REGEXEXTRACT(C631, ""🏘️ \w+ \w+ (.*) ✅""),'Region prepositions'!B:F, 5, 0),  REGEXEXTRACT(C631, ""🏘️ \w+ \w+ (.*) ✅""))))"),"Buchrain")</f>
        <v>Buchrain</v>
      </c>
      <c r="F631" s="2" t="str">
        <f>IFERROR(__xludf.DUMMYFUNCTION("REGEXEXTRACT(C631, ""🏘️ (\w+) \w+ .* ✅"")"),"Louer")</f>
        <v>Louer</v>
      </c>
      <c r="G631" s="2" t="str">
        <f>IFERROR(__xludf.DUMMYFUNCTION("REGEXEXTRACT(C631, ""🏘️ \w+ (\w+) .* ✅"")"),"appartement")</f>
        <v>appartement</v>
      </c>
      <c r="H631" s="4" t="str">
        <f>IFERROR(__xludf.DUMMYFUNCTION("REGEXEXTRACT(A631, ""/(\w+)-.*?"")"),"lieu")</f>
        <v>lieu</v>
      </c>
      <c r="I631" s="4" t="str">
        <f>IFERROR(__xludf.DUMMYFUNCTION("if(D631=""variant"",  substitute(filter(Templates!E:E, Templates!A:A = F631, Templates!B:B = G631, Templates!C:C = H631), ""{{}}"", E631), B631)"),"🏘  Vous cherchez un appartement à louer à Buchrain? ✅ Les annonces les plus actuelles sont sur ImmoScout24.ch.")</f>
        <v>🏘  Vous cherchez un appartement à louer à Buchrain? ✅ Les annonces les plus actuelles sont sur ImmoScout24.ch.</v>
      </c>
      <c r="J631" s="4" t="s">
        <v>1900</v>
      </c>
    </row>
    <row r="632">
      <c r="A632" s="5" t="s">
        <v>1901</v>
      </c>
      <c r="B632" s="2" t="s">
        <v>1902</v>
      </c>
      <c r="C632" s="4" t="str">
        <f>IFERROR(__xludf.DUMMYFUNCTION("""🏘️ ""&amp;REGEXEXTRACT(B632, ""^(.*): "")&amp;"" ✅ "" &amp;REGEXEXTRACT(B632, ""(Trouvez.*)"")"),"🏘️ Louer maison Petit-Lancy ✅ Trouvez le bien immobilier qui correspond idéalement à vos désirs sur ImmoScout24 - La plateforme de l'immobilier en Suisse.")</f>
        <v>🏘️ Louer maison Petit-Lancy ✅ Trouvez le bien immobilier qui correspond idéalement à vos désirs sur ImmoScout24 - La plateforme de l'immobilier en Suisse.</v>
      </c>
      <c r="D632" s="4" t="str">
        <f>vlookup(A632, Sheet2!D:E, 2, 0)</f>
        <v>variant</v>
      </c>
      <c r="E632" s="4" t="str">
        <f>IFERROR(__xludf.DUMMYFUNCTION("if(H632=""pays"",vlookup(REGEXEXTRACT(C632, ""🏘️ \w+ \w+ (.*) ✅""),'Country prepositions'!A:B, 2, 0) &amp; "" "" &amp; REGEXEXTRACT(C632, ""🏘️ \w+ \w+ (.*) ✅"") ,  if(H632=""quartier"",vlookup(REGEXEXTRACT(C632, ""🏘️ \w+ \w+ (.*) ✅""),'Quartier prepositions'!A"&amp;":E, 5, 0) ,  if(H632=""region"",vlookup(REGEXEXTRACT(C632, ""🏘️ \w+ \w+ (.*) ✅""),'Region prepositions'!B:F, 5, 0),  REGEXEXTRACT(C632, ""🏘️ \w+ \w+ (.*) ✅""))))"),"Petit-Lancy")</f>
        <v>Petit-Lancy</v>
      </c>
      <c r="F632" s="2" t="str">
        <f>IFERROR(__xludf.DUMMYFUNCTION("REGEXEXTRACT(C632, ""🏘️ (\w+) \w+ .* ✅"")"),"Louer")</f>
        <v>Louer</v>
      </c>
      <c r="G632" s="2" t="str">
        <f>IFERROR(__xludf.DUMMYFUNCTION("REGEXEXTRACT(C632, ""🏘️ \w+ (\w+) .* ✅"")"),"maison")</f>
        <v>maison</v>
      </c>
      <c r="H632" s="4" t="str">
        <f>IFERROR(__xludf.DUMMYFUNCTION("REGEXEXTRACT(A632, ""/(\w+)-.*?"")"),"lieu")</f>
        <v>lieu</v>
      </c>
      <c r="I632" s="4" t="str">
        <f>IFERROR(__xludf.DUMMYFUNCTION("if(D632=""variant"",  substitute(filter(Templates!E:E, Templates!A:A = F632, Templates!B:B = G632, Templates!C:C = H632), ""{{}}"", E632), B632)"),"🏘  Vous cherchez une maison à louer à Petit-Lancy? ✅ Découvrez nos nombreuses annonces sur ImmoScout24.ch.")</f>
        <v>🏘  Vous cherchez une maison à louer à Petit-Lancy? ✅ Découvrez nos nombreuses annonces sur ImmoScout24.ch.</v>
      </c>
      <c r="J632" s="2" t="s">
        <v>1903</v>
      </c>
    </row>
    <row r="633">
      <c r="A633" s="5" t="s">
        <v>1904</v>
      </c>
      <c r="B633" s="2" t="s">
        <v>1905</v>
      </c>
      <c r="C633" s="4" t="str">
        <f>IFERROR(__xludf.DUMMYFUNCTION("""🏘️ ""&amp;REGEXEXTRACT(B633, ""^(.*): "")&amp;"" ✅ "" &amp;REGEXEXTRACT(B633, ""(Trouvez.*)"")"),"🏘️ Louer appartement Chêne-Bourg ✅ Trouvez le bien immobilier qui correspond idéalement à vos désirs sur ImmoScout24 - La plateforme de l'immobilier en Suisse.")</f>
        <v>🏘️ Louer appartement Chêne-Bourg ✅ Trouvez le bien immobilier qui correspond idéalement à vos désirs sur ImmoScout24 - La plateforme de l'immobilier en Suisse.</v>
      </c>
      <c r="D633" s="4" t="str">
        <f>vlookup(A633, Sheet2!D:E, 2, 0)</f>
        <v>variant</v>
      </c>
      <c r="E633" s="4" t="str">
        <f>IFERROR(__xludf.DUMMYFUNCTION("if(H633=""pays"",vlookup(REGEXEXTRACT(C633, ""🏘️ \w+ \w+ (.*) ✅""),'Country prepositions'!A:B, 2, 0) &amp; "" "" &amp; REGEXEXTRACT(C633, ""🏘️ \w+ \w+ (.*) ✅"") ,  if(H633=""quartier"",vlookup(REGEXEXTRACT(C633, ""🏘️ \w+ \w+ (.*) ✅""),'Quartier prepositions'!A"&amp;":E, 5, 0) ,  if(H633=""region"",vlookup(REGEXEXTRACT(C633, ""🏘️ \w+ \w+ (.*) ✅""),'Region prepositions'!B:F, 5, 0),  REGEXEXTRACT(C633, ""🏘️ \w+ \w+ (.*) ✅""))))"),"Chêne-Bourg")</f>
        <v>Chêne-Bourg</v>
      </c>
      <c r="F633" s="2" t="str">
        <f>IFERROR(__xludf.DUMMYFUNCTION("REGEXEXTRACT(C633, ""🏘️ (\w+) \w+ .* ✅"")"),"Louer")</f>
        <v>Louer</v>
      </c>
      <c r="G633" s="2" t="str">
        <f>IFERROR(__xludf.DUMMYFUNCTION("REGEXEXTRACT(C633, ""🏘️ \w+ (\w+) .* ✅"")"),"appartement")</f>
        <v>appartement</v>
      </c>
      <c r="H633" s="4" t="str">
        <f>IFERROR(__xludf.DUMMYFUNCTION("REGEXEXTRACT(A633, ""/(\w+)-.*?"")"),"lieu")</f>
        <v>lieu</v>
      </c>
      <c r="I633" s="4" t="str">
        <f>IFERROR(__xludf.DUMMYFUNCTION("if(D633=""variant"",  substitute(filter(Templates!E:E, Templates!A:A = F633, Templates!B:B = G633, Templates!C:C = H633), ""{{}}"", E633), B633)"),"🏘  Vous cherchez un appartement à louer à Chêne-Bourg? ✅ Les annonces les plus actuelles sont sur ImmoScout24.ch.")</f>
        <v>🏘  Vous cherchez un appartement à louer à Chêne-Bourg? ✅ Les annonces les plus actuelles sont sur ImmoScout24.ch.</v>
      </c>
      <c r="J633" s="4" t="s">
        <v>1906</v>
      </c>
    </row>
    <row r="634">
      <c r="A634" s="5" t="s">
        <v>1907</v>
      </c>
      <c r="B634" s="2" t="s">
        <v>1908</v>
      </c>
      <c r="C634" s="4" t="str">
        <f>IFERROR(__xludf.DUMMYFUNCTION("""🏘️ ""&amp;REGEXEXTRACT(B634, ""^(.*): "")&amp;"" ✅ "" &amp;REGEXEXTRACT(B634, ""(Trouvez.*)"")"),"🏘️ Vendre appartement Renan BE ✅ Trouvez le bien immobilier qui correspond idéalement à vos désirs sur ImmoScout24 - La plateforme de l'immobilier en Suisse.")</f>
        <v>🏘️ Vendre appartement Renan BE ✅ Trouvez le bien immobilier qui correspond idéalement à vos désirs sur ImmoScout24 - La plateforme de l'immobilier en Suisse.</v>
      </c>
      <c r="D634" s="4" t="str">
        <f>vlookup(A634, Sheet2!D:E, 2, 0)</f>
        <v>variant</v>
      </c>
      <c r="E634" s="4" t="str">
        <f>IFERROR(__xludf.DUMMYFUNCTION("if(H634=""pays"",vlookup(REGEXEXTRACT(C634, ""🏘️ \w+ \w+ (.*) ✅""),'Country prepositions'!A:B, 2, 0) &amp; "" "" &amp; REGEXEXTRACT(C634, ""🏘️ \w+ \w+ (.*) ✅"") ,  if(H634=""quartier"",vlookup(REGEXEXTRACT(C634, ""🏘️ \w+ \w+ (.*) ✅""),'Quartier prepositions'!A"&amp;":E, 5, 0) ,  if(H634=""region"",vlookup(REGEXEXTRACT(C634, ""🏘️ \w+ \w+ (.*) ✅""),'Region prepositions'!B:F, 5, 0),  REGEXEXTRACT(C634, ""🏘️ \w+ \w+ (.*) ✅""))))"),"Renan BE")</f>
        <v>Renan BE</v>
      </c>
      <c r="F634" s="2" t="str">
        <f>IFERROR(__xludf.DUMMYFUNCTION("REGEXEXTRACT(C634, ""🏘️ (\w+) \w+ .* ✅"")"),"Vendre")</f>
        <v>Vendre</v>
      </c>
      <c r="G634" s="2" t="str">
        <f>IFERROR(__xludf.DUMMYFUNCTION("REGEXEXTRACT(C634, ""🏘️ \w+ (\w+) .* ✅"")"),"appartement")</f>
        <v>appartement</v>
      </c>
      <c r="H634" s="4" t="str">
        <f>IFERROR(__xludf.DUMMYFUNCTION("REGEXEXTRACT(A634, ""/(\w+)-.*?"")"),"lieu")</f>
        <v>lieu</v>
      </c>
      <c r="I634" s="4" t="str">
        <f>IFERROR(__xludf.DUMMYFUNCTION("if(D634=""variant"",  substitute(filter(Templates!E:E, Templates!A:A = F634, Templates!B:B = G634, Templates!C:C = H634), ""{{}}"", E634), B634)"),"🏘  L’appartement de vos rêves se trouve sur ImmoScout24.ch ✅ Découvrez les dernières annonces de vente à Renan BE.")</f>
        <v>🏘  L’appartement de vos rêves se trouve sur ImmoScout24.ch ✅ Découvrez les dernières annonces de vente à Renan BE.</v>
      </c>
      <c r="J634" s="4" t="s">
        <v>1909</v>
      </c>
    </row>
    <row r="635">
      <c r="A635" s="5" t="s">
        <v>1910</v>
      </c>
      <c r="B635" s="2" t="s">
        <v>1911</v>
      </c>
      <c r="C635" s="4" t="str">
        <f>IFERROR(__xludf.DUMMYFUNCTION("""🏘️ ""&amp;REGEXEXTRACT(B635, ""^(.*): "")&amp;"" ✅ "" &amp;REGEXEXTRACT(B635, ""(Trouvez.*)"")"),"🏘️ Vendre appartement Riederalp ✅ Trouvez le bien immobilier qui correspond idéalement à vos désirs sur ImmoScout24 - La plateforme de l'immobilier en Suisse.")</f>
        <v>🏘️ Vendre appartement Riederalp ✅ Trouvez le bien immobilier qui correspond idéalement à vos désirs sur ImmoScout24 - La plateforme de l'immobilier en Suisse.</v>
      </c>
      <c r="D635" s="4" t="str">
        <f>vlookup(A635, Sheet2!D:E, 2, 0)</f>
        <v>variant</v>
      </c>
      <c r="E635" s="4" t="str">
        <f>IFERROR(__xludf.DUMMYFUNCTION("if(H635=""pays"",vlookup(REGEXEXTRACT(C635, ""🏘️ \w+ \w+ (.*) ✅""),'Country prepositions'!A:B, 2, 0) &amp; "" "" &amp; REGEXEXTRACT(C635, ""🏘️ \w+ \w+ (.*) ✅"") ,  if(H635=""quartier"",vlookup(REGEXEXTRACT(C635, ""🏘️ \w+ \w+ (.*) ✅""),'Quartier prepositions'!A"&amp;":E, 5, 0) ,  if(H635=""region"",vlookup(REGEXEXTRACT(C635, ""🏘️ \w+ \w+ (.*) ✅""),'Region prepositions'!B:F, 5, 0),  REGEXEXTRACT(C635, ""🏘️ \w+ \w+ (.*) ✅""))))"),"Riederalp")</f>
        <v>Riederalp</v>
      </c>
      <c r="F635" s="2" t="str">
        <f>IFERROR(__xludf.DUMMYFUNCTION("REGEXEXTRACT(C635, ""🏘️ (\w+) \w+ .* ✅"")"),"Vendre")</f>
        <v>Vendre</v>
      </c>
      <c r="G635" s="2" t="str">
        <f>IFERROR(__xludf.DUMMYFUNCTION("REGEXEXTRACT(C635, ""🏘️ \w+ (\w+) .* ✅"")"),"appartement")</f>
        <v>appartement</v>
      </c>
      <c r="H635" s="4" t="str">
        <f>IFERROR(__xludf.DUMMYFUNCTION("REGEXEXTRACT(A635, ""/(\w+)-.*?"")"),"lieu")</f>
        <v>lieu</v>
      </c>
      <c r="I635" s="4" t="str">
        <f>IFERROR(__xludf.DUMMYFUNCTION("if(D635=""variant"",  substitute(filter(Templates!E:E, Templates!A:A = F635, Templates!B:B = G635, Templates!C:C = H635), ""{{}}"", E635), B635)"),"🏘  L’appartement de vos rêves se trouve sur ImmoScout24.ch ✅ Découvrez les dernières annonces de vente à Riederalp.")</f>
        <v>🏘  L’appartement de vos rêves se trouve sur ImmoScout24.ch ✅ Découvrez les dernières annonces de vente à Riederalp.</v>
      </c>
      <c r="J635" s="4" t="s">
        <v>1912</v>
      </c>
    </row>
    <row r="636">
      <c r="A636" s="5" t="s">
        <v>1913</v>
      </c>
      <c r="B636" s="2" t="s">
        <v>1914</v>
      </c>
      <c r="C636" s="4" t="str">
        <f>IFERROR(__xludf.DUMMYFUNCTION("""🏘️ ""&amp;REGEXEXTRACT(B636, ""^(.*): "")&amp;"" ✅ "" &amp;REGEXEXTRACT(B636, ""(Trouvez.*)"")"),"🏘️ Louer appartement Fey (Nendaz) ✅ Trouvez le bien immobilier qui correspond idéalement à vos désirs sur ImmoScout24 - La plateforme de l'immobilier en Suisse.")</f>
        <v>🏘️ Louer appartement Fey (Nendaz) ✅ Trouvez le bien immobilier qui correspond idéalement à vos désirs sur ImmoScout24 - La plateforme de l'immobilier en Suisse.</v>
      </c>
      <c r="D636" s="4" t="str">
        <f>vlookup(A636, Sheet2!D:E, 2, 0)</f>
        <v>variant</v>
      </c>
      <c r="E636" s="4" t="str">
        <f>IFERROR(__xludf.DUMMYFUNCTION("if(H636=""pays"",vlookup(REGEXEXTRACT(C636, ""🏘️ \w+ \w+ (.*) ✅""),'Country prepositions'!A:B, 2, 0) &amp; "" "" &amp; REGEXEXTRACT(C636, ""🏘️ \w+ \w+ (.*) ✅"") ,  if(H636=""quartier"",vlookup(REGEXEXTRACT(C636, ""🏘️ \w+ \w+ (.*) ✅""),'Quartier prepositions'!A"&amp;":E, 5, 0) ,  if(H636=""region"",vlookup(REGEXEXTRACT(C636, ""🏘️ \w+ \w+ (.*) ✅""),'Region prepositions'!B:F, 5, 0),  REGEXEXTRACT(C636, ""🏘️ \w+ \w+ (.*) ✅""))))"),"Fey (Nendaz)")</f>
        <v>Fey (Nendaz)</v>
      </c>
      <c r="F636" s="2" t="str">
        <f>IFERROR(__xludf.DUMMYFUNCTION("REGEXEXTRACT(C636, ""🏘️ (\w+) \w+ .* ✅"")"),"Louer")</f>
        <v>Louer</v>
      </c>
      <c r="G636" s="2" t="str">
        <f>IFERROR(__xludf.DUMMYFUNCTION("REGEXEXTRACT(C636, ""🏘️ \w+ (\w+) .* ✅"")"),"appartement")</f>
        <v>appartement</v>
      </c>
      <c r="H636" s="4" t="str">
        <f>IFERROR(__xludf.DUMMYFUNCTION("REGEXEXTRACT(A636, ""/(\w+)-.*?"")"),"lieu")</f>
        <v>lieu</v>
      </c>
      <c r="I636" s="4" t="str">
        <f>IFERROR(__xludf.DUMMYFUNCTION("if(D636=""variant"",  substitute(filter(Templates!E:E, Templates!A:A = F636, Templates!B:B = G636, Templates!C:C = H636), ""{{}}"", E636), B636)"),"🏘  Vous cherchez un appartement à louer à Fey (Nendaz)? ✅ Les annonces les plus actuelles sont sur ImmoScout24.ch.")</f>
        <v>🏘  Vous cherchez un appartement à louer à Fey (Nendaz)? ✅ Les annonces les plus actuelles sont sur ImmoScout24.ch.</v>
      </c>
      <c r="J636" s="4" t="s">
        <v>1915</v>
      </c>
    </row>
    <row r="637">
      <c r="A637" s="5" t="s">
        <v>1916</v>
      </c>
      <c r="B637" s="2" t="s">
        <v>1917</v>
      </c>
      <c r="C637" s="4" t="str">
        <f>IFERROR(__xludf.DUMMYFUNCTION("""🏘️ ""&amp;REGEXEXTRACT(B637, ""^(.*): "")&amp;"" ✅ "" &amp;REGEXEXTRACT(B637, ""(Trouvez.*)"")"),"🏘️ Louer appartement Les Diablerets ✅ Trouvez le bien immobilier qui correspond idéalement à vos désirs sur ImmoScout24 - La plateforme de l'immobilier en Suisse.")</f>
        <v>🏘️ Louer appartement Les Diablerets ✅ Trouvez le bien immobilier qui correspond idéalement à vos désirs sur ImmoScout24 - La plateforme de l'immobilier en Suisse.</v>
      </c>
      <c r="D637" s="4" t="str">
        <f>vlookup(A637, Sheet2!D:E, 2, 0)</f>
        <v>variant</v>
      </c>
      <c r="E637" s="4" t="str">
        <f>IFERROR(__xludf.DUMMYFUNCTION("if(H637=""pays"",vlookup(REGEXEXTRACT(C637, ""🏘️ \w+ \w+ (.*) ✅""),'Country prepositions'!A:B, 2, 0) &amp; "" "" &amp; REGEXEXTRACT(C637, ""🏘️ \w+ \w+ (.*) ✅"") ,  if(H637=""quartier"",vlookup(REGEXEXTRACT(C637, ""🏘️ \w+ \w+ (.*) ✅""),'Quartier prepositions'!A"&amp;":E, 5, 0) ,  if(H637=""region"",vlookup(REGEXEXTRACT(C637, ""🏘️ \w+ \w+ (.*) ✅""),'Region prepositions'!B:F, 5, 0),  REGEXEXTRACT(C637, ""🏘️ \w+ \w+ (.*) ✅""))))"),"Les Diablerets")</f>
        <v>Les Diablerets</v>
      </c>
      <c r="F637" s="2" t="str">
        <f>IFERROR(__xludf.DUMMYFUNCTION("REGEXEXTRACT(C637, ""🏘️ (\w+) \w+ .* ✅"")"),"Louer")</f>
        <v>Louer</v>
      </c>
      <c r="G637" s="2" t="str">
        <f>IFERROR(__xludf.DUMMYFUNCTION("REGEXEXTRACT(C637, ""🏘️ \w+ (\w+) .* ✅"")"),"appartement")</f>
        <v>appartement</v>
      </c>
      <c r="H637" s="4" t="str">
        <f>IFERROR(__xludf.DUMMYFUNCTION("REGEXEXTRACT(A637, ""/(\w+)-.*?"")"),"lieu")</f>
        <v>lieu</v>
      </c>
      <c r="I637" s="4" t="str">
        <f>IFERROR(__xludf.DUMMYFUNCTION("if(D637=""variant"",  substitute(filter(Templates!E:E, Templates!A:A = F637, Templates!B:B = G637, Templates!C:C = H637), ""{{}}"", E637), B637)"),"🏘  Vous cherchez un appartement à louer à Les Diablerets? ✅ Les annonces les plus actuelles sont sur ImmoScout24.ch.")</f>
        <v>🏘  Vous cherchez un appartement à louer à Les Diablerets? ✅ Les annonces les plus actuelles sont sur ImmoScout24.ch.</v>
      </c>
      <c r="J637" s="2" t="s">
        <v>1918</v>
      </c>
    </row>
    <row r="638">
      <c r="A638" s="5" t="s">
        <v>1919</v>
      </c>
      <c r="B638" s="2" t="s">
        <v>1920</v>
      </c>
      <c r="C638" s="4" t="str">
        <f>IFERROR(__xludf.DUMMYFUNCTION("""🏘️ ""&amp;REGEXEXTRACT(B638, ""^(.*): "")&amp;"" ✅ "" &amp;REGEXEXTRACT(B638, ""(Trouvez.*)"")"),"🏘️ Vendre maison Paudex ✅ Trouvez le bien immobilier qui correspond idéalement à vos désirs sur ImmoScout24 - La plateforme de l'immobilier en Suisse.")</f>
        <v>🏘️ Vendre maison Paudex ✅ Trouvez le bien immobilier qui correspond idéalement à vos désirs sur ImmoScout24 - La plateforme de l'immobilier en Suisse.</v>
      </c>
      <c r="D638" s="4" t="str">
        <f>vlookup(A638, Sheet2!D:E, 2, 0)</f>
        <v>variant</v>
      </c>
      <c r="E638" s="4" t="str">
        <f>IFERROR(__xludf.DUMMYFUNCTION("if(H638=""pays"",vlookup(REGEXEXTRACT(C638, ""🏘️ \w+ \w+ (.*) ✅""),'Country prepositions'!A:B, 2, 0) &amp; "" "" &amp; REGEXEXTRACT(C638, ""🏘️ \w+ \w+ (.*) ✅"") ,  if(H638=""quartier"",vlookup(REGEXEXTRACT(C638, ""🏘️ \w+ \w+ (.*) ✅""),'Quartier prepositions'!A"&amp;":E, 5, 0) ,  if(H638=""region"",vlookup(REGEXEXTRACT(C638, ""🏘️ \w+ \w+ (.*) ✅""),'Region prepositions'!B:F, 5, 0),  REGEXEXTRACT(C638, ""🏘️ \w+ \w+ (.*) ✅""))))"),"Paudex")</f>
        <v>Paudex</v>
      </c>
      <c r="F638" s="2" t="str">
        <f>IFERROR(__xludf.DUMMYFUNCTION("REGEXEXTRACT(C638, ""🏘️ (\w+) \w+ .* ✅"")"),"Vendre")</f>
        <v>Vendre</v>
      </c>
      <c r="G638" s="2" t="str">
        <f>IFERROR(__xludf.DUMMYFUNCTION("REGEXEXTRACT(C638, ""🏘️ \w+ (\w+) .* ✅"")"),"maison")</f>
        <v>maison</v>
      </c>
      <c r="H638" s="4" t="str">
        <f>IFERROR(__xludf.DUMMYFUNCTION("REGEXEXTRACT(A638, ""/(\w+)-.*?"")"),"lieu")</f>
        <v>lieu</v>
      </c>
      <c r="I638" s="4" t="str">
        <f>IFERROR(__xludf.DUMMYFUNCTION("if(D638=""variant"",  substitute(filter(Templates!E:E, Templates!A:A = F638, Templates!B:B = G638, Templates!C:C = H638), ""{{}}"", E638), B638)"),"🏘  Vous souhaitez acheter une maison à Paudex? ✅ Jetez un œil aux dernières offres sur ImmoScout24.ch.")</f>
        <v>🏘  Vous souhaitez acheter une maison à Paudex? ✅ Jetez un œil aux dernières offres sur ImmoScout24.ch.</v>
      </c>
      <c r="J638" s="4" t="s">
        <v>1921</v>
      </c>
    </row>
    <row r="639">
      <c r="A639" s="5" t="s">
        <v>1922</v>
      </c>
      <c r="B639" s="2" t="s">
        <v>1923</v>
      </c>
      <c r="C639" s="4" t="str">
        <f>IFERROR(__xludf.DUMMYFUNCTION("""🏘️ ""&amp;REGEXEXTRACT(B639, ""^(.*): "")&amp;"" ✅ "" &amp;REGEXEXTRACT(B639, ""(Trouvez.*)"")"),"🏘️ Vendre maison Neerach ✅ Trouvez le bien immobilier qui correspond idéalement à vos désirs sur ImmoScout24 - La plateforme de l'immobilier en Suisse.")</f>
        <v>🏘️ Vendre maison Neerach ✅ Trouvez le bien immobilier qui correspond idéalement à vos désirs sur ImmoScout24 - La plateforme de l'immobilier en Suisse.</v>
      </c>
      <c r="D639" s="4" t="str">
        <f>vlookup(A639, Sheet2!D:E, 2, 0)</f>
        <v>variant</v>
      </c>
      <c r="E639" s="4" t="str">
        <f>IFERROR(__xludf.DUMMYFUNCTION("if(H639=""pays"",vlookup(REGEXEXTRACT(C639, ""🏘️ \w+ \w+ (.*) ✅""),'Country prepositions'!A:B, 2, 0) &amp; "" "" &amp; REGEXEXTRACT(C639, ""🏘️ \w+ \w+ (.*) ✅"") ,  if(H639=""quartier"",vlookup(REGEXEXTRACT(C639, ""🏘️ \w+ \w+ (.*) ✅""),'Quartier prepositions'!A"&amp;":E, 5, 0) ,  if(H639=""region"",vlookup(REGEXEXTRACT(C639, ""🏘️ \w+ \w+ (.*) ✅""),'Region prepositions'!B:F, 5, 0),  REGEXEXTRACT(C639, ""🏘️ \w+ \w+ (.*) ✅""))))"),"Neerach")</f>
        <v>Neerach</v>
      </c>
      <c r="F639" s="2" t="str">
        <f>IFERROR(__xludf.DUMMYFUNCTION("REGEXEXTRACT(C639, ""🏘️ (\w+) \w+ .* ✅"")"),"Vendre")</f>
        <v>Vendre</v>
      </c>
      <c r="G639" s="2" t="str">
        <f>IFERROR(__xludf.DUMMYFUNCTION("REGEXEXTRACT(C639, ""🏘️ \w+ (\w+) .* ✅"")"),"maison")</f>
        <v>maison</v>
      </c>
      <c r="H639" s="4" t="str">
        <f>IFERROR(__xludf.DUMMYFUNCTION("REGEXEXTRACT(A639, ""/(\w+)-.*?"")"),"lieu")</f>
        <v>lieu</v>
      </c>
      <c r="I639" s="4" t="str">
        <f>IFERROR(__xludf.DUMMYFUNCTION("if(D639=""variant"",  substitute(filter(Templates!E:E, Templates!A:A = F639, Templates!B:B = G639, Templates!C:C = H639), ""{{}}"", E639), B639)"),"🏘  Vous souhaitez acheter une maison à Neerach? ✅ Jetez un œil aux dernières offres sur ImmoScout24.ch.")</f>
        <v>🏘  Vous souhaitez acheter une maison à Neerach? ✅ Jetez un œil aux dernières offres sur ImmoScout24.ch.</v>
      </c>
      <c r="J639" s="4" t="s">
        <v>1924</v>
      </c>
    </row>
    <row r="640">
      <c r="A640" s="5" t="s">
        <v>1925</v>
      </c>
      <c r="B640" s="2" t="s">
        <v>1926</v>
      </c>
      <c r="C640" s="4" t="str">
        <f>IFERROR(__xludf.DUMMYFUNCTION("""🏘️ ""&amp;REGEXEXTRACT(B640, ""^(.*): "")&amp;"" ✅ "" &amp;REGEXEXTRACT(B640, ""(Trouvez.*)"")"),"🏘️ Louer appartement Stans ✅ Trouvez le bien immobilier qui correspond idéalement à vos désirs sur ImmoScout24 - La plateforme de l'immobilier en Suisse.")</f>
        <v>🏘️ Louer appartement Stans ✅ Trouvez le bien immobilier qui correspond idéalement à vos désirs sur ImmoScout24 - La plateforme de l'immobilier en Suisse.</v>
      </c>
      <c r="D640" s="4" t="str">
        <f>vlookup(A640, Sheet2!D:E, 2, 0)</f>
        <v>variant</v>
      </c>
      <c r="E640" s="4" t="str">
        <f>IFERROR(__xludf.DUMMYFUNCTION("if(H640=""pays"",vlookup(REGEXEXTRACT(C640, ""🏘️ \w+ \w+ (.*) ✅""),'Country prepositions'!A:B, 2, 0) &amp; "" "" &amp; REGEXEXTRACT(C640, ""🏘️ \w+ \w+ (.*) ✅"") ,  if(H640=""quartier"",vlookup(REGEXEXTRACT(C640, ""🏘️ \w+ \w+ (.*) ✅""),'Quartier prepositions'!A"&amp;":E, 5, 0) ,  if(H640=""region"",vlookup(REGEXEXTRACT(C640, ""🏘️ \w+ \w+ (.*) ✅""),'Region prepositions'!B:F, 5, 0),  REGEXEXTRACT(C640, ""🏘️ \w+ \w+ (.*) ✅""))))"),"Stans")</f>
        <v>Stans</v>
      </c>
      <c r="F640" s="2" t="str">
        <f>IFERROR(__xludf.DUMMYFUNCTION("REGEXEXTRACT(C640, ""🏘️ (\w+) \w+ .* ✅"")"),"Louer")</f>
        <v>Louer</v>
      </c>
      <c r="G640" s="2" t="str">
        <f>IFERROR(__xludf.DUMMYFUNCTION("REGEXEXTRACT(C640, ""🏘️ \w+ (\w+) .* ✅"")"),"appartement")</f>
        <v>appartement</v>
      </c>
      <c r="H640" s="4" t="str">
        <f>IFERROR(__xludf.DUMMYFUNCTION("REGEXEXTRACT(A640, ""/(\w+)-.*?"")"),"lieu")</f>
        <v>lieu</v>
      </c>
      <c r="I640" s="4" t="str">
        <f>IFERROR(__xludf.DUMMYFUNCTION("if(D640=""variant"",  substitute(filter(Templates!E:E, Templates!A:A = F640, Templates!B:B = G640, Templates!C:C = H640), ""{{}}"", E640), B640)"),"🏘  Vous cherchez un appartement à louer à Stans? ✅ Les annonces les plus actuelles sont sur ImmoScout24.ch.")</f>
        <v>🏘  Vous cherchez un appartement à louer à Stans? ✅ Les annonces les plus actuelles sont sur ImmoScout24.ch.</v>
      </c>
      <c r="J640" s="4" t="s">
        <v>1927</v>
      </c>
    </row>
    <row r="641">
      <c r="A641" s="5" t="s">
        <v>1928</v>
      </c>
      <c r="B641" s="2" t="s">
        <v>1929</v>
      </c>
      <c r="C641" s="4" t="str">
        <f>IFERROR(__xludf.DUMMYFUNCTION("""🏘️ ""&amp;REGEXEXTRACT(B641, ""^(.*): "")&amp;"" ✅ "" &amp;REGEXEXTRACT(B641, ""(Trouvez.*)"")"),"🏘️ Louer appartement Regensberg ✅ Trouvez le bien immobilier qui correspond idéalement à vos désirs sur ImmoScout24 - La plateforme de l'immobilier en Suisse.")</f>
        <v>🏘️ Louer appartement Regensberg ✅ Trouvez le bien immobilier qui correspond idéalement à vos désirs sur ImmoScout24 - La plateforme de l'immobilier en Suisse.</v>
      </c>
      <c r="D641" s="4" t="str">
        <f>vlookup(A641, Sheet2!D:E, 2, 0)</f>
        <v>variant</v>
      </c>
      <c r="E641" s="4" t="str">
        <f>IFERROR(__xludf.DUMMYFUNCTION("if(H641=""pays"",vlookup(REGEXEXTRACT(C641, ""🏘️ \w+ \w+ (.*) ✅""),'Country prepositions'!A:B, 2, 0) &amp; "" "" &amp; REGEXEXTRACT(C641, ""🏘️ \w+ \w+ (.*) ✅"") ,  if(H641=""quartier"",vlookup(REGEXEXTRACT(C641, ""🏘️ \w+ \w+ (.*) ✅""),'Quartier prepositions'!A"&amp;":E, 5, 0) ,  if(H641=""region"",vlookup(REGEXEXTRACT(C641, ""🏘️ \w+ \w+ (.*) ✅""),'Region prepositions'!B:F, 5, 0),  REGEXEXTRACT(C641, ""🏘️ \w+ \w+ (.*) ✅""))))"),"Regensberg")</f>
        <v>Regensberg</v>
      </c>
      <c r="F641" s="2" t="str">
        <f>IFERROR(__xludf.DUMMYFUNCTION("REGEXEXTRACT(C641, ""🏘️ (\w+) \w+ .* ✅"")"),"Louer")</f>
        <v>Louer</v>
      </c>
      <c r="G641" s="2" t="str">
        <f>IFERROR(__xludf.DUMMYFUNCTION("REGEXEXTRACT(C641, ""🏘️ \w+ (\w+) .* ✅"")"),"appartement")</f>
        <v>appartement</v>
      </c>
      <c r="H641" s="4" t="str">
        <f>IFERROR(__xludf.DUMMYFUNCTION("REGEXEXTRACT(A641, ""/(\w+)-.*?"")"),"lieu")</f>
        <v>lieu</v>
      </c>
      <c r="I641" s="4" t="str">
        <f>IFERROR(__xludf.DUMMYFUNCTION("if(D641=""variant"",  substitute(filter(Templates!E:E, Templates!A:A = F641, Templates!B:B = G641, Templates!C:C = H641), ""{{}}"", E641), B641)"),"🏘  Vous cherchez un appartement à louer à Regensberg? ✅ Les annonces les plus actuelles sont sur ImmoScout24.ch.")</f>
        <v>🏘  Vous cherchez un appartement à louer à Regensberg? ✅ Les annonces les plus actuelles sont sur ImmoScout24.ch.</v>
      </c>
      <c r="J641" s="4" t="s">
        <v>1930</v>
      </c>
    </row>
    <row r="642">
      <c r="A642" s="5" t="s">
        <v>1931</v>
      </c>
      <c r="B642" s="2" t="s">
        <v>1932</v>
      </c>
      <c r="C642" s="4" t="str">
        <f>IFERROR(__xludf.DUMMYFUNCTION("""🏘️ ""&amp;REGEXEXTRACT(B642, ""^(.*): "")&amp;"" ✅ "" &amp;REGEXEXTRACT(B642, ""(Trouvez.*)"")"),"🏘️ Vendre maison Grüningen ✅ Trouvez le bien immobilier qui correspond idéalement à vos désirs sur ImmoScout24 - La plateforme de l'immobilier en Suisse.")</f>
        <v>🏘️ Vendre maison Grüningen ✅ Trouvez le bien immobilier qui correspond idéalement à vos désirs sur ImmoScout24 - La plateforme de l'immobilier en Suisse.</v>
      </c>
      <c r="D642" s="4" t="str">
        <f>vlookup(A642, Sheet2!D:E, 2, 0)</f>
        <v>variant</v>
      </c>
      <c r="E642" s="4" t="str">
        <f>IFERROR(__xludf.DUMMYFUNCTION("if(H642=""pays"",vlookup(REGEXEXTRACT(C642, ""🏘️ \w+ \w+ (.*) ✅""),'Country prepositions'!A:B, 2, 0) &amp; "" "" &amp; REGEXEXTRACT(C642, ""🏘️ \w+ \w+ (.*) ✅"") ,  if(H642=""quartier"",vlookup(REGEXEXTRACT(C642, ""🏘️ \w+ \w+ (.*) ✅""),'Quartier prepositions'!A"&amp;":E, 5, 0) ,  if(H642=""region"",vlookup(REGEXEXTRACT(C642, ""🏘️ \w+ \w+ (.*) ✅""),'Region prepositions'!B:F, 5, 0),  REGEXEXTRACT(C642, ""🏘️ \w+ \w+ (.*) ✅""))))"),"Grüningen")</f>
        <v>Grüningen</v>
      </c>
      <c r="F642" s="2" t="str">
        <f>IFERROR(__xludf.DUMMYFUNCTION("REGEXEXTRACT(C642, ""🏘️ (\w+) \w+ .* ✅"")"),"Vendre")</f>
        <v>Vendre</v>
      </c>
      <c r="G642" s="2" t="str">
        <f>IFERROR(__xludf.DUMMYFUNCTION("REGEXEXTRACT(C642, ""🏘️ \w+ (\w+) .* ✅"")"),"maison")</f>
        <v>maison</v>
      </c>
      <c r="H642" s="4" t="str">
        <f>IFERROR(__xludf.DUMMYFUNCTION("REGEXEXTRACT(A642, ""/(\w+)-.*?"")"),"lieu")</f>
        <v>lieu</v>
      </c>
      <c r="I642" s="4" t="str">
        <f>IFERROR(__xludf.DUMMYFUNCTION("if(D642=""variant"",  substitute(filter(Templates!E:E, Templates!A:A = F642, Templates!B:B = G642, Templates!C:C = H642), ""{{}}"", E642), B642)"),"🏘  Vous souhaitez acheter une maison à Grüningen? ✅ Jetez un œil aux dernières offres sur ImmoScout24.ch.")</f>
        <v>🏘  Vous souhaitez acheter une maison à Grüningen? ✅ Jetez un œil aux dernières offres sur ImmoScout24.ch.</v>
      </c>
      <c r="J642" s="4" t="s">
        <v>1933</v>
      </c>
    </row>
    <row r="643">
      <c r="A643" s="5" t="s">
        <v>1934</v>
      </c>
      <c r="B643" s="2" t="s">
        <v>1935</v>
      </c>
      <c r="C643" s="4" t="str">
        <f>IFERROR(__xludf.DUMMYFUNCTION("""🏘️ ""&amp;REGEXEXTRACT(B643, ""^(.*): "")&amp;"" ✅ "" &amp;REGEXEXTRACT(B643, ""(Trouvez.*)"")"),"🏘️ Vendre appartement Corcelles-près-Payerne ✅ Trouvez le bien immobilier qui correspond idéalement à vos désirs sur ImmoScout24 - La plateforme de l'immobilier en Suisse.")</f>
        <v>🏘️ Vendre appartement Corcelles-près-Payerne ✅ Trouvez le bien immobilier qui correspond idéalement à vos désirs sur ImmoScout24 - La plateforme de l'immobilier en Suisse.</v>
      </c>
      <c r="D643" s="4" t="str">
        <f>vlookup(A643, Sheet2!D:E, 2, 0)</f>
        <v>variant</v>
      </c>
      <c r="E643" s="4" t="str">
        <f>IFERROR(__xludf.DUMMYFUNCTION("if(H643=""pays"",vlookup(REGEXEXTRACT(C643, ""🏘️ \w+ \w+ (.*) ✅""),'Country prepositions'!A:B, 2, 0) &amp; "" "" &amp; REGEXEXTRACT(C643, ""🏘️ \w+ \w+ (.*) ✅"") ,  if(H643=""quartier"",vlookup(REGEXEXTRACT(C643, ""🏘️ \w+ \w+ (.*) ✅""),'Quartier prepositions'!A"&amp;":E, 5, 0) ,  if(H643=""region"",vlookup(REGEXEXTRACT(C643, ""🏘️ \w+ \w+ (.*) ✅""),'Region prepositions'!B:F, 5, 0),  REGEXEXTRACT(C643, ""🏘️ \w+ \w+ (.*) ✅""))))"),"Corcelles-près-Payerne")</f>
        <v>Corcelles-près-Payerne</v>
      </c>
      <c r="F643" s="2" t="str">
        <f>IFERROR(__xludf.DUMMYFUNCTION("REGEXEXTRACT(C643, ""🏘️ (\w+) \w+ .* ✅"")"),"Vendre")</f>
        <v>Vendre</v>
      </c>
      <c r="G643" s="2" t="str">
        <f>IFERROR(__xludf.DUMMYFUNCTION("REGEXEXTRACT(C643, ""🏘️ \w+ (\w+) .* ✅"")"),"appartement")</f>
        <v>appartement</v>
      </c>
      <c r="H643" s="4" t="str">
        <f>IFERROR(__xludf.DUMMYFUNCTION("REGEXEXTRACT(A643, ""/(\w+)-.*?"")"),"lieu")</f>
        <v>lieu</v>
      </c>
      <c r="I643" s="4" t="str">
        <f>IFERROR(__xludf.DUMMYFUNCTION("if(D643=""variant"",  substitute(filter(Templates!E:E, Templates!A:A = F643, Templates!B:B = G643, Templates!C:C = H643), ""{{}}"", E643), B643)"),"🏘  L’appartement de vos rêves se trouve sur ImmoScout24.ch ✅ Découvrez les dernières annonces de vente à Corcelles-près-Payerne.")</f>
        <v>🏘  L’appartement de vos rêves se trouve sur ImmoScout24.ch ✅ Découvrez les dernières annonces de vente à Corcelles-près-Payerne.</v>
      </c>
      <c r="J643" s="4" t="s">
        <v>1936</v>
      </c>
    </row>
    <row r="644">
      <c r="A644" s="5" t="s">
        <v>1937</v>
      </c>
      <c r="B644" s="2" t="s">
        <v>1938</v>
      </c>
      <c r="C644" s="4" t="str">
        <f>IFERROR(__xludf.DUMMYFUNCTION("""🏘️ ""&amp;REGEXEXTRACT(B644, ""^(.*): "")&amp;"" ✅ "" &amp;REGEXEXTRACT(B644, ""(Trouvez.*)"")"),"🏘️ Vendre maison Brione (Verzasca) ✅ Trouvez le bien immobilier qui correspond idéalement à vos désirs sur ImmoScout24 - La plateforme de l'immobilier en Suisse.")</f>
        <v>🏘️ Vendre maison Brione (Verzasca) ✅ Trouvez le bien immobilier qui correspond idéalement à vos désirs sur ImmoScout24 - La plateforme de l'immobilier en Suisse.</v>
      </c>
      <c r="D644" s="4" t="str">
        <f>vlookup(A644, Sheet2!D:E, 2, 0)</f>
        <v>variant</v>
      </c>
      <c r="E644" s="4" t="str">
        <f>IFERROR(__xludf.DUMMYFUNCTION("if(H644=""pays"",vlookup(REGEXEXTRACT(C644, ""🏘️ \w+ \w+ (.*) ✅""),'Country prepositions'!A:B, 2, 0) &amp; "" "" &amp; REGEXEXTRACT(C644, ""🏘️ \w+ \w+ (.*) ✅"") ,  if(H644=""quartier"",vlookup(REGEXEXTRACT(C644, ""🏘️ \w+ \w+ (.*) ✅""),'Quartier prepositions'!A"&amp;":E, 5, 0) ,  if(H644=""region"",vlookup(REGEXEXTRACT(C644, ""🏘️ \w+ \w+ (.*) ✅""),'Region prepositions'!B:F, 5, 0),  REGEXEXTRACT(C644, ""🏘️ \w+ \w+ (.*) ✅""))))"),"Brione (Verzasca)")</f>
        <v>Brione (Verzasca)</v>
      </c>
      <c r="F644" s="2" t="str">
        <f>IFERROR(__xludf.DUMMYFUNCTION("REGEXEXTRACT(C644, ""🏘️ (\w+) \w+ .* ✅"")"),"Vendre")</f>
        <v>Vendre</v>
      </c>
      <c r="G644" s="2" t="str">
        <f>IFERROR(__xludf.DUMMYFUNCTION("REGEXEXTRACT(C644, ""🏘️ \w+ (\w+) .* ✅"")"),"maison")</f>
        <v>maison</v>
      </c>
      <c r="H644" s="4" t="str">
        <f>IFERROR(__xludf.DUMMYFUNCTION("REGEXEXTRACT(A644, ""/(\w+)-.*?"")"),"lieu")</f>
        <v>lieu</v>
      </c>
      <c r="I644" s="4" t="str">
        <f>IFERROR(__xludf.DUMMYFUNCTION("if(D644=""variant"",  substitute(filter(Templates!E:E, Templates!A:A = F644, Templates!B:B = G644, Templates!C:C = H644), ""{{}}"", E644), B644)"),"🏘  Vous souhaitez acheter une maison à Brione (Verzasca)? ✅ Jetez un œil aux dernières offres sur ImmoScout24.ch.")</f>
        <v>🏘  Vous souhaitez acheter une maison à Brione (Verzasca)? ✅ Jetez un œil aux dernières offres sur ImmoScout24.ch.</v>
      </c>
      <c r="J644" s="4" t="s">
        <v>1939</v>
      </c>
    </row>
    <row r="645">
      <c r="A645" s="5" t="s">
        <v>1940</v>
      </c>
      <c r="B645" s="2" t="s">
        <v>1941</v>
      </c>
      <c r="C645" s="4" t="str">
        <f>IFERROR(__xludf.DUMMYFUNCTION("""🏘️ ""&amp;REGEXEXTRACT(B645, ""^(.*): "")&amp;"" ✅ "" &amp;REGEXEXTRACT(B645, ""(Trouvez.*)"")"),"🏘️ Louer maison Le Fuet ✅ Trouvez le bien immobilier qui correspond idéalement à vos désirs sur ImmoScout24 - La plateforme de l'immobilier en Suisse.")</f>
        <v>🏘️ Louer maison Le Fuet ✅ Trouvez le bien immobilier qui correspond idéalement à vos désirs sur ImmoScout24 - La plateforme de l'immobilier en Suisse.</v>
      </c>
      <c r="D645" s="4" t="str">
        <f>vlookup(A645, Sheet2!D:E, 2, 0)</f>
        <v>variant</v>
      </c>
      <c r="E645" s="4" t="str">
        <f>IFERROR(__xludf.DUMMYFUNCTION("if(H645=""pays"",vlookup(REGEXEXTRACT(C645, ""🏘️ \w+ \w+ (.*) ✅""),'Country prepositions'!A:B, 2, 0) &amp; "" "" &amp; REGEXEXTRACT(C645, ""🏘️ \w+ \w+ (.*) ✅"") ,  if(H645=""quartier"",vlookup(REGEXEXTRACT(C645, ""🏘️ \w+ \w+ (.*) ✅""),'Quartier prepositions'!A"&amp;":E, 5, 0) ,  if(H645=""region"",vlookup(REGEXEXTRACT(C645, ""🏘️ \w+ \w+ (.*) ✅""),'Region prepositions'!B:F, 5, 0),  REGEXEXTRACT(C645, ""🏘️ \w+ \w+ (.*) ✅""))))"),"Le Fuet")</f>
        <v>Le Fuet</v>
      </c>
      <c r="F645" s="2" t="str">
        <f>IFERROR(__xludf.DUMMYFUNCTION("REGEXEXTRACT(C645, ""🏘️ (\w+) \w+ .* ✅"")"),"Louer")</f>
        <v>Louer</v>
      </c>
      <c r="G645" s="2" t="str">
        <f>IFERROR(__xludf.DUMMYFUNCTION("REGEXEXTRACT(C645, ""🏘️ \w+ (\w+) .* ✅"")"),"maison")</f>
        <v>maison</v>
      </c>
      <c r="H645" s="4" t="str">
        <f>IFERROR(__xludf.DUMMYFUNCTION("REGEXEXTRACT(A645, ""/(\w+)-.*?"")"),"lieu")</f>
        <v>lieu</v>
      </c>
      <c r="I645" s="4" t="str">
        <f>IFERROR(__xludf.DUMMYFUNCTION("if(D645=""variant"",  substitute(filter(Templates!E:E, Templates!A:A = F645, Templates!B:B = G645, Templates!C:C = H645), ""{{}}"", E645), B645)"),"🏘  Vous cherchez une maison à louer à Le Fuet? ✅ Découvrez nos nombreuses annonces sur ImmoScout24.ch.")</f>
        <v>🏘  Vous cherchez une maison à louer à Le Fuet? ✅ Découvrez nos nombreuses annonces sur ImmoScout24.ch.</v>
      </c>
      <c r="J645" s="2" t="s">
        <v>1942</v>
      </c>
    </row>
    <row r="646">
      <c r="A646" s="5" t="s">
        <v>1943</v>
      </c>
      <c r="B646" s="2" t="s">
        <v>1944</v>
      </c>
      <c r="C646" s="4" t="str">
        <f>IFERROR(__xludf.DUMMYFUNCTION("""🏘️ ""&amp;REGEXEXTRACT(B646, ""^(.*): "")&amp;"" ✅ "" &amp;REGEXEXTRACT(B646, ""(Trouvez.*)"")"),"🏘️ Louer appartement Siviriez ✅ Trouvez le bien immobilier qui correspond idéalement à vos désirs sur ImmoScout24 - La plateforme de l'immobilier en Suisse.")</f>
        <v>🏘️ Louer appartement Siviriez ✅ Trouvez le bien immobilier qui correspond idéalement à vos désirs sur ImmoScout24 - La plateforme de l'immobilier en Suisse.</v>
      </c>
      <c r="D646" s="4" t="str">
        <f>vlookup(A646, Sheet2!D:E, 2, 0)</f>
        <v>variant</v>
      </c>
      <c r="E646" s="4" t="str">
        <f>IFERROR(__xludf.DUMMYFUNCTION("if(H646=""pays"",vlookup(REGEXEXTRACT(C646, ""🏘️ \w+ \w+ (.*) ✅""),'Country prepositions'!A:B, 2, 0) &amp; "" "" &amp; REGEXEXTRACT(C646, ""🏘️ \w+ \w+ (.*) ✅"") ,  if(H646=""quartier"",vlookup(REGEXEXTRACT(C646, ""🏘️ \w+ \w+ (.*) ✅""),'Quartier prepositions'!A"&amp;":E, 5, 0) ,  if(H646=""region"",vlookup(REGEXEXTRACT(C646, ""🏘️ \w+ \w+ (.*) ✅""),'Region prepositions'!B:F, 5, 0),  REGEXEXTRACT(C646, ""🏘️ \w+ \w+ (.*) ✅""))))"),"Siviriez")</f>
        <v>Siviriez</v>
      </c>
      <c r="F646" s="2" t="str">
        <f>IFERROR(__xludf.DUMMYFUNCTION("REGEXEXTRACT(C646, ""🏘️ (\w+) \w+ .* ✅"")"),"Louer")</f>
        <v>Louer</v>
      </c>
      <c r="G646" s="2" t="str">
        <f>IFERROR(__xludf.DUMMYFUNCTION("REGEXEXTRACT(C646, ""🏘️ \w+ (\w+) .* ✅"")"),"appartement")</f>
        <v>appartement</v>
      </c>
      <c r="H646" s="4" t="str">
        <f>IFERROR(__xludf.DUMMYFUNCTION("REGEXEXTRACT(A646, ""/(\w+)-.*?"")"),"lieu")</f>
        <v>lieu</v>
      </c>
      <c r="I646" s="4" t="str">
        <f>IFERROR(__xludf.DUMMYFUNCTION("if(D646=""variant"",  substitute(filter(Templates!E:E, Templates!A:A = F646, Templates!B:B = G646, Templates!C:C = H646), ""{{}}"", E646), B646)"),"🏘  Vous cherchez un appartement à louer à Siviriez? ✅ Les annonces les plus actuelles sont sur ImmoScout24.ch.")</f>
        <v>🏘  Vous cherchez un appartement à louer à Siviriez? ✅ Les annonces les plus actuelles sont sur ImmoScout24.ch.</v>
      </c>
      <c r="J646" s="4" t="s">
        <v>1945</v>
      </c>
    </row>
    <row r="647">
      <c r="A647" s="5" t="s">
        <v>1946</v>
      </c>
      <c r="B647" s="2" t="s">
        <v>1947</v>
      </c>
      <c r="C647" s="4" t="str">
        <f>IFERROR(__xludf.DUMMYFUNCTION("""🏘️ ""&amp;REGEXEXTRACT(B647, ""^(.*): "")&amp;"" ✅ "" &amp;REGEXEXTRACT(B647, ""(Trouvez.*)"")"),"🏘️ Louer maison Payerne ✅ Trouvez le bien immobilier qui correspond idéalement à vos désirs sur ImmoScout24 - La plateforme de l'immobilier en Suisse.")</f>
        <v>🏘️ Louer maison Payerne ✅ Trouvez le bien immobilier qui correspond idéalement à vos désirs sur ImmoScout24 - La plateforme de l'immobilier en Suisse.</v>
      </c>
      <c r="D647" s="4" t="str">
        <f>vlookup(A647, Sheet2!D:E, 2, 0)</f>
        <v>variant</v>
      </c>
      <c r="E647" s="4" t="str">
        <f>IFERROR(__xludf.DUMMYFUNCTION("if(H647=""pays"",vlookup(REGEXEXTRACT(C647, ""🏘️ \w+ \w+ (.*) ✅""),'Country prepositions'!A:B, 2, 0) &amp; "" "" &amp; REGEXEXTRACT(C647, ""🏘️ \w+ \w+ (.*) ✅"") ,  if(H647=""quartier"",vlookup(REGEXEXTRACT(C647, ""🏘️ \w+ \w+ (.*) ✅""),'Quartier prepositions'!A"&amp;":E, 5, 0) ,  if(H647=""region"",vlookup(REGEXEXTRACT(C647, ""🏘️ \w+ \w+ (.*) ✅""),'Region prepositions'!B:F, 5, 0),  REGEXEXTRACT(C647, ""🏘️ \w+ \w+ (.*) ✅""))))"),"Payerne")</f>
        <v>Payerne</v>
      </c>
      <c r="F647" s="2" t="str">
        <f>IFERROR(__xludf.DUMMYFUNCTION("REGEXEXTRACT(C647, ""🏘️ (\w+) \w+ .* ✅"")"),"Louer")</f>
        <v>Louer</v>
      </c>
      <c r="G647" s="2" t="str">
        <f>IFERROR(__xludf.DUMMYFUNCTION("REGEXEXTRACT(C647, ""🏘️ \w+ (\w+) .* ✅"")"),"maison")</f>
        <v>maison</v>
      </c>
      <c r="H647" s="4" t="str">
        <f>IFERROR(__xludf.DUMMYFUNCTION("REGEXEXTRACT(A647, ""/(\w+)-.*?"")"),"lieu")</f>
        <v>lieu</v>
      </c>
      <c r="I647" s="4" t="str">
        <f>IFERROR(__xludf.DUMMYFUNCTION("if(D647=""variant"",  substitute(filter(Templates!E:E, Templates!A:A = F647, Templates!B:B = G647, Templates!C:C = H647), ""{{}}"", E647), B647)"),"🏘  Vous cherchez une maison à louer à Payerne? ✅ Découvrez nos nombreuses annonces sur ImmoScout24.ch.")</f>
        <v>🏘  Vous cherchez une maison à louer à Payerne? ✅ Découvrez nos nombreuses annonces sur ImmoScout24.ch.</v>
      </c>
      <c r="J647" s="4" t="s">
        <v>1948</v>
      </c>
    </row>
    <row r="648">
      <c r="A648" s="5" t="s">
        <v>1949</v>
      </c>
      <c r="B648" s="2" t="s">
        <v>1950</v>
      </c>
      <c r="C648" s="4" t="str">
        <f>IFERROR(__xludf.DUMMYFUNCTION("""🏘️ ""&amp;REGEXEXTRACT(B648, ""^(.*): "")&amp;"" ✅ "" &amp;REGEXEXTRACT(B648, ""(Trouvez.*)"")"),"🏘️ Vendre appartement Charmey (Gruyère) ✅ Trouvez le bien immobilier qui correspond idéalement à vos désirs sur ImmoScout24 - La plateforme de l'immobilier en Suisse.")</f>
        <v>🏘️ Vendre appartement Charmey (Gruyère) ✅ Trouvez le bien immobilier qui correspond idéalement à vos désirs sur ImmoScout24 - La plateforme de l'immobilier en Suisse.</v>
      </c>
      <c r="D648" s="4" t="str">
        <f>vlookup(A648, Sheet2!D:E, 2, 0)</f>
        <v>variant</v>
      </c>
      <c r="E648" s="4" t="str">
        <f>IFERROR(__xludf.DUMMYFUNCTION("if(H648=""pays"",vlookup(REGEXEXTRACT(C648, ""🏘️ \w+ \w+ (.*) ✅""),'Country prepositions'!A:B, 2, 0) &amp; "" "" &amp; REGEXEXTRACT(C648, ""🏘️ \w+ \w+ (.*) ✅"") ,  if(H648=""quartier"",vlookup(REGEXEXTRACT(C648, ""🏘️ \w+ \w+ (.*) ✅""),'Quartier prepositions'!A"&amp;":E, 5, 0) ,  if(H648=""region"",vlookup(REGEXEXTRACT(C648, ""🏘️ \w+ \w+ (.*) ✅""),'Region prepositions'!B:F, 5, 0),  REGEXEXTRACT(C648, ""🏘️ \w+ \w+ (.*) ✅""))))"),"Charmey (Gruyère)")</f>
        <v>Charmey (Gruyère)</v>
      </c>
      <c r="F648" s="2" t="str">
        <f>IFERROR(__xludf.DUMMYFUNCTION("REGEXEXTRACT(C648, ""🏘️ (\w+) \w+ .* ✅"")"),"Vendre")</f>
        <v>Vendre</v>
      </c>
      <c r="G648" s="2" t="str">
        <f>IFERROR(__xludf.DUMMYFUNCTION("REGEXEXTRACT(C648, ""🏘️ \w+ (\w+) .* ✅"")"),"appartement")</f>
        <v>appartement</v>
      </c>
      <c r="H648" s="4" t="str">
        <f>IFERROR(__xludf.DUMMYFUNCTION("REGEXEXTRACT(A648, ""/(\w+)-.*?"")"),"lieu")</f>
        <v>lieu</v>
      </c>
      <c r="I648" s="4" t="str">
        <f>IFERROR(__xludf.DUMMYFUNCTION("if(D648=""variant"",  substitute(filter(Templates!E:E, Templates!A:A = F648, Templates!B:B = G648, Templates!C:C = H648), ""{{}}"", E648), B648)"),"🏘  L’appartement de vos rêves se trouve sur ImmoScout24.ch ✅ Découvrez les dernières annonces de vente à Charmey (Gruyère).")</f>
        <v>🏘  L’appartement de vos rêves se trouve sur ImmoScout24.ch ✅ Découvrez les dernières annonces de vente à Charmey (Gruyère).</v>
      </c>
      <c r="J648" s="4" t="s">
        <v>1951</v>
      </c>
    </row>
    <row r="649">
      <c r="A649" s="5" t="s">
        <v>1952</v>
      </c>
      <c r="B649" s="2" t="s">
        <v>1953</v>
      </c>
      <c r="C649" s="4" t="str">
        <f>IFERROR(__xludf.DUMMYFUNCTION("""🏘️ ""&amp;REGEXEXTRACT(B649, ""^(.*): "")&amp;"" ✅ "" &amp;REGEXEXTRACT(B649, ""(Trouvez.*)"")"),"🏘️ Louer appartement Duggingen ✅ Trouvez le bien immobilier qui correspond idéalement à vos désirs sur ImmoScout24 - La plateforme de l'immobilier en Suisse.")</f>
        <v>🏘️ Louer appartement Duggingen ✅ Trouvez le bien immobilier qui correspond idéalement à vos désirs sur ImmoScout24 - La plateforme de l'immobilier en Suisse.</v>
      </c>
      <c r="D649" s="4" t="str">
        <f>vlookup(A649, Sheet2!D:E, 2, 0)</f>
        <v>variant</v>
      </c>
      <c r="E649" s="4" t="str">
        <f>IFERROR(__xludf.DUMMYFUNCTION("if(H649=""pays"",vlookup(REGEXEXTRACT(C649, ""🏘️ \w+ \w+ (.*) ✅""),'Country prepositions'!A:B, 2, 0) &amp; "" "" &amp; REGEXEXTRACT(C649, ""🏘️ \w+ \w+ (.*) ✅"") ,  if(H649=""quartier"",vlookup(REGEXEXTRACT(C649, ""🏘️ \w+ \w+ (.*) ✅""),'Quartier prepositions'!A"&amp;":E, 5, 0) ,  if(H649=""region"",vlookup(REGEXEXTRACT(C649, ""🏘️ \w+ \w+ (.*) ✅""),'Region prepositions'!B:F, 5, 0),  REGEXEXTRACT(C649, ""🏘️ \w+ \w+ (.*) ✅""))))"),"Duggingen")</f>
        <v>Duggingen</v>
      </c>
      <c r="F649" s="2" t="str">
        <f>IFERROR(__xludf.DUMMYFUNCTION("REGEXEXTRACT(C649, ""🏘️ (\w+) \w+ .* ✅"")"),"Louer")</f>
        <v>Louer</v>
      </c>
      <c r="G649" s="2" t="str">
        <f>IFERROR(__xludf.DUMMYFUNCTION("REGEXEXTRACT(C649, ""🏘️ \w+ (\w+) .* ✅"")"),"appartement")</f>
        <v>appartement</v>
      </c>
      <c r="H649" s="4" t="str">
        <f>IFERROR(__xludf.DUMMYFUNCTION("REGEXEXTRACT(A649, ""/(\w+)-.*?"")"),"lieu")</f>
        <v>lieu</v>
      </c>
      <c r="I649" s="4" t="str">
        <f>IFERROR(__xludf.DUMMYFUNCTION("if(D649=""variant"",  substitute(filter(Templates!E:E, Templates!A:A = F649, Templates!B:B = G649, Templates!C:C = H649), ""{{}}"", E649), B649)"),"🏘  Vous cherchez un appartement à louer à Duggingen? ✅ Les annonces les plus actuelles sont sur ImmoScout24.ch.")</f>
        <v>🏘  Vous cherchez un appartement à louer à Duggingen? ✅ Les annonces les plus actuelles sont sur ImmoScout24.ch.</v>
      </c>
      <c r="J649" s="4" t="s">
        <v>1954</v>
      </c>
    </row>
    <row r="650">
      <c r="A650" s="5" t="s">
        <v>1955</v>
      </c>
      <c r="B650" s="2" t="s">
        <v>1956</v>
      </c>
      <c r="C650" s="4" t="str">
        <f>IFERROR(__xludf.DUMMYFUNCTION("""🏘️ ""&amp;REGEXEXTRACT(B650, ""^(.*): "")&amp;"" ✅ "" &amp;REGEXEXTRACT(B650, ""(Trouvez.*)"")"),"🏘️ Louer maison Cormondrèche ✅ Trouvez le bien immobilier qui correspond idéalement à vos désirs sur ImmoScout24 - La plateforme de l'immobilier en Suisse.")</f>
        <v>🏘️ Louer maison Cormondrèche ✅ Trouvez le bien immobilier qui correspond idéalement à vos désirs sur ImmoScout24 - La plateforme de l'immobilier en Suisse.</v>
      </c>
      <c r="D650" s="4" t="str">
        <f>vlookup(A650, Sheet2!D:E, 2, 0)</f>
        <v>variant</v>
      </c>
      <c r="E650" s="4" t="str">
        <f>IFERROR(__xludf.DUMMYFUNCTION("if(H650=""pays"",vlookup(REGEXEXTRACT(C650, ""🏘️ \w+ \w+ (.*) ✅""),'Country prepositions'!A:B, 2, 0) &amp; "" "" &amp; REGEXEXTRACT(C650, ""🏘️ \w+ \w+ (.*) ✅"") ,  if(H650=""quartier"",vlookup(REGEXEXTRACT(C650, ""🏘️ \w+ \w+ (.*) ✅""),'Quartier prepositions'!A"&amp;":E, 5, 0) ,  if(H650=""region"",vlookup(REGEXEXTRACT(C650, ""🏘️ \w+ \w+ (.*) ✅""),'Region prepositions'!B:F, 5, 0),  REGEXEXTRACT(C650, ""🏘️ \w+ \w+ (.*) ✅""))))"),"Cormondrèche")</f>
        <v>Cormondrèche</v>
      </c>
      <c r="F650" s="2" t="str">
        <f>IFERROR(__xludf.DUMMYFUNCTION("REGEXEXTRACT(C650, ""🏘️ (\w+) \w+ .* ✅"")"),"Louer")</f>
        <v>Louer</v>
      </c>
      <c r="G650" s="2" t="str">
        <f>IFERROR(__xludf.DUMMYFUNCTION("REGEXEXTRACT(C650, ""🏘️ \w+ (\w+) .* ✅"")"),"maison")</f>
        <v>maison</v>
      </c>
      <c r="H650" s="4" t="str">
        <f>IFERROR(__xludf.DUMMYFUNCTION("REGEXEXTRACT(A650, ""/(\w+)-.*?"")"),"lieu")</f>
        <v>lieu</v>
      </c>
      <c r="I650" s="4" t="str">
        <f>IFERROR(__xludf.DUMMYFUNCTION("if(D650=""variant"",  substitute(filter(Templates!E:E, Templates!A:A = F650, Templates!B:B = G650, Templates!C:C = H650), ""{{}}"", E650), B650)"),"🏘  Vous cherchez une maison à louer à Cormondrèche? ✅ Découvrez nos nombreuses annonces sur ImmoScout24.ch.")</f>
        <v>🏘  Vous cherchez une maison à louer à Cormondrèche? ✅ Découvrez nos nombreuses annonces sur ImmoScout24.ch.</v>
      </c>
      <c r="J650" s="4" t="s">
        <v>1957</v>
      </c>
    </row>
    <row r="651">
      <c r="A651" s="5" t="s">
        <v>1958</v>
      </c>
      <c r="B651" s="2" t="s">
        <v>1959</v>
      </c>
      <c r="C651" s="4" t="str">
        <f>IFERROR(__xludf.DUMMYFUNCTION("""🏘️ ""&amp;REGEXEXTRACT(B651, ""^(.*): "")&amp;"" ✅ "" &amp;REGEXEXTRACT(B651, ""(Trouvez.*)"")"),"🏘️ Vendre appartement Huttwil ✅ Trouvez le bien immobilier qui correspond idéalement à vos désirs sur ImmoScout24 - La plateforme de l'immobilier en Suisse.")</f>
        <v>🏘️ Vendre appartement Huttwil ✅ Trouvez le bien immobilier qui correspond idéalement à vos désirs sur ImmoScout24 - La plateforme de l'immobilier en Suisse.</v>
      </c>
      <c r="D651" s="4" t="str">
        <f>vlookup(A651, Sheet2!D:E, 2, 0)</f>
        <v>variant</v>
      </c>
      <c r="E651" s="4" t="str">
        <f>IFERROR(__xludf.DUMMYFUNCTION("if(H651=""pays"",vlookup(REGEXEXTRACT(C651, ""🏘️ \w+ \w+ (.*) ✅""),'Country prepositions'!A:B, 2, 0) &amp; "" "" &amp; REGEXEXTRACT(C651, ""🏘️ \w+ \w+ (.*) ✅"") ,  if(H651=""quartier"",vlookup(REGEXEXTRACT(C651, ""🏘️ \w+ \w+ (.*) ✅""),'Quartier prepositions'!A"&amp;":E, 5, 0) ,  if(H651=""region"",vlookup(REGEXEXTRACT(C651, ""🏘️ \w+ \w+ (.*) ✅""),'Region prepositions'!B:F, 5, 0),  REGEXEXTRACT(C651, ""🏘️ \w+ \w+ (.*) ✅""))))"),"Huttwil")</f>
        <v>Huttwil</v>
      </c>
      <c r="F651" s="2" t="str">
        <f>IFERROR(__xludf.DUMMYFUNCTION("REGEXEXTRACT(C651, ""🏘️ (\w+) \w+ .* ✅"")"),"Vendre")</f>
        <v>Vendre</v>
      </c>
      <c r="G651" s="2" t="str">
        <f>IFERROR(__xludf.DUMMYFUNCTION("REGEXEXTRACT(C651, ""🏘️ \w+ (\w+) .* ✅"")"),"appartement")</f>
        <v>appartement</v>
      </c>
      <c r="H651" s="4" t="str">
        <f>IFERROR(__xludf.DUMMYFUNCTION("REGEXEXTRACT(A651, ""/(\w+)-.*?"")"),"lieu")</f>
        <v>lieu</v>
      </c>
      <c r="I651" s="4" t="str">
        <f>IFERROR(__xludf.DUMMYFUNCTION("if(D651=""variant"",  substitute(filter(Templates!E:E, Templates!A:A = F651, Templates!B:B = G651, Templates!C:C = H651), ""{{}}"", E651), B651)"),"🏘  L’appartement de vos rêves se trouve sur ImmoScout24.ch ✅ Découvrez les dernières annonces de vente à Huttwil.")</f>
        <v>🏘  L’appartement de vos rêves se trouve sur ImmoScout24.ch ✅ Découvrez les dernières annonces de vente à Huttwil.</v>
      </c>
      <c r="J651" s="4" t="s">
        <v>1960</v>
      </c>
    </row>
    <row r="652">
      <c r="A652" s="5" t="s">
        <v>1961</v>
      </c>
      <c r="B652" s="2" t="s">
        <v>1962</v>
      </c>
      <c r="C652" s="4" t="str">
        <f>IFERROR(__xludf.DUMMYFUNCTION("""🏘️ ""&amp;REGEXEXTRACT(B652, ""^(.*): "")&amp;"" ✅ "" &amp;REGEXEXTRACT(B652, ""(Trouvez.*)"")"),"🏘️ Vendre appartement Monnaz ✅ Trouvez le bien immobilier qui correspond idéalement à vos désirs sur ImmoScout24 - La plateforme de l'immobilier en Suisse.")</f>
        <v>🏘️ Vendre appartement Monnaz ✅ Trouvez le bien immobilier qui correspond idéalement à vos désirs sur ImmoScout24 - La plateforme de l'immobilier en Suisse.</v>
      </c>
      <c r="D652" s="4" t="str">
        <f>vlookup(A652, Sheet2!D:E, 2, 0)</f>
        <v>variant</v>
      </c>
      <c r="E652" s="4" t="str">
        <f>IFERROR(__xludf.DUMMYFUNCTION("if(H652=""pays"",vlookup(REGEXEXTRACT(C652, ""🏘️ \w+ \w+ (.*) ✅""),'Country prepositions'!A:B, 2, 0) &amp; "" "" &amp; REGEXEXTRACT(C652, ""🏘️ \w+ \w+ (.*) ✅"") ,  if(H652=""quartier"",vlookup(REGEXEXTRACT(C652, ""🏘️ \w+ \w+ (.*) ✅""),'Quartier prepositions'!A"&amp;":E, 5, 0) ,  if(H652=""region"",vlookup(REGEXEXTRACT(C652, ""🏘️ \w+ \w+ (.*) ✅""),'Region prepositions'!B:F, 5, 0),  REGEXEXTRACT(C652, ""🏘️ \w+ \w+ (.*) ✅""))))"),"Monnaz")</f>
        <v>Monnaz</v>
      </c>
      <c r="F652" s="2" t="str">
        <f>IFERROR(__xludf.DUMMYFUNCTION("REGEXEXTRACT(C652, ""🏘️ (\w+) \w+ .* ✅"")"),"Vendre")</f>
        <v>Vendre</v>
      </c>
      <c r="G652" s="2" t="str">
        <f>IFERROR(__xludf.DUMMYFUNCTION("REGEXEXTRACT(C652, ""🏘️ \w+ (\w+) .* ✅"")"),"appartement")</f>
        <v>appartement</v>
      </c>
      <c r="H652" s="4" t="str">
        <f>IFERROR(__xludf.DUMMYFUNCTION("REGEXEXTRACT(A652, ""/(\w+)-.*?"")"),"lieu")</f>
        <v>lieu</v>
      </c>
      <c r="I652" s="4" t="str">
        <f>IFERROR(__xludf.DUMMYFUNCTION("if(D652=""variant"",  substitute(filter(Templates!E:E, Templates!A:A = F652, Templates!B:B = G652, Templates!C:C = H652), ""{{}}"", E652), B652)"),"🏘  L’appartement de vos rêves se trouve sur ImmoScout24.ch ✅ Découvrez les dernières annonces de vente à Monnaz.")</f>
        <v>🏘  L’appartement de vos rêves se trouve sur ImmoScout24.ch ✅ Découvrez les dernières annonces de vente à Monnaz.</v>
      </c>
      <c r="J652" s="4" t="s">
        <v>1963</v>
      </c>
    </row>
    <row r="653">
      <c r="A653" s="5" t="s">
        <v>1964</v>
      </c>
      <c r="B653" s="2" t="s">
        <v>1965</v>
      </c>
      <c r="C653" s="4" t="str">
        <f>IFERROR(__xludf.DUMMYFUNCTION("""🏘️ ""&amp;REGEXEXTRACT(B653, ""^(.*): "")&amp;"" ✅ "" &amp;REGEXEXTRACT(B653, ""(Trouvez.*)"")"),"🏘️ Louer maison Montcherand ✅ Trouvez le bien immobilier qui correspond idéalement à vos désirs sur ImmoScout24 - La plateforme de l'immobilier en Suisse.")</f>
        <v>🏘️ Louer maison Montcherand ✅ Trouvez le bien immobilier qui correspond idéalement à vos désirs sur ImmoScout24 - La plateforme de l'immobilier en Suisse.</v>
      </c>
      <c r="D653" s="4" t="str">
        <f>vlookup(A653, Sheet2!D:E, 2, 0)</f>
        <v>variant</v>
      </c>
      <c r="E653" s="4" t="str">
        <f>IFERROR(__xludf.DUMMYFUNCTION("if(H653=""pays"",vlookup(REGEXEXTRACT(C653, ""🏘️ \w+ \w+ (.*) ✅""),'Country prepositions'!A:B, 2, 0) &amp; "" "" &amp; REGEXEXTRACT(C653, ""🏘️ \w+ \w+ (.*) ✅"") ,  if(H653=""quartier"",vlookup(REGEXEXTRACT(C653, ""🏘️ \w+ \w+ (.*) ✅""),'Quartier prepositions'!A"&amp;":E, 5, 0) ,  if(H653=""region"",vlookup(REGEXEXTRACT(C653, ""🏘️ \w+ \w+ (.*) ✅""),'Region prepositions'!B:F, 5, 0),  REGEXEXTRACT(C653, ""🏘️ \w+ \w+ (.*) ✅""))))"),"Montcherand")</f>
        <v>Montcherand</v>
      </c>
      <c r="F653" s="2" t="str">
        <f>IFERROR(__xludf.DUMMYFUNCTION("REGEXEXTRACT(C653, ""🏘️ (\w+) \w+ .* ✅"")"),"Louer")</f>
        <v>Louer</v>
      </c>
      <c r="G653" s="2" t="str">
        <f>IFERROR(__xludf.DUMMYFUNCTION("REGEXEXTRACT(C653, ""🏘️ \w+ (\w+) .* ✅"")"),"maison")</f>
        <v>maison</v>
      </c>
      <c r="H653" s="4" t="str">
        <f>IFERROR(__xludf.DUMMYFUNCTION("REGEXEXTRACT(A653, ""/(\w+)-.*?"")"),"lieu")</f>
        <v>lieu</v>
      </c>
      <c r="I653" s="4" t="str">
        <f>IFERROR(__xludf.DUMMYFUNCTION("if(D653=""variant"",  substitute(filter(Templates!E:E, Templates!A:A = F653, Templates!B:B = G653, Templates!C:C = H653), ""{{}}"", E653), B653)"),"🏘  Vous cherchez une maison à louer à Montcherand? ✅ Découvrez nos nombreuses annonces sur ImmoScout24.ch.")</f>
        <v>🏘  Vous cherchez une maison à louer à Montcherand? ✅ Découvrez nos nombreuses annonces sur ImmoScout24.ch.</v>
      </c>
      <c r="J653" s="4" t="s">
        <v>1966</v>
      </c>
    </row>
    <row r="654">
      <c r="A654" s="5" t="s">
        <v>1967</v>
      </c>
      <c r="B654" s="2" t="s">
        <v>1968</v>
      </c>
      <c r="C654" s="4" t="str">
        <f>IFERROR(__xludf.DUMMYFUNCTION("""🏘️ ""&amp;REGEXEXTRACT(B654, ""^(.*): "")&amp;"" ✅ "" &amp;REGEXEXTRACT(B654, ""(Trouvez.*)"")"),"🏘️ Louer appartement Goldach ✅ Trouvez le bien immobilier qui correspond idéalement à vos désirs sur ImmoScout24 - La plateforme de l'immobilier en Suisse.")</f>
        <v>🏘️ Louer appartement Goldach ✅ Trouvez le bien immobilier qui correspond idéalement à vos désirs sur ImmoScout24 - La plateforme de l'immobilier en Suisse.</v>
      </c>
      <c r="D654" s="4" t="str">
        <f>vlookup(A654, Sheet2!D:E, 2, 0)</f>
        <v>variant</v>
      </c>
      <c r="E654" s="4" t="str">
        <f>IFERROR(__xludf.DUMMYFUNCTION("if(H654=""pays"",vlookup(REGEXEXTRACT(C654, ""🏘️ \w+ \w+ (.*) ✅""),'Country prepositions'!A:B, 2, 0) &amp; "" "" &amp; REGEXEXTRACT(C654, ""🏘️ \w+ \w+ (.*) ✅"") ,  if(H654=""quartier"",vlookup(REGEXEXTRACT(C654, ""🏘️ \w+ \w+ (.*) ✅""),'Quartier prepositions'!A"&amp;":E, 5, 0) ,  if(H654=""region"",vlookup(REGEXEXTRACT(C654, ""🏘️ \w+ \w+ (.*) ✅""),'Region prepositions'!B:F, 5, 0),  REGEXEXTRACT(C654, ""🏘️ \w+ \w+ (.*) ✅""))))"),"Goldach")</f>
        <v>Goldach</v>
      </c>
      <c r="F654" s="2" t="str">
        <f>IFERROR(__xludf.DUMMYFUNCTION("REGEXEXTRACT(C654, ""🏘️ (\w+) \w+ .* ✅"")"),"Louer")</f>
        <v>Louer</v>
      </c>
      <c r="G654" s="2" t="str">
        <f>IFERROR(__xludf.DUMMYFUNCTION("REGEXEXTRACT(C654, ""🏘️ \w+ (\w+) .* ✅"")"),"appartement")</f>
        <v>appartement</v>
      </c>
      <c r="H654" s="4" t="str">
        <f>IFERROR(__xludf.DUMMYFUNCTION("REGEXEXTRACT(A654, ""/(\w+)-.*?"")"),"lieu")</f>
        <v>lieu</v>
      </c>
      <c r="I654" s="4" t="str">
        <f>IFERROR(__xludf.DUMMYFUNCTION("if(D654=""variant"",  substitute(filter(Templates!E:E, Templates!A:A = F654, Templates!B:B = G654, Templates!C:C = H654), ""{{}}"", E654), B654)"),"🏘  Vous cherchez un appartement à louer à Goldach? ✅ Les annonces les plus actuelles sont sur ImmoScout24.ch.")</f>
        <v>🏘  Vous cherchez un appartement à louer à Goldach? ✅ Les annonces les plus actuelles sont sur ImmoScout24.ch.</v>
      </c>
      <c r="J654" s="4" t="s">
        <v>1969</v>
      </c>
    </row>
    <row r="655">
      <c r="A655" s="5" t="s">
        <v>1970</v>
      </c>
      <c r="B655" s="2" t="s">
        <v>1971</v>
      </c>
      <c r="C655" s="4" t="str">
        <f>IFERROR(__xludf.DUMMYFUNCTION("""🏘️ ""&amp;REGEXEXTRACT(B655, ""^(.*): "")&amp;"" ✅ "" &amp;REGEXEXTRACT(B655, ""(Trouvez.*)"")"),"🏘️ Vendre maison Rona ✅ Trouvez le bien immobilier qui correspond idéalement à vos désirs sur ImmoScout24 - La plateforme de l'immobilier en Suisse.")</f>
        <v>🏘️ Vendre maison Rona ✅ Trouvez le bien immobilier qui correspond idéalement à vos désirs sur ImmoScout24 - La plateforme de l'immobilier en Suisse.</v>
      </c>
      <c r="D655" s="4" t="str">
        <f>vlookup(A655, Sheet2!D:E, 2, 0)</f>
        <v>variant</v>
      </c>
      <c r="E655" s="4" t="str">
        <f>IFERROR(__xludf.DUMMYFUNCTION("if(H655=""pays"",vlookup(REGEXEXTRACT(C655, ""🏘️ \w+ \w+ (.*) ✅""),'Country prepositions'!A:B, 2, 0) &amp; "" "" &amp; REGEXEXTRACT(C655, ""🏘️ \w+ \w+ (.*) ✅"") ,  if(H655=""quartier"",vlookup(REGEXEXTRACT(C655, ""🏘️ \w+ \w+ (.*) ✅""),'Quartier prepositions'!A"&amp;":E, 5, 0) ,  if(H655=""region"",vlookup(REGEXEXTRACT(C655, ""🏘️ \w+ \w+ (.*) ✅""),'Region prepositions'!B:F, 5, 0),  REGEXEXTRACT(C655, ""🏘️ \w+ \w+ (.*) ✅""))))"),"Rona")</f>
        <v>Rona</v>
      </c>
      <c r="F655" s="2" t="str">
        <f>IFERROR(__xludf.DUMMYFUNCTION("REGEXEXTRACT(C655, ""🏘️ (\w+) \w+ .* ✅"")"),"Vendre")</f>
        <v>Vendre</v>
      </c>
      <c r="G655" s="2" t="str">
        <f>IFERROR(__xludf.DUMMYFUNCTION("REGEXEXTRACT(C655, ""🏘️ \w+ (\w+) .* ✅"")"),"maison")</f>
        <v>maison</v>
      </c>
      <c r="H655" s="4" t="str">
        <f>IFERROR(__xludf.DUMMYFUNCTION("REGEXEXTRACT(A655, ""/(\w+)-.*?"")"),"lieu")</f>
        <v>lieu</v>
      </c>
      <c r="I655" s="4" t="str">
        <f>IFERROR(__xludf.DUMMYFUNCTION("if(D655=""variant"",  substitute(filter(Templates!E:E, Templates!A:A = F655, Templates!B:B = G655, Templates!C:C = H655), ""{{}}"", E655), B655)"),"🏘  Vous souhaitez acheter une maison à Rona? ✅ Jetez un œil aux dernières offres sur ImmoScout24.ch.")</f>
        <v>🏘  Vous souhaitez acheter une maison à Rona? ✅ Jetez un œil aux dernières offres sur ImmoScout24.ch.</v>
      </c>
      <c r="J655" s="4" t="s">
        <v>1972</v>
      </c>
    </row>
    <row r="656">
      <c r="A656" s="5" t="s">
        <v>1973</v>
      </c>
      <c r="B656" s="2" t="s">
        <v>1974</v>
      </c>
      <c r="C656" s="4" t="str">
        <f>IFERROR(__xludf.DUMMYFUNCTION("""🏘️ ""&amp;REGEXEXTRACT(B656, ""^(.*): "")&amp;"" ✅ "" &amp;REGEXEXTRACT(B656, ""(Trouvez.*)"")"),"🏘️ Vendre maison Vaugondry ✅ Trouvez le bien immobilier qui correspond idéalement à vos désirs sur ImmoScout24 - La plateforme de l'immobilier en Suisse.")</f>
        <v>🏘️ Vendre maison Vaugondry ✅ Trouvez le bien immobilier qui correspond idéalement à vos désirs sur ImmoScout24 - La plateforme de l'immobilier en Suisse.</v>
      </c>
      <c r="D656" s="4" t="str">
        <f>vlookup(A656, Sheet2!D:E, 2, 0)</f>
        <v>variant</v>
      </c>
      <c r="E656" s="4" t="str">
        <f>IFERROR(__xludf.DUMMYFUNCTION("if(H656=""pays"",vlookup(REGEXEXTRACT(C656, ""🏘️ \w+ \w+ (.*) ✅""),'Country prepositions'!A:B, 2, 0) &amp; "" "" &amp; REGEXEXTRACT(C656, ""🏘️ \w+ \w+ (.*) ✅"") ,  if(H656=""quartier"",vlookup(REGEXEXTRACT(C656, ""🏘️ \w+ \w+ (.*) ✅""),'Quartier prepositions'!A"&amp;":E, 5, 0) ,  if(H656=""region"",vlookup(REGEXEXTRACT(C656, ""🏘️ \w+ \w+ (.*) ✅""),'Region prepositions'!B:F, 5, 0),  REGEXEXTRACT(C656, ""🏘️ \w+ \w+ (.*) ✅""))))"),"Vaugondry")</f>
        <v>Vaugondry</v>
      </c>
      <c r="F656" s="2" t="str">
        <f>IFERROR(__xludf.DUMMYFUNCTION("REGEXEXTRACT(C656, ""🏘️ (\w+) \w+ .* ✅"")"),"Vendre")</f>
        <v>Vendre</v>
      </c>
      <c r="G656" s="2" t="str">
        <f>IFERROR(__xludf.DUMMYFUNCTION("REGEXEXTRACT(C656, ""🏘️ \w+ (\w+) .* ✅"")"),"maison")</f>
        <v>maison</v>
      </c>
      <c r="H656" s="4" t="str">
        <f>IFERROR(__xludf.DUMMYFUNCTION("REGEXEXTRACT(A656, ""/(\w+)-.*?"")"),"lieu")</f>
        <v>lieu</v>
      </c>
      <c r="I656" s="4" t="str">
        <f>IFERROR(__xludf.DUMMYFUNCTION("if(D656=""variant"",  substitute(filter(Templates!E:E, Templates!A:A = F656, Templates!B:B = G656, Templates!C:C = H656), ""{{}}"", E656), B656)"),"🏘  Vous souhaitez acheter une maison à Vaugondry? ✅ Jetez un œil aux dernières offres sur ImmoScout24.ch.")</f>
        <v>🏘  Vous souhaitez acheter une maison à Vaugondry? ✅ Jetez un œil aux dernières offres sur ImmoScout24.ch.</v>
      </c>
      <c r="J656" s="4" t="s">
        <v>1975</v>
      </c>
    </row>
    <row r="657">
      <c r="A657" s="5" t="s">
        <v>1976</v>
      </c>
      <c r="B657" s="2" t="s">
        <v>1977</v>
      </c>
      <c r="C657" s="4" t="str">
        <f>IFERROR(__xludf.DUMMYFUNCTION("""🏘️ ""&amp;REGEXEXTRACT(B657, ""^(.*): "")&amp;"" ✅ "" &amp;REGEXEXTRACT(B657, ""(Trouvez.*)"")"),"🏘️ Louer appartement Chéserex ✅ Trouvez le bien immobilier qui correspond idéalement à vos désirs sur ImmoScout24 - La plateforme de l'immobilier en Suisse.")</f>
        <v>🏘️ Louer appartement Chéserex ✅ Trouvez le bien immobilier qui correspond idéalement à vos désirs sur ImmoScout24 - La plateforme de l'immobilier en Suisse.</v>
      </c>
      <c r="D657" s="4" t="str">
        <f>vlookup(A657, Sheet2!D:E, 2, 0)</f>
        <v>variant</v>
      </c>
      <c r="E657" s="4" t="str">
        <f>IFERROR(__xludf.DUMMYFUNCTION("if(H657=""pays"",vlookup(REGEXEXTRACT(C657, ""🏘️ \w+ \w+ (.*) ✅""),'Country prepositions'!A:B, 2, 0) &amp; "" "" &amp; REGEXEXTRACT(C657, ""🏘️ \w+ \w+ (.*) ✅"") ,  if(H657=""quartier"",vlookup(REGEXEXTRACT(C657, ""🏘️ \w+ \w+ (.*) ✅""),'Quartier prepositions'!A"&amp;":E, 5, 0) ,  if(H657=""region"",vlookup(REGEXEXTRACT(C657, ""🏘️ \w+ \w+ (.*) ✅""),'Region prepositions'!B:F, 5, 0),  REGEXEXTRACT(C657, ""🏘️ \w+ \w+ (.*) ✅""))))"),"Chéserex")</f>
        <v>Chéserex</v>
      </c>
      <c r="F657" s="2" t="str">
        <f>IFERROR(__xludf.DUMMYFUNCTION("REGEXEXTRACT(C657, ""🏘️ (\w+) \w+ .* ✅"")"),"Louer")</f>
        <v>Louer</v>
      </c>
      <c r="G657" s="2" t="str">
        <f>IFERROR(__xludf.DUMMYFUNCTION("REGEXEXTRACT(C657, ""🏘️ \w+ (\w+) .* ✅"")"),"appartement")</f>
        <v>appartement</v>
      </c>
      <c r="H657" s="4" t="str">
        <f>IFERROR(__xludf.DUMMYFUNCTION("REGEXEXTRACT(A657, ""/(\w+)-.*?"")"),"lieu")</f>
        <v>lieu</v>
      </c>
      <c r="I657" s="4" t="str">
        <f>IFERROR(__xludf.DUMMYFUNCTION("if(D657=""variant"",  substitute(filter(Templates!E:E, Templates!A:A = F657, Templates!B:B = G657, Templates!C:C = H657), ""{{}}"", E657), B657)"),"🏘  Vous cherchez un appartement à louer à Chéserex? ✅ Les annonces les plus actuelles sont sur ImmoScout24.ch.")</f>
        <v>🏘  Vous cherchez un appartement à louer à Chéserex? ✅ Les annonces les plus actuelles sont sur ImmoScout24.ch.</v>
      </c>
      <c r="J657" s="4" t="s">
        <v>1978</v>
      </c>
    </row>
    <row r="658">
      <c r="A658" s="5" t="s">
        <v>1979</v>
      </c>
      <c r="B658" s="2" t="s">
        <v>1980</v>
      </c>
      <c r="C658" s="4" t="str">
        <f>IFERROR(__xludf.DUMMYFUNCTION("""🏘️ ""&amp;REGEXEXTRACT(B658, ""^(.*): "")&amp;"" ✅ "" &amp;REGEXEXTRACT(B658, ""(Trouvez.*)"")"),"🏘️ Louer appartement Deitingen ✅ Trouvez le bien immobilier qui correspond idéalement à vos désirs sur ImmoScout24 - La plateforme de l'immobilier en Suisse.")</f>
        <v>🏘️ Louer appartement Deitingen ✅ Trouvez le bien immobilier qui correspond idéalement à vos désirs sur ImmoScout24 - La plateforme de l'immobilier en Suisse.</v>
      </c>
      <c r="D658" s="4" t="str">
        <f>vlookup(A658, Sheet2!D:E, 2, 0)</f>
        <v>variant</v>
      </c>
      <c r="E658" s="4" t="str">
        <f>IFERROR(__xludf.DUMMYFUNCTION("if(H658=""pays"",vlookup(REGEXEXTRACT(C658, ""🏘️ \w+ \w+ (.*) ✅""),'Country prepositions'!A:B, 2, 0) &amp; "" "" &amp; REGEXEXTRACT(C658, ""🏘️ \w+ \w+ (.*) ✅"") ,  if(H658=""quartier"",vlookup(REGEXEXTRACT(C658, ""🏘️ \w+ \w+ (.*) ✅""),'Quartier prepositions'!A"&amp;":E, 5, 0) ,  if(H658=""region"",vlookup(REGEXEXTRACT(C658, ""🏘️ \w+ \w+ (.*) ✅""),'Region prepositions'!B:F, 5, 0),  REGEXEXTRACT(C658, ""🏘️ \w+ \w+ (.*) ✅""))))"),"Deitingen")</f>
        <v>Deitingen</v>
      </c>
      <c r="F658" s="2" t="str">
        <f>IFERROR(__xludf.DUMMYFUNCTION("REGEXEXTRACT(C658, ""🏘️ (\w+) \w+ .* ✅"")"),"Louer")</f>
        <v>Louer</v>
      </c>
      <c r="G658" s="2" t="str">
        <f>IFERROR(__xludf.DUMMYFUNCTION("REGEXEXTRACT(C658, ""🏘️ \w+ (\w+) .* ✅"")"),"appartement")</f>
        <v>appartement</v>
      </c>
      <c r="H658" s="4" t="str">
        <f>IFERROR(__xludf.DUMMYFUNCTION("REGEXEXTRACT(A658, ""/(\w+)-.*?"")"),"lieu")</f>
        <v>lieu</v>
      </c>
      <c r="I658" s="4" t="str">
        <f>IFERROR(__xludf.DUMMYFUNCTION("if(D658=""variant"",  substitute(filter(Templates!E:E, Templates!A:A = F658, Templates!B:B = G658, Templates!C:C = H658), ""{{}}"", E658), B658)"),"🏘  Vous cherchez un appartement à louer à Deitingen? ✅ Les annonces les plus actuelles sont sur ImmoScout24.ch.")</f>
        <v>🏘  Vous cherchez un appartement à louer à Deitingen? ✅ Les annonces les plus actuelles sont sur ImmoScout24.ch.</v>
      </c>
      <c r="J658" s="4" t="s">
        <v>1981</v>
      </c>
    </row>
    <row r="659">
      <c r="A659" s="5" t="s">
        <v>1982</v>
      </c>
      <c r="B659" s="2" t="s">
        <v>1983</v>
      </c>
      <c r="C659" s="4" t="str">
        <f>IFERROR(__xludf.DUMMYFUNCTION("""🏘️ ""&amp;REGEXEXTRACT(B659, ""^(.*): "")&amp;"" ✅ "" &amp;REGEXEXTRACT(B659, ""(Trouvez.*)"")"),"🏘️ Louer maison Flamatt ✅ Trouvez le bien immobilier qui correspond idéalement à vos désirs sur ImmoScout24 - La plateforme de l'immobilier en Suisse.")</f>
        <v>🏘️ Louer maison Flamatt ✅ Trouvez le bien immobilier qui correspond idéalement à vos désirs sur ImmoScout24 - La plateforme de l'immobilier en Suisse.</v>
      </c>
      <c r="D659" s="4" t="str">
        <f>vlookup(A659, Sheet2!D:E, 2, 0)</f>
        <v>variant</v>
      </c>
      <c r="E659" s="4" t="str">
        <f>IFERROR(__xludf.DUMMYFUNCTION("if(H659=""pays"",vlookup(REGEXEXTRACT(C659, ""🏘️ \w+ \w+ (.*) ✅""),'Country prepositions'!A:B, 2, 0) &amp; "" "" &amp; REGEXEXTRACT(C659, ""🏘️ \w+ \w+ (.*) ✅"") ,  if(H659=""quartier"",vlookup(REGEXEXTRACT(C659, ""🏘️ \w+ \w+ (.*) ✅""),'Quartier prepositions'!A"&amp;":E, 5, 0) ,  if(H659=""region"",vlookup(REGEXEXTRACT(C659, ""🏘️ \w+ \w+ (.*) ✅""),'Region prepositions'!B:F, 5, 0),  REGEXEXTRACT(C659, ""🏘️ \w+ \w+ (.*) ✅""))))"),"Flamatt")</f>
        <v>Flamatt</v>
      </c>
      <c r="F659" s="2" t="str">
        <f>IFERROR(__xludf.DUMMYFUNCTION("REGEXEXTRACT(C659, ""🏘️ (\w+) \w+ .* ✅"")"),"Louer")</f>
        <v>Louer</v>
      </c>
      <c r="G659" s="2" t="str">
        <f>IFERROR(__xludf.DUMMYFUNCTION("REGEXEXTRACT(C659, ""🏘️ \w+ (\w+) .* ✅"")"),"maison")</f>
        <v>maison</v>
      </c>
      <c r="H659" s="4" t="str">
        <f>IFERROR(__xludf.DUMMYFUNCTION("REGEXEXTRACT(A659, ""/(\w+)-.*?"")"),"lieu")</f>
        <v>lieu</v>
      </c>
      <c r="I659" s="4" t="str">
        <f>IFERROR(__xludf.DUMMYFUNCTION("if(D659=""variant"",  substitute(filter(Templates!E:E, Templates!A:A = F659, Templates!B:B = G659, Templates!C:C = H659), ""{{}}"", E659), B659)"),"🏘  Vous cherchez une maison à louer à Flamatt? ✅ Découvrez nos nombreuses annonces sur ImmoScout24.ch.")</f>
        <v>🏘  Vous cherchez une maison à louer à Flamatt? ✅ Découvrez nos nombreuses annonces sur ImmoScout24.ch.</v>
      </c>
      <c r="J659" s="4" t="s">
        <v>1984</v>
      </c>
    </row>
    <row r="660">
      <c r="A660" s="5" t="s">
        <v>1985</v>
      </c>
      <c r="B660" s="2" t="s">
        <v>1986</v>
      </c>
      <c r="C660" s="4" t="str">
        <f>IFERROR(__xludf.DUMMYFUNCTION("""🏘️ ""&amp;REGEXEXTRACT(B660, ""^(.*): "")&amp;"" ✅ "" &amp;REGEXEXTRACT(B660, ""(Trouvez.*)"")"),"🏘️ Vendre appartement Cheseaux-sur-Lausanne ✅ Trouvez le bien immobilier qui correspond idéalement à vos désirs sur ImmoScout24 - La plateforme de l'immobilier en Suisse.")</f>
        <v>🏘️ Vendre appartement Cheseaux-sur-Lausanne ✅ Trouvez le bien immobilier qui correspond idéalement à vos désirs sur ImmoScout24 - La plateforme de l'immobilier en Suisse.</v>
      </c>
      <c r="D660" s="4" t="str">
        <f>vlookup(A660, Sheet2!D:E, 2, 0)</f>
        <v>variant</v>
      </c>
      <c r="E660" s="4" t="str">
        <f>IFERROR(__xludf.DUMMYFUNCTION("if(H660=""pays"",vlookup(REGEXEXTRACT(C660, ""🏘️ \w+ \w+ (.*) ✅""),'Country prepositions'!A:B, 2, 0) &amp; "" "" &amp; REGEXEXTRACT(C660, ""🏘️ \w+ \w+ (.*) ✅"") ,  if(H660=""quartier"",vlookup(REGEXEXTRACT(C660, ""🏘️ \w+ \w+ (.*) ✅""),'Quartier prepositions'!A"&amp;":E, 5, 0) ,  if(H660=""region"",vlookup(REGEXEXTRACT(C660, ""🏘️ \w+ \w+ (.*) ✅""),'Region prepositions'!B:F, 5, 0),  REGEXEXTRACT(C660, ""🏘️ \w+ \w+ (.*) ✅""))))"),"Cheseaux-sur-Lausanne")</f>
        <v>Cheseaux-sur-Lausanne</v>
      </c>
      <c r="F660" s="2" t="str">
        <f>IFERROR(__xludf.DUMMYFUNCTION("REGEXEXTRACT(C660, ""🏘️ (\w+) \w+ .* ✅"")"),"Vendre")</f>
        <v>Vendre</v>
      </c>
      <c r="G660" s="2" t="str">
        <f>IFERROR(__xludf.DUMMYFUNCTION("REGEXEXTRACT(C660, ""🏘️ \w+ (\w+) .* ✅"")"),"appartement")</f>
        <v>appartement</v>
      </c>
      <c r="H660" s="4" t="str">
        <f>IFERROR(__xludf.DUMMYFUNCTION("REGEXEXTRACT(A660, ""/(\w+)-.*?"")"),"lieu")</f>
        <v>lieu</v>
      </c>
      <c r="I660" s="4" t="str">
        <f>IFERROR(__xludf.DUMMYFUNCTION("if(D660=""variant"",  substitute(filter(Templates!E:E, Templates!A:A = F660, Templates!B:B = G660, Templates!C:C = H660), ""{{}}"", E660), B660)"),"🏘  L’appartement de vos rêves se trouve sur ImmoScout24.ch ✅ Découvrez les dernières annonces de vente à Cheseaux-sur-Lausanne.")</f>
        <v>🏘  L’appartement de vos rêves se trouve sur ImmoScout24.ch ✅ Découvrez les dernières annonces de vente à Cheseaux-sur-Lausanne.</v>
      </c>
      <c r="J660" s="4" t="s">
        <v>1987</v>
      </c>
    </row>
    <row r="661">
      <c r="A661" s="5" t="s">
        <v>1988</v>
      </c>
      <c r="B661" s="2" t="s">
        <v>1989</v>
      </c>
      <c r="C661" s="4" t="str">
        <f>IFERROR(__xludf.DUMMYFUNCTION("""🏘️ ""&amp;REGEXEXTRACT(B661, ""^(.*): "")&amp;"" ✅ "" &amp;REGEXEXTRACT(B661, ""(Trouvez.*)"")"),"🏘️ Vendre maison Bulle ✅ Trouvez le bien immobilier qui correspond idéalement à vos désirs sur ImmoScout24 - La plateforme de l'immobilier en Suisse.")</f>
        <v>🏘️ Vendre maison Bulle ✅ Trouvez le bien immobilier qui correspond idéalement à vos désirs sur ImmoScout24 - La plateforme de l'immobilier en Suisse.</v>
      </c>
      <c r="D661" s="4" t="str">
        <f>vlookup(A661, Sheet2!D:E, 2, 0)</f>
        <v>variant</v>
      </c>
      <c r="E661" s="4" t="str">
        <f>IFERROR(__xludf.DUMMYFUNCTION("if(H661=""pays"",vlookup(REGEXEXTRACT(C661, ""🏘️ \w+ \w+ (.*) ✅""),'Country prepositions'!A:B, 2, 0) &amp; "" "" &amp; REGEXEXTRACT(C661, ""🏘️ \w+ \w+ (.*) ✅"") ,  if(H661=""quartier"",vlookup(REGEXEXTRACT(C661, ""🏘️ \w+ \w+ (.*) ✅""),'Quartier prepositions'!A"&amp;":E, 5, 0) ,  if(H661=""region"",vlookup(REGEXEXTRACT(C661, ""🏘️ \w+ \w+ (.*) ✅""),'Region prepositions'!B:F, 5, 0),  REGEXEXTRACT(C661, ""🏘️ \w+ \w+ (.*) ✅""))))"),"Bulle")</f>
        <v>Bulle</v>
      </c>
      <c r="F661" s="2" t="str">
        <f>IFERROR(__xludf.DUMMYFUNCTION("REGEXEXTRACT(C661, ""🏘️ (\w+) \w+ .* ✅"")"),"Vendre")</f>
        <v>Vendre</v>
      </c>
      <c r="G661" s="2" t="str">
        <f>IFERROR(__xludf.DUMMYFUNCTION("REGEXEXTRACT(C661, ""🏘️ \w+ (\w+) .* ✅"")"),"maison")</f>
        <v>maison</v>
      </c>
      <c r="H661" s="4" t="str">
        <f>IFERROR(__xludf.DUMMYFUNCTION("REGEXEXTRACT(A661, ""/(\w+)-.*?"")"),"lieu")</f>
        <v>lieu</v>
      </c>
      <c r="I661" s="4" t="str">
        <f>IFERROR(__xludf.DUMMYFUNCTION("if(D661=""variant"",  substitute(filter(Templates!E:E, Templates!A:A = F661, Templates!B:B = G661, Templates!C:C = H661), ""{{}}"", E661), B661)"),"🏘  Vous souhaitez acheter une maison à Bulle? ✅ Jetez un œil aux dernières offres sur ImmoScout24.ch.")</f>
        <v>🏘  Vous souhaitez acheter une maison à Bulle? ✅ Jetez un œil aux dernières offres sur ImmoScout24.ch.</v>
      </c>
      <c r="J661" s="4" t="s">
        <v>1990</v>
      </c>
    </row>
    <row r="662">
      <c r="A662" s="5" t="s">
        <v>1991</v>
      </c>
      <c r="B662" s="2" t="s">
        <v>1992</v>
      </c>
      <c r="C662" s="4" t="str">
        <f>IFERROR(__xludf.DUMMYFUNCTION("""🏘️ ""&amp;REGEXEXTRACT(B662, ""^(.*): "")&amp;"" ✅ "" &amp;REGEXEXTRACT(B662, ""(Trouvez.*)"")"),"🏘️ Vendre appartement Froideville ✅ Trouvez le bien immobilier qui correspond idéalement à vos désirs sur ImmoScout24 - La plateforme de l'immobilier en Suisse.")</f>
        <v>🏘️ Vendre appartement Froideville ✅ Trouvez le bien immobilier qui correspond idéalement à vos désirs sur ImmoScout24 - La plateforme de l'immobilier en Suisse.</v>
      </c>
      <c r="D662" s="4" t="str">
        <f>vlookup(A662, Sheet2!D:E, 2, 0)</f>
        <v>variant</v>
      </c>
      <c r="E662" s="4" t="str">
        <f>IFERROR(__xludf.DUMMYFUNCTION("if(H662=""pays"",vlookup(REGEXEXTRACT(C662, ""🏘️ \w+ \w+ (.*) ✅""),'Country prepositions'!A:B, 2, 0) &amp; "" "" &amp; REGEXEXTRACT(C662, ""🏘️ \w+ \w+ (.*) ✅"") ,  if(H662=""quartier"",vlookup(REGEXEXTRACT(C662, ""🏘️ \w+ \w+ (.*) ✅""),'Quartier prepositions'!A"&amp;":E, 5, 0) ,  if(H662=""region"",vlookup(REGEXEXTRACT(C662, ""🏘️ \w+ \w+ (.*) ✅""),'Region prepositions'!B:F, 5, 0),  REGEXEXTRACT(C662, ""🏘️ \w+ \w+ (.*) ✅""))))"),"Froideville")</f>
        <v>Froideville</v>
      </c>
      <c r="F662" s="2" t="str">
        <f>IFERROR(__xludf.DUMMYFUNCTION("REGEXEXTRACT(C662, ""🏘️ (\w+) \w+ .* ✅"")"),"Vendre")</f>
        <v>Vendre</v>
      </c>
      <c r="G662" s="2" t="str">
        <f>IFERROR(__xludf.DUMMYFUNCTION("REGEXEXTRACT(C662, ""🏘️ \w+ (\w+) .* ✅"")"),"appartement")</f>
        <v>appartement</v>
      </c>
      <c r="H662" s="4" t="str">
        <f>IFERROR(__xludf.DUMMYFUNCTION("REGEXEXTRACT(A662, ""/(\w+)-.*?"")"),"lieu")</f>
        <v>lieu</v>
      </c>
      <c r="I662" s="4" t="str">
        <f>IFERROR(__xludf.DUMMYFUNCTION("if(D662=""variant"",  substitute(filter(Templates!E:E, Templates!A:A = F662, Templates!B:B = G662, Templates!C:C = H662), ""{{}}"", E662), B662)"),"🏘  L’appartement de vos rêves se trouve sur ImmoScout24.ch ✅ Découvrez les dernières annonces de vente à Froideville.")</f>
        <v>🏘  L’appartement de vos rêves se trouve sur ImmoScout24.ch ✅ Découvrez les dernières annonces de vente à Froideville.</v>
      </c>
      <c r="J662" s="4" t="s">
        <v>1993</v>
      </c>
    </row>
    <row r="663">
      <c r="A663" s="5" t="s">
        <v>1994</v>
      </c>
      <c r="B663" s="2" t="s">
        <v>1995</v>
      </c>
      <c r="C663" s="4" t="str">
        <f>IFERROR(__xludf.DUMMYFUNCTION("""🏘️ ""&amp;REGEXEXTRACT(B663, ""^(.*): "")&amp;"" ✅ "" &amp;REGEXEXTRACT(B663, ""(Trouvez.*)"")"),"🏘️ Louer maison Penthaz ✅ Trouvez le bien immobilier qui correspond idéalement à vos désirs sur ImmoScout24 - La plateforme de l'immobilier en Suisse.")</f>
        <v>🏘️ Louer maison Penthaz ✅ Trouvez le bien immobilier qui correspond idéalement à vos désirs sur ImmoScout24 - La plateforme de l'immobilier en Suisse.</v>
      </c>
      <c r="D663" s="4" t="str">
        <f>vlookup(A663, Sheet2!D:E, 2, 0)</f>
        <v>variant</v>
      </c>
      <c r="E663" s="4" t="str">
        <f>IFERROR(__xludf.DUMMYFUNCTION("if(H663=""pays"",vlookup(REGEXEXTRACT(C663, ""🏘️ \w+ \w+ (.*) ✅""),'Country prepositions'!A:B, 2, 0) &amp; "" "" &amp; REGEXEXTRACT(C663, ""🏘️ \w+ \w+ (.*) ✅"") ,  if(H663=""quartier"",vlookup(REGEXEXTRACT(C663, ""🏘️ \w+ \w+ (.*) ✅""),'Quartier prepositions'!A"&amp;":E, 5, 0) ,  if(H663=""region"",vlookup(REGEXEXTRACT(C663, ""🏘️ \w+ \w+ (.*) ✅""),'Region prepositions'!B:F, 5, 0),  REGEXEXTRACT(C663, ""🏘️ \w+ \w+ (.*) ✅""))))"),"Penthaz")</f>
        <v>Penthaz</v>
      </c>
      <c r="F663" s="2" t="str">
        <f>IFERROR(__xludf.DUMMYFUNCTION("REGEXEXTRACT(C663, ""🏘️ (\w+) \w+ .* ✅"")"),"Louer")</f>
        <v>Louer</v>
      </c>
      <c r="G663" s="2" t="str">
        <f>IFERROR(__xludf.DUMMYFUNCTION("REGEXEXTRACT(C663, ""🏘️ \w+ (\w+) .* ✅"")"),"maison")</f>
        <v>maison</v>
      </c>
      <c r="H663" s="4" t="str">
        <f>IFERROR(__xludf.DUMMYFUNCTION("REGEXEXTRACT(A663, ""/(\w+)-.*?"")"),"lieu")</f>
        <v>lieu</v>
      </c>
      <c r="I663" s="4" t="str">
        <f>IFERROR(__xludf.DUMMYFUNCTION("if(D663=""variant"",  substitute(filter(Templates!E:E, Templates!A:A = F663, Templates!B:B = G663, Templates!C:C = H663), ""{{}}"", E663), B663)"),"🏘  Vous cherchez une maison à louer à Penthaz? ✅ Découvrez nos nombreuses annonces sur ImmoScout24.ch.")</f>
        <v>🏘  Vous cherchez une maison à louer à Penthaz? ✅ Découvrez nos nombreuses annonces sur ImmoScout24.ch.</v>
      </c>
      <c r="J663" s="4" t="s">
        <v>1996</v>
      </c>
    </row>
    <row r="664">
      <c r="A664" s="5" t="s">
        <v>1997</v>
      </c>
      <c r="B664" s="2" t="s">
        <v>1998</v>
      </c>
      <c r="C664" s="4" t="str">
        <f>IFERROR(__xludf.DUMMYFUNCTION("""🏘️ ""&amp;REGEXEXTRACT(B664, ""^(.*): "")&amp;"" ✅ "" &amp;REGEXEXTRACT(B664, ""(Trouvez.*)"")"),"🏘️ Louer appartement Kleinhüningen (Bâle) ✅ Trouvez le bien immobilier qui correspond idéalement à vos désirs sur ImmoScout24 - La plateforme de l'immobilier en Suisse.")</f>
        <v>🏘️ Louer appartement Kleinhüningen (Bâle) ✅ Trouvez le bien immobilier qui correspond idéalement à vos désirs sur ImmoScout24 - La plateforme de l'immobilier en Suisse.</v>
      </c>
      <c r="D664" s="4" t="str">
        <f>vlookup(A664, Sheet2!D:E, 2, 0)</f>
        <v>variant</v>
      </c>
      <c r="E664" s="4" t="str">
        <f>IFERROR(__xludf.DUMMYFUNCTION("if(H664=""pays"",vlookup(REGEXEXTRACT(C664, ""🏘️ \w+ \w+ (.*) ✅""),'Country prepositions'!A:B, 2, 0) &amp; "" "" &amp; REGEXEXTRACT(C664, ""🏘️ \w+ \w+ (.*) ✅"") ,  if(H664=""quartier"",vlookup(REGEXEXTRACT(C664, ""🏘️ \w+ \w+ (.*) ✅""),'Quartier prepositions'!A"&amp;":E, 5, 0) ,  if(H664=""region"",vlookup(REGEXEXTRACT(C664, ""🏘️ \w+ \w+ (.*) ✅""),'Region prepositions'!B:F, 5, 0),  REGEXEXTRACT(C664, ""🏘️ \w+ \w+ (.*) ✅""))))"),"dans le quartier de Kleinhüningen (Bâle)")</f>
        <v>dans le quartier de Kleinhüningen (Bâle)</v>
      </c>
      <c r="F664" s="2" t="str">
        <f>IFERROR(__xludf.DUMMYFUNCTION("REGEXEXTRACT(C664, ""🏘️ (\w+) \w+ .* ✅"")"),"Louer")</f>
        <v>Louer</v>
      </c>
      <c r="G664" s="2" t="str">
        <f>IFERROR(__xludf.DUMMYFUNCTION("REGEXEXTRACT(C664, ""🏘️ \w+ (\w+) .* ✅"")"),"appartement")</f>
        <v>appartement</v>
      </c>
      <c r="H664" s="4" t="str">
        <f>IFERROR(__xludf.DUMMYFUNCTION("REGEXEXTRACT(A664, ""/(\w+)-.*?"")"),"quartier")</f>
        <v>quartier</v>
      </c>
      <c r="I664" s="4" t="str">
        <f>IFERROR(__xludf.DUMMYFUNCTION("if(D664=""variant"",  substitute(filter(Templates!E:E, Templates!A:A = F664, Templates!B:B = G664, Templates!C:C = H664), ""{{}}"", E664), B664)"),"🏘  Vous cherchez un appartement à louer dans le quartier de Kleinhüningen (Bâle)? ✅ Les annonces les plus actuelles sont sur ImmoScout24.ch.")</f>
        <v>🏘  Vous cherchez un appartement à louer dans le quartier de Kleinhüningen (Bâle)? ✅ Les annonces les plus actuelles sont sur ImmoScout24.ch.</v>
      </c>
      <c r="J664" s="4" t="s">
        <v>1999</v>
      </c>
    </row>
    <row r="665">
      <c r="A665" s="5" t="s">
        <v>2000</v>
      </c>
      <c r="B665" s="2" t="s">
        <v>2001</v>
      </c>
      <c r="C665" s="4" t="str">
        <f>IFERROR(__xludf.DUMMYFUNCTION("""🏘️ ""&amp;REGEXEXTRACT(B665, ""^(.*): "")&amp;"" ✅ "" &amp;REGEXEXTRACT(B665, ""(Trouvez.*)"")"),"🏘️ Louer appartement Wettswil ✅ Trouvez le bien immobilier qui correspond idéalement à vos désirs sur ImmoScout24 - La plateforme de l'immobilier en Suisse.")</f>
        <v>🏘️ Louer appartement Wettswil ✅ Trouvez le bien immobilier qui correspond idéalement à vos désirs sur ImmoScout24 - La plateforme de l'immobilier en Suisse.</v>
      </c>
      <c r="D665" s="4" t="str">
        <f>vlookup(A665, Sheet2!D:E, 2, 0)</f>
        <v>variant</v>
      </c>
      <c r="E665" s="4" t="str">
        <f>IFERROR(__xludf.DUMMYFUNCTION("if(H665=""pays"",vlookup(REGEXEXTRACT(C665, ""🏘️ \w+ \w+ (.*) ✅""),'Country prepositions'!A:B, 2, 0) &amp; "" "" &amp; REGEXEXTRACT(C665, ""🏘️ \w+ \w+ (.*) ✅"") ,  if(H665=""quartier"",vlookup(REGEXEXTRACT(C665, ""🏘️ \w+ \w+ (.*) ✅""),'Quartier prepositions'!A"&amp;":E, 5, 0) ,  if(H665=""region"",vlookup(REGEXEXTRACT(C665, ""🏘️ \w+ \w+ (.*) ✅""),'Region prepositions'!B:F, 5, 0),  REGEXEXTRACT(C665, ""🏘️ \w+ \w+ (.*) ✅""))))"),"Wettswil")</f>
        <v>Wettswil</v>
      </c>
      <c r="F665" s="2" t="str">
        <f>IFERROR(__xludf.DUMMYFUNCTION("REGEXEXTRACT(C665, ""🏘️ (\w+) \w+ .* ✅"")"),"Louer")</f>
        <v>Louer</v>
      </c>
      <c r="G665" s="2" t="str">
        <f>IFERROR(__xludf.DUMMYFUNCTION("REGEXEXTRACT(C665, ""🏘️ \w+ (\w+) .* ✅"")"),"appartement")</f>
        <v>appartement</v>
      </c>
      <c r="H665" s="4" t="str">
        <f>IFERROR(__xludf.DUMMYFUNCTION("REGEXEXTRACT(A665, ""/(\w+)-.*?"")"),"lieu")</f>
        <v>lieu</v>
      </c>
      <c r="I665" s="4" t="str">
        <f>IFERROR(__xludf.DUMMYFUNCTION("if(D665=""variant"",  substitute(filter(Templates!E:E, Templates!A:A = F665, Templates!B:B = G665, Templates!C:C = H665), ""{{}}"", E665), B665)"),"🏘  Vous cherchez un appartement à louer à Wettswil? ✅ Les annonces les plus actuelles sont sur ImmoScout24.ch.")</f>
        <v>🏘  Vous cherchez un appartement à louer à Wettswil? ✅ Les annonces les plus actuelles sont sur ImmoScout24.ch.</v>
      </c>
      <c r="J665" s="4" t="s">
        <v>2002</v>
      </c>
    </row>
    <row r="666">
      <c r="A666" s="5" t="s">
        <v>2003</v>
      </c>
      <c r="B666" s="2" t="s">
        <v>2004</v>
      </c>
      <c r="C666" s="4" t="str">
        <f>IFERROR(__xludf.DUMMYFUNCTION("""🏘️ ""&amp;REGEXEXTRACT(B666, ""^(.*): "")&amp;"" ✅ "" &amp;REGEXEXTRACT(B666, ""(Trouvez.*)"")"),"🏘️ Louer appartement Le Châtelard-près-Romont ✅ Trouvez le bien immobilier qui correspond idéalement à vos désirs sur ImmoScout24 - La plateforme de l'immobilier en Suisse.")</f>
        <v>🏘️ Louer appartement Le Châtelard-près-Romont ✅ Trouvez le bien immobilier qui correspond idéalement à vos désirs sur ImmoScout24 - La plateforme de l'immobilier en Suisse.</v>
      </c>
      <c r="D666" s="4" t="str">
        <f>vlookup(A666, Sheet2!D:E, 2, 0)</f>
        <v>variant</v>
      </c>
      <c r="E666" s="4" t="str">
        <f>IFERROR(__xludf.DUMMYFUNCTION("if(H666=""pays"",vlookup(REGEXEXTRACT(C666, ""🏘️ \w+ \w+ (.*) ✅""),'Country prepositions'!A:B, 2, 0) &amp; "" "" &amp; REGEXEXTRACT(C666, ""🏘️ \w+ \w+ (.*) ✅"") ,  if(H666=""quartier"",vlookup(REGEXEXTRACT(C666, ""🏘️ \w+ \w+ (.*) ✅""),'Quartier prepositions'!A"&amp;":E, 5, 0) ,  if(H666=""region"",vlookup(REGEXEXTRACT(C666, ""🏘️ \w+ \w+ (.*) ✅""),'Region prepositions'!B:F, 5, 0),  REGEXEXTRACT(C666, ""🏘️ \w+ \w+ (.*) ✅""))))"),"Le Châtelard-près-Romont")</f>
        <v>Le Châtelard-près-Romont</v>
      </c>
      <c r="F666" s="2" t="str">
        <f>IFERROR(__xludf.DUMMYFUNCTION("REGEXEXTRACT(C666, ""🏘️ (\w+) \w+ .* ✅"")"),"Louer")</f>
        <v>Louer</v>
      </c>
      <c r="G666" s="2" t="str">
        <f>IFERROR(__xludf.DUMMYFUNCTION("REGEXEXTRACT(C666, ""🏘️ \w+ (\w+) .* ✅"")"),"appartement")</f>
        <v>appartement</v>
      </c>
      <c r="H666" s="4" t="str">
        <f>IFERROR(__xludf.DUMMYFUNCTION("REGEXEXTRACT(A666, ""/(\w+)-.*?"")"),"lieu")</f>
        <v>lieu</v>
      </c>
      <c r="I666" s="8" t="str">
        <f>IFERROR(__xludf.DUMMYFUNCTION("if(D666=""variant"",  substitute(filter(Templates!E:E, Templates!A:A = F666, Templates!B:B = G666, Templates!C:C = H666), ""{{}}"", E666), B666)"),"🏘  Vous cherchez un appartement à louer à Le Châtelard-près-Romont? ✅ Les annonces les plus actuelles sont sur ImmoScout24.ch.")</f>
        <v>🏘  Vous cherchez un appartement à louer à Le Châtelard-près-Romont? ✅ Les annonces les plus actuelles sont sur ImmoScout24.ch.</v>
      </c>
      <c r="J666" s="2" t="s">
        <v>2005</v>
      </c>
    </row>
    <row r="667">
      <c r="A667" s="5" t="s">
        <v>2006</v>
      </c>
      <c r="B667" s="2" t="s">
        <v>2007</v>
      </c>
      <c r="C667" s="4" t="str">
        <f>IFERROR(__xludf.DUMMYFUNCTION("""🏘️ ""&amp;REGEXEXTRACT(B667, ""^(.*): "")&amp;"" ✅ "" &amp;REGEXEXTRACT(B667, ""(Trouvez.*)"")"),"🏘️ Vendre appartement Gruyère - La Broye - Lac - Veveyse ✅ Trouvez le bien immobilier qui correspond idéalement à vos désirs sur ImmoScout24 - La plateforme de l'immobilier en Suisse.")</f>
        <v>🏘️ Vendre appartement Gruyère - La Broye - Lac - Veveyse ✅ Trouvez le bien immobilier qui correspond idéalement à vos désirs sur ImmoScout24 - La plateforme de l'immobilier en Suisse.</v>
      </c>
      <c r="D667" s="4" t="str">
        <f>vlookup(A667, Sheet2!D:E, 2, 0)</f>
        <v>variant</v>
      </c>
      <c r="E667" s="4" t="str">
        <f>IFERROR(__xludf.DUMMYFUNCTION("if(H667=""pays"",vlookup(REGEXEXTRACT(C667, ""🏘️ \w+ \w+ (.*) ✅""),'Country prepositions'!A:B, 2, 0) &amp; "" "" &amp; REGEXEXTRACT(C667, ""🏘️ \w+ \w+ (.*) ✅"") ,  if(H667=""quartier"",vlookup(REGEXEXTRACT(C667, ""🏘️ \w+ \w+ (.*) ✅""),'Quartier prepositions'!A"&amp;":E, 5, 0) ,  if(H667=""region"",vlookup(REGEXEXTRACT(C667, ""🏘️ \w+ \w+ (.*) ✅""),'Region prepositions'!B:F, 5, 0),  REGEXEXTRACT(C667, ""🏘️ \w+ \w+ (.*) ✅""))))"),"dans les districts de Gruyère - La Broye - Lac - Veveyse")</f>
        <v>dans les districts de Gruyère - La Broye - Lac - Veveyse</v>
      </c>
      <c r="F667" s="2" t="str">
        <f>IFERROR(__xludf.DUMMYFUNCTION("REGEXEXTRACT(C667, ""🏘️ (\w+) \w+ .* ✅"")"),"Vendre")</f>
        <v>Vendre</v>
      </c>
      <c r="G667" s="2" t="str">
        <f>IFERROR(__xludf.DUMMYFUNCTION("REGEXEXTRACT(C667, ""🏘️ \w+ (\w+) .* ✅"")"),"appartement")</f>
        <v>appartement</v>
      </c>
      <c r="H667" s="4" t="str">
        <f>IFERROR(__xludf.DUMMYFUNCTION("REGEXEXTRACT(A667, ""/(\w+)-.*?"")"),"region")</f>
        <v>region</v>
      </c>
      <c r="I667" s="4" t="str">
        <f>IFERROR(__xludf.DUMMYFUNCTION("if(D667=""variant"",  substitute(filter(Templates!E:E, Templates!A:A = F667, Templates!B:B = G667, Templates!C:C = H667), ""{{}}"", E667), B667)"),"🏘  L’appartement de vos rêves se trouve sur ImmoScout24.ch ✅ Découvrez les dernières annonces de vente dans les districts de Gruyère - La Broye - Lac - Veveyse.")</f>
        <v>🏘  L’appartement de vos rêves se trouve sur ImmoScout24.ch ✅ Découvrez les dernières annonces de vente dans les districts de Gruyère - La Broye - Lac - Veveyse.</v>
      </c>
      <c r="J667" s="4" t="s">
        <v>2008</v>
      </c>
    </row>
    <row r="668">
      <c r="A668" s="5" t="s">
        <v>2009</v>
      </c>
      <c r="B668" s="2" t="s">
        <v>2010</v>
      </c>
      <c r="C668" s="4" t="str">
        <f>IFERROR(__xludf.DUMMYFUNCTION("""🏘️ ""&amp;REGEXEXTRACT(B668, ""^(.*): "")&amp;"" ✅ "" &amp;REGEXEXTRACT(B668, ""(Trouvez.*)"")"),"🏘️ Louer appartement Gruyère - La Broye - Lac - Veveyse ✅ Trouvez le bien immobilier qui correspond idéalement à vos désirs sur ImmoScout24 - La plateforme de l'immobilier en Suisse.")</f>
        <v>🏘️ Louer appartement Gruyère - La Broye - Lac - Veveyse ✅ Trouvez le bien immobilier qui correspond idéalement à vos désirs sur ImmoScout24 - La plateforme de l'immobilier en Suisse.</v>
      </c>
      <c r="D668" s="4" t="str">
        <f>vlookup(A668, Sheet2!D:E, 2, 0)</f>
        <v>variant</v>
      </c>
      <c r="E668" s="4" t="str">
        <f>IFERROR(__xludf.DUMMYFUNCTION("if(H668=""pays"",vlookup(REGEXEXTRACT(C668, ""🏘️ \w+ \w+ (.*) ✅""),'Country prepositions'!A:B, 2, 0) &amp; "" "" &amp; REGEXEXTRACT(C668, ""🏘️ \w+ \w+ (.*) ✅"") ,  if(H668=""quartier"",vlookup(REGEXEXTRACT(C668, ""🏘️ \w+ \w+ (.*) ✅""),'Quartier prepositions'!A"&amp;":E, 5, 0) ,  if(H668=""region"",vlookup(REGEXEXTRACT(C668, ""🏘️ \w+ \w+ (.*) ✅""),'Region prepositions'!B:F, 5, 0),  REGEXEXTRACT(C668, ""🏘️ \w+ \w+ (.*) ✅""))))"),"dans les districts de Gruyère - La Broye - Lac - Veveyse")</f>
        <v>dans les districts de Gruyère - La Broye - Lac - Veveyse</v>
      </c>
      <c r="F668" s="2" t="str">
        <f>IFERROR(__xludf.DUMMYFUNCTION("REGEXEXTRACT(C668, ""🏘️ (\w+) \w+ .* ✅"")"),"Louer")</f>
        <v>Louer</v>
      </c>
      <c r="G668" s="2" t="str">
        <f>IFERROR(__xludf.DUMMYFUNCTION("REGEXEXTRACT(C668, ""🏘️ \w+ (\w+) .* ✅"")"),"appartement")</f>
        <v>appartement</v>
      </c>
      <c r="H668" s="4" t="str">
        <f>IFERROR(__xludf.DUMMYFUNCTION("REGEXEXTRACT(A668, ""/(\w+)-.*?"")"),"region")</f>
        <v>region</v>
      </c>
      <c r="I668" s="4" t="str">
        <f>IFERROR(__xludf.DUMMYFUNCTION("if(D668=""variant"",  substitute(filter(Templates!E:E, Templates!A:A = F668, Templates!B:B = G668, Templates!C:C = H668), ""{{}}"", E668), B668)"),"🏘  Vous cherchez un appartement à louer dans les districts de Gruyère - La Broye - Lac - Veveyse? ✅ Les annonces les plus actuelles sont sur ImmoScout24.ch.")</f>
        <v>🏘  Vous cherchez un appartement à louer dans les districts de Gruyère - La Broye - Lac - Veveyse? ✅ Les annonces les plus actuelles sont sur ImmoScout24.ch.</v>
      </c>
      <c r="J668" s="4" t="s">
        <v>2011</v>
      </c>
    </row>
    <row r="669">
      <c r="A669" s="5" t="s">
        <v>2012</v>
      </c>
      <c r="B669" s="2" t="s">
        <v>2013</v>
      </c>
      <c r="C669" s="4" t="str">
        <f>IFERROR(__xludf.DUMMYFUNCTION("""🏘️ ""&amp;REGEXEXTRACT(B669, ""^(.*): "")&amp;"" ✅ "" &amp;REGEXEXTRACT(B669, ""(Trouvez.*)"")"),"🏘️ Vendre maison Buseno ✅ Trouvez le bien immobilier qui correspond idéalement à vos désirs sur ImmoScout24 - La plateforme de l'immobilier en Suisse.")</f>
        <v>🏘️ Vendre maison Buseno ✅ Trouvez le bien immobilier qui correspond idéalement à vos désirs sur ImmoScout24 - La plateforme de l'immobilier en Suisse.</v>
      </c>
      <c r="D669" s="4" t="str">
        <f>vlookup(A669, Sheet2!D:E, 2, 0)</f>
        <v>variant</v>
      </c>
      <c r="E669" s="4" t="str">
        <f>IFERROR(__xludf.DUMMYFUNCTION("if(H669=""pays"",vlookup(REGEXEXTRACT(C669, ""🏘️ \w+ \w+ (.*) ✅""),'Country prepositions'!A:B, 2, 0) &amp; "" "" &amp; REGEXEXTRACT(C669, ""🏘️ \w+ \w+ (.*) ✅"") ,  if(H669=""quartier"",vlookup(REGEXEXTRACT(C669, ""🏘️ \w+ \w+ (.*) ✅""),'Quartier prepositions'!A"&amp;":E, 5, 0) ,  if(H669=""region"",vlookup(REGEXEXTRACT(C669, ""🏘️ \w+ \w+ (.*) ✅""),'Region prepositions'!B:F, 5, 0),  REGEXEXTRACT(C669, ""🏘️ \w+ \w+ (.*) ✅""))))"),"Buseno")</f>
        <v>Buseno</v>
      </c>
      <c r="F669" s="2" t="str">
        <f>IFERROR(__xludf.DUMMYFUNCTION("REGEXEXTRACT(C669, ""🏘️ (\w+) \w+ .* ✅"")"),"Vendre")</f>
        <v>Vendre</v>
      </c>
      <c r="G669" s="2" t="str">
        <f>IFERROR(__xludf.DUMMYFUNCTION("REGEXEXTRACT(C669, ""🏘️ \w+ (\w+) .* ✅"")"),"maison")</f>
        <v>maison</v>
      </c>
      <c r="H669" s="4" t="str">
        <f>IFERROR(__xludf.DUMMYFUNCTION("REGEXEXTRACT(A669, ""/(\w+)-.*?"")"),"lieu")</f>
        <v>lieu</v>
      </c>
      <c r="I669" s="4" t="str">
        <f>IFERROR(__xludf.DUMMYFUNCTION("if(D669=""variant"",  substitute(filter(Templates!E:E, Templates!A:A = F669, Templates!B:B = G669, Templates!C:C = H669), ""{{}}"", E669), B669)"),"🏘  Vous souhaitez acheter une maison à Buseno? ✅ Jetez un œil aux dernières offres sur ImmoScout24.ch.")</f>
        <v>🏘  Vous souhaitez acheter une maison à Buseno? ✅ Jetez un œil aux dernières offres sur ImmoScout24.ch.</v>
      </c>
      <c r="J669" s="4" t="s">
        <v>2014</v>
      </c>
    </row>
    <row r="670">
      <c r="A670" s="5" t="s">
        <v>2015</v>
      </c>
      <c r="B670" s="2" t="s">
        <v>2016</v>
      </c>
      <c r="C670" s="4" t="str">
        <f>IFERROR(__xludf.DUMMYFUNCTION("""🏘️ ""&amp;REGEXEXTRACT(B670, ""^(.*): "")&amp;"" ✅ "" &amp;REGEXEXTRACT(B670, ""(Trouvez.*)"")"),"🏘️ Vendre maison Lausanne et environs ✅ Trouvez le bien immobilier qui correspond idéalement à vos désirs sur ImmoScout24 - La plateforme de l'immobilier en Suisse.")</f>
        <v>🏘️ Vendre maison Lausanne et environs ✅ Trouvez le bien immobilier qui correspond idéalement à vos désirs sur ImmoScout24 - La plateforme de l'immobilier en Suisse.</v>
      </c>
      <c r="D670" s="4" t="str">
        <f>vlookup(A670, Sheet2!D:E, 2, 0)</f>
        <v>variant</v>
      </c>
      <c r="E670" s="4" t="str">
        <f>IFERROR(__xludf.DUMMYFUNCTION("if(H670=""pays"",vlookup(REGEXEXTRACT(C670, ""🏘️ \w+ \w+ (.*) ✅""),'Country prepositions'!A:B, 2, 0) &amp; "" "" &amp; REGEXEXTRACT(C670, ""🏘️ \w+ \w+ (.*) ✅"") ,  if(H670=""quartier"",vlookup(REGEXEXTRACT(C670, ""🏘️ \w+ \w+ (.*) ✅""),'Quartier prepositions'!A"&amp;":E, 5, 0) ,  if(H670=""region"",vlookup(REGEXEXTRACT(C670, ""🏘️ \w+ \w+ (.*) ✅""),'Region prepositions'!B:F, 5, 0),  REGEXEXTRACT(C670, ""🏘️ \w+ \w+ (.*) ✅""))))"),"à Lausanne et environs")</f>
        <v>à Lausanne et environs</v>
      </c>
      <c r="F670" s="2" t="str">
        <f>IFERROR(__xludf.DUMMYFUNCTION("REGEXEXTRACT(C670, ""🏘️ (\w+) \w+ .* ✅"")"),"Vendre")</f>
        <v>Vendre</v>
      </c>
      <c r="G670" s="2" t="str">
        <f>IFERROR(__xludf.DUMMYFUNCTION("REGEXEXTRACT(C670, ""🏘️ \w+ (\w+) .* ✅"")"),"maison")</f>
        <v>maison</v>
      </c>
      <c r="H670" s="4" t="str">
        <f>IFERROR(__xludf.DUMMYFUNCTION("REGEXEXTRACT(A670, ""/(\w+)-.*?"")"),"region")</f>
        <v>region</v>
      </c>
      <c r="I670" s="4" t="str">
        <f>IFERROR(__xludf.DUMMYFUNCTION("if(D670=""variant"",  substitute(filter(Templates!E:E, Templates!A:A = F670, Templates!B:B = G670, Templates!C:C = H670), ""{{}}"", E670), B670)"),"🏘  Vous souhaitez acheter une maison à Lausanne et environs? ✅ Jetez un œil aux dernières offres sur ImmoScout24.ch.")</f>
        <v>🏘  Vous souhaitez acheter une maison à Lausanne et environs? ✅ Jetez un œil aux dernières offres sur ImmoScout24.ch.</v>
      </c>
      <c r="J670" s="4" t="s">
        <v>2017</v>
      </c>
    </row>
    <row r="671">
      <c r="A671" s="5" t="s">
        <v>2018</v>
      </c>
      <c r="B671" s="2" t="s">
        <v>2019</v>
      </c>
      <c r="C671" s="4" t="str">
        <f>IFERROR(__xludf.DUMMYFUNCTION("""🏘️ ""&amp;REGEXEXTRACT(B671, ""^(.*): "")&amp;"" ✅ "" &amp;REGEXEXTRACT(B671, ""(Trouvez.*)"")"),"🏘️ Vendre appartement Portalban ✅ Trouvez le bien immobilier qui correspond idéalement à vos désirs sur ImmoScout24 - La plateforme de l'immobilier en Suisse.")</f>
        <v>🏘️ Vendre appartement Portalban ✅ Trouvez le bien immobilier qui correspond idéalement à vos désirs sur ImmoScout24 - La plateforme de l'immobilier en Suisse.</v>
      </c>
      <c r="D671" s="4" t="str">
        <f>vlookup(A671, Sheet2!D:E, 2, 0)</f>
        <v>variant</v>
      </c>
      <c r="E671" s="4" t="str">
        <f>IFERROR(__xludf.DUMMYFUNCTION("if(H671=""pays"",vlookup(REGEXEXTRACT(C671, ""🏘️ \w+ \w+ (.*) ✅""),'Country prepositions'!A:B, 2, 0) &amp; "" "" &amp; REGEXEXTRACT(C671, ""🏘️ \w+ \w+ (.*) ✅"") ,  if(H671=""quartier"",vlookup(REGEXEXTRACT(C671, ""🏘️ \w+ \w+ (.*) ✅""),'Quartier prepositions'!A"&amp;":E, 5, 0) ,  if(H671=""region"",vlookup(REGEXEXTRACT(C671, ""🏘️ \w+ \w+ (.*) ✅""),'Region prepositions'!B:F, 5, 0),  REGEXEXTRACT(C671, ""🏘️ \w+ \w+ (.*) ✅""))))"),"Portalban")</f>
        <v>Portalban</v>
      </c>
      <c r="F671" s="2" t="str">
        <f>IFERROR(__xludf.DUMMYFUNCTION("REGEXEXTRACT(C671, ""🏘️ (\w+) \w+ .* ✅"")"),"Vendre")</f>
        <v>Vendre</v>
      </c>
      <c r="G671" s="2" t="str">
        <f>IFERROR(__xludf.DUMMYFUNCTION("REGEXEXTRACT(C671, ""🏘️ \w+ (\w+) .* ✅"")"),"appartement")</f>
        <v>appartement</v>
      </c>
      <c r="H671" s="4" t="str">
        <f>IFERROR(__xludf.DUMMYFUNCTION("REGEXEXTRACT(A671, ""/(\w+)-.*?"")"),"lieu")</f>
        <v>lieu</v>
      </c>
      <c r="I671" s="4" t="str">
        <f>IFERROR(__xludf.DUMMYFUNCTION("if(D671=""variant"",  substitute(filter(Templates!E:E, Templates!A:A = F671, Templates!B:B = G671, Templates!C:C = H671), ""{{}}"", E671), B671)"),"🏘  L’appartement de vos rêves se trouve sur ImmoScout24.ch ✅ Découvrez les dernières annonces de vente à Portalban.")</f>
        <v>🏘  L’appartement de vos rêves se trouve sur ImmoScout24.ch ✅ Découvrez les dernières annonces de vente à Portalban.</v>
      </c>
      <c r="J671" s="4" t="s">
        <v>2020</v>
      </c>
    </row>
    <row r="672">
      <c r="A672" s="5" t="s">
        <v>2021</v>
      </c>
      <c r="B672" s="2" t="s">
        <v>2022</v>
      </c>
      <c r="C672" s="4" t="str">
        <f>IFERROR(__xludf.DUMMYFUNCTION("""🏘️ ""&amp;REGEXEXTRACT(B672, ""^(.*): "")&amp;"" ✅ "" &amp;REGEXEXTRACT(B672, ""(Trouvez.*)"")"),"🏘️ Vendre maison Avegno ✅ Trouvez le bien immobilier qui correspond idéalement à vos désirs sur ImmoScout24 - La plateforme de l'immobilier en Suisse.")</f>
        <v>🏘️ Vendre maison Avegno ✅ Trouvez le bien immobilier qui correspond idéalement à vos désirs sur ImmoScout24 - La plateforme de l'immobilier en Suisse.</v>
      </c>
      <c r="D672" s="4" t="str">
        <f>vlookup(A672, Sheet2!D:E, 2, 0)</f>
        <v>variant</v>
      </c>
      <c r="E672" s="4" t="str">
        <f>IFERROR(__xludf.DUMMYFUNCTION("if(H672=""pays"",vlookup(REGEXEXTRACT(C672, ""🏘️ \w+ \w+ (.*) ✅""),'Country prepositions'!A:B, 2, 0) &amp; "" "" &amp; REGEXEXTRACT(C672, ""🏘️ \w+ \w+ (.*) ✅"") ,  if(H672=""quartier"",vlookup(REGEXEXTRACT(C672, ""🏘️ \w+ \w+ (.*) ✅""),'Quartier prepositions'!A"&amp;":E, 5, 0) ,  if(H672=""region"",vlookup(REGEXEXTRACT(C672, ""🏘️ \w+ \w+ (.*) ✅""),'Region prepositions'!B:F, 5, 0),  REGEXEXTRACT(C672, ""🏘️ \w+ \w+ (.*) ✅""))))"),"Avegno")</f>
        <v>Avegno</v>
      </c>
      <c r="F672" s="2" t="str">
        <f>IFERROR(__xludf.DUMMYFUNCTION("REGEXEXTRACT(C672, ""🏘️ (\w+) \w+ .* ✅"")"),"Vendre")</f>
        <v>Vendre</v>
      </c>
      <c r="G672" s="2" t="str">
        <f>IFERROR(__xludf.DUMMYFUNCTION("REGEXEXTRACT(C672, ""🏘️ \w+ (\w+) .* ✅"")"),"maison")</f>
        <v>maison</v>
      </c>
      <c r="H672" s="4" t="str">
        <f>IFERROR(__xludf.DUMMYFUNCTION("REGEXEXTRACT(A672, ""/(\w+)-.*?"")"),"lieu")</f>
        <v>lieu</v>
      </c>
      <c r="I672" s="4" t="str">
        <f>IFERROR(__xludf.DUMMYFUNCTION("if(D672=""variant"",  substitute(filter(Templates!E:E, Templates!A:A = F672, Templates!B:B = G672, Templates!C:C = H672), ""{{}}"", E672), B672)"),"🏘  Vous souhaitez acheter une maison à Avegno? ✅ Jetez un œil aux dernières offres sur ImmoScout24.ch.")</f>
        <v>🏘  Vous souhaitez acheter une maison à Avegno? ✅ Jetez un œil aux dernières offres sur ImmoScout24.ch.</v>
      </c>
      <c r="J672" s="4" t="s">
        <v>2023</v>
      </c>
    </row>
    <row r="673">
      <c r="A673" s="5" t="s">
        <v>2024</v>
      </c>
      <c r="B673" s="2" t="s">
        <v>2025</v>
      </c>
      <c r="C673" s="4" t="str">
        <f>IFERROR(__xludf.DUMMYFUNCTION("""🏘️ ""&amp;REGEXEXTRACT(B673, ""^(.*): "")&amp;"" ✅ "" &amp;REGEXEXTRACT(B673, ""(Trouvez.*)"")"),"🏘️ Louer maison St. Georgen (St-Gall) ✅ Trouvez le bien immobilier qui correspond idéalement à vos désirs sur ImmoScout24 - La plateforme de l'immobilier en Suisse.")</f>
        <v>🏘️ Louer maison St. Georgen (St-Gall) ✅ Trouvez le bien immobilier qui correspond idéalement à vos désirs sur ImmoScout24 - La plateforme de l'immobilier en Suisse.</v>
      </c>
      <c r="D673" s="4" t="str">
        <f>vlookup(A673, Sheet2!D:E, 2, 0)</f>
        <v>variant</v>
      </c>
      <c r="E673" s="4" t="str">
        <f>IFERROR(__xludf.DUMMYFUNCTION("if(H673=""pays"",vlookup(REGEXEXTRACT(C673, ""🏘️ \w+ \w+ (.*) ✅""),'Country prepositions'!A:B, 2, 0) &amp; "" "" &amp; REGEXEXTRACT(C673, ""🏘️ \w+ \w+ (.*) ✅"") ,  if(H673=""quartier"",vlookup(REGEXEXTRACT(C673, ""🏘️ \w+ \w+ (.*) ✅""),'Quartier prepositions'!A"&amp;":E, 5, 0) ,  if(H673=""region"",vlookup(REGEXEXTRACT(C673, ""🏘️ \w+ \w+ (.*) ✅""),'Region prepositions'!B:F, 5, 0),  REGEXEXTRACT(C673, ""🏘️ \w+ \w+ (.*) ✅""))))"),"dans le quartier de St. Georgen (St-Gall)")</f>
        <v>dans le quartier de St. Georgen (St-Gall)</v>
      </c>
      <c r="F673" s="2" t="str">
        <f>IFERROR(__xludf.DUMMYFUNCTION("REGEXEXTRACT(C673, ""🏘️ (\w+) \w+ .* ✅"")"),"Louer")</f>
        <v>Louer</v>
      </c>
      <c r="G673" s="2" t="str">
        <f>IFERROR(__xludf.DUMMYFUNCTION("REGEXEXTRACT(C673, ""🏘️ \w+ (\w+) .* ✅"")"),"maison")</f>
        <v>maison</v>
      </c>
      <c r="H673" s="4" t="str">
        <f>IFERROR(__xludf.DUMMYFUNCTION("REGEXEXTRACT(A673, ""/(\w+)-.*?"")"),"quartier")</f>
        <v>quartier</v>
      </c>
      <c r="I673" s="4" t="str">
        <f>IFERROR(__xludf.DUMMYFUNCTION("if(D673=""variant"",  substitute(filter(Templates!E:E, Templates!A:A = F673, Templates!B:B = G673, Templates!C:C = H673), ""{{}}"", E673), B673)"),"🏘  Vous cherchez une maison à louer dans le quartier de St. Georgen (St-Gall)? ✅ Découvrez nos nombreuses annonces sur ImmoScout24.ch.")</f>
        <v>🏘  Vous cherchez une maison à louer dans le quartier de St. Georgen (St-Gall)? ✅ Découvrez nos nombreuses annonces sur ImmoScout24.ch.</v>
      </c>
      <c r="J673" s="4" t="s">
        <v>2026</v>
      </c>
    </row>
    <row r="674">
      <c r="A674" s="5" t="s">
        <v>2027</v>
      </c>
      <c r="B674" s="2" t="s">
        <v>2028</v>
      </c>
      <c r="C674" s="4" t="str">
        <f>IFERROR(__xludf.DUMMYFUNCTION("""🏘️ ""&amp;REGEXEXTRACT(B674, ""^(.*): "")&amp;"" ✅ "" &amp;REGEXEXTRACT(B674, ""(Trouvez.*)"")"),"🏘️ Louer appartement Bütschwil ✅ Trouvez le bien immobilier qui correspond idéalement à vos désirs sur ImmoScout24 - La plateforme de l'immobilier en Suisse.")</f>
        <v>🏘️ Louer appartement Bütschwil ✅ Trouvez le bien immobilier qui correspond idéalement à vos désirs sur ImmoScout24 - La plateforme de l'immobilier en Suisse.</v>
      </c>
      <c r="D674" s="4" t="str">
        <f>vlookup(A674, Sheet2!D:E, 2, 0)</f>
        <v>variant</v>
      </c>
      <c r="E674" s="4" t="str">
        <f>IFERROR(__xludf.DUMMYFUNCTION("if(H674=""pays"",vlookup(REGEXEXTRACT(C674, ""🏘️ \w+ \w+ (.*) ✅""),'Country prepositions'!A:B, 2, 0) &amp; "" "" &amp; REGEXEXTRACT(C674, ""🏘️ \w+ \w+ (.*) ✅"") ,  if(H674=""quartier"",vlookup(REGEXEXTRACT(C674, ""🏘️ \w+ \w+ (.*) ✅""),'Quartier prepositions'!A"&amp;":E, 5, 0) ,  if(H674=""region"",vlookup(REGEXEXTRACT(C674, ""🏘️ \w+ \w+ (.*) ✅""),'Region prepositions'!B:F, 5, 0),  REGEXEXTRACT(C674, ""🏘️ \w+ \w+ (.*) ✅""))))"),"Bütschwil")</f>
        <v>Bütschwil</v>
      </c>
      <c r="F674" s="2" t="str">
        <f>IFERROR(__xludf.DUMMYFUNCTION("REGEXEXTRACT(C674, ""🏘️ (\w+) \w+ .* ✅"")"),"Louer")</f>
        <v>Louer</v>
      </c>
      <c r="G674" s="2" t="str">
        <f>IFERROR(__xludf.DUMMYFUNCTION("REGEXEXTRACT(C674, ""🏘️ \w+ (\w+) .* ✅"")"),"appartement")</f>
        <v>appartement</v>
      </c>
      <c r="H674" s="4" t="str">
        <f>IFERROR(__xludf.DUMMYFUNCTION("REGEXEXTRACT(A674, ""/(\w+)-.*?"")"),"lieu")</f>
        <v>lieu</v>
      </c>
      <c r="I674" s="4" t="str">
        <f>IFERROR(__xludf.DUMMYFUNCTION("if(D674=""variant"",  substitute(filter(Templates!E:E, Templates!A:A = F674, Templates!B:B = G674, Templates!C:C = H674), ""{{}}"", E674), B674)"),"🏘  Vous cherchez un appartement à louer à Bütschwil? ✅ Les annonces les plus actuelles sont sur ImmoScout24.ch.")</f>
        <v>🏘  Vous cherchez un appartement à louer à Bütschwil? ✅ Les annonces les plus actuelles sont sur ImmoScout24.ch.</v>
      </c>
      <c r="J674" s="4" t="s">
        <v>2029</v>
      </c>
    </row>
    <row r="675">
      <c r="A675" s="5" t="s">
        <v>2030</v>
      </c>
      <c r="B675" s="2" t="s">
        <v>2031</v>
      </c>
      <c r="C675" s="4" t="str">
        <f>IFERROR(__xludf.DUMMYFUNCTION("""🏘️ ""&amp;REGEXEXTRACT(B675, ""^(.*): "")&amp;"" ✅ "" &amp;REGEXEXTRACT(B675, ""(Trouvez.*)"")"),"🏘️ Vendre maison Vufflens-le-Château ✅ Trouvez le bien immobilier qui correspond idéalement à vos désirs sur ImmoScout24 - La plateforme de l'immobilier en Suisse.")</f>
        <v>🏘️ Vendre maison Vufflens-le-Château ✅ Trouvez le bien immobilier qui correspond idéalement à vos désirs sur ImmoScout24 - La plateforme de l'immobilier en Suisse.</v>
      </c>
      <c r="D675" s="4" t="str">
        <f>vlookup(A675, Sheet2!D:E, 2, 0)</f>
        <v>variant</v>
      </c>
      <c r="E675" s="4" t="str">
        <f>IFERROR(__xludf.DUMMYFUNCTION("if(H675=""pays"",vlookup(REGEXEXTRACT(C675, ""🏘️ \w+ \w+ (.*) ✅""),'Country prepositions'!A:B, 2, 0) &amp; "" "" &amp; REGEXEXTRACT(C675, ""🏘️ \w+ \w+ (.*) ✅"") ,  if(H675=""quartier"",vlookup(REGEXEXTRACT(C675, ""🏘️ \w+ \w+ (.*) ✅""),'Quartier prepositions'!A"&amp;":E, 5, 0) ,  if(H675=""region"",vlookup(REGEXEXTRACT(C675, ""🏘️ \w+ \w+ (.*) ✅""),'Region prepositions'!B:F, 5, 0),  REGEXEXTRACT(C675, ""🏘️ \w+ \w+ (.*) ✅""))))"),"Vufflens-le-Château")</f>
        <v>Vufflens-le-Château</v>
      </c>
      <c r="F675" s="2" t="str">
        <f>IFERROR(__xludf.DUMMYFUNCTION("REGEXEXTRACT(C675, ""🏘️ (\w+) \w+ .* ✅"")"),"Vendre")</f>
        <v>Vendre</v>
      </c>
      <c r="G675" s="2" t="str">
        <f>IFERROR(__xludf.DUMMYFUNCTION("REGEXEXTRACT(C675, ""🏘️ \w+ (\w+) .* ✅"")"),"maison")</f>
        <v>maison</v>
      </c>
      <c r="H675" s="4" t="str">
        <f>IFERROR(__xludf.DUMMYFUNCTION("REGEXEXTRACT(A675, ""/(\w+)-.*?"")"),"lieu")</f>
        <v>lieu</v>
      </c>
      <c r="I675" s="4" t="str">
        <f>IFERROR(__xludf.DUMMYFUNCTION("if(D675=""variant"",  substitute(filter(Templates!E:E, Templates!A:A = F675, Templates!B:B = G675, Templates!C:C = H675), ""{{}}"", E675), B675)"),"🏘  Vous souhaitez acheter une maison à Vufflens-le-Château? ✅ Jetez un œil aux dernières offres sur ImmoScout24.ch.")</f>
        <v>🏘  Vous souhaitez acheter une maison à Vufflens-le-Château? ✅ Jetez un œil aux dernières offres sur ImmoScout24.ch.</v>
      </c>
      <c r="J675" s="4" t="s">
        <v>2032</v>
      </c>
    </row>
    <row r="676">
      <c r="A676" s="5" t="s">
        <v>2033</v>
      </c>
      <c r="B676" s="2" t="s">
        <v>2034</v>
      </c>
      <c r="C676" s="4" t="str">
        <f>IFERROR(__xludf.DUMMYFUNCTION("""🏘️ ""&amp;REGEXEXTRACT(B676, ""^(.*): "")&amp;"" ✅ "" &amp;REGEXEXTRACT(B676, ""(Trouvez.*)"")"),"🏘️ Vendre maison Caviano ✅ Trouvez le bien immobilier qui correspond idéalement à vos désirs sur ImmoScout24 - La plateforme de l'immobilier en Suisse.")</f>
        <v>🏘️ Vendre maison Caviano ✅ Trouvez le bien immobilier qui correspond idéalement à vos désirs sur ImmoScout24 - La plateforme de l'immobilier en Suisse.</v>
      </c>
      <c r="D676" s="4" t="str">
        <f>vlookup(A676, Sheet2!D:E, 2, 0)</f>
        <v>variant</v>
      </c>
      <c r="E676" s="4" t="str">
        <f>IFERROR(__xludf.DUMMYFUNCTION("if(H676=""pays"",vlookup(REGEXEXTRACT(C676, ""🏘️ \w+ \w+ (.*) ✅""),'Country prepositions'!A:B, 2, 0) &amp; "" "" &amp; REGEXEXTRACT(C676, ""🏘️ \w+ \w+ (.*) ✅"") ,  if(H676=""quartier"",vlookup(REGEXEXTRACT(C676, ""🏘️ \w+ \w+ (.*) ✅""),'Quartier prepositions'!A"&amp;":E, 5, 0) ,  if(H676=""region"",vlookup(REGEXEXTRACT(C676, ""🏘️ \w+ \w+ (.*) ✅""),'Region prepositions'!B:F, 5, 0),  REGEXEXTRACT(C676, ""🏘️ \w+ \w+ (.*) ✅""))))"),"Caviano")</f>
        <v>Caviano</v>
      </c>
      <c r="F676" s="2" t="str">
        <f>IFERROR(__xludf.DUMMYFUNCTION("REGEXEXTRACT(C676, ""🏘️ (\w+) \w+ .* ✅"")"),"Vendre")</f>
        <v>Vendre</v>
      </c>
      <c r="G676" s="2" t="str">
        <f>IFERROR(__xludf.DUMMYFUNCTION("REGEXEXTRACT(C676, ""🏘️ \w+ (\w+) .* ✅"")"),"maison")</f>
        <v>maison</v>
      </c>
      <c r="H676" s="4" t="str">
        <f>IFERROR(__xludf.DUMMYFUNCTION("REGEXEXTRACT(A676, ""/(\w+)-.*?"")"),"lieu")</f>
        <v>lieu</v>
      </c>
      <c r="I676" s="4" t="str">
        <f>IFERROR(__xludf.DUMMYFUNCTION("if(D676=""variant"",  substitute(filter(Templates!E:E, Templates!A:A = F676, Templates!B:B = G676, Templates!C:C = H676), ""{{}}"", E676), B676)"),"🏘  Vous souhaitez acheter une maison à Caviano? ✅ Jetez un œil aux dernières offres sur ImmoScout24.ch.")</f>
        <v>🏘  Vous souhaitez acheter une maison à Caviano? ✅ Jetez un œil aux dernières offres sur ImmoScout24.ch.</v>
      </c>
      <c r="J676" s="4" t="s">
        <v>2035</v>
      </c>
    </row>
    <row r="677">
      <c r="A677" s="5" t="s">
        <v>2036</v>
      </c>
      <c r="B677" s="2" t="s">
        <v>2037</v>
      </c>
      <c r="C677" s="4" t="str">
        <f>IFERROR(__xludf.DUMMYFUNCTION("""🏘️ ""&amp;REGEXEXTRACT(B677, ""^(.*): "")&amp;"" ✅ "" &amp;REGEXEXTRACT(B677, ""(Trouvez.*)"")"),"🏘️ Vendre maison Chabrey ✅ Trouvez le bien immobilier qui correspond idéalement à vos désirs sur ImmoScout24 - La plateforme de l'immobilier en Suisse.")</f>
        <v>🏘️ Vendre maison Chabrey ✅ Trouvez le bien immobilier qui correspond idéalement à vos désirs sur ImmoScout24 - La plateforme de l'immobilier en Suisse.</v>
      </c>
      <c r="D677" s="4" t="str">
        <f>vlookup(A677, Sheet2!D:E, 2, 0)</f>
        <v>variant</v>
      </c>
      <c r="E677" s="4" t="str">
        <f>IFERROR(__xludf.DUMMYFUNCTION("if(H677=""pays"",vlookup(REGEXEXTRACT(C677, ""🏘️ \w+ \w+ (.*) ✅""),'Country prepositions'!A:B, 2, 0) &amp; "" "" &amp; REGEXEXTRACT(C677, ""🏘️ \w+ \w+ (.*) ✅"") ,  if(H677=""quartier"",vlookup(REGEXEXTRACT(C677, ""🏘️ \w+ \w+ (.*) ✅""),'Quartier prepositions'!A"&amp;":E, 5, 0) ,  if(H677=""region"",vlookup(REGEXEXTRACT(C677, ""🏘️ \w+ \w+ (.*) ✅""),'Region prepositions'!B:F, 5, 0),  REGEXEXTRACT(C677, ""🏘️ \w+ \w+ (.*) ✅""))))"),"Chabrey")</f>
        <v>Chabrey</v>
      </c>
      <c r="F677" s="2" t="str">
        <f>IFERROR(__xludf.DUMMYFUNCTION("REGEXEXTRACT(C677, ""🏘️ (\w+) \w+ .* ✅"")"),"Vendre")</f>
        <v>Vendre</v>
      </c>
      <c r="G677" s="2" t="str">
        <f>IFERROR(__xludf.DUMMYFUNCTION("REGEXEXTRACT(C677, ""🏘️ \w+ (\w+) .* ✅"")"),"maison")</f>
        <v>maison</v>
      </c>
      <c r="H677" s="4" t="str">
        <f>IFERROR(__xludf.DUMMYFUNCTION("REGEXEXTRACT(A677, ""/(\w+)-.*?"")"),"lieu")</f>
        <v>lieu</v>
      </c>
      <c r="I677" s="4" t="str">
        <f>IFERROR(__xludf.DUMMYFUNCTION("if(D677=""variant"",  substitute(filter(Templates!E:E, Templates!A:A = F677, Templates!B:B = G677, Templates!C:C = H677), ""{{}}"", E677), B677)"),"🏘  Vous souhaitez acheter une maison à Chabrey? ✅ Jetez un œil aux dernières offres sur ImmoScout24.ch.")</f>
        <v>🏘  Vous souhaitez acheter une maison à Chabrey? ✅ Jetez un œil aux dernières offres sur ImmoScout24.ch.</v>
      </c>
      <c r="J677" s="4" t="s">
        <v>2038</v>
      </c>
    </row>
    <row r="678">
      <c r="A678" s="5" t="s">
        <v>2039</v>
      </c>
      <c r="B678" s="2" t="s">
        <v>2040</v>
      </c>
      <c r="C678" s="4" t="str">
        <f>IFERROR(__xludf.DUMMYFUNCTION("""🏘️ ""&amp;REGEXEXTRACT(B678, ""^(.*): "")&amp;"" ✅ "" &amp;REGEXEXTRACT(B678, ""(Trouvez.*)"")"),"🏘️ Vendre appartement Châtel-St-Denis ✅ Trouvez le bien immobilier qui correspond idéalement à vos désirs sur ImmoScout24 - La plateforme de l'immobilier en Suisse.")</f>
        <v>🏘️ Vendre appartement Châtel-St-Denis ✅ Trouvez le bien immobilier qui correspond idéalement à vos désirs sur ImmoScout24 - La plateforme de l'immobilier en Suisse.</v>
      </c>
      <c r="D678" s="4" t="str">
        <f>vlookup(A678, Sheet2!D:E, 2, 0)</f>
        <v>variant</v>
      </c>
      <c r="E678" s="4" t="str">
        <f>IFERROR(__xludf.DUMMYFUNCTION("if(H678=""pays"",vlookup(REGEXEXTRACT(C678, ""🏘️ \w+ \w+ (.*) ✅""),'Country prepositions'!A:B, 2, 0) &amp; "" "" &amp; REGEXEXTRACT(C678, ""🏘️ \w+ \w+ (.*) ✅"") ,  if(H678=""quartier"",vlookup(REGEXEXTRACT(C678, ""🏘️ \w+ \w+ (.*) ✅""),'Quartier prepositions'!A"&amp;":E, 5, 0) ,  if(H678=""region"",vlookup(REGEXEXTRACT(C678, ""🏘️ \w+ \w+ (.*) ✅""),'Region prepositions'!B:F, 5, 0),  REGEXEXTRACT(C678, ""🏘️ \w+ \w+ (.*) ✅""))))"),"Châtel-St-Denis")</f>
        <v>Châtel-St-Denis</v>
      </c>
      <c r="F678" s="2" t="str">
        <f>IFERROR(__xludf.DUMMYFUNCTION("REGEXEXTRACT(C678, ""🏘️ (\w+) \w+ .* ✅"")"),"Vendre")</f>
        <v>Vendre</v>
      </c>
      <c r="G678" s="2" t="str">
        <f>IFERROR(__xludf.DUMMYFUNCTION("REGEXEXTRACT(C678, ""🏘️ \w+ (\w+) .* ✅"")"),"appartement")</f>
        <v>appartement</v>
      </c>
      <c r="H678" s="4" t="str">
        <f>IFERROR(__xludf.DUMMYFUNCTION("REGEXEXTRACT(A678, ""/(\w+)-.*?"")"),"lieu")</f>
        <v>lieu</v>
      </c>
      <c r="I678" s="4" t="str">
        <f>IFERROR(__xludf.DUMMYFUNCTION("if(D678=""variant"",  substitute(filter(Templates!E:E, Templates!A:A = F678, Templates!B:B = G678, Templates!C:C = H678), ""{{}}"", E678), B678)"),"🏘  L’appartement de vos rêves se trouve sur ImmoScout24.ch ✅ Découvrez les dernières annonces de vente à Châtel-St-Denis.")</f>
        <v>🏘  L’appartement de vos rêves se trouve sur ImmoScout24.ch ✅ Découvrez les dernières annonces de vente à Châtel-St-Denis.</v>
      </c>
      <c r="J678" s="4" t="s">
        <v>2041</v>
      </c>
    </row>
    <row r="679">
      <c r="A679" s="5" t="s">
        <v>2042</v>
      </c>
      <c r="B679" s="2" t="s">
        <v>2043</v>
      </c>
      <c r="C679" s="4" t="str">
        <f>IFERROR(__xludf.DUMMYFUNCTION("""🏘️ ""&amp;REGEXEXTRACT(B679, ""^(.*): "")&amp;"" ✅ "" &amp;REGEXEXTRACT(B679, ""(Trouvez.*)"")"),"🏘️ Louer maison Carouge GE ✅ Trouvez le bien immobilier qui correspond idéalement à vos désirs sur ImmoScout24 - La plateforme de l'immobilier en Suisse.")</f>
        <v>🏘️ Louer maison Carouge GE ✅ Trouvez le bien immobilier qui correspond idéalement à vos désirs sur ImmoScout24 - La plateforme de l'immobilier en Suisse.</v>
      </c>
      <c r="D679" s="4" t="str">
        <f>vlookup(A679, Sheet2!D:E, 2, 0)</f>
        <v>variant</v>
      </c>
      <c r="E679" s="4" t="str">
        <f>IFERROR(__xludf.DUMMYFUNCTION("if(H679=""pays"",vlookup(REGEXEXTRACT(C679, ""🏘️ \w+ \w+ (.*) ✅""),'Country prepositions'!A:B, 2, 0) &amp; "" "" &amp; REGEXEXTRACT(C679, ""🏘️ \w+ \w+ (.*) ✅"") ,  if(H679=""quartier"",vlookup(REGEXEXTRACT(C679, ""🏘️ \w+ \w+ (.*) ✅""),'Quartier prepositions'!A"&amp;":E, 5, 0) ,  if(H679=""region"",vlookup(REGEXEXTRACT(C679, ""🏘️ \w+ \w+ (.*) ✅""),'Region prepositions'!B:F, 5, 0),  REGEXEXTRACT(C679, ""🏘️ \w+ \w+ (.*) ✅""))))"),"Carouge GE")</f>
        <v>Carouge GE</v>
      </c>
      <c r="F679" s="2" t="str">
        <f>IFERROR(__xludf.DUMMYFUNCTION("REGEXEXTRACT(C679, ""🏘️ (\w+) \w+ .* ✅"")"),"Louer")</f>
        <v>Louer</v>
      </c>
      <c r="G679" s="2" t="str">
        <f>IFERROR(__xludf.DUMMYFUNCTION("REGEXEXTRACT(C679, ""🏘️ \w+ (\w+) .* ✅"")"),"maison")</f>
        <v>maison</v>
      </c>
      <c r="H679" s="4" t="str">
        <f>IFERROR(__xludf.DUMMYFUNCTION("REGEXEXTRACT(A679, ""/(\w+)-.*?"")"),"lieu")</f>
        <v>lieu</v>
      </c>
      <c r="I679" s="4" t="str">
        <f>IFERROR(__xludf.DUMMYFUNCTION("if(D679=""variant"",  substitute(filter(Templates!E:E, Templates!A:A = F679, Templates!B:B = G679, Templates!C:C = H679), ""{{}}"", E679), B679)"),"🏘  Vous cherchez une maison à louer à Carouge GE? ✅ Découvrez nos nombreuses annonces sur ImmoScout24.ch.")</f>
        <v>🏘  Vous cherchez une maison à louer à Carouge GE? ✅ Découvrez nos nombreuses annonces sur ImmoScout24.ch.</v>
      </c>
      <c r="J679" s="4" t="s">
        <v>2044</v>
      </c>
    </row>
    <row r="680">
      <c r="A680" s="5" t="s">
        <v>2045</v>
      </c>
      <c r="B680" s="2" t="s">
        <v>2046</v>
      </c>
      <c r="C680" s="4" t="str">
        <f>IFERROR(__xludf.DUMMYFUNCTION("""🏘️ ""&amp;REGEXEXTRACT(B680, ""^(.*): "")&amp;"" ✅ "" &amp;REGEXEXTRACT(B680, ""(Trouvez.*)"")"),"🏘️ Vendre appartement Grand-Lancy ✅ Trouvez le bien immobilier qui correspond idéalement à vos désirs sur ImmoScout24 - La plateforme de l'immobilier en Suisse.")</f>
        <v>🏘️ Vendre appartement Grand-Lancy ✅ Trouvez le bien immobilier qui correspond idéalement à vos désirs sur ImmoScout24 - La plateforme de l'immobilier en Suisse.</v>
      </c>
      <c r="D680" s="4" t="str">
        <f>vlookup(A680, Sheet2!D:E, 2, 0)</f>
        <v>variant</v>
      </c>
      <c r="E680" s="4" t="str">
        <f>IFERROR(__xludf.DUMMYFUNCTION("if(H680=""pays"",vlookup(REGEXEXTRACT(C680, ""🏘️ \w+ \w+ (.*) ✅""),'Country prepositions'!A:B, 2, 0) &amp; "" "" &amp; REGEXEXTRACT(C680, ""🏘️ \w+ \w+ (.*) ✅"") ,  if(H680=""quartier"",vlookup(REGEXEXTRACT(C680, ""🏘️ \w+ \w+ (.*) ✅""),'Quartier prepositions'!A"&amp;":E, 5, 0) ,  if(H680=""region"",vlookup(REGEXEXTRACT(C680, ""🏘️ \w+ \w+ (.*) ✅""),'Region prepositions'!B:F, 5, 0),  REGEXEXTRACT(C680, ""🏘️ \w+ \w+ (.*) ✅""))))"),"Grand-Lancy")</f>
        <v>Grand-Lancy</v>
      </c>
      <c r="F680" s="2" t="str">
        <f>IFERROR(__xludf.DUMMYFUNCTION("REGEXEXTRACT(C680, ""🏘️ (\w+) \w+ .* ✅"")"),"Vendre")</f>
        <v>Vendre</v>
      </c>
      <c r="G680" s="2" t="str">
        <f>IFERROR(__xludf.DUMMYFUNCTION("REGEXEXTRACT(C680, ""🏘️ \w+ (\w+) .* ✅"")"),"appartement")</f>
        <v>appartement</v>
      </c>
      <c r="H680" s="4" t="str">
        <f>IFERROR(__xludf.DUMMYFUNCTION("REGEXEXTRACT(A680, ""/(\w+)-.*?"")"),"lieu")</f>
        <v>lieu</v>
      </c>
      <c r="I680" s="4" t="str">
        <f>IFERROR(__xludf.DUMMYFUNCTION("if(D680=""variant"",  substitute(filter(Templates!E:E, Templates!A:A = F680, Templates!B:B = G680, Templates!C:C = H680), ""{{}}"", E680), B680)"),"🏘  L’appartement de vos rêves se trouve sur ImmoScout24.ch ✅ Découvrez les dernières annonces de vente à Grand-Lancy.")</f>
        <v>🏘  L’appartement de vos rêves se trouve sur ImmoScout24.ch ✅ Découvrez les dernières annonces de vente à Grand-Lancy.</v>
      </c>
      <c r="J680" s="4" t="s">
        <v>2047</v>
      </c>
    </row>
    <row r="681">
      <c r="A681" s="5" t="s">
        <v>2048</v>
      </c>
      <c r="B681" s="2" t="s">
        <v>2049</v>
      </c>
      <c r="C681" s="4" t="str">
        <f>IFERROR(__xludf.DUMMYFUNCTION("""🏘️ ""&amp;REGEXEXTRACT(B681, ""^(.*): "")&amp;"" ✅ "" &amp;REGEXEXTRACT(B681, ""(Trouvez.*)"")"),"🏘️ Vendre maison La Heutte ✅ Trouvez le bien immobilier qui correspond idéalement à vos désirs sur ImmoScout24 - La plateforme de l'immobilier en Suisse.")</f>
        <v>🏘️ Vendre maison La Heutte ✅ Trouvez le bien immobilier qui correspond idéalement à vos désirs sur ImmoScout24 - La plateforme de l'immobilier en Suisse.</v>
      </c>
      <c r="D681" s="4" t="str">
        <f>vlookup(A681, Sheet2!D:E, 2, 0)</f>
        <v>variant</v>
      </c>
      <c r="E681" s="4" t="str">
        <f>IFERROR(__xludf.DUMMYFUNCTION("if(H681=""pays"",vlookup(REGEXEXTRACT(C681, ""🏘️ \w+ \w+ (.*) ✅""),'Country prepositions'!A:B, 2, 0) &amp; "" "" &amp; REGEXEXTRACT(C681, ""🏘️ \w+ \w+ (.*) ✅"") ,  if(H681=""quartier"",vlookup(REGEXEXTRACT(C681, ""🏘️ \w+ \w+ (.*) ✅""),'Quartier prepositions'!A"&amp;":E, 5, 0) ,  if(H681=""region"",vlookup(REGEXEXTRACT(C681, ""🏘️ \w+ \w+ (.*) ✅""),'Region prepositions'!B:F, 5, 0),  REGEXEXTRACT(C681, ""🏘️ \w+ \w+ (.*) ✅""))))"),"La Heutte")</f>
        <v>La Heutte</v>
      </c>
      <c r="F681" s="2" t="str">
        <f>IFERROR(__xludf.DUMMYFUNCTION("REGEXEXTRACT(C681, ""🏘️ (\w+) \w+ .* ✅"")"),"Vendre")</f>
        <v>Vendre</v>
      </c>
      <c r="G681" s="2" t="str">
        <f>IFERROR(__xludf.DUMMYFUNCTION("REGEXEXTRACT(C681, ""🏘️ \w+ (\w+) .* ✅"")"),"maison")</f>
        <v>maison</v>
      </c>
      <c r="H681" s="4" t="str">
        <f>IFERROR(__xludf.DUMMYFUNCTION("REGEXEXTRACT(A681, ""/(\w+)-.*?"")"),"lieu")</f>
        <v>lieu</v>
      </c>
      <c r="I681" s="4" t="str">
        <f>IFERROR(__xludf.DUMMYFUNCTION("if(D681=""variant"",  substitute(filter(Templates!E:E, Templates!A:A = F681, Templates!B:B = G681, Templates!C:C = H681), ""{{}}"", E681), B681)"),"🏘  Vous souhaitez acheter une maison à La Heutte? ✅ Jetez un œil aux dernières offres sur ImmoScout24.ch.")</f>
        <v>🏘  Vous souhaitez acheter une maison à La Heutte? ✅ Jetez un œil aux dernières offres sur ImmoScout24.ch.</v>
      </c>
      <c r="J681" s="4" t="s">
        <v>2050</v>
      </c>
    </row>
    <row r="682">
      <c r="A682" s="5" t="s">
        <v>2051</v>
      </c>
      <c r="B682" s="2" t="s">
        <v>2052</v>
      </c>
      <c r="C682" s="4" t="str">
        <f>IFERROR(__xludf.DUMMYFUNCTION("""🏘️ ""&amp;REGEXEXTRACT(B682, ""^(.*): "")&amp;"" ✅ "" &amp;REGEXEXTRACT(B682, ""(Trouvez.*)"")"),"🏘️ Louer maison Rochefort ✅ Trouvez le bien immobilier qui correspond idéalement à vos désirs sur ImmoScout24 - La plateforme de l'immobilier en Suisse.")</f>
        <v>🏘️ Louer maison Rochefort ✅ Trouvez le bien immobilier qui correspond idéalement à vos désirs sur ImmoScout24 - La plateforme de l'immobilier en Suisse.</v>
      </c>
      <c r="D682" s="4" t="str">
        <f>vlookup(A682, Sheet2!D:E, 2, 0)</f>
        <v>variant</v>
      </c>
      <c r="E682" s="4" t="str">
        <f>IFERROR(__xludf.DUMMYFUNCTION("if(H682=""pays"",vlookup(REGEXEXTRACT(C682, ""🏘️ \w+ \w+ (.*) ✅""),'Country prepositions'!A:B, 2, 0) &amp; "" "" &amp; REGEXEXTRACT(C682, ""🏘️ \w+ \w+ (.*) ✅"") ,  if(H682=""quartier"",vlookup(REGEXEXTRACT(C682, ""🏘️ \w+ \w+ (.*) ✅""),'Quartier prepositions'!A"&amp;":E, 5, 0) ,  if(H682=""region"",vlookup(REGEXEXTRACT(C682, ""🏘️ \w+ \w+ (.*) ✅""),'Region prepositions'!B:F, 5, 0),  REGEXEXTRACT(C682, ""🏘️ \w+ \w+ (.*) ✅""))))"),"Rochefort")</f>
        <v>Rochefort</v>
      </c>
      <c r="F682" s="2" t="str">
        <f>IFERROR(__xludf.DUMMYFUNCTION("REGEXEXTRACT(C682, ""🏘️ (\w+) \w+ .* ✅"")"),"Louer")</f>
        <v>Louer</v>
      </c>
      <c r="G682" s="2" t="str">
        <f>IFERROR(__xludf.DUMMYFUNCTION("REGEXEXTRACT(C682, ""🏘️ \w+ (\w+) .* ✅"")"),"maison")</f>
        <v>maison</v>
      </c>
      <c r="H682" s="4" t="str">
        <f>IFERROR(__xludf.DUMMYFUNCTION("REGEXEXTRACT(A682, ""/(\w+)-.*?"")"),"lieu")</f>
        <v>lieu</v>
      </c>
      <c r="I682" s="4" t="str">
        <f>IFERROR(__xludf.DUMMYFUNCTION("if(D682=""variant"",  substitute(filter(Templates!E:E, Templates!A:A = F682, Templates!B:B = G682, Templates!C:C = H682), ""{{}}"", E682), B682)"),"🏘  Vous cherchez une maison à louer à Rochefort? ✅ Découvrez nos nombreuses annonces sur ImmoScout24.ch.")</f>
        <v>🏘  Vous cherchez une maison à louer à Rochefort? ✅ Découvrez nos nombreuses annonces sur ImmoScout24.ch.</v>
      </c>
      <c r="J682" s="4" t="s">
        <v>2053</v>
      </c>
    </row>
    <row r="683">
      <c r="A683" s="5" t="s">
        <v>2054</v>
      </c>
      <c r="B683" s="2" t="s">
        <v>2055</v>
      </c>
      <c r="C683" s="4" t="str">
        <f>IFERROR(__xludf.DUMMYFUNCTION("""🏘️ ""&amp;REGEXEXTRACT(B683, ""^(.*): "")&amp;"" ✅ "" &amp;REGEXEXTRACT(B683, ""(Trouvez.*)"")"),"🏘️ Vendre appartement Boujean (Biel/Bienne) ✅ Trouvez le bien immobilier qui correspond idéalement à vos désirs sur ImmoScout24 - La plateforme de l'immobilier en Suisse.")</f>
        <v>🏘️ Vendre appartement Boujean (Biel/Bienne) ✅ Trouvez le bien immobilier qui correspond idéalement à vos désirs sur ImmoScout24 - La plateforme de l'immobilier en Suisse.</v>
      </c>
      <c r="D683" s="4" t="str">
        <f>vlookup(A683, Sheet2!D:E, 2, 0)</f>
        <v>variant</v>
      </c>
      <c r="E683" s="4" t="str">
        <f>IFERROR(__xludf.DUMMYFUNCTION("if(H683=""pays"",vlookup(REGEXEXTRACT(C683, ""🏘️ \w+ \w+ (.*) ✅""),'Country prepositions'!A:B, 2, 0) &amp; "" "" &amp; REGEXEXTRACT(C683, ""🏘️ \w+ \w+ (.*) ✅"") ,  if(H683=""quartier"",vlookup(REGEXEXTRACT(C683, ""🏘️ \w+ \w+ (.*) ✅""),'Quartier prepositions'!A"&amp;":E, 5, 0) ,  if(H683=""region"",vlookup(REGEXEXTRACT(C683, ""🏘️ \w+ \w+ (.*) ✅""),'Region prepositions'!B:F, 5, 0),  REGEXEXTRACT(C683, ""🏘️ \w+ \w+ (.*) ✅""))))"),"dans le quartier de Boujean (Biel/Bienne)")</f>
        <v>dans le quartier de Boujean (Biel/Bienne)</v>
      </c>
      <c r="F683" s="2" t="str">
        <f>IFERROR(__xludf.DUMMYFUNCTION("REGEXEXTRACT(C683, ""🏘️ (\w+) \w+ .* ✅"")"),"Vendre")</f>
        <v>Vendre</v>
      </c>
      <c r="G683" s="2" t="str">
        <f>IFERROR(__xludf.DUMMYFUNCTION("REGEXEXTRACT(C683, ""🏘️ \w+ (\w+) .* ✅"")"),"appartement")</f>
        <v>appartement</v>
      </c>
      <c r="H683" s="4" t="str">
        <f>IFERROR(__xludf.DUMMYFUNCTION("REGEXEXTRACT(A683, ""/(\w+)-.*?"")"),"quartier")</f>
        <v>quartier</v>
      </c>
      <c r="I683" s="4" t="str">
        <f>IFERROR(__xludf.DUMMYFUNCTION("if(D683=""variant"",  substitute(filter(Templates!E:E, Templates!A:A = F683, Templates!B:B = G683, Templates!C:C = H683), ""{{}}"", E683), B683)"),"🏘  L’appartement de vos rêves se trouve sur ImmoScout24.ch ✅ Découvrez les dernières annonces de vente dans le quartier de Boujean (Biel/Bienne).")</f>
        <v>🏘  L’appartement de vos rêves se trouve sur ImmoScout24.ch ✅ Découvrez les dernières annonces de vente dans le quartier de Boujean (Biel/Bienne).</v>
      </c>
      <c r="J683" s="4" t="s">
        <v>2056</v>
      </c>
    </row>
    <row r="684">
      <c r="A684" s="5" t="s">
        <v>2057</v>
      </c>
      <c r="B684" s="2" t="s">
        <v>2058</v>
      </c>
      <c r="C684" s="4" t="str">
        <f>IFERROR(__xludf.DUMMYFUNCTION("""🏘️ ""&amp;REGEXEXTRACT(B684, ""^(.*): "")&amp;"" ✅ "" &amp;REGEXEXTRACT(B684, ""(Trouvez.*)"")"),"🏘️ Vendre maison Sorens ✅ Trouvez le bien immobilier qui correspond idéalement à vos désirs sur ImmoScout24 - La plateforme de l'immobilier en Suisse.")</f>
        <v>🏘️ Vendre maison Sorens ✅ Trouvez le bien immobilier qui correspond idéalement à vos désirs sur ImmoScout24 - La plateforme de l'immobilier en Suisse.</v>
      </c>
      <c r="D684" s="4" t="str">
        <f>vlookup(A684, Sheet2!D:E, 2, 0)</f>
        <v>variant</v>
      </c>
      <c r="E684" s="4" t="str">
        <f>IFERROR(__xludf.DUMMYFUNCTION("if(H684=""pays"",vlookup(REGEXEXTRACT(C684, ""🏘️ \w+ \w+ (.*) ✅""),'Country prepositions'!A:B, 2, 0) &amp; "" "" &amp; REGEXEXTRACT(C684, ""🏘️ \w+ \w+ (.*) ✅"") ,  if(H684=""quartier"",vlookup(REGEXEXTRACT(C684, ""🏘️ \w+ \w+ (.*) ✅""),'Quartier prepositions'!A"&amp;":E, 5, 0) ,  if(H684=""region"",vlookup(REGEXEXTRACT(C684, ""🏘️ \w+ \w+ (.*) ✅""),'Region prepositions'!B:F, 5, 0),  REGEXEXTRACT(C684, ""🏘️ \w+ \w+ (.*) ✅""))))"),"Sorens")</f>
        <v>Sorens</v>
      </c>
      <c r="F684" s="2" t="str">
        <f>IFERROR(__xludf.DUMMYFUNCTION("REGEXEXTRACT(C684, ""🏘️ (\w+) \w+ .* ✅"")"),"Vendre")</f>
        <v>Vendre</v>
      </c>
      <c r="G684" s="2" t="str">
        <f>IFERROR(__xludf.DUMMYFUNCTION("REGEXEXTRACT(C684, ""🏘️ \w+ (\w+) .* ✅"")"),"maison")</f>
        <v>maison</v>
      </c>
      <c r="H684" s="4" t="str">
        <f>IFERROR(__xludf.DUMMYFUNCTION("REGEXEXTRACT(A684, ""/(\w+)-.*?"")"),"lieu")</f>
        <v>lieu</v>
      </c>
      <c r="I684" s="4" t="str">
        <f>IFERROR(__xludf.DUMMYFUNCTION("if(D684=""variant"",  substitute(filter(Templates!E:E, Templates!A:A = F684, Templates!B:B = G684, Templates!C:C = H684), ""{{}}"", E684), B684)"),"🏘  Vous souhaitez acheter une maison à Sorens? ✅ Jetez un œil aux dernières offres sur ImmoScout24.ch.")</f>
        <v>🏘  Vous souhaitez acheter une maison à Sorens? ✅ Jetez un œil aux dernières offres sur ImmoScout24.ch.</v>
      </c>
      <c r="J684" s="4" t="s">
        <v>2059</v>
      </c>
    </row>
    <row r="685">
      <c r="A685" s="5" t="s">
        <v>2060</v>
      </c>
      <c r="B685" s="2" t="s">
        <v>2061</v>
      </c>
      <c r="C685" s="4" t="str">
        <f>IFERROR(__xludf.DUMMYFUNCTION("""🏘️ ""&amp;REGEXEXTRACT(B685, ""^(.*): "")&amp;"" ✅ "" &amp;REGEXEXTRACT(B685, ""(Trouvez.*)"")"),"🏘️ Vendre appartement Carona ✅ Trouvez le bien immobilier qui correspond idéalement à vos désirs sur ImmoScout24 - La plateforme de l'immobilier en Suisse.")</f>
        <v>🏘️ Vendre appartement Carona ✅ Trouvez le bien immobilier qui correspond idéalement à vos désirs sur ImmoScout24 - La plateforme de l'immobilier en Suisse.</v>
      </c>
      <c r="D685" s="4" t="str">
        <f>vlookup(A685, Sheet2!D:E, 2, 0)</f>
        <v>variant</v>
      </c>
      <c r="E685" s="4" t="str">
        <f>IFERROR(__xludf.DUMMYFUNCTION("if(H685=""pays"",vlookup(REGEXEXTRACT(C685, ""🏘️ \w+ \w+ (.*) ✅""),'Country prepositions'!A:B, 2, 0) &amp; "" "" &amp; REGEXEXTRACT(C685, ""🏘️ \w+ \w+ (.*) ✅"") ,  if(H685=""quartier"",vlookup(REGEXEXTRACT(C685, ""🏘️ \w+ \w+ (.*) ✅""),'Quartier prepositions'!A"&amp;":E, 5, 0) ,  if(H685=""region"",vlookup(REGEXEXTRACT(C685, ""🏘️ \w+ \w+ (.*) ✅""),'Region prepositions'!B:F, 5, 0),  REGEXEXTRACT(C685, ""🏘️ \w+ \w+ (.*) ✅""))))"),"Carona")</f>
        <v>Carona</v>
      </c>
      <c r="F685" s="2" t="str">
        <f>IFERROR(__xludf.DUMMYFUNCTION("REGEXEXTRACT(C685, ""🏘️ (\w+) \w+ .* ✅"")"),"Vendre")</f>
        <v>Vendre</v>
      </c>
      <c r="G685" s="2" t="str">
        <f>IFERROR(__xludf.DUMMYFUNCTION("REGEXEXTRACT(C685, ""🏘️ \w+ (\w+) .* ✅"")"),"appartement")</f>
        <v>appartement</v>
      </c>
      <c r="H685" s="4" t="str">
        <f>IFERROR(__xludf.DUMMYFUNCTION("REGEXEXTRACT(A685, ""/(\w+)-.*?"")"),"lieu")</f>
        <v>lieu</v>
      </c>
      <c r="I685" s="4" t="str">
        <f>IFERROR(__xludf.DUMMYFUNCTION("if(D685=""variant"",  substitute(filter(Templates!E:E, Templates!A:A = F685, Templates!B:B = G685, Templates!C:C = H685), ""{{}}"", E685), B685)"),"🏘  L’appartement de vos rêves se trouve sur ImmoScout24.ch ✅ Découvrez les dernières annonces de vente à Carona.")</f>
        <v>🏘  L’appartement de vos rêves se trouve sur ImmoScout24.ch ✅ Découvrez les dernières annonces de vente à Carona.</v>
      </c>
      <c r="J685" s="4" t="s">
        <v>2062</v>
      </c>
    </row>
    <row r="686">
      <c r="A686" s="5" t="s">
        <v>2063</v>
      </c>
      <c r="B686" s="2" t="s">
        <v>2064</v>
      </c>
      <c r="C686" s="4" t="str">
        <f>IFERROR(__xludf.DUMMYFUNCTION("""🏘️ ""&amp;REGEXEXTRACT(B686, ""^(.*): "")&amp;"" ✅ "" &amp;REGEXEXTRACT(B686, ""(Trouvez.*)"")"),"🏘️ Vendre maison Bourg (Fribourg) ✅ Trouvez le bien immobilier qui correspond idéalement à vos désirs sur ImmoScout24 - La plateforme de l'immobilier en Suisse.")</f>
        <v>🏘️ Vendre maison Bourg (Fribourg) ✅ Trouvez le bien immobilier qui correspond idéalement à vos désirs sur ImmoScout24 - La plateforme de l'immobilier en Suisse.</v>
      </c>
      <c r="D686" s="4" t="str">
        <f>vlookup(A686, Sheet2!D:E, 2, 0)</f>
        <v>variant</v>
      </c>
      <c r="E686" s="4" t="str">
        <f>IFERROR(__xludf.DUMMYFUNCTION("if(H686=""pays"",vlookup(REGEXEXTRACT(C686, ""🏘️ \w+ \w+ (.*) ✅""),'Country prepositions'!A:B, 2, 0) &amp; "" "" &amp; REGEXEXTRACT(C686, ""🏘️ \w+ \w+ (.*) ✅"") ,  if(H686=""quartier"",vlookup(REGEXEXTRACT(C686, ""🏘️ \w+ \w+ (.*) ✅""),'Quartier prepositions'!A"&amp;":E, 5, 0) ,  if(H686=""region"",vlookup(REGEXEXTRACT(C686, ""🏘️ \w+ \w+ (.*) ✅""),'Region prepositions'!B:F, 5, 0),  REGEXEXTRACT(C686, ""🏘️ \w+ \w+ (.*) ✅""))))"),"dans le quartier du Bourg (Fribourg)")</f>
        <v>dans le quartier du Bourg (Fribourg)</v>
      </c>
      <c r="F686" s="2" t="str">
        <f>IFERROR(__xludf.DUMMYFUNCTION("REGEXEXTRACT(C686, ""🏘️ (\w+) \w+ .* ✅"")"),"Vendre")</f>
        <v>Vendre</v>
      </c>
      <c r="G686" s="2" t="str">
        <f>IFERROR(__xludf.DUMMYFUNCTION("REGEXEXTRACT(C686, ""🏘️ \w+ (\w+) .* ✅"")"),"maison")</f>
        <v>maison</v>
      </c>
      <c r="H686" s="4" t="str">
        <f>IFERROR(__xludf.DUMMYFUNCTION("REGEXEXTRACT(A686, ""/(\w+)-.*?"")"),"quartier")</f>
        <v>quartier</v>
      </c>
      <c r="I686" s="4" t="str">
        <f>IFERROR(__xludf.DUMMYFUNCTION("if(D686=""variant"",  substitute(filter(Templates!E:E, Templates!A:A = F686, Templates!B:B = G686, Templates!C:C = H686), ""{{}}"", E686), B686)"),"🏘  Vous souhaitez acheter une maison dans le quartier du Bourg (Fribourg)? ✅ Jetez un œil aux dernières offres sur ImmoScout24.ch.")</f>
        <v>🏘  Vous souhaitez acheter une maison dans le quartier du Bourg (Fribourg)? ✅ Jetez un œil aux dernières offres sur ImmoScout24.ch.</v>
      </c>
      <c r="J686" s="4" t="s">
        <v>2065</v>
      </c>
    </row>
    <row r="687">
      <c r="A687" s="5" t="s">
        <v>2066</v>
      </c>
      <c r="B687" s="2" t="s">
        <v>2067</v>
      </c>
      <c r="C687" s="4" t="str">
        <f>IFERROR(__xludf.DUMMYFUNCTION("""🏘️ ""&amp;REGEXEXTRACT(B687, ""^(.*): "")&amp;"" ✅ "" &amp;REGEXEXTRACT(B687, ""(Trouvez.*)"")"),"🏘️ Louer appartement Staufen ✅ Trouvez le bien immobilier qui correspond idéalement à vos désirs sur ImmoScout24 - La plateforme de l'immobilier en Suisse.")</f>
        <v>🏘️ Louer appartement Staufen ✅ Trouvez le bien immobilier qui correspond idéalement à vos désirs sur ImmoScout24 - La plateforme de l'immobilier en Suisse.</v>
      </c>
      <c r="D687" s="4" t="str">
        <f>vlookup(A687, Sheet2!D:E, 2, 0)</f>
        <v>variant</v>
      </c>
      <c r="E687" s="4" t="str">
        <f>IFERROR(__xludf.DUMMYFUNCTION("if(H687=""pays"",vlookup(REGEXEXTRACT(C687, ""🏘️ \w+ \w+ (.*) ✅""),'Country prepositions'!A:B, 2, 0) &amp; "" "" &amp; REGEXEXTRACT(C687, ""🏘️ \w+ \w+ (.*) ✅"") ,  if(H687=""quartier"",vlookup(REGEXEXTRACT(C687, ""🏘️ \w+ \w+ (.*) ✅""),'Quartier prepositions'!A"&amp;":E, 5, 0) ,  if(H687=""region"",vlookup(REGEXEXTRACT(C687, ""🏘️ \w+ \w+ (.*) ✅""),'Region prepositions'!B:F, 5, 0),  REGEXEXTRACT(C687, ""🏘️ \w+ \w+ (.*) ✅""))))"),"Staufen")</f>
        <v>Staufen</v>
      </c>
      <c r="F687" s="2" t="str">
        <f>IFERROR(__xludf.DUMMYFUNCTION("REGEXEXTRACT(C687, ""🏘️ (\w+) \w+ .* ✅"")"),"Louer")</f>
        <v>Louer</v>
      </c>
      <c r="G687" s="2" t="str">
        <f>IFERROR(__xludf.DUMMYFUNCTION("REGEXEXTRACT(C687, ""🏘️ \w+ (\w+) .* ✅"")"),"appartement")</f>
        <v>appartement</v>
      </c>
      <c r="H687" s="4" t="str">
        <f>IFERROR(__xludf.DUMMYFUNCTION("REGEXEXTRACT(A687, ""/(\w+)-.*?"")"),"lieu")</f>
        <v>lieu</v>
      </c>
      <c r="I687" s="4" t="str">
        <f>IFERROR(__xludf.DUMMYFUNCTION("if(D687=""variant"",  substitute(filter(Templates!E:E, Templates!A:A = F687, Templates!B:B = G687, Templates!C:C = H687), ""{{}}"", E687), B687)"),"🏘  Vous cherchez un appartement à louer à Staufen? ✅ Les annonces les plus actuelles sont sur ImmoScout24.ch.")</f>
        <v>🏘  Vous cherchez un appartement à louer à Staufen? ✅ Les annonces les plus actuelles sont sur ImmoScout24.ch.</v>
      </c>
      <c r="J687" s="4" t="s">
        <v>2068</v>
      </c>
    </row>
    <row r="688">
      <c r="A688" s="5" t="s">
        <v>2069</v>
      </c>
      <c r="B688" s="2" t="s">
        <v>2070</v>
      </c>
      <c r="C688" s="4" t="str">
        <f>IFERROR(__xludf.DUMMYFUNCTION("""🏘️ ""&amp;REGEXEXTRACT(B688, ""^(.*): "")&amp;"" ✅ "" &amp;REGEXEXTRACT(B688, ""(Trouvez.*)"")"),"🏘️ Vendre maison Hergiswil NW ✅ Trouvez le bien immobilier qui correspond idéalement à vos désirs sur ImmoScout24 - La plateforme de l'immobilier en Suisse.")</f>
        <v>🏘️ Vendre maison Hergiswil NW ✅ Trouvez le bien immobilier qui correspond idéalement à vos désirs sur ImmoScout24 - La plateforme de l'immobilier en Suisse.</v>
      </c>
      <c r="D688" s="4" t="str">
        <f>vlookup(A688, Sheet2!D:E, 2, 0)</f>
        <v>variant</v>
      </c>
      <c r="E688" s="4" t="str">
        <f>IFERROR(__xludf.DUMMYFUNCTION("if(H688=""pays"",vlookup(REGEXEXTRACT(C688, ""🏘️ \w+ \w+ (.*) ✅""),'Country prepositions'!A:B, 2, 0) &amp; "" "" &amp; REGEXEXTRACT(C688, ""🏘️ \w+ \w+ (.*) ✅"") ,  if(H688=""quartier"",vlookup(REGEXEXTRACT(C688, ""🏘️ \w+ \w+ (.*) ✅""),'Quartier prepositions'!A"&amp;":E, 5, 0) ,  if(H688=""region"",vlookup(REGEXEXTRACT(C688, ""🏘️ \w+ \w+ (.*) ✅""),'Region prepositions'!B:F, 5, 0),  REGEXEXTRACT(C688, ""🏘️ \w+ \w+ (.*) ✅""))))"),"Hergiswil NW")</f>
        <v>Hergiswil NW</v>
      </c>
      <c r="F688" s="2" t="str">
        <f>IFERROR(__xludf.DUMMYFUNCTION("REGEXEXTRACT(C688, ""🏘️ (\w+) \w+ .* ✅"")"),"Vendre")</f>
        <v>Vendre</v>
      </c>
      <c r="G688" s="2" t="str">
        <f>IFERROR(__xludf.DUMMYFUNCTION("REGEXEXTRACT(C688, ""🏘️ \w+ (\w+) .* ✅"")"),"maison")</f>
        <v>maison</v>
      </c>
      <c r="H688" s="4" t="str">
        <f>IFERROR(__xludf.DUMMYFUNCTION("REGEXEXTRACT(A688, ""/(\w+)-.*?"")"),"lieu")</f>
        <v>lieu</v>
      </c>
      <c r="I688" s="4" t="str">
        <f>IFERROR(__xludf.DUMMYFUNCTION("if(D688=""variant"",  substitute(filter(Templates!E:E, Templates!A:A = F688, Templates!B:B = G688, Templates!C:C = H688), ""{{}}"", E688), B688)"),"🏘  Vous souhaitez acheter une maison à Hergiswil NW? ✅ Jetez un œil aux dernières offres sur ImmoScout24.ch.")</f>
        <v>🏘  Vous souhaitez acheter une maison à Hergiswil NW? ✅ Jetez un œil aux dernières offres sur ImmoScout24.ch.</v>
      </c>
      <c r="J688" s="4" t="s">
        <v>2071</v>
      </c>
    </row>
    <row r="689">
      <c r="A689" s="5" t="s">
        <v>2072</v>
      </c>
      <c r="B689" s="2" t="s">
        <v>2073</v>
      </c>
      <c r="C689" s="4" t="str">
        <f>IFERROR(__xludf.DUMMYFUNCTION("""🏘️ ""&amp;REGEXEXTRACT(B689, ""^(.*): "")&amp;"" ✅ "" &amp;REGEXEXTRACT(B689, ""(Trouvez.*)"")"),"🏘️ Louer appartement Asp ✅ Trouvez le bien immobilier qui correspond idéalement à vos désirs sur ImmoScout24 - La plateforme de l'immobilier en Suisse.")</f>
        <v>🏘️ Louer appartement Asp ✅ Trouvez le bien immobilier qui correspond idéalement à vos désirs sur ImmoScout24 - La plateforme de l'immobilier en Suisse.</v>
      </c>
      <c r="D689" s="4" t="str">
        <f>vlookup(A689, Sheet2!D:E, 2, 0)</f>
        <v>variant</v>
      </c>
      <c r="E689" s="4" t="str">
        <f>IFERROR(__xludf.DUMMYFUNCTION("if(H689=""pays"",vlookup(REGEXEXTRACT(C689, ""🏘️ \w+ \w+ (.*) ✅""),'Country prepositions'!A:B, 2, 0) &amp; "" "" &amp; REGEXEXTRACT(C689, ""🏘️ \w+ \w+ (.*) ✅"") ,  if(H689=""quartier"",vlookup(REGEXEXTRACT(C689, ""🏘️ \w+ \w+ (.*) ✅""),'Quartier prepositions'!A"&amp;":E, 5, 0) ,  if(H689=""region"",vlookup(REGEXEXTRACT(C689, ""🏘️ \w+ \w+ (.*) ✅""),'Region prepositions'!B:F, 5, 0),  REGEXEXTRACT(C689, ""🏘️ \w+ \w+ (.*) ✅""))))"),"Asp")</f>
        <v>Asp</v>
      </c>
      <c r="F689" s="2" t="str">
        <f>IFERROR(__xludf.DUMMYFUNCTION("REGEXEXTRACT(C689, ""🏘️ (\w+) \w+ .* ✅"")"),"Louer")</f>
        <v>Louer</v>
      </c>
      <c r="G689" s="2" t="str">
        <f>IFERROR(__xludf.DUMMYFUNCTION("REGEXEXTRACT(C689, ""🏘️ \w+ (\w+) .* ✅"")"),"appartement")</f>
        <v>appartement</v>
      </c>
      <c r="H689" s="4" t="str">
        <f>IFERROR(__xludf.DUMMYFUNCTION("REGEXEXTRACT(A689, ""/(\w+)-.*?"")"),"lieu")</f>
        <v>lieu</v>
      </c>
      <c r="I689" s="4" t="str">
        <f>IFERROR(__xludf.DUMMYFUNCTION("if(D689=""variant"",  substitute(filter(Templates!E:E, Templates!A:A = F689, Templates!B:B = G689, Templates!C:C = H689), ""{{}}"", E689), B689)"),"🏘  Vous cherchez un appartement à louer à Asp? ✅ Les annonces les plus actuelles sont sur ImmoScout24.ch.")</f>
        <v>🏘  Vous cherchez un appartement à louer à Asp? ✅ Les annonces les plus actuelles sont sur ImmoScout24.ch.</v>
      </c>
      <c r="J689" s="4" t="s">
        <v>2074</v>
      </c>
    </row>
    <row r="690">
      <c r="A690" s="5" t="s">
        <v>2075</v>
      </c>
      <c r="B690" s="2" t="s">
        <v>2076</v>
      </c>
      <c r="C690" s="4" t="str">
        <f>IFERROR(__xludf.DUMMYFUNCTION("""🏘️ ""&amp;REGEXEXTRACT(B690, ""^(.*): "")&amp;"" ✅ "" &amp;REGEXEXTRACT(B690, ""(Trouvez.*)"")"),"🏘️ Vendre appartement Baulmes ✅ Trouvez le bien immobilier qui correspond idéalement à vos désirs sur ImmoScout24 - La plateforme de l'immobilier en Suisse.")</f>
        <v>🏘️ Vendre appartement Baulmes ✅ Trouvez le bien immobilier qui correspond idéalement à vos désirs sur ImmoScout24 - La plateforme de l'immobilier en Suisse.</v>
      </c>
      <c r="D690" s="4" t="str">
        <f>vlookup(A690, Sheet2!D:E, 2, 0)</f>
        <v>variant</v>
      </c>
      <c r="E690" s="4" t="str">
        <f>IFERROR(__xludf.DUMMYFUNCTION("if(H690=""pays"",vlookup(REGEXEXTRACT(C690, ""🏘️ \w+ \w+ (.*) ✅""),'Country prepositions'!A:B, 2, 0) &amp; "" "" &amp; REGEXEXTRACT(C690, ""🏘️ \w+ \w+ (.*) ✅"") ,  if(H690=""quartier"",vlookup(REGEXEXTRACT(C690, ""🏘️ \w+ \w+ (.*) ✅""),'Quartier prepositions'!A"&amp;":E, 5, 0) ,  if(H690=""region"",vlookup(REGEXEXTRACT(C690, ""🏘️ \w+ \w+ (.*) ✅""),'Region prepositions'!B:F, 5, 0),  REGEXEXTRACT(C690, ""🏘️ \w+ \w+ (.*) ✅""))))"),"Baulmes")</f>
        <v>Baulmes</v>
      </c>
      <c r="F690" s="2" t="str">
        <f>IFERROR(__xludf.DUMMYFUNCTION("REGEXEXTRACT(C690, ""🏘️ (\w+) \w+ .* ✅"")"),"Vendre")</f>
        <v>Vendre</v>
      </c>
      <c r="G690" s="2" t="str">
        <f>IFERROR(__xludf.DUMMYFUNCTION("REGEXEXTRACT(C690, ""🏘️ \w+ (\w+) .* ✅"")"),"appartement")</f>
        <v>appartement</v>
      </c>
      <c r="H690" s="4" t="str">
        <f>IFERROR(__xludf.DUMMYFUNCTION("REGEXEXTRACT(A690, ""/(\w+)-.*?"")"),"lieu")</f>
        <v>lieu</v>
      </c>
      <c r="I690" s="4" t="str">
        <f>IFERROR(__xludf.DUMMYFUNCTION("if(D690=""variant"",  substitute(filter(Templates!E:E, Templates!A:A = F690, Templates!B:B = G690, Templates!C:C = H690), ""{{}}"", E690), B690)"),"🏘  L’appartement de vos rêves se trouve sur ImmoScout24.ch ✅ Découvrez les dernières annonces de vente à Baulmes.")</f>
        <v>🏘  L’appartement de vos rêves se trouve sur ImmoScout24.ch ✅ Découvrez les dernières annonces de vente à Baulmes.</v>
      </c>
      <c r="J690" s="4" t="s">
        <v>2077</v>
      </c>
    </row>
    <row r="691">
      <c r="A691" s="5" t="s">
        <v>2078</v>
      </c>
      <c r="B691" s="2" t="s">
        <v>2079</v>
      </c>
      <c r="C691" s="4" t="str">
        <f>IFERROR(__xludf.DUMMYFUNCTION("""🏘️ ""&amp;REGEXEXTRACT(B691, ""^(.*): "")&amp;"" ✅ "" &amp;REGEXEXTRACT(B691, ""(Trouvez.*)"")"),"🏘️ Louer appartement Bolken ✅ Trouvez le bien immobilier qui correspond idéalement à vos désirs sur ImmoScout24 - La plateforme de l'immobilier en Suisse.")</f>
        <v>🏘️ Louer appartement Bolken ✅ Trouvez le bien immobilier qui correspond idéalement à vos désirs sur ImmoScout24 - La plateforme de l'immobilier en Suisse.</v>
      </c>
      <c r="D691" s="4" t="str">
        <f>vlookup(A691, Sheet2!D:E, 2, 0)</f>
        <v>variant</v>
      </c>
      <c r="E691" s="4" t="str">
        <f>IFERROR(__xludf.DUMMYFUNCTION("if(H691=""pays"",vlookup(REGEXEXTRACT(C691, ""🏘️ \w+ \w+ (.*) ✅""),'Country prepositions'!A:B, 2, 0) &amp; "" "" &amp; REGEXEXTRACT(C691, ""🏘️ \w+ \w+ (.*) ✅"") ,  if(H691=""quartier"",vlookup(REGEXEXTRACT(C691, ""🏘️ \w+ \w+ (.*) ✅""),'Quartier prepositions'!A"&amp;":E, 5, 0) ,  if(H691=""region"",vlookup(REGEXEXTRACT(C691, ""🏘️ \w+ \w+ (.*) ✅""),'Region prepositions'!B:F, 5, 0),  REGEXEXTRACT(C691, ""🏘️ \w+ \w+ (.*) ✅""))))"),"Bolken")</f>
        <v>Bolken</v>
      </c>
      <c r="F691" s="2" t="str">
        <f>IFERROR(__xludf.DUMMYFUNCTION("REGEXEXTRACT(C691, ""🏘️ (\w+) \w+ .* ✅"")"),"Louer")</f>
        <v>Louer</v>
      </c>
      <c r="G691" s="2" t="str">
        <f>IFERROR(__xludf.DUMMYFUNCTION("REGEXEXTRACT(C691, ""🏘️ \w+ (\w+) .* ✅"")"),"appartement")</f>
        <v>appartement</v>
      </c>
      <c r="H691" s="4" t="str">
        <f>IFERROR(__xludf.DUMMYFUNCTION("REGEXEXTRACT(A691, ""/(\w+)-.*?"")"),"lieu")</f>
        <v>lieu</v>
      </c>
      <c r="I691" s="4" t="str">
        <f>IFERROR(__xludf.DUMMYFUNCTION("if(D691=""variant"",  substitute(filter(Templates!E:E, Templates!A:A = F691, Templates!B:B = G691, Templates!C:C = H691), ""{{}}"", E691), B691)"),"🏘  Vous cherchez un appartement à louer à Bolken? ✅ Les annonces les plus actuelles sont sur ImmoScout24.ch.")</f>
        <v>🏘  Vous cherchez un appartement à louer à Bolken? ✅ Les annonces les plus actuelles sont sur ImmoScout24.ch.</v>
      </c>
      <c r="J691" s="4" t="s">
        <v>2080</v>
      </c>
    </row>
    <row r="692">
      <c r="A692" s="5" t="s">
        <v>2081</v>
      </c>
      <c r="B692" s="2" t="s">
        <v>2082</v>
      </c>
      <c r="C692" s="4" t="str">
        <f>IFERROR(__xludf.DUMMYFUNCTION("""🏘️ ""&amp;REGEXEXTRACT(B692, ""^(.*): "")&amp;"" ✅ "" &amp;REGEXEXTRACT(B692, ""(Trouvez.*)"")"),"🏘️ Louer appartement Font ✅ Trouvez le bien immobilier qui correspond idéalement à vos désirs sur ImmoScout24 - La plateforme de l'immobilier en Suisse.")</f>
        <v>🏘️ Louer appartement Font ✅ Trouvez le bien immobilier qui correspond idéalement à vos désirs sur ImmoScout24 - La plateforme de l'immobilier en Suisse.</v>
      </c>
      <c r="D692" s="4" t="str">
        <f>vlookup(A692, Sheet2!D:E, 2, 0)</f>
        <v>variant</v>
      </c>
      <c r="E692" s="4" t="str">
        <f>IFERROR(__xludf.DUMMYFUNCTION("if(H692=""pays"",vlookup(REGEXEXTRACT(C692, ""🏘️ \w+ \w+ (.*) ✅""),'Country prepositions'!A:B, 2, 0) &amp; "" "" &amp; REGEXEXTRACT(C692, ""🏘️ \w+ \w+ (.*) ✅"") ,  if(H692=""quartier"",vlookup(REGEXEXTRACT(C692, ""🏘️ \w+ \w+ (.*) ✅""),'Quartier prepositions'!A"&amp;":E, 5, 0) ,  if(H692=""region"",vlookup(REGEXEXTRACT(C692, ""🏘️ \w+ \w+ (.*) ✅""),'Region prepositions'!B:F, 5, 0),  REGEXEXTRACT(C692, ""🏘️ \w+ \w+ (.*) ✅""))))"),"Font")</f>
        <v>Font</v>
      </c>
      <c r="F692" s="2" t="str">
        <f>IFERROR(__xludf.DUMMYFUNCTION("REGEXEXTRACT(C692, ""🏘️ (\w+) \w+ .* ✅"")"),"Louer")</f>
        <v>Louer</v>
      </c>
      <c r="G692" s="2" t="str">
        <f>IFERROR(__xludf.DUMMYFUNCTION("REGEXEXTRACT(C692, ""🏘️ \w+ (\w+) .* ✅"")"),"appartement")</f>
        <v>appartement</v>
      </c>
      <c r="H692" s="4" t="str">
        <f>IFERROR(__xludf.DUMMYFUNCTION("REGEXEXTRACT(A692, ""/(\w+)-.*?"")"),"lieu")</f>
        <v>lieu</v>
      </c>
      <c r="I692" s="4" t="str">
        <f>IFERROR(__xludf.DUMMYFUNCTION("if(D692=""variant"",  substitute(filter(Templates!E:E, Templates!A:A = F692, Templates!B:B = G692, Templates!C:C = H692), ""{{}}"", E692), B692)"),"🏘  Vous cherchez un appartement à louer à Font? ✅ Les annonces les plus actuelles sont sur ImmoScout24.ch.")</f>
        <v>🏘  Vous cherchez un appartement à louer à Font? ✅ Les annonces les plus actuelles sont sur ImmoScout24.ch.</v>
      </c>
      <c r="J692" s="4" t="s">
        <v>2083</v>
      </c>
    </row>
    <row r="693">
      <c r="A693" s="5" t="s">
        <v>2084</v>
      </c>
      <c r="B693" s="2" t="s">
        <v>2085</v>
      </c>
      <c r="C693" s="4" t="str">
        <f>IFERROR(__xludf.DUMMYFUNCTION("""🏘️ ""&amp;REGEXEXTRACT(B693, ""^(.*): "")&amp;"" ✅ "" &amp;REGEXEXTRACT(B693, ""(Trouvez.*)"")"),"🏘️ Louer appartement Perroy ✅ Trouvez le bien immobilier qui correspond idéalement à vos désirs sur ImmoScout24 - La plateforme de l'immobilier en Suisse.")</f>
        <v>🏘️ Louer appartement Perroy ✅ Trouvez le bien immobilier qui correspond idéalement à vos désirs sur ImmoScout24 - La plateforme de l'immobilier en Suisse.</v>
      </c>
      <c r="D693" s="4" t="str">
        <f>vlookup(A693, Sheet2!D:E, 2, 0)</f>
        <v>variant</v>
      </c>
      <c r="E693" s="4" t="str">
        <f>IFERROR(__xludf.DUMMYFUNCTION("if(H693=""pays"",vlookup(REGEXEXTRACT(C693, ""🏘️ \w+ \w+ (.*) ✅""),'Country prepositions'!A:B, 2, 0) &amp; "" "" &amp; REGEXEXTRACT(C693, ""🏘️ \w+ \w+ (.*) ✅"") ,  if(H693=""quartier"",vlookup(REGEXEXTRACT(C693, ""🏘️ \w+ \w+ (.*) ✅""),'Quartier prepositions'!A"&amp;":E, 5, 0) ,  if(H693=""region"",vlookup(REGEXEXTRACT(C693, ""🏘️ \w+ \w+ (.*) ✅""),'Region prepositions'!B:F, 5, 0),  REGEXEXTRACT(C693, ""🏘️ \w+ \w+ (.*) ✅""))))"),"Perroy")</f>
        <v>Perroy</v>
      </c>
      <c r="F693" s="2" t="str">
        <f>IFERROR(__xludf.DUMMYFUNCTION("REGEXEXTRACT(C693, ""🏘️ (\w+) \w+ .* ✅"")"),"Louer")</f>
        <v>Louer</v>
      </c>
      <c r="G693" s="2" t="str">
        <f>IFERROR(__xludf.DUMMYFUNCTION("REGEXEXTRACT(C693, ""🏘️ \w+ (\w+) .* ✅"")"),"appartement")</f>
        <v>appartement</v>
      </c>
      <c r="H693" s="4" t="str">
        <f>IFERROR(__xludf.DUMMYFUNCTION("REGEXEXTRACT(A693, ""/(\w+)-.*?"")"),"lieu")</f>
        <v>lieu</v>
      </c>
      <c r="I693" s="4" t="str">
        <f>IFERROR(__xludf.DUMMYFUNCTION("if(D693=""variant"",  substitute(filter(Templates!E:E, Templates!A:A = F693, Templates!B:B = G693, Templates!C:C = H693), ""{{}}"", E693), B693)"),"🏘  Vous cherchez un appartement à louer à Perroy? ✅ Les annonces les plus actuelles sont sur ImmoScout24.ch.")</f>
        <v>🏘  Vous cherchez un appartement à louer à Perroy? ✅ Les annonces les plus actuelles sont sur ImmoScout24.ch.</v>
      </c>
      <c r="J693" s="4" t="s">
        <v>2086</v>
      </c>
    </row>
    <row r="694">
      <c r="A694" s="5" t="s">
        <v>2087</v>
      </c>
      <c r="B694" s="2" t="s">
        <v>2088</v>
      </c>
      <c r="C694" s="4" t="str">
        <f>IFERROR(__xludf.DUMMYFUNCTION("""🏘️ ""&amp;REGEXEXTRACT(B694, ""^(.*): "")&amp;"" ✅ "" &amp;REGEXEXTRACT(B694, ""(Trouvez.*)"")"),"🏘️ Louer maison Courrendlin ✅ Trouvez le bien immobilier qui correspond idéalement à vos désirs sur ImmoScout24 - La plateforme de l'immobilier en Suisse.")</f>
        <v>🏘️ Louer maison Courrendlin ✅ Trouvez le bien immobilier qui correspond idéalement à vos désirs sur ImmoScout24 - La plateforme de l'immobilier en Suisse.</v>
      </c>
      <c r="D694" s="4" t="str">
        <f>vlookup(A694, Sheet2!D:E, 2, 0)</f>
        <v>variant</v>
      </c>
      <c r="E694" s="4" t="str">
        <f>IFERROR(__xludf.DUMMYFUNCTION("if(H694=""pays"",vlookup(REGEXEXTRACT(C694, ""🏘️ \w+ \w+ (.*) ✅""),'Country prepositions'!A:B, 2, 0) &amp; "" "" &amp; REGEXEXTRACT(C694, ""🏘️ \w+ \w+ (.*) ✅"") ,  if(H694=""quartier"",vlookup(REGEXEXTRACT(C694, ""🏘️ \w+ \w+ (.*) ✅""),'Quartier prepositions'!A"&amp;":E, 5, 0) ,  if(H694=""region"",vlookup(REGEXEXTRACT(C694, ""🏘️ \w+ \w+ (.*) ✅""),'Region prepositions'!B:F, 5, 0),  REGEXEXTRACT(C694, ""🏘️ \w+ \w+ (.*) ✅""))))"),"Courrendlin")</f>
        <v>Courrendlin</v>
      </c>
      <c r="F694" s="2" t="str">
        <f>IFERROR(__xludf.DUMMYFUNCTION("REGEXEXTRACT(C694, ""🏘️ (\w+) \w+ .* ✅"")"),"Louer")</f>
        <v>Louer</v>
      </c>
      <c r="G694" s="2" t="str">
        <f>IFERROR(__xludf.DUMMYFUNCTION("REGEXEXTRACT(C694, ""🏘️ \w+ (\w+) .* ✅"")"),"maison")</f>
        <v>maison</v>
      </c>
      <c r="H694" s="4" t="str">
        <f>IFERROR(__xludf.DUMMYFUNCTION("REGEXEXTRACT(A694, ""/(\w+)-.*?"")"),"lieu")</f>
        <v>lieu</v>
      </c>
      <c r="I694" s="4" t="str">
        <f>IFERROR(__xludf.DUMMYFUNCTION("if(D694=""variant"",  substitute(filter(Templates!E:E, Templates!A:A = F694, Templates!B:B = G694, Templates!C:C = H694), ""{{}}"", E694), B694)"),"🏘  Vous cherchez une maison à louer à Courrendlin? ✅ Découvrez nos nombreuses annonces sur ImmoScout24.ch.")</f>
        <v>🏘  Vous cherchez une maison à louer à Courrendlin? ✅ Découvrez nos nombreuses annonces sur ImmoScout24.ch.</v>
      </c>
      <c r="J694" s="4" t="s">
        <v>2089</v>
      </c>
    </row>
    <row r="695">
      <c r="A695" s="5" t="s">
        <v>2090</v>
      </c>
      <c r="B695" s="2" t="s">
        <v>2091</v>
      </c>
      <c r="C695" s="4" t="str">
        <f>IFERROR(__xludf.DUMMYFUNCTION("""🏘️ ""&amp;REGEXEXTRACT(B695, ""^(.*): "")&amp;"" ✅ "" &amp;REGEXEXTRACT(B695, ""(Trouvez.*)"")"),"🏘️ Louer maison Noréaz ✅ Trouvez le bien immobilier qui correspond idéalement à vos désirs sur ImmoScout24 - La plateforme de l'immobilier en Suisse.")</f>
        <v>🏘️ Louer maison Noréaz ✅ Trouvez le bien immobilier qui correspond idéalement à vos désirs sur ImmoScout24 - La plateforme de l'immobilier en Suisse.</v>
      </c>
      <c r="D695" s="4" t="str">
        <f>vlookup(A695, Sheet2!D:E, 2, 0)</f>
        <v>variant</v>
      </c>
      <c r="E695" s="4" t="str">
        <f>IFERROR(__xludf.DUMMYFUNCTION("if(H695=""pays"",vlookup(REGEXEXTRACT(C695, ""🏘️ \w+ \w+ (.*) ✅""),'Country prepositions'!A:B, 2, 0) &amp; "" "" &amp; REGEXEXTRACT(C695, ""🏘️ \w+ \w+ (.*) ✅"") ,  if(H695=""quartier"",vlookup(REGEXEXTRACT(C695, ""🏘️ \w+ \w+ (.*) ✅""),'Quartier prepositions'!A"&amp;":E, 5, 0) ,  if(H695=""region"",vlookup(REGEXEXTRACT(C695, ""🏘️ \w+ \w+ (.*) ✅""),'Region prepositions'!B:F, 5, 0),  REGEXEXTRACT(C695, ""🏘️ \w+ \w+ (.*) ✅""))))"),"Noréaz")</f>
        <v>Noréaz</v>
      </c>
      <c r="F695" s="2" t="str">
        <f>IFERROR(__xludf.DUMMYFUNCTION("REGEXEXTRACT(C695, ""🏘️ (\w+) \w+ .* ✅"")"),"Louer")</f>
        <v>Louer</v>
      </c>
      <c r="G695" s="2" t="str">
        <f>IFERROR(__xludf.DUMMYFUNCTION("REGEXEXTRACT(C695, ""🏘️ \w+ (\w+) .* ✅"")"),"maison")</f>
        <v>maison</v>
      </c>
      <c r="H695" s="4" t="str">
        <f>IFERROR(__xludf.DUMMYFUNCTION("REGEXEXTRACT(A695, ""/(\w+)-.*?"")"),"lieu")</f>
        <v>lieu</v>
      </c>
      <c r="I695" s="4" t="str">
        <f>IFERROR(__xludf.DUMMYFUNCTION("if(D695=""variant"",  substitute(filter(Templates!E:E, Templates!A:A = F695, Templates!B:B = G695, Templates!C:C = H695), ""{{}}"", E695), B695)"),"🏘  Vous cherchez une maison à louer à Noréaz? ✅ Découvrez nos nombreuses annonces sur ImmoScout24.ch.")</f>
        <v>🏘  Vous cherchez une maison à louer à Noréaz? ✅ Découvrez nos nombreuses annonces sur ImmoScout24.ch.</v>
      </c>
      <c r="J695" s="4" t="s">
        <v>2092</v>
      </c>
    </row>
    <row r="696">
      <c r="A696" s="5" t="s">
        <v>2093</v>
      </c>
      <c r="B696" s="2" t="s">
        <v>2094</v>
      </c>
      <c r="C696" s="4" t="str">
        <f>IFERROR(__xludf.DUMMYFUNCTION("""🏘️ ""&amp;REGEXEXTRACT(B696, ""^(.*): "")&amp;"" ✅ "" &amp;REGEXEXTRACT(B696, ""(Trouvez.*)"")"),"🏘️ Vendre maison Bottens ✅ Trouvez le bien immobilier qui correspond idéalement à vos désirs sur ImmoScout24 - La plateforme de l'immobilier en Suisse.")</f>
        <v>🏘️ Vendre maison Bottens ✅ Trouvez le bien immobilier qui correspond idéalement à vos désirs sur ImmoScout24 - La plateforme de l'immobilier en Suisse.</v>
      </c>
      <c r="D696" s="4" t="str">
        <f>vlookup(A696, Sheet2!D:E, 2, 0)</f>
        <v>variant</v>
      </c>
      <c r="E696" s="4" t="str">
        <f>IFERROR(__xludf.DUMMYFUNCTION("if(H696=""pays"",vlookup(REGEXEXTRACT(C696, ""🏘️ \w+ \w+ (.*) ✅""),'Country prepositions'!A:B, 2, 0) &amp; "" "" &amp; REGEXEXTRACT(C696, ""🏘️ \w+ \w+ (.*) ✅"") ,  if(H696=""quartier"",vlookup(REGEXEXTRACT(C696, ""🏘️ \w+ \w+ (.*) ✅""),'Quartier prepositions'!A"&amp;":E, 5, 0) ,  if(H696=""region"",vlookup(REGEXEXTRACT(C696, ""🏘️ \w+ \w+ (.*) ✅""),'Region prepositions'!B:F, 5, 0),  REGEXEXTRACT(C696, ""🏘️ \w+ \w+ (.*) ✅""))))"),"Bottens")</f>
        <v>Bottens</v>
      </c>
      <c r="F696" s="2" t="str">
        <f>IFERROR(__xludf.DUMMYFUNCTION("REGEXEXTRACT(C696, ""🏘️ (\w+) \w+ .* ✅"")"),"Vendre")</f>
        <v>Vendre</v>
      </c>
      <c r="G696" s="2" t="str">
        <f>IFERROR(__xludf.DUMMYFUNCTION("REGEXEXTRACT(C696, ""🏘️ \w+ (\w+) .* ✅"")"),"maison")</f>
        <v>maison</v>
      </c>
      <c r="H696" s="4" t="str">
        <f>IFERROR(__xludf.DUMMYFUNCTION("REGEXEXTRACT(A696, ""/(\w+)-.*?"")"),"lieu")</f>
        <v>lieu</v>
      </c>
      <c r="I696" s="4" t="str">
        <f>IFERROR(__xludf.DUMMYFUNCTION("if(D696=""variant"",  substitute(filter(Templates!E:E, Templates!A:A = F696, Templates!B:B = G696, Templates!C:C = H696), ""{{}}"", E696), B696)"),"🏘  Vous souhaitez acheter une maison à Bottens? ✅ Jetez un œil aux dernières offres sur ImmoScout24.ch.")</f>
        <v>🏘  Vous souhaitez acheter une maison à Bottens? ✅ Jetez un œil aux dernières offres sur ImmoScout24.ch.</v>
      </c>
      <c r="J696" s="4" t="s">
        <v>2095</v>
      </c>
    </row>
    <row r="697">
      <c r="A697" s="5" t="s">
        <v>2096</v>
      </c>
      <c r="B697" s="2" t="s">
        <v>2097</v>
      </c>
      <c r="C697" s="4" t="str">
        <f>IFERROR(__xludf.DUMMYFUNCTION("""🏘️ ""&amp;REGEXEXTRACT(B697, ""^(.*): "")&amp;"" ✅ "" &amp;REGEXEXTRACT(B697, ""(Trouvez.*)"")"),"🏘️ Louer appartement Vernier ✅ Trouvez le bien immobilier qui correspond idéalement à vos désirs sur ImmoScout24 - La plateforme de l'immobilier en Suisse.")</f>
        <v>🏘️ Louer appartement Vernier ✅ Trouvez le bien immobilier qui correspond idéalement à vos désirs sur ImmoScout24 - La plateforme de l'immobilier en Suisse.</v>
      </c>
      <c r="D697" s="4" t="str">
        <f>vlookup(A697, Sheet2!D:E, 2, 0)</f>
        <v>variant</v>
      </c>
      <c r="E697" s="4" t="str">
        <f>IFERROR(__xludf.DUMMYFUNCTION("if(H697=""pays"",vlookup(REGEXEXTRACT(C697, ""🏘️ \w+ \w+ (.*) ✅""),'Country prepositions'!A:B, 2, 0) &amp; "" "" &amp; REGEXEXTRACT(C697, ""🏘️ \w+ \w+ (.*) ✅"") ,  if(H697=""quartier"",vlookup(REGEXEXTRACT(C697, ""🏘️ \w+ \w+ (.*) ✅""),'Quartier prepositions'!A"&amp;":E, 5, 0) ,  if(H697=""region"",vlookup(REGEXEXTRACT(C697, ""🏘️ \w+ \w+ (.*) ✅""),'Region prepositions'!B:F, 5, 0),  REGEXEXTRACT(C697, ""🏘️ \w+ \w+ (.*) ✅""))))"),"Vernier")</f>
        <v>Vernier</v>
      </c>
      <c r="F697" s="2" t="str">
        <f>IFERROR(__xludf.DUMMYFUNCTION("REGEXEXTRACT(C697, ""🏘️ (\w+) \w+ .* ✅"")"),"Louer")</f>
        <v>Louer</v>
      </c>
      <c r="G697" s="2" t="str">
        <f>IFERROR(__xludf.DUMMYFUNCTION("REGEXEXTRACT(C697, ""🏘️ \w+ (\w+) .* ✅"")"),"appartement")</f>
        <v>appartement</v>
      </c>
      <c r="H697" s="4" t="str">
        <f>IFERROR(__xludf.DUMMYFUNCTION("REGEXEXTRACT(A697, ""/(\w+)-.*?"")"),"lieu")</f>
        <v>lieu</v>
      </c>
      <c r="I697" s="4" t="str">
        <f>IFERROR(__xludf.DUMMYFUNCTION("if(D697=""variant"",  substitute(filter(Templates!E:E, Templates!A:A = F697, Templates!B:B = G697, Templates!C:C = H697), ""{{}}"", E697), B697)"),"🏘  Vous cherchez un appartement à louer à Vernier? ✅ Les annonces les plus actuelles sont sur ImmoScout24.ch.")</f>
        <v>🏘  Vous cherchez un appartement à louer à Vernier? ✅ Les annonces les plus actuelles sont sur ImmoScout24.ch.</v>
      </c>
      <c r="J697" s="4" t="s">
        <v>2098</v>
      </c>
    </row>
    <row r="698">
      <c r="A698" s="5" t="s">
        <v>2099</v>
      </c>
      <c r="B698" s="2" t="s">
        <v>2100</v>
      </c>
      <c r="C698" s="4" t="str">
        <f>IFERROR(__xludf.DUMMYFUNCTION("""🏘️ ""&amp;REGEXEXTRACT(B698, ""^(.*): "")&amp;"" ✅ "" &amp;REGEXEXTRACT(B698, ""(Trouvez.*)"")"),"🏘️ Vendre maison Rheintal - Werdenberg ✅ Trouvez le bien immobilier qui correspond idéalement à vos désirs sur ImmoScout24 - La plateforme de l'immobilier en Suisse.")</f>
        <v>🏘️ Vendre maison Rheintal - Werdenberg ✅ Trouvez le bien immobilier qui correspond idéalement à vos désirs sur ImmoScout24 - La plateforme de l'immobilier en Suisse.</v>
      </c>
      <c r="D698" s="4" t="str">
        <f>vlookup(A698, Sheet2!D:E, 2, 0)</f>
        <v>variant</v>
      </c>
      <c r="E698" s="4" t="str">
        <f>IFERROR(__xludf.DUMMYFUNCTION("if(H698=""pays"",vlookup(REGEXEXTRACT(C698, ""🏘️ \w+ \w+ (.*) ✅""),'Country prepositions'!A:B, 2, 0) &amp; "" "" &amp; REGEXEXTRACT(C698, ""🏘️ \w+ \w+ (.*) ✅"") ,  if(H698=""quartier"",vlookup(REGEXEXTRACT(C698, ""🏘️ \w+ \w+ (.*) ✅""),'Quartier prepositions'!A"&amp;":E, 5, 0) ,  if(H698=""region"",vlookup(REGEXEXTRACT(C698, ""🏘️ \w+ \w+ (.*) ✅""),'Region prepositions'!B:F, 5, 0),  REGEXEXTRACT(C698, ""🏘️ \w+ \w+ (.*) ✅""))))"),"dans la région de Rheintal - Werdenberg")</f>
        <v>dans la région de Rheintal - Werdenberg</v>
      </c>
      <c r="F698" s="2" t="str">
        <f>IFERROR(__xludf.DUMMYFUNCTION("REGEXEXTRACT(C698, ""🏘️ (\w+) \w+ .* ✅"")"),"Vendre")</f>
        <v>Vendre</v>
      </c>
      <c r="G698" s="2" t="str">
        <f>IFERROR(__xludf.DUMMYFUNCTION("REGEXEXTRACT(C698, ""🏘️ \w+ (\w+) .* ✅"")"),"maison")</f>
        <v>maison</v>
      </c>
      <c r="H698" s="4" t="str">
        <f>IFERROR(__xludf.DUMMYFUNCTION("REGEXEXTRACT(A698, ""/(\w+)-.*?"")"),"region")</f>
        <v>region</v>
      </c>
      <c r="I698" s="4" t="str">
        <f>IFERROR(__xludf.DUMMYFUNCTION("if(D698=""variant"",  substitute(filter(Templates!E:E, Templates!A:A = F698, Templates!B:B = G698, Templates!C:C = H698), ""{{}}"", E698), B698)"),"🏘  Vous souhaitez acheter une maison dans la région de Rheintal - Werdenberg? ✅ Jetez un œil aux dernières offres sur ImmoScout24.ch.")</f>
        <v>🏘  Vous souhaitez acheter une maison dans la région de Rheintal - Werdenberg? ✅ Jetez un œil aux dernières offres sur ImmoScout24.ch.</v>
      </c>
      <c r="J698" s="4" t="s">
        <v>2101</v>
      </c>
    </row>
    <row r="699">
      <c r="A699" s="5" t="s">
        <v>2102</v>
      </c>
      <c r="B699" s="2" t="s">
        <v>2103</v>
      </c>
      <c r="C699" s="4" t="str">
        <f>IFERROR(__xludf.DUMMYFUNCTION("""🏘️ ""&amp;REGEXEXTRACT(B699, ""^(.*): "")&amp;"" ✅ "" &amp;REGEXEXTRACT(B699, ""(Trouvez.*)"")"),"🏘️ Vendre appartement Pologne ✅ Trouvez le bien immobilier qui correspond idéalement à vos désirs sur ImmoScout24 - La plateforme de l'immobilier en Suisse.")</f>
        <v>🏘️ Vendre appartement Pologne ✅ Trouvez le bien immobilier qui correspond idéalement à vos désirs sur ImmoScout24 - La plateforme de l'immobilier en Suisse.</v>
      </c>
      <c r="D699" s="4" t="str">
        <f>vlookup(A699, Sheet2!D:E, 2, 0)</f>
        <v>variant</v>
      </c>
      <c r="E699" s="4" t="str">
        <f>IFERROR(__xludf.DUMMYFUNCTION("if(H699=""pays"",vlookup(REGEXEXTRACT(C699, ""🏘️ \w+ \w+ (.*) ✅""),'Country prepositions'!A:B, 2, 0) &amp; "" "" &amp; REGEXEXTRACT(C699, ""🏘️ \w+ \w+ (.*) ✅"") ,  if(H699=""quartier"",vlookup(REGEXEXTRACT(C699, ""🏘️ \w+ \w+ (.*) ✅""),'Quartier prepositions'!A"&amp;":E, 5, 0) ,  if(H699=""region"",vlookup(REGEXEXTRACT(C699, ""🏘️ \w+ \w+ (.*) ✅""),'Region prepositions'!B:F, 5, 0),  REGEXEXTRACT(C699, ""🏘️ \w+ \w+ (.*) ✅""))))"),"en Pologne")</f>
        <v>en Pologne</v>
      </c>
      <c r="F699" s="2" t="str">
        <f>IFERROR(__xludf.DUMMYFUNCTION("REGEXEXTRACT(C699, ""🏘️ (\w+) \w+ .* ✅"")"),"Vendre")</f>
        <v>Vendre</v>
      </c>
      <c r="G699" s="2" t="str">
        <f>IFERROR(__xludf.DUMMYFUNCTION("REGEXEXTRACT(C699, ""🏘️ \w+ (\w+) .* ✅"")"),"appartement")</f>
        <v>appartement</v>
      </c>
      <c r="H699" s="4" t="str">
        <f>IFERROR(__xludf.DUMMYFUNCTION("REGEXEXTRACT(A699, ""/(\w+)-.*?"")"),"pays")</f>
        <v>pays</v>
      </c>
      <c r="I699" s="4" t="str">
        <f>IFERROR(__xludf.DUMMYFUNCTION("if(D699=""variant"",  substitute(filter(Templates!E:E, Templates!A:A = F699, Templates!B:B = G699, Templates!C:C = H699), ""{{}}"", E699), B699)"),"🏘  Vous cherchez un appartement à louer en Pologne? ✅ Les annonces les plus actuelles sont sur ImmoScout24.ch.")</f>
        <v>🏘  Vous cherchez un appartement à louer en Pologne? ✅ Les annonces les plus actuelles sont sur ImmoScout24.ch.</v>
      </c>
      <c r="J699" s="4" t="s">
        <v>2104</v>
      </c>
    </row>
    <row r="700">
      <c r="A700" s="5" t="s">
        <v>2105</v>
      </c>
      <c r="B700" s="2" t="s">
        <v>2106</v>
      </c>
      <c r="C700" s="4" t="str">
        <f>IFERROR(__xludf.DUMMYFUNCTION("""🏘️ ""&amp;REGEXEXTRACT(B700, ""^(.*): "")&amp;"" ✅ "" &amp;REGEXEXTRACT(B700, ""(Trouvez.*)"")"),"🏘️ Vendre appartement Wilderswil ✅ Trouvez le bien immobilier qui correspond idéalement à vos désirs sur ImmoScout24 - La plateforme de l'immobilier en Suisse.")</f>
        <v>🏘️ Vendre appartement Wilderswil ✅ Trouvez le bien immobilier qui correspond idéalement à vos désirs sur ImmoScout24 - La plateforme de l'immobilier en Suisse.</v>
      </c>
      <c r="D700" s="4" t="str">
        <f>vlookup(A700, Sheet2!D:E, 2, 0)</f>
        <v>variant</v>
      </c>
      <c r="E700" s="4" t="str">
        <f>IFERROR(__xludf.DUMMYFUNCTION("if(H700=""pays"",vlookup(REGEXEXTRACT(C700, ""🏘️ \w+ \w+ (.*) ✅""),'Country prepositions'!A:B, 2, 0) &amp; "" "" &amp; REGEXEXTRACT(C700, ""🏘️ \w+ \w+ (.*) ✅"") ,  if(H700=""quartier"",vlookup(REGEXEXTRACT(C700, ""🏘️ \w+ \w+ (.*) ✅""),'Quartier prepositions'!A"&amp;":E, 5, 0) ,  if(H700=""region"",vlookup(REGEXEXTRACT(C700, ""🏘️ \w+ \w+ (.*) ✅""),'Region prepositions'!B:F, 5, 0),  REGEXEXTRACT(C700, ""🏘️ \w+ \w+ (.*) ✅""))))"),"Wilderswil")</f>
        <v>Wilderswil</v>
      </c>
      <c r="F700" s="2" t="str">
        <f>IFERROR(__xludf.DUMMYFUNCTION("REGEXEXTRACT(C700, ""🏘️ (\w+) \w+ .* ✅"")"),"Vendre")</f>
        <v>Vendre</v>
      </c>
      <c r="G700" s="2" t="str">
        <f>IFERROR(__xludf.DUMMYFUNCTION("REGEXEXTRACT(C700, ""🏘️ \w+ (\w+) .* ✅"")"),"appartement")</f>
        <v>appartement</v>
      </c>
      <c r="H700" s="4" t="str">
        <f>IFERROR(__xludf.DUMMYFUNCTION("REGEXEXTRACT(A700, ""/(\w+)-.*?"")"),"lieu")</f>
        <v>lieu</v>
      </c>
      <c r="I700" s="4" t="str">
        <f>IFERROR(__xludf.DUMMYFUNCTION("if(D700=""variant"",  substitute(filter(Templates!E:E, Templates!A:A = F700, Templates!B:B = G700, Templates!C:C = H700), ""{{}}"", E700), B700)"),"🏘  L’appartement de vos rêves se trouve sur ImmoScout24.ch ✅ Découvrez les dernières annonces de vente à Wilderswil.")</f>
        <v>🏘  L’appartement de vos rêves se trouve sur ImmoScout24.ch ✅ Découvrez les dernières annonces de vente à Wilderswil.</v>
      </c>
      <c r="J700" s="4" t="s">
        <v>2107</v>
      </c>
    </row>
    <row r="701">
      <c r="A701" s="5" t="s">
        <v>2108</v>
      </c>
      <c r="B701" s="2" t="s">
        <v>2109</v>
      </c>
      <c r="C701" s="4" t="str">
        <f>IFERROR(__xludf.DUMMYFUNCTION("""🏘️ ""&amp;REGEXEXTRACT(B701, ""^(.*): "")&amp;"" ✅ "" &amp;REGEXEXTRACT(B701, ""(Trouvez.*)"")"),"🏘️ Vendre maison Vers-l'Eglise ✅ Trouvez le bien immobilier qui correspond idéalement à vos désirs sur ImmoScout24 - La plateforme de l'immobilier en Suisse.")</f>
        <v>🏘️ Vendre maison Vers-l'Eglise ✅ Trouvez le bien immobilier qui correspond idéalement à vos désirs sur ImmoScout24 - La plateforme de l'immobilier en Suisse.</v>
      </c>
      <c r="D701" s="4" t="str">
        <f>vlookup(A701, Sheet2!D:E, 2, 0)</f>
        <v>variant</v>
      </c>
      <c r="E701" s="4" t="str">
        <f>IFERROR(__xludf.DUMMYFUNCTION("if(H701=""pays"",vlookup(REGEXEXTRACT(C701, ""🏘️ \w+ \w+ (.*) ✅""),'Country prepositions'!A:B, 2, 0) &amp; "" "" &amp; REGEXEXTRACT(C701, ""🏘️ \w+ \w+ (.*) ✅"") ,  if(H701=""quartier"",vlookup(REGEXEXTRACT(C701, ""🏘️ \w+ \w+ (.*) ✅""),'Quartier prepositions'!A"&amp;":E, 5, 0) ,  if(H701=""region"",vlookup(REGEXEXTRACT(C701, ""🏘️ \w+ \w+ (.*) ✅""),'Region prepositions'!B:F, 5, 0),  REGEXEXTRACT(C701, ""🏘️ \w+ \w+ (.*) ✅""))))"),"Vers-l'Eglise")</f>
        <v>Vers-l'Eglise</v>
      </c>
      <c r="F701" s="2" t="str">
        <f>IFERROR(__xludf.DUMMYFUNCTION("REGEXEXTRACT(C701, ""🏘️ (\w+) \w+ .* ✅"")"),"Vendre")</f>
        <v>Vendre</v>
      </c>
      <c r="G701" s="2" t="str">
        <f>IFERROR(__xludf.DUMMYFUNCTION("REGEXEXTRACT(C701, ""🏘️ \w+ (\w+) .* ✅"")"),"maison")</f>
        <v>maison</v>
      </c>
      <c r="H701" s="4" t="str">
        <f>IFERROR(__xludf.DUMMYFUNCTION("REGEXEXTRACT(A701, ""/(\w+)-.*?"")"),"lieu")</f>
        <v>lieu</v>
      </c>
      <c r="I701" s="4" t="str">
        <f>IFERROR(__xludf.DUMMYFUNCTION("if(D701=""variant"",  substitute(filter(Templates!E:E, Templates!A:A = F701, Templates!B:B = G701, Templates!C:C = H701), ""{{}}"", E701), B701)"),"🏘  Vous souhaitez acheter une maison à Vers-l'Eglise? ✅ Jetez un œil aux dernières offres sur ImmoScout24.ch.")</f>
        <v>🏘  Vous souhaitez acheter une maison à Vers-l'Eglise? ✅ Jetez un œil aux dernières offres sur ImmoScout24.ch.</v>
      </c>
      <c r="J701" s="4" t="s">
        <v>2110</v>
      </c>
    </row>
    <row r="702">
      <c r="A702" s="5" t="s">
        <v>2111</v>
      </c>
      <c r="B702" s="2" t="s">
        <v>2112</v>
      </c>
      <c r="C702" s="4" t="str">
        <f>IFERROR(__xludf.DUMMYFUNCTION("""🏘️ ""&amp;REGEXEXTRACT(B702, ""^(.*): "")&amp;"" ✅ "" &amp;REGEXEXTRACT(B702, ""(Trouvez.*)"")"),"🏘️ Louer maison St-Sulpice VD ✅ Trouvez le bien immobilier qui correspond idéalement à vos désirs sur ImmoScout24 - La plateforme de l'immobilier en Suisse.")</f>
        <v>🏘️ Louer maison St-Sulpice VD ✅ Trouvez le bien immobilier qui correspond idéalement à vos désirs sur ImmoScout24 - La plateforme de l'immobilier en Suisse.</v>
      </c>
      <c r="D702" s="4" t="str">
        <f>vlookup(A702, Sheet2!D:E, 2, 0)</f>
        <v>variant</v>
      </c>
      <c r="E702" s="4" t="str">
        <f>IFERROR(__xludf.DUMMYFUNCTION("if(H702=""pays"",vlookup(REGEXEXTRACT(C702, ""🏘️ \w+ \w+ (.*) ✅""),'Country prepositions'!A:B, 2, 0) &amp; "" "" &amp; REGEXEXTRACT(C702, ""🏘️ \w+ \w+ (.*) ✅"") ,  if(H702=""quartier"",vlookup(REGEXEXTRACT(C702, ""🏘️ \w+ \w+ (.*) ✅""),'Quartier prepositions'!A"&amp;":E, 5, 0) ,  if(H702=""region"",vlookup(REGEXEXTRACT(C702, ""🏘️ \w+ \w+ (.*) ✅""),'Region prepositions'!B:F, 5, 0),  REGEXEXTRACT(C702, ""🏘️ \w+ \w+ (.*) ✅""))))"),"St-Sulpice VD")</f>
        <v>St-Sulpice VD</v>
      </c>
      <c r="F702" s="2" t="str">
        <f>IFERROR(__xludf.DUMMYFUNCTION("REGEXEXTRACT(C702, ""🏘️ (\w+) \w+ .* ✅"")"),"Louer")</f>
        <v>Louer</v>
      </c>
      <c r="G702" s="2" t="str">
        <f>IFERROR(__xludf.DUMMYFUNCTION("REGEXEXTRACT(C702, ""🏘️ \w+ (\w+) .* ✅"")"),"maison")</f>
        <v>maison</v>
      </c>
      <c r="H702" s="4" t="str">
        <f>IFERROR(__xludf.DUMMYFUNCTION("REGEXEXTRACT(A702, ""/(\w+)-.*?"")"),"lieu")</f>
        <v>lieu</v>
      </c>
      <c r="I702" s="4" t="str">
        <f>IFERROR(__xludf.DUMMYFUNCTION("if(D702=""variant"",  substitute(filter(Templates!E:E, Templates!A:A = F702, Templates!B:B = G702, Templates!C:C = H702), ""{{}}"", E702), B702)"),"🏘  Vous cherchez une maison à louer à St-Sulpice VD? ✅ Découvrez nos nombreuses annonces sur ImmoScout24.ch.")</f>
        <v>🏘  Vous cherchez une maison à louer à St-Sulpice VD? ✅ Découvrez nos nombreuses annonces sur ImmoScout24.ch.</v>
      </c>
      <c r="J702" s="4" t="s">
        <v>2113</v>
      </c>
    </row>
    <row r="703">
      <c r="A703" s="5" t="s">
        <v>2114</v>
      </c>
      <c r="B703" s="2" t="s">
        <v>2115</v>
      </c>
      <c r="C703" s="4" t="str">
        <f>IFERROR(__xludf.DUMMYFUNCTION("""🏘️ ""&amp;REGEXEXTRACT(B703, ""^(.*): "")&amp;"" ✅ "" &amp;REGEXEXTRACT(B703, ""(Trouvez.*)"")"),"🏘️ Vendre appartement Massongex ✅ Trouvez le bien immobilier qui correspond idéalement à vos désirs sur ImmoScout24 - La plateforme de l'immobilier en Suisse.")</f>
        <v>🏘️ Vendre appartement Massongex ✅ Trouvez le bien immobilier qui correspond idéalement à vos désirs sur ImmoScout24 - La plateforme de l'immobilier en Suisse.</v>
      </c>
      <c r="D703" s="4" t="str">
        <f>vlookup(A703, Sheet2!D:E, 2, 0)</f>
        <v>variant</v>
      </c>
      <c r="E703" s="4" t="str">
        <f>IFERROR(__xludf.DUMMYFUNCTION("if(H703=""pays"",vlookup(REGEXEXTRACT(C703, ""🏘️ \w+ \w+ (.*) ✅""),'Country prepositions'!A:B, 2, 0) &amp; "" "" &amp; REGEXEXTRACT(C703, ""🏘️ \w+ \w+ (.*) ✅"") ,  if(H703=""quartier"",vlookup(REGEXEXTRACT(C703, ""🏘️ \w+ \w+ (.*) ✅""),'Quartier prepositions'!A"&amp;":E, 5, 0) ,  if(H703=""region"",vlookup(REGEXEXTRACT(C703, ""🏘️ \w+ \w+ (.*) ✅""),'Region prepositions'!B:F, 5, 0),  REGEXEXTRACT(C703, ""🏘️ \w+ \w+ (.*) ✅""))))"),"Massongex")</f>
        <v>Massongex</v>
      </c>
      <c r="F703" s="2" t="str">
        <f>IFERROR(__xludf.DUMMYFUNCTION("REGEXEXTRACT(C703, ""🏘️ (\w+) \w+ .* ✅"")"),"Vendre")</f>
        <v>Vendre</v>
      </c>
      <c r="G703" s="2" t="str">
        <f>IFERROR(__xludf.DUMMYFUNCTION("REGEXEXTRACT(C703, ""🏘️ \w+ (\w+) .* ✅"")"),"appartement")</f>
        <v>appartement</v>
      </c>
      <c r="H703" s="4" t="str">
        <f>IFERROR(__xludf.DUMMYFUNCTION("REGEXEXTRACT(A703, ""/(\w+)-.*?"")"),"lieu")</f>
        <v>lieu</v>
      </c>
      <c r="I703" s="4" t="str">
        <f>IFERROR(__xludf.DUMMYFUNCTION("if(D703=""variant"",  substitute(filter(Templates!E:E, Templates!A:A = F703, Templates!B:B = G703, Templates!C:C = H703), ""{{}}"", E703), B703)"),"🏘  L’appartement de vos rêves se trouve sur ImmoScout24.ch ✅ Découvrez les dernières annonces de vente à Massongex.")</f>
        <v>🏘  L’appartement de vos rêves se trouve sur ImmoScout24.ch ✅ Découvrez les dernières annonces de vente à Massongex.</v>
      </c>
      <c r="J703" s="4" t="s">
        <v>2116</v>
      </c>
    </row>
    <row r="704">
      <c r="A704" s="5" t="s">
        <v>2117</v>
      </c>
      <c r="B704" s="2" t="s">
        <v>2118</v>
      </c>
      <c r="C704" s="4" t="str">
        <f>IFERROR(__xludf.DUMMYFUNCTION("""🏘️ ""&amp;REGEXEXTRACT(B704, ""^(.*): "")&amp;"" ✅ "" &amp;REGEXEXTRACT(B704, ""(Trouvez.*)"")"),"🏘️ Vendre maison Poliez-le-Grand ✅ Trouvez le bien immobilier qui correspond idéalement à vos désirs sur ImmoScout24 - La plateforme de l'immobilier en Suisse.")</f>
        <v>🏘️ Vendre maison Poliez-le-Grand ✅ Trouvez le bien immobilier qui correspond idéalement à vos désirs sur ImmoScout24 - La plateforme de l'immobilier en Suisse.</v>
      </c>
      <c r="D704" s="4" t="str">
        <f>vlookup(A704, Sheet2!D:E, 2, 0)</f>
        <v>variant</v>
      </c>
      <c r="E704" s="4" t="str">
        <f>IFERROR(__xludf.DUMMYFUNCTION("if(H704=""pays"",vlookup(REGEXEXTRACT(C704, ""🏘️ \w+ \w+ (.*) ✅""),'Country prepositions'!A:B, 2, 0) &amp; "" "" &amp; REGEXEXTRACT(C704, ""🏘️ \w+ \w+ (.*) ✅"") ,  if(H704=""quartier"",vlookup(REGEXEXTRACT(C704, ""🏘️ \w+ \w+ (.*) ✅""),'Quartier prepositions'!A"&amp;":E, 5, 0) ,  if(H704=""region"",vlookup(REGEXEXTRACT(C704, ""🏘️ \w+ \w+ (.*) ✅""),'Region prepositions'!B:F, 5, 0),  REGEXEXTRACT(C704, ""🏘️ \w+ \w+ (.*) ✅""))))"),"Poliez-le-Grand")</f>
        <v>Poliez-le-Grand</v>
      </c>
      <c r="F704" s="2" t="str">
        <f>IFERROR(__xludf.DUMMYFUNCTION("REGEXEXTRACT(C704, ""🏘️ (\w+) \w+ .* ✅"")"),"Vendre")</f>
        <v>Vendre</v>
      </c>
      <c r="G704" s="2" t="str">
        <f>IFERROR(__xludf.DUMMYFUNCTION("REGEXEXTRACT(C704, ""🏘️ \w+ (\w+) .* ✅"")"),"maison")</f>
        <v>maison</v>
      </c>
      <c r="H704" s="4" t="str">
        <f>IFERROR(__xludf.DUMMYFUNCTION("REGEXEXTRACT(A704, ""/(\w+)-.*?"")"),"lieu")</f>
        <v>lieu</v>
      </c>
      <c r="I704" s="4" t="str">
        <f>IFERROR(__xludf.DUMMYFUNCTION("if(D704=""variant"",  substitute(filter(Templates!E:E, Templates!A:A = F704, Templates!B:B = G704, Templates!C:C = H704), ""{{}}"", E704), B704)"),"🏘  Vous souhaitez acheter une maison à Poliez-le-Grand? ✅ Jetez un œil aux dernières offres sur ImmoScout24.ch.")</f>
        <v>🏘  Vous souhaitez acheter une maison à Poliez-le-Grand? ✅ Jetez un œil aux dernières offres sur ImmoScout24.ch.</v>
      </c>
      <c r="J704" s="4" t="s">
        <v>2119</v>
      </c>
    </row>
    <row r="705">
      <c r="A705" s="5" t="s">
        <v>2120</v>
      </c>
      <c r="B705" s="2" t="s">
        <v>2121</v>
      </c>
      <c r="C705" s="4" t="str">
        <f>IFERROR(__xludf.DUMMYFUNCTION("""🏘️ ""&amp;REGEXEXTRACT(B705, ""^(.*): "")&amp;"" ✅ "" &amp;REGEXEXTRACT(B705, ""(Trouvez.*)"")"),"🏘️ Vendre appartement Penthaz ✅ Trouvez le bien immobilier qui correspond idéalement à vos désirs sur ImmoScout24 - La plateforme de l'immobilier en Suisse.")</f>
        <v>🏘️ Vendre appartement Penthaz ✅ Trouvez le bien immobilier qui correspond idéalement à vos désirs sur ImmoScout24 - La plateforme de l'immobilier en Suisse.</v>
      </c>
      <c r="D705" s="4" t="str">
        <f>vlookup(A705, Sheet2!D:E, 2, 0)</f>
        <v>variant</v>
      </c>
      <c r="E705" s="4" t="str">
        <f>IFERROR(__xludf.DUMMYFUNCTION("if(H705=""pays"",vlookup(REGEXEXTRACT(C705, ""🏘️ \w+ \w+ (.*) ✅""),'Country prepositions'!A:B, 2, 0) &amp; "" "" &amp; REGEXEXTRACT(C705, ""🏘️ \w+ \w+ (.*) ✅"") ,  if(H705=""quartier"",vlookup(REGEXEXTRACT(C705, ""🏘️ \w+ \w+ (.*) ✅""),'Quartier prepositions'!A"&amp;":E, 5, 0) ,  if(H705=""region"",vlookup(REGEXEXTRACT(C705, ""🏘️ \w+ \w+ (.*) ✅""),'Region prepositions'!B:F, 5, 0),  REGEXEXTRACT(C705, ""🏘️ \w+ \w+ (.*) ✅""))))"),"Penthaz")</f>
        <v>Penthaz</v>
      </c>
      <c r="F705" s="2" t="str">
        <f>IFERROR(__xludf.DUMMYFUNCTION("REGEXEXTRACT(C705, ""🏘️ (\w+) \w+ .* ✅"")"),"Vendre")</f>
        <v>Vendre</v>
      </c>
      <c r="G705" s="2" t="str">
        <f>IFERROR(__xludf.DUMMYFUNCTION("REGEXEXTRACT(C705, ""🏘️ \w+ (\w+) .* ✅"")"),"appartement")</f>
        <v>appartement</v>
      </c>
      <c r="H705" s="4" t="str">
        <f>IFERROR(__xludf.DUMMYFUNCTION("REGEXEXTRACT(A705, ""/(\w+)-.*?"")"),"lieu")</f>
        <v>lieu</v>
      </c>
      <c r="I705" s="4" t="str">
        <f>IFERROR(__xludf.DUMMYFUNCTION("if(D705=""variant"",  substitute(filter(Templates!E:E, Templates!A:A = F705, Templates!B:B = G705, Templates!C:C = H705), ""{{}}"", E705), B705)"),"🏘  L’appartement de vos rêves se trouve sur ImmoScout24.ch ✅ Découvrez les dernières annonces de vente à Penthaz.")</f>
        <v>🏘  L’appartement de vos rêves se trouve sur ImmoScout24.ch ✅ Découvrez les dernières annonces de vente à Penthaz.</v>
      </c>
      <c r="J705" s="4" t="s">
        <v>2122</v>
      </c>
    </row>
    <row r="706">
      <c r="A706" s="5" t="s">
        <v>2123</v>
      </c>
      <c r="B706" s="2" t="s">
        <v>2124</v>
      </c>
      <c r="C706" s="4" t="str">
        <f>IFERROR(__xludf.DUMMYFUNCTION("""🏘️ ""&amp;REGEXEXTRACT(B706, ""^(.*): "")&amp;"" ✅ "" &amp;REGEXEXTRACT(B706, ""(Trouvez.*)"")"),"🏘️ Vendre maison Vullierens ✅ Trouvez le bien immobilier qui correspond idéalement à vos désirs sur ImmoScout24 - La plateforme de l'immobilier en Suisse.")</f>
        <v>🏘️ Vendre maison Vullierens ✅ Trouvez le bien immobilier qui correspond idéalement à vos désirs sur ImmoScout24 - La plateforme de l'immobilier en Suisse.</v>
      </c>
      <c r="D706" s="4" t="str">
        <f>vlookup(A706, Sheet2!D:E, 2, 0)</f>
        <v>variant</v>
      </c>
      <c r="E706" s="4" t="str">
        <f>IFERROR(__xludf.DUMMYFUNCTION("if(H706=""pays"",vlookup(REGEXEXTRACT(C706, ""🏘️ \w+ \w+ (.*) ✅""),'Country prepositions'!A:B, 2, 0) &amp; "" "" &amp; REGEXEXTRACT(C706, ""🏘️ \w+ \w+ (.*) ✅"") ,  if(H706=""quartier"",vlookup(REGEXEXTRACT(C706, ""🏘️ \w+ \w+ (.*) ✅""),'Quartier prepositions'!A"&amp;":E, 5, 0) ,  if(H706=""region"",vlookup(REGEXEXTRACT(C706, ""🏘️ \w+ \w+ (.*) ✅""),'Region prepositions'!B:F, 5, 0),  REGEXEXTRACT(C706, ""🏘️ \w+ \w+ (.*) ✅""))))"),"Vullierens")</f>
        <v>Vullierens</v>
      </c>
      <c r="F706" s="2" t="str">
        <f>IFERROR(__xludf.DUMMYFUNCTION("REGEXEXTRACT(C706, ""🏘️ (\w+) \w+ .* ✅"")"),"Vendre")</f>
        <v>Vendre</v>
      </c>
      <c r="G706" s="2" t="str">
        <f>IFERROR(__xludf.DUMMYFUNCTION("REGEXEXTRACT(C706, ""🏘️ \w+ (\w+) .* ✅"")"),"maison")</f>
        <v>maison</v>
      </c>
      <c r="H706" s="4" t="str">
        <f>IFERROR(__xludf.DUMMYFUNCTION("REGEXEXTRACT(A706, ""/(\w+)-.*?"")"),"lieu")</f>
        <v>lieu</v>
      </c>
      <c r="I706" s="4" t="str">
        <f>IFERROR(__xludf.DUMMYFUNCTION("if(D706=""variant"",  substitute(filter(Templates!E:E, Templates!A:A = F706, Templates!B:B = G706, Templates!C:C = H706), ""{{}}"", E706), B706)"),"🏘  Vous souhaitez acheter une maison à Vullierens? ✅ Jetez un œil aux dernières offres sur ImmoScout24.ch.")</f>
        <v>🏘  Vous souhaitez acheter une maison à Vullierens? ✅ Jetez un œil aux dernières offres sur ImmoScout24.ch.</v>
      </c>
      <c r="J706" s="4" t="s">
        <v>2125</v>
      </c>
    </row>
    <row r="707">
      <c r="A707" s="5" t="s">
        <v>2126</v>
      </c>
      <c r="B707" s="2" t="s">
        <v>2127</v>
      </c>
      <c r="C707" s="4" t="str">
        <f>IFERROR(__xludf.DUMMYFUNCTION("""🏘️ ""&amp;REGEXEXTRACT(B707, ""^(.*): "")&amp;"" ✅ "" &amp;REGEXEXTRACT(B707, ""(Trouvez.*)"")"),"🏘️ Louer maison Muraz (Collombey) ✅ Trouvez le bien immobilier qui correspond idéalement à vos désirs sur ImmoScout24 - La plateforme de l'immobilier en Suisse.")</f>
        <v>🏘️ Louer maison Muraz (Collombey) ✅ Trouvez le bien immobilier qui correspond idéalement à vos désirs sur ImmoScout24 - La plateforme de l'immobilier en Suisse.</v>
      </c>
      <c r="D707" s="4" t="str">
        <f>vlookup(A707, Sheet2!D:E, 2, 0)</f>
        <v>variant</v>
      </c>
      <c r="E707" s="4" t="str">
        <f>IFERROR(__xludf.DUMMYFUNCTION("if(H707=""pays"",vlookup(REGEXEXTRACT(C707, ""🏘️ \w+ \w+ (.*) ✅""),'Country prepositions'!A:B, 2, 0) &amp; "" "" &amp; REGEXEXTRACT(C707, ""🏘️ \w+ \w+ (.*) ✅"") ,  if(H707=""quartier"",vlookup(REGEXEXTRACT(C707, ""🏘️ \w+ \w+ (.*) ✅""),'Quartier prepositions'!A"&amp;":E, 5, 0) ,  if(H707=""region"",vlookup(REGEXEXTRACT(C707, ""🏘️ \w+ \w+ (.*) ✅""),'Region prepositions'!B:F, 5, 0),  REGEXEXTRACT(C707, ""🏘️ \w+ \w+ (.*) ✅""))))"),"Muraz (Collombey)")</f>
        <v>Muraz (Collombey)</v>
      </c>
      <c r="F707" s="2" t="str">
        <f>IFERROR(__xludf.DUMMYFUNCTION("REGEXEXTRACT(C707, ""🏘️ (\w+) \w+ .* ✅"")"),"Louer")</f>
        <v>Louer</v>
      </c>
      <c r="G707" s="2" t="str">
        <f>IFERROR(__xludf.DUMMYFUNCTION("REGEXEXTRACT(C707, ""🏘️ \w+ (\w+) .* ✅"")"),"maison")</f>
        <v>maison</v>
      </c>
      <c r="H707" s="4" t="str">
        <f>IFERROR(__xludf.DUMMYFUNCTION("REGEXEXTRACT(A707, ""/(\w+)-.*?"")"),"lieu")</f>
        <v>lieu</v>
      </c>
      <c r="I707" s="4" t="str">
        <f>IFERROR(__xludf.DUMMYFUNCTION("if(D707=""variant"",  substitute(filter(Templates!E:E, Templates!A:A = F707, Templates!B:B = G707, Templates!C:C = H707), ""{{}}"", E707), B707)"),"🏘  Vous cherchez une maison à louer à Muraz (Collombey)? ✅ Découvrez nos nombreuses annonces sur ImmoScout24.ch.")</f>
        <v>🏘  Vous cherchez une maison à louer à Muraz (Collombey)? ✅ Découvrez nos nombreuses annonces sur ImmoScout24.ch.</v>
      </c>
      <c r="J707" s="4" t="s">
        <v>2128</v>
      </c>
    </row>
    <row r="708">
      <c r="A708" s="5" t="s">
        <v>2129</v>
      </c>
      <c r="B708" s="2" t="s">
        <v>2130</v>
      </c>
      <c r="C708" s="4" t="str">
        <f>IFERROR(__xludf.DUMMYFUNCTION("""🏘️ ""&amp;REGEXEXTRACT(B708, ""^(.*): "")&amp;"" ✅ "" &amp;REGEXEXTRACT(B708, ""(Trouvez.*)"")"),"🏘️ Louer appartement Pérolles (Fribourg) ✅ Trouvez le bien immobilier qui correspond idéalement à vos désirs sur ImmoScout24 - La plateforme de l'immobilier en Suisse.")</f>
        <v>🏘️ Louer appartement Pérolles (Fribourg) ✅ Trouvez le bien immobilier qui correspond idéalement à vos désirs sur ImmoScout24 - La plateforme de l'immobilier en Suisse.</v>
      </c>
      <c r="D708" s="4" t="str">
        <f>vlookup(A708, Sheet2!D:E, 2, 0)</f>
        <v>variant</v>
      </c>
      <c r="E708" s="4" t="str">
        <f>IFERROR(__xludf.DUMMYFUNCTION("if(H708=""pays"",vlookup(REGEXEXTRACT(C708, ""🏘️ \w+ \w+ (.*) ✅""),'Country prepositions'!A:B, 2, 0) &amp; "" "" &amp; REGEXEXTRACT(C708, ""🏘️ \w+ \w+ (.*) ✅"") ,  if(H708=""quartier"",vlookup(REGEXEXTRACT(C708, ""🏘️ \w+ \w+ (.*) ✅""),'Quartier prepositions'!A"&amp;":E, 5, 0) ,  if(H708=""region"",vlookup(REGEXEXTRACT(C708, ""🏘️ \w+ \w+ (.*) ✅""),'Region prepositions'!B:F, 5, 0),  REGEXEXTRACT(C708, ""🏘️ \w+ \w+ (.*) ✅""))))"),"dans le quartier de Pérolles (Fribourg)")</f>
        <v>dans le quartier de Pérolles (Fribourg)</v>
      </c>
      <c r="F708" s="2" t="str">
        <f>IFERROR(__xludf.DUMMYFUNCTION("REGEXEXTRACT(C708, ""🏘️ (\w+) \w+ .* ✅"")"),"Louer")</f>
        <v>Louer</v>
      </c>
      <c r="G708" s="2" t="str">
        <f>IFERROR(__xludf.DUMMYFUNCTION("REGEXEXTRACT(C708, ""🏘️ \w+ (\w+) .* ✅"")"),"appartement")</f>
        <v>appartement</v>
      </c>
      <c r="H708" s="4" t="str">
        <f>IFERROR(__xludf.DUMMYFUNCTION("REGEXEXTRACT(A708, ""/(\w+)-.*?"")"),"quartier")</f>
        <v>quartier</v>
      </c>
      <c r="I708" s="4" t="str">
        <f>IFERROR(__xludf.DUMMYFUNCTION("if(D708=""variant"",  substitute(filter(Templates!E:E, Templates!A:A = F708, Templates!B:B = G708, Templates!C:C = H708), ""{{}}"", E708), B708)"),"🏘  Vous cherchez un appartement à louer dans le quartier de Pérolles (Fribourg)? ✅ Les annonces les plus actuelles sont sur ImmoScout24.ch.")</f>
        <v>🏘  Vous cherchez un appartement à louer dans le quartier de Pérolles (Fribourg)? ✅ Les annonces les plus actuelles sont sur ImmoScout24.ch.</v>
      </c>
      <c r="J708" s="4" t="s">
        <v>2131</v>
      </c>
    </row>
    <row r="709">
      <c r="A709" s="5" t="s">
        <v>2132</v>
      </c>
      <c r="B709" s="2" t="s">
        <v>2133</v>
      </c>
      <c r="C709" s="4" t="str">
        <f>IFERROR(__xludf.DUMMYFUNCTION("""🏘️ ""&amp;REGEXEXTRACT(B709, ""^(.*): "")&amp;"" ✅ "" &amp;REGEXEXTRACT(B709, ""(Trouvez.*)"")"),"🏘️ Louer appartement Bouveret ✅ Trouvez le bien immobilier qui correspond idéalement à vos désirs sur ImmoScout24 - La plateforme de l'immobilier en Suisse.")</f>
        <v>🏘️ Louer appartement Bouveret ✅ Trouvez le bien immobilier qui correspond idéalement à vos désirs sur ImmoScout24 - La plateforme de l'immobilier en Suisse.</v>
      </c>
      <c r="D709" s="4" t="str">
        <f>vlookup(A709, Sheet2!D:E, 2, 0)</f>
        <v>variant</v>
      </c>
      <c r="E709" s="4" t="str">
        <f>IFERROR(__xludf.DUMMYFUNCTION("if(H709=""pays"",vlookup(REGEXEXTRACT(C709, ""🏘️ \w+ \w+ (.*) ✅""),'Country prepositions'!A:B, 2, 0) &amp; "" "" &amp; REGEXEXTRACT(C709, ""🏘️ \w+ \w+ (.*) ✅"") ,  if(H709=""quartier"",vlookup(REGEXEXTRACT(C709, ""🏘️ \w+ \w+ (.*) ✅""),'Quartier prepositions'!A"&amp;":E, 5, 0) ,  if(H709=""region"",vlookup(REGEXEXTRACT(C709, ""🏘️ \w+ \w+ (.*) ✅""),'Region prepositions'!B:F, 5, 0),  REGEXEXTRACT(C709, ""🏘️ \w+ \w+ (.*) ✅""))))"),"Bouveret")</f>
        <v>Bouveret</v>
      </c>
      <c r="F709" s="2" t="str">
        <f>IFERROR(__xludf.DUMMYFUNCTION("REGEXEXTRACT(C709, ""🏘️ (\w+) \w+ .* ✅"")"),"Louer")</f>
        <v>Louer</v>
      </c>
      <c r="G709" s="2" t="str">
        <f>IFERROR(__xludf.DUMMYFUNCTION("REGEXEXTRACT(C709, ""🏘️ \w+ (\w+) .* ✅"")"),"appartement")</f>
        <v>appartement</v>
      </c>
      <c r="H709" s="4" t="str">
        <f>IFERROR(__xludf.DUMMYFUNCTION("REGEXEXTRACT(A709, ""/(\w+)-.*?"")"),"lieu")</f>
        <v>lieu</v>
      </c>
      <c r="I709" s="8" t="str">
        <f>IFERROR(__xludf.DUMMYFUNCTION("if(D709=""variant"",  substitute(filter(Templates!E:E, Templates!A:A = F709, Templates!B:B = G709, Templates!C:C = H709), ""{{}}"", E709), B709)"),"🏘  Vous cherchez un appartement à louer à Bouveret? ✅ Les annonces les plus actuelles sont sur ImmoScout24.ch.")</f>
        <v>🏘  Vous cherchez un appartement à louer à Bouveret? ✅ Les annonces les plus actuelles sont sur ImmoScout24.ch.</v>
      </c>
      <c r="J709" s="9" t="s">
        <v>2134</v>
      </c>
    </row>
    <row r="710">
      <c r="A710" s="5" t="s">
        <v>2135</v>
      </c>
      <c r="B710" s="2" t="s">
        <v>2136</v>
      </c>
      <c r="C710" s="4" t="str">
        <f>IFERROR(__xludf.DUMMYFUNCTION("""🏘️ ""&amp;REGEXEXTRACT(B710, ""^(.*): "")&amp;"" ✅ "" &amp;REGEXEXTRACT(B710, ""(Trouvez.*)"")"),"🏘️ Vendre appartement Muralto ✅ Trouvez le bien immobilier qui correspond idéalement à vos désirs sur ImmoScout24 - La plateforme de l'immobilier en Suisse.")</f>
        <v>🏘️ Vendre appartement Muralto ✅ Trouvez le bien immobilier qui correspond idéalement à vos désirs sur ImmoScout24 - La plateforme de l'immobilier en Suisse.</v>
      </c>
      <c r="D710" s="4" t="str">
        <f>vlookup(A710, Sheet2!D:E, 2, 0)</f>
        <v>variant</v>
      </c>
      <c r="E710" s="4" t="str">
        <f>IFERROR(__xludf.DUMMYFUNCTION("if(H710=""pays"",vlookup(REGEXEXTRACT(C710, ""🏘️ \w+ \w+ (.*) ✅""),'Country prepositions'!A:B, 2, 0) &amp; "" "" &amp; REGEXEXTRACT(C710, ""🏘️ \w+ \w+ (.*) ✅"") ,  if(H710=""quartier"",vlookup(REGEXEXTRACT(C710, ""🏘️ \w+ \w+ (.*) ✅""),'Quartier prepositions'!A"&amp;":E, 5, 0) ,  if(H710=""region"",vlookup(REGEXEXTRACT(C710, ""🏘️ \w+ \w+ (.*) ✅""),'Region prepositions'!B:F, 5, 0),  REGEXEXTRACT(C710, ""🏘️ \w+ \w+ (.*) ✅""))))"),"Muralto")</f>
        <v>Muralto</v>
      </c>
      <c r="F710" s="2" t="str">
        <f>IFERROR(__xludf.DUMMYFUNCTION("REGEXEXTRACT(C710, ""🏘️ (\w+) \w+ .* ✅"")"),"Vendre")</f>
        <v>Vendre</v>
      </c>
      <c r="G710" s="2" t="str">
        <f>IFERROR(__xludf.DUMMYFUNCTION("REGEXEXTRACT(C710, ""🏘️ \w+ (\w+) .* ✅"")"),"appartement")</f>
        <v>appartement</v>
      </c>
      <c r="H710" s="4" t="str">
        <f>IFERROR(__xludf.DUMMYFUNCTION("REGEXEXTRACT(A710, ""/(\w+)-.*?"")"),"lieu")</f>
        <v>lieu</v>
      </c>
      <c r="I710" s="4" t="str">
        <f>IFERROR(__xludf.DUMMYFUNCTION("if(D710=""variant"",  substitute(filter(Templates!E:E, Templates!A:A = F710, Templates!B:B = G710, Templates!C:C = H710), ""{{}}"", E710), B710)"),"🏘  L’appartement de vos rêves se trouve sur ImmoScout24.ch ✅ Découvrez les dernières annonces de vente à Muralto.")</f>
        <v>🏘  L’appartement de vos rêves se trouve sur ImmoScout24.ch ✅ Découvrez les dernières annonces de vente à Muralto.</v>
      </c>
      <c r="J710" s="4" t="s">
        <v>2137</v>
      </c>
    </row>
    <row r="711">
      <c r="A711" s="5" t="s">
        <v>2138</v>
      </c>
      <c r="B711" s="2" t="s">
        <v>2139</v>
      </c>
      <c r="C711" s="4" t="str">
        <f>IFERROR(__xludf.DUMMYFUNCTION("""🏘️ ""&amp;REGEXEXTRACT(B711, ""^(.*): "")&amp;"" ✅ "" &amp;REGEXEXTRACT(B711, ""(Trouvez.*)"")"),"🏘️ Vendre appartement Lenzburg ✅ Trouvez le bien immobilier qui correspond idéalement à vos désirs sur ImmoScout24 - La plateforme de l'immobilier en Suisse.")</f>
        <v>🏘️ Vendre appartement Lenzburg ✅ Trouvez le bien immobilier qui correspond idéalement à vos désirs sur ImmoScout24 - La plateforme de l'immobilier en Suisse.</v>
      </c>
      <c r="D711" s="4" t="str">
        <f>vlookup(A711, Sheet2!D:E, 2, 0)</f>
        <v>variant</v>
      </c>
      <c r="E711" s="4" t="str">
        <f>IFERROR(__xludf.DUMMYFUNCTION("if(H711=""pays"",vlookup(REGEXEXTRACT(C711, ""🏘️ \w+ \w+ (.*) ✅""),'Country prepositions'!A:B, 2, 0) &amp; "" "" &amp; REGEXEXTRACT(C711, ""🏘️ \w+ \w+ (.*) ✅"") ,  if(H711=""quartier"",vlookup(REGEXEXTRACT(C711, ""🏘️ \w+ \w+ (.*) ✅""),'Quartier prepositions'!A"&amp;":E, 5, 0) ,  if(H711=""region"",vlookup(REGEXEXTRACT(C711, ""🏘️ \w+ \w+ (.*) ✅""),'Region prepositions'!B:F, 5, 0),  REGEXEXTRACT(C711, ""🏘️ \w+ \w+ (.*) ✅""))))"),"Lenzburg")</f>
        <v>Lenzburg</v>
      </c>
      <c r="F711" s="2" t="str">
        <f>IFERROR(__xludf.DUMMYFUNCTION("REGEXEXTRACT(C711, ""🏘️ (\w+) \w+ .* ✅"")"),"Vendre")</f>
        <v>Vendre</v>
      </c>
      <c r="G711" s="2" t="str">
        <f>IFERROR(__xludf.DUMMYFUNCTION("REGEXEXTRACT(C711, ""🏘️ \w+ (\w+) .* ✅"")"),"appartement")</f>
        <v>appartement</v>
      </c>
      <c r="H711" s="4" t="str">
        <f>IFERROR(__xludf.DUMMYFUNCTION("REGEXEXTRACT(A711, ""/(\w+)-.*?"")"),"lieu")</f>
        <v>lieu</v>
      </c>
      <c r="I711" s="4" t="str">
        <f>IFERROR(__xludf.DUMMYFUNCTION("if(D711=""variant"",  substitute(filter(Templates!E:E, Templates!A:A = F711, Templates!B:B = G711, Templates!C:C = H711), ""{{}}"", E711), B711)"),"🏘  L’appartement de vos rêves se trouve sur ImmoScout24.ch ✅ Découvrez les dernières annonces de vente à Lenzburg.")</f>
        <v>🏘  L’appartement de vos rêves se trouve sur ImmoScout24.ch ✅ Découvrez les dernières annonces de vente à Lenzburg.</v>
      </c>
      <c r="J711" s="2" t="s">
        <v>2140</v>
      </c>
    </row>
    <row r="712">
      <c r="A712" s="5" t="s">
        <v>2141</v>
      </c>
      <c r="B712" s="2" t="s">
        <v>2142</v>
      </c>
      <c r="C712" s="4" t="str">
        <f>IFERROR(__xludf.DUMMYFUNCTION("""🏘️ ""&amp;REGEXEXTRACT(B712, ""^(.*): "")&amp;"" ✅ "" &amp;REGEXEXTRACT(B712, ""(Trouvez.*)"")"),"🏘️ Louer appartement St. Ursen ✅ Trouvez le bien immobilier qui correspond idéalement à vos désirs sur ImmoScout24 - La plateforme de l'immobilier en Suisse.")</f>
        <v>🏘️ Louer appartement St. Ursen ✅ Trouvez le bien immobilier qui correspond idéalement à vos désirs sur ImmoScout24 - La plateforme de l'immobilier en Suisse.</v>
      </c>
      <c r="D712" s="4" t="str">
        <f>vlookup(A712, Sheet2!D:E, 2, 0)</f>
        <v>variant</v>
      </c>
      <c r="E712" s="4" t="str">
        <f>IFERROR(__xludf.DUMMYFUNCTION("if(H712=""pays"",vlookup(REGEXEXTRACT(C712, ""🏘️ \w+ \w+ (.*) ✅""),'Country prepositions'!A:B, 2, 0) &amp; "" "" &amp; REGEXEXTRACT(C712, ""🏘️ \w+ \w+ (.*) ✅"") ,  if(H712=""quartier"",vlookup(REGEXEXTRACT(C712, ""🏘️ \w+ \w+ (.*) ✅""),'Quartier prepositions'!A"&amp;":E, 5, 0) ,  if(H712=""region"",vlookup(REGEXEXTRACT(C712, ""🏘️ \w+ \w+ (.*) ✅""),'Region prepositions'!B:F, 5, 0),  REGEXEXTRACT(C712, ""🏘️ \w+ \w+ (.*) ✅""))))"),"St. Ursen")</f>
        <v>St. Ursen</v>
      </c>
      <c r="F712" s="2" t="str">
        <f>IFERROR(__xludf.DUMMYFUNCTION("REGEXEXTRACT(C712, ""🏘️ (\w+) \w+ .* ✅"")"),"Louer")</f>
        <v>Louer</v>
      </c>
      <c r="G712" s="2" t="str">
        <f>IFERROR(__xludf.DUMMYFUNCTION("REGEXEXTRACT(C712, ""🏘️ \w+ (\w+) .* ✅"")"),"appartement")</f>
        <v>appartement</v>
      </c>
      <c r="H712" s="4" t="str">
        <f>IFERROR(__xludf.DUMMYFUNCTION("REGEXEXTRACT(A712, ""/(\w+)-.*?"")"),"lieu")</f>
        <v>lieu</v>
      </c>
      <c r="I712" s="4" t="str">
        <f>IFERROR(__xludf.DUMMYFUNCTION("if(D712=""variant"",  substitute(filter(Templates!E:E, Templates!A:A = F712, Templates!B:B = G712, Templates!C:C = H712), ""{{}}"", E712), B712)"),"🏘  Vous cherchez un appartement à louer à St. Ursen? ✅ Les annonces les plus actuelles sont sur ImmoScout24.ch.")</f>
        <v>🏘  Vous cherchez un appartement à louer à St. Ursen? ✅ Les annonces les plus actuelles sont sur ImmoScout24.ch.</v>
      </c>
      <c r="J712" s="4" t="s">
        <v>2143</v>
      </c>
    </row>
    <row r="713">
      <c r="A713" s="5" t="s">
        <v>2144</v>
      </c>
      <c r="B713" s="2" t="s">
        <v>2145</v>
      </c>
      <c r="C713" s="4" t="str">
        <f>IFERROR(__xludf.DUMMYFUNCTION("""🏘️ ""&amp;REGEXEXTRACT(B713, ""^(.*): "")&amp;"" ✅ "" &amp;REGEXEXTRACT(B713, ""(Trouvez.*)"")"),"🏘️ Louer appartement Buchthalen (Schaffhouse) ✅ Trouvez le bien immobilier qui correspond idéalement à vos désirs sur ImmoScout24 - La plateforme de l'immobilier en Suisse.")</f>
        <v>🏘️ Louer appartement Buchthalen (Schaffhouse) ✅ Trouvez le bien immobilier qui correspond idéalement à vos désirs sur ImmoScout24 - La plateforme de l'immobilier en Suisse.</v>
      </c>
      <c r="D713" s="4" t="str">
        <f>vlookup(A713, Sheet2!D:E, 2, 0)</f>
        <v>variant</v>
      </c>
      <c r="E713" s="4" t="str">
        <f>IFERROR(__xludf.DUMMYFUNCTION("if(H713=""pays"",vlookup(REGEXEXTRACT(C713, ""🏘️ \w+ \w+ (.*) ✅""),'Country prepositions'!A:B, 2, 0) &amp; "" "" &amp; REGEXEXTRACT(C713, ""🏘️ \w+ \w+ (.*) ✅"") ,  if(H713=""quartier"",vlookup(REGEXEXTRACT(C713, ""🏘️ \w+ \w+ (.*) ✅""),'Quartier prepositions'!A"&amp;":E, 5, 0) ,  if(H713=""region"",vlookup(REGEXEXTRACT(C713, ""🏘️ \w+ \w+ (.*) ✅""),'Region prepositions'!B:F, 5, 0),  REGEXEXTRACT(C713, ""🏘️ \w+ \w+ (.*) ✅""))))"),"dans le quartier de Buchthalen (Schaffhouse)")</f>
        <v>dans le quartier de Buchthalen (Schaffhouse)</v>
      </c>
      <c r="F713" s="2" t="str">
        <f>IFERROR(__xludf.DUMMYFUNCTION("REGEXEXTRACT(C713, ""🏘️ (\w+) \w+ .* ✅"")"),"Louer")</f>
        <v>Louer</v>
      </c>
      <c r="G713" s="2" t="str">
        <f>IFERROR(__xludf.DUMMYFUNCTION("REGEXEXTRACT(C713, ""🏘️ \w+ (\w+) .* ✅"")"),"appartement")</f>
        <v>appartement</v>
      </c>
      <c r="H713" s="4" t="str">
        <f>IFERROR(__xludf.DUMMYFUNCTION("REGEXEXTRACT(A713, ""/(\w+)-.*?"")"),"quartier")</f>
        <v>quartier</v>
      </c>
      <c r="I713" s="4" t="str">
        <f>IFERROR(__xludf.DUMMYFUNCTION("if(D713=""variant"",  substitute(filter(Templates!E:E, Templates!A:A = F713, Templates!B:B = G713, Templates!C:C = H713), ""{{}}"", E713), B713)"),"🏘  Vous cherchez un appartement à louer dans le quartier de Buchthalen (Schaffhouse)? ✅ Les annonces les plus actuelles sont sur ImmoScout24.ch.")</f>
        <v>🏘  Vous cherchez un appartement à louer dans le quartier de Buchthalen (Schaffhouse)? ✅ Les annonces les plus actuelles sont sur ImmoScout24.ch.</v>
      </c>
      <c r="J713" s="4" t="s">
        <v>2146</v>
      </c>
    </row>
    <row r="714">
      <c r="A714" s="5" t="s">
        <v>2147</v>
      </c>
      <c r="B714" s="2" t="s">
        <v>2148</v>
      </c>
      <c r="C714" s="4" t="str">
        <f>IFERROR(__xludf.DUMMYFUNCTION("""🏘️ ""&amp;REGEXEXTRACT(B714, ""^(.*): "")&amp;"" ✅ "" &amp;REGEXEXTRACT(B714, ""(Trouvez.*)"")"),"🏘️ Vendre maison Pfannenstiel ✅ Trouvez le bien immobilier qui correspond idéalement à vos désirs sur ImmoScout24 - La plateforme de l'immobilier en Suisse.")</f>
        <v>🏘️ Vendre maison Pfannenstiel ✅ Trouvez le bien immobilier qui correspond idéalement à vos désirs sur ImmoScout24 - La plateforme de l'immobilier en Suisse.</v>
      </c>
      <c r="D714" s="4" t="str">
        <f>vlookup(A714, Sheet2!D:E, 2, 0)</f>
        <v>variant</v>
      </c>
      <c r="E714" s="4" t="str">
        <f>IFERROR(__xludf.DUMMYFUNCTION("if(H714=""pays"",vlookup(REGEXEXTRACT(C714, ""🏘️ \w+ \w+ (.*) ✅""),'Country prepositions'!A:B, 2, 0) &amp; "" "" &amp; REGEXEXTRACT(C714, ""🏘️ \w+ \w+ (.*) ✅"") ,  if(H714=""quartier"",vlookup(REGEXEXTRACT(C714, ""🏘️ \w+ \w+ (.*) ✅""),'Quartier prepositions'!A"&amp;":E, 5, 0) ,  if(H714=""region"",vlookup(REGEXEXTRACT(C714, ""🏘️ \w+ \w+ (.*) ✅""),'Region prepositions'!B:F, 5, 0),  REGEXEXTRACT(C714, ""🏘️ \w+ \w+ (.*) ✅""))))"),"dans la région de Pfannenstiel")</f>
        <v>dans la région de Pfannenstiel</v>
      </c>
      <c r="F714" s="2" t="str">
        <f>IFERROR(__xludf.DUMMYFUNCTION("REGEXEXTRACT(C714, ""🏘️ (\w+) \w+ .* ✅"")"),"Vendre")</f>
        <v>Vendre</v>
      </c>
      <c r="G714" s="2" t="str">
        <f>IFERROR(__xludf.DUMMYFUNCTION("REGEXEXTRACT(C714, ""🏘️ \w+ (\w+) .* ✅"")"),"maison")</f>
        <v>maison</v>
      </c>
      <c r="H714" s="4" t="str">
        <f>IFERROR(__xludf.DUMMYFUNCTION("REGEXEXTRACT(A714, ""/(\w+)-.*?"")"),"region")</f>
        <v>region</v>
      </c>
      <c r="I714" s="4" t="str">
        <f>IFERROR(__xludf.DUMMYFUNCTION("if(D714=""variant"",  substitute(filter(Templates!E:E, Templates!A:A = F714, Templates!B:B = G714, Templates!C:C = H714), ""{{}}"", E714), B714)"),"🏘  Vous souhaitez acheter une maison dans la région de Pfannenstiel? ✅ Jetez un œil aux dernières offres sur ImmoScout24.ch.")</f>
        <v>🏘  Vous souhaitez acheter une maison dans la région de Pfannenstiel? ✅ Jetez un œil aux dernières offres sur ImmoScout24.ch.</v>
      </c>
      <c r="J714" s="4" t="s">
        <v>2149</v>
      </c>
    </row>
    <row r="715">
      <c r="A715" s="5" t="s">
        <v>2150</v>
      </c>
      <c r="B715" s="2" t="s">
        <v>2151</v>
      </c>
      <c r="C715" s="4" t="str">
        <f>IFERROR(__xludf.DUMMYFUNCTION("""🏘️ ""&amp;REGEXEXTRACT(B715, ""^(.*): "")&amp;"" ✅ "" &amp;REGEXEXTRACT(B715, ""(Trouvez.*)"")"),"🏘️ Vendre maison Vuissens ✅ Trouvez le bien immobilier qui correspond idéalement à vos désirs sur ImmoScout24 - La plateforme de l'immobilier en Suisse.")</f>
        <v>🏘️ Vendre maison Vuissens ✅ Trouvez le bien immobilier qui correspond idéalement à vos désirs sur ImmoScout24 - La plateforme de l'immobilier en Suisse.</v>
      </c>
      <c r="D715" s="4" t="str">
        <f>vlookup(A715, Sheet2!D:E, 2, 0)</f>
        <v>variant</v>
      </c>
      <c r="E715" s="4" t="str">
        <f>IFERROR(__xludf.DUMMYFUNCTION("if(H715=""pays"",vlookup(REGEXEXTRACT(C715, ""🏘️ \w+ \w+ (.*) ✅""),'Country prepositions'!A:B, 2, 0) &amp; "" "" &amp; REGEXEXTRACT(C715, ""🏘️ \w+ \w+ (.*) ✅"") ,  if(H715=""quartier"",vlookup(REGEXEXTRACT(C715, ""🏘️ \w+ \w+ (.*) ✅""),'Quartier prepositions'!A"&amp;":E, 5, 0) ,  if(H715=""region"",vlookup(REGEXEXTRACT(C715, ""🏘️ \w+ \w+ (.*) ✅""),'Region prepositions'!B:F, 5, 0),  REGEXEXTRACT(C715, ""🏘️ \w+ \w+ (.*) ✅""))))"),"Vuissens")</f>
        <v>Vuissens</v>
      </c>
      <c r="F715" s="2" t="str">
        <f>IFERROR(__xludf.DUMMYFUNCTION("REGEXEXTRACT(C715, ""🏘️ (\w+) \w+ .* ✅"")"),"Vendre")</f>
        <v>Vendre</v>
      </c>
      <c r="G715" s="2" t="str">
        <f>IFERROR(__xludf.DUMMYFUNCTION("REGEXEXTRACT(C715, ""🏘️ \w+ (\w+) .* ✅"")"),"maison")</f>
        <v>maison</v>
      </c>
      <c r="H715" s="4" t="str">
        <f>IFERROR(__xludf.DUMMYFUNCTION("REGEXEXTRACT(A715, ""/(\w+)-.*?"")"),"lieu")</f>
        <v>lieu</v>
      </c>
      <c r="I715" s="4" t="str">
        <f>IFERROR(__xludf.DUMMYFUNCTION("if(D715=""variant"",  substitute(filter(Templates!E:E, Templates!A:A = F715, Templates!B:B = G715, Templates!C:C = H715), ""{{}}"", E715), B715)"),"🏘  Vous souhaitez acheter une maison à Vuissens? ✅ Jetez un œil aux dernières offres sur ImmoScout24.ch.")</f>
        <v>🏘  Vous souhaitez acheter une maison à Vuissens? ✅ Jetez un œil aux dernières offres sur ImmoScout24.ch.</v>
      </c>
      <c r="J715" s="4" t="s">
        <v>2152</v>
      </c>
    </row>
    <row r="716">
      <c r="A716" s="5" t="s">
        <v>2153</v>
      </c>
      <c r="B716" s="2" t="s">
        <v>2154</v>
      </c>
      <c r="C716" s="4" t="str">
        <f>IFERROR(__xludf.DUMMYFUNCTION("""🏘️ ""&amp;REGEXEXTRACT(B716, ""^(.*): "")&amp;"" ✅ "" &amp;REGEXEXTRACT(B716, ""(Trouvez.*)"")"),"🏘️ Vendre appartement Jegenstorf ✅ Trouvez le bien immobilier qui correspond idéalement à vos désirs sur ImmoScout24 - La plateforme de l'immobilier en Suisse.")</f>
        <v>🏘️ Vendre appartement Jegenstorf ✅ Trouvez le bien immobilier qui correspond idéalement à vos désirs sur ImmoScout24 - La plateforme de l'immobilier en Suisse.</v>
      </c>
      <c r="D716" s="4" t="str">
        <f>vlookup(A716, Sheet2!D:E, 2, 0)</f>
        <v>variant</v>
      </c>
      <c r="E716" s="4" t="str">
        <f>IFERROR(__xludf.DUMMYFUNCTION("if(H716=""pays"",vlookup(REGEXEXTRACT(C716, ""🏘️ \w+ \w+ (.*) ✅""),'Country prepositions'!A:B, 2, 0) &amp; "" "" &amp; REGEXEXTRACT(C716, ""🏘️ \w+ \w+ (.*) ✅"") ,  if(H716=""quartier"",vlookup(REGEXEXTRACT(C716, ""🏘️ \w+ \w+ (.*) ✅""),'Quartier prepositions'!A"&amp;":E, 5, 0) ,  if(H716=""region"",vlookup(REGEXEXTRACT(C716, ""🏘️ \w+ \w+ (.*) ✅""),'Region prepositions'!B:F, 5, 0),  REGEXEXTRACT(C716, ""🏘️ \w+ \w+ (.*) ✅""))))"),"Jegenstorf")</f>
        <v>Jegenstorf</v>
      </c>
      <c r="F716" s="2" t="str">
        <f>IFERROR(__xludf.DUMMYFUNCTION("REGEXEXTRACT(C716, ""🏘️ (\w+) \w+ .* ✅"")"),"Vendre")</f>
        <v>Vendre</v>
      </c>
      <c r="G716" s="2" t="str">
        <f>IFERROR(__xludf.DUMMYFUNCTION("REGEXEXTRACT(C716, ""🏘️ \w+ (\w+) .* ✅"")"),"appartement")</f>
        <v>appartement</v>
      </c>
      <c r="H716" s="4" t="str">
        <f>IFERROR(__xludf.DUMMYFUNCTION("REGEXEXTRACT(A716, ""/(\w+)-.*?"")"),"lieu")</f>
        <v>lieu</v>
      </c>
      <c r="I716" s="4" t="str">
        <f>IFERROR(__xludf.DUMMYFUNCTION("if(D716=""variant"",  substitute(filter(Templates!E:E, Templates!A:A = F716, Templates!B:B = G716, Templates!C:C = H716), ""{{}}"", E716), B716)"),"🏘  L’appartement de vos rêves se trouve sur ImmoScout24.ch ✅ Découvrez les dernières annonces de vente à Jegenstorf.")</f>
        <v>🏘  L’appartement de vos rêves se trouve sur ImmoScout24.ch ✅ Découvrez les dernières annonces de vente à Jegenstorf.</v>
      </c>
      <c r="J716" s="4" t="s">
        <v>2155</v>
      </c>
    </row>
    <row r="717">
      <c r="A717" s="5" t="s">
        <v>2156</v>
      </c>
      <c r="B717" s="2" t="s">
        <v>2157</v>
      </c>
      <c r="C717" s="4" t="str">
        <f>IFERROR(__xludf.DUMMYFUNCTION("""🏘️ ""&amp;REGEXEXTRACT(B717, ""^(.*): "")&amp;"" ✅ "" &amp;REGEXEXTRACT(B717, ""(Trouvez.*)"")"),"🏘️ Louer maison Gürbetal - Voralpen ✅ Trouvez le bien immobilier qui correspond idéalement à vos désirs sur ImmoScout24 - La plateforme de l'immobilier en Suisse.")</f>
        <v>🏘️ Louer maison Gürbetal - Voralpen ✅ Trouvez le bien immobilier qui correspond idéalement à vos désirs sur ImmoScout24 - La plateforme de l'immobilier en Suisse.</v>
      </c>
      <c r="D717" s="4" t="str">
        <f>vlookup(A717, Sheet2!D:E, 2, 0)</f>
        <v>variant</v>
      </c>
      <c r="E717" s="4" t="str">
        <f>IFERROR(__xludf.DUMMYFUNCTION("if(H717=""pays"",vlookup(REGEXEXTRACT(C717, ""🏘️ \w+ \w+ (.*) ✅""),'Country prepositions'!A:B, 2, 0) &amp; "" "" &amp; REGEXEXTRACT(C717, ""🏘️ \w+ \w+ (.*) ✅"") ,  if(H717=""quartier"",vlookup(REGEXEXTRACT(C717, ""🏘️ \w+ \w+ (.*) ✅""),'Quartier prepositions'!A"&amp;":E, 5, 0) ,  if(H717=""region"",vlookup(REGEXEXTRACT(C717, ""🏘️ \w+ \w+ (.*) ✅""),'Region prepositions'!B:F, 5, 0),  REGEXEXTRACT(C717, ""🏘️ \w+ \w+ (.*) ✅""))))"),"à Gürbetal - Voralpen")</f>
        <v>à Gürbetal - Voralpen</v>
      </c>
      <c r="F717" s="2" t="str">
        <f>IFERROR(__xludf.DUMMYFUNCTION("REGEXEXTRACT(C717, ""🏘️ (\w+) \w+ .* ✅"")"),"Louer")</f>
        <v>Louer</v>
      </c>
      <c r="G717" s="2" t="str">
        <f>IFERROR(__xludf.DUMMYFUNCTION("REGEXEXTRACT(C717, ""🏘️ \w+ (\w+) .* ✅"")"),"maison")</f>
        <v>maison</v>
      </c>
      <c r="H717" s="4" t="str">
        <f>IFERROR(__xludf.DUMMYFUNCTION("REGEXEXTRACT(A717, ""/(\w+)-.*?"")"),"region")</f>
        <v>region</v>
      </c>
      <c r="I717" s="4" t="str">
        <f>IFERROR(__xludf.DUMMYFUNCTION("if(D717=""variant"",  substitute(filter(Templates!E:E, Templates!A:A = F717, Templates!B:B = G717, Templates!C:C = H717), ""{{}}"", E717), B717)"),"🏘  Vous cherchez une maison à louer à Gürbetal - Voralpen? ✅ Découvrez nos nombreuses annonces sur ImmoScout24.ch.")</f>
        <v>🏘  Vous cherchez une maison à louer à Gürbetal - Voralpen? ✅ Découvrez nos nombreuses annonces sur ImmoScout24.ch.</v>
      </c>
      <c r="J717" s="4" t="s">
        <v>2158</v>
      </c>
    </row>
    <row r="718">
      <c r="A718" s="5" t="s">
        <v>2159</v>
      </c>
      <c r="B718" s="2" t="s">
        <v>2160</v>
      </c>
      <c r="C718" s="4" t="str">
        <f>IFERROR(__xludf.DUMMYFUNCTION("""🏘️ ""&amp;REGEXEXTRACT(B718, ""^(.*): "")&amp;"" ✅ "" &amp;REGEXEXTRACT(B718, ""(Trouvez.*)"")"),"🏘️ Vendre appartement Heerbrugg ✅ Trouvez le bien immobilier qui correspond idéalement à vos désirs sur ImmoScout24 - La plateforme de l'immobilier en Suisse.")</f>
        <v>🏘️ Vendre appartement Heerbrugg ✅ Trouvez le bien immobilier qui correspond idéalement à vos désirs sur ImmoScout24 - La plateforme de l'immobilier en Suisse.</v>
      </c>
      <c r="D718" s="4" t="str">
        <f>vlookup(A718, Sheet2!D:E, 2, 0)</f>
        <v>variant</v>
      </c>
      <c r="E718" s="4" t="str">
        <f>IFERROR(__xludf.DUMMYFUNCTION("if(H718=""pays"",vlookup(REGEXEXTRACT(C718, ""🏘️ \w+ \w+ (.*) ✅""),'Country prepositions'!A:B, 2, 0) &amp; "" "" &amp; REGEXEXTRACT(C718, ""🏘️ \w+ \w+ (.*) ✅"") ,  if(H718=""quartier"",vlookup(REGEXEXTRACT(C718, ""🏘️ \w+ \w+ (.*) ✅""),'Quartier prepositions'!A"&amp;":E, 5, 0) ,  if(H718=""region"",vlookup(REGEXEXTRACT(C718, ""🏘️ \w+ \w+ (.*) ✅""),'Region prepositions'!B:F, 5, 0),  REGEXEXTRACT(C718, ""🏘️ \w+ \w+ (.*) ✅""))))"),"Heerbrugg")</f>
        <v>Heerbrugg</v>
      </c>
      <c r="F718" s="2" t="str">
        <f>IFERROR(__xludf.DUMMYFUNCTION("REGEXEXTRACT(C718, ""🏘️ (\w+) \w+ .* ✅"")"),"Vendre")</f>
        <v>Vendre</v>
      </c>
      <c r="G718" s="2" t="str">
        <f>IFERROR(__xludf.DUMMYFUNCTION("REGEXEXTRACT(C718, ""🏘️ \w+ (\w+) .* ✅"")"),"appartement")</f>
        <v>appartement</v>
      </c>
      <c r="H718" s="4" t="str">
        <f>IFERROR(__xludf.DUMMYFUNCTION("REGEXEXTRACT(A718, ""/(\w+)-.*?"")"),"lieu")</f>
        <v>lieu</v>
      </c>
      <c r="I718" s="4" t="str">
        <f>IFERROR(__xludf.DUMMYFUNCTION("if(D718=""variant"",  substitute(filter(Templates!E:E, Templates!A:A = F718, Templates!B:B = G718, Templates!C:C = H718), ""{{}}"", E718), B718)"),"🏘  L’appartement de vos rêves se trouve sur ImmoScout24.ch ✅ Découvrez les dernières annonces de vente à Heerbrugg.")</f>
        <v>🏘  L’appartement de vos rêves se trouve sur ImmoScout24.ch ✅ Découvrez les dernières annonces de vente à Heerbrugg.</v>
      </c>
      <c r="J718" s="4" t="s">
        <v>2161</v>
      </c>
    </row>
    <row r="719">
      <c r="A719" s="5" t="s">
        <v>2162</v>
      </c>
      <c r="B719" s="2" t="s">
        <v>2163</v>
      </c>
      <c r="C719" s="4" t="str">
        <f>IFERROR(__xludf.DUMMYFUNCTION("""🏘️ ""&amp;REGEXEXTRACT(B719, ""^(.*): "")&amp;"" ✅ "" &amp;REGEXEXTRACT(B719, ""(Trouvez.*)"")"),"🏘️ Vendre maison Founex ✅ Trouvez le bien immobilier qui correspond idéalement à vos désirs sur ImmoScout24 - La plateforme de l'immobilier en Suisse.")</f>
        <v>🏘️ Vendre maison Founex ✅ Trouvez le bien immobilier qui correspond idéalement à vos désirs sur ImmoScout24 - La plateforme de l'immobilier en Suisse.</v>
      </c>
      <c r="D719" s="4" t="str">
        <f>vlookup(A719, Sheet2!D:E, 2, 0)</f>
        <v>variant</v>
      </c>
      <c r="E719" s="4" t="str">
        <f>IFERROR(__xludf.DUMMYFUNCTION("if(H719=""pays"",vlookup(REGEXEXTRACT(C719, ""🏘️ \w+ \w+ (.*) ✅""),'Country prepositions'!A:B, 2, 0) &amp; "" "" &amp; REGEXEXTRACT(C719, ""🏘️ \w+ \w+ (.*) ✅"") ,  if(H719=""quartier"",vlookup(REGEXEXTRACT(C719, ""🏘️ \w+ \w+ (.*) ✅""),'Quartier prepositions'!A"&amp;":E, 5, 0) ,  if(H719=""region"",vlookup(REGEXEXTRACT(C719, ""🏘️ \w+ \w+ (.*) ✅""),'Region prepositions'!B:F, 5, 0),  REGEXEXTRACT(C719, ""🏘️ \w+ \w+ (.*) ✅""))))"),"Founex")</f>
        <v>Founex</v>
      </c>
      <c r="F719" s="2" t="str">
        <f>IFERROR(__xludf.DUMMYFUNCTION("REGEXEXTRACT(C719, ""🏘️ (\w+) \w+ .* ✅"")"),"Vendre")</f>
        <v>Vendre</v>
      </c>
      <c r="G719" s="2" t="str">
        <f>IFERROR(__xludf.DUMMYFUNCTION("REGEXEXTRACT(C719, ""🏘️ \w+ (\w+) .* ✅"")"),"maison")</f>
        <v>maison</v>
      </c>
      <c r="H719" s="4" t="str">
        <f>IFERROR(__xludf.DUMMYFUNCTION("REGEXEXTRACT(A719, ""/(\w+)-.*?"")"),"lieu")</f>
        <v>lieu</v>
      </c>
      <c r="I719" s="4" t="str">
        <f>IFERROR(__xludf.DUMMYFUNCTION("if(D719=""variant"",  substitute(filter(Templates!E:E, Templates!A:A = F719, Templates!B:B = G719, Templates!C:C = H719), ""{{}}"", E719), B719)"),"🏘  Vous souhaitez acheter une maison à Founex? ✅ Jetez un œil aux dernières offres sur ImmoScout24.ch.")</f>
        <v>🏘  Vous souhaitez acheter une maison à Founex? ✅ Jetez un œil aux dernières offres sur ImmoScout24.ch.</v>
      </c>
      <c r="J719" s="4" t="s">
        <v>2164</v>
      </c>
    </row>
    <row r="720">
      <c r="A720" s="5" t="s">
        <v>2165</v>
      </c>
      <c r="B720" s="2" t="s">
        <v>2166</v>
      </c>
      <c r="C720" s="4" t="str">
        <f>IFERROR(__xludf.DUMMYFUNCTION("""🏘️ ""&amp;REGEXEXTRACT(B720, ""^(.*): "")&amp;"" ✅ "" &amp;REGEXEXTRACT(B720, ""(Trouvez.*)"")"),"🏘️ Vendre appartement Châtonnaye ✅ Trouvez le bien immobilier qui correspond idéalement à vos désirs sur ImmoScout24 - La plateforme de l'immobilier en Suisse.")</f>
        <v>🏘️ Vendre appartement Châtonnaye ✅ Trouvez le bien immobilier qui correspond idéalement à vos désirs sur ImmoScout24 - La plateforme de l'immobilier en Suisse.</v>
      </c>
      <c r="D720" s="4" t="str">
        <f>vlookup(A720, Sheet2!D:E, 2, 0)</f>
        <v>variant</v>
      </c>
      <c r="E720" s="4" t="str">
        <f>IFERROR(__xludf.DUMMYFUNCTION("if(H720=""pays"",vlookup(REGEXEXTRACT(C720, ""🏘️ \w+ \w+ (.*) ✅""),'Country prepositions'!A:B, 2, 0) &amp; "" "" &amp; REGEXEXTRACT(C720, ""🏘️ \w+ \w+ (.*) ✅"") ,  if(H720=""quartier"",vlookup(REGEXEXTRACT(C720, ""🏘️ \w+ \w+ (.*) ✅""),'Quartier prepositions'!A"&amp;":E, 5, 0) ,  if(H720=""region"",vlookup(REGEXEXTRACT(C720, ""🏘️ \w+ \w+ (.*) ✅""),'Region prepositions'!B:F, 5, 0),  REGEXEXTRACT(C720, ""🏘️ \w+ \w+ (.*) ✅""))))"),"Châtonnaye")</f>
        <v>Châtonnaye</v>
      </c>
      <c r="F720" s="2" t="str">
        <f>IFERROR(__xludf.DUMMYFUNCTION("REGEXEXTRACT(C720, ""🏘️ (\w+) \w+ .* ✅"")"),"Vendre")</f>
        <v>Vendre</v>
      </c>
      <c r="G720" s="2" t="str">
        <f>IFERROR(__xludf.DUMMYFUNCTION("REGEXEXTRACT(C720, ""🏘️ \w+ (\w+) .* ✅"")"),"appartement")</f>
        <v>appartement</v>
      </c>
      <c r="H720" s="4" t="str">
        <f>IFERROR(__xludf.DUMMYFUNCTION("REGEXEXTRACT(A720, ""/(\w+)-.*?"")"),"lieu")</f>
        <v>lieu</v>
      </c>
      <c r="I720" s="4" t="str">
        <f>IFERROR(__xludf.DUMMYFUNCTION("if(D720=""variant"",  substitute(filter(Templates!E:E, Templates!A:A = F720, Templates!B:B = G720, Templates!C:C = H720), ""{{}}"", E720), B720)"),"🏘  L’appartement de vos rêves se trouve sur ImmoScout24.ch ✅ Découvrez les dernières annonces de vente à Châtonnaye.")</f>
        <v>🏘  L’appartement de vos rêves se trouve sur ImmoScout24.ch ✅ Découvrez les dernières annonces de vente à Châtonnaye.</v>
      </c>
      <c r="J720" s="4" t="s">
        <v>2167</v>
      </c>
    </row>
    <row r="721">
      <c r="A721" s="5" t="s">
        <v>2168</v>
      </c>
      <c r="B721" s="2" t="s">
        <v>2169</v>
      </c>
      <c r="C721" s="4" t="str">
        <f>IFERROR(__xludf.DUMMYFUNCTION("""🏘️ ""&amp;REGEXEXTRACT(B721, ""^(.*): "")&amp;"" ✅ "" &amp;REGEXEXTRACT(B721, ""(Trouvez.*)"")"),"🏘️ Louer appartement Noville ✅ Trouvez le bien immobilier qui correspond idéalement à vos désirs sur ImmoScout24 - La plateforme de l'immobilier en Suisse.")</f>
        <v>🏘️ Louer appartement Noville ✅ Trouvez le bien immobilier qui correspond idéalement à vos désirs sur ImmoScout24 - La plateforme de l'immobilier en Suisse.</v>
      </c>
      <c r="D721" s="4" t="str">
        <f>vlookup(A721, Sheet2!D:E, 2, 0)</f>
        <v>variant</v>
      </c>
      <c r="E721" s="4" t="str">
        <f>IFERROR(__xludf.DUMMYFUNCTION("if(H721=""pays"",vlookup(REGEXEXTRACT(C721, ""🏘️ \w+ \w+ (.*) ✅""),'Country prepositions'!A:B, 2, 0) &amp; "" "" &amp; REGEXEXTRACT(C721, ""🏘️ \w+ \w+ (.*) ✅"") ,  if(H721=""quartier"",vlookup(REGEXEXTRACT(C721, ""🏘️ \w+ \w+ (.*) ✅""),'Quartier prepositions'!A"&amp;":E, 5, 0) ,  if(H721=""region"",vlookup(REGEXEXTRACT(C721, ""🏘️ \w+ \w+ (.*) ✅""),'Region prepositions'!B:F, 5, 0),  REGEXEXTRACT(C721, ""🏘️ \w+ \w+ (.*) ✅""))))"),"Noville")</f>
        <v>Noville</v>
      </c>
      <c r="F721" s="2" t="str">
        <f>IFERROR(__xludf.DUMMYFUNCTION("REGEXEXTRACT(C721, ""🏘️ (\w+) \w+ .* ✅"")"),"Louer")</f>
        <v>Louer</v>
      </c>
      <c r="G721" s="2" t="str">
        <f>IFERROR(__xludf.DUMMYFUNCTION("REGEXEXTRACT(C721, ""🏘️ \w+ (\w+) .* ✅"")"),"appartement")</f>
        <v>appartement</v>
      </c>
      <c r="H721" s="4" t="str">
        <f>IFERROR(__xludf.DUMMYFUNCTION("REGEXEXTRACT(A721, ""/(\w+)-.*?"")"),"lieu")</f>
        <v>lieu</v>
      </c>
      <c r="I721" s="4" t="str">
        <f>IFERROR(__xludf.DUMMYFUNCTION("if(D721=""variant"",  substitute(filter(Templates!E:E, Templates!A:A = F721, Templates!B:B = G721, Templates!C:C = H721), ""{{}}"", E721), B721)"),"🏘  Vous cherchez un appartement à louer à Noville? ✅ Les annonces les plus actuelles sont sur ImmoScout24.ch.")</f>
        <v>🏘  Vous cherchez un appartement à louer à Noville? ✅ Les annonces les plus actuelles sont sur ImmoScout24.ch.</v>
      </c>
      <c r="J721" s="4" t="s">
        <v>2170</v>
      </c>
    </row>
    <row r="722">
      <c r="A722" s="5" t="s">
        <v>2171</v>
      </c>
      <c r="B722" s="2" t="s">
        <v>2172</v>
      </c>
      <c r="C722" s="4" t="str">
        <f>IFERROR(__xludf.DUMMYFUNCTION("""🏘️ ""&amp;REGEXEXTRACT(B722, ""^(.*): "")&amp;"" ✅ "" &amp;REGEXEXTRACT(B722, ""(Trouvez.*)"")"),"🏘️ Louer appartement Männedorf ✅ Trouvez le bien immobilier qui correspond idéalement à vos désirs sur ImmoScout24 - La plateforme de l'immobilier en Suisse.")</f>
        <v>🏘️ Louer appartement Männedorf ✅ Trouvez le bien immobilier qui correspond idéalement à vos désirs sur ImmoScout24 - La plateforme de l'immobilier en Suisse.</v>
      </c>
      <c r="D722" s="4" t="str">
        <f>vlookup(A722, Sheet2!D:E, 2, 0)</f>
        <v>variant</v>
      </c>
      <c r="E722" s="4" t="str">
        <f>IFERROR(__xludf.DUMMYFUNCTION("if(H722=""pays"",vlookup(REGEXEXTRACT(C722, ""🏘️ \w+ \w+ (.*) ✅""),'Country prepositions'!A:B, 2, 0) &amp; "" "" &amp; REGEXEXTRACT(C722, ""🏘️ \w+ \w+ (.*) ✅"") ,  if(H722=""quartier"",vlookup(REGEXEXTRACT(C722, ""🏘️ \w+ \w+ (.*) ✅""),'Quartier prepositions'!A"&amp;":E, 5, 0) ,  if(H722=""region"",vlookup(REGEXEXTRACT(C722, ""🏘️ \w+ \w+ (.*) ✅""),'Region prepositions'!B:F, 5, 0),  REGEXEXTRACT(C722, ""🏘️ \w+ \w+ (.*) ✅""))))"),"Männedorf")</f>
        <v>Männedorf</v>
      </c>
      <c r="F722" s="2" t="str">
        <f>IFERROR(__xludf.DUMMYFUNCTION("REGEXEXTRACT(C722, ""🏘️ (\w+) \w+ .* ✅"")"),"Louer")</f>
        <v>Louer</v>
      </c>
      <c r="G722" s="2" t="str">
        <f>IFERROR(__xludf.DUMMYFUNCTION("REGEXEXTRACT(C722, ""🏘️ \w+ (\w+) .* ✅"")"),"appartement")</f>
        <v>appartement</v>
      </c>
      <c r="H722" s="4" t="str">
        <f>IFERROR(__xludf.DUMMYFUNCTION("REGEXEXTRACT(A722, ""/(\w+)-.*?"")"),"lieu")</f>
        <v>lieu</v>
      </c>
      <c r="I722" s="4" t="str">
        <f>IFERROR(__xludf.DUMMYFUNCTION("if(D722=""variant"",  substitute(filter(Templates!E:E, Templates!A:A = F722, Templates!B:B = G722, Templates!C:C = H722), ""{{}}"", E722), B722)"),"🏘  Vous cherchez un appartement à louer à Männedorf? ✅ Les annonces les plus actuelles sont sur ImmoScout24.ch.")</f>
        <v>🏘  Vous cherchez un appartement à louer à Männedorf? ✅ Les annonces les plus actuelles sont sur ImmoScout24.ch.</v>
      </c>
      <c r="J722" s="4" t="s">
        <v>2173</v>
      </c>
    </row>
    <row r="723">
      <c r="A723" s="5" t="s">
        <v>2174</v>
      </c>
      <c r="B723" s="2" t="s">
        <v>2175</v>
      </c>
      <c r="C723" s="4" t="str">
        <f>IFERROR(__xludf.DUMMYFUNCTION("""🏘️ ""&amp;REGEXEXTRACT(B723, ""^(.*): "")&amp;"" ✅ "" &amp;REGEXEXTRACT(B723, ""(Trouvez.*)"")"),"🏘️ Vendre maison Berolle ✅ Trouvez le bien immobilier qui correspond idéalement à vos désirs sur ImmoScout24 - La plateforme de l'immobilier en Suisse.")</f>
        <v>🏘️ Vendre maison Berolle ✅ Trouvez le bien immobilier qui correspond idéalement à vos désirs sur ImmoScout24 - La plateforme de l'immobilier en Suisse.</v>
      </c>
      <c r="D723" s="4" t="str">
        <f>vlookup(A723, Sheet2!D:E, 2, 0)</f>
        <v>variant</v>
      </c>
      <c r="E723" s="4" t="str">
        <f>IFERROR(__xludf.DUMMYFUNCTION("if(H723=""pays"",vlookup(REGEXEXTRACT(C723, ""🏘️ \w+ \w+ (.*) ✅""),'Country prepositions'!A:B, 2, 0) &amp; "" "" &amp; REGEXEXTRACT(C723, ""🏘️ \w+ \w+ (.*) ✅"") ,  if(H723=""quartier"",vlookup(REGEXEXTRACT(C723, ""🏘️ \w+ \w+ (.*) ✅""),'Quartier prepositions'!A"&amp;":E, 5, 0) ,  if(H723=""region"",vlookup(REGEXEXTRACT(C723, ""🏘️ \w+ \w+ (.*) ✅""),'Region prepositions'!B:F, 5, 0),  REGEXEXTRACT(C723, ""🏘️ \w+ \w+ (.*) ✅""))))"),"Berolle")</f>
        <v>Berolle</v>
      </c>
      <c r="F723" s="2" t="str">
        <f>IFERROR(__xludf.DUMMYFUNCTION("REGEXEXTRACT(C723, ""🏘️ (\w+) \w+ .* ✅"")"),"Vendre")</f>
        <v>Vendre</v>
      </c>
      <c r="G723" s="2" t="str">
        <f>IFERROR(__xludf.DUMMYFUNCTION("REGEXEXTRACT(C723, ""🏘️ \w+ (\w+) .* ✅"")"),"maison")</f>
        <v>maison</v>
      </c>
      <c r="H723" s="4" t="str">
        <f>IFERROR(__xludf.DUMMYFUNCTION("REGEXEXTRACT(A723, ""/(\w+)-.*?"")"),"lieu")</f>
        <v>lieu</v>
      </c>
      <c r="I723" s="4" t="str">
        <f>IFERROR(__xludf.DUMMYFUNCTION("if(D723=""variant"",  substitute(filter(Templates!E:E, Templates!A:A = F723, Templates!B:B = G723, Templates!C:C = H723), ""{{}}"", E723), B723)"),"🏘  Vous souhaitez acheter une maison à Berolle? ✅ Jetez un œil aux dernières offres sur ImmoScout24.ch.")</f>
        <v>🏘  Vous souhaitez acheter une maison à Berolle? ✅ Jetez un œil aux dernières offres sur ImmoScout24.ch.</v>
      </c>
      <c r="J723" s="4" t="s">
        <v>2176</v>
      </c>
    </row>
    <row r="724">
      <c r="A724" s="5" t="s">
        <v>2177</v>
      </c>
      <c r="B724" s="2" t="s">
        <v>2178</v>
      </c>
      <c r="C724" s="4" t="str">
        <f>IFERROR(__xludf.DUMMYFUNCTION("""🏘️ ""&amp;REGEXEXTRACT(B724, ""^(.*): "")&amp;"" ✅ "" &amp;REGEXEXTRACT(B724, ""(Trouvez.*)"")"),"🏘️ Louer appartement Laufen ✅ Trouvez le bien immobilier qui correspond idéalement à vos désirs sur ImmoScout24 - La plateforme de l'immobilier en Suisse.")</f>
        <v>🏘️ Louer appartement Laufen ✅ Trouvez le bien immobilier qui correspond idéalement à vos désirs sur ImmoScout24 - La plateforme de l'immobilier en Suisse.</v>
      </c>
      <c r="D724" s="4" t="str">
        <f>vlookup(A724, Sheet2!D:E, 2, 0)</f>
        <v>variant</v>
      </c>
      <c r="E724" s="4" t="str">
        <f>IFERROR(__xludf.DUMMYFUNCTION("if(H724=""pays"",vlookup(REGEXEXTRACT(C724, ""🏘️ \w+ \w+ (.*) ✅""),'Country prepositions'!A:B, 2, 0) &amp; "" "" &amp; REGEXEXTRACT(C724, ""🏘️ \w+ \w+ (.*) ✅"") ,  if(H724=""quartier"",vlookup(REGEXEXTRACT(C724, ""🏘️ \w+ \w+ (.*) ✅""),'Quartier prepositions'!A"&amp;":E, 5, 0) ,  if(H724=""region"",vlookup(REGEXEXTRACT(C724, ""🏘️ \w+ \w+ (.*) ✅""),'Region prepositions'!B:F, 5, 0),  REGEXEXTRACT(C724, ""🏘️ \w+ \w+ (.*) ✅""))))"),"Laufen")</f>
        <v>Laufen</v>
      </c>
      <c r="F724" s="2" t="str">
        <f>IFERROR(__xludf.DUMMYFUNCTION("REGEXEXTRACT(C724, ""🏘️ (\w+) \w+ .* ✅"")"),"Louer")</f>
        <v>Louer</v>
      </c>
      <c r="G724" s="2" t="str">
        <f>IFERROR(__xludf.DUMMYFUNCTION("REGEXEXTRACT(C724, ""🏘️ \w+ (\w+) .* ✅"")"),"appartement")</f>
        <v>appartement</v>
      </c>
      <c r="H724" s="4" t="str">
        <f>IFERROR(__xludf.DUMMYFUNCTION("REGEXEXTRACT(A724, ""/(\w+)-.*?"")"),"lieu")</f>
        <v>lieu</v>
      </c>
      <c r="I724" s="4" t="str">
        <f>IFERROR(__xludf.DUMMYFUNCTION("if(D724=""variant"",  substitute(filter(Templates!E:E, Templates!A:A = F724, Templates!B:B = G724, Templates!C:C = H724), ""{{}}"", E724), B724)"),"🏘  Vous cherchez un appartement à louer à Laufen? ✅ Les annonces les plus actuelles sont sur ImmoScout24.ch.")</f>
        <v>🏘  Vous cherchez un appartement à louer à Laufen? ✅ Les annonces les plus actuelles sont sur ImmoScout24.ch.</v>
      </c>
      <c r="J724" s="4" t="s">
        <v>2179</v>
      </c>
    </row>
    <row r="725">
      <c r="A725" s="5" t="s">
        <v>2180</v>
      </c>
      <c r="B725" s="2" t="s">
        <v>2181</v>
      </c>
      <c r="C725" s="4" t="str">
        <f>IFERROR(__xludf.DUMMYFUNCTION("""🏘️ ""&amp;REGEXEXTRACT(B725, ""^(.*): "")&amp;"" ✅ "" &amp;REGEXEXTRACT(B725, ""(Trouvez.*)"")"),"🏘️ Louer appartement Yverdon - Grandson ✅ Trouvez le bien immobilier qui correspond idéalement à vos désirs sur ImmoScout24 - La plateforme de l'immobilier en Suisse.")</f>
        <v>🏘️ Louer appartement Yverdon - Grandson ✅ Trouvez le bien immobilier qui correspond idéalement à vos désirs sur ImmoScout24 - La plateforme de l'immobilier en Suisse.</v>
      </c>
      <c r="D725" s="4" t="str">
        <f>vlookup(A725, Sheet2!D:E, 2, 0)</f>
        <v>variant</v>
      </c>
      <c r="E725" s="4" t="str">
        <f>IFERROR(__xludf.DUMMYFUNCTION("if(H725=""pays"",vlookup(REGEXEXTRACT(C725, ""🏘️ \w+ \w+ (.*) ✅""),'Country prepositions'!A:B, 2, 0) &amp; "" "" &amp; REGEXEXTRACT(C725, ""🏘️ \w+ \w+ (.*) ✅"") ,  if(H725=""quartier"",vlookup(REGEXEXTRACT(C725, ""🏘️ \w+ \w+ (.*) ✅""),'Quartier prepositions'!A"&amp;":E, 5, 0) ,  if(H725=""region"",vlookup(REGEXEXTRACT(C725, ""🏘️ \w+ \w+ (.*) ✅""),'Region prepositions'!B:F, 5, 0),  REGEXEXTRACT(C725, ""🏘️ \w+ \w+ (.*) ✅""))))"),"dans la région d'Yverdon - Grandson")</f>
        <v>dans la région d'Yverdon - Grandson</v>
      </c>
      <c r="F725" s="2" t="str">
        <f>IFERROR(__xludf.DUMMYFUNCTION("REGEXEXTRACT(C725, ""🏘️ (\w+) \w+ .* ✅"")"),"Louer")</f>
        <v>Louer</v>
      </c>
      <c r="G725" s="2" t="str">
        <f>IFERROR(__xludf.DUMMYFUNCTION("REGEXEXTRACT(C725, ""🏘️ \w+ (\w+) .* ✅"")"),"appartement")</f>
        <v>appartement</v>
      </c>
      <c r="H725" s="4" t="str">
        <f>IFERROR(__xludf.DUMMYFUNCTION("REGEXEXTRACT(A725, ""/(\w+)-.*?"")"),"region")</f>
        <v>region</v>
      </c>
      <c r="I725" s="4" t="str">
        <f>IFERROR(__xludf.DUMMYFUNCTION("if(D725=""variant"",  substitute(filter(Templates!E:E, Templates!A:A = F725, Templates!B:B = G725, Templates!C:C = H725), ""{{}}"", E725), B725)"),"🏘  Vous cherchez un appartement à louer dans la région d'Yverdon - Grandson? ✅ Les annonces les plus actuelles sont sur ImmoScout24.ch.")</f>
        <v>🏘  Vous cherchez un appartement à louer dans la région d'Yverdon - Grandson? ✅ Les annonces les plus actuelles sont sur ImmoScout24.ch.</v>
      </c>
      <c r="J725" s="4" t="s">
        <v>2182</v>
      </c>
    </row>
    <row r="726">
      <c r="A726" s="5" t="s">
        <v>2183</v>
      </c>
      <c r="B726" s="2" t="s">
        <v>2184</v>
      </c>
      <c r="C726" s="4" t="str">
        <f>IFERROR(__xludf.DUMMYFUNCTION("""🏘️ ""&amp;REGEXEXTRACT(B726, ""^(.*): "")&amp;"" ✅ "" &amp;REGEXEXTRACT(B726, ""(Trouvez.*)"")"),"🏘️ Louer appartement Müntschemier ✅ Trouvez le bien immobilier qui correspond idéalement à vos désirs sur ImmoScout24 - La plateforme de l'immobilier en Suisse.")</f>
        <v>🏘️ Louer appartement Müntschemier ✅ Trouvez le bien immobilier qui correspond idéalement à vos désirs sur ImmoScout24 - La plateforme de l'immobilier en Suisse.</v>
      </c>
      <c r="D726" s="4" t="str">
        <f>vlookup(A726, Sheet2!D:E, 2, 0)</f>
        <v>variant</v>
      </c>
      <c r="E726" s="4" t="str">
        <f>IFERROR(__xludf.DUMMYFUNCTION("if(H726=""pays"",vlookup(REGEXEXTRACT(C726, ""🏘️ \w+ \w+ (.*) ✅""),'Country prepositions'!A:B, 2, 0) &amp; "" "" &amp; REGEXEXTRACT(C726, ""🏘️ \w+ \w+ (.*) ✅"") ,  if(H726=""quartier"",vlookup(REGEXEXTRACT(C726, ""🏘️ \w+ \w+ (.*) ✅""),'Quartier prepositions'!A"&amp;":E, 5, 0) ,  if(H726=""region"",vlookup(REGEXEXTRACT(C726, ""🏘️ \w+ \w+ (.*) ✅""),'Region prepositions'!B:F, 5, 0),  REGEXEXTRACT(C726, ""🏘️ \w+ \w+ (.*) ✅""))))"),"Müntschemier")</f>
        <v>Müntschemier</v>
      </c>
      <c r="F726" s="2" t="str">
        <f>IFERROR(__xludf.DUMMYFUNCTION("REGEXEXTRACT(C726, ""🏘️ (\w+) \w+ .* ✅"")"),"Louer")</f>
        <v>Louer</v>
      </c>
      <c r="G726" s="2" t="str">
        <f>IFERROR(__xludf.DUMMYFUNCTION("REGEXEXTRACT(C726, ""🏘️ \w+ (\w+) .* ✅"")"),"appartement")</f>
        <v>appartement</v>
      </c>
      <c r="H726" s="4" t="str">
        <f>IFERROR(__xludf.DUMMYFUNCTION("REGEXEXTRACT(A726, ""/(\w+)-.*?"")"),"lieu")</f>
        <v>lieu</v>
      </c>
      <c r="I726" s="4" t="str">
        <f>IFERROR(__xludf.DUMMYFUNCTION("if(D726=""variant"",  substitute(filter(Templates!E:E, Templates!A:A = F726, Templates!B:B = G726, Templates!C:C = H726), ""{{}}"", E726), B726)"),"🏘  Vous cherchez un appartement à louer à Müntschemier? ✅ Les annonces les plus actuelles sont sur ImmoScout24.ch.")</f>
        <v>🏘  Vous cherchez un appartement à louer à Müntschemier? ✅ Les annonces les plus actuelles sont sur ImmoScout24.ch.</v>
      </c>
      <c r="J726" s="4" t="s">
        <v>2185</v>
      </c>
    </row>
    <row r="727">
      <c r="A727" s="5" t="s">
        <v>2186</v>
      </c>
      <c r="B727" s="2" t="s">
        <v>2187</v>
      </c>
      <c r="C727" s="4" t="str">
        <f>IFERROR(__xludf.DUMMYFUNCTION("""🏘️ ""&amp;REGEXEXTRACT(B727, ""^(.*): "")&amp;"" ✅ "" &amp;REGEXEXTRACT(B727, ""(Trouvez.*)"")"),"🏘️ Louer appartement Grancy ✅ Trouvez le bien immobilier qui correspond idéalement à vos désirs sur ImmoScout24 - La plateforme de l'immobilier en Suisse.")</f>
        <v>🏘️ Louer appartement Grancy ✅ Trouvez le bien immobilier qui correspond idéalement à vos désirs sur ImmoScout24 - La plateforme de l'immobilier en Suisse.</v>
      </c>
      <c r="D727" s="4" t="str">
        <f>vlookup(A727, Sheet2!D:E, 2, 0)</f>
        <v>variant</v>
      </c>
      <c r="E727" s="4" t="str">
        <f>IFERROR(__xludf.DUMMYFUNCTION("if(H727=""pays"",vlookup(REGEXEXTRACT(C727, ""🏘️ \w+ \w+ (.*) ✅""),'Country prepositions'!A:B, 2, 0) &amp; "" "" &amp; REGEXEXTRACT(C727, ""🏘️ \w+ \w+ (.*) ✅"") ,  if(H727=""quartier"",vlookup(REGEXEXTRACT(C727, ""🏘️ \w+ \w+ (.*) ✅""),'Quartier prepositions'!A"&amp;":E, 5, 0) ,  if(H727=""region"",vlookup(REGEXEXTRACT(C727, ""🏘️ \w+ \w+ (.*) ✅""),'Region prepositions'!B:F, 5, 0),  REGEXEXTRACT(C727, ""🏘️ \w+ \w+ (.*) ✅""))))"),"Grancy")</f>
        <v>Grancy</v>
      </c>
      <c r="F727" s="2" t="str">
        <f>IFERROR(__xludf.DUMMYFUNCTION("REGEXEXTRACT(C727, ""🏘️ (\w+) \w+ .* ✅"")"),"Louer")</f>
        <v>Louer</v>
      </c>
      <c r="G727" s="2" t="str">
        <f>IFERROR(__xludf.DUMMYFUNCTION("REGEXEXTRACT(C727, ""🏘️ \w+ (\w+) .* ✅"")"),"appartement")</f>
        <v>appartement</v>
      </c>
      <c r="H727" s="4" t="str">
        <f>IFERROR(__xludf.DUMMYFUNCTION("REGEXEXTRACT(A727, ""/(\w+)-.*?"")"),"lieu")</f>
        <v>lieu</v>
      </c>
      <c r="I727" s="4" t="str">
        <f>IFERROR(__xludf.DUMMYFUNCTION("if(D727=""variant"",  substitute(filter(Templates!E:E, Templates!A:A = F727, Templates!B:B = G727, Templates!C:C = H727), ""{{}}"", E727), B727)"),"🏘  Vous cherchez un appartement à louer à Grancy? ✅ Les annonces les plus actuelles sont sur ImmoScout24.ch.")</f>
        <v>🏘  Vous cherchez un appartement à louer à Grancy? ✅ Les annonces les plus actuelles sont sur ImmoScout24.ch.</v>
      </c>
      <c r="J727" s="4" t="s">
        <v>2188</v>
      </c>
    </row>
    <row r="728">
      <c r="A728" s="5" t="s">
        <v>2189</v>
      </c>
      <c r="B728" s="2" t="s">
        <v>2190</v>
      </c>
      <c r="C728" s="4" t="str">
        <f>IFERROR(__xludf.DUMMYFUNCTION("""🏘️ ""&amp;REGEXEXTRACT(B728, ""^(.*): "")&amp;"" ✅ "" &amp;REGEXEXTRACT(B728, ""(Trouvez.*)"")"),"🏘️ Louer maison Riex ✅ Trouvez le bien immobilier qui correspond idéalement à vos désirs sur ImmoScout24 - La plateforme de l'immobilier en Suisse.")</f>
        <v>🏘️ Louer maison Riex ✅ Trouvez le bien immobilier qui correspond idéalement à vos désirs sur ImmoScout24 - La plateforme de l'immobilier en Suisse.</v>
      </c>
      <c r="D728" s="4" t="str">
        <f>vlookup(A728, Sheet2!D:E, 2, 0)</f>
        <v>variant</v>
      </c>
      <c r="E728" s="4" t="str">
        <f>IFERROR(__xludf.DUMMYFUNCTION("if(H728=""pays"",vlookup(REGEXEXTRACT(C728, ""🏘️ \w+ \w+ (.*) ✅""),'Country prepositions'!A:B, 2, 0) &amp; "" "" &amp; REGEXEXTRACT(C728, ""🏘️ \w+ \w+ (.*) ✅"") ,  if(H728=""quartier"",vlookup(REGEXEXTRACT(C728, ""🏘️ \w+ \w+ (.*) ✅""),'Quartier prepositions'!A"&amp;":E, 5, 0) ,  if(H728=""region"",vlookup(REGEXEXTRACT(C728, ""🏘️ \w+ \w+ (.*) ✅""),'Region prepositions'!B:F, 5, 0),  REGEXEXTRACT(C728, ""🏘️ \w+ \w+ (.*) ✅""))))"),"Riex")</f>
        <v>Riex</v>
      </c>
      <c r="F728" s="2" t="str">
        <f>IFERROR(__xludf.DUMMYFUNCTION("REGEXEXTRACT(C728, ""🏘️ (\w+) \w+ .* ✅"")"),"Louer")</f>
        <v>Louer</v>
      </c>
      <c r="G728" s="2" t="str">
        <f>IFERROR(__xludf.DUMMYFUNCTION("REGEXEXTRACT(C728, ""🏘️ \w+ (\w+) .* ✅"")"),"maison")</f>
        <v>maison</v>
      </c>
      <c r="H728" s="4" t="str">
        <f>IFERROR(__xludf.DUMMYFUNCTION("REGEXEXTRACT(A728, ""/(\w+)-.*?"")"),"lieu")</f>
        <v>lieu</v>
      </c>
      <c r="I728" s="4" t="str">
        <f>IFERROR(__xludf.DUMMYFUNCTION("if(D728=""variant"",  substitute(filter(Templates!E:E, Templates!A:A = F728, Templates!B:B = G728, Templates!C:C = H728), ""{{}}"", E728), B728)"),"🏘  Vous cherchez une maison à louer à Riex? ✅ Découvrez nos nombreuses annonces sur ImmoScout24.ch.")</f>
        <v>🏘  Vous cherchez une maison à louer à Riex? ✅ Découvrez nos nombreuses annonces sur ImmoScout24.ch.</v>
      </c>
      <c r="J728" s="4" t="s">
        <v>2191</v>
      </c>
    </row>
    <row r="729">
      <c r="A729" s="5" t="s">
        <v>2192</v>
      </c>
      <c r="B729" s="2" t="s">
        <v>2193</v>
      </c>
      <c r="C729" s="4" t="str">
        <f>IFERROR(__xludf.DUMMYFUNCTION("""🏘️ ""&amp;REGEXEXTRACT(B729, ""^(.*): "")&amp;"" ✅ "" &amp;REGEXEXTRACT(B729, ""(Trouvez.*)"")"),"🏘️ Louer appartement Altwis ✅ Trouvez le bien immobilier qui correspond idéalement à vos désirs sur ImmoScout24 - La plateforme de l'immobilier en Suisse.")</f>
        <v>🏘️ Louer appartement Altwis ✅ Trouvez le bien immobilier qui correspond idéalement à vos désirs sur ImmoScout24 - La plateforme de l'immobilier en Suisse.</v>
      </c>
      <c r="D729" s="4" t="str">
        <f>vlookup(A729, Sheet2!D:E, 2, 0)</f>
        <v>variant</v>
      </c>
      <c r="E729" s="4" t="str">
        <f>IFERROR(__xludf.DUMMYFUNCTION("if(H729=""pays"",vlookup(REGEXEXTRACT(C729, ""🏘️ \w+ \w+ (.*) ✅""),'Country prepositions'!A:B, 2, 0) &amp; "" "" &amp; REGEXEXTRACT(C729, ""🏘️ \w+ \w+ (.*) ✅"") ,  if(H729=""quartier"",vlookup(REGEXEXTRACT(C729, ""🏘️ \w+ \w+ (.*) ✅""),'Quartier prepositions'!A"&amp;":E, 5, 0) ,  if(H729=""region"",vlookup(REGEXEXTRACT(C729, ""🏘️ \w+ \w+ (.*) ✅""),'Region prepositions'!B:F, 5, 0),  REGEXEXTRACT(C729, ""🏘️ \w+ \w+ (.*) ✅""))))"),"Altwis")</f>
        <v>Altwis</v>
      </c>
      <c r="F729" s="2" t="str">
        <f>IFERROR(__xludf.DUMMYFUNCTION("REGEXEXTRACT(C729, ""🏘️ (\w+) \w+ .* ✅"")"),"Louer")</f>
        <v>Louer</v>
      </c>
      <c r="G729" s="2" t="str">
        <f>IFERROR(__xludf.DUMMYFUNCTION("REGEXEXTRACT(C729, ""🏘️ \w+ (\w+) .* ✅"")"),"appartement")</f>
        <v>appartement</v>
      </c>
      <c r="H729" s="4" t="str">
        <f>IFERROR(__xludf.DUMMYFUNCTION("REGEXEXTRACT(A729, ""/(\w+)-.*?"")"),"lieu")</f>
        <v>lieu</v>
      </c>
      <c r="I729" s="4" t="str">
        <f>IFERROR(__xludf.DUMMYFUNCTION("if(D729=""variant"",  substitute(filter(Templates!E:E, Templates!A:A = F729, Templates!B:B = G729, Templates!C:C = H729), ""{{}}"", E729), B729)"),"🏘  Vous cherchez un appartement à louer à Altwis? ✅ Les annonces les plus actuelles sont sur ImmoScout24.ch.")</f>
        <v>🏘  Vous cherchez un appartement à louer à Altwis? ✅ Les annonces les plus actuelles sont sur ImmoScout24.ch.</v>
      </c>
      <c r="J729" s="4" t="s">
        <v>2194</v>
      </c>
    </row>
    <row r="730">
      <c r="A730" s="5" t="s">
        <v>2195</v>
      </c>
      <c r="B730" s="2" t="s">
        <v>2196</v>
      </c>
      <c r="C730" s="4" t="str">
        <f>IFERROR(__xludf.DUMMYFUNCTION("""🏘️ ""&amp;REGEXEXTRACT(B730, ""^(.*): "")&amp;"" ✅ "" &amp;REGEXEXTRACT(B730, ""(Trouvez.*)"")"),"🏘️ Louer appartement Bellmund ✅ Trouvez le bien immobilier qui correspond idéalement à vos désirs sur ImmoScout24 - La plateforme de l'immobilier en Suisse.")</f>
        <v>🏘️ Louer appartement Bellmund ✅ Trouvez le bien immobilier qui correspond idéalement à vos désirs sur ImmoScout24 - La plateforme de l'immobilier en Suisse.</v>
      </c>
      <c r="D730" s="4" t="str">
        <f>vlookup(A730, Sheet2!D:E, 2, 0)</f>
        <v>variant</v>
      </c>
      <c r="E730" s="4" t="str">
        <f>IFERROR(__xludf.DUMMYFUNCTION("if(H730=""pays"",vlookup(REGEXEXTRACT(C730, ""🏘️ \w+ \w+ (.*) ✅""),'Country prepositions'!A:B, 2, 0) &amp; "" "" &amp; REGEXEXTRACT(C730, ""🏘️ \w+ \w+ (.*) ✅"") ,  if(H730=""quartier"",vlookup(REGEXEXTRACT(C730, ""🏘️ \w+ \w+ (.*) ✅""),'Quartier prepositions'!A"&amp;":E, 5, 0) ,  if(H730=""region"",vlookup(REGEXEXTRACT(C730, ""🏘️ \w+ \w+ (.*) ✅""),'Region prepositions'!B:F, 5, 0),  REGEXEXTRACT(C730, ""🏘️ \w+ \w+ (.*) ✅""))))"),"Bellmund")</f>
        <v>Bellmund</v>
      </c>
      <c r="F730" s="2" t="str">
        <f>IFERROR(__xludf.DUMMYFUNCTION("REGEXEXTRACT(C730, ""🏘️ (\w+) \w+ .* ✅"")"),"Louer")</f>
        <v>Louer</v>
      </c>
      <c r="G730" s="2" t="str">
        <f>IFERROR(__xludf.DUMMYFUNCTION("REGEXEXTRACT(C730, ""🏘️ \w+ (\w+) .* ✅"")"),"appartement")</f>
        <v>appartement</v>
      </c>
      <c r="H730" s="4" t="str">
        <f>IFERROR(__xludf.DUMMYFUNCTION("REGEXEXTRACT(A730, ""/(\w+)-.*?"")"),"lieu")</f>
        <v>lieu</v>
      </c>
      <c r="I730" s="4" t="str">
        <f>IFERROR(__xludf.DUMMYFUNCTION("if(D730=""variant"",  substitute(filter(Templates!E:E, Templates!A:A = F730, Templates!B:B = G730, Templates!C:C = H730), ""{{}}"", E730), B730)"),"🏘  Vous cherchez un appartement à louer à Bellmund? ✅ Les annonces les plus actuelles sont sur ImmoScout24.ch.")</f>
        <v>🏘  Vous cherchez un appartement à louer à Bellmund? ✅ Les annonces les plus actuelles sont sur ImmoScout24.ch.</v>
      </c>
      <c r="J730" s="4" t="s">
        <v>2197</v>
      </c>
    </row>
    <row r="731">
      <c r="A731" s="5" t="s">
        <v>2198</v>
      </c>
      <c r="B731" s="2" t="s">
        <v>2199</v>
      </c>
      <c r="C731" s="4" t="str">
        <f>IFERROR(__xludf.DUMMYFUNCTION("""🏘️ ""&amp;REGEXEXTRACT(B731, ""^(.*): "")&amp;"" ✅ "" &amp;REGEXEXTRACT(B731, ""(Trouvez.*)"")"),"🏘️ Vendre maison Marchissy ✅ Trouvez le bien immobilier qui correspond idéalement à vos désirs sur ImmoScout24 - La plateforme de l'immobilier en Suisse.")</f>
        <v>🏘️ Vendre maison Marchissy ✅ Trouvez le bien immobilier qui correspond idéalement à vos désirs sur ImmoScout24 - La plateforme de l'immobilier en Suisse.</v>
      </c>
      <c r="D731" s="4" t="str">
        <f>vlookup(A731, Sheet2!D:E, 2, 0)</f>
        <v>variant</v>
      </c>
      <c r="E731" s="4" t="str">
        <f>IFERROR(__xludf.DUMMYFUNCTION("if(H731=""pays"",vlookup(REGEXEXTRACT(C731, ""🏘️ \w+ \w+ (.*) ✅""),'Country prepositions'!A:B, 2, 0) &amp; "" "" &amp; REGEXEXTRACT(C731, ""🏘️ \w+ \w+ (.*) ✅"") ,  if(H731=""quartier"",vlookup(REGEXEXTRACT(C731, ""🏘️ \w+ \w+ (.*) ✅""),'Quartier prepositions'!A"&amp;":E, 5, 0) ,  if(H731=""region"",vlookup(REGEXEXTRACT(C731, ""🏘️ \w+ \w+ (.*) ✅""),'Region prepositions'!B:F, 5, 0),  REGEXEXTRACT(C731, ""🏘️ \w+ \w+ (.*) ✅""))))"),"Marchissy")</f>
        <v>Marchissy</v>
      </c>
      <c r="F731" s="2" t="str">
        <f>IFERROR(__xludf.DUMMYFUNCTION("REGEXEXTRACT(C731, ""🏘️ (\w+) \w+ .* ✅"")"),"Vendre")</f>
        <v>Vendre</v>
      </c>
      <c r="G731" s="2" t="str">
        <f>IFERROR(__xludf.DUMMYFUNCTION("REGEXEXTRACT(C731, ""🏘️ \w+ (\w+) .* ✅"")"),"maison")</f>
        <v>maison</v>
      </c>
      <c r="H731" s="4" t="str">
        <f>IFERROR(__xludf.DUMMYFUNCTION("REGEXEXTRACT(A731, ""/(\w+)-.*?"")"),"lieu")</f>
        <v>lieu</v>
      </c>
      <c r="I731" s="4" t="str">
        <f>IFERROR(__xludf.DUMMYFUNCTION("if(D731=""variant"",  substitute(filter(Templates!E:E, Templates!A:A = F731, Templates!B:B = G731, Templates!C:C = H731), ""{{}}"", E731), B731)"),"🏘  Vous souhaitez acheter une maison à Marchissy? ✅ Jetez un œil aux dernières offres sur ImmoScout24.ch.")</f>
        <v>🏘  Vous souhaitez acheter une maison à Marchissy? ✅ Jetez un œil aux dernières offres sur ImmoScout24.ch.</v>
      </c>
      <c r="J731" s="4" t="s">
        <v>2200</v>
      </c>
    </row>
    <row r="732">
      <c r="A732" s="5" t="s">
        <v>2201</v>
      </c>
      <c r="B732" s="2" t="s">
        <v>2202</v>
      </c>
      <c r="C732" s="4" t="str">
        <f>IFERROR(__xludf.DUMMYFUNCTION("""🏘️ ""&amp;REGEXEXTRACT(B732, ""^(.*): "")&amp;"" ✅ "" &amp;REGEXEXTRACT(B732, ""(Trouvez.*)"")"),"🏘️ Louer maison Thun ✅ Trouvez le bien immobilier qui correspond idéalement à vos désirs sur ImmoScout24 - La plateforme de l'immobilier en Suisse.")</f>
        <v>🏘️ Louer maison Thun ✅ Trouvez le bien immobilier qui correspond idéalement à vos désirs sur ImmoScout24 - La plateforme de l'immobilier en Suisse.</v>
      </c>
      <c r="D732" s="4" t="str">
        <f>vlookup(A732, Sheet2!D:E, 2, 0)</f>
        <v>variant</v>
      </c>
      <c r="E732" s="4" t="str">
        <f>IFERROR(__xludf.DUMMYFUNCTION("if(H732=""pays"",vlookup(REGEXEXTRACT(C732, ""🏘️ \w+ \w+ (.*) ✅""),'Country prepositions'!A:B, 2, 0) &amp; "" "" &amp; REGEXEXTRACT(C732, ""🏘️ \w+ \w+ (.*) ✅"") ,  if(H732=""quartier"",vlookup(REGEXEXTRACT(C732, ""🏘️ \w+ \w+ (.*) ✅""),'Quartier prepositions'!A"&amp;":E, 5, 0) ,  if(H732=""region"",vlookup(REGEXEXTRACT(C732, ""🏘️ \w+ \w+ (.*) ✅""),'Region prepositions'!B:F, 5, 0),  REGEXEXTRACT(C732, ""🏘️ \w+ \w+ (.*) ✅""))))"),"Thun")</f>
        <v>Thun</v>
      </c>
      <c r="F732" s="2" t="str">
        <f>IFERROR(__xludf.DUMMYFUNCTION("REGEXEXTRACT(C732, ""🏘️ (\w+) \w+ .* ✅"")"),"Louer")</f>
        <v>Louer</v>
      </c>
      <c r="G732" s="2" t="str">
        <f>IFERROR(__xludf.DUMMYFUNCTION("REGEXEXTRACT(C732, ""🏘️ \w+ (\w+) .* ✅"")"),"maison")</f>
        <v>maison</v>
      </c>
      <c r="H732" s="4" t="str">
        <f>IFERROR(__xludf.DUMMYFUNCTION("REGEXEXTRACT(A732, ""/(\w+)-.*?"")"),"lieu")</f>
        <v>lieu</v>
      </c>
      <c r="I732" s="4" t="str">
        <f>IFERROR(__xludf.DUMMYFUNCTION("if(D732=""variant"",  substitute(filter(Templates!E:E, Templates!A:A = F732, Templates!B:B = G732, Templates!C:C = H732), ""{{}}"", E732), B732)"),"🏘  Vous cherchez une maison à louer à Thun? ✅ Découvrez nos nombreuses annonces sur ImmoScout24.ch.")</f>
        <v>🏘  Vous cherchez une maison à louer à Thun? ✅ Découvrez nos nombreuses annonces sur ImmoScout24.ch.</v>
      </c>
      <c r="J732" s="4" t="s">
        <v>2203</v>
      </c>
    </row>
    <row r="733">
      <c r="A733" s="5" t="s">
        <v>2204</v>
      </c>
      <c r="B733" s="2" t="s">
        <v>2205</v>
      </c>
      <c r="C733" s="4" t="str">
        <f>IFERROR(__xludf.DUMMYFUNCTION("""🏘️ ""&amp;REGEXEXTRACT(B733, ""^(.*): "")&amp;"" ✅ "" &amp;REGEXEXTRACT(B733, ""(Trouvez.*)"")"),"🏘️ Vendre appartement Winterberg ZH ✅ Trouvez le bien immobilier qui correspond idéalement à vos désirs sur ImmoScout24 - La plateforme de l'immobilier en Suisse.")</f>
        <v>🏘️ Vendre appartement Winterberg ZH ✅ Trouvez le bien immobilier qui correspond idéalement à vos désirs sur ImmoScout24 - La plateforme de l'immobilier en Suisse.</v>
      </c>
      <c r="D733" s="4" t="str">
        <f>vlookup(A733, Sheet2!D:E, 2, 0)</f>
        <v>variant</v>
      </c>
      <c r="E733" s="4" t="str">
        <f>IFERROR(__xludf.DUMMYFUNCTION("if(H733=""pays"",vlookup(REGEXEXTRACT(C733, ""🏘️ \w+ \w+ (.*) ✅""),'Country prepositions'!A:B, 2, 0) &amp; "" "" &amp; REGEXEXTRACT(C733, ""🏘️ \w+ \w+ (.*) ✅"") ,  if(H733=""quartier"",vlookup(REGEXEXTRACT(C733, ""🏘️ \w+ \w+ (.*) ✅""),'Quartier prepositions'!A"&amp;":E, 5, 0) ,  if(H733=""region"",vlookup(REGEXEXTRACT(C733, ""🏘️ \w+ \w+ (.*) ✅""),'Region prepositions'!B:F, 5, 0),  REGEXEXTRACT(C733, ""🏘️ \w+ \w+ (.*) ✅""))))"),"Winterberg ZH")</f>
        <v>Winterberg ZH</v>
      </c>
      <c r="F733" s="2" t="str">
        <f>IFERROR(__xludf.DUMMYFUNCTION("REGEXEXTRACT(C733, ""🏘️ (\w+) \w+ .* ✅"")"),"Vendre")</f>
        <v>Vendre</v>
      </c>
      <c r="G733" s="2" t="str">
        <f>IFERROR(__xludf.DUMMYFUNCTION("REGEXEXTRACT(C733, ""🏘️ \w+ (\w+) .* ✅"")"),"appartement")</f>
        <v>appartement</v>
      </c>
      <c r="H733" s="4" t="str">
        <f>IFERROR(__xludf.DUMMYFUNCTION("REGEXEXTRACT(A733, ""/(\w+)-.*?"")"),"lieu")</f>
        <v>lieu</v>
      </c>
      <c r="I733" s="4" t="str">
        <f>IFERROR(__xludf.DUMMYFUNCTION("if(D733=""variant"",  substitute(filter(Templates!E:E, Templates!A:A = F733, Templates!B:B = G733, Templates!C:C = H733), ""{{}}"", E733), B733)"),"🏘  L’appartement de vos rêves se trouve sur ImmoScout24.ch ✅ Découvrez les dernières annonces de vente à Winterberg ZH.")</f>
        <v>🏘  L’appartement de vos rêves se trouve sur ImmoScout24.ch ✅ Découvrez les dernières annonces de vente à Winterberg ZH.</v>
      </c>
      <c r="J733" s="4" t="s">
        <v>2206</v>
      </c>
    </row>
    <row r="734">
      <c r="A734" s="5" t="s">
        <v>2207</v>
      </c>
      <c r="B734" s="2" t="s">
        <v>2208</v>
      </c>
      <c r="C734" s="4" t="str">
        <f>IFERROR(__xludf.DUMMYFUNCTION("""🏘️ ""&amp;REGEXEXTRACT(B734, ""^(.*): "")&amp;"" ✅ "" &amp;REGEXEXTRACT(B734, ""(Trouvez.*)"")"),"🏘️ Vendre appartement Hasliberg Reuti ✅ Trouvez le bien immobilier qui correspond idéalement à vos désirs sur ImmoScout24 - La plateforme de l'immobilier en Suisse.")</f>
        <v>🏘️ Vendre appartement Hasliberg Reuti ✅ Trouvez le bien immobilier qui correspond idéalement à vos désirs sur ImmoScout24 - La plateforme de l'immobilier en Suisse.</v>
      </c>
      <c r="D734" s="4" t="str">
        <f>vlookup(A734, Sheet2!D:E, 2, 0)</f>
        <v>variant</v>
      </c>
      <c r="E734" s="4" t="str">
        <f>IFERROR(__xludf.DUMMYFUNCTION("if(H734=""pays"",vlookup(REGEXEXTRACT(C734, ""🏘️ \w+ \w+ (.*) ✅""),'Country prepositions'!A:B, 2, 0) &amp; "" "" &amp; REGEXEXTRACT(C734, ""🏘️ \w+ \w+ (.*) ✅"") ,  if(H734=""quartier"",vlookup(REGEXEXTRACT(C734, ""🏘️ \w+ \w+ (.*) ✅""),'Quartier prepositions'!A"&amp;":E, 5, 0) ,  if(H734=""region"",vlookup(REGEXEXTRACT(C734, ""🏘️ \w+ \w+ (.*) ✅""),'Region prepositions'!B:F, 5, 0),  REGEXEXTRACT(C734, ""🏘️ \w+ \w+ (.*) ✅""))))"),"Hasliberg Reuti")</f>
        <v>Hasliberg Reuti</v>
      </c>
      <c r="F734" s="2" t="str">
        <f>IFERROR(__xludf.DUMMYFUNCTION("REGEXEXTRACT(C734, ""🏘️ (\w+) \w+ .* ✅"")"),"Vendre")</f>
        <v>Vendre</v>
      </c>
      <c r="G734" s="2" t="str">
        <f>IFERROR(__xludf.DUMMYFUNCTION("REGEXEXTRACT(C734, ""🏘️ \w+ (\w+) .* ✅"")"),"appartement")</f>
        <v>appartement</v>
      </c>
      <c r="H734" s="4" t="str">
        <f>IFERROR(__xludf.DUMMYFUNCTION("REGEXEXTRACT(A734, ""/(\w+)-.*?"")"),"lieu")</f>
        <v>lieu</v>
      </c>
      <c r="I734" s="4" t="str">
        <f>IFERROR(__xludf.DUMMYFUNCTION("if(D734=""variant"",  substitute(filter(Templates!E:E, Templates!A:A = F734, Templates!B:B = G734, Templates!C:C = H734), ""{{}}"", E734), B734)"),"🏘  L’appartement de vos rêves se trouve sur ImmoScout24.ch ✅ Découvrez les dernières annonces de vente à Hasliberg Reuti.")</f>
        <v>🏘  L’appartement de vos rêves se trouve sur ImmoScout24.ch ✅ Découvrez les dernières annonces de vente à Hasliberg Reuti.</v>
      </c>
      <c r="J734" s="4" t="s">
        <v>2209</v>
      </c>
    </row>
    <row r="735">
      <c r="A735" s="5" t="s">
        <v>2210</v>
      </c>
      <c r="B735" s="2" t="s">
        <v>2211</v>
      </c>
      <c r="C735" s="4" t="str">
        <f>IFERROR(__xludf.DUMMYFUNCTION("""🏘️ ""&amp;REGEXEXTRACT(B735, ""^(.*): "")&amp;"" ✅ "" &amp;REGEXEXTRACT(B735, ""(Trouvez.*)"")"),"🏘️ Vendre appartement Länggasse (Berne) ✅ Trouvez le bien immobilier qui correspond idéalement à vos désirs sur ImmoScout24 - La plateforme de l'immobilier en Suisse.")</f>
        <v>🏘️ Vendre appartement Länggasse (Berne) ✅ Trouvez le bien immobilier qui correspond idéalement à vos désirs sur ImmoScout24 - La plateforme de l'immobilier en Suisse.</v>
      </c>
      <c r="D735" s="4" t="str">
        <f>vlookup(A735, Sheet2!D:E, 2, 0)</f>
        <v>variant</v>
      </c>
      <c r="E735" s="4" t="str">
        <f>IFERROR(__xludf.DUMMYFUNCTION("if(H735=""pays"",vlookup(REGEXEXTRACT(C735, ""🏘️ \w+ \w+ (.*) ✅""),'Country prepositions'!A:B, 2, 0) &amp; "" "" &amp; REGEXEXTRACT(C735, ""🏘️ \w+ \w+ (.*) ✅"") ,  if(H735=""quartier"",vlookup(REGEXEXTRACT(C735, ""🏘️ \w+ \w+ (.*) ✅""),'Quartier prepositions'!A"&amp;":E, 5, 0) ,  if(H735=""region"",vlookup(REGEXEXTRACT(C735, ""🏘️ \w+ \w+ (.*) ✅""),'Region prepositions'!B:F, 5, 0),  REGEXEXTRACT(C735, ""🏘️ \w+ \w+ (.*) ✅""))))"),"dans le quartier de Länggasse (Berne)")</f>
        <v>dans le quartier de Länggasse (Berne)</v>
      </c>
      <c r="F735" s="2" t="str">
        <f>IFERROR(__xludf.DUMMYFUNCTION("REGEXEXTRACT(C735, ""🏘️ (\w+) \w+ .* ✅"")"),"Vendre")</f>
        <v>Vendre</v>
      </c>
      <c r="G735" s="2" t="str">
        <f>IFERROR(__xludf.DUMMYFUNCTION("REGEXEXTRACT(C735, ""🏘️ \w+ (\w+) .* ✅"")"),"appartement")</f>
        <v>appartement</v>
      </c>
      <c r="H735" s="4" t="str">
        <f>IFERROR(__xludf.DUMMYFUNCTION("REGEXEXTRACT(A735, ""/(\w+)-.*?"")"),"quartier")</f>
        <v>quartier</v>
      </c>
      <c r="I735" s="4" t="str">
        <f>IFERROR(__xludf.DUMMYFUNCTION("if(D735=""variant"",  substitute(filter(Templates!E:E, Templates!A:A = F735, Templates!B:B = G735, Templates!C:C = H735), ""{{}}"", E735), B735)"),"🏘  L’appartement de vos rêves se trouve sur ImmoScout24.ch ✅ Découvrez les dernières annonces de vente dans le quartier de Länggasse (Berne).")</f>
        <v>🏘  L’appartement de vos rêves se trouve sur ImmoScout24.ch ✅ Découvrez les dernières annonces de vente dans le quartier de Länggasse (Berne).</v>
      </c>
      <c r="J735" s="4" t="s">
        <v>2212</v>
      </c>
    </row>
    <row r="736">
      <c r="A736" s="5" t="s">
        <v>2213</v>
      </c>
      <c r="B736" s="2" t="s">
        <v>2214</v>
      </c>
      <c r="C736" s="4" t="str">
        <f>IFERROR(__xludf.DUMMYFUNCTION("""🏘️ ""&amp;REGEXEXTRACT(B736, ""^(.*): "")&amp;"" ✅ "" &amp;REGEXEXTRACT(B736, ""(Trouvez.*)"")"),"🏘️ Vendre maison Granges VS ✅ Trouvez le bien immobilier qui correspond idéalement à vos désirs sur ImmoScout24 - La plateforme de l'immobilier en Suisse.")</f>
        <v>🏘️ Vendre maison Granges VS ✅ Trouvez le bien immobilier qui correspond idéalement à vos désirs sur ImmoScout24 - La plateforme de l'immobilier en Suisse.</v>
      </c>
      <c r="D736" s="4" t="str">
        <f>vlookup(A736, Sheet2!D:E, 2, 0)</f>
        <v>variant</v>
      </c>
      <c r="E736" s="4" t="str">
        <f>IFERROR(__xludf.DUMMYFUNCTION("if(H736=""pays"",vlookup(REGEXEXTRACT(C736, ""🏘️ \w+ \w+ (.*) ✅""),'Country prepositions'!A:B, 2, 0) &amp; "" "" &amp; REGEXEXTRACT(C736, ""🏘️ \w+ \w+ (.*) ✅"") ,  if(H736=""quartier"",vlookup(REGEXEXTRACT(C736, ""🏘️ \w+ \w+ (.*) ✅""),'Quartier prepositions'!A"&amp;":E, 5, 0) ,  if(H736=""region"",vlookup(REGEXEXTRACT(C736, ""🏘️ \w+ \w+ (.*) ✅""),'Region prepositions'!B:F, 5, 0),  REGEXEXTRACT(C736, ""🏘️ \w+ \w+ (.*) ✅""))))"),"Granges VS")</f>
        <v>Granges VS</v>
      </c>
      <c r="F736" s="2" t="str">
        <f>IFERROR(__xludf.DUMMYFUNCTION("REGEXEXTRACT(C736, ""🏘️ (\w+) \w+ .* ✅"")"),"Vendre")</f>
        <v>Vendre</v>
      </c>
      <c r="G736" s="2" t="str">
        <f>IFERROR(__xludf.DUMMYFUNCTION("REGEXEXTRACT(C736, ""🏘️ \w+ (\w+) .* ✅"")"),"maison")</f>
        <v>maison</v>
      </c>
      <c r="H736" s="4" t="str">
        <f>IFERROR(__xludf.DUMMYFUNCTION("REGEXEXTRACT(A736, ""/(\w+)-.*?"")"),"lieu")</f>
        <v>lieu</v>
      </c>
      <c r="I736" s="4" t="str">
        <f>IFERROR(__xludf.DUMMYFUNCTION("if(D736=""variant"",  substitute(filter(Templates!E:E, Templates!A:A = F736, Templates!B:B = G736, Templates!C:C = H736), ""{{}}"", E736), B736)"),"🏘  Vous souhaitez acheter une maison à Granges VS? ✅ Jetez un œil aux dernières offres sur ImmoScout24.ch.")</f>
        <v>🏘  Vous souhaitez acheter une maison à Granges VS? ✅ Jetez un œil aux dernières offres sur ImmoScout24.ch.</v>
      </c>
      <c r="J736" s="4" t="s">
        <v>2215</v>
      </c>
    </row>
    <row r="737">
      <c r="A737" s="5" t="s">
        <v>2216</v>
      </c>
      <c r="B737" s="2" t="s">
        <v>2217</v>
      </c>
      <c r="C737" s="4" t="str">
        <f>IFERROR(__xludf.DUMMYFUNCTION("""🏘️ ""&amp;REGEXEXTRACT(B737, ""^(.*): "")&amp;"" ✅ "" &amp;REGEXEXTRACT(B737, ""(Trouvez.*)"")"),"🏘️ Louer maison Brügg BE ✅ Trouvez le bien immobilier qui correspond idéalement à vos désirs sur ImmoScout24 - La plateforme de l'immobilier en Suisse.")</f>
        <v>🏘️ Louer maison Brügg BE ✅ Trouvez le bien immobilier qui correspond idéalement à vos désirs sur ImmoScout24 - La plateforme de l'immobilier en Suisse.</v>
      </c>
      <c r="D737" s="4" t="str">
        <f>vlookup(A737, Sheet2!D:E, 2, 0)</f>
        <v>variant</v>
      </c>
      <c r="E737" s="4" t="str">
        <f>IFERROR(__xludf.DUMMYFUNCTION("if(H737=""pays"",vlookup(REGEXEXTRACT(C737, ""🏘️ \w+ \w+ (.*) ✅""),'Country prepositions'!A:B, 2, 0) &amp; "" "" &amp; REGEXEXTRACT(C737, ""🏘️ \w+ \w+ (.*) ✅"") ,  if(H737=""quartier"",vlookup(REGEXEXTRACT(C737, ""🏘️ \w+ \w+ (.*) ✅""),'Quartier prepositions'!A"&amp;":E, 5, 0) ,  if(H737=""region"",vlookup(REGEXEXTRACT(C737, ""🏘️ \w+ \w+ (.*) ✅""),'Region prepositions'!B:F, 5, 0),  REGEXEXTRACT(C737, ""🏘️ \w+ \w+ (.*) ✅""))))"),"Brügg BE")</f>
        <v>Brügg BE</v>
      </c>
      <c r="F737" s="2" t="str">
        <f>IFERROR(__xludf.DUMMYFUNCTION("REGEXEXTRACT(C737, ""🏘️ (\w+) \w+ .* ✅"")"),"Louer")</f>
        <v>Louer</v>
      </c>
      <c r="G737" s="2" t="str">
        <f>IFERROR(__xludf.DUMMYFUNCTION("REGEXEXTRACT(C737, ""🏘️ \w+ (\w+) .* ✅"")"),"maison")</f>
        <v>maison</v>
      </c>
      <c r="H737" s="4" t="str">
        <f>IFERROR(__xludf.DUMMYFUNCTION("REGEXEXTRACT(A737, ""/(\w+)-.*?"")"),"lieu")</f>
        <v>lieu</v>
      </c>
      <c r="I737" s="4" t="str">
        <f>IFERROR(__xludf.DUMMYFUNCTION("if(D737=""variant"",  substitute(filter(Templates!E:E, Templates!A:A = F737, Templates!B:B = G737, Templates!C:C = H737), ""{{}}"", E737), B737)"),"🏘  Vous cherchez une maison à louer à Brügg BE? ✅ Découvrez nos nombreuses annonces sur ImmoScout24.ch.")</f>
        <v>🏘  Vous cherchez une maison à louer à Brügg BE? ✅ Découvrez nos nombreuses annonces sur ImmoScout24.ch.</v>
      </c>
      <c r="J737" s="4" t="s">
        <v>2218</v>
      </c>
    </row>
    <row r="738">
      <c r="A738" s="5" t="s">
        <v>2219</v>
      </c>
      <c r="B738" s="2" t="s">
        <v>2220</v>
      </c>
      <c r="C738" s="4" t="str">
        <f>IFERROR(__xludf.DUMMYFUNCTION("""🏘️ ""&amp;REGEXEXTRACT(B738, ""^(.*): "")&amp;"" ✅ "" &amp;REGEXEXTRACT(B738, ""(Trouvez.*)"")"),"🏘️ Vendre maison Flamatt ✅ Trouvez le bien immobilier qui correspond idéalement à vos désirs sur ImmoScout24 - La plateforme de l'immobilier en Suisse.")</f>
        <v>🏘️ Vendre maison Flamatt ✅ Trouvez le bien immobilier qui correspond idéalement à vos désirs sur ImmoScout24 - La plateforme de l'immobilier en Suisse.</v>
      </c>
      <c r="D738" s="4" t="str">
        <f>vlookup(A738, Sheet2!D:E, 2, 0)</f>
        <v>variant</v>
      </c>
      <c r="E738" s="4" t="str">
        <f>IFERROR(__xludf.DUMMYFUNCTION("if(H738=""pays"",vlookup(REGEXEXTRACT(C738, ""🏘️ \w+ \w+ (.*) ✅""),'Country prepositions'!A:B, 2, 0) &amp; "" "" &amp; REGEXEXTRACT(C738, ""🏘️ \w+ \w+ (.*) ✅"") ,  if(H738=""quartier"",vlookup(REGEXEXTRACT(C738, ""🏘️ \w+ \w+ (.*) ✅""),'Quartier prepositions'!A"&amp;":E, 5, 0) ,  if(H738=""region"",vlookup(REGEXEXTRACT(C738, ""🏘️ \w+ \w+ (.*) ✅""),'Region prepositions'!B:F, 5, 0),  REGEXEXTRACT(C738, ""🏘️ \w+ \w+ (.*) ✅""))))"),"Flamatt")</f>
        <v>Flamatt</v>
      </c>
      <c r="F738" s="2" t="str">
        <f>IFERROR(__xludf.DUMMYFUNCTION("REGEXEXTRACT(C738, ""🏘️ (\w+) \w+ .* ✅"")"),"Vendre")</f>
        <v>Vendre</v>
      </c>
      <c r="G738" s="2" t="str">
        <f>IFERROR(__xludf.DUMMYFUNCTION("REGEXEXTRACT(C738, ""🏘️ \w+ (\w+) .* ✅"")"),"maison")</f>
        <v>maison</v>
      </c>
      <c r="H738" s="4" t="str">
        <f>IFERROR(__xludf.DUMMYFUNCTION("REGEXEXTRACT(A738, ""/(\w+)-.*?"")"),"lieu")</f>
        <v>lieu</v>
      </c>
      <c r="I738" s="4" t="str">
        <f>IFERROR(__xludf.DUMMYFUNCTION("if(D738=""variant"",  substitute(filter(Templates!E:E, Templates!A:A = F738, Templates!B:B = G738, Templates!C:C = H738), ""{{}}"", E738), B738)"),"🏘  Vous souhaitez acheter une maison à Flamatt? ✅ Jetez un œil aux dernières offres sur ImmoScout24.ch.")</f>
        <v>🏘  Vous souhaitez acheter une maison à Flamatt? ✅ Jetez un œil aux dernières offres sur ImmoScout24.ch.</v>
      </c>
      <c r="J738" s="4" t="s">
        <v>2221</v>
      </c>
    </row>
    <row r="739">
      <c r="A739" s="5" t="s">
        <v>2222</v>
      </c>
      <c r="B739" s="2" t="s">
        <v>2223</v>
      </c>
      <c r="C739" s="4" t="str">
        <f>IFERROR(__xludf.DUMMYFUNCTION("""🏘️ ""&amp;REGEXEXTRACT(B739, ""^(.*): "")&amp;"" ✅ "" &amp;REGEXEXTRACT(B739, ""(Trouvez.*)"")"),"🏘️ Vendre maison Romanens ✅ Trouvez le bien immobilier qui correspond idéalement à vos désirs sur ImmoScout24 - La plateforme de l'immobilier en Suisse.")</f>
        <v>🏘️ Vendre maison Romanens ✅ Trouvez le bien immobilier qui correspond idéalement à vos désirs sur ImmoScout24 - La plateforme de l'immobilier en Suisse.</v>
      </c>
      <c r="D739" s="4" t="str">
        <f>vlookup(A739, Sheet2!D:E, 2, 0)</f>
        <v>variant</v>
      </c>
      <c r="E739" s="4" t="str">
        <f>IFERROR(__xludf.DUMMYFUNCTION("if(H739=""pays"",vlookup(REGEXEXTRACT(C739, ""🏘️ \w+ \w+ (.*) ✅""),'Country prepositions'!A:B, 2, 0) &amp; "" "" &amp; REGEXEXTRACT(C739, ""🏘️ \w+ \w+ (.*) ✅"") ,  if(H739=""quartier"",vlookup(REGEXEXTRACT(C739, ""🏘️ \w+ \w+ (.*) ✅""),'Quartier prepositions'!A"&amp;":E, 5, 0) ,  if(H739=""region"",vlookup(REGEXEXTRACT(C739, ""🏘️ \w+ \w+ (.*) ✅""),'Region prepositions'!B:F, 5, 0),  REGEXEXTRACT(C739, ""🏘️ \w+ \w+ (.*) ✅""))))"),"Romanens")</f>
        <v>Romanens</v>
      </c>
      <c r="F739" s="2" t="str">
        <f>IFERROR(__xludf.DUMMYFUNCTION("REGEXEXTRACT(C739, ""🏘️ (\w+) \w+ .* ✅"")"),"Vendre")</f>
        <v>Vendre</v>
      </c>
      <c r="G739" s="2" t="str">
        <f>IFERROR(__xludf.DUMMYFUNCTION("REGEXEXTRACT(C739, ""🏘️ \w+ (\w+) .* ✅"")"),"maison")</f>
        <v>maison</v>
      </c>
      <c r="H739" s="4" t="str">
        <f>IFERROR(__xludf.DUMMYFUNCTION("REGEXEXTRACT(A739, ""/(\w+)-.*?"")"),"lieu")</f>
        <v>lieu</v>
      </c>
      <c r="I739" s="4" t="str">
        <f>IFERROR(__xludf.DUMMYFUNCTION("if(D739=""variant"",  substitute(filter(Templates!E:E, Templates!A:A = F739, Templates!B:B = G739, Templates!C:C = H739), ""{{}}"", E739), B739)"),"🏘  Vous souhaitez acheter une maison à Romanens? ✅ Jetez un œil aux dernières offres sur ImmoScout24.ch.")</f>
        <v>🏘  Vous souhaitez acheter une maison à Romanens? ✅ Jetez un œil aux dernières offres sur ImmoScout24.ch.</v>
      </c>
      <c r="J739" s="4" t="s">
        <v>2224</v>
      </c>
    </row>
    <row r="740">
      <c r="A740" s="5" t="s">
        <v>2225</v>
      </c>
      <c r="B740" s="2" t="s">
        <v>2226</v>
      </c>
      <c r="C740" s="4" t="str">
        <f>IFERROR(__xludf.DUMMYFUNCTION("""🏘️ ""&amp;REGEXEXTRACT(B740, ""^(.*): "")&amp;"" ✅ "" &amp;REGEXEXTRACT(B740, ""(Trouvez.*)"")"),"🏘️ Louer maison Gretzenbach ✅ Trouvez le bien immobilier qui correspond idéalement à vos désirs sur ImmoScout24 - La plateforme de l'immobilier en Suisse.")</f>
        <v>🏘️ Louer maison Gretzenbach ✅ Trouvez le bien immobilier qui correspond idéalement à vos désirs sur ImmoScout24 - La plateforme de l'immobilier en Suisse.</v>
      </c>
      <c r="D740" s="4" t="str">
        <f>vlookup(A740, Sheet2!D:E, 2, 0)</f>
        <v>variant</v>
      </c>
      <c r="E740" s="4" t="str">
        <f>IFERROR(__xludf.DUMMYFUNCTION("if(H740=""pays"",vlookup(REGEXEXTRACT(C740, ""🏘️ \w+ \w+ (.*) ✅""),'Country prepositions'!A:B, 2, 0) &amp; "" "" &amp; REGEXEXTRACT(C740, ""🏘️ \w+ \w+ (.*) ✅"") ,  if(H740=""quartier"",vlookup(REGEXEXTRACT(C740, ""🏘️ \w+ \w+ (.*) ✅""),'Quartier prepositions'!A"&amp;":E, 5, 0) ,  if(H740=""region"",vlookup(REGEXEXTRACT(C740, ""🏘️ \w+ \w+ (.*) ✅""),'Region prepositions'!B:F, 5, 0),  REGEXEXTRACT(C740, ""🏘️ \w+ \w+ (.*) ✅""))))"),"Gretzenbach")</f>
        <v>Gretzenbach</v>
      </c>
      <c r="F740" s="2" t="str">
        <f>IFERROR(__xludf.DUMMYFUNCTION("REGEXEXTRACT(C740, ""🏘️ (\w+) \w+ .* ✅"")"),"Louer")</f>
        <v>Louer</v>
      </c>
      <c r="G740" s="2" t="str">
        <f>IFERROR(__xludf.DUMMYFUNCTION("REGEXEXTRACT(C740, ""🏘️ \w+ (\w+) .* ✅"")"),"maison")</f>
        <v>maison</v>
      </c>
      <c r="H740" s="4" t="str">
        <f>IFERROR(__xludf.DUMMYFUNCTION("REGEXEXTRACT(A740, ""/(\w+)-.*?"")"),"lieu")</f>
        <v>lieu</v>
      </c>
      <c r="I740" s="4" t="str">
        <f>IFERROR(__xludf.DUMMYFUNCTION("if(D740=""variant"",  substitute(filter(Templates!E:E, Templates!A:A = F740, Templates!B:B = G740, Templates!C:C = H740), ""{{}}"", E740), B740)"),"🏘  Vous cherchez une maison à louer à Gretzenbach? ✅ Découvrez nos nombreuses annonces sur ImmoScout24.ch.")</f>
        <v>🏘  Vous cherchez une maison à louer à Gretzenbach? ✅ Découvrez nos nombreuses annonces sur ImmoScout24.ch.</v>
      </c>
      <c r="J740" s="4" t="s">
        <v>2227</v>
      </c>
    </row>
    <row r="741">
      <c r="A741" s="5" t="s">
        <v>2228</v>
      </c>
      <c r="B741" s="2" t="s">
        <v>2229</v>
      </c>
      <c r="C741" s="4" t="str">
        <f>IFERROR(__xludf.DUMMYFUNCTION("""🏘️ ""&amp;REGEXEXTRACT(B741, ""^(.*): "")&amp;"" ✅ "" &amp;REGEXEXTRACT(B741, ""(Trouvez.*)"")"),"🏘️ Louer appartement Domdidier ✅ Trouvez le bien immobilier qui correspond idéalement à vos désirs sur ImmoScout24 - La plateforme de l'immobilier en Suisse.")</f>
        <v>🏘️ Louer appartement Domdidier ✅ Trouvez le bien immobilier qui correspond idéalement à vos désirs sur ImmoScout24 - La plateforme de l'immobilier en Suisse.</v>
      </c>
      <c r="D741" s="4" t="str">
        <f>vlookup(A741, Sheet2!D:E, 2, 0)</f>
        <v>variant</v>
      </c>
      <c r="E741" s="4" t="str">
        <f>IFERROR(__xludf.DUMMYFUNCTION("if(H741=""pays"",vlookup(REGEXEXTRACT(C741, ""🏘️ \w+ \w+ (.*) ✅""),'Country prepositions'!A:B, 2, 0) &amp; "" "" &amp; REGEXEXTRACT(C741, ""🏘️ \w+ \w+ (.*) ✅"") ,  if(H741=""quartier"",vlookup(REGEXEXTRACT(C741, ""🏘️ \w+ \w+ (.*) ✅""),'Quartier prepositions'!A"&amp;":E, 5, 0) ,  if(H741=""region"",vlookup(REGEXEXTRACT(C741, ""🏘️ \w+ \w+ (.*) ✅""),'Region prepositions'!B:F, 5, 0),  REGEXEXTRACT(C741, ""🏘️ \w+ \w+ (.*) ✅""))))"),"Domdidier")</f>
        <v>Domdidier</v>
      </c>
      <c r="F741" s="2" t="str">
        <f>IFERROR(__xludf.DUMMYFUNCTION("REGEXEXTRACT(C741, ""🏘️ (\w+) \w+ .* ✅"")"),"Louer")</f>
        <v>Louer</v>
      </c>
      <c r="G741" s="2" t="str">
        <f>IFERROR(__xludf.DUMMYFUNCTION("REGEXEXTRACT(C741, ""🏘️ \w+ (\w+) .* ✅"")"),"appartement")</f>
        <v>appartement</v>
      </c>
      <c r="H741" s="4" t="str">
        <f>IFERROR(__xludf.DUMMYFUNCTION("REGEXEXTRACT(A741, ""/(\w+)-.*?"")"),"lieu")</f>
        <v>lieu</v>
      </c>
      <c r="I741" s="4" t="str">
        <f>IFERROR(__xludf.DUMMYFUNCTION("if(D741=""variant"",  substitute(filter(Templates!E:E, Templates!A:A = F741, Templates!B:B = G741, Templates!C:C = H741), ""{{}}"", E741), B741)"),"🏘  Vous cherchez un appartement à louer à Domdidier? ✅ Les annonces les plus actuelles sont sur ImmoScout24.ch.")</f>
        <v>🏘  Vous cherchez un appartement à louer à Domdidier? ✅ Les annonces les plus actuelles sont sur ImmoScout24.ch.</v>
      </c>
      <c r="J741" s="4" t="s">
        <v>2230</v>
      </c>
    </row>
    <row r="742">
      <c r="A742" s="5" t="s">
        <v>2231</v>
      </c>
      <c r="B742" s="2" t="s">
        <v>2232</v>
      </c>
      <c r="C742" s="4" t="str">
        <f>IFERROR(__xludf.DUMMYFUNCTION("""🏘️ ""&amp;REGEXEXTRACT(B742, ""^(.*): "")&amp;"" ✅ "" &amp;REGEXEXTRACT(B742, ""(Trouvez.*)"")"),"🏘️ Louer appartement Corgémont ✅ Trouvez le bien immobilier qui correspond idéalement à vos désirs sur ImmoScout24 - La plateforme de l'immobilier en Suisse.")</f>
        <v>🏘️ Louer appartement Corgémont ✅ Trouvez le bien immobilier qui correspond idéalement à vos désirs sur ImmoScout24 - La plateforme de l'immobilier en Suisse.</v>
      </c>
      <c r="D742" s="4" t="str">
        <f>vlookup(A742, Sheet2!D:E, 2, 0)</f>
        <v>variant</v>
      </c>
      <c r="E742" s="4" t="str">
        <f>IFERROR(__xludf.DUMMYFUNCTION("if(H742=""pays"",vlookup(REGEXEXTRACT(C742, ""🏘️ \w+ \w+ (.*) ✅""),'Country prepositions'!A:B, 2, 0) &amp; "" "" &amp; REGEXEXTRACT(C742, ""🏘️ \w+ \w+ (.*) ✅"") ,  if(H742=""quartier"",vlookup(REGEXEXTRACT(C742, ""🏘️ \w+ \w+ (.*) ✅""),'Quartier prepositions'!A"&amp;":E, 5, 0) ,  if(H742=""region"",vlookup(REGEXEXTRACT(C742, ""🏘️ \w+ \w+ (.*) ✅""),'Region prepositions'!B:F, 5, 0),  REGEXEXTRACT(C742, ""🏘️ \w+ \w+ (.*) ✅""))))"),"Corgémont")</f>
        <v>Corgémont</v>
      </c>
      <c r="F742" s="2" t="str">
        <f>IFERROR(__xludf.DUMMYFUNCTION("REGEXEXTRACT(C742, ""🏘️ (\w+) \w+ .* ✅"")"),"Louer")</f>
        <v>Louer</v>
      </c>
      <c r="G742" s="2" t="str">
        <f>IFERROR(__xludf.DUMMYFUNCTION("REGEXEXTRACT(C742, ""🏘️ \w+ (\w+) .* ✅"")"),"appartement")</f>
        <v>appartement</v>
      </c>
      <c r="H742" s="4" t="str">
        <f>IFERROR(__xludf.DUMMYFUNCTION("REGEXEXTRACT(A742, ""/(\w+)-.*?"")"),"lieu")</f>
        <v>lieu</v>
      </c>
      <c r="I742" s="4" t="str">
        <f>IFERROR(__xludf.DUMMYFUNCTION("if(D742=""variant"",  substitute(filter(Templates!E:E, Templates!A:A = F742, Templates!B:B = G742, Templates!C:C = H742), ""{{}}"", E742), B742)"),"🏘  Vous cherchez un appartement à louer à Corgémont? ✅ Les annonces les plus actuelles sont sur ImmoScout24.ch.")</f>
        <v>🏘  Vous cherchez un appartement à louer à Corgémont? ✅ Les annonces les plus actuelles sont sur ImmoScout24.ch.</v>
      </c>
      <c r="J742" s="4" t="s">
        <v>2233</v>
      </c>
    </row>
    <row r="743">
      <c r="A743" s="5" t="s">
        <v>2234</v>
      </c>
      <c r="B743" s="2" t="s">
        <v>2235</v>
      </c>
      <c r="C743" s="4" t="str">
        <f>IFERROR(__xludf.DUMMYFUNCTION("""🏘️ ""&amp;REGEXEXTRACT(B743, ""^(.*): "")&amp;"" ✅ "" &amp;REGEXEXTRACT(B743, ""(Trouvez.*)"")"),"🏘️ Louer appartement St-Martin VS ✅ Trouvez le bien immobilier qui correspond idéalement à vos désirs sur ImmoScout24 - La plateforme de l'immobilier en Suisse.")</f>
        <v>🏘️ Louer appartement St-Martin VS ✅ Trouvez le bien immobilier qui correspond idéalement à vos désirs sur ImmoScout24 - La plateforme de l'immobilier en Suisse.</v>
      </c>
      <c r="D743" s="4" t="str">
        <f>vlookup(A743, Sheet2!D:E, 2, 0)</f>
        <v>variant</v>
      </c>
      <c r="E743" s="4" t="str">
        <f>IFERROR(__xludf.DUMMYFUNCTION("if(H743=""pays"",vlookup(REGEXEXTRACT(C743, ""🏘️ \w+ \w+ (.*) ✅""),'Country prepositions'!A:B, 2, 0) &amp; "" "" &amp; REGEXEXTRACT(C743, ""🏘️ \w+ \w+ (.*) ✅"") ,  if(H743=""quartier"",vlookup(REGEXEXTRACT(C743, ""🏘️ \w+ \w+ (.*) ✅""),'Quartier prepositions'!A"&amp;":E, 5, 0) ,  if(H743=""region"",vlookup(REGEXEXTRACT(C743, ""🏘️ \w+ \w+ (.*) ✅""),'Region prepositions'!B:F, 5, 0),  REGEXEXTRACT(C743, ""🏘️ \w+ \w+ (.*) ✅""))))"),"St-Martin VS")</f>
        <v>St-Martin VS</v>
      </c>
      <c r="F743" s="2" t="str">
        <f>IFERROR(__xludf.DUMMYFUNCTION("REGEXEXTRACT(C743, ""🏘️ (\w+) \w+ .* ✅"")"),"Louer")</f>
        <v>Louer</v>
      </c>
      <c r="G743" s="2" t="str">
        <f>IFERROR(__xludf.DUMMYFUNCTION("REGEXEXTRACT(C743, ""🏘️ \w+ (\w+) .* ✅"")"),"appartement")</f>
        <v>appartement</v>
      </c>
      <c r="H743" s="4" t="str">
        <f>IFERROR(__xludf.DUMMYFUNCTION("REGEXEXTRACT(A743, ""/(\w+)-.*?"")"),"lieu")</f>
        <v>lieu</v>
      </c>
      <c r="I743" s="4" t="str">
        <f>IFERROR(__xludf.DUMMYFUNCTION("if(D743=""variant"",  substitute(filter(Templates!E:E, Templates!A:A = F743, Templates!B:B = G743, Templates!C:C = H743), ""{{}}"", E743), B743)"),"🏘  Vous cherchez un appartement à louer à St-Martin VS? ✅ Les annonces les plus actuelles sont sur ImmoScout24.ch.")</f>
        <v>🏘  Vous cherchez un appartement à louer à St-Martin VS? ✅ Les annonces les plus actuelles sont sur ImmoScout24.ch.</v>
      </c>
      <c r="J743" s="4" t="s">
        <v>2236</v>
      </c>
    </row>
    <row r="744">
      <c r="A744" s="5" t="s">
        <v>2237</v>
      </c>
      <c r="B744" s="2" t="s">
        <v>2238</v>
      </c>
      <c r="C744" s="4" t="str">
        <f>IFERROR(__xludf.DUMMYFUNCTION("""🏘️ ""&amp;REGEXEXTRACT(B744, ""^(.*): "")&amp;"" ✅ "" &amp;REGEXEXTRACT(B744, ""(Trouvez.*)"")"),"🏘️ Louer appartement Chevilly ✅ Trouvez le bien immobilier qui correspond idéalement à vos désirs sur ImmoScout24 - La plateforme de l'immobilier en Suisse.")</f>
        <v>🏘️ Louer appartement Chevilly ✅ Trouvez le bien immobilier qui correspond idéalement à vos désirs sur ImmoScout24 - La plateforme de l'immobilier en Suisse.</v>
      </c>
      <c r="D744" s="4" t="str">
        <f>vlookup(A744, Sheet2!D:E, 2, 0)</f>
        <v>variant</v>
      </c>
      <c r="E744" s="4" t="str">
        <f>IFERROR(__xludf.DUMMYFUNCTION("if(H744=""pays"",vlookup(REGEXEXTRACT(C744, ""🏘️ \w+ \w+ (.*) ✅""),'Country prepositions'!A:B, 2, 0) &amp; "" "" &amp; REGEXEXTRACT(C744, ""🏘️ \w+ \w+ (.*) ✅"") ,  if(H744=""quartier"",vlookup(REGEXEXTRACT(C744, ""🏘️ \w+ \w+ (.*) ✅""),'Quartier prepositions'!A"&amp;":E, 5, 0) ,  if(H744=""region"",vlookup(REGEXEXTRACT(C744, ""🏘️ \w+ \w+ (.*) ✅""),'Region prepositions'!B:F, 5, 0),  REGEXEXTRACT(C744, ""🏘️ \w+ \w+ (.*) ✅""))))"),"Chevilly")</f>
        <v>Chevilly</v>
      </c>
      <c r="F744" s="2" t="str">
        <f>IFERROR(__xludf.DUMMYFUNCTION("REGEXEXTRACT(C744, ""🏘️ (\w+) \w+ .* ✅"")"),"Louer")</f>
        <v>Louer</v>
      </c>
      <c r="G744" s="2" t="str">
        <f>IFERROR(__xludf.DUMMYFUNCTION("REGEXEXTRACT(C744, ""🏘️ \w+ (\w+) .* ✅"")"),"appartement")</f>
        <v>appartement</v>
      </c>
      <c r="H744" s="4" t="str">
        <f>IFERROR(__xludf.DUMMYFUNCTION("REGEXEXTRACT(A744, ""/(\w+)-.*?"")"),"lieu")</f>
        <v>lieu</v>
      </c>
      <c r="I744" s="4" t="str">
        <f>IFERROR(__xludf.DUMMYFUNCTION("if(D744=""variant"",  substitute(filter(Templates!E:E, Templates!A:A = F744, Templates!B:B = G744, Templates!C:C = H744), ""{{}}"", E744), B744)"),"🏘  Vous cherchez un appartement à louer à Chevilly? ✅ Les annonces les plus actuelles sont sur ImmoScout24.ch.")</f>
        <v>🏘  Vous cherchez un appartement à louer à Chevilly? ✅ Les annonces les plus actuelles sont sur ImmoScout24.ch.</v>
      </c>
      <c r="J744" s="4" t="s">
        <v>2239</v>
      </c>
    </row>
    <row r="745">
      <c r="A745" s="5" t="s">
        <v>2240</v>
      </c>
      <c r="B745" s="2" t="s">
        <v>2241</v>
      </c>
      <c r="C745" s="4" t="str">
        <f>IFERROR(__xludf.DUMMYFUNCTION("""🏘️ ""&amp;REGEXEXTRACT(B745, ""^(.*): "")&amp;"" ✅ "" &amp;REGEXEXTRACT(B745, ""(Trouvez.*)"")"),"🏘️ Vendre appartement Aarau ✅ Trouvez le bien immobilier qui correspond idéalement à vos désirs sur ImmoScout24 - La plateforme de l'immobilier en Suisse.")</f>
        <v>🏘️ Vendre appartement Aarau ✅ Trouvez le bien immobilier qui correspond idéalement à vos désirs sur ImmoScout24 - La plateforme de l'immobilier en Suisse.</v>
      </c>
      <c r="D745" s="4" t="str">
        <f>vlookup(A745, Sheet2!D:E, 2, 0)</f>
        <v>variant</v>
      </c>
      <c r="E745" s="4" t="str">
        <f>IFERROR(__xludf.DUMMYFUNCTION("if(H745=""pays"",vlookup(REGEXEXTRACT(C745, ""🏘️ \w+ \w+ (.*) ✅""),'Country prepositions'!A:B, 2, 0) &amp; "" "" &amp; REGEXEXTRACT(C745, ""🏘️ \w+ \w+ (.*) ✅"") ,  if(H745=""quartier"",vlookup(REGEXEXTRACT(C745, ""🏘️ \w+ \w+ (.*) ✅""),'Quartier prepositions'!A"&amp;":E, 5, 0) ,  if(H745=""region"",vlookup(REGEXEXTRACT(C745, ""🏘️ \w+ \w+ (.*) ✅""),'Region prepositions'!B:F, 5, 0),  REGEXEXTRACT(C745, ""🏘️ \w+ \w+ (.*) ✅""))))"),"Aarau")</f>
        <v>Aarau</v>
      </c>
      <c r="F745" s="2" t="str">
        <f>IFERROR(__xludf.DUMMYFUNCTION("REGEXEXTRACT(C745, ""🏘️ (\w+) \w+ .* ✅"")"),"Vendre")</f>
        <v>Vendre</v>
      </c>
      <c r="G745" s="2" t="str">
        <f>IFERROR(__xludf.DUMMYFUNCTION("REGEXEXTRACT(C745, ""🏘️ \w+ (\w+) .* ✅"")"),"appartement")</f>
        <v>appartement</v>
      </c>
      <c r="H745" s="4" t="str">
        <f>IFERROR(__xludf.DUMMYFUNCTION("REGEXEXTRACT(A745, ""/(\w+)-.*?"")"),"lieu")</f>
        <v>lieu</v>
      </c>
      <c r="I745" s="4" t="str">
        <f>IFERROR(__xludf.DUMMYFUNCTION("if(D745=""variant"",  substitute(filter(Templates!E:E, Templates!A:A = F745, Templates!B:B = G745, Templates!C:C = H745), ""{{}}"", E745), B745)"),"🏘  L’appartement de vos rêves se trouve sur ImmoScout24.ch ✅ Découvrez les dernières annonces de vente à Aarau.")</f>
        <v>🏘  L’appartement de vos rêves se trouve sur ImmoScout24.ch ✅ Découvrez les dernières annonces de vente à Aarau.</v>
      </c>
      <c r="J745" s="4" t="s">
        <v>2242</v>
      </c>
    </row>
    <row r="746">
      <c r="A746" s="5" t="s">
        <v>2243</v>
      </c>
      <c r="B746" s="2" t="s">
        <v>2244</v>
      </c>
      <c r="C746" s="4" t="str">
        <f>IFERROR(__xludf.DUMMYFUNCTION("""🏘️ ""&amp;REGEXEXTRACT(B746, ""^(.*): "")&amp;"" ✅ "" &amp;REGEXEXTRACT(B746, ""(Trouvez.*)"")"),"🏘️ Vendre maison Rueyres-Treyfayes ✅ Trouvez le bien immobilier qui correspond idéalement à vos désirs sur ImmoScout24 - La plateforme de l'immobilier en Suisse.")</f>
        <v>🏘️ Vendre maison Rueyres-Treyfayes ✅ Trouvez le bien immobilier qui correspond idéalement à vos désirs sur ImmoScout24 - La plateforme de l'immobilier en Suisse.</v>
      </c>
      <c r="D746" s="4" t="str">
        <f>vlookup(A746, Sheet2!D:E, 2, 0)</f>
        <v>variant</v>
      </c>
      <c r="E746" s="4" t="str">
        <f>IFERROR(__xludf.DUMMYFUNCTION("if(H746=""pays"",vlookup(REGEXEXTRACT(C746, ""🏘️ \w+ \w+ (.*) ✅""),'Country prepositions'!A:B, 2, 0) &amp; "" "" &amp; REGEXEXTRACT(C746, ""🏘️ \w+ \w+ (.*) ✅"") ,  if(H746=""quartier"",vlookup(REGEXEXTRACT(C746, ""🏘️ \w+ \w+ (.*) ✅""),'Quartier prepositions'!A"&amp;":E, 5, 0) ,  if(H746=""region"",vlookup(REGEXEXTRACT(C746, ""🏘️ \w+ \w+ (.*) ✅""),'Region prepositions'!B:F, 5, 0),  REGEXEXTRACT(C746, ""🏘️ \w+ \w+ (.*) ✅""))))"),"Rueyres-Treyfayes")</f>
        <v>Rueyres-Treyfayes</v>
      </c>
      <c r="F746" s="2" t="str">
        <f>IFERROR(__xludf.DUMMYFUNCTION("REGEXEXTRACT(C746, ""🏘️ (\w+) \w+ .* ✅"")"),"Vendre")</f>
        <v>Vendre</v>
      </c>
      <c r="G746" s="2" t="str">
        <f>IFERROR(__xludf.DUMMYFUNCTION("REGEXEXTRACT(C746, ""🏘️ \w+ (\w+) .* ✅"")"),"maison")</f>
        <v>maison</v>
      </c>
      <c r="H746" s="4" t="str">
        <f>IFERROR(__xludf.DUMMYFUNCTION("REGEXEXTRACT(A746, ""/(\w+)-.*?"")"),"lieu")</f>
        <v>lieu</v>
      </c>
      <c r="I746" s="4" t="str">
        <f>IFERROR(__xludf.DUMMYFUNCTION("if(D746=""variant"",  substitute(filter(Templates!E:E, Templates!A:A = F746, Templates!B:B = G746, Templates!C:C = H746), ""{{}}"", E746), B746)"),"🏘  Vous souhaitez acheter une maison à Rueyres-Treyfayes? ✅ Jetez un œil aux dernières offres sur ImmoScout24.ch.")</f>
        <v>🏘  Vous souhaitez acheter une maison à Rueyres-Treyfayes? ✅ Jetez un œil aux dernières offres sur ImmoScout24.ch.</v>
      </c>
      <c r="J746" s="4" t="s">
        <v>2245</v>
      </c>
    </row>
    <row r="747">
      <c r="A747" s="5" t="s">
        <v>2246</v>
      </c>
      <c r="B747" s="2" t="s">
        <v>2247</v>
      </c>
      <c r="C747" s="4" t="str">
        <f>IFERROR(__xludf.DUMMYFUNCTION("""🏘️ ""&amp;REGEXEXTRACT(B747, ""^(.*): "")&amp;"" ✅ "" &amp;REGEXEXTRACT(B747, ""(Trouvez.*)"")"),"🏘️ Louer appartement Signau ✅ Trouvez le bien immobilier qui correspond idéalement à vos désirs sur ImmoScout24 - La plateforme de l'immobilier en Suisse.")</f>
        <v>🏘️ Louer appartement Signau ✅ Trouvez le bien immobilier qui correspond idéalement à vos désirs sur ImmoScout24 - La plateforme de l'immobilier en Suisse.</v>
      </c>
      <c r="D747" s="4" t="str">
        <f>vlookup(A747, Sheet2!D:E, 2, 0)</f>
        <v>variant</v>
      </c>
      <c r="E747" s="4" t="str">
        <f>IFERROR(__xludf.DUMMYFUNCTION("if(H747=""pays"",vlookup(REGEXEXTRACT(C747, ""🏘️ \w+ \w+ (.*) ✅""),'Country prepositions'!A:B, 2, 0) &amp; "" "" &amp; REGEXEXTRACT(C747, ""🏘️ \w+ \w+ (.*) ✅"") ,  if(H747=""quartier"",vlookup(REGEXEXTRACT(C747, ""🏘️ \w+ \w+ (.*) ✅""),'Quartier prepositions'!A"&amp;":E, 5, 0) ,  if(H747=""region"",vlookup(REGEXEXTRACT(C747, ""🏘️ \w+ \w+ (.*) ✅""),'Region prepositions'!B:F, 5, 0),  REGEXEXTRACT(C747, ""🏘️ \w+ \w+ (.*) ✅""))))"),"Signau")</f>
        <v>Signau</v>
      </c>
      <c r="F747" s="2" t="str">
        <f>IFERROR(__xludf.DUMMYFUNCTION("REGEXEXTRACT(C747, ""🏘️ (\w+) \w+ .* ✅"")"),"Louer")</f>
        <v>Louer</v>
      </c>
      <c r="G747" s="2" t="str">
        <f>IFERROR(__xludf.DUMMYFUNCTION("REGEXEXTRACT(C747, ""🏘️ \w+ (\w+) .* ✅"")"),"appartement")</f>
        <v>appartement</v>
      </c>
      <c r="H747" s="4" t="str">
        <f>IFERROR(__xludf.DUMMYFUNCTION("REGEXEXTRACT(A747, ""/(\w+)-.*?"")"),"lieu")</f>
        <v>lieu</v>
      </c>
      <c r="I747" s="4" t="str">
        <f>IFERROR(__xludf.DUMMYFUNCTION("if(D747=""variant"",  substitute(filter(Templates!E:E, Templates!A:A = F747, Templates!B:B = G747, Templates!C:C = H747), ""{{}}"", E747), B747)"),"🏘  Vous cherchez un appartement à louer à Signau? ✅ Les annonces les plus actuelles sont sur ImmoScout24.ch.")</f>
        <v>🏘  Vous cherchez un appartement à louer à Signau? ✅ Les annonces les plus actuelles sont sur ImmoScout24.ch.</v>
      </c>
      <c r="J747" s="4" t="s">
        <v>2248</v>
      </c>
    </row>
    <row r="748">
      <c r="A748" s="5" t="s">
        <v>2249</v>
      </c>
      <c r="B748" s="2" t="s">
        <v>2250</v>
      </c>
      <c r="C748" s="4" t="str">
        <f>IFERROR(__xludf.DUMMYFUNCTION("""🏘️ ""&amp;REGEXEXTRACT(B748, ""^(.*): "")&amp;"" ✅ "" &amp;REGEXEXTRACT(B748, ""(Trouvez.*)"")"),"🏘️ Louer maison Heiligenschwendi ✅ Trouvez le bien immobilier qui correspond idéalement à vos désirs sur ImmoScout24 - La plateforme de l'immobilier en Suisse.")</f>
        <v>🏘️ Louer maison Heiligenschwendi ✅ Trouvez le bien immobilier qui correspond idéalement à vos désirs sur ImmoScout24 - La plateforme de l'immobilier en Suisse.</v>
      </c>
      <c r="D748" s="4" t="str">
        <f>vlookup(A748, Sheet2!D:E, 2, 0)</f>
        <v>variant</v>
      </c>
      <c r="E748" s="4" t="str">
        <f>IFERROR(__xludf.DUMMYFUNCTION("if(H748=""pays"",vlookup(REGEXEXTRACT(C748, ""🏘️ \w+ \w+ (.*) ✅""),'Country prepositions'!A:B, 2, 0) &amp; "" "" &amp; REGEXEXTRACT(C748, ""🏘️ \w+ \w+ (.*) ✅"") ,  if(H748=""quartier"",vlookup(REGEXEXTRACT(C748, ""🏘️ \w+ \w+ (.*) ✅""),'Quartier prepositions'!A"&amp;":E, 5, 0) ,  if(H748=""region"",vlookup(REGEXEXTRACT(C748, ""🏘️ \w+ \w+ (.*) ✅""),'Region prepositions'!B:F, 5, 0),  REGEXEXTRACT(C748, ""🏘️ \w+ \w+ (.*) ✅""))))"),"Heiligenschwendi")</f>
        <v>Heiligenschwendi</v>
      </c>
      <c r="F748" s="2" t="str">
        <f>IFERROR(__xludf.DUMMYFUNCTION("REGEXEXTRACT(C748, ""🏘️ (\w+) \w+ .* ✅"")"),"Louer")</f>
        <v>Louer</v>
      </c>
      <c r="G748" s="2" t="str">
        <f>IFERROR(__xludf.DUMMYFUNCTION("REGEXEXTRACT(C748, ""🏘️ \w+ (\w+) .* ✅"")"),"maison")</f>
        <v>maison</v>
      </c>
      <c r="H748" s="4" t="str">
        <f>IFERROR(__xludf.DUMMYFUNCTION("REGEXEXTRACT(A748, ""/(\w+)-.*?"")"),"lieu")</f>
        <v>lieu</v>
      </c>
      <c r="I748" s="4" t="str">
        <f>IFERROR(__xludf.DUMMYFUNCTION("if(D748=""variant"",  substitute(filter(Templates!E:E, Templates!A:A = F748, Templates!B:B = G748, Templates!C:C = H748), ""{{}}"", E748), B748)"),"🏘  Vous cherchez une maison à louer à Heiligenschwendi? ✅ Découvrez nos nombreuses annonces sur ImmoScout24.ch.")</f>
        <v>🏘  Vous cherchez une maison à louer à Heiligenschwendi? ✅ Découvrez nos nombreuses annonces sur ImmoScout24.ch.</v>
      </c>
      <c r="J748" s="4" t="s">
        <v>2251</v>
      </c>
    </row>
    <row r="749">
      <c r="A749" s="5" t="s">
        <v>2252</v>
      </c>
      <c r="B749" s="2" t="s">
        <v>2253</v>
      </c>
      <c r="C749" s="4" t="str">
        <f>IFERROR(__xludf.DUMMYFUNCTION("""🏘️ ""&amp;REGEXEXTRACT(B749, ""^(.*): "")&amp;"" ✅ "" &amp;REGEXEXTRACT(B749, ""(Trouvez.*)"")"),"🏘️ Vendre maison Bettmeralp ✅ Trouvez le bien immobilier qui correspond idéalement à vos désirs sur ImmoScout24 - La plateforme de l'immobilier en Suisse.")</f>
        <v>🏘️ Vendre maison Bettmeralp ✅ Trouvez le bien immobilier qui correspond idéalement à vos désirs sur ImmoScout24 - La plateforme de l'immobilier en Suisse.</v>
      </c>
      <c r="D749" s="4" t="str">
        <f>vlookup(A749, Sheet2!D:E, 2, 0)</f>
        <v>variant</v>
      </c>
      <c r="E749" s="4" t="str">
        <f>IFERROR(__xludf.DUMMYFUNCTION("if(H749=""pays"",vlookup(REGEXEXTRACT(C749, ""🏘️ \w+ \w+ (.*) ✅""),'Country prepositions'!A:B, 2, 0) &amp; "" "" &amp; REGEXEXTRACT(C749, ""🏘️ \w+ \w+ (.*) ✅"") ,  if(H749=""quartier"",vlookup(REGEXEXTRACT(C749, ""🏘️ \w+ \w+ (.*) ✅""),'Quartier prepositions'!A"&amp;":E, 5, 0) ,  if(H749=""region"",vlookup(REGEXEXTRACT(C749, ""🏘️ \w+ \w+ (.*) ✅""),'Region prepositions'!B:F, 5, 0),  REGEXEXTRACT(C749, ""🏘️ \w+ \w+ (.*) ✅""))))"),"Bettmeralp")</f>
        <v>Bettmeralp</v>
      </c>
      <c r="F749" s="2" t="str">
        <f>IFERROR(__xludf.DUMMYFUNCTION("REGEXEXTRACT(C749, ""🏘️ (\w+) \w+ .* ✅"")"),"Vendre")</f>
        <v>Vendre</v>
      </c>
      <c r="G749" s="2" t="str">
        <f>IFERROR(__xludf.DUMMYFUNCTION("REGEXEXTRACT(C749, ""🏘️ \w+ (\w+) .* ✅"")"),"maison")</f>
        <v>maison</v>
      </c>
      <c r="H749" s="4" t="str">
        <f>IFERROR(__xludf.DUMMYFUNCTION("REGEXEXTRACT(A749, ""/(\w+)-.*?"")"),"lieu")</f>
        <v>lieu</v>
      </c>
      <c r="I749" s="4" t="str">
        <f>IFERROR(__xludf.DUMMYFUNCTION("if(D749=""variant"",  substitute(filter(Templates!E:E, Templates!A:A = F749, Templates!B:B = G749, Templates!C:C = H749), ""{{}}"", E749), B749)"),"🏘  Vous souhaitez acheter une maison à Bettmeralp? ✅ Jetez un œil aux dernières offres sur ImmoScout24.ch.")</f>
        <v>🏘  Vous souhaitez acheter une maison à Bettmeralp? ✅ Jetez un œil aux dernières offres sur ImmoScout24.ch.</v>
      </c>
      <c r="J749" s="4" t="s">
        <v>2254</v>
      </c>
    </row>
    <row r="750">
      <c r="A750" s="5" t="s">
        <v>2255</v>
      </c>
      <c r="B750" s="2" t="s">
        <v>2256</v>
      </c>
      <c r="C750" s="4" t="str">
        <f>IFERROR(__xludf.DUMMYFUNCTION("""🏘️ ""&amp;REGEXEXTRACT(B750, ""^(.*): "")&amp;"" ✅ "" &amp;REGEXEXTRACT(B750, ""(Trouvez.*)"")"),"🏘️ Louer appartement Malleray ✅ Trouvez le bien immobilier qui correspond idéalement à vos désirs sur ImmoScout24 - La plateforme de l'immobilier en Suisse.")</f>
        <v>🏘️ Louer appartement Malleray ✅ Trouvez le bien immobilier qui correspond idéalement à vos désirs sur ImmoScout24 - La plateforme de l'immobilier en Suisse.</v>
      </c>
      <c r="D750" s="4" t="str">
        <f>vlookup(A750, Sheet2!D:E, 2, 0)</f>
        <v>variant</v>
      </c>
      <c r="E750" s="4" t="str">
        <f>IFERROR(__xludf.DUMMYFUNCTION("if(H750=""pays"",vlookup(REGEXEXTRACT(C750, ""🏘️ \w+ \w+ (.*) ✅""),'Country prepositions'!A:B, 2, 0) &amp; "" "" &amp; REGEXEXTRACT(C750, ""🏘️ \w+ \w+ (.*) ✅"") ,  if(H750=""quartier"",vlookup(REGEXEXTRACT(C750, ""🏘️ \w+ \w+ (.*) ✅""),'Quartier prepositions'!A"&amp;":E, 5, 0) ,  if(H750=""region"",vlookup(REGEXEXTRACT(C750, ""🏘️ \w+ \w+ (.*) ✅""),'Region prepositions'!B:F, 5, 0),  REGEXEXTRACT(C750, ""🏘️ \w+ \w+ (.*) ✅""))))"),"Malleray")</f>
        <v>Malleray</v>
      </c>
      <c r="F750" s="2" t="str">
        <f>IFERROR(__xludf.DUMMYFUNCTION("REGEXEXTRACT(C750, ""🏘️ (\w+) \w+ .* ✅"")"),"Louer")</f>
        <v>Louer</v>
      </c>
      <c r="G750" s="2" t="str">
        <f>IFERROR(__xludf.DUMMYFUNCTION("REGEXEXTRACT(C750, ""🏘️ \w+ (\w+) .* ✅"")"),"appartement")</f>
        <v>appartement</v>
      </c>
      <c r="H750" s="4" t="str">
        <f>IFERROR(__xludf.DUMMYFUNCTION("REGEXEXTRACT(A750, ""/(\w+)-.*?"")"),"lieu")</f>
        <v>lieu</v>
      </c>
      <c r="I750" s="4" t="str">
        <f>IFERROR(__xludf.DUMMYFUNCTION("if(D750=""variant"",  substitute(filter(Templates!E:E, Templates!A:A = F750, Templates!B:B = G750, Templates!C:C = H750), ""{{}}"", E750), B750)"),"🏘  Vous cherchez un appartement à louer à Malleray? ✅ Les annonces les plus actuelles sont sur ImmoScout24.ch.")</f>
        <v>🏘  Vous cherchez un appartement à louer à Malleray? ✅ Les annonces les plus actuelles sont sur ImmoScout24.ch.</v>
      </c>
      <c r="J750" s="4" t="s">
        <v>2257</v>
      </c>
    </row>
    <row r="751">
      <c r="A751" s="5" t="s">
        <v>2258</v>
      </c>
      <c r="B751" s="2" t="s">
        <v>2259</v>
      </c>
      <c r="C751" s="4" t="str">
        <f>IFERROR(__xludf.DUMMYFUNCTION("""🏘️ ""&amp;REGEXEXTRACT(B751, ""^(.*): "")&amp;"" ✅ "" &amp;REGEXEXTRACT(B751, ""(Trouvez.*)"")"),"🏘️ Vendre maison Brenles ✅ Trouvez le bien immobilier qui correspond idéalement à vos désirs sur ImmoScout24 - La plateforme de l'immobilier en Suisse.")</f>
        <v>🏘️ Vendre maison Brenles ✅ Trouvez le bien immobilier qui correspond idéalement à vos désirs sur ImmoScout24 - La plateforme de l'immobilier en Suisse.</v>
      </c>
      <c r="D751" s="4" t="str">
        <f>vlookup(A751, Sheet2!D:E, 2, 0)</f>
        <v>variant</v>
      </c>
      <c r="E751" s="4" t="str">
        <f>IFERROR(__xludf.DUMMYFUNCTION("if(H751=""pays"",vlookup(REGEXEXTRACT(C751, ""🏘️ \w+ \w+ (.*) ✅""),'Country prepositions'!A:B, 2, 0) &amp; "" "" &amp; REGEXEXTRACT(C751, ""🏘️ \w+ \w+ (.*) ✅"") ,  if(H751=""quartier"",vlookup(REGEXEXTRACT(C751, ""🏘️ \w+ \w+ (.*) ✅""),'Quartier prepositions'!A"&amp;":E, 5, 0) ,  if(H751=""region"",vlookup(REGEXEXTRACT(C751, ""🏘️ \w+ \w+ (.*) ✅""),'Region prepositions'!B:F, 5, 0),  REGEXEXTRACT(C751, ""🏘️ \w+ \w+ (.*) ✅""))))"),"Brenles")</f>
        <v>Brenles</v>
      </c>
      <c r="F751" s="2" t="str">
        <f>IFERROR(__xludf.DUMMYFUNCTION("REGEXEXTRACT(C751, ""🏘️ (\w+) \w+ .* ✅"")"),"Vendre")</f>
        <v>Vendre</v>
      </c>
      <c r="G751" s="2" t="str">
        <f>IFERROR(__xludf.DUMMYFUNCTION("REGEXEXTRACT(C751, ""🏘️ \w+ (\w+) .* ✅"")"),"maison")</f>
        <v>maison</v>
      </c>
      <c r="H751" s="4" t="str">
        <f>IFERROR(__xludf.DUMMYFUNCTION("REGEXEXTRACT(A751, ""/(\w+)-.*?"")"),"lieu")</f>
        <v>lieu</v>
      </c>
      <c r="I751" s="4" t="str">
        <f>IFERROR(__xludf.DUMMYFUNCTION("if(D751=""variant"",  substitute(filter(Templates!E:E, Templates!A:A = F751, Templates!B:B = G751, Templates!C:C = H751), ""{{}}"", E751), B751)"),"🏘  Vous souhaitez acheter une maison à Brenles? ✅ Jetez un œil aux dernières offres sur ImmoScout24.ch.")</f>
        <v>🏘  Vous souhaitez acheter une maison à Brenles? ✅ Jetez un œil aux dernières offres sur ImmoScout24.ch.</v>
      </c>
      <c r="J751" s="4" t="s">
        <v>2260</v>
      </c>
    </row>
    <row r="752">
      <c r="A752" s="5" t="s">
        <v>2261</v>
      </c>
      <c r="B752" s="2" t="s">
        <v>2262</v>
      </c>
      <c r="C752" s="4" t="str">
        <f>IFERROR(__xludf.DUMMYFUNCTION("""🏘️ ""&amp;REGEXEXTRACT(B752, ""^(.*): "")&amp;"" ✅ "" &amp;REGEXEXTRACT(B752, ""(Trouvez.*)"")"),"🏘️ Louer appartement Brissago ✅ Trouvez le bien immobilier qui correspond idéalement à vos désirs sur ImmoScout24 - La plateforme de l'immobilier en Suisse.")</f>
        <v>🏘️ Louer appartement Brissago ✅ Trouvez le bien immobilier qui correspond idéalement à vos désirs sur ImmoScout24 - La plateforme de l'immobilier en Suisse.</v>
      </c>
      <c r="D752" s="4" t="str">
        <f>vlookup(A752, Sheet2!D:E, 2, 0)</f>
        <v>variant</v>
      </c>
      <c r="E752" s="4" t="str">
        <f>IFERROR(__xludf.DUMMYFUNCTION("if(H752=""pays"",vlookup(REGEXEXTRACT(C752, ""🏘️ \w+ \w+ (.*) ✅""),'Country prepositions'!A:B, 2, 0) &amp; "" "" &amp; REGEXEXTRACT(C752, ""🏘️ \w+ \w+ (.*) ✅"") ,  if(H752=""quartier"",vlookup(REGEXEXTRACT(C752, ""🏘️ \w+ \w+ (.*) ✅""),'Quartier prepositions'!A"&amp;":E, 5, 0) ,  if(H752=""region"",vlookup(REGEXEXTRACT(C752, ""🏘️ \w+ \w+ (.*) ✅""),'Region prepositions'!B:F, 5, 0),  REGEXEXTRACT(C752, ""🏘️ \w+ \w+ (.*) ✅""))))"),"Brissago")</f>
        <v>Brissago</v>
      </c>
      <c r="F752" s="2" t="str">
        <f>IFERROR(__xludf.DUMMYFUNCTION("REGEXEXTRACT(C752, ""🏘️ (\w+) \w+ .* ✅"")"),"Louer")</f>
        <v>Louer</v>
      </c>
      <c r="G752" s="2" t="str">
        <f>IFERROR(__xludf.DUMMYFUNCTION("REGEXEXTRACT(C752, ""🏘️ \w+ (\w+) .* ✅"")"),"appartement")</f>
        <v>appartement</v>
      </c>
      <c r="H752" s="4" t="str">
        <f>IFERROR(__xludf.DUMMYFUNCTION("REGEXEXTRACT(A752, ""/(\w+)-.*?"")"),"lieu")</f>
        <v>lieu</v>
      </c>
      <c r="I752" s="4" t="str">
        <f>IFERROR(__xludf.DUMMYFUNCTION("if(D752=""variant"",  substitute(filter(Templates!E:E, Templates!A:A = F752, Templates!B:B = G752, Templates!C:C = H752), ""{{}}"", E752), B752)"),"🏘  Vous cherchez un appartement à louer à Brissago? ✅ Les annonces les plus actuelles sont sur ImmoScout24.ch.")</f>
        <v>🏘  Vous cherchez un appartement à louer à Brissago? ✅ Les annonces les plus actuelles sont sur ImmoScout24.ch.</v>
      </c>
      <c r="J752" s="4" t="s">
        <v>2263</v>
      </c>
    </row>
    <row r="753">
      <c r="A753" s="5" t="s">
        <v>2264</v>
      </c>
      <c r="B753" s="2" t="s">
        <v>2265</v>
      </c>
      <c r="C753" s="4" t="str">
        <f>IFERROR(__xludf.DUMMYFUNCTION("""🏘️ ""&amp;REGEXEXTRACT(B753, ""^(.*): "")&amp;"" ✅ "" &amp;REGEXEXTRACT(B753, ""(Trouvez.*)"")"),"🏘️ Vendre appartement Worb ✅ Trouvez le bien immobilier qui correspond idéalement à vos désirs sur ImmoScout24 - La plateforme de l'immobilier en Suisse.")</f>
        <v>🏘️ Vendre appartement Worb ✅ Trouvez le bien immobilier qui correspond idéalement à vos désirs sur ImmoScout24 - La plateforme de l'immobilier en Suisse.</v>
      </c>
      <c r="D753" s="4" t="str">
        <f>vlookup(A753, Sheet2!D:E, 2, 0)</f>
        <v>variant</v>
      </c>
      <c r="E753" s="4" t="str">
        <f>IFERROR(__xludf.DUMMYFUNCTION("if(H753=""pays"",vlookup(REGEXEXTRACT(C753, ""🏘️ \w+ \w+ (.*) ✅""),'Country prepositions'!A:B, 2, 0) &amp; "" "" &amp; REGEXEXTRACT(C753, ""🏘️ \w+ \w+ (.*) ✅"") ,  if(H753=""quartier"",vlookup(REGEXEXTRACT(C753, ""🏘️ \w+ \w+ (.*) ✅""),'Quartier prepositions'!A"&amp;":E, 5, 0) ,  if(H753=""region"",vlookup(REGEXEXTRACT(C753, ""🏘️ \w+ \w+ (.*) ✅""),'Region prepositions'!B:F, 5, 0),  REGEXEXTRACT(C753, ""🏘️ \w+ \w+ (.*) ✅""))))"),"Worb")</f>
        <v>Worb</v>
      </c>
      <c r="F753" s="2" t="str">
        <f>IFERROR(__xludf.DUMMYFUNCTION("REGEXEXTRACT(C753, ""🏘️ (\w+) \w+ .* ✅"")"),"Vendre")</f>
        <v>Vendre</v>
      </c>
      <c r="G753" s="2" t="str">
        <f>IFERROR(__xludf.DUMMYFUNCTION("REGEXEXTRACT(C753, ""🏘️ \w+ (\w+) .* ✅"")"),"appartement")</f>
        <v>appartement</v>
      </c>
      <c r="H753" s="4" t="str">
        <f>IFERROR(__xludf.DUMMYFUNCTION("REGEXEXTRACT(A753, ""/(\w+)-.*?"")"),"lieu")</f>
        <v>lieu</v>
      </c>
      <c r="I753" s="4" t="str">
        <f>IFERROR(__xludf.DUMMYFUNCTION("if(D753=""variant"",  substitute(filter(Templates!E:E, Templates!A:A = F753, Templates!B:B = G753, Templates!C:C = H753), ""{{}}"", E753), B753)"),"🏘  L’appartement de vos rêves se trouve sur ImmoScout24.ch ✅ Découvrez les dernières annonces de vente à Worb.")</f>
        <v>🏘  L’appartement de vos rêves se trouve sur ImmoScout24.ch ✅ Découvrez les dernières annonces de vente à Worb.</v>
      </c>
      <c r="J753" s="4" t="s">
        <v>2266</v>
      </c>
    </row>
    <row r="754">
      <c r="A754" s="5" t="s">
        <v>2267</v>
      </c>
      <c r="B754" s="2" t="s">
        <v>2268</v>
      </c>
      <c r="C754" s="4" t="str">
        <f>IFERROR(__xludf.DUMMYFUNCTION("""🏘️ ""&amp;REGEXEXTRACT(B754, ""^(.*): "")&amp;"" ✅ "" &amp;REGEXEXTRACT(B754, ""(Trouvez.*)"")"),"🏘️ Louer appartement Chandolin ✅ Trouvez le bien immobilier qui correspond idéalement à vos désirs sur ImmoScout24 - La plateforme de l'immobilier en Suisse.")</f>
        <v>🏘️ Louer appartement Chandolin ✅ Trouvez le bien immobilier qui correspond idéalement à vos désirs sur ImmoScout24 - La plateforme de l'immobilier en Suisse.</v>
      </c>
      <c r="D754" s="4" t="str">
        <f>vlookup(A754, Sheet2!D:E, 2, 0)</f>
        <v>variant</v>
      </c>
      <c r="E754" s="4" t="str">
        <f>IFERROR(__xludf.DUMMYFUNCTION("if(H754=""pays"",vlookup(REGEXEXTRACT(C754, ""🏘️ \w+ \w+ (.*) ✅""),'Country prepositions'!A:B, 2, 0) &amp; "" "" &amp; REGEXEXTRACT(C754, ""🏘️ \w+ \w+ (.*) ✅"") ,  if(H754=""quartier"",vlookup(REGEXEXTRACT(C754, ""🏘️ \w+ \w+ (.*) ✅""),'Quartier prepositions'!A"&amp;":E, 5, 0) ,  if(H754=""region"",vlookup(REGEXEXTRACT(C754, ""🏘️ \w+ \w+ (.*) ✅""),'Region prepositions'!B:F, 5, 0),  REGEXEXTRACT(C754, ""🏘️ \w+ \w+ (.*) ✅""))))"),"Chandolin")</f>
        <v>Chandolin</v>
      </c>
      <c r="F754" s="2" t="str">
        <f>IFERROR(__xludf.DUMMYFUNCTION("REGEXEXTRACT(C754, ""🏘️ (\w+) \w+ .* ✅"")"),"Louer")</f>
        <v>Louer</v>
      </c>
      <c r="G754" s="2" t="str">
        <f>IFERROR(__xludf.DUMMYFUNCTION("REGEXEXTRACT(C754, ""🏘️ \w+ (\w+) .* ✅"")"),"appartement")</f>
        <v>appartement</v>
      </c>
      <c r="H754" s="4" t="str">
        <f>IFERROR(__xludf.DUMMYFUNCTION("REGEXEXTRACT(A754, ""/(\w+)-.*?"")"),"lieu")</f>
        <v>lieu</v>
      </c>
      <c r="I754" s="4" t="str">
        <f>IFERROR(__xludf.DUMMYFUNCTION("if(D754=""variant"",  substitute(filter(Templates!E:E, Templates!A:A = F754, Templates!B:B = G754, Templates!C:C = H754), ""{{}}"", E754), B754)"),"🏘  Vous cherchez un appartement à louer à Chandolin? ✅ Les annonces les plus actuelles sont sur ImmoScout24.ch.")</f>
        <v>🏘  Vous cherchez un appartement à louer à Chandolin? ✅ Les annonces les plus actuelles sont sur ImmoScout24.ch.</v>
      </c>
      <c r="J754" s="4" t="s">
        <v>2269</v>
      </c>
    </row>
    <row r="755">
      <c r="A755" s="5" t="s">
        <v>2270</v>
      </c>
      <c r="B755" s="2" t="s">
        <v>2271</v>
      </c>
      <c r="C755" s="4" t="str">
        <f>IFERROR(__xludf.DUMMYFUNCTION("""🏘️ ""&amp;REGEXEXTRACT(B755, ""^(.*): "")&amp;"" ✅ "" &amp;REGEXEXTRACT(B755, ""(Trouvez.*)"")"),"🏘️ Louer maison Aarau ✅ Trouvez le bien immobilier qui correspond idéalement à vos désirs sur ImmoScout24 - La plateforme de l'immobilier en Suisse.")</f>
        <v>🏘️ Louer maison Aarau ✅ Trouvez le bien immobilier qui correspond idéalement à vos désirs sur ImmoScout24 - La plateforme de l'immobilier en Suisse.</v>
      </c>
      <c r="D755" s="4" t="str">
        <f>vlookup(A755, Sheet2!D:E, 2, 0)</f>
        <v>variant</v>
      </c>
      <c r="E755" s="4" t="str">
        <f>IFERROR(__xludf.DUMMYFUNCTION("if(H755=""pays"",vlookup(REGEXEXTRACT(C755, ""🏘️ \w+ \w+ (.*) ✅""),'Country prepositions'!A:B, 2, 0) &amp; "" "" &amp; REGEXEXTRACT(C755, ""🏘️ \w+ \w+ (.*) ✅"") ,  if(H755=""quartier"",vlookup(REGEXEXTRACT(C755, ""🏘️ \w+ \w+ (.*) ✅""),'Quartier prepositions'!A"&amp;":E, 5, 0) ,  if(H755=""region"",vlookup(REGEXEXTRACT(C755, ""🏘️ \w+ \w+ (.*) ✅""),'Region prepositions'!B:F, 5, 0),  REGEXEXTRACT(C755, ""🏘️ \w+ \w+ (.*) ✅""))))"),"Aarau")</f>
        <v>Aarau</v>
      </c>
      <c r="F755" s="2" t="str">
        <f>IFERROR(__xludf.DUMMYFUNCTION("REGEXEXTRACT(C755, ""🏘️ (\w+) \w+ .* ✅"")"),"Louer")</f>
        <v>Louer</v>
      </c>
      <c r="G755" s="2" t="str">
        <f>IFERROR(__xludf.DUMMYFUNCTION("REGEXEXTRACT(C755, ""🏘️ \w+ (\w+) .* ✅"")"),"maison")</f>
        <v>maison</v>
      </c>
      <c r="H755" s="4" t="str">
        <f>IFERROR(__xludf.DUMMYFUNCTION("REGEXEXTRACT(A755, ""/(\w+)-.*?"")"),"lieu")</f>
        <v>lieu</v>
      </c>
      <c r="I755" s="4" t="str">
        <f>IFERROR(__xludf.DUMMYFUNCTION("if(D755=""variant"",  substitute(filter(Templates!E:E, Templates!A:A = F755, Templates!B:B = G755, Templates!C:C = H755), ""{{}}"", E755), B755)"),"🏘  Vous cherchez une maison à louer à Aarau? ✅ Découvrez nos nombreuses annonces sur ImmoScout24.ch.")</f>
        <v>🏘  Vous cherchez une maison à louer à Aarau? ✅ Découvrez nos nombreuses annonces sur ImmoScout24.ch.</v>
      </c>
      <c r="J755" s="4" t="s">
        <v>2272</v>
      </c>
    </row>
    <row r="756">
      <c r="A756" s="5" t="s">
        <v>2273</v>
      </c>
      <c r="B756" s="2" t="s">
        <v>2274</v>
      </c>
      <c r="C756" s="4" t="str">
        <f>IFERROR(__xludf.DUMMYFUNCTION("""🏘️ ""&amp;REGEXEXTRACT(B756, ""^(.*): "")&amp;"" ✅ "" &amp;REGEXEXTRACT(B756, ""(Trouvez.*)"")"),"🏘️ Louer appartement Gryon ✅ Trouvez le bien immobilier qui correspond idéalement à vos désirs sur ImmoScout24 - La plateforme de l'immobilier en Suisse.")</f>
        <v>🏘️ Louer appartement Gryon ✅ Trouvez le bien immobilier qui correspond idéalement à vos désirs sur ImmoScout24 - La plateforme de l'immobilier en Suisse.</v>
      </c>
      <c r="D756" s="4" t="str">
        <f>vlookup(A756, Sheet2!D:E, 2, 0)</f>
        <v>variant</v>
      </c>
      <c r="E756" s="4" t="str">
        <f>IFERROR(__xludf.DUMMYFUNCTION("if(H756=""pays"",vlookup(REGEXEXTRACT(C756, ""🏘️ \w+ \w+ (.*) ✅""),'Country prepositions'!A:B, 2, 0) &amp; "" "" &amp; REGEXEXTRACT(C756, ""🏘️ \w+ \w+ (.*) ✅"") ,  if(H756=""quartier"",vlookup(REGEXEXTRACT(C756, ""🏘️ \w+ \w+ (.*) ✅""),'Quartier prepositions'!A"&amp;":E, 5, 0) ,  if(H756=""region"",vlookup(REGEXEXTRACT(C756, ""🏘️ \w+ \w+ (.*) ✅""),'Region prepositions'!B:F, 5, 0),  REGEXEXTRACT(C756, ""🏘️ \w+ \w+ (.*) ✅""))))"),"Gryon")</f>
        <v>Gryon</v>
      </c>
      <c r="F756" s="2" t="str">
        <f>IFERROR(__xludf.DUMMYFUNCTION("REGEXEXTRACT(C756, ""🏘️ (\w+) \w+ .* ✅"")"),"Louer")</f>
        <v>Louer</v>
      </c>
      <c r="G756" s="2" t="str">
        <f>IFERROR(__xludf.DUMMYFUNCTION("REGEXEXTRACT(C756, ""🏘️ \w+ (\w+) .* ✅"")"),"appartement")</f>
        <v>appartement</v>
      </c>
      <c r="H756" s="4" t="str">
        <f>IFERROR(__xludf.DUMMYFUNCTION("REGEXEXTRACT(A756, ""/(\w+)-.*?"")"),"lieu")</f>
        <v>lieu</v>
      </c>
      <c r="I756" s="4" t="str">
        <f>IFERROR(__xludf.DUMMYFUNCTION("if(D756=""variant"",  substitute(filter(Templates!E:E, Templates!A:A = F756, Templates!B:B = G756, Templates!C:C = H756), ""{{}}"", E756), B756)"),"🏘  Vous cherchez un appartement à louer à Gryon? ✅ Les annonces les plus actuelles sont sur ImmoScout24.ch.")</f>
        <v>🏘  Vous cherchez un appartement à louer à Gryon? ✅ Les annonces les plus actuelles sont sur ImmoScout24.ch.</v>
      </c>
      <c r="J756" s="4" t="s">
        <v>2275</v>
      </c>
    </row>
    <row r="757">
      <c r="A757" s="5" t="s">
        <v>2276</v>
      </c>
      <c r="B757" s="2" t="s">
        <v>2277</v>
      </c>
      <c r="C757" s="4" t="str">
        <f>IFERROR(__xludf.DUMMYFUNCTION("""🏘️ ""&amp;REGEXEXTRACT(B757, ""^(.*): "")&amp;"" ✅ "" &amp;REGEXEXTRACT(B757, ""(Trouvez.*)"")"),"🏘️ Vendre appartement Pâquis - Navigation (Genève) ✅ Trouvez le bien immobilier qui correspond idéalement à vos désirs sur ImmoScout24 - La plateforme de l'immobilier en Suisse.")</f>
        <v>🏘️ Vendre appartement Pâquis - Navigation (Genève) ✅ Trouvez le bien immobilier qui correspond idéalement à vos désirs sur ImmoScout24 - La plateforme de l'immobilier en Suisse.</v>
      </c>
      <c r="D757" s="4" t="str">
        <f>vlookup(A757, Sheet2!D:E, 2, 0)</f>
        <v>variant</v>
      </c>
      <c r="E757" s="4" t="str">
        <f>IFERROR(__xludf.DUMMYFUNCTION("if(H757=""pays"",vlookup(REGEXEXTRACT(C757, ""🏘️ \w+ \w+ (.*) ✅""),'Country prepositions'!A:B, 2, 0) &amp; "" "" &amp; REGEXEXTRACT(C757, ""🏘️ \w+ \w+ (.*) ✅"") ,  if(H757=""quartier"",vlookup(REGEXEXTRACT(C757, ""🏘️ \w+ \w+ (.*) ✅""),'Quartier prepositions'!A"&amp;":E, 5, 0) ,  if(H757=""region"",vlookup(REGEXEXTRACT(C757, ""🏘️ \w+ \w+ (.*) ✅""),'Region prepositions'!B:F, 5, 0),  REGEXEXTRACT(C757, ""🏘️ \w+ \w+ (.*) ✅""))))"),"dans le quartier des Pâquis - Navigation (Genève)")</f>
        <v>dans le quartier des Pâquis - Navigation (Genève)</v>
      </c>
      <c r="F757" s="2" t="str">
        <f>IFERROR(__xludf.DUMMYFUNCTION("REGEXEXTRACT(C757, ""🏘️ (\w+) \w+ .* ✅"")"),"Vendre")</f>
        <v>Vendre</v>
      </c>
      <c r="G757" s="2" t="str">
        <f>IFERROR(__xludf.DUMMYFUNCTION("REGEXEXTRACT(C757, ""🏘️ \w+ (\w+) .* ✅"")"),"appartement")</f>
        <v>appartement</v>
      </c>
      <c r="H757" s="4" t="str">
        <f>IFERROR(__xludf.DUMMYFUNCTION("REGEXEXTRACT(A757, ""/(\w+)-.*?"")"),"quartier")</f>
        <v>quartier</v>
      </c>
      <c r="I757" s="4" t="str">
        <f>IFERROR(__xludf.DUMMYFUNCTION("if(D757=""variant"",  substitute(filter(Templates!E:E, Templates!A:A = F757, Templates!B:B = G757, Templates!C:C = H757), ""{{}}"", E757), B757)"),"🏘  L’appartement de vos rêves se trouve sur ImmoScout24.ch ✅ Découvrez les dernières annonces de vente dans le quartier des Pâquis - Navigation (Genève).")</f>
        <v>🏘  L’appartement de vos rêves se trouve sur ImmoScout24.ch ✅ Découvrez les dernières annonces de vente dans le quartier des Pâquis - Navigation (Genève).</v>
      </c>
      <c r="J757" s="4" t="s">
        <v>2278</v>
      </c>
    </row>
    <row r="758">
      <c r="A758" s="5" t="s">
        <v>2279</v>
      </c>
      <c r="B758" s="2" t="s">
        <v>2280</v>
      </c>
      <c r="C758" s="4" t="str">
        <f>IFERROR(__xludf.DUMMYFUNCTION("""🏘️ ""&amp;REGEXEXTRACT(B758, ""^(.*): "")&amp;"" ✅ "" &amp;REGEXEXTRACT(B758, ""(Trouvez.*)"")"),"🏘️ Louer appartement Bever ✅ Trouvez le bien immobilier qui correspond idéalement à vos désirs sur ImmoScout24 - La plateforme de l'immobilier en Suisse.")</f>
        <v>🏘️ Louer appartement Bever ✅ Trouvez le bien immobilier qui correspond idéalement à vos désirs sur ImmoScout24 - La plateforme de l'immobilier en Suisse.</v>
      </c>
      <c r="D758" s="4" t="str">
        <f>vlookup(A758, Sheet2!D:E, 2, 0)</f>
        <v>variant</v>
      </c>
      <c r="E758" s="4" t="str">
        <f>IFERROR(__xludf.DUMMYFUNCTION("if(H758=""pays"",vlookup(REGEXEXTRACT(C758, ""🏘️ \w+ \w+ (.*) ✅""),'Country prepositions'!A:B, 2, 0) &amp; "" "" &amp; REGEXEXTRACT(C758, ""🏘️ \w+ \w+ (.*) ✅"") ,  if(H758=""quartier"",vlookup(REGEXEXTRACT(C758, ""🏘️ \w+ \w+ (.*) ✅""),'Quartier prepositions'!A"&amp;":E, 5, 0) ,  if(H758=""region"",vlookup(REGEXEXTRACT(C758, ""🏘️ \w+ \w+ (.*) ✅""),'Region prepositions'!B:F, 5, 0),  REGEXEXTRACT(C758, ""🏘️ \w+ \w+ (.*) ✅""))))"),"Bever")</f>
        <v>Bever</v>
      </c>
      <c r="F758" s="2" t="str">
        <f>IFERROR(__xludf.DUMMYFUNCTION("REGEXEXTRACT(C758, ""🏘️ (\w+) \w+ .* ✅"")"),"Louer")</f>
        <v>Louer</v>
      </c>
      <c r="G758" s="2" t="str">
        <f>IFERROR(__xludf.DUMMYFUNCTION("REGEXEXTRACT(C758, ""🏘️ \w+ (\w+) .* ✅"")"),"appartement")</f>
        <v>appartement</v>
      </c>
      <c r="H758" s="4" t="str">
        <f>IFERROR(__xludf.DUMMYFUNCTION("REGEXEXTRACT(A758, ""/(\w+)-.*?"")"),"lieu")</f>
        <v>lieu</v>
      </c>
      <c r="I758" s="4" t="str">
        <f>IFERROR(__xludf.DUMMYFUNCTION("if(D758=""variant"",  substitute(filter(Templates!E:E, Templates!A:A = F758, Templates!B:B = G758, Templates!C:C = H758), ""{{}}"", E758), B758)"),"🏘  Vous cherchez un appartement à louer à Bever? ✅ Les annonces les plus actuelles sont sur ImmoScout24.ch.")</f>
        <v>🏘  Vous cherchez un appartement à louer à Bever? ✅ Les annonces les plus actuelles sont sur ImmoScout24.ch.</v>
      </c>
      <c r="J758" s="4" t="s">
        <v>2281</v>
      </c>
    </row>
    <row r="759">
      <c r="A759" s="5" t="s">
        <v>2282</v>
      </c>
      <c r="B759" s="2" t="s">
        <v>2283</v>
      </c>
      <c r="C759" s="4" t="str">
        <f>IFERROR(__xludf.DUMMYFUNCTION("""🏘️ ""&amp;REGEXEXTRACT(B759, ""^(.*): "")&amp;"" ✅ "" &amp;REGEXEXTRACT(B759, ""(Trouvez.*)"")"),"🏘️ Vendre appartement Promasens ✅ Trouvez le bien immobilier qui correspond idéalement à vos désirs sur ImmoScout24 - La plateforme de l'immobilier en Suisse.")</f>
        <v>🏘️ Vendre appartement Promasens ✅ Trouvez le bien immobilier qui correspond idéalement à vos désirs sur ImmoScout24 - La plateforme de l'immobilier en Suisse.</v>
      </c>
      <c r="D759" s="4" t="str">
        <f>vlookup(A759, Sheet2!D:E, 2, 0)</f>
        <v>variant</v>
      </c>
      <c r="E759" s="4" t="str">
        <f>IFERROR(__xludf.DUMMYFUNCTION("if(H759=""pays"",vlookup(REGEXEXTRACT(C759, ""🏘️ \w+ \w+ (.*) ✅""),'Country prepositions'!A:B, 2, 0) &amp; "" "" &amp; REGEXEXTRACT(C759, ""🏘️ \w+ \w+ (.*) ✅"") ,  if(H759=""quartier"",vlookup(REGEXEXTRACT(C759, ""🏘️ \w+ \w+ (.*) ✅""),'Quartier prepositions'!A"&amp;":E, 5, 0) ,  if(H759=""region"",vlookup(REGEXEXTRACT(C759, ""🏘️ \w+ \w+ (.*) ✅""),'Region prepositions'!B:F, 5, 0),  REGEXEXTRACT(C759, ""🏘️ \w+ \w+ (.*) ✅""))))"),"Promasens")</f>
        <v>Promasens</v>
      </c>
      <c r="F759" s="2" t="str">
        <f>IFERROR(__xludf.DUMMYFUNCTION("REGEXEXTRACT(C759, ""🏘️ (\w+) \w+ .* ✅"")"),"Vendre")</f>
        <v>Vendre</v>
      </c>
      <c r="G759" s="2" t="str">
        <f>IFERROR(__xludf.DUMMYFUNCTION("REGEXEXTRACT(C759, ""🏘️ \w+ (\w+) .* ✅"")"),"appartement")</f>
        <v>appartement</v>
      </c>
      <c r="H759" s="4" t="str">
        <f>IFERROR(__xludf.DUMMYFUNCTION("REGEXEXTRACT(A759, ""/(\w+)-.*?"")"),"lieu")</f>
        <v>lieu</v>
      </c>
      <c r="I759" s="4" t="str">
        <f>IFERROR(__xludf.DUMMYFUNCTION("if(D759=""variant"",  substitute(filter(Templates!E:E, Templates!A:A = F759, Templates!B:B = G759, Templates!C:C = H759), ""{{}}"", E759), B759)"),"🏘  L’appartement de vos rêves se trouve sur ImmoScout24.ch ✅ Découvrez les dernières annonces de vente à Promasens.")</f>
        <v>🏘  L’appartement de vos rêves se trouve sur ImmoScout24.ch ✅ Découvrez les dernières annonces de vente à Promasens.</v>
      </c>
      <c r="J759" s="4" t="s">
        <v>2284</v>
      </c>
    </row>
    <row r="760">
      <c r="A760" s="5" t="s">
        <v>2285</v>
      </c>
      <c r="B760" s="2" t="s">
        <v>2286</v>
      </c>
      <c r="C760" s="4" t="str">
        <f>IFERROR(__xludf.DUMMYFUNCTION("""🏘️ ""&amp;REGEXEXTRACT(B760, ""^(.*): "")&amp;"" ✅ "" &amp;REGEXEXTRACT(B760, ""(Trouvez.*)"")"),"🏘️ Vendre appartement Chandolin ✅ Trouvez le bien immobilier qui correspond idéalement à vos désirs sur ImmoScout24 - La plateforme de l'immobilier en Suisse.")</f>
        <v>🏘️ Vendre appartement Chandolin ✅ Trouvez le bien immobilier qui correspond idéalement à vos désirs sur ImmoScout24 - La plateforme de l'immobilier en Suisse.</v>
      </c>
      <c r="D760" s="4" t="str">
        <f>vlookup(A760, Sheet2!D:E, 2, 0)</f>
        <v>variant</v>
      </c>
      <c r="E760" s="4" t="str">
        <f>IFERROR(__xludf.DUMMYFUNCTION("if(H760=""pays"",vlookup(REGEXEXTRACT(C760, ""🏘️ \w+ \w+ (.*) ✅""),'Country prepositions'!A:B, 2, 0) &amp; "" "" &amp; REGEXEXTRACT(C760, ""🏘️ \w+ \w+ (.*) ✅"") ,  if(H760=""quartier"",vlookup(REGEXEXTRACT(C760, ""🏘️ \w+ \w+ (.*) ✅""),'Quartier prepositions'!A"&amp;":E, 5, 0) ,  if(H760=""region"",vlookup(REGEXEXTRACT(C760, ""🏘️ \w+ \w+ (.*) ✅""),'Region prepositions'!B:F, 5, 0),  REGEXEXTRACT(C760, ""🏘️ \w+ \w+ (.*) ✅""))))"),"Chandolin")</f>
        <v>Chandolin</v>
      </c>
      <c r="F760" s="2" t="str">
        <f>IFERROR(__xludf.DUMMYFUNCTION("REGEXEXTRACT(C760, ""🏘️ (\w+) \w+ .* ✅"")"),"Vendre")</f>
        <v>Vendre</v>
      </c>
      <c r="G760" s="2" t="str">
        <f>IFERROR(__xludf.DUMMYFUNCTION("REGEXEXTRACT(C760, ""🏘️ \w+ (\w+) .* ✅"")"),"appartement")</f>
        <v>appartement</v>
      </c>
      <c r="H760" s="4" t="str">
        <f>IFERROR(__xludf.DUMMYFUNCTION("REGEXEXTRACT(A760, ""/(\w+)-.*?"")"),"lieu")</f>
        <v>lieu</v>
      </c>
      <c r="I760" s="4" t="str">
        <f>IFERROR(__xludf.DUMMYFUNCTION("if(D760=""variant"",  substitute(filter(Templates!E:E, Templates!A:A = F760, Templates!B:B = G760, Templates!C:C = H760), ""{{}}"", E760), B760)"),"🏘  L’appartement de vos rêves se trouve sur ImmoScout24.ch ✅ Découvrez les dernières annonces de vente à Chandolin.")</f>
        <v>🏘  L’appartement de vos rêves se trouve sur ImmoScout24.ch ✅ Découvrez les dernières annonces de vente à Chandolin.</v>
      </c>
      <c r="J760" s="4" t="s">
        <v>2287</v>
      </c>
    </row>
    <row r="761">
      <c r="A761" s="3" t="s">
        <v>2288</v>
      </c>
      <c r="B761" s="2" t="s">
        <v>2289</v>
      </c>
      <c r="C761" s="4" t="str">
        <f>IFERROR(__xludf.DUMMYFUNCTION("""🏘️ ""&amp;REGEXEXTRACT(B761, ""^(.*): "")&amp;"" ✅ "" &amp;REGEXEXTRACT(B761, ""(Trouvez.*)"")"),"🏘️ Vendre appartement Canton de Bâle-Campagne ✅ Trouvez le bien immobilier qui correspond idéalement à vos désirs sur ImmoScout24 - La plateforme de l'immobilier en Suisse.")</f>
        <v>🏘️ Vendre appartement Canton de Bâle-Campagne ✅ Trouvez le bien immobilier qui correspond idéalement à vos désirs sur ImmoScout24 - La plateforme de l'immobilier en Suisse.</v>
      </c>
      <c r="D761" s="4" t="str">
        <f>vlookup(A761, Sheet2!D:E, 2, 0)</f>
        <v>variant</v>
      </c>
      <c r="E761" s="4" t="str">
        <f>IFERROR(__xludf.DUMMYFUNCTION("if(H761=""pays"",vlookup(REGEXEXTRACT(C761, ""🏘️ \w+ \w+ (.*) ✅""),'Country prepositions'!A:B, 2, 0) &amp; "" "" &amp; REGEXEXTRACT(C761, ""🏘️ \w+ \w+ (.*) ✅"") ,  if(H761=""quartier"",vlookup(REGEXEXTRACT(C761, ""🏘️ \w+ \w+ (.*) ✅""),'Quartier prepositions'!A"&amp;":E, 5, 0) ,  if(H761=""region"",vlookup(REGEXEXTRACT(C761, ""🏘️ \w+ \w+ (.*) ✅""),'Region prepositions'!B:F, 5, 0),  REGEXEXTRACT(C761, ""🏘️ \w+ \w+ (.*) ✅""))))"),"Canton de Bâle-Campagne")</f>
        <v>Canton de Bâle-Campagne</v>
      </c>
      <c r="F761" s="2" t="str">
        <f>IFERROR(__xludf.DUMMYFUNCTION("REGEXEXTRACT(C761, ""🏘️ (\w+) \w+ .* ✅"")"),"Vendre")</f>
        <v>Vendre</v>
      </c>
      <c r="G761" s="2" t="str">
        <f>IFERROR(__xludf.DUMMYFUNCTION("REGEXEXTRACT(C761, ""🏘️ \w+ (\w+) .* ✅"")"),"appartement")</f>
        <v>appartement</v>
      </c>
      <c r="H761" s="4" t="str">
        <f>IFERROR(__xludf.DUMMYFUNCTION("REGEXEXTRACT(A761, ""/(\w+)-.*?"")"),"canton")</f>
        <v>canton</v>
      </c>
      <c r="I761" s="4" t="str">
        <f>IFERROR(__xludf.DUMMYFUNCTION("if(D761=""variant"",  substitute(filter(Templates!E:E, Templates!A:A = F761, Templates!B:B = G761, Templates!C:C = H761), ""{{}}"", E761), B761)"),"#N/A")</f>
        <v>#N/A</v>
      </c>
      <c r="J761" s="4" t="s">
        <v>2290</v>
      </c>
    </row>
    <row r="762">
      <c r="A762" s="5" t="s">
        <v>2291</v>
      </c>
      <c r="B762" s="2" t="s">
        <v>2292</v>
      </c>
      <c r="C762" s="4" t="str">
        <f>IFERROR(__xludf.DUMMYFUNCTION("""🏘️ ""&amp;REGEXEXTRACT(B762, ""^(.*): "")&amp;"" ✅ "" &amp;REGEXEXTRACT(B762, ""(Trouvez.*)"")"),"🏘️ Louer appartement Strengelbach ✅ Trouvez le bien immobilier qui correspond idéalement à vos désirs sur ImmoScout24 - La plateforme de l'immobilier en Suisse.")</f>
        <v>🏘️ Louer appartement Strengelbach ✅ Trouvez le bien immobilier qui correspond idéalement à vos désirs sur ImmoScout24 - La plateforme de l'immobilier en Suisse.</v>
      </c>
      <c r="D762" s="4" t="str">
        <f>vlookup(A762, Sheet2!D:E, 2, 0)</f>
        <v>variant</v>
      </c>
      <c r="E762" s="4" t="str">
        <f>IFERROR(__xludf.DUMMYFUNCTION("if(H762=""pays"",vlookup(REGEXEXTRACT(C762, ""🏘️ \w+ \w+ (.*) ✅""),'Country prepositions'!A:B, 2, 0) &amp; "" "" &amp; REGEXEXTRACT(C762, ""🏘️ \w+ \w+ (.*) ✅"") ,  if(H762=""quartier"",vlookup(REGEXEXTRACT(C762, ""🏘️ \w+ \w+ (.*) ✅""),'Quartier prepositions'!A"&amp;":E, 5, 0) ,  if(H762=""region"",vlookup(REGEXEXTRACT(C762, ""🏘️ \w+ \w+ (.*) ✅""),'Region prepositions'!B:F, 5, 0),  REGEXEXTRACT(C762, ""🏘️ \w+ \w+ (.*) ✅""))))"),"Strengelbach")</f>
        <v>Strengelbach</v>
      </c>
      <c r="F762" s="2" t="str">
        <f>IFERROR(__xludf.DUMMYFUNCTION("REGEXEXTRACT(C762, ""🏘️ (\w+) \w+ .* ✅"")"),"Louer")</f>
        <v>Louer</v>
      </c>
      <c r="G762" s="2" t="str">
        <f>IFERROR(__xludf.DUMMYFUNCTION("REGEXEXTRACT(C762, ""🏘️ \w+ (\w+) .* ✅"")"),"appartement")</f>
        <v>appartement</v>
      </c>
      <c r="H762" s="4" t="str">
        <f>IFERROR(__xludf.DUMMYFUNCTION("REGEXEXTRACT(A762, ""/(\w+)-.*?"")"),"lieu")</f>
        <v>lieu</v>
      </c>
      <c r="I762" s="4" t="str">
        <f>IFERROR(__xludf.DUMMYFUNCTION("if(D762=""variant"",  substitute(filter(Templates!E:E, Templates!A:A = F762, Templates!B:B = G762, Templates!C:C = H762), ""{{}}"", E762), B762)"),"🏘  Vous cherchez un appartement à louer à Strengelbach? ✅ Les annonces les plus actuelles sont sur ImmoScout24.ch.")</f>
        <v>🏘  Vous cherchez un appartement à louer à Strengelbach? ✅ Les annonces les plus actuelles sont sur ImmoScout24.ch.</v>
      </c>
      <c r="J762" s="4" t="s">
        <v>2293</v>
      </c>
    </row>
    <row r="763">
      <c r="A763" s="5" t="s">
        <v>2294</v>
      </c>
      <c r="B763" s="2" t="s">
        <v>2295</v>
      </c>
      <c r="C763" s="4" t="str">
        <f>IFERROR(__xludf.DUMMYFUNCTION("""🏘️ ""&amp;REGEXEXTRACT(B763, ""^(.*): "")&amp;"" ✅ "" &amp;REGEXEXTRACT(B763, ""(Trouvez.*)"")"),"🏘️ Louer appartement Gunzgen ✅ Trouvez le bien immobilier qui correspond idéalement à vos désirs sur ImmoScout24 - La plateforme de l'immobilier en Suisse.")</f>
        <v>🏘️ Louer appartement Gunzgen ✅ Trouvez le bien immobilier qui correspond idéalement à vos désirs sur ImmoScout24 - La plateforme de l'immobilier en Suisse.</v>
      </c>
      <c r="D763" s="4" t="str">
        <f>vlookup(A763, Sheet2!D:E, 2, 0)</f>
        <v>variant</v>
      </c>
      <c r="E763" s="4" t="str">
        <f>IFERROR(__xludf.DUMMYFUNCTION("if(H763=""pays"",vlookup(REGEXEXTRACT(C763, ""🏘️ \w+ \w+ (.*) ✅""),'Country prepositions'!A:B, 2, 0) &amp; "" "" &amp; REGEXEXTRACT(C763, ""🏘️ \w+ \w+ (.*) ✅"") ,  if(H763=""quartier"",vlookup(REGEXEXTRACT(C763, ""🏘️ \w+ \w+ (.*) ✅""),'Quartier prepositions'!A"&amp;":E, 5, 0) ,  if(H763=""region"",vlookup(REGEXEXTRACT(C763, ""🏘️ \w+ \w+ (.*) ✅""),'Region prepositions'!B:F, 5, 0),  REGEXEXTRACT(C763, ""🏘️ \w+ \w+ (.*) ✅""))))"),"Gunzgen")</f>
        <v>Gunzgen</v>
      </c>
      <c r="F763" s="2" t="str">
        <f>IFERROR(__xludf.DUMMYFUNCTION("REGEXEXTRACT(C763, ""🏘️ (\w+) \w+ .* ✅"")"),"Louer")</f>
        <v>Louer</v>
      </c>
      <c r="G763" s="2" t="str">
        <f>IFERROR(__xludf.DUMMYFUNCTION("REGEXEXTRACT(C763, ""🏘️ \w+ (\w+) .* ✅"")"),"appartement")</f>
        <v>appartement</v>
      </c>
      <c r="H763" s="4" t="str">
        <f>IFERROR(__xludf.DUMMYFUNCTION("REGEXEXTRACT(A763, ""/(\w+)-.*?"")"),"lieu")</f>
        <v>lieu</v>
      </c>
      <c r="I763" s="4" t="str">
        <f>IFERROR(__xludf.DUMMYFUNCTION("if(D763=""variant"",  substitute(filter(Templates!E:E, Templates!A:A = F763, Templates!B:B = G763, Templates!C:C = H763), ""{{}}"", E763), B763)"),"🏘  Vous cherchez un appartement à louer à Gunzgen? ✅ Les annonces les plus actuelles sont sur ImmoScout24.ch.")</f>
        <v>🏘  Vous cherchez un appartement à louer à Gunzgen? ✅ Les annonces les plus actuelles sont sur ImmoScout24.ch.</v>
      </c>
      <c r="J763" s="4" t="s">
        <v>2296</v>
      </c>
    </row>
    <row r="764">
      <c r="A764" s="5" t="s">
        <v>2297</v>
      </c>
      <c r="B764" s="2" t="s">
        <v>2298</v>
      </c>
      <c r="C764" s="4" t="str">
        <f>IFERROR(__xludf.DUMMYFUNCTION("""🏘️ ""&amp;REGEXEXTRACT(B764, ""^(.*): "")&amp;"" ✅ "" &amp;REGEXEXTRACT(B764, ""(Trouvez.*)"")"),"🏘️ Louer maison Luzern ✅ Trouvez le bien immobilier qui correspond idéalement à vos désirs sur ImmoScout24 - La plateforme de l'immobilier en Suisse.")</f>
        <v>🏘️ Louer maison Luzern ✅ Trouvez le bien immobilier qui correspond idéalement à vos désirs sur ImmoScout24 - La plateforme de l'immobilier en Suisse.</v>
      </c>
      <c r="D764" s="4" t="str">
        <f>vlookup(A764, Sheet2!D:E, 2, 0)</f>
        <v>variant</v>
      </c>
      <c r="E764" s="4" t="str">
        <f>IFERROR(__xludf.DUMMYFUNCTION("if(H764=""pays"",vlookup(REGEXEXTRACT(C764, ""🏘️ \w+ \w+ (.*) ✅""),'Country prepositions'!A:B, 2, 0) &amp; "" "" &amp; REGEXEXTRACT(C764, ""🏘️ \w+ \w+ (.*) ✅"") ,  if(H764=""quartier"",vlookup(REGEXEXTRACT(C764, ""🏘️ \w+ \w+ (.*) ✅""),'Quartier prepositions'!A"&amp;":E, 5, 0) ,  if(H764=""region"",vlookup(REGEXEXTRACT(C764, ""🏘️ \w+ \w+ (.*) ✅""),'Region prepositions'!B:F, 5, 0),  REGEXEXTRACT(C764, ""🏘️ \w+ \w+ (.*) ✅""))))"),"Luzern")</f>
        <v>Luzern</v>
      </c>
      <c r="F764" s="2" t="str">
        <f>IFERROR(__xludf.DUMMYFUNCTION("REGEXEXTRACT(C764, ""🏘️ (\w+) \w+ .* ✅"")"),"Louer")</f>
        <v>Louer</v>
      </c>
      <c r="G764" s="2" t="str">
        <f>IFERROR(__xludf.DUMMYFUNCTION("REGEXEXTRACT(C764, ""🏘️ \w+ (\w+) .* ✅"")"),"maison")</f>
        <v>maison</v>
      </c>
      <c r="H764" s="4" t="str">
        <f>IFERROR(__xludf.DUMMYFUNCTION("REGEXEXTRACT(A764, ""/(\w+)-.*?"")"),"lieu")</f>
        <v>lieu</v>
      </c>
      <c r="I764" s="4" t="str">
        <f>IFERROR(__xludf.DUMMYFUNCTION("if(D764=""variant"",  substitute(filter(Templates!E:E, Templates!A:A = F764, Templates!B:B = G764, Templates!C:C = H764), ""{{}}"", E764), B764)"),"🏘  Vous cherchez une maison à louer à Luzern? ✅ Découvrez nos nombreuses annonces sur ImmoScout24.ch.")</f>
        <v>🏘  Vous cherchez une maison à louer à Luzern? ✅ Découvrez nos nombreuses annonces sur ImmoScout24.ch.</v>
      </c>
      <c r="J764" s="4" t="s">
        <v>2299</v>
      </c>
    </row>
    <row r="765">
      <c r="A765" s="5" t="s">
        <v>2300</v>
      </c>
      <c r="B765" s="2" t="s">
        <v>2301</v>
      </c>
      <c r="C765" s="4" t="str">
        <f>IFERROR(__xludf.DUMMYFUNCTION("""🏘️ ""&amp;REGEXEXTRACT(B765, ""^(.*): "")&amp;"" ✅ "" &amp;REGEXEXTRACT(B765, ""(Trouvez.*)"")"),"🏘️ Vendre maison Brunnen ✅ Trouvez le bien immobilier qui correspond idéalement à vos désirs sur ImmoScout24 - La plateforme de l'immobilier en Suisse.")</f>
        <v>🏘️ Vendre maison Brunnen ✅ Trouvez le bien immobilier qui correspond idéalement à vos désirs sur ImmoScout24 - La plateforme de l'immobilier en Suisse.</v>
      </c>
      <c r="D765" s="4" t="str">
        <f>vlookup(A765, Sheet2!D:E, 2, 0)</f>
        <v>variant</v>
      </c>
      <c r="E765" s="4" t="str">
        <f>IFERROR(__xludf.DUMMYFUNCTION("if(H765=""pays"",vlookup(REGEXEXTRACT(C765, ""🏘️ \w+ \w+ (.*) ✅""),'Country prepositions'!A:B, 2, 0) &amp; "" "" &amp; REGEXEXTRACT(C765, ""🏘️ \w+ \w+ (.*) ✅"") ,  if(H765=""quartier"",vlookup(REGEXEXTRACT(C765, ""🏘️ \w+ \w+ (.*) ✅""),'Quartier prepositions'!A"&amp;":E, 5, 0) ,  if(H765=""region"",vlookup(REGEXEXTRACT(C765, ""🏘️ \w+ \w+ (.*) ✅""),'Region prepositions'!B:F, 5, 0),  REGEXEXTRACT(C765, ""🏘️ \w+ \w+ (.*) ✅""))))"),"Brunnen")</f>
        <v>Brunnen</v>
      </c>
      <c r="F765" s="2" t="str">
        <f>IFERROR(__xludf.DUMMYFUNCTION("REGEXEXTRACT(C765, ""🏘️ (\w+) \w+ .* ✅"")"),"Vendre")</f>
        <v>Vendre</v>
      </c>
      <c r="G765" s="2" t="str">
        <f>IFERROR(__xludf.DUMMYFUNCTION("REGEXEXTRACT(C765, ""🏘️ \w+ (\w+) .* ✅"")"),"maison")</f>
        <v>maison</v>
      </c>
      <c r="H765" s="4" t="str">
        <f>IFERROR(__xludf.DUMMYFUNCTION("REGEXEXTRACT(A765, ""/(\w+)-.*?"")"),"lieu")</f>
        <v>lieu</v>
      </c>
      <c r="I765" s="4" t="str">
        <f>IFERROR(__xludf.DUMMYFUNCTION("if(D765=""variant"",  substitute(filter(Templates!E:E, Templates!A:A = F765, Templates!B:B = G765, Templates!C:C = H765), ""{{}}"", E765), B765)"),"🏘  Vous souhaitez acheter une maison à Brunnen? ✅ Jetez un œil aux dernières offres sur ImmoScout24.ch.")</f>
        <v>🏘  Vous souhaitez acheter une maison à Brunnen? ✅ Jetez un œil aux dernières offres sur ImmoScout24.ch.</v>
      </c>
      <c r="J765" s="4" t="s">
        <v>2302</v>
      </c>
    </row>
    <row r="766">
      <c r="A766" s="5" t="s">
        <v>2303</v>
      </c>
      <c r="B766" s="2" t="s">
        <v>2304</v>
      </c>
      <c r="C766" s="4" t="str">
        <f>IFERROR(__xludf.DUMMYFUNCTION("""🏘️ ""&amp;REGEXEXTRACT(B766, ""^(.*): "")&amp;"" ✅ "" &amp;REGEXEXTRACT(B766, ""(Trouvez.*)"")"),"🏘️ Vendre appartement Glovelier ✅ Trouvez le bien immobilier qui correspond idéalement à vos désirs sur ImmoScout24 - La plateforme de l'immobilier en Suisse.")</f>
        <v>🏘️ Vendre appartement Glovelier ✅ Trouvez le bien immobilier qui correspond idéalement à vos désirs sur ImmoScout24 - La plateforme de l'immobilier en Suisse.</v>
      </c>
      <c r="D766" s="4" t="str">
        <f>vlookup(A766, Sheet2!D:E, 2, 0)</f>
        <v>variant</v>
      </c>
      <c r="E766" s="4" t="str">
        <f>IFERROR(__xludf.DUMMYFUNCTION("if(H766=""pays"",vlookup(REGEXEXTRACT(C766, ""🏘️ \w+ \w+ (.*) ✅""),'Country prepositions'!A:B, 2, 0) &amp; "" "" &amp; REGEXEXTRACT(C766, ""🏘️ \w+ \w+ (.*) ✅"") ,  if(H766=""quartier"",vlookup(REGEXEXTRACT(C766, ""🏘️ \w+ \w+ (.*) ✅""),'Quartier prepositions'!A"&amp;":E, 5, 0) ,  if(H766=""region"",vlookup(REGEXEXTRACT(C766, ""🏘️ \w+ \w+ (.*) ✅""),'Region prepositions'!B:F, 5, 0),  REGEXEXTRACT(C766, ""🏘️ \w+ \w+ (.*) ✅""))))"),"Glovelier")</f>
        <v>Glovelier</v>
      </c>
      <c r="F766" s="2" t="str">
        <f>IFERROR(__xludf.DUMMYFUNCTION("REGEXEXTRACT(C766, ""🏘️ (\w+) \w+ .* ✅"")"),"Vendre")</f>
        <v>Vendre</v>
      </c>
      <c r="G766" s="2" t="str">
        <f>IFERROR(__xludf.DUMMYFUNCTION("REGEXEXTRACT(C766, ""🏘️ \w+ (\w+) .* ✅"")"),"appartement")</f>
        <v>appartement</v>
      </c>
      <c r="H766" s="4" t="str">
        <f>IFERROR(__xludf.DUMMYFUNCTION("REGEXEXTRACT(A766, ""/(\w+)-.*?"")"),"lieu")</f>
        <v>lieu</v>
      </c>
      <c r="I766" s="4" t="str">
        <f>IFERROR(__xludf.DUMMYFUNCTION("if(D766=""variant"",  substitute(filter(Templates!E:E, Templates!A:A = F766, Templates!B:B = G766, Templates!C:C = H766), ""{{}}"", E766), B766)"),"🏘  L’appartement de vos rêves se trouve sur ImmoScout24.ch ✅ Découvrez les dernières annonces de vente à Glovelier.")</f>
        <v>🏘  L’appartement de vos rêves se trouve sur ImmoScout24.ch ✅ Découvrez les dernières annonces de vente à Glovelier.</v>
      </c>
      <c r="J766" s="4" t="s">
        <v>2305</v>
      </c>
    </row>
    <row r="767">
      <c r="A767" s="5" t="s">
        <v>2306</v>
      </c>
      <c r="B767" s="2" t="s">
        <v>2307</v>
      </c>
      <c r="C767" s="4" t="str">
        <f>IFERROR(__xludf.DUMMYFUNCTION("""🏘️ ""&amp;REGEXEXTRACT(B767, ""^(.*): "")&amp;"" ✅ "" &amp;REGEXEXTRACT(B767, ""(Trouvez.*)"")"),"🏘️ Vendre maison Le Sépey ✅ Trouvez le bien immobilier qui correspond idéalement à vos désirs sur ImmoScout24 - La plateforme de l'immobilier en Suisse.")</f>
        <v>🏘️ Vendre maison Le Sépey ✅ Trouvez le bien immobilier qui correspond idéalement à vos désirs sur ImmoScout24 - La plateforme de l'immobilier en Suisse.</v>
      </c>
      <c r="D767" s="4" t="str">
        <f>vlookup(A767, Sheet2!D:E, 2, 0)</f>
        <v>variant</v>
      </c>
      <c r="E767" s="4" t="str">
        <f>IFERROR(__xludf.DUMMYFUNCTION("if(H767=""pays"",vlookup(REGEXEXTRACT(C767, ""🏘️ \w+ \w+ (.*) ✅""),'Country prepositions'!A:B, 2, 0) &amp; "" "" &amp; REGEXEXTRACT(C767, ""🏘️ \w+ \w+ (.*) ✅"") ,  if(H767=""quartier"",vlookup(REGEXEXTRACT(C767, ""🏘️ \w+ \w+ (.*) ✅""),'Quartier prepositions'!A"&amp;":E, 5, 0) ,  if(H767=""region"",vlookup(REGEXEXTRACT(C767, ""🏘️ \w+ \w+ (.*) ✅""),'Region prepositions'!B:F, 5, 0),  REGEXEXTRACT(C767, ""🏘️ \w+ \w+ (.*) ✅""))))"),"Le Sépey")</f>
        <v>Le Sépey</v>
      </c>
      <c r="F767" s="2" t="str">
        <f>IFERROR(__xludf.DUMMYFUNCTION("REGEXEXTRACT(C767, ""🏘️ (\w+) \w+ .* ✅"")"),"Vendre")</f>
        <v>Vendre</v>
      </c>
      <c r="G767" s="2" t="str">
        <f>IFERROR(__xludf.DUMMYFUNCTION("REGEXEXTRACT(C767, ""🏘️ \w+ (\w+) .* ✅"")"),"maison")</f>
        <v>maison</v>
      </c>
      <c r="H767" s="4" t="str">
        <f>IFERROR(__xludf.DUMMYFUNCTION("REGEXEXTRACT(A767, ""/(\w+)-.*?"")"),"lieu")</f>
        <v>lieu</v>
      </c>
      <c r="I767" s="8" t="str">
        <f>IFERROR(__xludf.DUMMYFUNCTION("if(D767=""variant"",  substitute(filter(Templates!E:E, Templates!A:A = F767, Templates!B:B = G767, Templates!C:C = H767), ""{{}}"", E767), B767)"),"🏘  Vous souhaitez acheter une maison à Le Sépey? ✅ Jetez un œil aux dernières offres sur ImmoScout24.ch.")</f>
        <v>🏘  Vous souhaitez acheter une maison à Le Sépey? ✅ Jetez un œil aux dernières offres sur ImmoScout24.ch.</v>
      </c>
      <c r="J767" s="2" t="s">
        <v>2308</v>
      </c>
    </row>
    <row r="768">
      <c r="A768" s="5" t="s">
        <v>2309</v>
      </c>
      <c r="B768" s="2" t="s">
        <v>2310</v>
      </c>
      <c r="C768" s="4" t="str">
        <f>IFERROR(__xludf.DUMMYFUNCTION("""🏘️ ""&amp;REGEXEXTRACT(B768, ""^(.*): "")&amp;"" ✅ "" &amp;REGEXEXTRACT(B768, ""(Trouvez.*)"")"),"🏘️ Louer appartement Ermatingen ✅ Trouvez le bien immobilier qui correspond idéalement à vos désirs sur ImmoScout24 - La plateforme de l'immobilier en Suisse.")</f>
        <v>🏘️ Louer appartement Ermatingen ✅ Trouvez le bien immobilier qui correspond idéalement à vos désirs sur ImmoScout24 - La plateforme de l'immobilier en Suisse.</v>
      </c>
      <c r="D768" s="4" t="str">
        <f>vlookup(A768, Sheet2!D:E, 2, 0)</f>
        <v>variant</v>
      </c>
      <c r="E768" s="4" t="str">
        <f>IFERROR(__xludf.DUMMYFUNCTION("if(H768=""pays"",vlookup(REGEXEXTRACT(C768, ""🏘️ \w+ \w+ (.*) ✅""),'Country prepositions'!A:B, 2, 0) &amp; "" "" &amp; REGEXEXTRACT(C768, ""🏘️ \w+ \w+ (.*) ✅"") ,  if(H768=""quartier"",vlookup(REGEXEXTRACT(C768, ""🏘️ \w+ \w+ (.*) ✅""),'Quartier prepositions'!A"&amp;":E, 5, 0) ,  if(H768=""region"",vlookup(REGEXEXTRACT(C768, ""🏘️ \w+ \w+ (.*) ✅""),'Region prepositions'!B:F, 5, 0),  REGEXEXTRACT(C768, ""🏘️ \w+ \w+ (.*) ✅""))))"),"Ermatingen")</f>
        <v>Ermatingen</v>
      </c>
      <c r="F768" s="2" t="str">
        <f>IFERROR(__xludf.DUMMYFUNCTION("REGEXEXTRACT(C768, ""🏘️ (\w+) \w+ .* ✅"")"),"Louer")</f>
        <v>Louer</v>
      </c>
      <c r="G768" s="2" t="str">
        <f>IFERROR(__xludf.DUMMYFUNCTION("REGEXEXTRACT(C768, ""🏘️ \w+ (\w+) .* ✅"")"),"appartement")</f>
        <v>appartement</v>
      </c>
      <c r="H768" s="4" t="str">
        <f>IFERROR(__xludf.DUMMYFUNCTION("REGEXEXTRACT(A768, ""/(\w+)-.*?"")"),"lieu")</f>
        <v>lieu</v>
      </c>
      <c r="I768" s="4" t="str">
        <f>IFERROR(__xludf.DUMMYFUNCTION("if(D768=""variant"",  substitute(filter(Templates!E:E, Templates!A:A = F768, Templates!B:B = G768, Templates!C:C = H768), ""{{}}"", E768), B768)"),"🏘  Vous cherchez un appartement à louer à Ermatingen? ✅ Les annonces les plus actuelles sont sur ImmoScout24.ch.")</f>
        <v>🏘  Vous cherchez un appartement à louer à Ermatingen? ✅ Les annonces les plus actuelles sont sur ImmoScout24.ch.</v>
      </c>
      <c r="J768" s="4" t="s">
        <v>2311</v>
      </c>
    </row>
    <row r="769">
      <c r="A769" s="5" t="s">
        <v>2312</v>
      </c>
      <c r="B769" s="2" t="s">
        <v>2313</v>
      </c>
      <c r="C769" s="4" t="str">
        <f>IFERROR(__xludf.DUMMYFUNCTION("""🏘️ ""&amp;REGEXEXTRACT(B769, ""^(.*): "")&amp;"" ✅ "" &amp;REGEXEXTRACT(B769, ""(Trouvez.*)"")"),"🏘️ Louer appartement Montévraz ✅ Trouvez le bien immobilier qui correspond idéalement à vos désirs sur ImmoScout24 - La plateforme de l'immobilier en Suisse.")</f>
        <v>🏘️ Louer appartement Montévraz ✅ Trouvez le bien immobilier qui correspond idéalement à vos désirs sur ImmoScout24 - La plateforme de l'immobilier en Suisse.</v>
      </c>
      <c r="D769" s="4" t="str">
        <f>vlookup(A769, Sheet2!D:E, 2, 0)</f>
        <v>variant</v>
      </c>
      <c r="E769" s="4" t="str">
        <f>IFERROR(__xludf.DUMMYFUNCTION("if(H769=""pays"",vlookup(REGEXEXTRACT(C769, ""🏘️ \w+ \w+ (.*) ✅""),'Country prepositions'!A:B, 2, 0) &amp; "" "" &amp; REGEXEXTRACT(C769, ""🏘️ \w+ \w+ (.*) ✅"") ,  if(H769=""quartier"",vlookup(REGEXEXTRACT(C769, ""🏘️ \w+ \w+ (.*) ✅""),'Quartier prepositions'!A"&amp;":E, 5, 0) ,  if(H769=""region"",vlookup(REGEXEXTRACT(C769, ""🏘️ \w+ \w+ (.*) ✅""),'Region prepositions'!B:F, 5, 0),  REGEXEXTRACT(C769, ""🏘️ \w+ \w+ (.*) ✅""))))"),"Montévraz")</f>
        <v>Montévraz</v>
      </c>
      <c r="F769" s="2" t="str">
        <f>IFERROR(__xludf.DUMMYFUNCTION("REGEXEXTRACT(C769, ""🏘️ (\w+) \w+ .* ✅"")"),"Louer")</f>
        <v>Louer</v>
      </c>
      <c r="G769" s="2" t="str">
        <f>IFERROR(__xludf.DUMMYFUNCTION("REGEXEXTRACT(C769, ""🏘️ \w+ (\w+) .* ✅"")"),"appartement")</f>
        <v>appartement</v>
      </c>
      <c r="H769" s="4" t="str">
        <f>IFERROR(__xludf.DUMMYFUNCTION("REGEXEXTRACT(A769, ""/(\w+)-.*?"")"),"lieu")</f>
        <v>lieu</v>
      </c>
      <c r="I769" s="4" t="str">
        <f>IFERROR(__xludf.DUMMYFUNCTION("if(D769=""variant"",  substitute(filter(Templates!E:E, Templates!A:A = F769, Templates!B:B = G769, Templates!C:C = H769), ""{{}}"", E769), B769)"),"🏘  Vous cherchez un appartement à louer à Montévraz? ✅ Les annonces les plus actuelles sont sur ImmoScout24.ch.")</f>
        <v>🏘  Vous cherchez un appartement à louer à Montévraz? ✅ Les annonces les plus actuelles sont sur ImmoScout24.ch.</v>
      </c>
      <c r="J769" s="4" t="s">
        <v>2314</v>
      </c>
    </row>
    <row r="770">
      <c r="A770" s="5" t="s">
        <v>2315</v>
      </c>
      <c r="B770" s="2" t="s">
        <v>2316</v>
      </c>
      <c r="C770" s="4" t="str">
        <f>IFERROR(__xludf.DUMMYFUNCTION("""🏘️ ""&amp;REGEXEXTRACT(B770, ""^(.*): "")&amp;"" ✅ "" &amp;REGEXEXTRACT(B770, ""(Trouvez.*)"")"),"🏘️ Louer appartement Matzendorf ✅ Trouvez le bien immobilier qui correspond idéalement à vos désirs sur ImmoScout24 - La plateforme de l'immobilier en Suisse.")</f>
        <v>🏘️ Louer appartement Matzendorf ✅ Trouvez le bien immobilier qui correspond idéalement à vos désirs sur ImmoScout24 - La plateforme de l'immobilier en Suisse.</v>
      </c>
      <c r="D770" s="4" t="str">
        <f>vlookup(A770, Sheet2!D:E, 2, 0)</f>
        <v>variant</v>
      </c>
      <c r="E770" s="4" t="str">
        <f>IFERROR(__xludf.DUMMYFUNCTION("if(H770=""pays"",vlookup(REGEXEXTRACT(C770, ""🏘️ \w+ \w+ (.*) ✅""),'Country prepositions'!A:B, 2, 0) &amp; "" "" &amp; REGEXEXTRACT(C770, ""🏘️ \w+ \w+ (.*) ✅"") ,  if(H770=""quartier"",vlookup(REGEXEXTRACT(C770, ""🏘️ \w+ \w+ (.*) ✅""),'Quartier prepositions'!A"&amp;":E, 5, 0) ,  if(H770=""region"",vlookup(REGEXEXTRACT(C770, ""🏘️ \w+ \w+ (.*) ✅""),'Region prepositions'!B:F, 5, 0),  REGEXEXTRACT(C770, ""🏘️ \w+ \w+ (.*) ✅""))))"),"Matzendorf")</f>
        <v>Matzendorf</v>
      </c>
      <c r="F770" s="2" t="str">
        <f>IFERROR(__xludf.DUMMYFUNCTION("REGEXEXTRACT(C770, ""🏘️ (\w+) \w+ .* ✅"")"),"Louer")</f>
        <v>Louer</v>
      </c>
      <c r="G770" s="2" t="str">
        <f>IFERROR(__xludf.DUMMYFUNCTION("REGEXEXTRACT(C770, ""🏘️ \w+ (\w+) .* ✅"")"),"appartement")</f>
        <v>appartement</v>
      </c>
      <c r="H770" s="4" t="str">
        <f>IFERROR(__xludf.DUMMYFUNCTION("REGEXEXTRACT(A770, ""/(\w+)-.*?"")"),"lieu")</f>
        <v>lieu</v>
      </c>
      <c r="I770" s="4" t="str">
        <f>IFERROR(__xludf.DUMMYFUNCTION("if(D770=""variant"",  substitute(filter(Templates!E:E, Templates!A:A = F770, Templates!B:B = G770, Templates!C:C = H770), ""{{}}"", E770), B770)"),"🏘  Vous cherchez un appartement à louer à Matzendorf? ✅ Les annonces les plus actuelles sont sur ImmoScout24.ch.")</f>
        <v>🏘  Vous cherchez un appartement à louer à Matzendorf? ✅ Les annonces les plus actuelles sont sur ImmoScout24.ch.</v>
      </c>
      <c r="J770" s="4" t="s">
        <v>2317</v>
      </c>
    </row>
    <row r="771">
      <c r="A771" s="5" t="s">
        <v>2318</v>
      </c>
      <c r="B771" s="2" t="s">
        <v>2319</v>
      </c>
      <c r="C771" s="4" t="str">
        <f>IFERROR(__xludf.DUMMYFUNCTION("""🏘️ ""&amp;REGEXEXTRACT(B771, ""^(.*): "")&amp;"" ✅ "" &amp;REGEXEXTRACT(B771, ""(Trouvez.*)"")"),"🏘️ Vendre maison Les Friques ✅ Trouvez le bien immobilier qui correspond idéalement à vos désirs sur ImmoScout24 - La plateforme de l'immobilier en Suisse.")</f>
        <v>🏘️ Vendre maison Les Friques ✅ Trouvez le bien immobilier qui correspond idéalement à vos désirs sur ImmoScout24 - La plateforme de l'immobilier en Suisse.</v>
      </c>
      <c r="D771" s="4" t="str">
        <f>vlookup(A771, Sheet2!D:E, 2, 0)</f>
        <v>variant</v>
      </c>
      <c r="E771" s="4" t="str">
        <f>IFERROR(__xludf.DUMMYFUNCTION("if(H771=""pays"",vlookup(REGEXEXTRACT(C771, ""🏘️ \w+ \w+ (.*) ✅""),'Country prepositions'!A:B, 2, 0) &amp; "" "" &amp; REGEXEXTRACT(C771, ""🏘️ \w+ \w+ (.*) ✅"") ,  if(H771=""quartier"",vlookup(REGEXEXTRACT(C771, ""🏘️ \w+ \w+ (.*) ✅""),'Quartier prepositions'!A"&amp;":E, 5, 0) ,  if(H771=""region"",vlookup(REGEXEXTRACT(C771, ""🏘️ \w+ \w+ (.*) ✅""),'Region prepositions'!B:F, 5, 0),  REGEXEXTRACT(C771, ""🏘️ \w+ \w+ (.*) ✅""))))"),"Les Friques")</f>
        <v>Les Friques</v>
      </c>
      <c r="F771" s="2" t="str">
        <f>IFERROR(__xludf.DUMMYFUNCTION("REGEXEXTRACT(C771, ""🏘️ (\w+) \w+ .* ✅"")"),"Vendre")</f>
        <v>Vendre</v>
      </c>
      <c r="G771" s="2" t="str">
        <f>IFERROR(__xludf.DUMMYFUNCTION("REGEXEXTRACT(C771, ""🏘️ \w+ (\w+) .* ✅"")"),"maison")</f>
        <v>maison</v>
      </c>
      <c r="H771" s="4" t="str">
        <f>IFERROR(__xludf.DUMMYFUNCTION("REGEXEXTRACT(A771, ""/(\w+)-.*?"")"),"lieu")</f>
        <v>lieu</v>
      </c>
      <c r="I771" s="8" t="str">
        <f>IFERROR(__xludf.DUMMYFUNCTION("if(D771=""variant"",  substitute(filter(Templates!E:E, Templates!A:A = F771, Templates!B:B = G771, Templates!C:C = H771), ""{{}}"", E771), B771)"),"🏘  Vous souhaitez acheter une maison à Les Friques? ✅ Jetez un œil aux dernières offres sur ImmoScout24.ch.")</f>
        <v>🏘  Vous souhaitez acheter une maison à Les Friques? ✅ Jetez un œil aux dernières offres sur ImmoScout24.ch.</v>
      </c>
      <c r="J771" s="2" t="s">
        <v>2320</v>
      </c>
    </row>
    <row r="772">
      <c r="A772" s="5" t="s">
        <v>2321</v>
      </c>
      <c r="B772" s="2" t="s">
        <v>2322</v>
      </c>
      <c r="C772" s="4" t="str">
        <f>IFERROR(__xludf.DUMMYFUNCTION("""🏘️ ""&amp;REGEXEXTRACT(B772, ""^(.*): "")&amp;"" ✅ "" &amp;REGEXEXTRACT(B772, ""(Trouvez.*)"")"),"🏘️ Louer appartement Boujean (Biel/Bienne) ✅ Trouvez le bien immobilier qui correspond idéalement à vos désirs sur ImmoScout24 - La plateforme de l'immobilier en Suisse.")</f>
        <v>🏘️ Louer appartement Boujean (Biel/Bienne) ✅ Trouvez le bien immobilier qui correspond idéalement à vos désirs sur ImmoScout24 - La plateforme de l'immobilier en Suisse.</v>
      </c>
      <c r="D772" s="4" t="str">
        <f>vlookup(A772, Sheet2!D:E, 2, 0)</f>
        <v>variant</v>
      </c>
      <c r="E772" s="4" t="str">
        <f>IFERROR(__xludf.DUMMYFUNCTION("if(H772=""pays"",vlookup(REGEXEXTRACT(C772, ""🏘️ \w+ \w+ (.*) ✅""),'Country prepositions'!A:B, 2, 0) &amp; "" "" &amp; REGEXEXTRACT(C772, ""🏘️ \w+ \w+ (.*) ✅"") ,  if(H772=""quartier"",vlookup(REGEXEXTRACT(C772, ""🏘️ \w+ \w+ (.*) ✅""),'Quartier prepositions'!A"&amp;":E, 5, 0) ,  if(H772=""region"",vlookup(REGEXEXTRACT(C772, ""🏘️ \w+ \w+ (.*) ✅""),'Region prepositions'!B:F, 5, 0),  REGEXEXTRACT(C772, ""🏘️ \w+ \w+ (.*) ✅""))))"),"dans le quartier de Boujean (Biel/Bienne)")</f>
        <v>dans le quartier de Boujean (Biel/Bienne)</v>
      </c>
      <c r="F772" s="2" t="str">
        <f>IFERROR(__xludf.DUMMYFUNCTION("REGEXEXTRACT(C772, ""🏘️ (\w+) \w+ .* ✅"")"),"Louer")</f>
        <v>Louer</v>
      </c>
      <c r="G772" s="2" t="str">
        <f>IFERROR(__xludf.DUMMYFUNCTION("REGEXEXTRACT(C772, ""🏘️ \w+ (\w+) .* ✅"")"),"appartement")</f>
        <v>appartement</v>
      </c>
      <c r="H772" s="4" t="str">
        <f>IFERROR(__xludf.DUMMYFUNCTION("REGEXEXTRACT(A772, ""/(\w+)-.*?"")"),"quartier")</f>
        <v>quartier</v>
      </c>
      <c r="I772" s="4" t="str">
        <f>IFERROR(__xludf.DUMMYFUNCTION("if(D772=""variant"",  substitute(filter(Templates!E:E, Templates!A:A = F772, Templates!B:B = G772, Templates!C:C = H772), ""{{}}"", E772), B772)"),"🏘  Vous cherchez un appartement à louer dans le quartier de Boujean (Biel/Bienne)? ✅ Les annonces les plus actuelles sont sur ImmoScout24.ch.")</f>
        <v>🏘  Vous cherchez un appartement à louer dans le quartier de Boujean (Biel/Bienne)? ✅ Les annonces les plus actuelles sont sur ImmoScout24.ch.</v>
      </c>
      <c r="J772" s="4" t="s">
        <v>2323</v>
      </c>
    </row>
    <row r="773">
      <c r="A773" s="5" t="s">
        <v>2324</v>
      </c>
      <c r="B773" s="2" t="s">
        <v>2325</v>
      </c>
      <c r="C773" s="4" t="str">
        <f>IFERROR(__xludf.DUMMYFUNCTION("""🏘️ ""&amp;REGEXEXTRACT(B773, ""^(.*): "")&amp;"" ✅ "" &amp;REGEXEXTRACT(B773, ""(Trouvez.*)"")"),"🏘️ Louer appartement Mönchaltorf ✅ Trouvez le bien immobilier qui correspond idéalement à vos désirs sur ImmoScout24 - La plateforme de l'immobilier en Suisse.")</f>
        <v>🏘️ Louer appartement Mönchaltorf ✅ Trouvez le bien immobilier qui correspond idéalement à vos désirs sur ImmoScout24 - La plateforme de l'immobilier en Suisse.</v>
      </c>
      <c r="D773" s="4" t="str">
        <f>vlookup(A773, Sheet2!D:E, 2, 0)</f>
        <v>variant</v>
      </c>
      <c r="E773" s="4" t="str">
        <f>IFERROR(__xludf.DUMMYFUNCTION("if(H773=""pays"",vlookup(REGEXEXTRACT(C773, ""🏘️ \w+ \w+ (.*) ✅""),'Country prepositions'!A:B, 2, 0) &amp; "" "" &amp; REGEXEXTRACT(C773, ""🏘️ \w+ \w+ (.*) ✅"") ,  if(H773=""quartier"",vlookup(REGEXEXTRACT(C773, ""🏘️ \w+ \w+ (.*) ✅""),'Quartier prepositions'!A"&amp;":E, 5, 0) ,  if(H773=""region"",vlookup(REGEXEXTRACT(C773, ""🏘️ \w+ \w+ (.*) ✅""),'Region prepositions'!B:F, 5, 0),  REGEXEXTRACT(C773, ""🏘️ \w+ \w+ (.*) ✅""))))"),"Mönchaltorf")</f>
        <v>Mönchaltorf</v>
      </c>
      <c r="F773" s="2" t="str">
        <f>IFERROR(__xludf.DUMMYFUNCTION("REGEXEXTRACT(C773, ""🏘️ (\w+) \w+ .* ✅"")"),"Louer")</f>
        <v>Louer</v>
      </c>
      <c r="G773" s="2" t="str">
        <f>IFERROR(__xludf.DUMMYFUNCTION("REGEXEXTRACT(C773, ""🏘️ \w+ (\w+) .* ✅"")"),"appartement")</f>
        <v>appartement</v>
      </c>
      <c r="H773" s="4" t="str">
        <f>IFERROR(__xludf.DUMMYFUNCTION("REGEXEXTRACT(A773, ""/(\w+)-.*?"")"),"lieu")</f>
        <v>lieu</v>
      </c>
      <c r="I773" s="4" t="str">
        <f>IFERROR(__xludf.DUMMYFUNCTION("if(D773=""variant"",  substitute(filter(Templates!E:E, Templates!A:A = F773, Templates!B:B = G773, Templates!C:C = H773), ""{{}}"", E773), B773)"),"🏘  Vous cherchez un appartement à louer à Mönchaltorf? ✅ Les annonces les plus actuelles sont sur ImmoScout24.ch.")</f>
        <v>🏘  Vous cherchez un appartement à louer à Mönchaltorf? ✅ Les annonces les plus actuelles sont sur ImmoScout24.ch.</v>
      </c>
      <c r="J773" s="4" t="s">
        <v>2326</v>
      </c>
    </row>
    <row r="774">
      <c r="A774" s="5" t="s">
        <v>2327</v>
      </c>
      <c r="B774" s="2" t="s">
        <v>2328</v>
      </c>
      <c r="C774" s="4" t="str">
        <f>IFERROR(__xludf.DUMMYFUNCTION("""🏘️ ""&amp;REGEXEXTRACT(B774, ""^(.*): "")&amp;"" ✅ "" &amp;REGEXEXTRACT(B774, ""(Trouvez.*)"")"),"🏘️ Louer appartement Gettnau ✅ Trouvez le bien immobilier qui correspond idéalement à vos désirs sur ImmoScout24 - La plateforme de l'immobilier en Suisse.")</f>
        <v>🏘️ Louer appartement Gettnau ✅ Trouvez le bien immobilier qui correspond idéalement à vos désirs sur ImmoScout24 - La plateforme de l'immobilier en Suisse.</v>
      </c>
      <c r="D774" s="4" t="str">
        <f>vlookup(A774, Sheet2!D:E, 2, 0)</f>
        <v>variant</v>
      </c>
      <c r="E774" s="4" t="str">
        <f>IFERROR(__xludf.DUMMYFUNCTION("if(H774=""pays"",vlookup(REGEXEXTRACT(C774, ""🏘️ \w+ \w+ (.*) ✅""),'Country prepositions'!A:B, 2, 0) &amp; "" "" &amp; REGEXEXTRACT(C774, ""🏘️ \w+ \w+ (.*) ✅"") ,  if(H774=""quartier"",vlookup(REGEXEXTRACT(C774, ""🏘️ \w+ \w+ (.*) ✅""),'Quartier prepositions'!A"&amp;":E, 5, 0) ,  if(H774=""region"",vlookup(REGEXEXTRACT(C774, ""🏘️ \w+ \w+ (.*) ✅""),'Region prepositions'!B:F, 5, 0),  REGEXEXTRACT(C774, ""🏘️ \w+ \w+ (.*) ✅""))))"),"Gettnau")</f>
        <v>Gettnau</v>
      </c>
      <c r="F774" s="2" t="str">
        <f>IFERROR(__xludf.DUMMYFUNCTION("REGEXEXTRACT(C774, ""🏘️ (\w+) \w+ .* ✅"")"),"Louer")</f>
        <v>Louer</v>
      </c>
      <c r="G774" s="2" t="str">
        <f>IFERROR(__xludf.DUMMYFUNCTION("REGEXEXTRACT(C774, ""🏘️ \w+ (\w+) .* ✅"")"),"appartement")</f>
        <v>appartement</v>
      </c>
      <c r="H774" s="4" t="str">
        <f>IFERROR(__xludf.DUMMYFUNCTION("REGEXEXTRACT(A774, ""/(\w+)-.*?"")"),"lieu")</f>
        <v>lieu</v>
      </c>
      <c r="I774" s="4" t="str">
        <f>IFERROR(__xludf.DUMMYFUNCTION("if(D774=""variant"",  substitute(filter(Templates!E:E, Templates!A:A = F774, Templates!B:B = G774, Templates!C:C = H774), ""{{}}"", E774), B774)"),"🏘  Vous cherchez un appartement à louer à Gettnau? ✅ Les annonces les plus actuelles sont sur ImmoScout24.ch.")</f>
        <v>🏘  Vous cherchez un appartement à louer à Gettnau? ✅ Les annonces les plus actuelles sont sur ImmoScout24.ch.</v>
      </c>
      <c r="J774" s="4" t="s">
        <v>2329</v>
      </c>
    </row>
    <row r="775">
      <c r="A775" s="5" t="s">
        <v>2330</v>
      </c>
      <c r="B775" s="2" t="s">
        <v>2331</v>
      </c>
      <c r="C775" s="4" t="str">
        <f>IFERROR(__xludf.DUMMYFUNCTION("""🏘️ ""&amp;REGEXEXTRACT(B775, ""^(.*): "")&amp;"" ✅ "" &amp;REGEXEXTRACT(B775, ""(Trouvez.*)"")"),"🏘️ Louer appartement Bière ✅ Trouvez le bien immobilier qui correspond idéalement à vos désirs sur ImmoScout24 - La plateforme de l'immobilier en Suisse.")</f>
        <v>🏘️ Louer appartement Bière ✅ Trouvez le bien immobilier qui correspond idéalement à vos désirs sur ImmoScout24 - La plateforme de l'immobilier en Suisse.</v>
      </c>
      <c r="D775" s="4" t="str">
        <f>vlookup(A775, Sheet2!D:E, 2, 0)</f>
        <v>variant</v>
      </c>
      <c r="E775" s="4" t="str">
        <f>IFERROR(__xludf.DUMMYFUNCTION("if(H775=""pays"",vlookup(REGEXEXTRACT(C775, ""🏘️ \w+ \w+ (.*) ✅""),'Country prepositions'!A:B, 2, 0) &amp; "" "" &amp; REGEXEXTRACT(C775, ""🏘️ \w+ \w+ (.*) ✅"") ,  if(H775=""quartier"",vlookup(REGEXEXTRACT(C775, ""🏘️ \w+ \w+ (.*) ✅""),'Quartier prepositions'!A"&amp;":E, 5, 0) ,  if(H775=""region"",vlookup(REGEXEXTRACT(C775, ""🏘️ \w+ \w+ (.*) ✅""),'Region prepositions'!B:F, 5, 0),  REGEXEXTRACT(C775, ""🏘️ \w+ \w+ (.*) ✅""))))"),"Bière")</f>
        <v>Bière</v>
      </c>
      <c r="F775" s="2" t="str">
        <f>IFERROR(__xludf.DUMMYFUNCTION("REGEXEXTRACT(C775, ""🏘️ (\w+) \w+ .* ✅"")"),"Louer")</f>
        <v>Louer</v>
      </c>
      <c r="G775" s="2" t="str">
        <f>IFERROR(__xludf.DUMMYFUNCTION("REGEXEXTRACT(C775, ""🏘️ \w+ (\w+) .* ✅"")"),"appartement")</f>
        <v>appartement</v>
      </c>
      <c r="H775" s="4" t="str">
        <f>IFERROR(__xludf.DUMMYFUNCTION("REGEXEXTRACT(A775, ""/(\w+)-.*?"")"),"lieu")</f>
        <v>lieu</v>
      </c>
      <c r="I775" s="4" t="str">
        <f>IFERROR(__xludf.DUMMYFUNCTION("if(D775=""variant"",  substitute(filter(Templates!E:E, Templates!A:A = F775, Templates!B:B = G775, Templates!C:C = H775), ""{{}}"", E775), B775)"),"🏘  Vous cherchez un appartement à louer à Bière? ✅ Les annonces les plus actuelles sont sur ImmoScout24.ch.")</f>
        <v>🏘  Vous cherchez un appartement à louer à Bière? ✅ Les annonces les plus actuelles sont sur ImmoScout24.ch.</v>
      </c>
      <c r="J775" s="4" t="s">
        <v>2332</v>
      </c>
    </row>
    <row r="776">
      <c r="A776" s="5" t="s">
        <v>2333</v>
      </c>
      <c r="B776" s="2" t="s">
        <v>2334</v>
      </c>
      <c r="C776" s="4" t="str">
        <f>IFERROR(__xludf.DUMMYFUNCTION("""🏘️ ""&amp;REGEXEXTRACT(B776, ""^(.*): "")&amp;"" ✅ "" &amp;REGEXEXTRACT(B776, ""(Trouvez.*)"")"),"🏘️ Vendre maison Gryphenhübeli (Berne) ✅ Trouvez le bien immobilier qui correspond idéalement à vos désirs sur ImmoScout24 - La plateforme de l'immobilier en Suisse.")</f>
        <v>🏘️ Vendre maison Gryphenhübeli (Berne) ✅ Trouvez le bien immobilier qui correspond idéalement à vos désirs sur ImmoScout24 - La plateforme de l'immobilier en Suisse.</v>
      </c>
      <c r="D776" s="4" t="str">
        <f>vlookup(A776, Sheet2!D:E, 2, 0)</f>
        <v>variant</v>
      </c>
      <c r="E776" s="4" t="str">
        <f>IFERROR(__xludf.DUMMYFUNCTION("if(H776=""pays"",vlookup(REGEXEXTRACT(C776, ""🏘️ \w+ \w+ (.*) ✅""),'Country prepositions'!A:B, 2, 0) &amp; "" "" &amp; REGEXEXTRACT(C776, ""🏘️ \w+ \w+ (.*) ✅"") ,  if(H776=""quartier"",vlookup(REGEXEXTRACT(C776, ""🏘️ \w+ \w+ (.*) ✅""),'Quartier prepositions'!A"&amp;":E, 5, 0) ,  if(H776=""region"",vlookup(REGEXEXTRACT(C776, ""🏘️ \w+ \w+ (.*) ✅""),'Region prepositions'!B:F, 5, 0),  REGEXEXTRACT(C776, ""🏘️ \w+ \w+ (.*) ✅""))))"),"dans le quartier de Gryphenhübeli (Berne)")</f>
        <v>dans le quartier de Gryphenhübeli (Berne)</v>
      </c>
      <c r="F776" s="2" t="str">
        <f>IFERROR(__xludf.DUMMYFUNCTION("REGEXEXTRACT(C776, ""🏘️ (\w+) \w+ .* ✅"")"),"Vendre")</f>
        <v>Vendre</v>
      </c>
      <c r="G776" s="2" t="str">
        <f>IFERROR(__xludf.DUMMYFUNCTION("REGEXEXTRACT(C776, ""🏘️ \w+ (\w+) .* ✅"")"),"maison")</f>
        <v>maison</v>
      </c>
      <c r="H776" s="4" t="str">
        <f>IFERROR(__xludf.DUMMYFUNCTION("REGEXEXTRACT(A776, ""/(\w+)-.*?"")"),"quartier")</f>
        <v>quartier</v>
      </c>
      <c r="I776" s="4" t="str">
        <f>IFERROR(__xludf.DUMMYFUNCTION("if(D776=""variant"",  substitute(filter(Templates!E:E, Templates!A:A = F776, Templates!B:B = G776, Templates!C:C = H776), ""{{}}"", E776), B776)"),"🏘  Vous souhaitez acheter une maison dans le quartier de Gryphenhübeli (Berne)? ✅ Jetez un œil aux dernières offres sur ImmoScout24.ch.")</f>
        <v>🏘  Vous souhaitez acheter une maison dans le quartier de Gryphenhübeli (Berne)? ✅ Jetez un œil aux dernières offres sur ImmoScout24.ch.</v>
      </c>
      <c r="J776" s="4" t="s">
        <v>2335</v>
      </c>
    </row>
    <row r="777">
      <c r="A777" s="5" t="s">
        <v>2336</v>
      </c>
      <c r="B777" s="2" t="s">
        <v>2337</v>
      </c>
      <c r="C777" s="4" t="str">
        <f>IFERROR(__xludf.DUMMYFUNCTION("""🏘️ ""&amp;REGEXEXTRACT(B777, ""^(.*): "")&amp;"" ✅ "" &amp;REGEXEXTRACT(B777, ""(Trouvez.*)"")"),"🏘️ Louer maison Rue ✅ Trouvez le bien immobilier qui correspond idéalement à vos désirs sur ImmoScout24 - La plateforme de l'immobilier en Suisse.")</f>
        <v>🏘️ Louer maison Rue ✅ Trouvez le bien immobilier qui correspond idéalement à vos désirs sur ImmoScout24 - La plateforme de l'immobilier en Suisse.</v>
      </c>
      <c r="D777" s="4" t="str">
        <f>vlookup(A777, Sheet2!D:E, 2, 0)</f>
        <v>variant</v>
      </c>
      <c r="E777" s="4" t="str">
        <f>IFERROR(__xludf.DUMMYFUNCTION("if(H777=""pays"",vlookup(REGEXEXTRACT(C777, ""🏘️ \w+ \w+ (.*) ✅""),'Country prepositions'!A:B, 2, 0) &amp; "" "" &amp; REGEXEXTRACT(C777, ""🏘️ \w+ \w+ (.*) ✅"") ,  if(H777=""quartier"",vlookup(REGEXEXTRACT(C777, ""🏘️ \w+ \w+ (.*) ✅""),'Quartier prepositions'!A"&amp;":E, 5, 0) ,  if(H777=""region"",vlookup(REGEXEXTRACT(C777, ""🏘️ \w+ \w+ (.*) ✅""),'Region prepositions'!B:F, 5, 0),  REGEXEXTRACT(C777, ""🏘️ \w+ \w+ (.*) ✅""))))"),"Rue")</f>
        <v>Rue</v>
      </c>
      <c r="F777" s="2" t="str">
        <f>IFERROR(__xludf.DUMMYFUNCTION("REGEXEXTRACT(C777, ""🏘️ (\w+) \w+ .* ✅"")"),"Louer")</f>
        <v>Louer</v>
      </c>
      <c r="G777" s="2" t="str">
        <f>IFERROR(__xludf.DUMMYFUNCTION("REGEXEXTRACT(C777, ""🏘️ \w+ (\w+) .* ✅"")"),"maison")</f>
        <v>maison</v>
      </c>
      <c r="H777" s="4" t="str">
        <f>IFERROR(__xludf.DUMMYFUNCTION("REGEXEXTRACT(A777, ""/(\w+)-.*?"")"),"lieu")</f>
        <v>lieu</v>
      </c>
      <c r="I777" s="4" t="str">
        <f>IFERROR(__xludf.DUMMYFUNCTION("if(D777=""variant"",  substitute(filter(Templates!E:E, Templates!A:A = F777, Templates!B:B = G777, Templates!C:C = H777), ""{{}}"", E777), B777)"),"🏘  Vous cherchez une maison à louer à Rue? ✅ Découvrez nos nombreuses annonces sur ImmoScout24.ch.")</f>
        <v>🏘  Vous cherchez une maison à louer à Rue? ✅ Découvrez nos nombreuses annonces sur ImmoScout24.ch.</v>
      </c>
      <c r="J777" s="4" t="s">
        <v>2338</v>
      </c>
    </row>
    <row r="778">
      <c r="A778" s="5" t="s">
        <v>2339</v>
      </c>
      <c r="B778" s="2" t="s">
        <v>2340</v>
      </c>
      <c r="C778" s="4" t="str">
        <f>IFERROR(__xludf.DUMMYFUNCTION("""🏘️ ""&amp;REGEXEXTRACT(B778, ""^(.*): "")&amp;"" ✅ "" &amp;REGEXEXTRACT(B778, ""(Trouvez.*)"")"),"🏘️ Vendre maison Rothrist ✅ Trouvez le bien immobilier qui correspond idéalement à vos désirs sur ImmoScout24 - La plateforme de l'immobilier en Suisse.")</f>
        <v>🏘️ Vendre maison Rothrist ✅ Trouvez le bien immobilier qui correspond idéalement à vos désirs sur ImmoScout24 - La plateforme de l'immobilier en Suisse.</v>
      </c>
      <c r="D778" s="4" t="str">
        <f>vlookup(A778, Sheet2!D:E, 2, 0)</f>
        <v>variant</v>
      </c>
      <c r="E778" s="4" t="str">
        <f>IFERROR(__xludf.DUMMYFUNCTION("if(H778=""pays"",vlookup(REGEXEXTRACT(C778, ""🏘️ \w+ \w+ (.*) ✅""),'Country prepositions'!A:B, 2, 0) &amp; "" "" &amp; REGEXEXTRACT(C778, ""🏘️ \w+ \w+ (.*) ✅"") ,  if(H778=""quartier"",vlookup(REGEXEXTRACT(C778, ""🏘️ \w+ \w+ (.*) ✅""),'Quartier prepositions'!A"&amp;":E, 5, 0) ,  if(H778=""region"",vlookup(REGEXEXTRACT(C778, ""🏘️ \w+ \w+ (.*) ✅""),'Region prepositions'!B:F, 5, 0),  REGEXEXTRACT(C778, ""🏘️ \w+ \w+ (.*) ✅""))))"),"Rothrist")</f>
        <v>Rothrist</v>
      </c>
      <c r="F778" s="2" t="str">
        <f>IFERROR(__xludf.DUMMYFUNCTION("REGEXEXTRACT(C778, ""🏘️ (\w+) \w+ .* ✅"")"),"Vendre")</f>
        <v>Vendre</v>
      </c>
      <c r="G778" s="2" t="str">
        <f>IFERROR(__xludf.DUMMYFUNCTION("REGEXEXTRACT(C778, ""🏘️ \w+ (\w+) .* ✅"")"),"maison")</f>
        <v>maison</v>
      </c>
      <c r="H778" s="4" t="str">
        <f>IFERROR(__xludf.DUMMYFUNCTION("REGEXEXTRACT(A778, ""/(\w+)-.*?"")"),"lieu")</f>
        <v>lieu</v>
      </c>
      <c r="I778" s="4" t="str">
        <f>IFERROR(__xludf.DUMMYFUNCTION("if(D778=""variant"",  substitute(filter(Templates!E:E, Templates!A:A = F778, Templates!B:B = G778, Templates!C:C = H778), ""{{}}"", E778), B778)"),"🏘  Vous souhaitez acheter une maison à Rothrist? ✅ Jetez un œil aux dernières offres sur ImmoScout24.ch.")</f>
        <v>🏘  Vous souhaitez acheter une maison à Rothrist? ✅ Jetez un œil aux dernières offres sur ImmoScout24.ch.</v>
      </c>
      <c r="J778" s="4" t="s">
        <v>2341</v>
      </c>
    </row>
    <row r="779">
      <c r="A779" s="5" t="s">
        <v>2342</v>
      </c>
      <c r="B779" s="2" t="s">
        <v>2343</v>
      </c>
      <c r="C779" s="4" t="str">
        <f>IFERROR(__xludf.DUMMYFUNCTION("""🏘️ ""&amp;REGEXEXTRACT(B779, ""^(.*): "")&amp;"" ✅ "" &amp;REGEXEXTRACT(B779, ""(Trouvez.*)"")"),"🏘️ Louer appartement Klingnau ✅ Trouvez le bien immobilier qui correspond idéalement à vos désirs sur ImmoScout24 - La plateforme de l'immobilier en Suisse.")</f>
        <v>🏘️ Louer appartement Klingnau ✅ Trouvez le bien immobilier qui correspond idéalement à vos désirs sur ImmoScout24 - La plateforme de l'immobilier en Suisse.</v>
      </c>
      <c r="D779" s="4" t="str">
        <f>vlookup(A779, Sheet2!D:E, 2, 0)</f>
        <v>variant</v>
      </c>
      <c r="E779" s="4" t="str">
        <f>IFERROR(__xludf.DUMMYFUNCTION("if(H779=""pays"",vlookup(REGEXEXTRACT(C779, ""🏘️ \w+ \w+ (.*) ✅""),'Country prepositions'!A:B, 2, 0) &amp; "" "" &amp; REGEXEXTRACT(C779, ""🏘️ \w+ \w+ (.*) ✅"") ,  if(H779=""quartier"",vlookup(REGEXEXTRACT(C779, ""🏘️ \w+ \w+ (.*) ✅""),'Quartier prepositions'!A"&amp;":E, 5, 0) ,  if(H779=""region"",vlookup(REGEXEXTRACT(C779, ""🏘️ \w+ \w+ (.*) ✅""),'Region prepositions'!B:F, 5, 0),  REGEXEXTRACT(C779, ""🏘️ \w+ \w+ (.*) ✅""))))"),"Klingnau")</f>
        <v>Klingnau</v>
      </c>
      <c r="F779" s="2" t="str">
        <f>IFERROR(__xludf.DUMMYFUNCTION("REGEXEXTRACT(C779, ""🏘️ (\w+) \w+ .* ✅"")"),"Louer")</f>
        <v>Louer</v>
      </c>
      <c r="G779" s="2" t="str">
        <f>IFERROR(__xludf.DUMMYFUNCTION("REGEXEXTRACT(C779, ""🏘️ \w+ (\w+) .* ✅"")"),"appartement")</f>
        <v>appartement</v>
      </c>
      <c r="H779" s="4" t="str">
        <f>IFERROR(__xludf.DUMMYFUNCTION("REGEXEXTRACT(A779, ""/(\w+)-.*?"")"),"lieu")</f>
        <v>lieu</v>
      </c>
      <c r="I779" s="4" t="str">
        <f>IFERROR(__xludf.DUMMYFUNCTION("if(D779=""variant"",  substitute(filter(Templates!E:E, Templates!A:A = F779, Templates!B:B = G779, Templates!C:C = H779), ""{{}}"", E779), B779)"),"🏘  Vous cherchez un appartement à louer à Klingnau? ✅ Les annonces les plus actuelles sont sur ImmoScout24.ch.")</f>
        <v>🏘  Vous cherchez un appartement à louer à Klingnau? ✅ Les annonces les plus actuelles sont sur ImmoScout24.ch.</v>
      </c>
      <c r="J779" s="4" t="s">
        <v>2344</v>
      </c>
    </row>
    <row r="780">
      <c r="A780" s="5" t="s">
        <v>2345</v>
      </c>
      <c r="B780" s="2" t="s">
        <v>2346</v>
      </c>
      <c r="C780" s="4" t="str">
        <f>IFERROR(__xludf.DUMMYFUNCTION("""🏘️ ""&amp;REGEXEXTRACT(B780, ""^(.*): "")&amp;"" ✅ "" &amp;REGEXEXTRACT(B780, ""(Trouvez.*)"")"),"🏘️ Louer appartement Cully ✅ Trouvez le bien immobilier qui correspond idéalement à vos désirs sur ImmoScout24 - La plateforme de l'immobilier en Suisse.")</f>
        <v>🏘️ Louer appartement Cully ✅ Trouvez le bien immobilier qui correspond idéalement à vos désirs sur ImmoScout24 - La plateforme de l'immobilier en Suisse.</v>
      </c>
      <c r="D780" s="4" t="str">
        <f>vlookup(A780, Sheet2!D:E, 2, 0)</f>
        <v>variant</v>
      </c>
      <c r="E780" s="4" t="str">
        <f>IFERROR(__xludf.DUMMYFUNCTION("if(H780=""pays"",vlookup(REGEXEXTRACT(C780, ""🏘️ \w+ \w+ (.*) ✅""),'Country prepositions'!A:B, 2, 0) &amp; "" "" &amp; REGEXEXTRACT(C780, ""🏘️ \w+ \w+ (.*) ✅"") ,  if(H780=""quartier"",vlookup(REGEXEXTRACT(C780, ""🏘️ \w+ \w+ (.*) ✅""),'Quartier prepositions'!A"&amp;":E, 5, 0) ,  if(H780=""region"",vlookup(REGEXEXTRACT(C780, ""🏘️ \w+ \w+ (.*) ✅""),'Region prepositions'!B:F, 5, 0),  REGEXEXTRACT(C780, ""🏘️ \w+ \w+ (.*) ✅""))))"),"Cully")</f>
        <v>Cully</v>
      </c>
      <c r="F780" s="2" t="str">
        <f>IFERROR(__xludf.DUMMYFUNCTION("REGEXEXTRACT(C780, ""🏘️ (\w+) \w+ .* ✅"")"),"Louer")</f>
        <v>Louer</v>
      </c>
      <c r="G780" s="2" t="str">
        <f>IFERROR(__xludf.DUMMYFUNCTION("REGEXEXTRACT(C780, ""🏘️ \w+ (\w+) .* ✅"")"),"appartement")</f>
        <v>appartement</v>
      </c>
      <c r="H780" s="4" t="str">
        <f>IFERROR(__xludf.DUMMYFUNCTION("REGEXEXTRACT(A780, ""/(\w+)-.*?"")"),"lieu")</f>
        <v>lieu</v>
      </c>
      <c r="I780" s="4" t="str">
        <f>IFERROR(__xludf.DUMMYFUNCTION("if(D780=""variant"",  substitute(filter(Templates!E:E, Templates!A:A = F780, Templates!B:B = G780, Templates!C:C = H780), ""{{}}"", E780), B780)"),"🏘  Vous cherchez un appartement à louer à Cully? ✅ Les annonces les plus actuelles sont sur ImmoScout24.ch.")</f>
        <v>🏘  Vous cherchez un appartement à louer à Cully? ✅ Les annonces les plus actuelles sont sur ImmoScout24.ch.</v>
      </c>
      <c r="J780" s="4" t="s">
        <v>2347</v>
      </c>
    </row>
    <row r="781">
      <c r="A781" s="5" t="s">
        <v>2348</v>
      </c>
      <c r="B781" s="2" t="s">
        <v>2349</v>
      </c>
      <c r="C781" s="4" t="str">
        <f>IFERROR(__xludf.DUMMYFUNCTION("""🏘️ ""&amp;REGEXEXTRACT(B781, ""^(.*): "")&amp;"" ✅ "" &amp;REGEXEXTRACT(B781, ""(Trouvez.*)"")"),"🏘️ Vendre appartement Chamoson ✅ Trouvez le bien immobilier qui correspond idéalement à vos désirs sur ImmoScout24 - La plateforme de l'immobilier en Suisse.")</f>
        <v>🏘️ Vendre appartement Chamoson ✅ Trouvez le bien immobilier qui correspond idéalement à vos désirs sur ImmoScout24 - La plateforme de l'immobilier en Suisse.</v>
      </c>
      <c r="D781" s="4" t="str">
        <f>vlookup(A781, Sheet2!D:E, 2, 0)</f>
        <v>variant</v>
      </c>
      <c r="E781" s="4" t="str">
        <f>IFERROR(__xludf.DUMMYFUNCTION("if(H781=""pays"",vlookup(REGEXEXTRACT(C781, ""🏘️ \w+ \w+ (.*) ✅""),'Country prepositions'!A:B, 2, 0) &amp; "" "" &amp; REGEXEXTRACT(C781, ""🏘️ \w+ \w+ (.*) ✅"") ,  if(H781=""quartier"",vlookup(REGEXEXTRACT(C781, ""🏘️ \w+ \w+ (.*) ✅""),'Quartier prepositions'!A"&amp;":E, 5, 0) ,  if(H781=""region"",vlookup(REGEXEXTRACT(C781, ""🏘️ \w+ \w+ (.*) ✅""),'Region prepositions'!B:F, 5, 0),  REGEXEXTRACT(C781, ""🏘️ \w+ \w+ (.*) ✅""))))"),"Chamoson")</f>
        <v>Chamoson</v>
      </c>
      <c r="F781" s="2" t="str">
        <f>IFERROR(__xludf.DUMMYFUNCTION("REGEXEXTRACT(C781, ""🏘️ (\w+) \w+ .* ✅"")"),"Vendre")</f>
        <v>Vendre</v>
      </c>
      <c r="G781" s="2" t="str">
        <f>IFERROR(__xludf.DUMMYFUNCTION("REGEXEXTRACT(C781, ""🏘️ \w+ (\w+) .* ✅"")"),"appartement")</f>
        <v>appartement</v>
      </c>
      <c r="H781" s="4" t="str">
        <f>IFERROR(__xludf.DUMMYFUNCTION("REGEXEXTRACT(A781, ""/(\w+)-.*?"")"),"lieu")</f>
        <v>lieu</v>
      </c>
      <c r="I781" s="4" t="str">
        <f>IFERROR(__xludf.DUMMYFUNCTION("if(D781=""variant"",  substitute(filter(Templates!E:E, Templates!A:A = F781, Templates!B:B = G781, Templates!C:C = H781), ""{{}}"", E781), B781)"),"🏘  L’appartement de vos rêves se trouve sur ImmoScout24.ch ✅ Découvrez les dernières annonces de vente à Chamoson.")</f>
        <v>🏘  L’appartement de vos rêves se trouve sur ImmoScout24.ch ✅ Découvrez les dernières annonces de vente à Chamoson.</v>
      </c>
      <c r="J781" s="4" t="s">
        <v>2350</v>
      </c>
    </row>
    <row r="782">
      <c r="A782" s="5" t="s">
        <v>2351</v>
      </c>
      <c r="B782" s="2" t="s">
        <v>2352</v>
      </c>
      <c r="C782" s="4" t="str">
        <f>IFERROR(__xludf.DUMMYFUNCTION("""🏘️ ""&amp;REGEXEXTRACT(B782, ""^(.*): "")&amp;"" ✅ "" &amp;REGEXEXTRACT(B782, ""(Trouvez.*)"")"),"🏘️ Vendre maison Canton de Berne ✅ Trouvez le bien immobilier qui correspond idéalement à vos désirs sur ImmoScout24 - La plateforme de l'immobilier en Suisse.")</f>
        <v>🏘️ Vendre maison Canton de Berne ✅ Trouvez le bien immobilier qui correspond idéalement à vos désirs sur ImmoScout24 - La plateforme de l'immobilier en Suisse.</v>
      </c>
      <c r="D782" s="4" t="str">
        <f>vlookup(A782, Sheet2!D:E, 2, 0)</f>
        <v>variant</v>
      </c>
      <c r="E782" s="4" t="str">
        <f>IFERROR(__xludf.DUMMYFUNCTION("if(H782=""pays"",vlookup(REGEXEXTRACT(C782, ""🏘️ \w+ \w+ (.*) ✅""),'Country prepositions'!A:B, 2, 0) &amp; "" "" &amp; REGEXEXTRACT(C782, ""🏘️ \w+ \w+ (.*) ✅"") ,  if(H782=""quartier"",vlookup(REGEXEXTRACT(C782, ""🏘️ \w+ \w+ (.*) ✅""),'Quartier prepositions'!A"&amp;":E, 5, 0) ,  if(H782=""region"",vlookup(REGEXEXTRACT(C782, ""🏘️ \w+ \w+ (.*) ✅""),'Region prepositions'!B:F, 5, 0),  REGEXEXTRACT(C782, ""🏘️ \w+ \w+ (.*) ✅""))))"),"Canton de Berne")</f>
        <v>Canton de Berne</v>
      </c>
      <c r="F782" s="2" t="str">
        <f>IFERROR(__xludf.DUMMYFUNCTION("REGEXEXTRACT(C782, ""🏘️ (\w+) \w+ .* ✅"")"),"Vendre")</f>
        <v>Vendre</v>
      </c>
      <c r="G782" s="2" t="str">
        <f>IFERROR(__xludf.DUMMYFUNCTION("REGEXEXTRACT(C782, ""🏘️ \w+ (\w+) .* ✅"")"),"maison")</f>
        <v>maison</v>
      </c>
      <c r="H782" s="4" t="str">
        <f>IFERROR(__xludf.DUMMYFUNCTION("REGEXEXTRACT(A782, ""/(\w+)-.*?"")"),"canton")</f>
        <v>canton</v>
      </c>
      <c r="I782" s="4" t="str">
        <f>IFERROR(__xludf.DUMMYFUNCTION("if(D782=""variant"",  substitute(filter(Templates!E:E, Templates!A:A = F782, Templates!B:B = G782, Templates!C:C = H782), ""{{}}"", E782), B782)"),"🏘  Vous souhaitez acheter une maison dans le Canton de Berne? ✅ Jetez un œil aux dernières offres sur ImmoScout24.ch.")</f>
        <v>🏘  Vous souhaitez acheter une maison dans le Canton de Berne? ✅ Jetez un œil aux dernières offres sur ImmoScout24.ch.</v>
      </c>
      <c r="J782" s="4" t="s">
        <v>2353</v>
      </c>
    </row>
    <row r="783">
      <c r="A783" s="5" t="s">
        <v>2354</v>
      </c>
      <c r="B783" s="2" t="s">
        <v>2355</v>
      </c>
      <c r="C783" s="4" t="str">
        <f>IFERROR(__xludf.DUMMYFUNCTION("""🏘️ ""&amp;REGEXEXTRACT(B783, ""^(.*): "")&amp;"" ✅ "" &amp;REGEXEXTRACT(B783, ""(Trouvez.*)"")"),"🏘️ Vendre maison Le Crêt-du-Locle ✅ Trouvez le bien immobilier qui correspond idéalement à vos désirs sur ImmoScout24 - La plateforme de l'immobilier en Suisse.")</f>
        <v>🏘️ Vendre maison Le Crêt-du-Locle ✅ Trouvez le bien immobilier qui correspond idéalement à vos désirs sur ImmoScout24 - La plateforme de l'immobilier en Suisse.</v>
      </c>
      <c r="D783" s="4" t="str">
        <f>vlookup(A783, Sheet2!D:E, 2, 0)</f>
        <v>variant</v>
      </c>
      <c r="E783" s="4" t="str">
        <f>IFERROR(__xludf.DUMMYFUNCTION("if(H783=""pays"",vlookup(REGEXEXTRACT(C783, ""🏘️ \w+ \w+ (.*) ✅""),'Country prepositions'!A:B, 2, 0) &amp; "" "" &amp; REGEXEXTRACT(C783, ""🏘️ \w+ \w+ (.*) ✅"") ,  if(H783=""quartier"",vlookup(REGEXEXTRACT(C783, ""🏘️ \w+ \w+ (.*) ✅""),'Quartier prepositions'!A"&amp;":E, 5, 0) ,  if(H783=""region"",vlookup(REGEXEXTRACT(C783, ""🏘️ \w+ \w+ (.*) ✅""),'Region prepositions'!B:F, 5, 0),  REGEXEXTRACT(C783, ""🏘️ \w+ \w+ (.*) ✅""))))"),"Le Crêt-du-Locle")</f>
        <v>Le Crêt-du-Locle</v>
      </c>
      <c r="F783" s="2" t="str">
        <f>IFERROR(__xludf.DUMMYFUNCTION("REGEXEXTRACT(C783, ""🏘️ (\w+) \w+ .* ✅"")"),"Vendre")</f>
        <v>Vendre</v>
      </c>
      <c r="G783" s="2" t="str">
        <f>IFERROR(__xludf.DUMMYFUNCTION("REGEXEXTRACT(C783, ""🏘️ \w+ (\w+) .* ✅"")"),"maison")</f>
        <v>maison</v>
      </c>
      <c r="H783" s="4" t="str">
        <f>IFERROR(__xludf.DUMMYFUNCTION("REGEXEXTRACT(A783, ""/(\w+)-.*?"")"),"lieu")</f>
        <v>lieu</v>
      </c>
      <c r="I783" s="8" t="str">
        <f>IFERROR(__xludf.DUMMYFUNCTION("if(D783=""variant"",  substitute(filter(Templates!E:E, Templates!A:A = F783, Templates!B:B = G783, Templates!C:C = H783), ""{{}}"", E783), B783)"),"🏘  Vous souhaitez acheter une maison à Le Crêt-du-Locle? ✅ Jetez un œil aux dernières offres sur ImmoScout24.ch.")</f>
        <v>🏘  Vous souhaitez acheter une maison à Le Crêt-du-Locle? ✅ Jetez un œil aux dernières offres sur ImmoScout24.ch.</v>
      </c>
      <c r="J783" s="2" t="s">
        <v>2356</v>
      </c>
    </row>
    <row r="784">
      <c r="A784" s="5" t="s">
        <v>2357</v>
      </c>
      <c r="B784" s="2" t="s">
        <v>2358</v>
      </c>
      <c r="C784" s="4" t="str">
        <f>IFERROR(__xludf.DUMMYFUNCTION("""🏘️ ""&amp;REGEXEXTRACT(B784, ""^(.*): "")&amp;"" ✅ "" &amp;REGEXEXTRACT(B784, ""(Trouvez.*)"")"),"🏘️ Vendre appartement Küssnacht am Rigi ✅ Trouvez le bien immobilier qui correspond idéalement à vos désirs sur ImmoScout24 - La plateforme de l'immobilier en Suisse.")</f>
        <v>🏘️ Vendre appartement Küssnacht am Rigi ✅ Trouvez le bien immobilier qui correspond idéalement à vos désirs sur ImmoScout24 - La plateforme de l'immobilier en Suisse.</v>
      </c>
      <c r="D784" s="4" t="str">
        <f>vlookup(A784, Sheet2!D:E, 2, 0)</f>
        <v>variant</v>
      </c>
      <c r="E784" s="4" t="str">
        <f>IFERROR(__xludf.DUMMYFUNCTION("if(H784=""pays"",vlookup(REGEXEXTRACT(C784, ""🏘️ \w+ \w+ (.*) ✅""),'Country prepositions'!A:B, 2, 0) &amp; "" "" &amp; REGEXEXTRACT(C784, ""🏘️ \w+ \w+ (.*) ✅"") ,  if(H784=""quartier"",vlookup(REGEXEXTRACT(C784, ""🏘️ \w+ \w+ (.*) ✅""),'Quartier prepositions'!A"&amp;":E, 5, 0) ,  if(H784=""region"",vlookup(REGEXEXTRACT(C784, ""🏘️ \w+ \w+ (.*) ✅""),'Region prepositions'!B:F, 5, 0),  REGEXEXTRACT(C784, ""🏘️ \w+ \w+ (.*) ✅""))))"),"Küssnacht am Rigi")</f>
        <v>Küssnacht am Rigi</v>
      </c>
      <c r="F784" s="2" t="str">
        <f>IFERROR(__xludf.DUMMYFUNCTION("REGEXEXTRACT(C784, ""🏘️ (\w+) \w+ .* ✅"")"),"Vendre")</f>
        <v>Vendre</v>
      </c>
      <c r="G784" s="2" t="str">
        <f>IFERROR(__xludf.DUMMYFUNCTION("REGEXEXTRACT(C784, ""🏘️ \w+ (\w+) .* ✅"")"),"appartement")</f>
        <v>appartement</v>
      </c>
      <c r="H784" s="4" t="str">
        <f>IFERROR(__xludf.DUMMYFUNCTION("REGEXEXTRACT(A784, ""/(\w+)-.*?"")"),"lieu")</f>
        <v>lieu</v>
      </c>
      <c r="I784" s="4" t="str">
        <f>IFERROR(__xludf.DUMMYFUNCTION("if(D784=""variant"",  substitute(filter(Templates!E:E, Templates!A:A = F784, Templates!B:B = G784, Templates!C:C = H784), ""{{}}"", E784), B784)"),"🏘  L’appartement de vos rêves se trouve sur ImmoScout24.ch ✅ Découvrez les dernières annonces de vente à Küssnacht am Rigi.")</f>
        <v>🏘  L’appartement de vos rêves se trouve sur ImmoScout24.ch ✅ Découvrez les dernières annonces de vente à Küssnacht am Rigi.</v>
      </c>
      <c r="J784" s="4" t="s">
        <v>2359</v>
      </c>
    </row>
    <row r="785">
      <c r="A785" s="5" t="s">
        <v>2360</v>
      </c>
      <c r="B785" s="2" t="s">
        <v>2361</v>
      </c>
      <c r="C785" s="4" t="str">
        <f>IFERROR(__xludf.DUMMYFUNCTION("""🏘️ ""&amp;REGEXEXTRACT(B785, ""^(.*): "")&amp;"" ✅ "" &amp;REGEXEXTRACT(B785, ""(Trouvez.*)"")"),"🏘️ Vendre maison Farnern ✅ Trouvez le bien immobilier qui correspond idéalement à vos désirs sur ImmoScout24 - La plateforme de l'immobilier en Suisse.")</f>
        <v>🏘️ Vendre maison Farnern ✅ Trouvez le bien immobilier qui correspond idéalement à vos désirs sur ImmoScout24 - La plateforme de l'immobilier en Suisse.</v>
      </c>
      <c r="D785" s="4" t="str">
        <f>vlookup(A785, Sheet2!D:E, 2, 0)</f>
        <v>variant</v>
      </c>
      <c r="E785" s="4" t="str">
        <f>IFERROR(__xludf.DUMMYFUNCTION("if(H785=""pays"",vlookup(REGEXEXTRACT(C785, ""🏘️ \w+ \w+ (.*) ✅""),'Country prepositions'!A:B, 2, 0) &amp; "" "" &amp; REGEXEXTRACT(C785, ""🏘️ \w+ \w+ (.*) ✅"") ,  if(H785=""quartier"",vlookup(REGEXEXTRACT(C785, ""🏘️ \w+ \w+ (.*) ✅""),'Quartier prepositions'!A"&amp;":E, 5, 0) ,  if(H785=""region"",vlookup(REGEXEXTRACT(C785, ""🏘️ \w+ \w+ (.*) ✅""),'Region prepositions'!B:F, 5, 0),  REGEXEXTRACT(C785, ""🏘️ \w+ \w+ (.*) ✅""))))"),"Farnern")</f>
        <v>Farnern</v>
      </c>
      <c r="F785" s="2" t="str">
        <f>IFERROR(__xludf.DUMMYFUNCTION("REGEXEXTRACT(C785, ""🏘️ (\w+) \w+ .* ✅"")"),"Vendre")</f>
        <v>Vendre</v>
      </c>
      <c r="G785" s="2" t="str">
        <f>IFERROR(__xludf.DUMMYFUNCTION("REGEXEXTRACT(C785, ""🏘️ \w+ (\w+) .* ✅"")"),"maison")</f>
        <v>maison</v>
      </c>
      <c r="H785" s="4" t="str">
        <f>IFERROR(__xludf.DUMMYFUNCTION("REGEXEXTRACT(A785, ""/(\w+)-.*?"")"),"lieu")</f>
        <v>lieu</v>
      </c>
      <c r="I785" s="4" t="str">
        <f>IFERROR(__xludf.DUMMYFUNCTION("if(D785=""variant"",  substitute(filter(Templates!E:E, Templates!A:A = F785, Templates!B:B = G785, Templates!C:C = H785), ""{{}}"", E785), B785)"),"🏘  Vous souhaitez acheter une maison à Farnern? ✅ Jetez un œil aux dernières offres sur ImmoScout24.ch.")</f>
        <v>🏘  Vous souhaitez acheter une maison à Farnern? ✅ Jetez un œil aux dernières offres sur ImmoScout24.ch.</v>
      </c>
      <c r="J785" s="4" t="s">
        <v>2362</v>
      </c>
    </row>
    <row r="786">
      <c r="A786" s="5" t="s">
        <v>2363</v>
      </c>
      <c r="B786" s="2" t="s">
        <v>2364</v>
      </c>
      <c r="C786" s="4" t="str">
        <f>IFERROR(__xludf.DUMMYFUNCTION("""🏘️ ""&amp;REGEXEXTRACT(B786, ""^(.*): "")&amp;"" ✅ "" &amp;REGEXEXTRACT(B786, ""(Trouvez.*)"")"),"🏘️ Louer appartement Les Avanchets ✅ Trouvez le bien immobilier qui correspond idéalement à vos désirs sur ImmoScout24 - La plateforme de l'immobilier en Suisse.")</f>
        <v>🏘️ Louer appartement Les Avanchets ✅ Trouvez le bien immobilier qui correspond idéalement à vos désirs sur ImmoScout24 - La plateforme de l'immobilier en Suisse.</v>
      </c>
      <c r="D786" s="4" t="str">
        <f>vlookup(A786, Sheet2!D:E, 2, 0)</f>
        <v>variant</v>
      </c>
      <c r="E786" s="4" t="str">
        <f>IFERROR(__xludf.DUMMYFUNCTION("if(H786=""pays"",vlookup(REGEXEXTRACT(C786, ""🏘️ \w+ \w+ (.*) ✅""),'Country prepositions'!A:B, 2, 0) &amp; "" "" &amp; REGEXEXTRACT(C786, ""🏘️ \w+ \w+ (.*) ✅"") ,  if(H786=""quartier"",vlookup(REGEXEXTRACT(C786, ""🏘️ \w+ \w+ (.*) ✅""),'Quartier prepositions'!A"&amp;":E, 5, 0) ,  if(H786=""region"",vlookup(REGEXEXTRACT(C786, ""🏘️ \w+ \w+ (.*) ✅""),'Region prepositions'!B:F, 5, 0),  REGEXEXTRACT(C786, ""🏘️ \w+ \w+ (.*) ✅""))))"),"Les Avanchets")</f>
        <v>Les Avanchets</v>
      </c>
      <c r="F786" s="2" t="str">
        <f>IFERROR(__xludf.DUMMYFUNCTION("REGEXEXTRACT(C786, ""🏘️ (\w+) \w+ .* ✅"")"),"Louer")</f>
        <v>Louer</v>
      </c>
      <c r="G786" s="2" t="str">
        <f>IFERROR(__xludf.DUMMYFUNCTION("REGEXEXTRACT(C786, ""🏘️ \w+ (\w+) .* ✅"")"),"appartement")</f>
        <v>appartement</v>
      </c>
      <c r="H786" s="4" t="str">
        <f>IFERROR(__xludf.DUMMYFUNCTION("REGEXEXTRACT(A786, ""/(\w+)-.*?"")"),"lieu")</f>
        <v>lieu</v>
      </c>
      <c r="I786" s="8" t="str">
        <f>IFERROR(__xludf.DUMMYFUNCTION("if(D786=""variant"",  substitute(filter(Templates!E:E, Templates!A:A = F786, Templates!B:B = G786, Templates!C:C = H786), ""{{}}"", E786), B786)"),"🏘  Vous cherchez un appartement à louer à Les Avanchets? ✅ Les annonces les plus actuelles sont sur ImmoScout24.ch.")</f>
        <v>🏘  Vous cherchez un appartement à louer à Les Avanchets? ✅ Les annonces les plus actuelles sont sur ImmoScout24.ch.</v>
      </c>
      <c r="J786" s="2" t="s">
        <v>2365</v>
      </c>
    </row>
    <row r="787">
      <c r="A787" s="5" t="s">
        <v>2366</v>
      </c>
      <c r="B787" s="2" t="s">
        <v>2367</v>
      </c>
      <c r="C787" s="4" t="str">
        <f>IFERROR(__xludf.DUMMYFUNCTION("""🏘️ ""&amp;REGEXEXTRACT(B787, ""^(.*): "")&amp;"" ✅ "" &amp;REGEXEXTRACT(B787, ""(Trouvez.*)"")"),"🏘️ Louer appartement Ried b. Kerzers ✅ Trouvez le bien immobilier qui correspond idéalement à vos désirs sur ImmoScout24 - La plateforme de l'immobilier en Suisse.")</f>
        <v>🏘️ Louer appartement Ried b. Kerzers ✅ Trouvez le bien immobilier qui correspond idéalement à vos désirs sur ImmoScout24 - La plateforme de l'immobilier en Suisse.</v>
      </c>
      <c r="D787" s="4" t="str">
        <f>vlookup(A787, Sheet2!D:E, 2, 0)</f>
        <v>variant</v>
      </c>
      <c r="E787" s="4" t="str">
        <f>IFERROR(__xludf.DUMMYFUNCTION("if(H787=""pays"",vlookup(REGEXEXTRACT(C787, ""🏘️ \w+ \w+ (.*) ✅""),'Country prepositions'!A:B, 2, 0) &amp; "" "" &amp; REGEXEXTRACT(C787, ""🏘️ \w+ \w+ (.*) ✅"") ,  if(H787=""quartier"",vlookup(REGEXEXTRACT(C787, ""🏘️ \w+ \w+ (.*) ✅""),'Quartier prepositions'!A"&amp;":E, 5, 0) ,  if(H787=""region"",vlookup(REGEXEXTRACT(C787, ""🏘️ \w+ \w+ (.*) ✅""),'Region prepositions'!B:F, 5, 0),  REGEXEXTRACT(C787, ""🏘️ \w+ \w+ (.*) ✅""))))"),"Ried b. Kerzers")</f>
        <v>Ried b. Kerzers</v>
      </c>
      <c r="F787" s="2" t="str">
        <f>IFERROR(__xludf.DUMMYFUNCTION("REGEXEXTRACT(C787, ""🏘️ (\w+) \w+ .* ✅"")"),"Louer")</f>
        <v>Louer</v>
      </c>
      <c r="G787" s="2" t="str">
        <f>IFERROR(__xludf.DUMMYFUNCTION("REGEXEXTRACT(C787, ""🏘️ \w+ (\w+) .* ✅"")"),"appartement")</f>
        <v>appartement</v>
      </c>
      <c r="H787" s="4" t="str">
        <f>IFERROR(__xludf.DUMMYFUNCTION("REGEXEXTRACT(A787, ""/(\w+)-.*?"")"),"lieu")</f>
        <v>lieu</v>
      </c>
      <c r="I787" s="4" t="str">
        <f>IFERROR(__xludf.DUMMYFUNCTION("if(D787=""variant"",  substitute(filter(Templates!E:E, Templates!A:A = F787, Templates!B:B = G787, Templates!C:C = H787), ""{{}}"", E787), B787)"),"🏘  Vous cherchez un appartement à louer à Ried b. Kerzers? ✅ Les annonces les plus actuelles sont sur ImmoScout24.ch.")</f>
        <v>🏘  Vous cherchez un appartement à louer à Ried b. Kerzers? ✅ Les annonces les plus actuelles sont sur ImmoScout24.ch.</v>
      </c>
      <c r="J787" s="4" t="s">
        <v>2368</v>
      </c>
    </row>
    <row r="788">
      <c r="A788" s="5" t="s">
        <v>2369</v>
      </c>
      <c r="B788" s="2" t="s">
        <v>2370</v>
      </c>
      <c r="C788" s="4" t="str">
        <f>IFERROR(__xludf.DUMMYFUNCTION("""🏘️ ""&amp;REGEXEXTRACT(B788, ""^(.*): "")&amp;"" ✅ "" &amp;REGEXEXTRACT(B788, ""(Trouvez.*)"")"),"🏘️ Vendre maison Ried-Brig ✅ Trouvez le bien immobilier qui correspond idéalement à vos désirs sur ImmoScout24 - La plateforme de l'immobilier en Suisse.")</f>
        <v>🏘️ Vendre maison Ried-Brig ✅ Trouvez le bien immobilier qui correspond idéalement à vos désirs sur ImmoScout24 - La plateforme de l'immobilier en Suisse.</v>
      </c>
      <c r="D788" s="4" t="str">
        <f>vlookup(A788, Sheet2!D:E, 2, 0)</f>
        <v>variant</v>
      </c>
      <c r="E788" s="4" t="str">
        <f>IFERROR(__xludf.DUMMYFUNCTION("if(H788=""pays"",vlookup(REGEXEXTRACT(C788, ""🏘️ \w+ \w+ (.*) ✅""),'Country prepositions'!A:B, 2, 0) &amp; "" "" &amp; REGEXEXTRACT(C788, ""🏘️ \w+ \w+ (.*) ✅"") ,  if(H788=""quartier"",vlookup(REGEXEXTRACT(C788, ""🏘️ \w+ \w+ (.*) ✅""),'Quartier prepositions'!A"&amp;":E, 5, 0) ,  if(H788=""region"",vlookup(REGEXEXTRACT(C788, ""🏘️ \w+ \w+ (.*) ✅""),'Region prepositions'!B:F, 5, 0),  REGEXEXTRACT(C788, ""🏘️ \w+ \w+ (.*) ✅""))))"),"Ried-Brig")</f>
        <v>Ried-Brig</v>
      </c>
      <c r="F788" s="2" t="str">
        <f>IFERROR(__xludf.DUMMYFUNCTION("REGEXEXTRACT(C788, ""🏘️ (\w+) \w+ .* ✅"")"),"Vendre")</f>
        <v>Vendre</v>
      </c>
      <c r="G788" s="2" t="str">
        <f>IFERROR(__xludf.DUMMYFUNCTION("REGEXEXTRACT(C788, ""🏘️ \w+ (\w+) .* ✅"")"),"maison")</f>
        <v>maison</v>
      </c>
      <c r="H788" s="4" t="str">
        <f>IFERROR(__xludf.DUMMYFUNCTION("REGEXEXTRACT(A788, ""/(\w+)-.*?"")"),"lieu")</f>
        <v>lieu</v>
      </c>
      <c r="I788" s="4" t="str">
        <f>IFERROR(__xludf.DUMMYFUNCTION("if(D788=""variant"",  substitute(filter(Templates!E:E, Templates!A:A = F788, Templates!B:B = G788, Templates!C:C = H788), ""{{}}"", E788), B788)"),"🏘  Vous souhaitez acheter une maison à Ried-Brig? ✅ Jetez un œil aux dernières offres sur ImmoScout24.ch.")</f>
        <v>🏘  Vous souhaitez acheter une maison à Ried-Brig? ✅ Jetez un œil aux dernières offres sur ImmoScout24.ch.</v>
      </c>
      <c r="J788" s="4" t="s">
        <v>2371</v>
      </c>
    </row>
    <row r="789">
      <c r="A789" s="5" t="s">
        <v>2372</v>
      </c>
      <c r="B789" s="2" t="s">
        <v>2373</v>
      </c>
      <c r="C789" s="4" t="str">
        <f>IFERROR(__xludf.DUMMYFUNCTION("""🏘️ ""&amp;REGEXEXTRACT(B789, ""^(.*): "")&amp;"" ✅ "" &amp;REGEXEXTRACT(B789, ""(Trouvez.*)"")"),"🏘️ Vendre appartement Paradiso ✅ Trouvez le bien immobilier qui correspond idéalement à vos désirs sur ImmoScout24 - La plateforme de l'immobilier en Suisse.")</f>
        <v>🏘️ Vendre appartement Paradiso ✅ Trouvez le bien immobilier qui correspond idéalement à vos désirs sur ImmoScout24 - La plateforme de l'immobilier en Suisse.</v>
      </c>
      <c r="D789" s="4" t="str">
        <f>vlookup(A789, Sheet2!D:E, 2, 0)</f>
        <v>variant</v>
      </c>
      <c r="E789" s="4" t="str">
        <f>IFERROR(__xludf.DUMMYFUNCTION("if(H789=""pays"",vlookup(REGEXEXTRACT(C789, ""🏘️ \w+ \w+ (.*) ✅""),'Country prepositions'!A:B, 2, 0) &amp; "" "" &amp; REGEXEXTRACT(C789, ""🏘️ \w+ \w+ (.*) ✅"") ,  if(H789=""quartier"",vlookup(REGEXEXTRACT(C789, ""🏘️ \w+ \w+ (.*) ✅""),'Quartier prepositions'!A"&amp;":E, 5, 0) ,  if(H789=""region"",vlookup(REGEXEXTRACT(C789, ""🏘️ \w+ \w+ (.*) ✅""),'Region prepositions'!B:F, 5, 0),  REGEXEXTRACT(C789, ""🏘️ \w+ \w+ (.*) ✅""))))"),"Paradiso")</f>
        <v>Paradiso</v>
      </c>
      <c r="F789" s="2" t="str">
        <f>IFERROR(__xludf.DUMMYFUNCTION("REGEXEXTRACT(C789, ""🏘️ (\w+) \w+ .* ✅"")"),"Vendre")</f>
        <v>Vendre</v>
      </c>
      <c r="G789" s="2" t="str">
        <f>IFERROR(__xludf.DUMMYFUNCTION("REGEXEXTRACT(C789, ""🏘️ \w+ (\w+) .* ✅"")"),"appartement")</f>
        <v>appartement</v>
      </c>
      <c r="H789" s="4" t="str">
        <f>IFERROR(__xludf.DUMMYFUNCTION("REGEXEXTRACT(A789, ""/(\w+)-.*?"")"),"lieu")</f>
        <v>lieu</v>
      </c>
      <c r="I789" s="4" t="str">
        <f>IFERROR(__xludf.DUMMYFUNCTION("if(D789=""variant"",  substitute(filter(Templates!E:E, Templates!A:A = F789, Templates!B:B = G789, Templates!C:C = H789), ""{{}}"", E789), B789)"),"🏘  L’appartement de vos rêves se trouve sur ImmoScout24.ch ✅ Découvrez les dernières annonces de vente à Paradiso.")</f>
        <v>🏘  L’appartement de vos rêves se trouve sur ImmoScout24.ch ✅ Découvrez les dernières annonces de vente à Paradiso.</v>
      </c>
      <c r="J789" s="4" t="s">
        <v>2374</v>
      </c>
    </row>
    <row r="790">
      <c r="A790" s="5" t="s">
        <v>2375</v>
      </c>
      <c r="B790" s="2" t="s">
        <v>2376</v>
      </c>
      <c r="C790" s="4" t="str">
        <f>IFERROR(__xludf.DUMMYFUNCTION("""🏘️ ""&amp;REGEXEXTRACT(B790, ""^(.*): "")&amp;"" ✅ "" &amp;REGEXEXTRACT(B790, ""(Trouvez.*)"")"),"🏘️ Vendre appartement Baar ✅ Trouvez le bien immobilier qui correspond idéalement à vos désirs sur ImmoScout24 - La plateforme de l'immobilier en Suisse.")</f>
        <v>🏘️ Vendre appartement Baar ✅ Trouvez le bien immobilier qui correspond idéalement à vos désirs sur ImmoScout24 - La plateforme de l'immobilier en Suisse.</v>
      </c>
      <c r="D790" s="4" t="str">
        <f>vlookup(A790, Sheet2!D:E, 2, 0)</f>
        <v>variant</v>
      </c>
      <c r="E790" s="4" t="str">
        <f>IFERROR(__xludf.DUMMYFUNCTION("if(H790=""pays"",vlookup(REGEXEXTRACT(C790, ""🏘️ \w+ \w+ (.*) ✅""),'Country prepositions'!A:B, 2, 0) &amp; "" "" &amp; REGEXEXTRACT(C790, ""🏘️ \w+ \w+ (.*) ✅"") ,  if(H790=""quartier"",vlookup(REGEXEXTRACT(C790, ""🏘️ \w+ \w+ (.*) ✅""),'Quartier prepositions'!A"&amp;":E, 5, 0) ,  if(H790=""region"",vlookup(REGEXEXTRACT(C790, ""🏘️ \w+ \w+ (.*) ✅""),'Region prepositions'!B:F, 5, 0),  REGEXEXTRACT(C790, ""🏘️ \w+ \w+ (.*) ✅""))))"),"Baar")</f>
        <v>Baar</v>
      </c>
      <c r="F790" s="2" t="str">
        <f>IFERROR(__xludf.DUMMYFUNCTION("REGEXEXTRACT(C790, ""🏘️ (\w+) \w+ .* ✅"")"),"Vendre")</f>
        <v>Vendre</v>
      </c>
      <c r="G790" s="2" t="str">
        <f>IFERROR(__xludf.DUMMYFUNCTION("REGEXEXTRACT(C790, ""🏘️ \w+ (\w+) .* ✅"")"),"appartement")</f>
        <v>appartement</v>
      </c>
      <c r="H790" s="4" t="str">
        <f>IFERROR(__xludf.DUMMYFUNCTION("REGEXEXTRACT(A790, ""/(\w+)-.*?"")"),"lieu")</f>
        <v>lieu</v>
      </c>
      <c r="I790" s="4" t="str">
        <f>IFERROR(__xludf.DUMMYFUNCTION("if(D790=""variant"",  substitute(filter(Templates!E:E, Templates!A:A = F790, Templates!B:B = G790, Templates!C:C = H790), ""{{}}"", E790), B790)"),"🏘  L’appartement de vos rêves se trouve sur ImmoScout24.ch ✅ Découvrez les dernières annonces de vente à Baar.")</f>
        <v>🏘  L’appartement de vos rêves se trouve sur ImmoScout24.ch ✅ Découvrez les dernières annonces de vente à Baar.</v>
      </c>
      <c r="J790" s="4" t="s">
        <v>2377</v>
      </c>
    </row>
    <row r="791">
      <c r="A791" s="5" t="s">
        <v>2378</v>
      </c>
      <c r="B791" s="2" t="s">
        <v>2379</v>
      </c>
      <c r="C791" s="4" t="str">
        <f>IFERROR(__xludf.DUMMYFUNCTION("""🏘️ ""&amp;REGEXEXTRACT(B791, ""^(.*): "")&amp;"" ✅ "" &amp;REGEXEXTRACT(B791, ""(Trouvez.*)"")"),"🏘️ Vendre maison Matten b. Interlaken ✅ Trouvez le bien immobilier qui correspond idéalement à vos désirs sur ImmoScout24 - La plateforme de l'immobilier en Suisse.")</f>
        <v>🏘️ Vendre maison Matten b. Interlaken ✅ Trouvez le bien immobilier qui correspond idéalement à vos désirs sur ImmoScout24 - La plateforme de l'immobilier en Suisse.</v>
      </c>
      <c r="D791" s="4" t="str">
        <f>vlookup(A791, Sheet2!D:E, 2, 0)</f>
        <v>variant</v>
      </c>
      <c r="E791" s="4" t="str">
        <f>IFERROR(__xludf.DUMMYFUNCTION("if(H791=""pays"",vlookup(REGEXEXTRACT(C791, ""🏘️ \w+ \w+ (.*) ✅""),'Country prepositions'!A:B, 2, 0) &amp; "" "" &amp; REGEXEXTRACT(C791, ""🏘️ \w+ \w+ (.*) ✅"") ,  if(H791=""quartier"",vlookup(REGEXEXTRACT(C791, ""🏘️ \w+ \w+ (.*) ✅""),'Quartier prepositions'!A"&amp;":E, 5, 0) ,  if(H791=""region"",vlookup(REGEXEXTRACT(C791, ""🏘️ \w+ \w+ (.*) ✅""),'Region prepositions'!B:F, 5, 0),  REGEXEXTRACT(C791, ""🏘️ \w+ \w+ (.*) ✅""))))"),"Matten b. Interlaken")</f>
        <v>Matten b. Interlaken</v>
      </c>
      <c r="F791" s="2" t="str">
        <f>IFERROR(__xludf.DUMMYFUNCTION("REGEXEXTRACT(C791, ""🏘️ (\w+) \w+ .* ✅"")"),"Vendre")</f>
        <v>Vendre</v>
      </c>
      <c r="G791" s="2" t="str">
        <f>IFERROR(__xludf.DUMMYFUNCTION("REGEXEXTRACT(C791, ""🏘️ \w+ (\w+) .* ✅"")"),"maison")</f>
        <v>maison</v>
      </c>
      <c r="H791" s="4" t="str">
        <f>IFERROR(__xludf.DUMMYFUNCTION("REGEXEXTRACT(A791, ""/(\w+)-.*?"")"),"lieu")</f>
        <v>lieu</v>
      </c>
      <c r="I791" s="4" t="str">
        <f>IFERROR(__xludf.DUMMYFUNCTION("if(D791=""variant"",  substitute(filter(Templates!E:E, Templates!A:A = F791, Templates!B:B = G791, Templates!C:C = H791), ""{{}}"", E791), B791)"),"🏘  Vous souhaitez acheter une maison à Matten b. Interlaken? ✅ Jetez un œil aux dernières offres sur ImmoScout24.ch.")</f>
        <v>🏘  Vous souhaitez acheter une maison à Matten b. Interlaken? ✅ Jetez un œil aux dernières offres sur ImmoScout24.ch.</v>
      </c>
      <c r="J791" s="4" t="s">
        <v>2380</v>
      </c>
    </row>
    <row r="792">
      <c r="A792" s="5" t="s">
        <v>2381</v>
      </c>
      <c r="B792" s="2" t="s">
        <v>2382</v>
      </c>
      <c r="C792" s="4" t="str">
        <f>IFERROR(__xludf.DUMMYFUNCTION("""🏘️ ""&amp;REGEXEXTRACT(B792, ""^(.*): "")&amp;"" ✅ "" &amp;REGEXEXTRACT(B792, ""(Trouvez.*)"")"),"🏘️ Vendre appartement Pfäffikon ZH ✅ Trouvez le bien immobilier qui correspond idéalement à vos désirs sur ImmoScout24 - La plateforme de l'immobilier en Suisse.")</f>
        <v>🏘️ Vendre appartement Pfäffikon ZH ✅ Trouvez le bien immobilier qui correspond idéalement à vos désirs sur ImmoScout24 - La plateforme de l'immobilier en Suisse.</v>
      </c>
      <c r="D792" s="4" t="str">
        <f>vlookup(A792, Sheet2!D:E, 2, 0)</f>
        <v>variant</v>
      </c>
      <c r="E792" s="4" t="str">
        <f>IFERROR(__xludf.DUMMYFUNCTION("if(H792=""pays"",vlookup(REGEXEXTRACT(C792, ""🏘️ \w+ \w+ (.*) ✅""),'Country prepositions'!A:B, 2, 0) &amp; "" "" &amp; REGEXEXTRACT(C792, ""🏘️ \w+ \w+ (.*) ✅"") ,  if(H792=""quartier"",vlookup(REGEXEXTRACT(C792, ""🏘️ \w+ \w+ (.*) ✅""),'Quartier prepositions'!A"&amp;":E, 5, 0) ,  if(H792=""region"",vlookup(REGEXEXTRACT(C792, ""🏘️ \w+ \w+ (.*) ✅""),'Region prepositions'!B:F, 5, 0),  REGEXEXTRACT(C792, ""🏘️ \w+ \w+ (.*) ✅""))))"),"Pfäffikon ZH")</f>
        <v>Pfäffikon ZH</v>
      </c>
      <c r="F792" s="2" t="str">
        <f>IFERROR(__xludf.DUMMYFUNCTION("REGEXEXTRACT(C792, ""🏘️ (\w+) \w+ .* ✅"")"),"Vendre")</f>
        <v>Vendre</v>
      </c>
      <c r="G792" s="2" t="str">
        <f>IFERROR(__xludf.DUMMYFUNCTION("REGEXEXTRACT(C792, ""🏘️ \w+ (\w+) .* ✅"")"),"appartement")</f>
        <v>appartement</v>
      </c>
      <c r="H792" s="4" t="str">
        <f>IFERROR(__xludf.DUMMYFUNCTION("REGEXEXTRACT(A792, ""/(\w+)-.*?"")"),"lieu")</f>
        <v>lieu</v>
      </c>
      <c r="I792" s="4" t="str">
        <f>IFERROR(__xludf.DUMMYFUNCTION("if(D792=""variant"",  substitute(filter(Templates!E:E, Templates!A:A = F792, Templates!B:B = G792, Templates!C:C = H792), ""{{}}"", E792), B792)"),"🏘  L’appartement de vos rêves se trouve sur ImmoScout24.ch ✅ Découvrez les dernières annonces de vente à Pfäffikon ZH.")</f>
        <v>🏘  L’appartement de vos rêves se trouve sur ImmoScout24.ch ✅ Découvrez les dernières annonces de vente à Pfäffikon ZH.</v>
      </c>
      <c r="J792" s="4" t="s">
        <v>2383</v>
      </c>
    </row>
    <row r="793">
      <c r="A793" s="5" t="s">
        <v>2384</v>
      </c>
      <c r="B793" s="2" t="s">
        <v>2385</v>
      </c>
      <c r="C793" s="4" t="str">
        <f>IFERROR(__xludf.DUMMYFUNCTION("""🏘️ ""&amp;REGEXEXTRACT(B793, ""^(.*): "")&amp;"" ✅ "" &amp;REGEXEXTRACT(B793, ""(Trouvez.*)"")"),"🏘️ Louer appartement Pfaffhausen ✅ Trouvez le bien immobilier qui correspond idéalement à vos désirs sur ImmoScout24 - La plateforme de l'immobilier en Suisse.")</f>
        <v>🏘️ Louer appartement Pfaffhausen ✅ Trouvez le bien immobilier qui correspond idéalement à vos désirs sur ImmoScout24 - La plateforme de l'immobilier en Suisse.</v>
      </c>
      <c r="D793" s="4" t="str">
        <f>vlookup(A793, Sheet2!D:E, 2, 0)</f>
        <v>variant</v>
      </c>
      <c r="E793" s="4" t="str">
        <f>IFERROR(__xludf.DUMMYFUNCTION("if(H793=""pays"",vlookup(REGEXEXTRACT(C793, ""🏘️ \w+ \w+ (.*) ✅""),'Country prepositions'!A:B, 2, 0) &amp; "" "" &amp; REGEXEXTRACT(C793, ""🏘️ \w+ \w+ (.*) ✅"") ,  if(H793=""quartier"",vlookup(REGEXEXTRACT(C793, ""🏘️ \w+ \w+ (.*) ✅""),'Quartier prepositions'!A"&amp;":E, 5, 0) ,  if(H793=""region"",vlookup(REGEXEXTRACT(C793, ""🏘️ \w+ \w+ (.*) ✅""),'Region prepositions'!B:F, 5, 0),  REGEXEXTRACT(C793, ""🏘️ \w+ \w+ (.*) ✅""))))"),"Pfaffhausen")</f>
        <v>Pfaffhausen</v>
      </c>
      <c r="F793" s="2" t="str">
        <f>IFERROR(__xludf.DUMMYFUNCTION("REGEXEXTRACT(C793, ""🏘️ (\w+) \w+ .* ✅"")"),"Louer")</f>
        <v>Louer</v>
      </c>
      <c r="G793" s="2" t="str">
        <f>IFERROR(__xludf.DUMMYFUNCTION("REGEXEXTRACT(C793, ""🏘️ \w+ (\w+) .* ✅"")"),"appartement")</f>
        <v>appartement</v>
      </c>
      <c r="H793" s="4" t="str">
        <f>IFERROR(__xludf.DUMMYFUNCTION("REGEXEXTRACT(A793, ""/(\w+)-.*?"")"),"lieu")</f>
        <v>lieu</v>
      </c>
      <c r="I793" s="4" t="str">
        <f>IFERROR(__xludf.DUMMYFUNCTION("if(D793=""variant"",  substitute(filter(Templates!E:E, Templates!A:A = F793, Templates!B:B = G793, Templates!C:C = H793), ""{{}}"", E793), B793)"),"🏘  Vous cherchez un appartement à louer à Pfaffhausen? ✅ Les annonces les plus actuelles sont sur ImmoScout24.ch.")</f>
        <v>🏘  Vous cherchez un appartement à louer à Pfaffhausen? ✅ Les annonces les plus actuelles sont sur ImmoScout24.ch.</v>
      </c>
      <c r="J793" s="4" t="s">
        <v>2386</v>
      </c>
    </row>
    <row r="794">
      <c r="A794" s="5" t="s">
        <v>2387</v>
      </c>
      <c r="B794" s="2" t="s">
        <v>2388</v>
      </c>
      <c r="C794" s="4" t="str">
        <f>IFERROR(__xludf.DUMMYFUNCTION("""🏘️ ""&amp;REGEXEXTRACT(B794, ""^(.*): "")&amp;"" ✅ "" &amp;REGEXEXTRACT(B794, ""(Trouvez.*)"")"),"🏘️ Vendre appartement Le Mont-sur-Lausanne ✅ Trouvez le bien immobilier qui correspond idéalement à vos désirs sur ImmoScout24 - La plateforme de l'immobilier en Suisse.")</f>
        <v>🏘️ Vendre appartement Le Mont-sur-Lausanne ✅ Trouvez le bien immobilier qui correspond idéalement à vos désirs sur ImmoScout24 - La plateforme de l'immobilier en Suisse.</v>
      </c>
      <c r="D794" s="4" t="str">
        <f>vlookup(A794, Sheet2!D:E, 2, 0)</f>
        <v>variant</v>
      </c>
      <c r="E794" s="4" t="str">
        <f>IFERROR(__xludf.DUMMYFUNCTION("if(H794=""pays"",vlookup(REGEXEXTRACT(C794, ""🏘️ \w+ \w+ (.*) ✅""),'Country prepositions'!A:B, 2, 0) &amp; "" "" &amp; REGEXEXTRACT(C794, ""🏘️ \w+ \w+ (.*) ✅"") ,  if(H794=""quartier"",vlookup(REGEXEXTRACT(C794, ""🏘️ \w+ \w+ (.*) ✅""),'Quartier prepositions'!A"&amp;":E, 5, 0) ,  if(H794=""region"",vlookup(REGEXEXTRACT(C794, ""🏘️ \w+ \w+ (.*) ✅""),'Region prepositions'!B:F, 5, 0),  REGEXEXTRACT(C794, ""🏘️ \w+ \w+ (.*) ✅""))))"),"Le Mont-sur-Lausanne")</f>
        <v>Le Mont-sur-Lausanne</v>
      </c>
      <c r="F794" s="2" t="str">
        <f>IFERROR(__xludf.DUMMYFUNCTION("REGEXEXTRACT(C794, ""🏘️ (\w+) \w+ .* ✅"")"),"Vendre")</f>
        <v>Vendre</v>
      </c>
      <c r="G794" s="2" t="str">
        <f>IFERROR(__xludf.DUMMYFUNCTION("REGEXEXTRACT(C794, ""🏘️ \w+ (\w+) .* ✅"")"),"appartement")</f>
        <v>appartement</v>
      </c>
      <c r="H794" s="4" t="str">
        <f>IFERROR(__xludf.DUMMYFUNCTION("REGEXEXTRACT(A794, ""/(\w+)-.*?"")"),"lieu")</f>
        <v>lieu</v>
      </c>
      <c r="I794" s="8" t="str">
        <f>IFERROR(__xludf.DUMMYFUNCTION("if(D794=""variant"",  substitute(filter(Templates!E:E, Templates!A:A = F794, Templates!B:B = G794, Templates!C:C = H794), ""{{}}"", E794), B794)"),"🏘  L’appartement de vos rêves se trouve sur ImmoScout24.ch ✅ Découvrez les dernières annonces de vente à Le Mont-sur-Lausanne.")</f>
        <v>🏘  L’appartement de vos rêves se trouve sur ImmoScout24.ch ✅ Découvrez les dernières annonces de vente à Le Mont-sur-Lausanne.</v>
      </c>
      <c r="J794" s="2" t="s">
        <v>2389</v>
      </c>
    </row>
    <row r="795">
      <c r="A795" s="5" t="s">
        <v>2390</v>
      </c>
      <c r="B795" s="2" t="s">
        <v>2391</v>
      </c>
      <c r="C795" s="4" t="str">
        <f>IFERROR(__xludf.DUMMYFUNCTION("""🏘️ ""&amp;REGEXEXTRACT(B795, ""^(.*): "")&amp;"" ✅ "" &amp;REGEXEXTRACT(B795, ""(Trouvez.*)"")"),"🏘️ Louer appartement Bremblens ✅ Trouvez le bien immobilier qui correspond idéalement à vos désirs sur ImmoScout24 - La plateforme de l'immobilier en Suisse.")</f>
        <v>🏘️ Louer appartement Bremblens ✅ Trouvez le bien immobilier qui correspond idéalement à vos désirs sur ImmoScout24 - La plateforme de l'immobilier en Suisse.</v>
      </c>
      <c r="D795" s="4" t="str">
        <f>vlookup(A795, Sheet2!D:E, 2, 0)</f>
        <v>variant</v>
      </c>
      <c r="E795" s="4" t="str">
        <f>IFERROR(__xludf.DUMMYFUNCTION("if(H795=""pays"",vlookup(REGEXEXTRACT(C795, ""🏘️ \w+ \w+ (.*) ✅""),'Country prepositions'!A:B, 2, 0) &amp; "" "" &amp; REGEXEXTRACT(C795, ""🏘️ \w+ \w+ (.*) ✅"") ,  if(H795=""quartier"",vlookup(REGEXEXTRACT(C795, ""🏘️ \w+ \w+ (.*) ✅""),'Quartier prepositions'!A"&amp;":E, 5, 0) ,  if(H795=""region"",vlookup(REGEXEXTRACT(C795, ""🏘️ \w+ \w+ (.*) ✅""),'Region prepositions'!B:F, 5, 0),  REGEXEXTRACT(C795, ""🏘️ \w+ \w+ (.*) ✅""))))"),"Bremblens")</f>
        <v>Bremblens</v>
      </c>
      <c r="F795" s="2" t="str">
        <f>IFERROR(__xludf.DUMMYFUNCTION("REGEXEXTRACT(C795, ""🏘️ (\w+) \w+ .* ✅"")"),"Louer")</f>
        <v>Louer</v>
      </c>
      <c r="G795" s="2" t="str">
        <f>IFERROR(__xludf.DUMMYFUNCTION("REGEXEXTRACT(C795, ""🏘️ \w+ (\w+) .* ✅"")"),"appartement")</f>
        <v>appartement</v>
      </c>
      <c r="H795" s="4" t="str">
        <f>IFERROR(__xludf.DUMMYFUNCTION("REGEXEXTRACT(A795, ""/(\w+)-.*?"")"),"lieu")</f>
        <v>lieu</v>
      </c>
      <c r="I795" s="4" t="str">
        <f>IFERROR(__xludf.DUMMYFUNCTION("if(D795=""variant"",  substitute(filter(Templates!E:E, Templates!A:A = F795, Templates!B:B = G795, Templates!C:C = H795), ""{{}}"", E795), B795)"),"🏘  Vous cherchez un appartement à louer à Bremblens? ✅ Les annonces les plus actuelles sont sur ImmoScout24.ch.")</f>
        <v>🏘  Vous cherchez un appartement à louer à Bremblens? ✅ Les annonces les plus actuelles sont sur ImmoScout24.ch.</v>
      </c>
      <c r="J795" s="4" t="s">
        <v>2392</v>
      </c>
    </row>
    <row r="796">
      <c r="A796" s="5" t="s">
        <v>2393</v>
      </c>
      <c r="B796" s="2" t="s">
        <v>2394</v>
      </c>
      <c r="C796" s="4" t="str">
        <f>IFERROR(__xludf.DUMMYFUNCTION("""🏘️ ""&amp;REGEXEXTRACT(B796, ""^(.*): "")&amp;"" ✅ "" &amp;REGEXEXTRACT(B796, ""(Trouvez.*)"")"),"🏘️ Louer appartement Kerns ✅ Trouvez le bien immobilier qui correspond idéalement à vos désirs sur ImmoScout24 - La plateforme de l'immobilier en Suisse.")</f>
        <v>🏘️ Louer appartement Kerns ✅ Trouvez le bien immobilier qui correspond idéalement à vos désirs sur ImmoScout24 - La plateforme de l'immobilier en Suisse.</v>
      </c>
      <c r="D796" s="4" t="str">
        <f>vlookup(A796, Sheet2!D:E, 2, 0)</f>
        <v>variant</v>
      </c>
      <c r="E796" s="4" t="str">
        <f>IFERROR(__xludf.DUMMYFUNCTION("if(H796=""pays"",vlookup(REGEXEXTRACT(C796, ""🏘️ \w+ \w+ (.*) ✅""),'Country prepositions'!A:B, 2, 0) &amp; "" "" &amp; REGEXEXTRACT(C796, ""🏘️ \w+ \w+ (.*) ✅"") ,  if(H796=""quartier"",vlookup(REGEXEXTRACT(C796, ""🏘️ \w+ \w+ (.*) ✅""),'Quartier prepositions'!A"&amp;":E, 5, 0) ,  if(H796=""region"",vlookup(REGEXEXTRACT(C796, ""🏘️ \w+ \w+ (.*) ✅""),'Region prepositions'!B:F, 5, 0),  REGEXEXTRACT(C796, ""🏘️ \w+ \w+ (.*) ✅""))))"),"Kerns")</f>
        <v>Kerns</v>
      </c>
      <c r="F796" s="2" t="str">
        <f>IFERROR(__xludf.DUMMYFUNCTION("REGEXEXTRACT(C796, ""🏘️ (\w+) \w+ .* ✅"")"),"Louer")</f>
        <v>Louer</v>
      </c>
      <c r="G796" s="2" t="str">
        <f>IFERROR(__xludf.DUMMYFUNCTION("REGEXEXTRACT(C796, ""🏘️ \w+ (\w+) .* ✅"")"),"appartement")</f>
        <v>appartement</v>
      </c>
      <c r="H796" s="4" t="str">
        <f>IFERROR(__xludf.DUMMYFUNCTION("REGEXEXTRACT(A796, ""/(\w+)-.*?"")"),"lieu")</f>
        <v>lieu</v>
      </c>
      <c r="I796" s="4" t="str">
        <f>IFERROR(__xludf.DUMMYFUNCTION("if(D796=""variant"",  substitute(filter(Templates!E:E, Templates!A:A = F796, Templates!B:B = G796, Templates!C:C = H796), ""{{}}"", E796), B796)"),"🏘  Vous cherchez un appartement à louer à Kerns? ✅ Les annonces les plus actuelles sont sur ImmoScout24.ch.")</f>
        <v>🏘  Vous cherchez un appartement à louer à Kerns? ✅ Les annonces les plus actuelles sont sur ImmoScout24.ch.</v>
      </c>
      <c r="J796" s="4" t="s">
        <v>2395</v>
      </c>
    </row>
    <row r="797">
      <c r="A797" s="5" t="s">
        <v>2396</v>
      </c>
      <c r="B797" s="2" t="s">
        <v>2397</v>
      </c>
      <c r="C797" s="4" t="str">
        <f>IFERROR(__xludf.DUMMYFUNCTION("""🏘️ ""&amp;REGEXEXTRACT(B797, ""^(.*): "")&amp;"" ✅ "" &amp;REGEXEXTRACT(B797, ""(Trouvez.*)"")"),"🏘️ Louer appartement Corcelles-le-Jorat ✅ Trouvez le bien immobilier qui correspond idéalement à vos désirs sur ImmoScout24 - La plateforme de l'immobilier en Suisse.")</f>
        <v>🏘️ Louer appartement Corcelles-le-Jorat ✅ Trouvez le bien immobilier qui correspond idéalement à vos désirs sur ImmoScout24 - La plateforme de l'immobilier en Suisse.</v>
      </c>
      <c r="D797" s="4" t="str">
        <f>vlookup(A797, Sheet2!D:E, 2, 0)</f>
        <v>variant</v>
      </c>
      <c r="E797" s="4" t="str">
        <f>IFERROR(__xludf.DUMMYFUNCTION("if(H797=""pays"",vlookup(REGEXEXTRACT(C797, ""🏘️ \w+ \w+ (.*) ✅""),'Country prepositions'!A:B, 2, 0) &amp; "" "" &amp; REGEXEXTRACT(C797, ""🏘️ \w+ \w+ (.*) ✅"") ,  if(H797=""quartier"",vlookup(REGEXEXTRACT(C797, ""🏘️ \w+ \w+ (.*) ✅""),'Quartier prepositions'!A"&amp;":E, 5, 0) ,  if(H797=""region"",vlookup(REGEXEXTRACT(C797, ""🏘️ \w+ \w+ (.*) ✅""),'Region prepositions'!B:F, 5, 0),  REGEXEXTRACT(C797, ""🏘️ \w+ \w+ (.*) ✅""))))"),"Corcelles-le-Jorat")</f>
        <v>Corcelles-le-Jorat</v>
      </c>
      <c r="F797" s="2" t="str">
        <f>IFERROR(__xludf.DUMMYFUNCTION("REGEXEXTRACT(C797, ""🏘️ (\w+) \w+ .* ✅"")"),"Louer")</f>
        <v>Louer</v>
      </c>
      <c r="G797" s="2" t="str">
        <f>IFERROR(__xludf.DUMMYFUNCTION("REGEXEXTRACT(C797, ""🏘️ \w+ (\w+) .* ✅"")"),"appartement")</f>
        <v>appartement</v>
      </c>
      <c r="H797" s="4" t="str">
        <f>IFERROR(__xludf.DUMMYFUNCTION("REGEXEXTRACT(A797, ""/(\w+)-.*?"")"),"lieu")</f>
        <v>lieu</v>
      </c>
      <c r="I797" s="4" t="str">
        <f>IFERROR(__xludf.DUMMYFUNCTION("if(D797=""variant"",  substitute(filter(Templates!E:E, Templates!A:A = F797, Templates!B:B = G797, Templates!C:C = H797), ""{{}}"", E797), B797)"),"🏘  Vous cherchez un appartement à louer à Corcelles-le-Jorat? ✅ Les annonces les plus actuelles sont sur ImmoScout24.ch.")</f>
        <v>🏘  Vous cherchez un appartement à louer à Corcelles-le-Jorat? ✅ Les annonces les plus actuelles sont sur ImmoScout24.ch.</v>
      </c>
      <c r="J797" s="4" t="s">
        <v>2398</v>
      </c>
    </row>
    <row r="798">
      <c r="A798" s="5" t="s">
        <v>2399</v>
      </c>
      <c r="B798" s="2" t="s">
        <v>2400</v>
      </c>
      <c r="C798" s="4" t="str">
        <f>IFERROR(__xludf.DUMMYFUNCTION("""🏘️ ""&amp;REGEXEXTRACT(B798, ""^(.*): "")&amp;"" ✅ "" &amp;REGEXEXTRACT(B798, ""(Trouvez.*)"")"),"🏘️ Louer appartement Bonfol ✅ Trouvez le bien immobilier qui correspond idéalement à vos désirs sur ImmoScout24 - La plateforme de l'immobilier en Suisse.")</f>
        <v>🏘️ Louer appartement Bonfol ✅ Trouvez le bien immobilier qui correspond idéalement à vos désirs sur ImmoScout24 - La plateforme de l'immobilier en Suisse.</v>
      </c>
      <c r="D798" s="4" t="str">
        <f>vlookup(A798, Sheet2!D:E, 2, 0)</f>
        <v>variant</v>
      </c>
      <c r="E798" s="4" t="str">
        <f>IFERROR(__xludf.DUMMYFUNCTION("if(H798=""pays"",vlookup(REGEXEXTRACT(C798, ""🏘️ \w+ \w+ (.*) ✅""),'Country prepositions'!A:B, 2, 0) &amp; "" "" &amp; REGEXEXTRACT(C798, ""🏘️ \w+ \w+ (.*) ✅"") ,  if(H798=""quartier"",vlookup(REGEXEXTRACT(C798, ""🏘️ \w+ \w+ (.*) ✅""),'Quartier prepositions'!A"&amp;":E, 5, 0) ,  if(H798=""region"",vlookup(REGEXEXTRACT(C798, ""🏘️ \w+ \w+ (.*) ✅""),'Region prepositions'!B:F, 5, 0),  REGEXEXTRACT(C798, ""🏘️ \w+ \w+ (.*) ✅""))))"),"Bonfol")</f>
        <v>Bonfol</v>
      </c>
      <c r="F798" s="2" t="str">
        <f>IFERROR(__xludf.DUMMYFUNCTION("REGEXEXTRACT(C798, ""🏘️ (\w+) \w+ .* ✅"")"),"Louer")</f>
        <v>Louer</v>
      </c>
      <c r="G798" s="2" t="str">
        <f>IFERROR(__xludf.DUMMYFUNCTION("REGEXEXTRACT(C798, ""🏘️ \w+ (\w+) .* ✅"")"),"appartement")</f>
        <v>appartement</v>
      </c>
      <c r="H798" s="4" t="str">
        <f>IFERROR(__xludf.DUMMYFUNCTION("REGEXEXTRACT(A798, ""/(\w+)-.*?"")"),"lieu")</f>
        <v>lieu</v>
      </c>
      <c r="I798" s="4" t="str">
        <f>IFERROR(__xludf.DUMMYFUNCTION("if(D798=""variant"",  substitute(filter(Templates!E:E, Templates!A:A = F798, Templates!B:B = G798, Templates!C:C = H798), ""{{}}"", E798), B798)"),"🏘  Vous cherchez un appartement à louer à Bonfol? ✅ Les annonces les plus actuelles sont sur ImmoScout24.ch.")</f>
        <v>🏘  Vous cherchez un appartement à louer à Bonfol? ✅ Les annonces les plus actuelles sont sur ImmoScout24.ch.</v>
      </c>
      <c r="J798" s="4" t="s">
        <v>2401</v>
      </c>
    </row>
    <row r="799">
      <c r="A799" s="5" t="s">
        <v>2402</v>
      </c>
      <c r="B799" s="2" t="s">
        <v>2403</v>
      </c>
      <c r="C799" s="4" t="str">
        <f>IFERROR(__xludf.DUMMYFUNCTION("""🏘️ ""&amp;REGEXEXTRACT(B799, ""^(.*): "")&amp;"" ✅ "" &amp;REGEXEXTRACT(B799, ""(Trouvez.*)"")"),"🏘️ Louer appartement Kleindöttingen ✅ Trouvez le bien immobilier qui correspond idéalement à vos désirs sur ImmoScout24 - La plateforme de l'immobilier en Suisse.")</f>
        <v>🏘️ Louer appartement Kleindöttingen ✅ Trouvez le bien immobilier qui correspond idéalement à vos désirs sur ImmoScout24 - La plateforme de l'immobilier en Suisse.</v>
      </c>
      <c r="D799" s="4" t="str">
        <f>vlookup(A799, Sheet2!D:E, 2, 0)</f>
        <v>variant</v>
      </c>
      <c r="E799" s="4" t="str">
        <f>IFERROR(__xludf.DUMMYFUNCTION("if(H799=""pays"",vlookup(REGEXEXTRACT(C799, ""🏘️ \w+ \w+ (.*) ✅""),'Country prepositions'!A:B, 2, 0) &amp; "" "" &amp; REGEXEXTRACT(C799, ""🏘️ \w+ \w+ (.*) ✅"") ,  if(H799=""quartier"",vlookup(REGEXEXTRACT(C799, ""🏘️ \w+ \w+ (.*) ✅""),'Quartier prepositions'!A"&amp;":E, 5, 0) ,  if(H799=""region"",vlookup(REGEXEXTRACT(C799, ""🏘️ \w+ \w+ (.*) ✅""),'Region prepositions'!B:F, 5, 0),  REGEXEXTRACT(C799, ""🏘️ \w+ \w+ (.*) ✅""))))"),"Kleindöttingen")</f>
        <v>Kleindöttingen</v>
      </c>
      <c r="F799" s="2" t="str">
        <f>IFERROR(__xludf.DUMMYFUNCTION("REGEXEXTRACT(C799, ""🏘️ (\w+) \w+ .* ✅"")"),"Louer")</f>
        <v>Louer</v>
      </c>
      <c r="G799" s="2" t="str">
        <f>IFERROR(__xludf.DUMMYFUNCTION("REGEXEXTRACT(C799, ""🏘️ \w+ (\w+) .* ✅"")"),"appartement")</f>
        <v>appartement</v>
      </c>
      <c r="H799" s="4" t="str">
        <f>IFERROR(__xludf.DUMMYFUNCTION("REGEXEXTRACT(A799, ""/(\w+)-.*?"")"),"lieu")</f>
        <v>lieu</v>
      </c>
      <c r="I799" s="4" t="str">
        <f>IFERROR(__xludf.DUMMYFUNCTION("if(D799=""variant"",  substitute(filter(Templates!E:E, Templates!A:A = F799, Templates!B:B = G799, Templates!C:C = H799), ""{{}}"", E799), B799)"),"🏘  Vous cherchez un appartement à louer à Kleindöttingen? ✅ Les annonces les plus actuelles sont sur ImmoScout24.ch.")</f>
        <v>🏘  Vous cherchez un appartement à louer à Kleindöttingen? ✅ Les annonces les plus actuelles sont sur ImmoScout24.ch.</v>
      </c>
      <c r="J799" s="4" t="s">
        <v>2404</v>
      </c>
    </row>
    <row r="800">
      <c r="A800" s="5" t="s">
        <v>2405</v>
      </c>
      <c r="B800" s="2" t="s">
        <v>2406</v>
      </c>
      <c r="C800" s="4" t="str">
        <f>IFERROR(__xludf.DUMMYFUNCTION("""🏘️ ""&amp;REGEXEXTRACT(B800, ""^(.*): "")&amp;"" ✅ "" &amp;REGEXEXTRACT(B800, ""(Trouvez.*)"")"),"🏘️ Vendre appartement Hérémence ✅ Trouvez le bien immobilier qui correspond idéalement à vos désirs sur ImmoScout24 - La plateforme de l'immobilier en Suisse.")</f>
        <v>🏘️ Vendre appartement Hérémence ✅ Trouvez le bien immobilier qui correspond idéalement à vos désirs sur ImmoScout24 - La plateforme de l'immobilier en Suisse.</v>
      </c>
      <c r="D800" s="4" t="str">
        <f>vlookup(A800, Sheet2!D:E, 2, 0)</f>
        <v>variant</v>
      </c>
      <c r="E800" s="4" t="str">
        <f>IFERROR(__xludf.DUMMYFUNCTION("if(H800=""pays"",vlookup(REGEXEXTRACT(C800, ""🏘️ \w+ \w+ (.*) ✅""),'Country prepositions'!A:B, 2, 0) &amp; "" "" &amp; REGEXEXTRACT(C800, ""🏘️ \w+ \w+ (.*) ✅"") ,  if(H800=""quartier"",vlookup(REGEXEXTRACT(C800, ""🏘️ \w+ \w+ (.*) ✅""),'Quartier prepositions'!A"&amp;":E, 5, 0) ,  if(H800=""region"",vlookup(REGEXEXTRACT(C800, ""🏘️ \w+ \w+ (.*) ✅""),'Region prepositions'!B:F, 5, 0),  REGEXEXTRACT(C800, ""🏘️ \w+ \w+ (.*) ✅""))))"),"Hérémence")</f>
        <v>Hérémence</v>
      </c>
      <c r="F800" s="2" t="str">
        <f>IFERROR(__xludf.DUMMYFUNCTION("REGEXEXTRACT(C800, ""🏘️ (\w+) \w+ .* ✅"")"),"Vendre")</f>
        <v>Vendre</v>
      </c>
      <c r="G800" s="2" t="str">
        <f>IFERROR(__xludf.DUMMYFUNCTION("REGEXEXTRACT(C800, ""🏘️ \w+ (\w+) .* ✅"")"),"appartement")</f>
        <v>appartement</v>
      </c>
      <c r="H800" s="4" t="str">
        <f>IFERROR(__xludf.DUMMYFUNCTION("REGEXEXTRACT(A800, ""/(\w+)-.*?"")"),"lieu")</f>
        <v>lieu</v>
      </c>
      <c r="I800" s="4" t="str">
        <f>IFERROR(__xludf.DUMMYFUNCTION("if(D800=""variant"",  substitute(filter(Templates!E:E, Templates!A:A = F800, Templates!B:B = G800, Templates!C:C = H800), ""{{}}"", E800), B800)"),"🏘  L’appartement de vos rêves se trouve sur ImmoScout24.ch ✅ Découvrez les dernières annonces de vente à Hérémence.")</f>
        <v>🏘  L’appartement de vos rêves se trouve sur ImmoScout24.ch ✅ Découvrez les dernières annonces de vente à Hérémence.</v>
      </c>
      <c r="J800" s="4" t="s">
        <v>2407</v>
      </c>
    </row>
    <row r="801">
      <c r="A801" s="5" t="s">
        <v>2408</v>
      </c>
      <c r="B801" s="2" t="s">
        <v>2409</v>
      </c>
      <c r="C801" s="4" t="str">
        <f>IFERROR(__xludf.DUMMYFUNCTION("""🏘️ ""&amp;REGEXEXTRACT(B801, ""^(.*): "")&amp;"" ✅ "" &amp;REGEXEXTRACT(B801, ""(Trouvez.*)"")"),"🏘️ Louer appartement Fully ✅ Trouvez le bien immobilier qui correspond idéalement à vos désirs sur ImmoScout24 - La plateforme de l'immobilier en Suisse.")</f>
        <v>🏘️ Louer appartement Fully ✅ Trouvez le bien immobilier qui correspond idéalement à vos désirs sur ImmoScout24 - La plateforme de l'immobilier en Suisse.</v>
      </c>
      <c r="D801" s="4" t="str">
        <f>vlookup(A801, Sheet2!D:E, 2, 0)</f>
        <v>variant</v>
      </c>
      <c r="E801" s="4" t="str">
        <f>IFERROR(__xludf.DUMMYFUNCTION("if(H801=""pays"",vlookup(REGEXEXTRACT(C801, ""🏘️ \w+ \w+ (.*) ✅""),'Country prepositions'!A:B, 2, 0) &amp; "" "" &amp; REGEXEXTRACT(C801, ""🏘️ \w+ \w+ (.*) ✅"") ,  if(H801=""quartier"",vlookup(REGEXEXTRACT(C801, ""🏘️ \w+ \w+ (.*) ✅""),'Quartier prepositions'!A"&amp;":E, 5, 0) ,  if(H801=""region"",vlookup(REGEXEXTRACT(C801, ""🏘️ \w+ \w+ (.*) ✅""),'Region prepositions'!B:F, 5, 0),  REGEXEXTRACT(C801, ""🏘️ \w+ \w+ (.*) ✅""))))"),"Fully")</f>
        <v>Fully</v>
      </c>
      <c r="F801" s="2" t="str">
        <f>IFERROR(__xludf.DUMMYFUNCTION("REGEXEXTRACT(C801, ""🏘️ (\w+) \w+ .* ✅"")"),"Louer")</f>
        <v>Louer</v>
      </c>
      <c r="G801" s="2" t="str">
        <f>IFERROR(__xludf.DUMMYFUNCTION("REGEXEXTRACT(C801, ""🏘️ \w+ (\w+) .* ✅"")"),"appartement")</f>
        <v>appartement</v>
      </c>
      <c r="H801" s="4" t="str">
        <f>IFERROR(__xludf.DUMMYFUNCTION("REGEXEXTRACT(A801, ""/(\w+)-.*?"")"),"lieu")</f>
        <v>lieu</v>
      </c>
      <c r="I801" s="4" t="str">
        <f>IFERROR(__xludf.DUMMYFUNCTION("if(D801=""variant"",  substitute(filter(Templates!E:E, Templates!A:A = F801, Templates!B:B = G801, Templates!C:C = H801), ""{{}}"", E801), B801)"),"🏘  Vous cherchez un appartement à louer à Fully? ✅ Les annonces les plus actuelles sont sur ImmoScout24.ch.")</f>
        <v>🏘  Vous cherchez un appartement à louer à Fully? ✅ Les annonces les plus actuelles sont sur ImmoScout24.ch.</v>
      </c>
      <c r="J801" s="4" t="s">
        <v>2410</v>
      </c>
    </row>
    <row r="802">
      <c r="A802" s="5" t="s">
        <v>2411</v>
      </c>
      <c r="B802" s="2" t="s">
        <v>2412</v>
      </c>
      <c r="C802" s="4" t="str">
        <f>IFERROR(__xludf.DUMMYFUNCTION("""🏘️ ""&amp;REGEXEXTRACT(B802, ""^(.*): "")&amp;"" ✅ "" &amp;REGEXEXTRACT(B802, ""(Trouvez.*)"")"),"🏘️ Louer appartement Bellerive VD ✅ Trouvez le bien immobilier qui correspond idéalement à vos désirs sur ImmoScout24 - La plateforme de l'immobilier en Suisse.")</f>
        <v>🏘️ Louer appartement Bellerive VD ✅ Trouvez le bien immobilier qui correspond idéalement à vos désirs sur ImmoScout24 - La plateforme de l'immobilier en Suisse.</v>
      </c>
      <c r="D802" s="4" t="str">
        <f>vlookup(A802, Sheet2!D:E, 2, 0)</f>
        <v>variant</v>
      </c>
      <c r="E802" s="4" t="str">
        <f>IFERROR(__xludf.DUMMYFUNCTION("if(H802=""pays"",vlookup(REGEXEXTRACT(C802, ""🏘️ \w+ \w+ (.*) ✅""),'Country prepositions'!A:B, 2, 0) &amp; "" "" &amp; REGEXEXTRACT(C802, ""🏘️ \w+ \w+ (.*) ✅"") ,  if(H802=""quartier"",vlookup(REGEXEXTRACT(C802, ""🏘️ \w+ \w+ (.*) ✅""),'Quartier prepositions'!A"&amp;":E, 5, 0) ,  if(H802=""region"",vlookup(REGEXEXTRACT(C802, ""🏘️ \w+ \w+ (.*) ✅""),'Region prepositions'!B:F, 5, 0),  REGEXEXTRACT(C802, ""🏘️ \w+ \w+ (.*) ✅""))))"),"Bellerive VD")</f>
        <v>Bellerive VD</v>
      </c>
      <c r="F802" s="2" t="str">
        <f>IFERROR(__xludf.DUMMYFUNCTION("REGEXEXTRACT(C802, ""🏘️ (\w+) \w+ .* ✅"")"),"Louer")</f>
        <v>Louer</v>
      </c>
      <c r="G802" s="2" t="str">
        <f>IFERROR(__xludf.DUMMYFUNCTION("REGEXEXTRACT(C802, ""🏘️ \w+ (\w+) .* ✅"")"),"appartement")</f>
        <v>appartement</v>
      </c>
      <c r="H802" s="4" t="str">
        <f>IFERROR(__xludf.DUMMYFUNCTION("REGEXEXTRACT(A802, ""/(\w+)-.*?"")"),"lieu")</f>
        <v>lieu</v>
      </c>
      <c r="I802" s="4" t="str">
        <f>IFERROR(__xludf.DUMMYFUNCTION("if(D802=""variant"",  substitute(filter(Templates!E:E, Templates!A:A = F802, Templates!B:B = G802, Templates!C:C = H802), ""{{}}"", E802), B802)"),"🏘  Vous cherchez un appartement à louer à Bellerive VD? ✅ Les annonces les plus actuelles sont sur ImmoScout24.ch.")</f>
        <v>🏘  Vous cherchez un appartement à louer à Bellerive VD? ✅ Les annonces les plus actuelles sont sur ImmoScout24.ch.</v>
      </c>
      <c r="J802" s="4" t="s">
        <v>2413</v>
      </c>
    </row>
    <row r="803">
      <c r="A803" s="5" t="s">
        <v>2414</v>
      </c>
      <c r="B803" s="2" t="s">
        <v>2415</v>
      </c>
      <c r="C803" s="4" t="str">
        <f>IFERROR(__xludf.DUMMYFUNCTION("""🏘️ ""&amp;REGEXEXTRACT(B803, ""^(.*): "")&amp;"" ✅ "" &amp;REGEXEXTRACT(B803, ""(Trouvez.*)"")"),"🏘️ Vendre appartement La Punt-Chamues-ch ✅ Trouvez le bien immobilier qui correspond idéalement à vos désirs sur ImmoScout24 - La plateforme de l'immobilier en Suisse.")</f>
        <v>🏘️ Vendre appartement La Punt-Chamues-ch ✅ Trouvez le bien immobilier qui correspond idéalement à vos désirs sur ImmoScout24 - La plateforme de l'immobilier en Suisse.</v>
      </c>
      <c r="D803" s="4" t="str">
        <f>vlookup(A803, Sheet2!D:E, 2, 0)</f>
        <v>variant</v>
      </c>
      <c r="E803" s="4" t="str">
        <f>IFERROR(__xludf.DUMMYFUNCTION("if(H803=""pays"",vlookup(REGEXEXTRACT(C803, ""🏘️ \w+ \w+ (.*) ✅""),'Country prepositions'!A:B, 2, 0) &amp; "" "" &amp; REGEXEXTRACT(C803, ""🏘️ \w+ \w+ (.*) ✅"") ,  if(H803=""quartier"",vlookup(REGEXEXTRACT(C803, ""🏘️ \w+ \w+ (.*) ✅""),'Quartier prepositions'!A"&amp;":E, 5, 0) ,  if(H803=""region"",vlookup(REGEXEXTRACT(C803, ""🏘️ \w+ \w+ (.*) ✅""),'Region prepositions'!B:F, 5, 0),  REGEXEXTRACT(C803, ""🏘️ \w+ \w+ (.*) ✅""))))"),"La Punt-Chamues-ch")</f>
        <v>La Punt-Chamues-ch</v>
      </c>
      <c r="F803" s="2" t="str">
        <f>IFERROR(__xludf.DUMMYFUNCTION("REGEXEXTRACT(C803, ""🏘️ (\w+) \w+ .* ✅"")"),"Vendre")</f>
        <v>Vendre</v>
      </c>
      <c r="G803" s="2" t="str">
        <f>IFERROR(__xludf.DUMMYFUNCTION("REGEXEXTRACT(C803, ""🏘️ \w+ (\w+) .* ✅"")"),"appartement")</f>
        <v>appartement</v>
      </c>
      <c r="H803" s="4" t="str">
        <f>IFERROR(__xludf.DUMMYFUNCTION("REGEXEXTRACT(A803, ""/(\w+)-.*?"")"),"lieu")</f>
        <v>lieu</v>
      </c>
      <c r="I803" s="4" t="str">
        <f>IFERROR(__xludf.DUMMYFUNCTION("if(D803=""variant"",  substitute(filter(Templates!E:E, Templates!A:A = F803, Templates!B:B = G803, Templates!C:C = H803), ""{{}}"", E803), B803)"),"🏘  L’appartement de vos rêves se trouve sur ImmoScout24.ch ✅ Découvrez les dernières annonces de vente à La Punt-Chamues-ch.")</f>
        <v>🏘  L’appartement de vos rêves se trouve sur ImmoScout24.ch ✅ Découvrez les dernières annonces de vente à La Punt-Chamues-ch.</v>
      </c>
      <c r="J803" s="4" t="s">
        <v>2416</v>
      </c>
    </row>
    <row r="804">
      <c r="A804" s="5" t="s">
        <v>2417</v>
      </c>
      <c r="B804" s="2" t="s">
        <v>2418</v>
      </c>
      <c r="C804" s="4" t="str">
        <f>IFERROR(__xludf.DUMMYFUNCTION("""🏘️ ""&amp;REGEXEXTRACT(B804, ""^(.*): "")&amp;"" ✅ "" &amp;REGEXEXTRACT(B804, ""(Trouvez.*)"")"),"🏘️ Louer appartement Boussens ✅ Trouvez le bien immobilier qui correspond idéalement à vos désirs sur ImmoScout24 - La plateforme de l'immobilier en Suisse.")</f>
        <v>🏘️ Louer appartement Boussens ✅ Trouvez le bien immobilier qui correspond idéalement à vos désirs sur ImmoScout24 - La plateforme de l'immobilier en Suisse.</v>
      </c>
      <c r="D804" s="4" t="str">
        <f>vlookup(A804, Sheet2!D:E, 2, 0)</f>
        <v>variant</v>
      </c>
      <c r="E804" s="4" t="str">
        <f>IFERROR(__xludf.DUMMYFUNCTION("if(H804=""pays"",vlookup(REGEXEXTRACT(C804, ""🏘️ \w+ \w+ (.*) ✅""),'Country prepositions'!A:B, 2, 0) &amp; "" "" &amp; REGEXEXTRACT(C804, ""🏘️ \w+ \w+ (.*) ✅"") ,  if(H804=""quartier"",vlookup(REGEXEXTRACT(C804, ""🏘️ \w+ \w+ (.*) ✅""),'Quartier prepositions'!A"&amp;":E, 5, 0) ,  if(H804=""region"",vlookup(REGEXEXTRACT(C804, ""🏘️ \w+ \w+ (.*) ✅""),'Region prepositions'!B:F, 5, 0),  REGEXEXTRACT(C804, ""🏘️ \w+ \w+ (.*) ✅""))))"),"Boussens")</f>
        <v>Boussens</v>
      </c>
      <c r="F804" s="2" t="str">
        <f>IFERROR(__xludf.DUMMYFUNCTION("REGEXEXTRACT(C804, ""🏘️ (\w+) \w+ .* ✅"")"),"Louer")</f>
        <v>Louer</v>
      </c>
      <c r="G804" s="2" t="str">
        <f>IFERROR(__xludf.DUMMYFUNCTION("REGEXEXTRACT(C804, ""🏘️ \w+ (\w+) .* ✅"")"),"appartement")</f>
        <v>appartement</v>
      </c>
      <c r="H804" s="4" t="str">
        <f>IFERROR(__xludf.DUMMYFUNCTION("REGEXEXTRACT(A804, ""/(\w+)-.*?"")"),"lieu")</f>
        <v>lieu</v>
      </c>
      <c r="I804" s="4" t="str">
        <f>IFERROR(__xludf.DUMMYFUNCTION("if(D804=""variant"",  substitute(filter(Templates!E:E, Templates!A:A = F804, Templates!B:B = G804, Templates!C:C = H804), ""{{}}"", E804), B804)"),"🏘  Vous cherchez un appartement à louer à Boussens? ✅ Les annonces les plus actuelles sont sur ImmoScout24.ch.")</f>
        <v>🏘  Vous cherchez un appartement à louer à Boussens? ✅ Les annonces les plus actuelles sont sur ImmoScout24.ch.</v>
      </c>
      <c r="J804" s="4" t="s">
        <v>2419</v>
      </c>
    </row>
    <row r="805">
      <c r="A805" s="5" t="s">
        <v>2420</v>
      </c>
      <c r="B805" s="2" t="s">
        <v>2421</v>
      </c>
      <c r="C805" s="4" t="str">
        <f>IFERROR(__xludf.DUMMYFUNCTION("""🏘️ ""&amp;REGEXEXTRACT(B805, ""^(.*): "")&amp;"" ✅ "" &amp;REGEXEXTRACT(B805, ""(Trouvez.*)"")"),"🏘️ Louer appartement Davesco-Soragno (Lugano) ✅ Trouvez le bien immobilier qui correspond idéalement à vos désirs sur ImmoScout24 - La plateforme de l'immobilier en Suisse.")</f>
        <v>🏘️ Louer appartement Davesco-Soragno (Lugano) ✅ Trouvez le bien immobilier qui correspond idéalement à vos désirs sur ImmoScout24 - La plateforme de l'immobilier en Suisse.</v>
      </c>
      <c r="D805" s="4" t="str">
        <f>vlookup(A805, Sheet2!D:E, 2, 0)</f>
        <v>variant</v>
      </c>
      <c r="E805" s="4" t="str">
        <f>IFERROR(__xludf.DUMMYFUNCTION("if(H805=""pays"",vlookup(REGEXEXTRACT(C805, ""🏘️ \w+ \w+ (.*) ✅""),'Country prepositions'!A:B, 2, 0) &amp; "" "" &amp; REGEXEXTRACT(C805, ""🏘️ \w+ \w+ (.*) ✅"") ,  if(H805=""quartier"",vlookup(REGEXEXTRACT(C805, ""🏘️ \w+ \w+ (.*) ✅""),'Quartier prepositions'!A"&amp;":E, 5, 0) ,  if(H805=""region"",vlookup(REGEXEXTRACT(C805, ""🏘️ \w+ \w+ (.*) ✅""),'Region prepositions'!B:F, 5, 0),  REGEXEXTRACT(C805, ""🏘️ \w+ \w+ (.*) ✅""))))"),"dans le quartier de Davesco-Soragno (Lugano)")</f>
        <v>dans le quartier de Davesco-Soragno (Lugano)</v>
      </c>
      <c r="F805" s="2" t="str">
        <f>IFERROR(__xludf.DUMMYFUNCTION("REGEXEXTRACT(C805, ""🏘️ (\w+) \w+ .* ✅"")"),"Louer")</f>
        <v>Louer</v>
      </c>
      <c r="G805" s="2" t="str">
        <f>IFERROR(__xludf.DUMMYFUNCTION("REGEXEXTRACT(C805, ""🏘️ \w+ (\w+) .* ✅"")"),"appartement")</f>
        <v>appartement</v>
      </c>
      <c r="H805" s="4" t="str">
        <f>IFERROR(__xludf.DUMMYFUNCTION("REGEXEXTRACT(A805, ""/(\w+)-.*?"")"),"quartier")</f>
        <v>quartier</v>
      </c>
      <c r="I805" s="4" t="str">
        <f>IFERROR(__xludf.DUMMYFUNCTION("if(D805=""variant"",  substitute(filter(Templates!E:E, Templates!A:A = F805, Templates!B:B = G805, Templates!C:C = H805), ""{{}}"", E805), B805)"),"🏘  Vous cherchez un appartement à louer dans le quartier de Davesco-Soragno (Lugano)? ✅ Les annonces les plus actuelles sont sur ImmoScout24.ch.")</f>
        <v>🏘  Vous cherchez un appartement à louer dans le quartier de Davesco-Soragno (Lugano)? ✅ Les annonces les plus actuelles sont sur ImmoScout24.ch.</v>
      </c>
      <c r="J805" s="4" t="s">
        <v>2422</v>
      </c>
    </row>
    <row r="806">
      <c r="A806" s="5" t="s">
        <v>2423</v>
      </c>
      <c r="B806" s="2" t="s">
        <v>2424</v>
      </c>
      <c r="C806" s="4" t="str">
        <f>IFERROR(__xludf.DUMMYFUNCTION("""🏘️ ""&amp;REGEXEXTRACT(B806, ""^(.*): "")&amp;"" ✅ "" &amp;REGEXEXTRACT(B806, ""(Trouvez.*)"")"),"🏘️ Louer maison Middes ✅ Trouvez le bien immobilier qui correspond idéalement à vos désirs sur ImmoScout24 - La plateforme de l'immobilier en Suisse.")</f>
        <v>🏘️ Louer maison Middes ✅ Trouvez le bien immobilier qui correspond idéalement à vos désirs sur ImmoScout24 - La plateforme de l'immobilier en Suisse.</v>
      </c>
      <c r="D806" s="4" t="str">
        <f>vlookup(A806, Sheet2!D:E, 2, 0)</f>
        <v>variant</v>
      </c>
      <c r="E806" s="4" t="str">
        <f>IFERROR(__xludf.DUMMYFUNCTION("if(H806=""pays"",vlookup(REGEXEXTRACT(C806, ""🏘️ \w+ \w+ (.*) ✅""),'Country prepositions'!A:B, 2, 0) &amp; "" "" &amp; REGEXEXTRACT(C806, ""🏘️ \w+ \w+ (.*) ✅"") ,  if(H806=""quartier"",vlookup(REGEXEXTRACT(C806, ""🏘️ \w+ \w+ (.*) ✅""),'Quartier prepositions'!A"&amp;":E, 5, 0) ,  if(H806=""region"",vlookup(REGEXEXTRACT(C806, ""🏘️ \w+ \w+ (.*) ✅""),'Region prepositions'!B:F, 5, 0),  REGEXEXTRACT(C806, ""🏘️ \w+ \w+ (.*) ✅""))))"),"Middes")</f>
        <v>Middes</v>
      </c>
      <c r="F806" s="2" t="str">
        <f>IFERROR(__xludf.DUMMYFUNCTION("REGEXEXTRACT(C806, ""🏘️ (\w+) \w+ .* ✅"")"),"Louer")</f>
        <v>Louer</v>
      </c>
      <c r="G806" s="2" t="str">
        <f>IFERROR(__xludf.DUMMYFUNCTION("REGEXEXTRACT(C806, ""🏘️ \w+ (\w+) .* ✅"")"),"maison")</f>
        <v>maison</v>
      </c>
      <c r="H806" s="4" t="str">
        <f>IFERROR(__xludf.DUMMYFUNCTION("REGEXEXTRACT(A806, ""/(\w+)-.*?"")"),"lieu")</f>
        <v>lieu</v>
      </c>
      <c r="I806" s="4" t="str">
        <f>IFERROR(__xludf.DUMMYFUNCTION("if(D806=""variant"",  substitute(filter(Templates!E:E, Templates!A:A = F806, Templates!B:B = G806, Templates!C:C = H806), ""{{}}"", E806), B806)"),"🏘  Vous cherchez une maison à louer à Middes? ✅ Découvrez nos nombreuses annonces sur ImmoScout24.ch.")</f>
        <v>🏘  Vous cherchez une maison à louer à Middes? ✅ Découvrez nos nombreuses annonces sur ImmoScout24.ch.</v>
      </c>
      <c r="J806" s="4" t="s">
        <v>2425</v>
      </c>
    </row>
    <row r="807">
      <c r="A807" s="5" t="s">
        <v>2426</v>
      </c>
      <c r="B807" s="2" t="s">
        <v>2427</v>
      </c>
      <c r="C807" s="4" t="str">
        <f>IFERROR(__xludf.DUMMYFUNCTION("""🏘️ ""&amp;REGEXEXTRACT(B807, ""^(.*): "")&amp;"" ✅ "" &amp;REGEXEXTRACT(B807, ""(Trouvez.*)"")"),"🏘️ Vendre appartement Léchelles ✅ Trouvez le bien immobilier qui correspond idéalement à vos désirs sur ImmoScout24 - La plateforme de l'immobilier en Suisse.")</f>
        <v>🏘️ Vendre appartement Léchelles ✅ Trouvez le bien immobilier qui correspond idéalement à vos désirs sur ImmoScout24 - La plateforme de l'immobilier en Suisse.</v>
      </c>
      <c r="D807" s="4" t="str">
        <f>vlookup(A807, Sheet2!D:E, 2, 0)</f>
        <v>variant</v>
      </c>
      <c r="E807" s="4" t="str">
        <f>IFERROR(__xludf.DUMMYFUNCTION("if(H807=""pays"",vlookup(REGEXEXTRACT(C807, ""🏘️ \w+ \w+ (.*) ✅""),'Country prepositions'!A:B, 2, 0) &amp; "" "" &amp; REGEXEXTRACT(C807, ""🏘️ \w+ \w+ (.*) ✅"") ,  if(H807=""quartier"",vlookup(REGEXEXTRACT(C807, ""🏘️ \w+ \w+ (.*) ✅""),'Quartier prepositions'!A"&amp;":E, 5, 0) ,  if(H807=""region"",vlookup(REGEXEXTRACT(C807, ""🏘️ \w+ \w+ (.*) ✅""),'Region prepositions'!B:F, 5, 0),  REGEXEXTRACT(C807, ""🏘️ \w+ \w+ (.*) ✅""))))"),"Léchelles")</f>
        <v>Léchelles</v>
      </c>
      <c r="F807" s="2" t="str">
        <f>IFERROR(__xludf.DUMMYFUNCTION("REGEXEXTRACT(C807, ""🏘️ (\w+) \w+ .* ✅"")"),"Vendre")</f>
        <v>Vendre</v>
      </c>
      <c r="G807" s="2" t="str">
        <f>IFERROR(__xludf.DUMMYFUNCTION("REGEXEXTRACT(C807, ""🏘️ \w+ (\w+) .* ✅"")"),"appartement")</f>
        <v>appartement</v>
      </c>
      <c r="H807" s="4" t="str">
        <f>IFERROR(__xludf.DUMMYFUNCTION("REGEXEXTRACT(A807, ""/(\w+)-.*?"")"),"lieu")</f>
        <v>lieu</v>
      </c>
      <c r="I807" s="4" t="str">
        <f>IFERROR(__xludf.DUMMYFUNCTION("if(D807=""variant"",  substitute(filter(Templates!E:E, Templates!A:A = F807, Templates!B:B = G807, Templates!C:C = H807), ""{{}}"", E807), B807)"),"🏘  L’appartement de vos rêves se trouve sur ImmoScout24.ch ✅ Découvrez les dernières annonces de vente à Léchelles.")</f>
        <v>🏘  L’appartement de vos rêves se trouve sur ImmoScout24.ch ✅ Découvrez les dernières annonces de vente à Léchelles.</v>
      </c>
      <c r="J807" s="4" t="s">
        <v>2428</v>
      </c>
    </row>
    <row r="808">
      <c r="A808" s="5" t="s">
        <v>2429</v>
      </c>
      <c r="B808" s="2" t="s">
        <v>2430</v>
      </c>
      <c r="C808" s="4" t="str">
        <f>IFERROR(__xludf.DUMMYFUNCTION("""🏘️ ""&amp;REGEXEXTRACT(B808, ""^(.*): "")&amp;"" ✅ "" &amp;REGEXEXTRACT(B808, ""(Trouvez.*)"")"),"🏘️ Louer appartement Hünenberg ✅ Trouvez le bien immobilier qui correspond idéalement à vos désirs sur ImmoScout24 - La plateforme de l'immobilier en Suisse.")</f>
        <v>🏘️ Louer appartement Hünenberg ✅ Trouvez le bien immobilier qui correspond idéalement à vos désirs sur ImmoScout24 - La plateforme de l'immobilier en Suisse.</v>
      </c>
      <c r="D808" s="4" t="str">
        <f>vlookup(A808, Sheet2!D:E, 2, 0)</f>
        <v>variant</v>
      </c>
      <c r="E808" s="4" t="str">
        <f>IFERROR(__xludf.DUMMYFUNCTION("if(H808=""pays"",vlookup(REGEXEXTRACT(C808, ""🏘️ \w+ \w+ (.*) ✅""),'Country prepositions'!A:B, 2, 0) &amp; "" "" &amp; REGEXEXTRACT(C808, ""🏘️ \w+ \w+ (.*) ✅"") ,  if(H808=""quartier"",vlookup(REGEXEXTRACT(C808, ""🏘️ \w+ \w+ (.*) ✅""),'Quartier prepositions'!A"&amp;":E, 5, 0) ,  if(H808=""region"",vlookup(REGEXEXTRACT(C808, ""🏘️ \w+ \w+ (.*) ✅""),'Region prepositions'!B:F, 5, 0),  REGEXEXTRACT(C808, ""🏘️ \w+ \w+ (.*) ✅""))))"),"Hünenberg")</f>
        <v>Hünenberg</v>
      </c>
      <c r="F808" s="2" t="str">
        <f>IFERROR(__xludf.DUMMYFUNCTION("REGEXEXTRACT(C808, ""🏘️ (\w+) \w+ .* ✅"")"),"Louer")</f>
        <v>Louer</v>
      </c>
      <c r="G808" s="2" t="str">
        <f>IFERROR(__xludf.DUMMYFUNCTION("REGEXEXTRACT(C808, ""🏘️ \w+ (\w+) .* ✅"")"),"appartement")</f>
        <v>appartement</v>
      </c>
      <c r="H808" s="4" t="str">
        <f>IFERROR(__xludf.DUMMYFUNCTION("REGEXEXTRACT(A808, ""/(\w+)-.*?"")"),"lieu")</f>
        <v>lieu</v>
      </c>
      <c r="I808" s="4" t="str">
        <f>IFERROR(__xludf.DUMMYFUNCTION("if(D808=""variant"",  substitute(filter(Templates!E:E, Templates!A:A = F808, Templates!B:B = G808, Templates!C:C = H808), ""{{}}"", E808), B808)"),"🏘  Vous cherchez un appartement à louer à Hünenberg? ✅ Les annonces les plus actuelles sont sur ImmoScout24.ch.")</f>
        <v>🏘  Vous cherchez un appartement à louer à Hünenberg? ✅ Les annonces les plus actuelles sont sur ImmoScout24.ch.</v>
      </c>
      <c r="J808" s="4" t="s">
        <v>2431</v>
      </c>
    </row>
    <row r="809">
      <c r="A809" s="5" t="s">
        <v>2432</v>
      </c>
      <c r="B809" s="2" t="s">
        <v>2433</v>
      </c>
      <c r="C809" s="4" t="str">
        <f>IFERROR(__xludf.DUMMYFUNCTION("""🏘️ ""&amp;REGEXEXTRACT(B809, ""^(.*): "")&amp;"" ✅ "" &amp;REGEXEXTRACT(B809, ""(Trouvez.*)"")"),"🏘️ Vendre appartement Versegères ✅ Trouvez le bien immobilier qui correspond idéalement à vos désirs sur ImmoScout24 - La plateforme de l'immobilier en Suisse.")</f>
        <v>🏘️ Vendre appartement Versegères ✅ Trouvez le bien immobilier qui correspond idéalement à vos désirs sur ImmoScout24 - La plateforme de l'immobilier en Suisse.</v>
      </c>
      <c r="D809" s="4" t="str">
        <f>vlookup(A809, Sheet2!D:E, 2, 0)</f>
        <v>variant</v>
      </c>
      <c r="E809" s="4" t="str">
        <f>IFERROR(__xludf.DUMMYFUNCTION("if(H809=""pays"",vlookup(REGEXEXTRACT(C809, ""🏘️ \w+ \w+ (.*) ✅""),'Country prepositions'!A:B, 2, 0) &amp; "" "" &amp; REGEXEXTRACT(C809, ""🏘️ \w+ \w+ (.*) ✅"") ,  if(H809=""quartier"",vlookup(REGEXEXTRACT(C809, ""🏘️ \w+ \w+ (.*) ✅""),'Quartier prepositions'!A"&amp;":E, 5, 0) ,  if(H809=""region"",vlookup(REGEXEXTRACT(C809, ""🏘️ \w+ \w+ (.*) ✅""),'Region prepositions'!B:F, 5, 0),  REGEXEXTRACT(C809, ""🏘️ \w+ \w+ (.*) ✅""))))"),"Versegères")</f>
        <v>Versegères</v>
      </c>
      <c r="F809" s="2" t="str">
        <f>IFERROR(__xludf.DUMMYFUNCTION("REGEXEXTRACT(C809, ""🏘️ (\w+) \w+ .* ✅"")"),"Vendre")</f>
        <v>Vendre</v>
      </c>
      <c r="G809" s="2" t="str">
        <f>IFERROR(__xludf.DUMMYFUNCTION("REGEXEXTRACT(C809, ""🏘️ \w+ (\w+) .* ✅"")"),"appartement")</f>
        <v>appartement</v>
      </c>
      <c r="H809" s="4" t="str">
        <f>IFERROR(__xludf.DUMMYFUNCTION("REGEXEXTRACT(A809, ""/(\w+)-.*?"")"),"lieu")</f>
        <v>lieu</v>
      </c>
      <c r="I809" s="4" t="str">
        <f>IFERROR(__xludf.DUMMYFUNCTION("if(D809=""variant"",  substitute(filter(Templates!E:E, Templates!A:A = F809, Templates!B:B = G809, Templates!C:C = H809), ""{{}}"", E809), B809)"),"🏘  L’appartement de vos rêves se trouve sur ImmoScout24.ch ✅ Découvrez les dernières annonces de vente à Versegères.")</f>
        <v>🏘  L’appartement de vos rêves se trouve sur ImmoScout24.ch ✅ Découvrez les dernières annonces de vente à Versegères.</v>
      </c>
      <c r="J809" s="4" t="s">
        <v>2434</v>
      </c>
    </row>
    <row r="810">
      <c r="A810" s="5" t="s">
        <v>2435</v>
      </c>
      <c r="B810" s="2" t="s">
        <v>2436</v>
      </c>
      <c r="C810" s="4" t="str">
        <f>IFERROR(__xludf.DUMMYFUNCTION("""🏘️ ""&amp;REGEXEXTRACT(B810, ""^(.*): "")&amp;"" ✅ "" &amp;REGEXEXTRACT(B810, ""(Trouvez.*)"")"),"🏘️ Vendre maison Grèce ✅ Trouvez le bien immobilier qui correspond idéalement à vos désirs sur ImmoScout24 - La plateforme de l'immobilier en Suisse.")</f>
        <v>🏘️ Vendre maison Grèce ✅ Trouvez le bien immobilier qui correspond idéalement à vos désirs sur ImmoScout24 - La plateforme de l'immobilier en Suisse.</v>
      </c>
      <c r="D810" s="4" t="str">
        <f>vlookup(A810, Sheet2!D:E, 2, 0)</f>
        <v>variant</v>
      </c>
      <c r="E810" s="4" t="str">
        <f>IFERROR(__xludf.DUMMYFUNCTION("if(H810=""pays"",vlookup(REGEXEXTRACT(C810, ""🏘️ \w+ \w+ (.*) ✅""),'Country prepositions'!A:B, 2, 0) &amp; "" "" &amp; REGEXEXTRACT(C810, ""🏘️ \w+ \w+ (.*) ✅"") ,  if(H810=""quartier"",vlookup(REGEXEXTRACT(C810, ""🏘️ \w+ \w+ (.*) ✅""),'Quartier prepositions'!A"&amp;":E, 5, 0) ,  if(H810=""region"",vlookup(REGEXEXTRACT(C810, ""🏘️ \w+ \w+ (.*) ✅""),'Region prepositions'!B:F, 5, 0),  REGEXEXTRACT(C810, ""🏘️ \w+ \w+ (.*) ✅""))))"),"en Grèce")</f>
        <v>en Grèce</v>
      </c>
      <c r="F810" s="2" t="str">
        <f>IFERROR(__xludf.DUMMYFUNCTION("REGEXEXTRACT(C810, ""🏘️ (\w+) \w+ .* ✅"")"),"Vendre")</f>
        <v>Vendre</v>
      </c>
      <c r="G810" s="2" t="str">
        <f>IFERROR(__xludf.DUMMYFUNCTION("REGEXEXTRACT(C810, ""🏘️ \w+ (\w+) .* ✅"")"),"maison")</f>
        <v>maison</v>
      </c>
      <c r="H810" s="4" t="str">
        <f>IFERROR(__xludf.DUMMYFUNCTION("REGEXEXTRACT(A810, ""/(\w+)-.*?"")"),"pays")</f>
        <v>pays</v>
      </c>
      <c r="I810" s="4" t="str">
        <f>IFERROR(__xludf.DUMMYFUNCTION("if(D810=""variant"",  substitute(filter(Templates!E:E, Templates!A:A = F810, Templates!B:B = G810, Templates!C:C = H810), ""{{}}"", E810), B810)"),"🏘  Vous cherchez un appartement à louer en Grèce? ✅ Les annonces les plus actuelles sont sur ImmoScout24.ch.")</f>
        <v>🏘  Vous cherchez un appartement à louer en Grèce? ✅ Les annonces les plus actuelles sont sur ImmoScout24.ch.</v>
      </c>
      <c r="J810" s="4" t="s">
        <v>2437</v>
      </c>
    </row>
    <row r="811">
      <c r="A811" s="5" t="s">
        <v>2438</v>
      </c>
      <c r="B811" s="2" t="s">
        <v>2439</v>
      </c>
      <c r="C811" s="4" t="str">
        <f>IFERROR(__xludf.DUMMYFUNCTION("""🏘️ ""&amp;REGEXEXTRACT(B811, ""^(.*): "")&amp;"" ✅ "" &amp;REGEXEXTRACT(B811, ""(Trouvez.*)"")"),"🏘️ Vendre maison Bürchen ✅ Trouvez le bien immobilier qui correspond idéalement à vos désirs sur ImmoScout24 - La plateforme de l'immobilier en Suisse.")</f>
        <v>🏘️ Vendre maison Bürchen ✅ Trouvez le bien immobilier qui correspond idéalement à vos désirs sur ImmoScout24 - La plateforme de l'immobilier en Suisse.</v>
      </c>
      <c r="D811" s="4" t="str">
        <f>vlookup(A811, Sheet2!D:E, 2, 0)</f>
        <v>variant</v>
      </c>
      <c r="E811" s="4" t="str">
        <f>IFERROR(__xludf.DUMMYFUNCTION("if(H811=""pays"",vlookup(REGEXEXTRACT(C811, ""🏘️ \w+ \w+ (.*) ✅""),'Country prepositions'!A:B, 2, 0) &amp; "" "" &amp; REGEXEXTRACT(C811, ""🏘️ \w+ \w+ (.*) ✅"") ,  if(H811=""quartier"",vlookup(REGEXEXTRACT(C811, ""🏘️ \w+ \w+ (.*) ✅""),'Quartier prepositions'!A"&amp;":E, 5, 0) ,  if(H811=""region"",vlookup(REGEXEXTRACT(C811, ""🏘️ \w+ \w+ (.*) ✅""),'Region prepositions'!B:F, 5, 0),  REGEXEXTRACT(C811, ""🏘️ \w+ \w+ (.*) ✅""))))"),"Bürchen")</f>
        <v>Bürchen</v>
      </c>
      <c r="F811" s="2" t="str">
        <f>IFERROR(__xludf.DUMMYFUNCTION("REGEXEXTRACT(C811, ""🏘️ (\w+) \w+ .* ✅"")"),"Vendre")</f>
        <v>Vendre</v>
      </c>
      <c r="G811" s="2" t="str">
        <f>IFERROR(__xludf.DUMMYFUNCTION("REGEXEXTRACT(C811, ""🏘️ \w+ (\w+) .* ✅"")"),"maison")</f>
        <v>maison</v>
      </c>
      <c r="H811" s="4" t="str">
        <f>IFERROR(__xludf.DUMMYFUNCTION("REGEXEXTRACT(A811, ""/(\w+)-.*?"")"),"lieu")</f>
        <v>lieu</v>
      </c>
      <c r="I811" s="4" t="str">
        <f>IFERROR(__xludf.DUMMYFUNCTION("if(D811=""variant"",  substitute(filter(Templates!E:E, Templates!A:A = F811, Templates!B:B = G811, Templates!C:C = H811), ""{{}}"", E811), B811)"),"🏘  Vous souhaitez acheter une maison à Bürchen? ✅ Jetez un œil aux dernières offres sur ImmoScout24.ch.")</f>
        <v>🏘  Vous souhaitez acheter une maison à Bürchen? ✅ Jetez un œil aux dernières offres sur ImmoScout24.ch.</v>
      </c>
      <c r="J811" s="4" t="s">
        <v>2440</v>
      </c>
    </row>
    <row r="812">
      <c r="A812" s="5" t="s">
        <v>2441</v>
      </c>
      <c r="B812" s="2" t="s">
        <v>2442</v>
      </c>
      <c r="C812" s="4" t="str">
        <f>IFERROR(__xludf.DUMMYFUNCTION("""🏘️ ""&amp;REGEXEXTRACT(B812, ""^(.*): "")&amp;"" ✅ "" &amp;REGEXEXTRACT(B812, ""(Trouvez.*)"")"),"🏘️ Louer maison Sion - Sierre et environs ✅ Trouvez le bien immobilier qui correspond idéalement à vos désirs sur ImmoScout24 - La plateforme de l'immobilier en Suisse.")</f>
        <v>🏘️ Louer maison Sion - Sierre et environs ✅ Trouvez le bien immobilier qui correspond idéalement à vos désirs sur ImmoScout24 - La plateforme de l'immobilier en Suisse.</v>
      </c>
      <c r="D812" s="4" t="str">
        <f>vlookup(A812, Sheet2!D:E, 2, 0)</f>
        <v>variant</v>
      </c>
      <c r="E812" s="4" t="str">
        <f>IFERROR(__xludf.DUMMYFUNCTION("if(H812=""pays"",vlookup(REGEXEXTRACT(C812, ""🏘️ \w+ \w+ (.*) ✅""),'Country prepositions'!A:B, 2, 0) &amp; "" "" &amp; REGEXEXTRACT(C812, ""🏘️ \w+ \w+ (.*) ✅"") ,  if(H812=""quartier"",vlookup(REGEXEXTRACT(C812, ""🏘️ \w+ \w+ (.*) ✅""),'Quartier prepositions'!A"&amp;":E, 5, 0) ,  if(H812=""region"",vlookup(REGEXEXTRACT(C812, ""🏘️ \w+ \w+ (.*) ✅""),'Region prepositions'!B:F, 5, 0),  REGEXEXTRACT(C812, ""🏘️ \w+ \w+ (.*) ✅""))))"),"à Sion - Sierre et environs")</f>
        <v>à Sion - Sierre et environs</v>
      </c>
      <c r="F812" s="2" t="str">
        <f>IFERROR(__xludf.DUMMYFUNCTION("REGEXEXTRACT(C812, ""🏘️ (\w+) \w+ .* ✅"")"),"Louer")</f>
        <v>Louer</v>
      </c>
      <c r="G812" s="2" t="str">
        <f>IFERROR(__xludf.DUMMYFUNCTION("REGEXEXTRACT(C812, ""🏘️ \w+ (\w+) .* ✅"")"),"maison")</f>
        <v>maison</v>
      </c>
      <c r="H812" s="4" t="str">
        <f>IFERROR(__xludf.DUMMYFUNCTION("REGEXEXTRACT(A812, ""/(\w+)-.*?"")"),"region")</f>
        <v>region</v>
      </c>
      <c r="I812" s="4" t="str">
        <f>IFERROR(__xludf.DUMMYFUNCTION("if(D812=""variant"",  substitute(filter(Templates!E:E, Templates!A:A = F812, Templates!B:B = G812, Templates!C:C = H812), ""{{}}"", E812), B812)"),"🏘  Vous cherchez une maison à louer à Sion - Sierre et environs? ✅ Découvrez nos nombreuses annonces sur ImmoScout24.ch.")</f>
        <v>🏘  Vous cherchez une maison à louer à Sion - Sierre et environs? ✅ Découvrez nos nombreuses annonces sur ImmoScout24.ch.</v>
      </c>
      <c r="J812" s="4" t="s">
        <v>2443</v>
      </c>
    </row>
    <row r="813">
      <c r="A813" s="5" t="s">
        <v>2444</v>
      </c>
      <c r="B813" s="2" t="s">
        <v>2445</v>
      </c>
      <c r="C813" s="4" t="str">
        <f>IFERROR(__xludf.DUMMYFUNCTION("""🏘️ ""&amp;REGEXEXTRACT(B813, ""^(.*): "")&amp;"" ✅ "" &amp;REGEXEXTRACT(B813, ""(Trouvez.*)"")"),"🏘️ Louer appartement Hilterfingen ✅ Trouvez le bien immobilier qui correspond idéalement à vos désirs sur ImmoScout24 - La plateforme de l'immobilier en Suisse.")</f>
        <v>🏘️ Louer appartement Hilterfingen ✅ Trouvez le bien immobilier qui correspond idéalement à vos désirs sur ImmoScout24 - La plateforme de l'immobilier en Suisse.</v>
      </c>
      <c r="D813" s="4" t="str">
        <f>vlookup(A813, Sheet2!D:E, 2, 0)</f>
        <v>variant</v>
      </c>
      <c r="E813" s="4" t="str">
        <f>IFERROR(__xludf.DUMMYFUNCTION("if(H813=""pays"",vlookup(REGEXEXTRACT(C813, ""🏘️ \w+ \w+ (.*) ✅""),'Country prepositions'!A:B, 2, 0) &amp; "" "" &amp; REGEXEXTRACT(C813, ""🏘️ \w+ \w+ (.*) ✅"") ,  if(H813=""quartier"",vlookup(REGEXEXTRACT(C813, ""🏘️ \w+ \w+ (.*) ✅""),'Quartier prepositions'!A"&amp;":E, 5, 0) ,  if(H813=""region"",vlookup(REGEXEXTRACT(C813, ""🏘️ \w+ \w+ (.*) ✅""),'Region prepositions'!B:F, 5, 0),  REGEXEXTRACT(C813, ""🏘️ \w+ \w+ (.*) ✅""))))"),"Hilterfingen")</f>
        <v>Hilterfingen</v>
      </c>
      <c r="F813" s="2" t="str">
        <f>IFERROR(__xludf.DUMMYFUNCTION("REGEXEXTRACT(C813, ""🏘️ (\w+) \w+ .* ✅"")"),"Louer")</f>
        <v>Louer</v>
      </c>
      <c r="G813" s="2" t="str">
        <f>IFERROR(__xludf.DUMMYFUNCTION("REGEXEXTRACT(C813, ""🏘️ \w+ (\w+) .* ✅"")"),"appartement")</f>
        <v>appartement</v>
      </c>
      <c r="H813" s="4" t="str">
        <f>IFERROR(__xludf.DUMMYFUNCTION("REGEXEXTRACT(A813, ""/(\w+)-.*?"")"),"lieu")</f>
        <v>lieu</v>
      </c>
      <c r="I813" s="4" t="str">
        <f>IFERROR(__xludf.DUMMYFUNCTION("if(D813=""variant"",  substitute(filter(Templates!E:E, Templates!A:A = F813, Templates!B:B = G813, Templates!C:C = H813), ""{{}}"", E813), B813)"),"🏘  Vous cherchez un appartement à louer à Hilterfingen? ✅ Les annonces les plus actuelles sont sur ImmoScout24.ch.")</f>
        <v>🏘  Vous cherchez un appartement à louer à Hilterfingen? ✅ Les annonces les plus actuelles sont sur ImmoScout24.ch.</v>
      </c>
      <c r="J813" s="4" t="s">
        <v>2446</v>
      </c>
    </row>
    <row r="814">
      <c r="A814" s="5" t="s">
        <v>2447</v>
      </c>
      <c r="B814" s="2" t="s">
        <v>2448</v>
      </c>
      <c r="C814" s="4" t="str">
        <f>IFERROR(__xludf.DUMMYFUNCTION("""🏘️ ""&amp;REGEXEXTRACT(B814, ""^(.*): "")&amp;"" ✅ "" &amp;REGEXEXTRACT(B814, ""(Trouvez.*)"")"),"🏘️ Vendre maison St-Imier ✅ Trouvez le bien immobilier qui correspond idéalement à vos désirs sur ImmoScout24 - La plateforme de l'immobilier en Suisse.")</f>
        <v>🏘️ Vendre maison St-Imier ✅ Trouvez le bien immobilier qui correspond idéalement à vos désirs sur ImmoScout24 - La plateforme de l'immobilier en Suisse.</v>
      </c>
      <c r="D814" s="4" t="str">
        <f>vlookup(A814, Sheet2!D:E, 2, 0)</f>
        <v>variant</v>
      </c>
      <c r="E814" s="4" t="str">
        <f>IFERROR(__xludf.DUMMYFUNCTION("if(H814=""pays"",vlookup(REGEXEXTRACT(C814, ""🏘️ \w+ \w+ (.*) ✅""),'Country prepositions'!A:B, 2, 0) &amp; "" "" &amp; REGEXEXTRACT(C814, ""🏘️ \w+ \w+ (.*) ✅"") ,  if(H814=""quartier"",vlookup(REGEXEXTRACT(C814, ""🏘️ \w+ \w+ (.*) ✅""),'Quartier prepositions'!A"&amp;":E, 5, 0) ,  if(H814=""region"",vlookup(REGEXEXTRACT(C814, ""🏘️ \w+ \w+ (.*) ✅""),'Region prepositions'!B:F, 5, 0),  REGEXEXTRACT(C814, ""🏘️ \w+ \w+ (.*) ✅""))))"),"St-Imier")</f>
        <v>St-Imier</v>
      </c>
      <c r="F814" s="2" t="str">
        <f>IFERROR(__xludf.DUMMYFUNCTION("REGEXEXTRACT(C814, ""🏘️ (\w+) \w+ .* ✅"")"),"Vendre")</f>
        <v>Vendre</v>
      </c>
      <c r="G814" s="2" t="str">
        <f>IFERROR(__xludf.DUMMYFUNCTION("REGEXEXTRACT(C814, ""🏘️ \w+ (\w+) .* ✅"")"),"maison")</f>
        <v>maison</v>
      </c>
      <c r="H814" s="4" t="str">
        <f>IFERROR(__xludf.DUMMYFUNCTION("REGEXEXTRACT(A814, ""/(\w+)-.*?"")"),"lieu")</f>
        <v>lieu</v>
      </c>
      <c r="I814" s="4" t="str">
        <f>IFERROR(__xludf.DUMMYFUNCTION("if(D814=""variant"",  substitute(filter(Templates!E:E, Templates!A:A = F814, Templates!B:B = G814, Templates!C:C = H814), ""{{}}"", E814), B814)"),"🏘  Vous souhaitez acheter une maison à St-Imier? ✅ Jetez un œil aux dernières offres sur ImmoScout24.ch.")</f>
        <v>🏘  Vous souhaitez acheter une maison à St-Imier? ✅ Jetez un œil aux dernières offres sur ImmoScout24.ch.</v>
      </c>
      <c r="J814" s="4" t="s">
        <v>2449</v>
      </c>
    </row>
    <row r="815">
      <c r="A815" s="5" t="s">
        <v>2450</v>
      </c>
      <c r="B815" s="2" t="s">
        <v>2451</v>
      </c>
      <c r="C815" s="4" t="str">
        <f>IFERROR(__xludf.DUMMYFUNCTION("""🏘️ ""&amp;REGEXEXTRACT(B815, ""^(.*): "")&amp;"" ✅ "" &amp;REGEXEXTRACT(B815, ""(Trouvez.*)"")"),"🏘️ Vendre maison Travers ✅ Trouvez le bien immobilier qui correspond idéalement à vos désirs sur ImmoScout24 - La plateforme de l'immobilier en Suisse.")</f>
        <v>🏘️ Vendre maison Travers ✅ Trouvez le bien immobilier qui correspond idéalement à vos désirs sur ImmoScout24 - La plateforme de l'immobilier en Suisse.</v>
      </c>
      <c r="D815" s="4" t="str">
        <f>vlookup(A815, Sheet2!D:E, 2, 0)</f>
        <v>variant</v>
      </c>
      <c r="E815" s="4" t="str">
        <f>IFERROR(__xludf.DUMMYFUNCTION("if(H815=""pays"",vlookup(REGEXEXTRACT(C815, ""🏘️ \w+ \w+ (.*) ✅""),'Country prepositions'!A:B, 2, 0) &amp; "" "" &amp; REGEXEXTRACT(C815, ""🏘️ \w+ \w+ (.*) ✅"") ,  if(H815=""quartier"",vlookup(REGEXEXTRACT(C815, ""🏘️ \w+ \w+ (.*) ✅""),'Quartier prepositions'!A"&amp;":E, 5, 0) ,  if(H815=""region"",vlookup(REGEXEXTRACT(C815, ""🏘️ \w+ \w+ (.*) ✅""),'Region prepositions'!B:F, 5, 0),  REGEXEXTRACT(C815, ""🏘️ \w+ \w+ (.*) ✅""))))"),"Travers")</f>
        <v>Travers</v>
      </c>
      <c r="F815" s="2" t="str">
        <f>IFERROR(__xludf.DUMMYFUNCTION("REGEXEXTRACT(C815, ""🏘️ (\w+) \w+ .* ✅"")"),"Vendre")</f>
        <v>Vendre</v>
      </c>
      <c r="G815" s="2" t="str">
        <f>IFERROR(__xludf.DUMMYFUNCTION("REGEXEXTRACT(C815, ""🏘️ \w+ (\w+) .* ✅"")"),"maison")</f>
        <v>maison</v>
      </c>
      <c r="H815" s="4" t="str">
        <f>IFERROR(__xludf.DUMMYFUNCTION("REGEXEXTRACT(A815, ""/(\w+)-.*?"")"),"lieu")</f>
        <v>lieu</v>
      </c>
      <c r="I815" s="4" t="str">
        <f>IFERROR(__xludf.DUMMYFUNCTION("if(D815=""variant"",  substitute(filter(Templates!E:E, Templates!A:A = F815, Templates!B:B = G815, Templates!C:C = H815), ""{{}}"", E815), B815)"),"🏘  Vous souhaitez acheter une maison à Travers? ✅ Jetez un œil aux dernières offres sur ImmoScout24.ch.")</f>
        <v>🏘  Vous souhaitez acheter une maison à Travers? ✅ Jetez un œil aux dernières offres sur ImmoScout24.ch.</v>
      </c>
      <c r="J815" s="4" t="s">
        <v>2452</v>
      </c>
    </row>
    <row r="816">
      <c r="A816" s="5" t="s">
        <v>2453</v>
      </c>
      <c r="B816" s="2" t="s">
        <v>2454</v>
      </c>
      <c r="C816" s="4" t="str">
        <f>IFERROR(__xludf.DUMMYFUNCTION("""🏘️ ""&amp;REGEXEXTRACT(B816, ""^(.*): "")&amp;"" ✅ "" &amp;REGEXEXTRACT(B816, ""(Trouvez.*)"")"),"🏘️ Louer appartement Platta ✅ Trouvez le bien immobilier qui correspond idéalement à vos désirs sur ImmoScout24 - La plateforme de l'immobilier en Suisse.")</f>
        <v>🏘️ Louer appartement Platta ✅ Trouvez le bien immobilier qui correspond idéalement à vos désirs sur ImmoScout24 - La plateforme de l'immobilier en Suisse.</v>
      </c>
      <c r="D816" s="4" t="str">
        <f>vlookup(A816, Sheet2!D:E, 2, 0)</f>
        <v>variant</v>
      </c>
      <c r="E816" s="4" t="str">
        <f>IFERROR(__xludf.DUMMYFUNCTION("if(H816=""pays"",vlookup(REGEXEXTRACT(C816, ""🏘️ \w+ \w+ (.*) ✅""),'Country prepositions'!A:B, 2, 0) &amp; "" "" &amp; REGEXEXTRACT(C816, ""🏘️ \w+ \w+ (.*) ✅"") ,  if(H816=""quartier"",vlookup(REGEXEXTRACT(C816, ""🏘️ \w+ \w+ (.*) ✅""),'Quartier prepositions'!A"&amp;":E, 5, 0) ,  if(H816=""region"",vlookup(REGEXEXTRACT(C816, ""🏘️ \w+ \w+ (.*) ✅""),'Region prepositions'!B:F, 5, 0),  REGEXEXTRACT(C816, ""🏘️ \w+ \w+ (.*) ✅""))))"),"Platta")</f>
        <v>Platta</v>
      </c>
      <c r="F816" s="2" t="str">
        <f>IFERROR(__xludf.DUMMYFUNCTION("REGEXEXTRACT(C816, ""🏘️ (\w+) \w+ .* ✅"")"),"Louer")</f>
        <v>Louer</v>
      </c>
      <c r="G816" s="2" t="str">
        <f>IFERROR(__xludf.DUMMYFUNCTION("REGEXEXTRACT(C816, ""🏘️ \w+ (\w+) .* ✅"")"),"appartement")</f>
        <v>appartement</v>
      </c>
      <c r="H816" s="4" t="str">
        <f>IFERROR(__xludf.DUMMYFUNCTION("REGEXEXTRACT(A816, ""/(\w+)-.*?"")"),"lieu")</f>
        <v>lieu</v>
      </c>
      <c r="I816" s="4" t="str">
        <f>IFERROR(__xludf.DUMMYFUNCTION("if(D816=""variant"",  substitute(filter(Templates!E:E, Templates!A:A = F816, Templates!B:B = G816, Templates!C:C = H816), ""{{}}"", E816), B816)"),"🏘  Vous cherchez un appartement à louer à Platta? ✅ Les annonces les plus actuelles sont sur ImmoScout24.ch.")</f>
        <v>🏘  Vous cherchez un appartement à louer à Platta? ✅ Les annonces les plus actuelles sont sur ImmoScout24.ch.</v>
      </c>
      <c r="J816" s="4" t="s">
        <v>2455</v>
      </c>
    </row>
    <row r="817">
      <c r="A817" s="5" t="s">
        <v>2456</v>
      </c>
      <c r="B817" s="2" t="s">
        <v>2457</v>
      </c>
      <c r="C817" s="4" t="str">
        <f>IFERROR(__xludf.DUMMYFUNCTION("""🏘️ ""&amp;REGEXEXTRACT(B817, ""^(.*): "")&amp;"" ✅ "" &amp;REGEXEXTRACT(B817, ""(Trouvez.*)"")"),"🏘️ Vendre maison Oberhofen am Thunersee ✅ Trouvez le bien immobilier qui correspond idéalement à vos désirs sur ImmoScout24 - La plateforme de l'immobilier en Suisse.")</f>
        <v>🏘️ Vendre maison Oberhofen am Thunersee ✅ Trouvez le bien immobilier qui correspond idéalement à vos désirs sur ImmoScout24 - La plateforme de l'immobilier en Suisse.</v>
      </c>
      <c r="D817" s="4" t="str">
        <f>vlookup(A817, Sheet2!D:E, 2, 0)</f>
        <v>variant</v>
      </c>
      <c r="E817" s="4" t="str">
        <f>IFERROR(__xludf.DUMMYFUNCTION("if(H817=""pays"",vlookup(REGEXEXTRACT(C817, ""🏘️ \w+ \w+ (.*) ✅""),'Country prepositions'!A:B, 2, 0) &amp; "" "" &amp; REGEXEXTRACT(C817, ""🏘️ \w+ \w+ (.*) ✅"") ,  if(H817=""quartier"",vlookup(REGEXEXTRACT(C817, ""🏘️ \w+ \w+ (.*) ✅""),'Quartier prepositions'!A"&amp;":E, 5, 0) ,  if(H817=""region"",vlookup(REGEXEXTRACT(C817, ""🏘️ \w+ \w+ (.*) ✅""),'Region prepositions'!B:F, 5, 0),  REGEXEXTRACT(C817, ""🏘️ \w+ \w+ (.*) ✅""))))"),"Oberhofen am Thunersee")</f>
        <v>Oberhofen am Thunersee</v>
      </c>
      <c r="F817" s="2" t="str">
        <f>IFERROR(__xludf.DUMMYFUNCTION("REGEXEXTRACT(C817, ""🏘️ (\w+) \w+ .* ✅"")"),"Vendre")</f>
        <v>Vendre</v>
      </c>
      <c r="G817" s="2" t="str">
        <f>IFERROR(__xludf.DUMMYFUNCTION("REGEXEXTRACT(C817, ""🏘️ \w+ (\w+) .* ✅"")"),"maison")</f>
        <v>maison</v>
      </c>
      <c r="H817" s="4" t="str">
        <f>IFERROR(__xludf.DUMMYFUNCTION("REGEXEXTRACT(A817, ""/(\w+)-.*?"")"),"lieu")</f>
        <v>lieu</v>
      </c>
      <c r="I817" s="4" t="str">
        <f>IFERROR(__xludf.DUMMYFUNCTION("if(D817=""variant"",  substitute(filter(Templates!E:E, Templates!A:A = F817, Templates!B:B = G817, Templates!C:C = H817), ""{{}}"", E817), B817)"),"🏘  Vous souhaitez acheter une maison à Oberhofen am Thunersee? ✅ Jetez un œil aux dernières offres sur ImmoScout24.ch.")</f>
        <v>🏘  Vous souhaitez acheter une maison à Oberhofen am Thunersee? ✅ Jetez un œil aux dernières offres sur ImmoScout24.ch.</v>
      </c>
      <c r="J817" s="4" t="s">
        <v>2458</v>
      </c>
    </row>
    <row r="818">
      <c r="A818" s="5" t="s">
        <v>2459</v>
      </c>
      <c r="B818" s="2" t="s">
        <v>2460</v>
      </c>
      <c r="C818" s="4" t="str">
        <f>IFERROR(__xludf.DUMMYFUNCTION("""🏘️ ""&amp;REGEXEXTRACT(B818, ""^(.*): "")&amp;"" ✅ "" &amp;REGEXEXTRACT(B818, ""(Trouvez.*)"")"),"🏘️ Louer appartement Chésopelloz ✅ Trouvez le bien immobilier qui correspond idéalement à vos désirs sur ImmoScout24 - La plateforme de l'immobilier en Suisse.")</f>
        <v>🏘️ Louer appartement Chésopelloz ✅ Trouvez le bien immobilier qui correspond idéalement à vos désirs sur ImmoScout24 - La plateforme de l'immobilier en Suisse.</v>
      </c>
      <c r="D818" s="4" t="str">
        <f>vlookup(A818, Sheet2!D:E, 2, 0)</f>
        <v>variant</v>
      </c>
      <c r="E818" s="4" t="str">
        <f>IFERROR(__xludf.DUMMYFUNCTION("if(H818=""pays"",vlookup(REGEXEXTRACT(C818, ""🏘️ \w+ \w+ (.*) ✅""),'Country prepositions'!A:B, 2, 0) &amp; "" "" &amp; REGEXEXTRACT(C818, ""🏘️ \w+ \w+ (.*) ✅"") ,  if(H818=""quartier"",vlookup(REGEXEXTRACT(C818, ""🏘️ \w+ \w+ (.*) ✅""),'Quartier prepositions'!A"&amp;":E, 5, 0) ,  if(H818=""region"",vlookup(REGEXEXTRACT(C818, ""🏘️ \w+ \w+ (.*) ✅""),'Region prepositions'!B:F, 5, 0),  REGEXEXTRACT(C818, ""🏘️ \w+ \w+ (.*) ✅""))))"),"Chésopelloz")</f>
        <v>Chésopelloz</v>
      </c>
      <c r="F818" s="2" t="str">
        <f>IFERROR(__xludf.DUMMYFUNCTION("REGEXEXTRACT(C818, ""🏘️ (\w+) \w+ .* ✅"")"),"Louer")</f>
        <v>Louer</v>
      </c>
      <c r="G818" s="2" t="str">
        <f>IFERROR(__xludf.DUMMYFUNCTION("REGEXEXTRACT(C818, ""🏘️ \w+ (\w+) .* ✅"")"),"appartement")</f>
        <v>appartement</v>
      </c>
      <c r="H818" s="4" t="str">
        <f>IFERROR(__xludf.DUMMYFUNCTION("REGEXEXTRACT(A818, ""/(\w+)-.*?"")"),"lieu")</f>
        <v>lieu</v>
      </c>
      <c r="I818" s="4" t="str">
        <f>IFERROR(__xludf.DUMMYFUNCTION("if(D818=""variant"",  substitute(filter(Templates!E:E, Templates!A:A = F818, Templates!B:B = G818, Templates!C:C = H818), ""{{}}"", E818), B818)"),"🏘  Vous cherchez un appartement à louer à Chésopelloz? ✅ Les annonces les plus actuelles sont sur ImmoScout24.ch.")</f>
        <v>🏘  Vous cherchez un appartement à louer à Chésopelloz? ✅ Les annonces les plus actuelles sont sur ImmoScout24.ch.</v>
      </c>
      <c r="J818" s="4" t="s">
        <v>2461</v>
      </c>
    </row>
    <row r="819">
      <c r="A819" s="5" t="s">
        <v>2462</v>
      </c>
      <c r="B819" s="2" t="s">
        <v>2463</v>
      </c>
      <c r="C819" s="4" t="str">
        <f>IFERROR(__xludf.DUMMYFUNCTION("""🏘️ ""&amp;REGEXEXTRACT(B819, ""^(.*): "")&amp;"" ✅ "" &amp;REGEXEXTRACT(B819, ""(Trouvez.*)"")"),"🏘️ Louer appartement Tatroz ✅ Trouvez le bien immobilier qui correspond idéalement à vos désirs sur ImmoScout24 - La plateforme de l'immobilier en Suisse.")</f>
        <v>🏘️ Louer appartement Tatroz ✅ Trouvez le bien immobilier qui correspond idéalement à vos désirs sur ImmoScout24 - La plateforme de l'immobilier en Suisse.</v>
      </c>
      <c r="D819" s="4" t="str">
        <f>vlookup(A819, Sheet2!D:E, 2, 0)</f>
        <v>variant</v>
      </c>
      <c r="E819" s="4" t="str">
        <f>IFERROR(__xludf.DUMMYFUNCTION("if(H819=""pays"",vlookup(REGEXEXTRACT(C819, ""🏘️ \w+ \w+ (.*) ✅""),'Country prepositions'!A:B, 2, 0) &amp; "" "" &amp; REGEXEXTRACT(C819, ""🏘️ \w+ \w+ (.*) ✅"") ,  if(H819=""quartier"",vlookup(REGEXEXTRACT(C819, ""🏘️ \w+ \w+ (.*) ✅""),'Quartier prepositions'!A"&amp;":E, 5, 0) ,  if(H819=""region"",vlookup(REGEXEXTRACT(C819, ""🏘️ \w+ \w+ (.*) ✅""),'Region prepositions'!B:F, 5, 0),  REGEXEXTRACT(C819, ""🏘️ \w+ \w+ (.*) ✅""))))"),"Tatroz")</f>
        <v>Tatroz</v>
      </c>
      <c r="F819" s="2" t="str">
        <f>IFERROR(__xludf.DUMMYFUNCTION("REGEXEXTRACT(C819, ""🏘️ (\w+) \w+ .* ✅"")"),"Louer")</f>
        <v>Louer</v>
      </c>
      <c r="G819" s="2" t="str">
        <f>IFERROR(__xludf.DUMMYFUNCTION("REGEXEXTRACT(C819, ""🏘️ \w+ (\w+) .* ✅"")"),"appartement")</f>
        <v>appartement</v>
      </c>
      <c r="H819" s="4" t="str">
        <f>IFERROR(__xludf.DUMMYFUNCTION("REGEXEXTRACT(A819, ""/(\w+)-.*?"")"),"lieu")</f>
        <v>lieu</v>
      </c>
      <c r="I819" s="4" t="str">
        <f>IFERROR(__xludf.DUMMYFUNCTION("if(D819=""variant"",  substitute(filter(Templates!E:E, Templates!A:A = F819, Templates!B:B = G819, Templates!C:C = H819), ""{{}}"", E819), B819)"),"🏘  Vous cherchez un appartement à louer à Tatroz? ✅ Les annonces les plus actuelles sont sur ImmoScout24.ch.")</f>
        <v>🏘  Vous cherchez un appartement à louer à Tatroz? ✅ Les annonces les plus actuelles sont sur ImmoScout24.ch.</v>
      </c>
      <c r="J819" s="4" t="s">
        <v>2464</v>
      </c>
    </row>
    <row r="820">
      <c r="A820" s="5" t="s">
        <v>2465</v>
      </c>
      <c r="B820" s="2" t="s">
        <v>2466</v>
      </c>
      <c r="C820" s="4" t="str">
        <f>IFERROR(__xludf.DUMMYFUNCTION("""🏘️ ""&amp;REGEXEXTRACT(B820, ""^(.*): "")&amp;"" ✅ "" &amp;REGEXEXTRACT(B820, ""(Trouvez.*)"")"),"🏘️ Louer appartement Charrat ✅ Trouvez le bien immobilier qui correspond idéalement à vos désirs sur ImmoScout24 - La plateforme de l'immobilier en Suisse.")</f>
        <v>🏘️ Louer appartement Charrat ✅ Trouvez le bien immobilier qui correspond idéalement à vos désirs sur ImmoScout24 - La plateforme de l'immobilier en Suisse.</v>
      </c>
      <c r="D820" s="4" t="str">
        <f>vlookup(A820, Sheet2!D:E, 2, 0)</f>
        <v>variant</v>
      </c>
      <c r="E820" s="4" t="str">
        <f>IFERROR(__xludf.DUMMYFUNCTION("if(H820=""pays"",vlookup(REGEXEXTRACT(C820, ""🏘️ \w+ \w+ (.*) ✅""),'Country prepositions'!A:B, 2, 0) &amp; "" "" &amp; REGEXEXTRACT(C820, ""🏘️ \w+ \w+ (.*) ✅"") ,  if(H820=""quartier"",vlookup(REGEXEXTRACT(C820, ""🏘️ \w+ \w+ (.*) ✅""),'Quartier prepositions'!A"&amp;":E, 5, 0) ,  if(H820=""region"",vlookup(REGEXEXTRACT(C820, ""🏘️ \w+ \w+ (.*) ✅""),'Region prepositions'!B:F, 5, 0),  REGEXEXTRACT(C820, ""🏘️ \w+ \w+ (.*) ✅""))))"),"Charrat")</f>
        <v>Charrat</v>
      </c>
      <c r="F820" s="2" t="str">
        <f>IFERROR(__xludf.DUMMYFUNCTION("REGEXEXTRACT(C820, ""🏘️ (\w+) \w+ .* ✅"")"),"Louer")</f>
        <v>Louer</v>
      </c>
      <c r="G820" s="2" t="str">
        <f>IFERROR(__xludf.DUMMYFUNCTION("REGEXEXTRACT(C820, ""🏘️ \w+ (\w+) .* ✅"")"),"appartement")</f>
        <v>appartement</v>
      </c>
      <c r="H820" s="4" t="str">
        <f>IFERROR(__xludf.DUMMYFUNCTION("REGEXEXTRACT(A820, ""/(\w+)-.*?"")"),"lieu")</f>
        <v>lieu</v>
      </c>
      <c r="I820" s="4" t="str">
        <f>IFERROR(__xludf.DUMMYFUNCTION("if(D820=""variant"",  substitute(filter(Templates!E:E, Templates!A:A = F820, Templates!B:B = G820, Templates!C:C = H820), ""{{}}"", E820), B820)"),"🏘  Vous cherchez un appartement à louer à Charrat? ✅ Les annonces les plus actuelles sont sur ImmoScout24.ch.")</f>
        <v>🏘  Vous cherchez un appartement à louer à Charrat? ✅ Les annonces les plus actuelles sont sur ImmoScout24.ch.</v>
      </c>
      <c r="J820" s="4" t="s">
        <v>2467</v>
      </c>
    </row>
    <row r="821">
      <c r="A821" s="5" t="s">
        <v>2468</v>
      </c>
      <c r="B821" s="2" t="s">
        <v>2469</v>
      </c>
      <c r="C821" s="4" t="str">
        <f>IFERROR(__xludf.DUMMYFUNCTION("""🏘️ ""&amp;REGEXEXTRACT(B821, ""^(.*): "")&amp;"" ✅ "" &amp;REGEXEXTRACT(B821, ""(Trouvez.*)"")"),"🏘️ Louer appartement Payerne ✅ Trouvez le bien immobilier qui correspond idéalement à vos désirs sur ImmoScout24 - La plateforme de l'immobilier en Suisse.")</f>
        <v>🏘️ Louer appartement Payerne ✅ Trouvez le bien immobilier qui correspond idéalement à vos désirs sur ImmoScout24 - La plateforme de l'immobilier en Suisse.</v>
      </c>
      <c r="D821" s="4" t="str">
        <f>vlookup(A821, Sheet2!D:E, 2, 0)</f>
        <v>variant</v>
      </c>
      <c r="E821" s="4" t="str">
        <f>IFERROR(__xludf.DUMMYFUNCTION("if(H821=""pays"",vlookup(REGEXEXTRACT(C821, ""🏘️ \w+ \w+ (.*) ✅""),'Country prepositions'!A:B, 2, 0) &amp; "" "" &amp; REGEXEXTRACT(C821, ""🏘️ \w+ \w+ (.*) ✅"") ,  if(H821=""quartier"",vlookup(REGEXEXTRACT(C821, ""🏘️ \w+ \w+ (.*) ✅""),'Quartier prepositions'!A"&amp;":E, 5, 0) ,  if(H821=""region"",vlookup(REGEXEXTRACT(C821, ""🏘️ \w+ \w+ (.*) ✅""),'Region prepositions'!B:F, 5, 0),  REGEXEXTRACT(C821, ""🏘️ \w+ \w+ (.*) ✅""))))"),"Payerne")</f>
        <v>Payerne</v>
      </c>
      <c r="F821" s="2" t="str">
        <f>IFERROR(__xludf.DUMMYFUNCTION("REGEXEXTRACT(C821, ""🏘️ (\w+) \w+ .* ✅"")"),"Louer")</f>
        <v>Louer</v>
      </c>
      <c r="G821" s="2" t="str">
        <f>IFERROR(__xludf.DUMMYFUNCTION("REGEXEXTRACT(C821, ""🏘️ \w+ (\w+) .* ✅"")"),"appartement")</f>
        <v>appartement</v>
      </c>
      <c r="H821" s="4" t="str">
        <f>IFERROR(__xludf.DUMMYFUNCTION("REGEXEXTRACT(A821, ""/(\w+)-.*?"")"),"lieu")</f>
        <v>lieu</v>
      </c>
      <c r="I821" s="4" t="str">
        <f>IFERROR(__xludf.DUMMYFUNCTION("if(D821=""variant"",  substitute(filter(Templates!E:E, Templates!A:A = F821, Templates!B:B = G821, Templates!C:C = H821), ""{{}}"", E821), B821)"),"🏘  Vous cherchez un appartement à louer à Payerne? ✅ Les annonces les plus actuelles sont sur ImmoScout24.ch.")</f>
        <v>🏘  Vous cherchez un appartement à louer à Payerne? ✅ Les annonces les plus actuelles sont sur ImmoScout24.ch.</v>
      </c>
      <c r="J821" s="4" t="s">
        <v>2470</v>
      </c>
    </row>
    <row r="822">
      <c r="A822" s="5" t="s">
        <v>2471</v>
      </c>
      <c r="B822" s="2" t="s">
        <v>2472</v>
      </c>
      <c r="C822" s="4" t="str">
        <f>IFERROR(__xludf.DUMMYFUNCTION("""🏘️ ""&amp;REGEXEXTRACT(B822, ""^(.*): "")&amp;"" ✅ "" &amp;REGEXEXTRACT(B822, ""(Trouvez.*)"")"),"🏘️ Vendre maison S. Antonio (Val Morobbia) ✅ Trouvez le bien immobilier qui correspond idéalement à vos désirs sur ImmoScout24 - La plateforme de l'immobilier en Suisse.")</f>
        <v>🏘️ Vendre maison S. Antonio (Val Morobbia) ✅ Trouvez le bien immobilier qui correspond idéalement à vos désirs sur ImmoScout24 - La plateforme de l'immobilier en Suisse.</v>
      </c>
      <c r="D822" s="4" t="str">
        <f>vlookup(A822, Sheet2!D:E, 2, 0)</f>
        <v>variant</v>
      </c>
      <c r="E822" s="4" t="str">
        <f>IFERROR(__xludf.DUMMYFUNCTION("if(H822=""pays"",vlookup(REGEXEXTRACT(C822, ""🏘️ \w+ \w+ (.*) ✅""),'Country prepositions'!A:B, 2, 0) &amp; "" "" &amp; REGEXEXTRACT(C822, ""🏘️ \w+ \w+ (.*) ✅"") ,  if(H822=""quartier"",vlookup(REGEXEXTRACT(C822, ""🏘️ \w+ \w+ (.*) ✅""),'Quartier prepositions'!A"&amp;":E, 5, 0) ,  if(H822=""region"",vlookup(REGEXEXTRACT(C822, ""🏘️ \w+ \w+ (.*) ✅""),'Region prepositions'!B:F, 5, 0),  REGEXEXTRACT(C822, ""🏘️ \w+ \w+ (.*) ✅""))))"),"S. Antonio (Val Morobbia)")</f>
        <v>S. Antonio (Val Morobbia)</v>
      </c>
      <c r="F822" s="2" t="str">
        <f>IFERROR(__xludf.DUMMYFUNCTION("REGEXEXTRACT(C822, ""🏘️ (\w+) \w+ .* ✅"")"),"Vendre")</f>
        <v>Vendre</v>
      </c>
      <c r="G822" s="2" t="str">
        <f>IFERROR(__xludf.DUMMYFUNCTION("REGEXEXTRACT(C822, ""🏘️ \w+ (\w+) .* ✅"")"),"maison")</f>
        <v>maison</v>
      </c>
      <c r="H822" s="4" t="str">
        <f>IFERROR(__xludf.DUMMYFUNCTION("REGEXEXTRACT(A822, ""/(\w+)-.*?"")"),"lieu")</f>
        <v>lieu</v>
      </c>
      <c r="I822" s="4" t="str">
        <f>IFERROR(__xludf.DUMMYFUNCTION("if(D822=""variant"",  substitute(filter(Templates!E:E, Templates!A:A = F822, Templates!B:B = G822, Templates!C:C = H822), ""{{}}"", E822), B822)"),"🏘  Vous souhaitez acheter une maison à S. Antonio (Val Morobbia)? ✅ Jetez un œil aux dernières offres sur ImmoScout24.ch.")</f>
        <v>🏘  Vous souhaitez acheter une maison à S. Antonio (Val Morobbia)? ✅ Jetez un œil aux dernières offres sur ImmoScout24.ch.</v>
      </c>
      <c r="J822" s="4" t="s">
        <v>2473</v>
      </c>
    </row>
    <row r="823">
      <c r="A823" s="5" t="s">
        <v>2474</v>
      </c>
      <c r="B823" s="2" t="s">
        <v>2475</v>
      </c>
      <c r="C823" s="4" t="str">
        <f>IFERROR(__xludf.DUMMYFUNCTION("""🏘️ ""&amp;REGEXEXTRACT(B823, ""^(.*): "")&amp;"" ✅ "" &amp;REGEXEXTRACT(B823, ""(Trouvez.*)"")"),"🏘️ Vendre appartement Gerlafingen ✅ Trouvez le bien immobilier qui correspond idéalement à vos désirs sur ImmoScout24 - La plateforme de l'immobilier en Suisse.")</f>
        <v>🏘️ Vendre appartement Gerlafingen ✅ Trouvez le bien immobilier qui correspond idéalement à vos désirs sur ImmoScout24 - La plateforme de l'immobilier en Suisse.</v>
      </c>
      <c r="D823" s="4" t="str">
        <f>vlookup(A823, Sheet2!D:E, 2, 0)</f>
        <v>variant</v>
      </c>
      <c r="E823" s="4" t="str">
        <f>IFERROR(__xludf.DUMMYFUNCTION("if(H823=""pays"",vlookup(REGEXEXTRACT(C823, ""🏘️ \w+ \w+ (.*) ✅""),'Country prepositions'!A:B, 2, 0) &amp; "" "" &amp; REGEXEXTRACT(C823, ""🏘️ \w+ \w+ (.*) ✅"") ,  if(H823=""quartier"",vlookup(REGEXEXTRACT(C823, ""🏘️ \w+ \w+ (.*) ✅""),'Quartier prepositions'!A"&amp;":E, 5, 0) ,  if(H823=""region"",vlookup(REGEXEXTRACT(C823, ""🏘️ \w+ \w+ (.*) ✅""),'Region prepositions'!B:F, 5, 0),  REGEXEXTRACT(C823, ""🏘️ \w+ \w+ (.*) ✅""))))"),"Gerlafingen")</f>
        <v>Gerlafingen</v>
      </c>
      <c r="F823" s="2" t="str">
        <f>IFERROR(__xludf.DUMMYFUNCTION("REGEXEXTRACT(C823, ""🏘️ (\w+) \w+ .* ✅"")"),"Vendre")</f>
        <v>Vendre</v>
      </c>
      <c r="G823" s="2" t="str">
        <f>IFERROR(__xludf.DUMMYFUNCTION("REGEXEXTRACT(C823, ""🏘️ \w+ (\w+) .* ✅"")"),"appartement")</f>
        <v>appartement</v>
      </c>
      <c r="H823" s="4" t="str">
        <f>IFERROR(__xludf.DUMMYFUNCTION("REGEXEXTRACT(A823, ""/(\w+)-.*?"")"),"lieu")</f>
        <v>lieu</v>
      </c>
      <c r="I823" s="4" t="str">
        <f>IFERROR(__xludf.DUMMYFUNCTION("if(D823=""variant"",  substitute(filter(Templates!E:E, Templates!A:A = F823, Templates!B:B = G823, Templates!C:C = H823), ""{{}}"", E823), B823)"),"🏘  L’appartement de vos rêves se trouve sur ImmoScout24.ch ✅ Découvrez les dernières annonces de vente à Gerlafingen.")</f>
        <v>🏘  L’appartement de vos rêves se trouve sur ImmoScout24.ch ✅ Découvrez les dernières annonces de vente à Gerlafingen.</v>
      </c>
      <c r="J823" s="4" t="s">
        <v>2476</v>
      </c>
    </row>
    <row r="824">
      <c r="A824" s="5" t="s">
        <v>2477</v>
      </c>
      <c r="B824" s="2" t="s">
        <v>2478</v>
      </c>
      <c r="C824" s="4" t="str">
        <f>IFERROR(__xludf.DUMMYFUNCTION("""🏘️ ""&amp;REGEXEXTRACT(B824, ""^(.*): "")&amp;"" ✅ "" &amp;REGEXEXTRACT(B824, ""(Trouvez.*)"")"),"🏘️ Vendre appartement Mayens-de-Chamoson ✅ Trouvez le bien immobilier qui correspond idéalement à vos désirs sur ImmoScout24 - La plateforme de l'immobilier en Suisse.")</f>
        <v>🏘️ Vendre appartement Mayens-de-Chamoson ✅ Trouvez le bien immobilier qui correspond idéalement à vos désirs sur ImmoScout24 - La plateforme de l'immobilier en Suisse.</v>
      </c>
      <c r="D824" s="4" t="str">
        <f>vlookup(A824, Sheet2!D:E, 2, 0)</f>
        <v>variant</v>
      </c>
      <c r="E824" s="4" t="str">
        <f>IFERROR(__xludf.DUMMYFUNCTION("if(H824=""pays"",vlookup(REGEXEXTRACT(C824, ""🏘️ \w+ \w+ (.*) ✅""),'Country prepositions'!A:B, 2, 0) &amp; "" "" &amp; REGEXEXTRACT(C824, ""🏘️ \w+ \w+ (.*) ✅"") ,  if(H824=""quartier"",vlookup(REGEXEXTRACT(C824, ""🏘️ \w+ \w+ (.*) ✅""),'Quartier prepositions'!A"&amp;":E, 5, 0) ,  if(H824=""region"",vlookup(REGEXEXTRACT(C824, ""🏘️ \w+ \w+ (.*) ✅""),'Region prepositions'!B:F, 5, 0),  REGEXEXTRACT(C824, ""🏘️ \w+ \w+ (.*) ✅""))))"),"Mayens-de-Chamoson")</f>
        <v>Mayens-de-Chamoson</v>
      </c>
      <c r="F824" s="2" t="str">
        <f>IFERROR(__xludf.DUMMYFUNCTION("REGEXEXTRACT(C824, ""🏘️ (\w+) \w+ .* ✅"")"),"Vendre")</f>
        <v>Vendre</v>
      </c>
      <c r="G824" s="2" t="str">
        <f>IFERROR(__xludf.DUMMYFUNCTION("REGEXEXTRACT(C824, ""🏘️ \w+ (\w+) .* ✅"")"),"appartement")</f>
        <v>appartement</v>
      </c>
      <c r="H824" s="4" t="str">
        <f>IFERROR(__xludf.DUMMYFUNCTION("REGEXEXTRACT(A824, ""/(\w+)-.*?"")"),"lieu")</f>
        <v>lieu</v>
      </c>
      <c r="I824" s="4" t="str">
        <f>IFERROR(__xludf.DUMMYFUNCTION("if(D824=""variant"",  substitute(filter(Templates!E:E, Templates!A:A = F824, Templates!B:B = G824, Templates!C:C = H824), ""{{}}"", E824), B824)"),"🏘  L’appartement de vos rêves se trouve sur ImmoScout24.ch ✅ Découvrez les dernières annonces de vente à Mayens-de-Chamoson.")</f>
        <v>🏘  L’appartement de vos rêves se trouve sur ImmoScout24.ch ✅ Découvrez les dernières annonces de vente à Mayens-de-Chamoson.</v>
      </c>
      <c r="J824" s="4" t="s">
        <v>2479</v>
      </c>
    </row>
    <row r="825">
      <c r="A825" s="5" t="s">
        <v>2480</v>
      </c>
      <c r="B825" s="2" t="s">
        <v>2481</v>
      </c>
      <c r="C825" s="4" t="str">
        <f>IFERROR(__xludf.DUMMYFUNCTION("""🏘️ ""&amp;REGEXEXTRACT(B825, ""^(.*): "")&amp;"" ✅ "" &amp;REGEXEXTRACT(B825, ""(Trouvez.*)"")"),"🏘️ Louer appartement Martherenges ✅ Trouvez le bien immobilier qui correspond idéalement à vos désirs sur ImmoScout24 - La plateforme de l'immobilier en Suisse.")</f>
        <v>🏘️ Louer appartement Martherenges ✅ Trouvez le bien immobilier qui correspond idéalement à vos désirs sur ImmoScout24 - La plateforme de l'immobilier en Suisse.</v>
      </c>
      <c r="D825" s="4" t="str">
        <f>vlookup(A825, Sheet2!D:E, 2, 0)</f>
        <v>variant</v>
      </c>
      <c r="E825" s="4" t="str">
        <f>IFERROR(__xludf.DUMMYFUNCTION("if(H825=""pays"",vlookup(REGEXEXTRACT(C825, ""🏘️ \w+ \w+ (.*) ✅""),'Country prepositions'!A:B, 2, 0) &amp; "" "" &amp; REGEXEXTRACT(C825, ""🏘️ \w+ \w+ (.*) ✅"") ,  if(H825=""quartier"",vlookup(REGEXEXTRACT(C825, ""🏘️ \w+ \w+ (.*) ✅""),'Quartier prepositions'!A"&amp;":E, 5, 0) ,  if(H825=""region"",vlookup(REGEXEXTRACT(C825, ""🏘️ \w+ \w+ (.*) ✅""),'Region prepositions'!B:F, 5, 0),  REGEXEXTRACT(C825, ""🏘️ \w+ \w+ (.*) ✅""))))"),"Martherenges")</f>
        <v>Martherenges</v>
      </c>
      <c r="F825" s="2" t="str">
        <f>IFERROR(__xludf.DUMMYFUNCTION("REGEXEXTRACT(C825, ""🏘️ (\w+) \w+ .* ✅"")"),"Louer")</f>
        <v>Louer</v>
      </c>
      <c r="G825" s="2" t="str">
        <f>IFERROR(__xludf.DUMMYFUNCTION("REGEXEXTRACT(C825, ""🏘️ \w+ (\w+) .* ✅"")"),"appartement")</f>
        <v>appartement</v>
      </c>
      <c r="H825" s="4" t="str">
        <f>IFERROR(__xludf.DUMMYFUNCTION("REGEXEXTRACT(A825, ""/(\w+)-.*?"")"),"lieu")</f>
        <v>lieu</v>
      </c>
      <c r="I825" s="4" t="str">
        <f>IFERROR(__xludf.DUMMYFUNCTION("if(D825=""variant"",  substitute(filter(Templates!E:E, Templates!A:A = F825, Templates!B:B = G825, Templates!C:C = H825), ""{{}}"", E825), B825)"),"🏘  Vous cherchez un appartement à louer à Martherenges? ✅ Les annonces les plus actuelles sont sur ImmoScout24.ch.")</f>
        <v>🏘  Vous cherchez un appartement à louer à Martherenges? ✅ Les annonces les plus actuelles sont sur ImmoScout24.ch.</v>
      </c>
      <c r="J825" s="4" t="s">
        <v>2482</v>
      </c>
    </row>
    <row r="826">
      <c r="A826" s="5" t="s">
        <v>2483</v>
      </c>
      <c r="B826" s="2" t="s">
        <v>2484</v>
      </c>
      <c r="C826" s="4" t="str">
        <f>IFERROR(__xludf.DUMMYFUNCTION("""🏘️ ""&amp;REGEXEXTRACT(B826, ""^(.*): "")&amp;"" ✅ "" &amp;REGEXEXTRACT(B826, ""(Trouvez.*)"")"),"🏘️ Vendre maison Hersberg ✅ Trouvez le bien immobilier qui correspond idéalement à vos désirs sur ImmoScout24 - La plateforme de l'immobilier en Suisse.")</f>
        <v>🏘️ Vendre maison Hersberg ✅ Trouvez le bien immobilier qui correspond idéalement à vos désirs sur ImmoScout24 - La plateforme de l'immobilier en Suisse.</v>
      </c>
      <c r="D826" s="4" t="str">
        <f>vlookup(A826, Sheet2!D:E, 2, 0)</f>
        <v>variant</v>
      </c>
      <c r="E826" s="4" t="str">
        <f>IFERROR(__xludf.DUMMYFUNCTION("if(H826=""pays"",vlookup(REGEXEXTRACT(C826, ""🏘️ \w+ \w+ (.*) ✅""),'Country prepositions'!A:B, 2, 0) &amp; "" "" &amp; REGEXEXTRACT(C826, ""🏘️ \w+ \w+ (.*) ✅"") ,  if(H826=""quartier"",vlookup(REGEXEXTRACT(C826, ""🏘️ \w+ \w+ (.*) ✅""),'Quartier prepositions'!A"&amp;":E, 5, 0) ,  if(H826=""region"",vlookup(REGEXEXTRACT(C826, ""🏘️ \w+ \w+ (.*) ✅""),'Region prepositions'!B:F, 5, 0),  REGEXEXTRACT(C826, ""🏘️ \w+ \w+ (.*) ✅""))))"),"Hersberg")</f>
        <v>Hersberg</v>
      </c>
      <c r="F826" s="2" t="str">
        <f>IFERROR(__xludf.DUMMYFUNCTION("REGEXEXTRACT(C826, ""🏘️ (\w+) \w+ .* ✅"")"),"Vendre")</f>
        <v>Vendre</v>
      </c>
      <c r="G826" s="2" t="str">
        <f>IFERROR(__xludf.DUMMYFUNCTION("REGEXEXTRACT(C826, ""🏘️ \w+ (\w+) .* ✅"")"),"maison")</f>
        <v>maison</v>
      </c>
      <c r="H826" s="4" t="str">
        <f>IFERROR(__xludf.DUMMYFUNCTION("REGEXEXTRACT(A826, ""/(\w+)-.*?"")"),"lieu")</f>
        <v>lieu</v>
      </c>
      <c r="I826" s="4" t="str">
        <f>IFERROR(__xludf.DUMMYFUNCTION("if(D826=""variant"",  substitute(filter(Templates!E:E, Templates!A:A = F826, Templates!B:B = G826, Templates!C:C = H826), ""{{}}"", E826), B826)"),"🏘  Vous souhaitez acheter une maison à Hersberg? ✅ Jetez un œil aux dernières offres sur ImmoScout24.ch.")</f>
        <v>🏘  Vous souhaitez acheter une maison à Hersberg? ✅ Jetez un œil aux dernières offres sur ImmoScout24.ch.</v>
      </c>
      <c r="J826" s="4" t="s">
        <v>2485</v>
      </c>
    </row>
    <row r="827">
      <c r="A827" s="5" t="s">
        <v>2486</v>
      </c>
      <c r="B827" s="2" t="s">
        <v>2487</v>
      </c>
      <c r="C827" s="4" t="str">
        <f>IFERROR(__xludf.DUMMYFUNCTION("""🏘️ ""&amp;REGEXEXTRACT(B827, ""^(.*): "")&amp;"" ✅ "" &amp;REGEXEXTRACT(B827, ""(Trouvez.*)"")"),"🏘️ Vendre maison Daillens ✅ Trouvez le bien immobilier qui correspond idéalement à vos désirs sur ImmoScout24 - La plateforme de l'immobilier en Suisse.")</f>
        <v>🏘️ Vendre maison Daillens ✅ Trouvez le bien immobilier qui correspond idéalement à vos désirs sur ImmoScout24 - La plateforme de l'immobilier en Suisse.</v>
      </c>
      <c r="D827" s="4" t="str">
        <f>vlookup(A827, Sheet2!D:E, 2, 0)</f>
        <v>variant</v>
      </c>
      <c r="E827" s="4" t="str">
        <f>IFERROR(__xludf.DUMMYFUNCTION("if(H827=""pays"",vlookup(REGEXEXTRACT(C827, ""🏘️ \w+ \w+ (.*) ✅""),'Country prepositions'!A:B, 2, 0) &amp; "" "" &amp; REGEXEXTRACT(C827, ""🏘️ \w+ \w+ (.*) ✅"") ,  if(H827=""quartier"",vlookup(REGEXEXTRACT(C827, ""🏘️ \w+ \w+ (.*) ✅""),'Quartier prepositions'!A"&amp;":E, 5, 0) ,  if(H827=""region"",vlookup(REGEXEXTRACT(C827, ""🏘️ \w+ \w+ (.*) ✅""),'Region prepositions'!B:F, 5, 0),  REGEXEXTRACT(C827, ""🏘️ \w+ \w+ (.*) ✅""))))"),"Daillens")</f>
        <v>Daillens</v>
      </c>
      <c r="F827" s="2" t="str">
        <f>IFERROR(__xludf.DUMMYFUNCTION("REGEXEXTRACT(C827, ""🏘️ (\w+) \w+ .* ✅"")"),"Vendre")</f>
        <v>Vendre</v>
      </c>
      <c r="G827" s="2" t="str">
        <f>IFERROR(__xludf.DUMMYFUNCTION("REGEXEXTRACT(C827, ""🏘️ \w+ (\w+) .* ✅"")"),"maison")</f>
        <v>maison</v>
      </c>
      <c r="H827" s="4" t="str">
        <f>IFERROR(__xludf.DUMMYFUNCTION("REGEXEXTRACT(A827, ""/(\w+)-.*?"")"),"lieu")</f>
        <v>lieu</v>
      </c>
      <c r="I827" s="4" t="str">
        <f>IFERROR(__xludf.DUMMYFUNCTION("if(D827=""variant"",  substitute(filter(Templates!E:E, Templates!A:A = F827, Templates!B:B = G827, Templates!C:C = H827), ""{{}}"", E827), B827)"),"🏘  Vous souhaitez acheter une maison à Daillens? ✅ Jetez un œil aux dernières offres sur ImmoScout24.ch.")</f>
        <v>🏘  Vous souhaitez acheter une maison à Daillens? ✅ Jetez un œil aux dernières offres sur ImmoScout24.ch.</v>
      </c>
      <c r="J827" s="4" t="s">
        <v>2488</v>
      </c>
    </row>
    <row r="828">
      <c r="A828" s="5" t="s">
        <v>2489</v>
      </c>
      <c r="B828" s="2" t="s">
        <v>2490</v>
      </c>
      <c r="C828" s="4" t="str">
        <f>IFERROR(__xludf.DUMMYFUNCTION("""🏘️ ""&amp;REGEXEXTRACT(B828, ""^(.*): "")&amp;"" ✅ "" &amp;REGEXEXTRACT(B828, ""(Trouvez.*)"")"),"🏘️ Louer maison Centre (Neuchâtel) ✅ Trouvez le bien immobilier qui correspond idéalement à vos désirs sur ImmoScout24 - La plateforme de l'immobilier en Suisse.")</f>
        <v>🏘️ Louer maison Centre (Neuchâtel) ✅ Trouvez le bien immobilier qui correspond idéalement à vos désirs sur ImmoScout24 - La plateforme de l'immobilier en Suisse.</v>
      </c>
      <c r="D828" s="4" t="str">
        <f>vlookup(A828, Sheet2!D:E, 2, 0)</f>
        <v>variant</v>
      </c>
      <c r="E828" s="4" t="str">
        <f>IFERROR(__xludf.DUMMYFUNCTION("if(H828=""pays"",vlookup(REGEXEXTRACT(C828, ""🏘️ \w+ \w+ (.*) ✅""),'Country prepositions'!A:B, 2, 0) &amp; "" "" &amp; REGEXEXTRACT(C828, ""🏘️ \w+ \w+ (.*) ✅"") ,  if(H828=""quartier"",vlookup(REGEXEXTRACT(C828, ""🏘️ \w+ \w+ (.*) ✅""),'Quartier prepositions'!A"&amp;":E, 5, 0) ,  if(H828=""region"",vlookup(REGEXEXTRACT(C828, ""🏘️ \w+ \w+ (.*) ✅""),'Region prepositions'!B:F, 5, 0),  REGEXEXTRACT(C828, ""🏘️ \w+ \w+ (.*) ✅""))))"),"dans le Centre de Neuchâtel")</f>
        <v>dans le Centre de Neuchâtel</v>
      </c>
      <c r="F828" s="2" t="str">
        <f>IFERROR(__xludf.DUMMYFUNCTION("REGEXEXTRACT(C828, ""🏘️ (\w+) \w+ .* ✅"")"),"Louer")</f>
        <v>Louer</v>
      </c>
      <c r="G828" s="2" t="str">
        <f>IFERROR(__xludf.DUMMYFUNCTION("REGEXEXTRACT(C828, ""🏘️ \w+ (\w+) .* ✅"")"),"maison")</f>
        <v>maison</v>
      </c>
      <c r="H828" s="4" t="str">
        <f>IFERROR(__xludf.DUMMYFUNCTION("REGEXEXTRACT(A828, ""/(\w+)-.*?"")"),"quartier")</f>
        <v>quartier</v>
      </c>
      <c r="I828" s="4" t="str">
        <f>IFERROR(__xludf.DUMMYFUNCTION("if(D828=""variant"",  substitute(filter(Templates!E:E, Templates!A:A = F828, Templates!B:B = G828, Templates!C:C = H828), ""{{}}"", E828), B828)"),"🏘  Vous cherchez une maison à louer dans le Centre de Neuchâtel? ✅ Découvrez nos nombreuses annonces sur ImmoScout24.ch.")</f>
        <v>🏘  Vous cherchez une maison à louer dans le Centre de Neuchâtel? ✅ Découvrez nos nombreuses annonces sur ImmoScout24.ch.</v>
      </c>
      <c r="J828" s="4" t="s">
        <v>2491</v>
      </c>
    </row>
    <row r="829">
      <c r="A829" s="5" t="s">
        <v>2492</v>
      </c>
      <c r="B829" s="2" t="s">
        <v>2493</v>
      </c>
      <c r="C829" s="4" t="str">
        <f>IFERROR(__xludf.DUMMYFUNCTION("""🏘️ ""&amp;REGEXEXTRACT(B829, ""^(.*): "")&amp;"" ✅ "" &amp;REGEXEXTRACT(B829, ""(Trouvez.*)"")"),"🏘️ Vendre maison Männedorf ✅ Trouvez le bien immobilier qui correspond idéalement à vos désirs sur ImmoScout24 - La plateforme de l'immobilier en Suisse.")</f>
        <v>🏘️ Vendre maison Männedorf ✅ Trouvez le bien immobilier qui correspond idéalement à vos désirs sur ImmoScout24 - La plateforme de l'immobilier en Suisse.</v>
      </c>
      <c r="D829" s="4" t="str">
        <f>vlookup(A829, Sheet2!D:E, 2, 0)</f>
        <v>variant</v>
      </c>
      <c r="E829" s="4" t="str">
        <f>IFERROR(__xludf.DUMMYFUNCTION("if(H829=""pays"",vlookup(REGEXEXTRACT(C829, ""🏘️ \w+ \w+ (.*) ✅""),'Country prepositions'!A:B, 2, 0) &amp; "" "" &amp; REGEXEXTRACT(C829, ""🏘️ \w+ \w+ (.*) ✅"") ,  if(H829=""quartier"",vlookup(REGEXEXTRACT(C829, ""🏘️ \w+ \w+ (.*) ✅""),'Quartier prepositions'!A"&amp;":E, 5, 0) ,  if(H829=""region"",vlookup(REGEXEXTRACT(C829, ""🏘️ \w+ \w+ (.*) ✅""),'Region prepositions'!B:F, 5, 0),  REGEXEXTRACT(C829, ""🏘️ \w+ \w+ (.*) ✅""))))"),"Männedorf")</f>
        <v>Männedorf</v>
      </c>
      <c r="F829" s="2" t="str">
        <f>IFERROR(__xludf.DUMMYFUNCTION("REGEXEXTRACT(C829, ""🏘️ (\w+) \w+ .* ✅"")"),"Vendre")</f>
        <v>Vendre</v>
      </c>
      <c r="G829" s="2" t="str">
        <f>IFERROR(__xludf.DUMMYFUNCTION("REGEXEXTRACT(C829, ""🏘️ \w+ (\w+) .* ✅"")"),"maison")</f>
        <v>maison</v>
      </c>
      <c r="H829" s="4" t="str">
        <f>IFERROR(__xludf.DUMMYFUNCTION("REGEXEXTRACT(A829, ""/(\w+)-.*?"")"),"lieu")</f>
        <v>lieu</v>
      </c>
      <c r="I829" s="4" t="str">
        <f>IFERROR(__xludf.DUMMYFUNCTION("if(D829=""variant"",  substitute(filter(Templates!E:E, Templates!A:A = F829, Templates!B:B = G829, Templates!C:C = H829), ""{{}}"", E829), B829)"),"🏘  Vous souhaitez acheter une maison à Männedorf? ✅ Jetez un œil aux dernières offres sur ImmoScout24.ch.")</f>
        <v>🏘  Vous souhaitez acheter une maison à Männedorf? ✅ Jetez un œil aux dernières offres sur ImmoScout24.ch.</v>
      </c>
      <c r="J829" s="4" t="s">
        <v>2494</v>
      </c>
    </row>
    <row r="830">
      <c r="A830" s="5" t="s">
        <v>2495</v>
      </c>
      <c r="B830" s="2" t="s">
        <v>2496</v>
      </c>
      <c r="C830" s="4" t="str">
        <f>IFERROR(__xludf.DUMMYFUNCTION("""🏘️ ""&amp;REGEXEXTRACT(B830, ""^(.*): "")&amp;"" ✅ "" &amp;REGEXEXTRACT(B830, ""(Trouvez.*)"")"),"🏘️ Vendre maison Roggenburg ✅ Trouvez le bien immobilier qui correspond idéalement à vos désirs sur ImmoScout24 - La plateforme de l'immobilier en Suisse.")</f>
        <v>🏘️ Vendre maison Roggenburg ✅ Trouvez le bien immobilier qui correspond idéalement à vos désirs sur ImmoScout24 - La plateforme de l'immobilier en Suisse.</v>
      </c>
      <c r="D830" s="4" t="str">
        <f>vlookup(A830, Sheet2!D:E, 2, 0)</f>
        <v>variant</v>
      </c>
      <c r="E830" s="4" t="str">
        <f>IFERROR(__xludf.DUMMYFUNCTION("if(H830=""pays"",vlookup(REGEXEXTRACT(C830, ""🏘️ \w+ \w+ (.*) ✅""),'Country prepositions'!A:B, 2, 0) &amp; "" "" &amp; REGEXEXTRACT(C830, ""🏘️ \w+ \w+ (.*) ✅"") ,  if(H830=""quartier"",vlookup(REGEXEXTRACT(C830, ""🏘️ \w+ \w+ (.*) ✅""),'Quartier prepositions'!A"&amp;":E, 5, 0) ,  if(H830=""region"",vlookup(REGEXEXTRACT(C830, ""🏘️ \w+ \w+ (.*) ✅""),'Region prepositions'!B:F, 5, 0),  REGEXEXTRACT(C830, ""🏘️ \w+ \w+ (.*) ✅""))))"),"Roggenburg")</f>
        <v>Roggenburg</v>
      </c>
      <c r="F830" s="2" t="str">
        <f>IFERROR(__xludf.DUMMYFUNCTION("REGEXEXTRACT(C830, ""🏘️ (\w+) \w+ .* ✅"")"),"Vendre")</f>
        <v>Vendre</v>
      </c>
      <c r="G830" s="2" t="str">
        <f>IFERROR(__xludf.DUMMYFUNCTION("REGEXEXTRACT(C830, ""🏘️ \w+ (\w+) .* ✅"")"),"maison")</f>
        <v>maison</v>
      </c>
      <c r="H830" s="4" t="str">
        <f>IFERROR(__xludf.DUMMYFUNCTION("REGEXEXTRACT(A830, ""/(\w+)-.*?"")"),"lieu")</f>
        <v>lieu</v>
      </c>
      <c r="I830" s="4" t="str">
        <f>IFERROR(__xludf.DUMMYFUNCTION("if(D830=""variant"",  substitute(filter(Templates!E:E, Templates!A:A = F830, Templates!B:B = G830, Templates!C:C = H830), ""{{}}"", E830), B830)"),"🏘  Vous souhaitez acheter une maison à Roggenburg? ✅ Jetez un œil aux dernières offres sur ImmoScout24.ch.")</f>
        <v>🏘  Vous souhaitez acheter une maison à Roggenburg? ✅ Jetez un œil aux dernières offres sur ImmoScout24.ch.</v>
      </c>
      <c r="J830" s="4" t="s">
        <v>2497</v>
      </c>
    </row>
    <row r="831">
      <c r="A831" s="5" t="s">
        <v>2498</v>
      </c>
      <c r="B831" s="2" t="s">
        <v>2499</v>
      </c>
      <c r="C831" s="4" t="str">
        <f>IFERROR(__xludf.DUMMYFUNCTION("""🏘️ ""&amp;REGEXEXTRACT(B831, ""^(.*): "")&amp;"" ✅ "" &amp;REGEXEXTRACT(B831, ""(Trouvez.*)"")"),"🏘️ Louer appartement Vilars NE ✅ Trouvez le bien immobilier qui correspond idéalement à vos désirs sur ImmoScout24 - La plateforme de l'immobilier en Suisse.")</f>
        <v>🏘️ Louer appartement Vilars NE ✅ Trouvez le bien immobilier qui correspond idéalement à vos désirs sur ImmoScout24 - La plateforme de l'immobilier en Suisse.</v>
      </c>
      <c r="D831" s="4" t="str">
        <f>vlookup(A831, Sheet2!D:E, 2, 0)</f>
        <v>variant</v>
      </c>
      <c r="E831" s="4" t="str">
        <f>IFERROR(__xludf.DUMMYFUNCTION("if(H831=""pays"",vlookup(REGEXEXTRACT(C831, ""🏘️ \w+ \w+ (.*) ✅""),'Country prepositions'!A:B, 2, 0) &amp; "" "" &amp; REGEXEXTRACT(C831, ""🏘️ \w+ \w+ (.*) ✅"") ,  if(H831=""quartier"",vlookup(REGEXEXTRACT(C831, ""🏘️ \w+ \w+ (.*) ✅""),'Quartier prepositions'!A"&amp;":E, 5, 0) ,  if(H831=""region"",vlookup(REGEXEXTRACT(C831, ""🏘️ \w+ \w+ (.*) ✅""),'Region prepositions'!B:F, 5, 0),  REGEXEXTRACT(C831, ""🏘️ \w+ \w+ (.*) ✅""))))"),"Vilars NE")</f>
        <v>Vilars NE</v>
      </c>
      <c r="F831" s="2" t="str">
        <f>IFERROR(__xludf.DUMMYFUNCTION("REGEXEXTRACT(C831, ""🏘️ (\w+) \w+ .* ✅"")"),"Louer")</f>
        <v>Louer</v>
      </c>
      <c r="G831" s="2" t="str">
        <f>IFERROR(__xludf.DUMMYFUNCTION("REGEXEXTRACT(C831, ""🏘️ \w+ (\w+) .* ✅"")"),"appartement")</f>
        <v>appartement</v>
      </c>
      <c r="H831" s="4" t="str">
        <f>IFERROR(__xludf.DUMMYFUNCTION("REGEXEXTRACT(A831, ""/(\w+)-.*?"")"),"lieu")</f>
        <v>lieu</v>
      </c>
      <c r="I831" s="4" t="str">
        <f>IFERROR(__xludf.DUMMYFUNCTION("if(D831=""variant"",  substitute(filter(Templates!E:E, Templates!A:A = F831, Templates!B:B = G831, Templates!C:C = H831), ""{{}}"", E831), B831)"),"🏘  Vous cherchez un appartement à louer à Vilars NE? ✅ Les annonces les plus actuelles sont sur ImmoScout24.ch.")</f>
        <v>🏘  Vous cherchez un appartement à louer à Vilars NE? ✅ Les annonces les plus actuelles sont sur ImmoScout24.ch.</v>
      </c>
      <c r="J831" s="4" t="s">
        <v>2500</v>
      </c>
    </row>
    <row r="832">
      <c r="A832" s="5" t="s">
        <v>2501</v>
      </c>
      <c r="B832" s="2" t="s">
        <v>2502</v>
      </c>
      <c r="C832" s="4" t="str">
        <f>IFERROR(__xludf.DUMMYFUNCTION("""🏘️ ""&amp;REGEXEXTRACT(B832, ""^(.*): "")&amp;"" ✅ "" &amp;REGEXEXTRACT(B832, ""(Trouvez.*)"")"),"🏘️ Louer appartement Goumoens-la-Ville ✅ Trouvez le bien immobilier qui correspond idéalement à vos désirs sur ImmoScout24 - La plateforme de l'immobilier en Suisse.")</f>
        <v>🏘️ Louer appartement Goumoens-la-Ville ✅ Trouvez le bien immobilier qui correspond idéalement à vos désirs sur ImmoScout24 - La plateforme de l'immobilier en Suisse.</v>
      </c>
      <c r="D832" s="4" t="str">
        <f>vlookup(A832, Sheet2!D:E, 2, 0)</f>
        <v>variant</v>
      </c>
      <c r="E832" s="4" t="str">
        <f>IFERROR(__xludf.DUMMYFUNCTION("if(H832=""pays"",vlookup(REGEXEXTRACT(C832, ""🏘️ \w+ \w+ (.*) ✅""),'Country prepositions'!A:B, 2, 0) &amp; "" "" &amp; REGEXEXTRACT(C832, ""🏘️ \w+ \w+ (.*) ✅"") ,  if(H832=""quartier"",vlookup(REGEXEXTRACT(C832, ""🏘️ \w+ \w+ (.*) ✅""),'Quartier prepositions'!A"&amp;":E, 5, 0) ,  if(H832=""region"",vlookup(REGEXEXTRACT(C832, ""🏘️ \w+ \w+ (.*) ✅""),'Region prepositions'!B:F, 5, 0),  REGEXEXTRACT(C832, ""🏘️ \w+ \w+ (.*) ✅""))))"),"Goumoens-la-Ville")</f>
        <v>Goumoens-la-Ville</v>
      </c>
      <c r="F832" s="2" t="str">
        <f>IFERROR(__xludf.DUMMYFUNCTION("REGEXEXTRACT(C832, ""🏘️ (\w+) \w+ .* ✅"")"),"Louer")</f>
        <v>Louer</v>
      </c>
      <c r="G832" s="2" t="str">
        <f>IFERROR(__xludf.DUMMYFUNCTION("REGEXEXTRACT(C832, ""🏘️ \w+ (\w+) .* ✅"")"),"appartement")</f>
        <v>appartement</v>
      </c>
      <c r="H832" s="4" t="str">
        <f>IFERROR(__xludf.DUMMYFUNCTION("REGEXEXTRACT(A832, ""/(\w+)-.*?"")"),"lieu")</f>
        <v>lieu</v>
      </c>
      <c r="I832" s="4" t="str">
        <f>IFERROR(__xludf.DUMMYFUNCTION("if(D832=""variant"",  substitute(filter(Templates!E:E, Templates!A:A = F832, Templates!B:B = G832, Templates!C:C = H832), ""{{}}"", E832), B832)"),"🏘  Vous cherchez un appartement à louer à Goumoens-la-Ville? ✅ Les annonces les plus actuelles sont sur ImmoScout24.ch.")</f>
        <v>🏘  Vous cherchez un appartement à louer à Goumoens-la-Ville? ✅ Les annonces les plus actuelles sont sur ImmoScout24.ch.</v>
      </c>
      <c r="J832" s="4" t="s">
        <v>2503</v>
      </c>
    </row>
    <row r="833">
      <c r="A833" s="5" t="s">
        <v>2504</v>
      </c>
      <c r="B833" s="2" t="s">
        <v>2505</v>
      </c>
      <c r="C833" s="4" t="str">
        <f>IFERROR(__xludf.DUMMYFUNCTION("""🏘️ ""&amp;REGEXEXTRACT(B833, ""^(.*): "")&amp;"" ✅ "" &amp;REGEXEXTRACT(B833, ""(Trouvez.*)"")"),"🏘️ Vendre maison Villars-le-Terroir ✅ Trouvez le bien immobilier qui correspond idéalement à vos désirs sur ImmoScout24 - La plateforme de l'immobilier en Suisse.")</f>
        <v>🏘️ Vendre maison Villars-le-Terroir ✅ Trouvez le bien immobilier qui correspond idéalement à vos désirs sur ImmoScout24 - La plateforme de l'immobilier en Suisse.</v>
      </c>
      <c r="D833" s="4" t="str">
        <f>vlookup(A833, Sheet2!D:E, 2, 0)</f>
        <v>variant</v>
      </c>
      <c r="E833" s="4" t="str">
        <f>IFERROR(__xludf.DUMMYFUNCTION("if(H833=""pays"",vlookup(REGEXEXTRACT(C833, ""🏘️ \w+ \w+ (.*) ✅""),'Country prepositions'!A:B, 2, 0) &amp; "" "" &amp; REGEXEXTRACT(C833, ""🏘️ \w+ \w+ (.*) ✅"") ,  if(H833=""quartier"",vlookup(REGEXEXTRACT(C833, ""🏘️ \w+ \w+ (.*) ✅""),'Quartier prepositions'!A"&amp;":E, 5, 0) ,  if(H833=""region"",vlookup(REGEXEXTRACT(C833, ""🏘️ \w+ \w+ (.*) ✅""),'Region prepositions'!B:F, 5, 0),  REGEXEXTRACT(C833, ""🏘️ \w+ \w+ (.*) ✅""))))"),"Villars-le-Terroir")</f>
        <v>Villars-le-Terroir</v>
      </c>
      <c r="F833" s="2" t="str">
        <f>IFERROR(__xludf.DUMMYFUNCTION("REGEXEXTRACT(C833, ""🏘️ (\w+) \w+ .* ✅"")"),"Vendre")</f>
        <v>Vendre</v>
      </c>
      <c r="G833" s="2" t="str">
        <f>IFERROR(__xludf.DUMMYFUNCTION("REGEXEXTRACT(C833, ""🏘️ \w+ (\w+) .* ✅"")"),"maison")</f>
        <v>maison</v>
      </c>
      <c r="H833" s="4" t="str">
        <f>IFERROR(__xludf.DUMMYFUNCTION("REGEXEXTRACT(A833, ""/(\w+)-.*?"")"),"lieu")</f>
        <v>lieu</v>
      </c>
      <c r="I833" s="4" t="str">
        <f>IFERROR(__xludf.DUMMYFUNCTION("if(D833=""variant"",  substitute(filter(Templates!E:E, Templates!A:A = F833, Templates!B:B = G833, Templates!C:C = H833), ""{{}}"", E833), B833)"),"🏘  Vous souhaitez acheter une maison à Villars-le-Terroir? ✅ Jetez un œil aux dernières offres sur ImmoScout24.ch.")</f>
        <v>🏘  Vous souhaitez acheter une maison à Villars-le-Terroir? ✅ Jetez un œil aux dernières offres sur ImmoScout24.ch.</v>
      </c>
      <c r="J833" s="4" t="s">
        <v>2506</v>
      </c>
    </row>
    <row r="834">
      <c r="A834" s="5" t="s">
        <v>2507</v>
      </c>
      <c r="B834" s="2" t="s">
        <v>2508</v>
      </c>
      <c r="C834" s="4" t="str">
        <f>IFERROR(__xludf.DUMMYFUNCTION("""🏘️ ""&amp;REGEXEXTRACT(B834, ""^(.*): "")&amp;"" ✅ "" &amp;REGEXEXTRACT(B834, ""(Trouvez.*)"")"),"🏘️ Vendre appartement Binz ✅ Trouvez le bien immobilier qui correspond idéalement à vos désirs sur ImmoScout24 - La plateforme de l'immobilier en Suisse.")</f>
        <v>🏘️ Vendre appartement Binz ✅ Trouvez le bien immobilier qui correspond idéalement à vos désirs sur ImmoScout24 - La plateforme de l'immobilier en Suisse.</v>
      </c>
      <c r="D834" s="4" t="str">
        <f>vlookup(A834, Sheet2!D:E, 2, 0)</f>
        <v>variant</v>
      </c>
      <c r="E834" s="4" t="str">
        <f>IFERROR(__xludf.DUMMYFUNCTION("if(H834=""pays"",vlookup(REGEXEXTRACT(C834, ""🏘️ \w+ \w+ (.*) ✅""),'Country prepositions'!A:B, 2, 0) &amp; "" "" &amp; REGEXEXTRACT(C834, ""🏘️ \w+ \w+ (.*) ✅"") ,  if(H834=""quartier"",vlookup(REGEXEXTRACT(C834, ""🏘️ \w+ \w+ (.*) ✅""),'Quartier prepositions'!A"&amp;":E, 5, 0) ,  if(H834=""region"",vlookup(REGEXEXTRACT(C834, ""🏘️ \w+ \w+ (.*) ✅""),'Region prepositions'!B:F, 5, 0),  REGEXEXTRACT(C834, ""🏘️ \w+ \w+ (.*) ✅""))))"),"Binz")</f>
        <v>Binz</v>
      </c>
      <c r="F834" s="2" t="str">
        <f>IFERROR(__xludf.DUMMYFUNCTION("REGEXEXTRACT(C834, ""🏘️ (\w+) \w+ .* ✅"")"),"Vendre")</f>
        <v>Vendre</v>
      </c>
      <c r="G834" s="2" t="str">
        <f>IFERROR(__xludf.DUMMYFUNCTION("REGEXEXTRACT(C834, ""🏘️ \w+ (\w+) .* ✅"")"),"appartement")</f>
        <v>appartement</v>
      </c>
      <c r="H834" s="4" t="str">
        <f>IFERROR(__xludf.DUMMYFUNCTION("REGEXEXTRACT(A834, ""/(\w+)-.*?"")"),"lieu")</f>
        <v>lieu</v>
      </c>
      <c r="I834" s="4" t="str">
        <f>IFERROR(__xludf.DUMMYFUNCTION("if(D834=""variant"",  substitute(filter(Templates!E:E, Templates!A:A = F834, Templates!B:B = G834, Templates!C:C = H834), ""{{}}"", E834), B834)"),"🏘  L’appartement de vos rêves se trouve sur ImmoScout24.ch ✅ Découvrez les dernières annonces de vente à Binz.")</f>
        <v>🏘  L’appartement de vos rêves se trouve sur ImmoScout24.ch ✅ Découvrez les dernières annonces de vente à Binz.</v>
      </c>
      <c r="J834" s="4" t="s">
        <v>2509</v>
      </c>
    </row>
    <row r="835">
      <c r="A835" s="5" t="s">
        <v>2510</v>
      </c>
      <c r="B835" s="2" t="s">
        <v>2511</v>
      </c>
      <c r="C835" s="4" t="str">
        <f>IFERROR(__xludf.DUMMYFUNCTION("""🏘️ ""&amp;REGEXEXTRACT(B835, ""^(.*): "")&amp;"" ✅ "" &amp;REGEXEXTRACT(B835, ""(Trouvez.*)"")"),"🏘️ Louer appartement Lussy-sur-Morges ✅ Trouvez le bien immobilier qui correspond idéalement à vos désirs sur ImmoScout24 - La plateforme de l'immobilier en Suisse.")</f>
        <v>🏘️ Louer appartement Lussy-sur-Morges ✅ Trouvez le bien immobilier qui correspond idéalement à vos désirs sur ImmoScout24 - La plateforme de l'immobilier en Suisse.</v>
      </c>
      <c r="D835" s="4" t="str">
        <f>vlookup(A835, Sheet2!D:E, 2, 0)</f>
        <v>variant</v>
      </c>
      <c r="E835" s="4" t="str">
        <f>IFERROR(__xludf.DUMMYFUNCTION("if(H835=""pays"",vlookup(REGEXEXTRACT(C835, ""🏘️ \w+ \w+ (.*) ✅""),'Country prepositions'!A:B, 2, 0) &amp; "" "" &amp; REGEXEXTRACT(C835, ""🏘️ \w+ \w+ (.*) ✅"") ,  if(H835=""quartier"",vlookup(REGEXEXTRACT(C835, ""🏘️ \w+ \w+ (.*) ✅""),'Quartier prepositions'!A"&amp;":E, 5, 0) ,  if(H835=""region"",vlookup(REGEXEXTRACT(C835, ""🏘️ \w+ \w+ (.*) ✅""),'Region prepositions'!B:F, 5, 0),  REGEXEXTRACT(C835, ""🏘️ \w+ \w+ (.*) ✅""))))"),"Lussy-sur-Morges")</f>
        <v>Lussy-sur-Morges</v>
      </c>
      <c r="F835" s="2" t="str">
        <f>IFERROR(__xludf.DUMMYFUNCTION("REGEXEXTRACT(C835, ""🏘️ (\w+) \w+ .* ✅"")"),"Louer")</f>
        <v>Louer</v>
      </c>
      <c r="G835" s="2" t="str">
        <f>IFERROR(__xludf.DUMMYFUNCTION("REGEXEXTRACT(C835, ""🏘️ \w+ (\w+) .* ✅"")"),"appartement")</f>
        <v>appartement</v>
      </c>
      <c r="H835" s="4" t="str">
        <f>IFERROR(__xludf.DUMMYFUNCTION("REGEXEXTRACT(A835, ""/(\w+)-.*?"")"),"lieu")</f>
        <v>lieu</v>
      </c>
      <c r="I835" s="4" t="str">
        <f>IFERROR(__xludf.DUMMYFUNCTION("if(D835=""variant"",  substitute(filter(Templates!E:E, Templates!A:A = F835, Templates!B:B = G835, Templates!C:C = H835), ""{{}}"", E835), B835)"),"🏘  Vous cherchez un appartement à louer à Lussy-sur-Morges? ✅ Les annonces les plus actuelles sont sur ImmoScout24.ch.")</f>
        <v>🏘  Vous cherchez un appartement à louer à Lussy-sur-Morges? ✅ Les annonces les plus actuelles sont sur ImmoScout24.ch.</v>
      </c>
      <c r="J835" s="4" t="s">
        <v>2512</v>
      </c>
    </row>
    <row r="836">
      <c r="A836" s="5" t="s">
        <v>2513</v>
      </c>
      <c r="B836" s="2" t="s">
        <v>2514</v>
      </c>
      <c r="C836" s="4" t="str">
        <f>IFERROR(__xludf.DUMMYFUNCTION("""🏘️ ""&amp;REGEXEXTRACT(B836, ""^(.*): "")&amp;"" ✅ "" &amp;REGEXEXTRACT(B836, ""(Trouvez.*)"")"),"🏘️ Vendre appartement Palézieux-Village ✅ Trouvez le bien immobilier qui correspond idéalement à vos désirs sur ImmoScout24 - La plateforme de l'immobilier en Suisse.")</f>
        <v>🏘️ Vendre appartement Palézieux-Village ✅ Trouvez le bien immobilier qui correspond idéalement à vos désirs sur ImmoScout24 - La plateforme de l'immobilier en Suisse.</v>
      </c>
      <c r="D836" s="4" t="str">
        <f>vlookup(A836, Sheet2!D:E, 2, 0)</f>
        <v>variant</v>
      </c>
      <c r="E836" s="4" t="str">
        <f>IFERROR(__xludf.DUMMYFUNCTION("if(H836=""pays"",vlookup(REGEXEXTRACT(C836, ""🏘️ \w+ \w+ (.*) ✅""),'Country prepositions'!A:B, 2, 0) &amp; "" "" &amp; REGEXEXTRACT(C836, ""🏘️ \w+ \w+ (.*) ✅"") ,  if(H836=""quartier"",vlookup(REGEXEXTRACT(C836, ""🏘️ \w+ \w+ (.*) ✅""),'Quartier prepositions'!A"&amp;":E, 5, 0) ,  if(H836=""region"",vlookup(REGEXEXTRACT(C836, ""🏘️ \w+ \w+ (.*) ✅""),'Region prepositions'!B:F, 5, 0),  REGEXEXTRACT(C836, ""🏘️ \w+ \w+ (.*) ✅""))))"),"Palézieux-Village")</f>
        <v>Palézieux-Village</v>
      </c>
      <c r="F836" s="2" t="str">
        <f>IFERROR(__xludf.DUMMYFUNCTION("REGEXEXTRACT(C836, ""🏘️ (\w+) \w+ .* ✅"")"),"Vendre")</f>
        <v>Vendre</v>
      </c>
      <c r="G836" s="2" t="str">
        <f>IFERROR(__xludf.DUMMYFUNCTION("REGEXEXTRACT(C836, ""🏘️ \w+ (\w+) .* ✅"")"),"appartement")</f>
        <v>appartement</v>
      </c>
      <c r="H836" s="4" t="str">
        <f>IFERROR(__xludf.DUMMYFUNCTION("REGEXEXTRACT(A836, ""/(\w+)-.*?"")"),"lieu")</f>
        <v>lieu</v>
      </c>
      <c r="I836" s="4" t="str">
        <f>IFERROR(__xludf.DUMMYFUNCTION("if(D836=""variant"",  substitute(filter(Templates!E:E, Templates!A:A = F836, Templates!B:B = G836, Templates!C:C = H836), ""{{}}"", E836), B836)"),"🏘  L’appartement de vos rêves se trouve sur ImmoScout24.ch ✅ Découvrez les dernières annonces de vente à Palézieux-Village.")</f>
        <v>🏘  L’appartement de vos rêves se trouve sur ImmoScout24.ch ✅ Découvrez les dernières annonces de vente à Palézieux-Village.</v>
      </c>
      <c r="J836" s="4" t="s">
        <v>2515</v>
      </c>
    </row>
    <row r="837">
      <c r="A837" s="5" t="s">
        <v>2516</v>
      </c>
      <c r="B837" s="2" t="s">
        <v>2517</v>
      </c>
      <c r="C837" s="4" t="str">
        <f>IFERROR(__xludf.DUMMYFUNCTION("""🏘️ ""&amp;REGEXEXTRACT(B837, ""^(.*): "")&amp;"" ✅ "" &amp;REGEXEXTRACT(B837, ""(Trouvez.*)"")"),"🏘️ Vendre maison Le Bry ✅ Trouvez le bien immobilier qui correspond idéalement à vos désirs sur ImmoScout24 - La plateforme de l'immobilier en Suisse.")</f>
        <v>🏘️ Vendre maison Le Bry ✅ Trouvez le bien immobilier qui correspond idéalement à vos désirs sur ImmoScout24 - La plateforme de l'immobilier en Suisse.</v>
      </c>
      <c r="D837" s="4" t="str">
        <f>vlookup(A837, Sheet2!D:E, 2, 0)</f>
        <v>variant</v>
      </c>
      <c r="E837" s="4" t="str">
        <f>IFERROR(__xludf.DUMMYFUNCTION("if(H837=""pays"",vlookup(REGEXEXTRACT(C837, ""🏘️ \w+ \w+ (.*) ✅""),'Country prepositions'!A:B, 2, 0) &amp; "" "" &amp; REGEXEXTRACT(C837, ""🏘️ \w+ \w+ (.*) ✅"") ,  if(H837=""quartier"",vlookup(REGEXEXTRACT(C837, ""🏘️ \w+ \w+ (.*) ✅""),'Quartier prepositions'!A"&amp;":E, 5, 0) ,  if(H837=""region"",vlookup(REGEXEXTRACT(C837, ""🏘️ \w+ \w+ (.*) ✅""),'Region prepositions'!B:F, 5, 0),  REGEXEXTRACT(C837, ""🏘️ \w+ \w+ (.*) ✅""))))"),"Le Bry")</f>
        <v>Le Bry</v>
      </c>
      <c r="F837" s="2" t="str">
        <f>IFERROR(__xludf.DUMMYFUNCTION("REGEXEXTRACT(C837, ""🏘️ (\w+) \w+ .* ✅"")"),"Vendre")</f>
        <v>Vendre</v>
      </c>
      <c r="G837" s="2" t="str">
        <f>IFERROR(__xludf.DUMMYFUNCTION("REGEXEXTRACT(C837, ""🏘️ \w+ (\w+) .* ✅"")"),"maison")</f>
        <v>maison</v>
      </c>
      <c r="H837" s="4" t="str">
        <f>IFERROR(__xludf.DUMMYFUNCTION("REGEXEXTRACT(A837, ""/(\w+)-.*?"")"),"lieu")</f>
        <v>lieu</v>
      </c>
      <c r="I837" s="8" t="str">
        <f>IFERROR(__xludf.DUMMYFUNCTION("if(D837=""variant"",  substitute(filter(Templates!E:E, Templates!A:A = F837, Templates!B:B = G837, Templates!C:C = H837), ""{{}}"", E837), B837)"),"🏘  Vous souhaitez acheter une maison à Le Bry? ✅ Jetez un œil aux dernières offres sur ImmoScout24.ch.")</f>
        <v>🏘  Vous souhaitez acheter une maison à Le Bry? ✅ Jetez un œil aux dernières offres sur ImmoScout24.ch.</v>
      </c>
      <c r="J837" s="2" t="s">
        <v>2518</v>
      </c>
    </row>
    <row r="838">
      <c r="A838" s="5" t="s">
        <v>2519</v>
      </c>
      <c r="B838" s="2" t="s">
        <v>2520</v>
      </c>
      <c r="C838" s="4" t="str">
        <f>IFERROR(__xludf.DUMMYFUNCTION("""🏘️ ""&amp;REGEXEXTRACT(B838, ""^(.*): "")&amp;"" ✅ "" &amp;REGEXEXTRACT(B838, ""(Trouvez.*)"")"),"🏘️ Vendre appartement Zinal ✅ Trouvez le bien immobilier qui correspond idéalement à vos désirs sur ImmoScout24 - La plateforme de l'immobilier en Suisse.")</f>
        <v>🏘️ Vendre appartement Zinal ✅ Trouvez le bien immobilier qui correspond idéalement à vos désirs sur ImmoScout24 - La plateforme de l'immobilier en Suisse.</v>
      </c>
      <c r="D838" s="4" t="str">
        <f>vlookup(A838, Sheet2!D:E, 2, 0)</f>
        <v>variant</v>
      </c>
      <c r="E838" s="4" t="str">
        <f>IFERROR(__xludf.DUMMYFUNCTION("if(H838=""pays"",vlookup(REGEXEXTRACT(C838, ""🏘️ \w+ \w+ (.*) ✅""),'Country prepositions'!A:B, 2, 0) &amp; "" "" &amp; REGEXEXTRACT(C838, ""🏘️ \w+ \w+ (.*) ✅"") ,  if(H838=""quartier"",vlookup(REGEXEXTRACT(C838, ""🏘️ \w+ \w+ (.*) ✅""),'Quartier prepositions'!A"&amp;":E, 5, 0) ,  if(H838=""region"",vlookup(REGEXEXTRACT(C838, ""🏘️ \w+ \w+ (.*) ✅""),'Region prepositions'!B:F, 5, 0),  REGEXEXTRACT(C838, ""🏘️ \w+ \w+ (.*) ✅""))))"),"Zinal")</f>
        <v>Zinal</v>
      </c>
      <c r="F838" s="2" t="str">
        <f>IFERROR(__xludf.DUMMYFUNCTION("REGEXEXTRACT(C838, ""🏘️ (\w+) \w+ .* ✅"")"),"Vendre")</f>
        <v>Vendre</v>
      </c>
      <c r="G838" s="2" t="str">
        <f>IFERROR(__xludf.DUMMYFUNCTION("REGEXEXTRACT(C838, ""🏘️ \w+ (\w+) .* ✅"")"),"appartement")</f>
        <v>appartement</v>
      </c>
      <c r="H838" s="4" t="str">
        <f>IFERROR(__xludf.DUMMYFUNCTION("REGEXEXTRACT(A838, ""/(\w+)-.*?"")"),"lieu")</f>
        <v>lieu</v>
      </c>
      <c r="I838" s="4" t="str">
        <f>IFERROR(__xludf.DUMMYFUNCTION("if(D838=""variant"",  substitute(filter(Templates!E:E, Templates!A:A = F838, Templates!B:B = G838, Templates!C:C = H838), ""{{}}"", E838), B838)"),"🏘  L’appartement de vos rêves se trouve sur ImmoScout24.ch ✅ Découvrez les dernières annonces de vente à Zinal.")</f>
        <v>🏘  L’appartement de vos rêves se trouve sur ImmoScout24.ch ✅ Découvrez les dernières annonces de vente à Zinal.</v>
      </c>
      <c r="J838" s="4" t="s">
        <v>2521</v>
      </c>
    </row>
    <row r="839">
      <c r="A839" s="5" t="s">
        <v>2522</v>
      </c>
      <c r="B839" s="2" t="s">
        <v>2523</v>
      </c>
      <c r="C839" s="4" t="str">
        <f>IFERROR(__xludf.DUMMYFUNCTION("""🏘️ ""&amp;REGEXEXTRACT(B839, ""^(.*): "")&amp;"" ✅ "" &amp;REGEXEXTRACT(B839, ""(Trouvez.*)"")"),"🏘️ Vendre maison Les Pommerats ✅ Trouvez le bien immobilier qui correspond idéalement à vos désirs sur ImmoScout24 - La plateforme de l'immobilier en Suisse.")</f>
        <v>🏘️ Vendre maison Les Pommerats ✅ Trouvez le bien immobilier qui correspond idéalement à vos désirs sur ImmoScout24 - La plateforme de l'immobilier en Suisse.</v>
      </c>
      <c r="D839" s="4" t="str">
        <f>vlookup(A839, Sheet2!D:E, 2, 0)</f>
        <v>variant</v>
      </c>
      <c r="E839" s="4" t="str">
        <f>IFERROR(__xludf.DUMMYFUNCTION("if(H839=""pays"",vlookup(REGEXEXTRACT(C839, ""🏘️ \w+ \w+ (.*) ✅""),'Country prepositions'!A:B, 2, 0) &amp; "" "" &amp; REGEXEXTRACT(C839, ""🏘️ \w+ \w+ (.*) ✅"") ,  if(H839=""quartier"",vlookup(REGEXEXTRACT(C839, ""🏘️ \w+ \w+ (.*) ✅""),'Quartier prepositions'!A"&amp;":E, 5, 0) ,  if(H839=""region"",vlookup(REGEXEXTRACT(C839, ""🏘️ \w+ \w+ (.*) ✅""),'Region prepositions'!B:F, 5, 0),  REGEXEXTRACT(C839, ""🏘️ \w+ \w+ (.*) ✅""))))"),"Les Pommerats")</f>
        <v>Les Pommerats</v>
      </c>
      <c r="F839" s="2" t="str">
        <f>IFERROR(__xludf.DUMMYFUNCTION("REGEXEXTRACT(C839, ""🏘️ (\w+) \w+ .* ✅"")"),"Vendre")</f>
        <v>Vendre</v>
      </c>
      <c r="G839" s="2" t="str">
        <f>IFERROR(__xludf.DUMMYFUNCTION("REGEXEXTRACT(C839, ""🏘️ \w+ (\w+) .* ✅"")"),"maison")</f>
        <v>maison</v>
      </c>
      <c r="H839" s="4" t="str">
        <f>IFERROR(__xludf.DUMMYFUNCTION("REGEXEXTRACT(A839, ""/(\w+)-.*?"")"),"lieu")</f>
        <v>lieu</v>
      </c>
      <c r="I839" s="4" t="str">
        <f>IFERROR(__xludf.DUMMYFUNCTION("if(D839=""variant"",  substitute(filter(Templates!E:E, Templates!A:A = F839, Templates!B:B = G839, Templates!C:C = H839), ""{{}}"", E839), B839)"),"🏘  Vous souhaitez acheter une maison à Les Pommerats? ✅ Jetez un œil aux dernières offres sur ImmoScout24.ch.")</f>
        <v>🏘  Vous souhaitez acheter une maison à Les Pommerats? ✅ Jetez un œil aux dernières offres sur ImmoScout24.ch.</v>
      </c>
      <c r="J839" s="2" t="s">
        <v>2524</v>
      </c>
    </row>
    <row r="840">
      <c r="A840" s="5" t="s">
        <v>2525</v>
      </c>
      <c r="B840" s="2" t="s">
        <v>2526</v>
      </c>
      <c r="C840" s="4" t="str">
        <f>IFERROR(__xludf.DUMMYFUNCTION("""🏘️ ""&amp;REGEXEXTRACT(B840, ""^(.*): "")&amp;"" ✅ "" &amp;REGEXEXTRACT(B840, ""(Trouvez.*)"")"),"🏘️ Louer appartement Davos Platz ✅ Trouvez le bien immobilier qui correspond idéalement à vos désirs sur ImmoScout24 - La plateforme de l'immobilier en Suisse.")</f>
        <v>🏘️ Louer appartement Davos Platz ✅ Trouvez le bien immobilier qui correspond idéalement à vos désirs sur ImmoScout24 - La plateforme de l'immobilier en Suisse.</v>
      </c>
      <c r="D840" s="4" t="str">
        <f>vlookup(A840, Sheet2!D:E, 2, 0)</f>
        <v>variant</v>
      </c>
      <c r="E840" s="4" t="str">
        <f>IFERROR(__xludf.DUMMYFUNCTION("if(H840=""pays"",vlookup(REGEXEXTRACT(C840, ""🏘️ \w+ \w+ (.*) ✅""),'Country prepositions'!A:B, 2, 0) &amp; "" "" &amp; REGEXEXTRACT(C840, ""🏘️ \w+ \w+ (.*) ✅"") ,  if(H840=""quartier"",vlookup(REGEXEXTRACT(C840, ""🏘️ \w+ \w+ (.*) ✅""),'Quartier prepositions'!A"&amp;":E, 5, 0) ,  if(H840=""region"",vlookup(REGEXEXTRACT(C840, ""🏘️ \w+ \w+ (.*) ✅""),'Region prepositions'!B:F, 5, 0),  REGEXEXTRACT(C840, ""🏘️ \w+ \w+ (.*) ✅""))))"),"Davos Platz")</f>
        <v>Davos Platz</v>
      </c>
      <c r="F840" s="2" t="str">
        <f>IFERROR(__xludf.DUMMYFUNCTION("REGEXEXTRACT(C840, ""🏘️ (\w+) \w+ .* ✅"")"),"Louer")</f>
        <v>Louer</v>
      </c>
      <c r="G840" s="2" t="str">
        <f>IFERROR(__xludf.DUMMYFUNCTION("REGEXEXTRACT(C840, ""🏘️ \w+ (\w+) .* ✅"")"),"appartement")</f>
        <v>appartement</v>
      </c>
      <c r="H840" s="4" t="str">
        <f>IFERROR(__xludf.DUMMYFUNCTION("REGEXEXTRACT(A840, ""/(\w+)-.*?"")"),"lieu")</f>
        <v>lieu</v>
      </c>
      <c r="I840" s="4" t="str">
        <f>IFERROR(__xludf.DUMMYFUNCTION("if(D840=""variant"",  substitute(filter(Templates!E:E, Templates!A:A = F840, Templates!B:B = G840, Templates!C:C = H840), ""{{}}"", E840), B840)"),"🏘  Vous cherchez un appartement à louer à Davos Platz? ✅ Les annonces les plus actuelles sont sur ImmoScout24.ch.")</f>
        <v>🏘  Vous cherchez un appartement à louer à Davos Platz? ✅ Les annonces les plus actuelles sont sur ImmoScout24.ch.</v>
      </c>
      <c r="J840" s="4" t="s">
        <v>2527</v>
      </c>
    </row>
    <row r="841">
      <c r="A841" s="5" t="s">
        <v>2528</v>
      </c>
      <c r="B841" s="2" t="s">
        <v>2529</v>
      </c>
      <c r="C841" s="4" t="str">
        <f>IFERROR(__xludf.DUMMYFUNCTION("""🏘️ ""&amp;REGEXEXTRACT(B841, ""^(.*): "")&amp;"" ✅ "" &amp;REGEXEXTRACT(B841, ""(Trouvez.*)"")"),"🏘️ Louer appartement Mörigen ✅ Trouvez le bien immobilier qui correspond idéalement à vos désirs sur ImmoScout24 - La plateforme de l'immobilier en Suisse.")</f>
        <v>🏘️ Louer appartement Mörigen ✅ Trouvez le bien immobilier qui correspond idéalement à vos désirs sur ImmoScout24 - La plateforme de l'immobilier en Suisse.</v>
      </c>
      <c r="D841" s="4" t="str">
        <f>vlookup(A841, Sheet2!D:E, 2, 0)</f>
        <v>variant</v>
      </c>
      <c r="E841" s="4" t="str">
        <f>IFERROR(__xludf.DUMMYFUNCTION("if(H841=""pays"",vlookup(REGEXEXTRACT(C841, ""🏘️ \w+ \w+ (.*) ✅""),'Country prepositions'!A:B, 2, 0) &amp; "" "" &amp; REGEXEXTRACT(C841, ""🏘️ \w+ \w+ (.*) ✅"") ,  if(H841=""quartier"",vlookup(REGEXEXTRACT(C841, ""🏘️ \w+ \w+ (.*) ✅""),'Quartier prepositions'!A"&amp;":E, 5, 0) ,  if(H841=""region"",vlookup(REGEXEXTRACT(C841, ""🏘️ \w+ \w+ (.*) ✅""),'Region prepositions'!B:F, 5, 0),  REGEXEXTRACT(C841, ""🏘️ \w+ \w+ (.*) ✅""))))"),"Mörigen")</f>
        <v>Mörigen</v>
      </c>
      <c r="F841" s="2" t="str">
        <f>IFERROR(__xludf.DUMMYFUNCTION("REGEXEXTRACT(C841, ""🏘️ (\w+) \w+ .* ✅"")"),"Louer")</f>
        <v>Louer</v>
      </c>
      <c r="G841" s="2" t="str">
        <f>IFERROR(__xludf.DUMMYFUNCTION("REGEXEXTRACT(C841, ""🏘️ \w+ (\w+) .* ✅"")"),"appartement")</f>
        <v>appartement</v>
      </c>
      <c r="H841" s="4" t="str">
        <f>IFERROR(__xludf.DUMMYFUNCTION("REGEXEXTRACT(A841, ""/(\w+)-.*?"")"),"lieu")</f>
        <v>lieu</v>
      </c>
      <c r="I841" s="4" t="str">
        <f>IFERROR(__xludf.DUMMYFUNCTION("if(D841=""variant"",  substitute(filter(Templates!E:E, Templates!A:A = F841, Templates!B:B = G841, Templates!C:C = H841), ""{{}}"", E841), B841)"),"🏘  Vous cherchez un appartement à louer à Mörigen? ✅ Les annonces les plus actuelles sont sur ImmoScout24.ch.")</f>
        <v>🏘  Vous cherchez un appartement à louer à Mörigen? ✅ Les annonces les plus actuelles sont sur ImmoScout24.ch.</v>
      </c>
      <c r="J841" s="4" t="s">
        <v>2530</v>
      </c>
    </row>
    <row r="842">
      <c r="A842" s="5" t="s">
        <v>2531</v>
      </c>
      <c r="B842" s="2" t="s">
        <v>2532</v>
      </c>
      <c r="C842" s="4" t="str">
        <f>IFERROR(__xludf.DUMMYFUNCTION("""🏘️ ""&amp;REGEXEXTRACT(B842, ""^(.*): "")&amp;"" ✅ "" &amp;REGEXEXTRACT(B842, ""(Trouvez.*)"")"),"🏘️ Vendre appartement Bassins ✅ Trouvez le bien immobilier qui correspond idéalement à vos désirs sur ImmoScout24 - La plateforme de l'immobilier en Suisse.")</f>
        <v>🏘️ Vendre appartement Bassins ✅ Trouvez le bien immobilier qui correspond idéalement à vos désirs sur ImmoScout24 - La plateforme de l'immobilier en Suisse.</v>
      </c>
      <c r="D842" s="4" t="str">
        <f>vlookup(A842, Sheet2!D:E, 2, 0)</f>
        <v>variant</v>
      </c>
      <c r="E842" s="4" t="str">
        <f>IFERROR(__xludf.DUMMYFUNCTION("if(H842=""pays"",vlookup(REGEXEXTRACT(C842, ""🏘️ \w+ \w+ (.*) ✅""),'Country prepositions'!A:B, 2, 0) &amp; "" "" &amp; REGEXEXTRACT(C842, ""🏘️ \w+ \w+ (.*) ✅"") ,  if(H842=""quartier"",vlookup(REGEXEXTRACT(C842, ""🏘️ \w+ \w+ (.*) ✅""),'Quartier prepositions'!A"&amp;":E, 5, 0) ,  if(H842=""region"",vlookup(REGEXEXTRACT(C842, ""🏘️ \w+ \w+ (.*) ✅""),'Region prepositions'!B:F, 5, 0),  REGEXEXTRACT(C842, ""🏘️ \w+ \w+ (.*) ✅""))))"),"Bassins")</f>
        <v>Bassins</v>
      </c>
      <c r="F842" s="2" t="str">
        <f>IFERROR(__xludf.DUMMYFUNCTION("REGEXEXTRACT(C842, ""🏘️ (\w+) \w+ .* ✅"")"),"Vendre")</f>
        <v>Vendre</v>
      </c>
      <c r="G842" s="2" t="str">
        <f>IFERROR(__xludf.DUMMYFUNCTION("REGEXEXTRACT(C842, ""🏘️ \w+ (\w+) .* ✅"")"),"appartement")</f>
        <v>appartement</v>
      </c>
      <c r="H842" s="4" t="str">
        <f>IFERROR(__xludf.DUMMYFUNCTION("REGEXEXTRACT(A842, ""/(\w+)-.*?"")"),"lieu")</f>
        <v>lieu</v>
      </c>
      <c r="I842" s="4" t="str">
        <f>IFERROR(__xludf.DUMMYFUNCTION("if(D842=""variant"",  substitute(filter(Templates!E:E, Templates!A:A = F842, Templates!B:B = G842, Templates!C:C = H842), ""{{}}"", E842), B842)"),"🏘  L’appartement de vos rêves se trouve sur ImmoScout24.ch ✅ Découvrez les dernières annonces de vente à Bassins.")</f>
        <v>🏘  L’appartement de vos rêves se trouve sur ImmoScout24.ch ✅ Découvrez les dernières annonces de vente à Bassins.</v>
      </c>
      <c r="J842" s="4" t="s">
        <v>2533</v>
      </c>
    </row>
    <row r="843">
      <c r="A843" s="5" t="s">
        <v>2534</v>
      </c>
      <c r="B843" s="2" t="s">
        <v>2535</v>
      </c>
      <c r="C843" s="4" t="str">
        <f>IFERROR(__xludf.DUMMYFUNCTION("""🏘️ ""&amp;REGEXEXTRACT(B843, ""^(.*): "")&amp;"" ✅ "" &amp;REGEXEXTRACT(B843, ""(Trouvez.*)"")"),"🏘️ Louer appartement Netstal ✅ Trouvez le bien immobilier qui correspond idéalement à vos désirs sur ImmoScout24 - La plateforme de l'immobilier en Suisse.")</f>
        <v>🏘️ Louer appartement Netstal ✅ Trouvez le bien immobilier qui correspond idéalement à vos désirs sur ImmoScout24 - La plateforme de l'immobilier en Suisse.</v>
      </c>
      <c r="D843" s="4" t="str">
        <f>vlookup(A843, Sheet2!D:E, 2, 0)</f>
        <v>variant</v>
      </c>
      <c r="E843" s="4" t="str">
        <f>IFERROR(__xludf.DUMMYFUNCTION("if(H843=""pays"",vlookup(REGEXEXTRACT(C843, ""🏘️ \w+ \w+ (.*) ✅""),'Country prepositions'!A:B, 2, 0) &amp; "" "" &amp; REGEXEXTRACT(C843, ""🏘️ \w+ \w+ (.*) ✅"") ,  if(H843=""quartier"",vlookup(REGEXEXTRACT(C843, ""🏘️ \w+ \w+ (.*) ✅""),'Quartier prepositions'!A"&amp;":E, 5, 0) ,  if(H843=""region"",vlookup(REGEXEXTRACT(C843, ""🏘️ \w+ \w+ (.*) ✅""),'Region prepositions'!B:F, 5, 0),  REGEXEXTRACT(C843, ""🏘️ \w+ \w+ (.*) ✅""))))"),"Netstal")</f>
        <v>Netstal</v>
      </c>
      <c r="F843" s="2" t="str">
        <f>IFERROR(__xludf.DUMMYFUNCTION("REGEXEXTRACT(C843, ""🏘️ (\w+) \w+ .* ✅"")"),"Louer")</f>
        <v>Louer</v>
      </c>
      <c r="G843" s="2" t="str">
        <f>IFERROR(__xludf.DUMMYFUNCTION("REGEXEXTRACT(C843, ""🏘️ \w+ (\w+) .* ✅"")"),"appartement")</f>
        <v>appartement</v>
      </c>
      <c r="H843" s="4" t="str">
        <f>IFERROR(__xludf.DUMMYFUNCTION("REGEXEXTRACT(A843, ""/(\w+)-.*?"")"),"lieu")</f>
        <v>lieu</v>
      </c>
      <c r="I843" s="4" t="str">
        <f>IFERROR(__xludf.DUMMYFUNCTION("if(D843=""variant"",  substitute(filter(Templates!E:E, Templates!A:A = F843, Templates!B:B = G843, Templates!C:C = H843), ""{{}}"", E843), B843)"),"🏘  Vous cherchez un appartement à louer à Netstal? ✅ Les annonces les plus actuelles sont sur ImmoScout24.ch.")</f>
        <v>🏘  Vous cherchez un appartement à louer à Netstal? ✅ Les annonces les plus actuelles sont sur ImmoScout24.ch.</v>
      </c>
      <c r="J843" s="4" t="s">
        <v>2536</v>
      </c>
    </row>
    <row r="844">
      <c r="A844" s="5" t="s">
        <v>2537</v>
      </c>
      <c r="B844" s="2" t="s">
        <v>2538</v>
      </c>
      <c r="C844" s="4" t="str">
        <f>IFERROR(__xludf.DUMMYFUNCTION("""🏘️ ""&amp;REGEXEXTRACT(B844, ""^(.*): "")&amp;"" ✅ "" &amp;REGEXEXTRACT(B844, ""(Trouvez.*)"")"),"🏘️ Louer maison Sugiez ✅ Trouvez le bien immobilier qui correspond idéalement à vos désirs sur ImmoScout24 - La plateforme de l'immobilier en Suisse.")</f>
        <v>🏘️ Louer maison Sugiez ✅ Trouvez le bien immobilier qui correspond idéalement à vos désirs sur ImmoScout24 - La plateforme de l'immobilier en Suisse.</v>
      </c>
      <c r="D844" s="4" t="str">
        <f>vlookup(A844, Sheet2!D:E, 2, 0)</f>
        <v>variant</v>
      </c>
      <c r="E844" s="4" t="str">
        <f>IFERROR(__xludf.DUMMYFUNCTION("if(H844=""pays"",vlookup(REGEXEXTRACT(C844, ""🏘️ \w+ \w+ (.*) ✅""),'Country prepositions'!A:B, 2, 0) &amp; "" "" &amp; REGEXEXTRACT(C844, ""🏘️ \w+ \w+ (.*) ✅"") ,  if(H844=""quartier"",vlookup(REGEXEXTRACT(C844, ""🏘️ \w+ \w+ (.*) ✅""),'Quartier prepositions'!A"&amp;":E, 5, 0) ,  if(H844=""region"",vlookup(REGEXEXTRACT(C844, ""🏘️ \w+ \w+ (.*) ✅""),'Region prepositions'!B:F, 5, 0),  REGEXEXTRACT(C844, ""🏘️ \w+ \w+ (.*) ✅""))))"),"Sugiez")</f>
        <v>Sugiez</v>
      </c>
      <c r="F844" s="2" t="str">
        <f>IFERROR(__xludf.DUMMYFUNCTION("REGEXEXTRACT(C844, ""🏘️ (\w+) \w+ .* ✅"")"),"Louer")</f>
        <v>Louer</v>
      </c>
      <c r="G844" s="2" t="str">
        <f>IFERROR(__xludf.DUMMYFUNCTION("REGEXEXTRACT(C844, ""🏘️ \w+ (\w+) .* ✅"")"),"maison")</f>
        <v>maison</v>
      </c>
      <c r="H844" s="4" t="str">
        <f>IFERROR(__xludf.DUMMYFUNCTION("REGEXEXTRACT(A844, ""/(\w+)-.*?"")"),"lieu")</f>
        <v>lieu</v>
      </c>
      <c r="I844" s="4" t="str">
        <f>IFERROR(__xludf.DUMMYFUNCTION("if(D844=""variant"",  substitute(filter(Templates!E:E, Templates!A:A = F844, Templates!B:B = G844, Templates!C:C = H844), ""{{}}"", E844), B844)"),"🏘  Vous cherchez une maison à louer à Sugiez? ✅ Découvrez nos nombreuses annonces sur ImmoScout24.ch.")</f>
        <v>🏘  Vous cherchez une maison à louer à Sugiez? ✅ Découvrez nos nombreuses annonces sur ImmoScout24.ch.</v>
      </c>
      <c r="J844" s="4" t="s">
        <v>2539</v>
      </c>
    </row>
    <row r="845">
      <c r="A845" s="5" t="s">
        <v>2540</v>
      </c>
      <c r="B845" s="2" t="s">
        <v>2541</v>
      </c>
      <c r="C845" s="4" t="str">
        <f>IFERROR(__xludf.DUMMYFUNCTION("""🏘️ ""&amp;REGEXEXTRACT(B845, ""^(.*): "")&amp;"" ✅ "" &amp;REGEXEXTRACT(B845, ""(Trouvez.*)"")"),"🏘️ Vendre maison Posieux ✅ Trouvez le bien immobilier qui correspond idéalement à vos désirs sur ImmoScout24 - La plateforme de l'immobilier en Suisse.")</f>
        <v>🏘️ Vendre maison Posieux ✅ Trouvez le bien immobilier qui correspond idéalement à vos désirs sur ImmoScout24 - La plateforme de l'immobilier en Suisse.</v>
      </c>
      <c r="D845" s="4" t="str">
        <f>vlookup(A845, Sheet2!D:E, 2, 0)</f>
        <v>variant</v>
      </c>
      <c r="E845" s="4" t="str">
        <f>IFERROR(__xludf.DUMMYFUNCTION("if(H845=""pays"",vlookup(REGEXEXTRACT(C845, ""🏘️ \w+ \w+ (.*) ✅""),'Country prepositions'!A:B, 2, 0) &amp; "" "" &amp; REGEXEXTRACT(C845, ""🏘️ \w+ \w+ (.*) ✅"") ,  if(H845=""quartier"",vlookup(REGEXEXTRACT(C845, ""🏘️ \w+ \w+ (.*) ✅""),'Quartier prepositions'!A"&amp;":E, 5, 0) ,  if(H845=""region"",vlookup(REGEXEXTRACT(C845, ""🏘️ \w+ \w+ (.*) ✅""),'Region prepositions'!B:F, 5, 0),  REGEXEXTRACT(C845, ""🏘️ \w+ \w+ (.*) ✅""))))"),"Posieux")</f>
        <v>Posieux</v>
      </c>
      <c r="F845" s="2" t="str">
        <f>IFERROR(__xludf.DUMMYFUNCTION("REGEXEXTRACT(C845, ""🏘️ (\w+) \w+ .* ✅"")"),"Vendre")</f>
        <v>Vendre</v>
      </c>
      <c r="G845" s="2" t="str">
        <f>IFERROR(__xludf.DUMMYFUNCTION("REGEXEXTRACT(C845, ""🏘️ \w+ (\w+) .* ✅"")"),"maison")</f>
        <v>maison</v>
      </c>
      <c r="H845" s="4" t="str">
        <f>IFERROR(__xludf.DUMMYFUNCTION("REGEXEXTRACT(A845, ""/(\w+)-.*?"")"),"lieu")</f>
        <v>lieu</v>
      </c>
      <c r="I845" s="4" t="str">
        <f>IFERROR(__xludf.DUMMYFUNCTION("if(D845=""variant"",  substitute(filter(Templates!E:E, Templates!A:A = F845, Templates!B:B = G845, Templates!C:C = H845), ""{{}}"", E845), B845)"),"🏘  Vous souhaitez acheter une maison à Posieux? ✅ Jetez un œil aux dernières offres sur ImmoScout24.ch.")</f>
        <v>🏘  Vous souhaitez acheter une maison à Posieux? ✅ Jetez un œil aux dernières offres sur ImmoScout24.ch.</v>
      </c>
      <c r="J845" s="4" t="s">
        <v>2542</v>
      </c>
    </row>
    <row r="846">
      <c r="A846" s="5" t="s">
        <v>2543</v>
      </c>
      <c r="B846" s="2" t="s">
        <v>2544</v>
      </c>
      <c r="C846" s="4" t="str">
        <f>IFERROR(__xludf.DUMMYFUNCTION("""🏘️ ""&amp;REGEXEXTRACT(B846, ""^(.*): "")&amp;"" ✅ "" &amp;REGEXEXTRACT(B846, ""(Trouvez.*)"")"),"🏘️ Vendre appartement Neuchâtel ✅ Trouvez le bien immobilier qui correspond idéalement à vos désirs sur ImmoScout24 - La plateforme de l'immobilier en Suisse.")</f>
        <v>🏘️ Vendre appartement Neuchâtel ✅ Trouvez le bien immobilier qui correspond idéalement à vos désirs sur ImmoScout24 - La plateforme de l'immobilier en Suisse.</v>
      </c>
      <c r="D846" s="4" t="str">
        <f>vlookup(A846, Sheet2!D:E, 2, 0)</f>
        <v>variant</v>
      </c>
      <c r="E846" s="4" t="str">
        <f>IFERROR(__xludf.DUMMYFUNCTION("if(H846=""pays"",vlookup(REGEXEXTRACT(C846, ""🏘️ \w+ \w+ (.*) ✅""),'Country prepositions'!A:B, 2, 0) &amp; "" "" &amp; REGEXEXTRACT(C846, ""🏘️ \w+ \w+ (.*) ✅"") ,  if(H846=""quartier"",vlookup(REGEXEXTRACT(C846, ""🏘️ \w+ \w+ (.*) ✅""),'Quartier prepositions'!A"&amp;":E, 5, 0) ,  if(H846=""region"",vlookup(REGEXEXTRACT(C846, ""🏘️ \w+ \w+ (.*) ✅""),'Region prepositions'!B:F, 5, 0),  REGEXEXTRACT(C846, ""🏘️ \w+ \w+ (.*) ✅""))))"),"Neuchâtel")</f>
        <v>Neuchâtel</v>
      </c>
      <c r="F846" s="2" t="str">
        <f>IFERROR(__xludf.DUMMYFUNCTION("REGEXEXTRACT(C846, ""🏘️ (\w+) \w+ .* ✅"")"),"Vendre")</f>
        <v>Vendre</v>
      </c>
      <c r="G846" s="2" t="str">
        <f>IFERROR(__xludf.DUMMYFUNCTION("REGEXEXTRACT(C846, ""🏘️ \w+ (\w+) .* ✅"")"),"appartement")</f>
        <v>appartement</v>
      </c>
      <c r="H846" s="4" t="str">
        <f>IFERROR(__xludf.DUMMYFUNCTION("REGEXEXTRACT(A846, ""/(\w+)-.*?"")"),"lieu")</f>
        <v>lieu</v>
      </c>
      <c r="I846" s="4" t="str">
        <f>IFERROR(__xludf.DUMMYFUNCTION("if(D846=""variant"",  substitute(filter(Templates!E:E, Templates!A:A = F846, Templates!B:B = G846, Templates!C:C = H846), ""{{}}"", E846), B846)"),"🏘  L’appartement de vos rêves se trouve sur ImmoScout24.ch ✅ Découvrez les dernières annonces de vente à Neuchâtel.")</f>
        <v>🏘  L’appartement de vos rêves se trouve sur ImmoScout24.ch ✅ Découvrez les dernières annonces de vente à Neuchâtel.</v>
      </c>
      <c r="J846" s="4" t="s">
        <v>2545</v>
      </c>
    </row>
    <row r="847">
      <c r="A847" s="5" t="s">
        <v>2546</v>
      </c>
      <c r="B847" s="2" t="s">
        <v>2547</v>
      </c>
      <c r="C847" s="4" t="str">
        <f>IFERROR(__xludf.DUMMYFUNCTION("""🏘️ ""&amp;REGEXEXTRACT(B847, ""^(.*): "")&amp;"" ✅ "" &amp;REGEXEXTRACT(B847, ""(Trouvez.*)"")"),"🏘️ Vendre appartement Le Crêt-près-Semsales ✅ Trouvez le bien immobilier qui correspond idéalement à vos désirs sur ImmoScout24 - La plateforme de l'immobilier en Suisse.")</f>
        <v>🏘️ Vendre appartement Le Crêt-près-Semsales ✅ Trouvez le bien immobilier qui correspond idéalement à vos désirs sur ImmoScout24 - La plateforme de l'immobilier en Suisse.</v>
      </c>
      <c r="D847" s="4" t="str">
        <f>vlookup(A847, Sheet2!D:E, 2, 0)</f>
        <v>variant</v>
      </c>
      <c r="E847" s="4" t="str">
        <f>IFERROR(__xludf.DUMMYFUNCTION("if(H847=""pays"",vlookup(REGEXEXTRACT(C847, ""🏘️ \w+ \w+ (.*) ✅""),'Country prepositions'!A:B, 2, 0) &amp; "" "" &amp; REGEXEXTRACT(C847, ""🏘️ \w+ \w+ (.*) ✅"") ,  if(H847=""quartier"",vlookup(REGEXEXTRACT(C847, ""🏘️ \w+ \w+ (.*) ✅""),'Quartier prepositions'!A"&amp;":E, 5, 0) ,  if(H847=""region"",vlookup(REGEXEXTRACT(C847, ""🏘️ \w+ \w+ (.*) ✅""),'Region prepositions'!B:F, 5, 0),  REGEXEXTRACT(C847, ""🏘️ \w+ \w+ (.*) ✅""))))"),"Le Crêt-près-Semsales")</f>
        <v>Le Crêt-près-Semsales</v>
      </c>
      <c r="F847" s="2" t="str">
        <f>IFERROR(__xludf.DUMMYFUNCTION("REGEXEXTRACT(C847, ""🏘️ (\w+) \w+ .* ✅"")"),"Vendre")</f>
        <v>Vendre</v>
      </c>
      <c r="G847" s="2" t="str">
        <f>IFERROR(__xludf.DUMMYFUNCTION("REGEXEXTRACT(C847, ""🏘️ \w+ (\w+) .* ✅"")"),"appartement")</f>
        <v>appartement</v>
      </c>
      <c r="H847" s="4" t="str">
        <f>IFERROR(__xludf.DUMMYFUNCTION("REGEXEXTRACT(A847, ""/(\w+)-.*?"")"),"lieu")</f>
        <v>lieu</v>
      </c>
      <c r="I847" s="8" t="str">
        <f>IFERROR(__xludf.DUMMYFUNCTION("if(D847=""variant"",  substitute(filter(Templates!E:E, Templates!A:A = F847, Templates!B:B = G847, Templates!C:C = H847), ""{{}}"", E847), B847)"),"🏘  L’appartement de vos rêves se trouve sur ImmoScout24.ch ✅ Découvrez les dernières annonces de vente à Le Crêt-près-Semsales.")</f>
        <v>🏘  L’appartement de vos rêves se trouve sur ImmoScout24.ch ✅ Découvrez les dernières annonces de vente à Le Crêt-près-Semsales.</v>
      </c>
      <c r="J847" s="2" t="s">
        <v>2548</v>
      </c>
    </row>
    <row r="848">
      <c r="A848" s="5" t="s">
        <v>2549</v>
      </c>
      <c r="B848" s="2" t="s">
        <v>2550</v>
      </c>
      <c r="C848" s="4" t="str">
        <f>IFERROR(__xludf.DUMMYFUNCTION("""🏘️ ""&amp;REGEXEXTRACT(B848, ""^(.*): "")&amp;"" ✅ "" &amp;REGEXEXTRACT(B848, ""(Trouvez.*)"")"),"🏘️ Vendre appartement Enney ✅ Trouvez le bien immobilier qui correspond idéalement à vos désirs sur ImmoScout24 - La plateforme de l'immobilier en Suisse.")</f>
        <v>🏘️ Vendre appartement Enney ✅ Trouvez le bien immobilier qui correspond idéalement à vos désirs sur ImmoScout24 - La plateforme de l'immobilier en Suisse.</v>
      </c>
      <c r="D848" s="4" t="str">
        <f>vlookup(A848, Sheet2!D:E, 2, 0)</f>
        <v>variant</v>
      </c>
      <c r="E848" s="4" t="str">
        <f>IFERROR(__xludf.DUMMYFUNCTION("if(H848=""pays"",vlookup(REGEXEXTRACT(C848, ""🏘️ \w+ \w+ (.*) ✅""),'Country prepositions'!A:B, 2, 0) &amp; "" "" &amp; REGEXEXTRACT(C848, ""🏘️ \w+ \w+ (.*) ✅"") ,  if(H848=""quartier"",vlookup(REGEXEXTRACT(C848, ""🏘️ \w+ \w+ (.*) ✅""),'Quartier prepositions'!A"&amp;":E, 5, 0) ,  if(H848=""region"",vlookup(REGEXEXTRACT(C848, ""🏘️ \w+ \w+ (.*) ✅""),'Region prepositions'!B:F, 5, 0),  REGEXEXTRACT(C848, ""🏘️ \w+ \w+ (.*) ✅""))))"),"Enney")</f>
        <v>Enney</v>
      </c>
      <c r="F848" s="2" t="str">
        <f>IFERROR(__xludf.DUMMYFUNCTION("REGEXEXTRACT(C848, ""🏘️ (\w+) \w+ .* ✅"")"),"Vendre")</f>
        <v>Vendre</v>
      </c>
      <c r="G848" s="2" t="str">
        <f>IFERROR(__xludf.DUMMYFUNCTION("REGEXEXTRACT(C848, ""🏘️ \w+ (\w+) .* ✅"")"),"appartement")</f>
        <v>appartement</v>
      </c>
      <c r="H848" s="4" t="str">
        <f>IFERROR(__xludf.DUMMYFUNCTION("REGEXEXTRACT(A848, ""/(\w+)-.*?"")"),"lieu")</f>
        <v>lieu</v>
      </c>
      <c r="I848" s="4" t="str">
        <f>IFERROR(__xludf.DUMMYFUNCTION("if(D848=""variant"",  substitute(filter(Templates!E:E, Templates!A:A = F848, Templates!B:B = G848, Templates!C:C = H848), ""{{}}"", E848), B848)"),"🏘  L’appartement de vos rêves se trouve sur ImmoScout24.ch ✅ Découvrez les dernières annonces de vente à Enney.")</f>
        <v>🏘  L’appartement de vos rêves se trouve sur ImmoScout24.ch ✅ Découvrez les dernières annonces de vente à Enney.</v>
      </c>
      <c r="J848" s="4" t="s">
        <v>2551</v>
      </c>
    </row>
    <row r="849">
      <c r="A849" s="5" t="s">
        <v>2552</v>
      </c>
      <c r="B849" s="2" t="s">
        <v>2553</v>
      </c>
      <c r="C849" s="4" t="str">
        <f>IFERROR(__xludf.DUMMYFUNCTION("""🏘️ ""&amp;REGEXEXTRACT(B849, ""^(.*): "")&amp;"" ✅ "" &amp;REGEXEXTRACT(B849, ""(Trouvez.*)"")"),"🏘️ Vendre maison Miex ✅ Trouvez le bien immobilier qui correspond idéalement à vos désirs sur ImmoScout24 - La plateforme de l'immobilier en Suisse.")</f>
        <v>🏘️ Vendre maison Miex ✅ Trouvez le bien immobilier qui correspond idéalement à vos désirs sur ImmoScout24 - La plateforme de l'immobilier en Suisse.</v>
      </c>
      <c r="D849" s="4" t="str">
        <f>vlookup(A849, Sheet2!D:E, 2, 0)</f>
        <v>variant</v>
      </c>
      <c r="E849" s="4" t="str">
        <f>IFERROR(__xludf.DUMMYFUNCTION("if(H849=""pays"",vlookup(REGEXEXTRACT(C849, ""🏘️ \w+ \w+ (.*) ✅""),'Country prepositions'!A:B, 2, 0) &amp; "" "" &amp; REGEXEXTRACT(C849, ""🏘️ \w+ \w+ (.*) ✅"") ,  if(H849=""quartier"",vlookup(REGEXEXTRACT(C849, ""🏘️ \w+ \w+ (.*) ✅""),'Quartier prepositions'!A"&amp;":E, 5, 0) ,  if(H849=""region"",vlookup(REGEXEXTRACT(C849, ""🏘️ \w+ \w+ (.*) ✅""),'Region prepositions'!B:F, 5, 0),  REGEXEXTRACT(C849, ""🏘️ \w+ \w+ (.*) ✅""))))"),"Miex")</f>
        <v>Miex</v>
      </c>
      <c r="F849" s="2" t="str">
        <f>IFERROR(__xludf.DUMMYFUNCTION("REGEXEXTRACT(C849, ""🏘️ (\w+) \w+ .* ✅"")"),"Vendre")</f>
        <v>Vendre</v>
      </c>
      <c r="G849" s="2" t="str">
        <f>IFERROR(__xludf.DUMMYFUNCTION("REGEXEXTRACT(C849, ""🏘️ \w+ (\w+) .* ✅"")"),"maison")</f>
        <v>maison</v>
      </c>
      <c r="H849" s="4" t="str">
        <f>IFERROR(__xludf.DUMMYFUNCTION("REGEXEXTRACT(A849, ""/(\w+)-.*?"")"),"lieu")</f>
        <v>lieu</v>
      </c>
      <c r="I849" s="4" t="str">
        <f>IFERROR(__xludf.DUMMYFUNCTION("if(D849=""variant"",  substitute(filter(Templates!E:E, Templates!A:A = F849, Templates!B:B = G849, Templates!C:C = H849), ""{{}}"", E849), B849)"),"🏘  Vous souhaitez acheter une maison à Miex? ✅ Jetez un œil aux dernières offres sur ImmoScout24.ch.")</f>
        <v>🏘  Vous souhaitez acheter une maison à Miex? ✅ Jetez un œil aux dernières offres sur ImmoScout24.ch.</v>
      </c>
      <c r="J849" s="4" t="s">
        <v>2554</v>
      </c>
    </row>
    <row r="850">
      <c r="A850" s="5" t="s">
        <v>2555</v>
      </c>
      <c r="B850" s="2" t="s">
        <v>2556</v>
      </c>
      <c r="C850" s="4" t="str">
        <f>IFERROR(__xludf.DUMMYFUNCTION("""🏘️ ""&amp;REGEXEXTRACT(B850, ""^(.*): "")&amp;"" ✅ "" &amp;REGEXEXTRACT(B850, ""(Trouvez.*)"")"),"🏘️ Louer maison Echarlens ✅ Trouvez le bien immobilier qui correspond idéalement à vos désirs sur ImmoScout24 - La plateforme de l'immobilier en Suisse.")</f>
        <v>🏘️ Louer maison Echarlens ✅ Trouvez le bien immobilier qui correspond idéalement à vos désirs sur ImmoScout24 - La plateforme de l'immobilier en Suisse.</v>
      </c>
      <c r="D850" s="4" t="str">
        <f>vlookup(A850, Sheet2!D:E, 2, 0)</f>
        <v>variant</v>
      </c>
      <c r="E850" s="4" t="str">
        <f>IFERROR(__xludf.DUMMYFUNCTION("if(H850=""pays"",vlookup(REGEXEXTRACT(C850, ""🏘️ \w+ \w+ (.*) ✅""),'Country prepositions'!A:B, 2, 0) &amp; "" "" &amp; REGEXEXTRACT(C850, ""🏘️ \w+ \w+ (.*) ✅"") ,  if(H850=""quartier"",vlookup(REGEXEXTRACT(C850, ""🏘️ \w+ \w+ (.*) ✅""),'Quartier prepositions'!A"&amp;":E, 5, 0) ,  if(H850=""region"",vlookup(REGEXEXTRACT(C850, ""🏘️ \w+ \w+ (.*) ✅""),'Region prepositions'!B:F, 5, 0),  REGEXEXTRACT(C850, ""🏘️ \w+ \w+ (.*) ✅""))))"),"Echarlens")</f>
        <v>Echarlens</v>
      </c>
      <c r="F850" s="2" t="str">
        <f>IFERROR(__xludf.DUMMYFUNCTION("REGEXEXTRACT(C850, ""🏘️ (\w+) \w+ .* ✅"")"),"Louer")</f>
        <v>Louer</v>
      </c>
      <c r="G850" s="2" t="str">
        <f>IFERROR(__xludf.DUMMYFUNCTION("REGEXEXTRACT(C850, ""🏘️ \w+ (\w+) .* ✅"")"),"maison")</f>
        <v>maison</v>
      </c>
      <c r="H850" s="4" t="str">
        <f>IFERROR(__xludf.DUMMYFUNCTION("REGEXEXTRACT(A850, ""/(\w+)-.*?"")"),"lieu")</f>
        <v>lieu</v>
      </c>
      <c r="I850" s="4" t="str">
        <f>IFERROR(__xludf.DUMMYFUNCTION("if(D850=""variant"",  substitute(filter(Templates!E:E, Templates!A:A = F850, Templates!B:B = G850, Templates!C:C = H850), ""{{}}"", E850), B850)"),"🏘  Vous cherchez une maison à louer à Echarlens? ✅ Découvrez nos nombreuses annonces sur ImmoScout24.ch.")</f>
        <v>🏘  Vous cherchez une maison à louer à Echarlens? ✅ Découvrez nos nombreuses annonces sur ImmoScout24.ch.</v>
      </c>
      <c r="J850" s="4" t="s">
        <v>2557</v>
      </c>
    </row>
    <row r="851">
      <c r="A851" s="5" t="s">
        <v>2558</v>
      </c>
      <c r="B851" s="2" t="s">
        <v>2559</v>
      </c>
      <c r="C851" s="4" t="str">
        <f>IFERROR(__xludf.DUMMYFUNCTION("""🏘️ ""&amp;REGEXEXTRACT(B851, ""^(.*): "")&amp;"" ✅ "" &amp;REGEXEXTRACT(B851, ""(Trouvez.*)"")"),"🏘️ Vendre maison Feldbrunnen ✅ Trouvez le bien immobilier qui correspond idéalement à vos désirs sur ImmoScout24 - La plateforme de l'immobilier en Suisse.")</f>
        <v>🏘️ Vendre maison Feldbrunnen ✅ Trouvez le bien immobilier qui correspond idéalement à vos désirs sur ImmoScout24 - La plateforme de l'immobilier en Suisse.</v>
      </c>
      <c r="D851" s="4" t="str">
        <f>vlookup(A851, Sheet2!D:E, 2, 0)</f>
        <v>variant</v>
      </c>
      <c r="E851" s="4" t="str">
        <f>IFERROR(__xludf.DUMMYFUNCTION("if(H851=""pays"",vlookup(REGEXEXTRACT(C851, ""🏘️ \w+ \w+ (.*) ✅""),'Country prepositions'!A:B, 2, 0) &amp; "" "" &amp; REGEXEXTRACT(C851, ""🏘️ \w+ \w+ (.*) ✅"") ,  if(H851=""quartier"",vlookup(REGEXEXTRACT(C851, ""🏘️ \w+ \w+ (.*) ✅""),'Quartier prepositions'!A"&amp;":E, 5, 0) ,  if(H851=""region"",vlookup(REGEXEXTRACT(C851, ""🏘️ \w+ \w+ (.*) ✅""),'Region prepositions'!B:F, 5, 0),  REGEXEXTRACT(C851, ""🏘️ \w+ \w+ (.*) ✅""))))"),"Feldbrunnen")</f>
        <v>Feldbrunnen</v>
      </c>
      <c r="F851" s="2" t="str">
        <f>IFERROR(__xludf.DUMMYFUNCTION("REGEXEXTRACT(C851, ""🏘️ (\w+) \w+ .* ✅"")"),"Vendre")</f>
        <v>Vendre</v>
      </c>
      <c r="G851" s="2" t="str">
        <f>IFERROR(__xludf.DUMMYFUNCTION("REGEXEXTRACT(C851, ""🏘️ \w+ (\w+) .* ✅"")"),"maison")</f>
        <v>maison</v>
      </c>
      <c r="H851" s="4" t="str">
        <f>IFERROR(__xludf.DUMMYFUNCTION("REGEXEXTRACT(A851, ""/(\w+)-.*?"")"),"lieu")</f>
        <v>lieu</v>
      </c>
      <c r="I851" s="4" t="str">
        <f>IFERROR(__xludf.DUMMYFUNCTION("if(D851=""variant"",  substitute(filter(Templates!E:E, Templates!A:A = F851, Templates!B:B = G851, Templates!C:C = H851), ""{{}}"", E851), B851)"),"🏘  Vous souhaitez acheter une maison à Feldbrunnen? ✅ Jetez un œil aux dernières offres sur ImmoScout24.ch.")</f>
        <v>🏘  Vous souhaitez acheter une maison à Feldbrunnen? ✅ Jetez un œil aux dernières offres sur ImmoScout24.ch.</v>
      </c>
      <c r="J851" s="4" t="s">
        <v>2560</v>
      </c>
    </row>
    <row r="852">
      <c r="A852" s="5" t="s">
        <v>2561</v>
      </c>
      <c r="B852" s="2" t="s">
        <v>2562</v>
      </c>
      <c r="C852" s="4" t="str">
        <f>IFERROR(__xludf.DUMMYFUNCTION("""🏘️ ""&amp;REGEXEXTRACT(B852, ""^(.*): "")&amp;"" ✅ "" &amp;REGEXEXTRACT(B852, ""(Trouvez.*)"")"),"🏘️ Louer appartement Engollon ✅ Trouvez le bien immobilier qui correspond idéalement à vos désirs sur ImmoScout24 - La plateforme de l'immobilier en Suisse.")</f>
        <v>🏘️ Louer appartement Engollon ✅ Trouvez le bien immobilier qui correspond idéalement à vos désirs sur ImmoScout24 - La plateforme de l'immobilier en Suisse.</v>
      </c>
      <c r="D852" s="4" t="str">
        <f>vlookup(A852, Sheet2!D:E, 2, 0)</f>
        <v>variant</v>
      </c>
      <c r="E852" s="4" t="str">
        <f>IFERROR(__xludf.DUMMYFUNCTION("if(H852=""pays"",vlookup(REGEXEXTRACT(C852, ""🏘️ \w+ \w+ (.*) ✅""),'Country prepositions'!A:B, 2, 0) &amp; "" "" &amp; REGEXEXTRACT(C852, ""🏘️ \w+ \w+ (.*) ✅"") ,  if(H852=""quartier"",vlookup(REGEXEXTRACT(C852, ""🏘️ \w+ \w+ (.*) ✅""),'Quartier prepositions'!A"&amp;":E, 5, 0) ,  if(H852=""region"",vlookup(REGEXEXTRACT(C852, ""🏘️ \w+ \w+ (.*) ✅""),'Region prepositions'!B:F, 5, 0),  REGEXEXTRACT(C852, ""🏘️ \w+ \w+ (.*) ✅""))))"),"Engollon")</f>
        <v>Engollon</v>
      </c>
      <c r="F852" s="2" t="str">
        <f>IFERROR(__xludf.DUMMYFUNCTION("REGEXEXTRACT(C852, ""🏘️ (\w+) \w+ .* ✅"")"),"Louer")</f>
        <v>Louer</v>
      </c>
      <c r="G852" s="2" t="str">
        <f>IFERROR(__xludf.DUMMYFUNCTION("REGEXEXTRACT(C852, ""🏘️ \w+ (\w+) .* ✅"")"),"appartement")</f>
        <v>appartement</v>
      </c>
      <c r="H852" s="4" t="str">
        <f>IFERROR(__xludf.DUMMYFUNCTION("REGEXEXTRACT(A852, ""/(\w+)-.*?"")"),"lieu")</f>
        <v>lieu</v>
      </c>
      <c r="I852" s="4" t="str">
        <f>IFERROR(__xludf.DUMMYFUNCTION("if(D852=""variant"",  substitute(filter(Templates!E:E, Templates!A:A = F852, Templates!B:B = G852, Templates!C:C = H852), ""{{}}"", E852), B852)"),"🏘  Vous cherchez un appartement à louer à Engollon? ✅ Les annonces les plus actuelles sont sur ImmoScout24.ch.")</f>
        <v>🏘  Vous cherchez un appartement à louer à Engollon? ✅ Les annonces les plus actuelles sont sur ImmoScout24.ch.</v>
      </c>
      <c r="J852" s="4" t="s">
        <v>2563</v>
      </c>
    </row>
    <row r="853">
      <c r="A853" s="5" t="s">
        <v>2564</v>
      </c>
      <c r="B853" s="2" t="s">
        <v>2565</v>
      </c>
      <c r="C853" s="4" t="str">
        <f>IFERROR(__xludf.DUMMYFUNCTION("""🏘️ ""&amp;REGEXEXTRACT(B853, ""^(.*): "")&amp;"" ✅ "" &amp;REGEXEXTRACT(B853, ""(Trouvez.*)"")"),"🏘️ Vendre maison Vufflens-la-Ville ✅ Trouvez le bien immobilier qui correspond idéalement à vos désirs sur ImmoScout24 - La plateforme de l'immobilier en Suisse.")</f>
        <v>🏘️ Vendre maison Vufflens-la-Ville ✅ Trouvez le bien immobilier qui correspond idéalement à vos désirs sur ImmoScout24 - La plateforme de l'immobilier en Suisse.</v>
      </c>
      <c r="D853" s="4" t="str">
        <f>vlookup(A853, Sheet2!D:E, 2, 0)</f>
        <v>variant</v>
      </c>
      <c r="E853" s="4" t="str">
        <f>IFERROR(__xludf.DUMMYFUNCTION("if(H853=""pays"",vlookup(REGEXEXTRACT(C853, ""🏘️ \w+ \w+ (.*) ✅""),'Country prepositions'!A:B, 2, 0) &amp; "" "" &amp; REGEXEXTRACT(C853, ""🏘️ \w+ \w+ (.*) ✅"") ,  if(H853=""quartier"",vlookup(REGEXEXTRACT(C853, ""🏘️ \w+ \w+ (.*) ✅""),'Quartier prepositions'!A"&amp;":E, 5, 0) ,  if(H853=""region"",vlookup(REGEXEXTRACT(C853, ""🏘️ \w+ \w+ (.*) ✅""),'Region prepositions'!B:F, 5, 0),  REGEXEXTRACT(C853, ""🏘️ \w+ \w+ (.*) ✅""))))"),"Vufflens-la-Ville")</f>
        <v>Vufflens-la-Ville</v>
      </c>
      <c r="F853" s="2" t="str">
        <f>IFERROR(__xludf.DUMMYFUNCTION("REGEXEXTRACT(C853, ""🏘️ (\w+) \w+ .* ✅"")"),"Vendre")</f>
        <v>Vendre</v>
      </c>
      <c r="G853" s="2" t="str">
        <f>IFERROR(__xludf.DUMMYFUNCTION("REGEXEXTRACT(C853, ""🏘️ \w+ (\w+) .* ✅"")"),"maison")</f>
        <v>maison</v>
      </c>
      <c r="H853" s="4" t="str">
        <f>IFERROR(__xludf.DUMMYFUNCTION("REGEXEXTRACT(A853, ""/(\w+)-.*?"")"),"lieu")</f>
        <v>lieu</v>
      </c>
      <c r="I853" s="4" t="str">
        <f>IFERROR(__xludf.DUMMYFUNCTION("if(D853=""variant"",  substitute(filter(Templates!E:E, Templates!A:A = F853, Templates!B:B = G853, Templates!C:C = H853), ""{{}}"", E853), B853)"),"🏘  Vous souhaitez acheter une maison à Vufflens-la-Ville? ✅ Jetez un œil aux dernières offres sur ImmoScout24.ch.")</f>
        <v>🏘  Vous souhaitez acheter une maison à Vufflens-la-Ville? ✅ Jetez un œil aux dernières offres sur ImmoScout24.ch.</v>
      </c>
      <c r="J853" s="4" t="s">
        <v>2566</v>
      </c>
    </row>
    <row r="854">
      <c r="A854" s="5" t="s">
        <v>2567</v>
      </c>
      <c r="B854" s="2" t="s">
        <v>2568</v>
      </c>
      <c r="C854" s="4" t="str">
        <f>IFERROR(__xludf.DUMMYFUNCTION("""🏘️ ""&amp;REGEXEXTRACT(B854, ""^(.*): "")&amp;"" ✅ "" &amp;REGEXEXTRACT(B854, ""(Trouvez.*)"")"),"🏘️ Louer maison Charrat ✅ Trouvez le bien immobilier qui correspond idéalement à vos désirs sur ImmoScout24 - La plateforme de l'immobilier en Suisse.")</f>
        <v>🏘️ Louer maison Charrat ✅ Trouvez le bien immobilier qui correspond idéalement à vos désirs sur ImmoScout24 - La plateforme de l'immobilier en Suisse.</v>
      </c>
      <c r="D854" s="4" t="str">
        <f>vlookup(A854, Sheet2!D:E, 2, 0)</f>
        <v>variant</v>
      </c>
      <c r="E854" s="4" t="str">
        <f>IFERROR(__xludf.DUMMYFUNCTION("if(H854=""pays"",vlookup(REGEXEXTRACT(C854, ""🏘️ \w+ \w+ (.*) ✅""),'Country prepositions'!A:B, 2, 0) &amp; "" "" &amp; REGEXEXTRACT(C854, ""🏘️ \w+ \w+ (.*) ✅"") ,  if(H854=""quartier"",vlookup(REGEXEXTRACT(C854, ""🏘️ \w+ \w+ (.*) ✅""),'Quartier prepositions'!A"&amp;":E, 5, 0) ,  if(H854=""region"",vlookup(REGEXEXTRACT(C854, ""🏘️ \w+ \w+ (.*) ✅""),'Region prepositions'!B:F, 5, 0),  REGEXEXTRACT(C854, ""🏘️ \w+ \w+ (.*) ✅""))))"),"Charrat")</f>
        <v>Charrat</v>
      </c>
      <c r="F854" s="2" t="str">
        <f>IFERROR(__xludf.DUMMYFUNCTION("REGEXEXTRACT(C854, ""🏘️ (\w+) \w+ .* ✅"")"),"Louer")</f>
        <v>Louer</v>
      </c>
      <c r="G854" s="2" t="str">
        <f>IFERROR(__xludf.DUMMYFUNCTION("REGEXEXTRACT(C854, ""🏘️ \w+ (\w+) .* ✅"")"),"maison")</f>
        <v>maison</v>
      </c>
      <c r="H854" s="4" t="str">
        <f>IFERROR(__xludf.DUMMYFUNCTION("REGEXEXTRACT(A854, ""/(\w+)-.*?"")"),"lieu")</f>
        <v>lieu</v>
      </c>
      <c r="I854" s="4" t="str">
        <f>IFERROR(__xludf.DUMMYFUNCTION("if(D854=""variant"",  substitute(filter(Templates!E:E, Templates!A:A = F854, Templates!B:B = G854, Templates!C:C = H854), ""{{}}"", E854), B854)"),"🏘  Vous cherchez une maison à louer à Charrat? ✅ Découvrez nos nombreuses annonces sur ImmoScout24.ch.")</f>
        <v>🏘  Vous cherchez une maison à louer à Charrat? ✅ Découvrez nos nombreuses annonces sur ImmoScout24.ch.</v>
      </c>
      <c r="J854" s="4" t="s">
        <v>2569</v>
      </c>
    </row>
    <row r="855">
      <c r="A855" s="5" t="s">
        <v>2570</v>
      </c>
      <c r="B855" s="2" t="s">
        <v>2571</v>
      </c>
      <c r="C855" s="4" t="str">
        <f>IFERROR(__xludf.DUMMYFUNCTION("""🏘️ ""&amp;REGEXEXTRACT(B855, ""^(.*): "")&amp;"" ✅ "" &amp;REGEXEXTRACT(B855, ""(Trouvez.*)"")"),"🏘️ Louer appartement Berlens ✅ Trouvez le bien immobilier qui correspond idéalement à vos désirs sur ImmoScout24 - La plateforme de l'immobilier en Suisse.")</f>
        <v>🏘️ Louer appartement Berlens ✅ Trouvez le bien immobilier qui correspond idéalement à vos désirs sur ImmoScout24 - La plateforme de l'immobilier en Suisse.</v>
      </c>
      <c r="D855" s="4" t="str">
        <f>vlookup(A855, Sheet2!D:E, 2, 0)</f>
        <v>variant</v>
      </c>
      <c r="E855" s="4" t="str">
        <f>IFERROR(__xludf.DUMMYFUNCTION("if(H855=""pays"",vlookup(REGEXEXTRACT(C855, ""🏘️ \w+ \w+ (.*) ✅""),'Country prepositions'!A:B, 2, 0) &amp; "" "" &amp; REGEXEXTRACT(C855, ""🏘️ \w+ \w+ (.*) ✅"") ,  if(H855=""quartier"",vlookup(REGEXEXTRACT(C855, ""🏘️ \w+ \w+ (.*) ✅""),'Quartier prepositions'!A"&amp;":E, 5, 0) ,  if(H855=""region"",vlookup(REGEXEXTRACT(C855, ""🏘️ \w+ \w+ (.*) ✅""),'Region prepositions'!B:F, 5, 0),  REGEXEXTRACT(C855, ""🏘️ \w+ \w+ (.*) ✅""))))"),"Berlens")</f>
        <v>Berlens</v>
      </c>
      <c r="F855" s="2" t="str">
        <f>IFERROR(__xludf.DUMMYFUNCTION("REGEXEXTRACT(C855, ""🏘️ (\w+) \w+ .* ✅"")"),"Louer")</f>
        <v>Louer</v>
      </c>
      <c r="G855" s="2" t="str">
        <f>IFERROR(__xludf.DUMMYFUNCTION("REGEXEXTRACT(C855, ""🏘️ \w+ (\w+) .* ✅"")"),"appartement")</f>
        <v>appartement</v>
      </c>
      <c r="H855" s="4" t="str">
        <f>IFERROR(__xludf.DUMMYFUNCTION("REGEXEXTRACT(A855, ""/(\w+)-.*?"")"),"lieu")</f>
        <v>lieu</v>
      </c>
      <c r="I855" s="4" t="str">
        <f>IFERROR(__xludf.DUMMYFUNCTION("if(D855=""variant"",  substitute(filter(Templates!E:E, Templates!A:A = F855, Templates!B:B = G855, Templates!C:C = H855), ""{{}}"", E855), B855)"),"🏘  Vous cherchez un appartement à louer à Berlens? ✅ Les annonces les plus actuelles sont sur ImmoScout24.ch.")</f>
        <v>🏘  Vous cherchez un appartement à louer à Berlens? ✅ Les annonces les plus actuelles sont sur ImmoScout24.ch.</v>
      </c>
      <c r="J855" s="4" t="s">
        <v>2572</v>
      </c>
    </row>
    <row r="856">
      <c r="A856" s="5" t="s">
        <v>2573</v>
      </c>
      <c r="B856" s="2" t="s">
        <v>2574</v>
      </c>
      <c r="C856" s="4" t="str">
        <f>IFERROR(__xludf.DUMMYFUNCTION("""🏘️ ""&amp;REGEXEXTRACT(B856, ""^(.*): "")&amp;"" ✅ "" &amp;REGEXEXTRACT(B856, ""(Trouvez.*)"")"),"🏘️ Louer appartement Bäch SZ ✅ Trouvez le bien immobilier qui correspond idéalement à vos désirs sur ImmoScout24 - La plateforme de l'immobilier en Suisse.")</f>
        <v>🏘️ Louer appartement Bäch SZ ✅ Trouvez le bien immobilier qui correspond idéalement à vos désirs sur ImmoScout24 - La plateforme de l'immobilier en Suisse.</v>
      </c>
      <c r="D856" s="4" t="str">
        <f>vlookup(A856, Sheet2!D:E, 2, 0)</f>
        <v>variant</v>
      </c>
      <c r="E856" s="4" t="str">
        <f>IFERROR(__xludf.DUMMYFUNCTION("if(H856=""pays"",vlookup(REGEXEXTRACT(C856, ""🏘️ \w+ \w+ (.*) ✅""),'Country prepositions'!A:B, 2, 0) &amp; "" "" &amp; REGEXEXTRACT(C856, ""🏘️ \w+ \w+ (.*) ✅"") ,  if(H856=""quartier"",vlookup(REGEXEXTRACT(C856, ""🏘️ \w+ \w+ (.*) ✅""),'Quartier prepositions'!A"&amp;":E, 5, 0) ,  if(H856=""region"",vlookup(REGEXEXTRACT(C856, ""🏘️ \w+ \w+ (.*) ✅""),'Region prepositions'!B:F, 5, 0),  REGEXEXTRACT(C856, ""🏘️ \w+ \w+ (.*) ✅""))))"),"Bäch SZ")</f>
        <v>Bäch SZ</v>
      </c>
      <c r="F856" s="2" t="str">
        <f>IFERROR(__xludf.DUMMYFUNCTION("REGEXEXTRACT(C856, ""🏘️ (\w+) \w+ .* ✅"")"),"Louer")</f>
        <v>Louer</v>
      </c>
      <c r="G856" s="2" t="str">
        <f>IFERROR(__xludf.DUMMYFUNCTION("REGEXEXTRACT(C856, ""🏘️ \w+ (\w+) .* ✅"")"),"appartement")</f>
        <v>appartement</v>
      </c>
      <c r="H856" s="4" t="str">
        <f>IFERROR(__xludf.DUMMYFUNCTION("REGEXEXTRACT(A856, ""/(\w+)-.*?"")"),"lieu")</f>
        <v>lieu</v>
      </c>
      <c r="I856" s="4" t="str">
        <f>IFERROR(__xludf.DUMMYFUNCTION("if(D856=""variant"",  substitute(filter(Templates!E:E, Templates!A:A = F856, Templates!B:B = G856, Templates!C:C = H856), ""{{}}"", E856), B856)"),"🏘  Vous cherchez un appartement à louer à Bäch SZ? ✅ Les annonces les plus actuelles sont sur ImmoScout24.ch.")</f>
        <v>🏘  Vous cherchez un appartement à louer à Bäch SZ? ✅ Les annonces les plus actuelles sont sur ImmoScout24.ch.</v>
      </c>
      <c r="J856" s="4" t="s">
        <v>2575</v>
      </c>
    </row>
    <row r="857">
      <c r="A857" s="5" t="s">
        <v>2576</v>
      </c>
      <c r="B857" s="2" t="s">
        <v>2577</v>
      </c>
      <c r="C857" s="4" t="str">
        <f>IFERROR(__xludf.DUMMYFUNCTION("""🏘️ ""&amp;REGEXEXTRACT(B857, ""^(.*): "")&amp;"" ✅ "" &amp;REGEXEXTRACT(B857, ""(Trouvez.*)"")"),"🏘️ Louer maison Martherenges ✅ Trouvez le bien immobilier qui correspond idéalement à vos désirs sur ImmoScout24 - La plateforme de l'immobilier en Suisse.")</f>
        <v>🏘️ Louer maison Martherenges ✅ Trouvez le bien immobilier qui correspond idéalement à vos désirs sur ImmoScout24 - La plateforme de l'immobilier en Suisse.</v>
      </c>
      <c r="D857" s="4" t="str">
        <f>vlookup(A857, Sheet2!D:E, 2, 0)</f>
        <v>variant</v>
      </c>
      <c r="E857" s="4" t="str">
        <f>IFERROR(__xludf.DUMMYFUNCTION("if(H857=""pays"",vlookup(REGEXEXTRACT(C857, ""🏘️ \w+ \w+ (.*) ✅""),'Country prepositions'!A:B, 2, 0) &amp; "" "" &amp; REGEXEXTRACT(C857, ""🏘️ \w+ \w+ (.*) ✅"") ,  if(H857=""quartier"",vlookup(REGEXEXTRACT(C857, ""🏘️ \w+ \w+ (.*) ✅""),'Quartier prepositions'!A"&amp;":E, 5, 0) ,  if(H857=""region"",vlookup(REGEXEXTRACT(C857, ""🏘️ \w+ \w+ (.*) ✅""),'Region prepositions'!B:F, 5, 0),  REGEXEXTRACT(C857, ""🏘️ \w+ \w+ (.*) ✅""))))"),"Martherenges")</f>
        <v>Martherenges</v>
      </c>
      <c r="F857" s="2" t="str">
        <f>IFERROR(__xludf.DUMMYFUNCTION("REGEXEXTRACT(C857, ""🏘️ (\w+) \w+ .* ✅"")"),"Louer")</f>
        <v>Louer</v>
      </c>
      <c r="G857" s="2" t="str">
        <f>IFERROR(__xludf.DUMMYFUNCTION("REGEXEXTRACT(C857, ""🏘️ \w+ (\w+) .* ✅"")"),"maison")</f>
        <v>maison</v>
      </c>
      <c r="H857" s="4" t="str">
        <f>IFERROR(__xludf.DUMMYFUNCTION("REGEXEXTRACT(A857, ""/(\w+)-.*?"")"),"lieu")</f>
        <v>lieu</v>
      </c>
      <c r="I857" s="4" t="str">
        <f>IFERROR(__xludf.DUMMYFUNCTION("if(D857=""variant"",  substitute(filter(Templates!E:E, Templates!A:A = F857, Templates!B:B = G857, Templates!C:C = H857), ""{{}}"", E857), B857)"),"🏘  Vous cherchez une maison à louer à Martherenges? ✅ Découvrez nos nombreuses annonces sur ImmoScout24.ch.")</f>
        <v>🏘  Vous cherchez une maison à louer à Martherenges? ✅ Découvrez nos nombreuses annonces sur ImmoScout24.ch.</v>
      </c>
      <c r="J857" s="4" t="s">
        <v>2578</v>
      </c>
    </row>
    <row r="858">
      <c r="A858" s="5" t="s">
        <v>2579</v>
      </c>
      <c r="B858" s="2" t="s">
        <v>2580</v>
      </c>
      <c r="C858" s="4" t="str">
        <f>IFERROR(__xludf.DUMMYFUNCTION("""🏘️ ""&amp;REGEXEXTRACT(B858, ""^(.*): "")&amp;"" ✅ "" &amp;REGEXEXTRACT(B858, ""(Trouvez.*)"")"),"🏘️ Louer appartement St-Triphon ✅ Trouvez le bien immobilier qui correspond idéalement à vos désirs sur ImmoScout24 - La plateforme de l'immobilier en Suisse.")</f>
        <v>🏘️ Louer appartement St-Triphon ✅ Trouvez le bien immobilier qui correspond idéalement à vos désirs sur ImmoScout24 - La plateforme de l'immobilier en Suisse.</v>
      </c>
      <c r="D858" s="4" t="str">
        <f>vlookup(A858, Sheet2!D:E, 2, 0)</f>
        <v>variant</v>
      </c>
      <c r="E858" s="4" t="str">
        <f>IFERROR(__xludf.DUMMYFUNCTION("if(H858=""pays"",vlookup(REGEXEXTRACT(C858, ""🏘️ \w+ \w+ (.*) ✅""),'Country prepositions'!A:B, 2, 0) &amp; "" "" &amp; REGEXEXTRACT(C858, ""🏘️ \w+ \w+ (.*) ✅"") ,  if(H858=""quartier"",vlookup(REGEXEXTRACT(C858, ""🏘️ \w+ \w+ (.*) ✅""),'Quartier prepositions'!A"&amp;":E, 5, 0) ,  if(H858=""region"",vlookup(REGEXEXTRACT(C858, ""🏘️ \w+ \w+ (.*) ✅""),'Region prepositions'!B:F, 5, 0),  REGEXEXTRACT(C858, ""🏘️ \w+ \w+ (.*) ✅""))))"),"St-Triphon")</f>
        <v>St-Triphon</v>
      </c>
      <c r="F858" s="2" t="str">
        <f>IFERROR(__xludf.DUMMYFUNCTION("REGEXEXTRACT(C858, ""🏘️ (\w+) \w+ .* ✅"")"),"Louer")</f>
        <v>Louer</v>
      </c>
      <c r="G858" s="2" t="str">
        <f>IFERROR(__xludf.DUMMYFUNCTION("REGEXEXTRACT(C858, ""🏘️ \w+ (\w+) .* ✅"")"),"appartement")</f>
        <v>appartement</v>
      </c>
      <c r="H858" s="4" t="str">
        <f>IFERROR(__xludf.DUMMYFUNCTION("REGEXEXTRACT(A858, ""/(\w+)-.*?"")"),"lieu")</f>
        <v>lieu</v>
      </c>
      <c r="I858" s="4" t="str">
        <f>IFERROR(__xludf.DUMMYFUNCTION("if(D858=""variant"",  substitute(filter(Templates!E:E, Templates!A:A = F858, Templates!B:B = G858, Templates!C:C = H858), ""{{}}"", E858), B858)"),"🏘  Vous cherchez un appartement à louer à St-Triphon? ✅ Les annonces les plus actuelles sont sur ImmoScout24.ch.")</f>
        <v>🏘  Vous cherchez un appartement à louer à St-Triphon? ✅ Les annonces les plus actuelles sont sur ImmoScout24.ch.</v>
      </c>
      <c r="J858" s="4" t="s">
        <v>2581</v>
      </c>
    </row>
    <row r="859">
      <c r="A859" s="5" t="s">
        <v>2582</v>
      </c>
      <c r="B859" s="2" t="s">
        <v>2583</v>
      </c>
      <c r="C859" s="4" t="str">
        <f>IFERROR(__xludf.DUMMYFUNCTION("""🏘️ ""&amp;REGEXEXTRACT(B859, ""^(.*): "")&amp;"" ✅ "" &amp;REGEXEXTRACT(B859, ""(Trouvez.*)"")"),"🏘️ Vendre appartement Bourg (Fribourg) ✅ Trouvez le bien immobilier qui correspond idéalement à vos désirs sur ImmoScout24 - La plateforme de l'immobilier en Suisse.")</f>
        <v>🏘️ Vendre appartement Bourg (Fribourg) ✅ Trouvez le bien immobilier qui correspond idéalement à vos désirs sur ImmoScout24 - La plateforme de l'immobilier en Suisse.</v>
      </c>
      <c r="D859" s="4" t="str">
        <f>vlookup(A859, Sheet2!D:E, 2, 0)</f>
        <v>variant</v>
      </c>
      <c r="E859" s="4" t="str">
        <f>IFERROR(__xludf.DUMMYFUNCTION("if(H859=""pays"",vlookup(REGEXEXTRACT(C859, ""🏘️ \w+ \w+ (.*) ✅""),'Country prepositions'!A:B, 2, 0) &amp; "" "" &amp; REGEXEXTRACT(C859, ""🏘️ \w+ \w+ (.*) ✅"") ,  if(H859=""quartier"",vlookup(REGEXEXTRACT(C859, ""🏘️ \w+ \w+ (.*) ✅""),'Quartier prepositions'!A"&amp;":E, 5, 0) ,  if(H859=""region"",vlookup(REGEXEXTRACT(C859, ""🏘️ \w+ \w+ (.*) ✅""),'Region prepositions'!B:F, 5, 0),  REGEXEXTRACT(C859, ""🏘️ \w+ \w+ (.*) ✅""))))"),"dans le quartier du Bourg (Fribourg)")</f>
        <v>dans le quartier du Bourg (Fribourg)</v>
      </c>
      <c r="F859" s="2" t="str">
        <f>IFERROR(__xludf.DUMMYFUNCTION("REGEXEXTRACT(C859, ""🏘️ (\w+) \w+ .* ✅"")"),"Vendre")</f>
        <v>Vendre</v>
      </c>
      <c r="G859" s="2" t="str">
        <f>IFERROR(__xludf.DUMMYFUNCTION("REGEXEXTRACT(C859, ""🏘️ \w+ (\w+) .* ✅"")"),"appartement")</f>
        <v>appartement</v>
      </c>
      <c r="H859" s="4" t="str">
        <f>IFERROR(__xludf.DUMMYFUNCTION("REGEXEXTRACT(A859, ""/(\w+)-.*?"")"),"quartier")</f>
        <v>quartier</v>
      </c>
      <c r="I859" s="4" t="str">
        <f>IFERROR(__xludf.DUMMYFUNCTION("if(D859=""variant"",  substitute(filter(Templates!E:E, Templates!A:A = F859, Templates!B:B = G859, Templates!C:C = H859), ""{{}}"", E859), B859)"),"🏘  L’appartement de vos rêves se trouve sur ImmoScout24.ch ✅ Découvrez les dernières annonces de vente dans le quartier du Bourg (Fribourg).")</f>
        <v>🏘  L’appartement de vos rêves se trouve sur ImmoScout24.ch ✅ Découvrez les dernières annonces de vente dans le quartier du Bourg (Fribourg).</v>
      </c>
      <c r="J859" s="4" t="s">
        <v>2584</v>
      </c>
    </row>
    <row r="860">
      <c r="A860" s="5" t="s">
        <v>2585</v>
      </c>
      <c r="B860" s="2" t="s">
        <v>2586</v>
      </c>
      <c r="C860" s="4" t="str">
        <f>IFERROR(__xludf.DUMMYFUNCTION("""🏘️ ""&amp;REGEXEXTRACT(B860, ""^(.*): "")&amp;"" ✅ "" &amp;REGEXEXTRACT(B860, ""(Trouvez.*)"")"),"🏘️ Vendre appartement Jouxtens-Mézery ✅ Trouvez le bien immobilier qui correspond idéalement à vos désirs sur ImmoScout24 - La plateforme de l'immobilier en Suisse.")</f>
        <v>🏘️ Vendre appartement Jouxtens-Mézery ✅ Trouvez le bien immobilier qui correspond idéalement à vos désirs sur ImmoScout24 - La plateforme de l'immobilier en Suisse.</v>
      </c>
      <c r="D860" s="4" t="str">
        <f>vlookup(A860, Sheet2!D:E, 2, 0)</f>
        <v>variant</v>
      </c>
      <c r="E860" s="4" t="str">
        <f>IFERROR(__xludf.DUMMYFUNCTION("if(H860=""pays"",vlookup(REGEXEXTRACT(C860, ""🏘️ \w+ \w+ (.*) ✅""),'Country prepositions'!A:B, 2, 0) &amp; "" "" &amp; REGEXEXTRACT(C860, ""🏘️ \w+ \w+ (.*) ✅"") ,  if(H860=""quartier"",vlookup(REGEXEXTRACT(C860, ""🏘️ \w+ \w+ (.*) ✅""),'Quartier prepositions'!A"&amp;":E, 5, 0) ,  if(H860=""region"",vlookup(REGEXEXTRACT(C860, ""🏘️ \w+ \w+ (.*) ✅""),'Region prepositions'!B:F, 5, 0),  REGEXEXTRACT(C860, ""🏘️ \w+ \w+ (.*) ✅""))))"),"Jouxtens-Mézery")</f>
        <v>Jouxtens-Mézery</v>
      </c>
      <c r="F860" s="2" t="str">
        <f>IFERROR(__xludf.DUMMYFUNCTION("REGEXEXTRACT(C860, ""🏘️ (\w+) \w+ .* ✅"")"),"Vendre")</f>
        <v>Vendre</v>
      </c>
      <c r="G860" s="2" t="str">
        <f>IFERROR(__xludf.DUMMYFUNCTION("REGEXEXTRACT(C860, ""🏘️ \w+ (\w+) .* ✅"")"),"appartement")</f>
        <v>appartement</v>
      </c>
      <c r="H860" s="4" t="str">
        <f>IFERROR(__xludf.DUMMYFUNCTION("REGEXEXTRACT(A860, ""/(\w+)-.*?"")"),"lieu")</f>
        <v>lieu</v>
      </c>
      <c r="I860" s="4" t="str">
        <f>IFERROR(__xludf.DUMMYFUNCTION("if(D860=""variant"",  substitute(filter(Templates!E:E, Templates!A:A = F860, Templates!B:B = G860, Templates!C:C = H860), ""{{}}"", E860), B860)"),"🏘  L’appartement de vos rêves se trouve sur ImmoScout24.ch ✅ Découvrez les dernières annonces de vente à Jouxtens-Mézery.")</f>
        <v>🏘  L’appartement de vos rêves se trouve sur ImmoScout24.ch ✅ Découvrez les dernières annonces de vente à Jouxtens-Mézery.</v>
      </c>
      <c r="J860" s="4" t="s">
        <v>2587</v>
      </c>
    </row>
    <row r="861">
      <c r="A861" s="5" t="s">
        <v>2588</v>
      </c>
      <c r="B861" s="2" t="s">
        <v>2589</v>
      </c>
      <c r="C861" s="4" t="str">
        <f>IFERROR(__xludf.DUMMYFUNCTION("""🏘️ ""&amp;REGEXEXTRACT(B861, ""^(.*): "")&amp;"" ✅ "" &amp;REGEXEXTRACT(B861, ""(Trouvez.*)"")"),"🏘️ Louer maison Pontenet ✅ Trouvez le bien immobilier qui correspond idéalement à vos désirs sur ImmoScout24 - La plateforme de l'immobilier en Suisse.")</f>
        <v>🏘️ Louer maison Pontenet ✅ Trouvez le bien immobilier qui correspond idéalement à vos désirs sur ImmoScout24 - La plateforme de l'immobilier en Suisse.</v>
      </c>
      <c r="D861" s="4" t="str">
        <f>vlookup(A861, Sheet2!D:E, 2, 0)</f>
        <v>variant</v>
      </c>
      <c r="E861" s="4" t="str">
        <f>IFERROR(__xludf.DUMMYFUNCTION("if(H861=""pays"",vlookup(REGEXEXTRACT(C861, ""🏘️ \w+ \w+ (.*) ✅""),'Country prepositions'!A:B, 2, 0) &amp; "" "" &amp; REGEXEXTRACT(C861, ""🏘️ \w+ \w+ (.*) ✅"") ,  if(H861=""quartier"",vlookup(REGEXEXTRACT(C861, ""🏘️ \w+ \w+ (.*) ✅""),'Quartier prepositions'!A"&amp;":E, 5, 0) ,  if(H861=""region"",vlookup(REGEXEXTRACT(C861, ""🏘️ \w+ \w+ (.*) ✅""),'Region prepositions'!B:F, 5, 0),  REGEXEXTRACT(C861, ""🏘️ \w+ \w+ (.*) ✅""))))"),"Pontenet")</f>
        <v>Pontenet</v>
      </c>
      <c r="F861" s="2" t="str">
        <f>IFERROR(__xludf.DUMMYFUNCTION("REGEXEXTRACT(C861, ""🏘️ (\w+) \w+ .* ✅"")"),"Louer")</f>
        <v>Louer</v>
      </c>
      <c r="G861" s="2" t="str">
        <f>IFERROR(__xludf.DUMMYFUNCTION("REGEXEXTRACT(C861, ""🏘️ \w+ (\w+) .* ✅"")"),"maison")</f>
        <v>maison</v>
      </c>
      <c r="H861" s="4" t="str">
        <f>IFERROR(__xludf.DUMMYFUNCTION("REGEXEXTRACT(A861, ""/(\w+)-.*?"")"),"lieu")</f>
        <v>lieu</v>
      </c>
      <c r="I861" s="4" t="str">
        <f>IFERROR(__xludf.DUMMYFUNCTION("if(D861=""variant"",  substitute(filter(Templates!E:E, Templates!A:A = F861, Templates!B:B = G861, Templates!C:C = H861), ""{{}}"", E861), B861)"),"🏘  Vous cherchez une maison à louer à Pontenet? ✅ Découvrez nos nombreuses annonces sur ImmoScout24.ch.")</f>
        <v>🏘  Vous cherchez une maison à louer à Pontenet? ✅ Découvrez nos nombreuses annonces sur ImmoScout24.ch.</v>
      </c>
      <c r="J861" s="4" t="s">
        <v>2590</v>
      </c>
    </row>
    <row r="862">
      <c r="A862" s="5" t="s">
        <v>2591</v>
      </c>
      <c r="B862" s="2" t="s">
        <v>2592</v>
      </c>
      <c r="C862" s="4" t="str">
        <f>IFERROR(__xludf.DUMMYFUNCTION("""🏘️ ""&amp;REGEXEXTRACT(B862, ""^(.*): "")&amp;"" ✅ "" &amp;REGEXEXTRACT(B862, ""(Trouvez.*)"")"),"🏘️ Vendre maison Sottens ✅ Trouvez le bien immobilier qui correspond idéalement à vos désirs sur ImmoScout24 - La plateforme de l'immobilier en Suisse.")</f>
        <v>🏘️ Vendre maison Sottens ✅ Trouvez le bien immobilier qui correspond idéalement à vos désirs sur ImmoScout24 - La plateforme de l'immobilier en Suisse.</v>
      </c>
      <c r="D862" s="4" t="str">
        <f>vlookup(A862, Sheet2!D:E, 2, 0)</f>
        <v>variant</v>
      </c>
      <c r="E862" s="4" t="str">
        <f>IFERROR(__xludf.DUMMYFUNCTION("if(H862=""pays"",vlookup(REGEXEXTRACT(C862, ""🏘️ \w+ \w+ (.*) ✅""),'Country prepositions'!A:B, 2, 0) &amp; "" "" &amp; REGEXEXTRACT(C862, ""🏘️ \w+ \w+ (.*) ✅"") ,  if(H862=""quartier"",vlookup(REGEXEXTRACT(C862, ""🏘️ \w+ \w+ (.*) ✅""),'Quartier prepositions'!A"&amp;":E, 5, 0) ,  if(H862=""region"",vlookup(REGEXEXTRACT(C862, ""🏘️ \w+ \w+ (.*) ✅""),'Region prepositions'!B:F, 5, 0),  REGEXEXTRACT(C862, ""🏘️ \w+ \w+ (.*) ✅""))))"),"Sottens")</f>
        <v>Sottens</v>
      </c>
      <c r="F862" s="2" t="str">
        <f>IFERROR(__xludf.DUMMYFUNCTION("REGEXEXTRACT(C862, ""🏘️ (\w+) \w+ .* ✅"")"),"Vendre")</f>
        <v>Vendre</v>
      </c>
      <c r="G862" s="2" t="str">
        <f>IFERROR(__xludf.DUMMYFUNCTION("REGEXEXTRACT(C862, ""🏘️ \w+ (\w+) .* ✅"")"),"maison")</f>
        <v>maison</v>
      </c>
      <c r="H862" s="4" t="str">
        <f>IFERROR(__xludf.DUMMYFUNCTION("REGEXEXTRACT(A862, ""/(\w+)-.*?"")"),"lieu")</f>
        <v>lieu</v>
      </c>
      <c r="I862" s="4" t="str">
        <f>IFERROR(__xludf.DUMMYFUNCTION("if(D862=""variant"",  substitute(filter(Templates!E:E, Templates!A:A = F862, Templates!B:B = G862, Templates!C:C = H862), ""{{}}"", E862), B862)"),"🏘  Vous souhaitez acheter une maison à Sottens? ✅ Jetez un œil aux dernières offres sur ImmoScout24.ch.")</f>
        <v>🏘  Vous souhaitez acheter une maison à Sottens? ✅ Jetez un œil aux dernières offres sur ImmoScout24.ch.</v>
      </c>
      <c r="J862" s="4" t="s">
        <v>2593</v>
      </c>
    </row>
    <row r="863">
      <c r="A863" s="5" t="s">
        <v>2594</v>
      </c>
      <c r="B863" s="2" t="s">
        <v>2595</v>
      </c>
      <c r="C863" s="4" t="str">
        <f>IFERROR(__xludf.DUMMYFUNCTION("""🏘️ ""&amp;REGEXEXTRACT(B863, ""^(.*): "")&amp;"" ✅ "" &amp;REGEXEXTRACT(B863, ""(Trouvez.*)"")"),"🏘️ Louer appartement Botyre (Ayent) ✅ Trouvez le bien immobilier qui correspond idéalement à vos désirs sur ImmoScout24 - La plateforme de l'immobilier en Suisse.")</f>
        <v>🏘️ Louer appartement Botyre (Ayent) ✅ Trouvez le bien immobilier qui correspond idéalement à vos désirs sur ImmoScout24 - La plateforme de l'immobilier en Suisse.</v>
      </c>
      <c r="D863" s="4" t="str">
        <f>vlookup(A863, Sheet2!D:E, 2, 0)</f>
        <v>variant</v>
      </c>
      <c r="E863" s="4" t="str">
        <f>IFERROR(__xludf.DUMMYFUNCTION("if(H863=""pays"",vlookup(REGEXEXTRACT(C863, ""🏘️ \w+ \w+ (.*) ✅""),'Country prepositions'!A:B, 2, 0) &amp; "" "" &amp; REGEXEXTRACT(C863, ""🏘️ \w+ \w+ (.*) ✅"") ,  if(H863=""quartier"",vlookup(REGEXEXTRACT(C863, ""🏘️ \w+ \w+ (.*) ✅""),'Quartier prepositions'!A"&amp;":E, 5, 0) ,  if(H863=""region"",vlookup(REGEXEXTRACT(C863, ""🏘️ \w+ \w+ (.*) ✅""),'Region prepositions'!B:F, 5, 0),  REGEXEXTRACT(C863, ""🏘️ \w+ \w+ (.*) ✅""))))"),"Botyre (Ayent)")</f>
        <v>Botyre (Ayent)</v>
      </c>
      <c r="F863" s="2" t="str">
        <f>IFERROR(__xludf.DUMMYFUNCTION("REGEXEXTRACT(C863, ""🏘️ (\w+) \w+ .* ✅"")"),"Louer")</f>
        <v>Louer</v>
      </c>
      <c r="G863" s="2" t="str">
        <f>IFERROR(__xludf.DUMMYFUNCTION("REGEXEXTRACT(C863, ""🏘️ \w+ (\w+) .* ✅"")"),"appartement")</f>
        <v>appartement</v>
      </c>
      <c r="H863" s="4" t="str">
        <f>IFERROR(__xludf.DUMMYFUNCTION("REGEXEXTRACT(A863, ""/(\w+)-.*?"")"),"lieu")</f>
        <v>lieu</v>
      </c>
      <c r="I863" s="4" t="str">
        <f>IFERROR(__xludf.DUMMYFUNCTION("if(D863=""variant"",  substitute(filter(Templates!E:E, Templates!A:A = F863, Templates!B:B = G863, Templates!C:C = H863), ""{{}}"", E863), B863)"),"🏘  Vous cherchez un appartement à louer à Botyre (Ayent)? ✅ Les annonces les plus actuelles sont sur ImmoScout24.ch.")</f>
        <v>🏘  Vous cherchez un appartement à louer à Botyre (Ayent)? ✅ Les annonces les plus actuelles sont sur ImmoScout24.ch.</v>
      </c>
      <c r="J863" s="4" t="s">
        <v>2596</v>
      </c>
    </row>
    <row r="864">
      <c r="A864" s="5" t="s">
        <v>2597</v>
      </c>
      <c r="B864" s="2" t="s">
        <v>2598</v>
      </c>
      <c r="C864" s="4" t="str">
        <f>IFERROR(__xludf.DUMMYFUNCTION("""🏘️ ""&amp;REGEXEXTRACT(B864, ""^(.*): "")&amp;"" ✅ "" &amp;REGEXEXTRACT(B864, ""(Trouvez.*)"")"),"🏘️ Louer maison Bevaix ✅ Trouvez le bien immobilier qui correspond idéalement à vos désirs sur ImmoScout24 - La plateforme de l'immobilier en Suisse.")</f>
        <v>🏘️ Louer maison Bevaix ✅ Trouvez le bien immobilier qui correspond idéalement à vos désirs sur ImmoScout24 - La plateforme de l'immobilier en Suisse.</v>
      </c>
      <c r="D864" s="4" t="str">
        <f>vlookup(A864, Sheet2!D:E, 2, 0)</f>
        <v>variant</v>
      </c>
      <c r="E864" s="4" t="str">
        <f>IFERROR(__xludf.DUMMYFUNCTION("if(H864=""pays"",vlookup(REGEXEXTRACT(C864, ""🏘️ \w+ \w+ (.*) ✅""),'Country prepositions'!A:B, 2, 0) &amp; "" "" &amp; REGEXEXTRACT(C864, ""🏘️ \w+ \w+ (.*) ✅"") ,  if(H864=""quartier"",vlookup(REGEXEXTRACT(C864, ""🏘️ \w+ \w+ (.*) ✅""),'Quartier prepositions'!A"&amp;":E, 5, 0) ,  if(H864=""region"",vlookup(REGEXEXTRACT(C864, ""🏘️ \w+ \w+ (.*) ✅""),'Region prepositions'!B:F, 5, 0),  REGEXEXTRACT(C864, ""🏘️ \w+ \w+ (.*) ✅""))))"),"Bevaix")</f>
        <v>Bevaix</v>
      </c>
      <c r="F864" s="2" t="str">
        <f>IFERROR(__xludf.DUMMYFUNCTION("REGEXEXTRACT(C864, ""🏘️ (\w+) \w+ .* ✅"")"),"Louer")</f>
        <v>Louer</v>
      </c>
      <c r="G864" s="2" t="str">
        <f>IFERROR(__xludf.DUMMYFUNCTION("REGEXEXTRACT(C864, ""🏘️ \w+ (\w+) .* ✅"")"),"maison")</f>
        <v>maison</v>
      </c>
      <c r="H864" s="4" t="str">
        <f>IFERROR(__xludf.DUMMYFUNCTION("REGEXEXTRACT(A864, ""/(\w+)-.*?"")"),"lieu")</f>
        <v>lieu</v>
      </c>
      <c r="I864" s="4" t="str">
        <f>IFERROR(__xludf.DUMMYFUNCTION("if(D864=""variant"",  substitute(filter(Templates!E:E, Templates!A:A = F864, Templates!B:B = G864, Templates!C:C = H864), ""{{}}"", E864), B864)"),"🏘  Vous cherchez une maison à louer à Bevaix? ✅ Découvrez nos nombreuses annonces sur ImmoScout24.ch.")</f>
        <v>🏘  Vous cherchez une maison à louer à Bevaix? ✅ Découvrez nos nombreuses annonces sur ImmoScout24.ch.</v>
      </c>
      <c r="J864" s="4" t="s">
        <v>2599</v>
      </c>
    </row>
    <row r="865">
      <c r="A865" s="5" t="s">
        <v>2600</v>
      </c>
      <c r="B865" s="2" t="s">
        <v>2601</v>
      </c>
      <c r="C865" s="4" t="str">
        <f>IFERROR(__xludf.DUMMYFUNCTION("""🏘️ ""&amp;REGEXEXTRACT(B865, ""^(.*): "")&amp;"" ✅ "" &amp;REGEXEXTRACT(B865, ""(Trouvez.*)"")"),"🏘️ Vendre appartement Echandens ✅ Trouvez le bien immobilier qui correspond idéalement à vos désirs sur ImmoScout24 - La plateforme de l'immobilier en Suisse.")</f>
        <v>🏘️ Vendre appartement Echandens ✅ Trouvez le bien immobilier qui correspond idéalement à vos désirs sur ImmoScout24 - La plateforme de l'immobilier en Suisse.</v>
      </c>
      <c r="D865" s="4" t="str">
        <f>vlookup(A865, Sheet2!D:E, 2, 0)</f>
        <v>variant</v>
      </c>
      <c r="E865" s="4" t="str">
        <f>IFERROR(__xludf.DUMMYFUNCTION("if(H865=""pays"",vlookup(REGEXEXTRACT(C865, ""🏘️ \w+ \w+ (.*) ✅""),'Country prepositions'!A:B, 2, 0) &amp; "" "" &amp; REGEXEXTRACT(C865, ""🏘️ \w+ \w+ (.*) ✅"") ,  if(H865=""quartier"",vlookup(REGEXEXTRACT(C865, ""🏘️ \w+ \w+ (.*) ✅""),'Quartier prepositions'!A"&amp;":E, 5, 0) ,  if(H865=""region"",vlookup(REGEXEXTRACT(C865, ""🏘️ \w+ \w+ (.*) ✅""),'Region prepositions'!B:F, 5, 0),  REGEXEXTRACT(C865, ""🏘️ \w+ \w+ (.*) ✅""))))"),"Echandens")</f>
        <v>Echandens</v>
      </c>
      <c r="F865" s="2" t="str">
        <f>IFERROR(__xludf.DUMMYFUNCTION("REGEXEXTRACT(C865, ""🏘️ (\w+) \w+ .* ✅"")"),"Vendre")</f>
        <v>Vendre</v>
      </c>
      <c r="G865" s="2" t="str">
        <f>IFERROR(__xludf.DUMMYFUNCTION("REGEXEXTRACT(C865, ""🏘️ \w+ (\w+) .* ✅"")"),"appartement")</f>
        <v>appartement</v>
      </c>
      <c r="H865" s="4" t="str">
        <f>IFERROR(__xludf.DUMMYFUNCTION("REGEXEXTRACT(A865, ""/(\w+)-.*?"")"),"lieu")</f>
        <v>lieu</v>
      </c>
      <c r="I865" s="4" t="str">
        <f>IFERROR(__xludf.DUMMYFUNCTION("if(D865=""variant"",  substitute(filter(Templates!E:E, Templates!A:A = F865, Templates!B:B = G865, Templates!C:C = H865), ""{{}}"", E865), B865)"),"🏘  L’appartement de vos rêves se trouve sur ImmoScout24.ch ✅ Découvrez les dernières annonces de vente à Echandens.")</f>
        <v>🏘  L’appartement de vos rêves se trouve sur ImmoScout24.ch ✅ Découvrez les dernières annonces de vente à Echandens.</v>
      </c>
      <c r="J865" s="4" t="s">
        <v>2602</v>
      </c>
    </row>
    <row r="866">
      <c r="A866" s="5" t="s">
        <v>2603</v>
      </c>
      <c r="B866" s="2" t="s">
        <v>2604</v>
      </c>
      <c r="C866" s="4" t="str">
        <f>IFERROR(__xludf.DUMMYFUNCTION("""🏘️ ""&amp;REGEXEXTRACT(B866, ""^(.*): "")&amp;"" ✅ "" &amp;REGEXEXTRACT(B866, ""(Trouvez.*)"")"),"🏘️ Vendre maison Breganzona ✅ Trouvez le bien immobilier qui correspond idéalement à vos désirs sur ImmoScout24 - La plateforme de l'immobilier en Suisse.")</f>
        <v>🏘️ Vendre maison Breganzona ✅ Trouvez le bien immobilier qui correspond idéalement à vos désirs sur ImmoScout24 - La plateforme de l'immobilier en Suisse.</v>
      </c>
      <c r="D866" s="4" t="str">
        <f>vlookup(A866, Sheet2!D:E, 2, 0)</f>
        <v>variant</v>
      </c>
      <c r="E866" s="4" t="str">
        <f>IFERROR(__xludf.DUMMYFUNCTION("if(H866=""pays"",vlookup(REGEXEXTRACT(C866, ""🏘️ \w+ \w+ (.*) ✅""),'Country prepositions'!A:B, 2, 0) &amp; "" "" &amp; REGEXEXTRACT(C866, ""🏘️ \w+ \w+ (.*) ✅"") ,  if(H866=""quartier"",vlookup(REGEXEXTRACT(C866, ""🏘️ \w+ \w+ (.*) ✅""),'Quartier prepositions'!A"&amp;":E, 5, 0) ,  if(H866=""region"",vlookup(REGEXEXTRACT(C866, ""🏘️ \w+ \w+ (.*) ✅""),'Region prepositions'!B:F, 5, 0),  REGEXEXTRACT(C866, ""🏘️ \w+ \w+ (.*) ✅""))))"),"Breganzona")</f>
        <v>Breganzona</v>
      </c>
      <c r="F866" s="2" t="str">
        <f>IFERROR(__xludf.DUMMYFUNCTION("REGEXEXTRACT(C866, ""🏘️ (\w+) \w+ .* ✅"")"),"Vendre")</f>
        <v>Vendre</v>
      </c>
      <c r="G866" s="2" t="str">
        <f>IFERROR(__xludf.DUMMYFUNCTION("REGEXEXTRACT(C866, ""🏘️ \w+ (\w+) .* ✅"")"),"maison")</f>
        <v>maison</v>
      </c>
      <c r="H866" s="4" t="str">
        <f>IFERROR(__xludf.DUMMYFUNCTION("REGEXEXTRACT(A866, ""/(\w+)-.*?"")"),"lieu")</f>
        <v>lieu</v>
      </c>
      <c r="I866" s="4" t="str">
        <f>IFERROR(__xludf.DUMMYFUNCTION("if(D866=""variant"",  substitute(filter(Templates!E:E, Templates!A:A = F866, Templates!B:B = G866, Templates!C:C = H866), ""{{}}"", E866), B866)"),"🏘  Vous souhaitez acheter une maison à Breganzona? ✅ Jetez un œil aux dernières offres sur ImmoScout24.ch.")</f>
        <v>🏘  Vous souhaitez acheter une maison à Breganzona? ✅ Jetez un œil aux dernières offres sur ImmoScout24.ch.</v>
      </c>
      <c r="J866" s="4" t="s">
        <v>2605</v>
      </c>
    </row>
    <row r="867">
      <c r="A867" s="5" t="s">
        <v>2606</v>
      </c>
      <c r="B867" s="2" t="s">
        <v>2607</v>
      </c>
      <c r="C867" s="4" t="str">
        <f>IFERROR(__xludf.DUMMYFUNCTION("""🏘️ ""&amp;REGEXEXTRACT(B867, ""^(.*): "")&amp;"" ✅ "" &amp;REGEXEXTRACT(B867, ""(Trouvez.*)"")"),"🏘️ Vendre appartement Vésenaz ✅ Trouvez le bien immobilier qui correspond idéalement à vos désirs sur ImmoScout24 - La plateforme de l'immobilier en Suisse.")</f>
        <v>🏘️ Vendre appartement Vésenaz ✅ Trouvez le bien immobilier qui correspond idéalement à vos désirs sur ImmoScout24 - La plateforme de l'immobilier en Suisse.</v>
      </c>
      <c r="D867" s="4" t="str">
        <f>vlookup(A867, Sheet2!D:E, 2, 0)</f>
        <v>variant</v>
      </c>
      <c r="E867" s="4" t="str">
        <f>IFERROR(__xludf.DUMMYFUNCTION("if(H867=""pays"",vlookup(REGEXEXTRACT(C867, ""🏘️ \w+ \w+ (.*) ✅""),'Country prepositions'!A:B, 2, 0) &amp; "" "" &amp; REGEXEXTRACT(C867, ""🏘️ \w+ \w+ (.*) ✅"") ,  if(H867=""quartier"",vlookup(REGEXEXTRACT(C867, ""🏘️ \w+ \w+ (.*) ✅""),'Quartier prepositions'!A"&amp;":E, 5, 0) ,  if(H867=""region"",vlookup(REGEXEXTRACT(C867, ""🏘️ \w+ \w+ (.*) ✅""),'Region prepositions'!B:F, 5, 0),  REGEXEXTRACT(C867, ""🏘️ \w+ \w+ (.*) ✅""))))"),"Vésenaz")</f>
        <v>Vésenaz</v>
      </c>
      <c r="F867" s="2" t="str">
        <f>IFERROR(__xludf.DUMMYFUNCTION("REGEXEXTRACT(C867, ""🏘️ (\w+) \w+ .* ✅"")"),"Vendre")</f>
        <v>Vendre</v>
      </c>
      <c r="G867" s="2" t="str">
        <f>IFERROR(__xludf.DUMMYFUNCTION("REGEXEXTRACT(C867, ""🏘️ \w+ (\w+) .* ✅"")"),"appartement")</f>
        <v>appartement</v>
      </c>
      <c r="H867" s="4" t="str">
        <f>IFERROR(__xludf.DUMMYFUNCTION("REGEXEXTRACT(A867, ""/(\w+)-.*?"")"),"lieu")</f>
        <v>lieu</v>
      </c>
      <c r="I867" s="4" t="str">
        <f>IFERROR(__xludf.DUMMYFUNCTION("if(D867=""variant"",  substitute(filter(Templates!E:E, Templates!A:A = F867, Templates!B:B = G867, Templates!C:C = H867), ""{{}}"", E867), B867)"),"🏘  L’appartement de vos rêves se trouve sur ImmoScout24.ch ✅ Découvrez les dernières annonces de vente à Vésenaz.")</f>
        <v>🏘  L’appartement de vos rêves se trouve sur ImmoScout24.ch ✅ Découvrez les dernières annonces de vente à Vésenaz.</v>
      </c>
      <c r="J867" s="4" t="s">
        <v>2608</v>
      </c>
    </row>
    <row r="868">
      <c r="A868" s="5" t="s">
        <v>2609</v>
      </c>
      <c r="B868" s="2" t="s">
        <v>2610</v>
      </c>
      <c r="C868" s="4" t="str">
        <f>IFERROR(__xludf.DUMMYFUNCTION("""🏘️ ""&amp;REGEXEXTRACT(B868, ""^(.*): "")&amp;"" ✅ "" &amp;REGEXEXTRACT(B868, ""(Trouvez.*)"")"),"🏘️ Louer maison Chêne-Bougeries ✅ Trouvez le bien immobilier qui correspond idéalement à vos désirs sur ImmoScout24 - La plateforme de l'immobilier en Suisse.")</f>
        <v>🏘️ Louer maison Chêne-Bougeries ✅ Trouvez le bien immobilier qui correspond idéalement à vos désirs sur ImmoScout24 - La plateforme de l'immobilier en Suisse.</v>
      </c>
      <c r="D868" s="4" t="str">
        <f>vlookup(A868, Sheet2!D:E, 2, 0)</f>
        <v>variant</v>
      </c>
      <c r="E868" s="4" t="str">
        <f>IFERROR(__xludf.DUMMYFUNCTION("if(H868=""pays"",vlookup(REGEXEXTRACT(C868, ""🏘️ \w+ \w+ (.*) ✅""),'Country prepositions'!A:B, 2, 0) &amp; "" "" &amp; REGEXEXTRACT(C868, ""🏘️ \w+ \w+ (.*) ✅"") ,  if(H868=""quartier"",vlookup(REGEXEXTRACT(C868, ""🏘️ \w+ \w+ (.*) ✅""),'Quartier prepositions'!A"&amp;":E, 5, 0) ,  if(H868=""region"",vlookup(REGEXEXTRACT(C868, ""🏘️ \w+ \w+ (.*) ✅""),'Region prepositions'!B:F, 5, 0),  REGEXEXTRACT(C868, ""🏘️ \w+ \w+ (.*) ✅""))))"),"Chêne-Bougeries")</f>
        <v>Chêne-Bougeries</v>
      </c>
      <c r="F868" s="2" t="str">
        <f>IFERROR(__xludf.DUMMYFUNCTION("REGEXEXTRACT(C868, ""🏘️ (\w+) \w+ .* ✅"")"),"Louer")</f>
        <v>Louer</v>
      </c>
      <c r="G868" s="2" t="str">
        <f>IFERROR(__xludf.DUMMYFUNCTION("REGEXEXTRACT(C868, ""🏘️ \w+ (\w+) .* ✅"")"),"maison")</f>
        <v>maison</v>
      </c>
      <c r="H868" s="4" t="str">
        <f>IFERROR(__xludf.DUMMYFUNCTION("REGEXEXTRACT(A868, ""/(\w+)-.*?"")"),"lieu")</f>
        <v>lieu</v>
      </c>
      <c r="I868" s="4" t="str">
        <f>IFERROR(__xludf.DUMMYFUNCTION("if(D868=""variant"",  substitute(filter(Templates!E:E, Templates!A:A = F868, Templates!B:B = G868, Templates!C:C = H868), ""{{}}"", E868), B868)"),"🏘  Vous cherchez une maison à louer à Chêne-Bougeries? ✅ Découvrez nos nombreuses annonces sur ImmoScout24.ch.")</f>
        <v>🏘  Vous cherchez une maison à louer à Chêne-Bougeries? ✅ Découvrez nos nombreuses annonces sur ImmoScout24.ch.</v>
      </c>
      <c r="J868" s="4" t="s">
        <v>2611</v>
      </c>
    </row>
    <row r="869">
      <c r="A869" s="5" t="s">
        <v>2612</v>
      </c>
      <c r="B869" s="2" t="s">
        <v>2613</v>
      </c>
      <c r="C869" s="4" t="str">
        <f>IFERROR(__xludf.DUMMYFUNCTION("""🏘️ ""&amp;REGEXEXTRACT(B869, ""^(.*): "")&amp;"" ✅ "" &amp;REGEXEXTRACT(B869, ""(Trouvez.*)"")"),"🏘️ Louer appartement Rüschlikon ✅ Trouvez le bien immobilier qui correspond idéalement à vos désirs sur ImmoScout24 - La plateforme de l'immobilier en Suisse.")</f>
        <v>🏘️ Louer appartement Rüschlikon ✅ Trouvez le bien immobilier qui correspond idéalement à vos désirs sur ImmoScout24 - La plateforme de l'immobilier en Suisse.</v>
      </c>
      <c r="D869" s="4" t="str">
        <f>vlookup(A869, Sheet2!D:E, 2, 0)</f>
        <v>variant</v>
      </c>
      <c r="E869" s="4" t="str">
        <f>IFERROR(__xludf.DUMMYFUNCTION("if(H869=""pays"",vlookup(REGEXEXTRACT(C869, ""🏘️ \w+ \w+ (.*) ✅""),'Country prepositions'!A:B, 2, 0) &amp; "" "" &amp; REGEXEXTRACT(C869, ""🏘️ \w+ \w+ (.*) ✅"") ,  if(H869=""quartier"",vlookup(REGEXEXTRACT(C869, ""🏘️ \w+ \w+ (.*) ✅""),'Quartier prepositions'!A"&amp;":E, 5, 0) ,  if(H869=""region"",vlookup(REGEXEXTRACT(C869, ""🏘️ \w+ \w+ (.*) ✅""),'Region prepositions'!B:F, 5, 0),  REGEXEXTRACT(C869, ""🏘️ \w+ \w+ (.*) ✅""))))"),"Rüschlikon")</f>
        <v>Rüschlikon</v>
      </c>
      <c r="F869" s="2" t="str">
        <f>IFERROR(__xludf.DUMMYFUNCTION("REGEXEXTRACT(C869, ""🏘️ (\w+) \w+ .* ✅"")"),"Louer")</f>
        <v>Louer</v>
      </c>
      <c r="G869" s="2" t="str">
        <f>IFERROR(__xludf.DUMMYFUNCTION("REGEXEXTRACT(C869, ""🏘️ \w+ (\w+) .* ✅"")"),"appartement")</f>
        <v>appartement</v>
      </c>
      <c r="H869" s="4" t="str">
        <f>IFERROR(__xludf.DUMMYFUNCTION("REGEXEXTRACT(A869, ""/(\w+)-.*?"")"),"lieu")</f>
        <v>lieu</v>
      </c>
      <c r="I869" s="4" t="str">
        <f>IFERROR(__xludf.DUMMYFUNCTION("if(D869=""variant"",  substitute(filter(Templates!E:E, Templates!A:A = F869, Templates!B:B = G869, Templates!C:C = H869), ""{{}}"", E869), B869)"),"🏘  Vous cherchez un appartement à louer à Rüschlikon? ✅ Les annonces les plus actuelles sont sur ImmoScout24.ch.")</f>
        <v>🏘  Vous cherchez un appartement à louer à Rüschlikon? ✅ Les annonces les plus actuelles sont sur ImmoScout24.ch.</v>
      </c>
      <c r="J869" s="4" t="s">
        <v>2614</v>
      </c>
    </row>
    <row r="870">
      <c r="A870" s="5" t="s">
        <v>2615</v>
      </c>
      <c r="B870" s="2" t="s">
        <v>2616</v>
      </c>
      <c r="C870" s="4" t="str">
        <f>IFERROR(__xludf.DUMMYFUNCTION("""🏘️ ""&amp;REGEXEXTRACT(B870, ""^(.*): "")&amp;"" ✅ "" &amp;REGEXEXTRACT(B870, ""(Trouvez.*)"")"),"🏘️ Louer appartement Champzabé ✅ Trouvez le bien immobilier qui correspond idéalement à vos désirs sur ImmoScout24 - La plateforme de l'immobilier en Suisse.")</f>
        <v>🏘️ Louer appartement Champzabé ✅ Trouvez le bien immobilier qui correspond idéalement à vos désirs sur ImmoScout24 - La plateforme de l'immobilier en Suisse.</v>
      </c>
      <c r="D870" s="4" t="str">
        <f>vlookup(A870, Sheet2!D:E, 2, 0)</f>
        <v>variant</v>
      </c>
      <c r="E870" s="4" t="str">
        <f>IFERROR(__xludf.DUMMYFUNCTION("if(H870=""pays"",vlookup(REGEXEXTRACT(C870, ""🏘️ \w+ \w+ (.*) ✅""),'Country prepositions'!A:B, 2, 0) &amp; "" "" &amp; REGEXEXTRACT(C870, ""🏘️ \w+ \w+ (.*) ✅"") ,  if(H870=""quartier"",vlookup(REGEXEXTRACT(C870, ""🏘️ \w+ \w+ (.*) ✅""),'Quartier prepositions'!A"&amp;":E, 5, 0) ,  if(H870=""region"",vlookup(REGEXEXTRACT(C870, ""🏘️ \w+ \w+ (.*) ✅""),'Region prepositions'!B:F, 5, 0),  REGEXEXTRACT(C870, ""🏘️ \w+ \w+ (.*) ✅""))))"),"Champzabé")</f>
        <v>Champzabé</v>
      </c>
      <c r="F870" s="2" t="str">
        <f>IFERROR(__xludf.DUMMYFUNCTION("REGEXEXTRACT(C870, ""🏘️ (\w+) \w+ .* ✅"")"),"Louer")</f>
        <v>Louer</v>
      </c>
      <c r="G870" s="2" t="str">
        <f>IFERROR(__xludf.DUMMYFUNCTION("REGEXEXTRACT(C870, ""🏘️ \w+ (\w+) .* ✅"")"),"appartement")</f>
        <v>appartement</v>
      </c>
      <c r="H870" s="4" t="str">
        <f>IFERROR(__xludf.DUMMYFUNCTION("REGEXEXTRACT(A870, ""/(\w+)-.*?"")"),"lieu")</f>
        <v>lieu</v>
      </c>
      <c r="I870" s="4" t="str">
        <f>IFERROR(__xludf.DUMMYFUNCTION("if(D870=""variant"",  substitute(filter(Templates!E:E, Templates!A:A = F870, Templates!B:B = G870, Templates!C:C = H870), ""{{}}"", E870), B870)"),"🏘  Vous cherchez un appartement à louer à Champzabé? ✅ Les annonces les plus actuelles sont sur ImmoScout24.ch.")</f>
        <v>🏘  Vous cherchez un appartement à louer à Champzabé? ✅ Les annonces les plus actuelles sont sur ImmoScout24.ch.</v>
      </c>
      <c r="J870" s="4" t="s">
        <v>2617</v>
      </c>
    </row>
    <row r="871">
      <c r="A871" s="5" t="s">
        <v>2618</v>
      </c>
      <c r="B871" s="2" t="s">
        <v>2619</v>
      </c>
      <c r="C871" s="4" t="str">
        <f>IFERROR(__xludf.DUMMYFUNCTION("""🏘️ ""&amp;REGEXEXTRACT(B871, ""^(.*): "")&amp;"" ✅ "" &amp;REGEXEXTRACT(B871, ""(Trouvez.*)"")"),"🏘️ Louer appartement Kappel SO ✅ Trouvez le bien immobilier qui correspond idéalement à vos désirs sur ImmoScout24 - La plateforme de l'immobilier en Suisse.")</f>
        <v>🏘️ Louer appartement Kappel SO ✅ Trouvez le bien immobilier qui correspond idéalement à vos désirs sur ImmoScout24 - La plateforme de l'immobilier en Suisse.</v>
      </c>
      <c r="D871" s="4" t="str">
        <f>vlookup(A871, Sheet2!D:E, 2, 0)</f>
        <v>variant</v>
      </c>
      <c r="E871" s="4" t="str">
        <f>IFERROR(__xludf.DUMMYFUNCTION("if(H871=""pays"",vlookup(REGEXEXTRACT(C871, ""🏘️ \w+ \w+ (.*) ✅""),'Country prepositions'!A:B, 2, 0) &amp; "" "" &amp; REGEXEXTRACT(C871, ""🏘️ \w+ \w+ (.*) ✅"") ,  if(H871=""quartier"",vlookup(REGEXEXTRACT(C871, ""🏘️ \w+ \w+ (.*) ✅""),'Quartier prepositions'!A"&amp;":E, 5, 0) ,  if(H871=""region"",vlookup(REGEXEXTRACT(C871, ""🏘️ \w+ \w+ (.*) ✅""),'Region prepositions'!B:F, 5, 0),  REGEXEXTRACT(C871, ""🏘️ \w+ \w+ (.*) ✅""))))"),"Kappel SO")</f>
        <v>Kappel SO</v>
      </c>
      <c r="F871" s="2" t="str">
        <f>IFERROR(__xludf.DUMMYFUNCTION("REGEXEXTRACT(C871, ""🏘️ (\w+) \w+ .* ✅"")"),"Louer")</f>
        <v>Louer</v>
      </c>
      <c r="G871" s="2" t="str">
        <f>IFERROR(__xludf.DUMMYFUNCTION("REGEXEXTRACT(C871, ""🏘️ \w+ (\w+) .* ✅"")"),"appartement")</f>
        <v>appartement</v>
      </c>
      <c r="H871" s="4" t="str">
        <f>IFERROR(__xludf.DUMMYFUNCTION("REGEXEXTRACT(A871, ""/(\w+)-.*?"")"),"lieu")</f>
        <v>lieu</v>
      </c>
      <c r="I871" s="4" t="str">
        <f>IFERROR(__xludf.DUMMYFUNCTION("if(D871=""variant"",  substitute(filter(Templates!E:E, Templates!A:A = F871, Templates!B:B = G871, Templates!C:C = H871), ""{{}}"", E871), B871)"),"🏘  Vous cherchez un appartement à louer à Kappel SO? ✅ Les annonces les plus actuelles sont sur ImmoScout24.ch.")</f>
        <v>🏘  Vous cherchez un appartement à louer à Kappel SO? ✅ Les annonces les plus actuelles sont sur ImmoScout24.ch.</v>
      </c>
      <c r="J871" s="4" t="s">
        <v>2620</v>
      </c>
    </row>
    <row r="872">
      <c r="A872" s="5" t="s">
        <v>2621</v>
      </c>
      <c r="B872" s="2" t="s">
        <v>2622</v>
      </c>
      <c r="C872" s="4" t="str">
        <f>IFERROR(__xludf.DUMMYFUNCTION("""🏘️ ""&amp;REGEXEXTRACT(B872, ""^(.*): "")&amp;"" ✅ "" &amp;REGEXEXTRACT(B872, ""(Trouvez.*)"")"),"🏘️ Louer maison Centre-Ville (Lausanne) ✅ Trouvez le bien immobilier qui correspond idéalement à vos désirs sur ImmoScout24 - La plateforme de l'immobilier en Suisse.")</f>
        <v>🏘️ Louer maison Centre-Ville (Lausanne) ✅ Trouvez le bien immobilier qui correspond idéalement à vos désirs sur ImmoScout24 - La plateforme de l'immobilier en Suisse.</v>
      </c>
      <c r="D872" s="4" t="str">
        <f>vlookup(A872, Sheet2!D:E, 2, 0)</f>
        <v>variant</v>
      </c>
      <c r="E872" s="4" t="str">
        <f>IFERROR(__xludf.DUMMYFUNCTION("if(H872=""pays"",vlookup(REGEXEXTRACT(C872, ""🏘️ \w+ \w+ (.*) ✅""),'Country prepositions'!A:B, 2, 0) &amp; "" "" &amp; REGEXEXTRACT(C872, ""🏘️ \w+ \w+ (.*) ✅"") ,  if(H872=""quartier"",vlookup(REGEXEXTRACT(C872, ""🏘️ \w+ \w+ (.*) ✅""),'Quartier prepositions'!A"&amp;":E, 5, 0) ,  if(H872=""region"",vlookup(REGEXEXTRACT(C872, ""🏘️ \w+ \w+ (.*) ✅""),'Region prepositions'!B:F, 5, 0),  REGEXEXTRACT(C872, ""🏘️ \w+ \w+ (.*) ✅""))))"),"au Centre-Ville (Lausanne)")</f>
        <v>au Centre-Ville (Lausanne)</v>
      </c>
      <c r="F872" s="2" t="str">
        <f>IFERROR(__xludf.DUMMYFUNCTION("REGEXEXTRACT(C872, ""🏘️ (\w+) \w+ .* ✅"")"),"Louer")</f>
        <v>Louer</v>
      </c>
      <c r="G872" s="2" t="str">
        <f>IFERROR(__xludf.DUMMYFUNCTION("REGEXEXTRACT(C872, ""🏘️ \w+ (\w+) .* ✅"")"),"maison")</f>
        <v>maison</v>
      </c>
      <c r="H872" s="4" t="str">
        <f>IFERROR(__xludf.DUMMYFUNCTION("REGEXEXTRACT(A872, ""/(\w+)-.*?"")"),"quartier")</f>
        <v>quartier</v>
      </c>
      <c r="I872" s="4" t="str">
        <f>IFERROR(__xludf.DUMMYFUNCTION("if(D872=""variant"",  substitute(filter(Templates!E:E, Templates!A:A = F872, Templates!B:B = G872, Templates!C:C = H872), ""{{}}"", E872), B872)"),"🏘  Vous cherchez une maison à louer au Centre-Ville (Lausanne)? ✅ Découvrez nos nombreuses annonces sur ImmoScout24.ch.")</f>
        <v>🏘  Vous cherchez une maison à louer au Centre-Ville (Lausanne)? ✅ Découvrez nos nombreuses annonces sur ImmoScout24.ch.</v>
      </c>
      <c r="J872" s="4" t="s">
        <v>2623</v>
      </c>
    </row>
    <row r="873">
      <c r="A873" s="5" t="s">
        <v>2624</v>
      </c>
      <c r="B873" s="2" t="s">
        <v>2625</v>
      </c>
      <c r="C873" s="4" t="str">
        <f>IFERROR(__xludf.DUMMYFUNCTION("""🏘️ ""&amp;REGEXEXTRACT(B873, ""^(.*): "")&amp;"" ✅ "" &amp;REGEXEXTRACT(B873, ""(Trouvez.*)"")"),"🏘️ Vendre maison Inden ✅ Trouvez le bien immobilier qui correspond idéalement à vos désirs sur ImmoScout24 - La plateforme de l'immobilier en Suisse.")</f>
        <v>🏘️ Vendre maison Inden ✅ Trouvez le bien immobilier qui correspond idéalement à vos désirs sur ImmoScout24 - La plateforme de l'immobilier en Suisse.</v>
      </c>
      <c r="D873" s="4" t="str">
        <f>vlookup(A873, Sheet2!D:E, 2, 0)</f>
        <v>variant</v>
      </c>
      <c r="E873" s="4" t="str">
        <f>IFERROR(__xludf.DUMMYFUNCTION("if(H873=""pays"",vlookup(REGEXEXTRACT(C873, ""🏘️ \w+ \w+ (.*) ✅""),'Country prepositions'!A:B, 2, 0) &amp; "" "" &amp; REGEXEXTRACT(C873, ""🏘️ \w+ \w+ (.*) ✅"") ,  if(H873=""quartier"",vlookup(REGEXEXTRACT(C873, ""🏘️ \w+ \w+ (.*) ✅""),'Quartier prepositions'!A"&amp;":E, 5, 0) ,  if(H873=""region"",vlookup(REGEXEXTRACT(C873, ""🏘️ \w+ \w+ (.*) ✅""),'Region prepositions'!B:F, 5, 0),  REGEXEXTRACT(C873, ""🏘️ \w+ \w+ (.*) ✅""))))"),"Inden")</f>
        <v>Inden</v>
      </c>
      <c r="F873" s="2" t="str">
        <f>IFERROR(__xludf.DUMMYFUNCTION("REGEXEXTRACT(C873, ""🏘️ (\w+) \w+ .* ✅"")"),"Vendre")</f>
        <v>Vendre</v>
      </c>
      <c r="G873" s="2" t="str">
        <f>IFERROR(__xludf.DUMMYFUNCTION("REGEXEXTRACT(C873, ""🏘️ \w+ (\w+) .* ✅"")"),"maison")</f>
        <v>maison</v>
      </c>
      <c r="H873" s="4" t="str">
        <f>IFERROR(__xludf.DUMMYFUNCTION("REGEXEXTRACT(A873, ""/(\w+)-.*?"")"),"lieu")</f>
        <v>lieu</v>
      </c>
      <c r="I873" s="4" t="str">
        <f>IFERROR(__xludf.DUMMYFUNCTION("if(D873=""variant"",  substitute(filter(Templates!E:E, Templates!A:A = F873, Templates!B:B = G873, Templates!C:C = H873), ""{{}}"", E873), B873)"),"🏘  Vous souhaitez acheter une maison à Inden? ✅ Jetez un œil aux dernières offres sur ImmoScout24.ch.")</f>
        <v>🏘  Vous souhaitez acheter une maison à Inden? ✅ Jetez un œil aux dernières offres sur ImmoScout24.ch.</v>
      </c>
      <c r="J873" s="4" t="s">
        <v>2626</v>
      </c>
    </row>
    <row r="874">
      <c r="A874" s="5" t="s">
        <v>2627</v>
      </c>
      <c r="B874" s="2" t="s">
        <v>2628</v>
      </c>
      <c r="C874" s="4" t="str">
        <f>IFERROR(__xludf.DUMMYFUNCTION("""🏘️ ""&amp;REGEXEXTRACT(B874, ""^(.*): "")&amp;"" ✅ "" &amp;REGEXEXTRACT(B874, ""(Trouvez.*)"")"),"🏘️ Louer maison Haute-Nendaz ✅ Trouvez le bien immobilier qui correspond idéalement à vos désirs sur ImmoScout24 - La plateforme de l'immobilier en Suisse.")</f>
        <v>🏘️ Louer maison Haute-Nendaz ✅ Trouvez le bien immobilier qui correspond idéalement à vos désirs sur ImmoScout24 - La plateforme de l'immobilier en Suisse.</v>
      </c>
      <c r="D874" s="4" t="str">
        <f>vlookup(A874, Sheet2!D:E, 2, 0)</f>
        <v>variant</v>
      </c>
      <c r="E874" s="4" t="str">
        <f>IFERROR(__xludf.DUMMYFUNCTION("if(H874=""pays"",vlookup(REGEXEXTRACT(C874, ""🏘️ \w+ \w+ (.*) ✅""),'Country prepositions'!A:B, 2, 0) &amp; "" "" &amp; REGEXEXTRACT(C874, ""🏘️ \w+ \w+ (.*) ✅"") ,  if(H874=""quartier"",vlookup(REGEXEXTRACT(C874, ""🏘️ \w+ \w+ (.*) ✅""),'Quartier prepositions'!A"&amp;":E, 5, 0) ,  if(H874=""region"",vlookup(REGEXEXTRACT(C874, ""🏘️ \w+ \w+ (.*) ✅""),'Region prepositions'!B:F, 5, 0),  REGEXEXTRACT(C874, ""🏘️ \w+ \w+ (.*) ✅""))))"),"Haute-Nendaz")</f>
        <v>Haute-Nendaz</v>
      </c>
      <c r="F874" s="2" t="str">
        <f>IFERROR(__xludf.DUMMYFUNCTION("REGEXEXTRACT(C874, ""🏘️ (\w+) \w+ .* ✅"")"),"Louer")</f>
        <v>Louer</v>
      </c>
      <c r="G874" s="2" t="str">
        <f>IFERROR(__xludf.DUMMYFUNCTION("REGEXEXTRACT(C874, ""🏘️ \w+ (\w+) .* ✅"")"),"maison")</f>
        <v>maison</v>
      </c>
      <c r="H874" s="4" t="str">
        <f>IFERROR(__xludf.DUMMYFUNCTION("REGEXEXTRACT(A874, ""/(\w+)-.*?"")"),"lieu")</f>
        <v>lieu</v>
      </c>
      <c r="I874" s="4" t="str">
        <f>IFERROR(__xludf.DUMMYFUNCTION("if(D874=""variant"",  substitute(filter(Templates!E:E, Templates!A:A = F874, Templates!B:B = G874, Templates!C:C = H874), ""{{}}"", E874), B874)"),"🏘  Vous cherchez une maison à louer à Haute-Nendaz? ✅ Découvrez nos nombreuses annonces sur ImmoScout24.ch.")</f>
        <v>🏘  Vous cherchez une maison à louer à Haute-Nendaz? ✅ Découvrez nos nombreuses annonces sur ImmoScout24.ch.</v>
      </c>
      <c r="J874" s="4" t="s">
        <v>2629</v>
      </c>
    </row>
    <row r="875">
      <c r="A875" s="5" t="s">
        <v>2630</v>
      </c>
      <c r="B875" s="2" t="s">
        <v>2631</v>
      </c>
      <c r="C875" s="4" t="str">
        <f>IFERROR(__xludf.DUMMYFUNCTION("""🏘️ ""&amp;REGEXEXTRACT(B875, ""^(.*): "")&amp;"" ✅ "" &amp;REGEXEXTRACT(B875, ""(Trouvez.*)"")"),"🏘️ Vendre maison Dalpe ✅ Trouvez le bien immobilier qui correspond idéalement à vos désirs sur ImmoScout24 - La plateforme de l'immobilier en Suisse.")</f>
        <v>🏘️ Vendre maison Dalpe ✅ Trouvez le bien immobilier qui correspond idéalement à vos désirs sur ImmoScout24 - La plateforme de l'immobilier en Suisse.</v>
      </c>
      <c r="D875" s="4" t="str">
        <f>vlookup(A875, Sheet2!D:E, 2, 0)</f>
        <v>variant</v>
      </c>
      <c r="E875" s="4" t="str">
        <f>IFERROR(__xludf.DUMMYFUNCTION("if(H875=""pays"",vlookup(REGEXEXTRACT(C875, ""🏘️ \w+ \w+ (.*) ✅""),'Country prepositions'!A:B, 2, 0) &amp; "" "" &amp; REGEXEXTRACT(C875, ""🏘️ \w+ \w+ (.*) ✅"") ,  if(H875=""quartier"",vlookup(REGEXEXTRACT(C875, ""🏘️ \w+ \w+ (.*) ✅""),'Quartier prepositions'!A"&amp;":E, 5, 0) ,  if(H875=""region"",vlookup(REGEXEXTRACT(C875, ""🏘️ \w+ \w+ (.*) ✅""),'Region prepositions'!B:F, 5, 0),  REGEXEXTRACT(C875, ""🏘️ \w+ \w+ (.*) ✅""))))"),"Dalpe")</f>
        <v>Dalpe</v>
      </c>
      <c r="F875" s="2" t="str">
        <f>IFERROR(__xludf.DUMMYFUNCTION("REGEXEXTRACT(C875, ""🏘️ (\w+) \w+ .* ✅"")"),"Vendre")</f>
        <v>Vendre</v>
      </c>
      <c r="G875" s="2" t="str">
        <f>IFERROR(__xludf.DUMMYFUNCTION("REGEXEXTRACT(C875, ""🏘️ \w+ (\w+) .* ✅"")"),"maison")</f>
        <v>maison</v>
      </c>
      <c r="H875" s="4" t="str">
        <f>IFERROR(__xludf.DUMMYFUNCTION("REGEXEXTRACT(A875, ""/(\w+)-.*?"")"),"lieu")</f>
        <v>lieu</v>
      </c>
      <c r="I875" s="4" t="str">
        <f>IFERROR(__xludf.DUMMYFUNCTION("if(D875=""variant"",  substitute(filter(Templates!E:E, Templates!A:A = F875, Templates!B:B = G875, Templates!C:C = H875), ""{{}}"", E875), B875)"),"🏘  Vous souhaitez acheter une maison à Dalpe? ✅ Jetez un œil aux dernières offres sur ImmoScout24.ch.")</f>
        <v>🏘  Vous souhaitez acheter une maison à Dalpe? ✅ Jetez un œil aux dernières offres sur ImmoScout24.ch.</v>
      </c>
      <c r="J875" s="4" t="s">
        <v>2632</v>
      </c>
    </row>
    <row r="876">
      <c r="A876" s="5" t="s">
        <v>2633</v>
      </c>
      <c r="B876" s="2" t="s">
        <v>2634</v>
      </c>
      <c r="C876" s="4" t="str">
        <f>IFERROR(__xludf.DUMMYFUNCTION("""🏘️ ""&amp;REGEXEXTRACT(B876, ""^(.*): "")&amp;"" ✅ "" &amp;REGEXEXTRACT(B876, ""(Trouvez.*)"")"),"🏘️ Louer appartement Grindelwald ✅ Trouvez le bien immobilier qui correspond idéalement à vos désirs sur ImmoScout24 - La plateforme de l'immobilier en Suisse.")</f>
        <v>🏘️ Louer appartement Grindelwald ✅ Trouvez le bien immobilier qui correspond idéalement à vos désirs sur ImmoScout24 - La plateforme de l'immobilier en Suisse.</v>
      </c>
      <c r="D876" s="4" t="str">
        <f>vlookup(A876, Sheet2!D:E, 2, 0)</f>
        <v>variant</v>
      </c>
      <c r="E876" s="4" t="str">
        <f>IFERROR(__xludf.DUMMYFUNCTION("if(H876=""pays"",vlookup(REGEXEXTRACT(C876, ""🏘️ \w+ \w+ (.*) ✅""),'Country prepositions'!A:B, 2, 0) &amp; "" "" &amp; REGEXEXTRACT(C876, ""🏘️ \w+ \w+ (.*) ✅"") ,  if(H876=""quartier"",vlookup(REGEXEXTRACT(C876, ""🏘️ \w+ \w+ (.*) ✅""),'Quartier prepositions'!A"&amp;":E, 5, 0) ,  if(H876=""region"",vlookup(REGEXEXTRACT(C876, ""🏘️ \w+ \w+ (.*) ✅""),'Region prepositions'!B:F, 5, 0),  REGEXEXTRACT(C876, ""🏘️ \w+ \w+ (.*) ✅""))))"),"Grindelwald")</f>
        <v>Grindelwald</v>
      </c>
      <c r="F876" s="2" t="str">
        <f>IFERROR(__xludf.DUMMYFUNCTION("REGEXEXTRACT(C876, ""🏘️ (\w+) \w+ .* ✅"")"),"Louer")</f>
        <v>Louer</v>
      </c>
      <c r="G876" s="2" t="str">
        <f>IFERROR(__xludf.DUMMYFUNCTION("REGEXEXTRACT(C876, ""🏘️ \w+ (\w+) .* ✅"")"),"appartement")</f>
        <v>appartement</v>
      </c>
      <c r="H876" s="4" t="str">
        <f>IFERROR(__xludf.DUMMYFUNCTION("REGEXEXTRACT(A876, ""/(\w+)-.*?"")"),"lieu")</f>
        <v>lieu</v>
      </c>
      <c r="I876" s="4" t="str">
        <f>IFERROR(__xludf.DUMMYFUNCTION("if(D876=""variant"",  substitute(filter(Templates!E:E, Templates!A:A = F876, Templates!B:B = G876, Templates!C:C = H876), ""{{}}"", E876), B876)"),"🏘  Vous cherchez un appartement à louer à Grindelwald? ✅ Les annonces les plus actuelles sont sur ImmoScout24.ch.")</f>
        <v>🏘  Vous cherchez un appartement à louer à Grindelwald? ✅ Les annonces les plus actuelles sont sur ImmoScout24.ch.</v>
      </c>
      <c r="J876" s="4" t="s">
        <v>2635</v>
      </c>
    </row>
    <row r="877">
      <c r="A877" s="5" t="s">
        <v>2636</v>
      </c>
      <c r="B877" s="2" t="s">
        <v>2637</v>
      </c>
      <c r="C877" s="4" t="str">
        <f>IFERROR(__xludf.DUMMYFUNCTION("""🏘️ ""&amp;REGEXEXTRACT(B877, ""^(.*): "")&amp;"" ✅ "" &amp;REGEXEXTRACT(B877, ""(Trouvez.*)"")"),"🏘️ Louer appartement Trey ✅ Trouvez le bien immobilier qui correspond idéalement à vos désirs sur ImmoScout24 - La plateforme de l'immobilier en Suisse.")</f>
        <v>🏘️ Louer appartement Trey ✅ Trouvez le bien immobilier qui correspond idéalement à vos désirs sur ImmoScout24 - La plateforme de l'immobilier en Suisse.</v>
      </c>
      <c r="D877" s="4" t="str">
        <f>vlookup(A877, Sheet2!D:E, 2, 0)</f>
        <v>variant</v>
      </c>
      <c r="E877" s="4" t="str">
        <f>IFERROR(__xludf.DUMMYFUNCTION("if(H877=""pays"",vlookup(REGEXEXTRACT(C877, ""🏘️ \w+ \w+ (.*) ✅""),'Country prepositions'!A:B, 2, 0) &amp; "" "" &amp; REGEXEXTRACT(C877, ""🏘️ \w+ \w+ (.*) ✅"") ,  if(H877=""quartier"",vlookup(REGEXEXTRACT(C877, ""🏘️ \w+ \w+ (.*) ✅""),'Quartier prepositions'!A"&amp;":E, 5, 0) ,  if(H877=""region"",vlookup(REGEXEXTRACT(C877, ""🏘️ \w+ \w+ (.*) ✅""),'Region prepositions'!B:F, 5, 0),  REGEXEXTRACT(C877, ""🏘️ \w+ \w+ (.*) ✅""))))"),"Trey")</f>
        <v>Trey</v>
      </c>
      <c r="F877" s="2" t="str">
        <f>IFERROR(__xludf.DUMMYFUNCTION("REGEXEXTRACT(C877, ""🏘️ (\w+) \w+ .* ✅"")"),"Louer")</f>
        <v>Louer</v>
      </c>
      <c r="G877" s="2" t="str">
        <f>IFERROR(__xludf.DUMMYFUNCTION("REGEXEXTRACT(C877, ""🏘️ \w+ (\w+) .* ✅"")"),"appartement")</f>
        <v>appartement</v>
      </c>
      <c r="H877" s="4" t="str">
        <f>IFERROR(__xludf.DUMMYFUNCTION("REGEXEXTRACT(A877, ""/(\w+)-.*?"")"),"lieu")</f>
        <v>lieu</v>
      </c>
      <c r="I877" s="4" t="str">
        <f>IFERROR(__xludf.DUMMYFUNCTION("if(D877=""variant"",  substitute(filter(Templates!E:E, Templates!A:A = F877, Templates!B:B = G877, Templates!C:C = H877), ""{{}}"", E877), B877)"),"🏘  Vous cherchez un appartement à louer à Trey? ✅ Les annonces les plus actuelles sont sur ImmoScout24.ch.")</f>
        <v>🏘  Vous cherchez un appartement à louer à Trey? ✅ Les annonces les plus actuelles sont sur ImmoScout24.ch.</v>
      </c>
      <c r="J877" s="4" t="s">
        <v>2638</v>
      </c>
    </row>
    <row r="878">
      <c r="A878" s="5" t="s">
        <v>2639</v>
      </c>
      <c r="B878" s="2" t="s">
        <v>2640</v>
      </c>
      <c r="C878" s="4" t="str">
        <f>IFERROR(__xludf.DUMMYFUNCTION("""🏘️ ""&amp;REGEXEXTRACT(B878, ""^(.*): "")&amp;"" ✅ "" &amp;REGEXEXTRACT(B878, ""(Trouvez.*)"")"),"🏘️ Louer appartement Däniken SO ✅ Trouvez le bien immobilier qui correspond idéalement à vos désirs sur ImmoScout24 - La plateforme de l'immobilier en Suisse.")</f>
        <v>🏘️ Louer appartement Däniken SO ✅ Trouvez le bien immobilier qui correspond idéalement à vos désirs sur ImmoScout24 - La plateforme de l'immobilier en Suisse.</v>
      </c>
      <c r="D878" s="4" t="str">
        <f>vlookup(A878, Sheet2!D:E, 2, 0)</f>
        <v>variant</v>
      </c>
      <c r="E878" s="4" t="str">
        <f>IFERROR(__xludf.DUMMYFUNCTION("if(H878=""pays"",vlookup(REGEXEXTRACT(C878, ""🏘️ \w+ \w+ (.*) ✅""),'Country prepositions'!A:B, 2, 0) &amp; "" "" &amp; REGEXEXTRACT(C878, ""🏘️ \w+ \w+ (.*) ✅"") ,  if(H878=""quartier"",vlookup(REGEXEXTRACT(C878, ""🏘️ \w+ \w+ (.*) ✅""),'Quartier prepositions'!A"&amp;":E, 5, 0) ,  if(H878=""region"",vlookup(REGEXEXTRACT(C878, ""🏘️ \w+ \w+ (.*) ✅""),'Region prepositions'!B:F, 5, 0),  REGEXEXTRACT(C878, ""🏘️ \w+ \w+ (.*) ✅""))))"),"Däniken SO")</f>
        <v>Däniken SO</v>
      </c>
      <c r="F878" s="2" t="str">
        <f>IFERROR(__xludf.DUMMYFUNCTION("REGEXEXTRACT(C878, ""🏘️ (\w+) \w+ .* ✅"")"),"Louer")</f>
        <v>Louer</v>
      </c>
      <c r="G878" s="2" t="str">
        <f>IFERROR(__xludf.DUMMYFUNCTION("REGEXEXTRACT(C878, ""🏘️ \w+ (\w+) .* ✅"")"),"appartement")</f>
        <v>appartement</v>
      </c>
      <c r="H878" s="4" t="str">
        <f>IFERROR(__xludf.DUMMYFUNCTION("REGEXEXTRACT(A878, ""/(\w+)-.*?"")"),"lieu")</f>
        <v>lieu</v>
      </c>
      <c r="I878" s="4" t="str">
        <f>IFERROR(__xludf.DUMMYFUNCTION("if(D878=""variant"",  substitute(filter(Templates!E:E, Templates!A:A = F878, Templates!B:B = G878, Templates!C:C = H878), ""{{}}"", E878), B878)"),"🏘  Vous cherchez un appartement à louer à Däniken SO? ✅ Les annonces les plus actuelles sont sur ImmoScout24.ch.")</f>
        <v>🏘  Vous cherchez un appartement à louer à Däniken SO? ✅ Les annonces les plus actuelles sont sur ImmoScout24.ch.</v>
      </c>
      <c r="J878" s="4" t="s">
        <v>2641</v>
      </c>
    </row>
    <row r="879">
      <c r="A879" s="5" t="s">
        <v>2642</v>
      </c>
      <c r="B879" s="2" t="s">
        <v>2643</v>
      </c>
      <c r="C879" s="4" t="str">
        <f>IFERROR(__xludf.DUMMYFUNCTION("""🏘️ ""&amp;REGEXEXTRACT(B879, ""^(.*): "")&amp;"" ✅ "" &amp;REGEXEXTRACT(B879, ""(Trouvez.*)"")"),"🏘️ Louer appartement Courtemautruy ✅ Trouvez le bien immobilier qui correspond idéalement à vos désirs sur ImmoScout24 - La plateforme de l'immobilier en Suisse.")</f>
        <v>🏘️ Louer appartement Courtemautruy ✅ Trouvez le bien immobilier qui correspond idéalement à vos désirs sur ImmoScout24 - La plateforme de l'immobilier en Suisse.</v>
      </c>
      <c r="D879" s="4" t="str">
        <f>vlookup(A879, Sheet2!D:E, 2, 0)</f>
        <v>variant</v>
      </c>
      <c r="E879" s="4" t="str">
        <f>IFERROR(__xludf.DUMMYFUNCTION("if(H879=""pays"",vlookup(REGEXEXTRACT(C879, ""🏘️ \w+ \w+ (.*) ✅""),'Country prepositions'!A:B, 2, 0) &amp; "" "" &amp; REGEXEXTRACT(C879, ""🏘️ \w+ \w+ (.*) ✅"") ,  if(H879=""quartier"",vlookup(REGEXEXTRACT(C879, ""🏘️ \w+ \w+ (.*) ✅""),'Quartier prepositions'!A"&amp;":E, 5, 0) ,  if(H879=""region"",vlookup(REGEXEXTRACT(C879, ""🏘️ \w+ \w+ (.*) ✅""),'Region prepositions'!B:F, 5, 0),  REGEXEXTRACT(C879, ""🏘️ \w+ \w+ (.*) ✅""))))"),"Courtemautruy")</f>
        <v>Courtemautruy</v>
      </c>
      <c r="F879" s="2" t="str">
        <f>IFERROR(__xludf.DUMMYFUNCTION("REGEXEXTRACT(C879, ""🏘️ (\w+) \w+ .* ✅"")"),"Louer")</f>
        <v>Louer</v>
      </c>
      <c r="G879" s="2" t="str">
        <f>IFERROR(__xludf.DUMMYFUNCTION("REGEXEXTRACT(C879, ""🏘️ \w+ (\w+) .* ✅"")"),"appartement")</f>
        <v>appartement</v>
      </c>
      <c r="H879" s="4" t="str">
        <f>IFERROR(__xludf.DUMMYFUNCTION("REGEXEXTRACT(A879, ""/(\w+)-.*?"")"),"lieu")</f>
        <v>lieu</v>
      </c>
      <c r="I879" s="4" t="str">
        <f>IFERROR(__xludf.DUMMYFUNCTION("if(D879=""variant"",  substitute(filter(Templates!E:E, Templates!A:A = F879, Templates!B:B = G879, Templates!C:C = H879), ""{{}}"", E879), B879)"),"🏘  Vous cherchez un appartement à louer à Courtemautruy? ✅ Les annonces les plus actuelles sont sur ImmoScout24.ch.")</f>
        <v>🏘  Vous cherchez un appartement à louer à Courtemautruy? ✅ Les annonces les plus actuelles sont sur ImmoScout24.ch.</v>
      </c>
      <c r="J879" s="4" t="s">
        <v>2644</v>
      </c>
    </row>
    <row r="880">
      <c r="A880" s="5" t="s">
        <v>2645</v>
      </c>
      <c r="B880" s="2" t="s">
        <v>2646</v>
      </c>
      <c r="C880" s="4" t="str">
        <f>IFERROR(__xludf.DUMMYFUNCTION("""🏘️ ""&amp;REGEXEXTRACT(B880, ""^(.*): "")&amp;"" ✅ "" &amp;REGEXEXTRACT(B880, ""(Trouvez.*)"")"),"🏘️ Louer maison Bavois ✅ Trouvez le bien immobilier qui correspond idéalement à vos désirs sur ImmoScout24 - La plateforme de l'immobilier en Suisse.")</f>
        <v>🏘️ Louer maison Bavois ✅ Trouvez le bien immobilier qui correspond idéalement à vos désirs sur ImmoScout24 - La plateforme de l'immobilier en Suisse.</v>
      </c>
      <c r="D880" s="4" t="str">
        <f>vlookup(A880, Sheet2!D:E, 2, 0)</f>
        <v>variant</v>
      </c>
      <c r="E880" s="4" t="str">
        <f>IFERROR(__xludf.DUMMYFUNCTION("if(H880=""pays"",vlookup(REGEXEXTRACT(C880, ""🏘️ \w+ \w+ (.*) ✅""),'Country prepositions'!A:B, 2, 0) &amp; "" "" &amp; REGEXEXTRACT(C880, ""🏘️ \w+ \w+ (.*) ✅"") ,  if(H880=""quartier"",vlookup(REGEXEXTRACT(C880, ""🏘️ \w+ \w+ (.*) ✅""),'Quartier prepositions'!A"&amp;":E, 5, 0) ,  if(H880=""region"",vlookup(REGEXEXTRACT(C880, ""🏘️ \w+ \w+ (.*) ✅""),'Region prepositions'!B:F, 5, 0),  REGEXEXTRACT(C880, ""🏘️ \w+ \w+ (.*) ✅""))))"),"Bavois")</f>
        <v>Bavois</v>
      </c>
      <c r="F880" s="2" t="str">
        <f>IFERROR(__xludf.DUMMYFUNCTION("REGEXEXTRACT(C880, ""🏘️ (\w+) \w+ .* ✅"")"),"Louer")</f>
        <v>Louer</v>
      </c>
      <c r="G880" s="2" t="str">
        <f>IFERROR(__xludf.DUMMYFUNCTION("REGEXEXTRACT(C880, ""🏘️ \w+ (\w+) .* ✅"")"),"maison")</f>
        <v>maison</v>
      </c>
      <c r="H880" s="4" t="str">
        <f>IFERROR(__xludf.DUMMYFUNCTION("REGEXEXTRACT(A880, ""/(\w+)-.*?"")"),"lieu")</f>
        <v>lieu</v>
      </c>
      <c r="I880" s="4" t="str">
        <f>IFERROR(__xludf.DUMMYFUNCTION("if(D880=""variant"",  substitute(filter(Templates!E:E, Templates!A:A = F880, Templates!B:B = G880, Templates!C:C = H880), ""{{}}"", E880), B880)"),"🏘  Vous cherchez une maison à louer à Bavois? ✅ Découvrez nos nombreuses annonces sur ImmoScout24.ch.")</f>
        <v>🏘  Vous cherchez une maison à louer à Bavois? ✅ Découvrez nos nombreuses annonces sur ImmoScout24.ch.</v>
      </c>
      <c r="J880" s="4" t="s">
        <v>2647</v>
      </c>
    </row>
    <row r="881">
      <c r="A881" s="5" t="s">
        <v>2648</v>
      </c>
      <c r="B881" s="2" t="s">
        <v>2649</v>
      </c>
      <c r="C881" s="4" t="str">
        <f>IFERROR(__xludf.DUMMYFUNCTION("""🏘️ ""&amp;REGEXEXTRACT(B881, ""^(.*): "")&amp;"" ✅ "" &amp;REGEXEXTRACT(B881, ""(Trouvez.*)"")"),"🏘️ Vendre maison Molondin ✅ Trouvez le bien immobilier qui correspond idéalement à vos désirs sur ImmoScout24 - La plateforme de l'immobilier en Suisse.")</f>
        <v>🏘️ Vendre maison Molondin ✅ Trouvez le bien immobilier qui correspond idéalement à vos désirs sur ImmoScout24 - La plateforme de l'immobilier en Suisse.</v>
      </c>
      <c r="D881" s="4" t="str">
        <f>vlookup(A881, Sheet2!D:E, 2, 0)</f>
        <v>variant</v>
      </c>
      <c r="E881" s="4" t="str">
        <f>IFERROR(__xludf.DUMMYFUNCTION("if(H881=""pays"",vlookup(REGEXEXTRACT(C881, ""🏘️ \w+ \w+ (.*) ✅""),'Country prepositions'!A:B, 2, 0) &amp; "" "" &amp; REGEXEXTRACT(C881, ""🏘️ \w+ \w+ (.*) ✅"") ,  if(H881=""quartier"",vlookup(REGEXEXTRACT(C881, ""🏘️ \w+ \w+ (.*) ✅""),'Quartier prepositions'!A"&amp;":E, 5, 0) ,  if(H881=""region"",vlookup(REGEXEXTRACT(C881, ""🏘️ \w+ \w+ (.*) ✅""),'Region prepositions'!B:F, 5, 0),  REGEXEXTRACT(C881, ""🏘️ \w+ \w+ (.*) ✅""))))"),"Molondin")</f>
        <v>Molondin</v>
      </c>
      <c r="F881" s="2" t="str">
        <f>IFERROR(__xludf.DUMMYFUNCTION("REGEXEXTRACT(C881, ""🏘️ (\w+) \w+ .* ✅"")"),"Vendre")</f>
        <v>Vendre</v>
      </c>
      <c r="G881" s="2" t="str">
        <f>IFERROR(__xludf.DUMMYFUNCTION("REGEXEXTRACT(C881, ""🏘️ \w+ (\w+) .* ✅"")"),"maison")</f>
        <v>maison</v>
      </c>
      <c r="H881" s="4" t="str">
        <f>IFERROR(__xludf.DUMMYFUNCTION("REGEXEXTRACT(A881, ""/(\w+)-.*?"")"),"lieu")</f>
        <v>lieu</v>
      </c>
      <c r="I881" s="4" t="str">
        <f>IFERROR(__xludf.DUMMYFUNCTION("if(D881=""variant"",  substitute(filter(Templates!E:E, Templates!A:A = F881, Templates!B:B = G881, Templates!C:C = H881), ""{{}}"", E881), B881)"),"🏘  Vous souhaitez acheter une maison à Molondin? ✅ Jetez un œil aux dernières offres sur ImmoScout24.ch.")</f>
        <v>🏘  Vous souhaitez acheter une maison à Molondin? ✅ Jetez un œil aux dernières offres sur ImmoScout24.ch.</v>
      </c>
      <c r="J881" s="4" t="s">
        <v>2650</v>
      </c>
    </row>
    <row r="882">
      <c r="A882" s="5" t="s">
        <v>2651</v>
      </c>
      <c r="B882" s="2" t="s">
        <v>2652</v>
      </c>
      <c r="C882" s="4" t="str">
        <f>IFERROR(__xludf.DUMMYFUNCTION("""🏘️ ""&amp;REGEXEXTRACT(B882, ""^(.*): "")&amp;"" ✅ "" &amp;REGEXEXTRACT(B882, ""(Trouvez.*)"")"),"🏘️ Vendre appartement Bassersdorf ✅ Trouvez le bien immobilier qui correspond idéalement à vos désirs sur ImmoScout24 - La plateforme de l'immobilier en Suisse.")</f>
        <v>🏘️ Vendre appartement Bassersdorf ✅ Trouvez le bien immobilier qui correspond idéalement à vos désirs sur ImmoScout24 - La plateforme de l'immobilier en Suisse.</v>
      </c>
      <c r="D882" s="4" t="str">
        <f>vlookup(A882, Sheet2!D:E, 2, 0)</f>
        <v>variant</v>
      </c>
      <c r="E882" s="4" t="str">
        <f>IFERROR(__xludf.DUMMYFUNCTION("if(H882=""pays"",vlookup(REGEXEXTRACT(C882, ""🏘️ \w+ \w+ (.*) ✅""),'Country prepositions'!A:B, 2, 0) &amp; "" "" &amp; REGEXEXTRACT(C882, ""🏘️ \w+ \w+ (.*) ✅"") ,  if(H882=""quartier"",vlookup(REGEXEXTRACT(C882, ""🏘️ \w+ \w+ (.*) ✅""),'Quartier prepositions'!A"&amp;":E, 5, 0) ,  if(H882=""region"",vlookup(REGEXEXTRACT(C882, ""🏘️ \w+ \w+ (.*) ✅""),'Region prepositions'!B:F, 5, 0),  REGEXEXTRACT(C882, ""🏘️ \w+ \w+ (.*) ✅""))))"),"Bassersdorf")</f>
        <v>Bassersdorf</v>
      </c>
      <c r="F882" s="2" t="str">
        <f>IFERROR(__xludf.DUMMYFUNCTION("REGEXEXTRACT(C882, ""🏘️ (\w+) \w+ .* ✅"")"),"Vendre")</f>
        <v>Vendre</v>
      </c>
      <c r="G882" s="2" t="str">
        <f>IFERROR(__xludf.DUMMYFUNCTION("REGEXEXTRACT(C882, ""🏘️ \w+ (\w+) .* ✅"")"),"appartement")</f>
        <v>appartement</v>
      </c>
      <c r="H882" s="4" t="str">
        <f>IFERROR(__xludf.DUMMYFUNCTION("REGEXEXTRACT(A882, ""/(\w+)-.*?"")"),"lieu")</f>
        <v>lieu</v>
      </c>
      <c r="I882" s="4" t="str">
        <f>IFERROR(__xludf.DUMMYFUNCTION("if(D882=""variant"",  substitute(filter(Templates!E:E, Templates!A:A = F882, Templates!B:B = G882, Templates!C:C = H882), ""{{}}"", E882), B882)"),"🏘  L’appartement de vos rêves se trouve sur ImmoScout24.ch ✅ Découvrez les dernières annonces de vente à Bassersdorf.")</f>
        <v>🏘  L’appartement de vos rêves se trouve sur ImmoScout24.ch ✅ Découvrez les dernières annonces de vente à Bassersdorf.</v>
      </c>
      <c r="J882" s="4" t="s">
        <v>2653</v>
      </c>
    </row>
    <row r="883">
      <c r="A883" s="5" t="s">
        <v>2654</v>
      </c>
      <c r="B883" s="2" t="s">
        <v>2655</v>
      </c>
      <c r="C883" s="4" t="str">
        <f>IFERROR(__xludf.DUMMYFUNCTION("""🏘️ ""&amp;REGEXEXTRACT(B883, ""^(.*): "")&amp;"" ✅ "" &amp;REGEXEXTRACT(B883, ""(Trouvez.*)"")"),"🏘️ Vendre maison Le Pont ✅ Trouvez le bien immobilier qui correspond idéalement à vos désirs sur ImmoScout24 - La plateforme de l'immobilier en Suisse.")</f>
        <v>🏘️ Vendre maison Le Pont ✅ Trouvez le bien immobilier qui correspond idéalement à vos désirs sur ImmoScout24 - La plateforme de l'immobilier en Suisse.</v>
      </c>
      <c r="D883" s="4" t="str">
        <f>vlookup(A883, Sheet2!D:E, 2, 0)</f>
        <v>variant</v>
      </c>
      <c r="E883" s="4" t="str">
        <f>IFERROR(__xludf.DUMMYFUNCTION("if(H883=""pays"",vlookup(REGEXEXTRACT(C883, ""🏘️ \w+ \w+ (.*) ✅""),'Country prepositions'!A:B, 2, 0) &amp; "" "" &amp; REGEXEXTRACT(C883, ""🏘️ \w+ \w+ (.*) ✅"") ,  if(H883=""quartier"",vlookup(REGEXEXTRACT(C883, ""🏘️ \w+ \w+ (.*) ✅""),'Quartier prepositions'!A"&amp;":E, 5, 0) ,  if(H883=""region"",vlookup(REGEXEXTRACT(C883, ""🏘️ \w+ \w+ (.*) ✅""),'Region prepositions'!B:F, 5, 0),  REGEXEXTRACT(C883, ""🏘️ \w+ \w+ (.*) ✅""))))"),"Le Pont")</f>
        <v>Le Pont</v>
      </c>
      <c r="F883" s="2" t="str">
        <f>IFERROR(__xludf.DUMMYFUNCTION("REGEXEXTRACT(C883, ""🏘️ (\w+) \w+ .* ✅"")"),"Vendre")</f>
        <v>Vendre</v>
      </c>
      <c r="G883" s="2" t="str">
        <f>IFERROR(__xludf.DUMMYFUNCTION("REGEXEXTRACT(C883, ""🏘️ \w+ (\w+) .* ✅"")"),"maison")</f>
        <v>maison</v>
      </c>
      <c r="H883" s="4" t="str">
        <f>IFERROR(__xludf.DUMMYFUNCTION("REGEXEXTRACT(A883, ""/(\w+)-.*?"")"),"lieu")</f>
        <v>lieu</v>
      </c>
      <c r="I883" s="4" t="str">
        <f>IFERROR(__xludf.DUMMYFUNCTION("if(D883=""variant"",  substitute(filter(Templates!E:E, Templates!A:A = F883, Templates!B:B = G883, Templates!C:C = H883), ""{{}}"", E883), B883)"),"🏘  Vous souhaitez acheter une maison à Le Pont? ✅ Jetez un œil aux dernières offres sur ImmoScout24.ch.")</f>
        <v>🏘  Vous souhaitez acheter une maison à Le Pont? ✅ Jetez un œil aux dernières offres sur ImmoScout24.ch.</v>
      </c>
      <c r="J883" s="2" t="s">
        <v>2656</v>
      </c>
    </row>
    <row r="884">
      <c r="A884" s="5" t="s">
        <v>2657</v>
      </c>
      <c r="B884" s="2" t="s">
        <v>2658</v>
      </c>
      <c r="C884" s="4" t="str">
        <f>IFERROR(__xludf.DUMMYFUNCTION("""🏘️ ""&amp;REGEXEXTRACT(B884, ""^(.*): "")&amp;"" ✅ "" &amp;REGEXEXTRACT(B884, ""(Trouvez.*)"")"),"🏘️ Vendre maison Florissant - Malagnou (Genève) ✅ Trouvez le bien immobilier qui correspond idéalement à vos désirs sur ImmoScout24 - La plateforme de l'immobilier en Suisse.")</f>
        <v>🏘️ Vendre maison Florissant - Malagnou (Genève) ✅ Trouvez le bien immobilier qui correspond idéalement à vos désirs sur ImmoScout24 - La plateforme de l'immobilier en Suisse.</v>
      </c>
      <c r="D884" s="4" t="str">
        <f>vlookup(A884, Sheet2!D:E, 2, 0)</f>
        <v>variant</v>
      </c>
      <c r="E884" s="4" t="str">
        <f>IFERROR(__xludf.DUMMYFUNCTION("if(H884=""pays"",vlookup(REGEXEXTRACT(C884, ""🏘️ \w+ \w+ (.*) ✅""),'Country prepositions'!A:B, 2, 0) &amp; "" "" &amp; REGEXEXTRACT(C884, ""🏘️ \w+ \w+ (.*) ✅"") ,  if(H884=""quartier"",vlookup(REGEXEXTRACT(C884, ""🏘️ \w+ \w+ (.*) ✅""),'Quartier prepositions'!A"&amp;":E, 5, 0) ,  if(H884=""region"",vlookup(REGEXEXTRACT(C884, ""🏘️ \w+ \w+ (.*) ✅""),'Region prepositions'!B:F, 5, 0),  REGEXEXTRACT(C884, ""🏘️ \w+ \w+ (.*) ✅""))))"),"dans le quartier de Florissant - Malagnou (Genève)")</f>
        <v>dans le quartier de Florissant - Malagnou (Genève)</v>
      </c>
      <c r="F884" s="2" t="str">
        <f>IFERROR(__xludf.DUMMYFUNCTION("REGEXEXTRACT(C884, ""🏘️ (\w+) \w+ .* ✅"")"),"Vendre")</f>
        <v>Vendre</v>
      </c>
      <c r="G884" s="2" t="str">
        <f>IFERROR(__xludf.DUMMYFUNCTION("REGEXEXTRACT(C884, ""🏘️ \w+ (\w+) .* ✅"")"),"maison")</f>
        <v>maison</v>
      </c>
      <c r="H884" s="4" t="str">
        <f>IFERROR(__xludf.DUMMYFUNCTION("REGEXEXTRACT(A884, ""/(\w+)-.*?"")"),"quartier")</f>
        <v>quartier</v>
      </c>
      <c r="I884" s="4" t="str">
        <f>IFERROR(__xludf.DUMMYFUNCTION("if(D884=""variant"",  substitute(filter(Templates!E:E, Templates!A:A = F884, Templates!B:B = G884, Templates!C:C = H884), ""{{}}"", E884), B884)"),"🏘  Vous souhaitez acheter une maison dans le quartier de Florissant - Malagnou (Genève)? ✅ Jetez un œil aux dernières offres sur ImmoScout24.ch.")</f>
        <v>🏘  Vous souhaitez acheter une maison dans le quartier de Florissant - Malagnou (Genève)? ✅ Jetez un œil aux dernières offres sur ImmoScout24.ch.</v>
      </c>
      <c r="J884" s="4" t="s">
        <v>2659</v>
      </c>
    </row>
    <row r="885">
      <c r="A885" s="5" t="s">
        <v>2660</v>
      </c>
      <c r="B885" s="2" t="s">
        <v>2661</v>
      </c>
      <c r="C885" s="4" t="str">
        <f>IFERROR(__xludf.DUMMYFUNCTION("""🏘️ ""&amp;REGEXEXTRACT(B885, ""^(.*): "")&amp;"" ✅ "" &amp;REGEXEXTRACT(B885, ""(Trouvez.*)"")"),"🏘️ Louer maison Prêles ✅ Trouvez le bien immobilier qui correspond idéalement à vos désirs sur ImmoScout24 - La plateforme de l'immobilier en Suisse.")</f>
        <v>🏘️ Louer maison Prêles ✅ Trouvez le bien immobilier qui correspond idéalement à vos désirs sur ImmoScout24 - La plateforme de l'immobilier en Suisse.</v>
      </c>
      <c r="D885" s="4" t="str">
        <f>vlookup(A885, Sheet2!D:E, 2, 0)</f>
        <v>variant</v>
      </c>
      <c r="E885" s="4" t="str">
        <f>IFERROR(__xludf.DUMMYFUNCTION("if(H885=""pays"",vlookup(REGEXEXTRACT(C885, ""🏘️ \w+ \w+ (.*) ✅""),'Country prepositions'!A:B, 2, 0) &amp; "" "" &amp; REGEXEXTRACT(C885, ""🏘️ \w+ \w+ (.*) ✅"") ,  if(H885=""quartier"",vlookup(REGEXEXTRACT(C885, ""🏘️ \w+ \w+ (.*) ✅""),'Quartier prepositions'!A"&amp;":E, 5, 0) ,  if(H885=""region"",vlookup(REGEXEXTRACT(C885, ""🏘️ \w+ \w+ (.*) ✅""),'Region prepositions'!B:F, 5, 0),  REGEXEXTRACT(C885, ""🏘️ \w+ \w+ (.*) ✅""))))"),"Prêles")</f>
        <v>Prêles</v>
      </c>
      <c r="F885" s="2" t="str">
        <f>IFERROR(__xludf.DUMMYFUNCTION("REGEXEXTRACT(C885, ""🏘️ (\w+) \w+ .* ✅"")"),"Louer")</f>
        <v>Louer</v>
      </c>
      <c r="G885" s="2" t="str">
        <f>IFERROR(__xludf.DUMMYFUNCTION("REGEXEXTRACT(C885, ""🏘️ \w+ (\w+) .* ✅"")"),"maison")</f>
        <v>maison</v>
      </c>
      <c r="H885" s="4" t="str">
        <f>IFERROR(__xludf.DUMMYFUNCTION("REGEXEXTRACT(A885, ""/(\w+)-.*?"")"),"lieu")</f>
        <v>lieu</v>
      </c>
      <c r="I885" s="4" t="str">
        <f>IFERROR(__xludf.DUMMYFUNCTION("if(D885=""variant"",  substitute(filter(Templates!E:E, Templates!A:A = F885, Templates!B:B = G885, Templates!C:C = H885), ""{{}}"", E885), B885)"),"🏘  Vous cherchez une maison à louer à Prêles? ✅ Découvrez nos nombreuses annonces sur ImmoScout24.ch.")</f>
        <v>🏘  Vous cherchez une maison à louer à Prêles? ✅ Découvrez nos nombreuses annonces sur ImmoScout24.ch.</v>
      </c>
      <c r="J885" s="4" t="s">
        <v>2662</v>
      </c>
    </row>
    <row r="886">
      <c r="A886" s="5" t="s">
        <v>2663</v>
      </c>
      <c r="B886" s="2" t="s">
        <v>2664</v>
      </c>
      <c r="C886" s="4" t="str">
        <f>IFERROR(__xludf.DUMMYFUNCTION("""🏘️ ""&amp;REGEXEXTRACT(B886, ""^(.*): "")&amp;"" ✅ "" &amp;REGEXEXTRACT(B886, ""(Trouvez.*)"")"),"🏘️ Vendre maison Obergerlafingen ✅ Trouvez le bien immobilier qui correspond idéalement à vos désirs sur ImmoScout24 - La plateforme de l'immobilier en Suisse.")</f>
        <v>🏘️ Vendre maison Obergerlafingen ✅ Trouvez le bien immobilier qui correspond idéalement à vos désirs sur ImmoScout24 - La plateforme de l'immobilier en Suisse.</v>
      </c>
      <c r="D886" s="4" t="str">
        <f>vlookup(A886, Sheet2!D:E, 2, 0)</f>
        <v>variant</v>
      </c>
      <c r="E886" s="4" t="str">
        <f>IFERROR(__xludf.DUMMYFUNCTION("if(H886=""pays"",vlookup(REGEXEXTRACT(C886, ""🏘️ \w+ \w+ (.*) ✅""),'Country prepositions'!A:B, 2, 0) &amp; "" "" &amp; REGEXEXTRACT(C886, ""🏘️ \w+ \w+ (.*) ✅"") ,  if(H886=""quartier"",vlookup(REGEXEXTRACT(C886, ""🏘️ \w+ \w+ (.*) ✅""),'Quartier prepositions'!A"&amp;":E, 5, 0) ,  if(H886=""region"",vlookup(REGEXEXTRACT(C886, ""🏘️ \w+ \w+ (.*) ✅""),'Region prepositions'!B:F, 5, 0),  REGEXEXTRACT(C886, ""🏘️ \w+ \w+ (.*) ✅""))))"),"Obergerlafingen")</f>
        <v>Obergerlafingen</v>
      </c>
      <c r="F886" s="2" t="str">
        <f>IFERROR(__xludf.DUMMYFUNCTION("REGEXEXTRACT(C886, ""🏘️ (\w+) \w+ .* ✅"")"),"Vendre")</f>
        <v>Vendre</v>
      </c>
      <c r="G886" s="2" t="str">
        <f>IFERROR(__xludf.DUMMYFUNCTION("REGEXEXTRACT(C886, ""🏘️ \w+ (\w+) .* ✅"")"),"maison")</f>
        <v>maison</v>
      </c>
      <c r="H886" s="4" t="str">
        <f>IFERROR(__xludf.DUMMYFUNCTION("REGEXEXTRACT(A886, ""/(\w+)-.*?"")"),"lieu")</f>
        <v>lieu</v>
      </c>
      <c r="I886" s="4" t="str">
        <f>IFERROR(__xludf.DUMMYFUNCTION("if(D886=""variant"",  substitute(filter(Templates!E:E, Templates!A:A = F886, Templates!B:B = G886, Templates!C:C = H886), ""{{}}"", E886), B886)"),"🏘  Vous souhaitez acheter une maison à Obergerlafingen? ✅ Jetez un œil aux dernières offres sur ImmoScout24.ch.")</f>
        <v>🏘  Vous souhaitez acheter une maison à Obergerlafingen? ✅ Jetez un œil aux dernières offres sur ImmoScout24.ch.</v>
      </c>
      <c r="J886" s="4" t="s">
        <v>2665</v>
      </c>
    </row>
    <row r="887">
      <c r="A887" s="5" t="s">
        <v>2666</v>
      </c>
      <c r="B887" s="2" t="s">
        <v>2667</v>
      </c>
      <c r="C887" s="4" t="str">
        <f>IFERROR(__xludf.DUMMYFUNCTION("""🏘️ ""&amp;REGEXEXTRACT(B887, ""^(.*): "")&amp;"" ✅ "" &amp;REGEXEXTRACT(B887, ""(Trouvez.*)"")"),"🏘️ Louer appartement Canton du Jura ✅ Trouvez le bien immobilier qui correspond idéalement à vos désirs sur ImmoScout24 - La plateforme de l'immobilier en Suisse.")</f>
        <v>🏘️ Louer appartement Canton du Jura ✅ Trouvez le bien immobilier qui correspond idéalement à vos désirs sur ImmoScout24 - La plateforme de l'immobilier en Suisse.</v>
      </c>
      <c r="D887" s="4" t="str">
        <f>vlookup(A887, Sheet2!D:E, 2, 0)</f>
        <v>variant</v>
      </c>
      <c r="E887" s="4" t="str">
        <f>IFERROR(__xludf.DUMMYFUNCTION("if(H887=""pays"",vlookup(REGEXEXTRACT(C887, ""🏘️ \w+ \w+ (.*) ✅""),'Country prepositions'!A:B, 2, 0) &amp; "" "" &amp; REGEXEXTRACT(C887, ""🏘️ \w+ \w+ (.*) ✅"") ,  if(H887=""quartier"",vlookup(REGEXEXTRACT(C887, ""🏘️ \w+ \w+ (.*) ✅""),'Quartier prepositions'!A"&amp;":E, 5, 0) ,  if(H887=""region"",vlookup(REGEXEXTRACT(C887, ""🏘️ \w+ \w+ (.*) ✅""),'Region prepositions'!B:F, 5, 0),  REGEXEXTRACT(C887, ""🏘️ \w+ \w+ (.*) ✅""))))"),"Canton du Jura")</f>
        <v>Canton du Jura</v>
      </c>
      <c r="F887" s="2" t="str">
        <f>IFERROR(__xludf.DUMMYFUNCTION("REGEXEXTRACT(C887, ""🏘️ (\w+) \w+ .* ✅"")"),"Louer")</f>
        <v>Louer</v>
      </c>
      <c r="G887" s="2" t="str">
        <f>IFERROR(__xludf.DUMMYFUNCTION("REGEXEXTRACT(C887, ""🏘️ \w+ (\w+) .* ✅"")"),"appartement")</f>
        <v>appartement</v>
      </c>
      <c r="H887" s="4" t="str">
        <f>IFERROR(__xludf.DUMMYFUNCTION("REGEXEXTRACT(A887, ""/(\w+)-.*?"")"),"canton")</f>
        <v>canton</v>
      </c>
      <c r="I887" s="4" t="str">
        <f>IFERROR(__xludf.DUMMYFUNCTION("if(D887=""variant"",  substitute(filter(Templates!E:E, Templates!A:A = F887, Templates!B:B = G887, Templates!C:C = H887), ""{{}}"", E887), B887)"),"🏘  Vous cherchez un appartement à louer dans le Canton du Jura? ✅ Les annonces les plus actuelles sont sur ImmoScout24.ch.")</f>
        <v>🏘  Vous cherchez un appartement à louer dans le Canton du Jura? ✅ Les annonces les plus actuelles sont sur ImmoScout24.ch.</v>
      </c>
      <c r="J887" s="4" t="s">
        <v>2668</v>
      </c>
    </row>
    <row r="888">
      <c r="A888" s="5" t="s">
        <v>2669</v>
      </c>
      <c r="B888" s="2" t="s">
        <v>2670</v>
      </c>
      <c r="C888" s="4" t="str">
        <f>IFERROR(__xludf.DUMMYFUNCTION("""🏘️ ""&amp;REGEXEXTRACT(B888, ""^(.*): "")&amp;"" ✅ "" &amp;REGEXEXTRACT(B888, ""(Trouvez.*)"")"),"🏘️ Louer appartement Glattfelden ✅ Trouvez le bien immobilier qui correspond idéalement à vos désirs sur ImmoScout24 - La plateforme de l'immobilier en Suisse.")</f>
        <v>🏘️ Louer appartement Glattfelden ✅ Trouvez le bien immobilier qui correspond idéalement à vos désirs sur ImmoScout24 - La plateforme de l'immobilier en Suisse.</v>
      </c>
      <c r="D888" s="4" t="str">
        <f>vlookup(A888, Sheet2!D:E, 2, 0)</f>
        <v>variant</v>
      </c>
      <c r="E888" s="4" t="str">
        <f>IFERROR(__xludf.DUMMYFUNCTION("if(H888=""pays"",vlookup(REGEXEXTRACT(C888, ""🏘️ \w+ \w+ (.*) ✅""),'Country prepositions'!A:B, 2, 0) &amp; "" "" &amp; REGEXEXTRACT(C888, ""🏘️ \w+ \w+ (.*) ✅"") ,  if(H888=""quartier"",vlookup(REGEXEXTRACT(C888, ""🏘️ \w+ \w+ (.*) ✅""),'Quartier prepositions'!A"&amp;":E, 5, 0) ,  if(H888=""region"",vlookup(REGEXEXTRACT(C888, ""🏘️ \w+ \w+ (.*) ✅""),'Region prepositions'!B:F, 5, 0),  REGEXEXTRACT(C888, ""🏘️ \w+ \w+ (.*) ✅""))))"),"Glattfelden")</f>
        <v>Glattfelden</v>
      </c>
      <c r="F888" s="2" t="str">
        <f>IFERROR(__xludf.DUMMYFUNCTION("REGEXEXTRACT(C888, ""🏘️ (\w+) \w+ .* ✅"")"),"Louer")</f>
        <v>Louer</v>
      </c>
      <c r="G888" s="2" t="str">
        <f>IFERROR(__xludf.DUMMYFUNCTION("REGEXEXTRACT(C888, ""🏘️ \w+ (\w+) .* ✅"")"),"appartement")</f>
        <v>appartement</v>
      </c>
      <c r="H888" s="4" t="str">
        <f>IFERROR(__xludf.DUMMYFUNCTION("REGEXEXTRACT(A888, ""/(\w+)-.*?"")"),"lieu")</f>
        <v>lieu</v>
      </c>
      <c r="I888" s="4" t="str">
        <f>IFERROR(__xludf.DUMMYFUNCTION("if(D888=""variant"",  substitute(filter(Templates!E:E, Templates!A:A = F888, Templates!B:B = G888, Templates!C:C = H888), ""{{}}"", E888), B888)"),"🏘  Vous cherchez un appartement à louer à Glattfelden? ✅ Les annonces les plus actuelles sont sur ImmoScout24.ch.")</f>
        <v>🏘  Vous cherchez un appartement à louer à Glattfelden? ✅ Les annonces les plus actuelles sont sur ImmoScout24.ch.</v>
      </c>
      <c r="J888" s="4" t="s">
        <v>2671</v>
      </c>
    </row>
    <row r="889">
      <c r="A889" s="5" t="s">
        <v>2672</v>
      </c>
      <c r="B889" s="2" t="s">
        <v>2673</v>
      </c>
      <c r="C889" s="4" t="str">
        <f>IFERROR(__xludf.DUMMYFUNCTION("""🏘️ ""&amp;REGEXEXTRACT(B889, ""^(.*): "")&amp;"" ✅ "" &amp;REGEXEXTRACT(B889, ""(Trouvez.*)"")"),"🏘️ Louer appartement Corcelles-près-Payerne ✅ Trouvez le bien immobilier qui correspond idéalement à vos désirs sur ImmoScout24 - La plateforme de l'immobilier en Suisse.")</f>
        <v>🏘️ Louer appartement Corcelles-près-Payerne ✅ Trouvez le bien immobilier qui correspond idéalement à vos désirs sur ImmoScout24 - La plateforme de l'immobilier en Suisse.</v>
      </c>
      <c r="D889" s="4" t="str">
        <f>vlookup(A889, Sheet2!D:E, 2, 0)</f>
        <v>variant</v>
      </c>
      <c r="E889" s="4" t="str">
        <f>IFERROR(__xludf.DUMMYFUNCTION("if(H889=""pays"",vlookup(REGEXEXTRACT(C889, ""🏘️ \w+ \w+ (.*) ✅""),'Country prepositions'!A:B, 2, 0) &amp; "" "" &amp; REGEXEXTRACT(C889, ""🏘️ \w+ \w+ (.*) ✅"") ,  if(H889=""quartier"",vlookup(REGEXEXTRACT(C889, ""🏘️ \w+ \w+ (.*) ✅""),'Quartier prepositions'!A"&amp;":E, 5, 0) ,  if(H889=""region"",vlookup(REGEXEXTRACT(C889, ""🏘️ \w+ \w+ (.*) ✅""),'Region prepositions'!B:F, 5, 0),  REGEXEXTRACT(C889, ""🏘️ \w+ \w+ (.*) ✅""))))"),"Corcelles-près-Payerne")</f>
        <v>Corcelles-près-Payerne</v>
      </c>
      <c r="F889" s="2" t="str">
        <f>IFERROR(__xludf.DUMMYFUNCTION("REGEXEXTRACT(C889, ""🏘️ (\w+) \w+ .* ✅"")"),"Louer")</f>
        <v>Louer</v>
      </c>
      <c r="G889" s="2" t="str">
        <f>IFERROR(__xludf.DUMMYFUNCTION("REGEXEXTRACT(C889, ""🏘️ \w+ (\w+) .* ✅"")"),"appartement")</f>
        <v>appartement</v>
      </c>
      <c r="H889" s="4" t="str">
        <f>IFERROR(__xludf.DUMMYFUNCTION("REGEXEXTRACT(A889, ""/(\w+)-.*?"")"),"lieu")</f>
        <v>lieu</v>
      </c>
      <c r="I889" s="4" t="str">
        <f>IFERROR(__xludf.DUMMYFUNCTION("if(D889=""variant"",  substitute(filter(Templates!E:E, Templates!A:A = F889, Templates!B:B = G889, Templates!C:C = H889), ""{{}}"", E889), B889)"),"🏘  Vous cherchez un appartement à louer à Corcelles-près-Payerne? ✅ Les annonces les plus actuelles sont sur ImmoScout24.ch.")</f>
        <v>🏘  Vous cherchez un appartement à louer à Corcelles-près-Payerne? ✅ Les annonces les plus actuelles sont sur ImmoScout24.ch.</v>
      </c>
      <c r="J889" s="4" t="s">
        <v>2674</v>
      </c>
    </row>
    <row r="890">
      <c r="A890" s="5" t="s">
        <v>2675</v>
      </c>
      <c r="B890" s="2" t="s">
        <v>2676</v>
      </c>
      <c r="C890" s="4" t="str">
        <f>IFERROR(__xludf.DUMMYFUNCTION("""🏘️ ""&amp;REGEXEXTRACT(B890, ""^(.*): "")&amp;"" ✅ "" &amp;REGEXEXTRACT(B890, ""(Trouvez.*)"")"),"🏘️ Louer maison Leytron ✅ Trouvez le bien immobilier qui correspond idéalement à vos désirs sur ImmoScout24 - La plateforme de l'immobilier en Suisse.")</f>
        <v>🏘️ Louer maison Leytron ✅ Trouvez le bien immobilier qui correspond idéalement à vos désirs sur ImmoScout24 - La plateforme de l'immobilier en Suisse.</v>
      </c>
      <c r="D890" s="4" t="str">
        <f>vlookup(A890, Sheet2!D:E, 2, 0)</f>
        <v>variant</v>
      </c>
      <c r="E890" s="4" t="str">
        <f>IFERROR(__xludf.DUMMYFUNCTION("if(H890=""pays"",vlookup(REGEXEXTRACT(C890, ""🏘️ \w+ \w+ (.*) ✅""),'Country prepositions'!A:B, 2, 0) &amp; "" "" &amp; REGEXEXTRACT(C890, ""🏘️ \w+ \w+ (.*) ✅"") ,  if(H890=""quartier"",vlookup(REGEXEXTRACT(C890, ""🏘️ \w+ \w+ (.*) ✅""),'Quartier prepositions'!A"&amp;":E, 5, 0) ,  if(H890=""region"",vlookup(REGEXEXTRACT(C890, ""🏘️ \w+ \w+ (.*) ✅""),'Region prepositions'!B:F, 5, 0),  REGEXEXTRACT(C890, ""🏘️ \w+ \w+ (.*) ✅""))))"),"Leytron")</f>
        <v>Leytron</v>
      </c>
      <c r="F890" s="2" t="str">
        <f>IFERROR(__xludf.DUMMYFUNCTION("REGEXEXTRACT(C890, ""🏘️ (\w+) \w+ .* ✅"")"),"Louer")</f>
        <v>Louer</v>
      </c>
      <c r="G890" s="2" t="str">
        <f>IFERROR(__xludf.DUMMYFUNCTION("REGEXEXTRACT(C890, ""🏘️ \w+ (\w+) .* ✅"")"),"maison")</f>
        <v>maison</v>
      </c>
      <c r="H890" s="4" t="str">
        <f>IFERROR(__xludf.DUMMYFUNCTION("REGEXEXTRACT(A890, ""/(\w+)-.*?"")"),"lieu")</f>
        <v>lieu</v>
      </c>
      <c r="I890" s="4" t="str">
        <f>IFERROR(__xludf.DUMMYFUNCTION("if(D890=""variant"",  substitute(filter(Templates!E:E, Templates!A:A = F890, Templates!B:B = G890, Templates!C:C = H890), ""{{}}"", E890), B890)"),"🏘  Vous cherchez une maison à louer à Leytron? ✅ Découvrez nos nombreuses annonces sur ImmoScout24.ch.")</f>
        <v>🏘  Vous cherchez une maison à louer à Leytron? ✅ Découvrez nos nombreuses annonces sur ImmoScout24.ch.</v>
      </c>
      <c r="J890" s="2" t="s">
        <v>2677</v>
      </c>
    </row>
    <row r="891">
      <c r="A891" s="5" t="s">
        <v>2678</v>
      </c>
      <c r="B891" s="2" t="s">
        <v>2679</v>
      </c>
      <c r="C891" s="4" t="str">
        <f>IFERROR(__xludf.DUMMYFUNCTION("""🏘️ ""&amp;REGEXEXTRACT(B891, ""^(.*): "")&amp;"" ✅ "" &amp;REGEXEXTRACT(B891, ""(Trouvez.*)"")"),"🏘️ Louer appartement Venthône ✅ Trouvez le bien immobilier qui correspond idéalement à vos désirs sur ImmoScout24 - La plateforme de l'immobilier en Suisse.")</f>
        <v>🏘️ Louer appartement Venthône ✅ Trouvez le bien immobilier qui correspond idéalement à vos désirs sur ImmoScout24 - La plateforme de l'immobilier en Suisse.</v>
      </c>
      <c r="D891" s="4" t="str">
        <f>vlookup(A891, Sheet2!D:E, 2, 0)</f>
        <v>variant</v>
      </c>
      <c r="E891" s="4" t="str">
        <f>IFERROR(__xludf.DUMMYFUNCTION("if(H891=""pays"",vlookup(REGEXEXTRACT(C891, ""🏘️ \w+ \w+ (.*) ✅""),'Country prepositions'!A:B, 2, 0) &amp; "" "" &amp; REGEXEXTRACT(C891, ""🏘️ \w+ \w+ (.*) ✅"") ,  if(H891=""quartier"",vlookup(REGEXEXTRACT(C891, ""🏘️ \w+ \w+ (.*) ✅""),'Quartier prepositions'!A"&amp;":E, 5, 0) ,  if(H891=""region"",vlookup(REGEXEXTRACT(C891, ""🏘️ \w+ \w+ (.*) ✅""),'Region prepositions'!B:F, 5, 0),  REGEXEXTRACT(C891, ""🏘️ \w+ \w+ (.*) ✅""))))"),"Venthône")</f>
        <v>Venthône</v>
      </c>
      <c r="F891" s="2" t="str">
        <f>IFERROR(__xludf.DUMMYFUNCTION("REGEXEXTRACT(C891, ""🏘️ (\w+) \w+ .* ✅"")"),"Louer")</f>
        <v>Louer</v>
      </c>
      <c r="G891" s="2" t="str">
        <f>IFERROR(__xludf.DUMMYFUNCTION("REGEXEXTRACT(C891, ""🏘️ \w+ (\w+) .* ✅"")"),"appartement")</f>
        <v>appartement</v>
      </c>
      <c r="H891" s="4" t="str">
        <f>IFERROR(__xludf.DUMMYFUNCTION("REGEXEXTRACT(A891, ""/(\w+)-.*?"")"),"lieu")</f>
        <v>lieu</v>
      </c>
      <c r="I891" s="4" t="str">
        <f>IFERROR(__xludf.DUMMYFUNCTION("if(D891=""variant"",  substitute(filter(Templates!E:E, Templates!A:A = F891, Templates!B:B = G891, Templates!C:C = H891), ""{{}}"", E891), B891)"),"🏘  Vous cherchez un appartement à louer à Venthône? ✅ Les annonces les plus actuelles sont sur ImmoScout24.ch.")</f>
        <v>🏘  Vous cherchez un appartement à louer à Venthône? ✅ Les annonces les plus actuelles sont sur ImmoScout24.ch.</v>
      </c>
      <c r="J891" s="4" t="s">
        <v>2680</v>
      </c>
    </row>
    <row r="892">
      <c r="A892" s="5" t="s">
        <v>2681</v>
      </c>
      <c r="B892" s="2" t="s">
        <v>2682</v>
      </c>
      <c r="C892" s="4" t="str">
        <f>IFERROR(__xludf.DUMMYFUNCTION("""🏘️ ""&amp;REGEXEXTRACT(B892, ""^(.*): "")&amp;"" ✅ "" &amp;REGEXEXTRACT(B892, ""(Trouvez.*)"")"),"🏘️ Vendre appartement St. Stephan ✅ Trouvez le bien immobilier qui correspond idéalement à vos désirs sur ImmoScout24 - La plateforme de l'immobilier en Suisse.")</f>
        <v>🏘️ Vendre appartement St. Stephan ✅ Trouvez le bien immobilier qui correspond idéalement à vos désirs sur ImmoScout24 - La plateforme de l'immobilier en Suisse.</v>
      </c>
      <c r="D892" s="4" t="str">
        <f>vlookup(A892, Sheet2!D:E, 2, 0)</f>
        <v>variant</v>
      </c>
      <c r="E892" s="4" t="str">
        <f>IFERROR(__xludf.DUMMYFUNCTION("if(H892=""pays"",vlookup(REGEXEXTRACT(C892, ""🏘️ \w+ \w+ (.*) ✅""),'Country prepositions'!A:B, 2, 0) &amp; "" "" &amp; REGEXEXTRACT(C892, ""🏘️ \w+ \w+ (.*) ✅"") ,  if(H892=""quartier"",vlookup(REGEXEXTRACT(C892, ""🏘️ \w+ \w+ (.*) ✅""),'Quartier prepositions'!A"&amp;":E, 5, 0) ,  if(H892=""region"",vlookup(REGEXEXTRACT(C892, ""🏘️ \w+ \w+ (.*) ✅""),'Region prepositions'!B:F, 5, 0),  REGEXEXTRACT(C892, ""🏘️ \w+ \w+ (.*) ✅""))))"),"St. Stephan")</f>
        <v>St. Stephan</v>
      </c>
      <c r="F892" s="2" t="str">
        <f>IFERROR(__xludf.DUMMYFUNCTION("REGEXEXTRACT(C892, ""🏘️ (\w+) \w+ .* ✅"")"),"Vendre")</f>
        <v>Vendre</v>
      </c>
      <c r="G892" s="2" t="str">
        <f>IFERROR(__xludf.DUMMYFUNCTION("REGEXEXTRACT(C892, ""🏘️ \w+ (\w+) .* ✅"")"),"appartement")</f>
        <v>appartement</v>
      </c>
      <c r="H892" s="4" t="str">
        <f>IFERROR(__xludf.DUMMYFUNCTION("REGEXEXTRACT(A892, ""/(\w+)-.*?"")"),"lieu")</f>
        <v>lieu</v>
      </c>
      <c r="I892" s="4" t="str">
        <f>IFERROR(__xludf.DUMMYFUNCTION("if(D892=""variant"",  substitute(filter(Templates!E:E, Templates!A:A = F892, Templates!B:B = G892, Templates!C:C = H892), ""{{}}"", E892), B892)"),"🏘  L’appartement de vos rêves se trouve sur ImmoScout24.ch ✅ Découvrez les dernières annonces de vente à St. Stephan.")</f>
        <v>🏘  L’appartement de vos rêves se trouve sur ImmoScout24.ch ✅ Découvrez les dernières annonces de vente à St. Stephan.</v>
      </c>
      <c r="J892" s="4" t="s">
        <v>2683</v>
      </c>
    </row>
    <row r="893">
      <c r="A893" s="5" t="s">
        <v>2684</v>
      </c>
      <c r="B893" s="2" t="s">
        <v>2685</v>
      </c>
      <c r="C893" s="4" t="str">
        <f>IFERROR(__xludf.DUMMYFUNCTION("""🏘️ ""&amp;REGEXEXTRACT(B893, ""^(.*): "")&amp;"" ✅ "" &amp;REGEXEXTRACT(B893, ""(Trouvez.*)"")"),"🏘️ Louer appartement Renan BE ✅ Trouvez le bien immobilier qui correspond idéalement à vos désirs sur ImmoScout24 - La plateforme de l'immobilier en Suisse.")</f>
        <v>🏘️ Louer appartement Renan BE ✅ Trouvez le bien immobilier qui correspond idéalement à vos désirs sur ImmoScout24 - La plateforme de l'immobilier en Suisse.</v>
      </c>
      <c r="D893" s="4" t="str">
        <f>vlookup(A893, Sheet2!D:E, 2, 0)</f>
        <v>variant</v>
      </c>
      <c r="E893" s="4" t="str">
        <f>IFERROR(__xludf.DUMMYFUNCTION("if(H893=""pays"",vlookup(REGEXEXTRACT(C893, ""🏘️ \w+ \w+ (.*) ✅""),'Country prepositions'!A:B, 2, 0) &amp; "" "" &amp; REGEXEXTRACT(C893, ""🏘️ \w+ \w+ (.*) ✅"") ,  if(H893=""quartier"",vlookup(REGEXEXTRACT(C893, ""🏘️ \w+ \w+ (.*) ✅""),'Quartier prepositions'!A"&amp;":E, 5, 0) ,  if(H893=""region"",vlookup(REGEXEXTRACT(C893, ""🏘️ \w+ \w+ (.*) ✅""),'Region prepositions'!B:F, 5, 0),  REGEXEXTRACT(C893, ""🏘️ \w+ \w+ (.*) ✅""))))"),"Renan BE")</f>
        <v>Renan BE</v>
      </c>
      <c r="F893" s="2" t="str">
        <f>IFERROR(__xludf.DUMMYFUNCTION("REGEXEXTRACT(C893, ""🏘️ (\w+) \w+ .* ✅"")"),"Louer")</f>
        <v>Louer</v>
      </c>
      <c r="G893" s="2" t="str">
        <f>IFERROR(__xludf.DUMMYFUNCTION("REGEXEXTRACT(C893, ""🏘️ \w+ (\w+) .* ✅"")"),"appartement")</f>
        <v>appartement</v>
      </c>
      <c r="H893" s="4" t="str">
        <f>IFERROR(__xludf.DUMMYFUNCTION("REGEXEXTRACT(A893, ""/(\w+)-.*?"")"),"lieu")</f>
        <v>lieu</v>
      </c>
      <c r="I893" s="4" t="str">
        <f>IFERROR(__xludf.DUMMYFUNCTION("if(D893=""variant"",  substitute(filter(Templates!E:E, Templates!A:A = F893, Templates!B:B = G893, Templates!C:C = H893), ""{{}}"", E893), B893)"),"🏘  Vous cherchez un appartement à louer à Renan BE? ✅ Les annonces les plus actuelles sont sur ImmoScout24.ch.")</f>
        <v>🏘  Vous cherchez un appartement à louer à Renan BE? ✅ Les annonces les plus actuelles sont sur ImmoScout24.ch.</v>
      </c>
      <c r="J893" s="4" t="s">
        <v>2686</v>
      </c>
    </row>
    <row r="894">
      <c r="A894" s="5" t="s">
        <v>2687</v>
      </c>
      <c r="B894" s="2" t="s">
        <v>2688</v>
      </c>
      <c r="C894" s="4" t="str">
        <f>IFERROR(__xludf.DUMMYFUNCTION("""🏘️ ""&amp;REGEXEXTRACT(B894, ""^(.*): "")&amp;"" ✅ "" &amp;REGEXEXTRACT(B894, ""(Trouvez.*)"")"),"🏘️ Vendre maison Plaffeien ✅ Trouvez le bien immobilier qui correspond idéalement à vos désirs sur ImmoScout24 - La plateforme de l'immobilier en Suisse.")</f>
        <v>🏘️ Vendre maison Plaffeien ✅ Trouvez le bien immobilier qui correspond idéalement à vos désirs sur ImmoScout24 - La plateforme de l'immobilier en Suisse.</v>
      </c>
      <c r="D894" s="4" t="str">
        <f>vlookup(A894, Sheet2!D:E, 2, 0)</f>
        <v>variant</v>
      </c>
      <c r="E894" s="4" t="str">
        <f>IFERROR(__xludf.DUMMYFUNCTION("if(H894=""pays"",vlookup(REGEXEXTRACT(C894, ""🏘️ \w+ \w+ (.*) ✅""),'Country prepositions'!A:B, 2, 0) &amp; "" "" &amp; REGEXEXTRACT(C894, ""🏘️ \w+ \w+ (.*) ✅"") ,  if(H894=""quartier"",vlookup(REGEXEXTRACT(C894, ""🏘️ \w+ \w+ (.*) ✅""),'Quartier prepositions'!A"&amp;":E, 5, 0) ,  if(H894=""region"",vlookup(REGEXEXTRACT(C894, ""🏘️ \w+ \w+ (.*) ✅""),'Region prepositions'!B:F, 5, 0),  REGEXEXTRACT(C894, ""🏘️ \w+ \w+ (.*) ✅""))))"),"Plaffeien")</f>
        <v>Plaffeien</v>
      </c>
      <c r="F894" s="2" t="str">
        <f>IFERROR(__xludf.DUMMYFUNCTION("REGEXEXTRACT(C894, ""🏘️ (\w+) \w+ .* ✅"")"),"Vendre")</f>
        <v>Vendre</v>
      </c>
      <c r="G894" s="2" t="str">
        <f>IFERROR(__xludf.DUMMYFUNCTION("REGEXEXTRACT(C894, ""🏘️ \w+ (\w+) .* ✅"")"),"maison")</f>
        <v>maison</v>
      </c>
      <c r="H894" s="4" t="str">
        <f>IFERROR(__xludf.DUMMYFUNCTION("REGEXEXTRACT(A894, ""/(\w+)-.*?"")"),"lieu")</f>
        <v>lieu</v>
      </c>
      <c r="I894" s="4" t="str">
        <f>IFERROR(__xludf.DUMMYFUNCTION("if(D894=""variant"",  substitute(filter(Templates!E:E, Templates!A:A = F894, Templates!B:B = G894, Templates!C:C = H894), ""{{}}"", E894), B894)"),"🏘  Vous souhaitez acheter une maison à Plaffeien? ✅ Jetez un œil aux dernières offres sur ImmoScout24.ch.")</f>
        <v>🏘  Vous souhaitez acheter une maison à Plaffeien? ✅ Jetez un œil aux dernières offres sur ImmoScout24.ch.</v>
      </c>
      <c r="J894" s="4" t="s">
        <v>2689</v>
      </c>
    </row>
    <row r="895">
      <c r="A895" s="5" t="s">
        <v>2690</v>
      </c>
      <c r="B895" s="2" t="s">
        <v>2691</v>
      </c>
      <c r="C895" s="4" t="str">
        <f>IFERROR(__xludf.DUMMYFUNCTION("""🏘️ ""&amp;REGEXEXTRACT(B895, ""^(.*): "")&amp;"" ✅ "" &amp;REGEXEXTRACT(B895, ""(Trouvez.*)"")"),"🏘️ Louer appartement Liddes ✅ Trouvez le bien immobilier qui correspond idéalement à vos désirs sur ImmoScout24 - La plateforme de l'immobilier en Suisse.")</f>
        <v>🏘️ Louer appartement Liddes ✅ Trouvez le bien immobilier qui correspond idéalement à vos désirs sur ImmoScout24 - La plateforme de l'immobilier en Suisse.</v>
      </c>
      <c r="D895" s="4" t="str">
        <f>vlookup(A895, Sheet2!D:E, 2, 0)</f>
        <v>variant</v>
      </c>
      <c r="E895" s="4" t="str">
        <f>IFERROR(__xludf.DUMMYFUNCTION("if(H895=""pays"",vlookup(REGEXEXTRACT(C895, ""🏘️ \w+ \w+ (.*) ✅""),'Country prepositions'!A:B, 2, 0) &amp; "" "" &amp; REGEXEXTRACT(C895, ""🏘️ \w+ \w+ (.*) ✅"") ,  if(H895=""quartier"",vlookup(REGEXEXTRACT(C895, ""🏘️ \w+ \w+ (.*) ✅""),'Quartier prepositions'!A"&amp;":E, 5, 0) ,  if(H895=""region"",vlookup(REGEXEXTRACT(C895, ""🏘️ \w+ \w+ (.*) ✅""),'Region prepositions'!B:F, 5, 0),  REGEXEXTRACT(C895, ""🏘️ \w+ \w+ (.*) ✅""))))"),"Liddes")</f>
        <v>Liddes</v>
      </c>
      <c r="F895" s="2" t="str">
        <f>IFERROR(__xludf.DUMMYFUNCTION("REGEXEXTRACT(C895, ""🏘️ (\w+) \w+ .* ✅"")"),"Louer")</f>
        <v>Louer</v>
      </c>
      <c r="G895" s="2" t="str">
        <f>IFERROR(__xludf.DUMMYFUNCTION("REGEXEXTRACT(C895, ""🏘️ \w+ (\w+) .* ✅"")"),"appartement")</f>
        <v>appartement</v>
      </c>
      <c r="H895" s="4" t="str">
        <f>IFERROR(__xludf.DUMMYFUNCTION("REGEXEXTRACT(A895, ""/(\w+)-.*?"")"),"lieu")</f>
        <v>lieu</v>
      </c>
      <c r="I895" s="4" t="str">
        <f>IFERROR(__xludf.DUMMYFUNCTION("if(D895=""variant"",  substitute(filter(Templates!E:E, Templates!A:A = F895, Templates!B:B = G895, Templates!C:C = H895), ""{{}}"", E895), B895)"),"🏘  Vous cherchez un appartement à louer à Liddes? ✅ Les annonces les plus actuelles sont sur ImmoScout24.ch.")</f>
        <v>🏘  Vous cherchez un appartement à louer à Liddes? ✅ Les annonces les plus actuelles sont sur ImmoScout24.ch.</v>
      </c>
      <c r="J895" s="4" t="s">
        <v>2692</v>
      </c>
    </row>
    <row r="896">
      <c r="A896" s="5" t="s">
        <v>2693</v>
      </c>
      <c r="B896" s="2" t="s">
        <v>2694</v>
      </c>
      <c r="C896" s="4" t="str">
        <f>IFERROR(__xludf.DUMMYFUNCTION("""🏘️ ""&amp;REGEXEXTRACT(B896, ""^(.*): "")&amp;"" ✅ "" &amp;REGEXEXTRACT(B896, ""(Trouvez.*)"")"),"🏘️ Vendre maison Villars-Bozon ✅ Trouvez le bien immobilier qui correspond idéalement à vos désirs sur ImmoScout24 - La plateforme de l'immobilier en Suisse.")</f>
        <v>🏘️ Vendre maison Villars-Bozon ✅ Trouvez le bien immobilier qui correspond idéalement à vos désirs sur ImmoScout24 - La plateforme de l'immobilier en Suisse.</v>
      </c>
      <c r="D896" s="4" t="str">
        <f>vlookup(A896, Sheet2!D:E, 2, 0)</f>
        <v>variant</v>
      </c>
      <c r="E896" s="4" t="str">
        <f>IFERROR(__xludf.DUMMYFUNCTION("if(H896=""pays"",vlookup(REGEXEXTRACT(C896, ""🏘️ \w+ \w+ (.*) ✅""),'Country prepositions'!A:B, 2, 0) &amp; "" "" &amp; REGEXEXTRACT(C896, ""🏘️ \w+ \w+ (.*) ✅"") ,  if(H896=""quartier"",vlookup(REGEXEXTRACT(C896, ""🏘️ \w+ \w+ (.*) ✅""),'Quartier prepositions'!A"&amp;":E, 5, 0) ,  if(H896=""region"",vlookup(REGEXEXTRACT(C896, ""🏘️ \w+ \w+ (.*) ✅""),'Region prepositions'!B:F, 5, 0),  REGEXEXTRACT(C896, ""🏘️ \w+ \w+ (.*) ✅""))))"),"Villars-Bozon")</f>
        <v>Villars-Bozon</v>
      </c>
      <c r="F896" s="2" t="str">
        <f>IFERROR(__xludf.DUMMYFUNCTION("REGEXEXTRACT(C896, ""🏘️ (\w+) \w+ .* ✅"")"),"Vendre")</f>
        <v>Vendre</v>
      </c>
      <c r="G896" s="2" t="str">
        <f>IFERROR(__xludf.DUMMYFUNCTION("REGEXEXTRACT(C896, ""🏘️ \w+ (\w+) .* ✅"")"),"maison")</f>
        <v>maison</v>
      </c>
      <c r="H896" s="4" t="str">
        <f>IFERROR(__xludf.DUMMYFUNCTION("REGEXEXTRACT(A896, ""/(\w+)-.*?"")"),"lieu")</f>
        <v>lieu</v>
      </c>
      <c r="I896" s="4" t="str">
        <f>IFERROR(__xludf.DUMMYFUNCTION("if(D896=""variant"",  substitute(filter(Templates!E:E, Templates!A:A = F896, Templates!B:B = G896, Templates!C:C = H896), ""{{}}"", E896), B896)"),"🏘  Vous souhaitez acheter une maison à Villars-Bozon? ✅ Jetez un œil aux dernières offres sur ImmoScout24.ch.")</f>
        <v>🏘  Vous souhaitez acheter une maison à Villars-Bozon? ✅ Jetez un œil aux dernières offres sur ImmoScout24.ch.</v>
      </c>
      <c r="J896" s="4" t="s">
        <v>2695</v>
      </c>
    </row>
    <row r="897">
      <c r="A897" s="5" t="s">
        <v>2696</v>
      </c>
      <c r="B897" s="2" t="s">
        <v>2697</v>
      </c>
      <c r="C897" s="4" t="str">
        <f>IFERROR(__xludf.DUMMYFUNCTION("""🏘️ ""&amp;REGEXEXTRACT(B897, ""^(.*): "")&amp;"" ✅ "" &amp;REGEXEXTRACT(B897, ""(Trouvez.*)"")"),"🏘️ Vendre maison Epiquerez ✅ Trouvez le bien immobilier qui correspond idéalement à vos désirs sur ImmoScout24 - La plateforme de l'immobilier en Suisse.")</f>
        <v>🏘️ Vendre maison Epiquerez ✅ Trouvez le bien immobilier qui correspond idéalement à vos désirs sur ImmoScout24 - La plateforme de l'immobilier en Suisse.</v>
      </c>
      <c r="D897" s="4" t="str">
        <f>vlookup(A897, Sheet2!D:E, 2, 0)</f>
        <v>variant</v>
      </c>
      <c r="E897" s="4" t="str">
        <f>IFERROR(__xludf.DUMMYFUNCTION("if(H897=""pays"",vlookup(REGEXEXTRACT(C897, ""🏘️ \w+ \w+ (.*) ✅""),'Country prepositions'!A:B, 2, 0) &amp; "" "" &amp; REGEXEXTRACT(C897, ""🏘️ \w+ \w+ (.*) ✅"") ,  if(H897=""quartier"",vlookup(REGEXEXTRACT(C897, ""🏘️ \w+ \w+ (.*) ✅""),'Quartier prepositions'!A"&amp;":E, 5, 0) ,  if(H897=""region"",vlookup(REGEXEXTRACT(C897, ""🏘️ \w+ \w+ (.*) ✅""),'Region prepositions'!B:F, 5, 0),  REGEXEXTRACT(C897, ""🏘️ \w+ \w+ (.*) ✅""))))"),"Epiquerez")</f>
        <v>Epiquerez</v>
      </c>
      <c r="F897" s="2" t="str">
        <f>IFERROR(__xludf.DUMMYFUNCTION("REGEXEXTRACT(C897, ""🏘️ (\w+) \w+ .* ✅"")"),"Vendre")</f>
        <v>Vendre</v>
      </c>
      <c r="G897" s="2" t="str">
        <f>IFERROR(__xludf.DUMMYFUNCTION("REGEXEXTRACT(C897, ""🏘️ \w+ (\w+) .* ✅"")"),"maison")</f>
        <v>maison</v>
      </c>
      <c r="H897" s="4" t="str">
        <f>IFERROR(__xludf.DUMMYFUNCTION("REGEXEXTRACT(A897, ""/(\w+)-.*?"")"),"lieu")</f>
        <v>lieu</v>
      </c>
      <c r="I897" s="4" t="str">
        <f>IFERROR(__xludf.DUMMYFUNCTION("if(D897=""variant"",  substitute(filter(Templates!E:E, Templates!A:A = F897, Templates!B:B = G897, Templates!C:C = H897), ""{{}}"", E897), B897)"),"🏘  Vous souhaitez acheter une maison à Epiquerez? ✅ Jetez un œil aux dernières offres sur ImmoScout24.ch.")</f>
        <v>🏘  Vous souhaitez acheter une maison à Epiquerez? ✅ Jetez un œil aux dernières offres sur ImmoScout24.ch.</v>
      </c>
      <c r="J897" s="4" t="s">
        <v>2698</v>
      </c>
    </row>
    <row r="898">
      <c r="A898" s="5" t="s">
        <v>2699</v>
      </c>
      <c r="B898" s="2" t="s">
        <v>2700</v>
      </c>
      <c r="C898" s="4" t="str">
        <f>IFERROR(__xludf.DUMMYFUNCTION("""🏘️ ""&amp;REGEXEXTRACT(B898, ""^(.*): "")&amp;"" ✅ "" &amp;REGEXEXTRACT(B898, ""(Trouvez.*)"")"),"🏘️ Vendre appartement Fully ✅ Trouvez le bien immobilier qui correspond idéalement à vos désirs sur ImmoScout24 - La plateforme de l'immobilier en Suisse.")</f>
        <v>🏘️ Vendre appartement Fully ✅ Trouvez le bien immobilier qui correspond idéalement à vos désirs sur ImmoScout24 - La plateforme de l'immobilier en Suisse.</v>
      </c>
      <c r="D898" s="4" t="str">
        <f>vlookup(A898, Sheet2!D:E, 2, 0)</f>
        <v>variant</v>
      </c>
      <c r="E898" s="4" t="str">
        <f>IFERROR(__xludf.DUMMYFUNCTION("if(H898=""pays"",vlookup(REGEXEXTRACT(C898, ""🏘️ \w+ \w+ (.*) ✅""),'Country prepositions'!A:B, 2, 0) &amp; "" "" &amp; REGEXEXTRACT(C898, ""🏘️ \w+ \w+ (.*) ✅"") ,  if(H898=""quartier"",vlookup(REGEXEXTRACT(C898, ""🏘️ \w+ \w+ (.*) ✅""),'Quartier prepositions'!A"&amp;":E, 5, 0) ,  if(H898=""region"",vlookup(REGEXEXTRACT(C898, ""🏘️ \w+ \w+ (.*) ✅""),'Region prepositions'!B:F, 5, 0),  REGEXEXTRACT(C898, ""🏘️ \w+ \w+ (.*) ✅""))))"),"Fully")</f>
        <v>Fully</v>
      </c>
      <c r="F898" s="2" t="str">
        <f>IFERROR(__xludf.DUMMYFUNCTION("REGEXEXTRACT(C898, ""🏘️ (\w+) \w+ .* ✅"")"),"Vendre")</f>
        <v>Vendre</v>
      </c>
      <c r="G898" s="2" t="str">
        <f>IFERROR(__xludf.DUMMYFUNCTION("REGEXEXTRACT(C898, ""🏘️ \w+ (\w+) .* ✅"")"),"appartement")</f>
        <v>appartement</v>
      </c>
      <c r="H898" s="4" t="str">
        <f>IFERROR(__xludf.DUMMYFUNCTION("REGEXEXTRACT(A898, ""/(\w+)-.*?"")"),"lieu")</f>
        <v>lieu</v>
      </c>
      <c r="I898" s="4" t="str">
        <f>IFERROR(__xludf.DUMMYFUNCTION("if(D898=""variant"",  substitute(filter(Templates!E:E, Templates!A:A = F898, Templates!B:B = G898, Templates!C:C = H898), ""{{}}"", E898), B898)"),"🏘  L’appartement de vos rêves se trouve sur ImmoScout24.ch ✅ Découvrez les dernières annonces de vente à Fully.")</f>
        <v>🏘  L’appartement de vos rêves se trouve sur ImmoScout24.ch ✅ Découvrez les dernières annonces de vente à Fully.</v>
      </c>
      <c r="J898" s="4" t="s">
        <v>2701</v>
      </c>
    </row>
    <row r="899">
      <c r="A899" s="5" t="s">
        <v>2702</v>
      </c>
      <c r="B899" s="2" t="s">
        <v>2703</v>
      </c>
      <c r="C899" s="4" t="str">
        <f>IFERROR(__xludf.DUMMYFUNCTION("""🏘️ ""&amp;REGEXEXTRACT(B899, ""^(.*): "")&amp;"" ✅ "" &amp;REGEXEXTRACT(B899, ""(Trouvez.*)"")"),"🏘️ Louer appartement Vellerat ✅ Trouvez le bien immobilier qui correspond idéalement à vos désirs sur ImmoScout24 - La plateforme de l'immobilier en Suisse.")</f>
        <v>🏘️ Louer appartement Vellerat ✅ Trouvez le bien immobilier qui correspond idéalement à vos désirs sur ImmoScout24 - La plateforme de l'immobilier en Suisse.</v>
      </c>
      <c r="D899" s="4" t="str">
        <f>vlookup(A899, Sheet2!D:E, 2, 0)</f>
        <v>variant</v>
      </c>
      <c r="E899" s="4" t="str">
        <f>IFERROR(__xludf.DUMMYFUNCTION("if(H899=""pays"",vlookup(REGEXEXTRACT(C899, ""🏘️ \w+ \w+ (.*) ✅""),'Country prepositions'!A:B, 2, 0) &amp; "" "" &amp; REGEXEXTRACT(C899, ""🏘️ \w+ \w+ (.*) ✅"") ,  if(H899=""quartier"",vlookup(REGEXEXTRACT(C899, ""🏘️ \w+ \w+ (.*) ✅""),'Quartier prepositions'!A"&amp;":E, 5, 0) ,  if(H899=""region"",vlookup(REGEXEXTRACT(C899, ""🏘️ \w+ \w+ (.*) ✅""),'Region prepositions'!B:F, 5, 0),  REGEXEXTRACT(C899, ""🏘️ \w+ \w+ (.*) ✅""))))"),"Vellerat")</f>
        <v>Vellerat</v>
      </c>
      <c r="F899" s="2" t="str">
        <f>IFERROR(__xludf.DUMMYFUNCTION("REGEXEXTRACT(C899, ""🏘️ (\w+) \w+ .* ✅"")"),"Louer")</f>
        <v>Louer</v>
      </c>
      <c r="G899" s="2" t="str">
        <f>IFERROR(__xludf.DUMMYFUNCTION("REGEXEXTRACT(C899, ""🏘️ \w+ (\w+) .* ✅"")"),"appartement")</f>
        <v>appartement</v>
      </c>
      <c r="H899" s="4" t="str">
        <f>IFERROR(__xludf.DUMMYFUNCTION("REGEXEXTRACT(A899, ""/(\w+)-.*?"")"),"lieu")</f>
        <v>lieu</v>
      </c>
      <c r="I899" s="4" t="str">
        <f>IFERROR(__xludf.DUMMYFUNCTION("if(D899=""variant"",  substitute(filter(Templates!E:E, Templates!A:A = F899, Templates!B:B = G899, Templates!C:C = H899), ""{{}}"", E899), B899)"),"🏘  Vous cherchez un appartement à louer à Vellerat? ✅ Les annonces les plus actuelles sont sur ImmoScout24.ch.")</f>
        <v>🏘  Vous cherchez un appartement à louer à Vellerat? ✅ Les annonces les plus actuelles sont sur ImmoScout24.ch.</v>
      </c>
      <c r="J899" s="4" t="s">
        <v>2704</v>
      </c>
    </row>
    <row r="900">
      <c r="A900" s="5" t="s">
        <v>2705</v>
      </c>
      <c r="B900" s="2" t="s">
        <v>2706</v>
      </c>
      <c r="C900" s="4" t="str">
        <f>IFERROR(__xludf.DUMMYFUNCTION("""🏘️ ""&amp;REGEXEXTRACT(B900, ""^(.*): "")&amp;"" ✅ "" &amp;REGEXEXTRACT(B900, ""(Trouvez.*)"")"),"🏘️ Vendre appartement Tunisie ✅ Trouvez le bien immobilier qui correspond idéalement à vos désirs sur ImmoScout24 - La plateforme de l'immobilier en Suisse.")</f>
        <v>🏘️ Vendre appartement Tunisie ✅ Trouvez le bien immobilier qui correspond idéalement à vos désirs sur ImmoScout24 - La plateforme de l'immobilier en Suisse.</v>
      </c>
      <c r="D900" s="4" t="str">
        <f>vlookup(A900, Sheet2!D:E, 2, 0)</f>
        <v>variant</v>
      </c>
      <c r="E900" s="4" t="str">
        <f>IFERROR(__xludf.DUMMYFUNCTION("if(H900=""pays"",vlookup(REGEXEXTRACT(C900, ""🏘️ \w+ \w+ (.*) ✅""),'Country prepositions'!A:B, 2, 0) &amp; "" "" &amp; REGEXEXTRACT(C900, ""🏘️ \w+ \w+ (.*) ✅"") ,  if(H900=""quartier"",vlookup(REGEXEXTRACT(C900, ""🏘️ \w+ \w+ (.*) ✅""),'Quartier prepositions'!A"&amp;":E, 5, 0) ,  if(H900=""region"",vlookup(REGEXEXTRACT(C900, ""🏘️ \w+ \w+ (.*) ✅""),'Region prepositions'!B:F, 5, 0),  REGEXEXTRACT(C900, ""🏘️ \w+ \w+ (.*) ✅""))))"),"en Tunisie")</f>
        <v>en Tunisie</v>
      </c>
      <c r="F900" s="2" t="str">
        <f>IFERROR(__xludf.DUMMYFUNCTION("REGEXEXTRACT(C900, ""🏘️ (\w+) \w+ .* ✅"")"),"Vendre")</f>
        <v>Vendre</v>
      </c>
      <c r="G900" s="2" t="str">
        <f>IFERROR(__xludf.DUMMYFUNCTION("REGEXEXTRACT(C900, ""🏘️ \w+ (\w+) .* ✅"")"),"appartement")</f>
        <v>appartement</v>
      </c>
      <c r="H900" s="4" t="str">
        <f>IFERROR(__xludf.DUMMYFUNCTION("REGEXEXTRACT(A900, ""/(\w+)-.*?"")"),"pays")</f>
        <v>pays</v>
      </c>
      <c r="I900" s="4" t="str">
        <f>IFERROR(__xludf.DUMMYFUNCTION("if(D900=""variant"",  substitute(filter(Templates!E:E, Templates!A:A = F900, Templates!B:B = G900, Templates!C:C = H900), ""{{}}"", E900), B900)"),"🏘  Vous cherchez un appartement à louer en Tunisie? ✅ Les annonces les plus actuelles sont sur ImmoScout24.ch.")</f>
        <v>🏘  Vous cherchez un appartement à louer en Tunisie? ✅ Les annonces les plus actuelles sont sur ImmoScout24.ch.</v>
      </c>
      <c r="J900" s="4" t="s">
        <v>2707</v>
      </c>
    </row>
    <row r="901">
      <c r="A901" s="5" t="s">
        <v>2708</v>
      </c>
      <c r="B901" s="2" t="s">
        <v>2709</v>
      </c>
      <c r="C901" s="4" t="str">
        <f>IFERROR(__xludf.DUMMYFUNCTION("""🏘️ ""&amp;REGEXEXTRACT(B901, ""^(.*): "")&amp;"" ✅ "" &amp;REGEXEXTRACT(B901, ""(Trouvez.*)"")"),"🏘️ Vendre appartement Vaduz ✅ Trouvez le bien immobilier qui correspond idéalement à vos désirs sur ImmoScout24 - La plateforme de l'immobilier en Suisse.")</f>
        <v>🏘️ Vendre appartement Vaduz ✅ Trouvez le bien immobilier qui correspond idéalement à vos désirs sur ImmoScout24 - La plateforme de l'immobilier en Suisse.</v>
      </c>
      <c r="D901" s="4" t="str">
        <f>vlookup(A901, Sheet2!D:E, 2, 0)</f>
        <v>variant</v>
      </c>
      <c r="E901" s="4" t="str">
        <f>IFERROR(__xludf.DUMMYFUNCTION("if(H901=""pays"",vlookup(REGEXEXTRACT(C901, ""🏘️ \w+ \w+ (.*) ✅""),'Country prepositions'!A:B, 2, 0) &amp; "" "" &amp; REGEXEXTRACT(C901, ""🏘️ \w+ \w+ (.*) ✅"") ,  if(H901=""quartier"",vlookup(REGEXEXTRACT(C901, ""🏘️ \w+ \w+ (.*) ✅""),'Quartier prepositions'!A"&amp;":E, 5, 0) ,  if(H901=""region"",vlookup(REGEXEXTRACT(C901, ""🏘️ \w+ \w+ (.*) ✅""),'Region prepositions'!B:F, 5, 0),  REGEXEXTRACT(C901, ""🏘️ \w+ \w+ (.*) ✅""))))"),"Vaduz")</f>
        <v>Vaduz</v>
      </c>
      <c r="F901" s="2" t="str">
        <f>IFERROR(__xludf.DUMMYFUNCTION("REGEXEXTRACT(C901, ""🏘️ (\w+) \w+ .* ✅"")"),"Vendre")</f>
        <v>Vendre</v>
      </c>
      <c r="G901" s="2" t="str">
        <f>IFERROR(__xludf.DUMMYFUNCTION("REGEXEXTRACT(C901, ""🏘️ \w+ (\w+) .* ✅"")"),"appartement")</f>
        <v>appartement</v>
      </c>
      <c r="H901" s="4" t="str">
        <f>IFERROR(__xludf.DUMMYFUNCTION("REGEXEXTRACT(A901, ""/(\w+)-.*?"")"),"lieu")</f>
        <v>lieu</v>
      </c>
      <c r="I901" s="4" t="str">
        <f>IFERROR(__xludf.DUMMYFUNCTION("if(D901=""variant"",  substitute(filter(Templates!E:E, Templates!A:A = F901, Templates!B:B = G901, Templates!C:C = H901), ""{{}}"", E901), B901)"),"🏘  L’appartement de vos rêves se trouve sur ImmoScout24.ch ✅ Découvrez les dernières annonces de vente à Vaduz.")</f>
        <v>🏘  L’appartement de vos rêves se trouve sur ImmoScout24.ch ✅ Découvrez les dernières annonces de vente à Vaduz.</v>
      </c>
      <c r="J901" s="4" t="s">
        <v>2710</v>
      </c>
    </row>
    <row r="902">
      <c r="A902" s="5" t="s">
        <v>2711</v>
      </c>
      <c r="B902" s="2" t="s">
        <v>2712</v>
      </c>
      <c r="C902" s="4" t="str">
        <f>IFERROR(__xludf.DUMMYFUNCTION("""🏘️ ""&amp;REGEXEXTRACT(B902, ""^(.*): "")&amp;"" ✅ "" &amp;REGEXEXTRACT(B902, ""(Trouvez.*)"")"),"🏘️ Louer maison Oberried FR ✅ Trouvez le bien immobilier qui correspond idéalement à vos désirs sur ImmoScout24 - La plateforme de l'immobilier en Suisse.")</f>
        <v>🏘️ Louer maison Oberried FR ✅ Trouvez le bien immobilier qui correspond idéalement à vos désirs sur ImmoScout24 - La plateforme de l'immobilier en Suisse.</v>
      </c>
      <c r="D902" s="4" t="str">
        <f>vlookup(A902, Sheet2!D:E, 2, 0)</f>
        <v>variant</v>
      </c>
      <c r="E902" s="4" t="str">
        <f>IFERROR(__xludf.DUMMYFUNCTION("if(H902=""pays"",vlookup(REGEXEXTRACT(C902, ""🏘️ \w+ \w+ (.*) ✅""),'Country prepositions'!A:B, 2, 0) &amp; "" "" &amp; REGEXEXTRACT(C902, ""🏘️ \w+ \w+ (.*) ✅"") ,  if(H902=""quartier"",vlookup(REGEXEXTRACT(C902, ""🏘️ \w+ \w+ (.*) ✅""),'Quartier prepositions'!A"&amp;":E, 5, 0) ,  if(H902=""region"",vlookup(REGEXEXTRACT(C902, ""🏘️ \w+ \w+ (.*) ✅""),'Region prepositions'!B:F, 5, 0),  REGEXEXTRACT(C902, ""🏘️ \w+ \w+ (.*) ✅""))))"),"Oberried FR")</f>
        <v>Oberried FR</v>
      </c>
      <c r="F902" s="2" t="str">
        <f>IFERROR(__xludf.DUMMYFUNCTION("REGEXEXTRACT(C902, ""🏘️ (\w+) \w+ .* ✅"")"),"Louer")</f>
        <v>Louer</v>
      </c>
      <c r="G902" s="2" t="str">
        <f>IFERROR(__xludf.DUMMYFUNCTION("REGEXEXTRACT(C902, ""🏘️ \w+ (\w+) .* ✅"")"),"maison")</f>
        <v>maison</v>
      </c>
      <c r="H902" s="4" t="str">
        <f>IFERROR(__xludf.DUMMYFUNCTION("REGEXEXTRACT(A902, ""/(\w+)-.*?"")"),"lieu")</f>
        <v>lieu</v>
      </c>
      <c r="I902" s="4" t="str">
        <f>IFERROR(__xludf.DUMMYFUNCTION("if(D902=""variant"",  substitute(filter(Templates!E:E, Templates!A:A = F902, Templates!B:B = G902, Templates!C:C = H902), ""{{}}"", E902), B902)"),"🏘  Vous cherchez une maison à louer à Oberried FR? ✅ Découvrez nos nombreuses annonces sur ImmoScout24.ch.")</f>
        <v>🏘  Vous cherchez une maison à louer à Oberried FR? ✅ Découvrez nos nombreuses annonces sur ImmoScout24.ch.</v>
      </c>
      <c r="J902" s="4" t="s">
        <v>2713</v>
      </c>
    </row>
    <row r="903">
      <c r="A903" s="5" t="s">
        <v>2714</v>
      </c>
      <c r="B903" s="2" t="s">
        <v>2715</v>
      </c>
      <c r="C903" s="4" t="str">
        <f>IFERROR(__xludf.DUMMYFUNCTION("""🏘️ ""&amp;REGEXEXTRACT(B903, ""^(.*): "")&amp;"" ✅ "" &amp;REGEXEXTRACT(B903, ""(Trouvez.*)"")"),"🏘️ Vendre appartement Altdorf UR ✅ Trouvez le bien immobilier qui correspond idéalement à vos désirs sur ImmoScout24 - La plateforme de l'immobilier en Suisse.")</f>
        <v>🏘️ Vendre appartement Altdorf UR ✅ Trouvez le bien immobilier qui correspond idéalement à vos désirs sur ImmoScout24 - La plateforme de l'immobilier en Suisse.</v>
      </c>
      <c r="D903" s="4" t="str">
        <f>vlookup(A903, Sheet2!D:E, 2, 0)</f>
        <v>variant</v>
      </c>
      <c r="E903" s="4" t="str">
        <f>IFERROR(__xludf.DUMMYFUNCTION("if(H903=""pays"",vlookup(REGEXEXTRACT(C903, ""🏘️ \w+ \w+ (.*) ✅""),'Country prepositions'!A:B, 2, 0) &amp; "" "" &amp; REGEXEXTRACT(C903, ""🏘️ \w+ \w+ (.*) ✅"") ,  if(H903=""quartier"",vlookup(REGEXEXTRACT(C903, ""🏘️ \w+ \w+ (.*) ✅""),'Quartier prepositions'!A"&amp;":E, 5, 0) ,  if(H903=""region"",vlookup(REGEXEXTRACT(C903, ""🏘️ \w+ \w+ (.*) ✅""),'Region prepositions'!B:F, 5, 0),  REGEXEXTRACT(C903, ""🏘️ \w+ \w+ (.*) ✅""))))"),"Altdorf UR")</f>
        <v>Altdorf UR</v>
      </c>
      <c r="F903" s="2" t="str">
        <f>IFERROR(__xludf.DUMMYFUNCTION("REGEXEXTRACT(C903, ""🏘️ (\w+) \w+ .* ✅"")"),"Vendre")</f>
        <v>Vendre</v>
      </c>
      <c r="G903" s="2" t="str">
        <f>IFERROR(__xludf.DUMMYFUNCTION("REGEXEXTRACT(C903, ""🏘️ \w+ (\w+) .* ✅"")"),"appartement")</f>
        <v>appartement</v>
      </c>
      <c r="H903" s="4" t="str">
        <f>IFERROR(__xludf.DUMMYFUNCTION("REGEXEXTRACT(A903, ""/(\w+)-.*?"")"),"lieu")</f>
        <v>lieu</v>
      </c>
      <c r="I903" s="4" t="str">
        <f>IFERROR(__xludf.DUMMYFUNCTION("if(D903=""variant"",  substitute(filter(Templates!E:E, Templates!A:A = F903, Templates!B:B = G903, Templates!C:C = H903), ""{{}}"", E903), B903)"),"🏘  L’appartement de vos rêves se trouve sur ImmoScout24.ch ✅ Découvrez les dernières annonces de vente à Altdorf UR.")</f>
        <v>🏘  L’appartement de vos rêves se trouve sur ImmoScout24.ch ✅ Découvrez les dernières annonces de vente à Altdorf UR.</v>
      </c>
      <c r="J903" s="4" t="s">
        <v>2716</v>
      </c>
    </row>
    <row r="904">
      <c r="A904" s="5" t="s">
        <v>2717</v>
      </c>
      <c r="B904" s="2" t="s">
        <v>2718</v>
      </c>
      <c r="C904" s="4" t="str">
        <f>IFERROR(__xludf.DUMMYFUNCTION("""🏘️ ""&amp;REGEXEXTRACT(B904, ""^(.*): "")&amp;"" ✅ "" &amp;REGEXEXTRACT(B904, ""(Trouvez.*)"")"),"🏘️ Louer appartement Vernamiège ✅ Trouvez le bien immobilier qui correspond idéalement à vos désirs sur ImmoScout24 - La plateforme de l'immobilier en Suisse.")</f>
        <v>🏘️ Louer appartement Vernamiège ✅ Trouvez le bien immobilier qui correspond idéalement à vos désirs sur ImmoScout24 - La plateforme de l'immobilier en Suisse.</v>
      </c>
      <c r="D904" s="4" t="str">
        <f>vlookup(A904, Sheet2!D:E, 2, 0)</f>
        <v>variant</v>
      </c>
      <c r="E904" s="4" t="str">
        <f>IFERROR(__xludf.DUMMYFUNCTION("if(H904=""pays"",vlookup(REGEXEXTRACT(C904, ""🏘️ \w+ \w+ (.*) ✅""),'Country prepositions'!A:B, 2, 0) &amp; "" "" &amp; REGEXEXTRACT(C904, ""🏘️ \w+ \w+ (.*) ✅"") ,  if(H904=""quartier"",vlookup(REGEXEXTRACT(C904, ""🏘️ \w+ \w+ (.*) ✅""),'Quartier prepositions'!A"&amp;":E, 5, 0) ,  if(H904=""region"",vlookup(REGEXEXTRACT(C904, ""🏘️ \w+ \w+ (.*) ✅""),'Region prepositions'!B:F, 5, 0),  REGEXEXTRACT(C904, ""🏘️ \w+ \w+ (.*) ✅""))))"),"Vernamiège")</f>
        <v>Vernamiège</v>
      </c>
      <c r="F904" s="2" t="str">
        <f>IFERROR(__xludf.DUMMYFUNCTION("REGEXEXTRACT(C904, ""🏘️ (\w+) \w+ .* ✅"")"),"Louer")</f>
        <v>Louer</v>
      </c>
      <c r="G904" s="2" t="str">
        <f>IFERROR(__xludf.DUMMYFUNCTION("REGEXEXTRACT(C904, ""🏘️ \w+ (\w+) .* ✅"")"),"appartement")</f>
        <v>appartement</v>
      </c>
      <c r="H904" s="4" t="str">
        <f>IFERROR(__xludf.DUMMYFUNCTION("REGEXEXTRACT(A904, ""/(\w+)-.*?"")"),"lieu")</f>
        <v>lieu</v>
      </c>
      <c r="I904" s="4" t="str">
        <f>IFERROR(__xludf.DUMMYFUNCTION("if(D904=""variant"",  substitute(filter(Templates!E:E, Templates!A:A = F904, Templates!B:B = G904, Templates!C:C = H904), ""{{}}"", E904), B904)"),"🏘  Vous cherchez un appartement à louer à Vernamiège? ✅ Les annonces les plus actuelles sont sur ImmoScout24.ch.")</f>
        <v>🏘  Vous cherchez un appartement à louer à Vernamiège? ✅ Les annonces les plus actuelles sont sur ImmoScout24.ch.</v>
      </c>
      <c r="J904" s="4" t="s">
        <v>2719</v>
      </c>
    </row>
    <row r="905">
      <c r="A905" s="5" t="s">
        <v>2720</v>
      </c>
      <c r="B905" s="2" t="s">
        <v>2721</v>
      </c>
      <c r="C905" s="4" t="str">
        <f>IFERROR(__xludf.DUMMYFUNCTION("""🏘️ ""&amp;REGEXEXTRACT(B905, ""^(.*): "")&amp;"" ✅ "" &amp;REGEXEXTRACT(B905, ""(Trouvez.*)"")"),"🏘️ Louer maison Brig ✅ Trouvez le bien immobilier qui correspond idéalement à vos désirs sur ImmoScout24 - La plateforme de l'immobilier en Suisse.")</f>
        <v>🏘️ Louer maison Brig ✅ Trouvez le bien immobilier qui correspond idéalement à vos désirs sur ImmoScout24 - La plateforme de l'immobilier en Suisse.</v>
      </c>
      <c r="D905" s="4" t="str">
        <f>vlookup(A905, Sheet2!D:E, 2, 0)</f>
        <v>variant</v>
      </c>
      <c r="E905" s="4" t="str">
        <f>IFERROR(__xludf.DUMMYFUNCTION("if(H905=""pays"",vlookup(REGEXEXTRACT(C905, ""🏘️ \w+ \w+ (.*) ✅""),'Country prepositions'!A:B, 2, 0) &amp; "" "" &amp; REGEXEXTRACT(C905, ""🏘️ \w+ \w+ (.*) ✅"") ,  if(H905=""quartier"",vlookup(REGEXEXTRACT(C905, ""🏘️ \w+ \w+ (.*) ✅""),'Quartier prepositions'!A"&amp;":E, 5, 0) ,  if(H905=""region"",vlookup(REGEXEXTRACT(C905, ""🏘️ \w+ \w+ (.*) ✅""),'Region prepositions'!B:F, 5, 0),  REGEXEXTRACT(C905, ""🏘️ \w+ \w+ (.*) ✅""))))"),"Brig")</f>
        <v>Brig</v>
      </c>
      <c r="F905" s="2" t="str">
        <f>IFERROR(__xludf.DUMMYFUNCTION("REGEXEXTRACT(C905, ""🏘️ (\w+) \w+ .* ✅"")"),"Louer")</f>
        <v>Louer</v>
      </c>
      <c r="G905" s="2" t="str">
        <f>IFERROR(__xludf.DUMMYFUNCTION("REGEXEXTRACT(C905, ""🏘️ \w+ (\w+) .* ✅"")"),"maison")</f>
        <v>maison</v>
      </c>
      <c r="H905" s="4" t="str">
        <f>IFERROR(__xludf.DUMMYFUNCTION("REGEXEXTRACT(A905, ""/(\w+)-.*?"")"),"lieu")</f>
        <v>lieu</v>
      </c>
      <c r="I905" s="4" t="str">
        <f>IFERROR(__xludf.DUMMYFUNCTION("if(D905=""variant"",  substitute(filter(Templates!E:E, Templates!A:A = F905, Templates!B:B = G905, Templates!C:C = H905), ""{{}}"", E905), B905)"),"🏘  Vous cherchez une maison à louer à Brig? ✅ Découvrez nos nombreuses annonces sur ImmoScout24.ch.")</f>
        <v>🏘  Vous cherchez une maison à louer à Brig? ✅ Découvrez nos nombreuses annonces sur ImmoScout24.ch.</v>
      </c>
      <c r="J905" s="4" t="s">
        <v>2722</v>
      </c>
    </row>
    <row r="906">
      <c r="A906" s="5" t="s">
        <v>2723</v>
      </c>
      <c r="B906" s="2" t="s">
        <v>2724</v>
      </c>
      <c r="C906" s="4" t="str">
        <f>IFERROR(__xludf.DUMMYFUNCTION("""🏘️ ""&amp;REGEXEXTRACT(B906, ""^(.*): "")&amp;"" ✅ "" &amp;REGEXEXTRACT(B906, ""(Trouvez.*)"")"),"🏘️ Louer appartement Rothenburg ✅ Trouvez le bien immobilier qui correspond idéalement à vos désirs sur ImmoScout24 - La plateforme de l'immobilier en Suisse.")</f>
        <v>🏘️ Louer appartement Rothenburg ✅ Trouvez le bien immobilier qui correspond idéalement à vos désirs sur ImmoScout24 - La plateforme de l'immobilier en Suisse.</v>
      </c>
      <c r="D906" s="4" t="str">
        <f>vlookup(A906, Sheet2!D:E, 2, 0)</f>
        <v>variant</v>
      </c>
      <c r="E906" s="4" t="str">
        <f>IFERROR(__xludf.DUMMYFUNCTION("if(H906=""pays"",vlookup(REGEXEXTRACT(C906, ""🏘️ \w+ \w+ (.*) ✅""),'Country prepositions'!A:B, 2, 0) &amp; "" "" &amp; REGEXEXTRACT(C906, ""🏘️ \w+ \w+ (.*) ✅"") ,  if(H906=""quartier"",vlookup(REGEXEXTRACT(C906, ""🏘️ \w+ \w+ (.*) ✅""),'Quartier prepositions'!A"&amp;":E, 5, 0) ,  if(H906=""region"",vlookup(REGEXEXTRACT(C906, ""🏘️ \w+ \w+ (.*) ✅""),'Region prepositions'!B:F, 5, 0),  REGEXEXTRACT(C906, ""🏘️ \w+ \w+ (.*) ✅""))))"),"Rothenburg")</f>
        <v>Rothenburg</v>
      </c>
      <c r="F906" s="2" t="str">
        <f>IFERROR(__xludf.DUMMYFUNCTION("REGEXEXTRACT(C906, ""🏘️ (\w+) \w+ .* ✅"")"),"Louer")</f>
        <v>Louer</v>
      </c>
      <c r="G906" s="2" t="str">
        <f>IFERROR(__xludf.DUMMYFUNCTION("REGEXEXTRACT(C906, ""🏘️ \w+ (\w+) .* ✅"")"),"appartement")</f>
        <v>appartement</v>
      </c>
      <c r="H906" s="4" t="str">
        <f>IFERROR(__xludf.DUMMYFUNCTION("REGEXEXTRACT(A906, ""/(\w+)-.*?"")"),"lieu")</f>
        <v>lieu</v>
      </c>
      <c r="I906" s="4" t="str">
        <f>IFERROR(__xludf.DUMMYFUNCTION("if(D906=""variant"",  substitute(filter(Templates!E:E, Templates!A:A = F906, Templates!B:B = G906, Templates!C:C = H906), ""{{}}"", E906), B906)"),"🏘  Vous cherchez un appartement à louer à Rothenburg? ✅ Les annonces les plus actuelles sont sur ImmoScout24.ch.")</f>
        <v>🏘  Vous cherchez un appartement à louer à Rothenburg? ✅ Les annonces les plus actuelles sont sur ImmoScout24.ch.</v>
      </c>
      <c r="J906" s="4" t="s">
        <v>2725</v>
      </c>
    </row>
    <row r="907">
      <c r="A907" s="5" t="s">
        <v>2726</v>
      </c>
      <c r="B907" s="2" t="s">
        <v>2727</v>
      </c>
      <c r="C907" s="4" t="str">
        <f>IFERROR(__xludf.DUMMYFUNCTION("""🏘️ ""&amp;REGEXEXTRACT(B907, ""^(.*): "")&amp;"" ✅ "" &amp;REGEXEXTRACT(B907, ""(Trouvez.*)"")"),"🏘️ Vendre appartement Ulrichen ✅ Trouvez le bien immobilier qui correspond idéalement à vos désirs sur ImmoScout24 - La plateforme de l'immobilier en Suisse.")</f>
        <v>🏘️ Vendre appartement Ulrichen ✅ Trouvez le bien immobilier qui correspond idéalement à vos désirs sur ImmoScout24 - La plateforme de l'immobilier en Suisse.</v>
      </c>
      <c r="D907" s="4" t="str">
        <f>vlookup(A907, Sheet2!D:E, 2, 0)</f>
        <v>variant</v>
      </c>
      <c r="E907" s="4" t="str">
        <f>IFERROR(__xludf.DUMMYFUNCTION("if(H907=""pays"",vlookup(REGEXEXTRACT(C907, ""🏘️ \w+ \w+ (.*) ✅""),'Country prepositions'!A:B, 2, 0) &amp; "" "" &amp; REGEXEXTRACT(C907, ""🏘️ \w+ \w+ (.*) ✅"") ,  if(H907=""quartier"",vlookup(REGEXEXTRACT(C907, ""🏘️ \w+ \w+ (.*) ✅""),'Quartier prepositions'!A"&amp;":E, 5, 0) ,  if(H907=""region"",vlookup(REGEXEXTRACT(C907, ""🏘️ \w+ \w+ (.*) ✅""),'Region prepositions'!B:F, 5, 0),  REGEXEXTRACT(C907, ""🏘️ \w+ \w+ (.*) ✅""))))"),"Ulrichen")</f>
        <v>Ulrichen</v>
      </c>
      <c r="F907" s="2" t="str">
        <f>IFERROR(__xludf.DUMMYFUNCTION("REGEXEXTRACT(C907, ""🏘️ (\w+) \w+ .* ✅"")"),"Vendre")</f>
        <v>Vendre</v>
      </c>
      <c r="G907" s="2" t="str">
        <f>IFERROR(__xludf.DUMMYFUNCTION("REGEXEXTRACT(C907, ""🏘️ \w+ (\w+) .* ✅"")"),"appartement")</f>
        <v>appartement</v>
      </c>
      <c r="H907" s="4" t="str">
        <f>IFERROR(__xludf.DUMMYFUNCTION("REGEXEXTRACT(A907, ""/(\w+)-.*?"")"),"lieu")</f>
        <v>lieu</v>
      </c>
      <c r="I907" s="4" t="str">
        <f>IFERROR(__xludf.DUMMYFUNCTION("if(D907=""variant"",  substitute(filter(Templates!E:E, Templates!A:A = F907, Templates!B:B = G907, Templates!C:C = H907), ""{{}}"", E907), B907)"),"🏘  L’appartement de vos rêves se trouve sur ImmoScout24.ch ✅ Découvrez les dernières annonces de vente à Ulrichen.")</f>
        <v>🏘  L’appartement de vos rêves se trouve sur ImmoScout24.ch ✅ Découvrez les dernières annonces de vente à Ulrichen.</v>
      </c>
      <c r="J907" s="4" t="s">
        <v>2728</v>
      </c>
    </row>
    <row r="908">
      <c r="A908" s="5" t="s">
        <v>2729</v>
      </c>
      <c r="B908" s="2" t="s">
        <v>2730</v>
      </c>
      <c r="C908" s="4" t="str">
        <f>IFERROR(__xludf.DUMMYFUNCTION("""🏘️ ""&amp;REGEXEXTRACT(B908, ""^(.*): "")&amp;"" ✅ "" &amp;REGEXEXTRACT(B908, ""(Trouvez.*)"")"),"🏘️ Louer appartement Liechtenstein ✅ Trouvez le bien immobilier qui correspond idéalement à vos désirs sur ImmoScout24 - La plateforme de l'immobilier en Suisse.")</f>
        <v>🏘️ Louer appartement Liechtenstein ✅ Trouvez le bien immobilier qui correspond idéalement à vos désirs sur ImmoScout24 - La plateforme de l'immobilier en Suisse.</v>
      </c>
      <c r="D908" s="4" t="str">
        <f>vlookup(A908, Sheet2!D:E, 2, 0)</f>
        <v>variant</v>
      </c>
      <c r="E908" s="4" t="str">
        <f>IFERROR(__xludf.DUMMYFUNCTION("if(H908=""pays"",vlookup(REGEXEXTRACT(C908, ""🏘️ \w+ \w+ (.*) ✅""),'Country prepositions'!A:B, 2, 0) &amp; "" "" &amp; REGEXEXTRACT(C908, ""🏘️ \w+ \w+ (.*) ✅"") ,  if(H908=""quartier"",vlookup(REGEXEXTRACT(C908, ""🏘️ \w+ \w+ (.*) ✅""),'Quartier prepositions'!A"&amp;":E, 5, 0) ,  if(H908=""region"",vlookup(REGEXEXTRACT(C908, ""🏘️ \w+ \w+ (.*) ✅""),'Region prepositions'!B:F, 5, 0),  REGEXEXTRACT(C908, ""🏘️ \w+ \w+ (.*) ✅""))))"),"au Liechtenstein")</f>
        <v>au Liechtenstein</v>
      </c>
      <c r="F908" s="2" t="str">
        <f>IFERROR(__xludf.DUMMYFUNCTION("REGEXEXTRACT(C908, ""🏘️ (\w+) \w+ .* ✅"")"),"Louer")</f>
        <v>Louer</v>
      </c>
      <c r="G908" s="2" t="str">
        <f>IFERROR(__xludf.DUMMYFUNCTION("REGEXEXTRACT(C908, ""🏘️ \w+ (\w+) .* ✅"")"),"appartement")</f>
        <v>appartement</v>
      </c>
      <c r="H908" s="4" t="str">
        <f>IFERROR(__xludf.DUMMYFUNCTION("REGEXEXTRACT(A908, ""/(\w+)-.*?"")"),"pays")</f>
        <v>pays</v>
      </c>
      <c r="I908" s="4" t="str">
        <f>IFERROR(__xludf.DUMMYFUNCTION("if(D908=""variant"",  substitute(filter(Templates!E:E, Templates!A:A = F908, Templates!B:B = G908, Templates!C:C = H908), ""{{}}"", E908), B908)"),"🏘  Vous cherchez un appartement à louer au Liechtenstein? ✅ Les annonces les plus actuelles sont sur ImmoScout24.ch.")</f>
        <v>🏘  Vous cherchez un appartement à louer au Liechtenstein? ✅ Les annonces les plus actuelles sont sur ImmoScout24.ch.</v>
      </c>
      <c r="J908" s="4" t="s">
        <v>552</v>
      </c>
    </row>
    <row r="909">
      <c r="A909" s="5" t="s">
        <v>2731</v>
      </c>
      <c r="B909" s="2" t="s">
        <v>2732</v>
      </c>
      <c r="C909" s="4" t="str">
        <f>IFERROR(__xludf.DUMMYFUNCTION("""🏘️ ""&amp;REGEXEXTRACT(B909, ""^(.*): "")&amp;"" ✅ "" &amp;REGEXEXTRACT(B909, ""(Trouvez.*)"")"),"🏘️ Vendre maison Pregassona (Lugano) ✅ Trouvez le bien immobilier qui correspond idéalement à vos désirs sur ImmoScout24 - La plateforme de l'immobilier en Suisse.")</f>
        <v>🏘️ Vendre maison Pregassona (Lugano) ✅ Trouvez le bien immobilier qui correspond idéalement à vos désirs sur ImmoScout24 - La plateforme de l'immobilier en Suisse.</v>
      </c>
      <c r="D909" s="4" t="str">
        <f>vlookup(A909, Sheet2!D:E, 2, 0)</f>
        <v>variant</v>
      </c>
      <c r="E909" s="4" t="str">
        <f>IFERROR(__xludf.DUMMYFUNCTION("if(H909=""pays"",vlookup(REGEXEXTRACT(C909, ""🏘️ \w+ \w+ (.*) ✅""),'Country prepositions'!A:B, 2, 0) &amp; "" "" &amp; REGEXEXTRACT(C909, ""🏘️ \w+ \w+ (.*) ✅"") ,  if(H909=""quartier"",vlookup(REGEXEXTRACT(C909, ""🏘️ \w+ \w+ (.*) ✅""),'Quartier prepositions'!A"&amp;":E, 5, 0) ,  if(H909=""region"",vlookup(REGEXEXTRACT(C909, ""🏘️ \w+ \w+ (.*) ✅""),'Region prepositions'!B:F, 5, 0),  REGEXEXTRACT(C909, ""🏘️ \w+ \w+ (.*) ✅""))))"),"dans le quartier de Pregassona (Lugano)")</f>
        <v>dans le quartier de Pregassona (Lugano)</v>
      </c>
      <c r="F909" s="2" t="str">
        <f>IFERROR(__xludf.DUMMYFUNCTION("REGEXEXTRACT(C909, ""🏘️ (\w+) \w+ .* ✅"")"),"Vendre")</f>
        <v>Vendre</v>
      </c>
      <c r="G909" s="2" t="str">
        <f>IFERROR(__xludf.DUMMYFUNCTION("REGEXEXTRACT(C909, ""🏘️ \w+ (\w+) .* ✅"")"),"maison")</f>
        <v>maison</v>
      </c>
      <c r="H909" s="4" t="str">
        <f>IFERROR(__xludf.DUMMYFUNCTION("REGEXEXTRACT(A909, ""/(\w+)-.*?"")"),"quartier")</f>
        <v>quartier</v>
      </c>
      <c r="I909" s="4" t="str">
        <f>IFERROR(__xludf.DUMMYFUNCTION("if(D909=""variant"",  substitute(filter(Templates!E:E, Templates!A:A = F909, Templates!B:B = G909, Templates!C:C = H909), ""{{}}"", E909), B909)"),"🏘  Vous souhaitez acheter une maison dans le quartier de Pregassona (Lugano)? ✅ Jetez un œil aux dernières offres sur ImmoScout24.ch.")</f>
        <v>🏘  Vous souhaitez acheter une maison dans le quartier de Pregassona (Lugano)? ✅ Jetez un œil aux dernières offres sur ImmoScout24.ch.</v>
      </c>
      <c r="J909" s="4" t="s">
        <v>2733</v>
      </c>
    </row>
    <row r="910">
      <c r="A910" s="5" t="s">
        <v>2734</v>
      </c>
      <c r="B910" s="2" t="s">
        <v>2735</v>
      </c>
      <c r="C910" s="4" t="str">
        <f>IFERROR(__xludf.DUMMYFUNCTION("""🏘️ ""&amp;REGEXEXTRACT(B910, ""^(.*): "")&amp;"" ✅ "" &amp;REGEXEXTRACT(B910, ""(Trouvez.*)"")"),"🏘️ Vendre appartement Roumanie ✅ Trouvez le bien immobilier qui correspond idéalement à vos désirs sur ImmoScout24 - La plateforme de l'immobilier en Suisse.")</f>
        <v>🏘️ Vendre appartement Roumanie ✅ Trouvez le bien immobilier qui correspond idéalement à vos désirs sur ImmoScout24 - La plateforme de l'immobilier en Suisse.</v>
      </c>
      <c r="D910" s="4" t="str">
        <f>vlookup(A910, Sheet2!D:E, 2, 0)</f>
        <v>variant</v>
      </c>
      <c r="E910" s="4" t="str">
        <f>IFERROR(__xludf.DUMMYFUNCTION("if(H910=""pays"",vlookup(REGEXEXTRACT(C910, ""🏘️ \w+ \w+ (.*) ✅""),'Country prepositions'!A:B, 2, 0) &amp; "" "" &amp; REGEXEXTRACT(C910, ""🏘️ \w+ \w+ (.*) ✅"") ,  if(H910=""quartier"",vlookup(REGEXEXTRACT(C910, ""🏘️ \w+ \w+ (.*) ✅""),'Quartier prepositions'!A"&amp;":E, 5, 0) ,  if(H910=""region"",vlookup(REGEXEXTRACT(C910, ""🏘️ \w+ \w+ (.*) ✅""),'Region prepositions'!B:F, 5, 0),  REGEXEXTRACT(C910, ""🏘️ \w+ \w+ (.*) ✅""))))"),"en Roumanie")</f>
        <v>en Roumanie</v>
      </c>
      <c r="F910" s="2" t="str">
        <f>IFERROR(__xludf.DUMMYFUNCTION("REGEXEXTRACT(C910, ""🏘️ (\w+) \w+ .* ✅"")"),"Vendre")</f>
        <v>Vendre</v>
      </c>
      <c r="G910" s="2" t="str">
        <f>IFERROR(__xludf.DUMMYFUNCTION("REGEXEXTRACT(C910, ""🏘️ \w+ (\w+) .* ✅"")"),"appartement")</f>
        <v>appartement</v>
      </c>
      <c r="H910" s="4" t="str">
        <f>IFERROR(__xludf.DUMMYFUNCTION("REGEXEXTRACT(A910, ""/(\w+)-.*?"")"),"pays")</f>
        <v>pays</v>
      </c>
      <c r="I910" s="4" t="str">
        <f>IFERROR(__xludf.DUMMYFUNCTION("if(D910=""variant"",  substitute(filter(Templates!E:E, Templates!A:A = F910, Templates!B:B = G910, Templates!C:C = H910), ""{{}}"", E910), B910)"),"🏘  Vous cherchez un appartement à louer en Roumanie? ✅ Les annonces les plus actuelles sont sur ImmoScout24.ch.")</f>
        <v>🏘  Vous cherchez un appartement à louer en Roumanie? ✅ Les annonces les plus actuelles sont sur ImmoScout24.ch.</v>
      </c>
      <c r="J910" s="4" t="s">
        <v>2736</v>
      </c>
    </row>
    <row r="911">
      <c r="A911" s="5" t="s">
        <v>2737</v>
      </c>
      <c r="B911" s="2" t="s">
        <v>2738</v>
      </c>
      <c r="C911" s="4" t="str">
        <f>IFERROR(__xludf.DUMMYFUNCTION("""🏘️ ""&amp;REGEXEXTRACT(B911, ""^(.*): "")&amp;"" ✅ "" &amp;REGEXEXTRACT(B911, ""(Trouvez.*)"")"),"🏘️ Louer appartement Vezia ✅ Trouvez le bien immobilier qui correspond idéalement à vos désirs sur ImmoScout24 - La plateforme de l'immobilier en Suisse.")</f>
        <v>🏘️ Louer appartement Vezia ✅ Trouvez le bien immobilier qui correspond idéalement à vos désirs sur ImmoScout24 - La plateforme de l'immobilier en Suisse.</v>
      </c>
      <c r="D911" s="4" t="str">
        <f>vlookup(A911, Sheet2!D:E, 2, 0)</f>
        <v>variant</v>
      </c>
      <c r="E911" s="4" t="str">
        <f>IFERROR(__xludf.DUMMYFUNCTION("if(H911=""pays"",vlookup(REGEXEXTRACT(C911, ""🏘️ \w+ \w+ (.*) ✅""),'Country prepositions'!A:B, 2, 0) &amp; "" "" &amp; REGEXEXTRACT(C911, ""🏘️ \w+ \w+ (.*) ✅"") ,  if(H911=""quartier"",vlookup(REGEXEXTRACT(C911, ""🏘️ \w+ \w+ (.*) ✅""),'Quartier prepositions'!A"&amp;":E, 5, 0) ,  if(H911=""region"",vlookup(REGEXEXTRACT(C911, ""🏘️ \w+ \w+ (.*) ✅""),'Region prepositions'!B:F, 5, 0),  REGEXEXTRACT(C911, ""🏘️ \w+ \w+ (.*) ✅""))))"),"Vezia")</f>
        <v>Vezia</v>
      </c>
      <c r="F911" s="2" t="str">
        <f>IFERROR(__xludf.DUMMYFUNCTION("REGEXEXTRACT(C911, ""🏘️ (\w+) \w+ .* ✅"")"),"Louer")</f>
        <v>Louer</v>
      </c>
      <c r="G911" s="2" t="str">
        <f>IFERROR(__xludf.DUMMYFUNCTION("REGEXEXTRACT(C911, ""🏘️ \w+ (\w+) .* ✅"")"),"appartement")</f>
        <v>appartement</v>
      </c>
      <c r="H911" s="4" t="str">
        <f>IFERROR(__xludf.DUMMYFUNCTION("REGEXEXTRACT(A911, ""/(\w+)-.*?"")"),"lieu")</f>
        <v>lieu</v>
      </c>
      <c r="I911" s="4" t="str">
        <f>IFERROR(__xludf.DUMMYFUNCTION("if(D911=""variant"",  substitute(filter(Templates!E:E, Templates!A:A = F911, Templates!B:B = G911, Templates!C:C = H911), ""{{}}"", E911), B911)"),"🏘  Vous cherchez un appartement à louer à Vezia? ✅ Les annonces les plus actuelles sont sur ImmoScout24.ch.")</f>
        <v>🏘  Vous cherchez un appartement à louer à Vezia? ✅ Les annonces les plus actuelles sont sur ImmoScout24.ch.</v>
      </c>
      <c r="J911" s="4" t="s">
        <v>2739</v>
      </c>
    </row>
    <row r="912">
      <c r="A912" s="5" t="s">
        <v>2740</v>
      </c>
      <c r="B912" s="2" t="s">
        <v>2741</v>
      </c>
      <c r="C912" s="4" t="str">
        <f>IFERROR(__xludf.DUMMYFUNCTION("""🏘️ ""&amp;REGEXEXTRACT(B912, ""^(.*): "")&amp;"" ✅ "" &amp;REGEXEXTRACT(B912, ""(Trouvez.*)"")"),"🏘️ Louer appartement Genolier ✅ Trouvez le bien immobilier qui correspond idéalement à vos désirs sur ImmoScout24 - La plateforme de l'immobilier en Suisse.")</f>
        <v>🏘️ Louer appartement Genolier ✅ Trouvez le bien immobilier qui correspond idéalement à vos désirs sur ImmoScout24 - La plateforme de l'immobilier en Suisse.</v>
      </c>
      <c r="D912" s="4" t="str">
        <f>vlookup(A912, Sheet2!D:E, 2, 0)</f>
        <v>variant</v>
      </c>
      <c r="E912" s="4" t="str">
        <f>IFERROR(__xludf.DUMMYFUNCTION("if(H912=""pays"",vlookup(REGEXEXTRACT(C912, ""🏘️ \w+ \w+ (.*) ✅""),'Country prepositions'!A:B, 2, 0) &amp; "" "" &amp; REGEXEXTRACT(C912, ""🏘️ \w+ \w+ (.*) ✅"") ,  if(H912=""quartier"",vlookup(REGEXEXTRACT(C912, ""🏘️ \w+ \w+ (.*) ✅""),'Quartier prepositions'!A"&amp;":E, 5, 0) ,  if(H912=""region"",vlookup(REGEXEXTRACT(C912, ""🏘️ \w+ \w+ (.*) ✅""),'Region prepositions'!B:F, 5, 0),  REGEXEXTRACT(C912, ""🏘️ \w+ \w+ (.*) ✅""))))"),"Genolier")</f>
        <v>Genolier</v>
      </c>
      <c r="F912" s="2" t="str">
        <f>IFERROR(__xludf.DUMMYFUNCTION("REGEXEXTRACT(C912, ""🏘️ (\w+) \w+ .* ✅"")"),"Louer")</f>
        <v>Louer</v>
      </c>
      <c r="G912" s="2" t="str">
        <f>IFERROR(__xludf.DUMMYFUNCTION("REGEXEXTRACT(C912, ""🏘️ \w+ (\w+) .* ✅"")"),"appartement")</f>
        <v>appartement</v>
      </c>
      <c r="H912" s="4" t="str">
        <f>IFERROR(__xludf.DUMMYFUNCTION("REGEXEXTRACT(A912, ""/(\w+)-.*?"")"),"lieu")</f>
        <v>lieu</v>
      </c>
      <c r="I912" s="4" t="str">
        <f>IFERROR(__xludf.DUMMYFUNCTION("if(D912=""variant"",  substitute(filter(Templates!E:E, Templates!A:A = F912, Templates!B:B = G912, Templates!C:C = H912), ""{{}}"", E912), B912)"),"🏘  Vous cherchez un appartement à louer à Genolier? ✅ Les annonces les plus actuelles sont sur ImmoScout24.ch.")</f>
        <v>🏘  Vous cherchez un appartement à louer à Genolier? ✅ Les annonces les plus actuelles sont sur ImmoScout24.ch.</v>
      </c>
      <c r="J912" s="4" t="s">
        <v>2742</v>
      </c>
    </row>
    <row r="913">
      <c r="A913" s="5" t="s">
        <v>2743</v>
      </c>
      <c r="B913" s="2" t="s">
        <v>2744</v>
      </c>
      <c r="C913" s="4" t="str">
        <f>IFERROR(__xludf.DUMMYFUNCTION("""🏘️ ""&amp;REGEXEXTRACT(B913, ""^(.*): "")&amp;"" ✅ "" &amp;REGEXEXTRACT(B913, ""(Trouvez.*)"")"),"🏘️ Vendre maison Choulex ✅ Trouvez le bien immobilier qui correspond idéalement à vos désirs sur ImmoScout24 - La plateforme de l'immobilier en Suisse.")</f>
        <v>🏘️ Vendre maison Choulex ✅ Trouvez le bien immobilier qui correspond idéalement à vos désirs sur ImmoScout24 - La plateforme de l'immobilier en Suisse.</v>
      </c>
      <c r="D913" s="4" t="str">
        <f>vlookup(A913, Sheet2!D:E, 2, 0)</f>
        <v>variant</v>
      </c>
      <c r="E913" s="4" t="str">
        <f>IFERROR(__xludf.DUMMYFUNCTION("if(H913=""pays"",vlookup(REGEXEXTRACT(C913, ""🏘️ \w+ \w+ (.*) ✅""),'Country prepositions'!A:B, 2, 0) &amp; "" "" &amp; REGEXEXTRACT(C913, ""🏘️ \w+ \w+ (.*) ✅"") ,  if(H913=""quartier"",vlookup(REGEXEXTRACT(C913, ""🏘️ \w+ \w+ (.*) ✅""),'Quartier prepositions'!A"&amp;":E, 5, 0) ,  if(H913=""region"",vlookup(REGEXEXTRACT(C913, ""🏘️ \w+ \w+ (.*) ✅""),'Region prepositions'!B:F, 5, 0),  REGEXEXTRACT(C913, ""🏘️ \w+ \w+ (.*) ✅""))))"),"Choulex")</f>
        <v>Choulex</v>
      </c>
      <c r="F913" s="2" t="str">
        <f>IFERROR(__xludf.DUMMYFUNCTION("REGEXEXTRACT(C913, ""🏘️ (\w+) \w+ .* ✅"")"),"Vendre")</f>
        <v>Vendre</v>
      </c>
      <c r="G913" s="2" t="str">
        <f>IFERROR(__xludf.DUMMYFUNCTION("REGEXEXTRACT(C913, ""🏘️ \w+ (\w+) .* ✅"")"),"maison")</f>
        <v>maison</v>
      </c>
      <c r="H913" s="4" t="str">
        <f>IFERROR(__xludf.DUMMYFUNCTION("REGEXEXTRACT(A913, ""/(\w+)-.*?"")"),"lieu")</f>
        <v>lieu</v>
      </c>
      <c r="I913" s="4" t="str">
        <f>IFERROR(__xludf.DUMMYFUNCTION("if(D913=""variant"",  substitute(filter(Templates!E:E, Templates!A:A = F913, Templates!B:B = G913, Templates!C:C = H913), ""{{}}"", E913), B913)"),"🏘  Vous souhaitez acheter une maison à Choulex? ✅ Jetez un œil aux dernières offres sur ImmoScout24.ch.")</f>
        <v>🏘  Vous souhaitez acheter une maison à Choulex? ✅ Jetez un œil aux dernières offres sur ImmoScout24.ch.</v>
      </c>
      <c r="J913" s="4" t="s">
        <v>2745</v>
      </c>
    </row>
    <row r="914">
      <c r="A914" s="5" t="s">
        <v>2746</v>
      </c>
      <c r="B914" s="2" t="s">
        <v>2747</v>
      </c>
      <c r="C914" s="4" t="str">
        <f>IFERROR(__xludf.DUMMYFUNCTION("""🏘️ ""&amp;REGEXEXTRACT(B914, ""^(.*): "")&amp;"" ✅ "" &amp;REGEXEXTRACT(B914, ""(Trouvez.*)"")"),"🏘️ Louer appartement Dübendorf ✅ Trouvez le bien immobilier qui correspond idéalement à vos désirs sur ImmoScout24 - La plateforme de l'immobilier en Suisse.")</f>
        <v>🏘️ Louer appartement Dübendorf ✅ Trouvez le bien immobilier qui correspond idéalement à vos désirs sur ImmoScout24 - La plateforme de l'immobilier en Suisse.</v>
      </c>
      <c r="D914" s="4" t="str">
        <f>vlookup(A914, Sheet2!D:E, 2, 0)</f>
        <v>variant</v>
      </c>
      <c r="E914" s="4" t="str">
        <f>IFERROR(__xludf.DUMMYFUNCTION("if(H914=""pays"",vlookup(REGEXEXTRACT(C914, ""🏘️ \w+ \w+ (.*) ✅""),'Country prepositions'!A:B, 2, 0) &amp; "" "" &amp; REGEXEXTRACT(C914, ""🏘️ \w+ \w+ (.*) ✅"") ,  if(H914=""quartier"",vlookup(REGEXEXTRACT(C914, ""🏘️ \w+ \w+ (.*) ✅""),'Quartier prepositions'!A"&amp;":E, 5, 0) ,  if(H914=""region"",vlookup(REGEXEXTRACT(C914, ""🏘️ \w+ \w+ (.*) ✅""),'Region prepositions'!B:F, 5, 0),  REGEXEXTRACT(C914, ""🏘️ \w+ \w+ (.*) ✅""))))"),"Dübendorf")</f>
        <v>Dübendorf</v>
      </c>
      <c r="F914" s="2" t="str">
        <f>IFERROR(__xludf.DUMMYFUNCTION("REGEXEXTRACT(C914, ""🏘️ (\w+) \w+ .* ✅"")"),"Louer")</f>
        <v>Louer</v>
      </c>
      <c r="G914" s="2" t="str">
        <f>IFERROR(__xludf.DUMMYFUNCTION("REGEXEXTRACT(C914, ""🏘️ \w+ (\w+) .* ✅"")"),"appartement")</f>
        <v>appartement</v>
      </c>
      <c r="H914" s="4" t="str">
        <f>IFERROR(__xludf.DUMMYFUNCTION("REGEXEXTRACT(A914, ""/(\w+)-.*?"")"),"lieu")</f>
        <v>lieu</v>
      </c>
      <c r="I914" s="4" t="str">
        <f>IFERROR(__xludf.DUMMYFUNCTION("if(D914=""variant"",  substitute(filter(Templates!E:E, Templates!A:A = F914, Templates!B:B = G914, Templates!C:C = H914), ""{{}}"", E914), B914)"),"🏘  Vous cherchez un appartement à louer à Dübendorf? ✅ Les annonces les plus actuelles sont sur ImmoScout24.ch.")</f>
        <v>🏘  Vous cherchez un appartement à louer à Dübendorf? ✅ Les annonces les plus actuelles sont sur ImmoScout24.ch.</v>
      </c>
      <c r="J914" s="4" t="s">
        <v>2748</v>
      </c>
    </row>
    <row r="915">
      <c r="A915" s="5" t="s">
        <v>2749</v>
      </c>
      <c r="B915" s="2" t="s">
        <v>2750</v>
      </c>
      <c r="C915" s="4" t="str">
        <f>IFERROR(__xludf.DUMMYFUNCTION("""🏘️ ""&amp;REGEXEXTRACT(B915, ""^(.*): "")&amp;"" ✅ "" &amp;REGEXEXTRACT(B915, ""(Trouvez.*)"")"),"🏘️ Louer appartement Abeilles-Numa Droz (La Chaux-de-Fonds) ✅ Trouvez le bien immobilier qui correspond idéalement à vos désirs sur ImmoScout24 - La plateforme de l'immobilier en Suisse.")</f>
        <v>🏘️ Louer appartement Abeilles-Numa Droz (La Chaux-de-Fonds) ✅ Trouvez le bien immobilier qui correspond idéalement à vos désirs sur ImmoScout24 - La plateforme de l'immobilier en Suisse.</v>
      </c>
      <c r="D915" s="4" t="str">
        <f>vlookup(A915, Sheet2!D:E, 2, 0)</f>
        <v>variant</v>
      </c>
      <c r="E915" s="4" t="str">
        <f>IFERROR(__xludf.DUMMYFUNCTION("if(H915=""pays"",vlookup(REGEXEXTRACT(C915, ""🏘️ \w+ \w+ (.*) ✅""),'Country prepositions'!A:B, 2, 0) &amp; "" "" &amp; REGEXEXTRACT(C915, ""🏘️ \w+ \w+ (.*) ✅"") ,  if(H915=""quartier"",vlookup(REGEXEXTRACT(C915, ""🏘️ \w+ \w+ (.*) ✅""),'Quartier prepositions'!A"&amp;":E, 5, 0) ,  if(H915=""region"",vlookup(REGEXEXTRACT(C915, ""🏘️ \w+ \w+ (.*) ✅""),'Region prepositions'!B:F, 5, 0),  REGEXEXTRACT(C915, ""🏘️ \w+ \w+ (.*) ✅""))))"),"dans le quartier des Abeilles-Numa Droz (La Chaux-de-Fonds)")</f>
        <v>dans le quartier des Abeilles-Numa Droz (La Chaux-de-Fonds)</v>
      </c>
      <c r="F915" s="2" t="str">
        <f>IFERROR(__xludf.DUMMYFUNCTION("REGEXEXTRACT(C915, ""🏘️ (\w+) \w+ .* ✅"")"),"Louer")</f>
        <v>Louer</v>
      </c>
      <c r="G915" s="2" t="str">
        <f>IFERROR(__xludf.DUMMYFUNCTION("REGEXEXTRACT(C915, ""🏘️ \w+ (\w+) .* ✅"")"),"appartement")</f>
        <v>appartement</v>
      </c>
      <c r="H915" s="4" t="str">
        <f>IFERROR(__xludf.DUMMYFUNCTION("REGEXEXTRACT(A915, ""/(\w+)-.*?"")"),"quartier")</f>
        <v>quartier</v>
      </c>
      <c r="I915" s="4" t="str">
        <f>IFERROR(__xludf.DUMMYFUNCTION("if(D915=""variant"",  substitute(filter(Templates!E:E, Templates!A:A = F915, Templates!B:B = G915, Templates!C:C = H915), ""{{}}"", E915), B915)"),"🏘  Vous cherchez un appartement à louer dans le quartier des Abeilles-Numa Droz (La Chaux-de-Fonds)? ✅ Les annonces les plus actuelles sont sur ImmoScout24.ch.")</f>
        <v>🏘  Vous cherchez un appartement à louer dans le quartier des Abeilles-Numa Droz (La Chaux-de-Fonds)? ✅ Les annonces les plus actuelles sont sur ImmoScout24.ch.</v>
      </c>
      <c r="J915" s="4" t="s">
        <v>2751</v>
      </c>
    </row>
    <row r="916">
      <c r="A916" s="5" t="s">
        <v>2752</v>
      </c>
      <c r="B916" s="2" t="s">
        <v>2753</v>
      </c>
      <c r="C916" s="4" t="str">
        <f>IFERROR(__xludf.DUMMYFUNCTION("""🏘️ ""&amp;REGEXEXTRACT(B916, ""^(.*): "")&amp;"" ✅ "" &amp;REGEXEXTRACT(B916, ""(Trouvez.*)"")"),"🏘️ Vendre maison Oberwil BL ✅ Trouvez le bien immobilier qui correspond idéalement à vos désirs sur ImmoScout24 - La plateforme de l'immobilier en Suisse.")</f>
        <v>🏘️ Vendre maison Oberwil BL ✅ Trouvez le bien immobilier qui correspond idéalement à vos désirs sur ImmoScout24 - La plateforme de l'immobilier en Suisse.</v>
      </c>
      <c r="D916" s="4" t="str">
        <f>vlookup(A916, Sheet2!D:E, 2, 0)</f>
        <v>variant</v>
      </c>
      <c r="E916" s="4" t="str">
        <f>IFERROR(__xludf.DUMMYFUNCTION("if(H916=""pays"",vlookup(REGEXEXTRACT(C916, ""🏘️ \w+ \w+ (.*) ✅""),'Country prepositions'!A:B, 2, 0) &amp; "" "" &amp; REGEXEXTRACT(C916, ""🏘️ \w+ \w+ (.*) ✅"") ,  if(H916=""quartier"",vlookup(REGEXEXTRACT(C916, ""🏘️ \w+ \w+ (.*) ✅""),'Quartier prepositions'!A"&amp;":E, 5, 0) ,  if(H916=""region"",vlookup(REGEXEXTRACT(C916, ""🏘️ \w+ \w+ (.*) ✅""),'Region prepositions'!B:F, 5, 0),  REGEXEXTRACT(C916, ""🏘️ \w+ \w+ (.*) ✅""))))"),"Oberwil BL")</f>
        <v>Oberwil BL</v>
      </c>
      <c r="F916" s="2" t="str">
        <f>IFERROR(__xludf.DUMMYFUNCTION("REGEXEXTRACT(C916, ""🏘️ (\w+) \w+ .* ✅"")"),"Vendre")</f>
        <v>Vendre</v>
      </c>
      <c r="G916" s="2" t="str">
        <f>IFERROR(__xludf.DUMMYFUNCTION("REGEXEXTRACT(C916, ""🏘️ \w+ (\w+) .* ✅"")"),"maison")</f>
        <v>maison</v>
      </c>
      <c r="H916" s="4" t="str">
        <f>IFERROR(__xludf.DUMMYFUNCTION("REGEXEXTRACT(A916, ""/(\w+)-.*?"")"),"lieu")</f>
        <v>lieu</v>
      </c>
      <c r="I916" s="4" t="str">
        <f>IFERROR(__xludf.DUMMYFUNCTION("if(D916=""variant"",  substitute(filter(Templates!E:E, Templates!A:A = F916, Templates!B:B = G916, Templates!C:C = H916), ""{{}}"", E916), B916)"),"🏘  Vous souhaitez acheter une maison à Oberwil BL? ✅ Jetez un œil aux dernières offres sur ImmoScout24.ch.")</f>
        <v>🏘  Vous souhaitez acheter une maison à Oberwil BL? ✅ Jetez un œil aux dernières offres sur ImmoScout24.ch.</v>
      </c>
      <c r="J916" s="4" t="s">
        <v>2754</v>
      </c>
    </row>
    <row r="917">
      <c r="A917" s="5" t="s">
        <v>2755</v>
      </c>
      <c r="B917" s="2" t="s">
        <v>2756</v>
      </c>
      <c r="C917" s="4" t="str">
        <f>IFERROR(__xludf.DUMMYFUNCTION("""🏘️ ""&amp;REGEXEXTRACT(B917, ""^(.*): "")&amp;"" ✅ "" &amp;REGEXEXTRACT(B917, ""(Trouvez.*)"")"),"🏘️ Vendre appartement Goldach ✅ Trouvez le bien immobilier qui correspond idéalement à vos désirs sur ImmoScout24 - La plateforme de l'immobilier en Suisse.")</f>
        <v>🏘️ Vendre appartement Goldach ✅ Trouvez le bien immobilier qui correspond idéalement à vos désirs sur ImmoScout24 - La plateforme de l'immobilier en Suisse.</v>
      </c>
      <c r="D917" s="4" t="str">
        <f>vlookup(A917, Sheet2!D:E, 2, 0)</f>
        <v>variant</v>
      </c>
      <c r="E917" s="4" t="str">
        <f>IFERROR(__xludf.DUMMYFUNCTION("if(H917=""pays"",vlookup(REGEXEXTRACT(C917, ""🏘️ \w+ \w+ (.*) ✅""),'Country prepositions'!A:B, 2, 0) &amp; "" "" &amp; REGEXEXTRACT(C917, ""🏘️ \w+ \w+ (.*) ✅"") ,  if(H917=""quartier"",vlookup(REGEXEXTRACT(C917, ""🏘️ \w+ \w+ (.*) ✅""),'Quartier prepositions'!A"&amp;":E, 5, 0) ,  if(H917=""region"",vlookup(REGEXEXTRACT(C917, ""🏘️ \w+ \w+ (.*) ✅""),'Region prepositions'!B:F, 5, 0),  REGEXEXTRACT(C917, ""🏘️ \w+ \w+ (.*) ✅""))))"),"Goldach")</f>
        <v>Goldach</v>
      </c>
      <c r="F917" s="2" t="str">
        <f>IFERROR(__xludf.DUMMYFUNCTION("REGEXEXTRACT(C917, ""🏘️ (\w+) \w+ .* ✅"")"),"Vendre")</f>
        <v>Vendre</v>
      </c>
      <c r="G917" s="2" t="str">
        <f>IFERROR(__xludf.DUMMYFUNCTION("REGEXEXTRACT(C917, ""🏘️ \w+ (\w+) .* ✅"")"),"appartement")</f>
        <v>appartement</v>
      </c>
      <c r="H917" s="4" t="str">
        <f>IFERROR(__xludf.DUMMYFUNCTION("REGEXEXTRACT(A917, ""/(\w+)-.*?"")"),"lieu")</f>
        <v>lieu</v>
      </c>
      <c r="I917" s="4" t="str">
        <f>IFERROR(__xludf.DUMMYFUNCTION("if(D917=""variant"",  substitute(filter(Templates!E:E, Templates!A:A = F917, Templates!B:B = G917, Templates!C:C = H917), ""{{}}"", E917), B917)"),"🏘  L’appartement de vos rêves se trouve sur ImmoScout24.ch ✅ Découvrez les dernières annonces de vente à Goldach.")</f>
        <v>🏘  L’appartement de vos rêves se trouve sur ImmoScout24.ch ✅ Découvrez les dernières annonces de vente à Goldach.</v>
      </c>
      <c r="J917" s="4" t="s">
        <v>2757</v>
      </c>
    </row>
    <row r="918">
      <c r="A918" s="5" t="s">
        <v>2758</v>
      </c>
      <c r="B918" s="2" t="s">
        <v>2759</v>
      </c>
      <c r="C918" s="4" t="str">
        <f>IFERROR(__xludf.DUMMYFUNCTION("""🏘️ ""&amp;REGEXEXTRACT(B918, ""^(.*): "")&amp;"" ✅ "" &amp;REGEXEXTRACT(B918, ""(Trouvez.*)"")"),"🏘️ Vendre maison Môtiers NE ✅ Trouvez le bien immobilier qui correspond idéalement à vos désirs sur ImmoScout24 - La plateforme de l'immobilier en Suisse.")</f>
        <v>🏘️ Vendre maison Môtiers NE ✅ Trouvez le bien immobilier qui correspond idéalement à vos désirs sur ImmoScout24 - La plateforme de l'immobilier en Suisse.</v>
      </c>
      <c r="D918" s="4" t="str">
        <f>vlookup(A918, Sheet2!D:E, 2, 0)</f>
        <v>variant</v>
      </c>
      <c r="E918" s="4" t="str">
        <f>IFERROR(__xludf.DUMMYFUNCTION("if(H918=""pays"",vlookup(REGEXEXTRACT(C918, ""🏘️ \w+ \w+ (.*) ✅""),'Country prepositions'!A:B, 2, 0) &amp; "" "" &amp; REGEXEXTRACT(C918, ""🏘️ \w+ \w+ (.*) ✅"") ,  if(H918=""quartier"",vlookup(REGEXEXTRACT(C918, ""🏘️ \w+ \w+ (.*) ✅""),'Quartier prepositions'!A"&amp;":E, 5, 0) ,  if(H918=""region"",vlookup(REGEXEXTRACT(C918, ""🏘️ \w+ \w+ (.*) ✅""),'Region prepositions'!B:F, 5, 0),  REGEXEXTRACT(C918, ""🏘️ \w+ \w+ (.*) ✅""))))"),"Môtiers NE")</f>
        <v>Môtiers NE</v>
      </c>
      <c r="F918" s="2" t="str">
        <f>IFERROR(__xludf.DUMMYFUNCTION("REGEXEXTRACT(C918, ""🏘️ (\w+) \w+ .* ✅"")"),"Vendre")</f>
        <v>Vendre</v>
      </c>
      <c r="G918" s="2" t="str">
        <f>IFERROR(__xludf.DUMMYFUNCTION("REGEXEXTRACT(C918, ""🏘️ \w+ (\w+) .* ✅"")"),"maison")</f>
        <v>maison</v>
      </c>
      <c r="H918" s="4" t="str">
        <f>IFERROR(__xludf.DUMMYFUNCTION("REGEXEXTRACT(A918, ""/(\w+)-.*?"")"),"lieu")</f>
        <v>lieu</v>
      </c>
      <c r="I918" s="4" t="str">
        <f>IFERROR(__xludf.DUMMYFUNCTION("if(D918=""variant"",  substitute(filter(Templates!E:E, Templates!A:A = F918, Templates!B:B = G918, Templates!C:C = H918), ""{{}}"", E918), B918)"),"🏘  Vous souhaitez acheter une maison à Môtiers NE? ✅ Jetez un œil aux dernières offres sur ImmoScout24.ch.")</f>
        <v>🏘  Vous souhaitez acheter une maison à Môtiers NE? ✅ Jetez un œil aux dernières offres sur ImmoScout24.ch.</v>
      </c>
      <c r="J918" s="4" t="s">
        <v>2760</v>
      </c>
    </row>
    <row r="919">
      <c r="A919" s="5" t="s">
        <v>2761</v>
      </c>
      <c r="B919" s="2" t="s">
        <v>2762</v>
      </c>
      <c r="C919" s="4" t="str">
        <f>IFERROR(__xludf.DUMMYFUNCTION("""🏘️ ""&amp;REGEXEXTRACT(B919, ""^(.*): "")&amp;"" ✅ "" &amp;REGEXEXTRACT(B919, ""(Trouvez.*)"")"),"🏘️ Louer appartement Lossy ✅ Trouvez le bien immobilier qui correspond idéalement à vos désirs sur ImmoScout24 - La plateforme de l'immobilier en Suisse.")</f>
        <v>🏘️ Louer appartement Lossy ✅ Trouvez le bien immobilier qui correspond idéalement à vos désirs sur ImmoScout24 - La plateforme de l'immobilier en Suisse.</v>
      </c>
      <c r="D919" s="4" t="str">
        <f>vlookup(A919, Sheet2!D:E, 2, 0)</f>
        <v>variant</v>
      </c>
      <c r="E919" s="4" t="str">
        <f>IFERROR(__xludf.DUMMYFUNCTION("if(H919=""pays"",vlookup(REGEXEXTRACT(C919, ""🏘️ \w+ \w+ (.*) ✅""),'Country prepositions'!A:B, 2, 0) &amp; "" "" &amp; REGEXEXTRACT(C919, ""🏘️ \w+ \w+ (.*) ✅"") ,  if(H919=""quartier"",vlookup(REGEXEXTRACT(C919, ""🏘️ \w+ \w+ (.*) ✅""),'Quartier prepositions'!A"&amp;":E, 5, 0) ,  if(H919=""region"",vlookup(REGEXEXTRACT(C919, ""🏘️ \w+ \w+ (.*) ✅""),'Region prepositions'!B:F, 5, 0),  REGEXEXTRACT(C919, ""🏘️ \w+ \w+ (.*) ✅""))))"),"Lossy")</f>
        <v>Lossy</v>
      </c>
      <c r="F919" s="2" t="str">
        <f>IFERROR(__xludf.DUMMYFUNCTION("REGEXEXTRACT(C919, ""🏘️ (\w+) \w+ .* ✅"")"),"Louer")</f>
        <v>Louer</v>
      </c>
      <c r="G919" s="2" t="str">
        <f>IFERROR(__xludf.DUMMYFUNCTION("REGEXEXTRACT(C919, ""🏘️ \w+ (\w+) .* ✅"")"),"appartement")</f>
        <v>appartement</v>
      </c>
      <c r="H919" s="4" t="str">
        <f>IFERROR(__xludf.DUMMYFUNCTION("REGEXEXTRACT(A919, ""/(\w+)-.*?"")"),"lieu")</f>
        <v>lieu</v>
      </c>
      <c r="I919" s="4" t="str">
        <f>IFERROR(__xludf.DUMMYFUNCTION("if(D919=""variant"",  substitute(filter(Templates!E:E, Templates!A:A = F919, Templates!B:B = G919, Templates!C:C = H919), ""{{}}"", E919), B919)"),"🏘  Vous cherchez un appartement à louer à Lossy? ✅ Les annonces les plus actuelles sont sur ImmoScout24.ch.")</f>
        <v>🏘  Vous cherchez un appartement à louer à Lossy? ✅ Les annonces les plus actuelles sont sur ImmoScout24.ch.</v>
      </c>
      <c r="J919" s="4" t="s">
        <v>2763</v>
      </c>
    </row>
    <row r="920">
      <c r="A920" s="5" t="s">
        <v>2764</v>
      </c>
      <c r="B920" s="2" t="s">
        <v>2765</v>
      </c>
      <c r="C920" s="4" t="str">
        <f>IFERROR(__xludf.DUMMYFUNCTION("""🏘️ ""&amp;REGEXEXTRACT(B920, ""^(.*): "")&amp;"" ✅ "" &amp;REGEXEXTRACT(B920, ""(Trouvez.*)"")"),"🏘️ Vendre appartement Courtepin ✅ Trouvez le bien immobilier qui correspond idéalement à vos désirs sur ImmoScout24 - La plateforme de l'immobilier en Suisse.")</f>
        <v>🏘️ Vendre appartement Courtepin ✅ Trouvez le bien immobilier qui correspond idéalement à vos désirs sur ImmoScout24 - La plateforme de l'immobilier en Suisse.</v>
      </c>
      <c r="D920" s="4" t="str">
        <f>vlookup(A920, Sheet2!D:E, 2, 0)</f>
        <v>variant</v>
      </c>
      <c r="E920" s="4" t="str">
        <f>IFERROR(__xludf.DUMMYFUNCTION("if(H920=""pays"",vlookup(REGEXEXTRACT(C920, ""🏘️ \w+ \w+ (.*) ✅""),'Country prepositions'!A:B, 2, 0) &amp; "" "" &amp; REGEXEXTRACT(C920, ""🏘️ \w+ \w+ (.*) ✅"") ,  if(H920=""quartier"",vlookup(REGEXEXTRACT(C920, ""🏘️ \w+ \w+ (.*) ✅""),'Quartier prepositions'!A"&amp;":E, 5, 0) ,  if(H920=""region"",vlookup(REGEXEXTRACT(C920, ""🏘️ \w+ \w+ (.*) ✅""),'Region prepositions'!B:F, 5, 0),  REGEXEXTRACT(C920, ""🏘️ \w+ \w+ (.*) ✅""))))"),"Courtepin")</f>
        <v>Courtepin</v>
      </c>
      <c r="F920" s="2" t="str">
        <f>IFERROR(__xludf.DUMMYFUNCTION("REGEXEXTRACT(C920, ""🏘️ (\w+) \w+ .* ✅"")"),"Vendre")</f>
        <v>Vendre</v>
      </c>
      <c r="G920" s="2" t="str">
        <f>IFERROR(__xludf.DUMMYFUNCTION("REGEXEXTRACT(C920, ""🏘️ \w+ (\w+) .* ✅"")"),"appartement")</f>
        <v>appartement</v>
      </c>
      <c r="H920" s="4" t="str">
        <f>IFERROR(__xludf.DUMMYFUNCTION("REGEXEXTRACT(A920, ""/(\w+)-.*?"")"),"lieu")</f>
        <v>lieu</v>
      </c>
      <c r="I920" s="4" t="str">
        <f>IFERROR(__xludf.DUMMYFUNCTION("if(D920=""variant"",  substitute(filter(Templates!E:E, Templates!A:A = F920, Templates!B:B = G920, Templates!C:C = H920), ""{{}}"", E920), B920)"),"🏘  L’appartement de vos rêves se trouve sur ImmoScout24.ch ✅ Découvrez les dernières annonces de vente à Courtepin.")</f>
        <v>🏘  L’appartement de vos rêves se trouve sur ImmoScout24.ch ✅ Découvrez les dernières annonces de vente à Courtepin.</v>
      </c>
      <c r="J920" s="4" t="s">
        <v>2766</v>
      </c>
    </row>
    <row r="921">
      <c r="A921" s="5" t="s">
        <v>2767</v>
      </c>
      <c r="B921" s="2" t="s">
        <v>2768</v>
      </c>
      <c r="C921" s="4" t="str">
        <f>IFERROR(__xludf.DUMMYFUNCTION("""🏘️ ""&amp;REGEXEXTRACT(B921, ""^(.*): "")&amp;"" ✅ "" &amp;REGEXEXTRACT(B921, ""(Trouvez.*)"")"),"🏘️ Vendre maison Mollens VD ✅ Trouvez le bien immobilier qui correspond idéalement à vos désirs sur ImmoScout24 - La plateforme de l'immobilier en Suisse.")</f>
        <v>🏘️ Vendre maison Mollens VD ✅ Trouvez le bien immobilier qui correspond idéalement à vos désirs sur ImmoScout24 - La plateforme de l'immobilier en Suisse.</v>
      </c>
      <c r="D921" s="4" t="str">
        <f>vlookup(A921, Sheet2!D:E, 2, 0)</f>
        <v>variant</v>
      </c>
      <c r="E921" s="4" t="str">
        <f>IFERROR(__xludf.DUMMYFUNCTION("if(H921=""pays"",vlookup(REGEXEXTRACT(C921, ""🏘️ \w+ \w+ (.*) ✅""),'Country prepositions'!A:B, 2, 0) &amp; "" "" &amp; REGEXEXTRACT(C921, ""🏘️ \w+ \w+ (.*) ✅"") ,  if(H921=""quartier"",vlookup(REGEXEXTRACT(C921, ""🏘️ \w+ \w+ (.*) ✅""),'Quartier prepositions'!A"&amp;":E, 5, 0) ,  if(H921=""region"",vlookup(REGEXEXTRACT(C921, ""🏘️ \w+ \w+ (.*) ✅""),'Region prepositions'!B:F, 5, 0),  REGEXEXTRACT(C921, ""🏘️ \w+ \w+ (.*) ✅""))))"),"Mollens VD")</f>
        <v>Mollens VD</v>
      </c>
      <c r="F921" s="2" t="str">
        <f>IFERROR(__xludf.DUMMYFUNCTION("REGEXEXTRACT(C921, ""🏘️ (\w+) \w+ .* ✅"")"),"Vendre")</f>
        <v>Vendre</v>
      </c>
      <c r="G921" s="2" t="str">
        <f>IFERROR(__xludf.DUMMYFUNCTION("REGEXEXTRACT(C921, ""🏘️ \w+ (\w+) .* ✅"")"),"maison")</f>
        <v>maison</v>
      </c>
      <c r="H921" s="4" t="str">
        <f>IFERROR(__xludf.DUMMYFUNCTION("REGEXEXTRACT(A921, ""/(\w+)-.*?"")"),"lieu")</f>
        <v>lieu</v>
      </c>
      <c r="I921" s="4" t="str">
        <f>IFERROR(__xludf.DUMMYFUNCTION("if(D921=""variant"",  substitute(filter(Templates!E:E, Templates!A:A = F921, Templates!B:B = G921, Templates!C:C = H921), ""{{}}"", E921), B921)"),"🏘  Vous souhaitez acheter une maison à Mollens VD? ✅ Jetez un œil aux dernières offres sur ImmoScout24.ch.")</f>
        <v>🏘  Vous souhaitez acheter une maison à Mollens VD? ✅ Jetez un œil aux dernières offres sur ImmoScout24.ch.</v>
      </c>
      <c r="J921" s="4" t="s">
        <v>2769</v>
      </c>
    </row>
    <row r="922">
      <c r="A922" s="5" t="s">
        <v>2770</v>
      </c>
      <c r="B922" s="2" t="s">
        <v>2771</v>
      </c>
      <c r="C922" s="4" t="str">
        <f>IFERROR(__xludf.DUMMYFUNCTION("""🏘️ ""&amp;REGEXEXTRACT(B922, ""^(.*): "")&amp;"" ✅ "" &amp;REGEXEXTRACT(B922, ""(Trouvez.*)"")"),"🏘️ Louer appartement Obernau ✅ Trouvez le bien immobilier qui correspond idéalement à vos désirs sur ImmoScout24 - La plateforme de l'immobilier en Suisse.")</f>
        <v>🏘️ Louer appartement Obernau ✅ Trouvez le bien immobilier qui correspond idéalement à vos désirs sur ImmoScout24 - La plateforme de l'immobilier en Suisse.</v>
      </c>
      <c r="D922" s="4" t="str">
        <f>vlookup(A922, Sheet2!D:E, 2, 0)</f>
        <v>variant</v>
      </c>
      <c r="E922" s="4" t="str">
        <f>IFERROR(__xludf.DUMMYFUNCTION("if(H922=""pays"",vlookup(REGEXEXTRACT(C922, ""🏘️ \w+ \w+ (.*) ✅""),'Country prepositions'!A:B, 2, 0) &amp; "" "" &amp; REGEXEXTRACT(C922, ""🏘️ \w+ \w+ (.*) ✅"") ,  if(H922=""quartier"",vlookup(REGEXEXTRACT(C922, ""🏘️ \w+ \w+ (.*) ✅""),'Quartier prepositions'!A"&amp;":E, 5, 0) ,  if(H922=""region"",vlookup(REGEXEXTRACT(C922, ""🏘️ \w+ \w+ (.*) ✅""),'Region prepositions'!B:F, 5, 0),  REGEXEXTRACT(C922, ""🏘️ \w+ \w+ (.*) ✅""))))"),"Obernau")</f>
        <v>Obernau</v>
      </c>
      <c r="F922" s="2" t="str">
        <f>IFERROR(__xludf.DUMMYFUNCTION("REGEXEXTRACT(C922, ""🏘️ (\w+) \w+ .* ✅"")"),"Louer")</f>
        <v>Louer</v>
      </c>
      <c r="G922" s="2" t="str">
        <f>IFERROR(__xludf.DUMMYFUNCTION("REGEXEXTRACT(C922, ""🏘️ \w+ (\w+) .* ✅"")"),"appartement")</f>
        <v>appartement</v>
      </c>
      <c r="H922" s="4" t="str">
        <f>IFERROR(__xludf.DUMMYFUNCTION("REGEXEXTRACT(A922, ""/(\w+)-.*?"")"),"lieu")</f>
        <v>lieu</v>
      </c>
      <c r="I922" s="4" t="str">
        <f>IFERROR(__xludf.DUMMYFUNCTION("if(D922=""variant"",  substitute(filter(Templates!E:E, Templates!A:A = F922, Templates!B:B = G922, Templates!C:C = H922), ""{{}}"", E922), B922)"),"🏘  Vous cherchez un appartement à louer à Obernau? ✅ Les annonces les plus actuelles sont sur ImmoScout24.ch.")</f>
        <v>🏘  Vous cherchez un appartement à louer à Obernau? ✅ Les annonces les plus actuelles sont sur ImmoScout24.ch.</v>
      </c>
      <c r="J922" s="4" t="s">
        <v>2772</v>
      </c>
    </row>
    <row r="923">
      <c r="A923" s="5" t="s">
        <v>2773</v>
      </c>
      <c r="B923" s="2" t="s">
        <v>2774</v>
      </c>
      <c r="C923" s="4" t="str">
        <f>IFERROR(__xludf.DUMMYFUNCTION("""🏘️ ""&amp;REGEXEXTRACT(B923, ""^(.*): "")&amp;"" ✅ "" &amp;REGEXEXTRACT(B923, ""(Trouvez.*)"")"),"🏘️ Louer appartement Meyriez ✅ Trouvez le bien immobilier qui correspond idéalement à vos désirs sur ImmoScout24 - La plateforme de l'immobilier en Suisse.")</f>
        <v>🏘️ Louer appartement Meyriez ✅ Trouvez le bien immobilier qui correspond idéalement à vos désirs sur ImmoScout24 - La plateforme de l'immobilier en Suisse.</v>
      </c>
      <c r="D923" s="4" t="str">
        <f>vlookup(A923, Sheet2!D:E, 2, 0)</f>
        <v>variant</v>
      </c>
      <c r="E923" s="4" t="str">
        <f>IFERROR(__xludf.DUMMYFUNCTION("if(H923=""pays"",vlookup(REGEXEXTRACT(C923, ""🏘️ \w+ \w+ (.*) ✅""),'Country prepositions'!A:B, 2, 0) &amp; "" "" &amp; REGEXEXTRACT(C923, ""🏘️ \w+ \w+ (.*) ✅"") ,  if(H923=""quartier"",vlookup(REGEXEXTRACT(C923, ""🏘️ \w+ \w+ (.*) ✅""),'Quartier prepositions'!A"&amp;":E, 5, 0) ,  if(H923=""region"",vlookup(REGEXEXTRACT(C923, ""🏘️ \w+ \w+ (.*) ✅""),'Region prepositions'!B:F, 5, 0),  REGEXEXTRACT(C923, ""🏘️ \w+ \w+ (.*) ✅""))))"),"Meyriez")</f>
        <v>Meyriez</v>
      </c>
      <c r="F923" s="2" t="str">
        <f>IFERROR(__xludf.DUMMYFUNCTION("REGEXEXTRACT(C923, ""🏘️ (\w+) \w+ .* ✅"")"),"Louer")</f>
        <v>Louer</v>
      </c>
      <c r="G923" s="2" t="str">
        <f>IFERROR(__xludf.DUMMYFUNCTION("REGEXEXTRACT(C923, ""🏘️ \w+ (\w+) .* ✅"")"),"appartement")</f>
        <v>appartement</v>
      </c>
      <c r="H923" s="4" t="str">
        <f>IFERROR(__xludf.DUMMYFUNCTION("REGEXEXTRACT(A923, ""/(\w+)-.*?"")"),"lieu")</f>
        <v>lieu</v>
      </c>
      <c r="I923" s="4" t="str">
        <f>IFERROR(__xludf.DUMMYFUNCTION("if(D923=""variant"",  substitute(filter(Templates!E:E, Templates!A:A = F923, Templates!B:B = G923, Templates!C:C = H923), ""{{}}"", E923), B923)"),"🏘  Vous cherchez un appartement à louer à Meyriez? ✅ Les annonces les plus actuelles sont sur ImmoScout24.ch.")</f>
        <v>🏘  Vous cherchez un appartement à louer à Meyriez? ✅ Les annonces les plus actuelles sont sur ImmoScout24.ch.</v>
      </c>
      <c r="J923" s="4" t="s">
        <v>2775</v>
      </c>
    </row>
    <row r="924">
      <c r="A924" s="5" t="s">
        <v>2776</v>
      </c>
      <c r="B924" s="2" t="s">
        <v>2777</v>
      </c>
      <c r="C924" s="4" t="str">
        <f>IFERROR(__xludf.DUMMYFUNCTION("""🏘️ ""&amp;REGEXEXTRACT(B924, ""^(.*): "")&amp;"" ✅ "" &amp;REGEXEXTRACT(B924, ""(Trouvez.*)"")"),"🏘️ Vendre appartement Farvagny-le-Petit ✅ Trouvez le bien immobilier qui correspond idéalement à vos désirs sur ImmoScout24 - La plateforme de l'immobilier en Suisse.")</f>
        <v>🏘️ Vendre appartement Farvagny-le-Petit ✅ Trouvez le bien immobilier qui correspond idéalement à vos désirs sur ImmoScout24 - La plateforme de l'immobilier en Suisse.</v>
      </c>
      <c r="D924" s="4" t="str">
        <f>vlookup(A924, Sheet2!D:E, 2, 0)</f>
        <v>variant</v>
      </c>
      <c r="E924" s="4" t="str">
        <f>IFERROR(__xludf.DUMMYFUNCTION("if(H924=""pays"",vlookup(REGEXEXTRACT(C924, ""🏘️ \w+ \w+ (.*) ✅""),'Country prepositions'!A:B, 2, 0) &amp; "" "" &amp; REGEXEXTRACT(C924, ""🏘️ \w+ \w+ (.*) ✅"") ,  if(H924=""quartier"",vlookup(REGEXEXTRACT(C924, ""🏘️ \w+ \w+ (.*) ✅""),'Quartier prepositions'!A"&amp;":E, 5, 0) ,  if(H924=""region"",vlookup(REGEXEXTRACT(C924, ""🏘️ \w+ \w+ (.*) ✅""),'Region prepositions'!B:F, 5, 0),  REGEXEXTRACT(C924, ""🏘️ \w+ \w+ (.*) ✅""))))"),"Farvagny-le-Petit")</f>
        <v>Farvagny-le-Petit</v>
      </c>
      <c r="F924" s="2" t="str">
        <f>IFERROR(__xludf.DUMMYFUNCTION("REGEXEXTRACT(C924, ""🏘️ (\w+) \w+ .* ✅"")"),"Vendre")</f>
        <v>Vendre</v>
      </c>
      <c r="G924" s="2" t="str">
        <f>IFERROR(__xludf.DUMMYFUNCTION("REGEXEXTRACT(C924, ""🏘️ \w+ (\w+) .* ✅"")"),"appartement")</f>
        <v>appartement</v>
      </c>
      <c r="H924" s="4" t="str">
        <f>IFERROR(__xludf.DUMMYFUNCTION("REGEXEXTRACT(A924, ""/(\w+)-.*?"")"),"lieu")</f>
        <v>lieu</v>
      </c>
      <c r="I924" s="4" t="str">
        <f>IFERROR(__xludf.DUMMYFUNCTION("if(D924=""variant"",  substitute(filter(Templates!E:E, Templates!A:A = F924, Templates!B:B = G924, Templates!C:C = H924), ""{{}}"", E924), B924)"),"🏘  L’appartement de vos rêves se trouve sur ImmoScout24.ch ✅ Découvrez les dernières annonces de vente à Farvagny-le-Petit.")</f>
        <v>🏘  L’appartement de vos rêves se trouve sur ImmoScout24.ch ✅ Découvrez les dernières annonces de vente à Farvagny-le-Petit.</v>
      </c>
      <c r="J924" s="4" t="s">
        <v>2778</v>
      </c>
    </row>
    <row r="925">
      <c r="A925" s="5" t="s">
        <v>2779</v>
      </c>
      <c r="B925" s="2" t="s">
        <v>2780</v>
      </c>
      <c r="C925" s="4" t="str">
        <f>IFERROR(__xludf.DUMMYFUNCTION("""🏘️ ""&amp;REGEXEXTRACT(B925, ""^(.*): "")&amp;"" ✅ "" &amp;REGEXEXTRACT(B925, ""(Trouvez.*)"")"),"🏘️ Vendre maison Roches BE ✅ Trouvez le bien immobilier qui correspond idéalement à vos désirs sur ImmoScout24 - La plateforme de l'immobilier en Suisse.")</f>
        <v>🏘️ Vendre maison Roches BE ✅ Trouvez le bien immobilier qui correspond idéalement à vos désirs sur ImmoScout24 - La plateforme de l'immobilier en Suisse.</v>
      </c>
      <c r="D925" s="4" t="str">
        <f>vlookup(A925, Sheet2!D:E, 2, 0)</f>
        <v>variant</v>
      </c>
      <c r="E925" s="4" t="str">
        <f>IFERROR(__xludf.DUMMYFUNCTION("if(H925=""pays"",vlookup(REGEXEXTRACT(C925, ""🏘️ \w+ \w+ (.*) ✅""),'Country prepositions'!A:B, 2, 0) &amp; "" "" &amp; REGEXEXTRACT(C925, ""🏘️ \w+ \w+ (.*) ✅"") ,  if(H925=""quartier"",vlookup(REGEXEXTRACT(C925, ""🏘️ \w+ \w+ (.*) ✅""),'Quartier prepositions'!A"&amp;":E, 5, 0) ,  if(H925=""region"",vlookup(REGEXEXTRACT(C925, ""🏘️ \w+ \w+ (.*) ✅""),'Region prepositions'!B:F, 5, 0),  REGEXEXTRACT(C925, ""🏘️ \w+ \w+ (.*) ✅""))))"),"Roches BE")</f>
        <v>Roches BE</v>
      </c>
      <c r="F925" s="2" t="str">
        <f>IFERROR(__xludf.DUMMYFUNCTION("REGEXEXTRACT(C925, ""🏘️ (\w+) \w+ .* ✅"")"),"Vendre")</f>
        <v>Vendre</v>
      </c>
      <c r="G925" s="2" t="str">
        <f>IFERROR(__xludf.DUMMYFUNCTION("REGEXEXTRACT(C925, ""🏘️ \w+ (\w+) .* ✅"")"),"maison")</f>
        <v>maison</v>
      </c>
      <c r="H925" s="4" t="str">
        <f>IFERROR(__xludf.DUMMYFUNCTION("REGEXEXTRACT(A925, ""/(\w+)-.*?"")"),"lieu")</f>
        <v>lieu</v>
      </c>
      <c r="I925" s="4" t="str">
        <f>IFERROR(__xludf.DUMMYFUNCTION("if(D925=""variant"",  substitute(filter(Templates!E:E, Templates!A:A = F925, Templates!B:B = G925, Templates!C:C = H925), ""{{}}"", E925), B925)"),"🏘  Vous souhaitez acheter une maison à Roches BE? ✅ Jetez un œil aux dernières offres sur ImmoScout24.ch.")</f>
        <v>🏘  Vous souhaitez acheter une maison à Roches BE? ✅ Jetez un œil aux dernières offres sur ImmoScout24.ch.</v>
      </c>
      <c r="J925" s="4" t="s">
        <v>2781</v>
      </c>
    </row>
    <row r="926">
      <c r="A926" s="5" t="s">
        <v>2782</v>
      </c>
      <c r="B926" s="2" t="s">
        <v>2783</v>
      </c>
      <c r="C926" s="4" t="str">
        <f>IFERROR(__xludf.DUMMYFUNCTION("""🏘️ ""&amp;REGEXEXTRACT(B926, ""^(.*): "")&amp;"" ✅ "" &amp;REGEXEXTRACT(B926, ""(Trouvez.*)"")"),"🏘️ Vendre maison Venthône ✅ Trouvez le bien immobilier qui correspond idéalement à vos désirs sur ImmoScout24 - La plateforme de l'immobilier en Suisse.")</f>
        <v>🏘️ Vendre maison Venthône ✅ Trouvez le bien immobilier qui correspond idéalement à vos désirs sur ImmoScout24 - La plateforme de l'immobilier en Suisse.</v>
      </c>
      <c r="D926" s="4" t="str">
        <f>vlookup(A926, Sheet2!D:E, 2, 0)</f>
        <v>variant</v>
      </c>
      <c r="E926" s="4" t="str">
        <f>IFERROR(__xludf.DUMMYFUNCTION("if(H926=""pays"",vlookup(REGEXEXTRACT(C926, ""🏘️ \w+ \w+ (.*) ✅""),'Country prepositions'!A:B, 2, 0) &amp; "" "" &amp; REGEXEXTRACT(C926, ""🏘️ \w+ \w+ (.*) ✅"") ,  if(H926=""quartier"",vlookup(REGEXEXTRACT(C926, ""🏘️ \w+ \w+ (.*) ✅""),'Quartier prepositions'!A"&amp;":E, 5, 0) ,  if(H926=""region"",vlookup(REGEXEXTRACT(C926, ""🏘️ \w+ \w+ (.*) ✅""),'Region prepositions'!B:F, 5, 0),  REGEXEXTRACT(C926, ""🏘️ \w+ \w+ (.*) ✅""))))"),"Venthône")</f>
        <v>Venthône</v>
      </c>
      <c r="F926" s="2" t="str">
        <f>IFERROR(__xludf.DUMMYFUNCTION("REGEXEXTRACT(C926, ""🏘️ (\w+) \w+ .* ✅"")"),"Vendre")</f>
        <v>Vendre</v>
      </c>
      <c r="G926" s="2" t="str">
        <f>IFERROR(__xludf.DUMMYFUNCTION("REGEXEXTRACT(C926, ""🏘️ \w+ (\w+) .* ✅"")"),"maison")</f>
        <v>maison</v>
      </c>
      <c r="H926" s="4" t="str">
        <f>IFERROR(__xludf.DUMMYFUNCTION("REGEXEXTRACT(A926, ""/(\w+)-.*?"")"),"lieu")</f>
        <v>lieu</v>
      </c>
      <c r="I926" s="4" t="str">
        <f>IFERROR(__xludf.DUMMYFUNCTION("if(D926=""variant"",  substitute(filter(Templates!E:E, Templates!A:A = F926, Templates!B:B = G926, Templates!C:C = H926), ""{{}}"", E926), B926)"),"🏘  Vous souhaitez acheter une maison à Venthône? ✅ Jetez un œil aux dernières offres sur ImmoScout24.ch.")</f>
        <v>🏘  Vous souhaitez acheter une maison à Venthône? ✅ Jetez un œil aux dernières offres sur ImmoScout24.ch.</v>
      </c>
      <c r="J926" s="4" t="s">
        <v>2784</v>
      </c>
    </row>
    <row r="927">
      <c r="A927" s="5" t="s">
        <v>2785</v>
      </c>
      <c r="B927" s="2" t="s">
        <v>2786</v>
      </c>
      <c r="C927" s="4" t="str">
        <f>IFERROR(__xludf.DUMMYFUNCTION("""🏘️ ""&amp;REGEXEXTRACT(B927, ""^(.*): "")&amp;"" ✅ "" &amp;REGEXEXTRACT(B927, ""(Trouvez.*)"")"),"🏘️ Louer appartement Fontenais ✅ Trouvez le bien immobilier qui correspond idéalement à vos désirs sur ImmoScout24 - La plateforme de l'immobilier en Suisse.")</f>
        <v>🏘️ Louer appartement Fontenais ✅ Trouvez le bien immobilier qui correspond idéalement à vos désirs sur ImmoScout24 - La plateforme de l'immobilier en Suisse.</v>
      </c>
      <c r="D927" s="4" t="str">
        <f>vlookup(A927, Sheet2!D:E, 2, 0)</f>
        <v>variant</v>
      </c>
      <c r="E927" s="4" t="str">
        <f>IFERROR(__xludf.DUMMYFUNCTION("if(H927=""pays"",vlookup(REGEXEXTRACT(C927, ""🏘️ \w+ \w+ (.*) ✅""),'Country prepositions'!A:B, 2, 0) &amp; "" "" &amp; REGEXEXTRACT(C927, ""🏘️ \w+ \w+ (.*) ✅"") ,  if(H927=""quartier"",vlookup(REGEXEXTRACT(C927, ""🏘️ \w+ \w+ (.*) ✅""),'Quartier prepositions'!A"&amp;":E, 5, 0) ,  if(H927=""region"",vlookup(REGEXEXTRACT(C927, ""🏘️ \w+ \w+ (.*) ✅""),'Region prepositions'!B:F, 5, 0),  REGEXEXTRACT(C927, ""🏘️ \w+ \w+ (.*) ✅""))))"),"Fontenais")</f>
        <v>Fontenais</v>
      </c>
      <c r="F927" s="2" t="str">
        <f>IFERROR(__xludf.DUMMYFUNCTION("REGEXEXTRACT(C927, ""🏘️ (\w+) \w+ .* ✅"")"),"Louer")</f>
        <v>Louer</v>
      </c>
      <c r="G927" s="2" t="str">
        <f>IFERROR(__xludf.DUMMYFUNCTION("REGEXEXTRACT(C927, ""🏘️ \w+ (\w+) .* ✅"")"),"appartement")</f>
        <v>appartement</v>
      </c>
      <c r="H927" s="4" t="str">
        <f>IFERROR(__xludf.DUMMYFUNCTION("REGEXEXTRACT(A927, ""/(\w+)-.*?"")"),"lieu")</f>
        <v>lieu</v>
      </c>
      <c r="I927" s="4" t="str">
        <f>IFERROR(__xludf.DUMMYFUNCTION("if(D927=""variant"",  substitute(filter(Templates!E:E, Templates!A:A = F927, Templates!B:B = G927, Templates!C:C = H927), ""{{}}"", E927), B927)"),"🏘  Vous cherchez un appartement à louer à Fontenais? ✅ Les annonces les plus actuelles sont sur ImmoScout24.ch.")</f>
        <v>🏘  Vous cherchez un appartement à louer à Fontenais? ✅ Les annonces les plus actuelles sont sur ImmoScout24.ch.</v>
      </c>
      <c r="J927" s="4" t="s">
        <v>2787</v>
      </c>
    </row>
    <row r="928">
      <c r="A928" s="5" t="s">
        <v>2788</v>
      </c>
      <c r="B928" s="2" t="s">
        <v>2789</v>
      </c>
      <c r="C928" s="4" t="str">
        <f>IFERROR(__xludf.DUMMYFUNCTION("""🏘️ ""&amp;REGEXEXTRACT(B928, ""^(.*): "")&amp;"" ✅ "" &amp;REGEXEXTRACT(B928, ""(Trouvez.*)"")"),"🏘️ Vendre maison St. Silvester ✅ Trouvez le bien immobilier qui correspond idéalement à vos désirs sur ImmoScout24 - La plateforme de l'immobilier en Suisse.")</f>
        <v>🏘️ Vendre maison St. Silvester ✅ Trouvez le bien immobilier qui correspond idéalement à vos désirs sur ImmoScout24 - La plateforme de l'immobilier en Suisse.</v>
      </c>
      <c r="D928" s="4" t="str">
        <f>vlookup(A928, Sheet2!D:E, 2, 0)</f>
        <v>variant</v>
      </c>
      <c r="E928" s="4" t="str">
        <f>IFERROR(__xludf.DUMMYFUNCTION("if(H928=""pays"",vlookup(REGEXEXTRACT(C928, ""🏘️ \w+ \w+ (.*) ✅""),'Country prepositions'!A:B, 2, 0) &amp; "" "" &amp; REGEXEXTRACT(C928, ""🏘️ \w+ \w+ (.*) ✅"") ,  if(H928=""quartier"",vlookup(REGEXEXTRACT(C928, ""🏘️ \w+ \w+ (.*) ✅""),'Quartier prepositions'!A"&amp;":E, 5, 0) ,  if(H928=""region"",vlookup(REGEXEXTRACT(C928, ""🏘️ \w+ \w+ (.*) ✅""),'Region prepositions'!B:F, 5, 0),  REGEXEXTRACT(C928, ""🏘️ \w+ \w+ (.*) ✅""))))"),"St. Silvester")</f>
        <v>St. Silvester</v>
      </c>
      <c r="F928" s="2" t="str">
        <f>IFERROR(__xludf.DUMMYFUNCTION("REGEXEXTRACT(C928, ""🏘️ (\w+) \w+ .* ✅"")"),"Vendre")</f>
        <v>Vendre</v>
      </c>
      <c r="G928" s="2" t="str">
        <f>IFERROR(__xludf.DUMMYFUNCTION("REGEXEXTRACT(C928, ""🏘️ \w+ (\w+) .* ✅"")"),"maison")</f>
        <v>maison</v>
      </c>
      <c r="H928" s="4" t="str">
        <f>IFERROR(__xludf.DUMMYFUNCTION("REGEXEXTRACT(A928, ""/(\w+)-.*?"")"),"lieu")</f>
        <v>lieu</v>
      </c>
      <c r="I928" s="4" t="str">
        <f>IFERROR(__xludf.DUMMYFUNCTION("if(D928=""variant"",  substitute(filter(Templates!E:E, Templates!A:A = F928, Templates!B:B = G928, Templates!C:C = H928), ""{{}}"", E928), B928)"),"🏘  Vous souhaitez acheter une maison à St. Silvester? ✅ Jetez un œil aux dernières offres sur ImmoScout24.ch.")</f>
        <v>🏘  Vous souhaitez acheter une maison à St. Silvester? ✅ Jetez un œil aux dernières offres sur ImmoScout24.ch.</v>
      </c>
      <c r="J928" s="4" t="s">
        <v>2790</v>
      </c>
    </row>
    <row r="929">
      <c r="A929" s="5" t="s">
        <v>2791</v>
      </c>
      <c r="B929" s="2" t="s">
        <v>2792</v>
      </c>
      <c r="C929" s="4" t="str">
        <f>IFERROR(__xludf.DUMMYFUNCTION("""🏘️ ""&amp;REGEXEXTRACT(B929, ""^(.*): "")&amp;"" ✅ "" &amp;REGEXEXTRACT(B929, ""(Trouvez.*)"")"),"🏘️ Louer appartement Canton de Schwyz ✅ Trouvez le bien immobilier qui correspond idéalement à vos désirs sur ImmoScout24 - La plateforme de l'immobilier en Suisse.")</f>
        <v>🏘️ Louer appartement Canton de Schwyz ✅ Trouvez le bien immobilier qui correspond idéalement à vos désirs sur ImmoScout24 - La plateforme de l'immobilier en Suisse.</v>
      </c>
      <c r="D929" s="4" t="str">
        <f>vlookup(A929, Sheet2!D:E, 2, 0)</f>
        <v>variant</v>
      </c>
      <c r="E929" s="4" t="str">
        <f>IFERROR(__xludf.DUMMYFUNCTION("if(H929=""pays"",vlookup(REGEXEXTRACT(C929, ""🏘️ \w+ \w+ (.*) ✅""),'Country prepositions'!A:B, 2, 0) &amp; "" "" &amp; REGEXEXTRACT(C929, ""🏘️ \w+ \w+ (.*) ✅"") ,  if(H929=""quartier"",vlookup(REGEXEXTRACT(C929, ""🏘️ \w+ \w+ (.*) ✅""),'Quartier prepositions'!A"&amp;":E, 5, 0) ,  if(H929=""region"",vlookup(REGEXEXTRACT(C929, ""🏘️ \w+ \w+ (.*) ✅""),'Region prepositions'!B:F, 5, 0),  REGEXEXTRACT(C929, ""🏘️ \w+ \w+ (.*) ✅""))))"),"Canton de Schwyz")</f>
        <v>Canton de Schwyz</v>
      </c>
      <c r="F929" s="2" t="str">
        <f>IFERROR(__xludf.DUMMYFUNCTION("REGEXEXTRACT(C929, ""🏘️ (\w+) \w+ .* ✅"")"),"Louer")</f>
        <v>Louer</v>
      </c>
      <c r="G929" s="2" t="str">
        <f>IFERROR(__xludf.DUMMYFUNCTION("REGEXEXTRACT(C929, ""🏘️ \w+ (\w+) .* ✅"")"),"appartement")</f>
        <v>appartement</v>
      </c>
      <c r="H929" s="4" t="str">
        <f>IFERROR(__xludf.DUMMYFUNCTION("REGEXEXTRACT(A929, ""/(\w+)-.*?"")"),"canton")</f>
        <v>canton</v>
      </c>
      <c r="I929" s="4" t="str">
        <f>IFERROR(__xludf.DUMMYFUNCTION("if(D929=""variant"",  substitute(filter(Templates!E:E, Templates!A:A = F929, Templates!B:B = G929, Templates!C:C = H929), ""{{}}"", E929), B929)"),"🏘  Vous cherchez un appartement à louer dans le Canton de Schwyz? ✅ Les annonces les plus actuelles sont sur ImmoScout24.ch.")</f>
        <v>🏘  Vous cherchez un appartement à louer dans le Canton de Schwyz? ✅ Les annonces les plus actuelles sont sur ImmoScout24.ch.</v>
      </c>
      <c r="J929" s="4" t="s">
        <v>2793</v>
      </c>
    </row>
    <row r="930">
      <c r="A930" s="5" t="s">
        <v>2794</v>
      </c>
      <c r="B930" s="2" t="s">
        <v>2795</v>
      </c>
      <c r="C930" s="4" t="str">
        <f>IFERROR(__xludf.DUMMYFUNCTION("""🏘️ ""&amp;REGEXEXTRACT(B930, ""^(.*): "")&amp;"" ✅ "" &amp;REGEXEXTRACT(B930, ""(Trouvez.*)"")"),"🏘️ Louer maison Horn ✅ Trouvez le bien immobilier qui correspond idéalement à vos désirs sur ImmoScout24 - La plateforme de l'immobilier en Suisse.")</f>
        <v>🏘️ Louer maison Horn ✅ Trouvez le bien immobilier qui correspond idéalement à vos désirs sur ImmoScout24 - La plateforme de l'immobilier en Suisse.</v>
      </c>
      <c r="D930" s="4" t="str">
        <f>vlookup(A930, Sheet2!D:E, 2, 0)</f>
        <v>variant</v>
      </c>
      <c r="E930" s="4" t="str">
        <f>IFERROR(__xludf.DUMMYFUNCTION("if(H930=""pays"",vlookup(REGEXEXTRACT(C930, ""🏘️ \w+ \w+ (.*) ✅""),'Country prepositions'!A:B, 2, 0) &amp; "" "" &amp; REGEXEXTRACT(C930, ""🏘️ \w+ \w+ (.*) ✅"") ,  if(H930=""quartier"",vlookup(REGEXEXTRACT(C930, ""🏘️ \w+ \w+ (.*) ✅""),'Quartier prepositions'!A"&amp;":E, 5, 0) ,  if(H930=""region"",vlookup(REGEXEXTRACT(C930, ""🏘️ \w+ \w+ (.*) ✅""),'Region prepositions'!B:F, 5, 0),  REGEXEXTRACT(C930, ""🏘️ \w+ \w+ (.*) ✅""))))"),"Horn")</f>
        <v>Horn</v>
      </c>
      <c r="F930" s="2" t="str">
        <f>IFERROR(__xludf.DUMMYFUNCTION("REGEXEXTRACT(C930, ""🏘️ (\w+) \w+ .* ✅"")"),"Louer")</f>
        <v>Louer</v>
      </c>
      <c r="G930" s="2" t="str">
        <f>IFERROR(__xludf.DUMMYFUNCTION("REGEXEXTRACT(C930, ""🏘️ \w+ (\w+) .* ✅"")"),"maison")</f>
        <v>maison</v>
      </c>
      <c r="H930" s="4" t="str">
        <f>IFERROR(__xludf.DUMMYFUNCTION("REGEXEXTRACT(A930, ""/(\w+)-.*?"")"),"lieu")</f>
        <v>lieu</v>
      </c>
      <c r="I930" s="4" t="str">
        <f>IFERROR(__xludf.DUMMYFUNCTION("if(D930=""variant"",  substitute(filter(Templates!E:E, Templates!A:A = F930, Templates!B:B = G930, Templates!C:C = H930), ""{{}}"", E930), B930)"),"🏘  Vous cherchez une maison à louer à Horn? ✅ Découvrez nos nombreuses annonces sur ImmoScout24.ch.")</f>
        <v>🏘  Vous cherchez une maison à louer à Horn? ✅ Découvrez nos nombreuses annonces sur ImmoScout24.ch.</v>
      </c>
      <c r="J930" s="4" t="s">
        <v>2796</v>
      </c>
    </row>
    <row r="931">
      <c r="A931" s="5" t="s">
        <v>2797</v>
      </c>
      <c r="B931" s="2" t="s">
        <v>2798</v>
      </c>
      <c r="C931" s="4" t="str">
        <f>IFERROR(__xludf.DUMMYFUNCTION("""🏘️ ""&amp;REGEXEXTRACT(B931, ""^(.*): "")&amp;"" ✅ "" &amp;REGEXEXTRACT(B931, ""(Trouvez.*)"")"),"🏘️ Louer appartement Granges VS ✅ Trouvez le bien immobilier qui correspond idéalement à vos désirs sur ImmoScout24 - La plateforme de l'immobilier en Suisse.")</f>
        <v>🏘️ Louer appartement Granges VS ✅ Trouvez le bien immobilier qui correspond idéalement à vos désirs sur ImmoScout24 - La plateforme de l'immobilier en Suisse.</v>
      </c>
      <c r="D931" s="4" t="str">
        <f>vlookup(A931, Sheet2!D:E, 2, 0)</f>
        <v>variant</v>
      </c>
      <c r="E931" s="4" t="str">
        <f>IFERROR(__xludf.DUMMYFUNCTION("if(H931=""pays"",vlookup(REGEXEXTRACT(C931, ""🏘️ \w+ \w+ (.*) ✅""),'Country prepositions'!A:B, 2, 0) &amp; "" "" &amp; REGEXEXTRACT(C931, ""🏘️ \w+ \w+ (.*) ✅"") ,  if(H931=""quartier"",vlookup(REGEXEXTRACT(C931, ""🏘️ \w+ \w+ (.*) ✅""),'Quartier prepositions'!A"&amp;":E, 5, 0) ,  if(H931=""region"",vlookup(REGEXEXTRACT(C931, ""🏘️ \w+ \w+ (.*) ✅""),'Region prepositions'!B:F, 5, 0),  REGEXEXTRACT(C931, ""🏘️ \w+ \w+ (.*) ✅""))))"),"Granges VS")</f>
        <v>Granges VS</v>
      </c>
      <c r="F931" s="2" t="str">
        <f>IFERROR(__xludf.DUMMYFUNCTION("REGEXEXTRACT(C931, ""🏘️ (\w+) \w+ .* ✅"")"),"Louer")</f>
        <v>Louer</v>
      </c>
      <c r="G931" s="2" t="str">
        <f>IFERROR(__xludf.DUMMYFUNCTION("REGEXEXTRACT(C931, ""🏘️ \w+ (\w+) .* ✅"")"),"appartement")</f>
        <v>appartement</v>
      </c>
      <c r="H931" s="4" t="str">
        <f>IFERROR(__xludf.DUMMYFUNCTION("REGEXEXTRACT(A931, ""/(\w+)-.*?"")"),"lieu")</f>
        <v>lieu</v>
      </c>
      <c r="I931" s="4" t="str">
        <f>IFERROR(__xludf.DUMMYFUNCTION("if(D931=""variant"",  substitute(filter(Templates!E:E, Templates!A:A = F931, Templates!B:B = G931, Templates!C:C = H931), ""{{}}"", E931), B931)"),"🏘  Vous cherchez un appartement à louer à Granges VS? ✅ Les annonces les plus actuelles sont sur ImmoScout24.ch.")</f>
        <v>🏘  Vous cherchez un appartement à louer à Granges VS? ✅ Les annonces les plus actuelles sont sur ImmoScout24.ch.</v>
      </c>
      <c r="J931" s="4" t="s">
        <v>2799</v>
      </c>
    </row>
    <row r="932">
      <c r="A932" s="5" t="s">
        <v>2800</v>
      </c>
      <c r="B932" s="2" t="s">
        <v>2801</v>
      </c>
      <c r="C932" s="4" t="str">
        <f>IFERROR(__xludf.DUMMYFUNCTION("""🏘️ ""&amp;REGEXEXTRACT(B932, ""^(.*): "")&amp;"" ✅ "" &amp;REGEXEXTRACT(B932, ""(Trouvez.*)"")"),"🏘️ Vendre maison Thayngen ✅ Trouvez le bien immobilier qui correspond idéalement à vos désirs sur ImmoScout24 - La plateforme de l'immobilier en Suisse.")</f>
        <v>🏘️ Vendre maison Thayngen ✅ Trouvez le bien immobilier qui correspond idéalement à vos désirs sur ImmoScout24 - La plateforme de l'immobilier en Suisse.</v>
      </c>
      <c r="D932" s="4" t="str">
        <f>vlookup(A932, Sheet2!D:E, 2, 0)</f>
        <v>variant</v>
      </c>
      <c r="E932" s="4" t="str">
        <f>IFERROR(__xludf.DUMMYFUNCTION("if(H932=""pays"",vlookup(REGEXEXTRACT(C932, ""🏘️ \w+ \w+ (.*) ✅""),'Country prepositions'!A:B, 2, 0) &amp; "" "" &amp; REGEXEXTRACT(C932, ""🏘️ \w+ \w+ (.*) ✅"") ,  if(H932=""quartier"",vlookup(REGEXEXTRACT(C932, ""🏘️ \w+ \w+ (.*) ✅""),'Quartier prepositions'!A"&amp;":E, 5, 0) ,  if(H932=""region"",vlookup(REGEXEXTRACT(C932, ""🏘️ \w+ \w+ (.*) ✅""),'Region prepositions'!B:F, 5, 0),  REGEXEXTRACT(C932, ""🏘️ \w+ \w+ (.*) ✅""))))"),"Thayngen")</f>
        <v>Thayngen</v>
      </c>
      <c r="F932" s="2" t="str">
        <f>IFERROR(__xludf.DUMMYFUNCTION("REGEXEXTRACT(C932, ""🏘️ (\w+) \w+ .* ✅"")"),"Vendre")</f>
        <v>Vendre</v>
      </c>
      <c r="G932" s="2" t="str">
        <f>IFERROR(__xludf.DUMMYFUNCTION("REGEXEXTRACT(C932, ""🏘️ \w+ (\w+) .* ✅"")"),"maison")</f>
        <v>maison</v>
      </c>
      <c r="H932" s="4" t="str">
        <f>IFERROR(__xludf.DUMMYFUNCTION("REGEXEXTRACT(A932, ""/(\w+)-.*?"")"),"lieu")</f>
        <v>lieu</v>
      </c>
      <c r="I932" s="4" t="str">
        <f>IFERROR(__xludf.DUMMYFUNCTION("if(D932=""variant"",  substitute(filter(Templates!E:E, Templates!A:A = F932, Templates!B:B = G932, Templates!C:C = H932), ""{{}}"", E932), B932)"),"🏘  Vous souhaitez acheter une maison à Thayngen? ✅ Jetez un œil aux dernières offres sur ImmoScout24.ch.")</f>
        <v>🏘  Vous souhaitez acheter une maison à Thayngen? ✅ Jetez un œil aux dernières offres sur ImmoScout24.ch.</v>
      </c>
      <c r="J932" s="4" t="s">
        <v>2802</v>
      </c>
    </row>
    <row r="933">
      <c r="A933" s="5" t="s">
        <v>2803</v>
      </c>
      <c r="B933" s="2" t="s">
        <v>2804</v>
      </c>
      <c r="C933" s="4" t="str">
        <f>IFERROR(__xludf.DUMMYFUNCTION("""🏘️ ""&amp;REGEXEXTRACT(B933, ""^(.*): "")&amp;"" ✅ "" &amp;REGEXEXTRACT(B933, ""(Trouvez.*)"")"),"🏘️ Louer appartement Malans GR ✅ Trouvez le bien immobilier qui correspond idéalement à vos désirs sur ImmoScout24 - La plateforme de l'immobilier en Suisse.")</f>
        <v>🏘️ Louer appartement Malans GR ✅ Trouvez le bien immobilier qui correspond idéalement à vos désirs sur ImmoScout24 - La plateforme de l'immobilier en Suisse.</v>
      </c>
      <c r="D933" s="4" t="str">
        <f>vlookup(A933, Sheet2!D:E, 2, 0)</f>
        <v>variant</v>
      </c>
      <c r="E933" s="4" t="str">
        <f>IFERROR(__xludf.DUMMYFUNCTION("if(H933=""pays"",vlookup(REGEXEXTRACT(C933, ""🏘️ \w+ \w+ (.*) ✅""),'Country prepositions'!A:B, 2, 0) &amp; "" "" &amp; REGEXEXTRACT(C933, ""🏘️ \w+ \w+ (.*) ✅"") ,  if(H933=""quartier"",vlookup(REGEXEXTRACT(C933, ""🏘️ \w+ \w+ (.*) ✅""),'Quartier prepositions'!A"&amp;":E, 5, 0) ,  if(H933=""region"",vlookup(REGEXEXTRACT(C933, ""🏘️ \w+ \w+ (.*) ✅""),'Region prepositions'!B:F, 5, 0),  REGEXEXTRACT(C933, ""🏘️ \w+ \w+ (.*) ✅""))))"),"Malans GR")</f>
        <v>Malans GR</v>
      </c>
      <c r="F933" s="2" t="str">
        <f>IFERROR(__xludf.DUMMYFUNCTION("REGEXEXTRACT(C933, ""🏘️ (\w+) \w+ .* ✅"")"),"Louer")</f>
        <v>Louer</v>
      </c>
      <c r="G933" s="2" t="str">
        <f>IFERROR(__xludf.DUMMYFUNCTION("REGEXEXTRACT(C933, ""🏘️ \w+ (\w+) .* ✅"")"),"appartement")</f>
        <v>appartement</v>
      </c>
      <c r="H933" s="4" t="str">
        <f>IFERROR(__xludf.DUMMYFUNCTION("REGEXEXTRACT(A933, ""/(\w+)-.*?"")"),"lieu")</f>
        <v>lieu</v>
      </c>
      <c r="I933" s="4" t="str">
        <f>IFERROR(__xludf.DUMMYFUNCTION("if(D933=""variant"",  substitute(filter(Templates!E:E, Templates!A:A = F933, Templates!B:B = G933, Templates!C:C = H933), ""{{}}"", E933), B933)"),"🏘  Vous cherchez un appartement à louer à Malans GR? ✅ Les annonces les plus actuelles sont sur ImmoScout24.ch.")</f>
        <v>🏘  Vous cherchez un appartement à louer à Malans GR? ✅ Les annonces les plus actuelles sont sur ImmoScout24.ch.</v>
      </c>
      <c r="J933" s="4" t="s">
        <v>2805</v>
      </c>
    </row>
    <row r="934">
      <c r="A934" s="5" t="s">
        <v>2806</v>
      </c>
      <c r="B934" s="2" t="s">
        <v>2807</v>
      </c>
      <c r="C934" s="4" t="str">
        <f>IFERROR(__xludf.DUMMYFUNCTION("""🏘️ ""&amp;REGEXEXTRACT(B934, ""^(.*): "")&amp;"" ✅ "" &amp;REGEXEXTRACT(B934, ""(Trouvez.*)"")"),"🏘️ Vendre maison Oron-la-Ville ✅ Trouvez le bien immobilier qui correspond idéalement à vos désirs sur ImmoScout24 - La plateforme de l'immobilier en Suisse.")</f>
        <v>🏘️ Vendre maison Oron-la-Ville ✅ Trouvez le bien immobilier qui correspond idéalement à vos désirs sur ImmoScout24 - La plateforme de l'immobilier en Suisse.</v>
      </c>
      <c r="D934" s="4" t="str">
        <f>vlookup(A934, Sheet2!D:E, 2, 0)</f>
        <v>variant</v>
      </c>
      <c r="E934" s="4" t="str">
        <f>IFERROR(__xludf.DUMMYFUNCTION("if(H934=""pays"",vlookup(REGEXEXTRACT(C934, ""🏘️ \w+ \w+ (.*) ✅""),'Country prepositions'!A:B, 2, 0) &amp; "" "" &amp; REGEXEXTRACT(C934, ""🏘️ \w+ \w+ (.*) ✅"") ,  if(H934=""quartier"",vlookup(REGEXEXTRACT(C934, ""🏘️ \w+ \w+ (.*) ✅""),'Quartier prepositions'!A"&amp;":E, 5, 0) ,  if(H934=""region"",vlookup(REGEXEXTRACT(C934, ""🏘️ \w+ \w+ (.*) ✅""),'Region prepositions'!B:F, 5, 0),  REGEXEXTRACT(C934, ""🏘️ \w+ \w+ (.*) ✅""))))"),"Oron-la-Ville")</f>
        <v>Oron-la-Ville</v>
      </c>
      <c r="F934" s="2" t="str">
        <f>IFERROR(__xludf.DUMMYFUNCTION("REGEXEXTRACT(C934, ""🏘️ (\w+) \w+ .* ✅"")"),"Vendre")</f>
        <v>Vendre</v>
      </c>
      <c r="G934" s="2" t="str">
        <f>IFERROR(__xludf.DUMMYFUNCTION("REGEXEXTRACT(C934, ""🏘️ \w+ (\w+) .* ✅"")"),"maison")</f>
        <v>maison</v>
      </c>
      <c r="H934" s="4" t="str">
        <f>IFERROR(__xludf.DUMMYFUNCTION("REGEXEXTRACT(A934, ""/(\w+)-.*?"")"),"lieu")</f>
        <v>lieu</v>
      </c>
      <c r="I934" s="4" t="str">
        <f>IFERROR(__xludf.DUMMYFUNCTION("if(D934=""variant"",  substitute(filter(Templates!E:E, Templates!A:A = F934, Templates!B:B = G934, Templates!C:C = H934), ""{{}}"", E934), B934)"),"🏘  Vous souhaitez acheter une maison à Oron-la-Ville? ✅ Jetez un œil aux dernières offres sur ImmoScout24.ch.")</f>
        <v>🏘  Vous souhaitez acheter une maison à Oron-la-Ville? ✅ Jetez un œil aux dernières offres sur ImmoScout24.ch.</v>
      </c>
      <c r="J934" s="4" t="s">
        <v>2808</v>
      </c>
    </row>
    <row r="935">
      <c r="A935" s="5" t="s">
        <v>2809</v>
      </c>
      <c r="B935" s="2" t="s">
        <v>2810</v>
      </c>
      <c r="C935" s="4" t="str">
        <f>IFERROR(__xludf.DUMMYFUNCTION("""🏘️ ""&amp;REGEXEXTRACT(B935, ""^(.*): "")&amp;"" ✅ "" &amp;REGEXEXTRACT(B935, ""(Trouvez.*)"")"),"🏘️ Vendre appartement St-Maurice ✅ Trouvez le bien immobilier qui correspond idéalement à vos désirs sur ImmoScout24 - La plateforme de l'immobilier en Suisse.")</f>
        <v>🏘️ Vendre appartement St-Maurice ✅ Trouvez le bien immobilier qui correspond idéalement à vos désirs sur ImmoScout24 - La plateforme de l'immobilier en Suisse.</v>
      </c>
      <c r="D935" s="4" t="str">
        <f>vlookup(A935, Sheet2!D:E, 2, 0)</f>
        <v>variant</v>
      </c>
      <c r="E935" s="4" t="str">
        <f>IFERROR(__xludf.DUMMYFUNCTION("if(H935=""pays"",vlookup(REGEXEXTRACT(C935, ""🏘️ \w+ \w+ (.*) ✅""),'Country prepositions'!A:B, 2, 0) &amp; "" "" &amp; REGEXEXTRACT(C935, ""🏘️ \w+ \w+ (.*) ✅"") ,  if(H935=""quartier"",vlookup(REGEXEXTRACT(C935, ""🏘️ \w+ \w+ (.*) ✅""),'Quartier prepositions'!A"&amp;":E, 5, 0) ,  if(H935=""region"",vlookup(REGEXEXTRACT(C935, ""🏘️ \w+ \w+ (.*) ✅""),'Region prepositions'!B:F, 5, 0),  REGEXEXTRACT(C935, ""🏘️ \w+ \w+ (.*) ✅""))))"),"St-Maurice")</f>
        <v>St-Maurice</v>
      </c>
      <c r="F935" s="2" t="str">
        <f>IFERROR(__xludf.DUMMYFUNCTION("REGEXEXTRACT(C935, ""🏘️ (\w+) \w+ .* ✅"")"),"Vendre")</f>
        <v>Vendre</v>
      </c>
      <c r="G935" s="2" t="str">
        <f>IFERROR(__xludf.DUMMYFUNCTION("REGEXEXTRACT(C935, ""🏘️ \w+ (\w+) .* ✅"")"),"appartement")</f>
        <v>appartement</v>
      </c>
      <c r="H935" s="4" t="str">
        <f>IFERROR(__xludf.DUMMYFUNCTION("REGEXEXTRACT(A935, ""/(\w+)-.*?"")"),"lieu")</f>
        <v>lieu</v>
      </c>
      <c r="I935" s="4" t="str">
        <f>IFERROR(__xludf.DUMMYFUNCTION("if(D935=""variant"",  substitute(filter(Templates!E:E, Templates!A:A = F935, Templates!B:B = G935, Templates!C:C = H935), ""{{}}"", E935), B935)"),"🏘  L’appartement de vos rêves se trouve sur ImmoScout24.ch ✅ Découvrez les dernières annonces de vente à St-Maurice.")</f>
        <v>🏘  L’appartement de vos rêves se trouve sur ImmoScout24.ch ✅ Découvrez les dernières annonces de vente à St-Maurice.</v>
      </c>
      <c r="J935" s="4" t="s">
        <v>2811</v>
      </c>
    </row>
    <row r="936">
      <c r="A936" s="5" t="s">
        <v>2812</v>
      </c>
      <c r="B936" s="2" t="s">
        <v>2813</v>
      </c>
      <c r="C936" s="4" t="str">
        <f>IFERROR(__xludf.DUMMYFUNCTION("""🏘️ ""&amp;REGEXEXTRACT(B936, ""^(.*): "")&amp;"" ✅ "" &amp;REGEXEXTRACT(B936, ""(Trouvez.*)"")"),"🏘️ Vendre maison Le Trétien ✅ Trouvez le bien immobilier qui correspond idéalement à vos désirs sur ImmoScout24 - La plateforme de l'immobilier en Suisse.")</f>
        <v>🏘️ Vendre maison Le Trétien ✅ Trouvez le bien immobilier qui correspond idéalement à vos désirs sur ImmoScout24 - La plateforme de l'immobilier en Suisse.</v>
      </c>
      <c r="D936" s="4" t="str">
        <f>vlookup(A936, Sheet2!D:E, 2, 0)</f>
        <v>variant</v>
      </c>
      <c r="E936" s="4" t="str">
        <f>IFERROR(__xludf.DUMMYFUNCTION("if(H936=""pays"",vlookup(REGEXEXTRACT(C936, ""🏘️ \w+ \w+ (.*) ✅""),'Country prepositions'!A:B, 2, 0) &amp; "" "" &amp; REGEXEXTRACT(C936, ""🏘️ \w+ \w+ (.*) ✅"") ,  if(H936=""quartier"",vlookup(REGEXEXTRACT(C936, ""🏘️ \w+ \w+ (.*) ✅""),'Quartier prepositions'!A"&amp;":E, 5, 0) ,  if(H936=""region"",vlookup(REGEXEXTRACT(C936, ""🏘️ \w+ \w+ (.*) ✅""),'Region prepositions'!B:F, 5, 0),  REGEXEXTRACT(C936, ""🏘️ \w+ \w+ (.*) ✅""))))"),"Le Trétien")</f>
        <v>Le Trétien</v>
      </c>
      <c r="F936" s="2" t="str">
        <f>IFERROR(__xludf.DUMMYFUNCTION("REGEXEXTRACT(C936, ""🏘️ (\w+) \w+ .* ✅"")"),"Vendre")</f>
        <v>Vendre</v>
      </c>
      <c r="G936" s="2" t="str">
        <f>IFERROR(__xludf.DUMMYFUNCTION("REGEXEXTRACT(C936, ""🏘️ \w+ (\w+) .* ✅"")"),"maison")</f>
        <v>maison</v>
      </c>
      <c r="H936" s="4" t="str">
        <f>IFERROR(__xludf.DUMMYFUNCTION("REGEXEXTRACT(A936, ""/(\w+)-.*?"")"),"lieu")</f>
        <v>lieu</v>
      </c>
      <c r="I936" s="4" t="str">
        <f>IFERROR(__xludf.DUMMYFUNCTION("if(D936=""variant"",  substitute(filter(Templates!E:E, Templates!A:A = F936, Templates!B:B = G936, Templates!C:C = H936), ""{{}}"", E936), B936)"),"🏘  Vous souhaitez acheter une maison à Le Trétien? ✅ Jetez un œil aux dernières offres sur ImmoScout24.ch.")</f>
        <v>🏘  Vous souhaitez acheter une maison à Le Trétien? ✅ Jetez un œil aux dernières offres sur ImmoScout24.ch.</v>
      </c>
      <c r="J936" s="2" t="s">
        <v>2814</v>
      </c>
    </row>
    <row r="937">
      <c r="A937" s="5" t="s">
        <v>2815</v>
      </c>
      <c r="B937" s="2" t="s">
        <v>2816</v>
      </c>
      <c r="C937" s="4" t="str">
        <f>IFERROR(__xludf.DUMMYFUNCTION("""🏘️ ""&amp;REGEXEXTRACT(B937, ""^(.*): "")&amp;"" ✅ "" &amp;REGEXEXTRACT(B937, ""(Trouvez.*)"")"),"🏘️ Vendre maison Echichens ✅ Trouvez le bien immobilier qui correspond idéalement à vos désirs sur ImmoScout24 - La plateforme de l'immobilier en Suisse.")</f>
        <v>🏘️ Vendre maison Echichens ✅ Trouvez le bien immobilier qui correspond idéalement à vos désirs sur ImmoScout24 - La plateforme de l'immobilier en Suisse.</v>
      </c>
      <c r="D937" s="4" t="str">
        <f>vlookup(A937, Sheet2!D:E, 2, 0)</f>
        <v>variant</v>
      </c>
      <c r="E937" s="4" t="str">
        <f>IFERROR(__xludf.DUMMYFUNCTION("if(H937=""pays"",vlookup(REGEXEXTRACT(C937, ""🏘️ \w+ \w+ (.*) ✅""),'Country prepositions'!A:B, 2, 0) &amp; "" "" &amp; REGEXEXTRACT(C937, ""🏘️ \w+ \w+ (.*) ✅"") ,  if(H937=""quartier"",vlookup(REGEXEXTRACT(C937, ""🏘️ \w+ \w+ (.*) ✅""),'Quartier prepositions'!A"&amp;":E, 5, 0) ,  if(H937=""region"",vlookup(REGEXEXTRACT(C937, ""🏘️ \w+ \w+ (.*) ✅""),'Region prepositions'!B:F, 5, 0),  REGEXEXTRACT(C937, ""🏘️ \w+ \w+ (.*) ✅""))))"),"Echichens")</f>
        <v>Echichens</v>
      </c>
      <c r="F937" s="2" t="str">
        <f>IFERROR(__xludf.DUMMYFUNCTION("REGEXEXTRACT(C937, ""🏘️ (\w+) \w+ .* ✅"")"),"Vendre")</f>
        <v>Vendre</v>
      </c>
      <c r="G937" s="2" t="str">
        <f>IFERROR(__xludf.DUMMYFUNCTION("REGEXEXTRACT(C937, ""🏘️ \w+ (\w+) .* ✅"")"),"maison")</f>
        <v>maison</v>
      </c>
      <c r="H937" s="4" t="str">
        <f>IFERROR(__xludf.DUMMYFUNCTION("REGEXEXTRACT(A937, ""/(\w+)-.*?"")"),"lieu")</f>
        <v>lieu</v>
      </c>
      <c r="I937" s="4" t="str">
        <f>IFERROR(__xludf.DUMMYFUNCTION("if(D937=""variant"",  substitute(filter(Templates!E:E, Templates!A:A = F937, Templates!B:B = G937, Templates!C:C = H937), ""{{}}"", E937), B937)"),"🏘  Vous souhaitez acheter une maison à Echichens? ✅ Jetez un œil aux dernières offres sur ImmoScout24.ch.")</f>
        <v>🏘  Vous souhaitez acheter une maison à Echichens? ✅ Jetez un œil aux dernières offres sur ImmoScout24.ch.</v>
      </c>
      <c r="J937" s="4" t="s">
        <v>2817</v>
      </c>
    </row>
    <row r="938">
      <c r="A938" s="5" t="s">
        <v>2818</v>
      </c>
      <c r="B938" s="2" t="s">
        <v>2819</v>
      </c>
      <c r="C938" s="4" t="str">
        <f>IFERROR(__xludf.DUMMYFUNCTION("""🏘️ ""&amp;REGEXEXTRACT(B938, ""^(.*): "")&amp;"" ✅ "" &amp;REGEXEXTRACT(B938, ""(Trouvez.*)"")"),"🏘️ Vendre maison Saillon ✅ Trouvez le bien immobilier qui correspond idéalement à vos désirs sur ImmoScout24 - La plateforme de l'immobilier en Suisse.")</f>
        <v>🏘️ Vendre maison Saillon ✅ Trouvez le bien immobilier qui correspond idéalement à vos désirs sur ImmoScout24 - La plateforme de l'immobilier en Suisse.</v>
      </c>
      <c r="D938" s="4" t="str">
        <f>vlookup(A938, Sheet2!D:E, 2, 0)</f>
        <v>variant</v>
      </c>
      <c r="E938" s="4" t="str">
        <f>IFERROR(__xludf.DUMMYFUNCTION("if(H938=""pays"",vlookup(REGEXEXTRACT(C938, ""🏘️ \w+ \w+ (.*) ✅""),'Country prepositions'!A:B, 2, 0) &amp; "" "" &amp; REGEXEXTRACT(C938, ""🏘️ \w+ \w+ (.*) ✅"") ,  if(H938=""quartier"",vlookup(REGEXEXTRACT(C938, ""🏘️ \w+ \w+ (.*) ✅""),'Quartier prepositions'!A"&amp;":E, 5, 0) ,  if(H938=""region"",vlookup(REGEXEXTRACT(C938, ""🏘️ \w+ \w+ (.*) ✅""),'Region prepositions'!B:F, 5, 0),  REGEXEXTRACT(C938, ""🏘️ \w+ \w+ (.*) ✅""))))"),"Saillon")</f>
        <v>Saillon</v>
      </c>
      <c r="F938" s="2" t="str">
        <f>IFERROR(__xludf.DUMMYFUNCTION("REGEXEXTRACT(C938, ""🏘️ (\w+) \w+ .* ✅"")"),"Vendre")</f>
        <v>Vendre</v>
      </c>
      <c r="G938" s="2" t="str">
        <f>IFERROR(__xludf.DUMMYFUNCTION("REGEXEXTRACT(C938, ""🏘️ \w+ (\w+) .* ✅"")"),"maison")</f>
        <v>maison</v>
      </c>
      <c r="H938" s="4" t="str">
        <f>IFERROR(__xludf.DUMMYFUNCTION("REGEXEXTRACT(A938, ""/(\w+)-.*?"")"),"lieu")</f>
        <v>lieu</v>
      </c>
      <c r="I938" s="4" t="str">
        <f>IFERROR(__xludf.DUMMYFUNCTION("if(D938=""variant"",  substitute(filter(Templates!E:E, Templates!A:A = F938, Templates!B:B = G938, Templates!C:C = H938), ""{{}}"", E938), B938)"),"🏘  Vous souhaitez acheter une maison à Saillon? ✅ Jetez un œil aux dernières offres sur ImmoScout24.ch.")</f>
        <v>🏘  Vous souhaitez acheter une maison à Saillon? ✅ Jetez un œil aux dernières offres sur ImmoScout24.ch.</v>
      </c>
      <c r="J938" s="4" t="s">
        <v>2820</v>
      </c>
    </row>
    <row r="939">
      <c r="A939" s="5" t="s">
        <v>2821</v>
      </c>
      <c r="B939" s="2" t="s">
        <v>2822</v>
      </c>
      <c r="C939" s="4" t="str">
        <f>IFERROR(__xludf.DUMMYFUNCTION("""🏘️ ""&amp;REGEXEXTRACT(B939, ""^(.*): "")&amp;"" ✅ "" &amp;REGEXEXTRACT(B939, ""(Trouvez.*)"")"),"🏘️ Vendre maison Les Posses-sur-Bex ✅ Trouvez le bien immobilier qui correspond idéalement à vos désirs sur ImmoScout24 - La plateforme de l'immobilier en Suisse.")</f>
        <v>🏘️ Vendre maison Les Posses-sur-Bex ✅ Trouvez le bien immobilier qui correspond idéalement à vos désirs sur ImmoScout24 - La plateforme de l'immobilier en Suisse.</v>
      </c>
      <c r="D939" s="4" t="str">
        <f>vlookup(A939, Sheet2!D:E, 2, 0)</f>
        <v>variant</v>
      </c>
      <c r="E939" s="4" t="str">
        <f>IFERROR(__xludf.DUMMYFUNCTION("if(H939=""pays"",vlookup(REGEXEXTRACT(C939, ""🏘️ \w+ \w+ (.*) ✅""),'Country prepositions'!A:B, 2, 0) &amp; "" "" &amp; REGEXEXTRACT(C939, ""🏘️ \w+ \w+ (.*) ✅"") ,  if(H939=""quartier"",vlookup(REGEXEXTRACT(C939, ""🏘️ \w+ \w+ (.*) ✅""),'Quartier prepositions'!A"&amp;":E, 5, 0) ,  if(H939=""region"",vlookup(REGEXEXTRACT(C939, ""🏘️ \w+ \w+ (.*) ✅""),'Region prepositions'!B:F, 5, 0),  REGEXEXTRACT(C939, ""🏘️ \w+ \w+ (.*) ✅""))))"),"Les Posses-sur-Bex")</f>
        <v>Les Posses-sur-Bex</v>
      </c>
      <c r="F939" s="2" t="str">
        <f>IFERROR(__xludf.DUMMYFUNCTION("REGEXEXTRACT(C939, ""🏘️ (\w+) \w+ .* ✅"")"),"Vendre")</f>
        <v>Vendre</v>
      </c>
      <c r="G939" s="2" t="str">
        <f>IFERROR(__xludf.DUMMYFUNCTION("REGEXEXTRACT(C939, ""🏘️ \w+ (\w+) .* ✅"")"),"maison")</f>
        <v>maison</v>
      </c>
      <c r="H939" s="4" t="str">
        <f>IFERROR(__xludf.DUMMYFUNCTION("REGEXEXTRACT(A939, ""/(\w+)-.*?"")"),"lieu")</f>
        <v>lieu</v>
      </c>
      <c r="I939" s="4" t="str">
        <f>IFERROR(__xludf.DUMMYFUNCTION("if(D939=""variant"",  substitute(filter(Templates!E:E, Templates!A:A = F939, Templates!B:B = G939, Templates!C:C = H939), ""{{}}"", E939), B939)"),"🏘  Vous souhaitez acheter une maison à Les Posses-sur-Bex? ✅ Jetez un œil aux dernières offres sur ImmoScout24.ch.")</f>
        <v>🏘  Vous souhaitez acheter une maison à Les Posses-sur-Bex? ✅ Jetez un œil aux dernières offres sur ImmoScout24.ch.</v>
      </c>
      <c r="J939" s="2" t="s">
        <v>2823</v>
      </c>
    </row>
    <row r="940">
      <c r="A940" s="5" t="s">
        <v>2824</v>
      </c>
      <c r="B940" s="2" t="s">
        <v>2825</v>
      </c>
      <c r="C940" s="4" t="str">
        <f>IFERROR(__xludf.DUMMYFUNCTION("""🏘️ ""&amp;REGEXEXTRACT(B940, ""^(.*): "")&amp;"" ✅ "" &amp;REGEXEXTRACT(B940, ""(Trouvez.*)"")"),"🏘️ Vendre appartement Riggisberg ✅ Trouvez le bien immobilier qui correspond idéalement à vos désirs sur ImmoScout24 - La plateforme de l'immobilier en Suisse.")</f>
        <v>🏘️ Vendre appartement Riggisberg ✅ Trouvez le bien immobilier qui correspond idéalement à vos désirs sur ImmoScout24 - La plateforme de l'immobilier en Suisse.</v>
      </c>
      <c r="D940" s="4" t="str">
        <f>vlookup(A940, Sheet2!D:E, 2, 0)</f>
        <v>variant</v>
      </c>
      <c r="E940" s="4" t="str">
        <f>IFERROR(__xludf.DUMMYFUNCTION("if(H940=""pays"",vlookup(REGEXEXTRACT(C940, ""🏘️ \w+ \w+ (.*) ✅""),'Country prepositions'!A:B, 2, 0) &amp; "" "" &amp; REGEXEXTRACT(C940, ""🏘️ \w+ \w+ (.*) ✅"") ,  if(H940=""quartier"",vlookup(REGEXEXTRACT(C940, ""🏘️ \w+ \w+ (.*) ✅""),'Quartier prepositions'!A"&amp;":E, 5, 0) ,  if(H940=""region"",vlookup(REGEXEXTRACT(C940, ""🏘️ \w+ \w+ (.*) ✅""),'Region prepositions'!B:F, 5, 0),  REGEXEXTRACT(C940, ""🏘️ \w+ \w+ (.*) ✅""))))"),"Riggisberg")</f>
        <v>Riggisberg</v>
      </c>
      <c r="F940" s="2" t="str">
        <f>IFERROR(__xludf.DUMMYFUNCTION("REGEXEXTRACT(C940, ""🏘️ (\w+) \w+ .* ✅"")"),"Vendre")</f>
        <v>Vendre</v>
      </c>
      <c r="G940" s="2" t="str">
        <f>IFERROR(__xludf.DUMMYFUNCTION("REGEXEXTRACT(C940, ""🏘️ \w+ (\w+) .* ✅"")"),"appartement")</f>
        <v>appartement</v>
      </c>
      <c r="H940" s="4" t="str">
        <f>IFERROR(__xludf.DUMMYFUNCTION("REGEXEXTRACT(A940, ""/(\w+)-.*?"")"),"lieu")</f>
        <v>lieu</v>
      </c>
      <c r="I940" s="4" t="str">
        <f>IFERROR(__xludf.DUMMYFUNCTION("if(D940=""variant"",  substitute(filter(Templates!E:E, Templates!A:A = F940, Templates!B:B = G940, Templates!C:C = H940), ""{{}}"", E940), B940)"),"🏘  L’appartement de vos rêves se trouve sur ImmoScout24.ch ✅ Découvrez les dernières annonces de vente à Riggisberg.")</f>
        <v>🏘  L’appartement de vos rêves se trouve sur ImmoScout24.ch ✅ Découvrez les dernières annonces de vente à Riggisberg.</v>
      </c>
      <c r="J940" s="4" t="s">
        <v>2826</v>
      </c>
    </row>
    <row r="941">
      <c r="A941" s="5" t="s">
        <v>2827</v>
      </c>
      <c r="B941" s="2" t="s">
        <v>2828</v>
      </c>
      <c r="C941" s="4" t="str">
        <f>IFERROR(__xludf.DUMMYFUNCTION("""🏘️ ""&amp;REGEXEXTRACT(B941, ""^(.*): "")&amp;"" ✅ "" &amp;REGEXEXTRACT(B941, ""(Trouvez.*)"")"),"🏘️ Louer appartement Chesalles-sur-Oron ✅ Trouvez le bien immobilier qui correspond idéalement à vos désirs sur ImmoScout24 - La plateforme de l'immobilier en Suisse.")</f>
        <v>🏘️ Louer appartement Chesalles-sur-Oron ✅ Trouvez le bien immobilier qui correspond idéalement à vos désirs sur ImmoScout24 - La plateforme de l'immobilier en Suisse.</v>
      </c>
      <c r="D941" s="4" t="str">
        <f>vlookup(A941, Sheet2!D:E, 2, 0)</f>
        <v>variant</v>
      </c>
      <c r="E941" s="4" t="str">
        <f>IFERROR(__xludf.DUMMYFUNCTION("if(H941=""pays"",vlookup(REGEXEXTRACT(C941, ""🏘️ \w+ \w+ (.*) ✅""),'Country prepositions'!A:B, 2, 0) &amp; "" "" &amp; REGEXEXTRACT(C941, ""🏘️ \w+ \w+ (.*) ✅"") ,  if(H941=""quartier"",vlookup(REGEXEXTRACT(C941, ""🏘️ \w+ \w+ (.*) ✅""),'Quartier prepositions'!A"&amp;":E, 5, 0) ,  if(H941=""region"",vlookup(REGEXEXTRACT(C941, ""🏘️ \w+ \w+ (.*) ✅""),'Region prepositions'!B:F, 5, 0),  REGEXEXTRACT(C941, ""🏘️ \w+ \w+ (.*) ✅""))))"),"Chesalles-sur-Oron")</f>
        <v>Chesalles-sur-Oron</v>
      </c>
      <c r="F941" s="2" t="str">
        <f>IFERROR(__xludf.DUMMYFUNCTION("REGEXEXTRACT(C941, ""🏘️ (\w+) \w+ .* ✅"")"),"Louer")</f>
        <v>Louer</v>
      </c>
      <c r="G941" s="2" t="str">
        <f>IFERROR(__xludf.DUMMYFUNCTION("REGEXEXTRACT(C941, ""🏘️ \w+ (\w+) .* ✅"")"),"appartement")</f>
        <v>appartement</v>
      </c>
      <c r="H941" s="4" t="str">
        <f>IFERROR(__xludf.DUMMYFUNCTION("REGEXEXTRACT(A941, ""/(\w+)-.*?"")"),"lieu")</f>
        <v>lieu</v>
      </c>
      <c r="I941" s="4" t="str">
        <f>IFERROR(__xludf.DUMMYFUNCTION("if(D941=""variant"",  substitute(filter(Templates!E:E, Templates!A:A = F941, Templates!B:B = G941, Templates!C:C = H941), ""{{}}"", E941), B941)"),"🏘  Vous cherchez un appartement à louer à Chesalles-sur-Oron? ✅ Les annonces les plus actuelles sont sur ImmoScout24.ch.")</f>
        <v>🏘  Vous cherchez un appartement à louer à Chesalles-sur-Oron? ✅ Les annonces les plus actuelles sont sur ImmoScout24.ch.</v>
      </c>
      <c r="J941" s="4" t="s">
        <v>2829</v>
      </c>
    </row>
    <row r="942">
      <c r="A942" s="5" t="s">
        <v>2830</v>
      </c>
      <c r="B942" s="2" t="s">
        <v>2831</v>
      </c>
      <c r="C942" s="4" t="str">
        <f>IFERROR(__xludf.DUMMYFUNCTION("""🏘️ ""&amp;REGEXEXTRACT(B942, ""^(.*): "")&amp;"" ✅ "" &amp;REGEXEXTRACT(B942, ""(Trouvez.*)"")"),"🏘️ Vendre maison Mont-Soleil ✅ Trouvez le bien immobilier qui correspond idéalement à vos désirs sur ImmoScout24 - La plateforme de l'immobilier en Suisse.")</f>
        <v>🏘️ Vendre maison Mont-Soleil ✅ Trouvez le bien immobilier qui correspond idéalement à vos désirs sur ImmoScout24 - La plateforme de l'immobilier en Suisse.</v>
      </c>
      <c r="D942" s="4" t="str">
        <f>vlookup(A942, Sheet2!D:E, 2, 0)</f>
        <v>variant</v>
      </c>
      <c r="E942" s="4" t="str">
        <f>IFERROR(__xludf.DUMMYFUNCTION("if(H942=""pays"",vlookup(REGEXEXTRACT(C942, ""🏘️ \w+ \w+ (.*) ✅""),'Country prepositions'!A:B, 2, 0) &amp; "" "" &amp; REGEXEXTRACT(C942, ""🏘️ \w+ \w+ (.*) ✅"") ,  if(H942=""quartier"",vlookup(REGEXEXTRACT(C942, ""🏘️ \w+ \w+ (.*) ✅""),'Quartier prepositions'!A"&amp;":E, 5, 0) ,  if(H942=""region"",vlookup(REGEXEXTRACT(C942, ""🏘️ \w+ \w+ (.*) ✅""),'Region prepositions'!B:F, 5, 0),  REGEXEXTRACT(C942, ""🏘️ \w+ \w+ (.*) ✅""))))"),"Mont-Soleil")</f>
        <v>Mont-Soleil</v>
      </c>
      <c r="F942" s="2" t="str">
        <f>IFERROR(__xludf.DUMMYFUNCTION("REGEXEXTRACT(C942, ""🏘️ (\w+) \w+ .* ✅"")"),"Vendre")</f>
        <v>Vendre</v>
      </c>
      <c r="G942" s="2" t="str">
        <f>IFERROR(__xludf.DUMMYFUNCTION("REGEXEXTRACT(C942, ""🏘️ \w+ (\w+) .* ✅"")"),"maison")</f>
        <v>maison</v>
      </c>
      <c r="H942" s="4" t="str">
        <f>IFERROR(__xludf.DUMMYFUNCTION("REGEXEXTRACT(A942, ""/(\w+)-.*?"")"),"lieu")</f>
        <v>lieu</v>
      </c>
      <c r="I942" s="4" t="str">
        <f>IFERROR(__xludf.DUMMYFUNCTION("if(D942=""variant"",  substitute(filter(Templates!E:E, Templates!A:A = F942, Templates!B:B = G942, Templates!C:C = H942), ""{{}}"", E942), B942)"),"🏘  Vous souhaitez acheter une maison à Mont-Soleil? ✅ Jetez un œil aux dernières offres sur ImmoScout24.ch.")</f>
        <v>🏘  Vous souhaitez acheter une maison à Mont-Soleil? ✅ Jetez un œil aux dernières offres sur ImmoScout24.ch.</v>
      </c>
      <c r="J942" s="4" t="s">
        <v>2832</v>
      </c>
    </row>
    <row r="943">
      <c r="A943" s="5" t="s">
        <v>2833</v>
      </c>
      <c r="B943" s="2" t="s">
        <v>2834</v>
      </c>
      <c r="C943" s="4" t="str">
        <f>IFERROR(__xludf.DUMMYFUNCTION("""🏘️ ""&amp;REGEXEXTRACT(B943, ""^(.*): "")&amp;"" ✅ "" &amp;REGEXEXTRACT(B943, ""(Trouvez.*)"")"),"🏘️ Vendre maison Senarclens ✅ Trouvez le bien immobilier qui correspond idéalement à vos désirs sur ImmoScout24 - La plateforme de l'immobilier en Suisse.")</f>
        <v>🏘️ Vendre maison Senarclens ✅ Trouvez le bien immobilier qui correspond idéalement à vos désirs sur ImmoScout24 - La plateforme de l'immobilier en Suisse.</v>
      </c>
      <c r="D943" s="4" t="str">
        <f>vlookup(A943, Sheet2!D:E, 2, 0)</f>
        <v>variant</v>
      </c>
      <c r="E943" s="4" t="str">
        <f>IFERROR(__xludf.DUMMYFUNCTION("if(H943=""pays"",vlookup(REGEXEXTRACT(C943, ""🏘️ \w+ \w+ (.*) ✅""),'Country prepositions'!A:B, 2, 0) &amp; "" "" &amp; REGEXEXTRACT(C943, ""🏘️ \w+ \w+ (.*) ✅"") ,  if(H943=""quartier"",vlookup(REGEXEXTRACT(C943, ""🏘️ \w+ \w+ (.*) ✅""),'Quartier prepositions'!A"&amp;":E, 5, 0) ,  if(H943=""region"",vlookup(REGEXEXTRACT(C943, ""🏘️ \w+ \w+ (.*) ✅""),'Region prepositions'!B:F, 5, 0),  REGEXEXTRACT(C943, ""🏘️ \w+ \w+ (.*) ✅""))))"),"Senarclens")</f>
        <v>Senarclens</v>
      </c>
      <c r="F943" s="2" t="str">
        <f>IFERROR(__xludf.DUMMYFUNCTION("REGEXEXTRACT(C943, ""🏘️ (\w+) \w+ .* ✅"")"),"Vendre")</f>
        <v>Vendre</v>
      </c>
      <c r="G943" s="2" t="str">
        <f>IFERROR(__xludf.DUMMYFUNCTION("REGEXEXTRACT(C943, ""🏘️ \w+ (\w+) .* ✅"")"),"maison")</f>
        <v>maison</v>
      </c>
      <c r="H943" s="4" t="str">
        <f>IFERROR(__xludf.DUMMYFUNCTION("REGEXEXTRACT(A943, ""/(\w+)-.*?"")"),"lieu")</f>
        <v>lieu</v>
      </c>
      <c r="I943" s="4" t="str">
        <f>IFERROR(__xludf.DUMMYFUNCTION("if(D943=""variant"",  substitute(filter(Templates!E:E, Templates!A:A = F943, Templates!B:B = G943, Templates!C:C = H943), ""{{}}"", E943), B943)"),"🏘  Vous souhaitez acheter une maison à Senarclens? ✅ Jetez un œil aux dernières offres sur ImmoScout24.ch.")</f>
        <v>🏘  Vous souhaitez acheter une maison à Senarclens? ✅ Jetez un œil aux dernières offres sur ImmoScout24.ch.</v>
      </c>
      <c r="J943" s="4" t="s">
        <v>2835</v>
      </c>
    </row>
    <row r="944">
      <c r="A944" s="5" t="s">
        <v>2836</v>
      </c>
      <c r="B944" s="2" t="s">
        <v>2837</v>
      </c>
      <c r="C944" s="4" t="str">
        <f>IFERROR(__xludf.DUMMYFUNCTION("""🏘️ ""&amp;REGEXEXTRACT(B944, ""^(.*): "")&amp;"" ✅ "" &amp;REGEXEXTRACT(B944, ""(Trouvez.*)"")"),"🏘️ Vendre maison Wetzikon ZH ✅ Trouvez le bien immobilier qui correspond idéalement à vos désirs sur ImmoScout24 - La plateforme de l'immobilier en Suisse.")</f>
        <v>🏘️ Vendre maison Wetzikon ZH ✅ Trouvez le bien immobilier qui correspond idéalement à vos désirs sur ImmoScout24 - La plateforme de l'immobilier en Suisse.</v>
      </c>
      <c r="D944" s="4" t="str">
        <f>vlookup(A944, Sheet2!D:E, 2, 0)</f>
        <v>variant</v>
      </c>
      <c r="E944" s="4" t="str">
        <f>IFERROR(__xludf.DUMMYFUNCTION("if(H944=""pays"",vlookup(REGEXEXTRACT(C944, ""🏘️ \w+ \w+ (.*) ✅""),'Country prepositions'!A:B, 2, 0) &amp; "" "" &amp; REGEXEXTRACT(C944, ""🏘️ \w+ \w+ (.*) ✅"") ,  if(H944=""quartier"",vlookup(REGEXEXTRACT(C944, ""🏘️ \w+ \w+ (.*) ✅""),'Quartier prepositions'!A"&amp;":E, 5, 0) ,  if(H944=""region"",vlookup(REGEXEXTRACT(C944, ""🏘️ \w+ \w+ (.*) ✅""),'Region prepositions'!B:F, 5, 0),  REGEXEXTRACT(C944, ""🏘️ \w+ \w+ (.*) ✅""))))"),"Wetzikon ZH")</f>
        <v>Wetzikon ZH</v>
      </c>
      <c r="F944" s="2" t="str">
        <f>IFERROR(__xludf.DUMMYFUNCTION("REGEXEXTRACT(C944, ""🏘️ (\w+) \w+ .* ✅"")"),"Vendre")</f>
        <v>Vendre</v>
      </c>
      <c r="G944" s="2" t="str">
        <f>IFERROR(__xludf.DUMMYFUNCTION("REGEXEXTRACT(C944, ""🏘️ \w+ (\w+) .* ✅"")"),"maison")</f>
        <v>maison</v>
      </c>
      <c r="H944" s="4" t="str">
        <f>IFERROR(__xludf.DUMMYFUNCTION("REGEXEXTRACT(A944, ""/(\w+)-.*?"")"),"lieu")</f>
        <v>lieu</v>
      </c>
      <c r="I944" s="4" t="str">
        <f>IFERROR(__xludf.DUMMYFUNCTION("if(D944=""variant"",  substitute(filter(Templates!E:E, Templates!A:A = F944, Templates!B:B = G944, Templates!C:C = H944), ""{{}}"", E944), B944)"),"🏘  Vous souhaitez acheter une maison à Wetzikon ZH? ✅ Jetez un œil aux dernières offres sur ImmoScout24.ch.")</f>
        <v>🏘  Vous souhaitez acheter une maison à Wetzikon ZH? ✅ Jetez un œil aux dernières offres sur ImmoScout24.ch.</v>
      </c>
      <c r="J944" s="4" t="s">
        <v>2838</v>
      </c>
    </row>
    <row r="945">
      <c r="A945" s="5" t="s">
        <v>2839</v>
      </c>
      <c r="B945" s="2" t="s">
        <v>2840</v>
      </c>
      <c r="C945" s="4" t="str">
        <f>IFERROR(__xludf.DUMMYFUNCTION("""🏘️ ""&amp;REGEXEXTRACT(B945, ""^(.*): "")&amp;"" ✅ "" &amp;REGEXEXTRACT(B945, ""(Trouvez.*)"")"),"🏘️ Vendre maison Meiringen ✅ Trouvez le bien immobilier qui correspond idéalement à vos désirs sur ImmoScout24 - La plateforme de l'immobilier en Suisse.")</f>
        <v>🏘️ Vendre maison Meiringen ✅ Trouvez le bien immobilier qui correspond idéalement à vos désirs sur ImmoScout24 - La plateforme de l'immobilier en Suisse.</v>
      </c>
      <c r="D945" s="4" t="str">
        <f>vlookup(A945, Sheet2!D:E, 2, 0)</f>
        <v>variant</v>
      </c>
      <c r="E945" s="4" t="str">
        <f>IFERROR(__xludf.DUMMYFUNCTION("if(H945=""pays"",vlookup(REGEXEXTRACT(C945, ""🏘️ \w+ \w+ (.*) ✅""),'Country prepositions'!A:B, 2, 0) &amp; "" "" &amp; REGEXEXTRACT(C945, ""🏘️ \w+ \w+ (.*) ✅"") ,  if(H945=""quartier"",vlookup(REGEXEXTRACT(C945, ""🏘️ \w+ \w+ (.*) ✅""),'Quartier prepositions'!A"&amp;":E, 5, 0) ,  if(H945=""region"",vlookup(REGEXEXTRACT(C945, ""🏘️ \w+ \w+ (.*) ✅""),'Region prepositions'!B:F, 5, 0),  REGEXEXTRACT(C945, ""🏘️ \w+ \w+ (.*) ✅""))))"),"Meiringen")</f>
        <v>Meiringen</v>
      </c>
      <c r="F945" s="2" t="str">
        <f>IFERROR(__xludf.DUMMYFUNCTION("REGEXEXTRACT(C945, ""🏘️ (\w+) \w+ .* ✅"")"),"Vendre")</f>
        <v>Vendre</v>
      </c>
      <c r="G945" s="2" t="str">
        <f>IFERROR(__xludf.DUMMYFUNCTION("REGEXEXTRACT(C945, ""🏘️ \w+ (\w+) .* ✅"")"),"maison")</f>
        <v>maison</v>
      </c>
      <c r="H945" s="4" t="str">
        <f>IFERROR(__xludf.DUMMYFUNCTION("REGEXEXTRACT(A945, ""/(\w+)-.*?"")"),"lieu")</f>
        <v>lieu</v>
      </c>
      <c r="I945" s="4" t="str">
        <f>IFERROR(__xludf.DUMMYFUNCTION("if(D945=""variant"",  substitute(filter(Templates!E:E, Templates!A:A = F945, Templates!B:B = G945, Templates!C:C = H945), ""{{}}"", E945), B945)"),"🏘  Vous souhaitez acheter une maison à Meiringen? ✅ Jetez un œil aux dernières offres sur ImmoScout24.ch.")</f>
        <v>🏘  Vous souhaitez acheter une maison à Meiringen? ✅ Jetez un œil aux dernières offres sur ImmoScout24.ch.</v>
      </c>
      <c r="J945" s="4" t="s">
        <v>2841</v>
      </c>
    </row>
    <row r="946">
      <c r="A946" s="5" t="s">
        <v>2842</v>
      </c>
      <c r="B946" s="2" t="s">
        <v>2843</v>
      </c>
      <c r="C946" s="4" t="str">
        <f>IFERROR(__xludf.DUMMYFUNCTION("""🏘️ ""&amp;REGEXEXTRACT(B946, ""^(.*): "")&amp;"" ✅ "" &amp;REGEXEXTRACT(B946, ""(Trouvez.*)"")"),"🏘️ Vendre maison Soglio ✅ Trouvez le bien immobilier qui correspond idéalement à vos désirs sur ImmoScout24 - La plateforme de l'immobilier en Suisse.")</f>
        <v>🏘️ Vendre maison Soglio ✅ Trouvez le bien immobilier qui correspond idéalement à vos désirs sur ImmoScout24 - La plateforme de l'immobilier en Suisse.</v>
      </c>
      <c r="D946" s="4" t="str">
        <f>vlookup(A946, Sheet2!D:E, 2, 0)</f>
        <v>variant</v>
      </c>
      <c r="E946" s="4" t="str">
        <f>IFERROR(__xludf.DUMMYFUNCTION("if(H946=""pays"",vlookup(REGEXEXTRACT(C946, ""🏘️ \w+ \w+ (.*) ✅""),'Country prepositions'!A:B, 2, 0) &amp; "" "" &amp; REGEXEXTRACT(C946, ""🏘️ \w+ \w+ (.*) ✅"") ,  if(H946=""quartier"",vlookup(REGEXEXTRACT(C946, ""🏘️ \w+ \w+ (.*) ✅""),'Quartier prepositions'!A"&amp;":E, 5, 0) ,  if(H946=""region"",vlookup(REGEXEXTRACT(C946, ""🏘️ \w+ \w+ (.*) ✅""),'Region prepositions'!B:F, 5, 0),  REGEXEXTRACT(C946, ""🏘️ \w+ \w+ (.*) ✅""))))"),"Soglio")</f>
        <v>Soglio</v>
      </c>
      <c r="F946" s="2" t="str">
        <f>IFERROR(__xludf.DUMMYFUNCTION("REGEXEXTRACT(C946, ""🏘️ (\w+) \w+ .* ✅"")"),"Vendre")</f>
        <v>Vendre</v>
      </c>
      <c r="G946" s="2" t="str">
        <f>IFERROR(__xludf.DUMMYFUNCTION("REGEXEXTRACT(C946, ""🏘️ \w+ (\w+) .* ✅"")"),"maison")</f>
        <v>maison</v>
      </c>
      <c r="H946" s="4" t="str">
        <f>IFERROR(__xludf.DUMMYFUNCTION("REGEXEXTRACT(A946, ""/(\w+)-.*?"")"),"lieu")</f>
        <v>lieu</v>
      </c>
      <c r="I946" s="4" t="str">
        <f>IFERROR(__xludf.DUMMYFUNCTION("if(D946=""variant"",  substitute(filter(Templates!E:E, Templates!A:A = F946, Templates!B:B = G946, Templates!C:C = H946), ""{{}}"", E946), B946)"),"🏘  Vous souhaitez acheter une maison à Soglio? ✅ Jetez un œil aux dernières offres sur ImmoScout24.ch.")</f>
        <v>🏘  Vous souhaitez acheter une maison à Soglio? ✅ Jetez un œil aux dernières offres sur ImmoScout24.ch.</v>
      </c>
      <c r="J946" s="4" t="s">
        <v>2844</v>
      </c>
    </row>
    <row r="947">
      <c r="A947" s="5" t="s">
        <v>2845</v>
      </c>
      <c r="B947" s="2" t="s">
        <v>2846</v>
      </c>
      <c r="C947" s="4" t="str">
        <f>IFERROR(__xludf.DUMMYFUNCTION("""🏘️ ""&amp;REGEXEXTRACT(B947, ""^(.*): "")&amp;"" ✅ "" &amp;REGEXEXTRACT(B947, ""(Trouvez.*)"")"),"🏘️ Louer appartement Schwarzsee ✅ Trouvez le bien immobilier qui correspond idéalement à vos désirs sur ImmoScout24 - La plateforme de l'immobilier en Suisse.")</f>
        <v>🏘️ Louer appartement Schwarzsee ✅ Trouvez le bien immobilier qui correspond idéalement à vos désirs sur ImmoScout24 - La plateforme de l'immobilier en Suisse.</v>
      </c>
      <c r="D947" s="4" t="str">
        <f>vlookup(A947, Sheet2!D:E, 2, 0)</f>
        <v>variant</v>
      </c>
      <c r="E947" s="4" t="str">
        <f>IFERROR(__xludf.DUMMYFUNCTION("if(H947=""pays"",vlookup(REGEXEXTRACT(C947, ""🏘️ \w+ \w+ (.*) ✅""),'Country prepositions'!A:B, 2, 0) &amp; "" "" &amp; REGEXEXTRACT(C947, ""🏘️ \w+ \w+ (.*) ✅"") ,  if(H947=""quartier"",vlookup(REGEXEXTRACT(C947, ""🏘️ \w+ \w+ (.*) ✅""),'Quartier prepositions'!A"&amp;":E, 5, 0) ,  if(H947=""region"",vlookup(REGEXEXTRACT(C947, ""🏘️ \w+ \w+ (.*) ✅""),'Region prepositions'!B:F, 5, 0),  REGEXEXTRACT(C947, ""🏘️ \w+ \w+ (.*) ✅""))))"),"Schwarzsee")</f>
        <v>Schwarzsee</v>
      </c>
      <c r="F947" s="2" t="str">
        <f>IFERROR(__xludf.DUMMYFUNCTION("REGEXEXTRACT(C947, ""🏘️ (\w+) \w+ .* ✅"")"),"Louer")</f>
        <v>Louer</v>
      </c>
      <c r="G947" s="2" t="str">
        <f>IFERROR(__xludf.DUMMYFUNCTION("REGEXEXTRACT(C947, ""🏘️ \w+ (\w+) .* ✅"")"),"appartement")</f>
        <v>appartement</v>
      </c>
      <c r="H947" s="4" t="str">
        <f>IFERROR(__xludf.DUMMYFUNCTION("REGEXEXTRACT(A947, ""/(\w+)-.*?"")"),"lieu")</f>
        <v>lieu</v>
      </c>
      <c r="I947" s="4" t="str">
        <f>IFERROR(__xludf.DUMMYFUNCTION("if(D947=""variant"",  substitute(filter(Templates!E:E, Templates!A:A = F947, Templates!B:B = G947, Templates!C:C = H947), ""{{}}"", E947), B947)"),"🏘  Vous cherchez un appartement à louer à Schwarzsee? ✅ Les annonces les plus actuelles sont sur ImmoScout24.ch.")</f>
        <v>🏘  Vous cherchez un appartement à louer à Schwarzsee? ✅ Les annonces les plus actuelles sont sur ImmoScout24.ch.</v>
      </c>
      <c r="J947" s="4" t="s">
        <v>2847</v>
      </c>
    </row>
    <row r="948">
      <c r="A948" s="5" t="s">
        <v>2848</v>
      </c>
      <c r="B948" s="2" t="s">
        <v>2849</v>
      </c>
      <c r="C948" s="4" t="str">
        <f>IFERROR(__xludf.DUMMYFUNCTION("""🏘️ ""&amp;REGEXEXTRACT(B948, ""^(.*): "")&amp;"" ✅ "" &amp;REGEXEXTRACT(B948, ""(Trouvez.*)"")"),"🏘️ Vendre maison Walzenhausen ✅ Trouvez le bien immobilier qui correspond idéalement à vos désirs sur ImmoScout24 - La plateforme de l'immobilier en Suisse.")</f>
        <v>🏘️ Vendre maison Walzenhausen ✅ Trouvez le bien immobilier qui correspond idéalement à vos désirs sur ImmoScout24 - La plateforme de l'immobilier en Suisse.</v>
      </c>
      <c r="D948" s="4" t="str">
        <f>vlookup(A948, Sheet2!D:E, 2, 0)</f>
        <v>variant</v>
      </c>
      <c r="E948" s="4" t="str">
        <f>IFERROR(__xludf.DUMMYFUNCTION("if(H948=""pays"",vlookup(REGEXEXTRACT(C948, ""🏘️ \w+ \w+ (.*) ✅""),'Country prepositions'!A:B, 2, 0) &amp; "" "" &amp; REGEXEXTRACT(C948, ""🏘️ \w+ \w+ (.*) ✅"") ,  if(H948=""quartier"",vlookup(REGEXEXTRACT(C948, ""🏘️ \w+ \w+ (.*) ✅""),'Quartier prepositions'!A"&amp;":E, 5, 0) ,  if(H948=""region"",vlookup(REGEXEXTRACT(C948, ""🏘️ \w+ \w+ (.*) ✅""),'Region prepositions'!B:F, 5, 0),  REGEXEXTRACT(C948, ""🏘️ \w+ \w+ (.*) ✅""))))"),"Walzenhausen")</f>
        <v>Walzenhausen</v>
      </c>
      <c r="F948" s="2" t="str">
        <f>IFERROR(__xludf.DUMMYFUNCTION("REGEXEXTRACT(C948, ""🏘️ (\w+) \w+ .* ✅"")"),"Vendre")</f>
        <v>Vendre</v>
      </c>
      <c r="G948" s="2" t="str">
        <f>IFERROR(__xludf.DUMMYFUNCTION("REGEXEXTRACT(C948, ""🏘️ \w+ (\w+) .* ✅"")"),"maison")</f>
        <v>maison</v>
      </c>
      <c r="H948" s="4" t="str">
        <f>IFERROR(__xludf.DUMMYFUNCTION("REGEXEXTRACT(A948, ""/(\w+)-.*?"")"),"lieu")</f>
        <v>lieu</v>
      </c>
      <c r="I948" s="4" t="str">
        <f>IFERROR(__xludf.DUMMYFUNCTION("if(D948=""variant"",  substitute(filter(Templates!E:E, Templates!A:A = F948, Templates!B:B = G948, Templates!C:C = H948), ""{{}}"", E948), B948)"),"🏘  Vous souhaitez acheter une maison à Walzenhausen? ✅ Jetez un œil aux dernières offres sur ImmoScout24.ch.")</f>
        <v>🏘  Vous souhaitez acheter une maison à Walzenhausen? ✅ Jetez un œil aux dernières offres sur ImmoScout24.ch.</v>
      </c>
      <c r="J948" s="4" t="s">
        <v>2850</v>
      </c>
    </row>
    <row r="949">
      <c r="A949" s="5" t="s">
        <v>2851</v>
      </c>
      <c r="B949" s="2" t="s">
        <v>2852</v>
      </c>
      <c r="C949" s="4" t="str">
        <f>IFERROR(__xludf.DUMMYFUNCTION("""🏘️ ""&amp;REGEXEXTRACT(B949, ""^(.*): "")&amp;"" ✅ "" &amp;REGEXEXTRACT(B949, ""(Trouvez.*)"")"),"🏘️ Vendre appartement Mousquines - Bellevue (Lausanne) ✅ Trouvez le bien immobilier qui correspond idéalement à vos désirs sur ImmoScout24 - La plateforme de l'immobilier en Suisse.")</f>
        <v>🏘️ Vendre appartement Mousquines - Bellevue (Lausanne) ✅ Trouvez le bien immobilier qui correspond idéalement à vos désirs sur ImmoScout24 - La plateforme de l'immobilier en Suisse.</v>
      </c>
      <c r="D949" s="4" t="str">
        <f>vlookup(A949, Sheet2!D:E, 2, 0)</f>
        <v>variant</v>
      </c>
      <c r="E949" s="4" t="str">
        <f>IFERROR(__xludf.DUMMYFUNCTION("if(H949=""pays"",vlookup(REGEXEXTRACT(C949, ""🏘️ \w+ \w+ (.*) ✅""),'Country prepositions'!A:B, 2, 0) &amp; "" "" &amp; REGEXEXTRACT(C949, ""🏘️ \w+ \w+ (.*) ✅"") ,  if(H949=""quartier"",vlookup(REGEXEXTRACT(C949, ""🏘️ \w+ \w+ (.*) ✅""),'Quartier prepositions'!A"&amp;":E, 5, 0) ,  if(H949=""region"",vlookup(REGEXEXTRACT(C949, ""🏘️ \w+ \w+ (.*) ✅""),'Region prepositions'!B:F, 5, 0),  REGEXEXTRACT(C949, ""🏘️ \w+ \w+ (.*) ✅""))))"),"dans le quartier des Mousquines - Bellevue (Lausanne)")</f>
        <v>dans le quartier des Mousquines - Bellevue (Lausanne)</v>
      </c>
      <c r="F949" s="2" t="str">
        <f>IFERROR(__xludf.DUMMYFUNCTION("REGEXEXTRACT(C949, ""🏘️ (\w+) \w+ .* ✅"")"),"Vendre")</f>
        <v>Vendre</v>
      </c>
      <c r="G949" s="2" t="str">
        <f>IFERROR(__xludf.DUMMYFUNCTION("REGEXEXTRACT(C949, ""🏘️ \w+ (\w+) .* ✅"")"),"appartement")</f>
        <v>appartement</v>
      </c>
      <c r="H949" s="4" t="str">
        <f>IFERROR(__xludf.DUMMYFUNCTION("REGEXEXTRACT(A949, ""/(\w+)-.*?"")"),"quartier")</f>
        <v>quartier</v>
      </c>
      <c r="I949" s="4" t="str">
        <f>IFERROR(__xludf.DUMMYFUNCTION("if(D949=""variant"",  substitute(filter(Templates!E:E, Templates!A:A = F949, Templates!B:B = G949, Templates!C:C = H949), ""{{}}"", E949), B949)"),"🏘  L’appartement de vos rêves se trouve sur ImmoScout24.ch ✅ Découvrez les dernières annonces de vente dans le quartier des Mousquines - Bellevue (Lausanne).")</f>
        <v>🏘  L’appartement de vos rêves se trouve sur ImmoScout24.ch ✅ Découvrez les dernières annonces de vente dans le quartier des Mousquines - Bellevue (Lausanne).</v>
      </c>
      <c r="J949" s="4" t="s">
        <v>2853</v>
      </c>
    </row>
    <row r="950">
      <c r="A950" s="5" t="s">
        <v>2854</v>
      </c>
      <c r="B950" s="2" t="s">
        <v>2855</v>
      </c>
      <c r="C950" s="4" t="str">
        <f>IFERROR(__xludf.DUMMYFUNCTION("""🏘️ ""&amp;REGEXEXTRACT(B950, ""^(.*): "")&amp;"" ✅ "" &amp;REGEXEXTRACT(B950, ""(Trouvez.*)"")"),"🏘️ Vendre appartement Singine - Sarine - Lac ✅ Trouvez le bien immobilier qui correspond idéalement à vos désirs sur ImmoScout24 - La plateforme de l'immobilier en Suisse.")</f>
        <v>🏘️ Vendre appartement Singine - Sarine - Lac ✅ Trouvez le bien immobilier qui correspond idéalement à vos désirs sur ImmoScout24 - La plateforme de l'immobilier en Suisse.</v>
      </c>
      <c r="D950" s="4" t="str">
        <f>vlookup(A950, Sheet2!D:E, 2, 0)</f>
        <v>variant</v>
      </c>
      <c r="E950" s="4" t="str">
        <f>IFERROR(__xludf.DUMMYFUNCTION("if(H950=""pays"",vlookup(REGEXEXTRACT(C950, ""🏘️ \w+ \w+ (.*) ✅""),'Country prepositions'!A:B, 2, 0) &amp; "" "" &amp; REGEXEXTRACT(C950, ""🏘️ \w+ \w+ (.*) ✅"") ,  if(H950=""quartier"",vlookup(REGEXEXTRACT(C950, ""🏘️ \w+ \w+ (.*) ✅""),'Quartier prepositions'!A"&amp;":E, 5, 0) ,  if(H950=""region"",vlookup(REGEXEXTRACT(C950, ""🏘️ \w+ \w+ (.*) ✅""),'Region prepositions'!B:F, 5, 0),  REGEXEXTRACT(C950, ""🏘️ \w+ \w+ (.*) ✅""))))"),"dans les districts de Singine - Sarine - Lac")</f>
        <v>dans les districts de Singine - Sarine - Lac</v>
      </c>
      <c r="F950" s="2" t="str">
        <f>IFERROR(__xludf.DUMMYFUNCTION("REGEXEXTRACT(C950, ""🏘️ (\w+) \w+ .* ✅"")"),"Vendre")</f>
        <v>Vendre</v>
      </c>
      <c r="G950" s="2" t="str">
        <f>IFERROR(__xludf.DUMMYFUNCTION("REGEXEXTRACT(C950, ""🏘️ \w+ (\w+) .* ✅"")"),"appartement")</f>
        <v>appartement</v>
      </c>
      <c r="H950" s="4" t="str">
        <f>IFERROR(__xludf.DUMMYFUNCTION("REGEXEXTRACT(A950, ""/(\w+)-.*?"")"),"region")</f>
        <v>region</v>
      </c>
      <c r="I950" s="4" t="str">
        <f>IFERROR(__xludf.DUMMYFUNCTION("if(D950=""variant"",  substitute(filter(Templates!E:E, Templates!A:A = F950, Templates!B:B = G950, Templates!C:C = H950), ""{{}}"", E950), B950)"),"🏘  L’appartement de vos rêves se trouve sur ImmoScout24.ch ✅ Découvrez les dernières annonces de vente dans les districts de Singine - Sarine - Lac.")</f>
        <v>🏘  L’appartement de vos rêves se trouve sur ImmoScout24.ch ✅ Découvrez les dernières annonces de vente dans les districts de Singine - Sarine - Lac.</v>
      </c>
      <c r="J950" s="4" t="s">
        <v>2856</v>
      </c>
    </row>
    <row r="951">
      <c r="A951" s="5" t="s">
        <v>2857</v>
      </c>
      <c r="B951" s="2" t="s">
        <v>2858</v>
      </c>
      <c r="C951" s="4" t="str">
        <f>IFERROR(__xludf.DUMMYFUNCTION("""🏘️ ""&amp;REGEXEXTRACT(B951, ""^(.*): "")&amp;"" ✅ "" &amp;REGEXEXTRACT(B951, ""(Trouvez.*)"")"),"🏘️ Louer appartement Rotes Quartier (Berne) ✅ Trouvez le bien immobilier qui correspond idéalement à vos désirs sur ImmoScout24 - La plateforme de l'immobilier en Suisse.")</f>
        <v>🏘️ Louer appartement Rotes Quartier (Berne) ✅ Trouvez le bien immobilier qui correspond idéalement à vos désirs sur ImmoScout24 - La plateforme de l'immobilier en Suisse.</v>
      </c>
      <c r="D951" s="4" t="str">
        <f>vlookup(A951, Sheet2!D:E, 2, 0)</f>
        <v>variant</v>
      </c>
      <c r="E951" s="4" t="str">
        <f>IFERROR(__xludf.DUMMYFUNCTION("if(H951=""pays"",vlookup(REGEXEXTRACT(C951, ""🏘️ \w+ \w+ (.*) ✅""),'Country prepositions'!A:B, 2, 0) &amp; "" "" &amp; REGEXEXTRACT(C951, ""🏘️ \w+ \w+ (.*) ✅"") ,  if(H951=""quartier"",vlookup(REGEXEXTRACT(C951, ""🏘️ \w+ \w+ (.*) ✅""),'Quartier prepositions'!A"&amp;":E, 5, 0) ,  if(H951=""region"",vlookup(REGEXEXTRACT(C951, ""🏘️ \w+ \w+ (.*) ✅""),'Region prepositions'!B:F, 5, 0),  REGEXEXTRACT(C951, ""🏘️ \w+ \w+ (.*) ✅""))))"),"dans le Rotes Quartier")</f>
        <v>dans le Rotes Quartier</v>
      </c>
      <c r="F951" s="2" t="str">
        <f>IFERROR(__xludf.DUMMYFUNCTION("REGEXEXTRACT(C951, ""🏘️ (\w+) \w+ .* ✅"")"),"Louer")</f>
        <v>Louer</v>
      </c>
      <c r="G951" s="2" t="str">
        <f>IFERROR(__xludf.DUMMYFUNCTION("REGEXEXTRACT(C951, ""🏘️ \w+ (\w+) .* ✅"")"),"appartement")</f>
        <v>appartement</v>
      </c>
      <c r="H951" s="4" t="str">
        <f>IFERROR(__xludf.DUMMYFUNCTION("REGEXEXTRACT(A951, ""/(\w+)-.*?"")"),"quartier")</f>
        <v>quartier</v>
      </c>
      <c r="I951" s="4" t="str">
        <f>IFERROR(__xludf.DUMMYFUNCTION("if(D951=""variant"",  substitute(filter(Templates!E:E, Templates!A:A = F951, Templates!B:B = G951, Templates!C:C = H951), ""{{}}"", E951), B951)"),"🏘  Vous cherchez un appartement à louer dans le Rotes Quartier? ✅ Les annonces les plus actuelles sont sur ImmoScout24.ch.")</f>
        <v>🏘  Vous cherchez un appartement à louer dans le Rotes Quartier? ✅ Les annonces les plus actuelles sont sur ImmoScout24.ch.</v>
      </c>
      <c r="J951" s="4" t="s">
        <v>2859</v>
      </c>
    </row>
    <row r="952">
      <c r="A952" s="5" t="s">
        <v>2860</v>
      </c>
      <c r="B952" s="2" t="s">
        <v>2861</v>
      </c>
      <c r="C952" s="4" t="str">
        <f>IFERROR(__xludf.DUMMYFUNCTION("""🏘️ ""&amp;REGEXEXTRACT(B952, ""^(.*): "")&amp;"" ✅ "" &amp;REGEXEXTRACT(B952, ""(Trouvez.*)"")"),"🏘️ Louer maison Malleray ✅ Trouvez le bien immobilier qui correspond idéalement à vos désirs sur ImmoScout24 - La plateforme de l'immobilier en Suisse.")</f>
        <v>🏘️ Louer maison Malleray ✅ Trouvez le bien immobilier qui correspond idéalement à vos désirs sur ImmoScout24 - La plateforme de l'immobilier en Suisse.</v>
      </c>
      <c r="D952" s="4" t="str">
        <f>vlookup(A952, Sheet2!D:E, 2, 0)</f>
        <v>variant</v>
      </c>
      <c r="E952" s="4" t="str">
        <f>IFERROR(__xludf.DUMMYFUNCTION("if(H952=""pays"",vlookup(REGEXEXTRACT(C952, ""🏘️ \w+ \w+ (.*) ✅""),'Country prepositions'!A:B, 2, 0) &amp; "" "" &amp; REGEXEXTRACT(C952, ""🏘️ \w+ \w+ (.*) ✅"") ,  if(H952=""quartier"",vlookup(REGEXEXTRACT(C952, ""🏘️ \w+ \w+ (.*) ✅""),'Quartier prepositions'!A"&amp;":E, 5, 0) ,  if(H952=""region"",vlookup(REGEXEXTRACT(C952, ""🏘️ \w+ \w+ (.*) ✅""),'Region prepositions'!B:F, 5, 0),  REGEXEXTRACT(C952, ""🏘️ \w+ \w+ (.*) ✅""))))"),"Malleray")</f>
        <v>Malleray</v>
      </c>
      <c r="F952" s="2" t="str">
        <f>IFERROR(__xludf.DUMMYFUNCTION("REGEXEXTRACT(C952, ""🏘️ (\w+) \w+ .* ✅"")"),"Louer")</f>
        <v>Louer</v>
      </c>
      <c r="G952" s="2" t="str">
        <f>IFERROR(__xludf.DUMMYFUNCTION("REGEXEXTRACT(C952, ""🏘️ \w+ (\w+) .* ✅"")"),"maison")</f>
        <v>maison</v>
      </c>
      <c r="H952" s="4" t="str">
        <f>IFERROR(__xludf.DUMMYFUNCTION("REGEXEXTRACT(A952, ""/(\w+)-.*?"")"),"lieu")</f>
        <v>lieu</v>
      </c>
      <c r="I952" s="4" t="str">
        <f>IFERROR(__xludf.DUMMYFUNCTION("if(D952=""variant"",  substitute(filter(Templates!E:E, Templates!A:A = F952, Templates!B:B = G952, Templates!C:C = H952), ""{{}}"", E952), B952)"),"🏘  Vous cherchez une maison à louer à Malleray? ✅ Découvrez nos nombreuses annonces sur ImmoScout24.ch.")</f>
        <v>🏘  Vous cherchez une maison à louer à Malleray? ✅ Découvrez nos nombreuses annonces sur ImmoScout24.ch.</v>
      </c>
      <c r="J952" s="4" t="s">
        <v>2862</v>
      </c>
    </row>
    <row r="953">
      <c r="A953" s="5" t="s">
        <v>2863</v>
      </c>
      <c r="B953" s="2" t="s">
        <v>2864</v>
      </c>
      <c r="C953" s="4" t="str">
        <f>IFERROR(__xludf.DUMMYFUNCTION("""🏘️ ""&amp;REGEXEXTRACT(B953, ""^(.*): "")&amp;"" ✅ "" &amp;REGEXEXTRACT(B953, ""(Trouvez.*)"")"),"🏘️ Louer appartement Cousset ✅ Trouvez le bien immobilier qui correspond idéalement à vos désirs sur ImmoScout24 - La plateforme de l'immobilier en Suisse.")</f>
        <v>🏘️ Louer appartement Cousset ✅ Trouvez le bien immobilier qui correspond idéalement à vos désirs sur ImmoScout24 - La plateforme de l'immobilier en Suisse.</v>
      </c>
      <c r="D953" s="4" t="str">
        <f>vlookup(A953, Sheet2!D:E, 2, 0)</f>
        <v>variant</v>
      </c>
      <c r="E953" s="4" t="str">
        <f>IFERROR(__xludf.DUMMYFUNCTION("if(H953=""pays"",vlookup(REGEXEXTRACT(C953, ""🏘️ \w+ \w+ (.*) ✅""),'Country prepositions'!A:B, 2, 0) &amp; "" "" &amp; REGEXEXTRACT(C953, ""🏘️ \w+ \w+ (.*) ✅"") ,  if(H953=""quartier"",vlookup(REGEXEXTRACT(C953, ""🏘️ \w+ \w+ (.*) ✅""),'Quartier prepositions'!A"&amp;":E, 5, 0) ,  if(H953=""region"",vlookup(REGEXEXTRACT(C953, ""🏘️ \w+ \w+ (.*) ✅""),'Region prepositions'!B:F, 5, 0),  REGEXEXTRACT(C953, ""🏘️ \w+ \w+ (.*) ✅""))))"),"Cousset")</f>
        <v>Cousset</v>
      </c>
      <c r="F953" s="2" t="str">
        <f>IFERROR(__xludf.DUMMYFUNCTION("REGEXEXTRACT(C953, ""🏘️ (\w+) \w+ .* ✅"")"),"Louer")</f>
        <v>Louer</v>
      </c>
      <c r="G953" s="2" t="str">
        <f>IFERROR(__xludf.DUMMYFUNCTION("REGEXEXTRACT(C953, ""🏘️ \w+ (\w+) .* ✅"")"),"appartement")</f>
        <v>appartement</v>
      </c>
      <c r="H953" s="4" t="str">
        <f>IFERROR(__xludf.DUMMYFUNCTION("REGEXEXTRACT(A953, ""/(\w+)-.*?"")"),"lieu")</f>
        <v>lieu</v>
      </c>
      <c r="I953" s="4" t="str">
        <f>IFERROR(__xludf.DUMMYFUNCTION("if(D953=""variant"",  substitute(filter(Templates!E:E, Templates!A:A = F953, Templates!B:B = G953, Templates!C:C = H953), ""{{}}"", E953), B953)"),"🏘  Vous cherchez un appartement à louer à Cousset? ✅ Les annonces les plus actuelles sont sur ImmoScout24.ch.")</f>
        <v>🏘  Vous cherchez un appartement à louer à Cousset? ✅ Les annonces les plus actuelles sont sur ImmoScout24.ch.</v>
      </c>
      <c r="J953" s="4" t="s">
        <v>2865</v>
      </c>
    </row>
    <row r="954">
      <c r="A954" s="5" t="s">
        <v>2866</v>
      </c>
      <c r="B954" s="2" t="s">
        <v>2867</v>
      </c>
      <c r="C954" s="4" t="str">
        <f>IFERROR(__xludf.DUMMYFUNCTION("""🏘️ ""&amp;REGEXEXTRACT(B954, ""^(.*): "")&amp;"" ✅ "" &amp;REGEXEXTRACT(B954, ""(Trouvez.*)"")"),"🏘️ Vendre maison Flanthey ✅ Trouvez le bien immobilier qui correspond idéalement à vos désirs sur ImmoScout24 - La plateforme de l'immobilier en Suisse.")</f>
        <v>🏘️ Vendre maison Flanthey ✅ Trouvez le bien immobilier qui correspond idéalement à vos désirs sur ImmoScout24 - La plateforme de l'immobilier en Suisse.</v>
      </c>
      <c r="D954" s="4" t="str">
        <f>vlookup(A954, Sheet2!D:E, 2, 0)</f>
        <v>variant</v>
      </c>
      <c r="E954" s="4" t="str">
        <f>IFERROR(__xludf.DUMMYFUNCTION("if(H954=""pays"",vlookup(REGEXEXTRACT(C954, ""🏘️ \w+ \w+ (.*) ✅""),'Country prepositions'!A:B, 2, 0) &amp; "" "" &amp; REGEXEXTRACT(C954, ""🏘️ \w+ \w+ (.*) ✅"") ,  if(H954=""quartier"",vlookup(REGEXEXTRACT(C954, ""🏘️ \w+ \w+ (.*) ✅""),'Quartier prepositions'!A"&amp;":E, 5, 0) ,  if(H954=""region"",vlookup(REGEXEXTRACT(C954, ""🏘️ \w+ \w+ (.*) ✅""),'Region prepositions'!B:F, 5, 0),  REGEXEXTRACT(C954, ""🏘️ \w+ \w+ (.*) ✅""))))"),"Flanthey")</f>
        <v>Flanthey</v>
      </c>
      <c r="F954" s="2" t="str">
        <f>IFERROR(__xludf.DUMMYFUNCTION("REGEXEXTRACT(C954, ""🏘️ (\w+) \w+ .* ✅"")"),"Vendre")</f>
        <v>Vendre</v>
      </c>
      <c r="G954" s="2" t="str">
        <f>IFERROR(__xludf.DUMMYFUNCTION("REGEXEXTRACT(C954, ""🏘️ \w+ (\w+) .* ✅"")"),"maison")</f>
        <v>maison</v>
      </c>
      <c r="H954" s="4" t="str">
        <f>IFERROR(__xludf.DUMMYFUNCTION("REGEXEXTRACT(A954, ""/(\w+)-.*?"")"),"lieu")</f>
        <v>lieu</v>
      </c>
      <c r="I954" s="4" t="str">
        <f>IFERROR(__xludf.DUMMYFUNCTION("if(D954=""variant"",  substitute(filter(Templates!E:E, Templates!A:A = F954, Templates!B:B = G954, Templates!C:C = H954), ""{{}}"", E954), B954)"),"🏘  Vous souhaitez acheter une maison à Flanthey? ✅ Jetez un œil aux dernières offres sur ImmoScout24.ch.")</f>
        <v>🏘  Vous souhaitez acheter une maison à Flanthey? ✅ Jetez un œil aux dernières offres sur ImmoScout24.ch.</v>
      </c>
      <c r="J954" s="4" t="s">
        <v>2868</v>
      </c>
    </row>
    <row r="955">
      <c r="A955" s="5" t="s">
        <v>2869</v>
      </c>
      <c r="B955" s="2" t="s">
        <v>2870</v>
      </c>
      <c r="C955" s="4" t="str">
        <f>IFERROR(__xludf.DUMMYFUNCTION("""🏘️ ""&amp;REGEXEXTRACT(B955, ""^(.*): "")&amp;"" ✅ "" &amp;REGEXEXTRACT(B955, ""(Trouvez.*)"")"),"🏘️ Vendre maison Canton de Soleure ✅ Trouvez le bien immobilier qui correspond idéalement à vos désirs sur ImmoScout24 - La plateforme de l'immobilier en Suisse.")</f>
        <v>🏘️ Vendre maison Canton de Soleure ✅ Trouvez le bien immobilier qui correspond idéalement à vos désirs sur ImmoScout24 - La plateforme de l'immobilier en Suisse.</v>
      </c>
      <c r="D955" s="4" t="str">
        <f>vlookup(A955, Sheet2!D:E, 2, 0)</f>
        <v>variant</v>
      </c>
      <c r="E955" s="4" t="str">
        <f>IFERROR(__xludf.DUMMYFUNCTION("if(H955=""pays"",vlookup(REGEXEXTRACT(C955, ""🏘️ \w+ \w+ (.*) ✅""),'Country prepositions'!A:B, 2, 0) &amp; "" "" &amp; REGEXEXTRACT(C955, ""🏘️ \w+ \w+ (.*) ✅"") ,  if(H955=""quartier"",vlookup(REGEXEXTRACT(C955, ""🏘️ \w+ \w+ (.*) ✅""),'Quartier prepositions'!A"&amp;":E, 5, 0) ,  if(H955=""region"",vlookup(REGEXEXTRACT(C955, ""🏘️ \w+ \w+ (.*) ✅""),'Region prepositions'!B:F, 5, 0),  REGEXEXTRACT(C955, ""🏘️ \w+ \w+ (.*) ✅""))))"),"Canton de Soleure")</f>
        <v>Canton de Soleure</v>
      </c>
      <c r="F955" s="2" t="str">
        <f>IFERROR(__xludf.DUMMYFUNCTION("REGEXEXTRACT(C955, ""🏘️ (\w+) \w+ .* ✅"")"),"Vendre")</f>
        <v>Vendre</v>
      </c>
      <c r="G955" s="2" t="str">
        <f>IFERROR(__xludf.DUMMYFUNCTION("REGEXEXTRACT(C955, ""🏘️ \w+ (\w+) .* ✅"")"),"maison")</f>
        <v>maison</v>
      </c>
      <c r="H955" s="4" t="str">
        <f>IFERROR(__xludf.DUMMYFUNCTION("REGEXEXTRACT(A955, ""/(\w+)-.*?"")"),"canton")</f>
        <v>canton</v>
      </c>
      <c r="I955" s="4" t="str">
        <f>IFERROR(__xludf.DUMMYFUNCTION("if(D955=""variant"",  substitute(filter(Templates!E:E, Templates!A:A = F955, Templates!B:B = G955, Templates!C:C = H955), ""{{}}"", E955), B955)"),"🏘  Vous souhaitez acheter une maison dans le Canton de Soleure? ✅ Jetez un œil aux dernières offres sur ImmoScout24.ch.")</f>
        <v>🏘  Vous souhaitez acheter une maison dans le Canton de Soleure? ✅ Jetez un œil aux dernières offres sur ImmoScout24.ch.</v>
      </c>
      <c r="J955" s="4" t="s">
        <v>2871</v>
      </c>
    </row>
    <row r="956">
      <c r="A956" s="5" t="s">
        <v>2872</v>
      </c>
      <c r="B956" s="2" t="s">
        <v>2873</v>
      </c>
      <c r="C956" s="4" t="str">
        <f>IFERROR(__xludf.DUMMYFUNCTION("""🏘️ ""&amp;REGEXEXTRACT(B956, ""^(.*): "")&amp;"" ✅ "" &amp;REGEXEXTRACT(B956, ""(Trouvez.*)"")"),"🏘️ Louer appartement Einsiedeln ✅ Trouvez le bien immobilier qui correspond idéalement à vos désirs sur ImmoScout24 - La plateforme de l'immobilier en Suisse.")</f>
        <v>🏘️ Louer appartement Einsiedeln ✅ Trouvez le bien immobilier qui correspond idéalement à vos désirs sur ImmoScout24 - La plateforme de l'immobilier en Suisse.</v>
      </c>
      <c r="D956" s="4" t="str">
        <f>vlookup(A956, Sheet2!D:E, 2, 0)</f>
        <v>variant</v>
      </c>
      <c r="E956" s="4" t="str">
        <f>IFERROR(__xludf.DUMMYFUNCTION("if(H956=""pays"",vlookup(REGEXEXTRACT(C956, ""🏘️ \w+ \w+ (.*) ✅""),'Country prepositions'!A:B, 2, 0) &amp; "" "" &amp; REGEXEXTRACT(C956, ""🏘️ \w+ \w+ (.*) ✅"") ,  if(H956=""quartier"",vlookup(REGEXEXTRACT(C956, ""🏘️ \w+ \w+ (.*) ✅""),'Quartier prepositions'!A"&amp;":E, 5, 0) ,  if(H956=""region"",vlookup(REGEXEXTRACT(C956, ""🏘️ \w+ \w+ (.*) ✅""),'Region prepositions'!B:F, 5, 0),  REGEXEXTRACT(C956, ""🏘️ \w+ \w+ (.*) ✅""))))"),"Einsiedeln")</f>
        <v>Einsiedeln</v>
      </c>
      <c r="F956" s="2" t="str">
        <f>IFERROR(__xludf.DUMMYFUNCTION("REGEXEXTRACT(C956, ""🏘️ (\w+) \w+ .* ✅"")"),"Louer")</f>
        <v>Louer</v>
      </c>
      <c r="G956" s="2" t="str">
        <f>IFERROR(__xludf.DUMMYFUNCTION("REGEXEXTRACT(C956, ""🏘️ \w+ (\w+) .* ✅"")"),"appartement")</f>
        <v>appartement</v>
      </c>
      <c r="H956" s="4" t="str">
        <f>IFERROR(__xludf.DUMMYFUNCTION("REGEXEXTRACT(A956, ""/(\w+)-.*?"")"),"lieu")</f>
        <v>lieu</v>
      </c>
      <c r="I956" s="4" t="str">
        <f>IFERROR(__xludf.DUMMYFUNCTION("if(D956=""variant"",  substitute(filter(Templates!E:E, Templates!A:A = F956, Templates!B:B = G956, Templates!C:C = H956), ""{{}}"", E956), B956)"),"🏘  Vous cherchez un appartement à louer à Einsiedeln? ✅ Les annonces les plus actuelles sont sur ImmoScout24.ch.")</f>
        <v>🏘  Vous cherchez un appartement à louer à Einsiedeln? ✅ Les annonces les plus actuelles sont sur ImmoScout24.ch.</v>
      </c>
      <c r="J956" s="4" t="s">
        <v>2874</v>
      </c>
    </row>
    <row r="957">
      <c r="A957" s="5" t="s">
        <v>2875</v>
      </c>
      <c r="B957" s="2" t="s">
        <v>2876</v>
      </c>
      <c r="C957" s="4" t="str">
        <f>IFERROR(__xludf.DUMMYFUNCTION("""🏘️ ""&amp;REGEXEXTRACT(B957, ""^(.*): "")&amp;"" ✅ "" &amp;REGEXEXTRACT(B957, ""(Trouvez.*)"")"),"🏘️ Louer appartement Orselina ✅ Trouvez le bien immobilier qui correspond idéalement à vos désirs sur ImmoScout24 - La plateforme de l'immobilier en Suisse.")</f>
        <v>🏘️ Louer appartement Orselina ✅ Trouvez le bien immobilier qui correspond idéalement à vos désirs sur ImmoScout24 - La plateforme de l'immobilier en Suisse.</v>
      </c>
      <c r="D957" s="4" t="str">
        <f>vlookup(A957, Sheet2!D:E, 2, 0)</f>
        <v>variant</v>
      </c>
      <c r="E957" s="4" t="str">
        <f>IFERROR(__xludf.DUMMYFUNCTION("if(H957=""pays"",vlookup(REGEXEXTRACT(C957, ""🏘️ \w+ \w+ (.*) ✅""),'Country prepositions'!A:B, 2, 0) &amp; "" "" &amp; REGEXEXTRACT(C957, ""🏘️ \w+ \w+ (.*) ✅"") ,  if(H957=""quartier"",vlookup(REGEXEXTRACT(C957, ""🏘️ \w+ \w+ (.*) ✅""),'Quartier prepositions'!A"&amp;":E, 5, 0) ,  if(H957=""region"",vlookup(REGEXEXTRACT(C957, ""🏘️ \w+ \w+ (.*) ✅""),'Region prepositions'!B:F, 5, 0),  REGEXEXTRACT(C957, ""🏘️ \w+ \w+ (.*) ✅""))))"),"Orselina")</f>
        <v>Orselina</v>
      </c>
      <c r="F957" s="2" t="str">
        <f>IFERROR(__xludf.DUMMYFUNCTION("REGEXEXTRACT(C957, ""🏘️ (\w+) \w+ .* ✅"")"),"Louer")</f>
        <v>Louer</v>
      </c>
      <c r="G957" s="2" t="str">
        <f>IFERROR(__xludf.DUMMYFUNCTION("REGEXEXTRACT(C957, ""🏘️ \w+ (\w+) .* ✅"")"),"appartement")</f>
        <v>appartement</v>
      </c>
      <c r="H957" s="4" t="str">
        <f>IFERROR(__xludf.DUMMYFUNCTION("REGEXEXTRACT(A957, ""/(\w+)-.*?"")"),"lieu")</f>
        <v>lieu</v>
      </c>
      <c r="I957" s="4" t="str">
        <f>IFERROR(__xludf.DUMMYFUNCTION("if(D957=""variant"",  substitute(filter(Templates!E:E, Templates!A:A = F957, Templates!B:B = G957, Templates!C:C = H957), ""{{}}"", E957), B957)"),"🏘  Vous cherchez un appartement à louer à Orselina? ✅ Les annonces les plus actuelles sont sur ImmoScout24.ch.")</f>
        <v>🏘  Vous cherchez un appartement à louer à Orselina? ✅ Les annonces les plus actuelles sont sur ImmoScout24.ch.</v>
      </c>
      <c r="J957" s="4" t="s">
        <v>2877</v>
      </c>
    </row>
    <row r="958">
      <c r="A958" s="5" t="s">
        <v>2878</v>
      </c>
      <c r="B958" s="2" t="s">
        <v>2879</v>
      </c>
      <c r="C958" s="4" t="str">
        <f>IFERROR(__xludf.DUMMYFUNCTION("""🏘️ ""&amp;REGEXEXTRACT(B958, ""^(.*): "")&amp;"" ✅ "" &amp;REGEXEXTRACT(B958, ""(Trouvez.*)"")"),"🏘️ Louer appartement Sécheron - Prieuré (Genève) ✅ Trouvez le bien immobilier qui correspond idéalement à vos désirs sur ImmoScout24 - La plateforme de l'immobilier en Suisse.")</f>
        <v>🏘️ Louer appartement Sécheron - Prieuré (Genève) ✅ Trouvez le bien immobilier qui correspond idéalement à vos désirs sur ImmoScout24 - La plateforme de l'immobilier en Suisse.</v>
      </c>
      <c r="D958" s="4" t="str">
        <f>vlookup(A958, Sheet2!D:E, 2, 0)</f>
        <v>variant</v>
      </c>
      <c r="E958" s="4" t="str">
        <f>IFERROR(__xludf.DUMMYFUNCTION("if(H958=""pays"",vlookup(REGEXEXTRACT(C958, ""🏘️ \w+ \w+ (.*) ✅""),'Country prepositions'!A:B, 2, 0) &amp; "" "" &amp; REGEXEXTRACT(C958, ""🏘️ \w+ \w+ (.*) ✅"") ,  if(H958=""quartier"",vlookup(REGEXEXTRACT(C958, ""🏘️ \w+ \w+ (.*) ✅""),'Quartier prepositions'!A"&amp;":E, 5, 0) ,  if(H958=""region"",vlookup(REGEXEXTRACT(C958, ""🏘️ \w+ \w+ (.*) ✅""),'Region prepositions'!B:F, 5, 0),  REGEXEXTRACT(C958, ""🏘️ \w+ \w+ (.*) ✅""))))"),"dans le quartier de Sécheron - Prieuré (Genève)")</f>
        <v>dans le quartier de Sécheron - Prieuré (Genève)</v>
      </c>
      <c r="F958" s="2" t="str">
        <f>IFERROR(__xludf.DUMMYFUNCTION("REGEXEXTRACT(C958, ""🏘️ (\w+) \w+ .* ✅"")"),"Louer")</f>
        <v>Louer</v>
      </c>
      <c r="G958" s="2" t="str">
        <f>IFERROR(__xludf.DUMMYFUNCTION("REGEXEXTRACT(C958, ""🏘️ \w+ (\w+) .* ✅"")"),"appartement")</f>
        <v>appartement</v>
      </c>
      <c r="H958" s="4" t="str">
        <f>IFERROR(__xludf.DUMMYFUNCTION("REGEXEXTRACT(A958, ""/(\w+)-.*?"")"),"quartier")</f>
        <v>quartier</v>
      </c>
      <c r="I958" s="4" t="str">
        <f>IFERROR(__xludf.DUMMYFUNCTION("if(D958=""variant"",  substitute(filter(Templates!E:E, Templates!A:A = F958, Templates!B:B = G958, Templates!C:C = H958), ""{{}}"", E958), B958)"),"🏘  Vous cherchez un appartement à louer dans le quartier de Sécheron - Prieuré (Genève)? ✅ Les annonces les plus actuelles sont sur ImmoScout24.ch.")</f>
        <v>🏘  Vous cherchez un appartement à louer dans le quartier de Sécheron - Prieuré (Genève)? ✅ Les annonces les plus actuelles sont sur ImmoScout24.ch.</v>
      </c>
      <c r="J958" s="4" t="s">
        <v>2880</v>
      </c>
    </row>
    <row r="959">
      <c r="A959" s="5" t="s">
        <v>2881</v>
      </c>
      <c r="B959" s="2" t="s">
        <v>2882</v>
      </c>
      <c r="C959" s="4" t="str">
        <f>IFERROR(__xludf.DUMMYFUNCTION("""🏘️ ""&amp;REGEXEXTRACT(B959, ""^(.*): "")&amp;"" ✅ "" &amp;REGEXEXTRACT(B959, ""(Trouvez.*)"")"),"🏘️ Vendre maison Attalens ✅ Trouvez le bien immobilier qui correspond idéalement à vos désirs sur ImmoScout24 - La plateforme de l'immobilier en Suisse.")</f>
        <v>🏘️ Vendre maison Attalens ✅ Trouvez le bien immobilier qui correspond idéalement à vos désirs sur ImmoScout24 - La plateforme de l'immobilier en Suisse.</v>
      </c>
      <c r="D959" s="4" t="str">
        <f>vlookup(A959, Sheet2!D:E, 2, 0)</f>
        <v>variant</v>
      </c>
      <c r="E959" s="4" t="str">
        <f>IFERROR(__xludf.DUMMYFUNCTION("if(H959=""pays"",vlookup(REGEXEXTRACT(C959, ""🏘️ \w+ \w+ (.*) ✅""),'Country prepositions'!A:B, 2, 0) &amp; "" "" &amp; REGEXEXTRACT(C959, ""🏘️ \w+ \w+ (.*) ✅"") ,  if(H959=""quartier"",vlookup(REGEXEXTRACT(C959, ""🏘️ \w+ \w+ (.*) ✅""),'Quartier prepositions'!A"&amp;":E, 5, 0) ,  if(H959=""region"",vlookup(REGEXEXTRACT(C959, ""🏘️ \w+ \w+ (.*) ✅""),'Region prepositions'!B:F, 5, 0),  REGEXEXTRACT(C959, ""🏘️ \w+ \w+ (.*) ✅""))))"),"Attalens")</f>
        <v>Attalens</v>
      </c>
      <c r="F959" s="2" t="str">
        <f>IFERROR(__xludf.DUMMYFUNCTION("REGEXEXTRACT(C959, ""🏘️ (\w+) \w+ .* ✅"")"),"Vendre")</f>
        <v>Vendre</v>
      </c>
      <c r="G959" s="2" t="str">
        <f>IFERROR(__xludf.DUMMYFUNCTION("REGEXEXTRACT(C959, ""🏘️ \w+ (\w+) .* ✅"")"),"maison")</f>
        <v>maison</v>
      </c>
      <c r="H959" s="4" t="str">
        <f>IFERROR(__xludf.DUMMYFUNCTION("REGEXEXTRACT(A959, ""/(\w+)-.*?"")"),"lieu")</f>
        <v>lieu</v>
      </c>
      <c r="I959" s="4" t="str">
        <f>IFERROR(__xludf.DUMMYFUNCTION("if(D959=""variant"",  substitute(filter(Templates!E:E, Templates!A:A = F959, Templates!B:B = G959, Templates!C:C = H959), ""{{}}"", E959), B959)"),"🏘  Vous souhaitez acheter une maison à Attalens? ✅ Jetez un œil aux dernières offres sur ImmoScout24.ch.")</f>
        <v>🏘  Vous souhaitez acheter une maison à Attalens? ✅ Jetez un œil aux dernières offres sur ImmoScout24.ch.</v>
      </c>
      <c r="J959" s="4" t="s">
        <v>2883</v>
      </c>
    </row>
    <row r="960">
      <c r="A960" s="5" t="s">
        <v>2884</v>
      </c>
      <c r="B960" s="2" t="s">
        <v>2885</v>
      </c>
      <c r="C960" s="4" t="str">
        <f>IFERROR(__xludf.DUMMYFUNCTION("""🏘️ ""&amp;REGEXEXTRACT(B960, ""^(.*): "")&amp;"" ✅ "" &amp;REGEXEXTRACT(B960, ""(Trouvez.*)"")"),"🏘️ Louer appartement Morens FR ✅ Trouvez le bien immobilier qui correspond idéalement à vos désirs sur ImmoScout24 - La plateforme de l'immobilier en Suisse.")</f>
        <v>🏘️ Louer appartement Morens FR ✅ Trouvez le bien immobilier qui correspond idéalement à vos désirs sur ImmoScout24 - La plateforme de l'immobilier en Suisse.</v>
      </c>
      <c r="D960" s="4" t="str">
        <f>vlookup(A960, Sheet2!D:E, 2, 0)</f>
        <v>variant</v>
      </c>
      <c r="E960" s="4" t="str">
        <f>IFERROR(__xludf.DUMMYFUNCTION("if(H960=""pays"",vlookup(REGEXEXTRACT(C960, ""🏘️ \w+ \w+ (.*) ✅""),'Country prepositions'!A:B, 2, 0) &amp; "" "" &amp; REGEXEXTRACT(C960, ""🏘️ \w+ \w+ (.*) ✅"") ,  if(H960=""quartier"",vlookup(REGEXEXTRACT(C960, ""🏘️ \w+ \w+ (.*) ✅""),'Quartier prepositions'!A"&amp;":E, 5, 0) ,  if(H960=""region"",vlookup(REGEXEXTRACT(C960, ""🏘️ \w+ \w+ (.*) ✅""),'Region prepositions'!B:F, 5, 0),  REGEXEXTRACT(C960, ""🏘️ \w+ \w+ (.*) ✅""))))"),"Morens FR")</f>
        <v>Morens FR</v>
      </c>
      <c r="F960" s="2" t="str">
        <f>IFERROR(__xludf.DUMMYFUNCTION("REGEXEXTRACT(C960, ""🏘️ (\w+) \w+ .* ✅"")"),"Louer")</f>
        <v>Louer</v>
      </c>
      <c r="G960" s="2" t="str">
        <f>IFERROR(__xludf.DUMMYFUNCTION("REGEXEXTRACT(C960, ""🏘️ \w+ (\w+) .* ✅"")"),"appartement")</f>
        <v>appartement</v>
      </c>
      <c r="H960" s="4" t="str">
        <f>IFERROR(__xludf.DUMMYFUNCTION("REGEXEXTRACT(A960, ""/(\w+)-.*?"")"),"lieu")</f>
        <v>lieu</v>
      </c>
      <c r="I960" s="4" t="str">
        <f>IFERROR(__xludf.DUMMYFUNCTION("if(D960=""variant"",  substitute(filter(Templates!E:E, Templates!A:A = F960, Templates!B:B = G960, Templates!C:C = H960), ""{{}}"", E960), B960)"),"🏘  Vous cherchez un appartement à louer à Morens FR? ✅ Les annonces les plus actuelles sont sur ImmoScout24.ch.")</f>
        <v>🏘  Vous cherchez un appartement à louer à Morens FR? ✅ Les annonces les plus actuelles sont sur ImmoScout24.ch.</v>
      </c>
      <c r="J960" s="4" t="s">
        <v>2886</v>
      </c>
    </row>
    <row r="961">
      <c r="A961" s="5" t="s">
        <v>2887</v>
      </c>
      <c r="B961" s="2" t="s">
        <v>2888</v>
      </c>
      <c r="C961" s="4" t="str">
        <f>IFERROR(__xludf.DUMMYFUNCTION("""🏘️ ""&amp;REGEXEXTRACT(B961, ""^(.*): "")&amp;"" ✅ "" &amp;REGEXEXTRACT(B961, ""(Trouvez.*)"")"),"🏘️ Vendre appartement Sils/Segl Maria ✅ Trouvez le bien immobilier qui correspond idéalement à vos désirs sur ImmoScout24 - La plateforme de l'immobilier en Suisse.")</f>
        <v>🏘️ Vendre appartement Sils/Segl Maria ✅ Trouvez le bien immobilier qui correspond idéalement à vos désirs sur ImmoScout24 - La plateforme de l'immobilier en Suisse.</v>
      </c>
      <c r="D961" s="4" t="str">
        <f>vlookup(A961, Sheet2!D:E, 2, 0)</f>
        <v>variant</v>
      </c>
      <c r="E961" s="4" t="str">
        <f>IFERROR(__xludf.DUMMYFUNCTION("if(H961=""pays"",vlookup(REGEXEXTRACT(C961, ""🏘️ \w+ \w+ (.*) ✅""),'Country prepositions'!A:B, 2, 0) &amp; "" "" &amp; REGEXEXTRACT(C961, ""🏘️ \w+ \w+ (.*) ✅"") ,  if(H961=""quartier"",vlookup(REGEXEXTRACT(C961, ""🏘️ \w+ \w+ (.*) ✅""),'Quartier prepositions'!A"&amp;":E, 5, 0) ,  if(H961=""region"",vlookup(REGEXEXTRACT(C961, ""🏘️ \w+ \w+ (.*) ✅""),'Region prepositions'!B:F, 5, 0),  REGEXEXTRACT(C961, ""🏘️ \w+ \w+ (.*) ✅""))))"),"Sils/Segl Maria")</f>
        <v>Sils/Segl Maria</v>
      </c>
      <c r="F961" s="2" t="str">
        <f>IFERROR(__xludf.DUMMYFUNCTION("REGEXEXTRACT(C961, ""🏘️ (\w+) \w+ .* ✅"")"),"Vendre")</f>
        <v>Vendre</v>
      </c>
      <c r="G961" s="2" t="str">
        <f>IFERROR(__xludf.DUMMYFUNCTION("REGEXEXTRACT(C961, ""🏘️ \w+ (\w+) .* ✅"")"),"appartement")</f>
        <v>appartement</v>
      </c>
      <c r="H961" s="4" t="str">
        <f>IFERROR(__xludf.DUMMYFUNCTION("REGEXEXTRACT(A961, ""/(\w+)-.*?"")"),"lieu")</f>
        <v>lieu</v>
      </c>
      <c r="I961" s="4" t="str">
        <f>IFERROR(__xludf.DUMMYFUNCTION("if(D961=""variant"",  substitute(filter(Templates!E:E, Templates!A:A = F961, Templates!B:B = G961, Templates!C:C = H961), ""{{}}"", E961), B961)"),"🏘  L’appartement de vos rêves se trouve sur ImmoScout24.ch ✅ Découvrez les dernières annonces de vente à Sils/Segl Maria.")</f>
        <v>🏘  L’appartement de vos rêves se trouve sur ImmoScout24.ch ✅ Découvrez les dernières annonces de vente à Sils/Segl Maria.</v>
      </c>
      <c r="J961" s="4" t="s">
        <v>2889</v>
      </c>
    </row>
    <row r="962">
      <c r="A962" s="5" t="s">
        <v>2890</v>
      </c>
      <c r="B962" s="2" t="s">
        <v>2891</v>
      </c>
      <c r="C962" s="4" t="str">
        <f>IFERROR(__xludf.DUMMYFUNCTION("""🏘️ ""&amp;REGEXEXTRACT(B962, ""^(.*): "")&amp;"" ✅ "" &amp;REGEXEXTRACT(B962, ""(Trouvez.*)"")"),"🏘️ Vendre appartement Centre-Ville (Lausanne) ✅ Trouvez le bien immobilier qui correspond idéalement à vos désirs sur ImmoScout24 - La plateforme de l'immobilier en Suisse.")</f>
        <v>🏘️ Vendre appartement Centre-Ville (Lausanne) ✅ Trouvez le bien immobilier qui correspond idéalement à vos désirs sur ImmoScout24 - La plateforme de l'immobilier en Suisse.</v>
      </c>
      <c r="D962" s="4" t="str">
        <f>vlookup(A962, Sheet2!D:E, 2, 0)</f>
        <v>variant</v>
      </c>
      <c r="E962" s="4" t="str">
        <f>IFERROR(__xludf.DUMMYFUNCTION("if(H962=""pays"",vlookup(REGEXEXTRACT(C962, ""🏘️ \w+ \w+ (.*) ✅""),'Country prepositions'!A:B, 2, 0) &amp; "" "" &amp; REGEXEXTRACT(C962, ""🏘️ \w+ \w+ (.*) ✅"") ,  if(H962=""quartier"",vlookup(REGEXEXTRACT(C962, ""🏘️ \w+ \w+ (.*) ✅""),'Quartier prepositions'!A"&amp;":E, 5, 0) ,  if(H962=""region"",vlookup(REGEXEXTRACT(C962, ""🏘️ \w+ \w+ (.*) ✅""),'Region prepositions'!B:F, 5, 0),  REGEXEXTRACT(C962, ""🏘️ \w+ \w+ (.*) ✅""))))"),"au Centre-Ville (Lausanne)")</f>
        <v>au Centre-Ville (Lausanne)</v>
      </c>
      <c r="F962" s="2" t="str">
        <f>IFERROR(__xludf.DUMMYFUNCTION("REGEXEXTRACT(C962, ""🏘️ (\w+) \w+ .* ✅"")"),"Vendre")</f>
        <v>Vendre</v>
      </c>
      <c r="G962" s="2" t="str">
        <f>IFERROR(__xludf.DUMMYFUNCTION("REGEXEXTRACT(C962, ""🏘️ \w+ (\w+) .* ✅"")"),"appartement")</f>
        <v>appartement</v>
      </c>
      <c r="H962" s="4" t="str">
        <f>IFERROR(__xludf.DUMMYFUNCTION("REGEXEXTRACT(A962, ""/(\w+)-.*?"")"),"quartier")</f>
        <v>quartier</v>
      </c>
      <c r="I962" s="4" t="str">
        <f>IFERROR(__xludf.DUMMYFUNCTION("if(D962=""variant"",  substitute(filter(Templates!E:E, Templates!A:A = F962, Templates!B:B = G962, Templates!C:C = H962), ""{{}}"", E962), B962)"),"🏘  L’appartement de vos rêves se trouve sur ImmoScout24.ch ✅ Découvrez les dernières annonces de vente au Centre-Ville (Lausanne).")</f>
        <v>🏘  L’appartement de vos rêves se trouve sur ImmoScout24.ch ✅ Découvrez les dernières annonces de vente au Centre-Ville (Lausanne).</v>
      </c>
      <c r="J962" s="4" t="s">
        <v>2892</v>
      </c>
    </row>
    <row r="963">
      <c r="A963" s="5" t="s">
        <v>2893</v>
      </c>
      <c r="B963" s="2" t="s">
        <v>2894</v>
      </c>
      <c r="C963" s="4" t="str">
        <f>IFERROR(__xludf.DUMMYFUNCTION("""🏘️ ""&amp;REGEXEXTRACT(B963, ""^(.*): "")&amp;"" ✅ "" &amp;REGEXEXTRACT(B963, ""(Trouvez.*)"")"),"🏘️ Vendre maison Canton de Genève ✅ Trouvez le bien immobilier qui correspond idéalement à vos désirs sur ImmoScout24 - La plateforme de l'immobilier en Suisse.")</f>
        <v>🏘️ Vendre maison Canton de Genève ✅ Trouvez le bien immobilier qui correspond idéalement à vos désirs sur ImmoScout24 - La plateforme de l'immobilier en Suisse.</v>
      </c>
      <c r="D963" s="4" t="str">
        <f>vlookup(A963, Sheet2!D:E, 2, 0)</f>
        <v>variant</v>
      </c>
      <c r="E963" s="4" t="str">
        <f>IFERROR(__xludf.DUMMYFUNCTION("if(H963=""pays"",vlookup(REGEXEXTRACT(C963, ""🏘️ \w+ \w+ (.*) ✅""),'Country prepositions'!A:B, 2, 0) &amp; "" "" &amp; REGEXEXTRACT(C963, ""🏘️ \w+ \w+ (.*) ✅"") ,  if(H963=""quartier"",vlookup(REGEXEXTRACT(C963, ""🏘️ \w+ \w+ (.*) ✅""),'Quartier prepositions'!A"&amp;":E, 5, 0) ,  if(H963=""region"",vlookup(REGEXEXTRACT(C963, ""🏘️ \w+ \w+ (.*) ✅""),'Region prepositions'!B:F, 5, 0),  REGEXEXTRACT(C963, ""🏘️ \w+ \w+ (.*) ✅""))))"),"Canton de Genève")</f>
        <v>Canton de Genève</v>
      </c>
      <c r="F963" s="2" t="str">
        <f>IFERROR(__xludf.DUMMYFUNCTION("REGEXEXTRACT(C963, ""🏘️ (\w+) \w+ .* ✅"")"),"Vendre")</f>
        <v>Vendre</v>
      </c>
      <c r="G963" s="2" t="str">
        <f>IFERROR(__xludf.DUMMYFUNCTION("REGEXEXTRACT(C963, ""🏘️ \w+ (\w+) .* ✅"")"),"maison")</f>
        <v>maison</v>
      </c>
      <c r="H963" s="4" t="str">
        <f>IFERROR(__xludf.DUMMYFUNCTION("REGEXEXTRACT(A963, ""/(\w+)-.*?"")"),"canton")</f>
        <v>canton</v>
      </c>
      <c r="I963" s="4" t="str">
        <f>IFERROR(__xludf.DUMMYFUNCTION("if(D963=""variant"",  substitute(filter(Templates!E:E, Templates!A:A = F963, Templates!B:B = G963, Templates!C:C = H963), ""{{}}"", E963), B963)"),"🏘  Vous souhaitez acheter une maison dans le Canton de Genève? ✅ Jetez un œil aux dernières offres sur ImmoScout24.ch.")</f>
        <v>🏘  Vous souhaitez acheter une maison dans le Canton de Genève? ✅ Jetez un œil aux dernières offres sur ImmoScout24.ch.</v>
      </c>
      <c r="J963" s="4" t="s">
        <v>2895</v>
      </c>
    </row>
    <row r="964">
      <c r="A964" s="5" t="s">
        <v>2896</v>
      </c>
      <c r="B964" s="2" t="s">
        <v>2897</v>
      </c>
      <c r="C964" s="4" t="str">
        <f>IFERROR(__xludf.DUMMYFUNCTION("""🏘️ ""&amp;REGEXEXTRACT(B964, ""^(.*): "")&amp;"" ✅ "" &amp;REGEXEXTRACT(B964, ""(Trouvez.*)"")"),"🏘️ Vendre appartement Wettingen ✅ Trouvez le bien immobilier qui correspond idéalement à vos désirs sur ImmoScout24 - La plateforme de l'immobilier en Suisse.")</f>
        <v>🏘️ Vendre appartement Wettingen ✅ Trouvez le bien immobilier qui correspond idéalement à vos désirs sur ImmoScout24 - La plateforme de l'immobilier en Suisse.</v>
      </c>
      <c r="D964" s="4" t="str">
        <f>vlookup(A964, Sheet2!D:E, 2, 0)</f>
        <v>variant</v>
      </c>
      <c r="E964" s="4" t="str">
        <f>IFERROR(__xludf.DUMMYFUNCTION("if(H964=""pays"",vlookup(REGEXEXTRACT(C964, ""🏘️ \w+ \w+ (.*) ✅""),'Country prepositions'!A:B, 2, 0) &amp; "" "" &amp; REGEXEXTRACT(C964, ""🏘️ \w+ \w+ (.*) ✅"") ,  if(H964=""quartier"",vlookup(REGEXEXTRACT(C964, ""🏘️ \w+ \w+ (.*) ✅""),'Quartier prepositions'!A"&amp;":E, 5, 0) ,  if(H964=""region"",vlookup(REGEXEXTRACT(C964, ""🏘️ \w+ \w+ (.*) ✅""),'Region prepositions'!B:F, 5, 0),  REGEXEXTRACT(C964, ""🏘️ \w+ \w+ (.*) ✅""))))"),"Wettingen")</f>
        <v>Wettingen</v>
      </c>
      <c r="F964" s="2" t="str">
        <f>IFERROR(__xludf.DUMMYFUNCTION("REGEXEXTRACT(C964, ""🏘️ (\w+) \w+ .* ✅"")"),"Vendre")</f>
        <v>Vendre</v>
      </c>
      <c r="G964" s="2" t="str">
        <f>IFERROR(__xludf.DUMMYFUNCTION("REGEXEXTRACT(C964, ""🏘️ \w+ (\w+) .* ✅"")"),"appartement")</f>
        <v>appartement</v>
      </c>
      <c r="H964" s="4" t="str">
        <f>IFERROR(__xludf.DUMMYFUNCTION("REGEXEXTRACT(A964, ""/(\w+)-.*?"")"),"lieu")</f>
        <v>lieu</v>
      </c>
      <c r="I964" s="4" t="str">
        <f>IFERROR(__xludf.DUMMYFUNCTION("if(D964=""variant"",  substitute(filter(Templates!E:E, Templates!A:A = F964, Templates!B:B = G964, Templates!C:C = H964), ""{{}}"", E964), B964)"),"🏘  L’appartement de vos rêves se trouve sur ImmoScout24.ch ✅ Découvrez les dernières annonces de vente à Wettingen.")</f>
        <v>🏘  L’appartement de vos rêves se trouve sur ImmoScout24.ch ✅ Découvrez les dernières annonces de vente à Wettingen.</v>
      </c>
      <c r="J964" s="4" t="s">
        <v>2898</v>
      </c>
    </row>
    <row r="965">
      <c r="A965" s="5" t="s">
        <v>2899</v>
      </c>
      <c r="B965" s="2" t="s">
        <v>2900</v>
      </c>
      <c r="C965" s="4" t="str">
        <f>IFERROR(__xludf.DUMMYFUNCTION("""🏘️ ""&amp;REGEXEXTRACT(B965, ""^(.*): "")&amp;"" ✅ "" &amp;REGEXEXTRACT(B965, ""(Trouvez.*)"")"),"🏘️ Louer appartement Finsterhennen ✅ Trouvez le bien immobilier qui correspond idéalement à vos désirs sur ImmoScout24 - La plateforme de l'immobilier en Suisse.")</f>
        <v>🏘️ Louer appartement Finsterhennen ✅ Trouvez le bien immobilier qui correspond idéalement à vos désirs sur ImmoScout24 - La plateforme de l'immobilier en Suisse.</v>
      </c>
      <c r="D965" s="4" t="str">
        <f>vlookup(A965, Sheet2!D:E, 2, 0)</f>
        <v>variant</v>
      </c>
      <c r="E965" s="4" t="str">
        <f>IFERROR(__xludf.DUMMYFUNCTION("if(H965=""pays"",vlookup(REGEXEXTRACT(C965, ""🏘️ \w+ \w+ (.*) ✅""),'Country prepositions'!A:B, 2, 0) &amp; "" "" &amp; REGEXEXTRACT(C965, ""🏘️ \w+ \w+ (.*) ✅"") ,  if(H965=""quartier"",vlookup(REGEXEXTRACT(C965, ""🏘️ \w+ \w+ (.*) ✅""),'Quartier prepositions'!A"&amp;":E, 5, 0) ,  if(H965=""region"",vlookup(REGEXEXTRACT(C965, ""🏘️ \w+ \w+ (.*) ✅""),'Region prepositions'!B:F, 5, 0),  REGEXEXTRACT(C965, ""🏘️ \w+ \w+ (.*) ✅""))))"),"Finsterhennen")</f>
        <v>Finsterhennen</v>
      </c>
      <c r="F965" s="2" t="str">
        <f>IFERROR(__xludf.DUMMYFUNCTION("REGEXEXTRACT(C965, ""🏘️ (\w+) \w+ .* ✅"")"),"Louer")</f>
        <v>Louer</v>
      </c>
      <c r="G965" s="2" t="str">
        <f>IFERROR(__xludf.DUMMYFUNCTION("REGEXEXTRACT(C965, ""🏘️ \w+ (\w+) .* ✅"")"),"appartement")</f>
        <v>appartement</v>
      </c>
      <c r="H965" s="4" t="str">
        <f>IFERROR(__xludf.DUMMYFUNCTION("REGEXEXTRACT(A965, ""/(\w+)-.*?"")"),"lieu")</f>
        <v>lieu</v>
      </c>
      <c r="I965" s="4" t="str">
        <f>IFERROR(__xludf.DUMMYFUNCTION("if(D965=""variant"",  substitute(filter(Templates!E:E, Templates!A:A = F965, Templates!B:B = G965, Templates!C:C = H965), ""{{}}"", E965), B965)"),"🏘  Vous cherchez un appartement à louer à Finsterhennen? ✅ Les annonces les plus actuelles sont sur ImmoScout24.ch.")</f>
        <v>🏘  Vous cherchez un appartement à louer à Finsterhennen? ✅ Les annonces les plus actuelles sont sur ImmoScout24.ch.</v>
      </c>
      <c r="J965" s="4" t="s">
        <v>2901</v>
      </c>
    </row>
    <row r="966">
      <c r="A966" s="5" t="s">
        <v>2902</v>
      </c>
      <c r="B966" s="2" t="s">
        <v>2903</v>
      </c>
      <c r="C966" s="4" t="str">
        <f>IFERROR(__xludf.DUMMYFUNCTION("""🏘️ ""&amp;REGEXEXTRACT(B966, ""^(.*): "")&amp;"" ✅ "" &amp;REGEXEXTRACT(B966, ""(Trouvez.*)"")"),"🏘️ Vendre maison Lenk im Simmental ✅ Trouvez le bien immobilier qui correspond idéalement à vos désirs sur ImmoScout24 - La plateforme de l'immobilier en Suisse.")</f>
        <v>🏘️ Vendre maison Lenk im Simmental ✅ Trouvez le bien immobilier qui correspond idéalement à vos désirs sur ImmoScout24 - La plateforme de l'immobilier en Suisse.</v>
      </c>
      <c r="D966" s="4" t="str">
        <f>vlookup(A966, Sheet2!D:E, 2, 0)</f>
        <v>variant</v>
      </c>
      <c r="E966" s="4" t="str">
        <f>IFERROR(__xludf.DUMMYFUNCTION("if(H966=""pays"",vlookup(REGEXEXTRACT(C966, ""🏘️ \w+ \w+ (.*) ✅""),'Country prepositions'!A:B, 2, 0) &amp; "" "" &amp; REGEXEXTRACT(C966, ""🏘️ \w+ \w+ (.*) ✅"") ,  if(H966=""quartier"",vlookup(REGEXEXTRACT(C966, ""🏘️ \w+ \w+ (.*) ✅""),'Quartier prepositions'!A"&amp;":E, 5, 0) ,  if(H966=""region"",vlookup(REGEXEXTRACT(C966, ""🏘️ \w+ \w+ (.*) ✅""),'Region prepositions'!B:F, 5, 0),  REGEXEXTRACT(C966, ""🏘️ \w+ \w+ (.*) ✅""))))"),"Lenk im Simmental")</f>
        <v>Lenk im Simmental</v>
      </c>
      <c r="F966" s="2" t="str">
        <f>IFERROR(__xludf.DUMMYFUNCTION("REGEXEXTRACT(C966, ""🏘️ (\w+) \w+ .* ✅"")"),"Vendre")</f>
        <v>Vendre</v>
      </c>
      <c r="G966" s="2" t="str">
        <f>IFERROR(__xludf.DUMMYFUNCTION("REGEXEXTRACT(C966, ""🏘️ \w+ (\w+) .* ✅"")"),"maison")</f>
        <v>maison</v>
      </c>
      <c r="H966" s="4" t="str">
        <f>IFERROR(__xludf.DUMMYFUNCTION("REGEXEXTRACT(A966, ""/(\w+)-.*?"")"),"lieu")</f>
        <v>lieu</v>
      </c>
      <c r="I966" s="4" t="str">
        <f>IFERROR(__xludf.DUMMYFUNCTION("if(D966=""variant"",  substitute(filter(Templates!E:E, Templates!A:A = F966, Templates!B:B = G966, Templates!C:C = H966), ""{{}}"", E966), B966)"),"🏘  Vous souhaitez acheter une maison à Lenk im Simmental? ✅ Jetez un œil aux dernières offres sur ImmoScout24.ch.")</f>
        <v>🏘  Vous souhaitez acheter une maison à Lenk im Simmental? ✅ Jetez un œil aux dernières offres sur ImmoScout24.ch.</v>
      </c>
      <c r="J966" s="2" t="s">
        <v>2904</v>
      </c>
    </row>
    <row r="967">
      <c r="A967" s="5" t="s">
        <v>2905</v>
      </c>
      <c r="B967" s="2" t="s">
        <v>2906</v>
      </c>
      <c r="C967" s="4" t="str">
        <f>IFERROR(__xludf.DUMMYFUNCTION("""🏘️ ""&amp;REGEXEXTRACT(B967, ""^(.*): "")&amp;"" ✅ "" &amp;REGEXEXTRACT(B967, ""(Trouvez.*)"")"),"🏘️ Louer appartement Mittelhäusern ✅ Trouvez le bien immobilier qui correspond idéalement à vos désirs sur ImmoScout24 - La plateforme de l'immobilier en Suisse.")</f>
        <v>🏘️ Louer appartement Mittelhäusern ✅ Trouvez le bien immobilier qui correspond idéalement à vos désirs sur ImmoScout24 - La plateforme de l'immobilier en Suisse.</v>
      </c>
      <c r="D967" s="4" t="str">
        <f>vlookup(A967, Sheet2!D:E, 2, 0)</f>
        <v>variant</v>
      </c>
      <c r="E967" s="4" t="str">
        <f>IFERROR(__xludf.DUMMYFUNCTION("if(H967=""pays"",vlookup(REGEXEXTRACT(C967, ""🏘️ \w+ \w+ (.*) ✅""),'Country prepositions'!A:B, 2, 0) &amp; "" "" &amp; REGEXEXTRACT(C967, ""🏘️ \w+ \w+ (.*) ✅"") ,  if(H967=""quartier"",vlookup(REGEXEXTRACT(C967, ""🏘️ \w+ \w+ (.*) ✅""),'Quartier prepositions'!A"&amp;":E, 5, 0) ,  if(H967=""region"",vlookup(REGEXEXTRACT(C967, ""🏘️ \w+ \w+ (.*) ✅""),'Region prepositions'!B:F, 5, 0),  REGEXEXTRACT(C967, ""🏘️ \w+ \w+ (.*) ✅""))))"),"Mittelhäusern")</f>
        <v>Mittelhäusern</v>
      </c>
      <c r="F967" s="2" t="str">
        <f>IFERROR(__xludf.DUMMYFUNCTION("REGEXEXTRACT(C967, ""🏘️ (\w+) \w+ .* ✅"")"),"Louer")</f>
        <v>Louer</v>
      </c>
      <c r="G967" s="2" t="str">
        <f>IFERROR(__xludf.DUMMYFUNCTION("REGEXEXTRACT(C967, ""🏘️ \w+ (\w+) .* ✅"")"),"appartement")</f>
        <v>appartement</v>
      </c>
      <c r="H967" s="4" t="str">
        <f>IFERROR(__xludf.DUMMYFUNCTION("REGEXEXTRACT(A967, ""/(\w+)-.*?"")"),"lieu")</f>
        <v>lieu</v>
      </c>
      <c r="I967" s="4" t="str">
        <f>IFERROR(__xludf.DUMMYFUNCTION("if(D967=""variant"",  substitute(filter(Templates!E:E, Templates!A:A = F967, Templates!B:B = G967, Templates!C:C = H967), ""{{}}"", E967), B967)"),"🏘  Vous cherchez un appartement à louer à Mittelhäusern? ✅ Les annonces les plus actuelles sont sur ImmoScout24.ch.")</f>
        <v>🏘  Vous cherchez un appartement à louer à Mittelhäusern? ✅ Les annonces les plus actuelles sont sur ImmoScout24.ch.</v>
      </c>
      <c r="J967" s="4" t="s">
        <v>2907</v>
      </c>
    </row>
    <row r="968">
      <c r="A968" s="5" t="s">
        <v>2908</v>
      </c>
      <c r="B968" s="2" t="s">
        <v>2909</v>
      </c>
      <c r="C968" s="4" t="str">
        <f>IFERROR(__xludf.DUMMYFUNCTION("""🏘️ ""&amp;REGEXEXTRACT(B968, ""^(.*): "")&amp;"" ✅ "" &amp;REGEXEXTRACT(B968, ""(Trouvez.*)"")"),"🏘️ Vendre maison Stetten SH ✅ Trouvez le bien immobilier qui correspond idéalement à vos désirs sur ImmoScout24 - La plateforme de l'immobilier en Suisse.")</f>
        <v>🏘️ Vendre maison Stetten SH ✅ Trouvez le bien immobilier qui correspond idéalement à vos désirs sur ImmoScout24 - La plateforme de l'immobilier en Suisse.</v>
      </c>
      <c r="D968" s="4" t="str">
        <f>vlookup(A968, Sheet2!D:E, 2, 0)</f>
        <v>variant</v>
      </c>
      <c r="E968" s="4" t="str">
        <f>IFERROR(__xludf.DUMMYFUNCTION("if(H968=""pays"",vlookup(REGEXEXTRACT(C968, ""🏘️ \w+ \w+ (.*) ✅""),'Country prepositions'!A:B, 2, 0) &amp; "" "" &amp; REGEXEXTRACT(C968, ""🏘️ \w+ \w+ (.*) ✅"") ,  if(H968=""quartier"",vlookup(REGEXEXTRACT(C968, ""🏘️ \w+ \w+ (.*) ✅""),'Quartier prepositions'!A"&amp;":E, 5, 0) ,  if(H968=""region"",vlookup(REGEXEXTRACT(C968, ""🏘️ \w+ \w+ (.*) ✅""),'Region prepositions'!B:F, 5, 0),  REGEXEXTRACT(C968, ""🏘️ \w+ \w+ (.*) ✅""))))"),"Stetten SH")</f>
        <v>Stetten SH</v>
      </c>
      <c r="F968" s="2" t="str">
        <f>IFERROR(__xludf.DUMMYFUNCTION("REGEXEXTRACT(C968, ""🏘️ (\w+) \w+ .* ✅"")"),"Vendre")</f>
        <v>Vendre</v>
      </c>
      <c r="G968" s="2" t="str">
        <f>IFERROR(__xludf.DUMMYFUNCTION("REGEXEXTRACT(C968, ""🏘️ \w+ (\w+) .* ✅"")"),"maison")</f>
        <v>maison</v>
      </c>
      <c r="H968" s="4" t="str">
        <f>IFERROR(__xludf.DUMMYFUNCTION("REGEXEXTRACT(A968, ""/(\w+)-.*?"")"),"lieu")</f>
        <v>lieu</v>
      </c>
      <c r="I968" s="4" t="str">
        <f>IFERROR(__xludf.DUMMYFUNCTION("if(D968=""variant"",  substitute(filter(Templates!E:E, Templates!A:A = F968, Templates!B:B = G968, Templates!C:C = H968), ""{{}}"", E968), B968)"),"🏘  Vous souhaitez acheter une maison à Stetten SH? ✅ Jetez un œil aux dernières offres sur ImmoScout24.ch.")</f>
        <v>🏘  Vous souhaitez acheter une maison à Stetten SH? ✅ Jetez un œil aux dernières offres sur ImmoScout24.ch.</v>
      </c>
      <c r="J968" s="4" t="s">
        <v>2910</v>
      </c>
    </row>
    <row r="969">
      <c r="A969" s="5" t="s">
        <v>2911</v>
      </c>
      <c r="B969" s="2" t="s">
        <v>2912</v>
      </c>
      <c r="C969" s="4" t="str">
        <f>IFERROR(__xludf.DUMMYFUNCTION("""🏘️ ""&amp;REGEXEXTRACT(B969, ""^(.*): "")&amp;"" ✅ "" &amp;REGEXEXTRACT(B969, ""(Trouvez.*)"")"),"🏘️ Louer appartement Grellingen ✅ Trouvez le bien immobilier qui correspond idéalement à vos désirs sur ImmoScout24 - La plateforme de l'immobilier en Suisse.")</f>
        <v>🏘️ Louer appartement Grellingen ✅ Trouvez le bien immobilier qui correspond idéalement à vos désirs sur ImmoScout24 - La plateforme de l'immobilier en Suisse.</v>
      </c>
      <c r="D969" s="4" t="str">
        <f>vlookup(A969, Sheet2!D:E, 2, 0)</f>
        <v>variant</v>
      </c>
      <c r="E969" s="4" t="str">
        <f>IFERROR(__xludf.DUMMYFUNCTION("if(H969=""pays"",vlookup(REGEXEXTRACT(C969, ""🏘️ \w+ \w+ (.*) ✅""),'Country prepositions'!A:B, 2, 0) &amp; "" "" &amp; REGEXEXTRACT(C969, ""🏘️ \w+ \w+ (.*) ✅"") ,  if(H969=""quartier"",vlookup(REGEXEXTRACT(C969, ""🏘️ \w+ \w+ (.*) ✅""),'Quartier prepositions'!A"&amp;":E, 5, 0) ,  if(H969=""region"",vlookup(REGEXEXTRACT(C969, ""🏘️ \w+ \w+ (.*) ✅""),'Region prepositions'!B:F, 5, 0),  REGEXEXTRACT(C969, ""🏘️ \w+ \w+ (.*) ✅""))))"),"Grellingen")</f>
        <v>Grellingen</v>
      </c>
      <c r="F969" s="2" t="str">
        <f>IFERROR(__xludf.DUMMYFUNCTION("REGEXEXTRACT(C969, ""🏘️ (\w+) \w+ .* ✅"")"),"Louer")</f>
        <v>Louer</v>
      </c>
      <c r="G969" s="2" t="str">
        <f>IFERROR(__xludf.DUMMYFUNCTION("REGEXEXTRACT(C969, ""🏘️ \w+ (\w+) .* ✅"")"),"appartement")</f>
        <v>appartement</v>
      </c>
      <c r="H969" s="4" t="str">
        <f>IFERROR(__xludf.DUMMYFUNCTION("REGEXEXTRACT(A969, ""/(\w+)-.*?"")"),"lieu")</f>
        <v>lieu</v>
      </c>
      <c r="I969" s="4" t="str">
        <f>IFERROR(__xludf.DUMMYFUNCTION("if(D969=""variant"",  substitute(filter(Templates!E:E, Templates!A:A = F969, Templates!B:B = G969, Templates!C:C = H969), ""{{}}"", E969), B969)"),"🏘  Vous cherchez un appartement à louer à Grellingen? ✅ Les annonces les plus actuelles sont sur ImmoScout24.ch.")</f>
        <v>🏘  Vous cherchez un appartement à louer à Grellingen? ✅ Les annonces les plus actuelles sont sur ImmoScout24.ch.</v>
      </c>
      <c r="J969" s="4" t="s">
        <v>2913</v>
      </c>
    </row>
    <row r="970">
      <c r="A970" s="5" t="s">
        <v>2914</v>
      </c>
      <c r="B970" s="2" t="s">
        <v>2915</v>
      </c>
      <c r="C970" s="4" t="str">
        <f>IFERROR(__xludf.DUMMYFUNCTION("""🏘️ ""&amp;REGEXEXTRACT(B970, ""^(.*): "")&amp;"" ✅ "" &amp;REGEXEXTRACT(B970, ""(Trouvez.*)"")"),"🏘️ Louer appartement Marly ✅ Trouvez le bien immobilier qui correspond idéalement à vos désirs sur ImmoScout24 - La plateforme de l'immobilier en Suisse.")</f>
        <v>🏘️ Louer appartement Marly ✅ Trouvez le bien immobilier qui correspond idéalement à vos désirs sur ImmoScout24 - La plateforme de l'immobilier en Suisse.</v>
      </c>
      <c r="D970" s="4" t="str">
        <f>vlookup(A970, Sheet2!D:E, 2, 0)</f>
        <v>variant</v>
      </c>
      <c r="E970" s="4" t="str">
        <f>IFERROR(__xludf.DUMMYFUNCTION("if(H970=""pays"",vlookup(REGEXEXTRACT(C970, ""🏘️ \w+ \w+ (.*) ✅""),'Country prepositions'!A:B, 2, 0) &amp; "" "" &amp; REGEXEXTRACT(C970, ""🏘️ \w+ \w+ (.*) ✅"") ,  if(H970=""quartier"",vlookup(REGEXEXTRACT(C970, ""🏘️ \w+ \w+ (.*) ✅""),'Quartier prepositions'!A"&amp;":E, 5, 0) ,  if(H970=""region"",vlookup(REGEXEXTRACT(C970, ""🏘️ \w+ \w+ (.*) ✅""),'Region prepositions'!B:F, 5, 0),  REGEXEXTRACT(C970, ""🏘️ \w+ \w+ (.*) ✅""))))"),"Marly")</f>
        <v>Marly</v>
      </c>
      <c r="F970" s="2" t="str">
        <f>IFERROR(__xludf.DUMMYFUNCTION("REGEXEXTRACT(C970, ""🏘️ (\w+) \w+ .* ✅"")"),"Louer")</f>
        <v>Louer</v>
      </c>
      <c r="G970" s="2" t="str">
        <f>IFERROR(__xludf.DUMMYFUNCTION("REGEXEXTRACT(C970, ""🏘️ \w+ (\w+) .* ✅"")"),"appartement")</f>
        <v>appartement</v>
      </c>
      <c r="H970" s="4" t="str">
        <f>IFERROR(__xludf.DUMMYFUNCTION("REGEXEXTRACT(A970, ""/(\w+)-.*?"")"),"lieu")</f>
        <v>lieu</v>
      </c>
      <c r="I970" s="4" t="str">
        <f>IFERROR(__xludf.DUMMYFUNCTION("if(D970=""variant"",  substitute(filter(Templates!E:E, Templates!A:A = F970, Templates!B:B = G970, Templates!C:C = H970), ""{{}}"", E970), B970)"),"🏘  Vous cherchez un appartement à louer à Marly? ✅ Les annonces les plus actuelles sont sur ImmoScout24.ch.")</f>
        <v>🏘  Vous cherchez un appartement à louer à Marly? ✅ Les annonces les plus actuelles sont sur ImmoScout24.ch.</v>
      </c>
      <c r="J970" s="4" t="s">
        <v>2916</v>
      </c>
    </row>
    <row r="971">
      <c r="A971" s="5" t="s">
        <v>2917</v>
      </c>
      <c r="B971" s="2" t="s">
        <v>2918</v>
      </c>
      <c r="C971" s="4" t="str">
        <f>IFERROR(__xludf.DUMMYFUNCTION("""🏘️ ""&amp;REGEXEXTRACT(B971, ""^(.*): "")&amp;"" ✅ "" &amp;REGEXEXTRACT(B971, ""(Trouvez.*)"")"),"🏘️ Vendre maison Cheseaux-sur-Lausanne ✅ Trouvez le bien immobilier qui correspond idéalement à vos désirs sur ImmoScout24 - La plateforme de l'immobilier en Suisse.")</f>
        <v>🏘️ Vendre maison Cheseaux-sur-Lausanne ✅ Trouvez le bien immobilier qui correspond idéalement à vos désirs sur ImmoScout24 - La plateforme de l'immobilier en Suisse.</v>
      </c>
      <c r="D971" s="4" t="str">
        <f>vlookup(A971, Sheet2!D:E, 2, 0)</f>
        <v>variant</v>
      </c>
      <c r="E971" s="4" t="str">
        <f>IFERROR(__xludf.DUMMYFUNCTION("if(H971=""pays"",vlookup(REGEXEXTRACT(C971, ""🏘️ \w+ \w+ (.*) ✅""),'Country prepositions'!A:B, 2, 0) &amp; "" "" &amp; REGEXEXTRACT(C971, ""🏘️ \w+ \w+ (.*) ✅"") ,  if(H971=""quartier"",vlookup(REGEXEXTRACT(C971, ""🏘️ \w+ \w+ (.*) ✅""),'Quartier prepositions'!A"&amp;":E, 5, 0) ,  if(H971=""region"",vlookup(REGEXEXTRACT(C971, ""🏘️ \w+ \w+ (.*) ✅""),'Region prepositions'!B:F, 5, 0),  REGEXEXTRACT(C971, ""🏘️ \w+ \w+ (.*) ✅""))))"),"Cheseaux-sur-Lausanne")</f>
        <v>Cheseaux-sur-Lausanne</v>
      </c>
      <c r="F971" s="2" t="str">
        <f>IFERROR(__xludf.DUMMYFUNCTION("REGEXEXTRACT(C971, ""🏘️ (\w+) \w+ .* ✅"")"),"Vendre")</f>
        <v>Vendre</v>
      </c>
      <c r="G971" s="2" t="str">
        <f>IFERROR(__xludf.DUMMYFUNCTION("REGEXEXTRACT(C971, ""🏘️ \w+ (\w+) .* ✅"")"),"maison")</f>
        <v>maison</v>
      </c>
      <c r="H971" s="4" t="str">
        <f>IFERROR(__xludf.DUMMYFUNCTION("REGEXEXTRACT(A971, ""/(\w+)-.*?"")"),"lieu")</f>
        <v>lieu</v>
      </c>
      <c r="I971" s="4" t="str">
        <f>IFERROR(__xludf.DUMMYFUNCTION("if(D971=""variant"",  substitute(filter(Templates!E:E, Templates!A:A = F971, Templates!B:B = G971, Templates!C:C = H971), ""{{}}"", E971), B971)"),"🏘  Vous souhaitez acheter une maison à Cheseaux-sur-Lausanne? ✅ Jetez un œil aux dernières offres sur ImmoScout24.ch.")</f>
        <v>🏘  Vous souhaitez acheter une maison à Cheseaux-sur-Lausanne? ✅ Jetez un œil aux dernières offres sur ImmoScout24.ch.</v>
      </c>
      <c r="J971" s="4" t="s">
        <v>2919</v>
      </c>
    </row>
    <row r="972">
      <c r="A972" s="5" t="s">
        <v>2920</v>
      </c>
      <c r="B972" s="2" t="s">
        <v>2921</v>
      </c>
      <c r="C972" s="4" t="str">
        <f>IFERROR(__xludf.DUMMYFUNCTION("""🏘️ ""&amp;REGEXEXTRACT(B972, ""^(.*): "")&amp;"" ✅ "" &amp;REGEXEXTRACT(B972, ""(Trouvez.*)"")"),"🏘️ Louer maison Chigny ✅ Trouvez le bien immobilier qui correspond idéalement à vos désirs sur ImmoScout24 - La plateforme de l'immobilier en Suisse.")</f>
        <v>🏘️ Louer maison Chigny ✅ Trouvez le bien immobilier qui correspond idéalement à vos désirs sur ImmoScout24 - La plateforme de l'immobilier en Suisse.</v>
      </c>
      <c r="D972" s="4" t="str">
        <f>vlookup(A972, Sheet2!D:E, 2, 0)</f>
        <v>variant</v>
      </c>
      <c r="E972" s="4" t="str">
        <f>IFERROR(__xludf.DUMMYFUNCTION("if(H972=""pays"",vlookup(REGEXEXTRACT(C972, ""🏘️ \w+ \w+ (.*) ✅""),'Country prepositions'!A:B, 2, 0) &amp; "" "" &amp; REGEXEXTRACT(C972, ""🏘️ \w+ \w+ (.*) ✅"") ,  if(H972=""quartier"",vlookup(REGEXEXTRACT(C972, ""🏘️ \w+ \w+ (.*) ✅""),'Quartier prepositions'!A"&amp;":E, 5, 0) ,  if(H972=""region"",vlookup(REGEXEXTRACT(C972, ""🏘️ \w+ \w+ (.*) ✅""),'Region prepositions'!B:F, 5, 0),  REGEXEXTRACT(C972, ""🏘️ \w+ \w+ (.*) ✅""))))"),"Chigny")</f>
        <v>Chigny</v>
      </c>
      <c r="F972" s="2" t="str">
        <f>IFERROR(__xludf.DUMMYFUNCTION("REGEXEXTRACT(C972, ""🏘️ (\w+) \w+ .* ✅"")"),"Louer")</f>
        <v>Louer</v>
      </c>
      <c r="G972" s="2" t="str">
        <f>IFERROR(__xludf.DUMMYFUNCTION("REGEXEXTRACT(C972, ""🏘️ \w+ (\w+) .* ✅"")"),"maison")</f>
        <v>maison</v>
      </c>
      <c r="H972" s="4" t="str">
        <f>IFERROR(__xludf.DUMMYFUNCTION("REGEXEXTRACT(A972, ""/(\w+)-.*?"")"),"lieu")</f>
        <v>lieu</v>
      </c>
      <c r="I972" s="4" t="str">
        <f>IFERROR(__xludf.DUMMYFUNCTION("if(D972=""variant"",  substitute(filter(Templates!E:E, Templates!A:A = F972, Templates!B:B = G972, Templates!C:C = H972), ""{{}}"", E972), B972)"),"🏘  Vous cherchez une maison à louer à Chigny? ✅ Découvrez nos nombreuses annonces sur ImmoScout24.ch.")</f>
        <v>🏘  Vous cherchez une maison à louer à Chigny? ✅ Découvrez nos nombreuses annonces sur ImmoScout24.ch.</v>
      </c>
      <c r="J972" s="4" t="s">
        <v>2922</v>
      </c>
    </row>
    <row r="973">
      <c r="A973" s="5" t="s">
        <v>2923</v>
      </c>
      <c r="B973" s="2" t="s">
        <v>2924</v>
      </c>
      <c r="C973" s="4" t="str">
        <f>IFERROR(__xludf.DUMMYFUNCTION("""🏘️ ""&amp;REGEXEXTRACT(B973, ""^(.*): "")&amp;"" ✅ "" &amp;REGEXEXTRACT(B973, ""(Trouvez.*)"")"),"🏘️ Louer appartement Dorénaz ✅ Trouvez le bien immobilier qui correspond idéalement à vos désirs sur ImmoScout24 - La plateforme de l'immobilier en Suisse.")</f>
        <v>🏘️ Louer appartement Dorénaz ✅ Trouvez le bien immobilier qui correspond idéalement à vos désirs sur ImmoScout24 - La plateforme de l'immobilier en Suisse.</v>
      </c>
      <c r="D973" s="4" t="str">
        <f>vlookup(A973, Sheet2!D:E, 2, 0)</f>
        <v>variant</v>
      </c>
      <c r="E973" s="4" t="str">
        <f>IFERROR(__xludf.DUMMYFUNCTION("if(H973=""pays"",vlookup(REGEXEXTRACT(C973, ""🏘️ \w+ \w+ (.*) ✅""),'Country prepositions'!A:B, 2, 0) &amp; "" "" &amp; REGEXEXTRACT(C973, ""🏘️ \w+ \w+ (.*) ✅"") ,  if(H973=""quartier"",vlookup(REGEXEXTRACT(C973, ""🏘️ \w+ \w+ (.*) ✅""),'Quartier prepositions'!A"&amp;":E, 5, 0) ,  if(H973=""region"",vlookup(REGEXEXTRACT(C973, ""🏘️ \w+ \w+ (.*) ✅""),'Region prepositions'!B:F, 5, 0),  REGEXEXTRACT(C973, ""🏘️ \w+ \w+ (.*) ✅""))))"),"Dorénaz")</f>
        <v>Dorénaz</v>
      </c>
      <c r="F973" s="2" t="str">
        <f>IFERROR(__xludf.DUMMYFUNCTION("REGEXEXTRACT(C973, ""🏘️ (\w+) \w+ .* ✅"")"),"Louer")</f>
        <v>Louer</v>
      </c>
      <c r="G973" s="2" t="str">
        <f>IFERROR(__xludf.DUMMYFUNCTION("REGEXEXTRACT(C973, ""🏘️ \w+ (\w+) .* ✅"")"),"appartement")</f>
        <v>appartement</v>
      </c>
      <c r="H973" s="4" t="str">
        <f>IFERROR(__xludf.DUMMYFUNCTION("REGEXEXTRACT(A973, ""/(\w+)-.*?"")"),"lieu")</f>
        <v>lieu</v>
      </c>
      <c r="I973" s="4" t="str">
        <f>IFERROR(__xludf.DUMMYFUNCTION("if(D973=""variant"",  substitute(filter(Templates!E:E, Templates!A:A = F973, Templates!B:B = G973, Templates!C:C = H973), ""{{}}"", E973), B973)"),"🏘  Vous cherchez un appartement à louer à Dorénaz? ✅ Les annonces les plus actuelles sont sur ImmoScout24.ch.")</f>
        <v>🏘  Vous cherchez un appartement à louer à Dorénaz? ✅ Les annonces les plus actuelles sont sur ImmoScout24.ch.</v>
      </c>
      <c r="J973" s="4" t="s">
        <v>2925</v>
      </c>
    </row>
    <row r="974">
      <c r="A974" s="5" t="s">
        <v>2926</v>
      </c>
      <c r="B974" s="2" t="s">
        <v>2927</v>
      </c>
      <c r="C974" s="4" t="str">
        <f>IFERROR(__xludf.DUMMYFUNCTION("""🏘️ ""&amp;REGEXEXTRACT(B974, ""^(.*): "")&amp;"" ✅ "" &amp;REGEXEXTRACT(B974, ""(Trouvez.*)"")"),"🏘️ Louer appartement Oberglatt ZH ✅ Trouvez le bien immobilier qui correspond idéalement à vos désirs sur ImmoScout24 - La plateforme de l'immobilier en Suisse.")</f>
        <v>🏘️ Louer appartement Oberglatt ZH ✅ Trouvez le bien immobilier qui correspond idéalement à vos désirs sur ImmoScout24 - La plateforme de l'immobilier en Suisse.</v>
      </c>
      <c r="D974" s="4" t="str">
        <f>vlookup(A974, Sheet2!D:E, 2, 0)</f>
        <v>variant</v>
      </c>
      <c r="E974" s="4" t="str">
        <f>IFERROR(__xludf.DUMMYFUNCTION("if(H974=""pays"",vlookup(REGEXEXTRACT(C974, ""🏘️ \w+ \w+ (.*) ✅""),'Country prepositions'!A:B, 2, 0) &amp; "" "" &amp; REGEXEXTRACT(C974, ""🏘️ \w+ \w+ (.*) ✅"") ,  if(H974=""quartier"",vlookup(REGEXEXTRACT(C974, ""🏘️ \w+ \w+ (.*) ✅""),'Quartier prepositions'!A"&amp;":E, 5, 0) ,  if(H974=""region"",vlookup(REGEXEXTRACT(C974, ""🏘️ \w+ \w+ (.*) ✅""),'Region prepositions'!B:F, 5, 0),  REGEXEXTRACT(C974, ""🏘️ \w+ \w+ (.*) ✅""))))"),"Oberglatt ZH")</f>
        <v>Oberglatt ZH</v>
      </c>
      <c r="F974" s="2" t="str">
        <f>IFERROR(__xludf.DUMMYFUNCTION("REGEXEXTRACT(C974, ""🏘️ (\w+) \w+ .* ✅"")"),"Louer")</f>
        <v>Louer</v>
      </c>
      <c r="G974" s="2" t="str">
        <f>IFERROR(__xludf.DUMMYFUNCTION("REGEXEXTRACT(C974, ""🏘️ \w+ (\w+) .* ✅"")"),"appartement")</f>
        <v>appartement</v>
      </c>
      <c r="H974" s="4" t="str">
        <f>IFERROR(__xludf.DUMMYFUNCTION("REGEXEXTRACT(A974, ""/(\w+)-.*?"")"),"lieu")</f>
        <v>lieu</v>
      </c>
      <c r="I974" s="4" t="str">
        <f>IFERROR(__xludf.DUMMYFUNCTION("if(D974=""variant"",  substitute(filter(Templates!E:E, Templates!A:A = F974, Templates!B:B = G974, Templates!C:C = H974), ""{{}}"", E974), B974)"),"🏘  Vous cherchez un appartement à louer à Oberglatt ZH? ✅ Les annonces les plus actuelles sont sur ImmoScout24.ch.")</f>
        <v>🏘  Vous cherchez un appartement à louer à Oberglatt ZH? ✅ Les annonces les plus actuelles sont sur ImmoScout24.ch.</v>
      </c>
      <c r="J974" s="4" t="s">
        <v>2928</v>
      </c>
    </row>
    <row r="975">
      <c r="A975" s="5" t="s">
        <v>2929</v>
      </c>
      <c r="B975" s="2" t="s">
        <v>2930</v>
      </c>
      <c r="C975" s="4" t="str">
        <f>IFERROR(__xludf.DUMMYFUNCTION("""🏘️ ""&amp;REGEXEXTRACT(B975, ""^(.*): "")&amp;"" ✅ "" &amp;REGEXEXTRACT(B975, ""(Trouvez.*)"")"),"🏘️ Vendre maison Molinazzo di Monteggio ✅ Trouvez le bien immobilier qui correspond idéalement à vos désirs sur ImmoScout24 - La plateforme de l'immobilier en Suisse.")</f>
        <v>🏘️ Vendre maison Molinazzo di Monteggio ✅ Trouvez le bien immobilier qui correspond idéalement à vos désirs sur ImmoScout24 - La plateforme de l'immobilier en Suisse.</v>
      </c>
      <c r="D975" s="4" t="str">
        <f>vlookup(A975, Sheet2!D:E, 2, 0)</f>
        <v>variant</v>
      </c>
      <c r="E975" s="4" t="str">
        <f>IFERROR(__xludf.DUMMYFUNCTION("if(H975=""pays"",vlookup(REGEXEXTRACT(C975, ""🏘️ \w+ \w+ (.*) ✅""),'Country prepositions'!A:B, 2, 0) &amp; "" "" &amp; REGEXEXTRACT(C975, ""🏘️ \w+ \w+ (.*) ✅"") ,  if(H975=""quartier"",vlookup(REGEXEXTRACT(C975, ""🏘️ \w+ \w+ (.*) ✅""),'Quartier prepositions'!A"&amp;":E, 5, 0) ,  if(H975=""region"",vlookup(REGEXEXTRACT(C975, ""🏘️ \w+ \w+ (.*) ✅""),'Region prepositions'!B:F, 5, 0),  REGEXEXTRACT(C975, ""🏘️ \w+ \w+ (.*) ✅""))))"),"Molinazzo di Monteggio")</f>
        <v>Molinazzo di Monteggio</v>
      </c>
      <c r="F975" s="2" t="str">
        <f>IFERROR(__xludf.DUMMYFUNCTION("REGEXEXTRACT(C975, ""🏘️ (\w+) \w+ .* ✅"")"),"Vendre")</f>
        <v>Vendre</v>
      </c>
      <c r="G975" s="2" t="str">
        <f>IFERROR(__xludf.DUMMYFUNCTION("REGEXEXTRACT(C975, ""🏘️ \w+ (\w+) .* ✅"")"),"maison")</f>
        <v>maison</v>
      </c>
      <c r="H975" s="4" t="str">
        <f>IFERROR(__xludf.DUMMYFUNCTION("REGEXEXTRACT(A975, ""/(\w+)-.*?"")"),"lieu")</f>
        <v>lieu</v>
      </c>
      <c r="I975" s="4" t="str">
        <f>IFERROR(__xludf.DUMMYFUNCTION("if(D975=""variant"",  substitute(filter(Templates!E:E, Templates!A:A = F975, Templates!B:B = G975, Templates!C:C = H975), ""{{}}"", E975), B975)"),"🏘  Vous souhaitez acheter une maison à Molinazzo di Monteggio? ✅ Jetez un œil aux dernières offres sur ImmoScout24.ch.")</f>
        <v>🏘  Vous souhaitez acheter une maison à Molinazzo di Monteggio? ✅ Jetez un œil aux dernières offres sur ImmoScout24.ch.</v>
      </c>
      <c r="J975" s="4" t="s">
        <v>2931</v>
      </c>
    </row>
    <row r="976">
      <c r="A976" s="5" t="s">
        <v>2932</v>
      </c>
      <c r="B976" s="2" t="s">
        <v>2933</v>
      </c>
      <c r="C976" s="4" t="str">
        <f>IFERROR(__xludf.DUMMYFUNCTION("""🏘️ ""&amp;REGEXEXTRACT(B976, ""^(.*): "")&amp;"" ✅ "" &amp;REGEXEXTRACT(B976, ""(Trouvez.*)"")"),"🏘️ Vendre maison Bâle Campagne Est ✅ Trouvez le bien immobilier qui correspond idéalement à vos désirs sur ImmoScout24 - La plateforme de l'immobilier en Suisse.")</f>
        <v>🏘️ Vendre maison Bâle Campagne Est ✅ Trouvez le bien immobilier qui correspond idéalement à vos désirs sur ImmoScout24 - La plateforme de l'immobilier en Suisse.</v>
      </c>
      <c r="D976" s="4" t="str">
        <f>vlookup(A976, Sheet2!D:E, 2, 0)</f>
        <v>variant</v>
      </c>
      <c r="E976" s="4" t="str">
        <f>IFERROR(__xludf.DUMMYFUNCTION("if(H976=""pays"",vlookup(REGEXEXTRACT(C976, ""🏘️ \w+ \w+ (.*) ✅""),'Country prepositions'!A:B, 2, 0) &amp; "" "" &amp; REGEXEXTRACT(C976, ""🏘️ \w+ \w+ (.*) ✅"") ,  if(H976=""quartier"",vlookup(REGEXEXTRACT(C976, ""🏘️ \w+ \w+ (.*) ✅""),'Quartier prepositions'!A"&amp;":E, 5, 0) ,  if(H976=""region"",vlookup(REGEXEXTRACT(C976, ""🏘️ \w+ \w+ (.*) ✅""),'Region prepositions'!B:F, 5, 0),  REGEXEXTRACT(C976, ""🏘️ \w+ \w+ (.*) ✅""))))"),"à Bâle-Campagne Est")</f>
        <v>à Bâle-Campagne Est</v>
      </c>
      <c r="F976" s="2" t="str">
        <f>IFERROR(__xludf.DUMMYFUNCTION("REGEXEXTRACT(C976, ""🏘️ (\w+) \w+ .* ✅"")"),"Vendre")</f>
        <v>Vendre</v>
      </c>
      <c r="G976" s="2" t="str">
        <f>IFERROR(__xludf.DUMMYFUNCTION("REGEXEXTRACT(C976, ""🏘️ \w+ (\w+) .* ✅"")"),"maison")</f>
        <v>maison</v>
      </c>
      <c r="H976" s="4" t="str">
        <f>IFERROR(__xludf.DUMMYFUNCTION("REGEXEXTRACT(A976, ""/(\w+)-.*?"")"),"region")</f>
        <v>region</v>
      </c>
      <c r="I976" s="4" t="str">
        <f>IFERROR(__xludf.DUMMYFUNCTION("if(D976=""variant"",  substitute(filter(Templates!E:E, Templates!A:A = F976, Templates!B:B = G976, Templates!C:C = H976), ""{{}}"", E976), B976)"),"🏘  Vous souhaitez acheter une maison à Bâle-Campagne Est? ✅ Jetez un œil aux dernières offres sur ImmoScout24.ch.")</f>
        <v>🏘  Vous souhaitez acheter une maison à Bâle-Campagne Est? ✅ Jetez un œil aux dernières offres sur ImmoScout24.ch.</v>
      </c>
      <c r="J976" s="4" t="s">
        <v>2934</v>
      </c>
    </row>
    <row r="977">
      <c r="A977" s="5" t="s">
        <v>2935</v>
      </c>
      <c r="B977" s="2" t="s">
        <v>2936</v>
      </c>
      <c r="C977" s="4" t="str">
        <f>IFERROR(__xludf.DUMMYFUNCTION("""🏘️ ""&amp;REGEXEXTRACT(B977, ""^(.*): "")&amp;"" ✅ "" &amp;REGEXEXTRACT(B977, ""(Trouvez.*)"")"),"🏘️ Louer appartement Seedorf BE ✅ Trouvez le bien immobilier qui correspond idéalement à vos désirs sur ImmoScout24 - La plateforme de l'immobilier en Suisse.")</f>
        <v>🏘️ Louer appartement Seedorf BE ✅ Trouvez le bien immobilier qui correspond idéalement à vos désirs sur ImmoScout24 - La plateforme de l'immobilier en Suisse.</v>
      </c>
      <c r="D977" s="4" t="str">
        <f>vlookup(A977, Sheet2!D:E, 2, 0)</f>
        <v>variant</v>
      </c>
      <c r="E977" s="4" t="str">
        <f>IFERROR(__xludf.DUMMYFUNCTION("if(H977=""pays"",vlookup(REGEXEXTRACT(C977, ""🏘️ \w+ \w+ (.*) ✅""),'Country prepositions'!A:B, 2, 0) &amp; "" "" &amp; REGEXEXTRACT(C977, ""🏘️ \w+ \w+ (.*) ✅"") ,  if(H977=""quartier"",vlookup(REGEXEXTRACT(C977, ""🏘️ \w+ \w+ (.*) ✅""),'Quartier prepositions'!A"&amp;":E, 5, 0) ,  if(H977=""region"",vlookup(REGEXEXTRACT(C977, ""🏘️ \w+ \w+ (.*) ✅""),'Region prepositions'!B:F, 5, 0),  REGEXEXTRACT(C977, ""🏘️ \w+ \w+ (.*) ✅""))))"),"Seedorf BE")</f>
        <v>Seedorf BE</v>
      </c>
      <c r="F977" s="2" t="str">
        <f>IFERROR(__xludf.DUMMYFUNCTION("REGEXEXTRACT(C977, ""🏘️ (\w+) \w+ .* ✅"")"),"Louer")</f>
        <v>Louer</v>
      </c>
      <c r="G977" s="2" t="str">
        <f>IFERROR(__xludf.DUMMYFUNCTION("REGEXEXTRACT(C977, ""🏘️ \w+ (\w+) .* ✅"")"),"appartement")</f>
        <v>appartement</v>
      </c>
      <c r="H977" s="4" t="str">
        <f>IFERROR(__xludf.DUMMYFUNCTION("REGEXEXTRACT(A977, ""/(\w+)-.*?"")"),"lieu")</f>
        <v>lieu</v>
      </c>
      <c r="I977" s="4" t="str">
        <f>IFERROR(__xludf.DUMMYFUNCTION("if(D977=""variant"",  substitute(filter(Templates!E:E, Templates!A:A = F977, Templates!B:B = G977, Templates!C:C = H977), ""{{}}"", E977), B977)"),"🏘  Vous cherchez un appartement à louer à Seedorf BE? ✅ Les annonces les plus actuelles sont sur ImmoScout24.ch.")</f>
        <v>🏘  Vous cherchez un appartement à louer à Seedorf BE? ✅ Les annonces les plus actuelles sont sur ImmoScout24.ch.</v>
      </c>
      <c r="J977" s="4" t="s">
        <v>2937</v>
      </c>
    </row>
    <row r="978">
      <c r="A978" s="5" t="s">
        <v>2938</v>
      </c>
      <c r="B978" s="2" t="s">
        <v>2939</v>
      </c>
      <c r="C978" s="4" t="str">
        <f>IFERROR(__xludf.DUMMYFUNCTION("""🏘️ ""&amp;REGEXEXTRACT(B978, ""^(.*): "")&amp;"" ✅ "" &amp;REGEXEXTRACT(B978, ""(Trouvez.*)"")"),"🏘️ Vendre appartement ONU - Rigot (Genève) ✅ Trouvez le bien immobilier qui correspond idéalement à vos désirs sur ImmoScout24 - La plateforme de l'immobilier en Suisse.")</f>
        <v>🏘️ Vendre appartement ONU - Rigot (Genève) ✅ Trouvez le bien immobilier qui correspond idéalement à vos désirs sur ImmoScout24 - La plateforme de l'immobilier en Suisse.</v>
      </c>
      <c r="D978" s="4" t="str">
        <f>vlookup(A978, Sheet2!D:E, 2, 0)</f>
        <v>variant</v>
      </c>
      <c r="E978" s="4" t="str">
        <f>IFERROR(__xludf.DUMMYFUNCTION("if(H978=""pays"",vlookup(REGEXEXTRACT(C978, ""🏘️ \w+ \w+ (.*) ✅""),'Country prepositions'!A:B, 2, 0) &amp; "" "" &amp; REGEXEXTRACT(C978, ""🏘️ \w+ \w+ (.*) ✅"") ,  if(H978=""quartier"",vlookup(REGEXEXTRACT(C978, ""🏘️ \w+ \w+ (.*) ✅""),'Quartier prepositions'!A"&amp;":E, 5, 0) ,  if(H978=""region"",vlookup(REGEXEXTRACT(C978, ""🏘️ \w+ \w+ (.*) ✅""),'Region prepositions'!B:F, 5, 0),  REGEXEXTRACT(C978, ""🏘️ \w+ \w+ (.*) ✅""))))"),"dans le quartier de l'ONU - Rigot (Genève)")</f>
        <v>dans le quartier de l'ONU - Rigot (Genève)</v>
      </c>
      <c r="F978" s="2" t="str">
        <f>IFERROR(__xludf.DUMMYFUNCTION("REGEXEXTRACT(C978, ""🏘️ (\w+) \w+ .* ✅"")"),"Vendre")</f>
        <v>Vendre</v>
      </c>
      <c r="G978" s="2" t="str">
        <f>IFERROR(__xludf.DUMMYFUNCTION("REGEXEXTRACT(C978, ""🏘️ \w+ (\w+) .* ✅"")"),"appartement")</f>
        <v>appartement</v>
      </c>
      <c r="H978" s="4" t="str">
        <f>IFERROR(__xludf.DUMMYFUNCTION("REGEXEXTRACT(A978, ""/(\w+)-.*?"")"),"quartier")</f>
        <v>quartier</v>
      </c>
      <c r="I978" s="4" t="str">
        <f>IFERROR(__xludf.DUMMYFUNCTION("if(D978=""variant"",  substitute(filter(Templates!E:E, Templates!A:A = F978, Templates!B:B = G978, Templates!C:C = H978), ""{{}}"", E978), B978)"),"🏘  L’appartement de vos rêves se trouve sur ImmoScout24.ch ✅ Découvrez les dernières annonces de vente dans le quartier de l'ONU - Rigot (Genève).")</f>
        <v>🏘  L’appartement de vos rêves se trouve sur ImmoScout24.ch ✅ Découvrez les dernières annonces de vente dans le quartier de l'ONU - Rigot (Genève).</v>
      </c>
      <c r="J978" s="4" t="s">
        <v>2940</v>
      </c>
    </row>
    <row r="979">
      <c r="A979" s="5" t="s">
        <v>2941</v>
      </c>
      <c r="B979" s="2" t="s">
        <v>2942</v>
      </c>
      <c r="C979" s="4" t="str">
        <f>IFERROR(__xludf.DUMMYFUNCTION("""🏘️ ""&amp;REGEXEXTRACT(B979, ""^(.*): "")&amp;"" ✅ "" &amp;REGEXEXTRACT(B979, ""(Trouvez.*)"")"),"🏘️ Vendre maison Rosswald ✅ Trouvez le bien immobilier qui correspond idéalement à vos désirs sur ImmoScout24 - La plateforme de l'immobilier en Suisse.")</f>
        <v>🏘️ Vendre maison Rosswald ✅ Trouvez le bien immobilier qui correspond idéalement à vos désirs sur ImmoScout24 - La plateforme de l'immobilier en Suisse.</v>
      </c>
      <c r="D979" s="4" t="str">
        <f>vlookup(A979, Sheet2!D:E, 2, 0)</f>
        <v>variant</v>
      </c>
      <c r="E979" s="4" t="str">
        <f>IFERROR(__xludf.DUMMYFUNCTION("if(H979=""pays"",vlookup(REGEXEXTRACT(C979, ""🏘️ \w+ \w+ (.*) ✅""),'Country prepositions'!A:B, 2, 0) &amp; "" "" &amp; REGEXEXTRACT(C979, ""🏘️ \w+ \w+ (.*) ✅"") ,  if(H979=""quartier"",vlookup(REGEXEXTRACT(C979, ""🏘️ \w+ \w+ (.*) ✅""),'Quartier prepositions'!A"&amp;":E, 5, 0) ,  if(H979=""region"",vlookup(REGEXEXTRACT(C979, ""🏘️ \w+ \w+ (.*) ✅""),'Region prepositions'!B:F, 5, 0),  REGEXEXTRACT(C979, ""🏘️ \w+ \w+ (.*) ✅""))))"),"Rosswald")</f>
        <v>Rosswald</v>
      </c>
      <c r="F979" s="2" t="str">
        <f>IFERROR(__xludf.DUMMYFUNCTION("REGEXEXTRACT(C979, ""🏘️ (\w+) \w+ .* ✅"")"),"Vendre")</f>
        <v>Vendre</v>
      </c>
      <c r="G979" s="2" t="str">
        <f>IFERROR(__xludf.DUMMYFUNCTION("REGEXEXTRACT(C979, ""🏘️ \w+ (\w+) .* ✅"")"),"maison")</f>
        <v>maison</v>
      </c>
      <c r="H979" s="4" t="str">
        <f>IFERROR(__xludf.DUMMYFUNCTION("REGEXEXTRACT(A979, ""/(\w+)-.*?"")"),"lieu")</f>
        <v>lieu</v>
      </c>
      <c r="I979" s="4" t="str">
        <f>IFERROR(__xludf.DUMMYFUNCTION("if(D979=""variant"",  substitute(filter(Templates!E:E, Templates!A:A = F979, Templates!B:B = G979, Templates!C:C = H979), ""{{}}"", E979), B979)"),"🏘  Vous souhaitez acheter une maison à Rosswald? ✅ Jetez un œil aux dernières offres sur ImmoScout24.ch.")</f>
        <v>🏘  Vous souhaitez acheter une maison à Rosswald? ✅ Jetez un œil aux dernières offres sur ImmoScout24.ch.</v>
      </c>
      <c r="J979" s="4" t="s">
        <v>2943</v>
      </c>
    </row>
    <row r="980">
      <c r="A980" s="5" t="s">
        <v>2944</v>
      </c>
      <c r="B980" s="2" t="s">
        <v>2945</v>
      </c>
      <c r="C980" s="4" t="str">
        <f>IFERROR(__xludf.DUMMYFUNCTION("""🏘️ ""&amp;REGEXEXTRACT(B980, ""^(.*): "")&amp;"" ✅ "" &amp;REGEXEXTRACT(B980, ""(Trouvez.*)"")"),"🏘️ Louer appartement Zuoz ✅ Trouvez le bien immobilier qui correspond idéalement à vos désirs sur ImmoScout24 - La plateforme de l'immobilier en Suisse.")</f>
        <v>🏘️ Louer appartement Zuoz ✅ Trouvez le bien immobilier qui correspond idéalement à vos désirs sur ImmoScout24 - La plateforme de l'immobilier en Suisse.</v>
      </c>
      <c r="D980" s="4" t="str">
        <f>vlookup(A980, Sheet2!D:E, 2, 0)</f>
        <v>variant</v>
      </c>
      <c r="E980" s="4" t="str">
        <f>IFERROR(__xludf.DUMMYFUNCTION("if(H980=""pays"",vlookup(REGEXEXTRACT(C980, ""🏘️ \w+ \w+ (.*) ✅""),'Country prepositions'!A:B, 2, 0) &amp; "" "" &amp; REGEXEXTRACT(C980, ""🏘️ \w+ \w+ (.*) ✅"") ,  if(H980=""quartier"",vlookup(REGEXEXTRACT(C980, ""🏘️ \w+ \w+ (.*) ✅""),'Quartier prepositions'!A"&amp;":E, 5, 0) ,  if(H980=""region"",vlookup(REGEXEXTRACT(C980, ""🏘️ \w+ \w+ (.*) ✅""),'Region prepositions'!B:F, 5, 0),  REGEXEXTRACT(C980, ""🏘️ \w+ \w+ (.*) ✅""))))"),"Zuoz")</f>
        <v>Zuoz</v>
      </c>
      <c r="F980" s="2" t="str">
        <f>IFERROR(__xludf.DUMMYFUNCTION("REGEXEXTRACT(C980, ""🏘️ (\w+) \w+ .* ✅"")"),"Louer")</f>
        <v>Louer</v>
      </c>
      <c r="G980" s="2" t="str">
        <f>IFERROR(__xludf.DUMMYFUNCTION("REGEXEXTRACT(C980, ""🏘️ \w+ (\w+) .* ✅"")"),"appartement")</f>
        <v>appartement</v>
      </c>
      <c r="H980" s="4" t="str">
        <f>IFERROR(__xludf.DUMMYFUNCTION("REGEXEXTRACT(A980, ""/(\w+)-.*?"")"),"lieu")</f>
        <v>lieu</v>
      </c>
      <c r="I980" s="4" t="str">
        <f>IFERROR(__xludf.DUMMYFUNCTION("if(D980=""variant"",  substitute(filter(Templates!E:E, Templates!A:A = F980, Templates!B:B = G980, Templates!C:C = H980), ""{{}}"", E980), B980)"),"🏘  Vous cherchez un appartement à louer à Zuoz? ✅ Les annonces les plus actuelles sont sur ImmoScout24.ch.")</f>
        <v>🏘  Vous cherchez un appartement à louer à Zuoz? ✅ Les annonces les plus actuelles sont sur ImmoScout24.ch.</v>
      </c>
      <c r="J980" s="4" t="s">
        <v>2946</v>
      </c>
    </row>
    <row r="981">
      <c r="A981" s="5" t="s">
        <v>2947</v>
      </c>
      <c r="B981" s="2" t="s">
        <v>2948</v>
      </c>
      <c r="C981" s="4" t="str">
        <f>IFERROR(__xludf.DUMMYFUNCTION("""🏘️ ""&amp;REGEXEXTRACT(B981, ""^(.*): "")&amp;"" ✅ "" &amp;REGEXEXTRACT(B981, ""(Trouvez.*)"")"),"🏘️ Louer appartement Grèce ✅ Trouvez le bien immobilier qui correspond idéalement à vos désirs sur ImmoScout24 - La plateforme de l'immobilier en Suisse.")</f>
        <v>🏘️ Louer appartement Grèce ✅ Trouvez le bien immobilier qui correspond idéalement à vos désirs sur ImmoScout24 - La plateforme de l'immobilier en Suisse.</v>
      </c>
      <c r="D981" s="4" t="str">
        <f>vlookup(A981, Sheet2!D:E, 2, 0)</f>
        <v>variant</v>
      </c>
      <c r="E981" s="4" t="str">
        <f>IFERROR(__xludf.DUMMYFUNCTION("if(H981=""pays"",vlookup(REGEXEXTRACT(C981, ""🏘️ \w+ \w+ (.*) ✅""),'Country prepositions'!A:B, 2, 0) &amp; "" "" &amp; REGEXEXTRACT(C981, ""🏘️ \w+ \w+ (.*) ✅"") ,  if(H981=""quartier"",vlookup(REGEXEXTRACT(C981, ""🏘️ \w+ \w+ (.*) ✅""),'Quartier prepositions'!A"&amp;":E, 5, 0) ,  if(H981=""region"",vlookup(REGEXEXTRACT(C981, ""🏘️ \w+ \w+ (.*) ✅""),'Region prepositions'!B:F, 5, 0),  REGEXEXTRACT(C981, ""🏘️ \w+ \w+ (.*) ✅""))))"),"en Grèce")</f>
        <v>en Grèce</v>
      </c>
      <c r="F981" s="2" t="str">
        <f>IFERROR(__xludf.DUMMYFUNCTION("REGEXEXTRACT(C981, ""🏘️ (\w+) \w+ .* ✅"")"),"Louer")</f>
        <v>Louer</v>
      </c>
      <c r="G981" s="2" t="str">
        <f>IFERROR(__xludf.DUMMYFUNCTION("REGEXEXTRACT(C981, ""🏘️ \w+ (\w+) .* ✅"")"),"appartement")</f>
        <v>appartement</v>
      </c>
      <c r="H981" s="4" t="str">
        <f>IFERROR(__xludf.DUMMYFUNCTION("REGEXEXTRACT(A981, ""/(\w+)-.*?"")"),"pays")</f>
        <v>pays</v>
      </c>
      <c r="I981" s="4" t="str">
        <f>IFERROR(__xludf.DUMMYFUNCTION("if(D981=""variant"",  substitute(filter(Templates!E:E, Templates!A:A = F981, Templates!B:B = G981, Templates!C:C = H981), ""{{}}"", E981), B981)"),"🏘  Vous cherchez un appartement à louer en Grèce? ✅ Les annonces les plus actuelles sont sur ImmoScout24.ch.")</f>
        <v>🏘  Vous cherchez un appartement à louer en Grèce? ✅ Les annonces les plus actuelles sont sur ImmoScout24.ch.</v>
      </c>
      <c r="J981" s="4" t="s">
        <v>2437</v>
      </c>
    </row>
    <row r="982">
      <c r="A982" s="5" t="s">
        <v>2949</v>
      </c>
      <c r="B982" s="2" t="s">
        <v>2950</v>
      </c>
      <c r="C982" s="4" t="str">
        <f>IFERROR(__xludf.DUMMYFUNCTION("""🏘️ ""&amp;REGEXEXTRACT(B982, ""^(.*): "")&amp;"" ✅ "" &amp;REGEXEXTRACT(B982, ""(Trouvez.*)"")"),"🏘️ Louer appartement Ferpicloz ✅ Trouvez le bien immobilier qui correspond idéalement à vos désirs sur ImmoScout24 - La plateforme de l'immobilier en Suisse.")</f>
        <v>🏘️ Louer appartement Ferpicloz ✅ Trouvez le bien immobilier qui correspond idéalement à vos désirs sur ImmoScout24 - La plateforme de l'immobilier en Suisse.</v>
      </c>
      <c r="D982" s="4" t="str">
        <f>vlookup(A982, Sheet2!D:E, 2, 0)</f>
        <v>variant</v>
      </c>
      <c r="E982" s="4" t="str">
        <f>IFERROR(__xludf.DUMMYFUNCTION("if(H982=""pays"",vlookup(REGEXEXTRACT(C982, ""🏘️ \w+ \w+ (.*) ✅""),'Country prepositions'!A:B, 2, 0) &amp; "" "" &amp; REGEXEXTRACT(C982, ""🏘️ \w+ \w+ (.*) ✅"") ,  if(H982=""quartier"",vlookup(REGEXEXTRACT(C982, ""🏘️ \w+ \w+ (.*) ✅""),'Quartier prepositions'!A"&amp;":E, 5, 0) ,  if(H982=""region"",vlookup(REGEXEXTRACT(C982, ""🏘️ \w+ \w+ (.*) ✅""),'Region prepositions'!B:F, 5, 0),  REGEXEXTRACT(C982, ""🏘️ \w+ \w+ (.*) ✅""))))"),"Ferpicloz")</f>
        <v>Ferpicloz</v>
      </c>
      <c r="F982" s="2" t="str">
        <f>IFERROR(__xludf.DUMMYFUNCTION("REGEXEXTRACT(C982, ""🏘️ (\w+) \w+ .* ✅"")"),"Louer")</f>
        <v>Louer</v>
      </c>
      <c r="G982" s="2" t="str">
        <f>IFERROR(__xludf.DUMMYFUNCTION("REGEXEXTRACT(C982, ""🏘️ \w+ (\w+) .* ✅"")"),"appartement")</f>
        <v>appartement</v>
      </c>
      <c r="H982" s="4" t="str">
        <f>IFERROR(__xludf.DUMMYFUNCTION("REGEXEXTRACT(A982, ""/(\w+)-.*?"")"),"lieu")</f>
        <v>lieu</v>
      </c>
      <c r="I982" s="4" t="str">
        <f>IFERROR(__xludf.DUMMYFUNCTION("if(D982=""variant"",  substitute(filter(Templates!E:E, Templates!A:A = F982, Templates!B:B = G982, Templates!C:C = H982), ""{{}}"", E982), B982)"),"🏘  Vous cherchez un appartement à louer à Ferpicloz? ✅ Les annonces les plus actuelles sont sur ImmoScout24.ch.")</f>
        <v>🏘  Vous cherchez un appartement à louer à Ferpicloz? ✅ Les annonces les plus actuelles sont sur ImmoScout24.ch.</v>
      </c>
      <c r="J982" s="4" t="s">
        <v>2951</v>
      </c>
    </row>
    <row r="983">
      <c r="A983" s="5" t="s">
        <v>2952</v>
      </c>
      <c r="B983" s="2" t="s">
        <v>2953</v>
      </c>
      <c r="C983" s="4" t="str">
        <f>IFERROR(__xludf.DUMMYFUNCTION("""🏘️ ""&amp;REGEXEXTRACT(B983, ""^(.*): "")&amp;"" ✅ "" &amp;REGEXEXTRACT(B983, ""(Trouvez.*)"")"),"🏘️ Louer appartement Hochstrasse (Schaffhouse) ✅ Trouvez le bien immobilier qui correspond idéalement à vos désirs sur ImmoScout24 - La plateforme de l'immobilier en Suisse.")</f>
        <v>🏘️ Louer appartement Hochstrasse (Schaffhouse) ✅ Trouvez le bien immobilier qui correspond idéalement à vos désirs sur ImmoScout24 - La plateforme de l'immobilier en Suisse.</v>
      </c>
      <c r="D983" s="4" t="str">
        <f>vlookup(A983, Sheet2!D:E, 2, 0)</f>
        <v>variant</v>
      </c>
      <c r="E983" s="4" t="str">
        <f>IFERROR(__xludf.DUMMYFUNCTION("if(H983=""pays"",vlookup(REGEXEXTRACT(C983, ""🏘️ \w+ \w+ (.*) ✅""),'Country prepositions'!A:B, 2, 0) &amp; "" "" &amp; REGEXEXTRACT(C983, ""🏘️ \w+ \w+ (.*) ✅"") ,  if(H983=""quartier"",vlookup(REGEXEXTRACT(C983, ""🏘️ \w+ \w+ (.*) ✅""),'Quartier prepositions'!A"&amp;":E, 5, 0) ,  if(H983=""region"",vlookup(REGEXEXTRACT(C983, ""🏘️ \w+ \w+ (.*) ✅""),'Region prepositions'!B:F, 5, 0),  REGEXEXTRACT(C983, ""🏘️ \w+ \w+ (.*) ✅""))))"),"dans le quartier de Hochstrasse (Schaffhouse)")</f>
        <v>dans le quartier de Hochstrasse (Schaffhouse)</v>
      </c>
      <c r="F983" s="2" t="str">
        <f>IFERROR(__xludf.DUMMYFUNCTION("REGEXEXTRACT(C983, ""🏘️ (\w+) \w+ .* ✅"")"),"Louer")</f>
        <v>Louer</v>
      </c>
      <c r="G983" s="2" t="str">
        <f>IFERROR(__xludf.DUMMYFUNCTION("REGEXEXTRACT(C983, ""🏘️ \w+ (\w+) .* ✅"")"),"appartement")</f>
        <v>appartement</v>
      </c>
      <c r="H983" s="4" t="str">
        <f>IFERROR(__xludf.DUMMYFUNCTION("REGEXEXTRACT(A983, ""/(\w+)-.*?"")"),"quartier")</f>
        <v>quartier</v>
      </c>
      <c r="I983" s="4" t="str">
        <f>IFERROR(__xludf.DUMMYFUNCTION("if(D983=""variant"",  substitute(filter(Templates!E:E, Templates!A:A = F983, Templates!B:B = G983, Templates!C:C = H983), ""{{}}"", E983), B983)"),"🏘  Vous cherchez un appartement à louer dans le quartier de Hochstrasse (Schaffhouse)? ✅ Les annonces les plus actuelles sont sur ImmoScout24.ch.")</f>
        <v>🏘  Vous cherchez un appartement à louer dans le quartier de Hochstrasse (Schaffhouse)? ✅ Les annonces les plus actuelles sont sur ImmoScout24.ch.</v>
      </c>
      <c r="J983" s="4" t="s">
        <v>2954</v>
      </c>
    </row>
    <row r="984">
      <c r="A984" s="5" t="s">
        <v>2955</v>
      </c>
      <c r="B984" s="2" t="s">
        <v>2956</v>
      </c>
      <c r="C984" s="4" t="str">
        <f>IFERROR(__xludf.DUMMYFUNCTION("""🏘️ ""&amp;REGEXEXTRACT(B984, ""^(.*): "")&amp;"" ✅ "" &amp;REGEXEXTRACT(B984, ""(Trouvez.*)"")"),"🏘️ Louer appartement Melano ✅ Trouvez le bien immobilier qui correspond idéalement à vos désirs sur ImmoScout24 - La plateforme de l'immobilier en Suisse.")</f>
        <v>🏘️ Louer appartement Melano ✅ Trouvez le bien immobilier qui correspond idéalement à vos désirs sur ImmoScout24 - La plateforme de l'immobilier en Suisse.</v>
      </c>
      <c r="D984" s="4" t="str">
        <f>vlookup(A984, Sheet2!D:E, 2, 0)</f>
        <v>variant</v>
      </c>
      <c r="E984" s="4" t="str">
        <f>IFERROR(__xludf.DUMMYFUNCTION("if(H984=""pays"",vlookup(REGEXEXTRACT(C984, ""🏘️ \w+ \w+ (.*) ✅""),'Country prepositions'!A:B, 2, 0) &amp; "" "" &amp; REGEXEXTRACT(C984, ""🏘️ \w+ \w+ (.*) ✅"") ,  if(H984=""quartier"",vlookup(REGEXEXTRACT(C984, ""🏘️ \w+ \w+ (.*) ✅""),'Quartier prepositions'!A"&amp;":E, 5, 0) ,  if(H984=""region"",vlookup(REGEXEXTRACT(C984, ""🏘️ \w+ \w+ (.*) ✅""),'Region prepositions'!B:F, 5, 0),  REGEXEXTRACT(C984, ""🏘️ \w+ \w+ (.*) ✅""))))"),"Melano")</f>
        <v>Melano</v>
      </c>
      <c r="F984" s="2" t="str">
        <f>IFERROR(__xludf.DUMMYFUNCTION("REGEXEXTRACT(C984, ""🏘️ (\w+) \w+ .* ✅"")"),"Louer")</f>
        <v>Louer</v>
      </c>
      <c r="G984" s="2" t="str">
        <f>IFERROR(__xludf.DUMMYFUNCTION("REGEXEXTRACT(C984, ""🏘️ \w+ (\w+) .* ✅"")"),"appartement")</f>
        <v>appartement</v>
      </c>
      <c r="H984" s="4" t="str">
        <f>IFERROR(__xludf.DUMMYFUNCTION("REGEXEXTRACT(A984, ""/(\w+)-.*?"")"),"lieu")</f>
        <v>lieu</v>
      </c>
      <c r="I984" s="4" t="str">
        <f>IFERROR(__xludf.DUMMYFUNCTION("if(D984=""variant"",  substitute(filter(Templates!E:E, Templates!A:A = F984, Templates!B:B = G984, Templates!C:C = H984), ""{{}}"", E984), B984)"),"🏘  Vous cherchez un appartement à louer à Melano? ✅ Les annonces les plus actuelles sont sur ImmoScout24.ch.")</f>
        <v>🏘  Vous cherchez un appartement à louer à Melano? ✅ Les annonces les plus actuelles sont sur ImmoScout24.ch.</v>
      </c>
      <c r="J984" s="4" t="s">
        <v>2957</v>
      </c>
    </row>
    <row r="985">
      <c r="A985" s="5" t="s">
        <v>2958</v>
      </c>
      <c r="B985" s="2" t="s">
        <v>2959</v>
      </c>
      <c r="C985" s="4" t="str">
        <f>IFERROR(__xludf.DUMMYFUNCTION("""🏘️ ""&amp;REGEXEXTRACT(B985, ""^(.*): "")&amp;"" ✅ "" &amp;REGEXEXTRACT(B985, ""(Trouvez.*)"")"),"🏘️ Louer maison Mutrux ✅ Trouvez le bien immobilier qui correspond idéalement à vos désirs sur ImmoScout24 - La plateforme de l'immobilier en Suisse.")</f>
        <v>🏘️ Louer maison Mutrux ✅ Trouvez le bien immobilier qui correspond idéalement à vos désirs sur ImmoScout24 - La plateforme de l'immobilier en Suisse.</v>
      </c>
      <c r="D985" s="4" t="str">
        <f>vlookup(A985, Sheet2!D:E, 2, 0)</f>
        <v>variant</v>
      </c>
      <c r="E985" s="4" t="str">
        <f>IFERROR(__xludf.DUMMYFUNCTION("if(H985=""pays"",vlookup(REGEXEXTRACT(C985, ""🏘️ \w+ \w+ (.*) ✅""),'Country prepositions'!A:B, 2, 0) &amp; "" "" &amp; REGEXEXTRACT(C985, ""🏘️ \w+ \w+ (.*) ✅"") ,  if(H985=""quartier"",vlookup(REGEXEXTRACT(C985, ""🏘️ \w+ \w+ (.*) ✅""),'Quartier prepositions'!A"&amp;":E, 5, 0) ,  if(H985=""region"",vlookup(REGEXEXTRACT(C985, ""🏘️ \w+ \w+ (.*) ✅""),'Region prepositions'!B:F, 5, 0),  REGEXEXTRACT(C985, ""🏘️ \w+ \w+ (.*) ✅""))))"),"Mutrux")</f>
        <v>Mutrux</v>
      </c>
      <c r="F985" s="2" t="str">
        <f>IFERROR(__xludf.DUMMYFUNCTION("REGEXEXTRACT(C985, ""🏘️ (\w+) \w+ .* ✅"")"),"Louer")</f>
        <v>Louer</v>
      </c>
      <c r="G985" s="2" t="str">
        <f>IFERROR(__xludf.DUMMYFUNCTION("REGEXEXTRACT(C985, ""🏘️ \w+ (\w+) .* ✅"")"),"maison")</f>
        <v>maison</v>
      </c>
      <c r="H985" s="4" t="str">
        <f>IFERROR(__xludf.DUMMYFUNCTION("REGEXEXTRACT(A985, ""/(\w+)-.*?"")"),"lieu")</f>
        <v>lieu</v>
      </c>
      <c r="I985" s="4" t="str">
        <f>IFERROR(__xludf.DUMMYFUNCTION("if(D985=""variant"",  substitute(filter(Templates!E:E, Templates!A:A = F985, Templates!B:B = G985, Templates!C:C = H985), ""{{}}"", E985), B985)"),"🏘  Vous cherchez une maison à louer à Mutrux? ✅ Découvrez nos nombreuses annonces sur ImmoScout24.ch.")</f>
        <v>🏘  Vous cherchez une maison à louer à Mutrux? ✅ Découvrez nos nombreuses annonces sur ImmoScout24.ch.</v>
      </c>
      <c r="J985" s="4" t="s">
        <v>2960</v>
      </c>
    </row>
    <row r="986">
      <c r="A986" s="5" t="s">
        <v>2961</v>
      </c>
      <c r="B986" s="2" t="s">
        <v>2962</v>
      </c>
      <c r="C986" s="4" t="str">
        <f>IFERROR(__xludf.DUMMYFUNCTION("""🏘️ ""&amp;REGEXEXTRACT(B986, ""^(.*): "")&amp;"" ✅ "" &amp;REGEXEXTRACT(B986, ""(Trouvez.*)"")"),"🏘️ Louer appartement Küssnacht am Rigi ✅ Trouvez le bien immobilier qui correspond idéalement à vos désirs sur ImmoScout24 - La plateforme de l'immobilier en Suisse.")</f>
        <v>🏘️ Louer appartement Küssnacht am Rigi ✅ Trouvez le bien immobilier qui correspond idéalement à vos désirs sur ImmoScout24 - La plateforme de l'immobilier en Suisse.</v>
      </c>
      <c r="D986" s="4" t="str">
        <f>vlookup(A986, Sheet2!D:E, 2, 0)</f>
        <v>variant</v>
      </c>
      <c r="E986" s="4" t="str">
        <f>IFERROR(__xludf.DUMMYFUNCTION("if(H986=""pays"",vlookup(REGEXEXTRACT(C986, ""🏘️ \w+ \w+ (.*) ✅""),'Country prepositions'!A:B, 2, 0) &amp; "" "" &amp; REGEXEXTRACT(C986, ""🏘️ \w+ \w+ (.*) ✅"") ,  if(H986=""quartier"",vlookup(REGEXEXTRACT(C986, ""🏘️ \w+ \w+ (.*) ✅""),'Quartier prepositions'!A"&amp;":E, 5, 0) ,  if(H986=""region"",vlookup(REGEXEXTRACT(C986, ""🏘️ \w+ \w+ (.*) ✅""),'Region prepositions'!B:F, 5, 0),  REGEXEXTRACT(C986, ""🏘️ \w+ \w+ (.*) ✅""))))"),"Küssnacht am Rigi")</f>
        <v>Küssnacht am Rigi</v>
      </c>
      <c r="F986" s="2" t="str">
        <f>IFERROR(__xludf.DUMMYFUNCTION("REGEXEXTRACT(C986, ""🏘️ (\w+) \w+ .* ✅"")"),"Louer")</f>
        <v>Louer</v>
      </c>
      <c r="G986" s="2" t="str">
        <f>IFERROR(__xludf.DUMMYFUNCTION("REGEXEXTRACT(C986, ""🏘️ \w+ (\w+) .* ✅"")"),"appartement")</f>
        <v>appartement</v>
      </c>
      <c r="H986" s="4" t="str">
        <f>IFERROR(__xludf.DUMMYFUNCTION("REGEXEXTRACT(A986, ""/(\w+)-.*?"")"),"lieu")</f>
        <v>lieu</v>
      </c>
      <c r="I986" s="4" t="str">
        <f>IFERROR(__xludf.DUMMYFUNCTION("if(D986=""variant"",  substitute(filter(Templates!E:E, Templates!A:A = F986, Templates!B:B = G986, Templates!C:C = H986), ""{{}}"", E986), B986)"),"🏘  Vous cherchez un appartement à louer à Küssnacht am Rigi? ✅ Les annonces les plus actuelles sont sur ImmoScout24.ch.")</f>
        <v>🏘  Vous cherchez un appartement à louer à Küssnacht am Rigi? ✅ Les annonces les plus actuelles sont sur ImmoScout24.ch.</v>
      </c>
      <c r="J986" s="4" t="s">
        <v>2963</v>
      </c>
    </row>
    <row r="987">
      <c r="A987" s="5" t="s">
        <v>2964</v>
      </c>
      <c r="B987" s="2" t="s">
        <v>2965</v>
      </c>
      <c r="C987" s="4" t="str">
        <f>IFERROR(__xludf.DUMMYFUNCTION("""🏘️ ""&amp;REGEXEXTRACT(B987, ""^(.*): "")&amp;"" ✅ "" &amp;REGEXEXTRACT(B987, ""(Trouvez.*)"")"),"🏘️ Louer appartement Saignelégier ✅ Trouvez le bien immobilier qui correspond idéalement à vos désirs sur ImmoScout24 - La plateforme de l'immobilier en Suisse.")</f>
        <v>🏘️ Louer appartement Saignelégier ✅ Trouvez le bien immobilier qui correspond idéalement à vos désirs sur ImmoScout24 - La plateforme de l'immobilier en Suisse.</v>
      </c>
      <c r="D987" s="4" t="str">
        <f>vlookup(A987, Sheet2!D:E, 2, 0)</f>
        <v>variant</v>
      </c>
      <c r="E987" s="4" t="str">
        <f>IFERROR(__xludf.DUMMYFUNCTION("if(H987=""pays"",vlookup(REGEXEXTRACT(C987, ""🏘️ \w+ \w+ (.*) ✅""),'Country prepositions'!A:B, 2, 0) &amp; "" "" &amp; REGEXEXTRACT(C987, ""🏘️ \w+ \w+ (.*) ✅"") ,  if(H987=""quartier"",vlookup(REGEXEXTRACT(C987, ""🏘️ \w+ \w+ (.*) ✅""),'Quartier prepositions'!A"&amp;":E, 5, 0) ,  if(H987=""region"",vlookup(REGEXEXTRACT(C987, ""🏘️ \w+ \w+ (.*) ✅""),'Region prepositions'!B:F, 5, 0),  REGEXEXTRACT(C987, ""🏘️ \w+ \w+ (.*) ✅""))))"),"Saignelégier")</f>
        <v>Saignelégier</v>
      </c>
      <c r="F987" s="2" t="str">
        <f>IFERROR(__xludf.DUMMYFUNCTION("REGEXEXTRACT(C987, ""🏘️ (\w+) \w+ .* ✅"")"),"Louer")</f>
        <v>Louer</v>
      </c>
      <c r="G987" s="2" t="str">
        <f>IFERROR(__xludf.DUMMYFUNCTION("REGEXEXTRACT(C987, ""🏘️ \w+ (\w+) .* ✅"")"),"appartement")</f>
        <v>appartement</v>
      </c>
      <c r="H987" s="4" t="str">
        <f>IFERROR(__xludf.DUMMYFUNCTION("REGEXEXTRACT(A987, ""/(\w+)-.*?"")"),"lieu")</f>
        <v>lieu</v>
      </c>
      <c r="I987" s="4" t="str">
        <f>IFERROR(__xludf.DUMMYFUNCTION("if(D987=""variant"",  substitute(filter(Templates!E:E, Templates!A:A = F987, Templates!B:B = G987, Templates!C:C = H987), ""{{}}"", E987), B987)"),"🏘  Vous cherchez un appartement à louer à Saignelégier? ✅ Les annonces les plus actuelles sont sur ImmoScout24.ch.")</f>
        <v>🏘  Vous cherchez un appartement à louer à Saignelégier? ✅ Les annonces les plus actuelles sont sur ImmoScout24.ch.</v>
      </c>
      <c r="J987" s="4" t="s">
        <v>2966</v>
      </c>
    </row>
    <row r="988">
      <c r="A988" s="5" t="s">
        <v>2967</v>
      </c>
      <c r="B988" s="2" t="s">
        <v>2968</v>
      </c>
      <c r="C988" s="4" t="str">
        <f>IFERROR(__xludf.DUMMYFUNCTION("""🏘️ ""&amp;REGEXEXTRACT(B988, ""^(.*): "")&amp;"" ✅ "" &amp;REGEXEXTRACT(B988, ""(Trouvez.*)"")"),"🏘️ Louer appartement Prangins ✅ Trouvez le bien immobilier qui correspond idéalement à vos désirs sur ImmoScout24 - La plateforme de l'immobilier en Suisse.")</f>
        <v>🏘️ Louer appartement Prangins ✅ Trouvez le bien immobilier qui correspond idéalement à vos désirs sur ImmoScout24 - La plateforme de l'immobilier en Suisse.</v>
      </c>
      <c r="D988" s="4" t="str">
        <f>vlookup(A988, Sheet2!D:E, 2, 0)</f>
        <v>variant</v>
      </c>
      <c r="E988" s="4" t="str">
        <f>IFERROR(__xludf.DUMMYFUNCTION("if(H988=""pays"",vlookup(REGEXEXTRACT(C988, ""🏘️ \w+ \w+ (.*) ✅""),'Country prepositions'!A:B, 2, 0) &amp; "" "" &amp; REGEXEXTRACT(C988, ""🏘️ \w+ \w+ (.*) ✅"") ,  if(H988=""quartier"",vlookup(REGEXEXTRACT(C988, ""🏘️ \w+ \w+ (.*) ✅""),'Quartier prepositions'!A"&amp;":E, 5, 0) ,  if(H988=""region"",vlookup(REGEXEXTRACT(C988, ""🏘️ \w+ \w+ (.*) ✅""),'Region prepositions'!B:F, 5, 0),  REGEXEXTRACT(C988, ""🏘️ \w+ \w+ (.*) ✅""))))"),"Prangins")</f>
        <v>Prangins</v>
      </c>
      <c r="F988" s="2" t="str">
        <f>IFERROR(__xludf.DUMMYFUNCTION("REGEXEXTRACT(C988, ""🏘️ (\w+) \w+ .* ✅"")"),"Louer")</f>
        <v>Louer</v>
      </c>
      <c r="G988" s="2" t="str">
        <f>IFERROR(__xludf.DUMMYFUNCTION("REGEXEXTRACT(C988, ""🏘️ \w+ (\w+) .* ✅"")"),"appartement")</f>
        <v>appartement</v>
      </c>
      <c r="H988" s="4" t="str">
        <f>IFERROR(__xludf.DUMMYFUNCTION("REGEXEXTRACT(A988, ""/(\w+)-.*?"")"),"lieu")</f>
        <v>lieu</v>
      </c>
      <c r="I988" s="4" t="str">
        <f>IFERROR(__xludf.DUMMYFUNCTION("if(D988=""variant"",  substitute(filter(Templates!E:E, Templates!A:A = F988, Templates!B:B = G988, Templates!C:C = H988), ""{{}}"", E988), B988)"),"🏘  Vous cherchez un appartement à louer à Prangins? ✅ Les annonces les plus actuelles sont sur ImmoScout24.ch.")</f>
        <v>🏘  Vous cherchez un appartement à louer à Prangins? ✅ Les annonces les plus actuelles sont sur ImmoScout24.ch.</v>
      </c>
      <c r="J988" s="4" t="s">
        <v>2969</v>
      </c>
    </row>
    <row r="989">
      <c r="A989" s="5" t="s">
        <v>2970</v>
      </c>
      <c r="B989" s="2" t="s">
        <v>2971</v>
      </c>
      <c r="C989" s="4" t="str">
        <f>IFERROR(__xludf.DUMMYFUNCTION("""🏘️ ""&amp;REGEXEXTRACT(B989, ""^(.*): "")&amp;"" ✅ "" &amp;REGEXEXTRACT(B989, ""(Trouvez.*)"")"),"🏘️ Louer appartement Suberg ✅ Trouvez le bien immobilier qui correspond idéalement à vos désirs sur ImmoScout24 - La plateforme de l'immobilier en Suisse.")</f>
        <v>🏘️ Louer appartement Suberg ✅ Trouvez le bien immobilier qui correspond idéalement à vos désirs sur ImmoScout24 - La plateforme de l'immobilier en Suisse.</v>
      </c>
      <c r="D989" s="4" t="str">
        <f>vlookup(A989, Sheet2!D:E, 2, 0)</f>
        <v>variant</v>
      </c>
      <c r="E989" s="4" t="str">
        <f>IFERROR(__xludf.DUMMYFUNCTION("if(H989=""pays"",vlookup(REGEXEXTRACT(C989, ""🏘️ \w+ \w+ (.*) ✅""),'Country prepositions'!A:B, 2, 0) &amp; "" "" &amp; REGEXEXTRACT(C989, ""🏘️ \w+ \w+ (.*) ✅"") ,  if(H989=""quartier"",vlookup(REGEXEXTRACT(C989, ""🏘️ \w+ \w+ (.*) ✅""),'Quartier prepositions'!A"&amp;":E, 5, 0) ,  if(H989=""region"",vlookup(REGEXEXTRACT(C989, ""🏘️ \w+ \w+ (.*) ✅""),'Region prepositions'!B:F, 5, 0),  REGEXEXTRACT(C989, ""🏘️ \w+ \w+ (.*) ✅""))))"),"Suberg")</f>
        <v>Suberg</v>
      </c>
      <c r="F989" s="2" t="str">
        <f>IFERROR(__xludf.DUMMYFUNCTION("REGEXEXTRACT(C989, ""🏘️ (\w+) \w+ .* ✅"")"),"Louer")</f>
        <v>Louer</v>
      </c>
      <c r="G989" s="2" t="str">
        <f>IFERROR(__xludf.DUMMYFUNCTION("REGEXEXTRACT(C989, ""🏘️ \w+ (\w+) .* ✅"")"),"appartement")</f>
        <v>appartement</v>
      </c>
      <c r="H989" s="4" t="str">
        <f>IFERROR(__xludf.DUMMYFUNCTION("REGEXEXTRACT(A989, ""/(\w+)-.*?"")"),"lieu")</f>
        <v>lieu</v>
      </c>
      <c r="I989" s="4" t="str">
        <f>IFERROR(__xludf.DUMMYFUNCTION("if(D989=""variant"",  substitute(filter(Templates!E:E, Templates!A:A = F989, Templates!B:B = G989, Templates!C:C = H989), ""{{}}"", E989), B989)"),"🏘  Vous cherchez un appartement à louer à Suberg? ✅ Les annonces les plus actuelles sont sur ImmoScout24.ch.")</f>
        <v>🏘  Vous cherchez un appartement à louer à Suberg? ✅ Les annonces les plus actuelles sont sur ImmoScout24.ch.</v>
      </c>
      <c r="J989" s="4" t="s">
        <v>2972</v>
      </c>
    </row>
    <row r="990">
      <c r="A990" s="5" t="s">
        <v>2973</v>
      </c>
      <c r="B990" s="2" t="s">
        <v>2974</v>
      </c>
      <c r="C990" s="4" t="str">
        <f>IFERROR(__xludf.DUMMYFUNCTION("""🏘️ ""&amp;REGEXEXTRACT(B990, ""^(.*): "")&amp;"" ✅ "" &amp;REGEXEXTRACT(B990, ""(Trouvez.*)"")"),"🏘️ Louer appartement Scheuren ✅ Trouvez le bien immobilier qui correspond idéalement à vos désirs sur ImmoScout24 - La plateforme de l'immobilier en Suisse.")</f>
        <v>🏘️ Louer appartement Scheuren ✅ Trouvez le bien immobilier qui correspond idéalement à vos désirs sur ImmoScout24 - La plateforme de l'immobilier en Suisse.</v>
      </c>
      <c r="D990" s="4" t="str">
        <f>vlookup(A990, Sheet2!D:E, 2, 0)</f>
        <v>variant</v>
      </c>
      <c r="E990" s="4" t="str">
        <f>IFERROR(__xludf.DUMMYFUNCTION("if(H990=""pays"",vlookup(REGEXEXTRACT(C990, ""🏘️ \w+ \w+ (.*) ✅""),'Country prepositions'!A:B, 2, 0) &amp; "" "" &amp; REGEXEXTRACT(C990, ""🏘️ \w+ \w+ (.*) ✅"") ,  if(H990=""quartier"",vlookup(REGEXEXTRACT(C990, ""🏘️ \w+ \w+ (.*) ✅""),'Quartier prepositions'!A"&amp;":E, 5, 0) ,  if(H990=""region"",vlookup(REGEXEXTRACT(C990, ""🏘️ \w+ \w+ (.*) ✅""),'Region prepositions'!B:F, 5, 0),  REGEXEXTRACT(C990, ""🏘️ \w+ \w+ (.*) ✅""))))"),"Scheuren")</f>
        <v>Scheuren</v>
      </c>
      <c r="F990" s="2" t="str">
        <f>IFERROR(__xludf.DUMMYFUNCTION("REGEXEXTRACT(C990, ""🏘️ (\w+) \w+ .* ✅"")"),"Louer")</f>
        <v>Louer</v>
      </c>
      <c r="G990" s="2" t="str">
        <f>IFERROR(__xludf.DUMMYFUNCTION("REGEXEXTRACT(C990, ""🏘️ \w+ (\w+) .* ✅"")"),"appartement")</f>
        <v>appartement</v>
      </c>
      <c r="H990" s="4" t="str">
        <f>IFERROR(__xludf.DUMMYFUNCTION("REGEXEXTRACT(A990, ""/(\w+)-.*?"")"),"lieu")</f>
        <v>lieu</v>
      </c>
      <c r="I990" s="4" t="str">
        <f>IFERROR(__xludf.DUMMYFUNCTION("if(D990=""variant"",  substitute(filter(Templates!E:E, Templates!A:A = F990, Templates!B:B = G990, Templates!C:C = H990), ""{{}}"", E990), B990)"),"🏘  Vous cherchez un appartement à louer à Scheuren? ✅ Les annonces les plus actuelles sont sur ImmoScout24.ch.")</f>
        <v>🏘  Vous cherchez un appartement à louer à Scheuren? ✅ Les annonces les plus actuelles sont sur ImmoScout24.ch.</v>
      </c>
      <c r="J990" s="4" t="s">
        <v>2975</v>
      </c>
    </row>
    <row r="991">
      <c r="A991" s="5" t="s">
        <v>2976</v>
      </c>
      <c r="B991" s="2" t="s">
        <v>2977</v>
      </c>
      <c r="C991" s="4" t="str">
        <f>IFERROR(__xludf.DUMMYFUNCTION("""🏘️ ""&amp;REGEXEXTRACT(B991, ""^(.*): "")&amp;"" ✅ "" &amp;REGEXEXTRACT(B991, ""(Trouvez.*)"")"),"🏘️ Louer appartement Riedholz ✅ Trouvez le bien immobilier qui correspond idéalement à vos désirs sur ImmoScout24 - La plateforme de l'immobilier en Suisse.")</f>
        <v>🏘️ Louer appartement Riedholz ✅ Trouvez le bien immobilier qui correspond idéalement à vos désirs sur ImmoScout24 - La plateforme de l'immobilier en Suisse.</v>
      </c>
      <c r="D991" s="4" t="str">
        <f>vlookup(A991, Sheet2!D:E, 2, 0)</f>
        <v>variant</v>
      </c>
      <c r="E991" s="4" t="str">
        <f>IFERROR(__xludf.DUMMYFUNCTION("if(H991=""pays"",vlookup(REGEXEXTRACT(C991, ""🏘️ \w+ \w+ (.*) ✅""),'Country prepositions'!A:B, 2, 0) &amp; "" "" &amp; REGEXEXTRACT(C991, ""🏘️ \w+ \w+ (.*) ✅"") ,  if(H991=""quartier"",vlookup(REGEXEXTRACT(C991, ""🏘️ \w+ \w+ (.*) ✅""),'Quartier prepositions'!A"&amp;":E, 5, 0) ,  if(H991=""region"",vlookup(REGEXEXTRACT(C991, ""🏘️ \w+ \w+ (.*) ✅""),'Region prepositions'!B:F, 5, 0),  REGEXEXTRACT(C991, ""🏘️ \w+ \w+ (.*) ✅""))))"),"Riedholz")</f>
        <v>Riedholz</v>
      </c>
      <c r="F991" s="2" t="str">
        <f>IFERROR(__xludf.DUMMYFUNCTION("REGEXEXTRACT(C991, ""🏘️ (\w+) \w+ .* ✅"")"),"Louer")</f>
        <v>Louer</v>
      </c>
      <c r="G991" s="2" t="str">
        <f>IFERROR(__xludf.DUMMYFUNCTION("REGEXEXTRACT(C991, ""🏘️ \w+ (\w+) .* ✅"")"),"appartement")</f>
        <v>appartement</v>
      </c>
      <c r="H991" s="4" t="str">
        <f>IFERROR(__xludf.DUMMYFUNCTION("REGEXEXTRACT(A991, ""/(\w+)-.*?"")"),"lieu")</f>
        <v>lieu</v>
      </c>
      <c r="I991" s="4" t="str">
        <f>IFERROR(__xludf.DUMMYFUNCTION("if(D991=""variant"",  substitute(filter(Templates!E:E, Templates!A:A = F991, Templates!B:B = G991, Templates!C:C = H991), ""{{}}"", E991), B991)"),"🏘  Vous cherchez un appartement à louer à Riedholz? ✅ Les annonces les plus actuelles sont sur ImmoScout24.ch.")</f>
        <v>🏘  Vous cherchez un appartement à louer à Riedholz? ✅ Les annonces les plus actuelles sont sur ImmoScout24.ch.</v>
      </c>
      <c r="J991" s="4" t="s">
        <v>2978</v>
      </c>
    </row>
    <row r="992">
      <c r="A992" s="5" t="s">
        <v>2979</v>
      </c>
      <c r="B992" s="2" t="s">
        <v>2980</v>
      </c>
      <c r="C992" s="4" t="str">
        <f>IFERROR(__xludf.DUMMYFUNCTION("""🏘️ ""&amp;REGEXEXTRACT(B992, ""^(.*): "")&amp;"" ✅ "" &amp;REGEXEXTRACT(B992, ""(Trouvez.*)"")"),"🏘️ Louer maison Corin-de-la-Crête ✅ Trouvez le bien immobilier qui correspond idéalement à vos désirs sur ImmoScout24 - La plateforme de l'immobilier en Suisse.")</f>
        <v>🏘️ Louer maison Corin-de-la-Crête ✅ Trouvez le bien immobilier qui correspond idéalement à vos désirs sur ImmoScout24 - La plateforme de l'immobilier en Suisse.</v>
      </c>
      <c r="D992" s="4" t="str">
        <f>vlookup(A992, Sheet2!D:E, 2, 0)</f>
        <v>variant</v>
      </c>
      <c r="E992" s="4" t="str">
        <f>IFERROR(__xludf.DUMMYFUNCTION("if(H992=""pays"",vlookup(REGEXEXTRACT(C992, ""🏘️ \w+ \w+ (.*) ✅""),'Country prepositions'!A:B, 2, 0) &amp; "" "" &amp; REGEXEXTRACT(C992, ""🏘️ \w+ \w+ (.*) ✅"") ,  if(H992=""quartier"",vlookup(REGEXEXTRACT(C992, ""🏘️ \w+ \w+ (.*) ✅""),'Quartier prepositions'!A"&amp;":E, 5, 0) ,  if(H992=""region"",vlookup(REGEXEXTRACT(C992, ""🏘️ \w+ \w+ (.*) ✅""),'Region prepositions'!B:F, 5, 0),  REGEXEXTRACT(C992, ""🏘️ \w+ \w+ (.*) ✅""))))"),"Corin-de-la-Crête")</f>
        <v>Corin-de-la-Crête</v>
      </c>
      <c r="F992" s="2" t="str">
        <f>IFERROR(__xludf.DUMMYFUNCTION("REGEXEXTRACT(C992, ""🏘️ (\w+) \w+ .* ✅"")"),"Louer")</f>
        <v>Louer</v>
      </c>
      <c r="G992" s="2" t="str">
        <f>IFERROR(__xludf.DUMMYFUNCTION("REGEXEXTRACT(C992, ""🏘️ \w+ (\w+) .* ✅"")"),"maison")</f>
        <v>maison</v>
      </c>
      <c r="H992" s="4" t="str">
        <f>IFERROR(__xludf.DUMMYFUNCTION("REGEXEXTRACT(A992, ""/(\w+)-.*?"")"),"lieu")</f>
        <v>lieu</v>
      </c>
      <c r="I992" s="4" t="str">
        <f>IFERROR(__xludf.DUMMYFUNCTION("if(D992=""variant"",  substitute(filter(Templates!E:E, Templates!A:A = F992, Templates!B:B = G992, Templates!C:C = H992), ""{{}}"", E992), B992)"),"🏘  Vous cherchez une maison à louer à Corin-de-la-Crête? ✅ Découvrez nos nombreuses annonces sur ImmoScout24.ch.")</f>
        <v>🏘  Vous cherchez une maison à louer à Corin-de-la-Crête? ✅ Découvrez nos nombreuses annonces sur ImmoScout24.ch.</v>
      </c>
      <c r="J992" s="4" t="s">
        <v>2981</v>
      </c>
    </row>
    <row r="993">
      <c r="A993" s="5" t="s">
        <v>2982</v>
      </c>
      <c r="B993" s="2" t="s">
        <v>2983</v>
      </c>
      <c r="C993" s="4" t="str">
        <f>IFERROR(__xludf.DUMMYFUNCTION("""🏘️ ""&amp;REGEXEXTRACT(B993, ""^(.*): "")&amp;"" ✅ "" &amp;REGEXEXTRACT(B993, ""(Trouvez.*)"")"),"🏘️ Vendre maison Termine ✅ Trouvez le bien immobilier qui correspond idéalement à vos désirs sur ImmoScout24 - La plateforme de l'immobilier en Suisse.")</f>
        <v>🏘️ Vendre maison Termine ✅ Trouvez le bien immobilier qui correspond idéalement à vos désirs sur ImmoScout24 - La plateforme de l'immobilier en Suisse.</v>
      </c>
      <c r="D993" s="4" t="str">
        <f>vlookup(A993, Sheet2!D:E, 2, 0)</f>
        <v>variant</v>
      </c>
      <c r="E993" s="4" t="str">
        <f>IFERROR(__xludf.DUMMYFUNCTION("if(H993=""pays"",vlookup(REGEXEXTRACT(C993, ""🏘️ \w+ \w+ (.*) ✅""),'Country prepositions'!A:B, 2, 0) &amp; "" "" &amp; REGEXEXTRACT(C993, ""🏘️ \w+ \w+ (.*) ✅"") ,  if(H993=""quartier"",vlookup(REGEXEXTRACT(C993, ""🏘️ \w+ \w+ (.*) ✅""),'Quartier prepositions'!A"&amp;":E, 5, 0) ,  if(H993=""region"",vlookup(REGEXEXTRACT(C993, ""🏘️ \w+ \w+ (.*) ✅""),'Region prepositions'!B:F, 5, 0),  REGEXEXTRACT(C993, ""🏘️ \w+ \w+ (.*) ✅""))))"),"Termine")</f>
        <v>Termine</v>
      </c>
      <c r="F993" s="2" t="str">
        <f>IFERROR(__xludf.DUMMYFUNCTION("REGEXEXTRACT(C993, ""🏘️ (\w+) \w+ .* ✅"")"),"Vendre")</f>
        <v>Vendre</v>
      </c>
      <c r="G993" s="2" t="str">
        <f>IFERROR(__xludf.DUMMYFUNCTION("REGEXEXTRACT(C993, ""🏘️ \w+ (\w+) .* ✅"")"),"maison")</f>
        <v>maison</v>
      </c>
      <c r="H993" s="4" t="str">
        <f>IFERROR(__xludf.DUMMYFUNCTION("REGEXEXTRACT(A993, ""/(\w+)-.*?"")"),"lieu")</f>
        <v>lieu</v>
      </c>
      <c r="I993" s="4" t="str">
        <f>IFERROR(__xludf.DUMMYFUNCTION("if(D993=""variant"",  substitute(filter(Templates!E:E, Templates!A:A = F993, Templates!B:B = G993, Templates!C:C = H993), ""{{}}"", E993), B993)"),"🏘  Vous souhaitez acheter une maison à Termine? ✅ Jetez un œil aux dernières offres sur ImmoScout24.ch.")</f>
        <v>🏘  Vous souhaitez acheter une maison à Termine? ✅ Jetez un œil aux dernières offres sur ImmoScout24.ch.</v>
      </c>
      <c r="J993" s="4" t="s">
        <v>2984</v>
      </c>
    </row>
    <row r="994">
      <c r="A994" s="5" t="s">
        <v>2985</v>
      </c>
      <c r="B994" s="2" t="s">
        <v>2986</v>
      </c>
      <c r="C994" s="4" t="str">
        <f>IFERROR(__xludf.DUMMYFUNCTION("""🏘️ ""&amp;REGEXEXTRACT(B994, ""^(.*): "")&amp;"" ✅ "" &amp;REGEXEXTRACT(B994, ""(Trouvez.*)"")"),"🏘️ Vendre appartement Le Châtelard VS ✅ Trouvez le bien immobilier qui correspond idéalement à vos désirs sur ImmoScout24 - La plateforme de l'immobilier en Suisse.")</f>
        <v>🏘️ Vendre appartement Le Châtelard VS ✅ Trouvez le bien immobilier qui correspond idéalement à vos désirs sur ImmoScout24 - La plateforme de l'immobilier en Suisse.</v>
      </c>
      <c r="D994" s="4" t="str">
        <f>vlookup(A994, Sheet2!D:E, 2, 0)</f>
        <v>variant</v>
      </c>
      <c r="E994" s="4" t="str">
        <f>IFERROR(__xludf.DUMMYFUNCTION("if(H994=""pays"",vlookup(REGEXEXTRACT(C994, ""🏘️ \w+ \w+ (.*) ✅""),'Country prepositions'!A:B, 2, 0) &amp; "" "" &amp; REGEXEXTRACT(C994, ""🏘️ \w+ \w+ (.*) ✅"") ,  if(H994=""quartier"",vlookup(REGEXEXTRACT(C994, ""🏘️ \w+ \w+ (.*) ✅""),'Quartier prepositions'!A"&amp;":E, 5, 0) ,  if(H994=""region"",vlookup(REGEXEXTRACT(C994, ""🏘️ \w+ \w+ (.*) ✅""),'Region prepositions'!B:F, 5, 0),  REGEXEXTRACT(C994, ""🏘️ \w+ \w+ (.*) ✅""))))"),"Le Châtelard VS")</f>
        <v>Le Châtelard VS</v>
      </c>
      <c r="F994" s="2" t="str">
        <f>IFERROR(__xludf.DUMMYFUNCTION("REGEXEXTRACT(C994, ""🏘️ (\w+) \w+ .* ✅"")"),"Vendre")</f>
        <v>Vendre</v>
      </c>
      <c r="G994" s="2" t="str">
        <f>IFERROR(__xludf.DUMMYFUNCTION("REGEXEXTRACT(C994, ""🏘️ \w+ (\w+) .* ✅"")"),"appartement")</f>
        <v>appartement</v>
      </c>
      <c r="H994" s="4" t="str">
        <f>IFERROR(__xludf.DUMMYFUNCTION("REGEXEXTRACT(A994, ""/(\w+)-.*?"")"),"lieu")</f>
        <v>lieu</v>
      </c>
      <c r="I994" s="4" t="str">
        <f>IFERROR(__xludf.DUMMYFUNCTION("if(D994=""variant"",  substitute(filter(Templates!E:E, Templates!A:A = F994, Templates!B:B = G994, Templates!C:C = H994), ""{{}}"", E994), B994)"),"🏘  L’appartement de vos rêves se trouve sur ImmoScout24.ch ✅ Découvrez les dernières annonces de vente à Le Châtelard VS.")</f>
        <v>🏘  L’appartement de vos rêves se trouve sur ImmoScout24.ch ✅ Découvrez les dernières annonces de vente à Le Châtelard VS.</v>
      </c>
      <c r="J994" s="2" t="s">
        <v>2987</v>
      </c>
    </row>
    <row r="995">
      <c r="A995" s="5" t="s">
        <v>2988</v>
      </c>
      <c r="B995" s="2" t="s">
        <v>2989</v>
      </c>
      <c r="C995" s="4" t="str">
        <f>IFERROR(__xludf.DUMMYFUNCTION("""🏘️ ""&amp;REGEXEXTRACT(B995, ""^(.*): "")&amp;"" ✅ "" &amp;REGEXEXTRACT(B995, ""(Trouvez.*)"")"),"🏘️ Vendre appartement Tüscherz-Alfermée ✅ Trouvez le bien immobilier qui correspond idéalement à vos désirs sur ImmoScout24 - La plateforme de l'immobilier en Suisse.")</f>
        <v>🏘️ Vendre appartement Tüscherz-Alfermée ✅ Trouvez le bien immobilier qui correspond idéalement à vos désirs sur ImmoScout24 - La plateforme de l'immobilier en Suisse.</v>
      </c>
      <c r="D995" s="4" t="str">
        <f>vlookup(A995, Sheet2!D:E, 2, 0)</f>
        <v>variant</v>
      </c>
      <c r="E995" s="4" t="str">
        <f>IFERROR(__xludf.DUMMYFUNCTION("if(H995=""pays"",vlookup(REGEXEXTRACT(C995, ""🏘️ \w+ \w+ (.*) ✅""),'Country prepositions'!A:B, 2, 0) &amp; "" "" &amp; REGEXEXTRACT(C995, ""🏘️ \w+ \w+ (.*) ✅"") ,  if(H995=""quartier"",vlookup(REGEXEXTRACT(C995, ""🏘️ \w+ \w+ (.*) ✅""),'Quartier prepositions'!A"&amp;":E, 5, 0) ,  if(H995=""region"",vlookup(REGEXEXTRACT(C995, ""🏘️ \w+ \w+ (.*) ✅""),'Region prepositions'!B:F, 5, 0),  REGEXEXTRACT(C995, ""🏘️ \w+ \w+ (.*) ✅""))))"),"Tüscherz-Alfermée")</f>
        <v>Tüscherz-Alfermée</v>
      </c>
      <c r="F995" s="2" t="str">
        <f>IFERROR(__xludf.DUMMYFUNCTION("REGEXEXTRACT(C995, ""🏘️ (\w+) \w+ .* ✅"")"),"Vendre")</f>
        <v>Vendre</v>
      </c>
      <c r="G995" s="2" t="str">
        <f>IFERROR(__xludf.DUMMYFUNCTION("REGEXEXTRACT(C995, ""🏘️ \w+ (\w+) .* ✅"")"),"appartement")</f>
        <v>appartement</v>
      </c>
      <c r="H995" s="4" t="str">
        <f>IFERROR(__xludf.DUMMYFUNCTION("REGEXEXTRACT(A995, ""/(\w+)-.*?"")"),"lieu")</f>
        <v>lieu</v>
      </c>
      <c r="I995" s="4" t="str">
        <f>IFERROR(__xludf.DUMMYFUNCTION("if(D995=""variant"",  substitute(filter(Templates!E:E, Templates!A:A = F995, Templates!B:B = G995, Templates!C:C = H995), ""{{}}"", E995), B995)"),"🏘  L’appartement de vos rêves se trouve sur ImmoScout24.ch ✅ Découvrez les dernières annonces de vente à Tüscherz-Alfermée.")</f>
        <v>🏘  L’appartement de vos rêves se trouve sur ImmoScout24.ch ✅ Découvrez les dernières annonces de vente à Tüscherz-Alfermée.</v>
      </c>
      <c r="J995" s="4" t="s">
        <v>2990</v>
      </c>
    </row>
    <row r="996">
      <c r="A996" s="5" t="s">
        <v>2991</v>
      </c>
      <c r="B996" s="2" t="s">
        <v>2992</v>
      </c>
      <c r="C996" s="4" t="str">
        <f>IFERROR(__xludf.DUMMYFUNCTION("""🏘️ ""&amp;REGEXEXTRACT(B996, ""^(.*): "")&amp;"" ✅ "" &amp;REGEXEXTRACT(B996, ""(Trouvez.*)"")"),"🏘️ Louer appartement Leytron ✅ Trouvez le bien immobilier qui correspond idéalement à vos désirs sur ImmoScout24 - La plateforme de l'immobilier en Suisse.")</f>
        <v>🏘️ Louer appartement Leytron ✅ Trouvez le bien immobilier qui correspond idéalement à vos désirs sur ImmoScout24 - La plateforme de l'immobilier en Suisse.</v>
      </c>
      <c r="D996" s="4" t="str">
        <f>vlookup(A996, Sheet2!D:E, 2, 0)</f>
        <v>variant</v>
      </c>
      <c r="E996" s="4" t="str">
        <f>IFERROR(__xludf.DUMMYFUNCTION("if(H996=""pays"",vlookup(REGEXEXTRACT(C996, ""🏘️ \w+ \w+ (.*) ✅""),'Country prepositions'!A:B, 2, 0) &amp; "" "" &amp; REGEXEXTRACT(C996, ""🏘️ \w+ \w+ (.*) ✅"") ,  if(H996=""quartier"",vlookup(REGEXEXTRACT(C996, ""🏘️ \w+ \w+ (.*) ✅""),'Quartier prepositions'!A"&amp;":E, 5, 0) ,  if(H996=""region"",vlookup(REGEXEXTRACT(C996, ""🏘️ \w+ \w+ (.*) ✅""),'Region prepositions'!B:F, 5, 0),  REGEXEXTRACT(C996, ""🏘️ \w+ \w+ (.*) ✅""))))"),"Leytron")</f>
        <v>Leytron</v>
      </c>
      <c r="F996" s="2" t="str">
        <f>IFERROR(__xludf.DUMMYFUNCTION("REGEXEXTRACT(C996, ""🏘️ (\w+) \w+ .* ✅"")"),"Louer")</f>
        <v>Louer</v>
      </c>
      <c r="G996" s="2" t="str">
        <f>IFERROR(__xludf.DUMMYFUNCTION("REGEXEXTRACT(C996, ""🏘️ \w+ (\w+) .* ✅"")"),"appartement")</f>
        <v>appartement</v>
      </c>
      <c r="H996" s="4" t="str">
        <f>IFERROR(__xludf.DUMMYFUNCTION("REGEXEXTRACT(A996, ""/(\w+)-.*?"")"),"lieu")</f>
        <v>lieu</v>
      </c>
      <c r="I996" s="4" t="str">
        <f>IFERROR(__xludf.DUMMYFUNCTION("if(D996=""variant"",  substitute(filter(Templates!E:E, Templates!A:A = F996, Templates!B:B = G996, Templates!C:C = H996), ""{{}}"", E996), B996)"),"🏘  Vous cherchez un appartement à louer à Leytron? ✅ Les annonces les plus actuelles sont sur ImmoScout24.ch.")</f>
        <v>🏘  Vous cherchez un appartement à louer à Leytron? ✅ Les annonces les plus actuelles sont sur ImmoScout24.ch.</v>
      </c>
      <c r="J996" s="2" t="s">
        <v>2993</v>
      </c>
    </row>
    <row r="997">
      <c r="A997" s="5" t="s">
        <v>2994</v>
      </c>
      <c r="B997" s="2" t="s">
        <v>2995</v>
      </c>
      <c r="C997" s="4" t="str">
        <f>IFERROR(__xludf.DUMMYFUNCTION("""🏘️ ""&amp;REGEXEXTRACT(B997, ""^(.*): "")&amp;"" ✅ "" &amp;REGEXEXTRACT(B997, ""(Trouvez.*)"")"),"🏘️ Vendre maison Hermrigen ✅ Trouvez le bien immobilier qui correspond idéalement à vos désirs sur ImmoScout24 - La plateforme de l'immobilier en Suisse.")</f>
        <v>🏘️ Vendre maison Hermrigen ✅ Trouvez le bien immobilier qui correspond idéalement à vos désirs sur ImmoScout24 - La plateforme de l'immobilier en Suisse.</v>
      </c>
      <c r="D997" s="4" t="str">
        <f>vlookup(A997, Sheet2!D:E, 2, 0)</f>
        <v>variant</v>
      </c>
      <c r="E997" s="4" t="str">
        <f>IFERROR(__xludf.DUMMYFUNCTION("if(H997=""pays"",vlookup(REGEXEXTRACT(C997, ""🏘️ \w+ \w+ (.*) ✅""),'Country prepositions'!A:B, 2, 0) &amp; "" "" &amp; REGEXEXTRACT(C997, ""🏘️ \w+ \w+ (.*) ✅"") ,  if(H997=""quartier"",vlookup(REGEXEXTRACT(C997, ""🏘️ \w+ \w+ (.*) ✅""),'Quartier prepositions'!A"&amp;":E, 5, 0) ,  if(H997=""region"",vlookup(REGEXEXTRACT(C997, ""🏘️ \w+ \w+ (.*) ✅""),'Region prepositions'!B:F, 5, 0),  REGEXEXTRACT(C997, ""🏘️ \w+ \w+ (.*) ✅""))))"),"Hermrigen")</f>
        <v>Hermrigen</v>
      </c>
      <c r="F997" s="2" t="str">
        <f>IFERROR(__xludf.DUMMYFUNCTION("REGEXEXTRACT(C997, ""🏘️ (\w+) \w+ .* ✅"")"),"Vendre")</f>
        <v>Vendre</v>
      </c>
      <c r="G997" s="2" t="str">
        <f>IFERROR(__xludf.DUMMYFUNCTION("REGEXEXTRACT(C997, ""🏘️ \w+ (\w+) .* ✅"")"),"maison")</f>
        <v>maison</v>
      </c>
      <c r="H997" s="4" t="str">
        <f>IFERROR(__xludf.DUMMYFUNCTION("REGEXEXTRACT(A997, ""/(\w+)-.*?"")"),"lieu")</f>
        <v>lieu</v>
      </c>
      <c r="I997" s="4" t="str">
        <f>IFERROR(__xludf.DUMMYFUNCTION("if(D997=""variant"",  substitute(filter(Templates!E:E, Templates!A:A = F997, Templates!B:B = G997, Templates!C:C = H997), ""{{}}"", E997), B997)"),"🏘  Vous souhaitez acheter une maison à Hermrigen? ✅ Jetez un œil aux dernières offres sur ImmoScout24.ch.")</f>
        <v>🏘  Vous souhaitez acheter une maison à Hermrigen? ✅ Jetez un œil aux dernières offres sur ImmoScout24.ch.</v>
      </c>
      <c r="J997" s="4" t="s">
        <v>2996</v>
      </c>
    </row>
    <row r="998">
      <c r="A998" s="5" t="s">
        <v>2997</v>
      </c>
      <c r="B998" s="2" t="s">
        <v>2998</v>
      </c>
      <c r="C998" s="4" t="str">
        <f>IFERROR(__xludf.DUMMYFUNCTION("""🏘️ ""&amp;REGEXEXTRACT(B998, ""^(.*): "")&amp;"" ✅ "" &amp;REGEXEXTRACT(B998, ""(Trouvez.*)"")"),"🏘️ Louer appartement Lommiswil ✅ Trouvez le bien immobilier qui correspond idéalement à vos désirs sur ImmoScout24 - La plateforme de l'immobilier en Suisse.")</f>
        <v>🏘️ Louer appartement Lommiswil ✅ Trouvez le bien immobilier qui correspond idéalement à vos désirs sur ImmoScout24 - La plateforme de l'immobilier en Suisse.</v>
      </c>
      <c r="D998" s="4" t="str">
        <f>vlookup(A998, Sheet2!D:E, 2, 0)</f>
        <v>variant</v>
      </c>
      <c r="E998" s="4" t="str">
        <f>IFERROR(__xludf.DUMMYFUNCTION("if(H998=""pays"",vlookup(REGEXEXTRACT(C998, ""🏘️ \w+ \w+ (.*) ✅""),'Country prepositions'!A:B, 2, 0) &amp; "" "" &amp; REGEXEXTRACT(C998, ""🏘️ \w+ \w+ (.*) ✅"") ,  if(H998=""quartier"",vlookup(REGEXEXTRACT(C998, ""🏘️ \w+ \w+ (.*) ✅""),'Quartier prepositions'!A"&amp;":E, 5, 0) ,  if(H998=""region"",vlookup(REGEXEXTRACT(C998, ""🏘️ \w+ \w+ (.*) ✅""),'Region prepositions'!B:F, 5, 0),  REGEXEXTRACT(C998, ""🏘️ \w+ \w+ (.*) ✅""))))"),"Lommiswil")</f>
        <v>Lommiswil</v>
      </c>
      <c r="F998" s="2" t="str">
        <f>IFERROR(__xludf.DUMMYFUNCTION("REGEXEXTRACT(C998, ""🏘️ (\w+) \w+ .* ✅"")"),"Louer")</f>
        <v>Louer</v>
      </c>
      <c r="G998" s="2" t="str">
        <f>IFERROR(__xludf.DUMMYFUNCTION("REGEXEXTRACT(C998, ""🏘️ \w+ (\w+) .* ✅"")"),"appartement")</f>
        <v>appartement</v>
      </c>
      <c r="H998" s="4" t="str">
        <f>IFERROR(__xludf.DUMMYFUNCTION("REGEXEXTRACT(A998, ""/(\w+)-.*?"")"),"lieu")</f>
        <v>lieu</v>
      </c>
      <c r="I998" s="4" t="str">
        <f>IFERROR(__xludf.DUMMYFUNCTION("if(D998=""variant"",  substitute(filter(Templates!E:E, Templates!A:A = F998, Templates!B:B = G998, Templates!C:C = H998), ""{{}}"", E998), B998)"),"🏘  Vous cherchez un appartement à louer à Lommiswil? ✅ Les annonces les plus actuelles sont sur ImmoScout24.ch.")</f>
        <v>🏘  Vous cherchez un appartement à louer à Lommiswil? ✅ Les annonces les plus actuelles sont sur ImmoScout24.ch.</v>
      </c>
      <c r="J998" s="4" t="s">
        <v>2999</v>
      </c>
    </row>
    <row r="999">
      <c r="A999" s="5" t="s">
        <v>3000</v>
      </c>
      <c r="B999" s="2" t="s">
        <v>3001</v>
      </c>
      <c r="C999" s="4" t="str">
        <f>IFERROR(__xludf.DUMMYFUNCTION("""🏘️ ""&amp;REGEXEXTRACT(B999, ""^(.*): "")&amp;"" ✅ "" &amp;REGEXEXTRACT(B999, ""(Trouvez.*)"")"),"🏘️ Louer appartement Zermatt ✅ Trouvez le bien immobilier qui correspond idéalement à vos désirs sur ImmoScout24 - La plateforme de l'immobilier en Suisse.")</f>
        <v>🏘️ Louer appartement Zermatt ✅ Trouvez le bien immobilier qui correspond idéalement à vos désirs sur ImmoScout24 - La plateforme de l'immobilier en Suisse.</v>
      </c>
      <c r="D999" s="4" t="str">
        <f>vlookup(A999, Sheet2!D:E, 2, 0)</f>
        <v>variant</v>
      </c>
      <c r="E999" s="4" t="str">
        <f>IFERROR(__xludf.DUMMYFUNCTION("if(H999=""pays"",vlookup(REGEXEXTRACT(C999, ""🏘️ \w+ \w+ (.*) ✅""),'Country prepositions'!A:B, 2, 0) &amp; "" "" &amp; REGEXEXTRACT(C999, ""🏘️ \w+ \w+ (.*) ✅"") ,  if(H999=""quartier"",vlookup(REGEXEXTRACT(C999, ""🏘️ \w+ \w+ (.*) ✅""),'Quartier prepositions'!A"&amp;":E, 5, 0) ,  if(H999=""region"",vlookup(REGEXEXTRACT(C999, ""🏘️ \w+ \w+ (.*) ✅""),'Region prepositions'!B:F, 5, 0),  REGEXEXTRACT(C999, ""🏘️ \w+ \w+ (.*) ✅""))))"),"Zermatt")</f>
        <v>Zermatt</v>
      </c>
      <c r="F999" s="2" t="str">
        <f>IFERROR(__xludf.DUMMYFUNCTION("REGEXEXTRACT(C999, ""🏘️ (\w+) \w+ .* ✅"")"),"Louer")</f>
        <v>Louer</v>
      </c>
      <c r="G999" s="2" t="str">
        <f>IFERROR(__xludf.DUMMYFUNCTION("REGEXEXTRACT(C999, ""🏘️ \w+ (\w+) .* ✅"")"),"appartement")</f>
        <v>appartement</v>
      </c>
      <c r="H999" s="4" t="str">
        <f>IFERROR(__xludf.DUMMYFUNCTION("REGEXEXTRACT(A999, ""/(\w+)-.*?"")"),"lieu")</f>
        <v>lieu</v>
      </c>
      <c r="I999" s="4" t="str">
        <f>IFERROR(__xludf.DUMMYFUNCTION("if(D999=""variant"",  substitute(filter(Templates!E:E, Templates!A:A = F999, Templates!B:B = G999, Templates!C:C = H999), ""{{}}"", E999), B999)"),"🏘  Vous cherchez un appartement à louer à Zermatt? ✅ Les annonces les plus actuelles sont sur ImmoScout24.ch.")</f>
        <v>🏘  Vous cherchez un appartement à louer à Zermatt? ✅ Les annonces les plus actuelles sont sur ImmoScout24.ch.</v>
      </c>
      <c r="J999" s="4" t="s">
        <v>3002</v>
      </c>
    </row>
    <row r="1000">
      <c r="A1000" s="5" t="s">
        <v>3003</v>
      </c>
      <c r="B1000" s="2" t="s">
        <v>3004</v>
      </c>
      <c r="C1000" s="4" t="str">
        <f>IFERROR(__xludf.DUMMYFUNCTION("""🏘️ ""&amp;REGEXEXTRACT(B1000, ""^(.*): "")&amp;"" ✅ "" &amp;REGEXEXTRACT(B1000, ""(Trouvez.*)"")"),"🏘️ Louer appartement Ruche (La Chaux-de-Fonds) ✅ Trouvez le bien immobilier qui correspond idéalement à vos désirs sur ImmoScout24 - La plateforme de l'immobilier en Suisse.")</f>
        <v>🏘️ Louer appartement Ruche (La Chaux-de-Fonds) ✅ Trouvez le bien immobilier qui correspond idéalement à vos désirs sur ImmoScout24 - La plateforme de l'immobilier en Suisse.</v>
      </c>
      <c r="D1000" s="4" t="str">
        <f>vlookup(A1000, Sheet2!D:E, 2, 0)</f>
        <v>variant</v>
      </c>
      <c r="E1000" s="4" t="str">
        <f>IFERROR(__xludf.DUMMYFUNCTION("if(H1000=""pays"",vlookup(REGEXEXTRACT(C1000, ""🏘️ \w+ \w+ (.*) ✅""),'Country prepositions'!A:B, 2, 0) &amp; "" "" &amp; REGEXEXTRACT(C1000, ""🏘️ \w+ \w+ (.*) ✅"") ,  if(H1000=""quartier"",vlookup(REGEXEXTRACT(C1000, ""🏘️ \w+ \w+ (.*) ✅""),'Quartier prepositio"&amp;"ns'!A:E, 5, 0) ,  if(H1000=""region"",vlookup(REGEXEXTRACT(C1000, ""🏘️ \w+ \w+ (.*) ✅""),'Region prepositions'!B:F, 5, 0),  REGEXEXTRACT(C1000, ""🏘️ \w+ \w+ (.*) ✅""))))"),"dans le quartier de la Ruche (La Chaux-de-Fonds)")</f>
        <v>dans le quartier de la Ruche (La Chaux-de-Fonds)</v>
      </c>
      <c r="F1000" s="2" t="str">
        <f>IFERROR(__xludf.DUMMYFUNCTION("REGEXEXTRACT(C1000, ""🏘️ (\w+) \w+ .* ✅"")"),"Louer")</f>
        <v>Louer</v>
      </c>
      <c r="G1000" s="2" t="str">
        <f>IFERROR(__xludf.DUMMYFUNCTION("REGEXEXTRACT(C1000, ""🏘️ \w+ (\w+) .* ✅"")"),"appartement")</f>
        <v>appartement</v>
      </c>
      <c r="H1000" s="4" t="str">
        <f>IFERROR(__xludf.DUMMYFUNCTION("REGEXEXTRACT(A1000, ""/(\w+)-.*?"")"),"quartier")</f>
        <v>quartier</v>
      </c>
      <c r="I1000" s="4" t="str">
        <f>IFERROR(__xludf.DUMMYFUNCTION("if(D1000=""variant"",  substitute(filter(Templates!E:E, Templates!A:A = F1000, Templates!B:B = G1000, Templates!C:C = H1000), ""{{}}"", E1000), B1000)"),"🏘  Vous cherchez un appartement à louer dans le quartier de la Ruche (La Chaux-de-Fonds)? ✅ Les annonces les plus actuelles sont sur ImmoScout24.ch.")</f>
        <v>🏘  Vous cherchez un appartement à louer dans le quartier de la Ruche (La Chaux-de-Fonds)? ✅ Les annonces les plus actuelles sont sur ImmoScout24.ch.</v>
      </c>
      <c r="J1000" s="4" t="s">
        <v>3005</v>
      </c>
    </row>
    <row r="1001">
      <c r="A1001" s="5" t="s">
        <v>3006</v>
      </c>
      <c r="B1001" s="2" t="s">
        <v>3007</v>
      </c>
      <c r="C1001" s="4" t="str">
        <f>IFERROR(__xludf.DUMMYFUNCTION("""🏘️ ""&amp;REGEXEXTRACT(B1001, ""^(.*): "")&amp;"" ✅ "" &amp;REGEXEXTRACT(B1001, ""(Trouvez.*)"")"),"🏘️ Louer maison Tramelan ✅ Trouvez le bien immobilier qui correspond idéalement à vos désirs sur ImmoScout24 - La plateforme de l'immobilier en Suisse.")</f>
        <v>🏘️ Louer maison Tramelan ✅ Trouvez le bien immobilier qui correspond idéalement à vos désirs sur ImmoScout24 - La plateforme de l'immobilier en Suisse.</v>
      </c>
      <c r="D1001" s="4" t="str">
        <f>vlookup(A1001, Sheet2!D:E, 2, 0)</f>
        <v>variant</v>
      </c>
      <c r="E1001" s="4" t="str">
        <f>IFERROR(__xludf.DUMMYFUNCTION("if(H1001=""pays"",vlookup(REGEXEXTRACT(C1001, ""🏘️ \w+ \w+ (.*) ✅""),'Country prepositions'!A:B, 2, 0) &amp; "" "" &amp; REGEXEXTRACT(C1001, ""🏘️ \w+ \w+ (.*) ✅"") ,  if(H1001=""quartier"",vlookup(REGEXEXTRACT(C1001, ""🏘️ \w+ \w+ (.*) ✅""),'Quartier prepositio"&amp;"ns'!A:E, 5, 0) ,  if(H1001=""region"",vlookup(REGEXEXTRACT(C1001, ""🏘️ \w+ \w+ (.*) ✅""),'Region prepositions'!B:F, 5, 0),  REGEXEXTRACT(C1001, ""🏘️ \w+ \w+ (.*) ✅""))))"),"Tramelan")</f>
        <v>Tramelan</v>
      </c>
      <c r="F1001" s="2" t="str">
        <f>IFERROR(__xludf.DUMMYFUNCTION("REGEXEXTRACT(C1001, ""🏘️ (\w+) \w+ .* ✅"")"),"Louer")</f>
        <v>Louer</v>
      </c>
      <c r="G1001" s="2" t="str">
        <f>IFERROR(__xludf.DUMMYFUNCTION("REGEXEXTRACT(C1001, ""🏘️ \w+ (\w+) .* ✅"")"),"maison")</f>
        <v>maison</v>
      </c>
      <c r="H1001" s="4" t="str">
        <f>IFERROR(__xludf.DUMMYFUNCTION("REGEXEXTRACT(A1001, ""/(\w+)-.*?"")"),"lieu")</f>
        <v>lieu</v>
      </c>
      <c r="I1001" s="4" t="str">
        <f>IFERROR(__xludf.DUMMYFUNCTION("if(D1001=""variant"",  substitute(filter(Templates!E:E, Templates!A:A = F1001, Templates!B:B = G1001, Templates!C:C = H1001), ""{{}}"", E1001), B1001)"),"🏘  Vous cherchez une maison à louer à Tramelan? ✅ Découvrez nos nombreuses annonces sur ImmoScout24.ch.")</f>
        <v>🏘  Vous cherchez une maison à louer à Tramelan? ✅ Découvrez nos nombreuses annonces sur ImmoScout24.ch.</v>
      </c>
      <c r="J1001" s="4" t="s">
        <v>3008</v>
      </c>
    </row>
    <row r="1002">
      <c r="A1002" s="5" t="s">
        <v>3009</v>
      </c>
      <c r="B1002" s="2" t="s">
        <v>3010</v>
      </c>
      <c r="C1002" s="4" t="str">
        <f>IFERROR(__xludf.DUMMYFUNCTION("""🏘️ ""&amp;REGEXEXTRACT(B1002, ""^(.*): "")&amp;"" ✅ "" &amp;REGEXEXTRACT(B1002, ""(Trouvez.*)"")"),"🏘️ Vendre maison Lessoc ✅ Trouvez le bien immobilier qui correspond idéalement à vos désirs sur ImmoScout24 - La plateforme de l'immobilier en Suisse.")</f>
        <v>🏘️ Vendre maison Lessoc ✅ Trouvez le bien immobilier qui correspond idéalement à vos désirs sur ImmoScout24 - La plateforme de l'immobilier en Suisse.</v>
      </c>
      <c r="D1002" s="4" t="str">
        <f>vlookup(A1002, Sheet2!D:E, 2, 0)</f>
        <v>variant</v>
      </c>
      <c r="E1002" s="4" t="str">
        <f>IFERROR(__xludf.DUMMYFUNCTION("if(H1002=""pays"",vlookup(REGEXEXTRACT(C1002, ""🏘️ \w+ \w+ (.*) ✅""),'Country prepositions'!A:B, 2, 0) &amp; "" "" &amp; REGEXEXTRACT(C1002, ""🏘️ \w+ \w+ (.*) ✅"") ,  if(H1002=""quartier"",vlookup(REGEXEXTRACT(C1002, ""🏘️ \w+ \w+ (.*) ✅""),'Quartier prepositio"&amp;"ns'!A:E, 5, 0) ,  if(H1002=""region"",vlookup(REGEXEXTRACT(C1002, ""🏘️ \w+ \w+ (.*) ✅""),'Region prepositions'!B:F, 5, 0),  REGEXEXTRACT(C1002, ""🏘️ \w+ \w+ (.*) ✅""))))"),"Lessoc")</f>
        <v>Lessoc</v>
      </c>
      <c r="F1002" s="2" t="str">
        <f>IFERROR(__xludf.DUMMYFUNCTION("REGEXEXTRACT(C1002, ""🏘️ (\w+) \w+ .* ✅"")"),"Vendre")</f>
        <v>Vendre</v>
      </c>
      <c r="G1002" s="2" t="str">
        <f>IFERROR(__xludf.DUMMYFUNCTION("REGEXEXTRACT(C1002, ""🏘️ \w+ (\w+) .* ✅"")"),"maison")</f>
        <v>maison</v>
      </c>
      <c r="H1002" s="4" t="str">
        <f>IFERROR(__xludf.DUMMYFUNCTION("REGEXEXTRACT(A1002, ""/(\w+)-.*?"")"),"lieu")</f>
        <v>lieu</v>
      </c>
      <c r="I1002" s="4" t="str">
        <f>IFERROR(__xludf.DUMMYFUNCTION("if(D1002=""variant"",  substitute(filter(Templates!E:E, Templates!A:A = F1002, Templates!B:B = G1002, Templates!C:C = H1002), ""{{}}"", E1002), B1002)"),"🏘  Vous souhaitez acheter une maison à Lessoc? ✅ Jetez un œil aux dernières offres sur ImmoScout24.ch.")</f>
        <v>🏘  Vous souhaitez acheter une maison à Lessoc? ✅ Jetez un œil aux dernières offres sur ImmoScout24.ch.</v>
      </c>
      <c r="J1002" s="2" t="s">
        <v>3011</v>
      </c>
    </row>
    <row r="1003">
      <c r="A1003" s="5" t="s">
        <v>3012</v>
      </c>
      <c r="B1003" s="2" t="s">
        <v>3013</v>
      </c>
      <c r="C1003" s="4" t="str">
        <f>IFERROR(__xludf.DUMMYFUNCTION("""🏘️ ""&amp;REGEXEXTRACT(B1003, ""^(.*): "")&amp;"" ✅ "" &amp;REGEXEXTRACT(B1003, ""(Trouvez.*)"")"),"🏘️ Louer appartement Damvant ✅ Trouvez le bien immobilier qui correspond idéalement à vos désirs sur ImmoScout24 - La plateforme de l'immobilier en Suisse.")</f>
        <v>🏘️ Louer appartement Damvant ✅ Trouvez le bien immobilier qui correspond idéalement à vos désirs sur ImmoScout24 - La plateforme de l'immobilier en Suisse.</v>
      </c>
      <c r="D1003" s="4" t="str">
        <f>vlookup(A1003, Sheet2!D:E, 2, 0)</f>
        <v>variant</v>
      </c>
      <c r="E1003" s="4" t="str">
        <f>IFERROR(__xludf.DUMMYFUNCTION("if(H1003=""pays"",vlookup(REGEXEXTRACT(C1003, ""🏘️ \w+ \w+ (.*) ✅""),'Country prepositions'!A:B, 2, 0) &amp; "" "" &amp; REGEXEXTRACT(C1003, ""🏘️ \w+ \w+ (.*) ✅"") ,  if(H1003=""quartier"",vlookup(REGEXEXTRACT(C1003, ""🏘️ \w+ \w+ (.*) ✅""),'Quartier prepositio"&amp;"ns'!A:E, 5, 0) ,  if(H1003=""region"",vlookup(REGEXEXTRACT(C1003, ""🏘️ \w+ \w+ (.*) ✅""),'Region prepositions'!B:F, 5, 0),  REGEXEXTRACT(C1003, ""🏘️ \w+ \w+ (.*) ✅""))))"),"Damvant")</f>
        <v>Damvant</v>
      </c>
      <c r="F1003" s="2" t="str">
        <f>IFERROR(__xludf.DUMMYFUNCTION("REGEXEXTRACT(C1003, ""🏘️ (\w+) \w+ .* ✅"")"),"Louer")</f>
        <v>Louer</v>
      </c>
      <c r="G1003" s="2" t="str">
        <f>IFERROR(__xludf.DUMMYFUNCTION("REGEXEXTRACT(C1003, ""🏘️ \w+ (\w+) .* ✅"")"),"appartement")</f>
        <v>appartement</v>
      </c>
      <c r="H1003" s="4" t="str">
        <f>IFERROR(__xludf.DUMMYFUNCTION("REGEXEXTRACT(A1003, ""/(\w+)-.*?"")"),"lieu")</f>
        <v>lieu</v>
      </c>
      <c r="I1003" s="4" t="str">
        <f>IFERROR(__xludf.DUMMYFUNCTION("if(D1003=""variant"",  substitute(filter(Templates!E:E, Templates!A:A = F1003, Templates!B:B = G1003, Templates!C:C = H1003), ""{{}}"", E1003), B1003)"),"🏘  Vous cherchez un appartement à louer à Damvant? ✅ Les annonces les plus actuelles sont sur ImmoScout24.ch.")</f>
        <v>🏘  Vous cherchez un appartement à louer à Damvant? ✅ Les annonces les plus actuelles sont sur ImmoScout24.ch.</v>
      </c>
      <c r="J1003" s="4" t="s">
        <v>3014</v>
      </c>
    </row>
    <row r="1004">
      <c r="A1004" s="5" t="s">
        <v>3015</v>
      </c>
      <c r="B1004" s="2" t="s">
        <v>3016</v>
      </c>
      <c r="C1004" s="4" t="str">
        <f>IFERROR(__xludf.DUMMYFUNCTION("""🏘️ ""&amp;REGEXEXTRACT(B1004, ""^(.*): "")&amp;"" ✅ "" &amp;REGEXEXTRACT(B1004, ""(Trouvez.*)"")"),"🏘️ Louer appartement Biberstein ✅ Trouvez le bien immobilier qui correspond idéalement à vos désirs sur ImmoScout24 - La plateforme de l'immobilier en Suisse.")</f>
        <v>🏘️ Louer appartement Biberstein ✅ Trouvez le bien immobilier qui correspond idéalement à vos désirs sur ImmoScout24 - La plateforme de l'immobilier en Suisse.</v>
      </c>
      <c r="D1004" s="4" t="str">
        <f>vlookup(A1004, Sheet2!D:E, 2, 0)</f>
        <v>variant</v>
      </c>
      <c r="E1004" s="4" t="str">
        <f>IFERROR(__xludf.DUMMYFUNCTION("if(H1004=""pays"",vlookup(REGEXEXTRACT(C1004, ""🏘️ \w+ \w+ (.*) ✅""),'Country prepositions'!A:B, 2, 0) &amp; "" "" &amp; REGEXEXTRACT(C1004, ""🏘️ \w+ \w+ (.*) ✅"") ,  if(H1004=""quartier"",vlookup(REGEXEXTRACT(C1004, ""🏘️ \w+ \w+ (.*) ✅""),'Quartier prepositio"&amp;"ns'!A:E, 5, 0) ,  if(H1004=""region"",vlookup(REGEXEXTRACT(C1004, ""🏘️ \w+ \w+ (.*) ✅""),'Region prepositions'!B:F, 5, 0),  REGEXEXTRACT(C1004, ""🏘️ \w+ \w+ (.*) ✅""))))"),"Biberstein")</f>
        <v>Biberstein</v>
      </c>
      <c r="F1004" s="2" t="str">
        <f>IFERROR(__xludf.DUMMYFUNCTION("REGEXEXTRACT(C1004, ""🏘️ (\w+) \w+ .* ✅"")"),"Louer")</f>
        <v>Louer</v>
      </c>
      <c r="G1004" s="2" t="str">
        <f>IFERROR(__xludf.DUMMYFUNCTION("REGEXEXTRACT(C1004, ""🏘️ \w+ (\w+) .* ✅"")"),"appartement")</f>
        <v>appartement</v>
      </c>
      <c r="H1004" s="4" t="str">
        <f>IFERROR(__xludf.DUMMYFUNCTION("REGEXEXTRACT(A1004, ""/(\w+)-.*?"")"),"lieu")</f>
        <v>lieu</v>
      </c>
      <c r="I1004" s="4" t="str">
        <f>IFERROR(__xludf.DUMMYFUNCTION("if(D1004=""variant"",  substitute(filter(Templates!E:E, Templates!A:A = F1004, Templates!B:B = G1004, Templates!C:C = H1004), ""{{}}"", E1004), B1004)"),"🏘  Vous cherchez un appartement à louer à Biberstein? ✅ Les annonces les plus actuelles sont sur ImmoScout24.ch.")</f>
        <v>🏘  Vous cherchez un appartement à louer à Biberstein? ✅ Les annonces les plus actuelles sont sur ImmoScout24.ch.</v>
      </c>
      <c r="J1004" s="4" t="s">
        <v>3017</v>
      </c>
    </row>
    <row r="1005">
      <c r="A1005" s="5" t="s">
        <v>3018</v>
      </c>
      <c r="B1005" s="2" t="s">
        <v>3019</v>
      </c>
      <c r="C1005" s="4" t="str">
        <f>IFERROR(__xludf.DUMMYFUNCTION("""🏘️ ""&amp;REGEXEXTRACT(B1005, ""^(.*): "")&amp;"" ✅ "" &amp;REGEXEXTRACT(B1005, ""(Trouvez.*)"")"),"🏘️ Louer appartement Colombier NE ✅ Trouvez le bien immobilier qui correspond idéalement à vos désirs sur ImmoScout24 - La plateforme de l'immobilier en Suisse.")</f>
        <v>🏘️ Louer appartement Colombier NE ✅ Trouvez le bien immobilier qui correspond idéalement à vos désirs sur ImmoScout24 - La plateforme de l'immobilier en Suisse.</v>
      </c>
      <c r="D1005" s="4" t="str">
        <f>vlookup(A1005, Sheet2!D:E, 2, 0)</f>
        <v>variant</v>
      </c>
      <c r="E1005" s="4" t="str">
        <f>IFERROR(__xludf.DUMMYFUNCTION("if(H1005=""pays"",vlookup(REGEXEXTRACT(C1005, ""🏘️ \w+ \w+ (.*) ✅""),'Country prepositions'!A:B, 2, 0) &amp; "" "" &amp; REGEXEXTRACT(C1005, ""🏘️ \w+ \w+ (.*) ✅"") ,  if(H1005=""quartier"",vlookup(REGEXEXTRACT(C1005, ""🏘️ \w+ \w+ (.*) ✅""),'Quartier prepositio"&amp;"ns'!A:E, 5, 0) ,  if(H1005=""region"",vlookup(REGEXEXTRACT(C1005, ""🏘️ \w+ \w+ (.*) ✅""),'Region prepositions'!B:F, 5, 0),  REGEXEXTRACT(C1005, ""🏘️ \w+ \w+ (.*) ✅""))))"),"Colombier NE")</f>
        <v>Colombier NE</v>
      </c>
      <c r="F1005" s="2" t="str">
        <f>IFERROR(__xludf.DUMMYFUNCTION("REGEXEXTRACT(C1005, ""🏘️ (\w+) \w+ .* ✅"")"),"Louer")</f>
        <v>Louer</v>
      </c>
      <c r="G1005" s="2" t="str">
        <f>IFERROR(__xludf.DUMMYFUNCTION("REGEXEXTRACT(C1005, ""🏘️ \w+ (\w+) .* ✅"")"),"appartement")</f>
        <v>appartement</v>
      </c>
      <c r="H1005" s="4" t="str">
        <f>IFERROR(__xludf.DUMMYFUNCTION("REGEXEXTRACT(A1005, ""/(\w+)-.*?"")"),"lieu")</f>
        <v>lieu</v>
      </c>
      <c r="I1005" s="4" t="str">
        <f>IFERROR(__xludf.DUMMYFUNCTION("if(D1005=""variant"",  substitute(filter(Templates!E:E, Templates!A:A = F1005, Templates!B:B = G1005, Templates!C:C = H1005), ""{{}}"", E1005), B1005)"),"🏘  Vous cherchez un appartement à louer à Colombier NE? ✅ Les annonces les plus actuelles sont sur ImmoScout24.ch.")</f>
        <v>🏘  Vous cherchez un appartement à louer à Colombier NE? ✅ Les annonces les plus actuelles sont sur ImmoScout24.ch.</v>
      </c>
      <c r="J1005" s="4" t="s">
        <v>3020</v>
      </c>
    </row>
    <row r="1006">
      <c r="A1006" s="5" t="s">
        <v>3021</v>
      </c>
      <c r="B1006" s="2" t="s">
        <v>3022</v>
      </c>
      <c r="C1006" s="4" t="str">
        <f>IFERROR(__xludf.DUMMYFUNCTION("""🏘️ ""&amp;REGEXEXTRACT(B1006, ""^(.*): "")&amp;"" ✅ "" &amp;REGEXEXTRACT(B1006, ""(Trouvez.*)"")"),"🏘️ Vendre maison Champagne (Biel/Bienne) ✅ Trouvez le bien immobilier qui correspond idéalement à vos désirs sur ImmoScout24 - La plateforme de l'immobilier en Suisse.")</f>
        <v>🏘️ Vendre maison Champagne (Biel/Bienne) ✅ Trouvez le bien immobilier qui correspond idéalement à vos désirs sur ImmoScout24 - La plateforme de l'immobilier en Suisse.</v>
      </c>
      <c r="D1006" s="4" t="str">
        <f>vlookup(A1006, Sheet2!D:E, 2, 0)</f>
        <v>variant</v>
      </c>
      <c r="E1006" s="4" t="str">
        <f>IFERROR(__xludf.DUMMYFUNCTION("if(H1006=""pays"",vlookup(REGEXEXTRACT(C1006, ""🏘️ \w+ \w+ (.*) ✅""),'Country prepositions'!A:B, 2, 0) &amp; "" "" &amp; REGEXEXTRACT(C1006, ""🏘️ \w+ \w+ (.*) ✅"") ,  if(H1006=""quartier"",vlookup(REGEXEXTRACT(C1006, ""🏘️ \w+ \w+ (.*) ✅""),'Quartier prepositio"&amp;"ns'!A:E, 5, 0) ,  if(H1006=""region"",vlookup(REGEXEXTRACT(C1006, ""🏘️ \w+ \w+ (.*) ✅""),'Region prepositions'!B:F, 5, 0),  REGEXEXTRACT(C1006, ""🏘️ \w+ \w+ (.*) ✅""))))"),"dans le quartier de Champagne (Biel/Bienne)")</f>
        <v>dans le quartier de Champagne (Biel/Bienne)</v>
      </c>
      <c r="F1006" s="2" t="str">
        <f>IFERROR(__xludf.DUMMYFUNCTION("REGEXEXTRACT(C1006, ""🏘️ (\w+) \w+ .* ✅"")"),"Vendre")</f>
        <v>Vendre</v>
      </c>
      <c r="G1006" s="2" t="str">
        <f>IFERROR(__xludf.DUMMYFUNCTION("REGEXEXTRACT(C1006, ""🏘️ \w+ (\w+) .* ✅"")"),"maison")</f>
        <v>maison</v>
      </c>
      <c r="H1006" s="4" t="str">
        <f>IFERROR(__xludf.DUMMYFUNCTION("REGEXEXTRACT(A1006, ""/(\w+)-.*?"")"),"quartier")</f>
        <v>quartier</v>
      </c>
      <c r="I1006" s="4" t="str">
        <f>IFERROR(__xludf.DUMMYFUNCTION("if(D1006=""variant"",  substitute(filter(Templates!E:E, Templates!A:A = F1006, Templates!B:B = G1006, Templates!C:C = H1006), ""{{}}"", E1006), B1006)"),"🏘  Vous souhaitez acheter une maison dans le quartier de Champagne (Biel/Bienne)? ✅ Jetez un œil aux dernières offres sur ImmoScout24.ch.")</f>
        <v>🏘  Vous souhaitez acheter une maison dans le quartier de Champagne (Biel/Bienne)? ✅ Jetez un œil aux dernières offres sur ImmoScout24.ch.</v>
      </c>
      <c r="J1006" s="4" t="s">
        <v>3023</v>
      </c>
    </row>
    <row r="1007">
      <c r="A1007" s="5" t="s">
        <v>3024</v>
      </c>
      <c r="B1007" s="2" t="s">
        <v>3025</v>
      </c>
      <c r="C1007" s="4" t="str">
        <f>IFERROR(__xludf.DUMMYFUNCTION("""🏘️ ""&amp;REGEXEXTRACT(B1007, ""^(.*): "")&amp;"" ✅ "" &amp;REGEXEXTRACT(B1007, ""(Trouvez.*)"")"),"🏘️ Vendre maison Courgevaux ✅ Trouvez le bien immobilier qui correspond idéalement à vos désirs sur ImmoScout24 - La plateforme de l'immobilier en Suisse.")</f>
        <v>🏘️ Vendre maison Courgevaux ✅ Trouvez le bien immobilier qui correspond idéalement à vos désirs sur ImmoScout24 - La plateforme de l'immobilier en Suisse.</v>
      </c>
      <c r="D1007" s="4" t="str">
        <f>vlookup(A1007, Sheet2!D:E, 2, 0)</f>
        <v>variant</v>
      </c>
      <c r="E1007" s="4" t="str">
        <f>IFERROR(__xludf.DUMMYFUNCTION("if(H1007=""pays"",vlookup(REGEXEXTRACT(C1007, ""🏘️ \w+ \w+ (.*) ✅""),'Country prepositions'!A:B, 2, 0) &amp; "" "" &amp; REGEXEXTRACT(C1007, ""🏘️ \w+ \w+ (.*) ✅"") ,  if(H1007=""quartier"",vlookup(REGEXEXTRACT(C1007, ""🏘️ \w+ \w+ (.*) ✅""),'Quartier prepositio"&amp;"ns'!A:E, 5, 0) ,  if(H1007=""region"",vlookup(REGEXEXTRACT(C1007, ""🏘️ \w+ \w+ (.*) ✅""),'Region prepositions'!B:F, 5, 0),  REGEXEXTRACT(C1007, ""🏘️ \w+ \w+ (.*) ✅""))))"),"Courgevaux")</f>
        <v>Courgevaux</v>
      </c>
      <c r="F1007" s="2" t="str">
        <f>IFERROR(__xludf.DUMMYFUNCTION("REGEXEXTRACT(C1007, ""🏘️ (\w+) \w+ .* ✅"")"),"Vendre")</f>
        <v>Vendre</v>
      </c>
      <c r="G1007" s="2" t="str">
        <f>IFERROR(__xludf.DUMMYFUNCTION("REGEXEXTRACT(C1007, ""🏘️ \w+ (\w+) .* ✅"")"),"maison")</f>
        <v>maison</v>
      </c>
      <c r="H1007" s="4" t="str">
        <f>IFERROR(__xludf.DUMMYFUNCTION("REGEXEXTRACT(A1007, ""/(\w+)-.*?"")"),"lieu")</f>
        <v>lieu</v>
      </c>
      <c r="I1007" s="4" t="str">
        <f>IFERROR(__xludf.DUMMYFUNCTION("if(D1007=""variant"",  substitute(filter(Templates!E:E, Templates!A:A = F1007, Templates!B:B = G1007, Templates!C:C = H1007), ""{{}}"", E1007), B1007)"),"🏘  Vous souhaitez acheter une maison à Courgevaux? ✅ Jetez un œil aux dernières offres sur ImmoScout24.ch.")</f>
        <v>🏘  Vous souhaitez acheter une maison à Courgevaux? ✅ Jetez un œil aux dernières offres sur ImmoScout24.ch.</v>
      </c>
      <c r="J1007" s="4" t="s">
        <v>3026</v>
      </c>
    </row>
    <row r="1008">
      <c r="A1008" s="5" t="s">
        <v>3027</v>
      </c>
      <c r="B1008" s="2" t="s">
        <v>3028</v>
      </c>
      <c r="C1008" s="4" t="str">
        <f>IFERROR(__xludf.DUMMYFUNCTION("""🏘️ ""&amp;REGEXEXTRACT(B1008, ""^(.*): "")&amp;"" ✅ "" &amp;REGEXEXTRACT(B1008, ""(Trouvez.*)"")"),"🏘️ Louer appartement Tavannes ✅ Trouvez le bien immobilier qui correspond idéalement à vos désirs sur ImmoScout24 - La plateforme de l'immobilier en Suisse.")</f>
        <v>🏘️ Louer appartement Tavannes ✅ Trouvez le bien immobilier qui correspond idéalement à vos désirs sur ImmoScout24 - La plateforme de l'immobilier en Suisse.</v>
      </c>
      <c r="D1008" s="4" t="str">
        <f>vlookup(A1008, Sheet2!D:E, 2, 0)</f>
        <v>variant</v>
      </c>
      <c r="E1008" s="4" t="str">
        <f>IFERROR(__xludf.DUMMYFUNCTION("if(H1008=""pays"",vlookup(REGEXEXTRACT(C1008, ""🏘️ \w+ \w+ (.*) ✅""),'Country prepositions'!A:B, 2, 0) &amp; "" "" &amp; REGEXEXTRACT(C1008, ""🏘️ \w+ \w+ (.*) ✅"") ,  if(H1008=""quartier"",vlookup(REGEXEXTRACT(C1008, ""🏘️ \w+ \w+ (.*) ✅""),'Quartier prepositio"&amp;"ns'!A:E, 5, 0) ,  if(H1008=""region"",vlookup(REGEXEXTRACT(C1008, ""🏘️ \w+ \w+ (.*) ✅""),'Region prepositions'!B:F, 5, 0),  REGEXEXTRACT(C1008, ""🏘️ \w+ \w+ (.*) ✅""))))"),"Tavannes")</f>
        <v>Tavannes</v>
      </c>
      <c r="F1008" s="2" t="str">
        <f>IFERROR(__xludf.DUMMYFUNCTION("REGEXEXTRACT(C1008, ""🏘️ (\w+) \w+ .* ✅"")"),"Louer")</f>
        <v>Louer</v>
      </c>
      <c r="G1008" s="2" t="str">
        <f>IFERROR(__xludf.DUMMYFUNCTION("REGEXEXTRACT(C1008, ""🏘️ \w+ (\w+) .* ✅"")"),"appartement")</f>
        <v>appartement</v>
      </c>
      <c r="H1008" s="4" t="str">
        <f>IFERROR(__xludf.DUMMYFUNCTION("REGEXEXTRACT(A1008, ""/(\w+)-.*?"")"),"lieu")</f>
        <v>lieu</v>
      </c>
      <c r="I1008" s="4" t="str">
        <f>IFERROR(__xludf.DUMMYFUNCTION("if(D1008=""variant"",  substitute(filter(Templates!E:E, Templates!A:A = F1008, Templates!B:B = G1008, Templates!C:C = H1008), ""{{}}"", E1008), B1008)"),"🏘  Vous cherchez un appartement à louer à Tavannes? ✅ Les annonces les plus actuelles sont sur ImmoScout24.ch.")</f>
        <v>🏘  Vous cherchez un appartement à louer à Tavannes? ✅ Les annonces les plus actuelles sont sur ImmoScout24.ch.</v>
      </c>
      <c r="J1008" s="4" t="s">
        <v>3029</v>
      </c>
    </row>
    <row r="1009">
      <c r="A1009" s="5" t="s">
        <v>3030</v>
      </c>
      <c r="B1009" s="2" t="s">
        <v>3031</v>
      </c>
      <c r="C1009" s="4" t="str">
        <f>IFERROR(__xludf.DUMMYFUNCTION("""🏘️ ""&amp;REGEXEXTRACT(B1009, ""^(.*): "")&amp;"" ✅ "" &amp;REGEXEXTRACT(B1009, ""(Trouvez.*)"")"),"🏘️ Vendre maison Corcelles BE ✅ Trouvez le bien immobilier qui correspond idéalement à vos désirs sur ImmoScout24 - La plateforme de l'immobilier en Suisse.")</f>
        <v>🏘️ Vendre maison Corcelles BE ✅ Trouvez le bien immobilier qui correspond idéalement à vos désirs sur ImmoScout24 - La plateforme de l'immobilier en Suisse.</v>
      </c>
      <c r="D1009" s="4" t="str">
        <f>vlookup(A1009, Sheet2!D:E, 2, 0)</f>
        <v>variant</v>
      </c>
      <c r="E1009" s="4" t="str">
        <f>IFERROR(__xludf.DUMMYFUNCTION("if(H1009=""pays"",vlookup(REGEXEXTRACT(C1009, ""🏘️ \w+ \w+ (.*) ✅""),'Country prepositions'!A:B, 2, 0) &amp; "" "" &amp; REGEXEXTRACT(C1009, ""🏘️ \w+ \w+ (.*) ✅"") ,  if(H1009=""quartier"",vlookup(REGEXEXTRACT(C1009, ""🏘️ \w+ \w+ (.*) ✅""),'Quartier prepositio"&amp;"ns'!A:E, 5, 0) ,  if(H1009=""region"",vlookup(REGEXEXTRACT(C1009, ""🏘️ \w+ \w+ (.*) ✅""),'Region prepositions'!B:F, 5, 0),  REGEXEXTRACT(C1009, ""🏘️ \w+ \w+ (.*) ✅""))))"),"Corcelles BE")</f>
        <v>Corcelles BE</v>
      </c>
      <c r="F1009" s="2" t="str">
        <f>IFERROR(__xludf.DUMMYFUNCTION("REGEXEXTRACT(C1009, ""🏘️ (\w+) \w+ .* ✅"")"),"Vendre")</f>
        <v>Vendre</v>
      </c>
      <c r="G1009" s="2" t="str">
        <f>IFERROR(__xludf.DUMMYFUNCTION("REGEXEXTRACT(C1009, ""🏘️ \w+ (\w+) .* ✅"")"),"maison")</f>
        <v>maison</v>
      </c>
      <c r="H1009" s="4" t="str">
        <f>IFERROR(__xludf.DUMMYFUNCTION("REGEXEXTRACT(A1009, ""/(\w+)-.*?"")"),"lieu")</f>
        <v>lieu</v>
      </c>
      <c r="I1009" s="4" t="str">
        <f>IFERROR(__xludf.DUMMYFUNCTION("if(D1009=""variant"",  substitute(filter(Templates!E:E, Templates!A:A = F1009, Templates!B:B = G1009, Templates!C:C = H1009), ""{{}}"", E1009), B1009)"),"🏘  Vous souhaitez acheter une maison à Corcelles BE? ✅ Jetez un œil aux dernières offres sur ImmoScout24.ch.")</f>
        <v>🏘  Vous souhaitez acheter une maison à Corcelles BE? ✅ Jetez un œil aux dernières offres sur ImmoScout24.ch.</v>
      </c>
      <c r="J1009" s="4" t="s">
        <v>3032</v>
      </c>
    </row>
    <row r="1010">
      <c r="A1010" s="5" t="s">
        <v>3033</v>
      </c>
      <c r="B1010" s="2" t="s">
        <v>3034</v>
      </c>
      <c r="C1010" s="4" t="str">
        <f>IFERROR(__xludf.DUMMYFUNCTION("""🏘️ ""&amp;REGEXEXTRACT(B1010, ""^(.*): "")&amp;"" ✅ "" &amp;REGEXEXTRACT(B1010, ""(Trouvez.*)"")"),"🏘️ Vendre maison Arnex-sur-Orbe ✅ Trouvez le bien immobilier qui correspond idéalement à vos désirs sur ImmoScout24 - La plateforme de l'immobilier en Suisse.")</f>
        <v>🏘️ Vendre maison Arnex-sur-Orbe ✅ Trouvez le bien immobilier qui correspond idéalement à vos désirs sur ImmoScout24 - La plateforme de l'immobilier en Suisse.</v>
      </c>
      <c r="D1010" s="4" t="str">
        <f>vlookup(A1010, Sheet2!D:E, 2, 0)</f>
        <v>variant</v>
      </c>
      <c r="E1010" s="4" t="str">
        <f>IFERROR(__xludf.DUMMYFUNCTION("if(H1010=""pays"",vlookup(REGEXEXTRACT(C1010, ""🏘️ \w+ \w+ (.*) ✅""),'Country prepositions'!A:B, 2, 0) &amp; "" "" &amp; REGEXEXTRACT(C1010, ""🏘️ \w+ \w+ (.*) ✅"") ,  if(H1010=""quartier"",vlookup(REGEXEXTRACT(C1010, ""🏘️ \w+ \w+ (.*) ✅""),'Quartier prepositio"&amp;"ns'!A:E, 5, 0) ,  if(H1010=""region"",vlookup(REGEXEXTRACT(C1010, ""🏘️ \w+ \w+ (.*) ✅""),'Region prepositions'!B:F, 5, 0),  REGEXEXTRACT(C1010, ""🏘️ \w+ \w+ (.*) ✅""))))"),"Arnex-sur-Orbe")</f>
        <v>Arnex-sur-Orbe</v>
      </c>
      <c r="F1010" s="2" t="str">
        <f>IFERROR(__xludf.DUMMYFUNCTION("REGEXEXTRACT(C1010, ""🏘️ (\w+) \w+ .* ✅"")"),"Vendre")</f>
        <v>Vendre</v>
      </c>
      <c r="G1010" s="2" t="str">
        <f>IFERROR(__xludf.DUMMYFUNCTION("REGEXEXTRACT(C1010, ""🏘️ \w+ (\w+) .* ✅"")"),"maison")</f>
        <v>maison</v>
      </c>
      <c r="H1010" s="4" t="str">
        <f>IFERROR(__xludf.DUMMYFUNCTION("REGEXEXTRACT(A1010, ""/(\w+)-.*?"")"),"lieu")</f>
        <v>lieu</v>
      </c>
      <c r="I1010" s="4" t="str">
        <f>IFERROR(__xludf.DUMMYFUNCTION("if(D1010=""variant"",  substitute(filter(Templates!E:E, Templates!A:A = F1010, Templates!B:B = G1010, Templates!C:C = H1010), ""{{}}"", E1010), B1010)"),"🏘  Vous souhaitez acheter une maison à Arnex-sur-Orbe? ✅ Jetez un œil aux dernières offres sur ImmoScout24.ch.")</f>
        <v>🏘  Vous souhaitez acheter une maison à Arnex-sur-Orbe? ✅ Jetez un œil aux dernières offres sur ImmoScout24.ch.</v>
      </c>
      <c r="J1010" s="4" t="s">
        <v>3035</v>
      </c>
    </row>
    <row r="1011">
      <c r="A1011" s="5" t="s">
        <v>3036</v>
      </c>
      <c r="B1011" s="2" t="s">
        <v>3037</v>
      </c>
      <c r="C1011" s="4" t="str">
        <f>IFERROR(__xludf.DUMMYFUNCTION("""🏘️ ""&amp;REGEXEXTRACT(B1011, ""^(.*): "")&amp;"" ✅ "" &amp;REGEXEXTRACT(B1011, ""(Trouvez.*)"")"),"🏘️ Louer appartement Capolago ✅ Trouvez le bien immobilier qui correspond idéalement à vos désirs sur ImmoScout24 - La plateforme de l'immobilier en Suisse.")</f>
        <v>🏘️ Louer appartement Capolago ✅ Trouvez le bien immobilier qui correspond idéalement à vos désirs sur ImmoScout24 - La plateforme de l'immobilier en Suisse.</v>
      </c>
      <c r="D1011" s="4" t="str">
        <f>vlookup(A1011, Sheet2!D:E, 2, 0)</f>
        <v>variant</v>
      </c>
      <c r="E1011" s="4" t="str">
        <f>IFERROR(__xludf.DUMMYFUNCTION("if(H1011=""pays"",vlookup(REGEXEXTRACT(C1011, ""🏘️ \w+ \w+ (.*) ✅""),'Country prepositions'!A:B, 2, 0) &amp; "" "" &amp; REGEXEXTRACT(C1011, ""🏘️ \w+ \w+ (.*) ✅"") ,  if(H1011=""quartier"",vlookup(REGEXEXTRACT(C1011, ""🏘️ \w+ \w+ (.*) ✅""),'Quartier prepositio"&amp;"ns'!A:E, 5, 0) ,  if(H1011=""region"",vlookup(REGEXEXTRACT(C1011, ""🏘️ \w+ \w+ (.*) ✅""),'Region prepositions'!B:F, 5, 0),  REGEXEXTRACT(C1011, ""🏘️ \w+ \w+ (.*) ✅""))))"),"Capolago")</f>
        <v>Capolago</v>
      </c>
      <c r="F1011" s="2" t="str">
        <f>IFERROR(__xludf.DUMMYFUNCTION("REGEXEXTRACT(C1011, ""🏘️ (\w+) \w+ .* ✅"")"),"Louer")</f>
        <v>Louer</v>
      </c>
      <c r="G1011" s="2" t="str">
        <f>IFERROR(__xludf.DUMMYFUNCTION("REGEXEXTRACT(C1011, ""🏘️ \w+ (\w+) .* ✅"")"),"appartement")</f>
        <v>appartement</v>
      </c>
      <c r="H1011" s="4" t="str">
        <f>IFERROR(__xludf.DUMMYFUNCTION("REGEXEXTRACT(A1011, ""/(\w+)-.*?"")"),"lieu")</f>
        <v>lieu</v>
      </c>
      <c r="I1011" s="4" t="str">
        <f>IFERROR(__xludf.DUMMYFUNCTION("if(D1011=""variant"",  substitute(filter(Templates!E:E, Templates!A:A = F1011, Templates!B:B = G1011, Templates!C:C = H1011), ""{{}}"", E1011), B1011)"),"🏘  Vous cherchez un appartement à louer à Capolago? ✅ Les annonces les plus actuelles sont sur ImmoScout24.ch.")</f>
        <v>🏘  Vous cherchez un appartement à louer à Capolago? ✅ Les annonces les plus actuelles sont sur ImmoScout24.ch.</v>
      </c>
      <c r="J1011" s="4" t="s">
        <v>3038</v>
      </c>
    </row>
    <row r="1012">
      <c r="A1012" s="5" t="s">
        <v>3039</v>
      </c>
      <c r="B1012" s="2" t="s">
        <v>3040</v>
      </c>
      <c r="C1012" s="4" t="str">
        <f>IFERROR(__xludf.DUMMYFUNCTION("""🏘️ ""&amp;REGEXEXTRACT(B1012, ""^(.*): "")&amp;"" ✅ "" &amp;REGEXEXTRACT(B1012, ""(Trouvez.*)"")"),"🏘️ Vendre appartement Seedorf BE ✅ Trouvez le bien immobilier qui correspond idéalement à vos désirs sur ImmoScout24 - La plateforme de l'immobilier en Suisse.")</f>
        <v>🏘️ Vendre appartement Seedorf BE ✅ Trouvez le bien immobilier qui correspond idéalement à vos désirs sur ImmoScout24 - La plateforme de l'immobilier en Suisse.</v>
      </c>
      <c r="D1012" s="4" t="str">
        <f>vlookup(A1012, Sheet2!D:E, 2, 0)</f>
        <v>variant</v>
      </c>
      <c r="E1012" s="4" t="str">
        <f>IFERROR(__xludf.DUMMYFUNCTION("if(H1012=""pays"",vlookup(REGEXEXTRACT(C1012, ""🏘️ \w+ \w+ (.*) ✅""),'Country prepositions'!A:B, 2, 0) &amp; "" "" &amp; REGEXEXTRACT(C1012, ""🏘️ \w+ \w+ (.*) ✅"") ,  if(H1012=""quartier"",vlookup(REGEXEXTRACT(C1012, ""🏘️ \w+ \w+ (.*) ✅""),'Quartier prepositio"&amp;"ns'!A:E, 5, 0) ,  if(H1012=""region"",vlookup(REGEXEXTRACT(C1012, ""🏘️ \w+ \w+ (.*) ✅""),'Region prepositions'!B:F, 5, 0),  REGEXEXTRACT(C1012, ""🏘️ \w+ \w+ (.*) ✅""))))"),"Seedorf BE")</f>
        <v>Seedorf BE</v>
      </c>
      <c r="F1012" s="2" t="str">
        <f>IFERROR(__xludf.DUMMYFUNCTION("REGEXEXTRACT(C1012, ""🏘️ (\w+) \w+ .* ✅"")"),"Vendre")</f>
        <v>Vendre</v>
      </c>
      <c r="G1012" s="2" t="str">
        <f>IFERROR(__xludf.DUMMYFUNCTION("REGEXEXTRACT(C1012, ""🏘️ \w+ (\w+) .* ✅"")"),"appartement")</f>
        <v>appartement</v>
      </c>
      <c r="H1012" s="4" t="str">
        <f>IFERROR(__xludf.DUMMYFUNCTION("REGEXEXTRACT(A1012, ""/(\w+)-.*?"")"),"lieu")</f>
        <v>lieu</v>
      </c>
      <c r="I1012" s="4" t="str">
        <f>IFERROR(__xludf.DUMMYFUNCTION("if(D1012=""variant"",  substitute(filter(Templates!E:E, Templates!A:A = F1012, Templates!B:B = G1012, Templates!C:C = H1012), ""{{}}"", E1012), B1012)"),"🏘  L’appartement de vos rêves se trouve sur ImmoScout24.ch ✅ Découvrez les dernières annonces de vente à Seedorf BE.")</f>
        <v>🏘  L’appartement de vos rêves se trouve sur ImmoScout24.ch ✅ Découvrez les dernières annonces de vente à Seedorf BE.</v>
      </c>
      <c r="J1012" s="4" t="s">
        <v>3041</v>
      </c>
    </row>
    <row r="1013">
      <c r="A1013" s="5" t="s">
        <v>3042</v>
      </c>
      <c r="B1013" s="2" t="s">
        <v>3043</v>
      </c>
      <c r="C1013" s="4" t="str">
        <f>IFERROR(__xludf.DUMMYFUNCTION("""🏘️ ""&amp;REGEXEXTRACT(B1013, ""^(.*): "")&amp;"" ✅ "" &amp;REGEXEXTRACT(B1013, ""(Trouvez.*)"")"),"🏘️ Vendre maison Villars-Tiercelin ✅ Trouvez le bien immobilier qui correspond idéalement à vos désirs sur ImmoScout24 - La plateforme de l'immobilier en Suisse.")</f>
        <v>🏘️ Vendre maison Villars-Tiercelin ✅ Trouvez le bien immobilier qui correspond idéalement à vos désirs sur ImmoScout24 - La plateforme de l'immobilier en Suisse.</v>
      </c>
      <c r="D1013" s="4" t="str">
        <f>vlookup(A1013, Sheet2!D:E, 2, 0)</f>
        <v>variant</v>
      </c>
      <c r="E1013" s="4" t="str">
        <f>IFERROR(__xludf.DUMMYFUNCTION("if(H1013=""pays"",vlookup(REGEXEXTRACT(C1013, ""🏘️ \w+ \w+ (.*) ✅""),'Country prepositions'!A:B, 2, 0) &amp; "" "" &amp; REGEXEXTRACT(C1013, ""🏘️ \w+ \w+ (.*) ✅"") ,  if(H1013=""quartier"",vlookup(REGEXEXTRACT(C1013, ""🏘️ \w+ \w+ (.*) ✅""),'Quartier prepositio"&amp;"ns'!A:E, 5, 0) ,  if(H1013=""region"",vlookup(REGEXEXTRACT(C1013, ""🏘️ \w+ \w+ (.*) ✅""),'Region prepositions'!B:F, 5, 0),  REGEXEXTRACT(C1013, ""🏘️ \w+ \w+ (.*) ✅""))))"),"Villars-Tiercelin")</f>
        <v>Villars-Tiercelin</v>
      </c>
      <c r="F1013" s="2" t="str">
        <f>IFERROR(__xludf.DUMMYFUNCTION("REGEXEXTRACT(C1013, ""🏘️ (\w+) \w+ .* ✅"")"),"Vendre")</f>
        <v>Vendre</v>
      </c>
      <c r="G1013" s="2" t="str">
        <f>IFERROR(__xludf.DUMMYFUNCTION("REGEXEXTRACT(C1013, ""🏘️ \w+ (\w+) .* ✅"")"),"maison")</f>
        <v>maison</v>
      </c>
      <c r="H1013" s="4" t="str">
        <f>IFERROR(__xludf.DUMMYFUNCTION("REGEXEXTRACT(A1013, ""/(\w+)-.*?"")"),"lieu")</f>
        <v>lieu</v>
      </c>
      <c r="I1013" s="4" t="str">
        <f>IFERROR(__xludf.DUMMYFUNCTION("if(D1013=""variant"",  substitute(filter(Templates!E:E, Templates!A:A = F1013, Templates!B:B = G1013, Templates!C:C = H1013), ""{{}}"", E1013), B1013)"),"🏘  Vous souhaitez acheter une maison à Villars-Tiercelin? ✅ Jetez un œil aux dernières offres sur ImmoScout24.ch.")</f>
        <v>🏘  Vous souhaitez acheter une maison à Villars-Tiercelin? ✅ Jetez un œil aux dernières offres sur ImmoScout24.ch.</v>
      </c>
      <c r="J1013" s="4" t="s">
        <v>3044</v>
      </c>
    </row>
    <row r="1014">
      <c r="A1014" s="5" t="s">
        <v>3045</v>
      </c>
      <c r="B1014" s="2" t="s">
        <v>3046</v>
      </c>
      <c r="C1014" s="4" t="str">
        <f>IFERROR(__xludf.DUMMYFUNCTION("""🏘️ ""&amp;REGEXEXTRACT(B1014, ""^(.*): "")&amp;"" ✅ "" &amp;REGEXEXTRACT(B1014, ""(Trouvez.*)"")"),"🏘️ Louer appartement Beundenfeld (Berne) ✅ Trouvez le bien immobilier qui correspond idéalement à vos désirs sur ImmoScout24 - La plateforme de l'immobilier en Suisse.")</f>
        <v>🏘️ Louer appartement Beundenfeld (Berne) ✅ Trouvez le bien immobilier qui correspond idéalement à vos désirs sur ImmoScout24 - La plateforme de l'immobilier en Suisse.</v>
      </c>
      <c r="D1014" s="4" t="str">
        <f>vlookup(A1014, Sheet2!D:E, 2, 0)</f>
        <v>variant</v>
      </c>
      <c r="E1014" s="4" t="str">
        <f>IFERROR(__xludf.DUMMYFUNCTION("if(H1014=""pays"",vlookup(REGEXEXTRACT(C1014, ""🏘️ \w+ \w+ (.*) ✅""),'Country prepositions'!A:B, 2, 0) &amp; "" "" &amp; REGEXEXTRACT(C1014, ""🏘️ \w+ \w+ (.*) ✅"") ,  if(H1014=""quartier"",vlookup(REGEXEXTRACT(C1014, ""🏘️ \w+ \w+ (.*) ✅""),'Quartier prepositio"&amp;"ns'!A:E, 5, 0) ,  if(H1014=""region"",vlookup(REGEXEXTRACT(C1014, ""🏘️ \w+ \w+ (.*) ✅""),'Region prepositions'!B:F, 5, 0),  REGEXEXTRACT(C1014, ""🏘️ \w+ \w+ (.*) ✅""))))"),"dans le quartier de Beundenfeld (Berne)")</f>
        <v>dans le quartier de Beundenfeld (Berne)</v>
      </c>
      <c r="F1014" s="2" t="str">
        <f>IFERROR(__xludf.DUMMYFUNCTION("REGEXEXTRACT(C1014, ""🏘️ (\w+) \w+ .* ✅"")"),"Louer")</f>
        <v>Louer</v>
      </c>
      <c r="G1014" s="2" t="str">
        <f>IFERROR(__xludf.DUMMYFUNCTION("REGEXEXTRACT(C1014, ""🏘️ \w+ (\w+) .* ✅"")"),"appartement")</f>
        <v>appartement</v>
      </c>
      <c r="H1014" s="4" t="str">
        <f>IFERROR(__xludf.DUMMYFUNCTION("REGEXEXTRACT(A1014, ""/(\w+)-.*?"")"),"quartier")</f>
        <v>quartier</v>
      </c>
      <c r="I1014" s="4" t="str">
        <f>IFERROR(__xludf.DUMMYFUNCTION("if(D1014=""variant"",  substitute(filter(Templates!E:E, Templates!A:A = F1014, Templates!B:B = G1014, Templates!C:C = H1014), ""{{}}"", E1014), B1014)"),"🏘  Vous cherchez un appartement à louer dans le quartier de Beundenfeld (Berne)? ✅ Les annonces les plus actuelles sont sur ImmoScout24.ch.")</f>
        <v>🏘  Vous cherchez un appartement à louer dans le quartier de Beundenfeld (Berne)? ✅ Les annonces les plus actuelles sont sur ImmoScout24.ch.</v>
      </c>
      <c r="J1014" s="4" t="s">
        <v>3047</v>
      </c>
    </row>
    <row r="1015">
      <c r="A1015" s="5" t="s">
        <v>3048</v>
      </c>
      <c r="B1015" s="2" t="s">
        <v>3049</v>
      </c>
      <c r="C1015" s="4" t="str">
        <f>IFERROR(__xludf.DUMMYFUNCTION("""🏘️ ""&amp;REGEXEXTRACT(B1015, ""^(.*): "")&amp;"" ✅ "" &amp;REGEXEXTRACT(B1015, ""(Trouvez.*)"")"),"🏘️ Louer appartement Villmergen ✅ Trouvez le bien immobilier qui correspond idéalement à vos désirs sur ImmoScout24 - La plateforme de l'immobilier en Suisse.")</f>
        <v>🏘️ Louer appartement Villmergen ✅ Trouvez le bien immobilier qui correspond idéalement à vos désirs sur ImmoScout24 - La plateforme de l'immobilier en Suisse.</v>
      </c>
      <c r="D1015" s="4" t="str">
        <f>vlookup(A1015, Sheet2!D:E, 2, 0)</f>
        <v>variant</v>
      </c>
      <c r="E1015" s="4" t="str">
        <f>IFERROR(__xludf.DUMMYFUNCTION("if(H1015=""pays"",vlookup(REGEXEXTRACT(C1015, ""🏘️ \w+ \w+ (.*) ✅""),'Country prepositions'!A:B, 2, 0) &amp; "" "" &amp; REGEXEXTRACT(C1015, ""🏘️ \w+ \w+ (.*) ✅"") ,  if(H1015=""quartier"",vlookup(REGEXEXTRACT(C1015, ""🏘️ \w+ \w+ (.*) ✅""),'Quartier prepositio"&amp;"ns'!A:E, 5, 0) ,  if(H1015=""region"",vlookup(REGEXEXTRACT(C1015, ""🏘️ \w+ \w+ (.*) ✅""),'Region prepositions'!B:F, 5, 0),  REGEXEXTRACT(C1015, ""🏘️ \w+ \w+ (.*) ✅""))))"),"Villmergen")</f>
        <v>Villmergen</v>
      </c>
      <c r="F1015" s="2" t="str">
        <f>IFERROR(__xludf.DUMMYFUNCTION("REGEXEXTRACT(C1015, ""🏘️ (\w+) \w+ .* ✅"")"),"Louer")</f>
        <v>Louer</v>
      </c>
      <c r="G1015" s="2" t="str">
        <f>IFERROR(__xludf.DUMMYFUNCTION("REGEXEXTRACT(C1015, ""🏘️ \w+ (\w+) .* ✅"")"),"appartement")</f>
        <v>appartement</v>
      </c>
      <c r="H1015" s="4" t="str">
        <f>IFERROR(__xludf.DUMMYFUNCTION("REGEXEXTRACT(A1015, ""/(\w+)-.*?"")"),"lieu")</f>
        <v>lieu</v>
      </c>
      <c r="I1015" s="4" t="str">
        <f>IFERROR(__xludf.DUMMYFUNCTION("if(D1015=""variant"",  substitute(filter(Templates!E:E, Templates!A:A = F1015, Templates!B:B = G1015, Templates!C:C = H1015), ""{{}}"", E1015), B1015)"),"🏘  Vous cherchez un appartement à louer à Villmergen? ✅ Les annonces les plus actuelles sont sur ImmoScout24.ch.")</f>
        <v>🏘  Vous cherchez un appartement à louer à Villmergen? ✅ Les annonces les plus actuelles sont sur ImmoScout24.ch.</v>
      </c>
      <c r="J1015" s="4" t="s">
        <v>3050</v>
      </c>
    </row>
    <row r="1016">
      <c r="A1016" s="5" t="s">
        <v>3051</v>
      </c>
      <c r="B1016" s="2" t="s">
        <v>3052</v>
      </c>
      <c r="C1016" s="4" t="str">
        <f>IFERROR(__xludf.DUMMYFUNCTION("""🏘️ ""&amp;REGEXEXTRACT(B1016, ""^(.*): "")&amp;"" ✅ "" &amp;REGEXEXTRACT(B1016, ""(Trouvez.*)"")"),"🏘️ Vendre maison Liebefeld ✅ Trouvez le bien immobilier qui correspond idéalement à vos désirs sur ImmoScout24 - La plateforme de l'immobilier en Suisse.")</f>
        <v>🏘️ Vendre maison Liebefeld ✅ Trouvez le bien immobilier qui correspond idéalement à vos désirs sur ImmoScout24 - La plateforme de l'immobilier en Suisse.</v>
      </c>
      <c r="D1016" s="4" t="str">
        <f>vlookup(A1016, Sheet2!D:E, 2, 0)</f>
        <v>variant</v>
      </c>
      <c r="E1016" s="4" t="str">
        <f>IFERROR(__xludf.DUMMYFUNCTION("if(H1016=""pays"",vlookup(REGEXEXTRACT(C1016, ""🏘️ \w+ \w+ (.*) ✅""),'Country prepositions'!A:B, 2, 0) &amp; "" "" &amp; REGEXEXTRACT(C1016, ""🏘️ \w+ \w+ (.*) ✅"") ,  if(H1016=""quartier"",vlookup(REGEXEXTRACT(C1016, ""🏘️ \w+ \w+ (.*) ✅""),'Quartier prepositio"&amp;"ns'!A:E, 5, 0) ,  if(H1016=""region"",vlookup(REGEXEXTRACT(C1016, ""🏘️ \w+ \w+ (.*) ✅""),'Region prepositions'!B:F, 5, 0),  REGEXEXTRACT(C1016, ""🏘️ \w+ \w+ (.*) ✅""))))"),"Liebefeld")</f>
        <v>Liebefeld</v>
      </c>
      <c r="F1016" s="2" t="str">
        <f>IFERROR(__xludf.DUMMYFUNCTION("REGEXEXTRACT(C1016, ""🏘️ (\w+) \w+ .* ✅"")"),"Vendre")</f>
        <v>Vendre</v>
      </c>
      <c r="G1016" s="2" t="str">
        <f>IFERROR(__xludf.DUMMYFUNCTION("REGEXEXTRACT(C1016, ""🏘️ \w+ (\w+) .* ✅"")"),"maison")</f>
        <v>maison</v>
      </c>
      <c r="H1016" s="4" t="str">
        <f>IFERROR(__xludf.DUMMYFUNCTION("REGEXEXTRACT(A1016, ""/(\w+)-.*?"")"),"lieu")</f>
        <v>lieu</v>
      </c>
      <c r="I1016" s="4" t="str">
        <f>IFERROR(__xludf.DUMMYFUNCTION("if(D1016=""variant"",  substitute(filter(Templates!E:E, Templates!A:A = F1016, Templates!B:B = G1016, Templates!C:C = H1016), ""{{}}"", E1016), B1016)"),"🏘  Vous souhaitez acheter une maison à Liebefeld? ✅ Jetez un œil aux dernières offres sur ImmoScout24.ch.")</f>
        <v>🏘  Vous souhaitez acheter une maison à Liebefeld? ✅ Jetez un œil aux dernières offres sur ImmoScout24.ch.</v>
      </c>
      <c r="J1016" s="4" t="s">
        <v>3053</v>
      </c>
    </row>
    <row r="1017">
      <c r="A1017" s="5" t="s">
        <v>3054</v>
      </c>
      <c r="B1017" s="2" t="s">
        <v>3055</v>
      </c>
      <c r="C1017" s="4" t="str">
        <f>IFERROR(__xludf.DUMMYFUNCTION("""🏘️ ""&amp;REGEXEXTRACT(B1017, ""^(.*): "")&amp;"" ✅ "" &amp;REGEXEXTRACT(B1017, ""(Trouvez.*)"")"),"🏘️ Vendre appartement Italie ✅ Trouvez le bien immobilier qui correspond idéalement à vos désirs sur ImmoScout24 - La plateforme de l'immobilier en Suisse.")</f>
        <v>🏘️ Vendre appartement Italie ✅ Trouvez le bien immobilier qui correspond idéalement à vos désirs sur ImmoScout24 - La plateforme de l'immobilier en Suisse.</v>
      </c>
      <c r="D1017" s="4" t="str">
        <f>vlookup(A1017, Sheet2!D:E, 2, 0)</f>
        <v>variant</v>
      </c>
      <c r="E1017" s="4" t="str">
        <f>IFERROR(__xludf.DUMMYFUNCTION("if(H1017=""pays"",vlookup(REGEXEXTRACT(C1017, ""🏘️ \w+ \w+ (.*) ✅""),'Country prepositions'!A:B, 2, 0) &amp; "" "" &amp; REGEXEXTRACT(C1017, ""🏘️ \w+ \w+ (.*) ✅"") ,  if(H1017=""quartier"",vlookup(REGEXEXTRACT(C1017, ""🏘️ \w+ \w+ (.*) ✅""),'Quartier prepositio"&amp;"ns'!A:E, 5, 0) ,  if(H1017=""region"",vlookup(REGEXEXTRACT(C1017, ""🏘️ \w+ \w+ (.*) ✅""),'Region prepositions'!B:F, 5, 0),  REGEXEXTRACT(C1017, ""🏘️ \w+ \w+ (.*) ✅""))))"),"en Italie")</f>
        <v>en Italie</v>
      </c>
      <c r="F1017" s="2" t="str">
        <f>IFERROR(__xludf.DUMMYFUNCTION("REGEXEXTRACT(C1017, ""🏘️ (\w+) \w+ .* ✅"")"),"Vendre")</f>
        <v>Vendre</v>
      </c>
      <c r="G1017" s="2" t="str">
        <f>IFERROR(__xludf.DUMMYFUNCTION("REGEXEXTRACT(C1017, ""🏘️ \w+ (\w+) .* ✅"")"),"appartement")</f>
        <v>appartement</v>
      </c>
      <c r="H1017" s="4" t="str">
        <f>IFERROR(__xludf.DUMMYFUNCTION("REGEXEXTRACT(A1017, ""/(\w+)-.*?"")"),"pays")</f>
        <v>pays</v>
      </c>
      <c r="I1017" s="4" t="str">
        <f>IFERROR(__xludf.DUMMYFUNCTION("if(D1017=""variant"",  substitute(filter(Templates!E:E, Templates!A:A = F1017, Templates!B:B = G1017, Templates!C:C = H1017), ""{{}}"", E1017), B1017)"),"🏘  Vous cherchez un appartement à louer en Italie? ✅ Les annonces les plus actuelles sont sur ImmoScout24.ch.")</f>
        <v>🏘  Vous cherchez un appartement à louer en Italie? ✅ Les annonces les plus actuelles sont sur ImmoScout24.ch.</v>
      </c>
      <c r="J1017" s="4" t="s">
        <v>1427</v>
      </c>
    </row>
    <row r="1018">
      <c r="A1018" s="5" t="s">
        <v>3056</v>
      </c>
      <c r="B1018" s="2" t="s">
        <v>3057</v>
      </c>
      <c r="C1018" s="4" t="str">
        <f>IFERROR(__xludf.DUMMYFUNCTION("""🏘️ ""&amp;REGEXEXTRACT(B1018, ""^(.*): "")&amp;"" ✅ "" &amp;REGEXEXTRACT(B1018, ""(Trouvez.*)"")"),"🏘️ Louer appartement Russin ✅ Trouvez le bien immobilier qui correspond idéalement à vos désirs sur ImmoScout24 - La plateforme de l'immobilier en Suisse.")</f>
        <v>🏘️ Louer appartement Russin ✅ Trouvez le bien immobilier qui correspond idéalement à vos désirs sur ImmoScout24 - La plateforme de l'immobilier en Suisse.</v>
      </c>
      <c r="D1018" s="4" t="str">
        <f>vlookup(A1018, Sheet2!D:E, 2, 0)</f>
        <v>variant</v>
      </c>
      <c r="E1018" s="4" t="str">
        <f>IFERROR(__xludf.DUMMYFUNCTION("if(H1018=""pays"",vlookup(REGEXEXTRACT(C1018, ""🏘️ \w+ \w+ (.*) ✅""),'Country prepositions'!A:B, 2, 0) &amp; "" "" &amp; REGEXEXTRACT(C1018, ""🏘️ \w+ \w+ (.*) ✅"") ,  if(H1018=""quartier"",vlookup(REGEXEXTRACT(C1018, ""🏘️ \w+ \w+ (.*) ✅""),'Quartier prepositio"&amp;"ns'!A:E, 5, 0) ,  if(H1018=""region"",vlookup(REGEXEXTRACT(C1018, ""🏘️ \w+ \w+ (.*) ✅""),'Region prepositions'!B:F, 5, 0),  REGEXEXTRACT(C1018, ""🏘️ \w+ \w+ (.*) ✅""))))"),"Russin")</f>
        <v>Russin</v>
      </c>
      <c r="F1018" s="2" t="str">
        <f>IFERROR(__xludf.DUMMYFUNCTION("REGEXEXTRACT(C1018, ""🏘️ (\w+) \w+ .* ✅"")"),"Louer")</f>
        <v>Louer</v>
      </c>
      <c r="G1018" s="2" t="str">
        <f>IFERROR(__xludf.DUMMYFUNCTION("REGEXEXTRACT(C1018, ""🏘️ \w+ (\w+) .* ✅"")"),"appartement")</f>
        <v>appartement</v>
      </c>
      <c r="H1018" s="4" t="str">
        <f>IFERROR(__xludf.DUMMYFUNCTION("REGEXEXTRACT(A1018, ""/(\w+)-.*?"")"),"lieu")</f>
        <v>lieu</v>
      </c>
      <c r="I1018" s="4" t="str">
        <f>IFERROR(__xludf.DUMMYFUNCTION("if(D1018=""variant"",  substitute(filter(Templates!E:E, Templates!A:A = F1018, Templates!B:B = G1018, Templates!C:C = H1018), ""{{}}"", E1018), B1018)"),"🏘  Vous cherchez un appartement à louer à Russin? ✅ Les annonces les plus actuelles sont sur ImmoScout24.ch.")</f>
        <v>🏘  Vous cherchez un appartement à louer à Russin? ✅ Les annonces les plus actuelles sont sur ImmoScout24.ch.</v>
      </c>
      <c r="J1018" s="4" t="s">
        <v>3058</v>
      </c>
    </row>
    <row r="1019">
      <c r="A1019" s="5" t="s">
        <v>3059</v>
      </c>
      <c r="B1019" s="2" t="s">
        <v>3060</v>
      </c>
      <c r="C1019" s="4" t="str">
        <f>IFERROR(__xludf.DUMMYFUNCTION("""🏘️ ""&amp;REGEXEXTRACT(B1019, ""^(.*): "")&amp;"" ✅ "" &amp;REGEXEXTRACT(B1019, ""(Trouvez.*)"")"),"🏘️ Louer appartement Les Planchettes ✅ Trouvez le bien immobilier qui correspond idéalement à vos désirs sur ImmoScout24 - La plateforme de l'immobilier en Suisse.")</f>
        <v>🏘️ Louer appartement Les Planchettes ✅ Trouvez le bien immobilier qui correspond idéalement à vos désirs sur ImmoScout24 - La plateforme de l'immobilier en Suisse.</v>
      </c>
      <c r="D1019" s="4" t="str">
        <f>vlookup(A1019, Sheet2!D:E, 2, 0)</f>
        <v>variant</v>
      </c>
      <c r="E1019" s="4" t="str">
        <f>IFERROR(__xludf.DUMMYFUNCTION("if(H1019=""pays"",vlookup(REGEXEXTRACT(C1019, ""🏘️ \w+ \w+ (.*) ✅""),'Country prepositions'!A:B, 2, 0) &amp; "" "" &amp; REGEXEXTRACT(C1019, ""🏘️ \w+ \w+ (.*) ✅"") ,  if(H1019=""quartier"",vlookup(REGEXEXTRACT(C1019, ""🏘️ \w+ \w+ (.*) ✅""),'Quartier prepositio"&amp;"ns'!A:E, 5, 0) ,  if(H1019=""region"",vlookup(REGEXEXTRACT(C1019, ""🏘️ \w+ \w+ (.*) ✅""),'Region prepositions'!B:F, 5, 0),  REGEXEXTRACT(C1019, ""🏘️ \w+ \w+ (.*) ✅""))))"),"Les Planchettes")</f>
        <v>Les Planchettes</v>
      </c>
      <c r="F1019" s="2" t="str">
        <f>IFERROR(__xludf.DUMMYFUNCTION("REGEXEXTRACT(C1019, ""🏘️ (\w+) \w+ .* ✅"")"),"Louer")</f>
        <v>Louer</v>
      </c>
      <c r="G1019" s="2" t="str">
        <f>IFERROR(__xludf.DUMMYFUNCTION("REGEXEXTRACT(C1019, ""🏘️ \w+ (\w+) .* ✅"")"),"appartement")</f>
        <v>appartement</v>
      </c>
      <c r="H1019" s="4" t="str">
        <f>IFERROR(__xludf.DUMMYFUNCTION("REGEXEXTRACT(A1019, ""/(\w+)-.*?"")"),"lieu")</f>
        <v>lieu</v>
      </c>
      <c r="I1019" s="4" t="str">
        <f>IFERROR(__xludf.DUMMYFUNCTION("if(D1019=""variant"",  substitute(filter(Templates!E:E, Templates!A:A = F1019, Templates!B:B = G1019, Templates!C:C = H1019), ""{{}}"", E1019), B1019)"),"🏘  Vous cherchez un appartement à louer à Les Planchettes? ✅ Les annonces les plus actuelles sont sur ImmoScout24.ch.")</f>
        <v>🏘  Vous cherchez un appartement à louer à Les Planchettes? ✅ Les annonces les plus actuelles sont sur ImmoScout24.ch.</v>
      </c>
      <c r="J1019" s="2" t="s">
        <v>3061</v>
      </c>
    </row>
    <row r="1020">
      <c r="A1020" s="5" t="s">
        <v>3062</v>
      </c>
      <c r="B1020" s="2" t="s">
        <v>3063</v>
      </c>
      <c r="C1020" s="4" t="str">
        <f>IFERROR(__xludf.DUMMYFUNCTION("""🏘️ ""&amp;REGEXEXTRACT(B1020, ""^(.*): "")&amp;"" ✅ "" &amp;REGEXEXTRACT(B1020, ""(Trouvez.*)"")"),"🏘️ Vendre appartement Sorengo ✅ Trouvez le bien immobilier qui correspond idéalement à vos désirs sur ImmoScout24 - La plateforme de l'immobilier en Suisse.")</f>
        <v>🏘️ Vendre appartement Sorengo ✅ Trouvez le bien immobilier qui correspond idéalement à vos désirs sur ImmoScout24 - La plateforme de l'immobilier en Suisse.</v>
      </c>
      <c r="D1020" s="4" t="str">
        <f>vlookup(A1020, Sheet2!D:E, 2, 0)</f>
        <v>variant</v>
      </c>
      <c r="E1020" s="4" t="str">
        <f>IFERROR(__xludf.DUMMYFUNCTION("if(H1020=""pays"",vlookup(REGEXEXTRACT(C1020, ""🏘️ \w+ \w+ (.*) ✅""),'Country prepositions'!A:B, 2, 0) &amp; "" "" &amp; REGEXEXTRACT(C1020, ""🏘️ \w+ \w+ (.*) ✅"") ,  if(H1020=""quartier"",vlookup(REGEXEXTRACT(C1020, ""🏘️ \w+ \w+ (.*) ✅""),'Quartier prepositio"&amp;"ns'!A:E, 5, 0) ,  if(H1020=""region"",vlookup(REGEXEXTRACT(C1020, ""🏘️ \w+ \w+ (.*) ✅""),'Region prepositions'!B:F, 5, 0),  REGEXEXTRACT(C1020, ""🏘️ \w+ \w+ (.*) ✅""))))"),"Sorengo")</f>
        <v>Sorengo</v>
      </c>
      <c r="F1020" s="2" t="str">
        <f>IFERROR(__xludf.DUMMYFUNCTION("REGEXEXTRACT(C1020, ""🏘️ (\w+) \w+ .* ✅"")"),"Vendre")</f>
        <v>Vendre</v>
      </c>
      <c r="G1020" s="2" t="str">
        <f>IFERROR(__xludf.DUMMYFUNCTION("REGEXEXTRACT(C1020, ""🏘️ \w+ (\w+) .* ✅"")"),"appartement")</f>
        <v>appartement</v>
      </c>
      <c r="H1020" s="4" t="str">
        <f>IFERROR(__xludf.DUMMYFUNCTION("REGEXEXTRACT(A1020, ""/(\w+)-.*?"")"),"lieu")</f>
        <v>lieu</v>
      </c>
      <c r="I1020" s="4" t="str">
        <f>IFERROR(__xludf.DUMMYFUNCTION("if(D1020=""variant"",  substitute(filter(Templates!E:E, Templates!A:A = F1020, Templates!B:B = G1020, Templates!C:C = H1020), ""{{}}"", E1020), B1020)"),"🏘  L’appartement de vos rêves se trouve sur ImmoScout24.ch ✅ Découvrez les dernières annonces de vente à Sorengo.")</f>
        <v>🏘  L’appartement de vos rêves se trouve sur ImmoScout24.ch ✅ Découvrez les dernières annonces de vente à Sorengo.</v>
      </c>
      <c r="J1020" s="4" t="s">
        <v>3064</v>
      </c>
    </row>
    <row r="1021">
      <c r="A1021" s="5" t="s">
        <v>3065</v>
      </c>
      <c r="B1021" s="2" t="s">
        <v>3066</v>
      </c>
      <c r="C1021" s="4" t="str">
        <f>IFERROR(__xludf.DUMMYFUNCTION("""🏘️ ""&amp;REGEXEXTRACT(B1021, ""^(.*): "")&amp;"" ✅ "" &amp;REGEXEXTRACT(B1021, ""(Trouvez.*)"")"),"🏘️ Louer appartement Inwil ✅ Trouvez le bien immobilier qui correspond idéalement à vos désirs sur ImmoScout24 - La plateforme de l'immobilier en Suisse.")</f>
        <v>🏘️ Louer appartement Inwil ✅ Trouvez le bien immobilier qui correspond idéalement à vos désirs sur ImmoScout24 - La plateforme de l'immobilier en Suisse.</v>
      </c>
      <c r="D1021" s="4" t="str">
        <f>vlookup(A1021, Sheet2!D:E, 2, 0)</f>
        <v>variant</v>
      </c>
      <c r="E1021" s="4" t="str">
        <f>IFERROR(__xludf.DUMMYFUNCTION("if(H1021=""pays"",vlookup(REGEXEXTRACT(C1021, ""🏘️ \w+ \w+ (.*) ✅""),'Country prepositions'!A:B, 2, 0) &amp; "" "" &amp; REGEXEXTRACT(C1021, ""🏘️ \w+ \w+ (.*) ✅"") ,  if(H1021=""quartier"",vlookup(REGEXEXTRACT(C1021, ""🏘️ \w+ \w+ (.*) ✅""),'Quartier prepositio"&amp;"ns'!A:E, 5, 0) ,  if(H1021=""region"",vlookup(REGEXEXTRACT(C1021, ""🏘️ \w+ \w+ (.*) ✅""),'Region prepositions'!B:F, 5, 0),  REGEXEXTRACT(C1021, ""🏘️ \w+ \w+ (.*) ✅""))))"),"Inwil")</f>
        <v>Inwil</v>
      </c>
      <c r="F1021" s="2" t="str">
        <f>IFERROR(__xludf.DUMMYFUNCTION("REGEXEXTRACT(C1021, ""🏘️ (\w+) \w+ .* ✅"")"),"Louer")</f>
        <v>Louer</v>
      </c>
      <c r="G1021" s="2" t="str">
        <f>IFERROR(__xludf.DUMMYFUNCTION("REGEXEXTRACT(C1021, ""🏘️ \w+ (\w+) .* ✅"")"),"appartement")</f>
        <v>appartement</v>
      </c>
      <c r="H1021" s="4" t="str">
        <f>IFERROR(__xludf.DUMMYFUNCTION("REGEXEXTRACT(A1021, ""/(\w+)-.*?"")"),"lieu")</f>
        <v>lieu</v>
      </c>
      <c r="I1021" s="4" t="str">
        <f>IFERROR(__xludf.DUMMYFUNCTION("if(D1021=""variant"",  substitute(filter(Templates!E:E, Templates!A:A = F1021, Templates!B:B = G1021, Templates!C:C = H1021), ""{{}}"", E1021), B1021)"),"🏘  Vous cherchez un appartement à louer à Inwil? ✅ Les annonces les plus actuelles sont sur ImmoScout24.ch.")</f>
        <v>🏘  Vous cherchez un appartement à louer à Inwil? ✅ Les annonces les plus actuelles sont sur ImmoScout24.ch.</v>
      </c>
      <c r="J1021" s="4" t="s">
        <v>3067</v>
      </c>
    </row>
    <row r="1022">
      <c r="A1022" s="5" t="s">
        <v>3068</v>
      </c>
      <c r="B1022" s="2" t="s">
        <v>3069</v>
      </c>
      <c r="C1022" s="4" t="str">
        <f>IFERROR(__xludf.DUMMYFUNCTION("""🏘️ ""&amp;REGEXEXTRACT(B1022, ""^(.*): "")&amp;"" ✅ "" &amp;REGEXEXTRACT(B1022, ""(Trouvez.*)"")"),"🏘️ Vendre appartement Wavre ✅ Trouvez le bien immobilier qui correspond idéalement à vos désirs sur ImmoScout24 - La plateforme de l'immobilier en Suisse.")</f>
        <v>🏘️ Vendre appartement Wavre ✅ Trouvez le bien immobilier qui correspond idéalement à vos désirs sur ImmoScout24 - La plateforme de l'immobilier en Suisse.</v>
      </c>
      <c r="D1022" s="4" t="str">
        <f>vlookup(A1022, Sheet2!D:E, 2, 0)</f>
        <v>variant</v>
      </c>
      <c r="E1022" s="4" t="str">
        <f>IFERROR(__xludf.DUMMYFUNCTION("if(H1022=""pays"",vlookup(REGEXEXTRACT(C1022, ""🏘️ \w+ \w+ (.*) ✅""),'Country prepositions'!A:B, 2, 0) &amp; "" "" &amp; REGEXEXTRACT(C1022, ""🏘️ \w+ \w+ (.*) ✅"") ,  if(H1022=""quartier"",vlookup(REGEXEXTRACT(C1022, ""🏘️ \w+ \w+ (.*) ✅""),'Quartier prepositio"&amp;"ns'!A:E, 5, 0) ,  if(H1022=""region"",vlookup(REGEXEXTRACT(C1022, ""🏘️ \w+ \w+ (.*) ✅""),'Region prepositions'!B:F, 5, 0),  REGEXEXTRACT(C1022, ""🏘️ \w+ \w+ (.*) ✅""))))"),"Wavre")</f>
        <v>Wavre</v>
      </c>
      <c r="F1022" s="2" t="str">
        <f>IFERROR(__xludf.DUMMYFUNCTION("REGEXEXTRACT(C1022, ""🏘️ (\w+) \w+ .* ✅"")"),"Vendre")</f>
        <v>Vendre</v>
      </c>
      <c r="G1022" s="2" t="str">
        <f>IFERROR(__xludf.DUMMYFUNCTION("REGEXEXTRACT(C1022, ""🏘️ \w+ (\w+) .* ✅"")"),"appartement")</f>
        <v>appartement</v>
      </c>
      <c r="H1022" s="4" t="str">
        <f>IFERROR(__xludf.DUMMYFUNCTION("REGEXEXTRACT(A1022, ""/(\w+)-.*?"")"),"lieu")</f>
        <v>lieu</v>
      </c>
      <c r="I1022" s="4" t="str">
        <f>IFERROR(__xludf.DUMMYFUNCTION("if(D1022=""variant"",  substitute(filter(Templates!E:E, Templates!A:A = F1022, Templates!B:B = G1022, Templates!C:C = H1022), ""{{}}"", E1022), B1022)"),"🏘  L’appartement de vos rêves se trouve sur ImmoScout24.ch ✅ Découvrez les dernières annonces de vente à Wavre.")</f>
        <v>🏘  L’appartement de vos rêves se trouve sur ImmoScout24.ch ✅ Découvrez les dernières annonces de vente à Wavre.</v>
      </c>
      <c r="J1022" s="4" t="s">
        <v>3070</v>
      </c>
    </row>
    <row r="1023">
      <c r="A1023" s="5" t="s">
        <v>3071</v>
      </c>
      <c r="B1023" s="2" t="s">
        <v>3072</v>
      </c>
      <c r="C1023" s="4" t="str">
        <f>IFERROR(__xludf.DUMMYFUNCTION("""🏘️ ""&amp;REGEXEXTRACT(B1023, ""^(.*): "")&amp;"" ✅ "" &amp;REGEXEXTRACT(B1023, ""(Trouvez.*)"")"),"🏘️ Vendre maison Les Breuleux ✅ Trouvez le bien immobilier qui correspond idéalement à vos désirs sur ImmoScout24 - La plateforme de l'immobilier en Suisse.")</f>
        <v>🏘️ Vendre maison Les Breuleux ✅ Trouvez le bien immobilier qui correspond idéalement à vos désirs sur ImmoScout24 - La plateforme de l'immobilier en Suisse.</v>
      </c>
      <c r="D1023" s="4" t="str">
        <f>vlookup(A1023, Sheet2!D:E, 2, 0)</f>
        <v>variant</v>
      </c>
      <c r="E1023" s="4" t="str">
        <f>IFERROR(__xludf.DUMMYFUNCTION("if(H1023=""pays"",vlookup(REGEXEXTRACT(C1023, ""🏘️ \w+ \w+ (.*) ✅""),'Country prepositions'!A:B, 2, 0) &amp; "" "" &amp; REGEXEXTRACT(C1023, ""🏘️ \w+ \w+ (.*) ✅"") ,  if(H1023=""quartier"",vlookup(REGEXEXTRACT(C1023, ""🏘️ \w+ \w+ (.*) ✅""),'Quartier prepositio"&amp;"ns'!A:E, 5, 0) ,  if(H1023=""region"",vlookup(REGEXEXTRACT(C1023, ""🏘️ \w+ \w+ (.*) ✅""),'Region prepositions'!B:F, 5, 0),  REGEXEXTRACT(C1023, ""🏘️ \w+ \w+ (.*) ✅""))))"),"Les Breuleux")</f>
        <v>Les Breuleux</v>
      </c>
      <c r="F1023" s="2" t="str">
        <f>IFERROR(__xludf.DUMMYFUNCTION("REGEXEXTRACT(C1023, ""🏘️ (\w+) \w+ .* ✅"")"),"Vendre")</f>
        <v>Vendre</v>
      </c>
      <c r="G1023" s="2" t="str">
        <f>IFERROR(__xludf.DUMMYFUNCTION("REGEXEXTRACT(C1023, ""🏘️ \w+ (\w+) .* ✅"")"),"maison")</f>
        <v>maison</v>
      </c>
      <c r="H1023" s="4" t="str">
        <f>IFERROR(__xludf.DUMMYFUNCTION("REGEXEXTRACT(A1023, ""/(\w+)-.*?"")"),"lieu")</f>
        <v>lieu</v>
      </c>
      <c r="I1023" s="4" t="str">
        <f>IFERROR(__xludf.DUMMYFUNCTION("if(D1023=""variant"",  substitute(filter(Templates!E:E, Templates!A:A = F1023, Templates!B:B = G1023, Templates!C:C = H1023), ""{{}}"", E1023), B1023)"),"🏘  Vous souhaitez acheter une maison à Les Breuleux? ✅ Jetez un œil aux dernières offres sur ImmoScout24.ch.")</f>
        <v>🏘  Vous souhaitez acheter une maison à Les Breuleux? ✅ Jetez un œil aux dernières offres sur ImmoScout24.ch.</v>
      </c>
      <c r="J1023" s="2" t="s">
        <v>3073</v>
      </c>
    </row>
    <row r="1024">
      <c r="A1024" s="5" t="s">
        <v>3074</v>
      </c>
      <c r="B1024" s="2" t="s">
        <v>3075</v>
      </c>
      <c r="C1024" s="4" t="str">
        <f>IFERROR(__xludf.DUMMYFUNCTION("""🏘️ ""&amp;REGEXEXTRACT(B1024, ""^(.*): "")&amp;"" ✅ "" &amp;REGEXEXTRACT(B1024, ""(Trouvez.*)"")"),"🏘️ Louer appartement Trub ✅ Trouvez le bien immobilier qui correspond idéalement à vos désirs sur ImmoScout24 - La plateforme de l'immobilier en Suisse.")</f>
        <v>🏘️ Louer appartement Trub ✅ Trouvez le bien immobilier qui correspond idéalement à vos désirs sur ImmoScout24 - La plateforme de l'immobilier en Suisse.</v>
      </c>
      <c r="D1024" s="4" t="str">
        <f>vlookup(A1024, Sheet2!D:E, 2, 0)</f>
        <v>variant</v>
      </c>
      <c r="E1024" s="4" t="str">
        <f>IFERROR(__xludf.DUMMYFUNCTION("if(H1024=""pays"",vlookup(REGEXEXTRACT(C1024, ""🏘️ \w+ \w+ (.*) ✅""),'Country prepositions'!A:B, 2, 0) &amp; "" "" &amp; REGEXEXTRACT(C1024, ""🏘️ \w+ \w+ (.*) ✅"") ,  if(H1024=""quartier"",vlookup(REGEXEXTRACT(C1024, ""🏘️ \w+ \w+ (.*) ✅""),'Quartier prepositio"&amp;"ns'!A:E, 5, 0) ,  if(H1024=""region"",vlookup(REGEXEXTRACT(C1024, ""🏘️ \w+ \w+ (.*) ✅""),'Region prepositions'!B:F, 5, 0),  REGEXEXTRACT(C1024, ""🏘️ \w+ \w+ (.*) ✅""))))"),"Trub")</f>
        <v>Trub</v>
      </c>
      <c r="F1024" s="2" t="str">
        <f>IFERROR(__xludf.DUMMYFUNCTION("REGEXEXTRACT(C1024, ""🏘️ (\w+) \w+ .* ✅"")"),"Louer")</f>
        <v>Louer</v>
      </c>
      <c r="G1024" s="2" t="str">
        <f>IFERROR(__xludf.DUMMYFUNCTION("REGEXEXTRACT(C1024, ""🏘️ \w+ (\w+) .* ✅"")"),"appartement")</f>
        <v>appartement</v>
      </c>
      <c r="H1024" s="4" t="str">
        <f>IFERROR(__xludf.DUMMYFUNCTION("REGEXEXTRACT(A1024, ""/(\w+)-.*?"")"),"lieu")</f>
        <v>lieu</v>
      </c>
      <c r="I1024" s="4" t="str">
        <f>IFERROR(__xludf.DUMMYFUNCTION("if(D1024=""variant"",  substitute(filter(Templates!E:E, Templates!A:A = F1024, Templates!B:B = G1024, Templates!C:C = H1024), ""{{}}"", E1024), B1024)"),"🏘  Vous cherchez un appartement à louer à Trub? ✅ Les annonces les plus actuelles sont sur ImmoScout24.ch.")</f>
        <v>🏘  Vous cherchez un appartement à louer à Trub? ✅ Les annonces les plus actuelles sont sur ImmoScout24.ch.</v>
      </c>
      <c r="J1024" s="4" t="s">
        <v>3076</v>
      </c>
    </row>
    <row r="1025">
      <c r="A1025" s="5" t="s">
        <v>3077</v>
      </c>
      <c r="B1025" s="2" t="s">
        <v>3078</v>
      </c>
      <c r="C1025" s="4" t="str">
        <f>IFERROR(__xludf.DUMMYFUNCTION("""🏘️ ""&amp;REGEXEXTRACT(B1025, ""^(.*): "")&amp;"" ✅ "" &amp;REGEXEXTRACT(B1025, ""(Trouvez.*)"")"),"🏘️ Louer appartement Borde - Bellevaux (Lausanne) ✅ Trouvez le bien immobilier qui correspond idéalement à vos désirs sur ImmoScout24 - La plateforme de l'immobilier en Suisse.")</f>
        <v>🏘️ Louer appartement Borde - Bellevaux (Lausanne) ✅ Trouvez le bien immobilier qui correspond idéalement à vos désirs sur ImmoScout24 - La plateforme de l'immobilier en Suisse.</v>
      </c>
      <c r="D1025" s="4" t="str">
        <f>vlookup(A1025, Sheet2!D:E, 2, 0)</f>
        <v>variant</v>
      </c>
      <c r="E1025" s="4" t="str">
        <f>IFERROR(__xludf.DUMMYFUNCTION("if(H1025=""pays"",vlookup(REGEXEXTRACT(C1025, ""🏘️ \w+ \w+ (.*) ✅""),'Country prepositions'!A:B, 2, 0) &amp; "" "" &amp; REGEXEXTRACT(C1025, ""🏘️ \w+ \w+ (.*) ✅"") ,  if(H1025=""quartier"",vlookup(REGEXEXTRACT(C1025, ""🏘️ \w+ \w+ (.*) ✅""),'Quartier prepositio"&amp;"ns'!A:E, 5, 0) ,  if(H1025=""region"",vlookup(REGEXEXTRACT(C1025, ""🏘️ \w+ \w+ (.*) ✅""),'Region prepositions'!B:F, 5, 0),  REGEXEXTRACT(C1025, ""🏘️ \w+ \w+ (.*) ✅""))))"),"dans le quartier de Borde - Bellevaux (Lausanne)")</f>
        <v>dans le quartier de Borde - Bellevaux (Lausanne)</v>
      </c>
      <c r="F1025" s="2" t="str">
        <f>IFERROR(__xludf.DUMMYFUNCTION("REGEXEXTRACT(C1025, ""🏘️ (\w+) \w+ .* ✅"")"),"Louer")</f>
        <v>Louer</v>
      </c>
      <c r="G1025" s="2" t="str">
        <f>IFERROR(__xludf.DUMMYFUNCTION("REGEXEXTRACT(C1025, ""🏘️ \w+ (\w+) .* ✅"")"),"appartement")</f>
        <v>appartement</v>
      </c>
      <c r="H1025" s="4" t="str">
        <f>IFERROR(__xludf.DUMMYFUNCTION("REGEXEXTRACT(A1025, ""/(\w+)-.*?"")"),"quartier")</f>
        <v>quartier</v>
      </c>
      <c r="I1025" s="4" t="str">
        <f>IFERROR(__xludf.DUMMYFUNCTION("if(D1025=""variant"",  substitute(filter(Templates!E:E, Templates!A:A = F1025, Templates!B:B = G1025, Templates!C:C = H1025), ""{{}}"", E1025), B1025)"),"🏘  Vous cherchez un appartement à louer dans le quartier de Borde - Bellevaux (Lausanne)? ✅ Les annonces les plus actuelles sont sur ImmoScout24.ch.")</f>
        <v>🏘  Vous cherchez un appartement à louer dans le quartier de Borde - Bellevaux (Lausanne)? ✅ Les annonces les plus actuelles sont sur ImmoScout24.ch.</v>
      </c>
      <c r="J1025" s="4" t="s">
        <v>3079</v>
      </c>
    </row>
    <row r="1026">
      <c r="A1026" s="5" t="s">
        <v>3080</v>
      </c>
      <c r="B1026" s="2" t="s">
        <v>3081</v>
      </c>
      <c r="C1026" s="4" t="str">
        <f>IFERROR(__xludf.DUMMYFUNCTION("""🏘️ ""&amp;REGEXEXTRACT(B1026, ""^(.*): "")&amp;"" ✅ "" &amp;REGEXEXTRACT(B1026, ""(Trouvez.*)"")"),"🏘️ Louer maison Gurmels ✅ Trouvez le bien immobilier qui correspond idéalement à vos désirs sur ImmoScout24 - La plateforme de l'immobilier en Suisse.")</f>
        <v>🏘️ Louer maison Gurmels ✅ Trouvez le bien immobilier qui correspond idéalement à vos désirs sur ImmoScout24 - La plateforme de l'immobilier en Suisse.</v>
      </c>
      <c r="D1026" s="4" t="str">
        <f>vlookup(A1026, Sheet2!D:E, 2, 0)</f>
        <v>variant</v>
      </c>
      <c r="E1026" s="4" t="str">
        <f>IFERROR(__xludf.DUMMYFUNCTION("if(H1026=""pays"",vlookup(REGEXEXTRACT(C1026, ""🏘️ \w+ \w+ (.*) ✅""),'Country prepositions'!A:B, 2, 0) &amp; "" "" &amp; REGEXEXTRACT(C1026, ""🏘️ \w+ \w+ (.*) ✅"") ,  if(H1026=""quartier"",vlookup(REGEXEXTRACT(C1026, ""🏘️ \w+ \w+ (.*) ✅""),'Quartier prepositio"&amp;"ns'!A:E, 5, 0) ,  if(H1026=""region"",vlookup(REGEXEXTRACT(C1026, ""🏘️ \w+ \w+ (.*) ✅""),'Region prepositions'!B:F, 5, 0),  REGEXEXTRACT(C1026, ""🏘️ \w+ \w+ (.*) ✅""))))"),"Gurmels")</f>
        <v>Gurmels</v>
      </c>
      <c r="F1026" s="2" t="str">
        <f>IFERROR(__xludf.DUMMYFUNCTION("REGEXEXTRACT(C1026, ""🏘️ (\w+) \w+ .* ✅"")"),"Louer")</f>
        <v>Louer</v>
      </c>
      <c r="G1026" s="2" t="str">
        <f>IFERROR(__xludf.DUMMYFUNCTION("REGEXEXTRACT(C1026, ""🏘️ \w+ (\w+) .* ✅"")"),"maison")</f>
        <v>maison</v>
      </c>
      <c r="H1026" s="4" t="str">
        <f>IFERROR(__xludf.DUMMYFUNCTION("REGEXEXTRACT(A1026, ""/(\w+)-.*?"")"),"lieu")</f>
        <v>lieu</v>
      </c>
      <c r="I1026" s="4" t="str">
        <f>IFERROR(__xludf.DUMMYFUNCTION("if(D1026=""variant"",  substitute(filter(Templates!E:E, Templates!A:A = F1026, Templates!B:B = G1026, Templates!C:C = H1026), ""{{}}"", E1026), B1026)"),"🏘  Vous cherchez une maison à louer à Gurmels? ✅ Découvrez nos nombreuses annonces sur ImmoScout24.ch.")</f>
        <v>🏘  Vous cherchez une maison à louer à Gurmels? ✅ Découvrez nos nombreuses annonces sur ImmoScout24.ch.</v>
      </c>
      <c r="J1026" s="4" t="s">
        <v>3082</v>
      </c>
    </row>
    <row r="1027">
      <c r="A1027" s="5" t="s">
        <v>3083</v>
      </c>
      <c r="B1027" s="2" t="s">
        <v>3084</v>
      </c>
      <c r="C1027" s="4" t="str">
        <f>IFERROR(__xludf.DUMMYFUNCTION("""🏘️ ""&amp;REGEXEXTRACT(B1027, ""^(.*): "")&amp;"" ✅ "" &amp;REGEXEXTRACT(B1027, ""(Trouvez.*)"")"),"🏘️ Louer maison La Neuveville ✅ Trouvez le bien immobilier qui correspond idéalement à vos désirs sur ImmoScout24 - La plateforme de l'immobilier en Suisse.")</f>
        <v>🏘️ Louer maison La Neuveville ✅ Trouvez le bien immobilier qui correspond idéalement à vos désirs sur ImmoScout24 - La plateforme de l'immobilier en Suisse.</v>
      </c>
      <c r="D1027" s="4" t="str">
        <f>vlookup(A1027, Sheet2!D:E, 2, 0)</f>
        <v>variant</v>
      </c>
      <c r="E1027" s="4" t="str">
        <f>IFERROR(__xludf.DUMMYFUNCTION("if(H1027=""pays"",vlookup(REGEXEXTRACT(C1027, ""🏘️ \w+ \w+ (.*) ✅""),'Country prepositions'!A:B, 2, 0) &amp; "" "" &amp; REGEXEXTRACT(C1027, ""🏘️ \w+ \w+ (.*) ✅"") ,  if(H1027=""quartier"",vlookup(REGEXEXTRACT(C1027, ""🏘️ \w+ \w+ (.*) ✅""),'Quartier prepositio"&amp;"ns'!A:E, 5, 0) ,  if(H1027=""region"",vlookup(REGEXEXTRACT(C1027, ""🏘️ \w+ \w+ (.*) ✅""),'Region prepositions'!B:F, 5, 0),  REGEXEXTRACT(C1027, ""🏘️ \w+ \w+ (.*) ✅""))))"),"La Neuveville")</f>
        <v>La Neuveville</v>
      </c>
      <c r="F1027" s="2" t="str">
        <f>IFERROR(__xludf.DUMMYFUNCTION("REGEXEXTRACT(C1027, ""🏘️ (\w+) \w+ .* ✅"")"),"Louer")</f>
        <v>Louer</v>
      </c>
      <c r="G1027" s="2" t="str">
        <f>IFERROR(__xludf.DUMMYFUNCTION("REGEXEXTRACT(C1027, ""🏘️ \w+ (\w+) .* ✅"")"),"maison")</f>
        <v>maison</v>
      </c>
      <c r="H1027" s="4" t="str">
        <f>IFERROR(__xludf.DUMMYFUNCTION("REGEXEXTRACT(A1027, ""/(\w+)-.*?"")"),"lieu")</f>
        <v>lieu</v>
      </c>
      <c r="I1027" s="4" t="str">
        <f>IFERROR(__xludf.DUMMYFUNCTION("if(D1027=""variant"",  substitute(filter(Templates!E:E, Templates!A:A = F1027, Templates!B:B = G1027, Templates!C:C = H1027), ""{{}}"", E1027), B1027)"),"🏘  Vous cherchez une maison à louer à La Neuveville? ✅ Découvrez nos nombreuses annonces sur ImmoScout24.ch.")</f>
        <v>🏘  Vous cherchez une maison à louer à La Neuveville? ✅ Découvrez nos nombreuses annonces sur ImmoScout24.ch.</v>
      </c>
      <c r="J1027" s="4" t="s">
        <v>3085</v>
      </c>
    </row>
    <row r="1028">
      <c r="A1028" s="5" t="s">
        <v>3086</v>
      </c>
      <c r="B1028" s="2" t="s">
        <v>3087</v>
      </c>
      <c r="C1028" s="4" t="str">
        <f>IFERROR(__xludf.DUMMYFUNCTION("""🏘️ ""&amp;REGEXEXTRACT(B1028, ""^(.*): "")&amp;"" ✅ "" &amp;REGEXEXTRACT(B1028, ""(Trouvez.*)"")"),"🏘️ Louer appartement Cremin ✅ Trouvez le bien immobilier qui correspond idéalement à vos désirs sur ImmoScout24 - La plateforme de l'immobilier en Suisse.")</f>
        <v>🏘️ Louer appartement Cremin ✅ Trouvez le bien immobilier qui correspond idéalement à vos désirs sur ImmoScout24 - La plateforme de l'immobilier en Suisse.</v>
      </c>
      <c r="D1028" s="4" t="str">
        <f>vlookup(A1028, Sheet2!D:E, 2, 0)</f>
        <v>variant</v>
      </c>
      <c r="E1028" s="4" t="str">
        <f>IFERROR(__xludf.DUMMYFUNCTION("if(H1028=""pays"",vlookup(REGEXEXTRACT(C1028, ""🏘️ \w+ \w+ (.*) ✅""),'Country prepositions'!A:B, 2, 0) &amp; "" "" &amp; REGEXEXTRACT(C1028, ""🏘️ \w+ \w+ (.*) ✅"") ,  if(H1028=""quartier"",vlookup(REGEXEXTRACT(C1028, ""🏘️ \w+ \w+ (.*) ✅""),'Quartier prepositio"&amp;"ns'!A:E, 5, 0) ,  if(H1028=""region"",vlookup(REGEXEXTRACT(C1028, ""🏘️ \w+ \w+ (.*) ✅""),'Region prepositions'!B:F, 5, 0),  REGEXEXTRACT(C1028, ""🏘️ \w+ \w+ (.*) ✅""))))"),"Cremin")</f>
        <v>Cremin</v>
      </c>
      <c r="F1028" s="2" t="str">
        <f>IFERROR(__xludf.DUMMYFUNCTION("REGEXEXTRACT(C1028, ""🏘️ (\w+) \w+ .* ✅"")"),"Louer")</f>
        <v>Louer</v>
      </c>
      <c r="G1028" s="2" t="str">
        <f>IFERROR(__xludf.DUMMYFUNCTION("REGEXEXTRACT(C1028, ""🏘️ \w+ (\w+) .* ✅"")"),"appartement")</f>
        <v>appartement</v>
      </c>
      <c r="H1028" s="4" t="str">
        <f>IFERROR(__xludf.DUMMYFUNCTION("REGEXEXTRACT(A1028, ""/(\w+)-.*?"")"),"lieu")</f>
        <v>lieu</v>
      </c>
      <c r="I1028" s="4" t="str">
        <f>IFERROR(__xludf.DUMMYFUNCTION("if(D1028=""variant"",  substitute(filter(Templates!E:E, Templates!A:A = F1028, Templates!B:B = G1028, Templates!C:C = H1028), ""{{}}"", E1028), B1028)"),"🏘  Vous cherchez un appartement à louer à Cremin? ✅ Les annonces les plus actuelles sont sur ImmoScout24.ch.")</f>
        <v>🏘  Vous cherchez un appartement à louer à Cremin? ✅ Les annonces les plus actuelles sont sur ImmoScout24.ch.</v>
      </c>
      <c r="J1028" s="4" t="s">
        <v>3088</v>
      </c>
    </row>
    <row r="1029">
      <c r="A1029" s="5" t="s">
        <v>3089</v>
      </c>
      <c r="B1029" s="2" t="s">
        <v>3090</v>
      </c>
      <c r="C1029" s="4" t="str">
        <f>IFERROR(__xludf.DUMMYFUNCTION("""🏘️ ""&amp;REGEXEXTRACT(B1029, ""^(.*): "")&amp;"" ✅ "" &amp;REGEXEXTRACT(B1029, ""(Trouvez.*)"")"),"🏘️ Louer appartement Riex ✅ Trouvez le bien immobilier qui correspond idéalement à vos désirs sur ImmoScout24 - La plateforme de l'immobilier en Suisse.")</f>
        <v>🏘️ Louer appartement Riex ✅ Trouvez le bien immobilier qui correspond idéalement à vos désirs sur ImmoScout24 - La plateforme de l'immobilier en Suisse.</v>
      </c>
      <c r="D1029" s="4" t="str">
        <f>vlookup(A1029, Sheet2!D:E, 2, 0)</f>
        <v>variant</v>
      </c>
      <c r="E1029" s="4" t="str">
        <f>IFERROR(__xludf.DUMMYFUNCTION("if(H1029=""pays"",vlookup(REGEXEXTRACT(C1029, ""🏘️ \w+ \w+ (.*) ✅""),'Country prepositions'!A:B, 2, 0) &amp; "" "" &amp; REGEXEXTRACT(C1029, ""🏘️ \w+ \w+ (.*) ✅"") ,  if(H1029=""quartier"",vlookup(REGEXEXTRACT(C1029, ""🏘️ \w+ \w+ (.*) ✅""),'Quartier prepositio"&amp;"ns'!A:E, 5, 0) ,  if(H1029=""region"",vlookup(REGEXEXTRACT(C1029, ""🏘️ \w+ \w+ (.*) ✅""),'Region prepositions'!B:F, 5, 0),  REGEXEXTRACT(C1029, ""🏘️ \w+ \w+ (.*) ✅""))))"),"Riex")</f>
        <v>Riex</v>
      </c>
      <c r="F1029" s="2" t="str">
        <f>IFERROR(__xludf.DUMMYFUNCTION("REGEXEXTRACT(C1029, ""🏘️ (\w+) \w+ .* ✅"")"),"Louer")</f>
        <v>Louer</v>
      </c>
      <c r="G1029" s="2" t="str">
        <f>IFERROR(__xludf.DUMMYFUNCTION("REGEXEXTRACT(C1029, ""🏘️ \w+ (\w+) .* ✅"")"),"appartement")</f>
        <v>appartement</v>
      </c>
      <c r="H1029" s="4" t="str">
        <f>IFERROR(__xludf.DUMMYFUNCTION("REGEXEXTRACT(A1029, ""/(\w+)-.*?"")"),"lieu")</f>
        <v>lieu</v>
      </c>
      <c r="I1029" s="4" t="str">
        <f>IFERROR(__xludf.DUMMYFUNCTION("if(D1029=""variant"",  substitute(filter(Templates!E:E, Templates!A:A = F1029, Templates!B:B = G1029, Templates!C:C = H1029), ""{{}}"", E1029), B1029)"),"🏘  Vous cherchez un appartement à louer à Riex? ✅ Les annonces les plus actuelles sont sur ImmoScout24.ch.")</f>
        <v>🏘  Vous cherchez un appartement à louer à Riex? ✅ Les annonces les plus actuelles sont sur ImmoScout24.ch.</v>
      </c>
      <c r="J1029" s="4" t="s">
        <v>3091</v>
      </c>
    </row>
    <row r="1030">
      <c r="A1030" s="5" t="s">
        <v>3092</v>
      </c>
      <c r="B1030" s="2" t="s">
        <v>3093</v>
      </c>
      <c r="C1030" s="4" t="str">
        <f>IFERROR(__xludf.DUMMYFUNCTION("""🏘️ ""&amp;REGEXEXTRACT(B1030, ""^(.*): "")&amp;"" ✅ "" &amp;REGEXEXTRACT(B1030, ""(Trouvez.*)"")"),"🏘️ Louer appartement Wilderswil ✅ Trouvez le bien immobilier qui correspond idéalement à vos désirs sur ImmoScout24 - La plateforme de l'immobilier en Suisse.")</f>
        <v>🏘️ Louer appartement Wilderswil ✅ Trouvez le bien immobilier qui correspond idéalement à vos désirs sur ImmoScout24 - La plateforme de l'immobilier en Suisse.</v>
      </c>
      <c r="D1030" s="4" t="str">
        <f>vlookup(A1030, Sheet2!D:E, 2, 0)</f>
        <v>variant</v>
      </c>
      <c r="E1030" s="4" t="str">
        <f>IFERROR(__xludf.DUMMYFUNCTION("if(H1030=""pays"",vlookup(REGEXEXTRACT(C1030, ""🏘️ \w+ \w+ (.*) ✅""),'Country prepositions'!A:B, 2, 0) &amp; "" "" &amp; REGEXEXTRACT(C1030, ""🏘️ \w+ \w+ (.*) ✅"") ,  if(H1030=""quartier"",vlookup(REGEXEXTRACT(C1030, ""🏘️ \w+ \w+ (.*) ✅""),'Quartier prepositio"&amp;"ns'!A:E, 5, 0) ,  if(H1030=""region"",vlookup(REGEXEXTRACT(C1030, ""🏘️ \w+ \w+ (.*) ✅""),'Region prepositions'!B:F, 5, 0),  REGEXEXTRACT(C1030, ""🏘️ \w+ \w+ (.*) ✅""))))"),"Wilderswil")</f>
        <v>Wilderswil</v>
      </c>
      <c r="F1030" s="2" t="str">
        <f>IFERROR(__xludf.DUMMYFUNCTION("REGEXEXTRACT(C1030, ""🏘️ (\w+) \w+ .* ✅"")"),"Louer")</f>
        <v>Louer</v>
      </c>
      <c r="G1030" s="2" t="str">
        <f>IFERROR(__xludf.DUMMYFUNCTION("REGEXEXTRACT(C1030, ""🏘️ \w+ (\w+) .* ✅"")"),"appartement")</f>
        <v>appartement</v>
      </c>
      <c r="H1030" s="4" t="str">
        <f>IFERROR(__xludf.DUMMYFUNCTION("REGEXEXTRACT(A1030, ""/(\w+)-.*?"")"),"lieu")</f>
        <v>lieu</v>
      </c>
      <c r="I1030" s="4" t="str">
        <f>IFERROR(__xludf.DUMMYFUNCTION("if(D1030=""variant"",  substitute(filter(Templates!E:E, Templates!A:A = F1030, Templates!B:B = G1030, Templates!C:C = H1030), ""{{}}"", E1030), B1030)"),"🏘  Vous cherchez un appartement à louer à Wilderswil? ✅ Les annonces les plus actuelles sont sur ImmoScout24.ch.")</f>
        <v>🏘  Vous cherchez un appartement à louer à Wilderswil? ✅ Les annonces les plus actuelles sont sur ImmoScout24.ch.</v>
      </c>
      <c r="J1030" s="4" t="s">
        <v>3094</v>
      </c>
    </row>
    <row r="1031">
      <c r="A1031" s="5" t="s">
        <v>3095</v>
      </c>
      <c r="B1031" s="2" t="s">
        <v>3096</v>
      </c>
      <c r="C1031" s="4" t="str">
        <f>IFERROR(__xludf.DUMMYFUNCTION("""🏘️ ""&amp;REGEXEXTRACT(B1031, ""^(.*): "")&amp;"" ✅ "" &amp;REGEXEXTRACT(B1031, ""(Trouvez.*)"")"),"🏘️ Louer maison Morges ✅ Trouvez le bien immobilier qui correspond idéalement à vos désirs sur ImmoScout24 - La plateforme de l'immobilier en Suisse.")</f>
        <v>🏘️ Louer maison Morges ✅ Trouvez le bien immobilier qui correspond idéalement à vos désirs sur ImmoScout24 - La plateforme de l'immobilier en Suisse.</v>
      </c>
      <c r="D1031" s="4" t="str">
        <f>vlookup(A1031, Sheet2!D:E, 2, 0)</f>
        <v>variant</v>
      </c>
      <c r="E1031" s="4" t="str">
        <f>IFERROR(__xludf.DUMMYFUNCTION("if(H1031=""pays"",vlookup(REGEXEXTRACT(C1031, ""🏘️ \w+ \w+ (.*) ✅""),'Country prepositions'!A:B, 2, 0) &amp; "" "" &amp; REGEXEXTRACT(C1031, ""🏘️ \w+ \w+ (.*) ✅"") ,  if(H1031=""quartier"",vlookup(REGEXEXTRACT(C1031, ""🏘️ \w+ \w+ (.*) ✅""),'Quartier prepositio"&amp;"ns'!A:E, 5, 0) ,  if(H1031=""region"",vlookup(REGEXEXTRACT(C1031, ""🏘️ \w+ \w+ (.*) ✅""),'Region prepositions'!B:F, 5, 0),  REGEXEXTRACT(C1031, ""🏘️ \w+ \w+ (.*) ✅""))))"),"Morges")</f>
        <v>Morges</v>
      </c>
      <c r="F1031" s="2" t="str">
        <f>IFERROR(__xludf.DUMMYFUNCTION("REGEXEXTRACT(C1031, ""🏘️ (\w+) \w+ .* ✅"")"),"Louer")</f>
        <v>Louer</v>
      </c>
      <c r="G1031" s="2" t="str">
        <f>IFERROR(__xludf.DUMMYFUNCTION("REGEXEXTRACT(C1031, ""🏘️ \w+ (\w+) .* ✅"")"),"maison")</f>
        <v>maison</v>
      </c>
      <c r="H1031" s="4" t="str">
        <f>IFERROR(__xludf.DUMMYFUNCTION("REGEXEXTRACT(A1031, ""/(\w+)-.*?"")"),"lieu")</f>
        <v>lieu</v>
      </c>
      <c r="I1031" s="4" t="str">
        <f>IFERROR(__xludf.DUMMYFUNCTION("if(D1031=""variant"",  substitute(filter(Templates!E:E, Templates!A:A = F1031, Templates!B:B = G1031, Templates!C:C = H1031), ""{{}}"", E1031), B1031)"),"🏘  Vous cherchez une maison à louer à Morges? ✅ Découvrez nos nombreuses annonces sur ImmoScout24.ch.")</f>
        <v>🏘  Vous cherchez une maison à louer à Morges? ✅ Découvrez nos nombreuses annonces sur ImmoScout24.ch.</v>
      </c>
      <c r="J1031" s="4" t="s">
        <v>3097</v>
      </c>
    </row>
    <row r="1032">
      <c r="A1032" s="5" t="s">
        <v>3098</v>
      </c>
      <c r="B1032" s="2" t="s">
        <v>3099</v>
      </c>
      <c r="C1032" s="4" t="str">
        <f>IFERROR(__xludf.DUMMYFUNCTION("""🏘️ ""&amp;REGEXEXTRACT(B1032, ""^(.*): "")&amp;"" ✅ "" &amp;REGEXEXTRACT(B1032, ""(Trouvez.*)"")"),"🏘️ Louer appartement Ardon ✅ Trouvez le bien immobilier qui correspond idéalement à vos désirs sur ImmoScout24 - La plateforme de l'immobilier en Suisse.")</f>
        <v>🏘️ Louer appartement Ardon ✅ Trouvez le bien immobilier qui correspond idéalement à vos désirs sur ImmoScout24 - La plateforme de l'immobilier en Suisse.</v>
      </c>
      <c r="D1032" s="4" t="str">
        <f>vlookup(A1032, Sheet2!D:E, 2, 0)</f>
        <v>variant</v>
      </c>
      <c r="E1032" s="4" t="str">
        <f>IFERROR(__xludf.DUMMYFUNCTION("if(H1032=""pays"",vlookup(REGEXEXTRACT(C1032, ""🏘️ \w+ \w+ (.*) ✅""),'Country prepositions'!A:B, 2, 0) &amp; "" "" &amp; REGEXEXTRACT(C1032, ""🏘️ \w+ \w+ (.*) ✅"") ,  if(H1032=""quartier"",vlookup(REGEXEXTRACT(C1032, ""🏘️ \w+ \w+ (.*) ✅""),'Quartier prepositio"&amp;"ns'!A:E, 5, 0) ,  if(H1032=""region"",vlookup(REGEXEXTRACT(C1032, ""🏘️ \w+ \w+ (.*) ✅""),'Region prepositions'!B:F, 5, 0),  REGEXEXTRACT(C1032, ""🏘️ \w+ \w+ (.*) ✅""))))"),"Ardon")</f>
        <v>Ardon</v>
      </c>
      <c r="F1032" s="2" t="str">
        <f>IFERROR(__xludf.DUMMYFUNCTION("REGEXEXTRACT(C1032, ""🏘️ (\w+) \w+ .* ✅"")"),"Louer")</f>
        <v>Louer</v>
      </c>
      <c r="G1032" s="2" t="str">
        <f>IFERROR(__xludf.DUMMYFUNCTION("REGEXEXTRACT(C1032, ""🏘️ \w+ (\w+) .* ✅"")"),"appartement")</f>
        <v>appartement</v>
      </c>
      <c r="H1032" s="4" t="str">
        <f>IFERROR(__xludf.DUMMYFUNCTION("REGEXEXTRACT(A1032, ""/(\w+)-.*?"")"),"lieu")</f>
        <v>lieu</v>
      </c>
      <c r="I1032" s="4" t="str">
        <f>IFERROR(__xludf.DUMMYFUNCTION("if(D1032=""variant"",  substitute(filter(Templates!E:E, Templates!A:A = F1032, Templates!B:B = G1032, Templates!C:C = H1032), ""{{}}"", E1032), B1032)"),"🏘  Vous cherchez un appartement à louer à Ardon? ✅ Les annonces les plus actuelles sont sur ImmoScout24.ch.")</f>
        <v>🏘  Vous cherchez un appartement à louer à Ardon? ✅ Les annonces les plus actuelles sont sur ImmoScout24.ch.</v>
      </c>
      <c r="J1032" s="4" t="s">
        <v>3100</v>
      </c>
    </row>
    <row r="1033">
      <c r="A1033" s="5" t="s">
        <v>3101</v>
      </c>
      <c r="B1033" s="2" t="s">
        <v>3102</v>
      </c>
      <c r="C1033" s="4" t="str">
        <f>IFERROR(__xludf.DUMMYFUNCTION("""🏘️ ""&amp;REGEXEXTRACT(B1033, ""^(.*): "")&amp;"" ✅ "" &amp;REGEXEXTRACT(B1033, ""(Trouvez.*)"")"),"🏘️ Vendre maison Courcelon ✅ Trouvez le bien immobilier qui correspond idéalement à vos désirs sur ImmoScout24 - La plateforme de l'immobilier en Suisse.")</f>
        <v>🏘️ Vendre maison Courcelon ✅ Trouvez le bien immobilier qui correspond idéalement à vos désirs sur ImmoScout24 - La plateforme de l'immobilier en Suisse.</v>
      </c>
      <c r="D1033" s="4" t="str">
        <f>vlookup(A1033, Sheet2!D:E, 2, 0)</f>
        <v>variant</v>
      </c>
      <c r="E1033" s="4" t="str">
        <f>IFERROR(__xludf.DUMMYFUNCTION("if(H1033=""pays"",vlookup(REGEXEXTRACT(C1033, ""🏘️ \w+ \w+ (.*) ✅""),'Country prepositions'!A:B, 2, 0) &amp; "" "" &amp; REGEXEXTRACT(C1033, ""🏘️ \w+ \w+ (.*) ✅"") ,  if(H1033=""quartier"",vlookup(REGEXEXTRACT(C1033, ""🏘️ \w+ \w+ (.*) ✅""),'Quartier prepositio"&amp;"ns'!A:E, 5, 0) ,  if(H1033=""region"",vlookup(REGEXEXTRACT(C1033, ""🏘️ \w+ \w+ (.*) ✅""),'Region prepositions'!B:F, 5, 0),  REGEXEXTRACT(C1033, ""🏘️ \w+ \w+ (.*) ✅""))))"),"Courcelon")</f>
        <v>Courcelon</v>
      </c>
      <c r="F1033" s="2" t="str">
        <f>IFERROR(__xludf.DUMMYFUNCTION("REGEXEXTRACT(C1033, ""🏘️ (\w+) \w+ .* ✅"")"),"Vendre")</f>
        <v>Vendre</v>
      </c>
      <c r="G1033" s="2" t="str">
        <f>IFERROR(__xludf.DUMMYFUNCTION("REGEXEXTRACT(C1033, ""🏘️ \w+ (\w+) .* ✅"")"),"maison")</f>
        <v>maison</v>
      </c>
      <c r="H1033" s="4" t="str">
        <f>IFERROR(__xludf.DUMMYFUNCTION("REGEXEXTRACT(A1033, ""/(\w+)-.*?"")"),"lieu")</f>
        <v>lieu</v>
      </c>
      <c r="I1033" s="4" t="str">
        <f>IFERROR(__xludf.DUMMYFUNCTION("if(D1033=""variant"",  substitute(filter(Templates!E:E, Templates!A:A = F1033, Templates!B:B = G1033, Templates!C:C = H1033), ""{{}}"", E1033), B1033)"),"🏘  Vous souhaitez acheter une maison à Courcelon? ✅ Jetez un œil aux dernières offres sur ImmoScout24.ch.")</f>
        <v>🏘  Vous souhaitez acheter une maison à Courcelon? ✅ Jetez un œil aux dernières offres sur ImmoScout24.ch.</v>
      </c>
      <c r="J1033" s="4" t="s">
        <v>3103</v>
      </c>
    </row>
    <row r="1034">
      <c r="A1034" s="5" t="s">
        <v>3104</v>
      </c>
      <c r="B1034" s="2" t="s">
        <v>3105</v>
      </c>
      <c r="C1034" s="4" t="str">
        <f>IFERROR(__xludf.DUMMYFUNCTION("""🏘️ ""&amp;REGEXEXTRACT(B1034, ""^(.*): "")&amp;"" ✅ "" &amp;REGEXEXTRACT(B1034, ""(Trouvez.*)"")"),"🏘️ Louer appartement Poliez-le-Grand ✅ Trouvez le bien immobilier qui correspond idéalement à vos désirs sur ImmoScout24 - La plateforme de l'immobilier en Suisse.")</f>
        <v>🏘️ Louer appartement Poliez-le-Grand ✅ Trouvez le bien immobilier qui correspond idéalement à vos désirs sur ImmoScout24 - La plateforme de l'immobilier en Suisse.</v>
      </c>
      <c r="D1034" s="4" t="str">
        <f>vlookup(A1034, Sheet2!D:E, 2, 0)</f>
        <v>variant</v>
      </c>
      <c r="E1034" s="4" t="str">
        <f>IFERROR(__xludf.DUMMYFUNCTION("if(H1034=""pays"",vlookup(REGEXEXTRACT(C1034, ""🏘️ \w+ \w+ (.*) ✅""),'Country prepositions'!A:B, 2, 0) &amp; "" "" &amp; REGEXEXTRACT(C1034, ""🏘️ \w+ \w+ (.*) ✅"") ,  if(H1034=""quartier"",vlookup(REGEXEXTRACT(C1034, ""🏘️ \w+ \w+ (.*) ✅""),'Quartier prepositio"&amp;"ns'!A:E, 5, 0) ,  if(H1034=""region"",vlookup(REGEXEXTRACT(C1034, ""🏘️ \w+ \w+ (.*) ✅""),'Region prepositions'!B:F, 5, 0),  REGEXEXTRACT(C1034, ""🏘️ \w+ \w+ (.*) ✅""))))"),"Poliez-le-Grand")</f>
        <v>Poliez-le-Grand</v>
      </c>
      <c r="F1034" s="2" t="str">
        <f>IFERROR(__xludf.DUMMYFUNCTION("REGEXEXTRACT(C1034, ""🏘️ (\w+) \w+ .* ✅"")"),"Louer")</f>
        <v>Louer</v>
      </c>
      <c r="G1034" s="2" t="str">
        <f>IFERROR(__xludf.DUMMYFUNCTION("REGEXEXTRACT(C1034, ""🏘️ \w+ (\w+) .* ✅"")"),"appartement")</f>
        <v>appartement</v>
      </c>
      <c r="H1034" s="4" t="str">
        <f>IFERROR(__xludf.DUMMYFUNCTION("REGEXEXTRACT(A1034, ""/(\w+)-.*?"")"),"lieu")</f>
        <v>lieu</v>
      </c>
      <c r="I1034" s="4" t="str">
        <f>IFERROR(__xludf.DUMMYFUNCTION("if(D1034=""variant"",  substitute(filter(Templates!E:E, Templates!A:A = F1034, Templates!B:B = G1034, Templates!C:C = H1034), ""{{}}"", E1034), B1034)"),"🏘  Vous cherchez un appartement à louer à Poliez-le-Grand? ✅ Les annonces les plus actuelles sont sur ImmoScout24.ch.")</f>
        <v>🏘  Vous cherchez un appartement à louer à Poliez-le-Grand? ✅ Les annonces les plus actuelles sont sur ImmoScout24.ch.</v>
      </c>
      <c r="J1034" s="4" t="s">
        <v>3106</v>
      </c>
    </row>
    <row r="1035">
      <c r="A1035" s="5" t="s">
        <v>3107</v>
      </c>
      <c r="B1035" s="2" t="s">
        <v>3108</v>
      </c>
      <c r="C1035" s="4" t="str">
        <f>IFERROR(__xludf.DUMMYFUNCTION("""🏘️ ""&amp;REGEXEXTRACT(B1035, ""^(.*): "")&amp;"" ✅ "" &amp;REGEXEXTRACT(B1035, ""(Trouvez.*)"")"),"🏘️ Louer appartement Dombresson ✅ Trouvez le bien immobilier qui correspond idéalement à vos désirs sur ImmoScout24 - La plateforme de l'immobilier en Suisse.")</f>
        <v>🏘️ Louer appartement Dombresson ✅ Trouvez le bien immobilier qui correspond idéalement à vos désirs sur ImmoScout24 - La plateforme de l'immobilier en Suisse.</v>
      </c>
      <c r="D1035" s="4" t="str">
        <f>vlookup(A1035, Sheet2!D:E, 2, 0)</f>
        <v>variant</v>
      </c>
      <c r="E1035" s="4" t="str">
        <f>IFERROR(__xludf.DUMMYFUNCTION("if(H1035=""pays"",vlookup(REGEXEXTRACT(C1035, ""🏘️ \w+ \w+ (.*) ✅""),'Country prepositions'!A:B, 2, 0) &amp; "" "" &amp; REGEXEXTRACT(C1035, ""🏘️ \w+ \w+ (.*) ✅"") ,  if(H1035=""quartier"",vlookup(REGEXEXTRACT(C1035, ""🏘️ \w+ \w+ (.*) ✅""),'Quartier prepositio"&amp;"ns'!A:E, 5, 0) ,  if(H1035=""region"",vlookup(REGEXEXTRACT(C1035, ""🏘️ \w+ \w+ (.*) ✅""),'Region prepositions'!B:F, 5, 0),  REGEXEXTRACT(C1035, ""🏘️ \w+ \w+ (.*) ✅""))))"),"Dombresson")</f>
        <v>Dombresson</v>
      </c>
      <c r="F1035" s="2" t="str">
        <f>IFERROR(__xludf.DUMMYFUNCTION("REGEXEXTRACT(C1035, ""🏘️ (\w+) \w+ .* ✅"")"),"Louer")</f>
        <v>Louer</v>
      </c>
      <c r="G1035" s="2" t="str">
        <f>IFERROR(__xludf.DUMMYFUNCTION("REGEXEXTRACT(C1035, ""🏘️ \w+ (\w+) .* ✅"")"),"appartement")</f>
        <v>appartement</v>
      </c>
      <c r="H1035" s="4" t="str">
        <f>IFERROR(__xludf.DUMMYFUNCTION("REGEXEXTRACT(A1035, ""/(\w+)-.*?"")"),"lieu")</f>
        <v>lieu</v>
      </c>
      <c r="I1035" s="4" t="str">
        <f>IFERROR(__xludf.DUMMYFUNCTION("if(D1035=""variant"",  substitute(filter(Templates!E:E, Templates!A:A = F1035, Templates!B:B = G1035, Templates!C:C = H1035), ""{{}}"", E1035), B1035)"),"🏘  Vous cherchez un appartement à louer à Dombresson? ✅ Les annonces les plus actuelles sont sur ImmoScout24.ch.")</f>
        <v>🏘  Vous cherchez un appartement à louer à Dombresson? ✅ Les annonces les plus actuelles sont sur ImmoScout24.ch.</v>
      </c>
      <c r="J1035" s="4" t="s">
        <v>3109</v>
      </c>
    </row>
    <row r="1036">
      <c r="A1036" s="5" t="s">
        <v>3110</v>
      </c>
      <c r="B1036" s="2" t="s">
        <v>3111</v>
      </c>
      <c r="C1036" s="4" t="str">
        <f>IFERROR(__xludf.DUMMYFUNCTION("""🏘️ ""&amp;REGEXEXTRACT(B1036, ""^(.*): "")&amp;"" ✅ "" &amp;REGEXEXTRACT(B1036, ""(Trouvez.*)"")"),"🏘️ Vendre maison Fahy ✅ Trouvez le bien immobilier qui correspond idéalement à vos désirs sur ImmoScout24 - La plateforme de l'immobilier en Suisse.")</f>
        <v>🏘️ Vendre maison Fahy ✅ Trouvez le bien immobilier qui correspond idéalement à vos désirs sur ImmoScout24 - La plateforme de l'immobilier en Suisse.</v>
      </c>
      <c r="D1036" s="4" t="str">
        <f>vlookup(A1036, Sheet2!D:E, 2, 0)</f>
        <v>variant</v>
      </c>
      <c r="E1036" s="4" t="str">
        <f>IFERROR(__xludf.DUMMYFUNCTION("if(H1036=""pays"",vlookup(REGEXEXTRACT(C1036, ""🏘️ \w+ \w+ (.*) ✅""),'Country prepositions'!A:B, 2, 0) &amp; "" "" &amp; REGEXEXTRACT(C1036, ""🏘️ \w+ \w+ (.*) ✅"") ,  if(H1036=""quartier"",vlookup(REGEXEXTRACT(C1036, ""🏘️ \w+ \w+ (.*) ✅""),'Quartier prepositio"&amp;"ns'!A:E, 5, 0) ,  if(H1036=""region"",vlookup(REGEXEXTRACT(C1036, ""🏘️ \w+ \w+ (.*) ✅""),'Region prepositions'!B:F, 5, 0),  REGEXEXTRACT(C1036, ""🏘️ \w+ \w+ (.*) ✅""))))"),"Fahy")</f>
        <v>Fahy</v>
      </c>
      <c r="F1036" s="2" t="str">
        <f>IFERROR(__xludf.DUMMYFUNCTION("REGEXEXTRACT(C1036, ""🏘️ (\w+) \w+ .* ✅"")"),"Vendre")</f>
        <v>Vendre</v>
      </c>
      <c r="G1036" s="2" t="str">
        <f>IFERROR(__xludf.DUMMYFUNCTION("REGEXEXTRACT(C1036, ""🏘️ \w+ (\w+) .* ✅"")"),"maison")</f>
        <v>maison</v>
      </c>
      <c r="H1036" s="4" t="str">
        <f>IFERROR(__xludf.DUMMYFUNCTION("REGEXEXTRACT(A1036, ""/(\w+)-.*?"")"),"lieu")</f>
        <v>lieu</v>
      </c>
      <c r="I1036" s="4" t="str">
        <f>IFERROR(__xludf.DUMMYFUNCTION("if(D1036=""variant"",  substitute(filter(Templates!E:E, Templates!A:A = F1036, Templates!B:B = G1036, Templates!C:C = H1036), ""{{}}"", E1036), B1036)"),"🏘  Vous souhaitez acheter une maison à Fahy? ✅ Jetez un œil aux dernières offres sur ImmoScout24.ch.")</f>
        <v>🏘  Vous souhaitez acheter une maison à Fahy? ✅ Jetez un œil aux dernières offres sur ImmoScout24.ch.</v>
      </c>
      <c r="J1036" s="4" t="s">
        <v>3112</v>
      </c>
    </row>
    <row r="1037">
      <c r="A1037" s="5" t="s">
        <v>3113</v>
      </c>
      <c r="B1037" s="2" t="s">
        <v>3114</v>
      </c>
      <c r="C1037" s="4" t="str">
        <f>IFERROR(__xludf.DUMMYFUNCTION("""🏘️ ""&amp;REGEXEXTRACT(B1037, ""^(.*): "")&amp;"" ✅ "" &amp;REGEXEXTRACT(B1037, ""(Trouvez.*)"")"),"🏘️ Vendre appartement Fischbach-Göslikon ✅ Trouvez le bien immobilier qui correspond idéalement à vos désirs sur ImmoScout24 - La plateforme de l'immobilier en Suisse.")</f>
        <v>🏘️ Vendre appartement Fischbach-Göslikon ✅ Trouvez le bien immobilier qui correspond idéalement à vos désirs sur ImmoScout24 - La plateforme de l'immobilier en Suisse.</v>
      </c>
      <c r="D1037" s="4" t="str">
        <f>vlookup(A1037, Sheet2!D:E, 2, 0)</f>
        <v>variant</v>
      </c>
      <c r="E1037" s="4" t="str">
        <f>IFERROR(__xludf.DUMMYFUNCTION("if(H1037=""pays"",vlookup(REGEXEXTRACT(C1037, ""🏘️ \w+ \w+ (.*) ✅""),'Country prepositions'!A:B, 2, 0) &amp; "" "" &amp; REGEXEXTRACT(C1037, ""🏘️ \w+ \w+ (.*) ✅"") ,  if(H1037=""quartier"",vlookup(REGEXEXTRACT(C1037, ""🏘️ \w+ \w+ (.*) ✅""),'Quartier prepositio"&amp;"ns'!A:E, 5, 0) ,  if(H1037=""region"",vlookup(REGEXEXTRACT(C1037, ""🏘️ \w+ \w+ (.*) ✅""),'Region prepositions'!B:F, 5, 0),  REGEXEXTRACT(C1037, ""🏘️ \w+ \w+ (.*) ✅""))))"),"Fischbach-Göslikon")</f>
        <v>Fischbach-Göslikon</v>
      </c>
      <c r="F1037" s="2" t="str">
        <f>IFERROR(__xludf.DUMMYFUNCTION("REGEXEXTRACT(C1037, ""🏘️ (\w+) \w+ .* ✅"")"),"Vendre")</f>
        <v>Vendre</v>
      </c>
      <c r="G1037" s="2" t="str">
        <f>IFERROR(__xludf.DUMMYFUNCTION("REGEXEXTRACT(C1037, ""🏘️ \w+ (\w+) .* ✅"")"),"appartement")</f>
        <v>appartement</v>
      </c>
      <c r="H1037" s="4" t="str">
        <f>IFERROR(__xludf.DUMMYFUNCTION("REGEXEXTRACT(A1037, ""/(\w+)-.*?"")"),"lieu")</f>
        <v>lieu</v>
      </c>
      <c r="I1037" s="4" t="str">
        <f>IFERROR(__xludf.DUMMYFUNCTION("if(D1037=""variant"",  substitute(filter(Templates!E:E, Templates!A:A = F1037, Templates!B:B = G1037, Templates!C:C = H1037), ""{{}}"", E1037), B1037)"),"🏘  L’appartement de vos rêves se trouve sur ImmoScout24.ch ✅ Découvrez les dernières annonces de vente à Fischbach-Göslikon.")</f>
        <v>🏘  L’appartement de vos rêves se trouve sur ImmoScout24.ch ✅ Découvrez les dernières annonces de vente à Fischbach-Göslikon.</v>
      </c>
      <c r="J1037" s="4" t="s">
        <v>3115</v>
      </c>
    </row>
    <row r="1038">
      <c r="A1038" s="5" t="s">
        <v>3116</v>
      </c>
      <c r="B1038" s="2" t="s">
        <v>3117</v>
      </c>
      <c r="C1038" s="4" t="str">
        <f>IFERROR(__xludf.DUMMYFUNCTION("""🏘️ ""&amp;REGEXEXTRACT(B1038, ""^(.*): "")&amp;"" ✅ "" &amp;REGEXEXTRACT(B1038, ""(Trouvez.*)"")"),"🏘️ Louer maison Schmitten FR ✅ Trouvez le bien immobilier qui correspond idéalement à vos désirs sur ImmoScout24 - La plateforme de l'immobilier en Suisse.")</f>
        <v>🏘️ Louer maison Schmitten FR ✅ Trouvez le bien immobilier qui correspond idéalement à vos désirs sur ImmoScout24 - La plateforme de l'immobilier en Suisse.</v>
      </c>
      <c r="D1038" s="4" t="str">
        <f>vlookup(A1038, Sheet2!D:E, 2, 0)</f>
        <v>variant</v>
      </c>
      <c r="E1038" s="4" t="str">
        <f>IFERROR(__xludf.DUMMYFUNCTION("if(H1038=""pays"",vlookup(REGEXEXTRACT(C1038, ""🏘️ \w+ \w+ (.*) ✅""),'Country prepositions'!A:B, 2, 0) &amp; "" "" &amp; REGEXEXTRACT(C1038, ""🏘️ \w+ \w+ (.*) ✅"") ,  if(H1038=""quartier"",vlookup(REGEXEXTRACT(C1038, ""🏘️ \w+ \w+ (.*) ✅""),'Quartier prepositio"&amp;"ns'!A:E, 5, 0) ,  if(H1038=""region"",vlookup(REGEXEXTRACT(C1038, ""🏘️ \w+ \w+ (.*) ✅""),'Region prepositions'!B:F, 5, 0),  REGEXEXTRACT(C1038, ""🏘️ \w+ \w+ (.*) ✅""))))"),"Schmitten FR")</f>
        <v>Schmitten FR</v>
      </c>
      <c r="F1038" s="2" t="str">
        <f>IFERROR(__xludf.DUMMYFUNCTION("REGEXEXTRACT(C1038, ""🏘️ (\w+) \w+ .* ✅"")"),"Louer")</f>
        <v>Louer</v>
      </c>
      <c r="G1038" s="2" t="str">
        <f>IFERROR(__xludf.DUMMYFUNCTION("REGEXEXTRACT(C1038, ""🏘️ \w+ (\w+) .* ✅"")"),"maison")</f>
        <v>maison</v>
      </c>
      <c r="H1038" s="4" t="str">
        <f>IFERROR(__xludf.DUMMYFUNCTION("REGEXEXTRACT(A1038, ""/(\w+)-.*?"")"),"lieu")</f>
        <v>lieu</v>
      </c>
      <c r="I1038" s="4" t="str">
        <f>IFERROR(__xludf.DUMMYFUNCTION("if(D1038=""variant"",  substitute(filter(Templates!E:E, Templates!A:A = F1038, Templates!B:B = G1038, Templates!C:C = H1038), ""{{}}"", E1038), B1038)"),"🏘  Vous cherchez une maison à louer à Schmitten FR? ✅ Découvrez nos nombreuses annonces sur ImmoScout24.ch.")</f>
        <v>🏘  Vous cherchez une maison à louer à Schmitten FR? ✅ Découvrez nos nombreuses annonces sur ImmoScout24.ch.</v>
      </c>
      <c r="J1038" s="4" t="s">
        <v>3118</v>
      </c>
    </row>
    <row r="1039">
      <c r="A1039" s="5" t="s">
        <v>3119</v>
      </c>
      <c r="B1039" s="2" t="s">
        <v>3120</v>
      </c>
      <c r="C1039" s="4" t="str">
        <f>IFERROR(__xludf.DUMMYFUNCTION("""🏘️ ""&amp;REGEXEXTRACT(B1039, ""^(.*): "")&amp;"" ✅ "" &amp;REGEXEXTRACT(B1039, ""(Trouvez.*)"")"),"🏘️ Vendre maison La Croix-de-Rozon ✅ Trouvez le bien immobilier qui correspond idéalement à vos désirs sur ImmoScout24 - La plateforme de l'immobilier en Suisse.")</f>
        <v>🏘️ Vendre maison La Croix-de-Rozon ✅ Trouvez le bien immobilier qui correspond idéalement à vos désirs sur ImmoScout24 - La plateforme de l'immobilier en Suisse.</v>
      </c>
      <c r="D1039" s="4" t="str">
        <f>vlookup(A1039, Sheet2!D:E, 2, 0)</f>
        <v>variant</v>
      </c>
      <c r="E1039" s="4" t="str">
        <f>IFERROR(__xludf.DUMMYFUNCTION("if(H1039=""pays"",vlookup(REGEXEXTRACT(C1039, ""🏘️ \w+ \w+ (.*) ✅""),'Country prepositions'!A:B, 2, 0) &amp; "" "" &amp; REGEXEXTRACT(C1039, ""🏘️ \w+ \w+ (.*) ✅"") ,  if(H1039=""quartier"",vlookup(REGEXEXTRACT(C1039, ""🏘️ \w+ \w+ (.*) ✅""),'Quartier prepositio"&amp;"ns'!A:E, 5, 0) ,  if(H1039=""region"",vlookup(REGEXEXTRACT(C1039, ""🏘️ \w+ \w+ (.*) ✅""),'Region prepositions'!B:F, 5, 0),  REGEXEXTRACT(C1039, ""🏘️ \w+ \w+ (.*) ✅""))))"),"La Croix-de-Rozon")</f>
        <v>La Croix-de-Rozon</v>
      </c>
      <c r="F1039" s="2" t="str">
        <f>IFERROR(__xludf.DUMMYFUNCTION("REGEXEXTRACT(C1039, ""🏘️ (\w+) \w+ .* ✅"")"),"Vendre")</f>
        <v>Vendre</v>
      </c>
      <c r="G1039" s="2" t="str">
        <f>IFERROR(__xludf.DUMMYFUNCTION("REGEXEXTRACT(C1039, ""🏘️ \w+ (\w+) .* ✅"")"),"maison")</f>
        <v>maison</v>
      </c>
      <c r="H1039" s="4" t="str">
        <f>IFERROR(__xludf.DUMMYFUNCTION("REGEXEXTRACT(A1039, ""/(\w+)-.*?"")"),"lieu")</f>
        <v>lieu</v>
      </c>
      <c r="I1039" s="4" t="str">
        <f>IFERROR(__xludf.DUMMYFUNCTION("if(D1039=""variant"",  substitute(filter(Templates!E:E, Templates!A:A = F1039, Templates!B:B = G1039, Templates!C:C = H1039), ""{{}}"", E1039), B1039)"),"🏘  Vous souhaitez acheter une maison à La Croix-de-Rozon? ✅ Jetez un œil aux dernières offres sur ImmoScout24.ch.")</f>
        <v>🏘  Vous souhaitez acheter une maison à La Croix-de-Rozon? ✅ Jetez un œil aux dernières offres sur ImmoScout24.ch.</v>
      </c>
      <c r="J1039" s="4" t="s">
        <v>3121</v>
      </c>
    </row>
    <row r="1040">
      <c r="A1040" s="5" t="s">
        <v>3122</v>
      </c>
      <c r="B1040" s="2" t="s">
        <v>3123</v>
      </c>
      <c r="C1040" s="4" t="str">
        <f>IFERROR(__xludf.DUMMYFUNCTION("""🏘️ ""&amp;REGEXEXTRACT(B1040, ""^(.*): "")&amp;"" ✅ "" &amp;REGEXEXTRACT(B1040, ""(Trouvez.*)"")"),"🏘️ Vendre maison Burgdorf ✅ Trouvez le bien immobilier qui correspond idéalement à vos désirs sur ImmoScout24 - La plateforme de l'immobilier en Suisse.")</f>
        <v>🏘️ Vendre maison Burgdorf ✅ Trouvez le bien immobilier qui correspond idéalement à vos désirs sur ImmoScout24 - La plateforme de l'immobilier en Suisse.</v>
      </c>
      <c r="D1040" s="4" t="str">
        <f>vlookup(A1040, Sheet2!D:E, 2, 0)</f>
        <v>variant</v>
      </c>
      <c r="E1040" s="4" t="str">
        <f>IFERROR(__xludf.DUMMYFUNCTION("if(H1040=""pays"",vlookup(REGEXEXTRACT(C1040, ""🏘️ \w+ \w+ (.*) ✅""),'Country prepositions'!A:B, 2, 0) &amp; "" "" &amp; REGEXEXTRACT(C1040, ""🏘️ \w+ \w+ (.*) ✅"") ,  if(H1040=""quartier"",vlookup(REGEXEXTRACT(C1040, ""🏘️ \w+ \w+ (.*) ✅""),'Quartier prepositio"&amp;"ns'!A:E, 5, 0) ,  if(H1040=""region"",vlookup(REGEXEXTRACT(C1040, ""🏘️ \w+ \w+ (.*) ✅""),'Region prepositions'!B:F, 5, 0),  REGEXEXTRACT(C1040, ""🏘️ \w+ \w+ (.*) ✅""))))"),"Burgdorf")</f>
        <v>Burgdorf</v>
      </c>
      <c r="F1040" s="2" t="str">
        <f>IFERROR(__xludf.DUMMYFUNCTION("REGEXEXTRACT(C1040, ""🏘️ (\w+) \w+ .* ✅"")"),"Vendre")</f>
        <v>Vendre</v>
      </c>
      <c r="G1040" s="2" t="str">
        <f>IFERROR(__xludf.DUMMYFUNCTION("REGEXEXTRACT(C1040, ""🏘️ \w+ (\w+) .* ✅"")"),"maison")</f>
        <v>maison</v>
      </c>
      <c r="H1040" s="4" t="str">
        <f>IFERROR(__xludf.DUMMYFUNCTION("REGEXEXTRACT(A1040, ""/(\w+)-.*?"")"),"lieu")</f>
        <v>lieu</v>
      </c>
      <c r="I1040" s="4" t="str">
        <f>IFERROR(__xludf.DUMMYFUNCTION("if(D1040=""variant"",  substitute(filter(Templates!E:E, Templates!A:A = F1040, Templates!B:B = G1040, Templates!C:C = H1040), ""{{}}"", E1040), B1040)"),"🏘  Vous souhaitez acheter une maison à Burgdorf? ✅ Jetez un œil aux dernières offres sur ImmoScout24.ch.")</f>
        <v>🏘  Vous souhaitez acheter une maison à Burgdorf? ✅ Jetez un œil aux dernières offres sur ImmoScout24.ch.</v>
      </c>
      <c r="J1040" s="4" t="s">
        <v>3124</v>
      </c>
    </row>
    <row r="1041">
      <c r="A1041" s="5" t="s">
        <v>3125</v>
      </c>
      <c r="B1041" s="2" t="s">
        <v>3126</v>
      </c>
      <c r="C1041" s="4" t="str">
        <f>IFERROR(__xludf.DUMMYFUNCTION("""🏘️ ""&amp;REGEXEXTRACT(B1041, ""^(.*): "")&amp;"" ✅ "" &amp;REGEXEXTRACT(B1041, ""(Trouvez.*)"")"),"🏘️ Louer appartement Turtmann ✅ Trouvez le bien immobilier qui correspond idéalement à vos désirs sur ImmoScout24 - La plateforme de l'immobilier en Suisse.")</f>
        <v>🏘️ Louer appartement Turtmann ✅ Trouvez le bien immobilier qui correspond idéalement à vos désirs sur ImmoScout24 - La plateforme de l'immobilier en Suisse.</v>
      </c>
      <c r="D1041" s="4" t="str">
        <f>vlookup(A1041, Sheet2!D:E, 2, 0)</f>
        <v>variant</v>
      </c>
      <c r="E1041" s="4" t="str">
        <f>IFERROR(__xludf.DUMMYFUNCTION("if(H1041=""pays"",vlookup(REGEXEXTRACT(C1041, ""🏘️ \w+ \w+ (.*) ✅""),'Country prepositions'!A:B, 2, 0) &amp; "" "" &amp; REGEXEXTRACT(C1041, ""🏘️ \w+ \w+ (.*) ✅"") ,  if(H1041=""quartier"",vlookup(REGEXEXTRACT(C1041, ""🏘️ \w+ \w+ (.*) ✅""),'Quartier prepositio"&amp;"ns'!A:E, 5, 0) ,  if(H1041=""region"",vlookup(REGEXEXTRACT(C1041, ""🏘️ \w+ \w+ (.*) ✅""),'Region prepositions'!B:F, 5, 0),  REGEXEXTRACT(C1041, ""🏘️ \w+ \w+ (.*) ✅""))))"),"Turtmann")</f>
        <v>Turtmann</v>
      </c>
      <c r="F1041" s="2" t="str">
        <f>IFERROR(__xludf.DUMMYFUNCTION("REGEXEXTRACT(C1041, ""🏘️ (\w+) \w+ .* ✅"")"),"Louer")</f>
        <v>Louer</v>
      </c>
      <c r="G1041" s="2" t="str">
        <f>IFERROR(__xludf.DUMMYFUNCTION("REGEXEXTRACT(C1041, ""🏘️ \w+ (\w+) .* ✅"")"),"appartement")</f>
        <v>appartement</v>
      </c>
      <c r="H1041" s="4" t="str">
        <f>IFERROR(__xludf.DUMMYFUNCTION("REGEXEXTRACT(A1041, ""/(\w+)-.*?"")"),"lieu")</f>
        <v>lieu</v>
      </c>
      <c r="I1041" s="4" t="str">
        <f>IFERROR(__xludf.DUMMYFUNCTION("if(D1041=""variant"",  substitute(filter(Templates!E:E, Templates!A:A = F1041, Templates!B:B = G1041, Templates!C:C = H1041), ""{{}}"", E1041), B1041)"),"🏘  Vous cherchez un appartement à louer à Turtmann? ✅ Les annonces les plus actuelles sont sur ImmoScout24.ch.")</f>
        <v>🏘  Vous cherchez un appartement à louer à Turtmann? ✅ Les annonces les plus actuelles sont sur ImmoScout24.ch.</v>
      </c>
      <c r="J1041" s="4" t="s">
        <v>3127</v>
      </c>
    </row>
    <row r="1042">
      <c r="A1042" s="5" t="s">
        <v>3128</v>
      </c>
      <c r="B1042" s="2" t="s">
        <v>3129</v>
      </c>
      <c r="C1042" s="4" t="str">
        <f>IFERROR(__xludf.DUMMYFUNCTION("""🏘️ ""&amp;REGEXEXTRACT(B1042, ""^(.*): "")&amp;"" ✅ "" &amp;REGEXEXTRACT(B1042, ""(Trouvez.*)"")"),"🏘️ Vendre appartement Poliez-Pittet ✅ Trouvez le bien immobilier qui correspond idéalement à vos désirs sur ImmoScout24 - La plateforme de l'immobilier en Suisse.")</f>
        <v>🏘️ Vendre appartement Poliez-Pittet ✅ Trouvez le bien immobilier qui correspond idéalement à vos désirs sur ImmoScout24 - La plateforme de l'immobilier en Suisse.</v>
      </c>
      <c r="D1042" s="4" t="str">
        <f>vlookup(A1042, Sheet2!D:E, 2, 0)</f>
        <v>variant</v>
      </c>
      <c r="E1042" s="4" t="str">
        <f>IFERROR(__xludf.DUMMYFUNCTION("if(H1042=""pays"",vlookup(REGEXEXTRACT(C1042, ""🏘️ \w+ \w+ (.*) ✅""),'Country prepositions'!A:B, 2, 0) &amp; "" "" &amp; REGEXEXTRACT(C1042, ""🏘️ \w+ \w+ (.*) ✅"") ,  if(H1042=""quartier"",vlookup(REGEXEXTRACT(C1042, ""🏘️ \w+ \w+ (.*) ✅""),'Quartier prepositio"&amp;"ns'!A:E, 5, 0) ,  if(H1042=""region"",vlookup(REGEXEXTRACT(C1042, ""🏘️ \w+ \w+ (.*) ✅""),'Region prepositions'!B:F, 5, 0),  REGEXEXTRACT(C1042, ""🏘️ \w+ \w+ (.*) ✅""))))"),"Poliez-Pittet")</f>
        <v>Poliez-Pittet</v>
      </c>
      <c r="F1042" s="2" t="str">
        <f>IFERROR(__xludf.DUMMYFUNCTION("REGEXEXTRACT(C1042, ""🏘️ (\w+) \w+ .* ✅"")"),"Vendre")</f>
        <v>Vendre</v>
      </c>
      <c r="G1042" s="2" t="str">
        <f>IFERROR(__xludf.DUMMYFUNCTION("REGEXEXTRACT(C1042, ""🏘️ \w+ (\w+) .* ✅"")"),"appartement")</f>
        <v>appartement</v>
      </c>
      <c r="H1042" s="4" t="str">
        <f>IFERROR(__xludf.DUMMYFUNCTION("REGEXEXTRACT(A1042, ""/(\w+)-.*?"")"),"lieu")</f>
        <v>lieu</v>
      </c>
      <c r="I1042" s="4" t="str">
        <f>IFERROR(__xludf.DUMMYFUNCTION("if(D1042=""variant"",  substitute(filter(Templates!E:E, Templates!A:A = F1042, Templates!B:B = G1042, Templates!C:C = H1042), ""{{}}"", E1042), B1042)"),"🏘  L’appartement de vos rêves se trouve sur ImmoScout24.ch ✅ Découvrez les dernières annonces de vente à Poliez-Pittet.")</f>
        <v>🏘  L’appartement de vos rêves se trouve sur ImmoScout24.ch ✅ Découvrez les dernières annonces de vente à Poliez-Pittet.</v>
      </c>
      <c r="J1042" s="4" t="s">
        <v>3130</v>
      </c>
    </row>
    <row r="1043">
      <c r="A1043" s="5" t="s">
        <v>3131</v>
      </c>
      <c r="B1043" s="2" t="s">
        <v>3132</v>
      </c>
      <c r="C1043" s="4" t="str">
        <f>IFERROR(__xludf.DUMMYFUNCTION("""🏘️ ""&amp;REGEXEXTRACT(B1043, ""^(.*): "")&amp;"" ✅ "" &amp;REGEXEXTRACT(B1043, ""(Trouvez.*)"")"),"🏘️ Louer maison Chevroux ✅ Trouvez le bien immobilier qui correspond idéalement à vos désirs sur ImmoScout24 - La plateforme de l'immobilier en Suisse.")</f>
        <v>🏘️ Louer maison Chevroux ✅ Trouvez le bien immobilier qui correspond idéalement à vos désirs sur ImmoScout24 - La plateforme de l'immobilier en Suisse.</v>
      </c>
      <c r="D1043" s="4" t="str">
        <f>vlookup(A1043, Sheet2!D:E, 2, 0)</f>
        <v>variant</v>
      </c>
      <c r="E1043" s="4" t="str">
        <f>IFERROR(__xludf.DUMMYFUNCTION("if(H1043=""pays"",vlookup(REGEXEXTRACT(C1043, ""🏘️ \w+ \w+ (.*) ✅""),'Country prepositions'!A:B, 2, 0) &amp; "" "" &amp; REGEXEXTRACT(C1043, ""🏘️ \w+ \w+ (.*) ✅"") ,  if(H1043=""quartier"",vlookup(REGEXEXTRACT(C1043, ""🏘️ \w+ \w+ (.*) ✅""),'Quartier prepositio"&amp;"ns'!A:E, 5, 0) ,  if(H1043=""region"",vlookup(REGEXEXTRACT(C1043, ""🏘️ \w+ \w+ (.*) ✅""),'Region prepositions'!B:F, 5, 0),  REGEXEXTRACT(C1043, ""🏘️ \w+ \w+ (.*) ✅""))))"),"Chevroux")</f>
        <v>Chevroux</v>
      </c>
      <c r="F1043" s="2" t="str">
        <f>IFERROR(__xludf.DUMMYFUNCTION("REGEXEXTRACT(C1043, ""🏘️ (\w+) \w+ .* ✅"")"),"Louer")</f>
        <v>Louer</v>
      </c>
      <c r="G1043" s="2" t="str">
        <f>IFERROR(__xludf.DUMMYFUNCTION("REGEXEXTRACT(C1043, ""🏘️ \w+ (\w+) .* ✅"")"),"maison")</f>
        <v>maison</v>
      </c>
      <c r="H1043" s="4" t="str">
        <f>IFERROR(__xludf.DUMMYFUNCTION("REGEXEXTRACT(A1043, ""/(\w+)-.*?"")"),"lieu")</f>
        <v>lieu</v>
      </c>
      <c r="I1043" s="4" t="str">
        <f>IFERROR(__xludf.DUMMYFUNCTION("if(D1043=""variant"",  substitute(filter(Templates!E:E, Templates!A:A = F1043, Templates!B:B = G1043, Templates!C:C = H1043), ""{{}}"", E1043), B1043)"),"🏘  Vous cherchez une maison à louer à Chevroux? ✅ Découvrez nos nombreuses annonces sur ImmoScout24.ch.")</f>
        <v>🏘  Vous cherchez une maison à louer à Chevroux? ✅ Découvrez nos nombreuses annonces sur ImmoScout24.ch.</v>
      </c>
      <c r="J1043" s="4" t="s">
        <v>3133</v>
      </c>
    </row>
    <row r="1044">
      <c r="A1044" s="5" t="s">
        <v>3134</v>
      </c>
      <c r="B1044" s="2" t="s">
        <v>3135</v>
      </c>
      <c r="C1044" s="4" t="str">
        <f>IFERROR(__xludf.DUMMYFUNCTION("""🏘️ ""&amp;REGEXEXTRACT(B1044, ""^(.*): "")&amp;"" ✅ "" &amp;REGEXEXTRACT(B1044, ""(Trouvez.*)"")"),"🏘️ Louer appartement Schwarzenbach SG ✅ Trouvez le bien immobilier qui correspond idéalement à vos désirs sur ImmoScout24 - La plateforme de l'immobilier en Suisse.")</f>
        <v>🏘️ Louer appartement Schwarzenbach SG ✅ Trouvez le bien immobilier qui correspond idéalement à vos désirs sur ImmoScout24 - La plateforme de l'immobilier en Suisse.</v>
      </c>
      <c r="D1044" s="4" t="str">
        <f>vlookup(A1044, Sheet2!D:E, 2, 0)</f>
        <v>variant</v>
      </c>
      <c r="E1044" s="4" t="str">
        <f>IFERROR(__xludf.DUMMYFUNCTION("if(H1044=""pays"",vlookup(REGEXEXTRACT(C1044, ""🏘️ \w+ \w+ (.*) ✅""),'Country prepositions'!A:B, 2, 0) &amp; "" "" &amp; REGEXEXTRACT(C1044, ""🏘️ \w+ \w+ (.*) ✅"") ,  if(H1044=""quartier"",vlookup(REGEXEXTRACT(C1044, ""🏘️ \w+ \w+ (.*) ✅""),'Quartier prepositio"&amp;"ns'!A:E, 5, 0) ,  if(H1044=""region"",vlookup(REGEXEXTRACT(C1044, ""🏘️ \w+ \w+ (.*) ✅""),'Region prepositions'!B:F, 5, 0),  REGEXEXTRACT(C1044, ""🏘️ \w+ \w+ (.*) ✅""))))"),"Schwarzenbach SG")</f>
        <v>Schwarzenbach SG</v>
      </c>
      <c r="F1044" s="2" t="str">
        <f>IFERROR(__xludf.DUMMYFUNCTION("REGEXEXTRACT(C1044, ""🏘️ (\w+) \w+ .* ✅"")"),"Louer")</f>
        <v>Louer</v>
      </c>
      <c r="G1044" s="2" t="str">
        <f>IFERROR(__xludf.DUMMYFUNCTION("REGEXEXTRACT(C1044, ""🏘️ \w+ (\w+) .* ✅"")"),"appartement")</f>
        <v>appartement</v>
      </c>
      <c r="H1044" s="4" t="str">
        <f>IFERROR(__xludf.DUMMYFUNCTION("REGEXEXTRACT(A1044, ""/(\w+)-.*?"")"),"lieu")</f>
        <v>lieu</v>
      </c>
      <c r="I1044" s="4" t="str">
        <f>IFERROR(__xludf.DUMMYFUNCTION("if(D1044=""variant"",  substitute(filter(Templates!E:E, Templates!A:A = F1044, Templates!B:B = G1044, Templates!C:C = H1044), ""{{}}"", E1044), B1044)"),"🏘  Vous cherchez un appartement à louer à Schwarzenbach SG? ✅ Les annonces les plus actuelles sont sur ImmoScout24.ch.")</f>
        <v>🏘  Vous cherchez un appartement à louer à Schwarzenbach SG? ✅ Les annonces les plus actuelles sont sur ImmoScout24.ch.</v>
      </c>
      <c r="J1044" s="4" t="s">
        <v>3136</v>
      </c>
    </row>
    <row r="1045">
      <c r="A1045" s="5" t="s">
        <v>3137</v>
      </c>
      <c r="B1045" s="2" t="s">
        <v>3138</v>
      </c>
      <c r="C1045" s="4" t="str">
        <f>IFERROR(__xludf.DUMMYFUNCTION("""🏘️ ""&amp;REGEXEXTRACT(B1045, ""^(.*): "")&amp;"" ✅ "" &amp;REGEXEXTRACT(B1045, ""(Trouvez.*)"")"),"🏘️ Vendre appartement Mund ✅ Trouvez le bien immobilier qui correspond idéalement à vos désirs sur ImmoScout24 - La plateforme de l'immobilier en Suisse.")</f>
        <v>🏘️ Vendre appartement Mund ✅ Trouvez le bien immobilier qui correspond idéalement à vos désirs sur ImmoScout24 - La plateforme de l'immobilier en Suisse.</v>
      </c>
      <c r="D1045" s="4" t="str">
        <f>vlookup(A1045, Sheet2!D:E, 2, 0)</f>
        <v>variant</v>
      </c>
      <c r="E1045" s="4" t="str">
        <f>IFERROR(__xludf.DUMMYFUNCTION("if(H1045=""pays"",vlookup(REGEXEXTRACT(C1045, ""🏘️ \w+ \w+ (.*) ✅""),'Country prepositions'!A:B, 2, 0) &amp; "" "" &amp; REGEXEXTRACT(C1045, ""🏘️ \w+ \w+ (.*) ✅"") ,  if(H1045=""quartier"",vlookup(REGEXEXTRACT(C1045, ""🏘️ \w+ \w+ (.*) ✅""),'Quartier prepositio"&amp;"ns'!A:E, 5, 0) ,  if(H1045=""region"",vlookup(REGEXEXTRACT(C1045, ""🏘️ \w+ \w+ (.*) ✅""),'Region prepositions'!B:F, 5, 0),  REGEXEXTRACT(C1045, ""🏘️ \w+ \w+ (.*) ✅""))))"),"Mund")</f>
        <v>Mund</v>
      </c>
      <c r="F1045" s="2" t="str">
        <f>IFERROR(__xludf.DUMMYFUNCTION("REGEXEXTRACT(C1045, ""🏘️ (\w+) \w+ .* ✅"")"),"Vendre")</f>
        <v>Vendre</v>
      </c>
      <c r="G1045" s="2" t="str">
        <f>IFERROR(__xludf.DUMMYFUNCTION("REGEXEXTRACT(C1045, ""🏘️ \w+ (\w+) .* ✅"")"),"appartement")</f>
        <v>appartement</v>
      </c>
      <c r="H1045" s="4" t="str">
        <f>IFERROR(__xludf.DUMMYFUNCTION("REGEXEXTRACT(A1045, ""/(\w+)-.*?"")"),"lieu")</f>
        <v>lieu</v>
      </c>
      <c r="I1045" s="4" t="str">
        <f>IFERROR(__xludf.DUMMYFUNCTION("if(D1045=""variant"",  substitute(filter(Templates!E:E, Templates!A:A = F1045, Templates!B:B = G1045, Templates!C:C = H1045), ""{{}}"", E1045), B1045)"),"🏘  L’appartement de vos rêves se trouve sur ImmoScout24.ch ✅ Découvrez les dernières annonces de vente à Mund.")</f>
        <v>🏘  L’appartement de vos rêves se trouve sur ImmoScout24.ch ✅ Découvrez les dernières annonces de vente à Mund.</v>
      </c>
      <c r="J1045" s="4" t="s">
        <v>3139</v>
      </c>
    </row>
    <row r="1046">
      <c r="A1046" s="5" t="s">
        <v>3140</v>
      </c>
      <c r="B1046" s="2" t="s">
        <v>3141</v>
      </c>
      <c r="C1046" s="4" t="str">
        <f>IFERROR(__xludf.DUMMYFUNCTION("""🏘️ ""&amp;REGEXEXTRACT(B1046, ""^(.*): "")&amp;"" ✅ "" &amp;REGEXEXTRACT(B1046, ""(Trouvez.*)"")"),"🏘️ Vendre maison Brent ✅ Trouvez le bien immobilier qui correspond idéalement à vos désirs sur ImmoScout24 - La plateforme de l'immobilier en Suisse.")</f>
        <v>🏘️ Vendre maison Brent ✅ Trouvez le bien immobilier qui correspond idéalement à vos désirs sur ImmoScout24 - La plateforme de l'immobilier en Suisse.</v>
      </c>
      <c r="D1046" s="4" t="str">
        <f>vlookup(A1046, Sheet2!D:E, 2, 0)</f>
        <v>variant</v>
      </c>
      <c r="E1046" s="4" t="str">
        <f>IFERROR(__xludf.DUMMYFUNCTION("if(H1046=""pays"",vlookup(REGEXEXTRACT(C1046, ""🏘️ \w+ \w+ (.*) ✅""),'Country prepositions'!A:B, 2, 0) &amp; "" "" &amp; REGEXEXTRACT(C1046, ""🏘️ \w+ \w+ (.*) ✅"") ,  if(H1046=""quartier"",vlookup(REGEXEXTRACT(C1046, ""🏘️ \w+ \w+ (.*) ✅""),'Quartier prepositio"&amp;"ns'!A:E, 5, 0) ,  if(H1046=""region"",vlookup(REGEXEXTRACT(C1046, ""🏘️ \w+ \w+ (.*) ✅""),'Region prepositions'!B:F, 5, 0),  REGEXEXTRACT(C1046, ""🏘️ \w+ \w+ (.*) ✅""))))"),"Brent")</f>
        <v>Brent</v>
      </c>
      <c r="F1046" s="2" t="str">
        <f>IFERROR(__xludf.DUMMYFUNCTION("REGEXEXTRACT(C1046, ""🏘️ (\w+) \w+ .* ✅"")"),"Vendre")</f>
        <v>Vendre</v>
      </c>
      <c r="G1046" s="2" t="str">
        <f>IFERROR(__xludf.DUMMYFUNCTION("REGEXEXTRACT(C1046, ""🏘️ \w+ (\w+) .* ✅"")"),"maison")</f>
        <v>maison</v>
      </c>
      <c r="H1046" s="4" t="str">
        <f>IFERROR(__xludf.DUMMYFUNCTION("REGEXEXTRACT(A1046, ""/(\w+)-.*?"")"),"lieu")</f>
        <v>lieu</v>
      </c>
      <c r="I1046" s="4" t="str">
        <f>IFERROR(__xludf.DUMMYFUNCTION("if(D1046=""variant"",  substitute(filter(Templates!E:E, Templates!A:A = F1046, Templates!B:B = G1046, Templates!C:C = H1046), ""{{}}"", E1046), B1046)"),"🏘  Vous souhaitez acheter une maison à Brent? ✅ Jetez un œil aux dernières offres sur ImmoScout24.ch.")</f>
        <v>🏘  Vous souhaitez acheter une maison à Brent? ✅ Jetez un œil aux dernières offres sur ImmoScout24.ch.</v>
      </c>
      <c r="J1046" s="4" t="s">
        <v>3142</v>
      </c>
    </row>
    <row r="1047">
      <c r="A1047" s="5" t="s">
        <v>3143</v>
      </c>
      <c r="B1047" s="2" t="s">
        <v>3144</v>
      </c>
      <c r="C1047" s="4" t="str">
        <f>IFERROR(__xludf.DUMMYFUNCTION("""🏘️ ""&amp;REGEXEXTRACT(B1047, ""^(.*): "")&amp;"" ✅ "" &amp;REGEXEXTRACT(B1047, ""(Trouvez.*)"")"),"🏘️ Louer appartement Gossau SG ✅ Trouvez le bien immobilier qui correspond idéalement à vos désirs sur ImmoScout24 - La plateforme de l'immobilier en Suisse.")</f>
        <v>🏘️ Louer appartement Gossau SG ✅ Trouvez le bien immobilier qui correspond idéalement à vos désirs sur ImmoScout24 - La plateforme de l'immobilier en Suisse.</v>
      </c>
      <c r="D1047" s="4" t="str">
        <f>vlookup(A1047, Sheet2!D:E, 2, 0)</f>
        <v>variant</v>
      </c>
      <c r="E1047" s="4" t="str">
        <f>IFERROR(__xludf.DUMMYFUNCTION("if(H1047=""pays"",vlookup(REGEXEXTRACT(C1047, ""🏘️ \w+ \w+ (.*) ✅""),'Country prepositions'!A:B, 2, 0) &amp; "" "" &amp; REGEXEXTRACT(C1047, ""🏘️ \w+ \w+ (.*) ✅"") ,  if(H1047=""quartier"",vlookup(REGEXEXTRACT(C1047, ""🏘️ \w+ \w+ (.*) ✅""),'Quartier prepositio"&amp;"ns'!A:E, 5, 0) ,  if(H1047=""region"",vlookup(REGEXEXTRACT(C1047, ""🏘️ \w+ \w+ (.*) ✅""),'Region prepositions'!B:F, 5, 0),  REGEXEXTRACT(C1047, ""🏘️ \w+ \w+ (.*) ✅""))))"),"Gossau SG")</f>
        <v>Gossau SG</v>
      </c>
      <c r="F1047" s="2" t="str">
        <f>IFERROR(__xludf.DUMMYFUNCTION("REGEXEXTRACT(C1047, ""🏘️ (\w+) \w+ .* ✅"")"),"Louer")</f>
        <v>Louer</v>
      </c>
      <c r="G1047" s="2" t="str">
        <f>IFERROR(__xludf.DUMMYFUNCTION("REGEXEXTRACT(C1047, ""🏘️ \w+ (\w+) .* ✅"")"),"appartement")</f>
        <v>appartement</v>
      </c>
      <c r="H1047" s="4" t="str">
        <f>IFERROR(__xludf.DUMMYFUNCTION("REGEXEXTRACT(A1047, ""/(\w+)-.*?"")"),"lieu")</f>
        <v>lieu</v>
      </c>
      <c r="I1047" s="4" t="str">
        <f>IFERROR(__xludf.DUMMYFUNCTION("if(D1047=""variant"",  substitute(filter(Templates!E:E, Templates!A:A = F1047, Templates!B:B = G1047, Templates!C:C = H1047), ""{{}}"", E1047), B1047)"),"🏘  Vous cherchez un appartement à louer à Gossau SG? ✅ Les annonces les plus actuelles sont sur ImmoScout24.ch.")</f>
        <v>🏘  Vous cherchez un appartement à louer à Gossau SG? ✅ Les annonces les plus actuelles sont sur ImmoScout24.ch.</v>
      </c>
      <c r="J1047" s="4" t="s">
        <v>3145</v>
      </c>
    </row>
    <row r="1048">
      <c r="A1048" s="5" t="s">
        <v>3146</v>
      </c>
      <c r="B1048" s="2" t="s">
        <v>3147</v>
      </c>
      <c r="C1048" s="4" t="str">
        <f>IFERROR(__xludf.DUMMYFUNCTION("""🏘️ ""&amp;REGEXEXTRACT(B1048, ""^(.*): "")&amp;"" ✅ "" &amp;REGEXEXTRACT(B1048, ""(Trouvez.*)"")"),"🏘️ Vendre maison Boll ✅ Trouvez le bien immobilier qui correspond idéalement à vos désirs sur ImmoScout24 - La plateforme de l'immobilier en Suisse.")</f>
        <v>🏘️ Vendre maison Boll ✅ Trouvez le bien immobilier qui correspond idéalement à vos désirs sur ImmoScout24 - La plateforme de l'immobilier en Suisse.</v>
      </c>
      <c r="D1048" s="4" t="str">
        <f>vlookup(A1048, Sheet2!D:E, 2, 0)</f>
        <v>variant</v>
      </c>
      <c r="E1048" s="4" t="str">
        <f>IFERROR(__xludf.DUMMYFUNCTION("if(H1048=""pays"",vlookup(REGEXEXTRACT(C1048, ""🏘️ \w+ \w+ (.*) ✅""),'Country prepositions'!A:B, 2, 0) &amp; "" "" &amp; REGEXEXTRACT(C1048, ""🏘️ \w+ \w+ (.*) ✅"") ,  if(H1048=""quartier"",vlookup(REGEXEXTRACT(C1048, ""🏘️ \w+ \w+ (.*) ✅""),'Quartier prepositio"&amp;"ns'!A:E, 5, 0) ,  if(H1048=""region"",vlookup(REGEXEXTRACT(C1048, ""🏘️ \w+ \w+ (.*) ✅""),'Region prepositions'!B:F, 5, 0),  REGEXEXTRACT(C1048, ""🏘️ \w+ \w+ (.*) ✅""))))"),"Boll")</f>
        <v>Boll</v>
      </c>
      <c r="F1048" s="2" t="str">
        <f>IFERROR(__xludf.DUMMYFUNCTION("REGEXEXTRACT(C1048, ""🏘️ (\w+) \w+ .* ✅"")"),"Vendre")</f>
        <v>Vendre</v>
      </c>
      <c r="G1048" s="2" t="str">
        <f>IFERROR(__xludf.DUMMYFUNCTION("REGEXEXTRACT(C1048, ""🏘️ \w+ (\w+) .* ✅"")"),"maison")</f>
        <v>maison</v>
      </c>
      <c r="H1048" s="4" t="str">
        <f>IFERROR(__xludf.DUMMYFUNCTION("REGEXEXTRACT(A1048, ""/(\w+)-.*?"")"),"lieu")</f>
        <v>lieu</v>
      </c>
      <c r="I1048" s="4" t="str">
        <f>IFERROR(__xludf.DUMMYFUNCTION("if(D1048=""variant"",  substitute(filter(Templates!E:E, Templates!A:A = F1048, Templates!B:B = G1048, Templates!C:C = H1048), ""{{}}"", E1048), B1048)"),"🏘  Vous souhaitez acheter une maison à Boll? ✅ Jetez un œil aux dernières offres sur ImmoScout24.ch.")</f>
        <v>🏘  Vous souhaitez acheter une maison à Boll? ✅ Jetez un œil aux dernières offres sur ImmoScout24.ch.</v>
      </c>
      <c r="J1048" s="4" t="s">
        <v>3148</v>
      </c>
    </row>
    <row r="1049">
      <c r="A1049" s="5" t="s">
        <v>3149</v>
      </c>
      <c r="B1049" s="2" t="s">
        <v>3150</v>
      </c>
      <c r="C1049" s="4" t="str">
        <f>IFERROR(__xludf.DUMMYFUNCTION("""🏘️ ""&amp;REGEXEXTRACT(B1049, ""^(.*): "")&amp;"" ✅ "" &amp;REGEXEXTRACT(B1049, ""(Trouvez.*)"")"),"🏘️ Louer appartement Leuk Stadt ✅ Trouvez le bien immobilier qui correspond idéalement à vos désirs sur ImmoScout24 - La plateforme de l'immobilier en Suisse.")</f>
        <v>🏘️ Louer appartement Leuk Stadt ✅ Trouvez le bien immobilier qui correspond idéalement à vos désirs sur ImmoScout24 - La plateforme de l'immobilier en Suisse.</v>
      </c>
      <c r="D1049" s="4" t="str">
        <f>vlookup(A1049, Sheet2!D:E, 2, 0)</f>
        <v>variant</v>
      </c>
      <c r="E1049" s="4" t="str">
        <f>IFERROR(__xludf.DUMMYFUNCTION("if(H1049=""pays"",vlookup(REGEXEXTRACT(C1049, ""🏘️ \w+ \w+ (.*) ✅""),'Country prepositions'!A:B, 2, 0) &amp; "" "" &amp; REGEXEXTRACT(C1049, ""🏘️ \w+ \w+ (.*) ✅"") ,  if(H1049=""quartier"",vlookup(REGEXEXTRACT(C1049, ""🏘️ \w+ \w+ (.*) ✅""),'Quartier prepositio"&amp;"ns'!A:E, 5, 0) ,  if(H1049=""region"",vlookup(REGEXEXTRACT(C1049, ""🏘️ \w+ \w+ (.*) ✅""),'Region prepositions'!B:F, 5, 0),  REGEXEXTRACT(C1049, ""🏘️ \w+ \w+ (.*) ✅""))))"),"Leuk Stadt")</f>
        <v>Leuk Stadt</v>
      </c>
      <c r="F1049" s="2" t="str">
        <f>IFERROR(__xludf.DUMMYFUNCTION("REGEXEXTRACT(C1049, ""🏘️ (\w+) \w+ .* ✅"")"),"Louer")</f>
        <v>Louer</v>
      </c>
      <c r="G1049" s="2" t="str">
        <f>IFERROR(__xludf.DUMMYFUNCTION("REGEXEXTRACT(C1049, ""🏘️ \w+ (\w+) .* ✅"")"),"appartement")</f>
        <v>appartement</v>
      </c>
      <c r="H1049" s="4" t="str">
        <f>IFERROR(__xludf.DUMMYFUNCTION("REGEXEXTRACT(A1049, ""/(\w+)-.*?"")"),"lieu")</f>
        <v>lieu</v>
      </c>
      <c r="I1049" s="4" t="str">
        <f>IFERROR(__xludf.DUMMYFUNCTION("if(D1049=""variant"",  substitute(filter(Templates!E:E, Templates!A:A = F1049, Templates!B:B = G1049, Templates!C:C = H1049), ""{{}}"", E1049), B1049)"),"🏘  Vous cherchez un appartement à louer à Leuk Stadt? ✅ Les annonces les plus actuelles sont sur ImmoScout24.ch.")</f>
        <v>🏘  Vous cherchez un appartement à louer à Leuk Stadt? ✅ Les annonces les plus actuelles sont sur ImmoScout24.ch.</v>
      </c>
      <c r="J1049" s="2" t="s">
        <v>3151</v>
      </c>
    </row>
    <row r="1050">
      <c r="A1050" s="5" t="s">
        <v>3152</v>
      </c>
      <c r="B1050" s="2" t="s">
        <v>3153</v>
      </c>
      <c r="C1050" s="4" t="str">
        <f>IFERROR(__xludf.DUMMYFUNCTION("""🏘️ ""&amp;REGEXEXTRACT(B1050, ""^(.*): "")&amp;"" ✅ "" &amp;REGEXEXTRACT(B1050, ""(Trouvez.*)"")"),"🏘️ Louer appartement Rossenges ✅ Trouvez le bien immobilier qui correspond idéalement à vos désirs sur ImmoScout24 - La plateforme de l'immobilier en Suisse.")</f>
        <v>🏘️ Louer appartement Rossenges ✅ Trouvez le bien immobilier qui correspond idéalement à vos désirs sur ImmoScout24 - La plateforme de l'immobilier en Suisse.</v>
      </c>
      <c r="D1050" s="4" t="str">
        <f>vlookup(A1050, Sheet2!D:E, 2, 0)</f>
        <v>variant</v>
      </c>
      <c r="E1050" s="4" t="str">
        <f>IFERROR(__xludf.DUMMYFUNCTION("if(H1050=""pays"",vlookup(REGEXEXTRACT(C1050, ""🏘️ \w+ \w+ (.*) ✅""),'Country prepositions'!A:B, 2, 0) &amp; "" "" &amp; REGEXEXTRACT(C1050, ""🏘️ \w+ \w+ (.*) ✅"") ,  if(H1050=""quartier"",vlookup(REGEXEXTRACT(C1050, ""🏘️ \w+ \w+ (.*) ✅""),'Quartier prepositio"&amp;"ns'!A:E, 5, 0) ,  if(H1050=""region"",vlookup(REGEXEXTRACT(C1050, ""🏘️ \w+ \w+ (.*) ✅""),'Region prepositions'!B:F, 5, 0),  REGEXEXTRACT(C1050, ""🏘️ \w+ \w+ (.*) ✅""))))"),"Rossenges")</f>
        <v>Rossenges</v>
      </c>
      <c r="F1050" s="2" t="str">
        <f>IFERROR(__xludf.DUMMYFUNCTION("REGEXEXTRACT(C1050, ""🏘️ (\w+) \w+ .* ✅"")"),"Louer")</f>
        <v>Louer</v>
      </c>
      <c r="G1050" s="2" t="str">
        <f>IFERROR(__xludf.DUMMYFUNCTION("REGEXEXTRACT(C1050, ""🏘️ \w+ (\w+) .* ✅"")"),"appartement")</f>
        <v>appartement</v>
      </c>
      <c r="H1050" s="4" t="str">
        <f>IFERROR(__xludf.DUMMYFUNCTION("REGEXEXTRACT(A1050, ""/(\w+)-.*?"")"),"lieu")</f>
        <v>lieu</v>
      </c>
      <c r="I1050" s="4" t="str">
        <f>IFERROR(__xludf.DUMMYFUNCTION("if(D1050=""variant"",  substitute(filter(Templates!E:E, Templates!A:A = F1050, Templates!B:B = G1050, Templates!C:C = H1050), ""{{}}"", E1050), B1050)"),"🏘  Vous cherchez un appartement à louer à Rossenges? ✅ Les annonces les plus actuelles sont sur ImmoScout24.ch.")</f>
        <v>🏘  Vous cherchez un appartement à louer à Rossenges? ✅ Les annonces les plus actuelles sont sur ImmoScout24.ch.</v>
      </c>
      <c r="J1050" s="4" t="s">
        <v>3154</v>
      </c>
    </row>
    <row r="1051">
      <c r="A1051" s="5" t="s">
        <v>3155</v>
      </c>
      <c r="B1051" s="2" t="s">
        <v>3156</v>
      </c>
      <c r="C1051" s="4" t="str">
        <f>IFERROR(__xludf.DUMMYFUNCTION("""🏘️ ""&amp;REGEXEXTRACT(B1051, ""^(.*): "")&amp;"" ✅ "" &amp;REGEXEXTRACT(B1051, ""(Trouvez.*)"")"),"🏘️ Vendre appartement Müntschemier ✅ Trouvez le bien immobilier qui correspond idéalement à vos désirs sur ImmoScout24 - La plateforme de l'immobilier en Suisse.")</f>
        <v>🏘️ Vendre appartement Müntschemier ✅ Trouvez le bien immobilier qui correspond idéalement à vos désirs sur ImmoScout24 - La plateforme de l'immobilier en Suisse.</v>
      </c>
      <c r="D1051" s="4" t="str">
        <f>vlookup(A1051, Sheet2!D:E, 2, 0)</f>
        <v>variant</v>
      </c>
      <c r="E1051" s="4" t="str">
        <f>IFERROR(__xludf.DUMMYFUNCTION("if(H1051=""pays"",vlookup(REGEXEXTRACT(C1051, ""🏘️ \w+ \w+ (.*) ✅""),'Country prepositions'!A:B, 2, 0) &amp; "" "" &amp; REGEXEXTRACT(C1051, ""🏘️ \w+ \w+ (.*) ✅"") ,  if(H1051=""quartier"",vlookup(REGEXEXTRACT(C1051, ""🏘️ \w+ \w+ (.*) ✅""),'Quartier prepositio"&amp;"ns'!A:E, 5, 0) ,  if(H1051=""region"",vlookup(REGEXEXTRACT(C1051, ""🏘️ \w+ \w+ (.*) ✅""),'Region prepositions'!B:F, 5, 0),  REGEXEXTRACT(C1051, ""🏘️ \w+ \w+ (.*) ✅""))))"),"Müntschemier")</f>
        <v>Müntschemier</v>
      </c>
      <c r="F1051" s="2" t="str">
        <f>IFERROR(__xludf.DUMMYFUNCTION("REGEXEXTRACT(C1051, ""🏘️ (\w+) \w+ .* ✅"")"),"Vendre")</f>
        <v>Vendre</v>
      </c>
      <c r="G1051" s="2" t="str">
        <f>IFERROR(__xludf.DUMMYFUNCTION("REGEXEXTRACT(C1051, ""🏘️ \w+ (\w+) .* ✅"")"),"appartement")</f>
        <v>appartement</v>
      </c>
      <c r="H1051" s="4" t="str">
        <f>IFERROR(__xludf.DUMMYFUNCTION("REGEXEXTRACT(A1051, ""/(\w+)-.*?"")"),"lieu")</f>
        <v>lieu</v>
      </c>
      <c r="I1051" s="4" t="str">
        <f>IFERROR(__xludf.DUMMYFUNCTION("if(D1051=""variant"",  substitute(filter(Templates!E:E, Templates!A:A = F1051, Templates!B:B = G1051, Templates!C:C = H1051), ""{{}}"", E1051), B1051)"),"🏘  L’appartement de vos rêves se trouve sur ImmoScout24.ch ✅ Découvrez les dernières annonces de vente à Müntschemier.")</f>
        <v>🏘  L’appartement de vos rêves se trouve sur ImmoScout24.ch ✅ Découvrez les dernières annonces de vente à Müntschemier.</v>
      </c>
      <c r="J1051" s="4" t="s">
        <v>3157</v>
      </c>
    </row>
    <row r="1052">
      <c r="A1052" s="5" t="s">
        <v>3158</v>
      </c>
      <c r="B1052" s="2" t="s">
        <v>3159</v>
      </c>
      <c r="C1052" s="4" t="str">
        <f>IFERROR(__xludf.DUMMYFUNCTION("""🏘️ ""&amp;REGEXEXTRACT(B1052, ""^(.*): "")&amp;"" ✅ "" &amp;REGEXEXTRACT(B1052, ""(Trouvez.*)"")"),"🏘️ Vendre maison Hofstetten SO ✅ Trouvez le bien immobilier qui correspond idéalement à vos désirs sur ImmoScout24 - La plateforme de l'immobilier en Suisse.")</f>
        <v>🏘️ Vendre maison Hofstetten SO ✅ Trouvez le bien immobilier qui correspond idéalement à vos désirs sur ImmoScout24 - La plateforme de l'immobilier en Suisse.</v>
      </c>
      <c r="D1052" s="4" t="str">
        <f>vlookup(A1052, Sheet2!D:E, 2, 0)</f>
        <v>variant</v>
      </c>
      <c r="E1052" s="4" t="str">
        <f>IFERROR(__xludf.DUMMYFUNCTION("if(H1052=""pays"",vlookup(REGEXEXTRACT(C1052, ""🏘️ \w+ \w+ (.*) ✅""),'Country prepositions'!A:B, 2, 0) &amp; "" "" &amp; REGEXEXTRACT(C1052, ""🏘️ \w+ \w+ (.*) ✅"") ,  if(H1052=""quartier"",vlookup(REGEXEXTRACT(C1052, ""🏘️ \w+ \w+ (.*) ✅""),'Quartier prepositio"&amp;"ns'!A:E, 5, 0) ,  if(H1052=""region"",vlookup(REGEXEXTRACT(C1052, ""🏘️ \w+ \w+ (.*) ✅""),'Region prepositions'!B:F, 5, 0),  REGEXEXTRACT(C1052, ""🏘️ \w+ \w+ (.*) ✅""))))"),"Hofstetten SO")</f>
        <v>Hofstetten SO</v>
      </c>
      <c r="F1052" s="2" t="str">
        <f>IFERROR(__xludf.DUMMYFUNCTION("REGEXEXTRACT(C1052, ""🏘️ (\w+) \w+ .* ✅"")"),"Vendre")</f>
        <v>Vendre</v>
      </c>
      <c r="G1052" s="2" t="str">
        <f>IFERROR(__xludf.DUMMYFUNCTION("REGEXEXTRACT(C1052, ""🏘️ \w+ (\w+) .* ✅"")"),"maison")</f>
        <v>maison</v>
      </c>
      <c r="H1052" s="4" t="str">
        <f>IFERROR(__xludf.DUMMYFUNCTION("REGEXEXTRACT(A1052, ""/(\w+)-.*?"")"),"lieu")</f>
        <v>lieu</v>
      </c>
      <c r="I1052" s="4" t="str">
        <f>IFERROR(__xludf.DUMMYFUNCTION("if(D1052=""variant"",  substitute(filter(Templates!E:E, Templates!A:A = F1052, Templates!B:B = G1052, Templates!C:C = H1052), ""{{}}"", E1052), B1052)"),"🏘  Vous souhaitez acheter une maison à Hofstetten SO? ✅ Jetez un œil aux dernières offres sur ImmoScout24.ch.")</f>
        <v>🏘  Vous souhaitez acheter une maison à Hofstetten SO? ✅ Jetez un œil aux dernières offres sur ImmoScout24.ch.</v>
      </c>
      <c r="J1052" s="4" t="s">
        <v>3160</v>
      </c>
    </row>
    <row r="1053">
      <c r="A1053" s="5" t="s">
        <v>3161</v>
      </c>
      <c r="B1053" s="2" t="s">
        <v>3162</v>
      </c>
      <c r="C1053" s="4" t="str">
        <f>IFERROR(__xludf.DUMMYFUNCTION("""🏘️ ""&amp;REGEXEXTRACT(B1053, ""^(.*): "")&amp;"" ✅ "" &amp;REGEXEXTRACT(B1053, ""(Trouvez.*)"")"),"🏘️ Louer appartement Arbedo ✅ Trouvez le bien immobilier qui correspond idéalement à vos désirs sur ImmoScout24 - La plateforme de l'immobilier en Suisse.")</f>
        <v>🏘️ Louer appartement Arbedo ✅ Trouvez le bien immobilier qui correspond idéalement à vos désirs sur ImmoScout24 - La plateforme de l'immobilier en Suisse.</v>
      </c>
      <c r="D1053" s="4" t="str">
        <f>vlookup(A1053, Sheet2!D:E, 2, 0)</f>
        <v>variant</v>
      </c>
      <c r="E1053" s="4" t="str">
        <f>IFERROR(__xludf.DUMMYFUNCTION("if(H1053=""pays"",vlookup(REGEXEXTRACT(C1053, ""🏘️ \w+ \w+ (.*) ✅""),'Country prepositions'!A:B, 2, 0) &amp; "" "" &amp; REGEXEXTRACT(C1053, ""🏘️ \w+ \w+ (.*) ✅"") ,  if(H1053=""quartier"",vlookup(REGEXEXTRACT(C1053, ""🏘️ \w+ \w+ (.*) ✅""),'Quartier prepositio"&amp;"ns'!A:E, 5, 0) ,  if(H1053=""region"",vlookup(REGEXEXTRACT(C1053, ""🏘️ \w+ \w+ (.*) ✅""),'Region prepositions'!B:F, 5, 0),  REGEXEXTRACT(C1053, ""🏘️ \w+ \w+ (.*) ✅""))))"),"Arbedo")</f>
        <v>Arbedo</v>
      </c>
      <c r="F1053" s="2" t="str">
        <f>IFERROR(__xludf.DUMMYFUNCTION("REGEXEXTRACT(C1053, ""🏘️ (\w+) \w+ .* ✅"")"),"Louer")</f>
        <v>Louer</v>
      </c>
      <c r="G1053" s="2" t="str">
        <f>IFERROR(__xludf.DUMMYFUNCTION("REGEXEXTRACT(C1053, ""🏘️ \w+ (\w+) .* ✅"")"),"appartement")</f>
        <v>appartement</v>
      </c>
      <c r="H1053" s="4" t="str">
        <f>IFERROR(__xludf.DUMMYFUNCTION("REGEXEXTRACT(A1053, ""/(\w+)-.*?"")"),"lieu")</f>
        <v>lieu</v>
      </c>
      <c r="I1053" s="4" t="str">
        <f>IFERROR(__xludf.DUMMYFUNCTION("if(D1053=""variant"",  substitute(filter(Templates!E:E, Templates!A:A = F1053, Templates!B:B = G1053, Templates!C:C = H1053), ""{{}}"", E1053), B1053)"),"🏘  Vous cherchez un appartement à louer à Arbedo? ✅ Les annonces les plus actuelles sont sur ImmoScout24.ch.")</f>
        <v>🏘  Vous cherchez un appartement à louer à Arbedo? ✅ Les annonces les plus actuelles sont sur ImmoScout24.ch.</v>
      </c>
      <c r="J1053" s="4" t="s">
        <v>3163</v>
      </c>
    </row>
    <row r="1054">
      <c r="A1054" s="5" t="s">
        <v>3164</v>
      </c>
      <c r="B1054" s="2" t="s">
        <v>3165</v>
      </c>
      <c r="C1054" s="4" t="str">
        <f>IFERROR(__xludf.DUMMYFUNCTION("""🏘️ ""&amp;REGEXEXTRACT(B1054, ""^(.*): "")&amp;"" ✅ "" &amp;REGEXEXTRACT(B1054, ""(Trouvez.*)"")"),"🏘️ Louer appartement Reinach BL ✅ Trouvez le bien immobilier qui correspond idéalement à vos désirs sur ImmoScout24 - La plateforme de l'immobilier en Suisse.")</f>
        <v>🏘️ Louer appartement Reinach BL ✅ Trouvez le bien immobilier qui correspond idéalement à vos désirs sur ImmoScout24 - La plateforme de l'immobilier en Suisse.</v>
      </c>
      <c r="D1054" s="4" t="str">
        <f>vlookup(A1054, Sheet2!D:E, 2, 0)</f>
        <v>variant</v>
      </c>
      <c r="E1054" s="4" t="str">
        <f>IFERROR(__xludf.DUMMYFUNCTION("if(H1054=""pays"",vlookup(REGEXEXTRACT(C1054, ""🏘️ \w+ \w+ (.*) ✅""),'Country prepositions'!A:B, 2, 0) &amp; "" "" &amp; REGEXEXTRACT(C1054, ""🏘️ \w+ \w+ (.*) ✅"") ,  if(H1054=""quartier"",vlookup(REGEXEXTRACT(C1054, ""🏘️ \w+ \w+ (.*) ✅""),'Quartier prepositio"&amp;"ns'!A:E, 5, 0) ,  if(H1054=""region"",vlookup(REGEXEXTRACT(C1054, ""🏘️ \w+ \w+ (.*) ✅""),'Region prepositions'!B:F, 5, 0),  REGEXEXTRACT(C1054, ""🏘️ \w+ \w+ (.*) ✅""))))"),"Reinach BL")</f>
        <v>Reinach BL</v>
      </c>
      <c r="F1054" s="2" t="str">
        <f>IFERROR(__xludf.DUMMYFUNCTION("REGEXEXTRACT(C1054, ""🏘️ (\w+) \w+ .* ✅"")"),"Louer")</f>
        <v>Louer</v>
      </c>
      <c r="G1054" s="2" t="str">
        <f>IFERROR(__xludf.DUMMYFUNCTION("REGEXEXTRACT(C1054, ""🏘️ \w+ (\w+) .* ✅"")"),"appartement")</f>
        <v>appartement</v>
      </c>
      <c r="H1054" s="4" t="str">
        <f>IFERROR(__xludf.DUMMYFUNCTION("REGEXEXTRACT(A1054, ""/(\w+)-.*?"")"),"lieu")</f>
        <v>lieu</v>
      </c>
      <c r="I1054" s="4" t="str">
        <f>IFERROR(__xludf.DUMMYFUNCTION("if(D1054=""variant"",  substitute(filter(Templates!E:E, Templates!A:A = F1054, Templates!B:B = G1054, Templates!C:C = H1054), ""{{}}"", E1054), B1054)"),"🏘  Vous cherchez un appartement à louer à Reinach BL? ✅ Les annonces les plus actuelles sont sur ImmoScout24.ch.")</f>
        <v>🏘  Vous cherchez un appartement à louer à Reinach BL? ✅ Les annonces les plus actuelles sont sur ImmoScout24.ch.</v>
      </c>
      <c r="J1054" s="4" t="s">
        <v>3166</v>
      </c>
    </row>
    <row r="1055">
      <c r="A1055" s="5" t="s">
        <v>3167</v>
      </c>
      <c r="B1055" s="2" t="s">
        <v>3168</v>
      </c>
      <c r="C1055" s="4" t="str">
        <f>IFERROR(__xludf.DUMMYFUNCTION("""🏘️ ""&amp;REGEXEXTRACT(B1055, ""^(.*): "")&amp;"" ✅ "" &amp;REGEXEXTRACT(B1055, ""(Trouvez.*)"")"),"🏘️ Vendre appartement Düdingen ✅ Trouvez le bien immobilier qui correspond idéalement à vos désirs sur ImmoScout24 - La plateforme de l'immobilier en Suisse.")</f>
        <v>🏘️ Vendre appartement Düdingen ✅ Trouvez le bien immobilier qui correspond idéalement à vos désirs sur ImmoScout24 - La plateforme de l'immobilier en Suisse.</v>
      </c>
      <c r="D1055" s="4" t="str">
        <f>vlookup(A1055, Sheet2!D:E, 2, 0)</f>
        <v>variant</v>
      </c>
      <c r="E1055" s="4" t="str">
        <f>IFERROR(__xludf.DUMMYFUNCTION("if(H1055=""pays"",vlookup(REGEXEXTRACT(C1055, ""🏘️ \w+ \w+ (.*) ✅""),'Country prepositions'!A:B, 2, 0) &amp; "" "" &amp; REGEXEXTRACT(C1055, ""🏘️ \w+ \w+ (.*) ✅"") ,  if(H1055=""quartier"",vlookup(REGEXEXTRACT(C1055, ""🏘️ \w+ \w+ (.*) ✅""),'Quartier prepositio"&amp;"ns'!A:E, 5, 0) ,  if(H1055=""region"",vlookup(REGEXEXTRACT(C1055, ""🏘️ \w+ \w+ (.*) ✅""),'Region prepositions'!B:F, 5, 0),  REGEXEXTRACT(C1055, ""🏘️ \w+ \w+ (.*) ✅""))))"),"Düdingen")</f>
        <v>Düdingen</v>
      </c>
      <c r="F1055" s="2" t="str">
        <f>IFERROR(__xludf.DUMMYFUNCTION("REGEXEXTRACT(C1055, ""🏘️ (\w+) \w+ .* ✅"")"),"Vendre")</f>
        <v>Vendre</v>
      </c>
      <c r="G1055" s="2" t="str">
        <f>IFERROR(__xludf.DUMMYFUNCTION("REGEXEXTRACT(C1055, ""🏘️ \w+ (\w+) .* ✅"")"),"appartement")</f>
        <v>appartement</v>
      </c>
      <c r="H1055" s="4" t="str">
        <f>IFERROR(__xludf.DUMMYFUNCTION("REGEXEXTRACT(A1055, ""/(\w+)-.*?"")"),"lieu")</f>
        <v>lieu</v>
      </c>
      <c r="I1055" s="4" t="str">
        <f>IFERROR(__xludf.DUMMYFUNCTION("if(D1055=""variant"",  substitute(filter(Templates!E:E, Templates!A:A = F1055, Templates!B:B = G1055, Templates!C:C = H1055), ""{{}}"", E1055), B1055)"),"🏘  L’appartement de vos rêves se trouve sur ImmoScout24.ch ✅ Découvrez les dernières annonces de vente à Düdingen.")</f>
        <v>🏘  L’appartement de vos rêves se trouve sur ImmoScout24.ch ✅ Découvrez les dernières annonces de vente à Düdingen.</v>
      </c>
      <c r="J1055" s="4" t="s">
        <v>3169</v>
      </c>
    </row>
    <row r="1056">
      <c r="A1056" s="5" t="s">
        <v>3170</v>
      </c>
      <c r="B1056" s="2" t="s">
        <v>3171</v>
      </c>
      <c r="C1056" s="4" t="str">
        <f>IFERROR(__xludf.DUMMYFUNCTION("""🏘️ ""&amp;REGEXEXTRACT(B1056, ""^(.*): "")&amp;"" ✅ "" &amp;REGEXEXTRACT(B1056, ""(Trouvez.*)"")"),"🏘️ Vendre appartement Confignon ✅ Trouvez le bien immobilier qui correspond idéalement à vos désirs sur ImmoScout24 - La plateforme de l'immobilier en Suisse.")</f>
        <v>🏘️ Vendre appartement Confignon ✅ Trouvez le bien immobilier qui correspond idéalement à vos désirs sur ImmoScout24 - La plateforme de l'immobilier en Suisse.</v>
      </c>
      <c r="D1056" s="4" t="str">
        <f>vlookup(A1056, Sheet2!D:E, 2, 0)</f>
        <v>variant</v>
      </c>
      <c r="E1056" s="4" t="str">
        <f>IFERROR(__xludf.DUMMYFUNCTION("if(H1056=""pays"",vlookup(REGEXEXTRACT(C1056, ""🏘️ \w+ \w+ (.*) ✅""),'Country prepositions'!A:B, 2, 0) &amp; "" "" &amp; REGEXEXTRACT(C1056, ""🏘️ \w+ \w+ (.*) ✅"") ,  if(H1056=""quartier"",vlookup(REGEXEXTRACT(C1056, ""🏘️ \w+ \w+ (.*) ✅""),'Quartier prepositio"&amp;"ns'!A:E, 5, 0) ,  if(H1056=""region"",vlookup(REGEXEXTRACT(C1056, ""🏘️ \w+ \w+ (.*) ✅""),'Region prepositions'!B:F, 5, 0),  REGEXEXTRACT(C1056, ""🏘️ \w+ \w+ (.*) ✅""))))"),"Confignon")</f>
        <v>Confignon</v>
      </c>
      <c r="F1056" s="2" t="str">
        <f>IFERROR(__xludf.DUMMYFUNCTION("REGEXEXTRACT(C1056, ""🏘️ (\w+) \w+ .* ✅"")"),"Vendre")</f>
        <v>Vendre</v>
      </c>
      <c r="G1056" s="2" t="str">
        <f>IFERROR(__xludf.DUMMYFUNCTION("REGEXEXTRACT(C1056, ""🏘️ \w+ (\w+) .* ✅"")"),"appartement")</f>
        <v>appartement</v>
      </c>
      <c r="H1056" s="4" t="str">
        <f>IFERROR(__xludf.DUMMYFUNCTION("REGEXEXTRACT(A1056, ""/(\w+)-.*?"")"),"lieu")</f>
        <v>lieu</v>
      </c>
      <c r="I1056" s="4" t="str">
        <f>IFERROR(__xludf.DUMMYFUNCTION("if(D1056=""variant"",  substitute(filter(Templates!E:E, Templates!A:A = F1056, Templates!B:B = G1056, Templates!C:C = H1056), ""{{}}"", E1056), B1056)"),"🏘  L’appartement de vos rêves se trouve sur ImmoScout24.ch ✅ Découvrez les dernières annonces de vente à Confignon.")</f>
        <v>🏘  L’appartement de vos rêves se trouve sur ImmoScout24.ch ✅ Découvrez les dernières annonces de vente à Confignon.</v>
      </c>
      <c r="J1056" s="4" t="s">
        <v>3172</v>
      </c>
    </row>
    <row r="1057">
      <c r="A1057" s="5" t="s">
        <v>3173</v>
      </c>
      <c r="B1057" s="2" t="s">
        <v>3174</v>
      </c>
      <c r="C1057" s="4" t="str">
        <f>IFERROR(__xludf.DUMMYFUNCTION("""🏘️ ""&amp;REGEXEXTRACT(B1057, ""^(.*): "")&amp;"" ✅ "" &amp;REGEXEXTRACT(B1057, ""(Trouvez.*)"")"),"🏘️ Louer appartement Flanthey ✅ Trouvez le bien immobilier qui correspond idéalement à vos désirs sur ImmoScout24 - La plateforme de l'immobilier en Suisse.")</f>
        <v>🏘️ Louer appartement Flanthey ✅ Trouvez le bien immobilier qui correspond idéalement à vos désirs sur ImmoScout24 - La plateforme de l'immobilier en Suisse.</v>
      </c>
      <c r="D1057" s="4" t="str">
        <f>vlookup(A1057, Sheet2!D:E, 2, 0)</f>
        <v>variant</v>
      </c>
      <c r="E1057" s="4" t="str">
        <f>IFERROR(__xludf.DUMMYFUNCTION("if(H1057=""pays"",vlookup(REGEXEXTRACT(C1057, ""🏘️ \w+ \w+ (.*) ✅""),'Country prepositions'!A:B, 2, 0) &amp; "" "" &amp; REGEXEXTRACT(C1057, ""🏘️ \w+ \w+ (.*) ✅"") ,  if(H1057=""quartier"",vlookup(REGEXEXTRACT(C1057, ""🏘️ \w+ \w+ (.*) ✅""),'Quartier prepositio"&amp;"ns'!A:E, 5, 0) ,  if(H1057=""region"",vlookup(REGEXEXTRACT(C1057, ""🏘️ \w+ \w+ (.*) ✅""),'Region prepositions'!B:F, 5, 0),  REGEXEXTRACT(C1057, ""🏘️ \w+ \w+ (.*) ✅""))))"),"Flanthey")</f>
        <v>Flanthey</v>
      </c>
      <c r="F1057" s="2" t="str">
        <f>IFERROR(__xludf.DUMMYFUNCTION("REGEXEXTRACT(C1057, ""🏘️ (\w+) \w+ .* ✅"")"),"Louer")</f>
        <v>Louer</v>
      </c>
      <c r="G1057" s="2" t="str">
        <f>IFERROR(__xludf.DUMMYFUNCTION("REGEXEXTRACT(C1057, ""🏘️ \w+ (\w+) .* ✅"")"),"appartement")</f>
        <v>appartement</v>
      </c>
      <c r="H1057" s="4" t="str">
        <f>IFERROR(__xludf.DUMMYFUNCTION("REGEXEXTRACT(A1057, ""/(\w+)-.*?"")"),"lieu")</f>
        <v>lieu</v>
      </c>
      <c r="I1057" s="4" t="str">
        <f>IFERROR(__xludf.DUMMYFUNCTION("if(D1057=""variant"",  substitute(filter(Templates!E:E, Templates!A:A = F1057, Templates!B:B = G1057, Templates!C:C = H1057), ""{{}}"", E1057), B1057)"),"🏘  Vous cherchez un appartement à louer à Flanthey? ✅ Les annonces les plus actuelles sont sur ImmoScout24.ch.")</f>
        <v>🏘  Vous cherchez un appartement à louer à Flanthey? ✅ Les annonces les plus actuelles sont sur ImmoScout24.ch.</v>
      </c>
      <c r="J1057" s="4" t="s">
        <v>3175</v>
      </c>
    </row>
    <row r="1058">
      <c r="A1058" s="5" t="s">
        <v>3176</v>
      </c>
      <c r="B1058" s="2" t="s">
        <v>3177</v>
      </c>
      <c r="C1058" s="4" t="str">
        <f>IFERROR(__xludf.DUMMYFUNCTION("""🏘️ ""&amp;REGEXEXTRACT(B1058, ""^(.*): "")&amp;"" ✅ "" &amp;REGEXEXTRACT(B1058, ""(Trouvez.*)"")"),"🏘️ Vendre maison Prahins ✅ Trouvez le bien immobilier qui correspond idéalement à vos désirs sur ImmoScout24 - La plateforme de l'immobilier en Suisse.")</f>
        <v>🏘️ Vendre maison Prahins ✅ Trouvez le bien immobilier qui correspond idéalement à vos désirs sur ImmoScout24 - La plateforme de l'immobilier en Suisse.</v>
      </c>
      <c r="D1058" s="4" t="str">
        <f>vlookup(A1058, Sheet2!D:E, 2, 0)</f>
        <v>variant</v>
      </c>
      <c r="E1058" s="4" t="str">
        <f>IFERROR(__xludf.DUMMYFUNCTION("if(H1058=""pays"",vlookup(REGEXEXTRACT(C1058, ""🏘️ \w+ \w+ (.*) ✅""),'Country prepositions'!A:B, 2, 0) &amp; "" "" &amp; REGEXEXTRACT(C1058, ""🏘️ \w+ \w+ (.*) ✅"") ,  if(H1058=""quartier"",vlookup(REGEXEXTRACT(C1058, ""🏘️ \w+ \w+ (.*) ✅""),'Quartier prepositio"&amp;"ns'!A:E, 5, 0) ,  if(H1058=""region"",vlookup(REGEXEXTRACT(C1058, ""🏘️ \w+ \w+ (.*) ✅""),'Region prepositions'!B:F, 5, 0),  REGEXEXTRACT(C1058, ""🏘️ \w+ \w+ (.*) ✅""))))"),"Prahins")</f>
        <v>Prahins</v>
      </c>
      <c r="F1058" s="2" t="str">
        <f>IFERROR(__xludf.DUMMYFUNCTION("REGEXEXTRACT(C1058, ""🏘️ (\w+) \w+ .* ✅"")"),"Vendre")</f>
        <v>Vendre</v>
      </c>
      <c r="G1058" s="2" t="str">
        <f>IFERROR(__xludf.DUMMYFUNCTION("REGEXEXTRACT(C1058, ""🏘️ \w+ (\w+) .* ✅"")"),"maison")</f>
        <v>maison</v>
      </c>
      <c r="H1058" s="4" t="str">
        <f>IFERROR(__xludf.DUMMYFUNCTION("REGEXEXTRACT(A1058, ""/(\w+)-.*?"")"),"lieu")</f>
        <v>lieu</v>
      </c>
      <c r="I1058" s="4" t="str">
        <f>IFERROR(__xludf.DUMMYFUNCTION("if(D1058=""variant"",  substitute(filter(Templates!E:E, Templates!A:A = F1058, Templates!B:B = G1058, Templates!C:C = H1058), ""{{}}"", E1058), B1058)"),"🏘  Vous souhaitez acheter une maison à Prahins? ✅ Jetez un œil aux dernières offres sur ImmoScout24.ch.")</f>
        <v>🏘  Vous souhaitez acheter une maison à Prahins? ✅ Jetez un œil aux dernières offres sur ImmoScout24.ch.</v>
      </c>
      <c r="J1058" s="4" t="s">
        <v>3178</v>
      </c>
    </row>
    <row r="1059">
      <c r="A1059" s="5" t="s">
        <v>3179</v>
      </c>
      <c r="B1059" s="2" t="s">
        <v>3180</v>
      </c>
      <c r="C1059" s="4" t="str">
        <f>IFERROR(__xludf.DUMMYFUNCTION("""🏘️ ""&amp;REGEXEXTRACT(B1059, ""^(.*): "")&amp;"" ✅ "" &amp;REGEXEXTRACT(B1059, ""(Trouvez.*)"")"),"🏘️ Vendre appartement Sonceboz-Sombeval ✅ Trouvez le bien immobilier qui correspond idéalement à vos désirs sur ImmoScout24 - La plateforme de l'immobilier en Suisse.")</f>
        <v>🏘️ Vendre appartement Sonceboz-Sombeval ✅ Trouvez le bien immobilier qui correspond idéalement à vos désirs sur ImmoScout24 - La plateforme de l'immobilier en Suisse.</v>
      </c>
      <c r="D1059" s="4" t="str">
        <f>vlookup(A1059, Sheet2!D:E, 2, 0)</f>
        <v>variant</v>
      </c>
      <c r="E1059" s="4" t="str">
        <f>IFERROR(__xludf.DUMMYFUNCTION("if(H1059=""pays"",vlookup(REGEXEXTRACT(C1059, ""🏘️ \w+ \w+ (.*) ✅""),'Country prepositions'!A:B, 2, 0) &amp; "" "" &amp; REGEXEXTRACT(C1059, ""🏘️ \w+ \w+ (.*) ✅"") ,  if(H1059=""quartier"",vlookup(REGEXEXTRACT(C1059, ""🏘️ \w+ \w+ (.*) ✅""),'Quartier prepositio"&amp;"ns'!A:E, 5, 0) ,  if(H1059=""region"",vlookup(REGEXEXTRACT(C1059, ""🏘️ \w+ \w+ (.*) ✅""),'Region prepositions'!B:F, 5, 0),  REGEXEXTRACT(C1059, ""🏘️ \w+ \w+ (.*) ✅""))))"),"Sonceboz-Sombeval")</f>
        <v>Sonceboz-Sombeval</v>
      </c>
      <c r="F1059" s="2" t="str">
        <f>IFERROR(__xludf.DUMMYFUNCTION("REGEXEXTRACT(C1059, ""🏘️ (\w+) \w+ .* ✅"")"),"Vendre")</f>
        <v>Vendre</v>
      </c>
      <c r="G1059" s="2" t="str">
        <f>IFERROR(__xludf.DUMMYFUNCTION("REGEXEXTRACT(C1059, ""🏘️ \w+ (\w+) .* ✅"")"),"appartement")</f>
        <v>appartement</v>
      </c>
      <c r="H1059" s="4" t="str">
        <f>IFERROR(__xludf.DUMMYFUNCTION("REGEXEXTRACT(A1059, ""/(\w+)-.*?"")"),"lieu")</f>
        <v>lieu</v>
      </c>
      <c r="I1059" s="4" t="str">
        <f>IFERROR(__xludf.DUMMYFUNCTION("if(D1059=""variant"",  substitute(filter(Templates!E:E, Templates!A:A = F1059, Templates!B:B = G1059, Templates!C:C = H1059), ""{{}}"", E1059), B1059)"),"🏘  L’appartement de vos rêves se trouve sur ImmoScout24.ch ✅ Découvrez les dernières annonces de vente à Sonceboz-Sombeval.")</f>
        <v>🏘  L’appartement de vos rêves se trouve sur ImmoScout24.ch ✅ Découvrez les dernières annonces de vente à Sonceboz-Sombeval.</v>
      </c>
      <c r="J1059" s="4" t="s">
        <v>3181</v>
      </c>
    </row>
    <row r="1060">
      <c r="A1060" s="5" t="s">
        <v>3182</v>
      </c>
      <c r="B1060" s="2" t="s">
        <v>3183</v>
      </c>
      <c r="C1060" s="4" t="str">
        <f>IFERROR(__xludf.DUMMYFUNCTION("""🏘️ ""&amp;REGEXEXTRACT(B1060, ""^(.*): "")&amp;"" ✅ "" &amp;REGEXEXTRACT(B1060, ""(Trouvez.*)"")"),"🏘️ Louer appartement Riniken ✅ Trouvez le bien immobilier qui correspond idéalement à vos désirs sur ImmoScout24 - La plateforme de l'immobilier en Suisse.")</f>
        <v>🏘️ Louer appartement Riniken ✅ Trouvez le bien immobilier qui correspond idéalement à vos désirs sur ImmoScout24 - La plateforme de l'immobilier en Suisse.</v>
      </c>
      <c r="D1060" s="4" t="str">
        <f>vlookup(A1060, Sheet2!D:E, 2, 0)</f>
        <v>variant</v>
      </c>
      <c r="E1060" s="4" t="str">
        <f>IFERROR(__xludf.DUMMYFUNCTION("if(H1060=""pays"",vlookup(REGEXEXTRACT(C1060, ""🏘️ \w+ \w+ (.*) ✅""),'Country prepositions'!A:B, 2, 0) &amp; "" "" &amp; REGEXEXTRACT(C1060, ""🏘️ \w+ \w+ (.*) ✅"") ,  if(H1060=""quartier"",vlookup(REGEXEXTRACT(C1060, ""🏘️ \w+ \w+ (.*) ✅""),'Quartier prepositio"&amp;"ns'!A:E, 5, 0) ,  if(H1060=""region"",vlookup(REGEXEXTRACT(C1060, ""🏘️ \w+ \w+ (.*) ✅""),'Region prepositions'!B:F, 5, 0),  REGEXEXTRACT(C1060, ""🏘️ \w+ \w+ (.*) ✅""))))"),"Riniken")</f>
        <v>Riniken</v>
      </c>
      <c r="F1060" s="2" t="str">
        <f>IFERROR(__xludf.DUMMYFUNCTION("REGEXEXTRACT(C1060, ""🏘️ (\w+) \w+ .* ✅"")"),"Louer")</f>
        <v>Louer</v>
      </c>
      <c r="G1060" s="2" t="str">
        <f>IFERROR(__xludf.DUMMYFUNCTION("REGEXEXTRACT(C1060, ""🏘️ \w+ (\w+) .* ✅"")"),"appartement")</f>
        <v>appartement</v>
      </c>
      <c r="H1060" s="4" t="str">
        <f>IFERROR(__xludf.DUMMYFUNCTION("REGEXEXTRACT(A1060, ""/(\w+)-.*?"")"),"lieu")</f>
        <v>lieu</v>
      </c>
      <c r="I1060" s="4" t="str">
        <f>IFERROR(__xludf.DUMMYFUNCTION("if(D1060=""variant"",  substitute(filter(Templates!E:E, Templates!A:A = F1060, Templates!B:B = G1060, Templates!C:C = H1060), ""{{}}"", E1060), B1060)"),"🏘  Vous cherchez un appartement à louer à Riniken? ✅ Les annonces les plus actuelles sont sur ImmoScout24.ch.")</f>
        <v>🏘  Vous cherchez un appartement à louer à Riniken? ✅ Les annonces les plus actuelles sont sur ImmoScout24.ch.</v>
      </c>
      <c r="J1060" s="4" t="s">
        <v>3184</v>
      </c>
    </row>
    <row r="1061">
      <c r="A1061" s="5" t="s">
        <v>3185</v>
      </c>
      <c r="B1061" s="2" t="s">
        <v>3186</v>
      </c>
      <c r="C1061" s="4" t="str">
        <f>IFERROR(__xludf.DUMMYFUNCTION("""🏘️ ""&amp;REGEXEXTRACT(B1061, ""^(.*): "")&amp;"" ✅ "" &amp;REGEXEXTRACT(B1061, ""(Trouvez.*)"")"),"🏘️ Vendre maison Hilterfingen ✅ Trouvez le bien immobilier qui correspond idéalement à vos désirs sur ImmoScout24 - La plateforme de l'immobilier en Suisse.")</f>
        <v>🏘️ Vendre maison Hilterfingen ✅ Trouvez le bien immobilier qui correspond idéalement à vos désirs sur ImmoScout24 - La plateforme de l'immobilier en Suisse.</v>
      </c>
      <c r="D1061" s="4" t="str">
        <f>vlookup(A1061, Sheet2!D:E, 2, 0)</f>
        <v>variant</v>
      </c>
      <c r="E1061" s="4" t="str">
        <f>IFERROR(__xludf.DUMMYFUNCTION("if(H1061=""pays"",vlookup(REGEXEXTRACT(C1061, ""🏘️ \w+ \w+ (.*) ✅""),'Country prepositions'!A:B, 2, 0) &amp; "" "" &amp; REGEXEXTRACT(C1061, ""🏘️ \w+ \w+ (.*) ✅"") ,  if(H1061=""quartier"",vlookup(REGEXEXTRACT(C1061, ""🏘️ \w+ \w+ (.*) ✅""),'Quartier prepositio"&amp;"ns'!A:E, 5, 0) ,  if(H1061=""region"",vlookup(REGEXEXTRACT(C1061, ""🏘️ \w+ \w+ (.*) ✅""),'Region prepositions'!B:F, 5, 0),  REGEXEXTRACT(C1061, ""🏘️ \w+ \w+ (.*) ✅""))))"),"Hilterfingen")</f>
        <v>Hilterfingen</v>
      </c>
      <c r="F1061" s="2" t="str">
        <f>IFERROR(__xludf.DUMMYFUNCTION("REGEXEXTRACT(C1061, ""🏘️ (\w+) \w+ .* ✅"")"),"Vendre")</f>
        <v>Vendre</v>
      </c>
      <c r="G1061" s="2" t="str">
        <f>IFERROR(__xludf.DUMMYFUNCTION("REGEXEXTRACT(C1061, ""🏘️ \w+ (\w+) .* ✅"")"),"maison")</f>
        <v>maison</v>
      </c>
      <c r="H1061" s="4" t="str">
        <f>IFERROR(__xludf.DUMMYFUNCTION("REGEXEXTRACT(A1061, ""/(\w+)-.*?"")"),"lieu")</f>
        <v>lieu</v>
      </c>
      <c r="I1061" s="4" t="str">
        <f>IFERROR(__xludf.DUMMYFUNCTION("if(D1061=""variant"",  substitute(filter(Templates!E:E, Templates!A:A = F1061, Templates!B:B = G1061, Templates!C:C = H1061), ""{{}}"", E1061), B1061)"),"🏘  Vous souhaitez acheter une maison à Hilterfingen? ✅ Jetez un œil aux dernières offres sur ImmoScout24.ch.")</f>
        <v>🏘  Vous souhaitez acheter une maison à Hilterfingen? ✅ Jetez un œil aux dernières offres sur ImmoScout24.ch.</v>
      </c>
      <c r="J1061" s="4" t="s">
        <v>3187</v>
      </c>
    </row>
    <row r="1062">
      <c r="A1062" s="5" t="s">
        <v>3188</v>
      </c>
      <c r="B1062" s="2" t="s">
        <v>3189</v>
      </c>
      <c r="C1062" s="4" t="str">
        <f>IFERROR(__xludf.DUMMYFUNCTION("""🏘️ ""&amp;REGEXEXTRACT(B1062, ""^(.*): "")&amp;"" ✅ "" &amp;REGEXEXTRACT(B1062, ""(Trouvez.*)"")"),"🏘️ Vendre maison Ocourt ✅ Trouvez le bien immobilier qui correspond idéalement à vos désirs sur ImmoScout24 - La plateforme de l'immobilier en Suisse.")</f>
        <v>🏘️ Vendre maison Ocourt ✅ Trouvez le bien immobilier qui correspond idéalement à vos désirs sur ImmoScout24 - La plateforme de l'immobilier en Suisse.</v>
      </c>
      <c r="D1062" s="4" t="str">
        <f>vlookup(A1062, Sheet2!D:E, 2, 0)</f>
        <v>variant</v>
      </c>
      <c r="E1062" s="4" t="str">
        <f>IFERROR(__xludf.DUMMYFUNCTION("if(H1062=""pays"",vlookup(REGEXEXTRACT(C1062, ""🏘️ \w+ \w+ (.*) ✅""),'Country prepositions'!A:B, 2, 0) &amp; "" "" &amp; REGEXEXTRACT(C1062, ""🏘️ \w+ \w+ (.*) ✅"") ,  if(H1062=""quartier"",vlookup(REGEXEXTRACT(C1062, ""🏘️ \w+ \w+ (.*) ✅""),'Quartier prepositio"&amp;"ns'!A:E, 5, 0) ,  if(H1062=""region"",vlookup(REGEXEXTRACT(C1062, ""🏘️ \w+ \w+ (.*) ✅""),'Region prepositions'!B:F, 5, 0),  REGEXEXTRACT(C1062, ""🏘️ \w+ \w+ (.*) ✅""))))"),"Ocourt")</f>
        <v>Ocourt</v>
      </c>
      <c r="F1062" s="2" t="str">
        <f>IFERROR(__xludf.DUMMYFUNCTION("REGEXEXTRACT(C1062, ""🏘️ (\w+) \w+ .* ✅"")"),"Vendre")</f>
        <v>Vendre</v>
      </c>
      <c r="G1062" s="2" t="str">
        <f>IFERROR(__xludf.DUMMYFUNCTION("REGEXEXTRACT(C1062, ""🏘️ \w+ (\w+) .* ✅"")"),"maison")</f>
        <v>maison</v>
      </c>
      <c r="H1062" s="4" t="str">
        <f>IFERROR(__xludf.DUMMYFUNCTION("REGEXEXTRACT(A1062, ""/(\w+)-.*?"")"),"lieu")</f>
        <v>lieu</v>
      </c>
      <c r="I1062" s="4" t="str">
        <f>IFERROR(__xludf.DUMMYFUNCTION("if(D1062=""variant"",  substitute(filter(Templates!E:E, Templates!A:A = F1062, Templates!B:B = G1062, Templates!C:C = H1062), ""{{}}"", E1062), B1062)"),"🏘  Vous souhaitez acheter une maison à Ocourt? ✅ Jetez un œil aux dernières offres sur ImmoScout24.ch.")</f>
        <v>🏘  Vous souhaitez acheter une maison à Ocourt? ✅ Jetez un œil aux dernières offres sur ImmoScout24.ch.</v>
      </c>
      <c r="J1062" s="4" t="s">
        <v>3190</v>
      </c>
    </row>
    <row r="1063">
      <c r="A1063" s="5" t="s">
        <v>3191</v>
      </c>
      <c r="B1063" s="2" t="s">
        <v>3192</v>
      </c>
      <c r="C1063" s="4" t="str">
        <f>IFERROR(__xludf.DUMMYFUNCTION("""🏘️ ""&amp;REGEXEXTRACT(B1063, ""^(.*): "")&amp;"" ✅ "" &amp;REGEXEXTRACT(B1063, ""(Trouvez.*)"")"),"🏘️ Vendre maison Oleyres ✅ Trouvez le bien immobilier qui correspond idéalement à vos désirs sur ImmoScout24 - La plateforme de l'immobilier en Suisse.")</f>
        <v>🏘️ Vendre maison Oleyres ✅ Trouvez le bien immobilier qui correspond idéalement à vos désirs sur ImmoScout24 - La plateforme de l'immobilier en Suisse.</v>
      </c>
      <c r="D1063" s="4" t="str">
        <f>vlookup(A1063, Sheet2!D:E, 2, 0)</f>
        <v>variant</v>
      </c>
      <c r="E1063" s="4" t="str">
        <f>IFERROR(__xludf.DUMMYFUNCTION("if(H1063=""pays"",vlookup(REGEXEXTRACT(C1063, ""🏘️ \w+ \w+ (.*) ✅""),'Country prepositions'!A:B, 2, 0) &amp; "" "" &amp; REGEXEXTRACT(C1063, ""🏘️ \w+ \w+ (.*) ✅"") ,  if(H1063=""quartier"",vlookup(REGEXEXTRACT(C1063, ""🏘️ \w+ \w+ (.*) ✅""),'Quartier prepositio"&amp;"ns'!A:E, 5, 0) ,  if(H1063=""region"",vlookup(REGEXEXTRACT(C1063, ""🏘️ \w+ \w+ (.*) ✅""),'Region prepositions'!B:F, 5, 0),  REGEXEXTRACT(C1063, ""🏘️ \w+ \w+ (.*) ✅""))))"),"Oleyres")</f>
        <v>Oleyres</v>
      </c>
      <c r="F1063" s="2" t="str">
        <f>IFERROR(__xludf.DUMMYFUNCTION("REGEXEXTRACT(C1063, ""🏘️ (\w+) \w+ .* ✅"")"),"Vendre")</f>
        <v>Vendre</v>
      </c>
      <c r="G1063" s="2" t="str">
        <f>IFERROR(__xludf.DUMMYFUNCTION("REGEXEXTRACT(C1063, ""🏘️ \w+ (\w+) .* ✅"")"),"maison")</f>
        <v>maison</v>
      </c>
      <c r="H1063" s="4" t="str">
        <f>IFERROR(__xludf.DUMMYFUNCTION("REGEXEXTRACT(A1063, ""/(\w+)-.*?"")"),"lieu")</f>
        <v>lieu</v>
      </c>
      <c r="I1063" s="4" t="str">
        <f>IFERROR(__xludf.DUMMYFUNCTION("if(D1063=""variant"",  substitute(filter(Templates!E:E, Templates!A:A = F1063, Templates!B:B = G1063, Templates!C:C = H1063), ""{{}}"", E1063), B1063)"),"🏘  Vous souhaitez acheter une maison à Oleyres? ✅ Jetez un œil aux dernières offres sur ImmoScout24.ch.")</f>
        <v>🏘  Vous souhaitez acheter une maison à Oleyres? ✅ Jetez un œil aux dernières offres sur ImmoScout24.ch.</v>
      </c>
      <c r="J1063" s="4" t="s">
        <v>3193</v>
      </c>
    </row>
    <row r="1064">
      <c r="A1064" s="5" t="s">
        <v>3194</v>
      </c>
      <c r="B1064" s="2" t="s">
        <v>3195</v>
      </c>
      <c r="C1064" s="4" t="str">
        <f>IFERROR(__xludf.DUMMYFUNCTION("""🏘️ ""&amp;REGEXEXTRACT(B1064, ""^(.*): "")&amp;"" ✅ "" &amp;REGEXEXTRACT(B1064, ""(Trouvez.*)"")"),"🏘️ Louer appartement Wünnewil ✅ Trouvez le bien immobilier qui correspond idéalement à vos désirs sur ImmoScout24 - La plateforme de l'immobilier en Suisse.")</f>
        <v>🏘️ Louer appartement Wünnewil ✅ Trouvez le bien immobilier qui correspond idéalement à vos désirs sur ImmoScout24 - La plateforme de l'immobilier en Suisse.</v>
      </c>
      <c r="D1064" s="4" t="str">
        <f>vlookup(A1064, Sheet2!D:E, 2, 0)</f>
        <v>variant</v>
      </c>
      <c r="E1064" s="4" t="str">
        <f>IFERROR(__xludf.DUMMYFUNCTION("if(H1064=""pays"",vlookup(REGEXEXTRACT(C1064, ""🏘️ \w+ \w+ (.*) ✅""),'Country prepositions'!A:B, 2, 0) &amp; "" "" &amp; REGEXEXTRACT(C1064, ""🏘️ \w+ \w+ (.*) ✅"") ,  if(H1064=""quartier"",vlookup(REGEXEXTRACT(C1064, ""🏘️ \w+ \w+ (.*) ✅""),'Quartier prepositio"&amp;"ns'!A:E, 5, 0) ,  if(H1064=""region"",vlookup(REGEXEXTRACT(C1064, ""🏘️ \w+ \w+ (.*) ✅""),'Region prepositions'!B:F, 5, 0),  REGEXEXTRACT(C1064, ""🏘️ \w+ \w+ (.*) ✅""))))"),"Wünnewil")</f>
        <v>Wünnewil</v>
      </c>
      <c r="F1064" s="2" t="str">
        <f>IFERROR(__xludf.DUMMYFUNCTION("REGEXEXTRACT(C1064, ""🏘️ (\w+) \w+ .* ✅"")"),"Louer")</f>
        <v>Louer</v>
      </c>
      <c r="G1064" s="2" t="str">
        <f>IFERROR(__xludf.DUMMYFUNCTION("REGEXEXTRACT(C1064, ""🏘️ \w+ (\w+) .* ✅"")"),"appartement")</f>
        <v>appartement</v>
      </c>
      <c r="H1064" s="4" t="str">
        <f>IFERROR(__xludf.DUMMYFUNCTION("REGEXEXTRACT(A1064, ""/(\w+)-.*?"")"),"lieu")</f>
        <v>lieu</v>
      </c>
      <c r="I1064" s="4" t="str">
        <f>IFERROR(__xludf.DUMMYFUNCTION("if(D1064=""variant"",  substitute(filter(Templates!E:E, Templates!A:A = F1064, Templates!B:B = G1064, Templates!C:C = H1064), ""{{}}"", E1064), B1064)"),"🏘  Vous cherchez un appartement à louer à Wünnewil? ✅ Les annonces les plus actuelles sont sur ImmoScout24.ch.")</f>
        <v>🏘  Vous cherchez un appartement à louer à Wünnewil? ✅ Les annonces les plus actuelles sont sur ImmoScout24.ch.</v>
      </c>
      <c r="J1064" s="4" t="s">
        <v>3196</v>
      </c>
    </row>
    <row r="1065">
      <c r="A1065" s="5" t="s">
        <v>3197</v>
      </c>
      <c r="B1065" s="2" t="s">
        <v>3198</v>
      </c>
      <c r="C1065" s="4" t="str">
        <f>IFERROR(__xludf.DUMMYFUNCTION("""🏘️ ""&amp;REGEXEXTRACT(B1065, ""^(.*): "")&amp;"" ✅ "" &amp;REGEXEXTRACT(B1065, ""(Trouvez.*)"")"),"🏘️ Louer maison Corsier GE ✅ Trouvez le bien immobilier qui correspond idéalement à vos désirs sur ImmoScout24 - La plateforme de l'immobilier en Suisse.")</f>
        <v>🏘️ Louer maison Corsier GE ✅ Trouvez le bien immobilier qui correspond idéalement à vos désirs sur ImmoScout24 - La plateforme de l'immobilier en Suisse.</v>
      </c>
      <c r="D1065" s="4" t="str">
        <f>vlookup(A1065, Sheet2!D:E, 2, 0)</f>
        <v>variant</v>
      </c>
      <c r="E1065" s="4" t="str">
        <f>IFERROR(__xludf.DUMMYFUNCTION("if(H1065=""pays"",vlookup(REGEXEXTRACT(C1065, ""🏘️ \w+ \w+ (.*) ✅""),'Country prepositions'!A:B, 2, 0) &amp; "" "" &amp; REGEXEXTRACT(C1065, ""🏘️ \w+ \w+ (.*) ✅"") ,  if(H1065=""quartier"",vlookup(REGEXEXTRACT(C1065, ""🏘️ \w+ \w+ (.*) ✅""),'Quartier prepositio"&amp;"ns'!A:E, 5, 0) ,  if(H1065=""region"",vlookup(REGEXEXTRACT(C1065, ""🏘️ \w+ \w+ (.*) ✅""),'Region prepositions'!B:F, 5, 0),  REGEXEXTRACT(C1065, ""🏘️ \w+ \w+ (.*) ✅""))))"),"Corsier GE")</f>
        <v>Corsier GE</v>
      </c>
      <c r="F1065" s="2" t="str">
        <f>IFERROR(__xludf.DUMMYFUNCTION("REGEXEXTRACT(C1065, ""🏘️ (\w+) \w+ .* ✅"")"),"Louer")</f>
        <v>Louer</v>
      </c>
      <c r="G1065" s="2" t="str">
        <f>IFERROR(__xludf.DUMMYFUNCTION("REGEXEXTRACT(C1065, ""🏘️ \w+ (\w+) .* ✅"")"),"maison")</f>
        <v>maison</v>
      </c>
      <c r="H1065" s="4" t="str">
        <f>IFERROR(__xludf.DUMMYFUNCTION("REGEXEXTRACT(A1065, ""/(\w+)-.*?"")"),"lieu")</f>
        <v>lieu</v>
      </c>
      <c r="I1065" s="4" t="str">
        <f>IFERROR(__xludf.DUMMYFUNCTION("if(D1065=""variant"",  substitute(filter(Templates!E:E, Templates!A:A = F1065, Templates!B:B = G1065, Templates!C:C = H1065), ""{{}}"", E1065), B1065)"),"🏘  Vous cherchez une maison à louer à Corsier GE? ✅ Découvrez nos nombreuses annonces sur ImmoScout24.ch.")</f>
        <v>🏘  Vous cherchez une maison à louer à Corsier GE? ✅ Découvrez nos nombreuses annonces sur ImmoScout24.ch.</v>
      </c>
      <c r="J1065" s="4" t="s">
        <v>3199</v>
      </c>
    </row>
    <row r="1066">
      <c r="A1066" s="5" t="s">
        <v>3200</v>
      </c>
      <c r="B1066" s="2" t="s">
        <v>3201</v>
      </c>
      <c r="C1066" s="4" t="str">
        <f>IFERROR(__xludf.DUMMYFUNCTION("""🏘️ ""&amp;REGEXEXTRACT(B1066, ""^(.*): "")&amp;"" ✅ "" &amp;REGEXEXTRACT(B1066, ""(Trouvez.*)"")"),"🏘️ Louer appartement Yverdon-les-Bains ✅ Trouvez le bien immobilier qui correspond idéalement à vos désirs sur ImmoScout24 - La plateforme de l'immobilier en Suisse.")</f>
        <v>🏘️ Louer appartement Yverdon-les-Bains ✅ Trouvez le bien immobilier qui correspond idéalement à vos désirs sur ImmoScout24 - La plateforme de l'immobilier en Suisse.</v>
      </c>
      <c r="D1066" s="4" t="str">
        <f>vlookup(A1066, Sheet2!D:E, 2, 0)</f>
        <v>variant</v>
      </c>
      <c r="E1066" s="4" t="str">
        <f>IFERROR(__xludf.DUMMYFUNCTION("if(H1066=""pays"",vlookup(REGEXEXTRACT(C1066, ""🏘️ \w+ \w+ (.*) ✅""),'Country prepositions'!A:B, 2, 0) &amp; "" "" &amp; REGEXEXTRACT(C1066, ""🏘️ \w+ \w+ (.*) ✅"") ,  if(H1066=""quartier"",vlookup(REGEXEXTRACT(C1066, ""🏘️ \w+ \w+ (.*) ✅""),'Quartier prepositio"&amp;"ns'!A:E, 5, 0) ,  if(H1066=""region"",vlookup(REGEXEXTRACT(C1066, ""🏘️ \w+ \w+ (.*) ✅""),'Region prepositions'!B:F, 5, 0),  REGEXEXTRACT(C1066, ""🏘️ \w+ \w+ (.*) ✅""))))"),"Yverdon-les-Bains")</f>
        <v>Yverdon-les-Bains</v>
      </c>
      <c r="F1066" s="2" t="str">
        <f>IFERROR(__xludf.DUMMYFUNCTION("REGEXEXTRACT(C1066, ""🏘️ (\w+) \w+ .* ✅"")"),"Louer")</f>
        <v>Louer</v>
      </c>
      <c r="G1066" s="2" t="str">
        <f>IFERROR(__xludf.DUMMYFUNCTION("REGEXEXTRACT(C1066, ""🏘️ \w+ (\w+) .* ✅"")"),"appartement")</f>
        <v>appartement</v>
      </c>
      <c r="H1066" s="4" t="str">
        <f>IFERROR(__xludf.DUMMYFUNCTION("REGEXEXTRACT(A1066, ""/(\w+)-.*?"")"),"lieu")</f>
        <v>lieu</v>
      </c>
      <c r="I1066" s="4" t="str">
        <f>IFERROR(__xludf.DUMMYFUNCTION("if(D1066=""variant"",  substitute(filter(Templates!E:E, Templates!A:A = F1066, Templates!B:B = G1066, Templates!C:C = H1066), ""{{}}"", E1066), B1066)"),"🏘  Vous cherchez un appartement à louer à Yverdon-les-Bains? ✅ Les annonces les plus actuelles sont sur ImmoScout24.ch.")</f>
        <v>🏘  Vous cherchez un appartement à louer à Yverdon-les-Bains? ✅ Les annonces les plus actuelles sont sur ImmoScout24.ch.</v>
      </c>
      <c r="J1066" s="4" t="s">
        <v>3202</v>
      </c>
    </row>
    <row r="1067">
      <c r="A1067" s="5" t="s">
        <v>3203</v>
      </c>
      <c r="B1067" s="2" t="s">
        <v>3204</v>
      </c>
      <c r="C1067" s="4" t="str">
        <f>IFERROR(__xludf.DUMMYFUNCTION("""🏘️ ""&amp;REGEXEXTRACT(B1067, ""^(.*): "")&amp;"" ✅ "" &amp;REGEXEXTRACT(B1067, ""(Trouvez.*)"")"),"🏘️ Louer appartement Corminboeuf ✅ Trouvez le bien immobilier qui correspond idéalement à vos désirs sur ImmoScout24 - La plateforme de l'immobilier en Suisse.")</f>
        <v>🏘️ Louer appartement Corminboeuf ✅ Trouvez le bien immobilier qui correspond idéalement à vos désirs sur ImmoScout24 - La plateforme de l'immobilier en Suisse.</v>
      </c>
      <c r="D1067" s="4" t="str">
        <f>vlookup(A1067, Sheet2!D:E, 2, 0)</f>
        <v>variant</v>
      </c>
      <c r="E1067" s="4" t="str">
        <f>IFERROR(__xludf.DUMMYFUNCTION("if(H1067=""pays"",vlookup(REGEXEXTRACT(C1067, ""🏘️ \w+ \w+ (.*) ✅""),'Country prepositions'!A:B, 2, 0) &amp; "" "" &amp; REGEXEXTRACT(C1067, ""🏘️ \w+ \w+ (.*) ✅"") ,  if(H1067=""quartier"",vlookup(REGEXEXTRACT(C1067, ""🏘️ \w+ \w+ (.*) ✅""),'Quartier prepositio"&amp;"ns'!A:E, 5, 0) ,  if(H1067=""region"",vlookup(REGEXEXTRACT(C1067, ""🏘️ \w+ \w+ (.*) ✅""),'Region prepositions'!B:F, 5, 0),  REGEXEXTRACT(C1067, ""🏘️ \w+ \w+ (.*) ✅""))))"),"Corminboeuf")</f>
        <v>Corminboeuf</v>
      </c>
      <c r="F1067" s="2" t="str">
        <f>IFERROR(__xludf.DUMMYFUNCTION("REGEXEXTRACT(C1067, ""🏘️ (\w+) \w+ .* ✅"")"),"Louer")</f>
        <v>Louer</v>
      </c>
      <c r="G1067" s="2" t="str">
        <f>IFERROR(__xludf.DUMMYFUNCTION("REGEXEXTRACT(C1067, ""🏘️ \w+ (\w+) .* ✅"")"),"appartement")</f>
        <v>appartement</v>
      </c>
      <c r="H1067" s="4" t="str">
        <f>IFERROR(__xludf.DUMMYFUNCTION("REGEXEXTRACT(A1067, ""/(\w+)-.*?"")"),"lieu")</f>
        <v>lieu</v>
      </c>
      <c r="I1067" s="4" t="str">
        <f>IFERROR(__xludf.DUMMYFUNCTION("if(D1067=""variant"",  substitute(filter(Templates!E:E, Templates!A:A = F1067, Templates!B:B = G1067, Templates!C:C = H1067), ""{{}}"", E1067), B1067)"),"🏘  Vous cherchez un appartement à louer à Corminboeuf? ✅ Les annonces les plus actuelles sont sur ImmoScout24.ch.")</f>
        <v>🏘  Vous cherchez un appartement à louer à Corminboeuf? ✅ Les annonces les plus actuelles sont sur ImmoScout24.ch.</v>
      </c>
      <c r="J1067" s="4" t="s">
        <v>3205</v>
      </c>
    </row>
    <row r="1068">
      <c r="A1068" s="5" t="s">
        <v>3206</v>
      </c>
      <c r="B1068" s="2" t="s">
        <v>3207</v>
      </c>
      <c r="C1068" s="4" t="str">
        <f>IFERROR(__xludf.DUMMYFUNCTION("""🏘️ ""&amp;REGEXEXTRACT(B1068, ""^(.*): "")&amp;"" ✅ "" &amp;REGEXEXTRACT(B1068, ""(Trouvez.*)"")"),"🏘️ Louer appartement Euseigne ✅ Trouvez le bien immobilier qui correspond idéalement à vos désirs sur ImmoScout24 - La plateforme de l'immobilier en Suisse.")</f>
        <v>🏘️ Louer appartement Euseigne ✅ Trouvez le bien immobilier qui correspond idéalement à vos désirs sur ImmoScout24 - La plateforme de l'immobilier en Suisse.</v>
      </c>
      <c r="D1068" s="4" t="str">
        <f>vlookup(A1068, Sheet2!D:E, 2, 0)</f>
        <v>variant</v>
      </c>
      <c r="E1068" s="4" t="str">
        <f>IFERROR(__xludf.DUMMYFUNCTION("if(H1068=""pays"",vlookup(REGEXEXTRACT(C1068, ""🏘️ \w+ \w+ (.*) ✅""),'Country prepositions'!A:B, 2, 0) &amp; "" "" &amp; REGEXEXTRACT(C1068, ""🏘️ \w+ \w+ (.*) ✅"") ,  if(H1068=""quartier"",vlookup(REGEXEXTRACT(C1068, ""🏘️ \w+ \w+ (.*) ✅""),'Quartier prepositio"&amp;"ns'!A:E, 5, 0) ,  if(H1068=""region"",vlookup(REGEXEXTRACT(C1068, ""🏘️ \w+ \w+ (.*) ✅""),'Region prepositions'!B:F, 5, 0),  REGEXEXTRACT(C1068, ""🏘️ \w+ \w+ (.*) ✅""))))"),"Euseigne")</f>
        <v>Euseigne</v>
      </c>
      <c r="F1068" s="2" t="str">
        <f>IFERROR(__xludf.DUMMYFUNCTION("REGEXEXTRACT(C1068, ""🏘️ (\w+) \w+ .* ✅"")"),"Louer")</f>
        <v>Louer</v>
      </c>
      <c r="G1068" s="2" t="str">
        <f>IFERROR(__xludf.DUMMYFUNCTION("REGEXEXTRACT(C1068, ""🏘️ \w+ (\w+) .* ✅"")"),"appartement")</f>
        <v>appartement</v>
      </c>
      <c r="H1068" s="4" t="str">
        <f>IFERROR(__xludf.DUMMYFUNCTION("REGEXEXTRACT(A1068, ""/(\w+)-.*?"")"),"lieu")</f>
        <v>lieu</v>
      </c>
      <c r="I1068" s="4" t="str">
        <f>IFERROR(__xludf.DUMMYFUNCTION("if(D1068=""variant"",  substitute(filter(Templates!E:E, Templates!A:A = F1068, Templates!B:B = G1068, Templates!C:C = H1068), ""{{}}"", E1068), B1068)"),"🏘  Vous cherchez un appartement à louer à Euseigne? ✅ Les annonces les plus actuelles sont sur ImmoScout24.ch.")</f>
        <v>🏘  Vous cherchez un appartement à louer à Euseigne? ✅ Les annonces les plus actuelles sont sur ImmoScout24.ch.</v>
      </c>
      <c r="J1068" s="4" t="s">
        <v>3208</v>
      </c>
    </row>
    <row r="1069">
      <c r="A1069" s="5" t="s">
        <v>3209</v>
      </c>
      <c r="B1069" s="2" t="s">
        <v>3210</v>
      </c>
      <c r="C1069" s="4" t="str">
        <f>IFERROR(__xludf.DUMMYFUNCTION("""🏘️ ""&amp;REGEXEXTRACT(B1069, ""^(.*): "")&amp;"" ✅ "" &amp;REGEXEXTRACT(B1069, ""(Trouvez.*)"")"),"🏘️ Vendre maison Ovronnaz ✅ Trouvez le bien immobilier qui correspond idéalement à vos désirs sur ImmoScout24 - La plateforme de l'immobilier en Suisse.")</f>
        <v>🏘️ Vendre maison Ovronnaz ✅ Trouvez le bien immobilier qui correspond idéalement à vos désirs sur ImmoScout24 - La plateforme de l'immobilier en Suisse.</v>
      </c>
      <c r="D1069" s="4" t="str">
        <f>vlookup(A1069, Sheet2!D:E, 2, 0)</f>
        <v>variant</v>
      </c>
      <c r="E1069" s="4" t="str">
        <f>IFERROR(__xludf.DUMMYFUNCTION("if(H1069=""pays"",vlookup(REGEXEXTRACT(C1069, ""🏘️ \w+ \w+ (.*) ✅""),'Country prepositions'!A:B, 2, 0) &amp; "" "" &amp; REGEXEXTRACT(C1069, ""🏘️ \w+ \w+ (.*) ✅"") ,  if(H1069=""quartier"",vlookup(REGEXEXTRACT(C1069, ""🏘️ \w+ \w+ (.*) ✅""),'Quartier prepositio"&amp;"ns'!A:E, 5, 0) ,  if(H1069=""region"",vlookup(REGEXEXTRACT(C1069, ""🏘️ \w+ \w+ (.*) ✅""),'Region prepositions'!B:F, 5, 0),  REGEXEXTRACT(C1069, ""🏘️ \w+ \w+ (.*) ✅""))))"),"Ovronnaz")</f>
        <v>Ovronnaz</v>
      </c>
      <c r="F1069" s="2" t="str">
        <f>IFERROR(__xludf.DUMMYFUNCTION("REGEXEXTRACT(C1069, ""🏘️ (\w+) \w+ .* ✅"")"),"Vendre")</f>
        <v>Vendre</v>
      </c>
      <c r="G1069" s="2" t="str">
        <f>IFERROR(__xludf.DUMMYFUNCTION("REGEXEXTRACT(C1069, ""🏘️ \w+ (\w+) .* ✅"")"),"maison")</f>
        <v>maison</v>
      </c>
      <c r="H1069" s="4" t="str">
        <f>IFERROR(__xludf.DUMMYFUNCTION("REGEXEXTRACT(A1069, ""/(\w+)-.*?"")"),"lieu")</f>
        <v>lieu</v>
      </c>
      <c r="I1069" s="4" t="str">
        <f>IFERROR(__xludf.DUMMYFUNCTION("if(D1069=""variant"",  substitute(filter(Templates!E:E, Templates!A:A = F1069, Templates!B:B = G1069, Templates!C:C = H1069), ""{{}}"", E1069), B1069)"),"🏘  Vous souhaitez acheter une maison à Ovronnaz? ✅ Jetez un œil aux dernières offres sur ImmoScout24.ch.")</f>
        <v>🏘  Vous souhaitez acheter une maison à Ovronnaz? ✅ Jetez un œil aux dernières offres sur ImmoScout24.ch.</v>
      </c>
      <c r="J1069" s="4" t="s">
        <v>3211</v>
      </c>
    </row>
    <row r="1070">
      <c r="A1070" s="5" t="s">
        <v>3212</v>
      </c>
      <c r="B1070" s="2" t="s">
        <v>3213</v>
      </c>
      <c r="C1070" s="4" t="str">
        <f>IFERROR(__xludf.DUMMYFUNCTION("""🏘️ ""&amp;REGEXEXTRACT(B1070, ""^(.*): "")&amp;"" ✅ "" &amp;REGEXEXTRACT(B1070, ""(Trouvez.*)"")"),"🏘️ Louer appartement Renens VD ✅ Trouvez le bien immobilier qui correspond idéalement à vos désirs sur ImmoScout24 - La plateforme de l'immobilier en Suisse.")</f>
        <v>🏘️ Louer appartement Renens VD ✅ Trouvez le bien immobilier qui correspond idéalement à vos désirs sur ImmoScout24 - La plateforme de l'immobilier en Suisse.</v>
      </c>
      <c r="D1070" s="4" t="str">
        <f>vlookup(A1070, Sheet2!D:E, 2, 0)</f>
        <v>variant</v>
      </c>
      <c r="E1070" s="4" t="str">
        <f>IFERROR(__xludf.DUMMYFUNCTION("if(H1070=""pays"",vlookup(REGEXEXTRACT(C1070, ""🏘️ \w+ \w+ (.*) ✅""),'Country prepositions'!A:B, 2, 0) &amp; "" "" &amp; REGEXEXTRACT(C1070, ""🏘️ \w+ \w+ (.*) ✅"") ,  if(H1070=""quartier"",vlookup(REGEXEXTRACT(C1070, ""🏘️ \w+ \w+ (.*) ✅""),'Quartier prepositio"&amp;"ns'!A:E, 5, 0) ,  if(H1070=""region"",vlookup(REGEXEXTRACT(C1070, ""🏘️ \w+ \w+ (.*) ✅""),'Region prepositions'!B:F, 5, 0),  REGEXEXTRACT(C1070, ""🏘️ \w+ \w+ (.*) ✅""))))"),"Renens VD")</f>
        <v>Renens VD</v>
      </c>
      <c r="F1070" s="2" t="str">
        <f>IFERROR(__xludf.DUMMYFUNCTION("REGEXEXTRACT(C1070, ""🏘️ (\w+) \w+ .* ✅"")"),"Louer")</f>
        <v>Louer</v>
      </c>
      <c r="G1070" s="2" t="str">
        <f>IFERROR(__xludf.DUMMYFUNCTION("REGEXEXTRACT(C1070, ""🏘️ \w+ (\w+) .* ✅"")"),"appartement")</f>
        <v>appartement</v>
      </c>
      <c r="H1070" s="4" t="str">
        <f>IFERROR(__xludf.DUMMYFUNCTION("REGEXEXTRACT(A1070, ""/(\w+)-.*?"")"),"lieu")</f>
        <v>lieu</v>
      </c>
      <c r="I1070" s="4" t="str">
        <f>IFERROR(__xludf.DUMMYFUNCTION("if(D1070=""variant"",  substitute(filter(Templates!E:E, Templates!A:A = F1070, Templates!B:B = G1070, Templates!C:C = H1070), ""{{}}"", E1070), B1070)"),"🏘  Vous cherchez un appartement à louer à Renens VD? ✅ Les annonces les plus actuelles sont sur ImmoScout24.ch.")</f>
        <v>🏘  Vous cherchez un appartement à louer à Renens VD? ✅ Les annonces les plus actuelles sont sur ImmoScout24.ch.</v>
      </c>
      <c r="J1070" s="4" t="s">
        <v>3214</v>
      </c>
    </row>
    <row r="1071">
      <c r="A1071" s="5" t="s">
        <v>3215</v>
      </c>
      <c r="B1071" s="2" t="s">
        <v>3216</v>
      </c>
      <c r="C1071" s="4" t="str">
        <f>IFERROR(__xludf.DUMMYFUNCTION("""🏘️ ""&amp;REGEXEXTRACT(B1071, ""^(.*): "")&amp;"" ✅ "" &amp;REGEXEXTRACT(B1071, ""(Trouvez.*)"")"),"🏘️ Louer appartement Weissbad ✅ Trouvez le bien immobilier qui correspond idéalement à vos désirs sur ImmoScout24 - La plateforme de l'immobilier en Suisse.")</f>
        <v>🏘️ Louer appartement Weissbad ✅ Trouvez le bien immobilier qui correspond idéalement à vos désirs sur ImmoScout24 - La plateforme de l'immobilier en Suisse.</v>
      </c>
      <c r="D1071" s="4" t="str">
        <f>vlookup(A1071, Sheet2!D:E, 2, 0)</f>
        <v>variant</v>
      </c>
      <c r="E1071" s="4" t="str">
        <f>IFERROR(__xludf.DUMMYFUNCTION("if(H1071=""pays"",vlookup(REGEXEXTRACT(C1071, ""🏘️ \w+ \w+ (.*) ✅""),'Country prepositions'!A:B, 2, 0) &amp; "" "" &amp; REGEXEXTRACT(C1071, ""🏘️ \w+ \w+ (.*) ✅"") ,  if(H1071=""quartier"",vlookup(REGEXEXTRACT(C1071, ""🏘️ \w+ \w+ (.*) ✅""),'Quartier prepositio"&amp;"ns'!A:E, 5, 0) ,  if(H1071=""region"",vlookup(REGEXEXTRACT(C1071, ""🏘️ \w+ \w+ (.*) ✅""),'Region prepositions'!B:F, 5, 0),  REGEXEXTRACT(C1071, ""🏘️ \w+ \w+ (.*) ✅""))))"),"Weissbad")</f>
        <v>Weissbad</v>
      </c>
      <c r="F1071" s="2" t="str">
        <f>IFERROR(__xludf.DUMMYFUNCTION("REGEXEXTRACT(C1071, ""🏘️ (\w+) \w+ .* ✅"")"),"Louer")</f>
        <v>Louer</v>
      </c>
      <c r="G1071" s="2" t="str">
        <f>IFERROR(__xludf.DUMMYFUNCTION("REGEXEXTRACT(C1071, ""🏘️ \w+ (\w+) .* ✅"")"),"appartement")</f>
        <v>appartement</v>
      </c>
      <c r="H1071" s="4" t="str">
        <f>IFERROR(__xludf.DUMMYFUNCTION("REGEXEXTRACT(A1071, ""/(\w+)-.*?"")"),"lieu")</f>
        <v>lieu</v>
      </c>
      <c r="I1071" s="4" t="str">
        <f>IFERROR(__xludf.DUMMYFUNCTION("if(D1071=""variant"",  substitute(filter(Templates!E:E, Templates!A:A = F1071, Templates!B:B = G1071, Templates!C:C = H1071), ""{{}}"", E1071), B1071)"),"🏘  Vous cherchez un appartement à louer à Weissbad? ✅ Les annonces les plus actuelles sont sur ImmoScout24.ch.")</f>
        <v>🏘  Vous cherchez un appartement à louer à Weissbad? ✅ Les annonces les plus actuelles sont sur ImmoScout24.ch.</v>
      </c>
      <c r="J1071" s="4" t="s">
        <v>3217</v>
      </c>
    </row>
    <row r="1072">
      <c r="A1072" s="5" t="s">
        <v>3218</v>
      </c>
      <c r="B1072" s="2" t="s">
        <v>3219</v>
      </c>
      <c r="C1072" s="4" t="str">
        <f>IFERROR(__xludf.DUMMYFUNCTION("""🏘️ ""&amp;REGEXEXTRACT(B1072, ""^(.*): "")&amp;"" ✅ "" &amp;REGEXEXTRACT(B1072, ""(Trouvez.*)"")"),"🏘️ Louer appartement Aldesago ✅ Trouvez le bien immobilier qui correspond idéalement à vos désirs sur ImmoScout24 - La plateforme de l'immobilier en Suisse.")</f>
        <v>🏘️ Louer appartement Aldesago ✅ Trouvez le bien immobilier qui correspond idéalement à vos désirs sur ImmoScout24 - La plateforme de l'immobilier en Suisse.</v>
      </c>
      <c r="D1072" s="4" t="str">
        <f>vlookup(A1072, Sheet2!D:E, 2, 0)</f>
        <v>variant</v>
      </c>
      <c r="E1072" s="4" t="str">
        <f>IFERROR(__xludf.DUMMYFUNCTION("if(H1072=""pays"",vlookup(REGEXEXTRACT(C1072, ""🏘️ \w+ \w+ (.*) ✅""),'Country prepositions'!A:B, 2, 0) &amp; "" "" &amp; REGEXEXTRACT(C1072, ""🏘️ \w+ \w+ (.*) ✅"") ,  if(H1072=""quartier"",vlookup(REGEXEXTRACT(C1072, ""🏘️ \w+ \w+ (.*) ✅""),'Quartier prepositio"&amp;"ns'!A:E, 5, 0) ,  if(H1072=""region"",vlookup(REGEXEXTRACT(C1072, ""🏘️ \w+ \w+ (.*) ✅""),'Region prepositions'!B:F, 5, 0),  REGEXEXTRACT(C1072, ""🏘️ \w+ \w+ (.*) ✅""))))"),"Aldesago")</f>
        <v>Aldesago</v>
      </c>
      <c r="F1072" s="2" t="str">
        <f>IFERROR(__xludf.DUMMYFUNCTION("REGEXEXTRACT(C1072, ""🏘️ (\w+) \w+ .* ✅"")"),"Louer")</f>
        <v>Louer</v>
      </c>
      <c r="G1072" s="2" t="str">
        <f>IFERROR(__xludf.DUMMYFUNCTION("REGEXEXTRACT(C1072, ""🏘️ \w+ (\w+) .* ✅"")"),"appartement")</f>
        <v>appartement</v>
      </c>
      <c r="H1072" s="4" t="str">
        <f>IFERROR(__xludf.DUMMYFUNCTION("REGEXEXTRACT(A1072, ""/(\w+)-.*?"")"),"lieu")</f>
        <v>lieu</v>
      </c>
      <c r="I1072" s="4" t="str">
        <f>IFERROR(__xludf.DUMMYFUNCTION("if(D1072=""variant"",  substitute(filter(Templates!E:E, Templates!A:A = F1072, Templates!B:B = G1072, Templates!C:C = H1072), ""{{}}"", E1072), B1072)"),"🏘  Vous cherchez un appartement à louer à Aldesago? ✅ Les annonces les plus actuelles sont sur ImmoScout24.ch.")</f>
        <v>🏘  Vous cherchez un appartement à louer à Aldesago? ✅ Les annonces les plus actuelles sont sur ImmoScout24.ch.</v>
      </c>
      <c r="J1072" s="4" t="s">
        <v>3220</v>
      </c>
    </row>
    <row r="1073">
      <c r="A1073" s="5" t="s">
        <v>3221</v>
      </c>
      <c r="B1073" s="2" t="s">
        <v>3222</v>
      </c>
      <c r="C1073" s="4" t="str">
        <f>IFERROR(__xludf.DUMMYFUNCTION("""🏘️ ""&amp;REGEXEXTRACT(B1073, ""^(.*): "")&amp;"" ✅ "" &amp;REGEXEXTRACT(B1073, ""(Trouvez.*)"")"),"🏘️ Louer appartement Turbach ✅ Trouvez le bien immobilier qui correspond idéalement à vos désirs sur ImmoScout24 - La plateforme de l'immobilier en Suisse.")</f>
        <v>🏘️ Louer appartement Turbach ✅ Trouvez le bien immobilier qui correspond idéalement à vos désirs sur ImmoScout24 - La plateforme de l'immobilier en Suisse.</v>
      </c>
      <c r="D1073" s="4" t="str">
        <f>vlookup(A1073, Sheet2!D:E, 2, 0)</f>
        <v>variant</v>
      </c>
      <c r="E1073" s="4" t="str">
        <f>IFERROR(__xludf.DUMMYFUNCTION("if(H1073=""pays"",vlookup(REGEXEXTRACT(C1073, ""🏘️ \w+ \w+ (.*) ✅""),'Country prepositions'!A:B, 2, 0) &amp; "" "" &amp; REGEXEXTRACT(C1073, ""🏘️ \w+ \w+ (.*) ✅"") ,  if(H1073=""quartier"",vlookup(REGEXEXTRACT(C1073, ""🏘️ \w+ \w+ (.*) ✅""),'Quartier prepositio"&amp;"ns'!A:E, 5, 0) ,  if(H1073=""region"",vlookup(REGEXEXTRACT(C1073, ""🏘️ \w+ \w+ (.*) ✅""),'Region prepositions'!B:F, 5, 0),  REGEXEXTRACT(C1073, ""🏘️ \w+ \w+ (.*) ✅""))))"),"Turbach")</f>
        <v>Turbach</v>
      </c>
      <c r="F1073" s="2" t="str">
        <f>IFERROR(__xludf.DUMMYFUNCTION("REGEXEXTRACT(C1073, ""🏘️ (\w+) \w+ .* ✅"")"),"Louer")</f>
        <v>Louer</v>
      </c>
      <c r="G1073" s="2" t="str">
        <f>IFERROR(__xludf.DUMMYFUNCTION("REGEXEXTRACT(C1073, ""🏘️ \w+ (\w+) .* ✅"")"),"appartement")</f>
        <v>appartement</v>
      </c>
      <c r="H1073" s="4" t="str">
        <f>IFERROR(__xludf.DUMMYFUNCTION("REGEXEXTRACT(A1073, ""/(\w+)-.*?"")"),"lieu")</f>
        <v>lieu</v>
      </c>
      <c r="I1073" s="4" t="str">
        <f>IFERROR(__xludf.DUMMYFUNCTION("if(D1073=""variant"",  substitute(filter(Templates!E:E, Templates!A:A = F1073, Templates!B:B = G1073, Templates!C:C = H1073), ""{{}}"", E1073), B1073)"),"🏘  Vous cherchez un appartement à louer à Turbach? ✅ Les annonces les plus actuelles sont sur ImmoScout24.ch.")</f>
        <v>🏘  Vous cherchez un appartement à louer à Turbach? ✅ Les annonces les plus actuelles sont sur ImmoScout24.ch.</v>
      </c>
      <c r="J1073" s="4" t="s">
        <v>3223</v>
      </c>
    </row>
    <row r="1074">
      <c r="A1074" s="5" t="s">
        <v>3224</v>
      </c>
      <c r="B1074" s="2" t="s">
        <v>3225</v>
      </c>
      <c r="C1074" s="4" t="str">
        <f>IFERROR(__xludf.DUMMYFUNCTION("""🏘️ ""&amp;REGEXEXTRACT(B1074, ""^(.*): "")&amp;"" ✅ "" &amp;REGEXEXTRACT(B1074, ""(Trouvez.*)"")"),"🏘️ Louer appartement Grossaffoltern ✅ Trouvez le bien immobilier qui correspond idéalement à vos désirs sur ImmoScout24 - La plateforme de l'immobilier en Suisse.")</f>
        <v>🏘️ Louer appartement Grossaffoltern ✅ Trouvez le bien immobilier qui correspond idéalement à vos désirs sur ImmoScout24 - La plateforme de l'immobilier en Suisse.</v>
      </c>
      <c r="D1074" s="4" t="str">
        <f>vlookup(A1074, Sheet2!D:E, 2, 0)</f>
        <v>variant</v>
      </c>
      <c r="E1074" s="4" t="str">
        <f>IFERROR(__xludf.DUMMYFUNCTION("if(H1074=""pays"",vlookup(REGEXEXTRACT(C1074, ""🏘️ \w+ \w+ (.*) ✅""),'Country prepositions'!A:B, 2, 0) &amp; "" "" &amp; REGEXEXTRACT(C1074, ""🏘️ \w+ \w+ (.*) ✅"") ,  if(H1074=""quartier"",vlookup(REGEXEXTRACT(C1074, ""🏘️ \w+ \w+ (.*) ✅""),'Quartier prepositio"&amp;"ns'!A:E, 5, 0) ,  if(H1074=""region"",vlookup(REGEXEXTRACT(C1074, ""🏘️ \w+ \w+ (.*) ✅""),'Region prepositions'!B:F, 5, 0),  REGEXEXTRACT(C1074, ""🏘️ \w+ \w+ (.*) ✅""))))"),"Grossaffoltern")</f>
        <v>Grossaffoltern</v>
      </c>
      <c r="F1074" s="2" t="str">
        <f>IFERROR(__xludf.DUMMYFUNCTION("REGEXEXTRACT(C1074, ""🏘️ (\w+) \w+ .* ✅"")"),"Louer")</f>
        <v>Louer</v>
      </c>
      <c r="G1074" s="2" t="str">
        <f>IFERROR(__xludf.DUMMYFUNCTION("REGEXEXTRACT(C1074, ""🏘️ \w+ (\w+) .* ✅"")"),"appartement")</f>
        <v>appartement</v>
      </c>
      <c r="H1074" s="4" t="str">
        <f>IFERROR(__xludf.DUMMYFUNCTION("REGEXEXTRACT(A1074, ""/(\w+)-.*?"")"),"lieu")</f>
        <v>lieu</v>
      </c>
      <c r="I1074" s="4" t="str">
        <f>IFERROR(__xludf.DUMMYFUNCTION("if(D1074=""variant"",  substitute(filter(Templates!E:E, Templates!A:A = F1074, Templates!B:B = G1074, Templates!C:C = H1074), ""{{}}"", E1074), B1074)"),"🏘  Vous cherchez un appartement à louer à Grossaffoltern? ✅ Les annonces les plus actuelles sont sur ImmoScout24.ch.")</f>
        <v>🏘  Vous cherchez un appartement à louer à Grossaffoltern? ✅ Les annonces les plus actuelles sont sur ImmoScout24.ch.</v>
      </c>
      <c r="J1074" s="4" t="s">
        <v>3226</v>
      </c>
    </row>
    <row r="1075">
      <c r="A1075" s="5" t="s">
        <v>3227</v>
      </c>
      <c r="B1075" s="2" t="s">
        <v>3228</v>
      </c>
      <c r="C1075" s="4" t="str">
        <f>IFERROR(__xludf.DUMMYFUNCTION("""🏘️ ""&amp;REGEXEXTRACT(B1075, ""^(.*): "")&amp;"" ✅ "" &amp;REGEXEXTRACT(B1075, ""(Trouvez.*)"")"),"🏘️ Louer appartement Bouchet - Moillebeau (Genève) ✅ Trouvez le bien immobilier qui correspond idéalement à vos désirs sur ImmoScout24 - La plateforme de l'immobilier en Suisse.")</f>
        <v>🏘️ Louer appartement Bouchet - Moillebeau (Genève) ✅ Trouvez le bien immobilier qui correspond idéalement à vos désirs sur ImmoScout24 - La plateforme de l'immobilier en Suisse.</v>
      </c>
      <c r="D1075" s="4" t="str">
        <f>vlookup(A1075, Sheet2!D:E, 2, 0)</f>
        <v>variant</v>
      </c>
      <c r="E1075" s="4" t="str">
        <f>IFERROR(__xludf.DUMMYFUNCTION("if(H1075=""pays"",vlookup(REGEXEXTRACT(C1075, ""🏘️ \w+ \w+ (.*) ✅""),'Country prepositions'!A:B, 2, 0) &amp; "" "" &amp; REGEXEXTRACT(C1075, ""🏘️ \w+ \w+ (.*) ✅"") ,  if(H1075=""quartier"",vlookup(REGEXEXTRACT(C1075, ""🏘️ \w+ \w+ (.*) ✅""),'Quartier prepositio"&amp;"ns'!A:E, 5, 0) ,  if(H1075=""region"",vlookup(REGEXEXTRACT(C1075, ""🏘️ \w+ \w+ (.*) ✅""),'Region prepositions'!B:F, 5, 0),  REGEXEXTRACT(C1075, ""🏘️ \w+ \w+ (.*) ✅""))))"),"dans le quartier de Bouchet - Moillebeau (Genève)")</f>
        <v>dans le quartier de Bouchet - Moillebeau (Genève)</v>
      </c>
      <c r="F1075" s="2" t="str">
        <f>IFERROR(__xludf.DUMMYFUNCTION("REGEXEXTRACT(C1075, ""🏘️ (\w+) \w+ .* ✅"")"),"Louer")</f>
        <v>Louer</v>
      </c>
      <c r="G1075" s="2" t="str">
        <f>IFERROR(__xludf.DUMMYFUNCTION("REGEXEXTRACT(C1075, ""🏘️ \w+ (\w+) .* ✅"")"),"appartement")</f>
        <v>appartement</v>
      </c>
      <c r="H1075" s="4" t="str">
        <f>IFERROR(__xludf.DUMMYFUNCTION("REGEXEXTRACT(A1075, ""/(\w+)-.*?"")"),"quartier")</f>
        <v>quartier</v>
      </c>
      <c r="I1075" s="4" t="str">
        <f>IFERROR(__xludf.DUMMYFUNCTION("if(D1075=""variant"",  substitute(filter(Templates!E:E, Templates!A:A = F1075, Templates!B:B = G1075, Templates!C:C = H1075), ""{{}}"", E1075), B1075)"),"🏘  Vous cherchez un appartement à louer dans le quartier de Bouchet - Moillebeau (Genève)? ✅ Les annonces les plus actuelles sont sur ImmoScout24.ch.")</f>
        <v>🏘  Vous cherchez un appartement à louer dans le quartier de Bouchet - Moillebeau (Genève)? ✅ Les annonces les plus actuelles sont sur ImmoScout24.ch.</v>
      </c>
      <c r="J1075" s="4" t="s">
        <v>3229</v>
      </c>
    </row>
    <row r="1076">
      <c r="A1076" s="5" t="s">
        <v>3230</v>
      </c>
      <c r="B1076" s="2" t="s">
        <v>3231</v>
      </c>
      <c r="C1076" s="4" t="str">
        <f>IFERROR(__xludf.DUMMYFUNCTION("""🏘️ ""&amp;REGEXEXTRACT(B1076, ""^(.*): "")&amp;"" ✅ "" &amp;REGEXEXTRACT(B1076, ""(Trouvez.*)"")"),"🏘️ Vendre maison Treycovagnes ✅ Trouvez le bien immobilier qui correspond idéalement à vos désirs sur ImmoScout24 - La plateforme de l'immobilier en Suisse.")</f>
        <v>🏘️ Vendre maison Treycovagnes ✅ Trouvez le bien immobilier qui correspond idéalement à vos désirs sur ImmoScout24 - La plateforme de l'immobilier en Suisse.</v>
      </c>
      <c r="D1076" s="4" t="str">
        <f>vlookup(A1076, Sheet2!D:E, 2, 0)</f>
        <v>variant</v>
      </c>
      <c r="E1076" s="4" t="str">
        <f>IFERROR(__xludf.DUMMYFUNCTION("if(H1076=""pays"",vlookup(REGEXEXTRACT(C1076, ""🏘️ \w+ \w+ (.*) ✅""),'Country prepositions'!A:B, 2, 0) &amp; "" "" &amp; REGEXEXTRACT(C1076, ""🏘️ \w+ \w+ (.*) ✅"") ,  if(H1076=""quartier"",vlookup(REGEXEXTRACT(C1076, ""🏘️ \w+ \w+ (.*) ✅""),'Quartier prepositio"&amp;"ns'!A:E, 5, 0) ,  if(H1076=""region"",vlookup(REGEXEXTRACT(C1076, ""🏘️ \w+ \w+ (.*) ✅""),'Region prepositions'!B:F, 5, 0),  REGEXEXTRACT(C1076, ""🏘️ \w+ \w+ (.*) ✅""))))"),"Treycovagnes")</f>
        <v>Treycovagnes</v>
      </c>
      <c r="F1076" s="2" t="str">
        <f>IFERROR(__xludf.DUMMYFUNCTION("REGEXEXTRACT(C1076, ""🏘️ (\w+) \w+ .* ✅"")"),"Vendre")</f>
        <v>Vendre</v>
      </c>
      <c r="G1076" s="2" t="str">
        <f>IFERROR(__xludf.DUMMYFUNCTION("REGEXEXTRACT(C1076, ""🏘️ \w+ (\w+) .* ✅"")"),"maison")</f>
        <v>maison</v>
      </c>
      <c r="H1076" s="4" t="str">
        <f>IFERROR(__xludf.DUMMYFUNCTION("REGEXEXTRACT(A1076, ""/(\w+)-.*?"")"),"lieu")</f>
        <v>lieu</v>
      </c>
      <c r="I1076" s="4" t="str">
        <f>IFERROR(__xludf.DUMMYFUNCTION("if(D1076=""variant"",  substitute(filter(Templates!E:E, Templates!A:A = F1076, Templates!B:B = G1076, Templates!C:C = H1076), ""{{}}"", E1076), B1076)"),"🏘  Vous souhaitez acheter une maison à Treycovagnes? ✅ Jetez un œil aux dernières offres sur ImmoScout24.ch.")</f>
        <v>🏘  Vous souhaitez acheter une maison à Treycovagnes? ✅ Jetez un œil aux dernières offres sur ImmoScout24.ch.</v>
      </c>
      <c r="J1076" s="4" t="s">
        <v>3232</v>
      </c>
    </row>
    <row r="1077">
      <c r="A1077" s="5" t="s">
        <v>3233</v>
      </c>
      <c r="B1077" s="2" t="s">
        <v>3234</v>
      </c>
      <c r="C1077" s="4" t="str">
        <f>IFERROR(__xludf.DUMMYFUNCTION("""🏘️ ""&amp;REGEXEXTRACT(B1077, ""^(.*): "")&amp;"" ✅ "" &amp;REGEXEXTRACT(B1077, ""(Trouvez.*)"")"),"🏘️ Vendre maison Sarreyer ✅ Trouvez le bien immobilier qui correspond idéalement à vos désirs sur ImmoScout24 - La plateforme de l'immobilier en Suisse.")</f>
        <v>🏘️ Vendre maison Sarreyer ✅ Trouvez le bien immobilier qui correspond idéalement à vos désirs sur ImmoScout24 - La plateforme de l'immobilier en Suisse.</v>
      </c>
      <c r="D1077" s="4" t="str">
        <f>vlookup(A1077, Sheet2!D:E, 2, 0)</f>
        <v>variant</v>
      </c>
      <c r="E1077" s="4" t="str">
        <f>IFERROR(__xludf.DUMMYFUNCTION("if(H1077=""pays"",vlookup(REGEXEXTRACT(C1077, ""🏘️ \w+ \w+ (.*) ✅""),'Country prepositions'!A:B, 2, 0) &amp; "" "" &amp; REGEXEXTRACT(C1077, ""🏘️ \w+ \w+ (.*) ✅"") ,  if(H1077=""quartier"",vlookup(REGEXEXTRACT(C1077, ""🏘️ \w+ \w+ (.*) ✅""),'Quartier prepositio"&amp;"ns'!A:E, 5, 0) ,  if(H1077=""region"",vlookup(REGEXEXTRACT(C1077, ""🏘️ \w+ \w+ (.*) ✅""),'Region prepositions'!B:F, 5, 0),  REGEXEXTRACT(C1077, ""🏘️ \w+ \w+ (.*) ✅""))))"),"Sarreyer")</f>
        <v>Sarreyer</v>
      </c>
      <c r="F1077" s="2" t="str">
        <f>IFERROR(__xludf.DUMMYFUNCTION("REGEXEXTRACT(C1077, ""🏘️ (\w+) \w+ .* ✅"")"),"Vendre")</f>
        <v>Vendre</v>
      </c>
      <c r="G1077" s="2" t="str">
        <f>IFERROR(__xludf.DUMMYFUNCTION("REGEXEXTRACT(C1077, ""🏘️ \w+ (\w+) .* ✅"")"),"maison")</f>
        <v>maison</v>
      </c>
      <c r="H1077" s="4" t="str">
        <f>IFERROR(__xludf.DUMMYFUNCTION("REGEXEXTRACT(A1077, ""/(\w+)-.*?"")"),"lieu")</f>
        <v>lieu</v>
      </c>
      <c r="I1077" s="4" t="str">
        <f>IFERROR(__xludf.DUMMYFUNCTION("if(D1077=""variant"",  substitute(filter(Templates!E:E, Templates!A:A = F1077, Templates!B:B = G1077, Templates!C:C = H1077), ""{{}}"", E1077), B1077)"),"🏘  Vous souhaitez acheter une maison à Sarreyer? ✅ Jetez un œil aux dernières offres sur ImmoScout24.ch.")</f>
        <v>🏘  Vous souhaitez acheter une maison à Sarreyer? ✅ Jetez un œil aux dernières offres sur ImmoScout24.ch.</v>
      </c>
      <c r="J1077" s="4" t="s">
        <v>3235</v>
      </c>
    </row>
    <row r="1078">
      <c r="A1078" s="5" t="s">
        <v>3236</v>
      </c>
      <c r="B1078" s="2" t="s">
        <v>3237</v>
      </c>
      <c r="C1078" s="4" t="str">
        <f>IFERROR(__xludf.DUMMYFUNCTION("""🏘️ ""&amp;REGEXEXTRACT(B1078, ""^(.*): "")&amp;"" ✅ "" &amp;REGEXEXTRACT(B1078, ""(Trouvez.*)"")"),"🏘️ Vendre maison Wollerau ✅ Trouvez le bien immobilier qui correspond idéalement à vos désirs sur ImmoScout24 - La plateforme de l'immobilier en Suisse.")</f>
        <v>🏘️ Vendre maison Wollerau ✅ Trouvez le bien immobilier qui correspond idéalement à vos désirs sur ImmoScout24 - La plateforme de l'immobilier en Suisse.</v>
      </c>
      <c r="D1078" s="4" t="str">
        <f>vlookup(A1078, Sheet2!D:E, 2, 0)</f>
        <v>variant</v>
      </c>
      <c r="E1078" s="4" t="str">
        <f>IFERROR(__xludf.DUMMYFUNCTION("if(H1078=""pays"",vlookup(REGEXEXTRACT(C1078, ""🏘️ \w+ \w+ (.*) ✅""),'Country prepositions'!A:B, 2, 0) &amp; "" "" &amp; REGEXEXTRACT(C1078, ""🏘️ \w+ \w+ (.*) ✅"") ,  if(H1078=""quartier"",vlookup(REGEXEXTRACT(C1078, ""🏘️ \w+ \w+ (.*) ✅""),'Quartier prepositio"&amp;"ns'!A:E, 5, 0) ,  if(H1078=""region"",vlookup(REGEXEXTRACT(C1078, ""🏘️ \w+ \w+ (.*) ✅""),'Region prepositions'!B:F, 5, 0),  REGEXEXTRACT(C1078, ""🏘️ \w+ \w+ (.*) ✅""))))"),"Wollerau")</f>
        <v>Wollerau</v>
      </c>
      <c r="F1078" s="2" t="str">
        <f>IFERROR(__xludf.DUMMYFUNCTION("REGEXEXTRACT(C1078, ""🏘️ (\w+) \w+ .* ✅"")"),"Vendre")</f>
        <v>Vendre</v>
      </c>
      <c r="G1078" s="2" t="str">
        <f>IFERROR(__xludf.DUMMYFUNCTION("REGEXEXTRACT(C1078, ""🏘️ \w+ (\w+) .* ✅"")"),"maison")</f>
        <v>maison</v>
      </c>
      <c r="H1078" s="4" t="str">
        <f>IFERROR(__xludf.DUMMYFUNCTION("REGEXEXTRACT(A1078, ""/(\w+)-.*?"")"),"lieu")</f>
        <v>lieu</v>
      </c>
      <c r="I1078" s="4" t="str">
        <f>IFERROR(__xludf.DUMMYFUNCTION("if(D1078=""variant"",  substitute(filter(Templates!E:E, Templates!A:A = F1078, Templates!B:B = G1078, Templates!C:C = H1078), ""{{}}"", E1078), B1078)"),"🏘  Vous souhaitez acheter une maison à Wollerau? ✅ Jetez un œil aux dernières offres sur ImmoScout24.ch.")</f>
        <v>🏘  Vous souhaitez acheter une maison à Wollerau? ✅ Jetez un œil aux dernières offres sur ImmoScout24.ch.</v>
      </c>
      <c r="J1078" s="4" t="s">
        <v>3238</v>
      </c>
    </row>
    <row r="1079">
      <c r="A1079" s="5" t="s">
        <v>3239</v>
      </c>
      <c r="B1079" s="2" t="s">
        <v>3240</v>
      </c>
      <c r="C1079" s="4" t="str">
        <f>IFERROR(__xludf.DUMMYFUNCTION("""🏘️ ""&amp;REGEXEXTRACT(B1079, ""^(.*): "")&amp;"" ✅ "" &amp;REGEXEXTRACT(B1079, ""(Trouvez.*)"")"),"🏘️ Louer maison Echichens ✅ Trouvez le bien immobilier qui correspond idéalement à vos désirs sur ImmoScout24 - La plateforme de l'immobilier en Suisse.")</f>
        <v>🏘️ Louer maison Echichens ✅ Trouvez le bien immobilier qui correspond idéalement à vos désirs sur ImmoScout24 - La plateforme de l'immobilier en Suisse.</v>
      </c>
      <c r="D1079" s="4" t="str">
        <f>vlookup(A1079, Sheet2!D:E, 2, 0)</f>
        <v>variant</v>
      </c>
      <c r="E1079" s="4" t="str">
        <f>IFERROR(__xludf.DUMMYFUNCTION("if(H1079=""pays"",vlookup(REGEXEXTRACT(C1079, ""🏘️ \w+ \w+ (.*) ✅""),'Country prepositions'!A:B, 2, 0) &amp; "" "" &amp; REGEXEXTRACT(C1079, ""🏘️ \w+ \w+ (.*) ✅"") ,  if(H1079=""quartier"",vlookup(REGEXEXTRACT(C1079, ""🏘️ \w+ \w+ (.*) ✅""),'Quartier prepositio"&amp;"ns'!A:E, 5, 0) ,  if(H1079=""region"",vlookup(REGEXEXTRACT(C1079, ""🏘️ \w+ \w+ (.*) ✅""),'Region prepositions'!B:F, 5, 0),  REGEXEXTRACT(C1079, ""🏘️ \w+ \w+ (.*) ✅""))))"),"Echichens")</f>
        <v>Echichens</v>
      </c>
      <c r="F1079" s="2" t="str">
        <f>IFERROR(__xludf.DUMMYFUNCTION("REGEXEXTRACT(C1079, ""🏘️ (\w+) \w+ .* ✅"")"),"Louer")</f>
        <v>Louer</v>
      </c>
      <c r="G1079" s="2" t="str">
        <f>IFERROR(__xludf.DUMMYFUNCTION("REGEXEXTRACT(C1079, ""🏘️ \w+ (\w+) .* ✅"")"),"maison")</f>
        <v>maison</v>
      </c>
      <c r="H1079" s="4" t="str">
        <f>IFERROR(__xludf.DUMMYFUNCTION("REGEXEXTRACT(A1079, ""/(\w+)-.*?"")"),"lieu")</f>
        <v>lieu</v>
      </c>
      <c r="I1079" s="4" t="str">
        <f>IFERROR(__xludf.DUMMYFUNCTION("if(D1079=""variant"",  substitute(filter(Templates!E:E, Templates!A:A = F1079, Templates!B:B = G1079, Templates!C:C = H1079), ""{{}}"", E1079), B1079)"),"🏘  Vous cherchez une maison à louer à Echichens? ✅ Découvrez nos nombreuses annonces sur ImmoScout24.ch.")</f>
        <v>🏘  Vous cherchez une maison à louer à Echichens? ✅ Découvrez nos nombreuses annonces sur ImmoScout24.ch.</v>
      </c>
      <c r="J1079" s="4" t="s">
        <v>3241</v>
      </c>
    </row>
    <row r="1080">
      <c r="A1080" s="5" t="s">
        <v>3242</v>
      </c>
      <c r="B1080" s="2" t="s">
        <v>3243</v>
      </c>
      <c r="C1080" s="4" t="str">
        <f>IFERROR(__xludf.DUMMYFUNCTION("""🏘️ ""&amp;REGEXEXTRACT(B1080, ""^(.*): "")&amp;"" ✅ "" &amp;REGEXEXTRACT(B1080, ""(Trouvez.*)"")"),"🏘️ Vendre appartement Baar (Nendaz) ✅ Trouvez le bien immobilier qui correspond idéalement à vos désirs sur ImmoScout24 - La plateforme de l'immobilier en Suisse.")</f>
        <v>🏘️ Vendre appartement Baar (Nendaz) ✅ Trouvez le bien immobilier qui correspond idéalement à vos désirs sur ImmoScout24 - La plateforme de l'immobilier en Suisse.</v>
      </c>
      <c r="D1080" s="4" t="str">
        <f>vlookup(A1080, Sheet2!D:E, 2, 0)</f>
        <v>variant</v>
      </c>
      <c r="E1080" s="4" t="str">
        <f>IFERROR(__xludf.DUMMYFUNCTION("if(H1080=""pays"",vlookup(REGEXEXTRACT(C1080, ""🏘️ \w+ \w+ (.*) ✅""),'Country prepositions'!A:B, 2, 0) &amp; "" "" &amp; REGEXEXTRACT(C1080, ""🏘️ \w+ \w+ (.*) ✅"") ,  if(H1080=""quartier"",vlookup(REGEXEXTRACT(C1080, ""🏘️ \w+ \w+ (.*) ✅""),'Quartier prepositio"&amp;"ns'!A:E, 5, 0) ,  if(H1080=""region"",vlookup(REGEXEXTRACT(C1080, ""🏘️ \w+ \w+ (.*) ✅""),'Region prepositions'!B:F, 5, 0),  REGEXEXTRACT(C1080, ""🏘️ \w+ \w+ (.*) ✅""))))"),"Baar (Nendaz)")</f>
        <v>Baar (Nendaz)</v>
      </c>
      <c r="F1080" s="2" t="str">
        <f>IFERROR(__xludf.DUMMYFUNCTION("REGEXEXTRACT(C1080, ""🏘️ (\w+) \w+ .* ✅"")"),"Vendre")</f>
        <v>Vendre</v>
      </c>
      <c r="G1080" s="2" t="str">
        <f>IFERROR(__xludf.DUMMYFUNCTION("REGEXEXTRACT(C1080, ""🏘️ \w+ (\w+) .* ✅"")"),"appartement")</f>
        <v>appartement</v>
      </c>
      <c r="H1080" s="4" t="str">
        <f>IFERROR(__xludf.DUMMYFUNCTION("REGEXEXTRACT(A1080, ""/(\w+)-.*?"")"),"lieu")</f>
        <v>lieu</v>
      </c>
      <c r="I1080" s="4" t="str">
        <f>IFERROR(__xludf.DUMMYFUNCTION("if(D1080=""variant"",  substitute(filter(Templates!E:E, Templates!A:A = F1080, Templates!B:B = G1080, Templates!C:C = H1080), ""{{}}"", E1080), B1080)"),"🏘  L’appartement de vos rêves se trouve sur ImmoScout24.ch ✅ Découvrez les dernières annonces de vente à Baar (Nendaz).")</f>
        <v>🏘  L’appartement de vos rêves se trouve sur ImmoScout24.ch ✅ Découvrez les dernières annonces de vente à Baar (Nendaz).</v>
      </c>
      <c r="J1080" s="4" t="s">
        <v>3244</v>
      </c>
    </row>
    <row r="1081">
      <c r="A1081" s="5" t="s">
        <v>3245</v>
      </c>
      <c r="B1081" s="2" t="s">
        <v>3246</v>
      </c>
      <c r="C1081" s="4" t="str">
        <f>IFERROR(__xludf.DUMMYFUNCTION("""🏘️ ""&amp;REGEXEXTRACT(B1081, ""^(.*): "")&amp;"" ✅ "" &amp;REGEXEXTRACT(B1081, ""(Trouvez.*)"")"),"🏘️ Louer appartement Mézery-près-Donneloye ✅ Trouvez le bien immobilier qui correspond idéalement à vos désirs sur ImmoScout24 - La plateforme de l'immobilier en Suisse.")</f>
        <v>🏘️ Louer appartement Mézery-près-Donneloye ✅ Trouvez le bien immobilier qui correspond idéalement à vos désirs sur ImmoScout24 - La plateforme de l'immobilier en Suisse.</v>
      </c>
      <c r="D1081" s="4" t="str">
        <f>vlookup(A1081, Sheet2!D:E, 2, 0)</f>
        <v>variant</v>
      </c>
      <c r="E1081" s="4" t="str">
        <f>IFERROR(__xludf.DUMMYFUNCTION("if(H1081=""pays"",vlookup(REGEXEXTRACT(C1081, ""🏘️ \w+ \w+ (.*) ✅""),'Country prepositions'!A:B, 2, 0) &amp; "" "" &amp; REGEXEXTRACT(C1081, ""🏘️ \w+ \w+ (.*) ✅"") ,  if(H1081=""quartier"",vlookup(REGEXEXTRACT(C1081, ""🏘️ \w+ \w+ (.*) ✅""),'Quartier prepositio"&amp;"ns'!A:E, 5, 0) ,  if(H1081=""region"",vlookup(REGEXEXTRACT(C1081, ""🏘️ \w+ \w+ (.*) ✅""),'Region prepositions'!B:F, 5, 0),  REGEXEXTRACT(C1081, ""🏘️ \w+ \w+ (.*) ✅""))))"),"Mézery-près-Donneloye")</f>
        <v>Mézery-près-Donneloye</v>
      </c>
      <c r="F1081" s="2" t="str">
        <f>IFERROR(__xludf.DUMMYFUNCTION("REGEXEXTRACT(C1081, ""🏘️ (\w+) \w+ .* ✅"")"),"Louer")</f>
        <v>Louer</v>
      </c>
      <c r="G1081" s="2" t="str">
        <f>IFERROR(__xludf.DUMMYFUNCTION("REGEXEXTRACT(C1081, ""🏘️ \w+ (\w+) .* ✅"")"),"appartement")</f>
        <v>appartement</v>
      </c>
      <c r="H1081" s="4" t="str">
        <f>IFERROR(__xludf.DUMMYFUNCTION("REGEXEXTRACT(A1081, ""/(\w+)-.*?"")"),"lieu")</f>
        <v>lieu</v>
      </c>
      <c r="I1081" s="4" t="str">
        <f>IFERROR(__xludf.DUMMYFUNCTION("if(D1081=""variant"",  substitute(filter(Templates!E:E, Templates!A:A = F1081, Templates!B:B = G1081, Templates!C:C = H1081), ""{{}}"", E1081), B1081)"),"🏘  Vous cherchez un appartement à louer à Mézery-près-Donneloye? ✅ Les annonces les plus actuelles sont sur ImmoScout24.ch.")</f>
        <v>🏘  Vous cherchez un appartement à louer à Mézery-près-Donneloye? ✅ Les annonces les plus actuelles sont sur ImmoScout24.ch.</v>
      </c>
      <c r="J1081" s="4" t="s">
        <v>3247</v>
      </c>
    </row>
    <row r="1082">
      <c r="A1082" s="5" t="s">
        <v>3248</v>
      </c>
      <c r="B1082" s="2" t="s">
        <v>3249</v>
      </c>
      <c r="C1082" s="4" t="str">
        <f>IFERROR(__xludf.DUMMYFUNCTION("""🏘️ ""&amp;REGEXEXTRACT(B1082, ""^(.*): "")&amp;"" ✅ "" &amp;REGEXEXTRACT(B1082, ""(Trouvez.*)"")"),"🏘️ Louer appartement Gurbrü ✅ Trouvez le bien immobilier qui correspond idéalement à vos désirs sur ImmoScout24 - La plateforme de l'immobilier en Suisse.")</f>
        <v>🏘️ Louer appartement Gurbrü ✅ Trouvez le bien immobilier qui correspond idéalement à vos désirs sur ImmoScout24 - La plateforme de l'immobilier en Suisse.</v>
      </c>
      <c r="D1082" s="4" t="str">
        <f>vlookup(A1082, Sheet2!D:E, 2, 0)</f>
        <v>variant</v>
      </c>
      <c r="E1082" s="4" t="str">
        <f>IFERROR(__xludf.DUMMYFUNCTION("if(H1082=""pays"",vlookup(REGEXEXTRACT(C1082, ""🏘️ \w+ \w+ (.*) ✅""),'Country prepositions'!A:B, 2, 0) &amp; "" "" &amp; REGEXEXTRACT(C1082, ""🏘️ \w+ \w+ (.*) ✅"") ,  if(H1082=""quartier"",vlookup(REGEXEXTRACT(C1082, ""🏘️ \w+ \w+ (.*) ✅""),'Quartier prepositio"&amp;"ns'!A:E, 5, 0) ,  if(H1082=""region"",vlookup(REGEXEXTRACT(C1082, ""🏘️ \w+ \w+ (.*) ✅""),'Region prepositions'!B:F, 5, 0),  REGEXEXTRACT(C1082, ""🏘️ \w+ \w+ (.*) ✅""))))"),"Gurbrü")</f>
        <v>Gurbrü</v>
      </c>
      <c r="F1082" s="2" t="str">
        <f>IFERROR(__xludf.DUMMYFUNCTION("REGEXEXTRACT(C1082, ""🏘️ (\w+) \w+ .* ✅"")"),"Louer")</f>
        <v>Louer</v>
      </c>
      <c r="G1082" s="2" t="str">
        <f>IFERROR(__xludf.DUMMYFUNCTION("REGEXEXTRACT(C1082, ""🏘️ \w+ (\w+) .* ✅"")"),"appartement")</f>
        <v>appartement</v>
      </c>
      <c r="H1082" s="4" t="str">
        <f>IFERROR(__xludf.DUMMYFUNCTION("REGEXEXTRACT(A1082, ""/(\w+)-.*?"")"),"lieu")</f>
        <v>lieu</v>
      </c>
      <c r="I1082" s="4" t="str">
        <f>IFERROR(__xludf.DUMMYFUNCTION("if(D1082=""variant"",  substitute(filter(Templates!E:E, Templates!A:A = F1082, Templates!B:B = G1082, Templates!C:C = H1082), ""{{}}"", E1082), B1082)"),"🏘  Vous cherchez un appartement à louer à Gurbrü? ✅ Les annonces les plus actuelles sont sur ImmoScout24.ch.")</f>
        <v>🏘  Vous cherchez un appartement à louer à Gurbrü? ✅ Les annonces les plus actuelles sont sur ImmoScout24.ch.</v>
      </c>
      <c r="J1082" s="4" t="s">
        <v>3250</v>
      </c>
    </row>
    <row r="1083">
      <c r="A1083" s="5" t="s">
        <v>3251</v>
      </c>
      <c r="B1083" s="2" t="s">
        <v>3252</v>
      </c>
      <c r="C1083" s="4" t="str">
        <f>IFERROR(__xludf.DUMMYFUNCTION("""🏘️ ""&amp;REGEXEXTRACT(B1083, ""^(.*): "")&amp;"" ✅ "" &amp;REGEXEXTRACT(B1083, ""(Trouvez.*)"")"),"🏘️ Louer maison Fahy ✅ Trouvez le bien immobilier qui correspond idéalement à vos désirs sur ImmoScout24 - La plateforme de l'immobilier en Suisse.")</f>
        <v>🏘️ Louer maison Fahy ✅ Trouvez le bien immobilier qui correspond idéalement à vos désirs sur ImmoScout24 - La plateforme de l'immobilier en Suisse.</v>
      </c>
      <c r="D1083" s="4" t="str">
        <f>vlookup(A1083, Sheet2!D:E, 2, 0)</f>
        <v>variant</v>
      </c>
      <c r="E1083" s="4" t="str">
        <f>IFERROR(__xludf.DUMMYFUNCTION("if(H1083=""pays"",vlookup(REGEXEXTRACT(C1083, ""🏘️ \w+ \w+ (.*) ✅""),'Country prepositions'!A:B, 2, 0) &amp; "" "" &amp; REGEXEXTRACT(C1083, ""🏘️ \w+ \w+ (.*) ✅"") ,  if(H1083=""quartier"",vlookup(REGEXEXTRACT(C1083, ""🏘️ \w+ \w+ (.*) ✅""),'Quartier prepositio"&amp;"ns'!A:E, 5, 0) ,  if(H1083=""region"",vlookup(REGEXEXTRACT(C1083, ""🏘️ \w+ \w+ (.*) ✅""),'Region prepositions'!B:F, 5, 0),  REGEXEXTRACT(C1083, ""🏘️ \w+ \w+ (.*) ✅""))))"),"Fahy")</f>
        <v>Fahy</v>
      </c>
      <c r="F1083" s="2" t="str">
        <f>IFERROR(__xludf.DUMMYFUNCTION("REGEXEXTRACT(C1083, ""🏘️ (\w+) \w+ .* ✅"")"),"Louer")</f>
        <v>Louer</v>
      </c>
      <c r="G1083" s="2" t="str">
        <f>IFERROR(__xludf.DUMMYFUNCTION("REGEXEXTRACT(C1083, ""🏘️ \w+ (\w+) .* ✅"")"),"maison")</f>
        <v>maison</v>
      </c>
      <c r="H1083" s="4" t="str">
        <f>IFERROR(__xludf.DUMMYFUNCTION("REGEXEXTRACT(A1083, ""/(\w+)-.*?"")"),"lieu")</f>
        <v>lieu</v>
      </c>
      <c r="I1083" s="4" t="str">
        <f>IFERROR(__xludf.DUMMYFUNCTION("if(D1083=""variant"",  substitute(filter(Templates!E:E, Templates!A:A = F1083, Templates!B:B = G1083, Templates!C:C = H1083), ""{{}}"", E1083), B1083)"),"🏘  Vous cherchez une maison à louer à Fahy? ✅ Découvrez nos nombreuses annonces sur ImmoScout24.ch.")</f>
        <v>🏘  Vous cherchez une maison à louer à Fahy? ✅ Découvrez nos nombreuses annonces sur ImmoScout24.ch.</v>
      </c>
      <c r="J1083" s="4" t="s">
        <v>3253</v>
      </c>
    </row>
    <row r="1084">
      <c r="A1084" s="5" t="s">
        <v>3254</v>
      </c>
      <c r="B1084" s="2" t="s">
        <v>3255</v>
      </c>
      <c r="C1084" s="4" t="str">
        <f>IFERROR(__xludf.DUMMYFUNCTION("""🏘️ ""&amp;REGEXEXTRACT(B1084, ""^(.*): "")&amp;"" ✅ "" &amp;REGEXEXTRACT(B1084, ""(Trouvez.*)"")"),"🏘️ Vendre maison Gilly ✅ Trouvez le bien immobilier qui correspond idéalement à vos désirs sur ImmoScout24 - La plateforme de l'immobilier en Suisse.")</f>
        <v>🏘️ Vendre maison Gilly ✅ Trouvez le bien immobilier qui correspond idéalement à vos désirs sur ImmoScout24 - La plateforme de l'immobilier en Suisse.</v>
      </c>
      <c r="D1084" s="4" t="str">
        <f>vlookup(A1084, Sheet2!D:E, 2, 0)</f>
        <v>variant</v>
      </c>
      <c r="E1084" s="4" t="str">
        <f>IFERROR(__xludf.DUMMYFUNCTION("if(H1084=""pays"",vlookup(REGEXEXTRACT(C1084, ""🏘️ \w+ \w+ (.*) ✅""),'Country prepositions'!A:B, 2, 0) &amp; "" "" &amp; REGEXEXTRACT(C1084, ""🏘️ \w+ \w+ (.*) ✅"") ,  if(H1084=""quartier"",vlookup(REGEXEXTRACT(C1084, ""🏘️ \w+ \w+ (.*) ✅""),'Quartier prepositio"&amp;"ns'!A:E, 5, 0) ,  if(H1084=""region"",vlookup(REGEXEXTRACT(C1084, ""🏘️ \w+ \w+ (.*) ✅""),'Region prepositions'!B:F, 5, 0),  REGEXEXTRACT(C1084, ""🏘️ \w+ \w+ (.*) ✅""))))"),"Gilly")</f>
        <v>Gilly</v>
      </c>
      <c r="F1084" s="2" t="str">
        <f>IFERROR(__xludf.DUMMYFUNCTION("REGEXEXTRACT(C1084, ""🏘️ (\w+) \w+ .* ✅"")"),"Vendre")</f>
        <v>Vendre</v>
      </c>
      <c r="G1084" s="2" t="str">
        <f>IFERROR(__xludf.DUMMYFUNCTION("REGEXEXTRACT(C1084, ""🏘️ \w+ (\w+) .* ✅"")"),"maison")</f>
        <v>maison</v>
      </c>
      <c r="H1084" s="4" t="str">
        <f>IFERROR(__xludf.DUMMYFUNCTION("REGEXEXTRACT(A1084, ""/(\w+)-.*?"")"),"lieu")</f>
        <v>lieu</v>
      </c>
      <c r="I1084" s="4" t="str">
        <f>IFERROR(__xludf.DUMMYFUNCTION("if(D1084=""variant"",  substitute(filter(Templates!E:E, Templates!A:A = F1084, Templates!B:B = G1084, Templates!C:C = H1084), ""{{}}"", E1084), B1084)"),"🏘  Vous souhaitez acheter une maison à Gilly? ✅ Jetez un œil aux dernières offres sur ImmoScout24.ch.")</f>
        <v>🏘  Vous souhaitez acheter une maison à Gilly? ✅ Jetez un œil aux dernières offres sur ImmoScout24.ch.</v>
      </c>
      <c r="J1084" s="4" t="s">
        <v>3256</v>
      </c>
    </row>
    <row r="1085">
      <c r="A1085" s="5" t="s">
        <v>3257</v>
      </c>
      <c r="B1085" s="2" t="s">
        <v>3258</v>
      </c>
      <c r="C1085" s="4" t="str">
        <f>IFERROR(__xludf.DUMMYFUNCTION("""🏘️ ""&amp;REGEXEXTRACT(B1085, ""^(.*): "")&amp;"" ✅ "" &amp;REGEXEXTRACT(B1085, ""(Trouvez.*)"")"),"🏘️ Vendre appartement Liestal ✅ Trouvez le bien immobilier qui correspond idéalement à vos désirs sur ImmoScout24 - La plateforme de l'immobilier en Suisse.")</f>
        <v>🏘️ Vendre appartement Liestal ✅ Trouvez le bien immobilier qui correspond idéalement à vos désirs sur ImmoScout24 - La plateforme de l'immobilier en Suisse.</v>
      </c>
      <c r="D1085" s="4" t="str">
        <f>vlookup(A1085, Sheet2!D:E, 2, 0)</f>
        <v>variant</v>
      </c>
      <c r="E1085" s="4" t="str">
        <f>IFERROR(__xludf.DUMMYFUNCTION("if(H1085=""pays"",vlookup(REGEXEXTRACT(C1085, ""🏘️ \w+ \w+ (.*) ✅""),'Country prepositions'!A:B, 2, 0) &amp; "" "" &amp; REGEXEXTRACT(C1085, ""🏘️ \w+ \w+ (.*) ✅"") ,  if(H1085=""quartier"",vlookup(REGEXEXTRACT(C1085, ""🏘️ \w+ \w+ (.*) ✅""),'Quartier prepositio"&amp;"ns'!A:E, 5, 0) ,  if(H1085=""region"",vlookup(REGEXEXTRACT(C1085, ""🏘️ \w+ \w+ (.*) ✅""),'Region prepositions'!B:F, 5, 0),  REGEXEXTRACT(C1085, ""🏘️ \w+ \w+ (.*) ✅""))))"),"Liestal")</f>
        <v>Liestal</v>
      </c>
      <c r="F1085" s="2" t="str">
        <f>IFERROR(__xludf.DUMMYFUNCTION("REGEXEXTRACT(C1085, ""🏘️ (\w+) \w+ .* ✅"")"),"Vendre")</f>
        <v>Vendre</v>
      </c>
      <c r="G1085" s="2" t="str">
        <f>IFERROR(__xludf.DUMMYFUNCTION("REGEXEXTRACT(C1085, ""🏘️ \w+ (\w+) .* ✅"")"),"appartement")</f>
        <v>appartement</v>
      </c>
      <c r="H1085" s="4" t="str">
        <f>IFERROR(__xludf.DUMMYFUNCTION("REGEXEXTRACT(A1085, ""/(\w+)-.*?"")"),"lieu")</f>
        <v>lieu</v>
      </c>
      <c r="I1085" s="4" t="str">
        <f>IFERROR(__xludf.DUMMYFUNCTION("if(D1085=""variant"",  substitute(filter(Templates!E:E, Templates!A:A = F1085, Templates!B:B = G1085, Templates!C:C = H1085), ""{{}}"", E1085), B1085)"),"🏘  L’appartement de vos rêves se trouve sur ImmoScout24.ch ✅ Découvrez les dernières annonces de vente à Liestal.")</f>
        <v>🏘  L’appartement de vos rêves se trouve sur ImmoScout24.ch ✅ Découvrez les dernières annonces de vente à Liestal.</v>
      </c>
      <c r="J1085" s="4" t="s">
        <v>3259</v>
      </c>
    </row>
    <row r="1086">
      <c r="A1086" s="5" t="s">
        <v>3260</v>
      </c>
      <c r="B1086" s="2" t="s">
        <v>3261</v>
      </c>
      <c r="C1086" s="4" t="str">
        <f>IFERROR(__xludf.DUMMYFUNCTION("""🏘️ ""&amp;REGEXEXTRACT(B1086, ""^(.*): "")&amp;"" ✅ "" &amp;REGEXEXTRACT(B1086, ""(Trouvez.*)"")"),"🏘️ Vendre maison Isérables ✅ Trouvez le bien immobilier qui correspond idéalement à vos désirs sur ImmoScout24 - La plateforme de l'immobilier en Suisse.")</f>
        <v>🏘️ Vendre maison Isérables ✅ Trouvez le bien immobilier qui correspond idéalement à vos désirs sur ImmoScout24 - La plateforme de l'immobilier en Suisse.</v>
      </c>
      <c r="D1086" s="4" t="str">
        <f>vlookup(A1086, Sheet2!D:E, 2, 0)</f>
        <v>variant</v>
      </c>
      <c r="E1086" s="4" t="str">
        <f>IFERROR(__xludf.DUMMYFUNCTION("if(H1086=""pays"",vlookup(REGEXEXTRACT(C1086, ""🏘️ \w+ \w+ (.*) ✅""),'Country prepositions'!A:B, 2, 0) &amp; "" "" &amp; REGEXEXTRACT(C1086, ""🏘️ \w+ \w+ (.*) ✅"") ,  if(H1086=""quartier"",vlookup(REGEXEXTRACT(C1086, ""🏘️ \w+ \w+ (.*) ✅""),'Quartier prepositio"&amp;"ns'!A:E, 5, 0) ,  if(H1086=""region"",vlookup(REGEXEXTRACT(C1086, ""🏘️ \w+ \w+ (.*) ✅""),'Region prepositions'!B:F, 5, 0),  REGEXEXTRACT(C1086, ""🏘️ \w+ \w+ (.*) ✅""))))"),"Isérables")</f>
        <v>Isérables</v>
      </c>
      <c r="F1086" s="2" t="str">
        <f>IFERROR(__xludf.DUMMYFUNCTION("REGEXEXTRACT(C1086, ""🏘️ (\w+) \w+ .* ✅"")"),"Vendre")</f>
        <v>Vendre</v>
      </c>
      <c r="G1086" s="2" t="str">
        <f>IFERROR(__xludf.DUMMYFUNCTION("REGEXEXTRACT(C1086, ""🏘️ \w+ (\w+) .* ✅"")"),"maison")</f>
        <v>maison</v>
      </c>
      <c r="H1086" s="4" t="str">
        <f>IFERROR(__xludf.DUMMYFUNCTION("REGEXEXTRACT(A1086, ""/(\w+)-.*?"")"),"lieu")</f>
        <v>lieu</v>
      </c>
      <c r="I1086" s="4" t="str">
        <f>IFERROR(__xludf.DUMMYFUNCTION("if(D1086=""variant"",  substitute(filter(Templates!E:E, Templates!A:A = F1086, Templates!B:B = G1086, Templates!C:C = H1086), ""{{}}"", E1086), B1086)"),"🏘  Vous souhaitez acheter une maison à Isérables? ✅ Jetez un œil aux dernières offres sur ImmoScout24.ch.")</f>
        <v>🏘  Vous souhaitez acheter une maison à Isérables? ✅ Jetez un œil aux dernières offres sur ImmoScout24.ch.</v>
      </c>
      <c r="J1086" s="4" t="s">
        <v>3262</v>
      </c>
    </row>
    <row r="1087">
      <c r="A1087" s="5" t="s">
        <v>3263</v>
      </c>
      <c r="B1087" s="2" t="s">
        <v>3264</v>
      </c>
      <c r="C1087" s="4" t="str">
        <f>IFERROR(__xludf.DUMMYFUNCTION("""🏘️ ""&amp;REGEXEXTRACT(B1087, ""^(.*): "")&amp;"" ✅ "" &amp;REGEXEXTRACT(B1087, ""(Trouvez.*)"")"),"🏘️ Vendre maison Reckingen VS ✅ Trouvez le bien immobilier qui correspond idéalement à vos désirs sur ImmoScout24 - La plateforme de l'immobilier en Suisse.")</f>
        <v>🏘️ Vendre maison Reckingen VS ✅ Trouvez le bien immobilier qui correspond idéalement à vos désirs sur ImmoScout24 - La plateforme de l'immobilier en Suisse.</v>
      </c>
      <c r="D1087" s="4" t="str">
        <f>vlookup(A1087, Sheet2!D:E, 2, 0)</f>
        <v>variant</v>
      </c>
      <c r="E1087" s="4" t="str">
        <f>IFERROR(__xludf.DUMMYFUNCTION("if(H1087=""pays"",vlookup(REGEXEXTRACT(C1087, ""🏘️ \w+ \w+ (.*) ✅""),'Country prepositions'!A:B, 2, 0) &amp; "" "" &amp; REGEXEXTRACT(C1087, ""🏘️ \w+ \w+ (.*) ✅"") ,  if(H1087=""quartier"",vlookup(REGEXEXTRACT(C1087, ""🏘️ \w+ \w+ (.*) ✅""),'Quartier prepositio"&amp;"ns'!A:E, 5, 0) ,  if(H1087=""region"",vlookup(REGEXEXTRACT(C1087, ""🏘️ \w+ \w+ (.*) ✅""),'Region prepositions'!B:F, 5, 0),  REGEXEXTRACT(C1087, ""🏘️ \w+ \w+ (.*) ✅""))))"),"Reckingen VS")</f>
        <v>Reckingen VS</v>
      </c>
      <c r="F1087" s="2" t="str">
        <f>IFERROR(__xludf.DUMMYFUNCTION("REGEXEXTRACT(C1087, ""🏘️ (\w+) \w+ .* ✅"")"),"Vendre")</f>
        <v>Vendre</v>
      </c>
      <c r="G1087" s="2" t="str">
        <f>IFERROR(__xludf.DUMMYFUNCTION("REGEXEXTRACT(C1087, ""🏘️ \w+ (\w+) .* ✅"")"),"maison")</f>
        <v>maison</v>
      </c>
      <c r="H1087" s="4" t="str">
        <f>IFERROR(__xludf.DUMMYFUNCTION("REGEXEXTRACT(A1087, ""/(\w+)-.*?"")"),"lieu")</f>
        <v>lieu</v>
      </c>
      <c r="I1087" s="4" t="str">
        <f>IFERROR(__xludf.DUMMYFUNCTION("if(D1087=""variant"",  substitute(filter(Templates!E:E, Templates!A:A = F1087, Templates!B:B = G1087, Templates!C:C = H1087), ""{{}}"", E1087), B1087)"),"🏘  Vous souhaitez acheter une maison à Reckingen VS? ✅ Jetez un œil aux dernières offres sur ImmoScout24.ch.")</f>
        <v>🏘  Vous souhaitez acheter une maison à Reckingen VS? ✅ Jetez un œil aux dernières offres sur ImmoScout24.ch.</v>
      </c>
      <c r="J1087" s="4" t="s">
        <v>3265</v>
      </c>
    </row>
    <row r="1088">
      <c r="A1088" s="5" t="s">
        <v>3266</v>
      </c>
      <c r="B1088" s="2" t="s">
        <v>3267</v>
      </c>
      <c r="C1088" s="4" t="str">
        <f>IFERROR(__xludf.DUMMYFUNCTION("""🏘️ ""&amp;REGEXEXTRACT(B1088, ""^(.*): "")&amp;"" ✅ "" &amp;REGEXEXTRACT(B1088, ""(Trouvez.*)"")"),"🏘️ Louer appartement Bremgarten AG ✅ Trouvez le bien immobilier qui correspond idéalement à vos désirs sur ImmoScout24 - La plateforme de l'immobilier en Suisse.")</f>
        <v>🏘️ Louer appartement Bremgarten AG ✅ Trouvez le bien immobilier qui correspond idéalement à vos désirs sur ImmoScout24 - La plateforme de l'immobilier en Suisse.</v>
      </c>
      <c r="D1088" s="4" t="str">
        <f>vlookup(A1088, Sheet2!D:E, 2, 0)</f>
        <v>variant</v>
      </c>
      <c r="E1088" s="4" t="str">
        <f>IFERROR(__xludf.DUMMYFUNCTION("if(H1088=""pays"",vlookup(REGEXEXTRACT(C1088, ""🏘️ \w+ \w+ (.*) ✅""),'Country prepositions'!A:B, 2, 0) &amp; "" "" &amp; REGEXEXTRACT(C1088, ""🏘️ \w+ \w+ (.*) ✅"") ,  if(H1088=""quartier"",vlookup(REGEXEXTRACT(C1088, ""🏘️ \w+ \w+ (.*) ✅""),'Quartier prepositio"&amp;"ns'!A:E, 5, 0) ,  if(H1088=""region"",vlookup(REGEXEXTRACT(C1088, ""🏘️ \w+ \w+ (.*) ✅""),'Region prepositions'!B:F, 5, 0),  REGEXEXTRACT(C1088, ""🏘️ \w+ \w+ (.*) ✅""))))"),"Bremgarten AG")</f>
        <v>Bremgarten AG</v>
      </c>
      <c r="F1088" s="2" t="str">
        <f>IFERROR(__xludf.DUMMYFUNCTION("REGEXEXTRACT(C1088, ""🏘️ (\w+) \w+ .* ✅"")"),"Louer")</f>
        <v>Louer</v>
      </c>
      <c r="G1088" s="2" t="str">
        <f>IFERROR(__xludf.DUMMYFUNCTION("REGEXEXTRACT(C1088, ""🏘️ \w+ (\w+) .* ✅"")"),"appartement")</f>
        <v>appartement</v>
      </c>
      <c r="H1088" s="4" t="str">
        <f>IFERROR(__xludf.DUMMYFUNCTION("REGEXEXTRACT(A1088, ""/(\w+)-.*?"")"),"lieu")</f>
        <v>lieu</v>
      </c>
      <c r="I1088" s="4" t="str">
        <f>IFERROR(__xludf.DUMMYFUNCTION("if(D1088=""variant"",  substitute(filter(Templates!E:E, Templates!A:A = F1088, Templates!B:B = G1088, Templates!C:C = H1088), ""{{}}"", E1088), B1088)"),"🏘  Vous cherchez un appartement à louer à Bremgarten AG? ✅ Les annonces les plus actuelles sont sur ImmoScout24.ch.")</f>
        <v>🏘  Vous cherchez un appartement à louer à Bremgarten AG? ✅ Les annonces les plus actuelles sont sur ImmoScout24.ch.</v>
      </c>
      <c r="J1088" s="4" t="s">
        <v>3268</v>
      </c>
    </row>
    <row r="1089">
      <c r="A1089" s="5" t="s">
        <v>3269</v>
      </c>
      <c r="B1089" s="2" t="s">
        <v>3270</v>
      </c>
      <c r="C1089" s="4" t="str">
        <f>IFERROR(__xludf.DUMMYFUNCTION("""🏘️ ""&amp;REGEXEXTRACT(B1089, ""^(.*): "")&amp;"" ✅ "" &amp;REGEXEXTRACT(B1089, ""(Trouvez.*)"")"),"🏘️ Louer appartement Grimisuat ✅ Trouvez le bien immobilier qui correspond idéalement à vos désirs sur ImmoScout24 - La plateforme de l'immobilier en Suisse.")</f>
        <v>🏘️ Louer appartement Grimisuat ✅ Trouvez le bien immobilier qui correspond idéalement à vos désirs sur ImmoScout24 - La plateforme de l'immobilier en Suisse.</v>
      </c>
      <c r="D1089" s="4" t="str">
        <f>vlookup(A1089, Sheet2!D:E, 2, 0)</f>
        <v>variant</v>
      </c>
      <c r="E1089" s="4" t="str">
        <f>IFERROR(__xludf.DUMMYFUNCTION("if(H1089=""pays"",vlookup(REGEXEXTRACT(C1089, ""🏘️ \w+ \w+ (.*) ✅""),'Country prepositions'!A:B, 2, 0) &amp; "" "" &amp; REGEXEXTRACT(C1089, ""🏘️ \w+ \w+ (.*) ✅"") ,  if(H1089=""quartier"",vlookup(REGEXEXTRACT(C1089, ""🏘️ \w+ \w+ (.*) ✅""),'Quartier prepositio"&amp;"ns'!A:E, 5, 0) ,  if(H1089=""region"",vlookup(REGEXEXTRACT(C1089, ""🏘️ \w+ \w+ (.*) ✅""),'Region prepositions'!B:F, 5, 0),  REGEXEXTRACT(C1089, ""🏘️ \w+ \w+ (.*) ✅""))))"),"Grimisuat")</f>
        <v>Grimisuat</v>
      </c>
      <c r="F1089" s="2" t="str">
        <f>IFERROR(__xludf.DUMMYFUNCTION("REGEXEXTRACT(C1089, ""🏘️ (\w+) \w+ .* ✅"")"),"Louer")</f>
        <v>Louer</v>
      </c>
      <c r="G1089" s="2" t="str">
        <f>IFERROR(__xludf.DUMMYFUNCTION("REGEXEXTRACT(C1089, ""🏘️ \w+ (\w+) .* ✅"")"),"appartement")</f>
        <v>appartement</v>
      </c>
      <c r="H1089" s="4" t="str">
        <f>IFERROR(__xludf.DUMMYFUNCTION("REGEXEXTRACT(A1089, ""/(\w+)-.*?"")"),"lieu")</f>
        <v>lieu</v>
      </c>
      <c r="I1089" s="4" t="str">
        <f>IFERROR(__xludf.DUMMYFUNCTION("if(D1089=""variant"",  substitute(filter(Templates!E:E, Templates!A:A = F1089, Templates!B:B = G1089, Templates!C:C = H1089), ""{{}}"", E1089), B1089)"),"🏘  Vous cherchez un appartement à louer à Grimisuat? ✅ Les annonces les plus actuelles sont sur ImmoScout24.ch.")</f>
        <v>🏘  Vous cherchez un appartement à louer à Grimisuat? ✅ Les annonces les plus actuelles sont sur ImmoScout24.ch.</v>
      </c>
      <c r="J1089" s="4" t="s">
        <v>3271</v>
      </c>
    </row>
    <row r="1090">
      <c r="A1090" s="5" t="s">
        <v>3272</v>
      </c>
      <c r="B1090" s="2" t="s">
        <v>3273</v>
      </c>
      <c r="C1090" s="4" t="str">
        <f>IFERROR(__xludf.DUMMYFUNCTION("""🏘️ ""&amp;REGEXEXTRACT(B1090, ""^(.*): "")&amp;"" ✅ "" &amp;REGEXEXTRACT(B1090, ""(Trouvez.*)"")"),"🏘️ Vendre maison Kerzers ✅ Trouvez le bien immobilier qui correspond idéalement à vos désirs sur ImmoScout24 - La plateforme de l'immobilier en Suisse.")</f>
        <v>🏘️ Vendre maison Kerzers ✅ Trouvez le bien immobilier qui correspond idéalement à vos désirs sur ImmoScout24 - La plateforme de l'immobilier en Suisse.</v>
      </c>
      <c r="D1090" s="4" t="str">
        <f>vlookup(A1090, Sheet2!D:E, 2, 0)</f>
        <v>variant</v>
      </c>
      <c r="E1090" s="4" t="str">
        <f>IFERROR(__xludf.DUMMYFUNCTION("if(H1090=""pays"",vlookup(REGEXEXTRACT(C1090, ""🏘️ \w+ \w+ (.*) ✅""),'Country prepositions'!A:B, 2, 0) &amp; "" "" &amp; REGEXEXTRACT(C1090, ""🏘️ \w+ \w+ (.*) ✅"") ,  if(H1090=""quartier"",vlookup(REGEXEXTRACT(C1090, ""🏘️ \w+ \w+ (.*) ✅""),'Quartier prepositio"&amp;"ns'!A:E, 5, 0) ,  if(H1090=""region"",vlookup(REGEXEXTRACT(C1090, ""🏘️ \w+ \w+ (.*) ✅""),'Region prepositions'!B:F, 5, 0),  REGEXEXTRACT(C1090, ""🏘️ \w+ \w+ (.*) ✅""))))"),"Kerzers")</f>
        <v>Kerzers</v>
      </c>
      <c r="F1090" s="2" t="str">
        <f>IFERROR(__xludf.DUMMYFUNCTION("REGEXEXTRACT(C1090, ""🏘️ (\w+) \w+ .* ✅"")"),"Vendre")</f>
        <v>Vendre</v>
      </c>
      <c r="G1090" s="2" t="str">
        <f>IFERROR(__xludf.DUMMYFUNCTION("REGEXEXTRACT(C1090, ""🏘️ \w+ (\w+) .* ✅"")"),"maison")</f>
        <v>maison</v>
      </c>
      <c r="H1090" s="4" t="str">
        <f>IFERROR(__xludf.DUMMYFUNCTION("REGEXEXTRACT(A1090, ""/(\w+)-.*?"")"),"lieu")</f>
        <v>lieu</v>
      </c>
      <c r="I1090" s="4" t="str">
        <f>IFERROR(__xludf.DUMMYFUNCTION("if(D1090=""variant"",  substitute(filter(Templates!E:E, Templates!A:A = F1090, Templates!B:B = G1090, Templates!C:C = H1090), ""{{}}"", E1090), B1090)"),"🏘  Vous souhaitez acheter une maison à Kerzers? ✅ Jetez un œil aux dernières offres sur ImmoScout24.ch.")</f>
        <v>🏘  Vous souhaitez acheter une maison à Kerzers? ✅ Jetez un œil aux dernières offres sur ImmoScout24.ch.</v>
      </c>
      <c r="J1090" s="4" t="s">
        <v>3274</v>
      </c>
    </row>
    <row r="1091">
      <c r="A1091" s="5" t="s">
        <v>3275</v>
      </c>
      <c r="B1091" s="2" t="s">
        <v>3276</v>
      </c>
      <c r="C1091" s="4" t="str">
        <f>IFERROR(__xludf.DUMMYFUNCTION("""🏘️ ""&amp;REGEXEXTRACT(B1091, ""^(.*): "")&amp;"" ✅ "" &amp;REGEXEXTRACT(B1091, ""(Trouvez.*)"")"),"🏘️ Louer maison Châtel-St-Denis ✅ Trouvez le bien immobilier qui correspond idéalement à vos désirs sur ImmoScout24 - La plateforme de l'immobilier en Suisse.")</f>
        <v>🏘️ Louer maison Châtel-St-Denis ✅ Trouvez le bien immobilier qui correspond idéalement à vos désirs sur ImmoScout24 - La plateforme de l'immobilier en Suisse.</v>
      </c>
      <c r="D1091" s="4" t="str">
        <f>vlookup(A1091, Sheet2!D:E, 2, 0)</f>
        <v>variant</v>
      </c>
      <c r="E1091" s="4" t="str">
        <f>IFERROR(__xludf.DUMMYFUNCTION("if(H1091=""pays"",vlookup(REGEXEXTRACT(C1091, ""🏘️ \w+ \w+ (.*) ✅""),'Country prepositions'!A:B, 2, 0) &amp; "" "" &amp; REGEXEXTRACT(C1091, ""🏘️ \w+ \w+ (.*) ✅"") ,  if(H1091=""quartier"",vlookup(REGEXEXTRACT(C1091, ""🏘️ \w+ \w+ (.*) ✅""),'Quartier prepositio"&amp;"ns'!A:E, 5, 0) ,  if(H1091=""region"",vlookup(REGEXEXTRACT(C1091, ""🏘️ \w+ \w+ (.*) ✅""),'Region prepositions'!B:F, 5, 0),  REGEXEXTRACT(C1091, ""🏘️ \w+ \w+ (.*) ✅""))))"),"Châtel-St-Denis")</f>
        <v>Châtel-St-Denis</v>
      </c>
      <c r="F1091" s="2" t="str">
        <f>IFERROR(__xludf.DUMMYFUNCTION("REGEXEXTRACT(C1091, ""🏘️ (\w+) \w+ .* ✅"")"),"Louer")</f>
        <v>Louer</v>
      </c>
      <c r="G1091" s="2" t="str">
        <f>IFERROR(__xludf.DUMMYFUNCTION("REGEXEXTRACT(C1091, ""🏘️ \w+ (\w+) .* ✅"")"),"maison")</f>
        <v>maison</v>
      </c>
      <c r="H1091" s="4" t="str">
        <f>IFERROR(__xludf.DUMMYFUNCTION("REGEXEXTRACT(A1091, ""/(\w+)-.*?"")"),"lieu")</f>
        <v>lieu</v>
      </c>
      <c r="I1091" s="4" t="str">
        <f>IFERROR(__xludf.DUMMYFUNCTION("if(D1091=""variant"",  substitute(filter(Templates!E:E, Templates!A:A = F1091, Templates!B:B = G1091, Templates!C:C = H1091), ""{{}}"", E1091), B1091)"),"🏘  Vous cherchez une maison à louer à Châtel-St-Denis? ✅ Découvrez nos nombreuses annonces sur ImmoScout24.ch.")</f>
        <v>🏘  Vous cherchez une maison à louer à Châtel-St-Denis? ✅ Découvrez nos nombreuses annonces sur ImmoScout24.ch.</v>
      </c>
      <c r="J1091" s="4" t="s">
        <v>3277</v>
      </c>
    </row>
    <row r="1092">
      <c r="A1092" s="5" t="s">
        <v>3278</v>
      </c>
      <c r="B1092" s="2" t="s">
        <v>3279</v>
      </c>
      <c r="C1092" s="4" t="str">
        <f>IFERROR(__xludf.DUMMYFUNCTION("""🏘️ ""&amp;REGEXEXTRACT(B1092, ""^(.*): "")&amp;"" ✅ "" &amp;REGEXEXTRACT(B1092, ""(Trouvez.*)"")"),"🏘️ Vendre appartement Cottens FR ✅ Trouvez le bien immobilier qui correspond idéalement à vos désirs sur ImmoScout24 - La plateforme de l'immobilier en Suisse.")</f>
        <v>🏘️ Vendre appartement Cottens FR ✅ Trouvez le bien immobilier qui correspond idéalement à vos désirs sur ImmoScout24 - La plateforme de l'immobilier en Suisse.</v>
      </c>
      <c r="D1092" s="4" t="str">
        <f>vlookup(A1092, Sheet2!D:E, 2, 0)</f>
        <v>variant</v>
      </c>
      <c r="E1092" s="4" t="str">
        <f>IFERROR(__xludf.DUMMYFUNCTION("if(H1092=""pays"",vlookup(REGEXEXTRACT(C1092, ""🏘️ \w+ \w+ (.*) ✅""),'Country prepositions'!A:B, 2, 0) &amp; "" "" &amp; REGEXEXTRACT(C1092, ""🏘️ \w+ \w+ (.*) ✅"") ,  if(H1092=""quartier"",vlookup(REGEXEXTRACT(C1092, ""🏘️ \w+ \w+ (.*) ✅""),'Quartier prepositio"&amp;"ns'!A:E, 5, 0) ,  if(H1092=""region"",vlookup(REGEXEXTRACT(C1092, ""🏘️ \w+ \w+ (.*) ✅""),'Region prepositions'!B:F, 5, 0),  REGEXEXTRACT(C1092, ""🏘️ \w+ \w+ (.*) ✅""))))"),"Cottens FR")</f>
        <v>Cottens FR</v>
      </c>
      <c r="F1092" s="2" t="str">
        <f>IFERROR(__xludf.DUMMYFUNCTION("REGEXEXTRACT(C1092, ""🏘️ (\w+) \w+ .* ✅"")"),"Vendre")</f>
        <v>Vendre</v>
      </c>
      <c r="G1092" s="2" t="str">
        <f>IFERROR(__xludf.DUMMYFUNCTION("REGEXEXTRACT(C1092, ""🏘️ \w+ (\w+) .* ✅"")"),"appartement")</f>
        <v>appartement</v>
      </c>
      <c r="H1092" s="4" t="str">
        <f>IFERROR(__xludf.DUMMYFUNCTION("REGEXEXTRACT(A1092, ""/(\w+)-.*?"")"),"lieu")</f>
        <v>lieu</v>
      </c>
      <c r="I1092" s="4" t="str">
        <f>IFERROR(__xludf.DUMMYFUNCTION("if(D1092=""variant"",  substitute(filter(Templates!E:E, Templates!A:A = F1092, Templates!B:B = G1092, Templates!C:C = H1092), ""{{}}"", E1092), B1092)"),"🏘  L’appartement de vos rêves se trouve sur ImmoScout24.ch ✅ Découvrez les dernières annonces de vente à Cottens FR.")</f>
        <v>🏘  L’appartement de vos rêves se trouve sur ImmoScout24.ch ✅ Découvrez les dernières annonces de vente à Cottens FR.</v>
      </c>
      <c r="J1092" s="4" t="s">
        <v>3280</v>
      </c>
    </row>
    <row r="1093">
      <c r="A1093" s="5" t="s">
        <v>3281</v>
      </c>
      <c r="B1093" s="2" t="s">
        <v>3282</v>
      </c>
      <c r="C1093" s="4" t="str">
        <f>IFERROR(__xludf.DUMMYFUNCTION("""🏘️ ""&amp;REGEXEXTRACT(B1093, ""^(.*): "")&amp;"" ✅ "" &amp;REGEXEXTRACT(B1093, ""(Trouvez.*)"")"),"🏘️ Louer maison Winterberg ZH ✅ Trouvez le bien immobilier qui correspond idéalement à vos désirs sur ImmoScout24 - La plateforme de l'immobilier en Suisse.")</f>
        <v>🏘️ Louer maison Winterberg ZH ✅ Trouvez le bien immobilier qui correspond idéalement à vos désirs sur ImmoScout24 - La plateforme de l'immobilier en Suisse.</v>
      </c>
      <c r="D1093" s="4" t="str">
        <f>vlookup(A1093, Sheet2!D:E, 2, 0)</f>
        <v>variant</v>
      </c>
      <c r="E1093" s="4" t="str">
        <f>IFERROR(__xludf.DUMMYFUNCTION("if(H1093=""pays"",vlookup(REGEXEXTRACT(C1093, ""🏘️ \w+ \w+ (.*) ✅""),'Country prepositions'!A:B, 2, 0) &amp; "" "" &amp; REGEXEXTRACT(C1093, ""🏘️ \w+ \w+ (.*) ✅"") ,  if(H1093=""quartier"",vlookup(REGEXEXTRACT(C1093, ""🏘️ \w+ \w+ (.*) ✅""),'Quartier prepositio"&amp;"ns'!A:E, 5, 0) ,  if(H1093=""region"",vlookup(REGEXEXTRACT(C1093, ""🏘️ \w+ \w+ (.*) ✅""),'Region prepositions'!B:F, 5, 0),  REGEXEXTRACT(C1093, ""🏘️ \w+ \w+ (.*) ✅""))))"),"Winterberg ZH")</f>
        <v>Winterberg ZH</v>
      </c>
      <c r="F1093" s="2" t="str">
        <f>IFERROR(__xludf.DUMMYFUNCTION("REGEXEXTRACT(C1093, ""🏘️ (\w+) \w+ .* ✅"")"),"Louer")</f>
        <v>Louer</v>
      </c>
      <c r="G1093" s="2" t="str">
        <f>IFERROR(__xludf.DUMMYFUNCTION("REGEXEXTRACT(C1093, ""🏘️ \w+ (\w+) .* ✅"")"),"maison")</f>
        <v>maison</v>
      </c>
      <c r="H1093" s="4" t="str">
        <f>IFERROR(__xludf.DUMMYFUNCTION("REGEXEXTRACT(A1093, ""/(\w+)-.*?"")"),"lieu")</f>
        <v>lieu</v>
      </c>
      <c r="I1093" s="4" t="str">
        <f>IFERROR(__xludf.DUMMYFUNCTION("if(D1093=""variant"",  substitute(filter(Templates!E:E, Templates!A:A = F1093, Templates!B:B = G1093, Templates!C:C = H1093), ""{{}}"", E1093), B1093)"),"🏘  Vous cherchez une maison à louer à Winterberg ZH? ✅ Découvrez nos nombreuses annonces sur ImmoScout24.ch.")</f>
        <v>🏘  Vous cherchez une maison à louer à Winterberg ZH? ✅ Découvrez nos nombreuses annonces sur ImmoScout24.ch.</v>
      </c>
      <c r="J1093" s="4" t="s">
        <v>3283</v>
      </c>
    </row>
    <row r="1094">
      <c r="A1094" s="5" t="s">
        <v>3284</v>
      </c>
      <c r="B1094" s="2" t="s">
        <v>3285</v>
      </c>
      <c r="C1094" s="4" t="str">
        <f>IFERROR(__xludf.DUMMYFUNCTION("""🏘️ ""&amp;REGEXEXTRACT(B1094, ""^(.*): "")&amp;"" ✅ "" &amp;REGEXEXTRACT(B1094, ""(Trouvez.*)"")"),"🏘️ Louer maison Wallenbuch ✅ Trouvez le bien immobilier qui correspond idéalement à vos désirs sur ImmoScout24 - La plateforme de l'immobilier en Suisse.")</f>
        <v>🏘️ Louer maison Wallenbuch ✅ Trouvez le bien immobilier qui correspond idéalement à vos désirs sur ImmoScout24 - La plateforme de l'immobilier en Suisse.</v>
      </c>
      <c r="D1094" s="4" t="str">
        <f>vlookup(A1094, Sheet2!D:E, 2, 0)</f>
        <v>variant</v>
      </c>
      <c r="E1094" s="4" t="str">
        <f>IFERROR(__xludf.DUMMYFUNCTION("if(H1094=""pays"",vlookup(REGEXEXTRACT(C1094, ""🏘️ \w+ \w+ (.*) ✅""),'Country prepositions'!A:B, 2, 0) &amp; "" "" &amp; REGEXEXTRACT(C1094, ""🏘️ \w+ \w+ (.*) ✅"") ,  if(H1094=""quartier"",vlookup(REGEXEXTRACT(C1094, ""🏘️ \w+ \w+ (.*) ✅""),'Quartier prepositio"&amp;"ns'!A:E, 5, 0) ,  if(H1094=""region"",vlookup(REGEXEXTRACT(C1094, ""🏘️ \w+ \w+ (.*) ✅""),'Region prepositions'!B:F, 5, 0),  REGEXEXTRACT(C1094, ""🏘️ \w+ \w+ (.*) ✅""))))"),"Wallenbuch")</f>
        <v>Wallenbuch</v>
      </c>
      <c r="F1094" s="2" t="str">
        <f>IFERROR(__xludf.DUMMYFUNCTION("REGEXEXTRACT(C1094, ""🏘️ (\w+) \w+ .* ✅"")"),"Louer")</f>
        <v>Louer</v>
      </c>
      <c r="G1094" s="2" t="str">
        <f>IFERROR(__xludf.DUMMYFUNCTION("REGEXEXTRACT(C1094, ""🏘️ \w+ (\w+) .* ✅"")"),"maison")</f>
        <v>maison</v>
      </c>
      <c r="H1094" s="4" t="str">
        <f>IFERROR(__xludf.DUMMYFUNCTION("REGEXEXTRACT(A1094, ""/(\w+)-.*?"")"),"lieu")</f>
        <v>lieu</v>
      </c>
      <c r="I1094" s="4" t="str">
        <f>IFERROR(__xludf.DUMMYFUNCTION("if(D1094=""variant"",  substitute(filter(Templates!E:E, Templates!A:A = F1094, Templates!B:B = G1094, Templates!C:C = H1094), ""{{}}"", E1094), B1094)"),"🏘  Vous cherchez une maison à louer à Wallenbuch? ✅ Découvrez nos nombreuses annonces sur ImmoScout24.ch.")</f>
        <v>🏘  Vous cherchez une maison à louer à Wallenbuch? ✅ Découvrez nos nombreuses annonces sur ImmoScout24.ch.</v>
      </c>
      <c r="J1094" s="4" t="s">
        <v>3286</v>
      </c>
    </row>
    <row r="1095">
      <c r="A1095" s="5" t="s">
        <v>3287</v>
      </c>
      <c r="B1095" s="2" t="s">
        <v>3288</v>
      </c>
      <c r="C1095" s="4" t="str">
        <f>IFERROR(__xludf.DUMMYFUNCTION("""🏘️ ""&amp;REGEXEXTRACT(B1095, ""^(.*): "")&amp;"" ✅ "" &amp;REGEXEXTRACT(B1095, ""(Trouvez.*)"")"),"🏘️ Vendre maison Bonvillars ✅ Trouvez le bien immobilier qui correspond idéalement à vos désirs sur ImmoScout24 - La plateforme de l'immobilier en Suisse.")</f>
        <v>🏘️ Vendre maison Bonvillars ✅ Trouvez le bien immobilier qui correspond idéalement à vos désirs sur ImmoScout24 - La plateforme de l'immobilier en Suisse.</v>
      </c>
      <c r="D1095" s="4" t="str">
        <f>vlookup(A1095, Sheet2!D:E, 2, 0)</f>
        <v>variant</v>
      </c>
      <c r="E1095" s="4" t="str">
        <f>IFERROR(__xludf.DUMMYFUNCTION("if(H1095=""pays"",vlookup(REGEXEXTRACT(C1095, ""🏘️ \w+ \w+ (.*) ✅""),'Country prepositions'!A:B, 2, 0) &amp; "" "" &amp; REGEXEXTRACT(C1095, ""🏘️ \w+ \w+ (.*) ✅"") ,  if(H1095=""quartier"",vlookup(REGEXEXTRACT(C1095, ""🏘️ \w+ \w+ (.*) ✅""),'Quartier prepositio"&amp;"ns'!A:E, 5, 0) ,  if(H1095=""region"",vlookup(REGEXEXTRACT(C1095, ""🏘️ \w+ \w+ (.*) ✅""),'Region prepositions'!B:F, 5, 0),  REGEXEXTRACT(C1095, ""🏘️ \w+ \w+ (.*) ✅""))))"),"Bonvillars")</f>
        <v>Bonvillars</v>
      </c>
      <c r="F1095" s="2" t="str">
        <f>IFERROR(__xludf.DUMMYFUNCTION("REGEXEXTRACT(C1095, ""🏘️ (\w+) \w+ .* ✅"")"),"Vendre")</f>
        <v>Vendre</v>
      </c>
      <c r="G1095" s="2" t="str">
        <f>IFERROR(__xludf.DUMMYFUNCTION("REGEXEXTRACT(C1095, ""🏘️ \w+ (\w+) .* ✅"")"),"maison")</f>
        <v>maison</v>
      </c>
      <c r="H1095" s="4" t="str">
        <f>IFERROR(__xludf.DUMMYFUNCTION("REGEXEXTRACT(A1095, ""/(\w+)-.*?"")"),"lieu")</f>
        <v>lieu</v>
      </c>
      <c r="I1095" s="4" t="str">
        <f>IFERROR(__xludf.DUMMYFUNCTION("if(D1095=""variant"",  substitute(filter(Templates!E:E, Templates!A:A = F1095, Templates!B:B = G1095, Templates!C:C = H1095), ""{{}}"", E1095), B1095)"),"🏘  Vous souhaitez acheter une maison à Bonvillars? ✅ Jetez un œil aux dernières offres sur ImmoScout24.ch.")</f>
        <v>🏘  Vous souhaitez acheter une maison à Bonvillars? ✅ Jetez un œil aux dernières offres sur ImmoScout24.ch.</v>
      </c>
      <c r="J1095" s="4" t="s">
        <v>3289</v>
      </c>
    </row>
    <row r="1096">
      <c r="A1096" s="5" t="s">
        <v>3290</v>
      </c>
      <c r="B1096" s="2" t="s">
        <v>3291</v>
      </c>
      <c r="C1096" s="4" t="str">
        <f>IFERROR(__xludf.DUMMYFUNCTION("""🏘️ ""&amp;REGEXEXTRACT(B1096, ""^(.*): "")&amp;"" ✅ "" &amp;REGEXEXTRACT(B1096, ""(Trouvez.*)"")"),"🏘️ Louer appartement Schliern b. Köniz ✅ Trouvez le bien immobilier qui correspond idéalement à vos désirs sur ImmoScout24 - La plateforme de l'immobilier en Suisse.")</f>
        <v>🏘️ Louer appartement Schliern b. Köniz ✅ Trouvez le bien immobilier qui correspond idéalement à vos désirs sur ImmoScout24 - La plateforme de l'immobilier en Suisse.</v>
      </c>
      <c r="D1096" s="4" t="str">
        <f>vlookup(A1096, Sheet2!D:E, 2, 0)</f>
        <v>variant</v>
      </c>
      <c r="E1096" s="4" t="str">
        <f>IFERROR(__xludf.DUMMYFUNCTION("if(H1096=""pays"",vlookup(REGEXEXTRACT(C1096, ""🏘️ \w+ \w+ (.*) ✅""),'Country prepositions'!A:B, 2, 0) &amp; "" "" &amp; REGEXEXTRACT(C1096, ""🏘️ \w+ \w+ (.*) ✅"") ,  if(H1096=""quartier"",vlookup(REGEXEXTRACT(C1096, ""🏘️ \w+ \w+ (.*) ✅""),'Quartier prepositio"&amp;"ns'!A:E, 5, 0) ,  if(H1096=""region"",vlookup(REGEXEXTRACT(C1096, ""🏘️ \w+ \w+ (.*) ✅""),'Region prepositions'!B:F, 5, 0),  REGEXEXTRACT(C1096, ""🏘️ \w+ \w+ (.*) ✅""))))"),"Schliern b. Köniz")</f>
        <v>Schliern b. Köniz</v>
      </c>
      <c r="F1096" s="2" t="str">
        <f>IFERROR(__xludf.DUMMYFUNCTION("REGEXEXTRACT(C1096, ""🏘️ (\w+) \w+ .* ✅"")"),"Louer")</f>
        <v>Louer</v>
      </c>
      <c r="G1096" s="2" t="str">
        <f>IFERROR(__xludf.DUMMYFUNCTION("REGEXEXTRACT(C1096, ""🏘️ \w+ (\w+) .* ✅"")"),"appartement")</f>
        <v>appartement</v>
      </c>
      <c r="H1096" s="4" t="str">
        <f>IFERROR(__xludf.DUMMYFUNCTION("REGEXEXTRACT(A1096, ""/(\w+)-.*?"")"),"lieu")</f>
        <v>lieu</v>
      </c>
      <c r="I1096" s="4" t="str">
        <f>IFERROR(__xludf.DUMMYFUNCTION("if(D1096=""variant"",  substitute(filter(Templates!E:E, Templates!A:A = F1096, Templates!B:B = G1096, Templates!C:C = H1096), ""{{}}"", E1096), B1096)"),"🏘  Vous cherchez un appartement à louer à Schliern b. Köniz? ✅ Les annonces les plus actuelles sont sur ImmoScout24.ch.")</f>
        <v>🏘  Vous cherchez un appartement à louer à Schliern b. Köniz? ✅ Les annonces les plus actuelles sont sur ImmoScout24.ch.</v>
      </c>
      <c r="J1096" s="4" t="s">
        <v>3292</v>
      </c>
    </row>
    <row r="1097">
      <c r="A1097" s="5" t="s">
        <v>3293</v>
      </c>
      <c r="B1097" s="2" t="s">
        <v>3294</v>
      </c>
      <c r="C1097" s="4" t="str">
        <f>IFERROR(__xludf.DUMMYFUNCTION("""🏘️ ""&amp;REGEXEXTRACT(B1097, ""^(.*): "")&amp;"" ✅ "" &amp;REGEXEXTRACT(B1097, ""(Trouvez.*)"")"),"🏘️ Louer appartement Pully ✅ Trouvez le bien immobilier qui correspond idéalement à vos désirs sur ImmoScout24 - La plateforme de l'immobilier en Suisse.")</f>
        <v>🏘️ Louer appartement Pully ✅ Trouvez le bien immobilier qui correspond idéalement à vos désirs sur ImmoScout24 - La plateforme de l'immobilier en Suisse.</v>
      </c>
      <c r="D1097" s="4" t="str">
        <f>vlookup(A1097, Sheet2!D:E, 2, 0)</f>
        <v>variant</v>
      </c>
      <c r="E1097" s="4" t="str">
        <f>IFERROR(__xludf.DUMMYFUNCTION("if(H1097=""pays"",vlookup(REGEXEXTRACT(C1097, ""🏘️ \w+ \w+ (.*) ✅""),'Country prepositions'!A:B, 2, 0) &amp; "" "" &amp; REGEXEXTRACT(C1097, ""🏘️ \w+ \w+ (.*) ✅"") ,  if(H1097=""quartier"",vlookup(REGEXEXTRACT(C1097, ""🏘️ \w+ \w+ (.*) ✅""),'Quartier prepositio"&amp;"ns'!A:E, 5, 0) ,  if(H1097=""region"",vlookup(REGEXEXTRACT(C1097, ""🏘️ \w+ \w+ (.*) ✅""),'Region prepositions'!B:F, 5, 0),  REGEXEXTRACT(C1097, ""🏘️ \w+ \w+ (.*) ✅""))))"),"Pully")</f>
        <v>Pully</v>
      </c>
      <c r="F1097" s="2" t="str">
        <f>IFERROR(__xludf.DUMMYFUNCTION("REGEXEXTRACT(C1097, ""🏘️ (\w+) \w+ .* ✅"")"),"Louer")</f>
        <v>Louer</v>
      </c>
      <c r="G1097" s="2" t="str">
        <f>IFERROR(__xludf.DUMMYFUNCTION("REGEXEXTRACT(C1097, ""🏘️ \w+ (\w+) .* ✅"")"),"appartement")</f>
        <v>appartement</v>
      </c>
      <c r="H1097" s="4" t="str">
        <f>IFERROR(__xludf.DUMMYFUNCTION("REGEXEXTRACT(A1097, ""/(\w+)-.*?"")"),"lieu")</f>
        <v>lieu</v>
      </c>
      <c r="I1097" s="4" t="str">
        <f>IFERROR(__xludf.DUMMYFUNCTION("if(D1097=""variant"",  substitute(filter(Templates!E:E, Templates!A:A = F1097, Templates!B:B = G1097, Templates!C:C = H1097), ""{{}}"", E1097), B1097)"),"🏘  Vous cherchez un appartement à louer à Pully? ✅ Les annonces les plus actuelles sont sur ImmoScout24.ch.")</f>
        <v>🏘  Vous cherchez un appartement à louer à Pully? ✅ Les annonces les plus actuelles sont sur ImmoScout24.ch.</v>
      </c>
      <c r="J1097" s="4" t="s">
        <v>3295</v>
      </c>
    </row>
    <row r="1098">
      <c r="A1098" s="5" t="s">
        <v>3296</v>
      </c>
      <c r="B1098" s="2" t="s">
        <v>3297</v>
      </c>
      <c r="C1098" s="4" t="str">
        <f>IFERROR(__xludf.DUMMYFUNCTION("""🏘️ ""&amp;REGEXEXTRACT(B1098, ""^(.*): "")&amp;"" ✅ "" &amp;REGEXEXTRACT(B1098, ""(Trouvez.*)"")"),"🏘️ Vendre maison Duillier ✅ Trouvez le bien immobilier qui correspond idéalement à vos désirs sur ImmoScout24 - La plateforme de l'immobilier en Suisse.")</f>
        <v>🏘️ Vendre maison Duillier ✅ Trouvez le bien immobilier qui correspond idéalement à vos désirs sur ImmoScout24 - La plateforme de l'immobilier en Suisse.</v>
      </c>
      <c r="D1098" s="4" t="str">
        <f>vlookup(A1098, Sheet2!D:E, 2, 0)</f>
        <v>variant</v>
      </c>
      <c r="E1098" s="4" t="str">
        <f>IFERROR(__xludf.DUMMYFUNCTION("if(H1098=""pays"",vlookup(REGEXEXTRACT(C1098, ""🏘️ \w+ \w+ (.*) ✅""),'Country prepositions'!A:B, 2, 0) &amp; "" "" &amp; REGEXEXTRACT(C1098, ""🏘️ \w+ \w+ (.*) ✅"") ,  if(H1098=""quartier"",vlookup(REGEXEXTRACT(C1098, ""🏘️ \w+ \w+ (.*) ✅""),'Quartier prepositio"&amp;"ns'!A:E, 5, 0) ,  if(H1098=""region"",vlookup(REGEXEXTRACT(C1098, ""🏘️ \w+ \w+ (.*) ✅""),'Region prepositions'!B:F, 5, 0),  REGEXEXTRACT(C1098, ""🏘️ \w+ \w+ (.*) ✅""))))"),"Duillier")</f>
        <v>Duillier</v>
      </c>
      <c r="F1098" s="2" t="str">
        <f>IFERROR(__xludf.DUMMYFUNCTION("REGEXEXTRACT(C1098, ""🏘️ (\w+) \w+ .* ✅"")"),"Vendre")</f>
        <v>Vendre</v>
      </c>
      <c r="G1098" s="2" t="str">
        <f>IFERROR(__xludf.DUMMYFUNCTION("REGEXEXTRACT(C1098, ""🏘️ \w+ (\w+) .* ✅"")"),"maison")</f>
        <v>maison</v>
      </c>
      <c r="H1098" s="4" t="str">
        <f>IFERROR(__xludf.DUMMYFUNCTION("REGEXEXTRACT(A1098, ""/(\w+)-.*?"")"),"lieu")</f>
        <v>lieu</v>
      </c>
      <c r="I1098" s="4" t="str">
        <f>IFERROR(__xludf.DUMMYFUNCTION("if(D1098=""variant"",  substitute(filter(Templates!E:E, Templates!A:A = F1098, Templates!B:B = G1098, Templates!C:C = H1098), ""{{}}"", E1098), B1098)"),"🏘  Vous souhaitez acheter une maison à Duillier? ✅ Jetez un œil aux dernières offres sur ImmoScout24.ch.")</f>
        <v>🏘  Vous souhaitez acheter une maison à Duillier? ✅ Jetez un œil aux dernières offres sur ImmoScout24.ch.</v>
      </c>
      <c r="J1098" s="4" t="s">
        <v>3298</v>
      </c>
    </row>
    <row r="1099">
      <c r="A1099" s="5" t="s">
        <v>3299</v>
      </c>
      <c r="B1099" s="2" t="s">
        <v>3300</v>
      </c>
      <c r="C1099" s="4" t="str">
        <f>IFERROR(__xludf.DUMMYFUNCTION("""🏘️ ""&amp;REGEXEXTRACT(B1099, ""^(.*): "")&amp;"" ✅ "" &amp;REGEXEXTRACT(B1099, ""(Trouvez.*)"")"),"🏘️ Louer appartement Aire-la-Ville ✅ Trouvez le bien immobilier qui correspond idéalement à vos désirs sur ImmoScout24 - La plateforme de l'immobilier en Suisse.")</f>
        <v>🏘️ Louer appartement Aire-la-Ville ✅ Trouvez le bien immobilier qui correspond idéalement à vos désirs sur ImmoScout24 - La plateforme de l'immobilier en Suisse.</v>
      </c>
      <c r="D1099" s="4" t="str">
        <f>vlookup(A1099, Sheet2!D:E, 2, 0)</f>
        <v>variant</v>
      </c>
      <c r="E1099" s="4" t="str">
        <f>IFERROR(__xludf.DUMMYFUNCTION("if(H1099=""pays"",vlookup(REGEXEXTRACT(C1099, ""🏘️ \w+ \w+ (.*) ✅""),'Country prepositions'!A:B, 2, 0) &amp; "" "" &amp; REGEXEXTRACT(C1099, ""🏘️ \w+ \w+ (.*) ✅"") ,  if(H1099=""quartier"",vlookup(REGEXEXTRACT(C1099, ""🏘️ \w+ \w+ (.*) ✅""),'Quartier prepositio"&amp;"ns'!A:E, 5, 0) ,  if(H1099=""region"",vlookup(REGEXEXTRACT(C1099, ""🏘️ \w+ \w+ (.*) ✅""),'Region prepositions'!B:F, 5, 0),  REGEXEXTRACT(C1099, ""🏘️ \w+ \w+ (.*) ✅""))))"),"Aire-la-Ville")</f>
        <v>Aire-la-Ville</v>
      </c>
      <c r="F1099" s="2" t="str">
        <f>IFERROR(__xludf.DUMMYFUNCTION("REGEXEXTRACT(C1099, ""🏘️ (\w+) \w+ .* ✅"")"),"Louer")</f>
        <v>Louer</v>
      </c>
      <c r="G1099" s="2" t="str">
        <f>IFERROR(__xludf.DUMMYFUNCTION("REGEXEXTRACT(C1099, ""🏘️ \w+ (\w+) .* ✅"")"),"appartement")</f>
        <v>appartement</v>
      </c>
      <c r="H1099" s="4" t="str">
        <f>IFERROR(__xludf.DUMMYFUNCTION("REGEXEXTRACT(A1099, ""/(\w+)-.*?"")"),"lieu")</f>
        <v>lieu</v>
      </c>
      <c r="I1099" s="4" t="str">
        <f>IFERROR(__xludf.DUMMYFUNCTION("if(D1099=""variant"",  substitute(filter(Templates!E:E, Templates!A:A = F1099, Templates!B:B = G1099, Templates!C:C = H1099), ""{{}}"", E1099), B1099)"),"🏘  Vous cherchez un appartement à louer à Aire-la-Ville? ✅ Les annonces les plus actuelles sont sur ImmoScout24.ch.")</f>
        <v>🏘  Vous cherchez un appartement à louer à Aire-la-Ville? ✅ Les annonces les plus actuelles sont sur ImmoScout24.ch.</v>
      </c>
      <c r="J1099" s="4" t="s">
        <v>3301</v>
      </c>
    </row>
    <row r="1100">
      <c r="A1100" s="5" t="s">
        <v>3302</v>
      </c>
      <c r="B1100" s="2" t="s">
        <v>3303</v>
      </c>
      <c r="C1100" s="4" t="str">
        <f>IFERROR(__xludf.DUMMYFUNCTION("""🏘️ ""&amp;REGEXEXTRACT(B1100, ""^(.*): "")&amp;"" ✅ "" &amp;REGEXEXTRACT(B1100, ""(Trouvez.*)"")"),"🏘️ Louer appartement Rossinière ✅ Trouvez le bien immobilier qui correspond idéalement à vos désirs sur ImmoScout24 - La plateforme de l'immobilier en Suisse.")</f>
        <v>🏘️ Louer appartement Rossinière ✅ Trouvez le bien immobilier qui correspond idéalement à vos désirs sur ImmoScout24 - La plateforme de l'immobilier en Suisse.</v>
      </c>
      <c r="D1100" s="4" t="str">
        <f>vlookup(A1100, Sheet2!D:E, 2, 0)</f>
        <v>variant</v>
      </c>
      <c r="E1100" s="4" t="str">
        <f>IFERROR(__xludf.DUMMYFUNCTION("if(H1100=""pays"",vlookup(REGEXEXTRACT(C1100, ""🏘️ \w+ \w+ (.*) ✅""),'Country prepositions'!A:B, 2, 0) &amp; "" "" &amp; REGEXEXTRACT(C1100, ""🏘️ \w+ \w+ (.*) ✅"") ,  if(H1100=""quartier"",vlookup(REGEXEXTRACT(C1100, ""🏘️ \w+ \w+ (.*) ✅""),'Quartier prepositio"&amp;"ns'!A:E, 5, 0) ,  if(H1100=""region"",vlookup(REGEXEXTRACT(C1100, ""🏘️ \w+ \w+ (.*) ✅""),'Region prepositions'!B:F, 5, 0),  REGEXEXTRACT(C1100, ""🏘️ \w+ \w+ (.*) ✅""))))"),"Rossinière")</f>
        <v>Rossinière</v>
      </c>
      <c r="F1100" s="2" t="str">
        <f>IFERROR(__xludf.DUMMYFUNCTION("REGEXEXTRACT(C1100, ""🏘️ (\w+) \w+ .* ✅"")"),"Louer")</f>
        <v>Louer</v>
      </c>
      <c r="G1100" s="2" t="str">
        <f>IFERROR(__xludf.DUMMYFUNCTION("REGEXEXTRACT(C1100, ""🏘️ \w+ (\w+) .* ✅"")"),"appartement")</f>
        <v>appartement</v>
      </c>
      <c r="H1100" s="4" t="str">
        <f>IFERROR(__xludf.DUMMYFUNCTION("REGEXEXTRACT(A1100, ""/(\w+)-.*?"")"),"lieu")</f>
        <v>lieu</v>
      </c>
      <c r="I1100" s="4" t="str">
        <f>IFERROR(__xludf.DUMMYFUNCTION("if(D1100=""variant"",  substitute(filter(Templates!E:E, Templates!A:A = F1100, Templates!B:B = G1100, Templates!C:C = H1100), ""{{}}"", E1100), B1100)"),"🏘  Vous cherchez un appartement à louer à Rossinière? ✅ Les annonces les plus actuelles sont sur ImmoScout24.ch.")</f>
        <v>🏘  Vous cherchez un appartement à louer à Rossinière? ✅ Les annonces les plus actuelles sont sur ImmoScout24.ch.</v>
      </c>
      <c r="J1100" s="4" t="s">
        <v>3304</v>
      </c>
    </row>
    <row r="1101">
      <c r="A1101" s="5" t="s">
        <v>3305</v>
      </c>
      <c r="B1101" s="2" t="s">
        <v>3306</v>
      </c>
      <c r="C1101" s="4" t="str">
        <f>IFERROR(__xludf.DUMMYFUNCTION("""🏘️ ""&amp;REGEXEXTRACT(B1101, ""^(.*): "")&amp;"" ✅ "" &amp;REGEXEXTRACT(B1101, ""(Trouvez.*)"")"),"🏘️ Vendre appartement Kirchberg BE ✅ Trouvez le bien immobilier qui correspond idéalement à vos désirs sur ImmoScout24 - La plateforme de l'immobilier en Suisse.")</f>
        <v>🏘️ Vendre appartement Kirchberg BE ✅ Trouvez le bien immobilier qui correspond idéalement à vos désirs sur ImmoScout24 - La plateforme de l'immobilier en Suisse.</v>
      </c>
      <c r="D1101" s="4" t="str">
        <f>vlookup(A1101, Sheet2!D:E, 2, 0)</f>
        <v>variant</v>
      </c>
      <c r="E1101" s="4" t="str">
        <f>IFERROR(__xludf.DUMMYFUNCTION("if(H1101=""pays"",vlookup(REGEXEXTRACT(C1101, ""🏘️ \w+ \w+ (.*) ✅""),'Country prepositions'!A:B, 2, 0) &amp; "" "" &amp; REGEXEXTRACT(C1101, ""🏘️ \w+ \w+ (.*) ✅"") ,  if(H1101=""quartier"",vlookup(REGEXEXTRACT(C1101, ""🏘️ \w+ \w+ (.*) ✅""),'Quartier prepositio"&amp;"ns'!A:E, 5, 0) ,  if(H1101=""region"",vlookup(REGEXEXTRACT(C1101, ""🏘️ \w+ \w+ (.*) ✅""),'Region prepositions'!B:F, 5, 0),  REGEXEXTRACT(C1101, ""🏘️ \w+ \w+ (.*) ✅""))))"),"Kirchberg BE")</f>
        <v>Kirchberg BE</v>
      </c>
      <c r="F1101" s="2" t="str">
        <f>IFERROR(__xludf.DUMMYFUNCTION("REGEXEXTRACT(C1101, ""🏘️ (\w+) \w+ .* ✅"")"),"Vendre")</f>
        <v>Vendre</v>
      </c>
      <c r="G1101" s="2" t="str">
        <f>IFERROR(__xludf.DUMMYFUNCTION("REGEXEXTRACT(C1101, ""🏘️ \w+ (\w+) .* ✅"")"),"appartement")</f>
        <v>appartement</v>
      </c>
      <c r="H1101" s="4" t="str">
        <f>IFERROR(__xludf.DUMMYFUNCTION("REGEXEXTRACT(A1101, ""/(\w+)-.*?"")"),"lieu")</f>
        <v>lieu</v>
      </c>
      <c r="I1101" s="4" t="str">
        <f>IFERROR(__xludf.DUMMYFUNCTION("if(D1101=""variant"",  substitute(filter(Templates!E:E, Templates!A:A = F1101, Templates!B:B = G1101, Templates!C:C = H1101), ""{{}}"", E1101), B1101)"),"🏘  L’appartement de vos rêves se trouve sur ImmoScout24.ch ✅ Découvrez les dernières annonces de vente à Kirchberg BE.")</f>
        <v>🏘  L’appartement de vos rêves se trouve sur ImmoScout24.ch ✅ Découvrez les dernières annonces de vente à Kirchberg BE.</v>
      </c>
      <c r="J1101" s="4" t="s">
        <v>3307</v>
      </c>
    </row>
    <row r="1102">
      <c r="A1102" s="5" t="s">
        <v>3308</v>
      </c>
      <c r="B1102" s="2" t="s">
        <v>3309</v>
      </c>
      <c r="C1102" s="4" t="str">
        <f>IFERROR(__xludf.DUMMYFUNCTION("""🏘️ ""&amp;REGEXEXTRACT(B1102, ""^(.*): "")&amp;"" ✅ "" &amp;REGEXEXTRACT(B1102, ""(Trouvez.*)"")"),"🏘️ Louer appartement Tüscherz-Alfermée ✅ Trouvez le bien immobilier qui correspond idéalement à vos désirs sur ImmoScout24 - La plateforme de l'immobilier en Suisse.")</f>
        <v>🏘️ Louer appartement Tüscherz-Alfermée ✅ Trouvez le bien immobilier qui correspond idéalement à vos désirs sur ImmoScout24 - La plateforme de l'immobilier en Suisse.</v>
      </c>
      <c r="D1102" s="4" t="str">
        <f>vlookup(A1102, Sheet2!D:E, 2, 0)</f>
        <v>variant</v>
      </c>
      <c r="E1102" s="4" t="str">
        <f>IFERROR(__xludf.DUMMYFUNCTION("if(H1102=""pays"",vlookup(REGEXEXTRACT(C1102, ""🏘️ \w+ \w+ (.*) ✅""),'Country prepositions'!A:B, 2, 0) &amp; "" "" &amp; REGEXEXTRACT(C1102, ""🏘️ \w+ \w+ (.*) ✅"") ,  if(H1102=""quartier"",vlookup(REGEXEXTRACT(C1102, ""🏘️ \w+ \w+ (.*) ✅""),'Quartier prepositio"&amp;"ns'!A:E, 5, 0) ,  if(H1102=""region"",vlookup(REGEXEXTRACT(C1102, ""🏘️ \w+ \w+ (.*) ✅""),'Region prepositions'!B:F, 5, 0),  REGEXEXTRACT(C1102, ""🏘️ \w+ \w+ (.*) ✅""))))"),"Tüscherz-Alfermée")</f>
        <v>Tüscherz-Alfermée</v>
      </c>
      <c r="F1102" s="2" t="str">
        <f>IFERROR(__xludf.DUMMYFUNCTION("REGEXEXTRACT(C1102, ""🏘️ (\w+) \w+ .* ✅"")"),"Louer")</f>
        <v>Louer</v>
      </c>
      <c r="G1102" s="2" t="str">
        <f>IFERROR(__xludf.DUMMYFUNCTION("REGEXEXTRACT(C1102, ""🏘️ \w+ (\w+) .* ✅"")"),"appartement")</f>
        <v>appartement</v>
      </c>
      <c r="H1102" s="4" t="str">
        <f>IFERROR(__xludf.DUMMYFUNCTION("REGEXEXTRACT(A1102, ""/(\w+)-.*?"")"),"lieu")</f>
        <v>lieu</v>
      </c>
      <c r="I1102" s="4" t="str">
        <f>IFERROR(__xludf.DUMMYFUNCTION("if(D1102=""variant"",  substitute(filter(Templates!E:E, Templates!A:A = F1102, Templates!B:B = G1102, Templates!C:C = H1102), ""{{}}"", E1102), B1102)"),"🏘  Vous cherchez un appartement à louer à Tüscherz-Alfermée? ✅ Les annonces les plus actuelles sont sur ImmoScout24.ch.")</f>
        <v>🏘  Vous cherchez un appartement à louer à Tüscherz-Alfermée? ✅ Les annonces les plus actuelles sont sur ImmoScout24.ch.</v>
      </c>
      <c r="J1102" s="4" t="s">
        <v>3310</v>
      </c>
    </row>
    <row r="1103">
      <c r="A1103" s="5" t="s">
        <v>3311</v>
      </c>
      <c r="B1103" s="2" t="s">
        <v>3312</v>
      </c>
      <c r="C1103" s="4" t="str">
        <f>IFERROR(__xludf.DUMMYFUNCTION("""🏘️ ""&amp;REGEXEXTRACT(B1103, ""^(.*): "")&amp;"" ✅ "" &amp;REGEXEXTRACT(B1103, ""(Trouvez.*)"")"),"🏘️ Vendre appartement La Tour-de-Trême ✅ Trouvez le bien immobilier qui correspond idéalement à vos désirs sur ImmoScout24 - La plateforme de l'immobilier en Suisse.")</f>
        <v>🏘️ Vendre appartement La Tour-de-Trême ✅ Trouvez le bien immobilier qui correspond idéalement à vos désirs sur ImmoScout24 - La plateforme de l'immobilier en Suisse.</v>
      </c>
      <c r="D1103" s="4" t="str">
        <f>vlookup(A1103, Sheet2!D:E, 2, 0)</f>
        <v>variant</v>
      </c>
      <c r="E1103" s="4" t="str">
        <f>IFERROR(__xludf.DUMMYFUNCTION("if(H1103=""pays"",vlookup(REGEXEXTRACT(C1103, ""🏘️ \w+ \w+ (.*) ✅""),'Country prepositions'!A:B, 2, 0) &amp; "" "" &amp; REGEXEXTRACT(C1103, ""🏘️ \w+ \w+ (.*) ✅"") ,  if(H1103=""quartier"",vlookup(REGEXEXTRACT(C1103, ""🏘️ \w+ \w+ (.*) ✅""),'Quartier prepositio"&amp;"ns'!A:E, 5, 0) ,  if(H1103=""region"",vlookup(REGEXEXTRACT(C1103, ""🏘️ \w+ \w+ (.*) ✅""),'Region prepositions'!B:F, 5, 0),  REGEXEXTRACT(C1103, ""🏘️ \w+ \w+ (.*) ✅""))))"),"La Tour-de-Trême")</f>
        <v>La Tour-de-Trême</v>
      </c>
      <c r="F1103" s="2" t="str">
        <f>IFERROR(__xludf.DUMMYFUNCTION("REGEXEXTRACT(C1103, ""🏘️ (\w+) \w+ .* ✅"")"),"Vendre")</f>
        <v>Vendre</v>
      </c>
      <c r="G1103" s="2" t="str">
        <f>IFERROR(__xludf.DUMMYFUNCTION("REGEXEXTRACT(C1103, ""🏘️ \w+ (\w+) .* ✅"")"),"appartement")</f>
        <v>appartement</v>
      </c>
      <c r="H1103" s="4" t="str">
        <f>IFERROR(__xludf.DUMMYFUNCTION("REGEXEXTRACT(A1103, ""/(\w+)-.*?"")"),"lieu")</f>
        <v>lieu</v>
      </c>
      <c r="I1103" s="4" t="str">
        <f>IFERROR(__xludf.DUMMYFUNCTION("if(D1103=""variant"",  substitute(filter(Templates!E:E, Templates!A:A = F1103, Templates!B:B = G1103, Templates!C:C = H1103), ""{{}}"", E1103), B1103)"),"🏘  L’appartement de vos rêves se trouve sur ImmoScout24.ch ✅ Découvrez les dernières annonces de vente à La Tour-de-Trême.")</f>
        <v>🏘  L’appartement de vos rêves se trouve sur ImmoScout24.ch ✅ Découvrez les dernières annonces de vente à La Tour-de-Trême.</v>
      </c>
      <c r="J1103" s="4" t="s">
        <v>3313</v>
      </c>
    </row>
    <row r="1104">
      <c r="A1104" s="5" t="s">
        <v>3314</v>
      </c>
      <c r="B1104" s="2" t="s">
        <v>3315</v>
      </c>
      <c r="C1104" s="4" t="str">
        <f>IFERROR(__xludf.DUMMYFUNCTION("""🏘️ ""&amp;REGEXEXTRACT(B1104, ""^(.*): "")&amp;"" ✅ "" &amp;REGEXEXTRACT(B1104, ""(Trouvez.*)"")"),"🏘️ Vendre appartement Kloten ✅ Trouvez le bien immobilier qui correspond idéalement à vos désirs sur ImmoScout24 - La plateforme de l'immobilier en Suisse.")</f>
        <v>🏘️ Vendre appartement Kloten ✅ Trouvez le bien immobilier qui correspond idéalement à vos désirs sur ImmoScout24 - La plateforme de l'immobilier en Suisse.</v>
      </c>
      <c r="D1104" s="4" t="str">
        <f>vlookup(A1104, Sheet2!D:E, 2, 0)</f>
        <v>variant</v>
      </c>
      <c r="E1104" s="4" t="str">
        <f>IFERROR(__xludf.DUMMYFUNCTION("if(H1104=""pays"",vlookup(REGEXEXTRACT(C1104, ""🏘️ \w+ \w+ (.*) ✅""),'Country prepositions'!A:B, 2, 0) &amp; "" "" &amp; REGEXEXTRACT(C1104, ""🏘️ \w+ \w+ (.*) ✅"") ,  if(H1104=""quartier"",vlookup(REGEXEXTRACT(C1104, ""🏘️ \w+ \w+ (.*) ✅""),'Quartier prepositio"&amp;"ns'!A:E, 5, 0) ,  if(H1104=""region"",vlookup(REGEXEXTRACT(C1104, ""🏘️ \w+ \w+ (.*) ✅""),'Region prepositions'!B:F, 5, 0),  REGEXEXTRACT(C1104, ""🏘️ \w+ \w+ (.*) ✅""))))"),"Kloten")</f>
        <v>Kloten</v>
      </c>
      <c r="F1104" s="2" t="str">
        <f>IFERROR(__xludf.DUMMYFUNCTION("REGEXEXTRACT(C1104, ""🏘️ (\w+) \w+ .* ✅"")"),"Vendre")</f>
        <v>Vendre</v>
      </c>
      <c r="G1104" s="2" t="str">
        <f>IFERROR(__xludf.DUMMYFUNCTION("REGEXEXTRACT(C1104, ""🏘️ \w+ (\w+) .* ✅"")"),"appartement")</f>
        <v>appartement</v>
      </c>
      <c r="H1104" s="4" t="str">
        <f>IFERROR(__xludf.DUMMYFUNCTION("REGEXEXTRACT(A1104, ""/(\w+)-.*?"")"),"lieu")</f>
        <v>lieu</v>
      </c>
      <c r="I1104" s="4" t="str">
        <f>IFERROR(__xludf.DUMMYFUNCTION("if(D1104=""variant"",  substitute(filter(Templates!E:E, Templates!A:A = F1104, Templates!B:B = G1104, Templates!C:C = H1104), ""{{}}"", E1104), B1104)"),"🏘  L’appartement de vos rêves se trouve sur ImmoScout24.ch ✅ Découvrez les dernières annonces de vente à Kloten.")</f>
        <v>🏘  L’appartement de vos rêves se trouve sur ImmoScout24.ch ✅ Découvrez les dernières annonces de vente à Kloten.</v>
      </c>
      <c r="J1104" s="4" t="s">
        <v>3316</v>
      </c>
    </row>
    <row r="1105">
      <c r="A1105" s="5" t="s">
        <v>3317</v>
      </c>
      <c r="B1105" s="2" t="s">
        <v>3318</v>
      </c>
      <c r="C1105" s="4" t="str">
        <f>IFERROR(__xludf.DUMMYFUNCTION("""🏘️ ""&amp;REGEXEXTRACT(B1105, ""^(.*): "")&amp;"" ✅ "" &amp;REGEXEXTRACT(B1105, ""(Trouvez.*)"")"),"🏘️ Vendre maison Vissoie ✅ Trouvez le bien immobilier qui correspond idéalement à vos désirs sur ImmoScout24 - La plateforme de l'immobilier en Suisse.")</f>
        <v>🏘️ Vendre maison Vissoie ✅ Trouvez le bien immobilier qui correspond idéalement à vos désirs sur ImmoScout24 - La plateforme de l'immobilier en Suisse.</v>
      </c>
      <c r="D1105" s="4" t="str">
        <f>vlookup(A1105, Sheet2!D:E, 2, 0)</f>
        <v>variant</v>
      </c>
      <c r="E1105" s="4" t="str">
        <f>IFERROR(__xludf.DUMMYFUNCTION("if(H1105=""pays"",vlookup(REGEXEXTRACT(C1105, ""🏘️ \w+ \w+ (.*) ✅""),'Country prepositions'!A:B, 2, 0) &amp; "" "" &amp; REGEXEXTRACT(C1105, ""🏘️ \w+ \w+ (.*) ✅"") ,  if(H1105=""quartier"",vlookup(REGEXEXTRACT(C1105, ""🏘️ \w+ \w+ (.*) ✅""),'Quartier prepositio"&amp;"ns'!A:E, 5, 0) ,  if(H1105=""region"",vlookup(REGEXEXTRACT(C1105, ""🏘️ \w+ \w+ (.*) ✅""),'Region prepositions'!B:F, 5, 0),  REGEXEXTRACT(C1105, ""🏘️ \w+ \w+ (.*) ✅""))))"),"Vissoie")</f>
        <v>Vissoie</v>
      </c>
      <c r="F1105" s="2" t="str">
        <f>IFERROR(__xludf.DUMMYFUNCTION("REGEXEXTRACT(C1105, ""🏘️ (\w+) \w+ .* ✅"")"),"Vendre")</f>
        <v>Vendre</v>
      </c>
      <c r="G1105" s="2" t="str">
        <f>IFERROR(__xludf.DUMMYFUNCTION("REGEXEXTRACT(C1105, ""🏘️ \w+ (\w+) .* ✅"")"),"maison")</f>
        <v>maison</v>
      </c>
      <c r="H1105" s="4" t="str">
        <f>IFERROR(__xludf.DUMMYFUNCTION("REGEXEXTRACT(A1105, ""/(\w+)-.*?"")"),"lieu")</f>
        <v>lieu</v>
      </c>
      <c r="I1105" s="4" t="str">
        <f>IFERROR(__xludf.DUMMYFUNCTION("if(D1105=""variant"",  substitute(filter(Templates!E:E, Templates!A:A = F1105, Templates!B:B = G1105, Templates!C:C = H1105), ""{{}}"", E1105), B1105)"),"🏘  Vous souhaitez acheter une maison à Vissoie? ✅ Jetez un œil aux dernières offres sur ImmoScout24.ch.")</f>
        <v>🏘  Vous souhaitez acheter une maison à Vissoie? ✅ Jetez un œil aux dernières offres sur ImmoScout24.ch.</v>
      </c>
      <c r="J1105" s="4" t="s">
        <v>3319</v>
      </c>
    </row>
    <row r="1106">
      <c r="A1106" s="5" t="s">
        <v>3320</v>
      </c>
      <c r="B1106" s="2" t="s">
        <v>3321</v>
      </c>
      <c r="C1106" s="4" t="str">
        <f>IFERROR(__xludf.DUMMYFUNCTION("""🏘️ ""&amp;REGEXEXTRACT(B1106, ""^(.*): "")&amp;"" ✅ "" &amp;REGEXEXTRACT(B1106, ""(Trouvez.*)"")"),"🏘️ Louer maison Fleurier ✅ Trouvez le bien immobilier qui correspond idéalement à vos désirs sur ImmoScout24 - La plateforme de l'immobilier en Suisse.")</f>
        <v>🏘️ Louer maison Fleurier ✅ Trouvez le bien immobilier qui correspond idéalement à vos désirs sur ImmoScout24 - La plateforme de l'immobilier en Suisse.</v>
      </c>
      <c r="D1106" s="4" t="str">
        <f>vlookup(A1106, Sheet2!D:E, 2, 0)</f>
        <v>variant</v>
      </c>
      <c r="E1106" s="4" t="str">
        <f>IFERROR(__xludf.DUMMYFUNCTION("if(H1106=""pays"",vlookup(REGEXEXTRACT(C1106, ""🏘️ \w+ \w+ (.*) ✅""),'Country prepositions'!A:B, 2, 0) &amp; "" "" &amp; REGEXEXTRACT(C1106, ""🏘️ \w+ \w+ (.*) ✅"") ,  if(H1106=""quartier"",vlookup(REGEXEXTRACT(C1106, ""🏘️ \w+ \w+ (.*) ✅""),'Quartier prepositio"&amp;"ns'!A:E, 5, 0) ,  if(H1106=""region"",vlookup(REGEXEXTRACT(C1106, ""🏘️ \w+ \w+ (.*) ✅""),'Region prepositions'!B:F, 5, 0),  REGEXEXTRACT(C1106, ""🏘️ \w+ \w+ (.*) ✅""))))"),"Fleurier")</f>
        <v>Fleurier</v>
      </c>
      <c r="F1106" s="2" t="str">
        <f>IFERROR(__xludf.DUMMYFUNCTION("REGEXEXTRACT(C1106, ""🏘️ (\w+) \w+ .* ✅"")"),"Louer")</f>
        <v>Louer</v>
      </c>
      <c r="G1106" s="2" t="str">
        <f>IFERROR(__xludf.DUMMYFUNCTION("REGEXEXTRACT(C1106, ""🏘️ \w+ (\w+) .* ✅"")"),"maison")</f>
        <v>maison</v>
      </c>
      <c r="H1106" s="4" t="str">
        <f>IFERROR(__xludf.DUMMYFUNCTION("REGEXEXTRACT(A1106, ""/(\w+)-.*?"")"),"lieu")</f>
        <v>lieu</v>
      </c>
      <c r="I1106" s="4" t="str">
        <f>IFERROR(__xludf.DUMMYFUNCTION("if(D1106=""variant"",  substitute(filter(Templates!E:E, Templates!A:A = F1106, Templates!B:B = G1106, Templates!C:C = H1106), ""{{}}"", E1106), B1106)"),"🏘  Vous cherchez une maison à louer à Fleurier? ✅ Découvrez nos nombreuses annonces sur ImmoScout24.ch.")</f>
        <v>🏘  Vous cherchez une maison à louer à Fleurier? ✅ Découvrez nos nombreuses annonces sur ImmoScout24.ch.</v>
      </c>
      <c r="J1106" s="4" t="s">
        <v>3322</v>
      </c>
    </row>
    <row r="1107">
      <c r="A1107" s="5" t="s">
        <v>3323</v>
      </c>
      <c r="B1107" s="2" t="s">
        <v>3324</v>
      </c>
      <c r="C1107" s="4" t="str">
        <f>IFERROR(__xludf.DUMMYFUNCTION("""🏘️ ""&amp;REGEXEXTRACT(B1107, ""^(.*): "")&amp;"" ✅ "" &amp;REGEXEXTRACT(B1107, ""(Trouvez.*)"")"),"🏘️ Vendre appartement Corbières ✅ Trouvez le bien immobilier qui correspond idéalement à vos désirs sur ImmoScout24 - La plateforme de l'immobilier en Suisse.")</f>
        <v>🏘️ Vendre appartement Corbières ✅ Trouvez le bien immobilier qui correspond idéalement à vos désirs sur ImmoScout24 - La plateforme de l'immobilier en Suisse.</v>
      </c>
      <c r="D1107" s="4" t="str">
        <f>vlookup(A1107, Sheet2!D:E, 2, 0)</f>
        <v>variant</v>
      </c>
      <c r="E1107" s="4" t="str">
        <f>IFERROR(__xludf.DUMMYFUNCTION("if(H1107=""pays"",vlookup(REGEXEXTRACT(C1107, ""🏘️ \w+ \w+ (.*) ✅""),'Country prepositions'!A:B, 2, 0) &amp; "" "" &amp; REGEXEXTRACT(C1107, ""🏘️ \w+ \w+ (.*) ✅"") ,  if(H1107=""quartier"",vlookup(REGEXEXTRACT(C1107, ""🏘️ \w+ \w+ (.*) ✅""),'Quartier prepositio"&amp;"ns'!A:E, 5, 0) ,  if(H1107=""region"",vlookup(REGEXEXTRACT(C1107, ""🏘️ \w+ \w+ (.*) ✅""),'Region prepositions'!B:F, 5, 0),  REGEXEXTRACT(C1107, ""🏘️ \w+ \w+ (.*) ✅""))))"),"Corbières")</f>
        <v>Corbières</v>
      </c>
      <c r="F1107" s="2" t="str">
        <f>IFERROR(__xludf.DUMMYFUNCTION("REGEXEXTRACT(C1107, ""🏘️ (\w+) \w+ .* ✅"")"),"Vendre")</f>
        <v>Vendre</v>
      </c>
      <c r="G1107" s="2" t="str">
        <f>IFERROR(__xludf.DUMMYFUNCTION("REGEXEXTRACT(C1107, ""🏘️ \w+ (\w+) .* ✅"")"),"appartement")</f>
        <v>appartement</v>
      </c>
      <c r="H1107" s="4" t="str">
        <f>IFERROR(__xludf.DUMMYFUNCTION("REGEXEXTRACT(A1107, ""/(\w+)-.*?"")"),"lieu")</f>
        <v>lieu</v>
      </c>
      <c r="I1107" s="4" t="str">
        <f>IFERROR(__xludf.DUMMYFUNCTION("if(D1107=""variant"",  substitute(filter(Templates!E:E, Templates!A:A = F1107, Templates!B:B = G1107, Templates!C:C = H1107), ""{{}}"", E1107), B1107)"),"🏘  L’appartement de vos rêves se trouve sur ImmoScout24.ch ✅ Découvrez les dernières annonces de vente à Corbières.")</f>
        <v>🏘  L’appartement de vos rêves se trouve sur ImmoScout24.ch ✅ Découvrez les dernières annonces de vente à Corbières.</v>
      </c>
      <c r="J1107" s="4" t="s">
        <v>3325</v>
      </c>
    </row>
    <row r="1108">
      <c r="A1108" s="5" t="s">
        <v>3326</v>
      </c>
      <c r="B1108" s="2" t="s">
        <v>3327</v>
      </c>
      <c r="C1108" s="4" t="str">
        <f>IFERROR(__xludf.DUMMYFUNCTION("""🏘️ ""&amp;REGEXEXTRACT(B1108, ""^(.*): "")&amp;"" ✅ "" &amp;REGEXEXTRACT(B1108, ""(Trouvez.*)"")"),"🏘️ Louer appartement Arosa ✅ Trouvez le bien immobilier qui correspond idéalement à vos désirs sur ImmoScout24 - La plateforme de l'immobilier en Suisse.")</f>
        <v>🏘️ Louer appartement Arosa ✅ Trouvez le bien immobilier qui correspond idéalement à vos désirs sur ImmoScout24 - La plateforme de l'immobilier en Suisse.</v>
      </c>
      <c r="D1108" s="4" t="str">
        <f>vlookup(A1108, Sheet2!D:E, 2, 0)</f>
        <v>variant</v>
      </c>
      <c r="E1108" s="4" t="str">
        <f>IFERROR(__xludf.DUMMYFUNCTION("if(H1108=""pays"",vlookup(REGEXEXTRACT(C1108, ""🏘️ \w+ \w+ (.*) ✅""),'Country prepositions'!A:B, 2, 0) &amp; "" "" &amp; REGEXEXTRACT(C1108, ""🏘️ \w+ \w+ (.*) ✅"") ,  if(H1108=""quartier"",vlookup(REGEXEXTRACT(C1108, ""🏘️ \w+ \w+ (.*) ✅""),'Quartier prepositio"&amp;"ns'!A:E, 5, 0) ,  if(H1108=""region"",vlookup(REGEXEXTRACT(C1108, ""🏘️ \w+ \w+ (.*) ✅""),'Region prepositions'!B:F, 5, 0),  REGEXEXTRACT(C1108, ""🏘️ \w+ \w+ (.*) ✅""))))"),"Arosa")</f>
        <v>Arosa</v>
      </c>
      <c r="F1108" s="2" t="str">
        <f>IFERROR(__xludf.DUMMYFUNCTION("REGEXEXTRACT(C1108, ""🏘️ (\w+) \w+ .* ✅"")"),"Louer")</f>
        <v>Louer</v>
      </c>
      <c r="G1108" s="2" t="str">
        <f>IFERROR(__xludf.DUMMYFUNCTION("REGEXEXTRACT(C1108, ""🏘️ \w+ (\w+) .* ✅"")"),"appartement")</f>
        <v>appartement</v>
      </c>
      <c r="H1108" s="4" t="str">
        <f>IFERROR(__xludf.DUMMYFUNCTION("REGEXEXTRACT(A1108, ""/(\w+)-.*?"")"),"lieu")</f>
        <v>lieu</v>
      </c>
      <c r="I1108" s="4" t="str">
        <f>IFERROR(__xludf.DUMMYFUNCTION("if(D1108=""variant"",  substitute(filter(Templates!E:E, Templates!A:A = F1108, Templates!B:B = G1108, Templates!C:C = H1108), ""{{}}"", E1108), B1108)"),"🏘  Vous cherchez un appartement à louer à Arosa? ✅ Les annonces les plus actuelles sont sur ImmoScout24.ch.")</f>
        <v>🏘  Vous cherchez un appartement à louer à Arosa? ✅ Les annonces les plus actuelles sont sur ImmoScout24.ch.</v>
      </c>
      <c r="J1108" s="4" t="s">
        <v>3328</v>
      </c>
    </row>
    <row r="1109">
      <c r="A1109" s="5" t="s">
        <v>3329</v>
      </c>
      <c r="B1109" s="2" t="s">
        <v>3330</v>
      </c>
      <c r="C1109" s="4" t="str">
        <f>IFERROR(__xludf.DUMMYFUNCTION("""🏘️ ""&amp;REGEXEXTRACT(B1109, ""^(.*): "")&amp;"" ✅ "" &amp;REGEXEXTRACT(B1109, ""(Trouvez.*)"")"),"🏘️ Vendre maison Cornol ✅ Trouvez le bien immobilier qui correspond idéalement à vos désirs sur ImmoScout24 - La plateforme de l'immobilier en Suisse.")</f>
        <v>🏘️ Vendre maison Cornol ✅ Trouvez le bien immobilier qui correspond idéalement à vos désirs sur ImmoScout24 - La plateforme de l'immobilier en Suisse.</v>
      </c>
      <c r="D1109" s="4" t="str">
        <f>vlookup(A1109, Sheet2!D:E, 2, 0)</f>
        <v>variant</v>
      </c>
      <c r="E1109" s="4" t="str">
        <f>IFERROR(__xludf.DUMMYFUNCTION("if(H1109=""pays"",vlookup(REGEXEXTRACT(C1109, ""🏘️ \w+ \w+ (.*) ✅""),'Country prepositions'!A:B, 2, 0) &amp; "" "" &amp; REGEXEXTRACT(C1109, ""🏘️ \w+ \w+ (.*) ✅"") ,  if(H1109=""quartier"",vlookup(REGEXEXTRACT(C1109, ""🏘️ \w+ \w+ (.*) ✅""),'Quartier prepositio"&amp;"ns'!A:E, 5, 0) ,  if(H1109=""region"",vlookup(REGEXEXTRACT(C1109, ""🏘️ \w+ \w+ (.*) ✅""),'Region prepositions'!B:F, 5, 0),  REGEXEXTRACT(C1109, ""🏘️ \w+ \w+ (.*) ✅""))))"),"Cornol")</f>
        <v>Cornol</v>
      </c>
      <c r="F1109" s="2" t="str">
        <f>IFERROR(__xludf.DUMMYFUNCTION("REGEXEXTRACT(C1109, ""🏘️ (\w+) \w+ .* ✅"")"),"Vendre")</f>
        <v>Vendre</v>
      </c>
      <c r="G1109" s="2" t="str">
        <f>IFERROR(__xludf.DUMMYFUNCTION("REGEXEXTRACT(C1109, ""🏘️ \w+ (\w+) .* ✅"")"),"maison")</f>
        <v>maison</v>
      </c>
      <c r="H1109" s="4" t="str">
        <f>IFERROR(__xludf.DUMMYFUNCTION("REGEXEXTRACT(A1109, ""/(\w+)-.*?"")"),"lieu")</f>
        <v>lieu</v>
      </c>
      <c r="I1109" s="4" t="str">
        <f>IFERROR(__xludf.DUMMYFUNCTION("if(D1109=""variant"",  substitute(filter(Templates!E:E, Templates!A:A = F1109, Templates!B:B = G1109, Templates!C:C = H1109), ""{{}}"", E1109), B1109)"),"🏘  Vous souhaitez acheter une maison à Cornol? ✅ Jetez un œil aux dernières offres sur ImmoScout24.ch.")</f>
        <v>🏘  Vous souhaitez acheter une maison à Cornol? ✅ Jetez un œil aux dernières offres sur ImmoScout24.ch.</v>
      </c>
      <c r="J1109" s="4" t="s">
        <v>3331</v>
      </c>
    </row>
    <row r="1110">
      <c r="A1110" s="5" t="s">
        <v>3332</v>
      </c>
      <c r="B1110" s="2" t="s">
        <v>3333</v>
      </c>
      <c r="C1110" s="4" t="str">
        <f>IFERROR(__xludf.DUMMYFUNCTION("""🏘️ ""&amp;REGEXEXTRACT(B1110, ""^(.*): "")&amp;"" ✅ "" &amp;REGEXEXTRACT(B1110, ""(Trouvez.*)"")"),"🏘️ Vendre appartement Münster VS ✅ Trouvez le bien immobilier qui correspond idéalement à vos désirs sur ImmoScout24 - La plateforme de l'immobilier en Suisse.")</f>
        <v>🏘️ Vendre appartement Münster VS ✅ Trouvez le bien immobilier qui correspond idéalement à vos désirs sur ImmoScout24 - La plateforme de l'immobilier en Suisse.</v>
      </c>
      <c r="D1110" s="4" t="str">
        <f>vlookup(A1110, Sheet2!D:E, 2, 0)</f>
        <v>variant</v>
      </c>
      <c r="E1110" s="4" t="str">
        <f>IFERROR(__xludf.DUMMYFUNCTION("if(H1110=""pays"",vlookup(REGEXEXTRACT(C1110, ""🏘️ \w+ \w+ (.*) ✅""),'Country prepositions'!A:B, 2, 0) &amp; "" "" &amp; REGEXEXTRACT(C1110, ""🏘️ \w+ \w+ (.*) ✅"") ,  if(H1110=""quartier"",vlookup(REGEXEXTRACT(C1110, ""🏘️ \w+ \w+ (.*) ✅""),'Quartier prepositio"&amp;"ns'!A:E, 5, 0) ,  if(H1110=""region"",vlookup(REGEXEXTRACT(C1110, ""🏘️ \w+ \w+ (.*) ✅""),'Region prepositions'!B:F, 5, 0),  REGEXEXTRACT(C1110, ""🏘️ \w+ \w+ (.*) ✅""))))"),"Münster VS")</f>
        <v>Münster VS</v>
      </c>
      <c r="F1110" s="2" t="str">
        <f>IFERROR(__xludf.DUMMYFUNCTION("REGEXEXTRACT(C1110, ""🏘️ (\w+) \w+ .* ✅"")"),"Vendre")</f>
        <v>Vendre</v>
      </c>
      <c r="G1110" s="2" t="str">
        <f>IFERROR(__xludf.DUMMYFUNCTION("REGEXEXTRACT(C1110, ""🏘️ \w+ (\w+) .* ✅"")"),"appartement")</f>
        <v>appartement</v>
      </c>
      <c r="H1110" s="4" t="str">
        <f>IFERROR(__xludf.DUMMYFUNCTION("REGEXEXTRACT(A1110, ""/(\w+)-.*?"")"),"lieu")</f>
        <v>lieu</v>
      </c>
      <c r="I1110" s="4" t="str">
        <f>IFERROR(__xludf.DUMMYFUNCTION("if(D1110=""variant"",  substitute(filter(Templates!E:E, Templates!A:A = F1110, Templates!B:B = G1110, Templates!C:C = H1110), ""{{}}"", E1110), B1110)"),"🏘  L’appartement de vos rêves se trouve sur ImmoScout24.ch ✅ Découvrez les dernières annonces de vente à Münster VS.")</f>
        <v>🏘  L’appartement de vos rêves se trouve sur ImmoScout24.ch ✅ Découvrez les dernières annonces de vente à Münster VS.</v>
      </c>
      <c r="J1110" s="4" t="s">
        <v>3334</v>
      </c>
    </row>
    <row r="1111">
      <c r="A1111" s="5" t="s">
        <v>3335</v>
      </c>
      <c r="B1111" s="2" t="s">
        <v>3336</v>
      </c>
      <c r="C1111" s="4" t="str">
        <f>IFERROR(__xludf.DUMMYFUNCTION("""🏘️ ""&amp;REGEXEXTRACT(B1111, ""^(.*): "")&amp;"" ✅ "" &amp;REGEXEXTRACT(B1111, ""(Trouvez.*)"")"),"🏘️ Vendre maison Courchavon ✅ Trouvez le bien immobilier qui correspond idéalement à vos désirs sur ImmoScout24 - La plateforme de l'immobilier en Suisse.")</f>
        <v>🏘️ Vendre maison Courchavon ✅ Trouvez le bien immobilier qui correspond idéalement à vos désirs sur ImmoScout24 - La plateforme de l'immobilier en Suisse.</v>
      </c>
      <c r="D1111" s="4" t="str">
        <f>vlookup(A1111, Sheet2!D:E, 2, 0)</f>
        <v>variant</v>
      </c>
      <c r="E1111" s="4" t="str">
        <f>IFERROR(__xludf.DUMMYFUNCTION("if(H1111=""pays"",vlookup(REGEXEXTRACT(C1111, ""🏘️ \w+ \w+ (.*) ✅""),'Country prepositions'!A:B, 2, 0) &amp; "" "" &amp; REGEXEXTRACT(C1111, ""🏘️ \w+ \w+ (.*) ✅"") ,  if(H1111=""quartier"",vlookup(REGEXEXTRACT(C1111, ""🏘️ \w+ \w+ (.*) ✅""),'Quartier prepositio"&amp;"ns'!A:E, 5, 0) ,  if(H1111=""region"",vlookup(REGEXEXTRACT(C1111, ""🏘️ \w+ \w+ (.*) ✅""),'Region prepositions'!B:F, 5, 0),  REGEXEXTRACT(C1111, ""🏘️ \w+ \w+ (.*) ✅""))))"),"Courchavon")</f>
        <v>Courchavon</v>
      </c>
      <c r="F1111" s="2" t="str">
        <f>IFERROR(__xludf.DUMMYFUNCTION("REGEXEXTRACT(C1111, ""🏘️ (\w+) \w+ .* ✅"")"),"Vendre")</f>
        <v>Vendre</v>
      </c>
      <c r="G1111" s="2" t="str">
        <f>IFERROR(__xludf.DUMMYFUNCTION("REGEXEXTRACT(C1111, ""🏘️ \w+ (\w+) .* ✅"")"),"maison")</f>
        <v>maison</v>
      </c>
      <c r="H1111" s="4" t="str">
        <f>IFERROR(__xludf.DUMMYFUNCTION("REGEXEXTRACT(A1111, ""/(\w+)-.*?"")"),"lieu")</f>
        <v>lieu</v>
      </c>
      <c r="I1111" s="4" t="str">
        <f>IFERROR(__xludf.DUMMYFUNCTION("if(D1111=""variant"",  substitute(filter(Templates!E:E, Templates!A:A = F1111, Templates!B:B = G1111, Templates!C:C = H1111), ""{{}}"", E1111), B1111)"),"🏘  Vous souhaitez acheter une maison à Courchavon? ✅ Jetez un œil aux dernières offres sur ImmoScout24.ch.")</f>
        <v>🏘  Vous souhaitez acheter une maison à Courchavon? ✅ Jetez un œil aux dernières offres sur ImmoScout24.ch.</v>
      </c>
      <c r="J1111" s="4" t="s">
        <v>3337</v>
      </c>
    </row>
    <row r="1112">
      <c r="A1112" s="5" t="s">
        <v>3338</v>
      </c>
      <c r="B1112" s="2" t="s">
        <v>3339</v>
      </c>
      <c r="C1112" s="4" t="str">
        <f>IFERROR(__xludf.DUMMYFUNCTION("""🏘️ ""&amp;REGEXEXTRACT(B1112, ""^(.*): "")&amp;"" ✅ "" &amp;REGEXEXTRACT(B1112, ""(Trouvez.*)"")"),"🏘️ Vendre maison Chapelle-sur-Moudon ✅ Trouvez le bien immobilier qui correspond idéalement à vos désirs sur ImmoScout24 - La plateforme de l'immobilier en Suisse.")</f>
        <v>🏘️ Vendre maison Chapelle-sur-Moudon ✅ Trouvez le bien immobilier qui correspond idéalement à vos désirs sur ImmoScout24 - La plateforme de l'immobilier en Suisse.</v>
      </c>
      <c r="D1112" s="4" t="str">
        <f>vlookup(A1112, Sheet2!D:E, 2, 0)</f>
        <v>variant</v>
      </c>
      <c r="E1112" s="4" t="str">
        <f>IFERROR(__xludf.DUMMYFUNCTION("if(H1112=""pays"",vlookup(REGEXEXTRACT(C1112, ""🏘️ \w+ \w+ (.*) ✅""),'Country prepositions'!A:B, 2, 0) &amp; "" "" &amp; REGEXEXTRACT(C1112, ""🏘️ \w+ \w+ (.*) ✅"") ,  if(H1112=""quartier"",vlookup(REGEXEXTRACT(C1112, ""🏘️ \w+ \w+ (.*) ✅""),'Quartier prepositio"&amp;"ns'!A:E, 5, 0) ,  if(H1112=""region"",vlookup(REGEXEXTRACT(C1112, ""🏘️ \w+ \w+ (.*) ✅""),'Region prepositions'!B:F, 5, 0),  REGEXEXTRACT(C1112, ""🏘️ \w+ \w+ (.*) ✅""))))"),"Chapelle-sur-Moudon")</f>
        <v>Chapelle-sur-Moudon</v>
      </c>
      <c r="F1112" s="2" t="str">
        <f>IFERROR(__xludf.DUMMYFUNCTION("REGEXEXTRACT(C1112, ""🏘️ (\w+) \w+ .* ✅"")"),"Vendre")</f>
        <v>Vendre</v>
      </c>
      <c r="G1112" s="2" t="str">
        <f>IFERROR(__xludf.DUMMYFUNCTION("REGEXEXTRACT(C1112, ""🏘️ \w+ (\w+) .* ✅"")"),"maison")</f>
        <v>maison</v>
      </c>
      <c r="H1112" s="4" t="str">
        <f>IFERROR(__xludf.DUMMYFUNCTION("REGEXEXTRACT(A1112, ""/(\w+)-.*?"")"),"lieu")</f>
        <v>lieu</v>
      </c>
      <c r="I1112" s="4" t="str">
        <f>IFERROR(__xludf.DUMMYFUNCTION("if(D1112=""variant"",  substitute(filter(Templates!E:E, Templates!A:A = F1112, Templates!B:B = G1112, Templates!C:C = H1112), ""{{}}"", E1112), B1112)"),"🏘  Vous souhaitez acheter une maison à Chapelle-sur-Moudon? ✅ Jetez un œil aux dernières offres sur ImmoScout24.ch.")</f>
        <v>🏘  Vous souhaitez acheter une maison à Chapelle-sur-Moudon? ✅ Jetez un œil aux dernières offres sur ImmoScout24.ch.</v>
      </c>
      <c r="J1112" s="4" t="s">
        <v>3340</v>
      </c>
    </row>
    <row r="1113">
      <c r="A1113" s="5" t="s">
        <v>3341</v>
      </c>
      <c r="B1113" s="2" t="s">
        <v>3342</v>
      </c>
      <c r="C1113" s="4" t="str">
        <f>IFERROR(__xludf.DUMMYFUNCTION("""🏘️ ""&amp;REGEXEXTRACT(B1113, ""^(.*): "")&amp;"" ✅ "" &amp;REGEXEXTRACT(B1113, ""(Trouvez.*)"")"),"🏘️ Vendre maison Canton d'Obwald ✅ Trouvez le bien immobilier qui correspond idéalement à vos désirs sur ImmoScout24 - La plateforme de l'immobilier en Suisse.")</f>
        <v>🏘️ Vendre maison Canton d'Obwald ✅ Trouvez le bien immobilier qui correspond idéalement à vos désirs sur ImmoScout24 - La plateforme de l'immobilier en Suisse.</v>
      </c>
      <c r="D1113" s="4" t="str">
        <f>vlookup(A1113, Sheet2!D:E, 2, 0)</f>
        <v>variant</v>
      </c>
      <c r="E1113" s="4" t="str">
        <f>IFERROR(__xludf.DUMMYFUNCTION("if(H1113=""pays"",vlookup(REGEXEXTRACT(C1113, ""🏘️ \w+ \w+ (.*) ✅""),'Country prepositions'!A:B, 2, 0) &amp; "" "" &amp; REGEXEXTRACT(C1113, ""🏘️ \w+ \w+ (.*) ✅"") ,  if(H1113=""quartier"",vlookup(REGEXEXTRACT(C1113, ""🏘️ \w+ \w+ (.*) ✅""),'Quartier prepositio"&amp;"ns'!A:E, 5, 0) ,  if(H1113=""region"",vlookup(REGEXEXTRACT(C1113, ""🏘️ \w+ \w+ (.*) ✅""),'Region prepositions'!B:F, 5, 0),  REGEXEXTRACT(C1113, ""🏘️ \w+ \w+ (.*) ✅""))))"),"Canton d'Obwald")</f>
        <v>Canton d'Obwald</v>
      </c>
      <c r="F1113" s="2" t="str">
        <f>IFERROR(__xludf.DUMMYFUNCTION("REGEXEXTRACT(C1113, ""🏘️ (\w+) \w+ .* ✅"")"),"Vendre")</f>
        <v>Vendre</v>
      </c>
      <c r="G1113" s="2" t="str">
        <f>IFERROR(__xludf.DUMMYFUNCTION("REGEXEXTRACT(C1113, ""🏘️ \w+ (\w+) .* ✅"")"),"maison")</f>
        <v>maison</v>
      </c>
      <c r="H1113" s="4" t="str">
        <f>IFERROR(__xludf.DUMMYFUNCTION("REGEXEXTRACT(A1113, ""/(\w+)-.*?"")"),"canton")</f>
        <v>canton</v>
      </c>
      <c r="I1113" s="4" t="str">
        <f>IFERROR(__xludf.DUMMYFUNCTION("if(D1113=""variant"",  substitute(filter(Templates!E:E, Templates!A:A = F1113, Templates!B:B = G1113, Templates!C:C = H1113), ""{{}}"", E1113), B1113)"),"🏘  Vous souhaitez acheter une maison dans le Canton d'Obwald? ✅ Jetez un œil aux dernières offres sur ImmoScout24.ch.")</f>
        <v>🏘  Vous souhaitez acheter une maison dans le Canton d'Obwald? ✅ Jetez un œil aux dernières offres sur ImmoScout24.ch.</v>
      </c>
      <c r="J1113" s="4" t="s">
        <v>3343</v>
      </c>
    </row>
    <row r="1114">
      <c r="A1114" s="5" t="s">
        <v>3344</v>
      </c>
      <c r="B1114" s="2" t="s">
        <v>3345</v>
      </c>
      <c r="C1114" s="4" t="str">
        <f>IFERROR(__xludf.DUMMYFUNCTION("""🏘️ ""&amp;REGEXEXTRACT(B1114, ""^(.*): "")&amp;"" ✅ "" &amp;REGEXEXTRACT(B1114, ""(Trouvez.*)"")"),"🏘️ Vendre maison Draizes - Vauseyon (Neuchâtel) ✅ Trouvez le bien immobilier qui correspond idéalement à vos désirs sur ImmoScout24 - La plateforme de l'immobilier en Suisse.")</f>
        <v>🏘️ Vendre maison Draizes - Vauseyon (Neuchâtel) ✅ Trouvez le bien immobilier qui correspond idéalement à vos désirs sur ImmoScout24 - La plateforme de l'immobilier en Suisse.</v>
      </c>
      <c r="D1114" s="4" t="str">
        <f>vlookup(A1114, Sheet2!D:E, 2, 0)</f>
        <v>variant</v>
      </c>
      <c r="E1114" s="4" t="str">
        <f>IFERROR(__xludf.DUMMYFUNCTION("if(H1114=""pays"",vlookup(REGEXEXTRACT(C1114, ""🏘️ \w+ \w+ (.*) ✅""),'Country prepositions'!A:B, 2, 0) &amp; "" "" &amp; REGEXEXTRACT(C1114, ""🏘️ \w+ \w+ (.*) ✅"") ,  if(H1114=""quartier"",vlookup(REGEXEXTRACT(C1114, ""🏘️ \w+ \w+ (.*) ✅""),'Quartier prepositio"&amp;"ns'!A:E, 5, 0) ,  if(H1114=""region"",vlookup(REGEXEXTRACT(C1114, ""🏘️ \w+ \w+ (.*) ✅""),'Region prepositions'!B:F, 5, 0),  REGEXEXTRACT(C1114, ""🏘️ \w+ \w+ (.*) ✅""))))"),"dans le quartier des Draizes - Vauseyon (Neuchâtel)")</f>
        <v>dans le quartier des Draizes - Vauseyon (Neuchâtel)</v>
      </c>
      <c r="F1114" s="2" t="str">
        <f>IFERROR(__xludf.DUMMYFUNCTION("REGEXEXTRACT(C1114, ""🏘️ (\w+) \w+ .* ✅"")"),"Vendre")</f>
        <v>Vendre</v>
      </c>
      <c r="G1114" s="2" t="str">
        <f>IFERROR(__xludf.DUMMYFUNCTION("REGEXEXTRACT(C1114, ""🏘️ \w+ (\w+) .* ✅"")"),"maison")</f>
        <v>maison</v>
      </c>
      <c r="H1114" s="4" t="str">
        <f>IFERROR(__xludf.DUMMYFUNCTION("REGEXEXTRACT(A1114, ""/(\w+)-.*?"")"),"quartier")</f>
        <v>quartier</v>
      </c>
      <c r="I1114" s="4" t="str">
        <f>IFERROR(__xludf.DUMMYFUNCTION("if(D1114=""variant"",  substitute(filter(Templates!E:E, Templates!A:A = F1114, Templates!B:B = G1114, Templates!C:C = H1114), ""{{}}"", E1114), B1114)"),"🏘  Vous souhaitez acheter une maison dans le quartier des Draizes - Vauseyon (Neuchâtel)? ✅ Jetez un œil aux dernières offres sur ImmoScout24.ch.")</f>
        <v>🏘  Vous souhaitez acheter une maison dans le quartier des Draizes - Vauseyon (Neuchâtel)? ✅ Jetez un œil aux dernières offres sur ImmoScout24.ch.</v>
      </c>
      <c r="J1114" s="4" t="s">
        <v>3346</v>
      </c>
    </row>
    <row r="1115">
      <c r="A1115" s="5" t="s">
        <v>3347</v>
      </c>
      <c r="B1115" s="2" t="s">
        <v>3348</v>
      </c>
      <c r="C1115" s="4" t="str">
        <f>IFERROR(__xludf.DUMMYFUNCTION("""🏘️ ""&amp;REGEXEXTRACT(B1115, ""^(.*): "")&amp;"" ✅ "" &amp;REGEXEXTRACT(B1115, ""(Trouvez.*)"")"),"🏘️ Vendre appartement Vella ✅ Trouvez le bien immobilier qui correspond idéalement à vos désirs sur ImmoScout24 - La plateforme de l'immobilier en Suisse.")</f>
        <v>🏘️ Vendre appartement Vella ✅ Trouvez le bien immobilier qui correspond idéalement à vos désirs sur ImmoScout24 - La plateforme de l'immobilier en Suisse.</v>
      </c>
      <c r="D1115" s="4" t="str">
        <f>vlookup(A1115, Sheet2!D:E, 2, 0)</f>
        <v>variant</v>
      </c>
      <c r="E1115" s="4" t="str">
        <f>IFERROR(__xludf.DUMMYFUNCTION("if(H1115=""pays"",vlookup(REGEXEXTRACT(C1115, ""🏘️ \w+ \w+ (.*) ✅""),'Country prepositions'!A:B, 2, 0) &amp; "" "" &amp; REGEXEXTRACT(C1115, ""🏘️ \w+ \w+ (.*) ✅"") ,  if(H1115=""quartier"",vlookup(REGEXEXTRACT(C1115, ""🏘️ \w+ \w+ (.*) ✅""),'Quartier prepositio"&amp;"ns'!A:E, 5, 0) ,  if(H1115=""region"",vlookup(REGEXEXTRACT(C1115, ""🏘️ \w+ \w+ (.*) ✅""),'Region prepositions'!B:F, 5, 0),  REGEXEXTRACT(C1115, ""🏘️ \w+ \w+ (.*) ✅""))))"),"Vella")</f>
        <v>Vella</v>
      </c>
      <c r="F1115" s="2" t="str">
        <f>IFERROR(__xludf.DUMMYFUNCTION("REGEXEXTRACT(C1115, ""🏘️ (\w+) \w+ .* ✅"")"),"Vendre")</f>
        <v>Vendre</v>
      </c>
      <c r="G1115" s="2" t="str">
        <f>IFERROR(__xludf.DUMMYFUNCTION("REGEXEXTRACT(C1115, ""🏘️ \w+ (\w+) .* ✅"")"),"appartement")</f>
        <v>appartement</v>
      </c>
      <c r="H1115" s="4" t="str">
        <f>IFERROR(__xludf.DUMMYFUNCTION("REGEXEXTRACT(A1115, ""/(\w+)-.*?"")"),"lieu")</f>
        <v>lieu</v>
      </c>
      <c r="I1115" s="4" t="str">
        <f>IFERROR(__xludf.DUMMYFUNCTION("if(D1115=""variant"",  substitute(filter(Templates!E:E, Templates!A:A = F1115, Templates!B:B = G1115, Templates!C:C = H1115), ""{{}}"", E1115), B1115)"),"🏘  L’appartement de vos rêves se trouve sur ImmoScout24.ch ✅ Découvrez les dernières annonces de vente à Vella.")</f>
        <v>🏘  L’appartement de vos rêves se trouve sur ImmoScout24.ch ✅ Découvrez les dernières annonces de vente à Vella.</v>
      </c>
      <c r="J1115" s="4" t="s">
        <v>3349</v>
      </c>
    </row>
    <row r="1116">
      <c r="A1116" s="5" t="s">
        <v>3350</v>
      </c>
      <c r="B1116" s="2" t="s">
        <v>3351</v>
      </c>
      <c r="C1116" s="4" t="str">
        <f>IFERROR(__xludf.DUMMYFUNCTION("""🏘️ ""&amp;REGEXEXTRACT(B1116, ""^(.*): "")&amp;"" ✅ "" &amp;REGEXEXTRACT(B1116, ""(Trouvez.*)"")"),"🏘️ Louer appartement Oberramsern ✅ Trouvez le bien immobilier qui correspond idéalement à vos désirs sur ImmoScout24 - La plateforme de l'immobilier en Suisse.")</f>
        <v>🏘️ Louer appartement Oberramsern ✅ Trouvez le bien immobilier qui correspond idéalement à vos désirs sur ImmoScout24 - La plateforme de l'immobilier en Suisse.</v>
      </c>
      <c r="D1116" s="4" t="str">
        <f>vlookup(A1116, Sheet2!D:E, 2, 0)</f>
        <v>variant</v>
      </c>
      <c r="E1116" s="4" t="str">
        <f>IFERROR(__xludf.DUMMYFUNCTION("if(H1116=""pays"",vlookup(REGEXEXTRACT(C1116, ""🏘️ \w+ \w+ (.*) ✅""),'Country prepositions'!A:B, 2, 0) &amp; "" "" &amp; REGEXEXTRACT(C1116, ""🏘️ \w+ \w+ (.*) ✅"") ,  if(H1116=""quartier"",vlookup(REGEXEXTRACT(C1116, ""🏘️ \w+ \w+ (.*) ✅""),'Quartier prepositio"&amp;"ns'!A:E, 5, 0) ,  if(H1116=""region"",vlookup(REGEXEXTRACT(C1116, ""🏘️ \w+ \w+ (.*) ✅""),'Region prepositions'!B:F, 5, 0),  REGEXEXTRACT(C1116, ""🏘️ \w+ \w+ (.*) ✅""))))"),"Oberramsern")</f>
        <v>Oberramsern</v>
      </c>
      <c r="F1116" s="2" t="str">
        <f>IFERROR(__xludf.DUMMYFUNCTION("REGEXEXTRACT(C1116, ""🏘️ (\w+) \w+ .* ✅"")"),"Louer")</f>
        <v>Louer</v>
      </c>
      <c r="G1116" s="2" t="str">
        <f>IFERROR(__xludf.DUMMYFUNCTION("REGEXEXTRACT(C1116, ""🏘️ \w+ (\w+) .* ✅"")"),"appartement")</f>
        <v>appartement</v>
      </c>
      <c r="H1116" s="4" t="str">
        <f>IFERROR(__xludf.DUMMYFUNCTION("REGEXEXTRACT(A1116, ""/(\w+)-.*?"")"),"lieu")</f>
        <v>lieu</v>
      </c>
      <c r="I1116" s="4" t="str">
        <f>IFERROR(__xludf.DUMMYFUNCTION("if(D1116=""variant"",  substitute(filter(Templates!E:E, Templates!A:A = F1116, Templates!B:B = G1116, Templates!C:C = H1116), ""{{}}"", E1116), B1116)"),"🏘  Vous cherchez un appartement à louer à Oberramsern? ✅ Les annonces les plus actuelles sont sur ImmoScout24.ch.")</f>
        <v>🏘  Vous cherchez un appartement à louer à Oberramsern? ✅ Les annonces les plus actuelles sont sur ImmoScout24.ch.</v>
      </c>
      <c r="J1116" s="4" t="s">
        <v>3352</v>
      </c>
    </row>
    <row r="1117">
      <c r="A1117" s="5" t="s">
        <v>3353</v>
      </c>
      <c r="B1117" s="2" t="s">
        <v>3354</v>
      </c>
      <c r="C1117" s="4" t="str">
        <f>IFERROR(__xludf.DUMMYFUNCTION("""🏘️ ""&amp;REGEXEXTRACT(B1117, ""^(.*): "")&amp;"" ✅ "" &amp;REGEXEXTRACT(B1117, ""(Trouvez.*)"")"),"🏘️ Louer appartement Les Emibois ✅ Trouvez le bien immobilier qui correspond idéalement à vos désirs sur ImmoScout24 - La plateforme de l'immobilier en Suisse.")</f>
        <v>🏘️ Louer appartement Les Emibois ✅ Trouvez le bien immobilier qui correspond idéalement à vos désirs sur ImmoScout24 - La plateforme de l'immobilier en Suisse.</v>
      </c>
      <c r="D1117" s="4" t="str">
        <f>vlookup(A1117, Sheet2!D:E, 2, 0)</f>
        <v>variant</v>
      </c>
      <c r="E1117" s="4" t="str">
        <f>IFERROR(__xludf.DUMMYFUNCTION("if(H1117=""pays"",vlookup(REGEXEXTRACT(C1117, ""🏘️ \w+ \w+ (.*) ✅""),'Country prepositions'!A:B, 2, 0) &amp; "" "" &amp; REGEXEXTRACT(C1117, ""🏘️ \w+ \w+ (.*) ✅"") ,  if(H1117=""quartier"",vlookup(REGEXEXTRACT(C1117, ""🏘️ \w+ \w+ (.*) ✅""),'Quartier prepositio"&amp;"ns'!A:E, 5, 0) ,  if(H1117=""region"",vlookup(REGEXEXTRACT(C1117, ""🏘️ \w+ \w+ (.*) ✅""),'Region prepositions'!B:F, 5, 0),  REGEXEXTRACT(C1117, ""🏘️ \w+ \w+ (.*) ✅""))))"),"Les Emibois")</f>
        <v>Les Emibois</v>
      </c>
      <c r="F1117" s="2" t="str">
        <f>IFERROR(__xludf.DUMMYFUNCTION("REGEXEXTRACT(C1117, ""🏘️ (\w+) \w+ .* ✅"")"),"Louer")</f>
        <v>Louer</v>
      </c>
      <c r="G1117" s="2" t="str">
        <f>IFERROR(__xludf.DUMMYFUNCTION("REGEXEXTRACT(C1117, ""🏘️ \w+ (\w+) .* ✅"")"),"appartement")</f>
        <v>appartement</v>
      </c>
      <c r="H1117" s="4" t="str">
        <f>IFERROR(__xludf.DUMMYFUNCTION("REGEXEXTRACT(A1117, ""/(\w+)-.*?"")"),"lieu")</f>
        <v>lieu</v>
      </c>
      <c r="I1117" s="4" t="str">
        <f>IFERROR(__xludf.DUMMYFUNCTION("if(D1117=""variant"",  substitute(filter(Templates!E:E, Templates!A:A = F1117, Templates!B:B = G1117, Templates!C:C = H1117), ""{{}}"", E1117), B1117)"),"🏘  Vous cherchez un appartement à louer à Les Emibois? ✅ Les annonces les plus actuelles sont sur ImmoScout24.ch.")</f>
        <v>🏘  Vous cherchez un appartement à louer à Les Emibois? ✅ Les annonces les plus actuelles sont sur ImmoScout24.ch.</v>
      </c>
      <c r="J1117" s="2" t="s">
        <v>3355</v>
      </c>
    </row>
    <row r="1118">
      <c r="A1118" s="5" t="s">
        <v>3356</v>
      </c>
      <c r="B1118" s="2" t="s">
        <v>3357</v>
      </c>
      <c r="C1118" s="4" t="str">
        <f>IFERROR(__xludf.DUMMYFUNCTION("""🏘️ ""&amp;REGEXEXTRACT(B1118, ""^(.*): "")&amp;"" ✅ "" &amp;REGEXEXTRACT(B1118, ""(Trouvez.*)"")"),"🏘️ Vendre maison Tolochenaz ✅ Trouvez le bien immobilier qui correspond idéalement à vos désirs sur ImmoScout24 - La plateforme de l'immobilier en Suisse.")</f>
        <v>🏘️ Vendre maison Tolochenaz ✅ Trouvez le bien immobilier qui correspond idéalement à vos désirs sur ImmoScout24 - La plateforme de l'immobilier en Suisse.</v>
      </c>
      <c r="D1118" s="4" t="str">
        <f>vlookup(A1118, Sheet2!D:E, 2, 0)</f>
        <v>variant</v>
      </c>
      <c r="E1118" s="4" t="str">
        <f>IFERROR(__xludf.DUMMYFUNCTION("if(H1118=""pays"",vlookup(REGEXEXTRACT(C1118, ""🏘️ \w+ \w+ (.*) ✅""),'Country prepositions'!A:B, 2, 0) &amp; "" "" &amp; REGEXEXTRACT(C1118, ""🏘️ \w+ \w+ (.*) ✅"") ,  if(H1118=""quartier"",vlookup(REGEXEXTRACT(C1118, ""🏘️ \w+ \w+ (.*) ✅""),'Quartier prepositio"&amp;"ns'!A:E, 5, 0) ,  if(H1118=""region"",vlookup(REGEXEXTRACT(C1118, ""🏘️ \w+ \w+ (.*) ✅""),'Region prepositions'!B:F, 5, 0),  REGEXEXTRACT(C1118, ""🏘️ \w+ \w+ (.*) ✅""))))"),"Tolochenaz")</f>
        <v>Tolochenaz</v>
      </c>
      <c r="F1118" s="2" t="str">
        <f>IFERROR(__xludf.DUMMYFUNCTION("REGEXEXTRACT(C1118, ""🏘️ (\w+) \w+ .* ✅"")"),"Vendre")</f>
        <v>Vendre</v>
      </c>
      <c r="G1118" s="2" t="str">
        <f>IFERROR(__xludf.DUMMYFUNCTION("REGEXEXTRACT(C1118, ""🏘️ \w+ (\w+) .* ✅"")"),"maison")</f>
        <v>maison</v>
      </c>
      <c r="H1118" s="4" t="str">
        <f>IFERROR(__xludf.DUMMYFUNCTION("REGEXEXTRACT(A1118, ""/(\w+)-.*?"")"),"lieu")</f>
        <v>lieu</v>
      </c>
      <c r="I1118" s="4" t="str">
        <f>IFERROR(__xludf.DUMMYFUNCTION("if(D1118=""variant"",  substitute(filter(Templates!E:E, Templates!A:A = F1118, Templates!B:B = G1118, Templates!C:C = H1118), ""{{}}"", E1118), B1118)"),"🏘  Vous souhaitez acheter une maison à Tolochenaz? ✅ Jetez un œil aux dernières offres sur ImmoScout24.ch.")</f>
        <v>🏘  Vous souhaitez acheter une maison à Tolochenaz? ✅ Jetez un œil aux dernières offres sur ImmoScout24.ch.</v>
      </c>
      <c r="J1118" s="4" t="s">
        <v>3358</v>
      </c>
    </row>
    <row r="1119">
      <c r="A1119" s="5" t="s">
        <v>3359</v>
      </c>
      <c r="B1119" s="2" t="s">
        <v>3360</v>
      </c>
      <c r="C1119" s="4" t="str">
        <f>IFERROR(__xludf.DUMMYFUNCTION("""🏘️ ""&amp;REGEXEXTRACT(B1119, ""^(.*): "")&amp;"" ✅ "" &amp;REGEXEXTRACT(B1119, ""(Trouvez.*)"")"),"🏘️ Vendre appartement Villeneuve VD ✅ Trouvez le bien immobilier qui correspond idéalement à vos désirs sur ImmoScout24 - La plateforme de l'immobilier en Suisse.")</f>
        <v>🏘️ Vendre appartement Villeneuve VD ✅ Trouvez le bien immobilier qui correspond idéalement à vos désirs sur ImmoScout24 - La plateforme de l'immobilier en Suisse.</v>
      </c>
      <c r="D1119" s="4" t="str">
        <f>vlookup(A1119, Sheet2!D:E, 2, 0)</f>
        <v>variant</v>
      </c>
      <c r="E1119" s="4" t="str">
        <f>IFERROR(__xludf.DUMMYFUNCTION("if(H1119=""pays"",vlookup(REGEXEXTRACT(C1119, ""🏘️ \w+ \w+ (.*) ✅""),'Country prepositions'!A:B, 2, 0) &amp; "" "" &amp; REGEXEXTRACT(C1119, ""🏘️ \w+ \w+ (.*) ✅"") ,  if(H1119=""quartier"",vlookup(REGEXEXTRACT(C1119, ""🏘️ \w+ \w+ (.*) ✅""),'Quartier prepositio"&amp;"ns'!A:E, 5, 0) ,  if(H1119=""region"",vlookup(REGEXEXTRACT(C1119, ""🏘️ \w+ \w+ (.*) ✅""),'Region prepositions'!B:F, 5, 0),  REGEXEXTRACT(C1119, ""🏘️ \w+ \w+ (.*) ✅""))))"),"Villeneuve VD")</f>
        <v>Villeneuve VD</v>
      </c>
      <c r="F1119" s="2" t="str">
        <f>IFERROR(__xludf.DUMMYFUNCTION("REGEXEXTRACT(C1119, ""🏘️ (\w+) \w+ .* ✅"")"),"Vendre")</f>
        <v>Vendre</v>
      </c>
      <c r="G1119" s="2" t="str">
        <f>IFERROR(__xludf.DUMMYFUNCTION("REGEXEXTRACT(C1119, ""🏘️ \w+ (\w+) .* ✅"")"),"appartement")</f>
        <v>appartement</v>
      </c>
      <c r="H1119" s="4" t="str">
        <f>IFERROR(__xludf.DUMMYFUNCTION("REGEXEXTRACT(A1119, ""/(\w+)-.*?"")"),"lieu")</f>
        <v>lieu</v>
      </c>
      <c r="I1119" s="4" t="str">
        <f>IFERROR(__xludf.DUMMYFUNCTION("if(D1119=""variant"",  substitute(filter(Templates!E:E, Templates!A:A = F1119, Templates!B:B = G1119, Templates!C:C = H1119), ""{{}}"", E1119), B1119)"),"🏘  L’appartement de vos rêves se trouve sur ImmoScout24.ch ✅ Découvrez les dernières annonces de vente à Villeneuve VD.")</f>
        <v>🏘  L’appartement de vos rêves se trouve sur ImmoScout24.ch ✅ Découvrez les dernières annonces de vente à Villeneuve VD.</v>
      </c>
      <c r="J1119" s="4" t="s">
        <v>3361</v>
      </c>
    </row>
    <row r="1120">
      <c r="A1120" s="5" t="s">
        <v>3362</v>
      </c>
      <c r="B1120" s="2" t="s">
        <v>3363</v>
      </c>
      <c r="C1120" s="4" t="str">
        <f>IFERROR(__xludf.DUMMYFUNCTION("""🏘️ ""&amp;REGEXEXTRACT(B1120, ""^(.*): "")&amp;"" ✅ "" &amp;REGEXEXTRACT(B1120, ""(Trouvez.*)"")"),"🏘️ Vendre maison Tafers ✅ Trouvez le bien immobilier qui correspond idéalement à vos désirs sur ImmoScout24 - La plateforme de l'immobilier en Suisse.")</f>
        <v>🏘️ Vendre maison Tafers ✅ Trouvez le bien immobilier qui correspond idéalement à vos désirs sur ImmoScout24 - La plateforme de l'immobilier en Suisse.</v>
      </c>
      <c r="D1120" s="4" t="str">
        <f>vlookup(A1120, Sheet2!D:E, 2, 0)</f>
        <v>variant</v>
      </c>
      <c r="E1120" s="4" t="str">
        <f>IFERROR(__xludf.DUMMYFUNCTION("if(H1120=""pays"",vlookup(REGEXEXTRACT(C1120, ""🏘️ \w+ \w+ (.*) ✅""),'Country prepositions'!A:B, 2, 0) &amp; "" "" &amp; REGEXEXTRACT(C1120, ""🏘️ \w+ \w+ (.*) ✅"") ,  if(H1120=""quartier"",vlookup(REGEXEXTRACT(C1120, ""🏘️ \w+ \w+ (.*) ✅""),'Quartier prepositio"&amp;"ns'!A:E, 5, 0) ,  if(H1120=""region"",vlookup(REGEXEXTRACT(C1120, ""🏘️ \w+ \w+ (.*) ✅""),'Region prepositions'!B:F, 5, 0),  REGEXEXTRACT(C1120, ""🏘️ \w+ \w+ (.*) ✅""))))"),"Tafers")</f>
        <v>Tafers</v>
      </c>
      <c r="F1120" s="2" t="str">
        <f>IFERROR(__xludf.DUMMYFUNCTION("REGEXEXTRACT(C1120, ""🏘️ (\w+) \w+ .* ✅"")"),"Vendre")</f>
        <v>Vendre</v>
      </c>
      <c r="G1120" s="2" t="str">
        <f>IFERROR(__xludf.DUMMYFUNCTION("REGEXEXTRACT(C1120, ""🏘️ \w+ (\w+) .* ✅"")"),"maison")</f>
        <v>maison</v>
      </c>
      <c r="H1120" s="4" t="str">
        <f>IFERROR(__xludf.DUMMYFUNCTION("REGEXEXTRACT(A1120, ""/(\w+)-.*?"")"),"lieu")</f>
        <v>lieu</v>
      </c>
      <c r="I1120" s="4" t="str">
        <f>IFERROR(__xludf.DUMMYFUNCTION("if(D1120=""variant"",  substitute(filter(Templates!E:E, Templates!A:A = F1120, Templates!B:B = G1120, Templates!C:C = H1120), ""{{}}"", E1120), B1120)"),"🏘  Vous souhaitez acheter une maison à Tafers? ✅ Jetez un œil aux dernières offres sur ImmoScout24.ch.")</f>
        <v>🏘  Vous souhaitez acheter une maison à Tafers? ✅ Jetez un œil aux dernières offres sur ImmoScout24.ch.</v>
      </c>
      <c r="J1120" s="4" t="s">
        <v>3364</v>
      </c>
    </row>
    <row r="1121">
      <c r="A1121" s="5" t="s">
        <v>3365</v>
      </c>
      <c r="B1121" s="2" t="s">
        <v>3366</v>
      </c>
      <c r="C1121" s="4" t="str">
        <f>IFERROR(__xludf.DUMMYFUNCTION("""🏘️ ""&amp;REGEXEXTRACT(B1121, ""^(.*): "")&amp;"" ✅ "" &amp;REGEXEXTRACT(B1121, ""(Trouvez.*)"")"),"🏘️ Vendre maison Herzogenbuchsee ✅ Trouvez le bien immobilier qui correspond idéalement à vos désirs sur ImmoScout24 - La plateforme de l'immobilier en Suisse.")</f>
        <v>🏘️ Vendre maison Herzogenbuchsee ✅ Trouvez le bien immobilier qui correspond idéalement à vos désirs sur ImmoScout24 - La plateforme de l'immobilier en Suisse.</v>
      </c>
      <c r="D1121" s="4" t="str">
        <f>vlookup(A1121, Sheet2!D:E, 2, 0)</f>
        <v>variant</v>
      </c>
      <c r="E1121" s="4" t="str">
        <f>IFERROR(__xludf.DUMMYFUNCTION("if(H1121=""pays"",vlookup(REGEXEXTRACT(C1121, ""🏘️ \w+ \w+ (.*) ✅""),'Country prepositions'!A:B, 2, 0) &amp; "" "" &amp; REGEXEXTRACT(C1121, ""🏘️ \w+ \w+ (.*) ✅"") ,  if(H1121=""quartier"",vlookup(REGEXEXTRACT(C1121, ""🏘️ \w+ \w+ (.*) ✅""),'Quartier prepositio"&amp;"ns'!A:E, 5, 0) ,  if(H1121=""region"",vlookup(REGEXEXTRACT(C1121, ""🏘️ \w+ \w+ (.*) ✅""),'Region prepositions'!B:F, 5, 0),  REGEXEXTRACT(C1121, ""🏘️ \w+ \w+ (.*) ✅""))))"),"Herzogenbuchsee")</f>
        <v>Herzogenbuchsee</v>
      </c>
      <c r="F1121" s="2" t="str">
        <f>IFERROR(__xludf.DUMMYFUNCTION("REGEXEXTRACT(C1121, ""🏘️ (\w+) \w+ .* ✅"")"),"Vendre")</f>
        <v>Vendre</v>
      </c>
      <c r="G1121" s="2" t="str">
        <f>IFERROR(__xludf.DUMMYFUNCTION("REGEXEXTRACT(C1121, ""🏘️ \w+ (\w+) .* ✅"")"),"maison")</f>
        <v>maison</v>
      </c>
      <c r="H1121" s="4" t="str">
        <f>IFERROR(__xludf.DUMMYFUNCTION("REGEXEXTRACT(A1121, ""/(\w+)-.*?"")"),"lieu")</f>
        <v>lieu</v>
      </c>
      <c r="I1121" s="4" t="str">
        <f>IFERROR(__xludf.DUMMYFUNCTION("if(D1121=""variant"",  substitute(filter(Templates!E:E, Templates!A:A = F1121, Templates!B:B = G1121, Templates!C:C = H1121), ""{{}}"", E1121), B1121)"),"🏘  Vous souhaitez acheter une maison à Herzogenbuchsee? ✅ Jetez un œil aux dernières offres sur ImmoScout24.ch.")</f>
        <v>🏘  Vous souhaitez acheter une maison à Herzogenbuchsee? ✅ Jetez un œil aux dernières offres sur ImmoScout24.ch.</v>
      </c>
      <c r="J1121" s="4" t="s">
        <v>3367</v>
      </c>
    </row>
    <row r="1122">
      <c r="A1122" s="5" t="s">
        <v>3368</v>
      </c>
      <c r="B1122" s="2" t="s">
        <v>3369</v>
      </c>
      <c r="C1122" s="4" t="str">
        <f>IFERROR(__xludf.DUMMYFUNCTION("""🏘️ ""&amp;REGEXEXTRACT(B1122, ""^(.*): "")&amp;"" ✅ "" &amp;REGEXEXTRACT(B1122, ""(Trouvez.*)"")"),"🏘️ Vendre maison Avully ✅ Trouvez le bien immobilier qui correspond idéalement à vos désirs sur ImmoScout24 - La plateforme de l'immobilier en Suisse.")</f>
        <v>🏘️ Vendre maison Avully ✅ Trouvez le bien immobilier qui correspond idéalement à vos désirs sur ImmoScout24 - La plateforme de l'immobilier en Suisse.</v>
      </c>
      <c r="D1122" s="4" t="str">
        <f>vlookup(A1122, Sheet2!D:E, 2, 0)</f>
        <v>variant</v>
      </c>
      <c r="E1122" s="4" t="str">
        <f>IFERROR(__xludf.DUMMYFUNCTION("if(H1122=""pays"",vlookup(REGEXEXTRACT(C1122, ""🏘️ \w+ \w+ (.*) ✅""),'Country prepositions'!A:B, 2, 0) &amp; "" "" &amp; REGEXEXTRACT(C1122, ""🏘️ \w+ \w+ (.*) ✅"") ,  if(H1122=""quartier"",vlookup(REGEXEXTRACT(C1122, ""🏘️ \w+ \w+ (.*) ✅""),'Quartier prepositio"&amp;"ns'!A:E, 5, 0) ,  if(H1122=""region"",vlookup(REGEXEXTRACT(C1122, ""🏘️ \w+ \w+ (.*) ✅""),'Region prepositions'!B:F, 5, 0),  REGEXEXTRACT(C1122, ""🏘️ \w+ \w+ (.*) ✅""))))"),"Avully")</f>
        <v>Avully</v>
      </c>
      <c r="F1122" s="2" t="str">
        <f>IFERROR(__xludf.DUMMYFUNCTION("REGEXEXTRACT(C1122, ""🏘️ (\w+) \w+ .* ✅"")"),"Vendre")</f>
        <v>Vendre</v>
      </c>
      <c r="G1122" s="2" t="str">
        <f>IFERROR(__xludf.DUMMYFUNCTION("REGEXEXTRACT(C1122, ""🏘️ \w+ (\w+) .* ✅"")"),"maison")</f>
        <v>maison</v>
      </c>
      <c r="H1122" s="4" t="str">
        <f>IFERROR(__xludf.DUMMYFUNCTION("REGEXEXTRACT(A1122, ""/(\w+)-.*?"")"),"lieu")</f>
        <v>lieu</v>
      </c>
      <c r="I1122" s="4" t="str">
        <f>IFERROR(__xludf.DUMMYFUNCTION("if(D1122=""variant"",  substitute(filter(Templates!E:E, Templates!A:A = F1122, Templates!B:B = G1122, Templates!C:C = H1122), ""{{}}"", E1122), B1122)"),"🏘  Vous souhaitez acheter une maison à Avully? ✅ Jetez un œil aux dernières offres sur ImmoScout24.ch.")</f>
        <v>🏘  Vous souhaitez acheter une maison à Avully? ✅ Jetez un œil aux dernières offres sur ImmoScout24.ch.</v>
      </c>
      <c r="J1122" s="4" t="s">
        <v>3370</v>
      </c>
    </row>
    <row r="1123">
      <c r="A1123" s="5" t="s">
        <v>3371</v>
      </c>
      <c r="B1123" s="2" t="s">
        <v>3372</v>
      </c>
      <c r="C1123" s="4" t="str">
        <f>IFERROR(__xludf.DUMMYFUNCTION("""🏘️ ""&amp;REGEXEXTRACT(B1123, ""^(.*): "")&amp;"" ✅ "" &amp;REGEXEXTRACT(B1123, ""(Trouvez.*)"")"),"🏘️ Vendre maison Vernate ✅ Trouvez le bien immobilier qui correspond idéalement à vos désirs sur ImmoScout24 - La plateforme de l'immobilier en Suisse.")</f>
        <v>🏘️ Vendre maison Vernate ✅ Trouvez le bien immobilier qui correspond idéalement à vos désirs sur ImmoScout24 - La plateforme de l'immobilier en Suisse.</v>
      </c>
      <c r="D1123" s="4" t="str">
        <f>vlookup(A1123, Sheet2!D:E, 2, 0)</f>
        <v>variant</v>
      </c>
      <c r="E1123" s="4" t="str">
        <f>IFERROR(__xludf.DUMMYFUNCTION("if(H1123=""pays"",vlookup(REGEXEXTRACT(C1123, ""🏘️ \w+ \w+ (.*) ✅""),'Country prepositions'!A:B, 2, 0) &amp; "" "" &amp; REGEXEXTRACT(C1123, ""🏘️ \w+ \w+ (.*) ✅"") ,  if(H1123=""quartier"",vlookup(REGEXEXTRACT(C1123, ""🏘️ \w+ \w+ (.*) ✅""),'Quartier prepositio"&amp;"ns'!A:E, 5, 0) ,  if(H1123=""region"",vlookup(REGEXEXTRACT(C1123, ""🏘️ \w+ \w+ (.*) ✅""),'Region prepositions'!B:F, 5, 0),  REGEXEXTRACT(C1123, ""🏘️ \w+ \w+ (.*) ✅""))))"),"Vernate")</f>
        <v>Vernate</v>
      </c>
      <c r="F1123" s="2" t="str">
        <f>IFERROR(__xludf.DUMMYFUNCTION("REGEXEXTRACT(C1123, ""🏘️ (\w+) \w+ .* ✅"")"),"Vendre")</f>
        <v>Vendre</v>
      </c>
      <c r="G1123" s="2" t="str">
        <f>IFERROR(__xludf.DUMMYFUNCTION("REGEXEXTRACT(C1123, ""🏘️ \w+ (\w+) .* ✅"")"),"maison")</f>
        <v>maison</v>
      </c>
      <c r="H1123" s="4" t="str">
        <f>IFERROR(__xludf.DUMMYFUNCTION("REGEXEXTRACT(A1123, ""/(\w+)-.*?"")"),"lieu")</f>
        <v>lieu</v>
      </c>
      <c r="I1123" s="4" t="str">
        <f>IFERROR(__xludf.DUMMYFUNCTION("if(D1123=""variant"",  substitute(filter(Templates!E:E, Templates!A:A = F1123, Templates!B:B = G1123, Templates!C:C = H1123), ""{{}}"", E1123), B1123)"),"🏘  Vous souhaitez acheter une maison à Vernate? ✅ Jetez un œil aux dernières offres sur ImmoScout24.ch.")</f>
        <v>🏘  Vous souhaitez acheter une maison à Vernate? ✅ Jetez un œil aux dernières offres sur ImmoScout24.ch.</v>
      </c>
      <c r="J1123" s="4" t="s">
        <v>3373</v>
      </c>
    </row>
    <row r="1124">
      <c r="A1124" s="5" t="s">
        <v>3374</v>
      </c>
      <c r="B1124" s="2" t="s">
        <v>3375</v>
      </c>
      <c r="C1124" s="4" t="str">
        <f>IFERROR(__xludf.DUMMYFUNCTION("""🏘️ ""&amp;REGEXEXTRACT(B1124, ""^(.*): "")&amp;"" ✅ "" &amp;REGEXEXTRACT(B1124, ""(Trouvez.*)"")"),"🏘️ Vendre maison Grandsivaz ✅ Trouvez le bien immobilier qui correspond idéalement à vos désirs sur ImmoScout24 - La plateforme de l'immobilier en Suisse.")</f>
        <v>🏘️ Vendre maison Grandsivaz ✅ Trouvez le bien immobilier qui correspond idéalement à vos désirs sur ImmoScout24 - La plateforme de l'immobilier en Suisse.</v>
      </c>
      <c r="D1124" s="4" t="str">
        <f>vlookup(A1124, Sheet2!D:E, 2, 0)</f>
        <v>variant</v>
      </c>
      <c r="E1124" s="4" t="str">
        <f>IFERROR(__xludf.DUMMYFUNCTION("if(H1124=""pays"",vlookup(REGEXEXTRACT(C1124, ""🏘️ \w+ \w+ (.*) ✅""),'Country prepositions'!A:B, 2, 0) &amp; "" "" &amp; REGEXEXTRACT(C1124, ""🏘️ \w+ \w+ (.*) ✅"") ,  if(H1124=""quartier"",vlookup(REGEXEXTRACT(C1124, ""🏘️ \w+ \w+ (.*) ✅""),'Quartier prepositio"&amp;"ns'!A:E, 5, 0) ,  if(H1124=""region"",vlookup(REGEXEXTRACT(C1124, ""🏘️ \w+ \w+ (.*) ✅""),'Region prepositions'!B:F, 5, 0),  REGEXEXTRACT(C1124, ""🏘️ \w+ \w+ (.*) ✅""))))"),"Grandsivaz")</f>
        <v>Grandsivaz</v>
      </c>
      <c r="F1124" s="2" t="str">
        <f>IFERROR(__xludf.DUMMYFUNCTION("REGEXEXTRACT(C1124, ""🏘️ (\w+) \w+ .* ✅"")"),"Vendre")</f>
        <v>Vendre</v>
      </c>
      <c r="G1124" s="2" t="str">
        <f>IFERROR(__xludf.DUMMYFUNCTION("REGEXEXTRACT(C1124, ""🏘️ \w+ (\w+) .* ✅"")"),"maison")</f>
        <v>maison</v>
      </c>
      <c r="H1124" s="4" t="str">
        <f>IFERROR(__xludf.DUMMYFUNCTION("REGEXEXTRACT(A1124, ""/(\w+)-.*?"")"),"lieu")</f>
        <v>lieu</v>
      </c>
      <c r="I1124" s="4" t="str">
        <f>IFERROR(__xludf.DUMMYFUNCTION("if(D1124=""variant"",  substitute(filter(Templates!E:E, Templates!A:A = F1124, Templates!B:B = G1124, Templates!C:C = H1124), ""{{}}"", E1124), B1124)"),"🏘  Vous souhaitez acheter une maison à Grandsivaz? ✅ Jetez un œil aux dernières offres sur ImmoScout24.ch.")</f>
        <v>🏘  Vous souhaitez acheter une maison à Grandsivaz? ✅ Jetez un œil aux dernières offres sur ImmoScout24.ch.</v>
      </c>
      <c r="J1124" s="4" t="s">
        <v>3376</v>
      </c>
    </row>
    <row r="1125">
      <c r="A1125" s="5" t="s">
        <v>3377</v>
      </c>
      <c r="B1125" s="2" t="s">
        <v>3378</v>
      </c>
      <c r="C1125" s="4" t="str">
        <f>IFERROR(__xludf.DUMMYFUNCTION("""🏘️ ""&amp;REGEXEXTRACT(B1125, ""^(.*): "")&amp;"" ✅ "" &amp;REGEXEXTRACT(B1125, ""(Trouvez.*)"")"),"🏘️ Vendre appartement Köniz ✅ Trouvez le bien immobilier qui correspond idéalement à vos désirs sur ImmoScout24 - La plateforme de l'immobilier en Suisse.")</f>
        <v>🏘️ Vendre appartement Köniz ✅ Trouvez le bien immobilier qui correspond idéalement à vos désirs sur ImmoScout24 - La plateforme de l'immobilier en Suisse.</v>
      </c>
      <c r="D1125" s="4" t="str">
        <f>vlookup(A1125, Sheet2!D:E, 2, 0)</f>
        <v>variant</v>
      </c>
      <c r="E1125" s="4" t="str">
        <f>IFERROR(__xludf.DUMMYFUNCTION("if(H1125=""pays"",vlookup(REGEXEXTRACT(C1125, ""🏘️ \w+ \w+ (.*) ✅""),'Country prepositions'!A:B, 2, 0) &amp; "" "" &amp; REGEXEXTRACT(C1125, ""🏘️ \w+ \w+ (.*) ✅"") ,  if(H1125=""quartier"",vlookup(REGEXEXTRACT(C1125, ""🏘️ \w+ \w+ (.*) ✅""),'Quartier prepositio"&amp;"ns'!A:E, 5, 0) ,  if(H1125=""region"",vlookup(REGEXEXTRACT(C1125, ""🏘️ \w+ \w+ (.*) ✅""),'Region prepositions'!B:F, 5, 0),  REGEXEXTRACT(C1125, ""🏘️ \w+ \w+ (.*) ✅""))))"),"Köniz")</f>
        <v>Köniz</v>
      </c>
      <c r="F1125" s="2" t="str">
        <f>IFERROR(__xludf.DUMMYFUNCTION("REGEXEXTRACT(C1125, ""🏘️ (\w+) \w+ .* ✅"")"),"Vendre")</f>
        <v>Vendre</v>
      </c>
      <c r="G1125" s="2" t="str">
        <f>IFERROR(__xludf.DUMMYFUNCTION("REGEXEXTRACT(C1125, ""🏘️ \w+ (\w+) .* ✅"")"),"appartement")</f>
        <v>appartement</v>
      </c>
      <c r="H1125" s="4" t="str">
        <f>IFERROR(__xludf.DUMMYFUNCTION("REGEXEXTRACT(A1125, ""/(\w+)-.*?"")"),"lieu")</f>
        <v>lieu</v>
      </c>
      <c r="I1125" s="4" t="str">
        <f>IFERROR(__xludf.DUMMYFUNCTION("if(D1125=""variant"",  substitute(filter(Templates!E:E, Templates!A:A = F1125, Templates!B:B = G1125, Templates!C:C = H1125), ""{{}}"", E1125), B1125)"),"🏘  L’appartement de vos rêves se trouve sur ImmoScout24.ch ✅ Découvrez les dernières annonces de vente à Köniz.")</f>
        <v>🏘  L’appartement de vos rêves se trouve sur ImmoScout24.ch ✅ Découvrez les dernières annonces de vente à Köniz.</v>
      </c>
      <c r="J1125" s="4" t="s">
        <v>3379</v>
      </c>
    </row>
    <row r="1126">
      <c r="A1126" s="5" t="s">
        <v>3380</v>
      </c>
      <c r="B1126" s="2" t="s">
        <v>3381</v>
      </c>
      <c r="C1126" s="4" t="str">
        <f>IFERROR(__xludf.DUMMYFUNCTION("""🏘️ ""&amp;REGEXEXTRACT(B1126, ""^(.*): "")&amp;"" ✅ "" &amp;REGEXEXTRACT(B1126, ""(Trouvez.*)"")"),"🏘️ Vendre appartement Reutlingen (Winterthur) ✅ Trouvez le bien immobilier qui correspond idéalement à vos désirs sur ImmoScout24 - La plateforme de l'immobilier en Suisse.")</f>
        <v>🏘️ Vendre appartement Reutlingen (Winterthur) ✅ Trouvez le bien immobilier qui correspond idéalement à vos désirs sur ImmoScout24 - La plateforme de l'immobilier en Suisse.</v>
      </c>
      <c r="D1126" s="4" t="str">
        <f>vlookup(A1126, Sheet2!D:E, 2, 0)</f>
        <v>variant</v>
      </c>
      <c r="E1126" s="4" t="str">
        <f>IFERROR(__xludf.DUMMYFUNCTION("if(H1126=""pays"",vlookup(REGEXEXTRACT(C1126, ""🏘️ \w+ \w+ (.*) ✅""),'Country prepositions'!A:B, 2, 0) &amp; "" "" &amp; REGEXEXTRACT(C1126, ""🏘️ \w+ \w+ (.*) ✅"") ,  if(H1126=""quartier"",vlookup(REGEXEXTRACT(C1126, ""🏘️ \w+ \w+ (.*) ✅""),'Quartier prepositio"&amp;"ns'!A:E, 5, 0) ,  if(H1126=""region"",vlookup(REGEXEXTRACT(C1126, ""🏘️ \w+ \w+ (.*) ✅""),'Region prepositions'!B:F, 5, 0),  REGEXEXTRACT(C1126, ""🏘️ \w+ \w+ (.*) ✅""))))"),"Reutlingen (Winterthur)")</f>
        <v>Reutlingen (Winterthur)</v>
      </c>
      <c r="F1126" s="2" t="str">
        <f>IFERROR(__xludf.DUMMYFUNCTION("REGEXEXTRACT(C1126, ""🏘️ (\w+) \w+ .* ✅"")"),"Vendre")</f>
        <v>Vendre</v>
      </c>
      <c r="G1126" s="2" t="str">
        <f>IFERROR(__xludf.DUMMYFUNCTION("REGEXEXTRACT(C1126, ""🏘️ \w+ (\w+) .* ✅"")"),"appartement")</f>
        <v>appartement</v>
      </c>
      <c r="H1126" s="4" t="str">
        <f>IFERROR(__xludf.DUMMYFUNCTION("REGEXEXTRACT(A1126, ""/(\w+)-.*?"")"),"lieu")</f>
        <v>lieu</v>
      </c>
      <c r="I1126" s="4" t="str">
        <f>IFERROR(__xludf.DUMMYFUNCTION("if(D1126=""variant"",  substitute(filter(Templates!E:E, Templates!A:A = F1126, Templates!B:B = G1126, Templates!C:C = H1126), ""{{}}"", E1126), B1126)"),"🏘  L’appartement de vos rêves se trouve sur ImmoScout24.ch ✅ Découvrez les dernières annonces de vente à Reutlingen (Winterthur).")</f>
        <v>🏘  L’appartement de vos rêves se trouve sur ImmoScout24.ch ✅ Découvrez les dernières annonces de vente à Reutlingen (Winterthur).</v>
      </c>
      <c r="J1126" s="4" t="s">
        <v>3382</v>
      </c>
    </row>
    <row r="1127">
      <c r="A1127" s="5" t="s">
        <v>3383</v>
      </c>
      <c r="B1127" s="2" t="s">
        <v>3384</v>
      </c>
      <c r="C1127" s="4" t="str">
        <f>IFERROR(__xludf.DUMMYFUNCTION("""🏘️ ""&amp;REGEXEXTRACT(B1127, ""^(.*): "")&amp;"" ✅ "" &amp;REGEXEXTRACT(B1127, ""(Trouvez.*)"")"),"🏘️ Vendre maison Péry ✅ Trouvez le bien immobilier qui correspond idéalement à vos désirs sur ImmoScout24 - La plateforme de l'immobilier en Suisse.")</f>
        <v>🏘️ Vendre maison Péry ✅ Trouvez le bien immobilier qui correspond idéalement à vos désirs sur ImmoScout24 - La plateforme de l'immobilier en Suisse.</v>
      </c>
      <c r="D1127" s="4" t="str">
        <f>vlookup(A1127, Sheet2!D:E, 2, 0)</f>
        <v>variant</v>
      </c>
      <c r="E1127" s="4" t="str">
        <f>IFERROR(__xludf.DUMMYFUNCTION("if(H1127=""pays"",vlookup(REGEXEXTRACT(C1127, ""🏘️ \w+ \w+ (.*) ✅""),'Country prepositions'!A:B, 2, 0) &amp; "" "" &amp; REGEXEXTRACT(C1127, ""🏘️ \w+ \w+ (.*) ✅"") ,  if(H1127=""quartier"",vlookup(REGEXEXTRACT(C1127, ""🏘️ \w+ \w+ (.*) ✅""),'Quartier prepositio"&amp;"ns'!A:E, 5, 0) ,  if(H1127=""region"",vlookup(REGEXEXTRACT(C1127, ""🏘️ \w+ \w+ (.*) ✅""),'Region prepositions'!B:F, 5, 0),  REGEXEXTRACT(C1127, ""🏘️ \w+ \w+ (.*) ✅""))))"),"Péry")</f>
        <v>Péry</v>
      </c>
      <c r="F1127" s="2" t="str">
        <f>IFERROR(__xludf.DUMMYFUNCTION("REGEXEXTRACT(C1127, ""🏘️ (\w+) \w+ .* ✅"")"),"Vendre")</f>
        <v>Vendre</v>
      </c>
      <c r="G1127" s="2" t="str">
        <f>IFERROR(__xludf.DUMMYFUNCTION("REGEXEXTRACT(C1127, ""🏘️ \w+ (\w+) .* ✅"")"),"maison")</f>
        <v>maison</v>
      </c>
      <c r="H1127" s="4" t="str">
        <f>IFERROR(__xludf.DUMMYFUNCTION("REGEXEXTRACT(A1127, ""/(\w+)-.*?"")"),"lieu")</f>
        <v>lieu</v>
      </c>
      <c r="I1127" s="4" t="str">
        <f>IFERROR(__xludf.DUMMYFUNCTION("if(D1127=""variant"",  substitute(filter(Templates!E:E, Templates!A:A = F1127, Templates!B:B = G1127, Templates!C:C = H1127), ""{{}}"", E1127), B1127)"),"🏘  Vous souhaitez acheter une maison à Péry? ✅ Jetez un œil aux dernières offres sur ImmoScout24.ch.")</f>
        <v>🏘  Vous souhaitez acheter une maison à Péry? ✅ Jetez un œil aux dernières offres sur ImmoScout24.ch.</v>
      </c>
      <c r="J1127" s="4" t="s">
        <v>3385</v>
      </c>
    </row>
    <row r="1128">
      <c r="A1128" s="5" t="s">
        <v>3386</v>
      </c>
      <c r="B1128" s="2" t="s">
        <v>3387</v>
      </c>
      <c r="C1128" s="4" t="str">
        <f>IFERROR(__xludf.DUMMYFUNCTION("""🏘️ ""&amp;REGEXEXTRACT(B1128, ""^(.*): "")&amp;"" ✅ "" &amp;REGEXEXTRACT(B1128, ""(Trouvez.*)"")"),"🏘️ Louer appartement Giswil ✅ Trouvez le bien immobilier qui correspond idéalement à vos désirs sur ImmoScout24 - La plateforme de l'immobilier en Suisse.")</f>
        <v>🏘️ Louer appartement Giswil ✅ Trouvez le bien immobilier qui correspond idéalement à vos désirs sur ImmoScout24 - La plateforme de l'immobilier en Suisse.</v>
      </c>
      <c r="D1128" s="4" t="str">
        <f>vlookup(A1128, Sheet2!D:E, 2, 0)</f>
        <v>variant</v>
      </c>
      <c r="E1128" s="4" t="str">
        <f>IFERROR(__xludf.DUMMYFUNCTION("if(H1128=""pays"",vlookup(REGEXEXTRACT(C1128, ""🏘️ \w+ \w+ (.*) ✅""),'Country prepositions'!A:B, 2, 0) &amp; "" "" &amp; REGEXEXTRACT(C1128, ""🏘️ \w+ \w+ (.*) ✅"") ,  if(H1128=""quartier"",vlookup(REGEXEXTRACT(C1128, ""🏘️ \w+ \w+ (.*) ✅""),'Quartier prepositio"&amp;"ns'!A:E, 5, 0) ,  if(H1128=""region"",vlookup(REGEXEXTRACT(C1128, ""🏘️ \w+ \w+ (.*) ✅""),'Region prepositions'!B:F, 5, 0),  REGEXEXTRACT(C1128, ""🏘️ \w+ \w+ (.*) ✅""))))"),"Giswil")</f>
        <v>Giswil</v>
      </c>
      <c r="F1128" s="2" t="str">
        <f>IFERROR(__xludf.DUMMYFUNCTION("REGEXEXTRACT(C1128, ""🏘️ (\w+) \w+ .* ✅"")"),"Louer")</f>
        <v>Louer</v>
      </c>
      <c r="G1128" s="2" t="str">
        <f>IFERROR(__xludf.DUMMYFUNCTION("REGEXEXTRACT(C1128, ""🏘️ \w+ (\w+) .* ✅"")"),"appartement")</f>
        <v>appartement</v>
      </c>
      <c r="H1128" s="4" t="str">
        <f>IFERROR(__xludf.DUMMYFUNCTION("REGEXEXTRACT(A1128, ""/(\w+)-.*?"")"),"lieu")</f>
        <v>lieu</v>
      </c>
      <c r="I1128" s="4" t="str">
        <f>IFERROR(__xludf.DUMMYFUNCTION("if(D1128=""variant"",  substitute(filter(Templates!E:E, Templates!A:A = F1128, Templates!B:B = G1128, Templates!C:C = H1128), ""{{}}"", E1128), B1128)"),"🏘  Vous cherchez un appartement à louer à Giswil? ✅ Les annonces les plus actuelles sont sur ImmoScout24.ch.")</f>
        <v>🏘  Vous cherchez un appartement à louer à Giswil? ✅ Les annonces les plus actuelles sont sur ImmoScout24.ch.</v>
      </c>
      <c r="J1128" s="4" t="s">
        <v>3388</v>
      </c>
    </row>
    <row r="1129">
      <c r="A1129" s="5" t="s">
        <v>3389</v>
      </c>
      <c r="B1129" s="2" t="s">
        <v>3390</v>
      </c>
      <c r="C1129" s="4" t="str">
        <f>IFERROR(__xludf.DUMMYFUNCTION("""🏘️ ""&amp;REGEXEXTRACT(B1129, ""^(.*): "")&amp;"" ✅ "" &amp;REGEXEXTRACT(B1129, ""(Trouvez.*)"")"),"🏘️ Vendre appartement Saas-Fee ✅ Trouvez le bien immobilier qui correspond idéalement à vos désirs sur ImmoScout24 - La plateforme de l'immobilier en Suisse.")</f>
        <v>🏘️ Vendre appartement Saas-Fee ✅ Trouvez le bien immobilier qui correspond idéalement à vos désirs sur ImmoScout24 - La plateforme de l'immobilier en Suisse.</v>
      </c>
      <c r="D1129" s="4" t="str">
        <f>vlookup(A1129, Sheet2!D:E, 2, 0)</f>
        <v>variant</v>
      </c>
      <c r="E1129" s="4" t="str">
        <f>IFERROR(__xludf.DUMMYFUNCTION("if(H1129=""pays"",vlookup(REGEXEXTRACT(C1129, ""🏘️ \w+ \w+ (.*) ✅""),'Country prepositions'!A:B, 2, 0) &amp; "" "" &amp; REGEXEXTRACT(C1129, ""🏘️ \w+ \w+ (.*) ✅"") ,  if(H1129=""quartier"",vlookup(REGEXEXTRACT(C1129, ""🏘️ \w+ \w+ (.*) ✅""),'Quartier prepositio"&amp;"ns'!A:E, 5, 0) ,  if(H1129=""region"",vlookup(REGEXEXTRACT(C1129, ""🏘️ \w+ \w+ (.*) ✅""),'Region prepositions'!B:F, 5, 0),  REGEXEXTRACT(C1129, ""🏘️ \w+ \w+ (.*) ✅""))))"),"Saas-Fee")</f>
        <v>Saas-Fee</v>
      </c>
      <c r="F1129" s="2" t="str">
        <f>IFERROR(__xludf.DUMMYFUNCTION("REGEXEXTRACT(C1129, ""🏘️ (\w+) \w+ .* ✅"")"),"Vendre")</f>
        <v>Vendre</v>
      </c>
      <c r="G1129" s="2" t="str">
        <f>IFERROR(__xludf.DUMMYFUNCTION("REGEXEXTRACT(C1129, ""🏘️ \w+ (\w+) .* ✅"")"),"appartement")</f>
        <v>appartement</v>
      </c>
      <c r="H1129" s="4" t="str">
        <f>IFERROR(__xludf.DUMMYFUNCTION("REGEXEXTRACT(A1129, ""/(\w+)-.*?"")"),"lieu")</f>
        <v>lieu</v>
      </c>
      <c r="I1129" s="4" t="str">
        <f>IFERROR(__xludf.DUMMYFUNCTION("if(D1129=""variant"",  substitute(filter(Templates!E:E, Templates!A:A = F1129, Templates!B:B = G1129, Templates!C:C = H1129), ""{{}}"", E1129), B1129)"),"🏘  L’appartement de vos rêves se trouve sur ImmoScout24.ch ✅ Découvrez les dernières annonces de vente à Saas-Fee.")</f>
        <v>🏘  L’appartement de vos rêves se trouve sur ImmoScout24.ch ✅ Découvrez les dernières annonces de vente à Saas-Fee.</v>
      </c>
      <c r="J1129" s="4" t="s">
        <v>3391</v>
      </c>
    </row>
    <row r="1130">
      <c r="A1130" s="5" t="s">
        <v>3392</v>
      </c>
      <c r="B1130" s="2" t="s">
        <v>3393</v>
      </c>
      <c r="C1130" s="4" t="str">
        <f>IFERROR(__xludf.DUMMYFUNCTION("""🏘️ ""&amp;REGEXEXTRACT(B1130, ""^(.*): "")&amp;"" ✅ "" &amp;REGEXEXTRACT(B1130, ""(Trouvez.*)"")"),"🏘️ Vendre maison Clarens ✅ Trouvez le bien immobilier qui correspond idéalement à vos désirs sur ImmoScout24 - La plateforme de l'immobilier en Suisse.")</f>
        <v>🏘️ Vendre maison Clarens ✅ Trouvez le bien immobilier qui correspond idéalement à vos désirs sur ImmoScout24 - La plateforme de l'immobilier en Suisse.</v>
      </c>
      <c r="D1130" s="4" t="str">
        <f>vlookup(A1130, Sheet2!D:E, 2, 0)</f>
        <v>variant</v>
      </c>
      <c r="E1130" s="4" t="str">
        <f>IFERROR(__xludf.DUMMYFUNCTION("if(H1130=""pays"",vlookup(REGEXEXTRACT(C1130, ""🏘️ \w+ \w+ (.*) ✅""),'Country prepositions'!A:B, 2, 0) &amp; "" "" &amp; REGEXEXTRACT(C1130, ""🏘️ \w+ \w+ (.*) ✅"") ,  if(H1130=""quartier"",vlookup(REGEXEXTRACT(C1130, ""🏘️ \w+ \w+ (.*) ✅""),'Quartier prepositio"&amp;"ns'!A:E, 5, 0) ,  if(H1130=""region"",vlookup(REGEXEXTRACT(C1130, ""🏘️ \w+ \w+ (.*) ✅""),'Region prepositions'!B:F, 5, 0),  REGEXEXTRACT(C1130, ""🏘️ \w+ \w+ (.*) ✅""))))"),"Clarens")</f>
        <v>Clarens</v>
      </c>
      <c r="F1130" s="2" t="str">
        <f>IFERROR(__xludf.DUMMYFUNCTION("REGEXEXTRACT(C1130, ""🏘️ (\w+) \w+ .* ✅"")"),"Vendre")</f>
        <v>Vendre</v>
      </c>
      <c r="G1130" s="2" t="str">
        <f>IFERROR(__xludf.DUMMYFUNCTION("REGEXEXTRACT(C1130, ""🏘️ \w+ (\w+) .* ✅"")"),"maison")</f>
        <v>maison</v>
      </c>
      <c r="H1130" s="4" t="str">
        <f>IFERROR(__xludf.DUMMYFUNCTION("REGEXEXTRACT(A1130, ""/(\w+)-.*?"")"),"lieu")</f>
        <v>lieu</v>
      </c>
      <c r="I1130" s="4" t="str">
        <f>IFERROR(__xludf.DUMMYFUNCTION("if(D1130=""variant"",  substitute(filter(Templates!E:E, Templates!A:A = F1130, Templates!B:B = G1130, Templates!C:C = H1130), ""{{}}"", E1130), B1130)"),"🏘  Vous souhaitez acheter une maison à Clarens? ✅ Jetez un œil aux dernières offres sur ImmoScout24.ch.")</f>
        <v>🏘  Vous souhaitez acheter une maison à Clarens? ✅ Jetez un œil aux dernières offres sur ImmoScout24.ch.</v>
      </c>
      <c r="J1130" s="4" t="s">
        <v>3394</v>
      </c>
    </row>
    <row r="1131">
      <c r="A1131" s="5" t="s">
        <v>3395</v>
      </c>
      <c r="B1131" s="2" t="s">
        <v>3396</v>
      </c>
      <c r="C1131" s="4" t="str">
        <f>IFERROR(__xludf.DUMMYFUNCTION("""🏘️ ""&amp;REGEXEXTRACT(B1131, ""^(.*): "")&amp;"" ✅ "" &amp;REGEXEXTRACT(B1131, ""(Trouvez.*)"")"),"🏘️ Louer appartement Boncourt ✅ Trouvez le bien immobilier qui correspond idéalement à vos désirs sur ImmoScout24 - La plateforme de l'immobilier en Suisse.")</f>
        <v>🏘️ Louer appartement Boncourt ✅ Trouvez le bien immobilier qui correspond idéalement à vos désirs sur ImmoScout24 - La plateforme de l'immobilier en Suisse.</v>
      </c>
      <c r="D1131" s="4" t="str">
        <f>vlookup(A1131, Sheet2!D:E, 2, 0)</f>
        <v>variant</v>
      </c>
      <c r="E1131" s="4" t="str">
        <f>IFERROR(__xludf.DUMMYFUNCTION("if(H1131=""pays"",vlookup(REGEXEXTRACT(C1131, ""🏘️ \w+ \w+ (.*) ✅""),'Country prepositions'!A:B, 2, 0) &amp; "" "" &amp; REGEXEXTRACT(C1131, ""🏘️ \w+ \w+ (.*) ✅"") ,  if(H1131=""quartier"",vlookup(REGEXEXTRACT(C1131, ""🏘️ \w+ \w+ (.*) ✅""),'Quartier prepositio"&amp;"ns'!A:E, 5, 0) ,  if(H1131=""region"",vlookup(REGEXEXTRACT(C1131, ""🏘️ \w+ \w+ (.*) ✅""),'Region prepositions'!B:F, 5, 0),  REGEXEXTRACT(C1131, ""🏘️ \w+ \w+ (.*) ✅""))))"),"Boncourt")</f>
        <v>Boncourt</v>
      </c>
      <c r="F1131" s="2" t="str">
        <f>IFERROR(__xludf.DUMMYFUNCTION("REGEXEXTRACT(C1131, ""🏘️ (\w+) \w+ .* ✅"")"),"Louer")</f>
        <v>Louer</v>
      </c>
      <c r="G1131" s="2" t="str">
        <f>IFERROR(__xludf.DUMMYFUNCTION("REGEXEXTRACT(C1131, ""🏘️ \w+ (\w+) .* ✅"")"),"appartement")</f>
        <v>appartement</v>
      </c>
      <c r="H1131" s="4" t="str">
        <f>IFERROR(__xludf.DUMMYFUNCTION("REGEXEXTRACT(A1131, ""/(\w+)-.*?"")"),"lieu")</f>
        <v>lieu</v>
      </c>
      <c r="I1131" s="4" t="str">
        <f>IFERROR(__xludf.DUMMYFUNCTION("if(D1131=""variant"",  substitute(filter(Templates!E:E, Templates!A:A = F1131, Templates!B:B = G1131, Templates!C:C = H1131), ""{{}}"", E1131), B1131)"),"🏘  Vous cherchez un appartement à louer à Boncourt? ✅ Les annonces les plus actuelles sont sur ImmoScout24.ch.")</f>
        <v>🏘  Vous cherchez un appartement à louer à Boncourt? ✅ Les annonces les plus actuelles sont sur ImmoScout24.ch.</v>
      </c>
      <c r="J1131" s="4" t="s">
        <v>3397</v>
      </c>
    </row>
    <row r="1132">
      <c r="A1132" s="5" t="s">
        <v>3398</v>
      </c>
      <c r="B1132" s="2" t="s">
        <v>3399</v>
      </c>
      <c r="C1132" s="4" t="str">
        <f>IFERROR(__xludf.DUMMYFUNCTION("""🏘️ ""&amp;REGEXEXTRACT(B1132, ""^(.*): "")&amp;"" ✅ "" &amp;REGEXEXTRACT(B1132, ""(Trouvez.*)"")"),"🏘️ Vendre appartement Blonay ✅ Trouvez le bien immobilier qui correspond idéalement à vos désirs sur ImmoScout24 - La plateforme de l'immobilier en Suisse.")</f>
        <v>🏘️ Vendre appartement Blonay ✅ Trouvez le bien immobilier qui correspond idéalement à vos désirs sur ImmoScout24 - La plateforme de l'immobilier en Suisse.</v>
      </c>
      <c r="D1132" s="4" t="str">
        <f>vlookup(A1132, Sheet2!D:E, 2, 0)</f>
        <v>variant</v>
      </c>
      <c r="E1132" s="4" t="str">
        <f>IFERROR(__xludf.DUMMYFUNCTION("if(H1132=""pays"",vlookup(REGEXEXTRACT(C1132, ""🏘️ \w+ \w+ (.*) ✅""),'Country prepositions'!A:B, 2, 0) &amp; "" "" &amp; REGEXEXTRACT(C1132, ""🏘️ \w+ \w+ (.*) ✅"") ,  if(H1132=""quartier"",vlookup(REGEXEXTRACT(C1132, ""🏘️ \w+ \w+ (.*) ✅""),'Quartier prepositio"&amp;"ns'!A:E, 5, 0) ,  if(H1132=""region"",vlookup(REGEXEXTRACT(C1132, ""🏘️ \w+ \w+ (.*) ✅""),'Region prepositions'!B:F, 5, 0),  REGEXEXTRACT(C1132, ""🏘️ \w+ \w+ (.*) ✅""))))"),"Blonay")</f>
        <v>Blonay</v>
      </c>
      <c r="F1132" s="2" t="str">
        <f>IFERROR(__xludf.DUMMYFUNCTION("REGEXEXTRACT(C1132, ""🏘️ (\w+) \w+ .* ✅"")"),"Vendre")</f>
        <v>Vendre</v>
      </c>
      <c r="G1132" s="2" t="str">
        <f>IFERROR(__xludf.DUMMYFUNCTION("REGEXEXTRACT(C1132, ""🏘️ \w+ (\w+) .* ✅"")"),"appartement")</f>
        <v>appartement</v>
      </c>
      <c r="H1132" s="4" t="str">
        <f>IFERROR(__xludf.DUMMYFUNCTION("REGEXEXTRACT(A1132, ""/(\w+)-.*?"")"),"lieu")</f>
        <v>lieu</v>
      </c>
      <c r="I1132" s="4" t="str">
        <f>IFERROR(__xludf.DUMMYFUNCTION("if(D1132=""variant"",  substitute(filter(Templates!E:E, Templates!A:A = F1132, Templates!B:B = G1132, Templates!C:C = H1132), ""{{}}"", E1132), B1132)"),"🏘  L’appartement de vos rêves se trouve sur ImmoScout24.ch ✅ Découvrez les dernières annonces de vente à Blonay.")</f>
        <v>🏘  L’appartement de vos rêves se trouve sur ImmoScout24.ch ✅ Découvrez les dernières annonces de vente à Blonay.</v>
      </c>
      <c r="J1132" s="4" t="s">
        <v>3400</v>
      </c>
    </row>
    <row r="1133">
      <c r="A1133" s="5" t="s">
        <v>3401</v>
      </c>
      <c r="B1133" s="2" t="s">
        <v>3402</v>
      </c>
      <c r="C1133" s="4" t="str">
        <f>IFERROR(__xludf.DUMMYFUNCTION("""🏘️ ""&amp;REGEXEXTRACT(B1133, ""^(.*): "")&amp;"" ✅ "" &amp;REGEXEXTRACT(B1133, ""(Trouvez.*)"")"),"🏘️ Vendre maison Beuson (Nendaz) ✅ Trouvez le bien immobilier qui correspond idéalement à vos désirs sur ImmoScout24 - La plateforme de l'immobilier en Suisse.")</f>
        <v>🏘️ Vendre maison Beuson (Nendaz) ✅ Trouvez le bien immobilier qui correspond idéalement à vos désirs sur ImmoScout24 - La plateforme de l'immobilier en Suisse.</v>
      </c>
      <c r="D1133" s="4" t="str">
        <f>vlookup(A1133, Sheet2!D:E, 2, 0)</f>
        <v>variant</v>
      </c>
      <c r="E1133" s="4" t="str">
        <f>IFERROR(__xludf.DUMMYFUNCTION("if(H1133=""pays"",vlookup(REGEXEXTRACT(C1133, ""🏘️ \w+ \w+ (.*) ✅""),'Country prepositions'!A:B, 2, 0) &amp; "" "" &amp; REGEXEXTRACT(C1133, ""🏘️ \w+ \w+ (.*) ✅"") ,  if(H1133=""quartier"",vlookup(REGEXEXTRACT(C1133, ""🏘️ \w+ \w+ (.*) ✅""),'Quartier prepositio"&amp;"ns'!A:E, 5, 0) ,  if(H1133=""region"",vlookup(REGEXEXTRACT(C1133, ""🏘️ \w+ \w+ (.*) ✅""),'Region prepositions'!B:F, 5, 0),  REGEXEXTRACT(C1133, ""🏘️ \w+ \w+ (.*) ✅""))))"),"Beuson (Nendaz)")</f>
        <v>Beuson (Nendaz)</v>
      </c>
      <c r="F1133" s="2" t="str">
        <f>IFERROR(__xludf.DUMMYFUNCTION("REGEXEXTRACT(C1133, ""🏘️ (\w+) \w+ .* ✅"")"),"Vendre")</f>
        <v>Vendre</v>
      </c>
      <c r="G1133" s="2" t="str">
        <f>IFERROR(__xludf.DUMMYFUNCTION("REGEXEXTRACT(C1133, ""🏘️ \w+ (\w+) .* ✅"")"),"maison")</f>
        <v>maison</v>
      </c>
      <c r="H1133" s="4" t="str">
        <f>IFERROR(__xludf.DUMMYFUNCTION("REGEXEXTRACT(A1133, ""/(\w+)-.*?"")"),"lieu")</f>
        <v>lieu</v>
      </c>
      <c r="I1133" s="4" t="str">
        <f>IFERROR(__xludf.DUMMYFUNCTION("if(D1133=""variant"",  substitute(filter(Templates!E:E, Templates!A:A = F1133, Templates!B:B = G1133, Templates!C:C = H1133), ""{{}}"", E1133), B1133)"),"🏘  Vous souhaitez acheter une maison à Beuson (Nendaz)? ✅ Jetez un œil aux dernières offres sur ImmoScout24.ch.")</f>
        <v>🏘  Vous souhaitez acheter une maison à Beuson (Nendaz)? ✅ Jetez un œil aux dernières offres sur ImmoScout24.ch.</v>
      </c>
      <c r="J1133" s="4" t="s">
        <v>3403</v>
      </c>
    </row>
    <row r="1134">
      <c r="A1134" s="5" t="s">
        <v>3404</v>
      </c>
      <c r="B1134" s="2" t="s">
        <v>3405</v>
      </c>
      <c r="C1134" s="4" t="str">
        <f>IFERROR(__xludf.DUMMYFUNCTION("""🏘️ ""&amp;REGEXEXTRACT(B1134, ""^(.*): "")&amp;"" ✅ "" &amp;REGEXEXTRACT(B1134, ""(Trouvez.*)"")"),"🏘️ Vendre appartement Rougemont ✅ Trouvez le bien immobilier qui correspond idéalement à vos désirs sur ImmoScout24 - La plateforme de l'immobilier en Suisse.")</f>
        <v>🏘️ Vendre appartement Rougemont ✅ Trouvez le bien immobilier qui correspond idéalement à vos désirs sur ImmoScout24 - La plateforme de l'immobilier en Suisse.</v>
      </c>
      <c r="D1134" s="4" t="str">
        <f>vlookup(A1134, Sheet2!D:E, 2, 0)</f>
        <v>variant</v>
      </c>
      <c r="E1134" s="4" t="str">
        <f>IFERROR(__xludf.DUMMYFUNCTION("if(H1134=""pays"",vlookup(REGEXEXTRACT(C1134, ""🏘️ \w+ \w+ (.*) ✅""),'Country prepositions'!A:B, 2, 0) &amp; "" "" &amp; REGEXEXTRACT(C1134, ""🏘️ \w+ \w+ (.*) ✅"") ,  if(H1134=""quartier"",vlookup(REGEXEXTRACT(C1134, ""🏘️ \w+ \w+ (.*) ✅""),'Quartier prepositio"&amp;"ns'!A:E, 5, 0) ,  if(H1134=""region"",vlookup(REGEXEXTRACT(C1134, ""🏘️ \w+ \w+ (.*) ✅""),'Region prepositions'!B:F, 5, 0),  REGEXEXTRACT(C1134, ""🏘️ \w+ \w+ (.*) ✅""))))"),"Rougemont")</f>
        <v>Rougemont</v>
      </c>
      <c r="F1134" s="2" t="str">
        <f>IFERROR(__xludf.DUMMYFUNCTION("REGEXEXTRACT(C1134, ""🏘️ (\w+) \w+ .* ✅"")"),"Vendre")</f>
        <v>Vendre</v>
      </c>
      <c r="G1134" s="2" t="str">
        <f>IFERROR(__xludf.DUMMYFUNCTION("REGEXEXTRACT(C1134, ""🏘️ \w+ (\w+) .* ✅"")"),"appartement")</f>
        <v>appartement</v>
      </c>
      <c r="H1134" s="4" t="str">
        <f>IFERROR(__xludf.DUMMYFUNCTION("REGEXEXTRACT(A1134, ""/(\w+)-.*?"")"),"lieu")</f>
        <v>lieu</v>
      </c>
      <c r="I1134" s="4" t="str">
        <f>IFERROR(__xludf.DUMMYFUNCTION("if(D1134=""variant"",  substitute(filter(Templates!E:E, Templates!A:A = F1134, Templates!B:B = G1134, Templates!C:C = H1134), ""{{}}"", E1134), B1134)"),"🏘  L’appartement de vos rêves se trouve sur ImmoScout24.ch ✅ Découvrez les dernières annonces de vente à Rougemont.")</f>
        <v>🏘  L’appartement de vos rêves se trouve sur ImmoScout24.ch ✅ Découvrez les dernières annonces de vente à Rougemont.</v>
      </c>
      <c r="J1134" s="4" t="s">
        <v>3406</v>
      </c>
    </row>
    <row r="1135">
      <c r="A1135" s="5" t="s">
        <v>3407</v>
      </c>
      <c r="B1135" s="2" t="s">
        <v>3408</v>
      </c>
      <c r="C1135" s="4" t="str">
        <f>IFERROR(__xludf.DUMMYFUNCTION("""🏘️ ""&amp;REGEXEXTRACT(B1135, ""^(.*): "")&amp;"" ✅ "" &amp;REGEXEXTRACT(B1135, ""(Trouvez.*)"")"),"🏘️ Vendre appartement Flanthey ✅ Trouvez le bien immobilier qui correspond idéalement à vos désirs sur ImmoScout24 - La plateforme de l'immobilier en Suisse.")</f>
        <v>🏘️ Vendre appartement Flanthey ✅ Trouvez le bien immobilier qui correspond idéalement à vos désirs sur ImmoScout24 - La plateforme de l'immobilier en Suisse.</v>
      </c>
      <c r="D1135" s="4" t="str">
        <f>vlookup(A1135, Sheet2!D:E, 2, 0)</f>
        <v>variant</v>
      </c>
      <c r="E1135" s="4" t="str">
        <f>IFERROR(__xludf.DUMMYFUNCTION("if(H1135=""pays"",vlookup(REGEXEXTRACT(C1135, ""🏘️ \w+ \w+ (.*) ✅""),'Country prepositions'!A:B, 2, 0) &amp; "" "" &amp; REGEXEXTRACT(C1135, ""🏘️ \w+ \w+ (.*) ✅"") ,  if(H1135=""quartier"",vlookup(REGEXEXTRACT(C1135, ""🏘️ \w+ \w+ (.*) ✅""),'Quartier prepositio"&amp;"ns'!A:E, 5, 0) ,  if(H1135=""region"",vlookup(REGEXEXTRACT(C1135, ""🏘️ \w+ \w+ (.*) ✅""),'Region prepositions'!B:F, 5, 0),  REGEXEXTRACT(C1135, ""🏘️ \w+ \w+ (.*) ✅""))))"),"Flanthey")</f>
        <v>Flanthey</v>
      </c>
      <c r="F1135" s="2" t="str">
        <f>IFERROR(__xludf.DUMMYFUNCTION("REGEXEXTRACT(C1135, ""🏘️ (\w+) \w+ .* ✅"")"),"Vendre")</f>
        <v>Vendre</v>
      </c>
      <c r="G1135" s="2" t="str">
        <f>IFERROR(__xludf.DUMMYFUNCTION("REGEXEXTRACT(C1135, ""🏘️ \w+ (\w+) .* ✅"")"),"appartement")</f>
        <v>appartement</v>
      </c>
      <c r="H1135" s="4" t="str">
        <f>IFERROR(__xludf.DUMMYFUNCTION("REGEXEXTRACT(A1135, ""/(\w+)-.*?"")"),"lieu")</f>
        <v>lieu</v>
      </c>
      <c r="I1135" s="4" t="str">
        <f>IFERROR(__xludf.DUMMYFUNCTION("if(D1135=""variant"",  substitute(filter(Templates!E:E, Templates!A:A = F1135, Templates!B:B = G1135, Templates!C:C = H1135), ""{{}}"", E1135), B1135)"),"🏘  L’appartement de vos rêves se trouve sur ImmoScout24.ch ✅ Découvrez les dernières annonces de vente à Flanthey.")</f>
        <v>🏘  L’appartement de vos rêves se trouve sur ImmoScout24.ch ✅ Découvrez les dernières annonces de vente à Flanthey.</v>
      </c>
      <c r="J1135" s="4" t="s">
        <v>3409</v>
      </c>
    </row>
    <row r="1136">
      <c r="A1136" s="5" t="s">
        <v>3410</v>
      </c>
      <c r="B1136" s="2" t="s">
        <v>3411</v>
      </c>
      <c r="C1136" s="4" t="str">
        <f>IFERROR(__xludf.DUMMYFUNCTION("""🏘️ ""&amp;REGEXEXTRACT(B1136, ""^(.*): "")&amp;"" ✅ "" &amp;REGEXEXTRACT(B1136, ""(Trouvez.*)"")"),"🏘️ Vendre appartement Blessens ✅ Trouvez le bien immobilier qui correspond idéalement à vos désirs sur ImmoScout24 - La plateforme de l'immobilier en Suisse.")</f>
        <v>🏘️ Vendre appartement Blessens ✅ Trouvez le bien immobilier qui correspond idéalement à vos désirs sur ImmoScout24 - La plateforme de l'immobilier en Suisse.</v>
      </c>
      <c r="D1136" s="4" t="str">
        <f>vlookup(A1136, Sheet2!D:E, 2, 0)</f>
        <v>variant</v>
      </c>
      <c r="E1136" s="4" t="str">
        <f>IFERROR(__xludf.DUMMYFUNCTION("if(H1136=""pays"",vlookup(REGEXEXTRACT(C1136, ""🏘️ \w+ \w+ (.*) ✅""),'Country prepositions'!A:B, 2, 0) &amp; "" "" &amp; REGEXEXTRACT(C1136, ""🏘️ \w+ \w+ (.*) ✅"") ,  if(H1136=""quartier"",vlookup(REGEXEXTRACT(C1136, ""🏘️ \w+ \w+ (.*) ✅""),'Quartier prepositio"&amp;"ns'!A:E, 5, 0) ,  if(H1136=""region"",vlookup(REGEXEXTRACT(C1136, ""🏘️ \w+ \w+ (.*) ✅""),'Region prepositions'!B:F, 5, 0),  REGEXEXTRACT(C1136, ""🏘️ \w+ \w+ (.*) ✅""))))"),"Blessens")</f>
        <v>Blessens</v>
      </c>
      <c r="F1136" s="2" t="str">
        <f>IFERROR(__xludf.DUMMYFUNCTION("REGEXEXTRACT(C1136, ""🏘️ (\w+) \w+ .* ✅"")"),"Vendre")</f>
        <v>Vendre</v>
      </c>
      <c r="G1136" s="2" t="str">
        <f>IFERROR(__xludf.DUMMYFUNCTION("REGEXEXTRACT(C1136, ""🏘️ \w+ (\w+) .* ✅"")"),"appartement")</f>
        <v>appartement</v>
      </c>
      <c r="H1136" s="4" t="str">
        <f>IFERROR(__xludf.DUMMYFUNCTION("REGEXEXTRACT(A1136, ""/(\w+)-.*?"")"),"lieu")</f>
        <v>lieu</v>
      </c>
      <c r="I1136" s="4" t="str">
        <f>IFERROR(__xludf.DUMMYFUNCTION("if(D1136=""variant"",  substitute(filter(Templates!E:E, Templates!A:A = F1136, Templates!B:B = G1136, Templates!C:C = H1136), ""{{}}"", E1136), B1136)"),"🏘  L’appartement de vos rêves se trouve sur ImmoScout24.ch ✅ Découvrez les dernières annonces de vente à Blessens.")</f>
        <v>🏘  L’appartement de vos rêves se trouve sur ImmoScout24.ch ✅ Découvrez les dernières annonces de vente à Blessens.</v>
      </c>
      <c r="J1136" s="4" t="s">
        <v>3412</v>
      </c>
    </row>
    <row r="1137">
      <c r="A1137" s="5" t="s">
        <v>3413</v>
      </c>
      <c r="B1137" s="2" t="s">
        <v>3414</v>
      </c>
      <c r="C1137" s="4" t="str">
        <f>IFERROR(__xludf.DUMMYFUNCTION("""🏘️ ""&amp;REGEXEXTRACT(B1137, ""^(.*): "")&amp;"" ✅ "" &amp;REGEXEXTRACT(B1137, ""(Trouvez.*)"")"),"🏘️ Louer appartement Essertes ✅ Trouvez le bien immobilier qui correspond idéalement à vos désirs sur ImmoScout24 - La plateforme de l'immobilier en Suisse.")</f>
        <v>🏘️ Louer appartement Essertes ✅ Trouvez le bien immobilier qui correspond idéalement à vos désirs sur ImmoScout24 - La plateforme de l'immobilier en Suisse.</v>
      </c>
      <c r="D1137" s="4" t="str">
        <f>vlookup(A1137, Sheet2!D:E, 2, 0)</f>
        <v>variant</v>
      </c>
      <c r="E1137" s="4" t="str">
        <f>IFERROR(__xludf.DUMMYFUNCTION("if(H1137=""pays"",vlookup(REGEXEXTRACT(C1137, ""🏘️ \w+ \w+ (.*) ✅""),'Country prepositions'!A:B, 2, 0) &amp; "" "" &amp; REGEXEXTRACT(C1137, ""🏘️ \w+ \w+ (.*) ✅"") ,  if(H1137=""quartier"",vlookup(REGEXEXTRACT(C1137, ""🏘️ \w+ \w+ (.*) ✅""),'Quartier prepositio"&amp;"ns'!A:E, 5, 0) ,  if(H1137=""region"",vlookup(REGEXEXTRACT(C1137, ""🏘️ \w+ \w+ (.*) ✅""),'Region prepositions'!B:F, 5, 0),  REGEXEXTRACT(C1137, ""🏘️ \w+ \w+ (.*) ✅""))))"),"Essertes")</f>
        <v>Essertes</v>
      </c>
      <c r="F1137" s="2" t="str">
        <f>IFERROR(__xludf.DUMMYFUNCTION("REGEXEXTRACT(C1137, ""🏘️ (\w+) \w+ .* ✅"")"),"Louer")</f>
        <v>Louer</v>
      </c>
      <c r="G1137" s="2" t="str">
        <f>IFERROR(__xludf.DUMMYFUNCTION("REGEXEXTRACT(C1137, ""🏘️ \w+ (\w+) .* ✅"")"),"appartement")</f>
        <v>appartement</v>
      </c>
      <c r="H1137" s="4" t="str">
        <f>IFERROR(__xludf.DUMMYFUNCTION("REGEXEXTRACT(A1137, ""/(\w+)-.*?"")"),"lieu")</f>
        <v>lieu</v>
      </c>
      <c r="I1137" s="4" t="str">
        <f>IFERROR(__xludf.DUMMYFUNCTION("if(D1137=""variant"",  substitute(filter(Templates!E:E, Templates!A:A = F1137, Templates!B:B = G1137, Templates!C:C = H1137), ""{{}}"", E1137), B1137)"),"🏘  Vous cherchez un appartement à louer à Essertes? ✅ Les annonces les plus actuelles sont sur ImmoScout24.ch.")</f>
        <v>🏘  Vous cherchez un appartement à louer à Essertes? ✅ Les annonces les plus actuelles sont sur ImmoScout24.ch.</v>
      </c>
      <c r="J1137" s="4" t="s">
        <v>3415</v>
      </c>
    </row>
    <row r="1138">
      <c r="A1138" s="5" t="s">
        <v>3416</v>
      </c>
      <c r="B1138" s="2" t="s">
        <v>3417</v>
      </c>
      <c r="C1138" s="4" t="str">
        <f>IFERROR(__xludf.DUMMYFUNCTION("""🏘️ ""&amp;REGEXEXTRACT(B1138, ""^(.*): "")&amp;"" ✅ "" &amp;REGEXEXTRACT(B1138, ""(Trouvez.*)"")"),"🏘️ Vendre appartement Apples ✅ Trouvez le bien immobilier qui correspond idéalement à vos désirs sur ImmoScout24 - La plateforme de l'immobilier en Suisse.")</f>
        <v>🏘️ Vendre appartement Apples ✅ Trouvez le bien immobilier qui correspond idéalement à vos désirs sur ImmoScout24 - La plateforme de l'immobilier en Suisse.</v>
      </c>
      <c r="D1138" s="4" t="str">
        <f>vlookup(A1138, Sheet2!D:E, 2, 0)</f>
        <v>variant</v>
      </c>
      <c r="E1138" s="4" t="str">
        <f>IFERROR(__xludf.DUMMYFUNCTION("if(H1138=""pays"",vlookup(REGEXEXTRACT(C1138, ""🏘️ \w+ \w+ (.*) ✅""),'Country prepositions'!A:B, 2, 0) &amp; "" "" &amp; REGEXEXTRACT(C1138, ""🏘️ \w+ \w+ (.*) ✅"") ,  if(H1138=""quartier"",vlookup(REGEXEXTRACT(C1138, ""🏘️ \w+ \w+ (.*) ✅""),'Quartier prepositio"&amp;"ns'!A:E, 5, 0) ,  if(H1138=""region"",vlookup(REGEXEXTRACT(C1138, ""🏘️ \w+ \w+ (.*) ✅""),'Region prepositions'!B:F, 5, 0),  REGEXEXTRACT(C1138, ""🏘️ \w+ \w+ (.*) ✅""))))"),"Apples")</f>
        <v>Apples</v>
      </c>
      <c r="F1138" s="2" t="str">
        <f>IFERROR(__xludf.DUMMYFUNCTION("REGEXEXTRACT(C1138, ""🏘️ (\w+) \w+ .* ✅"")"),"Vendre")</f>
        <v>Vendre</v>
      </c>
      <c r="G1138" s="2" t="str">
        <f>IFERROR(__xludf.DUMMYFUNCTION("REGEXEXTRACT(C1138, ""🏘️ \w+ (\w+) .* ✅"")"),"appartement")</f>
        <v>appartement</v>
      </c>
      <c r="H1138" s="4" t="str">
        <f>IFERROR(__xludf.DUMMYFUNCTION("REGEXEXTRACT(A1138, ""/(\w+)-.*?"")"),"lieu")</f>
        <v>lieu</v>
      </c>
      <c r="I1138" s="4" t="str">
        <f>IFERROR(__xludf.DUMMYFUNCTION("if(D1138=""variant"",  substitute(filter(Templates!E:E, Templates!A:A = F1138, Templates!B:B = G1138, Templates!C:C = H1138), ""{{}}"", E1138), B1138)"),"🏘  L’appartement de vos rêves se trouve sur ImmoScout24.ch ✅ Découvrez les dernières annonces de vente à Apples.")</f>
        <v>🏘  L’appartement de vos rêves se trouve sur ImmoScout24.ch ✅ Découvrez les dernières annonces de vente à Apples.</v>
      </c>
      <c r="J1138" s="4" t="s">
        <v>3418</v>
      </c>
    </row>
    <row r="1139">
      <c r="A1139" s="5" t="s">
        <v>3419</v>
      </c>
      <c r="B1139" s="2" t="s">
        <v>3420</v>
      </c>
      <c r="C1139" s="4" t="str">
        <f>IFERROR(__xludf.DUMMYFUNCTION("""🏘️ ""&amp;REGEXEXTRACT(B1139, ""^(.*): "")&amp;"" ✅ "" &amp;REGEXEXTRACT(B1139, ""(Trouvez.*)"")"),"🏘️ Louer appartement Seltisberg ✅ Trouvez le bien immobilier qui correspond idéalement à vos désirs sur ImmoScout24 - La plateforme de l'immobilier en Suisse.")</f>
        <v>🏘️ Louer appartement Seltisberg ✅ Trouvez le bien immobilier qui correspond idéalement à vos désirs sur ImmoScout24 - La plateforme de l'immobilier en Suisse.</v>
      </c>
      <c r="D1139" s="4" t="str">
        <f>vlookup(A1139, Sheet2!D:E, 2, 0)</f>
        <v>variant</v>
      </c>
      <c r="E1139" s="4" t="str">
        <f>IFERROR(__xludf.DUMMYFUNCTION("if(H1139=""pays"",vlookup(REGEXEXTRACT(C1139, ""🏘️ \w+ \w+ (.*) ✅""),'Country prepositions'!A:B, 2, 0) &amp; "" "" &amp; REGEXEXTRACT(C1139, ""🏘️ \w+ \w+ (.*) ✅"") ,  if(H1139=""quartier"",vlookup(REGEXEXTRACT(C1139, ""🏘️ \w+ \w+ (.*) ✅""),'Quartier prepositio"&amp;"ns'!A:E, 5, 0) ,  if(H1139=""region"",vlookup(REGEXEXTRACT(C1139, ""🏘️ \w+ \w+ (.*) ✅""),'Region prepositions'!B:F, 5, 0),  REGEXEXTRACT(C1139, ""🏘️ \w+ \w+ (.*) ✅""))))"),"Seltisberg")</f>
        <v>Seltisberg</v>
      </c>
      <c r="F1139" s="2" t="str">
        <f>IFERROR(__xludf.DUMMYFUNCTION("REGEXEXTRACT(C1139, ""🏘️ (\w+) \w+ .* ✅"")"),"Louer")</f>
        <v>Louer</v>
      </c>
      <c r="G1139" s="2" t="str">
        <f>IFERROR(__xludf.DUMMYFUNCTION("REGEXEXTRACT(C1139, ""🏘️ \w+ (\w+) .* ✅"")"),"appartement")</f>
        <v>appartement</v>
      </c>
      <c r="H1139" s="4" t="str">
        <f>IFERROR(__xludf.DUMMYFUNCTION("REGEXEXTRACT(A1139, ""/(\w+)-.*?"")"),"lieu")</f>
        <v>lieu</v>
      </c>
      <c r="I1139" s="4" t="str">
        <f>IFERROR(__xludf.DUMMYFUNCTION("if(D1139=""variant"",  substitute(filter(Templates!E:E, Templates!A:A = F1139, Templates!B:B = G1139, Templates!C:C = H1139), ""{{}}"", E1139), B1139)"),"🏘  Vous cherchez un appartement à louer à Seltisberg? ✅ Les annonces les plus actuelles sont sur ImmoScout24.ch.")</f>
        <v>🏘  Vous cherchez un appartement à louer à Seltisberg? ✅ Les annonces les plus actuelles sont sur ImmoScout24.ch.</v>
      </c>
      <c r="J1139" s="4" t="s">
        <v>3421</v>
      </c>
    </row>
    <row r="1140">
      <c r="A1140" s="5" t="s">
        <v>3422</v>
      </c>
      <c r="B1140" s="2" t="s">
        <v>3423</v>
      </c>
      <c r="C1140" s="4" t="str">
        <f>IFERROR(__xludf.DUMMYFUNCTION("""🏘️ ""&amp;REGEXEXTRACT(B1140, ""^(.*): "")&amp;"" ✅ "" &amp;REGEXEXTRACT(B1140, ""(Trouvez.*)"")"),"🏘️ Vendre maison Montbrelloz ✅ Trouvez le bien immobilier qui correspond idéalement à vos désirs sur ImmoScout24 - La plateforme de l'immobilier en Suisse.")</f>
        <v>🏘️ Vendre maison Montbrelloz ✅ Trouvez le bien immobilier qui correspond idéalement à vos désirs sur ImmoScout24 - La plateforme de l'immobilier en Suisse.</v>
      </c>
      <c r="D1140" s="4" t="str">
        <f>vlookup(A1140, Sheet2!D:E, 2, 0)</f>
        <v>variant</v>
      </c>
      <c r="E1140" s="4" t="str">
        <f>IFERROR(__xludf.DUMMYFUNCTION("if(H1140=""pays"",vlookup(REGEXEXTRACT(C1140, ""🏘️ \w+ \w+ (.*) ✅""),'Country prepositions'!A:B, 2, 0) &amp; "" "" &amp; REGEXEXTRACT(C1140, ""🏘️ \w+ \w+ (.*) ✅"") ,  if(H1140=""quartier"",vlookup(REGEXEXTRACT(C1140, ""🏘️ \w+ \w+ (.*) ✅""),'Quartier prepositio"&amp;"ns'!A:E, 5, 0) ,  if(H1140=""region"",vlookup(REGEXEXTRACT(C1140, ""🏘️ \w+ \w+ (.*) ✅""),'Region prepositions'!B:F, 5, 0),  REGEXEXTRACT(C1140, ""🏘️ \w+ \w+ (.*) ✅""))))"),"Montbrelloz")</f>
        <v>Montbrelloz</v>
      </c>
      <c r="F1140" s="2" t="str">
        <f>IFERROR(__xludf.DUMMYFUNCTION("REGEXEXTRACT(C1140, ""🏘️ (\w+) \w+ .* ✅"")"),"Vendre")</f>
        <v>Vendre</v>
      </c>
      <c r="G1140" s="2" t="str">
        <f>IFERROR(__xludf.DUMMYFUNCTION("REGEXEXTRACT(C1140, ""🏘️ \w+ (\w+) .* ✅"")"),"maison")</f>
        <v>maison</v>
      </c>
      <c r="H1140" s="4" t="str">
        <f>IFERROR(__xludf.DUMMYFUNCTION("REGEXEXTRACT(A1140, ""/(\w+)-.*?"")"),"lieu")</f>
        <v>lieu</v>
      </c>
      <c r="I1140" s="4" t="str">
        <f>IFERROR(__xludf.DUMMYFUNCTION("if(D1140=""variant"",  substitute(filter(Templates!E:E, Templates!A:A = F1140, Templates!B:B = G1140, Templates!C:C = H1140), ""{{}}"", E1140), B1140)"),"🏘  Vous souhaitez acheter une maison à Montbrelloz? ✅ Jetez un œil aux dernières offres sur ImmoScout24.ch.")</f>
        <v>🏘  Vous souhaitez acheter une maison à Montbrelloz? ✅ Jetez un œil aux dernières offres sur ImmoScout24.ch.</v>
      </c>
      <c r="J1140" s="4" t="s">
        <v>3424</v>
      </c>
    </row>
    <row r="1141">
      <c r="A1141" s="5" t="s">
        <v>3425</v>
      </c>
      <c r="B1141" s="2" t="s">
        <v>3426</v>
      </c>
      <c r="C1141" s="4" t="str">
        <f>IFERROR(__xludf.DUMMYFUNCTION("""🏘️ ""&amp;REGEXEXTRACT(B1141, ""^(.*): "")&amp;"" ✅ "" &amp;REGEXEXTRACT(B1141, ""(Trouvez.*)"")"),"🏘️ Vendre maison Maracon ✅ Trouvez le bien immobilier qui correspond idéalement à vos désirs sur ImmoScout24 - La plateforme de l'immobilier en Suisse.")</f>
        <v>🏘️ Vendre maison Maracon ✅ Trouvez le bien immobilier qui correspond idéalement à vos désirs sur ImmoScout24 - La plateforme de l'immobilier en Suisse.</v>
      </c>
      <c r="D1141" s="4" t="str">
        <f>vlookup(A1141, Sheet2!D:E, 2, 0)</f>
        <v>variant</v>
      </c>
      <c r="E1141" s="4" t="str">
        <f>IFERROR(__xludf.DUMMYFUNCTION("if(H1141=""pays"",vlookup(REGEXEXTRACT(C1141, ""🏘️ \w+ \w+ (.*) ✅""),'Country prepositions'!A:B, 2, 0) &amp; "" "" &amp; REGEXEXTRACT(C1141, ""🏘️ \w+ \w+ (.*) ✅"") ,  if(H1141=""quartier"",vlookup(REGEXEXTRACT(C1141, ""🏘️ \w+ \w+ (.*) ✅""),'Quartier prepositio"&amp;"ns'!A:E, 5, 0) ,  if(H1141=""region"",vlookup(REGEXEXTRACT(C1141, ""🏘️ \w+ \w+ (.*) ✅""),'Region prepositions'!B:F, 5, 0),  REGEXEXTRACT(C1141, ""🏘️ \w+ \w+ (.*) ✅""))))"),"Maracon")</f>
        <v>Maracon</v>
      </c>
      <c r="F1141" s="2" t="str">
        <f>IFERROR(__xludf.DUMMYFUNCTION("REGEXEXTRACT(C1141, ""🏘️ (\w+) \w+ .* ✅"")"),"Vendre")</f>
        <v>Vendre</v>
      </c>
      <c r="G1141" s="2" t="str">
        <f>IFERROR(__xludf.DUMMYFUNCTION("REGEXEXTRACT(C1141, ""🏘️ \w+ (\w+) .* ✅"")"),"maison")</f>
        <v>maison</v>
      </c>
      <c r="H1141" s="4" t="str">
        <f>IFERROR(__xludf.DUMMYFUNCTION("REGEXEXTRACT(A1141, ""/(\w+)-.*?"")"),"lieu")</f>
        <v>lieu</v>
      </c>
      <c r="I1141" s="4" t="str">
        <f>IFERROR(__xludf.DUMMYFUNCTION("if(D1141=""variant"",  substitute(filter(Templates!E:E, Templates!A:A = F1141, Templates!B:B = G1141, Templates!C:C = H1141), ""{{}}"", E1141), B1141)"),"🏘  Vous souhaitez acheter une maison à Maracon? ✅ Jetez un œil aux dernières offres sur ImmoScout24.ch.")</f>
        <v>🏘  Vous souhaitez acheter une maison à Maracon? ✅ Jetez un œil aux dernières offres sur ImmoScout24.ch.</v>
      </c>
      <c r="J1141" s="4" t="s">
        <v>3427</v>
      </c>
    </row>
    <row r="1142">
      <c r="A1142" s="5" t="s">
        <v>3428</v>
      </c>
      <c r="B1142" s="2" t="s">
        <v>3429</v>
      </c>
      <c r="C1142" s="4" t="str">
        <f>IFERROR(__xludf.DUMMYFUNCTION("""🏘️ ""&amp;REGEXEXTRACT(B1142, ""^(.*): "")&amp;"" ✅ "" &amp;REGEXEXTRACT(B1142, ""(Trouvez.*)"")"),"🏘️ Louer appartement Valeyres-sous-Rances ✅ Trouvez le bien immobilier qui correspond idéalement à vos désirs sur ImmoScout24 - La plateforme de l'immobilier en Suisse.")</f>
        <v>🏘️ Louer appartement Valeyres-sous-Rances ✅ Trouvez le bien immobilier qui correspond idéalement à vos désirs sur ImmoScout24 - La plateforme de l'immobilier en Suisse.</v>
      </c>
      <c r="D1142" s="4" t="str">
        <f>vlookup(A1142, Sheet2!D:E, 2, 0)</f>
        <v>variant</v>
      </c>
      <c r="E1142" s="4" t="str">
        <f>IFERROR(__xludf.DUMMYFUNCTION("if(H1142=""pays"",vlookup(REGEXEXTRACT(C1142, ""🏘️ \w+ \w+ (.*) ✅""),'Country prepositions'!A:B, 2, 0) &amp; "" "" &amp; REGEXEXTRACT(C1142, ""🏘️ \w+ \w+ (.*) ✅"") ,  if(H1142=""quartier"",vlookup(REGEXEXTRACT(C1142, ""🏘️ \w+ \w+ (.*) ✅""),'Quartier prepositio"&amp;"ns'!A:E, 5, 0) ,  if(H1142=""region"",vlookup(REGEXEXTRACT(C1142, ""🏘️ \w+ \w+ (.*) ✅""),'Region prepositions'!B:F, 5, 0),  REGEXEXTRACT(C1142, ""🏘️ \w+ \w+ (.*) ✅""))))"),"Valeyres-sous-Rances")</f>
        <v>Valeyres-sous-Rances</v>
      </c>
      <c r="F1142" s="2" t="str">
        <f>IFERROR(__xludf.DUMMYFUNCTION("REGEXEXTRACT(C1142, ""🏘️ (\w+) \w+ .* ✅"")"),"Louer")</f>
        <v>Louer</v>
      </c>
      <c r="G1142" s="2" t="str">
        <f>IFERROR(__xludf.DUMMYFUNCTION("REGEXEXTRACT(C1142, ""🏘️ \w+ (\w+) .* ✅"")"),"appartement")</f>
        <v>appartement</v>
      </c>
      <c r="H1142" s="4" t="str">
        <f>IFERROR(__xludf.DUMMYFUNCTION("REGEXEXTRACT(A1142, ""/(\w+)-.*?"")"),"lieu")</f>
        <v>lieu</v>
      </c>
      <c r="I1142" s="4" t="str">
        <f>IFERROR(__xludf.DUMMYFUNCTION("if(D1142=""variant"",  substitute(filter(Templates!E:E, Templates!A:A = F1142, Templates!B:B = G1142, Templates!C:C = H1142), ""{{}}"", E1142), B1142)"),"🏘  Vous cherchez un appartement à louer à Valeyres-sous-Rances? ✅ Les annonces les plus actuelles sont sur ImmoScout24.ch.")</f>
        <v>🏘  Vous cherchez un appartement à louer à Valeyres-sous-Rances? ✅ Les annonces les plus actuelles sont sur ImmoScout24.ch.</v>
      </c>
      <c r="J1142" s="4" t="s">
        <v>3430</v>
      </c>
    </row>
    <row r="1143">
      <c r="A1143" s="5" t="s">
        <v>3431</v>
      </c>
      <c r="B1143" s="2" t="s">
        <v>3432</v>
      </c>
      <c r="C1143" s="4" t="str">
        <f>IFERROR(__xludf.DUMMYFUNCTION("""🏘️ ""&amp;REGEXEXTRACT(B1143, ""^(.*): "")&amp;"" ✅ "" &amp;REGEXEXTRACT(B1143, ""(Trouvez.*)"")"),"🏘️ Vendre appartement Vernate ✅ Trouvez le bien immobilier qui correspond idéalement à vos désirs sur ImmoScout24 - La plateforme de l'immobilier en Suisse.")</f>
        <v>🏘️ Vendre appartement Vernate ✅ Trouvez le bien immobilier qui correspond idéalement à vos désirs sur ImmoScout24 - La plateforme de l'immobilier en Suisse.</v>
      </c>
      <c r="D1143" s="4" t="str">
        <f>vlookup(A1143, Sheet2!D:E, 2, 0)</f>
        <v>variant</v>
      </c>
      <c r="E1143" s="4" t="str">
        <f>IFERROR(__xludf.DUMMYFUNCTION("if(H1143=""pays"",vlookup(REGEXEXTRACT(C1143, ""🏘️ \w+ \w+ (.*) ✅""),'Country prepositions'!A:B, 2, 0) &amp; "" "" &amp; REGEXEXTRACT(C1143, ""🏘️ \w+ \w+ (.*) ✅"") ,  if(H1143=""quartier"",vlookup(REGEXEXTRACT(C1143, ""🏘️ \w+ \w+ (.*) ✅""),'Quartier prepositio"&amp;"ns'!A:E, 5, 0) ,  if(H1143=""region"",vlookup(REGEXEXTRACT(C1143, ""🏘️ \w+ \w+ (.*) ✅""),'Region prepositions'!B:F, 5, 0),  REGEXEXTRACT(C1143, ""🏘️ \w+ \w+ (.*) ✅""))))"),"Vernate")</f>
        <v>Vernate</v>
      </c>
      <c r="F1143" s="2" t="str">
        <f>IFERROR(__xludf.DUMMYFUNCTION("REGEXEXTRACT(C1143, ""🏘️ (\w+) \w+ .* ✅"")"),"Vendre")</f>
        <v>Vendre</v>
      </c>
      <c r="G1143" s="2" t="str">
        <f>IFERROR(__xludf.DUMMYFUNCTION("REGEXEXTRACT(C1143, ""🏘️ \w+ (\w+) .* ✅"")"),"appartement")</f>
        <v>appartement</v>
      </c>
      <c r="H1143" s="4" t="str">
        <f>IFERROR(__xludf.DUMMYFUNCTION("REGEXEXTRACT(A1143, ""/(\w+)-.*?"")"),"lieu")</f>
        <v>lieu</v>
      </c>
      <c r="I1143" s="4" t="str">
        <f>IFERROR(__xludf.DUMMYFUNCTION("if(D1143=""variant"",  substitute(filter(Templates!E:E, Templates!A:A = F1143, Templates!B:B = G1143, Templates!C:C = H1143), ""{{}}"", E1143), B1143)"),"🏘  L’appartement de vos rêves se trouve sur ImmoScout24.ch ✅ Découvrez les dernières annonces de vente à Vernate.")</f>
        <v>🏘  L’appartement de vos rêves se trouve sur ImmoScout24.ch ✅ Découvrez les dernières annonces de vente à Vernate.</v>
      </c>
      <c r="J1143" s="4" t="s">
        <v>3433</v>
      </c>
    </row>
    <row r="1144">
      <c r="A1144" s="5" t="s">
        <v>3434</v>
      </c>
      <c r="B1144" s="2" t="s">
        <v>3435</v>
      </c>
      <c r="C1144" s="4" t="str">
        <f>IFERROR(__xludf.DUMMYFUNCTION("""🏘️ ""&amp;REGEXEXTRACT(B1144, ""^(.*): "")&amp;"" ✅ "" &amp;REGEXEXTRACT(B1144, ""(Trouvez.*)"")"),"🏘️ Louer appartement Biel-Benken BL ✅ Trouvez le bien immobilier qui correspond idéalement à vos désirs sur ImmoScout24 - La plateforme de l'immobilier en Suisse.")</f>
        <v>🏘️ Louer appartement Biel-Benken BL ✅ Trouvez le bien immobilier qui correspond idéalement à vos désirs sur ImmoScout24 - La plateforme de l'immobilier en Suisse.</v>
      </c>
      <c r="D1144" s="4" t="str">
        <f>vlookup(A1144, Sheet2!D:E, 2, 0)</f>
        <v>variant</v>
      </c>
      <c r="E1144" s="4" t="str">
        <f>IFERROR(__xludf.DUMMYFUNCTION("if(H1144=""pays"",vlookup(REGEXEXTRACT(C1144, ""🏘️ \w+ \w+ (.*) ✅""),'Country prepositions'!A:B, 2, 0) &amp; "" "" &amp; REGEXEXTRACT(C1144, ""🏘️ \w+ \w+ (.*) ✅"") ,  if(H1144=""quartier"",vlookup(REGEXEXTRACT(C1144, ""🏘️ \w+ \w+ (.*) ✅""),'Quartier prepositio"&amp;"ns'!A:E, 5, 0) ,  if(H1144=""region"",vlookup(REGEXEXTRACT(C1144, ""🏘️ \w+ \w+ (.*) ✅""),'Region prepositions'!B:F, 5, 0),  REGEXEXTRACT(C1144, ""🏘️ \w+ \w+ (.*) ✅""))))"),"Biel-Benken BL")</f>
        <v>Biel-Benken BL</v>
      </c>
      <c r="F1144" s="2" t="str">
        <f>IFERROR(__xludf.DUMMYFUNCTION("REGEXEXTRACT(C1144, ""🏘️ (\w+) \w+ .* ✅"")"),"Louer")</f>
        <v>Louer</v>
      </c>
      <c r="G1144" s="2" t="str">
        <f>IFERROR(__xludf.DUMMYFUNCTION("REGEXEXTRACT(C1144, ""🏘️ \w+ (\w+) .* ✅"")"),"appartement")</f>
        <v>appartement</v>
      </c>
      <c r="H1144" s="4" t="str">
        <f>IFERROR(__xludf.DUMMYFUNCTION("REGEXEXTRACT(A1144, ""/(\w+)-.*?"")"),"lieu")</f>
        <v>lieu</v>
      </c>
      <c r="I1144" s="4" t="str">
        <f>IFERROR(__xludf.DUMMYFUNCTION("if(D1144=""variant"",  substitute(filter(Templates!E:E, Templates!A:A = F1144, Templates!B:B = G1144, Templates!C:C = H1144), ""{{}}"", E1144), B1144)"),"🏘  Vous cherchez un appartement à louer à Biel-Benken BL? ✅ Les annonces les plus actuelles sont sur ImmoScout24.ch.")</f>
        <v>🏘  Vous cherchez un appartement à louer à Biel-Benken BL? ✅ Les annonces les plus actuelles sont sur ImmoScout24.ch.</v>
      </c>
      <c r="J1144" s="4" t="s">
        <v>3436</v>
      </c>
    </row>
    <row r="1145">
      <c r="A1145" s="5" t="s">
        <v>3437</v>
      </c>
      <c r="B1145" s="2" t="s">
        <v>3438</v>
      </c>
      <c r="C1145" s="4" t="str">
        <f>IFERROR(__xludf.DUMMYFUNCTION("""🏘️ ""&amp;REGEXEXTRACT(B1145, ""^(.*): "")&amp;"" ✅ "" &amp;REGEXEXTRACT(B1145, ""(Trouvez.*)"")"),"🏘️ Vendre maison Wädenswil ✅ Trouvez le bien immobilier qui correspond idéalement à vos désirs sur ImmoScout24 - La plateforme de l'immobilier en Suisse.")</f>
        <v>🏘️ Vendre maison Wädenswil ✅ Trouvez le bien immobilier qui correspond idéalement à vos désirs sur ImmoScout24 - La plateforme de l'immobilier en Suisse.</v>
      </c>
      <c r="D1145" s="4" t="str">
        <f>vlookup(A1145, Sheet2!D:E, 2, 0)</f>
        <v>variant</v>
      </c>
      <c r="E1145" s="4" t="str">
        <f>IFERROR(__xludf.DUMMYFUNCTION("if(H1145=""pays"",vlookup(REGEXEXTRACT(C1145, ""🏘️ \w+ \w+ (.*) ✅""),'Country prepositions'!A:B, 2, 0) &amp; "" "" &amp; REGEXEXTRACT(C1145, ""🏘️ \w+ \w+ (.*) ✅"") ,  if(H1145=""quartier"",vlookup(REGEXEXTRACT(C1145, ""🏘️ \w+ \w+ (.*) ✅""),'Quartier prepositio"&amp;"ns'!A:E, 5, 0) ,  if(H1145=""region"",vlookup(REGEXEXTRACT(C1145, ""🏘️ \w+ \w+ (.*) ✅""),'Region prepositions'!B:F, 5, 0),  REGEXEXTRACT(C1145, ""🏘️ \w+ \w+ (.*) ✅""))))"),"Wädenswil")</f>
        <v>Wädenswil</v>
      </c>
      <c r="F1145" s="2" t="str">
        <f>IFERROR(__xludf.DUMMYFUNCTION("REGEXEXTRACT(C1145, ""🏘️ (\w+) \w+ .* ✅"")"),"Vendre")</f>
        <v>Vendre</v>
      </c>
      <c r="G1145" s="2" t="str">
        <f>IFERROR(__xludf.DUMMYFUNCTION("REGEXEXTRACT(C1145, ""🏘️ \w+ (\w+) .* ✅"")"),"maison")</f>
        <v>maison</v>
      </c>
      <c r="H1145" s="4" t="str">
        <f>IFERROR(__xludf.DUMMYFUNCTION("REGEXEXTRACT(A1145, ""/(\w+)-.*?"")"),"lieu")</f>
        <v>lieu</v>
      </c>
      <c r="I1145" s="4" t="str">
        <f>IFERROR(__xludf.DUMMYFUNCTION("if(D1145=""variant"",  substitute(filter(Templates!E:E, Templates!A:A = F1145, Templates!B:B = G1145, Templates!C:C = H1145), ""{{}}"", E1145), B1145)"),"🏘  Vous souhaitez acheter une maison à Wädenswil? ✅ Jetez un œil aux dernières offres sur ImmoScout24.ch.")</f>
        <v>🏘  Vous souhaitez acheter une maison à Wädenswil? ✅ Jetez un œil aux dernières offres sur ImmoScout24.ch.</v>
      </c>
      <c r="J1145" s="4" t="s">
        <v>3439</v>
      </c>
    </row>
    <row r="1146">
      <c r="A1146" s="5" t="s">
        <v>3440</v>
      </c>
      <c r="B1146" s="2" t="s">
        <v>3441</v>
      </c>
      <c r="C1146" s="4" t="str">
        <f>IFERROR(__xludf.DUMMYFUNCTION("""🏘️ ""&amp;REGEXEXTRACT(B1146, ""^(.*): "")&amp;"" ✅ "" &amp;REGEXEXTRACT(B1146, ""(Trouvez.*)"")"),"🏘️ Louer appartement Delémont ✅ Trouvez le bien immobilier qui correspond idéalement à vos désirs sur ImmoScout24 - La plateforme de l'immobilier en Suisse.")</f>
        <v>🏘️ Louer appartement Delémont ✅ Trouvez le bien immobilier qui correspond idéalement à vos désirs sur ImmoScout24 - La plateforme de l'immobilier en Suisse.</v>
      </c>
      <c r="D1146" s="4" t="str">
        <f>vlookup(A1146, Sheet2!D:E, 2, 0)</f>
        <v>variant</v>
      </c>
      <c r="E1146" s="4" t="str">
        <f>IFERROR(__xludf.DUMMYFUNCTION("if(H1146=""pays"",vlookup(REGEXEXTRACT(C1146, ""🏘️ \w+ \w+ (.*) ✅""),'Country prepositions'!A:B, 2, 0) &amp; "" "" &amp; REGEXEXTRACT(C1146, ""🏘️ \w+ \w+ (.*) ✅"") ,  if(H1146=""quartier"",vlookup(REGEXEXTRACT(C1146, ""🏘️ \w+ \w+ (.*) ✅""),'Quartier prepositio"&amp;"ns'!A:E, 5, 0) ,  if(H1146=""region"",vlookup(REGEXEXTRACT(C1146, ""🏘️ \w+ \w+ (.*) ✅""),'Region prepositions'!B:F, 5, 0),  REGEXEXTRACT(C1146, ""🏘️ \w+ \w+ (.*) ✅""))))"),"Delémont")</f>
        <v>Delémont</v>
      </c>
      <c r="F1146" s="2" t="str">
        <f>IFERROR(__xludf.DUMMYFUNCTION("REGEXEXTRACT(C1146, ""🏘️ (\w+) \w+ .* ✅"")"),"Louer")</f>
        <v>Louer</v>
      </c>
      <c r="G1146" s="2" t="str">
        <f>IFERROR(__xludf.DUMMYFUNCTION("REGEXEXTRACT(C1146, ""🏘️ \w+ (\w+) .* ✅"")"),"appartement")</f>
        <v>appartement</v>
      </c>
      <c r="H1146" s="4" t="str">
        <f>IFERROR(__xludf.DUMMYFUNCTION("REGEXEXTRACT(A1146, ""/(\w+)-.*?"")"),"lieu")</f>
        <v>lieu</v>
      </c>
      <c r="I1146" s="4" t="str">
        <f>IFERROR(__xludf.DUMMYFUNCTION("if(D1146=""variant"",  substitute(filter(Templates!E:E, Templates!A:A = F1146, Templates!B:B = G1146, Templates!C:C = H1146), ""{{}}"", E1146), B1146)"),"🏘  Vous cherchez un appartement à louer à Delémont? ✅ Les annonces les plus actuelles sont sur ImmoScout24.ch.")</f>
        <v>🏘  Vous cherchez un appartement à louer à Delémont? ✅ Les annonces les plus actuelles sont sur ImmoScout24.ch.</v>
      </c>
      <c r="J1146" s="4" t="s">
        <v>3442</v>
      </c>
    </row>
    <row r="1147">
      <c r="A1147" s="5" t="s">
        <v>3443</v>
      </c>
      <c r="B1147" s="2" t="s">
        <v>3444</v>
      </c>
      <c r="C1147" s="4" t="str">
        <f>IFERROR(__xludf.DUMMYFUNCTION("""🏘️ ""&amp;REGEXEXTRACT(B1147, ""^(.*): "")&amp;"" ✅ "" &amp;REGEXEXTRACT(B1147, ""(Trouvez.*)"")"),"🏘️ Vendre maison Bottighofen ✅ Trouvez le bien immobilier qui correspond idéalement à vos désirs sur ImmoScout24 - La plateforme de l'immobilier en Suisse.")</f>
        <v>🏘️ Vendre maison Bottighofen ✅ Trouvez le bien immobilier qui correspond idéalement à vos désirs sur ImmoScout24 - La plateforme de l'immobilier en Suisse.</v>
      </c>
      <c r="D1147" s="4" t="str">
        <f>vlookup(A1147, Sheet2!D:E, 2, 0)</f>
        <v>variant</v>
      </c>
      <c r="E1147" s="4" t="str">
        <f>IFERROR(__xludf.DUMMYFUNCTION("if(H1147=""pays"",vlookup(REGEXEXTRACT(C1147, ""🏘️ \w+ \w+ (.*) ✅""),'Country prepositions'!A:B, 2, 0) &amp; "" "" &amp; REGEXEXTRACT(C1147, ""🏘️ \w+ \w+ (.*) ✅"") ,  if(H1147=""quartier"",vlookup(REGEXEXTRACT(C1147, ""🏘️ \w+ \w+ (.*) ✅""),'Quartier prepositio"&amp;"ns'!A:E, 5, 0) ,  if(H1147=""region"",vlookup(REGEXEXTRACT(C1147, ""🏘️ \w+ \w+ (.*) ✅""),'Region prepositions'!B:F, 5, 0),  REGEXEXTRACT(C1147, ""🏘️ \w+ \w+ (.*) ✅""))))"),"Bottighofen")</f>
        <v>Bottighofen</v>
      </c>
      <c r="F1147" s="2" t="str">
        <f>IFERROR(__xludf.DUMMYFUNCTION("REGEXEXTRACT(C1147, ""🏘️ (\w+) \w+ .* ✅"")"),"Vendre")</f>
        <v>Vendre</v>
      </c>
      <c r="G1147" s="2" t="str">
        <f>IFERROR(__xludf.DUMMYFUNCTION("REGEXEXTRACT(C1147, ""🏘️ \w+ (\w+) .* ✅"")"),"maison")</f>
        <v>maison</v>
      </c>
      <c r="H1147" s="4" t="str">
        <f>IFERROR(__xludf.DUMMYFUNCTION("REGEXEXTRACT(A1147, ""/(\w+)-.*?"")"),"lieu")</f>
        <v>lieu</v>
      </c>
      <c r="I1147" s="4" t="str">
        <f>IFERROR(__xludf.DUMMYFUNCTION("if(D1147=""variant"",  substitute(filter(Templates!E:E, Templates!A:A = F1147, Templates!B:B = G1147, Templates!C:C = H1147), ""{{}}"", E1147), B1147)"),"🏘  Vous souhaitez acheter une maison à Bottighofen? ✅ Jetez un œil aux dernières offres sur ImmoScout24.ch.")</f>
        <v>🏘  Vous souhaitez acheter une maison à Bottighofen? ✅ Jetez un œil aux dernières offres sur ImmoScout24.ch.</v>
      </c>
      <c r="J1147" s="4" t="s">
        <v>3445</v>
      </c>
    </row>
    <row r="1148">
      <c r="A1148" s="5" t="s">
        <v>3446</v>
      </c>
      <c r="B1148" s="2" t="s">
        <v>3447</v>
      </c>
      <c r="C1148" s="4" t="str">
        <f>IFERROR(__xludf.DUMMYFUNCTION("""🏘️ ""&amp;REGEXEXTRACT(B1148, ""^(.*): "")&amp;"" ✅ "" &amp;REGEXEXTRACT(B1148, ""(Trouvez.*)"")"),"🏘️ Louer appartement Zimmerwald ✅ Trouvez le bien immobilier qui correspond idéalement à vos désirs sur ImmoScout24 - La plateforme de l'immobilier en Suisse.")</f>
        <v>🏘️ Louer appartement Zimmerwald ✅ Trouvez le bien immobilier qui correspond idéalement à vos désirs sur ImmoScout24 - La plateforme de l'immobilier en Suisse.</v>
      </c>
      <c r="D1148" s="4" t="str">
        <f>vlookup(A1148, Sheet2!D:E, 2, 0)</f>
        <v>variant</v>
      </c>
      <c r="E1148" s="4" t="str">
        <f>IFERROR(__xludf.DUMMYFUNCTION("if(H1148=""pays"",vlookup(REGEXEXTRACT(C1148, ""🏘️ \w+ \w+ (.*) ✅""),'Country prepositions'!A:B, 2, 0) &amp; "" "" &amp; REGEXEXTRACT(C1148, ""🏘️ \w+ \w+ (.*) ✅"") ,  if(H1148=""quartier"",vlookup(REGEXEXTRACT(C1148, ""🏘️ \w+ \w+ (.*) ✅""),'Quartier prepositio"&amp;"ns'!A:E, 5, 0) ,  if(H1148=""region"",vlookup(REGEXEXTRACT(C1148, ""🏘️ \w+ \w+ (.*) ✅""),'Region prepositions'!B:F, 5, 0),  REGEXEXTRACT(C1148, ""🏘️ \w+ \w+ (.*) ✅""))))"),"Zimmerwald")</f>
        <v>Zimmerwald</v>
      </c>
      <c r="F1148" s="2" t="str">
        <f>IFERROR(__xludf.DUMMYFUNCTION("REGEXEXTRACT(C1148, ""🏘️ (\w+) \w+ .* ✅"")"),"Louer")</f>
        <v>Louer</v>
      </c>
      <c r="G1148" s="2" t="str">
        <f>IFERROR(__xludf.DUMMYFUNCTION("REGEXEXTRACT(C1148, ""🏘️ \w+ (\w+) .* ✅"")"),"appartement")</f>
        <v>appartement</v>
      </c>
      <c r="H1148" s="4" t="str">
        <f>IFERROR(__xludf.DUMMYFUNCTION("REGEXEXTRACT(A1148, ""/(\w+)-.*?"")"),"lieu")</f>
        <v>lieu</v>
      </c>
      <c r="I1148" s="4" t="str">
        <f>IFERROR(__xludf.DUMMYFUNCTION("if(D1148=""variant"",  substitute(filter(Templates!E:E, Templates!A:A = F1148, Templates!B:B = G1148, Templates!C:C = H1148), ""{{}}"", E1148), B1148)"),"🏘  Vous cherchez un appartement à louer à Zimmerwald? ✅ Les annonces les plus actuelles sont sur ImmoScout24.ch.")</f>
        <v>🏘  Vous cherchez un appartement à louer à Zimmerwald? ✅ Les annonces les plus actuelles sont sur ImmoScout24.ch.</v>
      </c>
      <c r="J1148" s="4" t="s">
        <v>3448</v>
      </c>
    </row>
    <row r="1149">
      <c r="A1149" s="5" t="s">
        <v>3449</v>
      </c>
      <c r="B1149" s="2" t="s">
        <v>3450</v>
      </c>
      <c r="C1149" s="4" t="str">
        <f>IFERROR(__xludf.DUMMYFUNCTION("""🏘️ ""&amp;REGEXEXTRACT(B1149, ""^(.*): "")&amp;"" ✅ "" &amp;REGEXEXTRACT(B1149, ""(Trouvez.*)"")"),"🏘️ Louer maison Ins ✅ Trouvez le bien immobilier qui correspond idéalement à vos désirs sur ImmoScout24 - La plateforme de l'immobilier en Suisse.")</f>
        <v>🏘️ Louer maison Ins ✅ Trouvez le bien immobilier qui correspond idéalement à vos désirs sur ImmoScout24 - La plateforme de l'immobilier en Suisse.</v>
      </c>
      <c r="D1149" s="4" t="str">
        <f>vlookup(A1149, Sheet2!D:E, 2, 0)</f>
        <v>variant</v>
      </c>
      <c r="E1149" s="4" t="str">
        <f>IFERROR(__xludf.DUMMYFUNCTION("if(H1149=""pays"",vlookup(REGEXEXTRACT(C1149, ""🏘️ \w+ \w+ (.*) ✅""),'Country prepositions'!A:B, 2, 0) &amp; "" "" &amp; REGEXEXTRACT(C1149, ""🏘️ \w+ \w+ (.*) ✅"") ,  if(H1149=""quartier"",vlookup(REGEXEXTRACT(C1149, ""🏘️ \w+ \w+ (.*) ✅""),'Quartier prepositio"&amp;"ns'!A:E, 5, 0) ,  if(H1149=""region"",vlookup(REGEXEXTRACT(C1149, ""🏘️ \w+ \w+ (.*) ✅""),'Region prepositions'!B:F, 5, 0),  REGEXEXTRACT(C1149, ""🏘️ \w+ \w+ (.*) ✅""))))"),"Ins")</f>
        <v>Ins</v>
      </c>
      <c r="F1149" s="2" t="str">
        <f>IFERROR(__xludf.DUMMYFUNCTION("REGEXEXTRACT(C1149, ""🏘️ (\w+) \w+ .* ✅"")"),"Louer")</f>
        <v>Louer</v>
      </c>
      <c r="G1149" s="2" t="str">
        <f>IFERROR(__xludf.DUMMYFUNCTION("REGEXEXTRACT(C1149, ""🏘️ \w+ (\w+) .* ✅"")"),"maison")</f>
        <v>maison</v>
      </c>
      <c r="H1149" s="4" t="str">
        <f>IFERROR(__xludf.DUMMYFUNCTION("REGEXEXTRACT(A1149, ""/(\w+)-.*?"")"),"lieu")</f>
        <v>lieu</v>
      </c>
      <c r="I1149" s="4" t="str">
        <f>IFERROR(__xludf.DUMMYFUNCTION("if(D1149=""variant"",  substitute(filter(Templates!E:E, Templates!A:A = F1149, Templates!B:B = G1149, Templates!C:C = H1149), ""{{}}"", E1149), B1149)"),"🏘  Vous cherchez une maison à louer à Ins? ✅ Découvrez nos nombreuses annonces sur ImmoScout24.ch.")</f>
        <v>🏘  Vous cherchez une maison à louer à Ins? ✅ Découvrez nos nombreuses annonces sur ImmoScout24.ch.</v>
      </c>
      <c r="J1149" s="4" t="s">
        <v>3451</v>
      </c>
    </row>
    <row r="1150">
      <c r="A1150" s="5" t="s">
        <v>3452</v>
      </c>
      <c r="B1150" s="2" t="s">
        <v>3453</v>
      </c>
      <c r="C1150" s="4" t="str">
        <f>IFERROR(__xludf.DUMMYFUNCTION("""🏘️ ""&amp;REGEXEXTRACT(B1150, ""^(.*): "")&amp;"" ✅ "" &amp;REGEXEXTRACT(B1150, ""(Trouvez.*)"")"),"🏘️ Louer maison Cheseaux-sur-Lausanne ✅ Trouvez le bien immobilier qui correspond idéalement à vos désirs sur ImmoScout24 - La plateforme de l'immobilier en Suisse.")</f>
        <v>🏘️ Louer maison Cheseaux-sur-Lausanne ✅ Trouvez le bien immobilier qui correspond idéalement à vos désirs sur ImmoScout24 - La plateforme de l'immobilier en Suisse.</v>
      </c>
      <c r="D1150" s="4" t="str">
        <f>vlookup(A1150, Sheet2!D:E, 2, 0)</f>
        <v>variant</v>
      </c>
      <c r="E1150" s="4" t="str">
        <f>IFERROR(__xludf.DUMMYFUNCTION("if(H1150=""pays"",vlookup(REGEXEXTRACT(C1150, ""🏘️ \w+ \w+ (.*) ✅""),'Country prepositions'!A:B, 2, 0) &amp; "" "" &amp; REGEXEXTRACT(C1150, ""🏘️ \w+ \w+ (.*) ✅"") ,  if(H1150=""quartier"",vlookup(REGEXEXTRACT(C1150, ""🏘️ \w+ \w+ (.*) ✅""),'Quartier prepositio"&amp;"ns'!A:E, 5, 0) ,  if(H1150=""region"",vlookup(REGEXEXTRACT(C1150, ""🏘️ \w+ \w+ (.*) ✅""),'Region prepositions'!B:F, 5, 0),  REGEXEXTRACT(C1150, ""🏘️ \w+ \w+ (.*) ✅""))))"),"Cheseaux-sur-Lausanne")</f>
        <v>Cheseaux-sur-Lausanne</v>
      </c>
      <c r="F1150" s="2" t="str">
        <f>IFERROR(__xludf.DUMMYFUNCTION("REGEXEXTRACT(C1150, ""🏘️ (\w+) \w+ .* ✅"")"),"Louer")</f>
        <v>Louer</v>
      </c>
      <c r="G1150" s="2" t="str">
        <f>IFERROR(__xludf.DUMMYFUNCTION("REGEXEXTRACT(C1150, ""🏘️ \w+ (\w+) .* ✅"")"),"maison")</f>
        <v>maison</v>
      </c>
      <c r="H1150" s="4" t="str">
        <f>IFERROR(__xludf.DUMMYFUNCTION("REGEXEXTRACT(A1150, ""/(\w+)-.*?"")"),"lieu")</f>
        <v>lieu</v>
      </c>
      <c r="I1150" s="4" t="str">
        <f>IFERROR(__xludf.DUMMYFUNCTION("if(D1150=""variant"",  substitute(filter(Templates!E:E, Templates!A:A = F1150, Templates!B:B = G1150, Templates!C:C = H1150), ""{{}}"", E1150), B1150)"),"🏘  Vous cherchez une maison à louer à Cheseaux-sur-Lausanne? ✅ Découvrez nos nombreuses annonces sur ImmoScout24.ch.")</f>
        <v>🏘  Vous cherchez une maison à louer à Cheseaux-sur-Lausanne? ✅ Découvrez nos nombreuses annonces sur ImmoScout24.ch.</v>
      </c>
      <c r="J1150" s="4" t="s">
        <v>3454</v>
      </c>
    </row>
    <row r="1151">
      <c r="A1151" s="5" t="s">
        <v>3455</v>
      </c>
      <c r="B1151" s="2" t="s">
        <v>3456</v>
      </c>
      <c r="C1151" s="4" t="str">
        <f>IFERROR(__xludf.DUMMYFUNCTION("""🏘️ ""&amp;REGEXEXTRACT(B1151, ""^(.*): "")&amp;"" ✅ "" &amp;REGEXEXTRACT(B1151, ""(Trouvez.*)"")"),"🏘️ Vendre maison Riva San Vitale ✅ Trouvez le bien immobilier qui correspond idéalement à vos désirs sur ImmoScout24 - La plateforme de l'immobilier en Suisse.")</f>
        <v>🏘️ Vendre maison Riva San Vitale ✅ Trouvez le bien immobilier qui correspond idéalement à vos désirs sur ImmoScout24 - La plateforme de l'immobilier en Suisse.</v>
      </c>
      <c r="D1151" s="4" t="str">
        <f>vlookup(A1151, Sheet2!D:E, 2, 0)</f>
        <v>variant</v>
      </c>
      <c r="E1151" s="4" t="str">
        <f>IFERROR(__xludf.DUMMYFUNCTION("if(H1151=""pays"",vlookup(REGEXEXTRACT(C1151, ""🏘️ \w+ \w+ (.*) ✅""),'Country prepositions'!A:B, 2, 0) &amp; "" "" &amp; REGEXEXTRACT(C1151, ""🏘️ \w+ \w+ (.*) ✅"") ,  if(H1151=""quartier"",vlookup(REGEXEXTRACT(C1151, ""🏘️ \w+ \w+ (.*) ✅""),'Quartier prepositio"&amp;"ns'!A:E, 5, 0) ,  if(H1151=""region"",vlookup(REGEXEXTRACT(C1151, ""🏘️ \w+ \w+ (.*) ✅""),'Region prepositions'!B:F, 5, 0),  REGEXEXTRACT(C1151, ""🏘️ \w+ \w+ (.*) ✅""))))"),"Riva San Vitale")</f>
        <v>Riva San Vitale</v>
      </c>
      <c r="F1151" s="2" t="str">
        <f>IFERROR(__xludf.DUMMYFUNCTION("REGEXEXTRACT(C1151, ""🏘️ (\w+) \w+ .* ✅"")"),"Vendre")</f>
        <v>Vendre</v>
      </c>
      <c r="G1151" s="2" t="str">
        <f>IFERROR(__xludf.DUMMYFUNCTION("REGEXEXTRACT(C1151, ""🏘️ \w+ (\w+) .* ✅"")"),"maison")</f>
        <v>maison</v>
      </c>
      <c r="H1151" s="4" t="str">
        <f>IFERROR(__xludf.DUMMYFUNCTION("REGEXEXTRACT(A1151, ""/(\w+)-.*?"")"),"lieu")</f>
        <v>lieu</v>
      </c>
      <c r="I1151" s="4" t="str">
        <f>IFERROR(__xludf.DUMMYFUNCTION("if(D1151=""variant"",  substitute(filter(Templates!E:E, Templates!A:A = F1151, Templates!B:B = G1151, Templates!C:C = H1151), ""{{}}"", E1151), B1151)"),"🏘  Vous souhaitez acheter une maison à Riva San Vitale? ✅ Jetez un œil aux dernières offres sur ImmoScout24.ch.")</f>
        <v>🏘  Vous souhaitez acheter une maison à Riva San Vitale? ✅ Jetez un œil aux dernières offres sur ImmoScout24.ch.</v>
      </c>
      <c r="J1151" s="4" t="s">
        <v>3457</v>
      </c>
    </row>
    <row r="1152">
      <c r="A1152" s="5" t="s">
        <v>3458</v>
      </c>
      <c r="B1152" s="2" t="s">
        <v>3459</v>
      </c>
      <c r="C1152" s="4" t="str">
        <f>IFERROR(__xludf.DUMMYFUNCTION("""🏘️ ""&amp;REGEXEXTRACT(B1152, ""^(.*): "")&amp;"" ✅ "" &amp;REGEXEXTRACT(B1152, ""(Trouvez.*)"")"),"🏘️ Louer appartement Fornet-Dessus ✅ Trouvez le bien immobilier qui correspond idéalement à vos désirs sur ImmoScout24 - La plateforme de l'immobilier en Suisse.")</f>
        <v>🏘️ Louer appartement Fornet-Dessus ✅ Trouvez le bien immobilier qui correspond idéalement à vos désirs sur ImmoScout24 - La plateforme de l'immobilier en Suisse.</v>
      </c>
      <c r="D1152" s="4" t="str">
        <f>vlookup(A1152, Sheet2!D:E, 2, 0)</f>
        <v>variant</v>
      </c>
      <c r="E1152" s="4" t="str">
        <f>IFERROR(__xludf.DUMMYFUNCTION("if(H1152=""pays"",vlookup(REGEXEXTRACT(C1152, ""🏘️ \w+ \w+ (.*) ✅""),'Country prepositions'!A:B, 2, 0) &amp; "" "" &amp; REGEXEXTRACT(C1152, ""🏘️ \w+ \w+ (.*) ✅"") ,  if(H1152=""quartier"",vlookup(REGEXEXTRACT(C1152, ""🏘️ \w+ \w+ (.*) ✅""),'Quartier prepositio"&amp;"ns'!A:E, 5, 0) ,  if(H1152=""region"",vlookup(REGEXEXTRACT(C1152, ""🏘️ \w+ \w+ (.*) ✅""),'Region prepositions'!B:F, 5, 0),  REGEXEXTRACT(C1152, ""🏘️ \w+ \w+ (.*) ✅""))))"),"Fornet-Dessus")</f>
        <v>Fornet-Dessus</v>
      </c>
      <c r="F1152" s="2" t="str">
        <f>IFERROR(__xludf.DUMMYFUNCTION("REGEXEXTRACT(C1152, ""🏘️ (\w+) \w+ .* ✅"")"),"Louer")</f>
        <v>Louer</v>
      </c>
      <c r="G1152" s="2" t="str">
        <f>IFERROR(__xludf.DUMMYFUNCTION("REGEXEXTRACT(C1152, ""🏘️ \w+ (\w+) .* ✅"")"),"appartement")</f>
        <v>appartement</v>
      </c>
      <c r="H1152" s="4" t="str">
        <f>IFERROR(__xludf.DUMMYFUNCTION("REGEXEXTRACT(A1152, ""/(\w+)-.*?"")"),"lieu")</f>
        <v>lieu</v>
      </c>
      <c r="I1152" s="4" t="str">
        <f>IFERROR(__xludf.DUMMYFUNCTION("if(D1152=""variant"",  substitute(filter(Templates!E:E, Templates!A:A = F1152, Templates!B:B = G1152, Templates!C:C = H1152), ""{{}}"", E1152), B1152)"),"🏘  Vous cherchez un appartement à louer à Fornet-Dessus? ✅ Les annonces les plus actuelles sont sur ImmoScout24.ch.")</f>
        <v>🏘  Vous cherchez un appartement à louer à Fornet-Dessus? ✅ Les annonces les plus actuelles sont sur ImmoScout24.ch.</v>
      </c>
      <c r="J1152" s="4" t="s">
        <v>3460</v>
      </c>
    </row>
    <row r="1153">
      <c r="A1153" s="5" t="s">
        <v>3461</v>
      </c>
      <c r="B1153" s="2" t="s">
        <v>3462</v>
      </c>
      <c r="C1153" s="4" t="str">
        <f>IFERROR(__xludf.DUMMYFUNCTION("""🏘️ ""&amp;REGEXEXTRACT(B1153, ""^(.*): "")&amp;"" ✅ "" &amp;REGEXEXTRACT(B1153, ""(Trouvez.*)"")"),"🏘️ Louer maison Peseux ✅ Trouvez le bien immobilier qui correspond idéalement à vos désirs sur ImmoScout24 - La plateforme de l'immobilier en Suisse.")</f>
        <v>🏘️ Louer maison Peseux ✅ Trouvez le bien immobilier qui correspond idéalement à vos désirs sur ImmoScout24 - La plateforme de l'immobilier en Suisse.</v>
      </c>
      <c r="D1153" s="4" t="str">
        <f>vlookup(A1153, Sheet2!D:E, 2, 0)</f>
        <v>variant</v>
      </c>
      <c r="E1153" s="4" t="str">
        <f>IFERROR(__xludf.DUMMYFUNCTION("if(H1153=""pays"",vlookup(REGEXEXTRACT(C1153, ""🏘️ \w+ \w+ (.*) ✅""),'Country prepositions'!A:B, 2, 0) &amp; "" "" &amp; REGEXEXTRACT(C1153, ""🏘️ \w+ \w+ (.*) ✅"") ,  if(H1153=""quartier"",vlookup(REGEXEXTRACT(C1153, ""🏘️ \w+ \w+ (.*) ✅""),'Quartier prepositio"&amp;"ns'!A:E, 5, 0) ,  if(H1153=""region"",vlookup(REGEXEXTRACT(C1153, ""🏘️ \w+ \w+ (.*) ✅""),'Region prepositions'!B:F, 5, 0),  REGEXEXTRACT(C1153, ""🏘️ \w+ \w+ (.*) ✅""))))"),"Peseux")</f>
        <v>Peseux</v>
      </c>
      <c r="F1153" s="2" t="str">
        <f>IFERROR(__xludf.DUMMYFUNCTION("REGEXEXTRACT(C1153, ""🏘️ (\w+) \w+ .* ✅"")"),"Louer")</f>
        <v>Louer</v>
      </c>
      <c r="G1153" s="2" t="str">
        <f>IFERROR(__xludf.DUMMYFUNCTION("REGEXEXTRACT(C1153, ""🏘️ \w+ (\w+) .* ✅"")"),"maison")</f>
        <v>maison</v>
      </c>
      <c r="H1153" s="4" t="str">
        <f>IFERROR(__xludf.DUMMYFUNCTION("REGEXEXTRACT(A1153, ""/(\w+)-.*?"")"),"lieu")</f>
        <v>lieu</v>
      </c>
      <c r="I1153" s="4" t="str">
        <f>IFERROR(__xludf.DUMMYFUNCTION("if(D1153=""variant"",  substitute(filter(Templates!E:E, Templates!A:A = F1153, Templates!B:B = G1153, Templates!C:C = H1153), ""{{}}"", E1153), B1153)"),"🏘  Vous cherchez une maison à louer à Peseux? ✅ Découvrez nos nombreuses annonces sur ImmoScout24.ch.")</f>
        <v>🏘  Vous cherchez une maison à louer à Peseux? ✅ Découvrez nos nombreuses annonces sur ImmoScout24.ch.</v>
      </c>
      <c r="J1153" s="4" t="s">
        <v>3463</v>
      </c>
    </row>
    <row r="1154">
      <c r="A1154" s="5" t="s">
        <v>3464</v>
      </c>
      <c r="B1154" s="2" t="s">
        <v>3465</v>
      </c>
      <c r="C1154" s="4" t="str">
        <f>IFERROR(__xludf.DUMMYFUNCTION("""🏘️ ""&amp;REGEXEXTRACT(B1154, ""^(.*): "")&amp;"" ✅ "" &amp;REGEXEXTRACT(B1154, ""(Trouvez.*)"")"),"🏘️ Vendre maison Jaun ✅ Trouvez le bien immobilier qui correspond idéalement à vos désirs sur ImmoScout24 - La plateforme de l'immobilier en Suisse.")</f>
        <v>🏘️ Vendre maison Jaun ✅ Trouvez le bien immobilier qui correspond idéalement à vos désirs sur ImmoScout24 - La plateforme de l'immobilier en Suisse.</v>
      </c>
      <c r="D1154" s="4" t="str">
        <f>vlookup(A1154, Sheet2!D:E, 2, 0)</f>
        <v>variant</v>
      </c>
      <c r="E1154" s="4" t="str">
        <f>IFERROR(__xludf.DUMMYFUNCTION("if(H1154=""pays"",vlookup(REGEXEXTRACT(C1154, ""🏘️ \w+ \w+ (.*) ✅""),'Country prepositions'!A:B, 2, 0) &amp; "" "" &amp; REGEXEXTRACT(C1154, ""🏘️ \w+ \w+ (.*) ✅"") ,  if(H1154=""quartier"",vlookup(REGEXEXTRACT(C1154, ""🏘️ \w+ \w+ (.*) ✅""),'Quartier prepositio"&amp;"ns'!A:E, 5, 0) ,  if(H1154=""region"",vlookup(REGEXEXTRACT(C1154, ""🏘️ \w+ \w+ (.*) ✅""),'Region prepositions'!B:F, 5, 0),  REGEXEXTRACT(C1154, ""🏘️ \w+ \w+ (.*) ✅""))))"),"Jaun")</f>
        <v>Jaun</v>
      </c>
      <c r="F1154" s="2" t="str">
        <f>IFERROR(__xludf.DUMMYFUNCTION("REGEXEXTRACT(C1154, ""🏘️ (\w+) \w+ .* ✅"")"),"Vendre")</f>
        <v>Vendre</v>
      </c>
      <c r="G1154" s="2" t="str">
        <f>IFERROR(__xludf.DUMMYFUNCTION("REGEXEXTRACT(C1154, ""🏘️ \w+ (\w+) .* ✅"")"),"maison")</f>
        <v>maison</v>
      </c>
      <c r="H1154" s="4" t="str">
        <f>IFERROR(__xludf.DUMMYFUNCTION("REGEXEXTRACT(A1154, ""/(\w+)-.*?"")"),"lieu")</f>
        <v>lieu</v>
      </c>
      <c r="I1154" s="4" t="str">
        <f>IFERROR(__xludf.DUMMYFUNCTION("if(D1154=""variant"",  substitute(filter(Templates!E:E, Templates!A:A = F1154, Templates!B:B = G1154, Templates!C:C = H1154), ""{{}}"", E1154), B1154)"),"🏘  Vous souhaitez acheter une maison à Jaun? ✅ Jetez un œil aux dernières offres sur ImmoScout24.ch.")</f>
        <v>🏘  Vous souhaitez acheter une maison à Jaun? ✅ Jetez un œil aux dernières offres sur ImmoScout24.ch.</v>
      </c>
      <c r="J1154" s="4" t="s">
        <v>3466</v>
      </c>
    </row>
    <row r="1155">
      <c r="A1155" s="5" t="s">
        <v>3467</v>
      </c>
      <c r="B1155" s="2" t="s">
        <v>3468</v>
      </c>
      <c r="C1155" s="4" t="str">
        <f>IFERROR(__xludf.DUMMYFUNCTION("""🏘️ ""&amp;REGEXEXTRACT(B1155, ""^(.*): "")&amp;"" ✅ "" &amp;REGEXEXTRACT(B1155, ""(Trouvez.*)"")"),"🏘️ Louer appartement Sion - Sierre et environs ✅ Trouvez le bien immobilier qui correspond idéalement à vos désirs sur ImmoScout24 - La plateforme de l'immobilier en Suisse.")</f>
        <v>🏘️ Louer appartement Sion - Sierre et environs ✅ Trouvez le bien immobilier qui correspond idéalement à vos désirs sur ImmoScout24 - La plateforme de l'immobilier en Suisse.</v>
      </c>
      <c r="D1155" s="4" t="str">
        <f>vlookup(A1155, Sheet2!D:E, 2, 0)</f>
        <v>variant</v>
      </c>
      <c r="E1155" s="4" t="str">
        <f>IFERROR(__xludf.DUMMYFUNCTION("if(H1155=""pays"",vlookup(REGEXEXTRACT(C1155, ""🏘️ \w+ \w+ (.*) ✅""),'Country prepositions'!A:B, 2, 0) &amp; "" "" &amp; REGEXEXTRACT(C1155, ""🏘️ \w+ \w+ (.*) ✅"") ,  if(H1155=""quartier"",vlookup(REGEXEXTRACT(C1155, ""🏘️ \w+ \w+ (.*) ✅""),'Quartier prepositio"&amp;"ns'!A:E, 5, 0) ,  if(H1155=""region"",vlookup(REGEXEXTRACT(C1155, ""🏘️ \w+ \w+ (.*) ✅""),'Region prepositions'!B:F, 5, 0),  REGEXEXTRACT(C1155, ""🏘️ \w+ \w+ (.*) ✅""))))"),"à Sion - Sierre et environs")</f>
        <v>à Sion - Sierre et environs</v>
      </c>
      <c r="F1155" s="2" t="str">
        <f>IFERROR(__xludf.DUMMYFUNCTION("REGEXEXTRACT(C1155, ""🏘️ (\w+) \w+ .* ✅"")"),"Louer")</f>
        <v>Louer</v>
      </c>
      <c r="G1155" s="2" t="str">
        <f>IFERROR(__xludf.DUMMYFUNCTION("REGEXEXTRACT(C1155, ""🏘️ \w+ (\w+) .* ✅"")"),"appartement")</f>
        <v>appartement</v>
      </c>
      <c r="H1155" s="4" t="str">
        <f>IFERROR(__xludf.DUMMYFUNCTION("REGEXEXTRACT(A1155, ""/(\w+)-.*?"")"),"region")</f>
        <v>region</v>
      </c>
      <c r="I1155" s="4" t="str">
        <f>IFERROR(__xludf.DUMMYFUNCTION("if(D1155=""variant"",  substitute(filter(Templates!E:E, Templates!A:A = F1155, Templates!B:B = G1155, Templates!C:C = H1155), ""{{}}"", E1155), B1155)"),"🏘  Vous cherchez un appartement à louer à Sion - Sierre et environs? ✅ Les annonces les plus actuelles sont sur ImmoScout24.ch.")</f>
        <v>🏘  Vous cherchez un appartement à louer à Sion - Sierre et environs? ✅ Les annonces les plus actuelles sont sur ImmoScout24.ch.</v>
      </c>
      <c r="J1155" s="4" t="s">
        <v>3469</v>
      </c>
    </row>
    <row r="1156">
      <c r="A1156" s="5" t="s">
        <v>3470</v>
      </c>
      <c r="B1156" s="2" t="s">
        <v>3471</v>
      </c>
      <c r="C1156" s="4" t="str">
        <f>IFERROR(__xludf.DUMMYFUNCTION("""🏘️ ""&amp;REGEXEXTRACT(B1156, ""^(.*): "")&amp;"" ✅ "" &amp;REGEXEXTRACT(B1156, ""(Trouvez.*)"")"),"🏘️ Vendre maison Billens ✅ Trouvez le bien immobilier qui correspond idéalement à vos désirs sur ImmoScout24 - La plateforme de l'immobilier en Suisse.")</f>
        <v>🏘️ Vendre maison Billens ✅ Trouvez le bien immobilier qui correspond idéalement à vos désirs sur ImmoScout24 - La plateforme de l'immobilier en Suisse.</v>
      </c>
      <c r="D1156" s="4" t="str">
        <f>vlookup(A1156, Sheet2!D:E, 2, 0)</f>
        <v>variant</v>
      </c>
      <c r="E1156" s="4" t="str">
        <f>IFERROR(__xludf.DUMMYFUNCTION("if(H1156=""pays"",vlookup(REGEXEXTRACT(C1156, ""🏘️ \w+ \w+ (.*) ✅""),'Country prepositions'!A:B, 2, 0) &amp; "" "" &amp; REGEXEXTRACT(C1156, ""🏘️ \w+ \w+ (.*) ✅"") ,  if(H1156=""quartier"",vlookup(REGEXEXTRACT(C1156, ""🏘️ \w+ \w+ (.*) ✅""),'Quartier prepositio"&amp;"ns'!A:E, 5, 0) ,  if(H1156=""region"",vlookup(REGEXEXTRACT(C1156, ""🏘️ \w+ \w+ (.*) ✅""),'Region prepositions'!B:F, 5, 0),  REGEXEXTRACT(C1156, ""🏘️ \w+ \w+ (.*) ✅""))))"),"Billens")</f>
        <v>Billens</v>
      </c>
      <c r="F1156" s="2" t="str">
        <f>IFERROR(__xludf.DUMMYFUNCTION("REGEXEXTRACT(C1156, ""🏘️ (\w+) \w+ .* ✅"")"),"Vendre")</f>
        <v>Vendre</v>
      </c>
      <c r="G1156" s="2" t="str">
        <f>IFERROR(__xludf.DUMMYFUNCTION("REGEXEXTRACT(C1156, ""🏘️ \w+ (\w+) .* ✅"")"),"maison")</f>
        <v>maison</v>
      </c>
      <c r="H1156" s="4" t="str">
        <f>IFERROR(__xludf.DUMMYFUNCTION("REGEXEXTRACT(A1156, ""/(\w+)-.*?"")"),"lieu")</f>
        <v>lieu</v>
      </c>
      <c r="I1156" s="4" t="str">
        <f>IFERROR(__xludf.DUMMYFUNCTION("if(D1156=""variant"",  substitute(filter(Templates!E:E, Templates!A:A = F1156, Templates!B:B = G1156, Templates!C:C = H1156), ""{{}}"", E1156), B1156)"),"🏘  Vous souhaitez acheter une maison à Billens? ✅ Jetez un œil aux dernières offres sur ImmoScout24.ch.")</f>
        <v>🏘  Vous souhaitez acheter une maison à Billens? ✅ Jetez un œil aux dernières offres sur ImmoScout24.ch.</v>
      </c>
      <c r="J1156" s="4" t="s">
        <v>3472</v>
      </c>
    </row>
    <row r="1157">
      <c r="A1157" s="5" t="s">
        <v>3473</v>
      </c>
      <c r="B1157" s="2" t="s">
        <v>3474</v>
      </c>
      <c r="C1157" s="4" t="str">
        <f>IFERROR(__xludf.DUMMYFUNCTION("""🏘️ ""&amp;REGEXEXTRACT(B1157, ""^(.*): "")&amp;"" ✅ "" &amp;REGEXEXTRACT(B1157, ""(Trouvez.*)"")"),"🏘️ Vendre maison La Tanne ✅ Trouvez le bien immobilier qui correspond idéalement à vos désirs sur ImmoScout24 - La plateforme de l'immobilier en Suisse.")</f>
        <v>🏘️ Vendre maison La Tanne ✅ Trouvez le bien immobilier qui correspond idéalement à vos désirs sur ImmoScout24 - La plateforme de l'immobilier en Suisse.</v>
      </c>
      <c r="D1157" s="4" t="str">
        <f>vlookup(A1157, Sheet2!D:E, 2, 0)</f>
        <v>variant</v>
      </c>
      <c r="E1157" s="4" t="str">
        <f>IFERROR(__xludf.DUMMYFUNCTION("if(H1157=""pays"",vlookup(REGEXEXTRACT(C1157, ""🏘️ \w+ \w+ (.*) ✅""),'Country prepositions'!A:B, 2, 0) &amp; "" "" &amp; REGEXEXTRACT(C1157, ""🏘️ \w+ \w+ (.*) ✅"") ,  if(H1157=""quartier"",vlookup(REGEXEXTRACT(C1157, ""🏘️ \w+ \w+ (.*) ✅""),'Quartier prepositio"&amp;"ns'!A:E, 5, 0) ,  if(H1157=""region"",vlookup(REGEXEXTRACT(C1157, ""🏘️ \w+ \w+ (.*) ✅""),'Region prepositions'!B:F, 5, 0),  REGEXEXTRACT(C1157, ""🏘️ \w+ \w+ (.*) ✅""))))"),"La Tanne")</f>
        <v>La Tanne</v>
      </c>
      <c r="F1157" s="2" t="str">
        <f>IFERROR(__xludf.DUMMYFUNCTION("REGEXEXTRACT(C1157, ""🏘️ (\w+) \w+ .* ✅"")"),"Vendre")</f>
        <v>Vendre</v>
      </c>
      <c r="G1157" s="2" t="str">
        <f>IFERROR(__xludf.DUMMYFUNCTION("REGEXEXTRACT(C1157, ""🏘️ \w+ (\w+) .* ✅"")"),"maison")</f>
        <v>maison</v>
      </c>
      <c r="H1157" s="4" t="str">
        <f>IFERROR(__xludf.DUMMYFUNCTION("REGEXEXTRACT(A1157, ""/(\w+)-.*?"")"),"lieu")</f>
        <v>lieu</v>
      </c>
      <c r="I1157" s="4" t="str">
        <f>IFERROR(__xludf.DUMMYFUNCTION("if(D1157=""variant"",  substitute(filter(Templates!E:E, Templates!A:A = F1157, Templates!B:B = G1157, Templates!C:C = H1157), ""{{}}"", E1157), B1157)"),"🏘  Vous souhaitez acheter une maison à La Tanne? ✅ Jetez un œil aux dernières offres sur ImmoScout24.ch.")</f>
        <v>🏘  Vous souhaitez acheter une maison à La Tanne? ✅ Jetez un œil aux dernières offres sur ImmoScout24.ch.</v>
      </c>
      <c r="J1157" s="4" t="s">
        <v>3475</v>
      </c>
    </row>
    <row r="1158">
      <c r="A1158" s="5" t="s">
        <v>3476</v>
      </c>
      <c r="B1158" s="2" t="s">
        <v>3477</v>
      </c>
      <c r="C1158" s="4" t="str">
        <f>IFERROR(__xludf.DUMMYFUNCTION("""🏘️ ""&amp;REGEXEXTRACT(B1158, ""^(.*): "")&amp;"" ✅ "" &amp;REGEXEXTRACT(B1158, ""(Trouvez.*)"")"),"🏘️ Louer appartement Egerkingen ✅ Trouvez le bien immobilier qui correspond idéalement à vos désirs sur ImmoScout24 - La plateforme de l'immobilier en Suisse.")</f>
        <v>🏘️ Louer appartement Egerkingen ✅ Trouvez le bien immobilier qui correspond idéalement à vos désirs sur ImmoScout24 - La plateforme de l'immobilier en Suisse.</v>
      </c>
      <c r="D1158" s="4" t="str">
        <f>vlookup(A1158, Sheet2!D:E, 2, 0)</f>
        <v>variant</v>
      </c>
      <c r="E1158" s="4" t="str">
        <f>IFERROR(__xludf.DUMMYFUNCTION("if(H1158=""pays"",vlookup(REGEXEXTRACT(C1158, ""🏘️ \w+ \w+ (.*) ✅""),'Country prepositions'!A:B, 2, 0) &amp; "" "" &amp; REGEXEXTRACT(C1158, ""🏘️ \w+ \w+ (.*) ✅"") ,  if(H1158=""quartier"",vlookup(REGEXEXTRACT(C1158, ""🏘️ \w+ \w+ (.*) ✅""),'Quartier prepositio"&amp;"ns'!A:E, 5, 0) ,  if(H1158=""region"",vlookup(REGEXEXTRACT(C1158, ""🏘️ \w+ \w+ (.*) ✅""),'Region prepositions'!B:F, 5, 0),  REGEXEXTRACT(C1158, ""🏘️ \w+ \w+ (.*) ✅""))))"),"Egerkingen")</f>
        <v>Egerkingen</v>
      </c>
      <c r="F1158" s="2" t="str">
        <f>IFERROR(__xludf.DUMMYFUNCTION("REGEXEXTRACT(C1158, ""🏘️ (\w+) \w+ .* ✅"")"),"Louer")</f>
        <v>Louer</v>
      </c>
      <c r="G1158" s="2" t="str">
        <f>IFERROR(__xludf.DUMMYFUNCTION("REGEXEXTRACT(C1158, ""🏘️ \w+ (\w+) .* ✅"")"),"appartement")</f>
        <v>appartement</v>
      </c>
      <c r="H1158" s="4" t="str">
        <f>IFERROR(__xludf.DUMMYFUNCTION("REGEXEXTRACT(A1158, ""/(\w+)-.*?"")"),"lieu")</f>
        <v>lieu</v>
      </c>
      <c r="I1158" s="4" t="str">
        <f>IFERROR(__xludf.DUMMYFUNCTION("if(D1158=""variant"",  substitute(filter(Templates!E:E, Templates!A:A = F1158, Templates!B:B = G1158, Templates!C:C = H1158), ""{{}}"", E1158), B1158)"),"🏘  Vous cherchez un appartement à louer à Egerkingen? ✅ Les annonces les plus actuelles sont sur ImmoScout24.ch.")</f>
        <v>🏘  Vous cherchez un appartement à louer à Egerkingen? ✅ Les annonces les plus actuelles sont sur ImmoScout24.ch.</v>
      </c>
      <c r="J1158" s="4" t="s">
        <v>3478</v>
      </c>
    </row>
    <row r="1159">
      <c r="A1159" s="5" t="s">
        <v>3479</v>
      </c>
      <c r="B1159" s="2" t="s">
        <v>3480</v>
      </c>
      <c r="C1159" s="4" t="str">
        <f>IFERROR(__xludf.DUMMYFUNCTION("""🏘️ ""&amp;REGEXEXTRACT(B1159, ""^(.*): "")&amp;"" ✅ "" &amp;REGEXEXTRACT(B1159, ""(Trouvez.*)"")"),"🏘️ Louer appartement Courfaivre ✅ Trouvez le bien immobilier qui correspond idéalement à vos désirs sur ImmoScout24 - La plateforme de l'immobilier en Suisse.")</f>
        <v>🏘️ Louer appartement Courfaivre ✅ Trouvez le bien immobilier qui correspond idéalement à vos désirs sur ImmoScout24 - La plateforme de l'immobilier en Suisse.</v>
      </c>
      <c r="D1159" s="4" t="str">
        <f>vlookup(A1159, Sheet2!D:E, 2, 0)</f>
        <v>variant</v>
      </c>
      <c r="E1159" s="4" t="str">
        <f>IFERROR(__xludf.DUMMYFUNCTION("if(H1159=""pays"",vlookup(REGEXEXTRACT(C1159, ""🏘️ \w+ \w+ (.*) ✅""),'Country prepositions'!A:B, 2, 0) &amp; "" "" &amp; REGEXEXTRACT(C1159, ""🏘️ \w+ \w+ (.*) ✅"") ,  if(H1159=""quartier"",vlookup(REGEXEXTRACT(C1159, ""🏘️ \w+ \w+ (.*) ✅""),'Quartier prepositio"&amp;"ns'!A:E, 5, 0) ,  if(H1159=""region"",vlookup(REGEXEXTRACT(C1159, ""🏘️ \w+ \w+ (.*) ✅""),'Region prepositions'!B:F, 5, 0),  REGEXEXTRACT(C1159, ""🏘️ \w+ \w+ (.*) ✅""))))"),"Courfaivre")</f>
        <v>Courfaivre</v>
      </c>
      <c r="F1159" s="2" t="str">
        <f>IFERROR(__xludf.DUMMYFUNCTION("REGEXEXTRACT(C1159, ""🏘️ (\w+) \w+ .* ✅"")"),"Louer")</f>
        <v>Louer</v>
      </c>
      <c r="G1159" s="2" t="str">
        <f>IFERROR(__xludf.DUMMYFUNCTION("REGEXEXTRACT(C1159, ""🏘️ \w+ (\w+) .* ✅"")"),"appartement")</f>
        <v>appartement</v>
      </c>
      <c r="H1159" s="4" t="str">
        <f>IFERROR(__xludf.DUMMYFUNCTION("REGEXEXTRACT(A1159, ""/(\w+)-.*?"")"),"lieu")</f>
        <v>lieu</v>
      </c>
      <c r="I1159" s="4" t="str">
        <f>IFERROR(__xludf.DUMMYFUNCTION("if(D1159=""variant"",  substitute(filter(Templates!E:E, Templates!A:A = F1159, Templates!B:B = G1159, Templates!C:C = H1159), ""{{}}"", E1159), B1159)"),"🏘  Vous cherchez un appartement à louer à Courfaivre? ✅ Les annonces les plus actuelles sont sur ImmoScout24.ch.")</f>
        <v>🏘  Vous cherchez un appartement à louer à Courfaivre? ✅ Les annonces les plus actuelles sont sur ImmoScout24.ch.</v>
      </c>
      <c r="J1159" s="4" t="s">
        <v>3481</v>
      </c>
    </row>
    <row r="1160">
      <c r="A1160" s="5" t="s">
        <v>3482</v>
      </c>
      <c r="B1160" s="2" t="s">
        <v>3483</v>
      </c>
      <c r="C1160" s="4" t="str">
        <f>IFERROR(__xludf.DUMMYFUNCTION("""🏘️ ""&amp;REGEXEXTRACT(B1160, ""^(.*): "")&amp;"" ✅ "" &amp;REGEXEXTRACT(B1160, ""(Trouvez.*)"")"),"🏘️ Louer appartement Büchslen ✅ Trouvez le bien immobilier qui correspond idéalement à vos désirs sur ImmoScout24 - La plateforme de l'immobilier en Suisse.")</f>
        <v>🏘️ Louer appartement Büchslen ✅ Trouvez le bien immobilier qui correspond idéalement à vos désirs sur ImmoScout24 - La plateforme de l'immobilier en Suisse.</v>
      </c>
      <c r="D1160" s="4" t="str">
        <f>vlookup(A1160, Sheet2!D:E, 2, 0)</f>
        <v>variant</v>
      </c>
      <c r="E1160" s="4" t="str">
        <f>IFERROR(__xludf.DUMMYFUNCTION("if(H1160=""pays"",vlookup(REGEXEXTRACT(C1160, ""🏘️ \w+ \w+ (.*) ✅""),'Country prepositions'!A:B, 2, 0) &amp; "" "" &amp; REGEXEXTRACT(C1160, ""🏘️ \w+ \w+ (.*) ✅"") ,  if(H1160=""quartier"",vlookup(REGEXEXTRACT(C1160, ""🏘️ \w+ \w+ (.*) ✅""),'Quartier prepositio"&amp;"ns'!A:E, 5, 0) ,  if(H1160=""region"",vlookup(REGEXEXTRACT(C1160, ""🏘️ \w+ \w+ (.*) ✅""),'Region prepositions'!B:F, 5, 0),  REGEXEXTRACT(C1160, ""🏘️ \w+ \w+ (.*) ✅""))))"),"Büchslen")</f>
        <v>Büchslen</v>
      </c>
      <c r="F1160" s="2" t="str">
        <f>IFERROR(__xludf.DUMMYFUNCTION("REGEXEXTRACT(C1160, ""🏘️ (\w+) \w+ .* ✅"")"),"Louer")</f>
        <v>Louer</v>
      </c>
      <c r="G1160" s="2" t="str">
        <f>IFERROR(__xludf.DUMMYFUNCTION("REGEXEXTRACT(C1160, ""🏘️ \w+ (\w+) .* ✅"")"),"appartement")</f>
        <v>appartement</v>
      </c>
      <c r="H1160" s="4" t="str">
        <f>IFERROR(__xludf.DUMMYFUNCTION("REGEXEXTRACT(A1160, ""/(\w+)-.*?"")"),"lieu")</f>
        <v>lieu</v>
      </c>
      <c r="I1160" s="4" t="str">
        <f>IFERROR(__xludf.DUMMYFUNCTION("if(D1160=""variant"",  substitute(filter(Templates!E:E, Templates!A:A = F1160, Templates!B:B = G1160, Templates!C:C = H1160), ""{{}}"", E1160), B1160)"),"🏘  Vous cherchez un appartement à louer à Büchslen? ✅ Les annonces les plus actuelles sont sur ImmoScout24.ch.")</f>
        <v>🏘  Vous cherchez un appartement à louer à Büchslen? ✅ Les annonces les plus actuelles sont sur ImmoScout24.ch.</v>
      </c>
      <c r="J1160" s="4" t="s">
        <v>3484</v>
      </c>
    </row>
    <row r="1161">
      <c r="A1161" s="5" t="s">
        <v>3485</v>
      </c>
      <c r="B1161" s="2" t="s">
        <v>3486</v>
      </c>
      <c r="C1161" s="4" t="str">
        <f>IFERROR(__xludf.DUMMYFUNCTION("""🏘️ ""&amp;REGEXEXTRACT(B1161, ""^(.*): "")&amp;"" ✅ "" &amp;REGEXEXTRACT(B1161, ""(Trouvez.*)"")"),"🏘️ Louer maison Eclépens ✅ Trouvez le bien immobilier qui correspond idéalement à vos désirs sur ImmoScout24 - La plateforme de l'immobilier en Suisse.")</f>
        <v>🏘️ Louer maison Eclépens ✅ Trouvez le bien immobilier qui correspond idéalement à vos désirs sur ImmoScout24 - La plateforme de l'immobilier en Suisse.</v>
      </c>
      <c r="D1161" s="4" t="str">
        <f>vlookup(A1161, Sheet2!D:E, 2, 0)</f>
        <v>variant</v>
      </c>
      <c r="E1161" s="4" t="str">
        <f>IFERROR(__xludf.DUMMYFUNCTION("if(H1161=""pays"",vlookup(REGEXEXTRACT(C1161, ""🏘️ \w+ \w+ (.*) ✅""),'Country prepositions'!A:B, 2, 0) &amp; "" "" &amp; REGEXEXTRACT(C1161, ""🏘️ \w+ \w+ (.*) ✅"") ,  if(H1161=""quartier"",vlookup(REGEXEXTRACT(C1161, ""🏘️ \w+ \w+ (.*) ✅""),'Quartier prepositio"&amp;"ns'!A:E, 5, 0) ,  if(H1161=""region"",vlookup(REGEXEXTRACT(C1161, ""🏘️ \w+ \w+ (.*) ✅""),'Region prepositions'!B:F, 5, 0),  REGEXEXTRACT(C1161, ""🏘️ \w+ \w+ (.*) ✅""))))"),"Eclépens")</f>
        <v>Eclépens</v>
      </c>
      <c r="F1161" s="2" t="str">
        <f>IFERROR(__xludf.DUMMYFUNCTION("REGEXEXTRACT(C1161, ""🏘️ (\w+) \w+ .* ✅"")"),"Louer")</f>
        <v>Louer</v>
      </c>
      <c r="G1161" s="2" t="str">
        <f>IFERROR(__xludf.DUMMYFUNCTION("REGEXEXTRACT(C1161, ""🏘️ \w+ (\w+) .* ✅"")"),"maison")</f>
        <v>maison</v>
      </c>
      <c r="H1161" s="4" t="str">
        <f>IFERROR(__xludf.DUMMYFUNCTION("REGEXEXTRACT(A1161, ""/(\w+)-.*?"")"),"lieu")</f>
        <v>lieu</v>
      </c>
      <c r="I1161" s="4" t="str">
        <f>IFERROR(__xludf.DUMMYFUNCTION("if(D1161=""variant"",  substitute(filter(Templates!E:E, Templates!A:A = F1161, Templates!B:B = G1161, Templates!C:C = H1161), ""{{}}"", E1161), B1161)"),"🏘  Vous cherchez une maison à louer à Eclépens? ✅ Découvrez nos nombreuses annonces sur ImmoScout24.ch.")</f>
        <v>🏘  Vous cherchez une maison à louer à Eclépens? ✅ Découvrez nos nombreuses annonces sur ImmoScout24.ch.</v>
      </c>
      <c r="J1161" s="4" t="s">
        <v>3487</v>
      </c>
    </row>
    <row r="1162">
      <c r="A1162" s="5" t="s">
        <v>3488</v>
      </c>
      <c r="B1162" s="2" t="s">
        <v>3489</v>
      </c>
      <c r="C1162" s="4" t="str">
        <f>IFERROR(__xludf.DUMMYFUNCTION("""🏘️ ""&amp;REGEXEXTRACT(B1162, ""^(.*): "")&amp;"" ✅ "" &amp;REGEXEXTRACT(B1162, ""(Trouvez.*)"")"),"🏘️ Vendre maison Aathal-Seegräben ✅ Trouvez le bien immobilier qui correspond idéalement à vos désirs sur ImmoScout24 - La plateforme de l'immobilier en Suisse.")</f>
        <v>🏘️ Vendre maison Aathal-Seegräben ✅ Trouvez le bien immobilier qui correspond idéalement à vos désirs sur ImmoScout24 - La plateforme de l'immobilier en Suisse.</v>
      </c>
      <c r="D1162" s="4" t="str">
        <f>vlookup(A1162, Sheet2!D:E, 2, 0)</f>
        <v>variant</v>
      </c>
      <c r="E1162" s="4" t="str">
        <f>IFERROR(__xludf.DUMMYFUNCTION("if(H1162=""pays"",vlookup(REGEXEXTRACT(C1162, ""🏘️ \w+ \w+ (.*) ✅""),'Country prepositions'!A:B, 2, 0) &amp; "" "" &amp; REGEXEXTRACT(C1162, ""🏘️ \w+ \w+ (.*) ✅"") ,  if(H1162=""quartier"",vlookup(REGEXEXTRACT(C1162, ""🏘️ \w+ \w+ (.*) ✅""),'Quartier prepositio"&amp;"ns'!A:E, 5, 0) ,  if(H1162=""region"",vlookup(REGEXEXTRACT(C1162, ""🏘️ \w+ \w+ (.*) ✅""),'Region prepositions'!B:F, 5, 0),  REGEXEXTRACT(C1162, ""🏘️ \w+ \w+ (.*) ✅""))))"),"Aathal-Seegräben")</f>
        <v>Aathal-Seegräben</v>
      </c>
      <c r="F1162" s="2" t="str">
        <f>IFERROR(__xludf.DUMMYFUNCTION("REGEXEXTRACT(C1162, ""🏘️ (\w+) \w+ .* ✅"")"),"Vendre")</f>
        <v>Vendre</v>
      </c>
      <c r="G1162" s="2" t="str">
        <f>IFERROR(__xludf.DUMMYFUNCTION("REGEXEXTRACT(C1162, ""🏘️ \w+ (\w+) .* ✅"")"),"maison")</f>
        <v>maison</v>
      </c>
      <c r="H1162" s="4" t="str">
        <f>IFERROR(__xludf.DUMMYFUNCTION("REGEXEXTRACT(A1162, ""/(\w+)-.*?"")"),"lieu")</f>
        <v>lieu</v>
      </c>
      <c r="I1162" s="4" t="str">
        <f>IFERROR(__xludf.DUMMYFUNCTION("if(D1162=""variant"",  substitute(filter(Templates!E:E, Templates!A:A = F1162, Templates!B:B = G1162, Templates!C:C = H1162), ""{{}}"", E1162), B1162)"),"🏘  Vous souhaitez acheter une maison à Aathal-Seegräben? ✅ Jetez un œil aux dernières offres sur ImmoScout24.ch.")</f>
        <v>🏘  Vous souhaitez acheter une maison à Aathal-Seegräben? ✅ Jetez un œil aux dernières offres sur ImmoScout24.ch.</v>
      </c>
      <c r="J1162" s="4" t="s">
        <v>3490</v>
      </c>
    </row>
    <row r="1163">
      <c r="A1163" s="5" t="s">
        <v>3491</v>
      </c>
      <c r="B1163" s="2" t="s">
        <v>3492</v>
      </c>
      <c r="C1163" s="4" t="str">
        <f>IFERROR(__xludf.DUMMYFUNCTION("""🏘️ ""&amp;REGEXEXTRACT(B1163, ""^(.*): "")&amp;"" ✅ "" &amp;REGEXEXTRACT(B1163, ""(Trouvez.*)"")"),"🏘️ Vendre appartement Charrat ✅ Trouvez le bien immobilier qui correspond idéalement à vos désirs sur ImmoScout24 - La plateforme de l'immobilier en Suisse.")</f>
        <v>🏘️ Vendre appartement Charrat ✅ Trouvez le bien immobilier qui correspond idéalement à vos désirs sur ImmoScout24 - La plateforme de l'immobilier en Suisse.</v>
      </c>
      <c r="D1163" s="4" t="str">
        <f>vlookup(A1163, Sheet2!D:E, 2, 0)</f>
        <v>variant</v>
      </c>
      <c r="E1163" s="4" t="str">
        <f>IFERROR(__xludf.DUMMYFUNCTION("if(H1163=""pays"",vlookup(REGEXEXTRACT(C1163, ""🏘️ \w+ \w+ (.*) ✅""),'Country prepositions'!A:B, 2, 0) &amp; "" "" &amp; REGEXEXTRACT(C1163, ""🏘️ \w+ \w+ (.*) ✅"") ,  if(H1163=""quartier"",vlookup(REGEXEXTRACT(C1163, ""🏘️ \w+ \w+ (.*) ✅""),'Quartier prepositio"&amp;"ns'!A:E, 5, 0) ,  if(H1163=""region"",vlookup(REGEXEXTRACT(C1163, ""🏘️ \w+ \w+ (.*) ✅""),'Region prepositions'!B:F, 5, 0),  REGEXEXTRACT(C1163, ""🏘️ \w+ \w+ (.*) ✅""))))"),"Charrat")</f>
        <v>Charrat</v>
      </c>
      <c r="F1163" s="2" t="str">
        <f>IFERROR(__xludf.DUMMYFUNCTION("REGEXEXTRACT(C1163, ""🏘️ (\w+) \w+ .* ✅"")"),"Vendre")</f>
        <v>Vendre</v>
      </c>
      <c r="G1163" s="2" t="str">
        <f>IFERROR(__xludf.DUMMYFUNCTION("REGEXEXTRACT(C1163, ""🏘️ \w+ (\w+) .* ✅"")"),"appartement")</f>
        <v>appartement</v>
      </c>
      <c r="H1163" s="4" t="str">
        <f>IFERROR(__xludf.DUMMYFUNCTION("REGEXEXTRACT(A1163, ""/(\w+)-.*?"")"),"lieu")</f>
        <v>lieu</v>
      </c>
      <c r="I1163" s="4" t="str">
        <f>IFERROR(__xludf.DUMMYFUNCTION("if(D1163=""variant"",  substitute(filter(Templates!E:E, Templates!A:A = F1163, Templates!B:B = G1163, Templates!C:C = H1163), ""{{}}"", E1163), B1163)"),"🏘  L’appartement de vos rêves se trouve sur ImmoScout24.ch ✅ Découvrez les dernières annonces de vente à Charrat.")</f>
        <v>🏘  L’appartement de vos rêves se trouve sur ImmoScout24.ch ✅ Découvrez les dernières annonces de vente à Charrat.</v>
      </c>
      <c r="J1163" s="4" t="s">
        <v>3493</v>
      </c>
    </row>
    <row r="1164">
      <c r="A1164" s="5" t="s">
        <v>3494</v>
      </c>
      <c r="B1164" s="2" t="s">
        <v>3495</v>
      </c>
      <c r="C1164" s="4" t="str">
        <f>IFERROR(__xludf.DUMMYFUNCTION("""🏘️ ""&amp;REGEXEXTRACT(B1164, ""^(.*): "")&amp;"" ✅ "" &amp;REGEXEXTRACT(B1164, ""(Trouvez.*)"")"),"🏘️ Vendre appartement Emmenbrücke ✅ Trouvez le bien immobilier qui correspond idéalement à vos désirs sur ImmoScout24 - La plateforme de l'immobilier en Suisse.")</f>
        <v>🏘️ Vendre appartement Emmenbrücke ✅ Trouvez le bien immobilier qui correspond idéalement à vos désirs sur ImmoScout24 - La plateforme de l'immobilier en Suisse.</v>
      </c>
      <c r="D1164" s="4" t="str">
        <f>vlookup(A1164, Sheet2!D:E, 2, 0)</f>
        <v>variant</v>
      </c>
      <c r="E1164" s="4" t="str">
        <f>IFERROR(__xludf.DUMMYFUNCTION("if(H1164=""pays"",vlookup(REGEXEXTRACT(C1164, ""🏘️ \w+ \w+ (.*) ✅""),'Country prepositions'!A:B, 2, 0) &amp; "" "" &amp; REGEXEXTRACT(C1164, ""🏘️ \w+ \w+ (.*) ✅"") ,  if(H1164=""quartier"",vlookup(REGEXEXTRACT(C1164, ""🏘️ \w+ \w+ (.*) ✅""),'Quartier prepositio"&amp;"ns'!A:E, 5, 0) ,  if(H1164=""region"",vlookup(REGEXEXTRACT(C1164, ""🏘️ \w+ \w+ (.*) ✅""),'Region prepositions'!B:F, 5, 0),  REGEXEXTRACT(C1164, ""🏘️ \w+ \w+ (.*) ✅""))))"),"Emmenbrücke")</f>
        <v>Emmenbrücke</v>
      </c>
      <c r="F1164" s="2" t="str">
        <f>IFERROR(__xludf.DUMMYFUNCTION("REGEXEXTRACT(C1164, ""🏘️ (\w+) \w+ .* ✅"")"),"Vendre")</f>
        <v>Vendre</v>
      </c>
      <c r="G1164" s="2" t="str">
        <f>IFERROR(__xludf.DUMMYFUNCTION("REGEXEXTRACT(C1164, ""🏘️ \w+ (\w+) .* ✅"")"),"appartement")</f>
        <v>appartement</v>
      </c>
      <c r="H1164" s="4" t="str">
        <f>IFERROR(__xludf.DUMMYFUNCTION("REGEXEXTRACT(A1164, ""/(\w+)-.*?"")"),"lieu")</f>
        <v>lieu</v>
      </c>
      <c r="I1164" s="4" t="str">
        <f>IFERROR(__xludf.DUMMYFUNCTION("if(D1164=""variant"",  substitute(filter(Templates!E:E, Templates!A:A = F1164, Templates!B:B = G1164, Templates!C:C = H1164), ""{{}}"", E1164), B1164)"),"🏘  L’appartement de vos rêves se trouve sur ImmoScout24.ch ✅ Découvrez les dernières annonces de vente à Emmenbrücke.")</f>
        <v>🏘  L’appartement de vos rêves se trouve sur ImmoScout24.ch ✅ Découvrez les dernières annonces de vente à Emmenbrücke.</v>
      </c>
      <c r="J1164" s="4" t="s">
        <v>3496</v>
      </c>
    </row>
    <row r="1165">
      <c r="A1165" s="5" t="s">
        <v>3497</v>
      </c>
      <c r="B1165" s="2" t="s">
        <v>3498</v>
      </c>
      <c r="C1165" s="4" t="str">
        <f>IFERROR(__xludf.DUMMYFUNCTION("""🏘️ ""&amp;REGEXEXTRACT(B1165, ""^(.*): "")&amp;"" ✅ "" &amp;REGEXEXTRACT(B1165, ""(Trouvez.*)"")"),"🏘️ Louer appartement Clarens ✅ Trouvez le bien immobilier qui correspond idéalement à vos désirs sur ImmoScout24 - La plateforme de l'immobilier en Suisse.")</f>
        <v>🏘️ Louer appartement Clarens ✅ Trouvez le bien immobilier qui correspond idéalement à vos désirs sur ImmoScout24 - La plateforme de l'immobilier en Suisse.</v>
      </c>
      <c r="D1165" s="4" t="str">
        <f>vlookup(A1165, Sheet2!D:E, 2, 0)</f>
        <v>variant</v>
      </c>
      <c r="E1165" s="4" t="str">
        <f>IFERROR(__xludf.DUMMYFUNCTION("if(H1165=""pays"",vlookup(REGEXEXTRACT(C1165, ""🏘️ \w+ \w+ (.*) ✅""),'Country prepositions'!A:B, 2, 0) &amp; "" "" &amp; REGEXEXTRACT(C1165, ""🏘️ \w+ \w+ (.*) ✅"") ,  if(H1165=""quartier"",vlookup(REGEXEXTRACT(C1165, ""🏘️ \w+ \w+ (.*) ✅""),'Quartier prepositio"&amp;"ns'!A:E, 5, 0) ,  if(H1165=""region"",vlookup(REGEXEXTRACT(C1165, ""🏘️ \w+ \w+ (.*) ✅""),'Region prepositions'!B:F, 5, 0),  REGEXEXTRACT(C1165, ""🏘️ \w+ \w+ (.*) ✅""))))"),"Clarens")</f>
        <v>Clarens</v>
      </c>
      <c r="F1165" s="2" t="str">
        <f>IFERROR(__xludf.DUMMYFUNCTION("REGEXEXTRACT(C1165, ""🏘️ (\w+) \w+ .* ✅"")"),"Louer")</f>
        <v>Louer</v>
      </c>
      <c r="G1165" s="2" t="str">
        <f>IFERROR(__xludf.DUMMYFUNCTION("REGEXEXTRACT(C1165, ""🏘️ \w+ (\w+) .* ✅"")"),"appartement")</f>
        <v>appartement</v>
      </c>
      <c r="H1165" s="4" t="str">
        <f>IFERROR(__xludf.DUMMYFUNCTION("REGEXEXTRACT(A1165, ""/(\w+)-.*?"")"),"lieu")</f>
        <v>lieu</v>
      </c>
      <c r="I1165" s="4" t="str">
        <f>IFERROR(__xludf.DUMMYFUNCTION("if(D1165=""variant"",  substitute(filter(Templates!E:E, Templates!A:A = F1165, Templates!B:B = G1165, Templates!C:C = H1165), ""{{}}"", E1165), B1165)"),"🏘  Vous cherchez un appartement à louer à Clarens? ✅ Les annonces les plus actuelles sont sur ImmoScout24.ch.")</f>
        <v>🏘  Vous cherchez un appartement à louer à Clarens? ✅ Les annonces les plus actuelles sont sur ImmoScout24.ch.</v>
      </c>
      <c r="J1165" s="4" t="s">
        <v>3499</v>
      </c>
    </row>
    <row r="1166">
      <c r="A1166" s="5" t="s">
        <v>3500</v>
      </c>
      <c r="B1166" s="2" t="s">
        <v>3501</v>
      </c>
      <c r="C1166" s="4" t="str">
        <f>IFERROR(__xludf.DUMMYFUNCTION("""🏘️ ""&amp;REGEXEXTRACT(B1166, ""^(.*): "")&amp;"" ✅ "" &amp;REGEXEXTRACT(B1166, ""(Trouvez.*)"")"),"🏘️ Louer appartement St. Johann (Bâle) ✅ Trouvez le bien immobilier qui correspond idéalement à vos désirs sur ImmoScout24 - La plateforme de l'immobilier en Suisse.")</f>
        <v>🏘️ Louer appartement St. Johann (Bâle) ✅ Trouvez le bien immobilier qui correspond idéalement à vos désirs sur ImmoScout24 - La plateforme de l'immobilier en Suisse.</v>
      </c>
      <c r="D1166" s="4" t="str">
        <f>vlookup(A1166, Sheet2!D:E, 2, 0)</f>
        <v>variant</v>
      </c>
      <c r="E1166" s="4" t="str">
        <f>IFERROR(__xludf.DUMMYFUNCTION("if(H1166=""pays"",vlookup(REGEXEXTRACT(C1166, ""🏘️ \w+ \w+ (.*) ✅""),'Country prepositions'!A:B, 2, 0) &amp; "" "" &amp; REGEXEXTRACT(C1166, ""🏘️ \w+ \w+ (.*) ✅"") ,  if(H1166=""quartier"",vlookup(REGEXEXTRACT(C1166, ""🏘️ \w+ \w+ (.*) ✅""),'Quartier prepositio"&amp;"ns'!A:E, 5, 0) ,  if(H1166=""region"",vlookup(REGEXEXTRACT(C1166, ""🏘️ \w+ \w+ (.*) ✅""),'Region prepositions'!B:F, 5, 0),  REGEXEXTRACT(C1166, ""🏘️ \w+ \w+ (.*) ✅""))))"),"dans le quartier de St. Johann (Bâle)")</f>
        <v>dans le quartier de St. Johann (Bâle)</v>
      </c>
      <c r="F1166" s="2" t="str">
        <f>IFERROR(__xludf.DUMMYFUNCTION("REGEXEXTRACT(C1166, ""🏘️ (\w+) \w+ .* ✅"")"),"Louer")</f>
        <v>Louer</v>
      </c>
      <c r="G1166" s="2" t="str">
        <f>IFERROR(__xludf.DUMMYFUNCTION("REGEXEXTRACT(C1166, ""🏘️ \w+ (\w+) .* ✅"")"),"appartement")</f>
        <v>appartement</v>
      </c>
      <c r="H1166" s="4" t="str">
        <f>IFERROR(__xludf.DUMMYFUNCTION("REGEXEXTRACT(A1166, ""/(\w+)-.*?"")"),"quartier")</f>
        <v>quartier</v>
      </c>
      <c r="I1166" s="4" t="str">
        <f>IFERROR(__xludf.DUMMYFUNCTION("if(D1166=""variant"",  substitute(filter(Templates!E:E, Templates!A:A = F1166, Templates!B:B = G1166, Templates!C:C = H1166), ""{{}}"", E1166), B1166)"),"🏘  Vous cherchez un appartement à louer dans le quartier de St. Johann (Bâle)? ✅ Les annonces les plus actuelles sont sur ImmoScout24.ch.")</f>
        <v>🏘  Vous cherchez un appartement à louer dans le quartier de St. Johann (Bâle)? ✅ Les annonces les plus actuelles sont sur ImmoScout24.ch.</v>
      </c>
      <c r="J1166" s="4" t="s">
        <v>3502</v>
      </c>
    </row>
    <row r="1167">
      <c r="A1167" s="5" t="s">
        <v>3503</v>
      </c>
      <c r="B1167" s="2" t="s">
        <v>3504</v>
      </c>
      <c r="C1167" s="4" t="str">
        <f>IFERROR(__xludf.DUMMYFUNCTION("""🏘️ ""&amp;REGEXEXTRACT(B1167, ""^(.*): "")&amp;"" ✅ "" &amp;REGEXEXTRACT(B1167, ""(Trouvez.*)"")"),"🏘️ Vendre maison Wangen an der Aare ✅ Trouvez le bien immobilier qui correspond idéalement à vos désirs sur ImmoScout24 - La plateforme de l'immobilier en Suisse.")</f>
        <v>🏘️ Vendre maison Wangen an der Aare ✅ Trouvez le bien immobilier qui correspond idéalement à vos désirs sur ImmoScout24 - La plateforme de l'immobilier en Suisse.</v>
      </c>
      <c r="D1167" s="4" t="str">
        <f>vlookup(A1167, Sheet2!D:E, 2, 0)</f>
        <v>variant</v>
      </c>
      <c r="E1167" s="4" t="str">
        <f>IFERROR(__xludf.DUMMYFUNCTION("if(H1167=""pays"",vlookup(REGEXEXTRACT(C1167, ""🏘️ \w+ \w+ (.*) ✅""),'Country prepositions'!A:B, 2, 0) &amp; "" "" &amp; REGEXEXTRACT(C1167, ""🏘️ \w+ \w+ (.*) ✅"") ,  if(H1167=""quartier"",vlookup(REGEXEXTRACT(C1167, ""🏘️ \w+ \w+ (.*) ✅""),'Quartier prepositio"&amp;"ns'!A:E, 5, 0) ,  if(H1167=""region"",vlookup(REGEXEXTRACT(C1167, ""🏘️ \w+ \w+ (.*) ✅""),'Region prepositions'!B:F, 5, 0),  REGEXEXTRACT(C1167, ""🏘️ \w+ \w+ (.*) ✅""))))"),"Wangen an der Aare")</f>
        <v>Wangen an der Aare</v>
      </c>
      <c r="F1167" s="2" t="str">
        <f>IFERROR(__xludf.DUMMYFUNCTION("REGEXEXTRACT(C1167, ""🏘️ (\w+) \w+ .* ✅"")"),"Vendre")</f>
        <v>Vendre</v>
      </c>
      <c r="G1167" s="2" t="str">
        <f>IFERROR(__xludf.DUMMYFUNCTION("REGEXEXTRACT(C1167, ""🏘️ \w+ (\w+) .* ✅"")"),"maison")</f>
        <v>maison</v>
      </c>
      <c r="H1167" s="4" t="str">
        <f>IFERROR(__xludf.DUMMYFUNCTION("REGEXEXTRACT(A1167, ""/(\w+)-.*?"")"),"lieu")</f>
        <v>lieu</v>
      </c>
      <c r="I1167" s="4" t="str">
        <f>IFERROR(__xludf.DUMMYFUNCTION("if(D1167=""variant"",  substitute(filter(Templates!E:E, Templates!A:A = F1167, Templates!B:B = G1167, Templates!C:C = H1167), ""{{}}"", E1167), B1167)"),"🏘  Vous souhaitez acheter une maison à Wangen an der Aare? ✅ Jetez un œil aux dernières offres sur ImmoScout24.ch.")</f>
        <v>🏘  Vous souhaitez acheter une maison à Wangen an der Aare? ✅ Jetez un œil aux dernières offres sur ImmoScout24.ch.</v>
      </c>
      <c r="J1167" s="4" t="s">
        <v>3505</v>
      </c>
    </row>
    <row r="1168">
      <c r="A1168" s="5" t="s">
        <v>3506</v>
      </c>
      <c r="B1168" s="2" t="s">
        <v>3507</v>
      </c>
      <c r="C1168" s="4" t="str">
        <f>IFERROR(__xludf.DUMMYFUNCTION("""🏘️ ""&amp;REGEXEXTRACT(B1168, ""^(.*): "")&amp;"" ✅ "" &amp;REGEXEXTRACT(B1168, ""(Trouvez.*)"")"),"🏘️ Vendre maison Bournens ✅ Trouvez le bien immobilier qui correspond idéalement à vos désirs sur ImmoScout24 - La plateforme de l'immobilier en Suisse.")</f>
        <v>🏘️ Vendre maison Bournens ✅ Trouvez le bien immobilier qui correspond idéalement à vos désirs sur ImmoScout24 - La plateforme de l'immobilier en Suisse.</v>
      </c>
      <c r="D1168" s="4" t="str">
        <f>vlookup(A1168, Sheet2!D:E, 2, 0)</f>
        <v>variant</v>
      </c>
      <c r="E1168" s="4" t="str">
        <f>IFERROR(__xludf.DUMMYFUNCTION("if(H1168=""pays"",vlookup(REGEXEXTRACT(C1168, ""🏘️ \w+ \w+ (.*) ✅""),'Country prepositions'!A:B, 2, 0) &amp; "" "" &amp; REGEXEXTRACT(C1168, ""🏘️ \w+ \w+ (.*) ✅"") ,  if(H1168=""quartier"",vlookup(REGEXEXTRACT(C1168, ""🏘️ \w+ \w+ (.*) ✅""),'Quartier prepositio"&amp;"ns'!A:E, 5, 0) ,  if(H1168=""region"",vlookup(REGEXEXTRACT(C1168, ""🏘️ \w+ \w+ (.*) ✅""),'Region prepositions'!B:F, 5, 0),  REGEXEXTRACT(C1168, ""🏘️ \w+ \w+ (.*) ✅""))))"),"Bournens")</f>
        <v>Bournens</v>
      </c>
      <c r="F1168" s="2" t="str">
        <f>IFERROR(__xludf.DUMMYFUNCTION("REGEXEXTRACT(C1168, ""🏘️ (\w+) \w+ .* ✅"")"),"Vendre")</f>
        <v>Vendre</v>
      </c>
      <c r="G1168" s="2" t="str">
        <f>IFERROR(__xludf.DUMMYFUNCTION("REGEXEXTRACT(C1168, ""🏘️ \w+ (\w+) .* ✅"")"),"maison")</f>
        <v>maison</v>
      </c>
      <c r="H1168" s="4" t="str">
        <f>IFERROR(__xludf.DUMMYFUNCTION("REGEXEXTRACT(A1168, ""/(\w+)-.*?"")"),"lieu")</f>
        <v>lieu</v>
      </c>
      <c r="I1168" s="4" t="str">
        <f>IFERROR(__xludf.DUMMYFUNCTION("if(D1168=""variant"",  substitute(filter(Templates!E:E, Templates!A:A = F1168, Templates!B:B = G1168, Templates!C:C = H1168), ""{{}}"", E1168), B1168)"),"🏘  Vous souhaitez acheter une maison à Bournens? ✅ Jetez un œil aux dernières offres sur ImmoScout24.ch.")</f>
        <v>🏘  Vous souhaitez acheter une maison à Bournens? ✅ Jetez un œil aux dernières offres sur ImmoScout24.ch.</v>
      </c>
      <c r="J1168" s="4" t="s">
        <v>3508</v>
      </c>
    </row>
    <row r="1169">
      <c r="A1169" s="5" t="s">
        <v>3509</v>
      </c>
      <c r="B1169" s="2" t="s">
        <v>3510</v>
      </c>
      <c r="C1169" s="4" t="str">
        <f>IFERROR(__xludf.DUMMYFUNCTION("""🏘️ ""&amp;REGEXEXTRACT(B1169, ""^(.*): "")&amp;"" ✅ "" &amp;REGEXEXTRACT(B1169, ""(Trouvez.*)"")"),"🏘️ Vendre maison Heitenried ✅ Trouvez le bien immobilier qui correspond idéalement à vos désirs sur ImmoScout24 - La plateforme de l'immobilier en Suisse.")</f>
        <v>🏘️ Vendre maison Heitenried ✅ Trouvez le bien immobilier qui correspond idéalement à vos désirs sur ImmoScout24 - La plateforme de l'immobilier en Suisse.</v>
      </c>
      <c r="D1169" s="4" t="str">
        <f>vlookup(A1169, Sheet2!D:E, 2, 0)</f>
        <v>variant</v>
      </c>
      <c r="E1169" s="4" t="str">
        <f>IFERROR(__xludf.DUMMYFUNCTION("if(H1169=""pays"",vlookup(REGEXEXTRACT(C1169, ""🏘️ \w+ \w+ (.*) ✅""),'Country prepositions'!A:B, 2, 0) &amp; "" "" &amp; REGEXEXTRACT(C1169, ""🏘️ \w+ \w+ (.*) ✅"") ,  if(H1169=""quartier"",vlookup(REGEXEXTRACT(C1169, ""🏘️ \w+ \w+ (.*) ✅""),'Quartier prepositio"&amp;"ns'!A:E, 5, 0) ,  if(H1169=""region"",vlookup(REGEXEXTRACT(C1169, ""🏘️ \w+ \w+ (.*) ✅""),'Region prepositions'!B:F, 5, 0),  REGEXEXTRACT(C1169, ""🏘️ \w+ \w+ (.*) ✅""))))"),"Heitenried")</f>
        <v>Heitenried</v>
      </c>
      <c r="F1169" s="2" t="str">
        <f>IFERROR(__xludf.DUMMYFUNCTION("REGEXEXTRACT(C1169, ""🏘️ (\w+) \w+ .* ✅"")"),"Vendre")</f>
        <v>Vendre</v>
      </c>
      <c r="G1169" s="2" t="str">
        <f>IFERROR(__xludf.DUMMYFUNCTION("REGEXEXTRACT(C1169, ""🏘️ \w+ (\w+) .* ✅"")"),"maison")</f>
        <v>maison</v>
      </c>
      <c r="H1169" s="4" t="str">
        <f>IFERROR(__xludf.DUMMYFUNCTION("REGEXEXTRACT(A1169, ""/(\w+)-.*?"")"),"lieu")</f>
        <v>lieu</v>
      </c>
      <c r="I1169" s="4" t="str">
        <f>IFERROR(__xludf.DUMMYFUNCTION("if(D1169=""variant"",  substitute(filter(Templates!E:E, Templates!A:A = F1169, Templates!B:B = G1169, Templates!C:C = H1169), ""{{}}"", E1169), B1169)"),"🏘  Vous souhaitez acheter une maison à Heitenried? ✅ Jetez un œil aux dernières offres sur ImmoScout24.ch.")</f>
        <v>🏘  Vous souhaitez acheter une maison à Heitenried? ✅ Jetez un œil aux dernières offres sur ImmoScout24.ch.</v>
      </c>
      <c r="J1169" s="4" t="s">
        <v>3511</v>
      </c>
    </row>
    <row r="1170">
      <c r="A1170" s="5" t="s">
        <v>3512</v>
      </c>
      <c r="B1170" s="2" t="s">
        <v>3513</v>
      </c>
      <c r="C1170" s="4" t="str">
        <f>IFERROR(__xludf.DUMMYFUNCTION("""🏘️ ""&amp;REGEXEXTRACT(B1170, ""^(.*): "")&amp;"" ✅ "" &amp;REGEXEXTRACT(B1170, ""(Trouvez.*)"")"),"🏘️ Vendre appartement Champéry ✅ Trouvez le bien immobilier qui correspond idéalement à vos désirs sur ImmoScout24 - La plateforme de l'immobilier en Suisse.")</f>
        <v>🏘️ Vendre appartement Champéry ✅ Trouvez le bien immobilier qui correspond idéalement à vos désirs sur ImmoScout24 - La plateforme de l'immobilier en Suisse.</v>
      </c>
      <c r="D1170" s="4" t="str">
        <f>vlookup(A1170, Sheet2!D:E, 2, 0)</f>
        <v>variant</v>
      </c>
      <c r="E1170" s="4" t="str">
        <f>IFERROR(__xludf.DUMMYFUNCTION("if(H1170=""pays"",vlookup(REGEXEXTRACT(C1170, ""🏘️ \w+ \w+ (.*) ✅""),'Country prepositions'!A:B, 2, 0) &amp; "" "" &amp; REGEXEXTRACT(C1170, ""🏘️ \w+ \w+ (.*) ✅"") ,  if(H1170=""quartier"",vlookup(REGEXEXTRACT(C1170, ""🏘️ \w+ \w+ (.*) ✅""),'Quartier prepositio"&amp;"ns'!A:E, 5, 0) ,  if(H1170=""region"",vlookup(REGEXEXTRACT(C1170, ""🏘️ \w+ \w+ (.*) ✅""),'Region prepositions'!B:F, 5, 0),  REGEXEXTRACT(C1170, ""🏘️ \w+ \w+ (.*) ✅""))))"),"Champéry")</f>
        <v>Champéry</v>
      </c>
      <c r="F1170" s="2" t="str">
        <f>IFERROR(__xludf.DUMMYFUNCTION("REGEXEXTRACT(C1170, ""🏘️ (\w+) \w+ .* ✅"")"),"Vendre")</f>
        <v>Vendre</v>
      </c>
      <c r="G1170" s="2" t="str">
        <f>IFERROR(__xludf.DUMMYFUNCTION("REGEXEXTRACT(C1170, ""🏘️ \w+ (\w+) .* ✅"")"),"appartement")</f>
        <v>appartement</v>
      </c>
      <c r="H1170" s="4" t="str">
        <f>IFERROR(__xludf.DUMMYFUNCTION("REGEXEXTRACT(A1170, ""/(\w+)-.*?"")"),"lieu")</f>
        <v>lieu</v>
      </c>
      <c r="I1170" s="4" t="str">
        <f>IFERROR(__xludf.DUMMYFUNCTION("if(D1170=""variant"",  substitute(filter(Templates!E:E, Templates!A:A = F1170, Templates!B:B = G1170, Templates!C:C = H1170), ""{{}}"", E1170), B1170)"),"🏘  L’appartement de vos rêves se trouve sur ImmoScout24.ch ✅ Découvrez les dernières annonces de vente à Champéry.")</f>
        <v>🏘  L’appartement de vos rêves se trouve sur ImmoScout24.ch ✅ Découvrez les dernières annonces de vente à Champéry.</v>
      </c>
      <c r="J1170" s="4" t="s">
        <v>3514</v>
      </c>
    </row>
    <row r="1171">
      <c r="A1171" s="5" t="s">
        <v>3515</v>
      </c>
      <c r="B1171" s="2" t="s">
        <v>3516</v>
      </c>
      <c r="C1171" s="4" t="str">
        <f>IFERROR(__xludf.DUMMYFUNCTION("""🏘️ ""&amp;REGEXEXTRACT(B1171, ""^(.*): "")&amp;"" ✅ "" &amp;REGEXEXTRACT(B1171, ""(Trouvez.*)"")"),"🏘️ Vendre maison Montenol ✅ Trouvez le bien immobilier qui correspond idéalement à vos désirs sur ImmoScout24 - La plateforme de l'immobilier en Suisse.")</f>
        <v>🏘️ Vendre maison Montenol ✅ Trouvez le bien immobilier qui correspond idéalement à vos désirs sur ImmoScout24 - La plateforme de l'immobilier en Suisse.</v>
      </c>
      <c r="D1171" s="4" t="str">
        <f>vlookup(A1171, Sheet2!D:E, 2, 0)</f>
        <v>variant</v>
      </c>
      <c r="E1171" s="4" t="str">
        <f>IFERROR(__xludf.DUMMYFUNCTION("if(H1171=""pays"",vlookup(REGEXEXTRACT(C1171, ""🏘️ \w+ \w+ (.*) ✅""),'Country prepositions'!A:B, 2, 0) &amp; "" "" &amp; REGEXEXTRACT(C1171, ""🏘️ \w+ \w+ (.*) ✅"") ,  if(H1171=""quartier"",vlookup(REGEXEXTRACT(C1171, ""🏘️ \w+ \w+ (.*) ✅""),'Quartier prepositio"&amp;"ns'!A:E, 5, 0) ,  if(H1171=""region"",vlookup(REGEXEXTRACT(C1171, ""🏘️ \w+ \w+ (.*) ✅""),'Region prepositions'!B:F, 5, 0),  REGEXEXTRACT(C1171, ""🏘️ \w+ \w+ (.*) ✅""))))"),"Montenol")</f>
        <v>Montenol</v>
      </c>
      <c r="F1171" s="2" t="str">
        <f>IFERROR(__xludf.DUMMYFUNCTION("REGEXEXTRACT(C1171, ""🏘️ (\w+) \w+ .* ✅"")"),"Vendre")</f>
        <v>Vendre</v>
      </c>
      <c r="G1171" s="2" t="str">
        <f>IFERROR(__xludf.DUMMYFUNCTION("REGEXEXTRACT(C1171, ""🏘️ \w+ (\w+) .* ✅"")"),"maison")</f>
        <v>maison</v>
      </c>
      <c r="H1171" s="4" t="str">
        <f>IFERROR(__xludf.DUMMYFUNCTION("REGEXEXTRACT(A1171, ""/(\w+)-.*?"")"),"lieu")</f>
        <v>lieu</v>
      </c>
      <c r="I1171" s="4" t="str">
        <f>IFERROR(__xludf.DUMMYFUNCTION("if(D1171=""variant"",  substitute(filter(Templates!E:E, Templates!A:A = F1171, Templates!B:B = G1171, Templates!C:C = H1171), ""{{}}"", E1171), B1171)"),"🏘  Vous souhaitez acheter une maison à Montenol? ✅ Jetez un œil aux dernières offres sur ImmoScout24.ch.")</f>
        <v>🏘  Vous souhaitez acheter une maison à Montenol? ✅ Jetez un œil aux dernières offres sur ImmoScout24.ch.</v>
      </c>
      <c r="J1171" s="4" t="s">
        <v>3517</v>
      </c>
    </row>
    <row r="1172">
      <c r="A1172" s="5" t="s">
        <v>3518</v>
      </c>
      <c r="B1172" s="2" t="s">
        <v>3519</v>
      </c>
      <c r="C1172" s="4" t="str">
        <f>IFERROR(__xludf.DUMMYFUNCTION("""🏘️ ""&amp;REGEXEXTRACT(B1172, ""^(.*): "")&amp;"" ✅ "" &amp;REGEXEXTRACT(B1172, ""(Trouvez.*)"")"),"🏘️ Louer maison Cossonay-Ville ✅ Trouvez le bien immobilier qui correspond idéalement à vos désirs sur ImmoScout24 - La plateforme de l'immobilier en Suisse.")</f>
        <v>🏘️ Louer maison Cossonay-Ville ✅ Trouvez le bien immobilier qui correspond idéalement à vos désirs sur ImmoScout24 - La plateforme de l'immobilier en Suisse.</v>
      </c>
      <c r="D1172" s="4" t="str">
        <f>vlookup(A1172, Sheet2!D:E, 2, 0)</f>
        <v>variant</v>
      </c>
      <c r="E1172" s="4" t="str">
        <f>IFERROR(__xludf.DUMMYFUNCTION("if(H1172=""pays"",vlookup(REGEXEXTRACT(C1172, ""🏘️ \w+ \w+ (.*) ✅""),'Country prepositions'!A:B, 2, 0) &amp; "" "" &amp; REGEXEXTRACT(C1172, ""🏘️ \w+ \w+ (.*) ✅"") ,  if(H1172=""quartier"",vlookup(REGEXEXTRACT(C1172, ""🏘️ \w+ \w+ (.*) ✅""),'Quartier prepositio"&amp;"ns'!A:E, 5, 0) ,  if(H1172=""region"",vlookup(REGEXEXTRACT(C1172, ""🏘️ \w+ \w+ (.*) ✅""),'Region prepositions'!B:F, 5, 0),  REGEXEXTRACT(C1172, ""🏘️ \w+ \w+ (.*) ✅""))))"),"Cossonay-Ville")</f>
        <v>Cossonay-Ville</v>
      </c>
      <c r="F1172" s="2" t="str">
        <f>IFERROR(__xludf.DUMMYFUNCTION("REGEXEXTRACT(C1172, ""🏘️ (\w+) \w+ .* ✅"")"),"Louer")</f>
        <v>Louer</v>
      </c>
      <c r="G1172" s="2" t="str">
        <f>IFERROR(__xludf.DUMMYFUNCTION("REGEXEXTRACT(C1172, ""🏘️ \w+ (\w+) .* ✅"")"),"maison")</f>
        <v>maison</v>
      </c>
      <c r="H1172" s="4" t="str">
        <f>IFERROR(__xludf.DUMMYFUNCTION("REGEXEXTRACT(A1172, ""/(\w+)-.*?"")"),"lieu")</f>
        <v>lieu</v>
      </c>
      <c r="I1172" s="4" t="str">
        <f>IFERROR(__xludf.DUMMYFUNCTION("if(D1172=""variant"",  substitute(filter(Templates!E:E, Templates!A:A = F1172, Templates!B:B = G1172, Templates!C:C = H1172), ""{{}}"", E1172), B1172)"),"🏘  Vous cherchez une maison à louer à Cossonay-Ville? ✅ Découvrez nos nombreuses annonces sur ImmoScout24.ch.")</f>
        <v>🏘  Vous cherchez une maison à louer à Cossonay-Ville? ✅ Découvrez nos nombreuses annonces sur ImmoScout24.ch.</v>
      </c>
      <c r="J1172" s="4" t="s">
        <v>3520</v>
      </c>
    </row>
    <row r="1173">
      <c r="A1173" s="5" t="s">
        <v>3521</v>
      </c>
      <c r="B1173" s="2" t="s">
        <v>3522</v>
      </c>
      <c r="C1173" s="4" t="str">
        <f>IFERROR(__xludf.DUMMYFUNCTION("""🏘️ ""&amp;REGEXEXTRACT(B1173, ""^(.*): "")&amp;"" ✅ "" &amp;REGEXEXTRACT(B1173, ""(Trouvez.*)"")"),"🏘️ Vendre appartement Peseux ✅ Trouvez le bien immobilier qui correspond idéalement à vos désirs sur ImmoScout24 - La plateforme de l'immobilier en Suisse.")</f>
        <v>🏘️ Vendre appartement Peseux ✅ Trouvez le bien immobilier qui correspond idéalement à vos désirs sur ImmoScout24 - La plateforme de l'immobilier en Suisse.</v>
      </c>
      <c r="D1173" s="4" t="str">
        <f>vlookup(A1173, Sheet2!D:E, 2, 0)</f>
        <v>variant</v>
      </c>
      <c r="E1173" s="4" t="str">
        <f>IFERROR(__xludf.DUMMYFUNCTION("if(H1173=""pays"",vlookup(REGEXEXTRACT(C1173, ""🏘️ \w+ \w+ (.*) ✅""),'Country prepositions'!A:B, 2, 0) &amp; "" "" &amp; REGEXEXTRACT(C1173, ""🏘️ \w+ \w+ (.*) ✅"") ,  if(H1173=""quartier"",vlookup(REGEXEXTRACT(C1173, ""🏘️ \w+ \w+ (.*) ✅""),'Quartier prepositio"&amp;"ns'!A:E, 5, 0) ,  if(H1173=""region"",vlookup(REGEXEXTRACT(C1173, ""🏘️ \w+ \w+ (.*) ✅""),'Region prepositions'!B:F, 5, 0),  REGEXEXTRACT(C1173, ""🏘️ \w+ \w+ (.*) ✅""))))"),"Peseux")</f>
        <v>Peseux</v>
      </c>
      <c r="F1173" s="2" t="str">
        <f>IFERROR(__xludf.DUMMYFUNCTION("REGEXEXTRACT(C1173, ""🏘️ (\w+) \w+ .* ✅"")"),"Vendre")</f>
        <v>Vendre</v>
      </c>
      <c r="G1173" s="2" t="str">
        <f>IFERROR(__xludf.DUMMYFUNCTION("REGEXEXTRACT(C1173, ""🏘️ \w+ (\w+) .* ✅"")"),"appartement")</f>
        <v>appartement</v>
      </c>
      <c r="H1173" s="4" t="str">
        <f>IFERROR(__xludf.DUMMYFUNCTION("REGEXEXTRACT(A1173, ""/(\w+)-.*?"")"),"lieu")</f>
        <v>lieu</v>
      </c>
      <c r="I1173" s="4" t="str">
        <f>IFERROR(__xludf.DUMMYFUNCTION("if(D1173=""variant"",  substitute(filter(Templates!E:E, Templates!A:A = F1173, Templates!B:B = G1173, Templates!C:C = H1173), ""{{}}"", E1173), B1173)"),"🏘  L’appartement de vos rêves se trouve sur ImmoScout24.ch ✅ Découvrez les dernières annonces de vente à Peseux.")</f>
        <v>🏘  L’appartement de vos rêves se trouve sur ImmoScout24.ch ✅ Découvrez les dernières annonces de vente à Peseux.</v>
      </c>
      <c r="J1173" s="4" t="s">
        <v>3523</v>
      </c>
    </row>
    <row r="1174">
      <c r="A1174" s="5" t="s">
        <v>3524</v>
      </c>
      <c r="B1174" s="2" t="s">
        <v>3525</v>
      </c>
      <c r="C1174" s="4" t="str">
        <f>IFERROR(__xludf.DUMMYFUNCTION("""🏘️ ""&amp;REGEXEXTRACT(B1174, ""^(.*): "")&amp;"" ✅ "" &amp;REGEXEXTRACT(B1174, ""(Trouvez.*)"")"),"🏘️ Louer maison Florissant - Malagnou (Genève) ✅ Trouvez le bien immobilier qui correspond idéalement à vos désirs sur ImmoScout24 - La plateforme de l'immobilier en Suisse.")</f>
        <v>🏘️ Louer maison Florissant - Malagnou (Genève) ✅ Trouvez le bien immobilier qui correspond idéalement à vos désirs sur ImmoScout24 - La plateforme de l'immobilier en Suisse.</v>
      </c>
      <c r="D1174" s="4" t="str">
        <f>vlookup(A1174, Sheet2!D:E, 2, 0)</f>
        <v>variant</v>
      </c>
      <c r="E1174" s="4" t="str">
        <f>IFERROR(__xludf.DUMMYFUNCTION("if(H1174=""pays"",vlookup(REGEXEXTRACT(C1174, ""🏘️ \w+ \w+ (.*) ✅""),'Country prepositions'!A:B, 2, 0) &amp; "" "" &amp; REGEXEXTRACT(C1174, ""🏘️ \w+ \w+ (.*) ✅"") ,  if(H1174=""quartier"",vlookup(REGEXEXTRACT(C1174, ""🏘️ \w+ \w+ (.*) ✅""),'Quartier prepositio"&amp;"ns'!A:E, 5, 0) ,  if(H1174=""region"",vlookup(REGEXEXTRACT(C1174, ""🏘️ \w+ \w+ (.*) ✅""),'Region prepositions'!B:F, 5, 0),  REGEXEXTRACT(C1174, ""🏘️ \w+ \w+ (.*) ✅""))))"),"dans le quartier de Florissant - Malagnou (Genève)")</f>
        <v>dans le quartier de Florissant - Malagnou (Genève)</v>
      </c>
      <c r="F1174" s="2" t="str">
        <f>IFERROR(__xludf.DUMMYFUNCTION("REGEXEXTRACT(C1174, ""🏘️ (\w+) \w+ .* ✅"")"),"Louer")</f>
        <v>Louer</v>
      </c>
      <c r="G1174" s="2" t="str">
        <f>IFERROR(__xludf.DUMMYFUNCTION("REGEXEXTRACT(C1174, ""🏘️ \w+ (\w+) .* ✅"")"),"maison")</f>
        <v>maison</v>
      </c>
      <c r="H1174" s="4" t="str">
        <f>IFERROR(__xludf.DUMMYFUNCTION("REGEXEXTRACT(A1174, ""/(\w+)-.*?"")"),"quartier")</f>
        <v>quartier</v>
      </c>
      <c r="I1174" s="4" t="str">
        <f>IFERROR(__xludf.DUMMYFUNCTION("if(D1174=""variant"",  substitute(filter(Templates!E:E, Templates!A:A = F1174, Templates!B:B = G1174, Templates!C:C = H1174), ""{{}}"", E1174), B1174)"),"🏘  Vous cherchez une maison à louer dans le quartier de Florissant - Malagnou (Genève)? ✅ Découvrez nos nombreuses annonces sur ImmoScout24.ch.")</f>
        <v>🏘  Vous cherchez une maison à louer dans le quartier de Florissant - Malagnou (Genève)? ✅ Découvrez nos nombreuses annonces sur ImmoScout24.ch.</v>
      </c>
      <c r="J1174" s="4" t="s">
        <v>3526</v>
      </c>
    </row>
    <row r="1175">
      <c r="A1175" s="5" t="s">
        <v>3527</v>
      </c>
      <c r="B1175" s="2" t="s">
        <v>3528</v>
      </c>
      <c r="C1175" s="4" t="str">
        <f>IFERROR(__xludf.DUMMYFUNCTION("""🏘️ ""&amp;REGEXEXTRACT(B1175, ""^(.*): "")&amp;"" ✅ "" &amp;REGEXEXTRACT(B1175, ""(Trouvez.*)"")"),"🏘️ Vendre maison Meinier ✅ Trouvez le bien immobilier qui correspond idéalement à vos désirs sur ImmoScout24 - La plateforme de l'immobilier en Suisse.")</f>
        <v>🏘️ Vendre maison Meinier ✅ Trouvez le bien immobilier qui correspond idéalement à vos désirs sur ImmoScout24 - La plateforme de l'immobilier en Suisse.</v>
      </c>
      <c r="D1175" s="4" t="str">
        <f>vlookup(A1175, Sheet2!D:E, 2, 0)</f>
        <v>variant</v>
      </c>
      <c r="E1175" s="4" t="str">
        <f>IFERROR(__xludf.DUMMYFUNCTION("if(H1175=""pays"",vlookup(REGEXEXTRACT(C1175, ""🏘️ \w+ \w+ (.*) ✅""),'Country prepositions'!A:B, 2, 0) &amp; "" "" &amp; REGEXEXTRACT(C1175, ""🏘️ \w+ \w+ (.*) ✅"") ,  if(H1175=""quartier"",vlookup(REGEXEXTRACT(C1175, ""🏘️ \w+ \w+ (.*) ✅""),'Quartier prepositio"&amp;"ns'!A:E, 5, 0) ,  if(H1175=""region"",vlookup(REGEXEXTRACT(C1175, ""🏘️ \w+ \w+ (.*) ✅""),'Region prepositions'!B:F, 5, 0),  REGEXEXTRACT(C1175, ""🏘️ \w+ \w+ (.*) ✅""))))"),"Meinier")</f>
        <v>Meinier</v>
      </c>
      <c r="F1175" s="2" t="str">
        <f>IFERROR(__xludf.DUMMYFUNCTION("REGEXEXTRACT(C1175, ""🏘️ (\w+) \w+ .* ✅"")"),"Vendre")</f>
        <v>Vendre</v>
      </c>
      <c r="G1175" s="2" t="str">
        <f>IFERROR(__xludf.DUMMYFUNCTION("REGEXEXTRACT(C1175, ""🏘️ \w+ (\w+) .* ✅"")"),"maison")</f>
        <v>maison</v>
      </c>
      <c r="H1175" s="4" t="str">
        <f>IFERROR(__xludf.DUMMYFUNCTION("REGEXEXTRACT(A1175, ""/(\w+)-.*?"")"),"lieu")</f>
        <v>lieu</v>
      </c>
      <c r="I1175" s="4" t="str">
        <f>IFERROR(__xludf.DUMMYFUNCTION("if(D1175=""variant"",  substitute(filter(Templates!E:E, Templates!A:A = F1175, Templates!B:B = G1175, Templates!C:C = H1175), ""{{}}"", E1175), B1175)"),"🏘  Vous souhaitez acheter une maison à Meinier? ✅ Jetez un œil aux dernières offres sur ImmoScout24.ch.")</f>
        <v>🏘  Vous souhaitez acheter une maison à Meinier? ✅ Jetez un œil aux dernières offres sur ImmoScout24.ch.</v>
      </c>
      <c r="J1175" s="4" t="s">
        <v>3529</v>
      </c>
    </row>
    <row r="1176">
      <c r="A1176" s="5" t="s">
        <v>3530</v>
      </c>
      <c r="B1176" s="2" t="s">
        <v>3531</v>
      </c>
      <c r="C1176" s="4" t="str">
        <f>IFERROR(__xludf.DUMMYFUNCTION("""🏘️ ""&amp;REGEXEXTRACT(B1176, ""^(.*): "")&amp;"" ✅ "" &amp;REGEXEXTRACT(B1176, ""(Trouvez.*)"")"),"🏘️ Louer maison Solothurn ✅ Trouvez le bien immobilier qui correspond idéalement à vos désirs sur ImmoScout24 - La plateforme de l'immobilier en Suisse.")</f>
        <v>🏘️ Louer maison Solothurn ✅ Trouvez le bien immobilier qui correspond idéalement à vos désirs sur ImmoScout24 - La plateforme de l'immobilier en Suisse.</v>
      </c>
      <c r="D1176" s="4" t="str">
        <f>vlookup(A1176, Sheet2!D:E, 2, 0)</f>
        <v>variant</v>
      </c>
      <c r="E1176" s="4" t="str">
        <f>IFERROR(__xludf.DUMMYFUNCTION("if(H1176=""pays"",vlookup(REGEXEXTRACT(C1176, ""🏘️ \w+ \w+ (.*) ✅""),'Country prepositions'!A:B, 2, 0) &amp; "" "" &amp; REGEXEXTRACT(C1176, ""🏘️ \w+ \w+ (.*) ✅"") ,  if(H1176=""quartier"",vlookup(REGEXEXTRACT(C1176, ""🏘️ \w+ \w+ (.*) ✅""),'Quartier prepositio"&amp;"ns'!A:E, 5, 0) ,  if(H1176=""region"",vlookup(REGEXEXTRACT(C1176, ""🏘️ \w+ \w+ (.*) ✅""),'Region prepositions'!B:F, 5, 0),  REGEXEXTRACT(C1176, ""🏘️ \w+ \w+ (.*) ✅""))))"),"Solothurn")</f>
        <v>Solothurn</v>
      </c>
      <c r="F1176" s="2" t="str">
        <f>IFERROR(__xludf.DUMMYFUNCTION("REGEXEXTRACT(C1176, ""🏘️ (\w+) \w+ .* ✅"")"),"Louer")</f>
        <v>Louer</v>
      </c>
      <c r="G1176" s="2" t="str">
        <f>IFERROR(__xludf.DUMMYFUNCTION("REGEXEXTRACT(C1176, ""🏘️ \w+ (\w+) .* ✅"")"),"maison")</f>
        <v>maison</v>
      </c>
      <c r="H1176" s="4" t="str">
        <f>IFERROR(__xludf.DUMMYFUNCTION("REGEXEXTRACT(A1176, ""/(\w+)-.*?"")"),"lieu")</f>
        <v>lieu</v>
      </c>
      <c r="I1176" s="4" t="str">
        <f>IFERROR(__xludf.DUMMYFUNCTION("if(D1176=""variant"",  substitute(filter(Templates!E:E, Templates!A:A = F1176, Templates!B:B = G1176, Templates!C:C = H1176), ""{{}}"", E1176), B1176)"),"🏘  Vous cherchez une maison à louer à Solothurn? ✅ Découvrez nos nombreuses annonces sur ImmoScout24.ch.")</f>
        <v>🏘  Vous cherchez une maison à louer à Solothurn? ✅ Découvrez nos nombreuses annonces sur ImmoScout24.ch.</v>
      </c>
      <c r="J1176" s="4" t="s">
        <v>3532</v>
      </c>
    </row>
    <row r="1177">
      <c r="A1177" s="5" t="s">
        <v>3533</v>
      </c>
      <c r="B1177" s="2" t="s">
        <v>3534</v>
      </c>
      <c r="C1177" s="4" t="str">
        <f>IFERROR(__xludf.DUMMYFUNCTION("""🏘️ ""&amp;REGEXEXTRACT(B1177, ""^(.*): "")&amp;"" ✅ "" &amp;REGEXEXTRACT(B1177, ""(Trouvez.*)"")"),"🏘️ Louer appartement Châtillon FR ✅ Trouvez le bien immobilier qui correspond idéalement à vos désirs sur ImmoScout24 - La plateforme de l'immobilier en Suisse.")</f>
        <v>🏘️ Louer appartement Châtillon FR ✅ Trouvez le bien immobilier qui correspond idéalement à vos désirs sur ImmoScout24 - La plateforme de l'immobilier en Suisse.</v>
      </c>
      <c r="D1177" s="4" t="str">
        <f>vlookup(A1177, Sheet2!D:E, 2, 0)</f>
        <v>variant</v>
      </c>
      <c r="E1177" s="4" t="str">
        <f>IFERROR(__xludf.DUMMYFUNCTION("if(H1177=""pays"",vlookup(REGEXEXTRACT(C1177, ""🏘️ \w+ \w+ (.*) ✅""),'Country prepositions'!A:B, 2, 0) &amp; "" "" &amp; REGEXEXTRACT(C1177, ""🏘️ \w+ \w+ (.*) ✅"") ,  if(H1177=""quartier"",vlookup(REGEXEXTRACT(C1177, ""🏘️ \w+ \w+ (.*) ✅""),'Quartier prepositio"&amp;"ns'!A:E, 5, 0) ,  if(H1177=""region"",vlookup(REGEXEXTRACT(C1177, ""🏘️ \w+ \w+ (.*) ✅""),'Region prepositions'!B:F, 5, 0),  REGEXEXTRACT(C1177, ""🏘️ \w+ \w+ (.*) ✅""))))"),"Châtillon FR")</f>
        <v>Châtillon FR</v>
      </c>
      <c r="F1177" s="2" t="str">
        <f>IFERROR(__xludf.DUMMYFUNCTION("REGEXEXTRACT(C1177, ""🏘️ (\w+) \w+ .* ✅"")"),"Louer")</f>
        <v>Louer</v>
      </c>
      <c r="G1177" s="2" t="str">
        <f>IFERROR(__xludf.DUMMYFUNCTION("REGEXEXTRACT(C1177, ""🏘️ \w+ (\w+) .* ✅"")"),"appartement")</f>
        <v>appartement</v>
      </c>
      <c r="H1177" s="4" t="str">
        <f>IFERROR(__xludf.DUMMYFUNCTION("REGEXEXTRACT(A1177, ""/(\w+)-.*?"")"),"lieu")</f>
        <v>lieu</v>
      </c>
      <c r="I1177" s="4" t="str">
        <f>IFERROR(__xludf.DUMMYFUNCTION("if(D1177=""variant"",  substitute(filter(Templates!E:E, Templates!A:A = F1177, Templates!B:B = G1177, Templates!C:C = H1177), ""{{}}"", E1177), B1177)"),"🏘  Vous cherchez un appartement à louer à Châtillon FR? ✅ Les annonces les plus actuelles sont sur ImmoScout24.ch.")</f>
        <v>🏘  Vous cherchez un appartement à louer à Châtillon FR? ✅ Les annonces les plus actuelles sont sur ImmoScout24.ch.</v>
      </c>
      <c r="J1177" s="4" t="s">
        <v>3535</v>
      </c>
    </row>
    <row r="1178">
      <c r="A1178" s="5" t="s">
        <v>3536</v>
      </c>
      <c r="B1178" s="2" t="s">
        <v>3537</v>
      </c>
      <c r="C1178" s="4" t="str">
        <f>IFERROR(__xludf.DUMMYFUNCTION("""🏘️ ""&amp;REGEXEXTRACT(B1178, ""^(.*): "")&amp;"" ✅ "" &amp;REGEXEXTRACT(B1178, ""(Trouvez.*)"")"),"🏘️ Vendre maison Vallorbe ✅ Trouvez le bien immobilier qui correspond idéalement à vos désirs sur ImmoScout24 - La plateforme de l'immobilier en Suisse.")</f>
        <v>🏘️ Vendre maison Vallorbe ✅ Trouvez le bien immobilier qui correspond idéalement à vos désirs sur ImmoScout24 - La plateforme de l'immobilier en Suisse.</v>
      </c>
      <c r="D1178" s="4" t="str">
        <f>vlookup(A1178, Sheet2!D:E, 2, 0)</f>
        <v>variant</v>
      </c>
      <c r="E1178" s="4" t="str">
        <f>IFERROR(__xludf.DUMMYFUNCTION("if(H1178=""pays"",vlookup(REGEXEXTRACT(C1178, ""🏘️ \w+ \w+ (.*) ✅""),'Country prepositions'!A:B, 2, 0) &amp; "" "" &amp; REGEXEXTRACT(C1178, ""🏘️ \w+ \w+ (.*) ✅"") ,  if(H1178=""quartier"",vlookup(REGEXEXTRACT(C1178, ""🏘️ \w+ \w+ (.*) ✅""),'Quartier prepositio"&amp;"ns'!A:E, 5, 0) ,  if(H1178=""region"",vlookup(REGEXEXTRACT(C1178, ""🏘️ \w+ \w+ (.*) ✅""),'Region prepositions'!B:F, 5, 0),  REGEXEXTRACT(C1178, ""🏘️ \w+ \w+ (.*) ✅""))))"),"Vallorbe")</f>
        <v>Vallorbe</v>
      </c>
      <c r="F1178" s="2" t="str">
        <f>IFERROR(__xludf.DUMMYFUNCTION("REGEXEXTRACT(C1178, ""🏘️ (\w+) \w+ .* ✅"")"),"Vendre")</f>
        <v>Vendre</v>
      </c>
      <c r="G1178" s="2" t="str">
        <f>IFERROR(__xludf.DUMMYFUNCTION("REGEXEXTRACT(C1178, ""🏘️ \w+ (\w+) .* ✅"")"),"maison")</f>
        <v>maison</v>
      </c>
      <c r="H1178" s="4" t="str">
        <f>IFERROR(__xludf.DUMMYFUNCTION("REGEXEXTRACT(A1178, ""/(\w+)-.*?"")"),"lieu")</f>
        <v>lieu</v>
      </c>
      <c r="I1178" s="4" t="str">
        <f>IFERROR(__xludf.DUMMYFUNCTION("if(D1178=""variant"",  substitute(filter(Templates!E:E, Templates!A:A = F1178, Templates!B:B = G1178, Templates!C:C = H1178), ""{{}}"", E1178), B1178)"),"🏘  Vous souhaitez acheter une maison à Vallorbe? ✅ Jetez un œil aux dernières offres sur ImmoScout24.ch.")</f>
        <v>🏘  Vous souhaitez acheter une maison à Vallorbe? ✅ Jetez un œil aux dernières offres sur ImmoScout24.ch.</v>
      </c>
      <c r="J1178" s="4" t="s">
        <v>3538</v>
      </c>
    </row>
    <row r="1179">
      <c r="A1179" s="5" t="s">
        <v>3539</v>
      </c>
      <c r="B1179" s="2" t="s">
        <v>3540</v>
      </c>
      <c r="C1179" s="4" t="str">
        <f>IFERROR(__xludf.DUMMYFUNCTION("""🏘️ ""&amp;REGEXEXTRACT(B1179, ""^(.*): "")&amp;"" ✅ "" &amp;REGEXEXTRACT(B1179, ""(Trouvez.*)"")"),"🏘️ Louer appartement Fétigny ✅ Trouvez le bien immobilier qui correspond idéalement à vos désirs sur ImmoScout24 - La plateforme de l'immobilier en Suisse.")</f>
        <v>🏘️ Louer appartement Fétigny ✅ Trouvez le bien immobilier qui correspond idéalement à vos désirs sur ImmoScout24 - La plateforme de l'immobilier en Suisse.</v>
      </c>
      <c r="D1179" s="4" t="str">
        <f>vlookup(A1179, Sheet2!D:E, 2, 0)</f>
        <v>variant</v>
      </c>
      <c r="E1179" s="4" t="str">
        <f>IFERROR(__xludf.DUMMYFUNCTION("if(H1179=""pays"",vlookup(REGEXEXTRACT(C1179, ""🏘️ \w+ \w+ (.*) ✅""),'Country prepositions'!A:B, 2, 0) &amp; "" "" &amp; REGEXEXTRACT(C1179, ""🏘️ \w+ \w+ (.*) ✅"") ,  if(H1179=""quartier"",vlookup(REGEXEXTRACT(C1179, ""🏘️ \w+ \w+ (.*) ✅""),'Quartier prepositio"&amp;"ns'!A:E, 5, 0) ,  if(H1179=""region"",vlookup(REGEXEXTRACT(C1179, ""🏘️ \w+ \w+ (.*) ✅""),'Region prepositions'!B:F, 5, 0),  REGEXEXTRACT(C1179, ""🏘️ \w+ \w+ (.*) ✅""))))"),"Fétigny")</f>
        <v>Fétigny</v>
      </c>
      <c r="F1179" s="2" t="str">
        <f>IFERROR(__xludf.DUMMYFUNCTION("REGEXEXTRACT(C1179, ""🏘️ (\w+) \w+ .* ✅"")"),"Louer")</f>
        <v>Louer</v>
      </c>
      <c r="G1179" s="2" t="str">
        <f>IFERROR(__xludf.DUMMYFUNCTION("REGEXEXTRACT(C1179, ""🏘️ \w+ (\w+) .* ✅"")"),"appartement")</f>
        <v>appartement</v>
      </c>
      <c r="H1179" s="4" t="str">
        <f>IFERROR(__xludf.DUMMYFUNCTION("REGEXEXTRACT(A1179, ""/(\w+)-.*?"")"),"lieu")</f>
        <v>lieu</v>
      </c>
      <c r="I1179" s="4" t="str">
        <f>IFERROR(__xludf.DUMMYFUNCTION("if(D1179=""variant"",  substitute(filter(Templates!E:E, Templates!A:A = F1179, Templates!B:B = G1179, Templates!C:C = H1179), ""{{}}"", E1179), B1179)"),"🏘  Vous cherchez un appartement à louer à Fétigny? ✅ Les annonces les plus actuelles sont sur ImmoScout24.ch.")</f>
        <v>🏘  Vous cherchez un appartement à louer à Fétigny? ✅ Les annonces les plus actuelles sont sur ImmoScout24.ch.</v>
      </c>
      <c r="J1179" s="4" t="s">
        <v>3541</v>
      </c>
    </row>
    <row r="1180">
      <c r="A1180" s="5" t="s">
        <v>3542</v>
      </c>
      <c r="B1180" s="2" t="s">
        <v>3543</v>
      </c>
      <c r="C1180" s="4" t="str">
        <f>IFERROR(__xludf.DUMMYFUNCTION("""🏘️ ""&amp;REGEXEXTRACT(B1180, ""^(.*): "")&amp;"" ✅ "" &amp;REGEXEXTRACT(B1180, ""(Trouvez.*)"")"),"🏘️ Vendre appartement Giubiasco ✅ Trouvez le bien immobilier qui correspond idéalement à vos désirs sur ImmoScout24 - La plateforme de l'immobilier en Suisse.")</f>
        <v>🏘️ Vendre appartement Giubiasco ✅ Trouvez le bien immobilier qui correspond idéalement à vos désirs sur ImmoScout24 - La plateforme de l'immobilier en Suisse.</v>
      </c>
      <c r="D1180" s="4" t="str">
        <f>vlookup(A1180, Sheet2!D:E, 2, 0)</f>
        <v>variant</v>
      </c>
      <c r="E1180" s="4" t="str">
        <f>IFERROR(__xludf.DUMMYFUNCTION("if(H1180=""pays"",vlookup(REGEXEXTRACT(C1180, ""🏘️ \w+ \w+ (.*) ✅""),'Country prepositions'!A:B, 2, 0) &amp; "" "" &amp; REGEXEXTRACT(C1180, ""🏘️ \w+ \w+ (.*) ✅"") ,  if(H1180=""quartier"",vlookup(REGEXEXTRACT(C1180, ""🏘️ \w+ \w+ (.*) ✅""),'Quartier prepositio"&amp;"ns'!A:E, 5, 0) ,  if(H1180=""region"",vlookup(REGEXEXTRACT(C1180, ""🏘️ \w+ \w+ (.*) ✅""),'Region prepositions'!B:F, 5, 0),  REGEXEXTRACT(C1180, ""🏘️ \w+ \w+ (.*) ✅""))))"),"Giubiasco")</f>
        <v>Giubiasco</v>
      </c>
      <c r="F1180" s="2" t="str">
        <f>IFERROR(__xludf.DUMMYFUNCTION("REGEXEXTRACT(C1180, ""🏘️ (\w+) \w+ .* ✅"")"),"Vendre")</f>
        <v>Vendre</v>
      </c>
      <c r="G1180" s="2" t="str">
        <f>IFERROR(__xludf.DUMMYFUNCTION("REGEXEXTRACT(C1180, ""🏘️ \w+ (\w+) .* ✅"")"),"appartement")</f>
        <v>appartement</v>
      </c>
      <c r="H1180" s="4" t="str">
        <f>IFERROR(__xludf.DUMMYFUNCTION("REGEXEXTRACT(A1180, ""/(\w+)-.*?"")"),"lieu")</f>
        <v>lieu</v>
      </c>
      <c r="I1180" s="4" t="str">
        <f>IFERROR(__xludf.DUMMYFUNCTION("if(D1180=""variant"",  substitute(filter(Templates!E:E, Templates!A:A = F1180, Templates!B:B = G1180, Templates!C:C = H1180), ""{{}}"", E1180), B1180)"),"🏘  L’appartement de vos rêves se trouve sur ImmoScout24.ch ✅ Découvrez les dernières annonces de vente à Giubiasco.")</f>
        <v>🏘  L’appartement de vos rêves se trouve sur ImmoScout24.ch ✅ Découvrez les dernières annonces de vente à Giubiasco.</v>
      </c>
      <c r="J1180" s="4" t="s">
        <v>3544</v>
      </c>
    </row>
    <row r="1181">
      <c r="A1181" s="5" t="s">
        <v>3545</v>
      </c>
      <c r="B1181" s="2" t="s">
        <v>3546</v>
      </c>
      <c r="C1181" s="4" t="str">
        <f>IFERROR(__xludf.DUMMYFUNCTION("""🏘️ ""&amp;REGEXEXTRACT(B1181, ""^(.*): "")&amp;"" ✅ "" &amp;REGEXEXTRACT(B1181, ""(Trouvez.*)"")"),"🏘️ Vendre maison Chigny ✅ Trouvez le bien immobilier qui correspond idéalement à vos désirs sur ImmoScout24 - La plateforme de l'immobilier en Suisse.")</f>
        <v>🏘️ Vendre maison Chigny ✅ Trouvez le bien immobilier qui correspond idéalement à vos désirs sur ImmoScout24 - La plateforme de l'immobilier en Suisse.</v>
      </c>
      <c r="D1181" s="4" t="str">
        <f>vlookup(A1181, Sheet2!D:E, 2, 0)</f>
        <v>variant</v>
      </c>
      <c r="E1181" s="4" t="str">
        <f>IFERROR(__xludf.DUMMYFUNCTION("if(H1181=""pays"",vlookup(REGEXEXTRACT(C1181, ""🏘️ \w+ \w+ (.*) ✅""),'Country prepositions'!A:B, 2, 0) &amp; "" "" &amp; REGEXEXTRACT(C1181, ""🏘️ \w+ \w+ (.*) ✅"") ,  if(H1181=""quartier"",vlookup(REGEXEXTRACT(C1181, ""🏘️ \w+ \w+ (.*) ✅""),'Quartier prepositio"&amp;"ns'!A:E, 5, 0) ,  if(H1181=""region"",vlookup(REGEXEXTRACT(C1181, ""🏘️ \w+ \w+ (.*) ✅""),'Region prepositions'!B:F, 5, 0),  REGEXEXTRACT(C1181, ""🏘️ \w+ \w+ (.*) ✅""))))"),"Chigny")</f>
        <v>Chigny</v>
      </c>
      <c r="F1181" s="2" t="str">
        <f>IFERROR(__xludf.DUMMYFUNCTION("REGEXEXTRACT(C1181, ""🏘️ (\w+) \w+ .* ✅"")"),"Vendre")</f>
        <v>Vendre</v>
      </c>
      <c r="G1181" s="2" t="str">
        <f>IFERROR(__xludf.DUMMYFUNCTION("REGEXEXTRACT(C1181, ""🏘️ \w+ (\w+) .* ✅"")"),"maison")</f>
        <v>maison</v>
      </c>
      <c r="H1181" s="4" t="str">
        <f>IFERROR(__xludf.DUMMYFUNCTION("REGEXEXTRACT(A1181, ""/(\w+)-.*?"")"),"lieu")</f>
        <v>lieu</v>
      </c>
      <c r="I1181" s="4" t="str">
        <f>IFERROR(__xludf.DUMMYFUNCTION("if(D1181=""variant"",  substitute(filter(Templates!E:E, Templates!A:A = F1181, Templates!B:B = G1181, Templates!C:C = H1181), ""{{}}"", E1181), B1181)"),"🏘  Vous souhaitez acheter une maison à Chigny? ✅ Jetez un œil aux dernières offres sur ImmoScout24.ch.")</f>
        <v>🏘  Vous souhaitez acheter une maison à Chigny? ✅ Jetez un œil aux dernières offres sur ImmoScout24.ch.</v>
      </c>
      <c r="J1181" s="4" t="s">
        <v>3547</v>
      </c>
    </row>
    <row r="1182">
      <c r="A1182" s="5" t="s">
        <v>3548</v>
      </c>
      <c r="B1182" s="2" t="s">
        <v>3549</v>
      </c>
      <c r="C1182" s="4" t="str">
        <f>IFERROR(__xludf.DUMMYFUNCTION("""🏘️ ""&amp;REGEXEXTRACT(B1182, ""^(.*): "")&amp;"" ✅ "" &amp;REGEXEXTRACT(B1182, ""(Trouvez.*)"")"),"🏘️ Vendre maison Zürich ✅ Trouvez le bien immobilier qui correspond idéalement à vos désirs sur ImmoScout24 - La plateforme de l'immobilier en Suisse.")</f>
        <v>🏘️ Vendre maison Zürich ✅ Trouvez le bien immobilier qui correspond idéalement à vos désirs sur ImmoScout24 - La plateforme de l'immobilier en Suisse.</v>
      </c>
      <c r="D1182" s="4" t="str">
        <f>vlookup(A1182, Sheet2!D:E, 2, 0)</f>
        <v>variant</v>
      </c>
      <c r="E1182" s="4" t="str">
        <f>IFERROR(__xludf.DUMMYFUNCTION("if(H1182=""pays"",vlookup(REGEXEXTRACT(C1182, ""🏘️ \w+ \w+ (.*) ✅""),'Country prepositions'!A:B, 2, 0) &amp; "" "" &amp; REGEXEXTRACT(C1182, ""🏘️ \w+ \w+ (.*) ✅"") ,  if(H1182=""quartier"",vlookup(REGEXEXTRACT(C1182, ""🏘️ \w+ \w+ (.*) ✅""),'Quartier prepositio"&amp;"ns'!A:E, 5, 0) ,  if(H1182=""region"",vlookup(REGEXEXTRACT(C1182, ""🏘️ \w+ \w+ (.*) ✅""),'Region prepositions'!B:F, 5, 0),  REGEXEXTRACT(C1182, ""🏘️ \w+ \w+ (.*) ✅""))))"),"Zürich")</f>
        <v>Zürich</v>
      </c>
      <c r="F1182" s="2" t="str">
        <f>IFERROR(__xludf.DUMMYFUNCTION("REGEXEXTRACT(C1182, ""🏘️ (\w+) \w+ .* ✅"")"),"Vendre")</f>
        <v>Vendre</v>
      </c>
      <c r="G1182" s="2" t="str">
        <f>IFERROR(__xludf.DUMMYFUNCTION("REGEXEXTRACT(C1182, ""🏘️ \w+ (\w+) .* ✅"")"),"maison")</f>
        <v>maison</v>
      </c>
      <c r="H1182" s="4" t="str">
        <f>IFERROR(__xludf.DUMMYFUNCTION("REGEXEXTRACT(A1182, ""/(\w+)-.*?"")"),"lieu")</f>
        <v>lieu</v>
      </c>
      <c r="I1182" s="4" t="str">
        <f>IFERROR(__xludf.DUMMYFUNCTION("if(D1182=""variant"",  substitute(filter(Templates!E:E, Templates!A:A = F1182, Templates!B:B = G1182, Templates!C:C = H1182), ""{{}}"", E1182), B1182)"),"🏘  Vous souhaitez acheter une maison à Zürich? ✅ Jetez un œil aux dernières offres sur ImmoScout24.ch.")</f>
        <v>🏘  Vous souhaitez acheter une maison à Zürich? ✅ Jetez un œil aux dernières offres sur ImmoScout24.ch.</v>
      </c>
      <c r="J1182" s="4" t="s">
        <v>3550</v>
      </c>
    </row>
    <row r="1183">
      <c r="A1183" s="5" t="s">
        <v>3551</v>
      </c>
      <c r="B1183" s="2" t="s">
        <v>3552</v>
      </c>
      <c r="C1183" s="4" t="str">
        <f>IFERROR(__xludf.DUMMYFUNCTION("""🏘️ ""&amp;REGEXEXTRACT(B1183, ""^(.*): "")&amp;"" ✅ "" &amp;REGEXEXTRACT(B1183, ""(Trouvez.*)"")"),"🏘️ Louer appartement Fontaines-sur-Grandson ✅ Trouvez le bien immobilier qui correspond idéalement à vos désirs sur ImmoScout24 - La plateforme de l'immobilier en Suisse.")</f>
        <v>🏘️ Louer appartement Fontaines-sur-Grandson ✅ Trouvez le bien immobilier qui correspond idéalement à vos désirs sur ImmoScout24 - La plateforme de l'immobilier en Suisse.</v>
      </c>
      <c r="D1183" s="4" t="str">
        <f>vlookup(A1183, Sheet2!D:E, 2, 0)</f>
        <v>variant</v>
      </c>
      <c r="E1183" s="4" t="str">
        <f>IFERROR(__xludf.DUMMYFUNCTION("if(H1183=""pays"",vlookup(REGEXEXTRACT(C1183, ""🏘️ \w+ \w+ (.*) ✅""),'Country prepositions'!A:B, 2, 0) &amp; "" "" &amp; REGEXEXTRACT(C1183, ""🏘️ \w+ \w+ (.*) ✅"") ,  if(H1183=""quartier"",vlookup(REGEXEXTRACT(C1183, ""🏘️ \w+ \w+ (.*) ✅""),'Quartier prepositio"&amp;"ns'!A:E, 5, 0) ,  if(H1183=""region"",vlookup(REGEXEXTRACT(C1183, ""🏘️ \w+ \w+ (.*) ✅""),'Region prepositions'!B:F, 5, 0),  REGEXEXTRACT(C1183, ""🏘️ \w+ \w+ (.*) ✅""))))"),"Fontaines-sur-Grandson")</f>
        <v>Fontaines-sur-Grandson</v>
      </c>
      <c r="F1183" s="2" t="str">
        <f>IFERROR(__xludf.DUMMYFUNCTION("REGEXEXTRACT(C1183, ""🏘️ (\w+) \w+ .* ✅"")"),"Louer")</f>
        <v>Louer</v>
      </c>
      <c r="G1183" s="2" t="str">
        <f>IFERROR(__xludf.DUMMYFUNCTION("REGEXEXTRACT(C1183, ""🏘️ \w+ (\w+) .* ✅"")"),"appartement")</f>
        <v>appartement</v>
      </c>
      <c r="H1183" s="4" t="str">
        <f>IFERROR(__xludf.DUMMYFUNCTION("REGEXEXTRACT(A1183, ""/(\w+)-.*?"")"),"lieu")</f>
        <v>lieu</v>
      </c>
      <c r="I1183" s="4" t="str">
        <f>IFERROR(__xludf.DUMMYFUNCTION("if(D1183=""variant"",  substitute(filter(Templates!E:E, Templates!A:A = F1183, Templates!B:B = G1183, Templates!C:C = H1183), ""{{}}"", E1183), B1183)"),"🏘  Vous cherchez un appartement à louer à Fontaines-sur-Grandson? ✅ Les annonces les plus actuelles sont sur ImmoScout24.ch.")</f>
        <v>🏘  Vous cherchez un appartement à louer à Fontaines-sur-Grandson? ✅ Les annonces les plus actuelles sont sur ImmoScout24.ch.</v>
      </c>
      <c r="J1183" s="4" t="s">
        <v>3553</v>
      </c>
    </row>
    <row r="1184">
      <c r="A1184" s="5" t="s">
        <v>3554</v>
      </c>
      <c r="B1184" s="2" t="s">
        <v>3555</v>
      </c>
      <c r="C1184" s="4" t="str">
        <f>IFERROR(__xludf.DUMMYFUNCTION("""🏘️ ""&amp;REGEXEXTRACT(B1184, ""^(.*): "")&amp;"" ✅ "" &amp;REGEXEXTRACT(B1184, ""(Trouvez.*)"")"),"🏘️ Vendre maison Les Vieux-Prés ✅ Trouvez le bien immobilier qui correspond idéalement à vos désirs sur ImmoScout24 - La plateforme de l'immobilier en Suisse.")</f>
        <v>🏘️ Vendre maison Les Vieux-Prés ✅ Trouvez le bien immobilier qui correspond idéalement à vos désirs sur ImmoScout24 - La plateforme de l'immobilier en Suisse.</v>
      </c>
      <c r="D1184" s="4" t="str">
        <f>vlookup(A1184, Sheet2!D:E, 2, 0)</f>
        <v>variant</v>
      </c>
      <c r="E1184" s="4" t="str">
        <f>IFERROR(__xludf.DUMMYFUNCTION("if(H1184=""pays"",vlookup(REGEXEXTRACT(C1184, ""🏘️ \w+ \w+ (.*) ✅""),'Country prepositions'!A:B, 2, 0) &amp; "" "" &amp; REGEXEXTRACT(C1184, ""🏘️ \w+ \w+ (.*) ✅"") ,  if(H1184=""quartier"",vlookup(REGEXEXTRACT(C1184, ""🏘️ \w+ \w+ (.*) ✅""),'Quartier prepositio"&amp;"ns'!A:E, 5, 0) ,  if(H1184=""region"",vlookup(REGEXEXTRACT(C1184, ""🏘️ \w+ \w+ (.*) ✅""),'Region prepositions'!B:F, 5, 0),  REGEXEXTRACT(C1184, ""🏘️ \w+ \w+ (.*) ✅""))))"),"Les Vieux-Prés")</f>
        <v>Les Vieux-Prés</v>
      </c>
      <c r="F1184" s="2" t="str">
        <f>IFERROR(__xludf.DUMMYFUNCTION("REGEXEXTRACT(C1184, ""🏘️ (\w+) \w+ .* ✅"")"),"Vendre")</f>
        <v>Vendre</v>
      </c>
      <c r="G1184" s="2" t="str">
        <f>IFERROR(__xludf.DUMMYFUNCTION("REGEXEXTRACT(C1184, ""🏘️ \w+ (\w+) .* ✅"")"),"maison")</f>
        <v>maison</v>
      </c>
      <c r="H1184" s="4" t="str">
        <f>IFERROR(__xludf.DUMMYFUNCTION("REGEXEXTRACT(A1184, ""/(\w+)-.*?"")"),"lieu")</f>
        <v>lieu</v>
      </c>
      <c r="I1184" s="4" t="str">
        <f>IFERROR(__xludf.DUMMYFUNCTION("if(D1184=""variant"",  substitute(filter(Templates!E:E, Templates!A:A = F1184, Templates!B:B = G1184, Templates!C:C = H1184), ""{{}}"", E1184), B1184)"),"🏘  Vous souhaitez acheter une maison à Les Vieux-Prés? ✅ Jetez un œil aux dernières offres sur ImmoScout24.ch.")</f>
        <v>🏘  Vous souhaitez acheter une maison à Les Vieux-Prés? ✅ Jetez un œil aux dernières offres sur ImmoScout24.ch.</v>
      </c>
      <c r="J1184" s="2" t="s">
        <v>3556</v>
      </c>
    </row>
    <row r="1185">
      <c r="A1185" s="5" t="s">
        <v>3557</v>
      </c>
      <c r="B1185" s="2" t="s">
        <v>3558</v>
      </c>
      <c r="C1185" s="4" t="str">
        <f>IFERROR(__xludf.DUMMYFUNCTION("""🏘️ ""&amp;REGEXEXTRACT(B1185, ""^(.*): "")&amp;"" ✅ "" &amp;REGEXEXTRACT(B1185, ""(Trouvez.*)"")"),"🏘️ Vendre appartement Wengen ✅ Trouvez le bien immobilier qui correspond idéalement à vos désirs sur ImmoScout24 - La plateforme de l'immobilier en Suisse.")</f>
        <v>🏘️ Vendre appartement Wengen ✅ Trouvez le bien immobilier qui correspond idéalement à vos désirs sur ImmoScout24 - La plateforme de l'immobilier en Suisse.</v>
      </c>
      <c r="D1185" s="4" t="str">
        <f>vlookup(A1185, Sheet2!D:E, 2, 0)</f>
        <v>variant</v>
      </c>
      <c r="E1185" s="4" t="str">
        <f>IFERROR(__xludf.DUMMYFUNCTION("if(H1185=""pays"",vlookup(REGEXEXTRACT(C1185, ""🏘️ \w+ \w+ (.*) ✅""),'Country prepositions'!A:B, 2, 0) &amp; "" "" &amp; REGEXEXTRACT(C1185, ""🏘️ \w+ \w+ (.*) ✅"") ,  if(H1185=""quartier"",vlookup(REGEXEXTRACT(C1185, ""🏘️ \w+ \w+ (.*) ✅""),'Quartier prepositio"&amp;"ns'!A:E, 5, 0) ,  if(H1185=""region"",vlookup(REGEXEXTRACT(C1185, ""🏘️ \w+ \w+ (.*) ✅""),'Region prepositions'!B:F, 5, 0),  REGEXEXTRACT(C1185, ""🏘️ \w+ \w+ (.*) ✅""))))"),"Wengen")</f>
        <v>Wengen</v>
      </c>
      <c r="F1185" s="2" t="str">
        <f>IFERROR(__xludf.DUMMYFUNCTION("REGEXEXTRACT(C1185, ""🏘️ (\w+) \w+ .* ✅"")"),"Vendre")</f>
        <v>Vendre</v>
      </c>
      <c r="G1185" s="2" t="str">
        <f>IFERROR(__xludf.DUMMYFUNCTION("REGEXEXTRACT(C1185, ""🏘️ \w+ (\w+) .* ✅"")"),"appartement")</f>
        <v>appartement</v>
      </c>
      <c r="H1185" s="4" t="str">
        <f>IFERROR(__xludf.DUMMYFUNCTION("REGEXEXTRACT(A1185, ""/(\w+)-.*?"")"),"lieu")</f>
        <v>lieu</v>
      </c>
      <c r="I1185" s="4" t="str">
        <f>IFERROR(__xludf.DUMMYFUNCTION("if(D1185=""variant"",  substitute(filter(Templates!E:E, Templates!A:A = F1185, Templates!B:B = G1185, Templates!C:C = H1185), ""{{}}"", E1185), B1185)"),"🏘  L’appartement de vos rêves se trouve sur ImmoScout24.ch ✅ Découvrez les dernières annonces de vente à Wengen.")</f>
        <v>🏘  L’appartement de vos rêves se trouve sur ImmoScout24.ch ✅ Découvrez les dernières annonces de vente à Wengen.</v>
      </c>
      <c r="J1185" s="4" t="s">
        <v>3559</v>
      </c>
    </row>
    <row r="1186">
      <c r="A1186" s="5" t="s">
        <v>3560</v>
      </c>
      <c r="B1186" s="2" t="s">
        <v>3561</v>
      </c>
      <c r="C1186" s="4" t="str">
        <f>IFERROR(__xludf.DUMMYFUNCTION("""🏘️ ""&amp;REGEXEXTRACT(B1186, ""^(.*): "")&amp;"" ✅ "" &amp;REGEXEXTRACT(B1186, ""(Trouvez.*)"")"),"🏘️ Louer appartement Vens (Sembrancher) ✅ Trouvez le bien immobilier qui correspond idéalement à vos désirs sur ImmoScout24 - La plateforme de l'immobilier en Suisse.")</f>
        <v>🏘️ Louer appartement Vens (Sembrancher) ✅ Trouvez le bien immobilier qui correspond idéalement à vos désirs sur ImmoScout24 - La plateforme de l'immobilier en Suisse.</v>
      </c>
      <c r="D1186" s="4" t="str">
        <f>vlookup(A1186, Sheet2!D:E, 2, 0)</f>
        <v>variant</v>
      </c>
      <c r="E1186" s="4" t="str">
        <f>IFERROR(__xludf.DUMMYFUNCTION("if(H1186=""pays"",vlookup(REGEXEXTRACT(C1186, ""🏘️ \w+ \w+ (.*) ✅""),'Country prepositions'!A:B, 2, 0) &amp; "" "" &amp; REGEXEXTRACT(C1186, ""🏘️ \w+ \w+ (.*) ✅"") ,  if(H1186=""quartier"",vlookup(REGEXEXTRACT(C1186, ""🏘️ \w+ \w+ (.*) ✅""),'Quartier prepositio"&amp;"ns'!A:E, 5, 0) ,  if(H1186=""region"",vlookup(REGEXEXTRACT(C1186, ""🏘️ \w+ \w+ (.*) ✅""),'Region prepositions'!B:F, 5, 0),  REGEXEXTRACT(C1186, ""🏘️ \w+ \w+ (.*) ✅""))))"),"Vens (Sembrancher)")</f>
        <v>Vens (Sembrancher)</v>
      </c>
      <c r="F1186" s="2" t="str">
        <f>IFERROR(__xludf.DUMMYFUNCTION("REGEXEXTRACT(C1186, ""🏘️ (\w+) \w+ .* ✅"")"),"Louer")</f>
        <v>Louer</v>
      </c>
      <c r="G1186" s="2" t="str">
        <f>IFERROR(__xludf.DUMMYFUNCTION("REGEXEXTRACT(C1186, ""🏘️ \w+ (\w+) .* ✅"")"),"appartement")</f>
        <v>appartement</v>
      </c>
      <c r="H1186" s="4" t="str">
        <f>IFERROR(__xludf.DUMMYFUNCTION("REGEXEXTRACT(A1186, ""/(\w+)-.*?"")"),"lieu")</f>
        <v>lieu</v>
      </c>
      <c r="I1186" s="4" t="str">
        <f>IFERROR(__xludf.DUMMYFUNCTION("if(D1186=""variant"",  substitute(filter(Templates!E:E, Templates!A:A = F1186, Templates!B:B = G1186, Templates!C:C = H1186), ""{{}}"", E1186), B1186)"),"🏘  Vous cherchez un appartement à louer à Vens (Sembrancher)? ✅ Les annonces les plus actuelles sont sur ImmoScout24.ch.")</f>
        <v>🏘  Vous cherchez un appartement à louer à Vens (Sembrancher)? ✅ Les annonces les plus actuelles sont sur ImmoScout24.ch.</v>
      </c>
      <c r="J1186" s="4" t="s">
        <v>3562</v>
      </c>
    </row>
    <row r="1187">
      <c r="A1187" s="5" t="s">
        <v>3563</v>
      </c>
      <c r="B1187" s="2" t="s">
        <v>3564</v>
      </c>
      <c r="C1187" s="4" t="str">
        <f>IFERROR(__xludf.DUMMYFUNCTION("""🏘️ ""&amp;REGEXEXTRACT(B1187, ""^(.*): "")&amp;"" ✅ "" &amp;REGEXEXTRACT(B1187, ""(Trouvez.*)"")"),"🏘️ Vendre maison Delémont ✅ Trouvez le bien immobilier qui correspond idéalement à vos désirs sur ImmoScout24 - La plateforme de l'immobilier en Suisse.")</f>
        <v>🏘️ Vendre maison Delémont ✅ Trouvez le bien immobilier qui correspond idéalement à vos désirs sur ImmoScout24 - La plateforme de l'immobilier en Suisse.</v>
      </c>
      <c r="D1187" s="4" t="str">
        <f>vlookup(A1187, Sheet2!D:E, 2, 0)</f>
        <v>variant</v>
      </c>
      <c r="E1187" s="4" t="str">
        <f>IFERROR(__xludf.DUMMYFUNCTION("if(H1187=""pays"",vlookup(REGEXEXTRACT(C1187, ""🏘️ \w+ \w+ (.*) ✅""),'Country prepositions'!A:B, 2, 0) &amp; "" "" &amp; REGEXEXTRACT(C1187, ""🏘️ \w+ \w+ (.*) ✅"") ,  if(H1187=""quartier"",vlookup(REGEXEXTRACT(C1187, ""🏘️ \w+ \w+ (.*) ✅""),'Quartier prepositio"&amp;"ns'!A:E, 5, 0) ,  if(H1187=""region"",vlookup(REGEXEXTRACT(C1187, ""🏘️ \w+ \w+ (.*) ✅""),'Region prepositions'!B:F, 5, 0),  REGEXEXTRACT(C1187, ""🏘️ \w+ \w+ (.*) ✅""))))"),"Delémont")</f>
        <v>Delémont</v>
      </c>
      <c r="F1187" s="2" t="str">
        <f>IFERROR(__xludf.DUMMYFUNCTION("REGEXEXTRACT(C1187, ""🏘️ (\w+) \w+ .* ✅"")"),"Vendre")</f>
        <v>Vendre</v>
      </c>
      <c r="G1187" s="2" t="str">
        <f>IFERROR(__xludf.DUMMYFUNCTION("REGEXEXTRACT(C1187, ""🏘️ \w+ (\w+) .* ✅"")"),"maison")</f>
        <v>maison</v>
      </c>
      <c r="H1187" s="4" t="str">
        <f>IFERROR(__xludf.DUMMYFUNCTION("REGEXEXTRACT(A1187, ""/(\w+)-.*?"")"),"lieu")</f>
        <v>lieu</v>
      </c>
      <c r="I1187" s="4" t="str">
        <f>IFERROR(__xludf.DUMMYFUNCTION("if(D1187=""variant"",  substitute(filter(Templates!E:E, Templates!A:A = F1187, Templates!B:B = G1187, Templates!C:C = H1187), ""{{}}"", E1187), B1187)"),"🏘  Vous souhaitez acheter une maison à Delémont? ✅ Jetez un œil aux dernières offres sur ImmoScout24.ch.")</f>
        <v>🏘  Vous souhaitez acheter une maison à Delémont? ✅ Jetez un œil aux dernières offres sur ImmoScout24.ch.</v>
      </c>
      <c r="J1187" s="4" t="s">
        <v>3565</v>
      </c>
    </row>
    <row r="1188">
      <c r="A1188" s="5" t="s">
        <v>3566</v>
      </c>
      <c r="B1188" s="2" t="s">
        <v>3567</v>
      </c>
      <c r="C1188" s="4" t="str">
        <f>IFERROR(__xludf.DUMMYFUNCTION("""🏘️ ""&amp;REGEXEXTRACT(B1188, ""^(.*): "")&amp;"" ✅ "" &amp;REGEXEXTRACT(B1188, ""(Trouvez.*)"")"),"🏘️ Louer appartement Alle ✅ Trouvez le bien immobilier qui correspond idéalement à vos désirs sur ImmoScout24 - La plateforme de l'immobilier en Suisse.")</f>
        <v>🏘️ Louer appartement Alle ✅ Trouvez le bien immobilier qui correspond idéalement à vos désirs sur ImmoScout24 - La plateforme de l'immobilier en Suisse.</v>
      </c>
      <c r="D1188" s="4" t="str">
        <f>vlookup(A1188, Sheet2!D:E, 2, 0)</f>
        <v>variant</v>
      </c>
      <c r="E1188" s="4" t="str">
        <f>IFERROR(__xludf.DUMMYFUNCTION("if(H1188=""pays"",vlookup(REGEXEXTRACT(C1188, ""🏘️ \w+ \w+ (.*) ✅""),'Country prepositions'!A:B, 2, 0) &amp; "" "" &amp; REGEXEXTRACT(C1188, ""🏘️ \w+ \w+ (.*) ✅"") ,  if(H1188=""quartier"",vlookup(REGEXEXTRACT(C1188, ""🏘️ \w+ \w+ (.*) ✅""),'Quartier prepositio"&amp;"ns'!A:E, 5, 0) ,  if(H1188=""region"",vlookup(REGEXEXTRACT(C1188, ""🏘️ \w+ \w+ (.*) ✅""),'Region prepositions'!B:F, 5, 0),  REGEXEXTRACT(C1188, ""🏘️ \w+ \w+ (.*) ✅""))))"),"Alle")</f>
        <v>Alle</v>
      </c>
      <c r="F1188" s="2" t="str">
        <f>IFERROR(__xludf.DUMMYFUNCTION("REGEXEXTRACT(C1188, ""🏘️ (\w+) \w+ .* ✅"")"),"Louer")</f>
        <v>Louer</v>
      </c>
      <c r="G1188" s="2" t="str">
        <f>IFERROR(__xludf.DUMMYFUNCTION("REGEXEXTRACT(C1188, ""🏘️ \w+ (\w+) .* ✅"")"),"appartement")</f>
        <v>appartement</v>
      </c>
      <c r="H1188" s="4" t="str">
        <f>IFERROR(__xludf.DUMMYFUNCTION("REGEXEXTRACT(A1188, ""/(\w+)-.*?"")"),"lieu")</f>
        <v>lieu</v>
      </c>
      <c r="I1188" s="4" t="str">
        <f>IFERROR(__xludf.DUMMYFUNCTION("if(D1188=""variant"",  substitute(filter(Templates!E:E, Templates!A:A = F1188, Templates!B:B = G1188, Templates!C:C = H1188), ""{{}}"", E1188), B1188)"),"🏘  Vous cherchez un appartement à louer à Alle? ✅ Les annonces les plus actuelles sont sur ImmoScout24.ch.")</f>
        <v>🏘  Vous cherchez un appartement à louer à Alle? ✅ Les annonces les plus actuelles sont sur ImmoScout24.ch.</v>
      </c>
      <c r="J1188" s="4" t="s">
        <v>3568</v>
      </c>
    </row>
    <row r="1189">
      <c r="A1189" s="5" t="s">
        <v>3569</v>
      </c>
      <c r="B1189" s="2" t="s">
        <v>3570</v>
      </c>
      <c r="C1189" s="4" t="str">
        <f>IFERROR(__xludf.DUMMYFUNCTION("""🏘️ ""&amp;REGEXEXTRACT(B1189, ""^(.*): "")&amp;"" ✅ "" &amp;REGEXEXTRACT(B1189, ""(Trouvez.*)"")"),"🏘️ Louer appartement Neufeld (Berne) ✅ Trouvez le bien immobilier qui correspond idéalement à vos désirs sur ImmoScout24 - La plateforme de l'immobilier en Suisse.")</f>
        <v>🏘️ Louer appartement Neufeld (Berne) ✅ Trouvez le bien immobilier qui correspond idéalement à vos désirs sur ImmoScout24 - La plateforme de l'immobilier en Suisse.</v>
      </c>
      <c r="D1189" s="4" t="str">
        <f>vlookup(A1189, Sheet2!D:E, 2, 0)</f>
        <v>variant</v>
      </c>
      <c r="E1189" s="4" t="str">
        <f>IFERROR(__xludf.DUMMYFUNCTION("if(H1189=""pays"",vlookup(REGEXEXTRACT(C1189, ""🏘️ \w+ \w+ (.*) ✅""),'Country prepositions'!A:B, 2, 0) &amp; "" "" &amp; REGEXEXTRACT(C1189, ""🏘️ \w+ \w+ (.*) ✅"") ,  if(H1189=""quartier"",vlookup(REGEXEXTRACT(C1189, ""🏘️ \w+ \w+ (.*) ✅""),'Quartier prepositio"&amp;"ns'!A:E, 5, 0) ,  if(H1189=""region"",vlookup(REGEXEXTRACT(C1189, ""🏘️ \w+ \w+ (.*) ✅""),'Region prepositions'!B:F, 5, 0),  REGEXEXTRACT(C1189, ""🏘️ \w+ \w+ (.*) ✅""))))"),"dans le quartier de Neufeld (Berne)")</f>
        <v>dans le quartier de Neufeld (Berne)</v>
      </c>
      <c r="F1189" s="2" t="str">
        <f>IFERROR(__xludf.DUMMYFUNCTION("REGEXEXTRACT(C1189, ""🏘️ (\w+) \w+ .* ✅"")"),"Louer")</f>
        <v>Louer</v>
      </c>
      <c r="G1189" s="2" t="str">
        <f>IFERROR(__xludf.DUMMYFUNCTION("REGEXEXTRACT(C1189, ""🏘️ \w+ (\w+) .* ✅"")"),"appartement")</f>
        <v>appartement</v>
      </c>
      <c r="H1189" s="4" t="str">
        <f>IFERROR(__xludf.DUMMYFUNCTION("REGEXEXTRACT(A1189, ""/(\w+)-.*?"")"),"quartier")</f>
        <v>quartier</v>
      </c>
      <c r="I1189" s="4" t="str">
        <f>IFERROR(__xludf.DUMMYFUNCTION("if(D1189=""variant"",  substitute(filter(Templates!E:E, Templates!A:A = F1189, Templates!B:B = G1189, Templates!C:C = H1189), ""{{}}"", E1189), B1189)"),"🏘  Vous cherchez un appartement à louer dans le quartier de Neufeld (Berne)? ✅ Les annonces les plus actuelles sont sur ImmoScout24.ch.")</f>
        <v>🏘  Vous cherchez un appartement à louer dans le quartier de Neufeld (Berne)? ✅ Les annonces les plus actuelles sont sur ImmoScout24.ch.</v>
      </c>
      <c r="J1189" s="4" t="s">
        <v>3571</v>
      </c>
    </row>
    <row r="1190">
      <c r="A1190" s="5" t="s">
        <v>3572</v>
      </c>
      <c r="B1190" s="2" t="s">
        <v>3573</v>
      </c>
      <c r="C1190" s="4" t="str">
        <f>IFERROR(__xludf.DUMMYFUNCTION("""🏘️ ""&amp;REGEXEXTRACT(B1190, ""^(.*): "")&amp;"" ✅ "" &amp;REGEXEXTRACT(B1190, ""(Trouvez.*)"")"),"🏘️ Louer appartement Marsens ✅ Trouvez le bien immobilier qui correspond idéalement à vos désirs sur ImmoScout24 - La plateforme de l'immobilier en Suisse.")</f>
        <v>🏘️ Louer appartement Marsens ✅ Trouvez le bien immobilier qui correspond idéalement à vos désirs sur ImmoScout24 - La plateforme de l'immobilier en Suisse.</v>
      </c>
      <c r="D1190" s="4" t="str">
        <f>vlookup(A1190, Sheet2!D:E, 2, 0)</f>
        <v>variant</v>
      </c>
      <c r="E1190" s="4" t="str">
        <f>IFERROR(__xludf.DUMMYFUNCTION("if(H1190=""pays"",vlookup(REGEXEXTRACT(C1190, ""🏘️ \w+ \w+ (.*) ✅""),'Country prepositions'!A:B, 2, 0) &amp; "" "" &amp; REGEXEXTRACT(C1190, ""🏘️ \w+ \w+ (.*) ✅"") ,  if(H1190=""quartier"",vlookup(REGEXEXTRACT(C1190, ""🏘️ \w+ \w+ (.*) ✅""),'Quartier prepositio"&amp;"ns'!A:E, 5, 0) ,  if(H1190=""region"",vlookup(REGEXEXTRACT(C1190, ""🏘️ \w+ \w+ (.*) ✅""),'Region prepositions'!B:F, 5, 0),  REGEXEXTRACT(C1190, ""🏘️ \w+ \w+ (.*) ✅""))))"),"Marsens")</f>
        <v>Marsens</v>
      </c>
      <c r="F1190" s="2" t="str">
        <f>IFERROR(__xludf.DUMMYFUNCTION("REGEXEXTRACT(C1190, ""🏘️ (\w+) \w+ .* ✅"")"),"Louer")</f>
        <v>Louer</v>
      </c>
      <c r="G1190" s="2" t="str">
        <f>IFERROR(__xludf.DUMMYFUNCTION("REGEXEXTRACT(C1190, ""🏘️ \w+ (\w+) .* ✅"")"),"appartement")</f>
        <v>appartement</v>
      </c>
      <c r="H1190" s="4" t="str">
        <f>IFERROR(__xludf.DUMMYFUNCTION("REGEXEXTRACT(A1190, ""/(\w+)-.*?"")"),"lieu")</f>
        <v>lieu</v>
      </c>
      <c r="I1190" s="4" t="str">
        <f>IFERROR(__xludf.DUMMYFUNCTION("if(D1190=""variant"",  substitute(filter(Templates!E:E, Templates!A:A = F1190, Templates!B:B = G1190, Templates!C:C = H1190), ""{{}}"", E1190), B1190)"),"🏘  Vous cherchez un appartement à louer à Marsens? ✅ Les annonces les plus actuelles sont sur ImmoScout24.ch.")</f>
        <v>🏘  Vous cherchez un appartement à louer à Marsens? ✅ Les annonces les plus actuelles sont sur ImmoScout24.ch.</v>
      </c>
      <c r="J1190" s="4" t="s">
        <v>3574</v>
      </c>
    </row>
    <row r="1191">
      <c r="A1191" s="5" t="s">
        <v>3575</v>
      </c>
      <c r="B1191" s="2" t="s">
        <v>3576</v>
      </c>
      <c r="C1191" s="4" t="str">
        <f>IFERROR(__xludf.DUMMYFUNCTION("""🏘️ ""&amp;REGEXEXTRACT(B1191, ""^(.*): "")&amp;"" ✅ "" &amp;REGEXEXTRACT(B1191, ""(Trouvez.*)"")"),"🏘️ Vendre maison Chesalles-sur-Moudon ✅ Trouvez le bien immobilier qui correspond idéalement à vos désirs sur ImmoScout24 - La plateforme de l'immobilier en Suisse.")</f>
        <v>🏘️ Vendre maison Chesalles-sur-Moudon ✅ Trouvez le bien immobilier qui correspond idéalement à vos désirs sur ImmoScout24 - La plateforme de l'immobilier en Suisse.</v>
      </c>
      <c r="D1191" s="4" t="str">
        <f>vlookup(A1191, Sheet2!D:E, 2, 0)</f>
        <v>variant</v>
      </c>
      <c r="E1191" s="4" t="str">
        <f>IFERROR(__xludf.DUMMYFUNCTION("if(H1191=""pays"",vlookup(REGEXEXTRACT(C1191, ""🏘️ \w+ \w+ (.*) ✅""),'Country prepositions'!A:B, 2, 0) &amp; "" "" &amp; REGEXEXTRACT(C1191, ""🏘️ \w+ \w+ (.*) ✅"") ,  if(H1191=""quartier"",vlookup(REGEXEXTRACT(C1191, ""🏘️ \w+ \w+ (.*) ✅""),'Quartier prepositio"&amp;"ns'!A:E, 5, 0) ,  if(H1191=""region"",vlookup(REGEXEXTRACT(C1191, ""🏘️ \w+ \w+ (.*) ✅""),'Region prepositions'!B:F, 5, 0),  REGEXEXTRACT(C1191, ""🏘️ \w+ \w+ (.*) ✅""))))"),"Chesalles-sur-Moudon")</f>
        <v>Chesalles-sur-Moudon</v>
      </c>
      <c r="F1191" s="2" t="str">
        <f>IFERROR(__xludf.DUMMYFUNCTION("REGEXEXTRACT(C1191, ""🏘️ (\w+) \w+ .* ✅"")"),"Vendre")</f>
        <v>Vendre</v>
      </c>
      <c r="G1191" s="2" t="str">
        <f>IFERROR(__xludf.DUMMYFUNCTION("REGEXEXTRACT(C1191, ""🏘️ \w+ (\w+) .* ✅"")"),"maison")</f>
        <v>maison</v>
      </c>
      <c r="H1191" s="4" t="str">
        <f>IFERROR(__xludf.DUMMYFUNCTION("REGEXEXTRACT(A1191, ""/(\w+)-.*?"")"),"lieu")</f>
        <v>lieu</v>
      </c>
      <c r="I1191" s="4" t="str">
        <f>IFERROR(__xludf.DUMMYFUNCTION("if(D1191=""variant"",  substitute(filter(Templates!E:E, Templates!A:A = F1191, Templates!B:B = G1191, Templates!C:C = H1191), ""{{}}"", E1191), B1191)"),"🏘  Vous souhaitez acheter une maison à Chesalles-sur-Moudon? ✅ Jetez un œil aux dernières offres sur ImmoScout24.ch.")</f>
        <v>🏘  Vous souhaitez acheter une maison à Chesalles-sur-Moudon? ✅ Jetez un œil aux dernières offres sur ImmoScout24.ch.</v>
      </c>
      <c r="J1191" s="4" t="s">
        <v>3577</v>
      </c>
    </row>
    <row r="1192">
      <c r="A1192" s="5" t="s">
        <v>3578</v>
      </c>
      <c r="B1192" s="2" t="s">
        <v>3579</v>
      </c>
      <c r="C1192" s="4" t="str">
        <f>IFERROR(__xludf.DUMMYFUNCTION("""🏘️ ""&amp;REGEXEXTRACT(B1192, ""^(.*): "")&amp;"" ✅ "" &amp;REGEXEXTRACT(B1192, ""(Trouvez.*)"")"),"🏘️ Louer appartement Cormagens ✅ Trouvez le bien immobilier qui correspond idéalement à vos désirs sur ImmoScout24 - La plateforme de l'immobilier en Suisse.")</f>
        <v>🏘️ Louer appartement Cormagens ✅ Trouvez le bien immobilier qui correspond idéalement à vos désirs sur ImmoScout24 - La plateforme de l'immobilier en Suisse.</v>
      </c>
      <c r="D1192" s="4" t="str">
        <f>vlookup(A1192, Sheet2!D:E, 2, 0)</f>
        <v>variant</v>
      </c>
      <c r="E1192" s="4" t="str">
        <f>IFERROR(__xludf.DUMMYFUNCTION("if(H1192=""pays"",vlookup(REGEXEXTRACT(C1192, ""🏘️ \w+ \w+ (.*) ✅""),'Country prepositions'!A:B, 2, 0) &amp; "" "" &amp; REGEXEXTRACT(C1192, ""🏘️ \w+ \w+ (.*) ✅"") ,  if(H1192=""quartier"",vlookup(REGEXEXTRACT(C1192, ""🏘️ \w+ \w+ (.*) ✅""),'Quartier prepositio"&amp;"ns'!A:E, 5, 0) ,  if(H1192=""region"",vlookup(REGEXEXTRACT(C1192, ""🏘️ \w+ \w+ (.*) ✅""),'Region prepositions'!B:F, 5, 0),  REGEXEXTRACT(C1192, ""🏘️ \w+ \w+ (.*) ✅""))))"),"Cormagens")</f>
        <v>Cormagens</v>
      </c>
      <c r="F1192" s="2" t="str">
        <f>IFERROR(__xludf.DUMMYFUNCTION("REGEXEXTRACT(C1192, ""🏘️ (\w+) \w+ .* ✅"")"),"Louer")</f>
        <v>Louer</v>
      </c>
      <c r="G1192" s="2" t="str">
        <f>IFERROR(__xludf.DUMMYFUNCTION("REGEXEXTRACT(C1192, ""🏘️ \w+ (\w+) .* ✅"")"),"appartement")</f>
        <v>appartement</v>
      </c>
      <c r="H1192" s="4" t="str">
        <f>IFERROR(__xludf.DUMMYFUNCTION("REGEXEXTRACT(A1192, ""/(\w+)-.*?"")"),"lieu")</f>
        <v>lieu</v>
      </c>
      <c r="I1192" s="4" t="str">
        <f>IFERROR(__xludf.DUMMYFUNCTION("if(D1192=""variant"",  substitute(filter(Templates!E:E, Templates!A:A = F1192, Templates!B:B = G1192, Templates!C:C = H1192), ""{{}}"", E1192), B1192)"),"🏘  Vous cherchez un appartement à louer à Cormagens? ✅ Les annonces les plus actuelles sont sur ImmoScout24.ch.")</f>
        <v>🏘  Vous cherchez un appartement à louer à Cormagens? ✅ Les annonces les plus actuelles sont sur ImmoScout24.ch.</v>
      </c>
      <c r="J1192" s="4" t="s">
        <v>3580</v>
      </c>
    </row>
    <row r="1193">
      <c r="A1193" s="5" t="s">
        <v>3581</v>
      </c>
      <c r="B1193" s="2" t="s">
        <v>3582</v>
      </c>
      <c r="C1193" s="4" t="str">
        <f>IFERROR(__xludf.DUMMYFUNCTION("""🏘️ ""&amp;REGEXEXTRACT(B1193, ""^(.*): "")&amp;"" ✅ "" &amp;REGEXEXTRACT(B1193, ""(Trouvez.*)"")"),"🏘️ Louer appartement Florimont - Chissiez (Lausanne) ✅ Trouvez le bien immobilier qui correspond idéalement à vos désirs sur ImmoScout24 - La plateforme de l'immobilier en Suisse.")</f>
        <v>🏘️ Louer appartement Florimont - Chissiez (Lausanne) ✅ Trouvez le bien immobilier qui correspond idéalement à vos désirs sur ImmoScout24 - La plateforme de l'immobilier en Suisse.</v>
      </c>
      <c r="D1193" s="4" t="str">
        <f>vlookup(A1193, Sheet2!D:E, 2, 0)</f>
        <v>variant</v>
      </c>
      <c r="E1193" s="4" t="str">
        <f>IFERROR(__xludf.DUMMYFUNCTION("if(H1193=""pays"",vlookup(REGEXEXTRACT(C1193, ""🏘️ \w+ \w+ (.*) ✅""),'Country prepositions'!A:B, 2, 0) &amp; "" "" &amp; REGEXEXTRACT(C1193, ""🏘️ \w+ \w+ (.*) ✅"") ,  if(H1193=""quartier"",vlookup(REGEXEXTRACT(C1193, ""🏘️ \w+ \w+ (.*) ✅""),'Quartier prepositio"&amp;"ns'!A:E, 5, 0) ,  if(H1193=""region"",vlookup(REGEXEXTRACT(C1193, ""🏘️ \w+ \w+ (.*) ✅""),'Region prepositions'!B:F, 5, 0),  REGEXEXTRACT(C1193, ""🏘️ \w+ \w+ (.*) ✅""))))"),"dans le quartier de Florimont - Chissiez (Lausanne)")</f>
        <v>dans le quartier de Florimont - Chissiez (Lausanne)</v>
      </c>
      <c r="F1193" s="2" t="str">
        <f>IFERROR(__xludf.DUMMYFUNCTION("REGEXEXTRACT(C1193, ""🏘️ (\w+) \w+ .* ✅"")"),"Louer")</f>
        <v>Louer</v>
      </c>
      <c r="G1193" s="2" t="str">
        <f>IFERROR(__xludf.DUMMYFUNCTION("REGEXEXTRACT(C1193, ""🏘️ \w+ (\w+) .* ✅"")"),"appartement")</f>
        <v>appartement</v>
      </c>
      <c r="H1193" s="4" t="str">
        <f>IFERROR(__xludf.DUMMYFUNCTION("REGEXEXTRACT(A1193, ""/(\w+)-.*?"")"),"quartier")</f>
        <v>quartier</v>
      </c>
      <c r="I1193" s="4" t="str">
        <f>IFERROR(__xludf.DUMMYFUNCTION("if(D1193=""variant"",  substitute(filter(Templates!E:E, Templates!A:A = F1193, Templates!B:B = G1193, Templates!C:C = H1193), ""{{}}"", E1193), B1193)"),"🏘  Vous cherchez un appartement à louer dans le quartier de Florimont - Chissiez (Lausanne)? ✅ Les annonces les plus actuelles sont sur ImmoScout24.ch.")</f>
        <v>🏘  Vous cherchez un appartement à louer dans le quartier de Florimont - Chissiez (Lausanne)? ✅ Les annonces les plus actuelles sont sur ImmoScout24.ch.</v>
      </c>
      <c r="J1193" s="4" t="s">
        <v>3583</v>
      </c>
    </row>
    <row r="1194">
      <c r="A1194" s="5" t="s">
        <v>3584</v>
      </c>
      <c r="B1194" s="2" t="s">
        <v>3585</v>
      </c>
      <c r="C1194" s="4" t="str">
        <f>IFERROR(__xludf.DUMMYFUNCTION("""🏘️ ""&amp;REGEXEXTRACT(B1194, ""^(.*): "")&amp;"" ✅ "" &amp;REGEXEXTRACT(B1194, ""(Trouvez.*)"")"),"🏘️ Vendre maison Châbles FR ✅ Trouvez le bien immobilier qui correspond idéalement à vos désirs sur ImmoScout24 - La plateforme de l'immobilier en Suisse.")</f>
        <v>🏘️ Vendre maison Châbles FR ✅ Trouvez le bien immobilier qui correspond idéalement à vos désirs sur ImmoScout24 - La plateforme de l'immobilier en Suisse.</v>
      </c>
      <c r="D1194" s="4" t="str">
        <f>vlookup(A1194, Sheet2!D:E, 2, 0)</f>
        <v>variant</v>
      </c>
      <c r="E1194" s="4" t="str">
        <f>IFERROR(__xludf.DUMMYFUNCTION("if(H1194=""pays"",vlookup(REGEXEXTRACT(C1194, ""🏘️ \w+ \w+ (.*) ✅""),'Country prepositions'!A:B, 2, 0) &amp; "" "" &amp; REGEXEXTRACT(C1194, ""🏘️ \w+ \w+ (.*) ✅"") ,  if(H1194=""quartier"",vlookup(REGEXEXTRACT(C1194, ""🏘️ \w+ \w+ (.*) ✅""),'Quartier prepositio"&amp;"ns'!A:E, 5, 0) ,  if(H1194=""region"",vlookup(REGEXEXTRACT(C1194, ""🏘️ \w+ \w+ (.*) ✅""),'Region prepositions'!B:F, 5, 0),  REGEXEXTRACT(C1194, ""🏘️ \w+ \w+ (.*) ✅""))))"),"Châbles FR")</f>
        <v>Châbles FR</v>
      </c>
      <c r="F1194" s="2" t="str">
        <f>IFERROR(__xludf.DUMMYFUNCTION("REGEXEXTRACT(C1194, ""🏘️ (\w+) \w+ .* ✅"")"),"Vendre")</f>
        <v>Vendre</v>
      </c>
      <c r="G1194" s="2" t="str">
        <f>IFERROR(__xludf.DUMMYFUNCTION("REGEXEXTRACT(C1194, ""🏘️ \w+ (\w+) .* ✅"")"),"maison")</f>
        <v>maison</v>
      </c>
      <c r="H1194" s="4" t="str">
        <f>IFERROR(__xludf.DUMMYFUNCTION("REGEXEXTRACT(A1194, ""/(\w+)-.*?"")"),"lieu")</f>
        <v>lieu</v>
      </c>
      <c r="I1194" s="4" t="str">
        <f>IFERROR(__xludf.DUMMYFUNCTION("if(D1194=""variant"",  substitute(filter(Templates!E:E, Templates!A:A = F1194, Templates!B:B = G1194, Templates!C:C = H1194), ""{{}}"", E1194), B1194)"),"🏘  Vous souhaitez acheter une maison à Châbles FR? ✅ Jetez un œil aux dernières offres sur ImmoScout24.ch.")</f>
        <v>🏘  Vous souhaitez acheter une maison à Châbles FR? ✅ Jetez un œil aux dernières offres sur ImmoScout24.ch.</v>
      </c>
      <c r="J1194" s="4" t="s">
        <v>3586</v>
      </c>
    </row>
    <row r="1195">
      <c r="A1195" s="5" t="s">
        <v>3587</v>
      </c>
      <c r="B1195" s="2" t="s">
        <v>3588</v>
      </c>
      <c r="C1195" s="4" t="str">
        <f>IFERROR(__xludf.DUMMYFUNCTION("""🏘️ ""&amp;REGEXEXTRACT(B1195, ""^(.*): "")&amp;"" ✅ "" &amp;REGEXEXTRACT(B1195, ""(Trouvez.*)"")"),"🏘️ Vendre appartement Rosé ✅ Trouvez le bien immobilier qui correspond idéalement à vos désirs sur ImmoScout24 - La plateforme de l'immobilier en Suisse.")</f>
        <v>🏘️ Vendre appartement Rosé ✅ Trouvez le bien immobilier qui correspond idéalement à vos désirs sur ImmoScout24 - La plateforme de l'immobilier en Suisse.</v>
      </c>
      <c r="D1195" s="4" t="str">
        <f>vlookup(A1195, Sheet2!D:E, 2, 0)</f>
        <v>variant</v>
      </c>
      <c r="E1195" s="4" t="str">
        <f>IFERROR(__xludf.DUMMYFUNCTION("if(H1195=""pays"",vlookup(REGEXEXTRACT(C1195, ""🏘️ \w+ \w+ (.*) ✅""),'Country prepositions'!A:B, 2, 0) &amp; "" "" &amp; REGEXEXTRACT(C1195, ""🏘️ \w+ \w+ (.*) ✅"") ,  if(H1195=""quartier"",vlookup(REGEXEXTRACT(C1195, ""🏘️ \w+ \w+ (.*) ✅""),'Quartier prepositio"&amp;"ns'!A:E, 5, 0) ,  if(H1195=""region"",vlookup(REGEXEXTRACT(C1195, ""🏘️ \w+ \w+ (.*) ✅""),'Region prepositions'!B:F, 5, 0),  REGEXEXTRACT(C1195, ""🏘️ \w+ \w+ (.*) ✅""))))"),"Rosé")</f>
        <v>Rosé</v>
      </c>
      <c r="F1195" s="2" t="str">
        <f>IFERROR(__xludf.DUMMYFUNCTION("REGEXEXTRACT(C1195, ""🏘️ (\w+) \w+ .* ✅"")"),"Vendre")</f>
        <v>Vendre</v>
      </c>
      <c r="G1195" s="2" t="str">
        <f>IFERROR(__xludf.DUMMYFUNCTION("REGEXEXTRACT(C1195, ""🏘️ \w+ (\w+) .* ✅"")"),"appartement")</f>
        <v>appartement</v>
      </c>
      <c r="H1195" s="4" t="str">
        <f>IFERROR(__xludf.DUMMYFUNCTION("REGEXEXTRACT(A1195, ""/(\w+)-.*?"")"),"lieu")</f>
        <v>lieu</v>
      </c>
      <c r="I1195" s="4" t="str">
        <f>IFERROR(__xludf.DUMMYFUNCTION("if(D1195=""variant"",  substitute(filter(Templates!E:E, Templates!A:A = F1195, Templates!B:B = G1195, Templates!C:C = H1195), ""{{}}"", E1195), B1195)"),"🏘  L’appartement de vos rêves se trouve sur ImmoScout24.ch ✅ Découvrez les dernières annonces de vente à Rosé.")</f>
        <v>🏘  L’appartement de vos rêves se trouve sur ImmoScout24.ch ✅ Découvrez les dernières annonces de vente à Rosé.</v>
      </c>
      <c r="J1195" s="4" t="s">
        <v>3589</v>
      </c>
    </row>
    <row r="1196">
      <c r="A1196" s="5" t="s">
        <v>3590</v>
      </c>
      <c r="B1196" s="2" t="s">
        <v>3591</v>
      </c>
      <c r="C1196" s="4" t="str">
        <f>IFERROR(__xludf.DUMMYFUNCTION("""🏘️ ""&amp;REGEXEXTRACT(B1196, ""^(.*): "")&amp;"" ✅ "" &amp;REGEXEXTRACT(B1196, ""(Trouvez.*)"")"),"🏘️ Louer appartement Bouloz ✅ Trouvez le bien immobilier qui correspond idéalement à vos désirs sur ImmoScout24 - La plateforme de l'immobilier en Suisse.")</f>
        <v>🏘️ Louer appartement Bouloz ✅ Trouvez le bien immobilier qui correspond idéalement à vos désirs sur ImmoScout24 - La plateforme de l'immobilier en Suisse.</v>
      </c>
      <c r="D1196" s="4" t="str">
        <f>vlookup(A1196, Sheet2!D:E, 2, 0)</f>
        <v>variant</v>
      </c>
      <c r="E1196" s="4" t="str">
        <f>IFERROR(__xludf.DUMMYFUNCTION("if(H1196=""pays"",vlookup(REGEXEXTRACT(C1196, ""🏘️ \w+ \w+ (.*) ✅""),'Country prepositions'!A:B, 2, 0) &amp; "" "" &amp; REGEXEXTRACT(C1196, ""🏘️ \w+ \w+ (.*) ✅"") ,  if(H1196=""quartier"",vlookup(REGEXEXTRACT(C1196, ""🏘️ \w+ \w+ (.*) ✅""),'Quartier prepositio"&amp;"ns'!A:E, 5, 0) ,  if(H1196=""region"",vlookup(REGEXEXTRACT(C1196, ""🏘️ \w+ \w+ (.*) ✅""),'Region prepositions'!B:F, 5, 0),  REGEXEXTRACT(C1196, ""🏘️ \w+ \w+ (.*) ✅""))))"),"Bouloz")</f>
        <v>Bouloz</v>
      </c>
      <c r="F1196" s="2" t="str">
        <f>IFERROR(__xludf.DUMMYFUNCTION("REGEXEXTRACT(C1196, ""🏘️ (\w+) \w+ .* ✅"")"),"Louer")</f>
        <v>Louer</v>
      </c>
      <c r="G1196" s="2" t="str">
        <f>IFERROR(__xludf.DUMMYFUNCTION("REGEXEXTRACT(C1196, ""🏘️ \w+ (\w+) .* ✅"")"),"appartement")</f>
        <v>appartement</v>
      </c>
      <c r="H1196" s="4" t="str">
        <f>IFERROR(__xludf.DUMMYFUNCTION("REGEXEXTRACT(A1196, ""/(\w+)-.*?"")"),"lieu")</f>
        <v>lieu</v>
      </c>
      <c r="I1196" s="4" t="str">
        <f>IFERROR(__xludf.DUMMYFUNCTION("if(D1196=""variant"",  substitute(filter(Templates!E:E, Templates!A:A = F1196, Templates!B:B = G1196, Templates!C:C = H1196), ""{{}}"", E1196), B1196)"),"🏘  Vous cherchez un appartement à louer à Bouloz? ✅ Les annonces les plus actuelles sont sur ImmoScout24.ch.")</f>
        <v>🏘  Vous cherchez un appartement à louer à Bouloz? ✅ Les annonces les plus actuelles sont sur ImmoScout24.ch.</v>
      </c>
      <c r="J1196" s="4" t="s">
        <v>3592</v>
      </c>
    </row>
    <row r="1197">
      <c r="A1197" s="5" t="s">
        <v>3593</v>
      </c>
      <c r="B1197" s="2" t="s">
        <v>3594</v>
      </c>
      <c r="C1197" s="4" t="str">
        <f>IFERROR(__xludf.DUMMYFUNCTION("""🏘️ ""&amp;REGEXEXTRACT(B1197, ""^(.*): "")&amp;"" ✅ "" &amp;REGEXEXTRACT(B1197, ""(Trouvez.*)"")"),"🏘️ Vendre appartement Constantine ✅ Trouvez le bien immobilier qui correspond idéalement à vos désirs sur ImmoScout24 - La plateforme de l'immobilier en Suisse.")</f>
        <v>🏘️ Vendre appartement Constantine ✅ Trouvez le bien immobilier qui correspond idéalement à vos désirs sur ImmoScout24 - La plateforme de l'immobilier en Suisse.</v>
      </c>
      <c r="D1197" s="4" t="str">
        <f>vlookup(A1197, Sheet2!D:E, 2, 0)</f>
        <v>variant</v>
      </c>
      <c r="E1197" s="4" t="str">
        <f>IFERROR(__xludf.DUMMYFUNCTION("if(H1197=""pays"",vlookup(REGEXEXTRACT(C1197, ""🏘️ \w+ \w+ (.*) ✅""),'Country prepositions'!A:B, 2, 0) &amp; "" "" &amp; REGEXEXTRACT(C1197, ""🏘️ \w+ \w+ (.*) ✅"") ,  if(H1197=""quartier"",vlookup(REGEXEXTRACT(C1197, ""🏘️ \w+ \w+ (.*) ✅""),'Quartier prepositio"&amp;"ns'!A:E, 5, 0) ,  if(H1197=""region"",vlookup(REGEXEXTRACT(C1197, ""🏘️ \w+ \w+ (.*) ✅""),'Region prepositions'!B:F, 5, 0),  REGEXEXTRACT(C1197, ""🏘️ \w+ \w+ (.*) ✅""))))"),"Constantine")</f>
        <v>Constantine</v>
      </c>
      <c r="F1197" s="2" t="str">
        <f>IFERROR(__xludf.DUMMYFUNCTION("REGEXEXTRACT(C1197, ""🏘️ (\w+) \w+ .* ✅"")"),"Vendre")</f>
        <v>Vendre</v>
      </c>
      <c r="G1197" s="2" t="str">
        <f>IFERROR(__xludf.DUMMYFUNCTION("REGEXEXTRACT(C1197, ""🏘️ \w+ (\w+) .* ✅"")"),"appartement")</f>
        <v>appartement</v>
      </c>
      <c r="H1197" s="4" t="str">
        <f>IFERROR(__xludf.DUMMYFUNCTION("REGEXEXTRACT(A1197, ""/(\w+)-.*?"")"),"lieu")</f>
        <v>lieu</v>
      </c>
      <c r="I1197" s="4" t="str">
        <f>IFERROR(__xludf.DUMMYFUNCTION("if(D1197=""variant"",  substitute(filter(Templates!E:E, Templates!A:A = F1197, Templates!B:B = G1197, Templates!C:C = H1197), ""{{}}"", E1197), B1197)"),"🏘  L’appartement de vos rêves se trouve sur ImmoScout24.ch ✅ Découvrez les dernières annonces de vente à Constantine.")</f>
        <v>🏘  L’appartement de vos rêves se trouve sur ImmoScout24.ch ✅ Découvrez les dernières annonces de vente à Constantine.</v>
      </c>
      <c r="J1197" s="4" t="s">
        <v>3595</v>
      </c>
    </row>
    <row r="1198">
      <c r="A1198" s="5" t="s">
        <v>3596</v>
      </c>
      <c r="B1198" s="2" t="s">
        <v>3597</v>
      </c>
      <c r="C1198" s="4" t="str">
        <f>IFERROR(__xludf.DUMMYFUNCTION("""🏘️ ""&amp;REGEXEXTRACT(B1198, ""^(.*): "")&amp;"" ✅ "" &amp;REGEXEXTRACT(B1198, ""(Trouvez.*)"")"),"🏘️ Vendre maison Canton d'Uri ✅ Trouvez le bien immobilier qui correspond idéalement à vos désirs sur ImmoScout24 - La plateforme de l'immobilier en Suisse.")</f>
        <v>🏘️ Vendre maison Canton d'Uri ✅ Trouvez le bien immobilier qui correspond idéalement à vos désirs sur ImmoScout24 - La plateforme de l'immobilier en Suisse.</v>
      </c>
      <c r="D1198" s="4" t="str">
        <f>vlookup(A1198, Sheet2!D:E, 2, 0)</f>
        <v>variant</v>
      </c>
      <c r="E1198" s="4" t="str">
        <f>IFERROR(__xludf.DUMMYFUNCTION("if(H1198=""pays"",vlookup(REGEXEXTRACT(C1198, ""🏘️ \w+ \w+ (.*) ✅""),'Country prepositions'!A:B, 2, 0) &amp; "" "" &amp; REGEXEXTRACT(C1198, ""🏘️ \w+ \w+ (.*) ✅"") ,  if(H1198=""quartier"",vlookup(REGEXEXTRACT(C1198, ""🏘️ \w+ \w+ (.*) ✅""),'Quartier prepositio"&amp;"ns'!A:E, 5, 0) ,  if(H1198=""region"",vlookup(REGEXEXTRACT(C1198, ""🏘️ \w+ \w+ (.*) ✅""),'Region prepositions'!B:F, 5, 0),  REGEXEXTRACT(C1198, ""🏘️ \w+ \w+ (.*) ✅""))))"),"Canton d'Uri")</f>
        <v>Canton d'Uri</v>
      </c>
      <c r="F1198" s="2" t="str">
        <f>IFERROR(__xludf.DUMMYFUNCTION("REGEXEXTRACT(C1198, ""🏘️ (\w+) \w+ .* ✅"")"),"Vendre")</f>
        <v>Vendre</v>
      </c>
      <c r="G1198" s="2" t="str">
        <f>IFERROR(__xludf.DUMMYFUNCTION("REGEXEXTRACT(C1198, ""🏘️ \w+ (\w+) .* ✅"")"),"maison")</f>
        <v>maison</v>
      </c>
      <c r="H1198" s="4" t="str">
        <f>IFERROR(__xludf.DUMMYFUNCTION("REGEXEXTRACT(A1198, ""/(\w+)-.*?"")"),"canton")</f>
        <v>canton</v>
      </c>
      <c r="I1198" s="4" t="str">
        <f>IFERROR(__xludf.DUMMYFUNCTION("if(D1198=""variant"",  substitute(filter(Templates!E:E, Templates!A:A = F1198, Templates!B:B = G1198, Templates!C:C = H1198), ""{{}}"", E1198), B1198)"),"🏘  Vous souhaitez acheter une maison dans le Canton d'Uri? ✅ Jetez un œil aux dernières offres sur ImmoScout24.ch.")</f>
        <v>🏘  Vous souhaitez acheter une maison dans le Canton d'Uri? ✅ Jetez un œil aux dernières offres sur ImmoScout24.ch.</v>
      </c>
      <c r="J1198" s="4" t="s">
        <v>3598</v>
      </c>
    </row>
    <row r="1199">
      <c r="A1199" s="5" t="s">
        <v>3599</v>
      </c>
      <c r="B1199" s="2" t="s">
        <v>3600</v>
      </c>
      <c r="C1199" s="4" t="str">
        <f>IFERROR(__xludf.DUMMYFUNCTION("""🏘️ ""&amp;REGEXEXTRACT(B1199, ""^(.*): "")&amp;"" ✅ "" &amp;REGEXEXTRACT(B1199, ""(Trouvez.*)"")"),"🏘️ Louer maison Biberist ✅ Trouvez le bien immobilier qui correspond idéalement à vos désirs sur ImmoScout24 - La plateforme de l'immobilier en Suisse.")</f>
        <v>🏘️ Louer maison Biberist ✅ Trouvez le bien immobilier qui correspond idéalement à vos désirs sur ImmoScout24 - La plateforme de l'immobilier en Suisse.</v>
      </c>
      <c r="D1199" s="4" t="str">
        <f>vlookup(A1199, Sheet2!D:E, 2, 0)</f>
        <v>variant</v>
      </c>
      <c r="E1199" s="4" t="str">
        <f>IFERROR(__xludf.DUMMYFUNCTION("if(H1199=""pays"",vlookup(REGEXEXTRACT(C1199, ""🏘️ \w+ \w+ (.*) ✅""),'Country prepositions'!A:B, 2, 0) &amp; "" "" &amp; REGEXEXTRACT(C1199, ""🏘️ \w+ \w+ (.*) ✅"") ,  if(H1199=""quartier"",vlookup(REGEXEXTRACT(C1199, ""🏘️ \w+ \w+ (.*) ✅""),'Quartier prepositio"&amp;"ns'!A:E, 5, 0) ,  if(H1199=""region"",vlookup(REGEXEXTRACT(C1199, ""🏘️ \w+ \w+ (.*) ✅""),'Region prepositions'!B:F, 5, 0),  REGEXEXTRACT(C1199, ""🏘️ \w+ \w+ (.*) ✅""))))"),"Biberist")</f>
        <v>Biberist</v>
      </c>
      <c r="F1199" s="2" t="str">
        <f>IFERROR(__xludf.DUMMYFUNCTION("REGEXEXTRACT(C1199, ""🏘️ (\w+) \w+ .* ✅"")"),"Louer")</f>
        <v>Louer</v>
      </c>
      <c r="G1199" s="2" t="str">
        <f>IFERROR(__xludf.DUMMYFUNCTION("REGEXEXTRACT(C1199, ""🏘️ \w+ (\w+) .* ✅"")"),"maison")</f>
        <v>maison</v>
      </c>
      <c r="H1199" s="4" t="str">
        <f>IFERROR(__xludf.DUMMYFUNCTION("REGEXEXTRACT(A1199, ""/(\w+)-.*?"")"),"lieu")</f>
        <v>lieu</v>
      </c>
      <c r="I1199" s="4" t="str">
        <f>IFERROR(__xludf.DUMMYFUNCTION("if(D1199=""variant"",  substitute(filter(Templates!E:E, Templates!A:A = F1199, Templates!B:B = G1199, Templates!C:C = H1199), ""{{}}"", E1199), B1199)"),"🏘  Vous cherchez une maison à louer à Biberist? ✅ Découvrez nos nombreuses annonces sur ImmoScout24.ch.")</f>
        <v>🏘  Vous cherchez une maison à louer à Biberist? ✅ Découvrez nos nombreuses annonces sur ImmoScout24.ch.</v>
      </c>
      <c r="J1199" s="4" t="s">
        <v>3601</v>
      </c>
    </row>
    <row r="1200">
      <c r="A1200" s="5" t="s">
        <v>3602</v>
      </c>
      <c r="B1200" s="2" t="s">
        <v>3603</v>
      </c>
      <c r="C1200" s="4" t="str">
        <f>IFERROR(__xludf.DUMMYFUNCTION("""🏘️ ""&amp;REGEXEXTRACT(B1200, ""^(.*): "")&amp;"" ✅ "" &amp;REGEXEXTRACT(B1200, ""(Trouvez.*)"")"),"🏘️ Louer appartement Vuarmarens ✅ Trouvez le bien immobilier qui correspond idéalement à vos désirs sur ImmoScout24 - La plateforme de l'immobilier en Suisse.")</f>
        <v>🏘️ Louer appartement Vuarmarens ✅ Trouvez le bien immobilier qui correspond idéalement à vos désirs sur ImmoScout24 - La plateforme de l'immobilier en Suisse.</v>
      </c>
      <c r="D1200" s="4" t="str">
        <f>vlookup(A1200, Sheet2!D:E, 2, 0)</f>
        <v>variant</v>
      </c>
      <c r="E1200" s="4" t="str">
        <f>IFERROR(__xludf.DUMMYFUNCTION("if(H1200=""pays"",vlookup(REGEXEXTRACT(C1200, ""🏘️ \w+ \w+ (.*) ✅""),'Country prepositions'!A:B, 2, 0) &amp; "" "" &amp; REGEXEXTRACT(C1200, ""🏘️ \w+ \w+ (.*) ✅"") ,  if(H1200=""quartier"",vlookup(REGEXEXTRACT(C1200, ""🏘️ \w+ \w+ (.*) ✅""),'Quartier prepositio"&amp;"ns'!A:E, 5, 0) ,  if(H1200=""region"",vlookup(REGEXEXTRACT(C1200, ""🏘️ \w+ \w+ (.*) ✅""),'Region prepositions'!B:F, 5, 0),  REGEXEXTRACT(C1200, ""🏘️ \w+ \w+ (.*) ✅""))))"),"Vuarmarens")</f>
        <v>Vuarmarens</v>
      </c>
      <c r="F1200" s="2" t="str">
        <f>IFERROR(__xludf.DUMMYFUNCTION("REGEXEXTRACT(C1200, ""🏘️ (\w+) \w+ .* ✅"")"),"Louer")</f>
        <v>Louer</v>
      </c>
      <c r="G1200" s="2" t="str">
        <f>IFERROR(__xludf.DUMMYFUNCTION("REGEXEXTRACT(C1200, ""🏘️ \w+ (\w+) .* ✅"")"),"appartement")</f>
        <v>appartement</v>
      </c>
      <c r="H1200" s="4" t="str">
        <f>IFERROR(__xludf.DUMMYFUNCTION("REGEXEXTRACT(A1200, ""/(\w+)-.*?"")"),"lieu")</f>
        <v>lieu</v>
      </c>
      <c r="I1200" s="4" t="str">
        <f>IFERROR(__xludf.DUMMYFUNCTION("if(D1200=""variant"",  substitute(filter(Templates!E:E, Templates!A:A = F1200, Templates!B:B = G1200, Templates!C:C = H1200), ""{{}}"", E1200), B1200)"),"🏘  Vous cherchez un appartement à louer à Vuarmarens? ✅ Les annonces les plus actuelles sont sur ImmoScout24.ch.")</f>
        <v>🏘  Vous cherchez un appartement à louer à Vuarmarens? ✅ Les annonces les plus actuelles sont sur ImmoScout24.ch.</v>
      </c>
      <c r="J1200" s="4" t="s">
        <v>3604</v>
      </c>
    </row>
    <row r="1201">
      <c r="A1201" s="5" t="s">
        <v>3605</v>
      </c>
      <c r="B1201" s="2" t="s">
        <v>3606</v>
      </c>
      <c r="C1201" s="4" t="str">
        <f>IFERROR(__xludf.DUMMYFUNCTION("""🏘️ ""&amp;REGEXEXTRACT(B1201, ""^(.*): "")&amp;"" ✅ "" &amp;REGEXEXTRACT(B1201, ""(Trouvez.*)"")"),"🏘️ Louer appartement La Côte-aux-Fées ✅ Trouvez le bien immobilier qui correspond idéalement à vos désirs sur ImmoScout24 - La plateforme de l'immobilier en Suisse.")</f>
        <v>🏘️ Louer appartement La Côte-aux-Fées ✅ Trouvez le bien immobilier qui correspond idéalement à vos désirs sur ImmoScout24 - La plateforme de l'immobilier en Suisse.</v>
      </c>
      <c r="D1201" s="4" t="str">
        <f>vlookup(A1201, Sheet2!D:E, 2, 0)</f>
        <v>variant</v>
      </c>
      <c r="E1201" s="4" t="str">
        <f>IFERROR(__xludf.DUMMYFUNCTION("if(H1201=""pays"",vlookup(REGEXEXTRACT(C1201, ""🏘️ \w+ \w+ (.*) ✅""),'Country prepositions'!A:B, 2, 0) &amp; "" "" &amp; REGEXEXTRACT(C1201, ""🏘️ \w+ \w+ (.*) ✅"") ,  if(H1201=""quartier"",vlookup(REGEXEXTRACT(C1201, ""🏘️ \w+ \w+ (.*) ✅""),'Quartier prepositio"&amp;"ns'!A:E, 5, 0) ,  if(H1201=""region"",vlookup(REGEXEXTRACT(C1201, ""🏘️ \w+ \w+ (.*) ✅""),'Region prepositions'!B:F, 5, 0),  REGEXEXTRACT(C1201, ""🏘️ \w+ \w+ (.*) ✅""))))"),"La Côte-aux-Fées")</f>
        <v>La Côte-aux-Fées</v>
      </c>
      <c r="F1201" s="2" t="str">
        <f>IFERROR(__xludf.DUMMYFUNCTION("REGEXEXTRACT(C1201, ""🏘️ (\w+) \w+ .* ✅"")"),"Louer")</f>
        <v>Louer</v>
      </c>
      <c r="G1201" s="2" t="str">
        <f>IFERROR(__xludf.DUMMYFUNCTION("REGEXEXTRACT(C1201, ""🏘️ \w+ (\w+) .* ✅"")"),"appartement")</f>
        <v>appartement</v>
      </c>
      <c r="H1201" s="4" t="str">
        <f>IFERROR(__xludf.DUMMYFUNCTION("REGEXEXTRACT(A1201, ""/(\w+)-.*?"")"),"lieu")</f>
        <v>lieu</v>
      </c>
      <c r="I1201" s="4" t="str">
        <f>IFERROR(__xludf.DUMMYFUNCTION("if(D1201=""variant"",  substitute(filter(Templates!E:E, Templates!A:A = F1201, Templates!B:B = G1201, Templates!C:C = H1201), ""{{}}"", E1201), B1201)"),"🏘  Vous cherchez un appartement à louer à La Côte-aux-Fées? ✅ Les annonces les plus actuelles sont sur ImmoScout24.ch.")</f>
        <v>🏘  Vous cherchez un appartement à louer à La Côte-aux-Fées? ✅ Les annonces les plus actuelles sont sur ImmoScout24.ch.</v>
      </c>
      <c r="J1201" s="4" t="s">
        <v>3607</v>
      </c>
    </row>
    <row r="1202">
      <c r="A1202" s="5" t="s">
        <v>3608</v>
      </c>
      <c r="B1202" s="2" t="s">
        <v>3609</v>
      </c>
      <c r="C1202" s="4" t="str">
        <f>IFERROR(__xludf.DUMMYFUNCTION("""🏘️ ""&amp;REGEXEXTRACT(B1202, ""^(.*): "")&amp;"" ✅ "" &amp;REGEXEXTRACT(B1202, ""(Trouvez.*)"")"),"🏘️ Vendre appartement Riaz ✅ Trouvez le bien immobilier qui correspond idéalement à vos désirs sur ImmoScout24 - La plateforme de l'immobilier en Suisse.")</f>
        <v>🏘️ Vendre appartement Riaz ✅ Trouvez le bien immobilier qui correspond idéalement à vos désirs sur ImmoScout24 - La plateforme de l'immobilier en Suisse.</v>
      </c>
      <c r="D1202" s="4" t="str">
        <f>vlookup(A1202, Sheet2!D:E, 2, 0)</f>
        <v>variant</v>
      </c>
      <c r="E1202" s="4" t="str">
        <f>IFERROR(__xludf.DUMMYFUNCTION("if(H1202=""pays"",vlookup(REGEXEXTRACT(C1202, ""🏘️ \w+ \w+ (.*) ✅""),'Country prepositions'!A:B, 2, 0) &amp; "" "" &amp; REGEXEXTRACT(C1202, ""🏘️ \w+ \w+ (.*) ✅"") ,  if(H1202=""quartier"",vlookup(REGEXEXTRACT(C1202, ""🏘️ \w+ \w+ (.*) ✅""),'Quartier prepositio"&amp;"ns'!A:E, 5, 0) ,  if(H1202=""region"",vlookup(REGEXEXTRACT(C1202, ""🏘️ \w+ \w+ (.*) ✅""),'Region prepositions'!B:F, 5, 0),  REGEXEXTRACT(C1202, ""🏘️ \w+ \w+ (.*) ✅""))))"),"Riaz")</f>
        <v>Riaz</v>
      </c>
      <c r="F1202" s="2" t="str">
        <f>IFERROR(__xludf.DUMMYFUNCTION("REGEXEXTRACT(C1202, ""🏘️ (\w+) \w+ .* ✅"")"),"Vendre")</f>
        <v>Vendre</v>
      </c>
      <c r="G1202" s="2" t="str">
        <f>IFERROR(__xludf.DUMMYFUNCTION("REGEXEXTRACT(C1202, ""🏘️ \w+ (\w+) .* ✅"")"),"appartement")</f>
        <v>appartement</v>
      </c>
      <c r="H1202" s="4" t="str">
        <f>IFERROR(__xludf.DUMMYFUNCTION("REGEXEXTRACT(A1202, ""/(\w+)-.*?"")"),"lieu")</f>
        <v>lieu</v>
      </c>
      <c r="I1202" s="4" t="str">
        <f>IFERROR(__xludf.DUMMYFUNCTION("if(D1202=""variant"",  substitute(filter(Templates!E:E, Templates!A:A = F1202, Templates!B:B = G1202, Templates!C:C = H1202), ""{{}}"", E1202), B1202)"),"🏘  L’appartement de vos rêves se trouve sur ImmoScout24.ch ✅ Découvrez les dernières annonces de vente à Riaz.")</f>
        <v>🏘  L’appartement de vos rêves se trouve sur ImmoScout24.ch ✅ Découvrez les dernières annonces de vente à Riaz.</v>
      </c>
      <c r="J1202" s="4" t="s">
        <v>3610</v>
      </c>
    </row>
    <row r="1203">
      <c r="A1203" s="5" t="s">
        <v>3611</v>
      </c>
      <c r="B1203" s="2" t="s">
        <v>3612</v>
      </c>
      <c r="C1203" s="4" t="str">
        <f>IFERROR(__xludf.DUMMYFUNCTION("""🏘️ ""&amp;REGEXEXTRACT(B1203, ""^(.*): "")&amp;"" ✅ "" &amp;REGEXEXTRACT(B1203, ""(Trouvez.*)"")"),"🏘️ Louer appartement Les Pommerats ✅ Trouvez le bien immobilier qui correspond idéalement à vos désirs sur ImmoScout24 - La plateforme de l'immobilier en Suisse.")</f>
        <v>🏘️ Louer appartement Les Pommerats ✅ Trouvez le bien immobilier qui correspond idéalement à vos désirs sur ImmoScout24 - La plateforme de l'immobilier en Suisse.</v>
      </c>
      <c r="D1203" s="4" t="str">
        <f>vlookup(A1203, Sheet2!D:E, 2, 0)</f>
        <v>variant</v>
      </c>
      <c r="E1203" s="4" t="str">
        <f>IFERROR(__xludf.DUMMYFUNCTION("if(H1203=""pays"",vlookup(REGEXEXTRACT(C1203, ""🏘️ \w+ \w+ (.*) ✅""),'Country prepositions'!A:B, 2, 0) &amp; "" "" &amp; REGEXEXTRACT(C1203, ""🏘️ \w+ \w+ (.*) ✅"") ,  if(H1203=""quartier"",vlookup(REGEXEXTRACT(C1203, ""🏘️ \w+ \w+ (.*) ✅""),'Quartier prepositio"&amp;"ns'!A:E, 5, 0) ,  if(H1203=""region"",vlookup(REGEXEXTRACT(C1203, ""🏘️ \w+ \w+ (.*) ✅""),'Region prepositions'!B:F, 5, 0),  REGEXEXTRACT(C1203, ""🏘️ \w+ \w+ (.*) ✅""))))"),"Les Pommerats")</f>
        <v>Les Pommerats</v>
      </c>
      <c r="F1203" s="2" t="str">
        <f>IFERROR(__xludf.DUMMYFUNCTION("REGEXEXTRACT(C1203, ""🏘️ (\w+) \w+ .* ✅"")"),"Louer")</f>
        <v>Louer</v>
      </c>
      <c r="G1203" s="2" t="str">
        <f>IFERROR(__xludf.DUMMYFUNCTION("REGEXEXTRACT(C1203, ""🏘️ \w+ (\w+) .* ✅"")"),"appartement")</f>
        <v>appartement</v>
      </c>
      <c r="H1203" s="4" t="str">
        <f>IFERROR(__xludf.DUMMYFUNCTION("REGEXEXTRACT(A1203, ""/(\w+)-.*?"")"),"lieu")</f>
        <v>lieu</v>
      </c>
      <c r="I1203" s="4" t="str">
        <f>IFERROR(__xludf.DUMMYFUNCTION("if(D1203=""variant"",  substitute(filter(Templates!E:E, Templates!A:A = F1203, Templates!B:B = G1203, Templates!C:C = H1203), ""{{}}"", E1203), B1203)"),"🏘  Vous cherchez un appartement à louer à Les Pommerats? ✅ Les annonces les plus actuelles sont sur ImmoScout24.ch.")</f>
        <v>🏘  Vous cherchez un appartement à louer à Les Pommerats? ✅ Les annonces les plus actuelles sont sur ImmoScout24.ch.</v>
      </c>
      <c r="J1203" s="2" t="s">
        <v>3613</v>
      </c>
    </row>
    <row r="1204">
      <c r="A1204" s="5" t="s">
        <v>3614</v>
      </c>
      <c r="B1204" s="2" t="s">
        <v>3615</v>
      </c>
      <c r="C1204" s="4" t="str">
        <f>IFERROR(__xludf.DUMMYFUNCTION("""🏘️ ""&amp;REGEXEXTRACT(B1204, ""^(.*): "")&amp;"" ✅ "" &amp;REGEXEXTRACT(B1204, ""(Trouvez.*)"")"),"🏘️ Louer appartement Grangettes-près-Romont ✅ Trouvez le bien immobilier qui correspond idéalement à vos désirs sur ImmoScout24 - La plateforme de l'immobilier en Suisse.")</f>
        <v>🏘️ Louer appartement Grangettes-près-Romont ✅ Trouvez le bien immobilier qui correspond idéalement à vos désirs sur ImmoScout24 - La plateforme de l'immobilier en Suisse.</v>
      </c>
      <c r="D1204" s="4" t="str">
        <f>vlookup(A1204, Sheet2!D:E, 2, 0)</f>
        <v>variant</v>
      </c>
      <c r="E1204" s="4" t="str">
        <f>IFERROR(__xludf.DUMMYFUNCTION("if(H1204=""pays"",vlookup(REGEXEXTRACT(C1204, ""🏘️ \w+ \w+ (.*) ✅""),'Country prepositions'!A:B, 2, 0) &amp; "" "" &amp; REGEXEXTRACT(C1204, ""🏘️ \w+ \w+ (.*) ✅"") ,  if(H1204=""quartier"",vlookup(REGEXEXTRACT(C1204, ""🏘️ \w+ \w+ (.*) ✅""),'Quartier prepositio"&amp;"ns'!A:E, 5, 0) ,  if(H1204=""region"",vlookup(REGEXEXTRACT(C1204, ""🏘️ \w+ \w+ (.*) ✅""),'Region prepositions'!B:F, 5, 0),  REGEXEXTRACT(C1204, ""🏘️ \w+ \w+ (.*) ✅""))))"),"Grangettes-près-Romont")</f>
        <v>Grangettes-près-Romont</v>
      </c>
      <c r="F1204" s="2" t="str">
        <f>IFERROR(__xludf.DUMMYFUNCTION("REGEXEXTRACT(C1204, ""🏘️ (\w+) \w+ .* ✅"")"),"Louer")</f>
        <v>Louer</v>
      </c>
      <c r="G1204" s="2" t="str">
        <f>IFERROR(__xludf.DUMMYFUNCTION("REGEXEXTRACT(C1204, ""🏘️ \w+ (\w+) .* ✅"")"),"appartement")</f>
        <v>appartement</v>
      </c>
      <c r="H1204" s="4" t="str">
        <f>IFERROR(__xludf.DUMMYFUNCTION("REGEXEXTRACT(A1204, ""/(\w+)-.*?"")"),"lieu")</f>
        <v>lieu</v>
      </c>
      <c r="I1204" s="4" t="str">
        <f>IFERROR(__xludf.DUMMYFUNCTION("if(D1204=""variant"",  substitute(filter(Templates!E:E, Templates!A:A = F1204, Templates!B:B = G1204, Templates!C:C = H1204), ""{{}}"", E1204), B1204)"),"🏘  Vous cherchez un appartement à louer à Grangettes-près-Romont? ✅ Les annonces les plus actuelles sont sur ImmoScout24.ch.")</f>
        <v>🏘  Vous cherchez un appartement à louer à Grangettes-près-Romont? ✅ Les annonces les plus actuelles sont sur ImmoScout24.ch.</v>
      </c>
      <c r="J1204" s="4" t="s">
        <v>3616</v>
      </c>
    </row>
    <row r="1205">
      <c r="A1205" s="5" t="s">
        <v>3617</v>
      </c>
      <c r="B1205" s="2" t="s">
        <v>3618</v>
      </c>
      <c r="C1205" s="4" t="str">
        <f>IFERROR(__xludf.DUMMYFUNCTION("""🏘️ ""&amp;REGEXEXTRACT(B1205, ""^(.*): "")&amp;"" ✅ "" &amp;REGEXEXTRACT(B1205, ""(Trouvez.*)"")"),"🏘️ Vendre maison Boudry ✅ Trouvez le bien immobilier qui correspond idéalement à vos désirs sur ImmoScout24 - La plateforme de l'immobilier en Suisse.")</f>
        <v>🏘️ Vendre maison Boudry ✅ Trouvez le bien immobilier qui correspond idéalement à vos désirs sur ImmoScout24 - La plateforme de l'immobilier en Suisse.</v>
      </c>
      <c r="D1205" s="4" t="str">
        <f>vlookup(A1205, Sheet2!D:E, 2, 0)</f>
        <v>variant</v>
      </c>
      <c r="E1205" s="4" t="str">
        <f>IFERROR(__xludf.DUMMYFUNCTION("if(H1205=""pays"",vlookup(REGEXEXTRACT(C1205, ""🏘️ \w+ \w+ (.*) ✅""),'Country prepositions'!A:B, 2, 0) &amp; "" "" &amp; REGEXEXTRACT(C1205, ""🏘️ \w+ \w+ (.*) ✅"") ,  if(H1205=""quartier"",vlookup(REGEXEXTRACT(C1205, ""🏘️ \w+ \w+ (.*) ✅""),'Quartier prepositio"&amp;"ns'!A:E, 5, 0) ,  if(H1205=""region"",vlookup(REGEXEXTRACT(C1205, ""🏘️ \w+ \w+ (.*) ✅""),'Region prepositions'!B:F, 5, 0),  REGEXEXTRACT(C1205, ""🏘️ \w+ \w+ (.*) ✅""))))"),"Boudry")</f>
        <v>Boudry</v>
      </c>
      <c r="F1205" s="2" t="str">
        <f>IFERROR(__xludf.DUMMYFUNCTION("REGEXEXTRACT(C1205, ""🏘️ (\w+) \w+ .* ✅"")"),"Vendre")</f>
        <v>Vendre</v>
      </c>
      <c r="G1205" s="2" t="str">
        <f>IFERROR(__xludf.DUMMYFUNCTION("REGEXEXTRACT(C1205, ""🏘️ \w+ (\w+) .* ✅"")"),"maison")</f>
        <v>maison</v>
      </c>
      <c r="H1205" s="4" t="str">
        <f>IFERROR(__xludf.DUMMYFUNCTION("REGEXEXTRACT(A1205, ""/(\w+)-.*?"")"),"lieu")</f>
        <v>lieu</v>
      </c>
      <c r="I1205" s="4" t="str">
        <f>IFERROR(__xludf.DUMMYFUNCTION("if(D1205=""variant"",  substitute(filter(Templates!E:E, Templates!A:A = F1205, Templates!B:B = G1205, Templates!C:C = H1205), ""{{}}"", E1205), B1205)"),"🏘  Vous souhaitez acheter une maison à Boudry? ✅ Jetez un œil aux dernières offres sur ImmoScout24.ch.")</f>
        <v>🏘  Vous souhaitez acheter une maison à Boudry? ✅ Jetez un œil aux dernières offres sur ImmoScout24.ch.</v>
      </c>
      <c r="J1205" s="4" t="s">
        <v>3619</v>
      </c>
    </row>
    <row r="1206">
      <c r="A1206" s="5" t="s">
        <v>3620</v>
      </c>
      <c r="B1206" s="2" t="s">
        <v>3621</v>
      </c>
      <c r="C1206" s="4" t="str">
        <f>IFERROR(__xludf.DUMMYFUNCTION("""🏘️ ""&amp;REGEXEXTRACT(B1206, ""^(.*): "")&amp;"" ✅ "" &amp;REGEXEXTRACT(B1206, ""(Trouvez.*)"")"),"🏘️ Louer appartement Treyvaux ✅ Trouvez le bien immobilier qui correspond idéalement à vos désirs sur ImmoScout24 - La plateforme de l'immobilier en Suisse.")</f>
        <v>🏘️ Louer appartement Treyvaux ✅ Trouvez le bien immobilier qui correspond idéalement à vos désirs sur ImmoScout24 - La plateforme de l'immobilier en Suisse.</v>
      </c>
      <c r="D1206" s="4" t="str">
        <f>vlookup(A1206, Sheet2!D:E, 2, 0)</f>
        <v>variant</v>
      </c>
      <c r="E1206" s="4" t="str">
        <f>IFERROR(__xludf.DUMMYFUNCTION("if(H1206=""pays"",vlookup(REGEXEXTRACT(C1206, ""🏘️ \w+ \w+ (.*) ✅""),'Country prepositions'!A:B, 2, 0) &amp; "" "" &amp; REGEXEXTRACT(C1206, ""🏘️ \w+ \w+ (.*) ✅"") ,  if(H1206=""quartier"",vlookup(REGEXEXTRACT(C1206, ""🏘️ \w+ \w+ (.*) ✅""),'Quartier prepositio"&amp;"ns'!A:E, 5, 0) ,  if(H1206=""region"",vlookup(REGEXEXTRACT(C1206, ""🏘️ \w+ \w+ (.*) ✅""),'Region prepositions'!B:F, 5, 0),  REGEXEXTRACT(C1206, ""🏘️ \w+ \w+ (.*) ✅""))))"),"Treyvaux")</f>
        <v>Treyvaux</v>
      </c>
      <c r="F1206" s="2" t="str">
        <f>IFERROR(__xludf.DUMMYFUNCTION("REGEXEXTRACT(C1206, ""🏘️ (\w+) \w+ .* ✅"")"),"Louer")</f>
        <v>Louer</v>
      </c>
      <c r="G1206" s="2" t="str">
        <f>IFERROR(__xludf.DUMMYFUNCTION("REGEXEXTRACT(C1206, ""🏘️ \w+ (\w+) .* ✅"")"),"appartement")</f>
        <v>appartement</v>
      </c>
      <c r="H1206" s="4" t="str">
        <f>IFERROR(__xludf.DUMMYFUNCTION("REGEXEXTRACT(A1206, ""/(\w+)-.*?"")"),"lieu")</f>
        <v>lieu</v>
      </c>
      <c r="I1206" s="4" t="str">
        <f>IFERROR(__xludf.DUMMYFUNCTION("if(D1206=""variant"",  substitute(filter(Templates!E:E, Templates!A:A = F1206, Templates!B:B = G1206, Templates!C:C = H1206), ""{{}}"", E1206), B1206)"),"🏘  Vous cherchez un appartement à louer à Treyvaux? ✅ Les annonces les plus actuelles sont sur ImmoScout24.ch.")</f>
        <v>🏘  Vous cherchez un appartement à louer à Treyvaux? ✅ Les annonces les plus actuelles sont sur ImmoScout24.ch.</v>
      </c>
      <c r="J1206" s="4" t="s">
        <v>3622</v>
      </c>
    </row>
    <row r="1207">
      <c r="A1207" s="5" t="s">
        <v>3623</v>
      </c>
      <c r="B1207" s="2" t="s">
        <v>3624</v>
      </c>
      <c r="C1207" s="4" t="str">
        <f>IFERROR(__xludf.DUMMYFUNCTION("""🏘️ ""&amp;REGEXEXTRACT(B1207, ""^(.*): "")&amp;"" ✅ "" &amp;REGEXEXTRACT(B1207, ""(Trouvez.*)"")"),"🏘️ Vendre maison St-Brais ✅ Trouvez le bien immobilier qui correspond idéalement à vos désirs sur ImmoScout24 - La plateforme de l'immobilier en Suisse.")</f>
        <v>🏘️ Vendre maison St-Brais ✅ Trouvez le bien immobilier qui correspond idéalement à vos désirs sur ImmoScout24 - La plateforme de l'immobilier en Suisse.</v>
      </c>
      <c r="D1207" s="4" t="str">
        <f>vlookup(A1207, Sheet2!D:E, 2, 0)</f>
        <v>variant</v>
      </c>
      <c r="E1207" s="4" t="str">
        <f>IFERROR(__xludf.DUMMYFUNCTION("if(H1207=""pays"",vlookup(REGEXEXTRACT(C1207, ""🏘️ \w+ \w+ (.*) ✅""),'Country prepositions'!A:B, 2, 0) &amp; "" "" &amp; REGEXEXTRACT(C1207, ""🏘️ \w+ \w+ (.*) ✅"") ,  if(H1207=""quartier"",vlookup(REGEXEXTRACT(C1207, ""🏘️ \w+ \w+ (.*) ✅""),'Quartier prepositio"&amp;"ns'!A:E, 5, 0) ,  if(H1207=""region"",vlookup(REGEXEXTRACT(C1207, ""🏘️ \w+ \w+ (.*) ✅""),'Region prepositions'!B:F, 5, 0),  REGEXEXTRACT(C1207, ""🏘️ \w+ \w+ (.*) ✅""))))"),"St-Brais")</f>
        <v>St-Brais</v>
      </c>
      <c r="F1207" s="2" t="str">
        <f>IFERROR(__xludf.DUMMYFUNCTION("REGEXEXTRACT(C1207, ""🏘️ (\w+) \w+ .* ✅"")"),"Vendre")</f>
        <v>Vendre</v>
      </c>
      <c r="G1207" s="2" t="str">
        <f>IFERROR(__xludf.DUMMYFUNCTION("REGEXEXTRACT(C1207, ""🏘️ \w+ (\w+) .* ✅"")"),"maison")</f>
        <v>maison</v>
      </c>
      <c r="H1207" s="4" t="str">
        <f>IFERROR(__xludf.DUMMYFUNCTION("REGEXEXTRACT(A1207, ""/(\w+)-.*?"")"),"lieu")</f>
        <v>lieu</v>
      </c>
      <c r="I1207" s="4" t="str">
        <f>IFERROR(__xludf.DUMMYFUNCTION("if(D1207=""variant"",  substitute(filter(Templates!E:E, Templates!A:A = F1207, Templates!B:B = G1207, Templates!C:C = H1207), ""{{}}"", E1207), B1207)"),"🏘  Vous souhaitez acheter une maison à St-Brais? ✅ Jetez un œil aux dernières offres sur ImmoScout24.ch.")</f>
        <v>🏘  Vous souhaitez acheter une maison à St-Brais? ✅ Jetez un œil aux dernières offres sur ImmoScout24.ch.</v>
      </c>
      <c r="J1207" s="4" t="s">
        <v>3625</v>
      </c>
    </row>
    <row r="1208">
      <c r="A1208" s="5" t="s">
        <v>3626</v>
      </c>
      <c r="B1208" s="2" t="s">
        <v>3627</v>
      </c>
      <c r="C1208" s="4" t="str">
        <f>IFERROR(__xludf.DUMMYFUNCTION("""🏘️ ""&amp;REGEXEXTRACT(B1208, ""^(.*): "")&amp;"" ✅ "" &amp;REGEXEXTRACT(B1208, ""(Trouvez.*)"")"),"🏘️ Vendre appartement Les Mosses ✅ Trouvez le bien immobilier qui correspond idéalement à vos désirs sur ImmoScout24 - La plateforme de l'immobilier en Suisse.")</f>
        <v>🏘️ Vendre appartement Les Mosses ✅ Trouvez le bien immobilier qui correspond idéalement à vos désirs sur ImmoScout24 - La plateforme de l'immobilier en Suisse.</v>
      </c>
      <c r="D1208" s="4" t="str">
        <f>vlookup(A1208, Sheet2!D:E, 2, 0)</f>
        <v>variant</v>
      </c>
      <c r="E1208" s="4" t="str">
        <f>IFERROR(__xludf.DUMMYFUNCTION("if(H1208=""pays"",vlookup(REGEXEXTRACT(C1208, ""🏘️ \w+ \w+ (.*) ✅""),'Country prepositions'!A:B, 2, 0) &amp; "" "" &amp; REGEXEXTRACT(C1208, ""🏘️ \w+ \w+ (.*) ✅"") ,  if(H1208=""quartier"",vlookup(REGEXEXTRACT(C1208, ""🏘️ \w+ \w+ (.*) ✅""),'Quartier prepositio"&amp;"ns'!A:E, 5, 0) ,  if(H1208=""region"",vlookup(REGEXEXTRACT(C1208, ""🏘️ \w+ \w+ (.*) ✅""),'Region prepositions'!B:F, 5, 0),  REGEXEXTRACT(C1208, ""🏘️ \w+ \w+ (.*) ✅""))))"),"Les Mosses")</f>
        <v>Les Mosses</v>
      </c>
      <c r="F1208" s="2" t="str">
        <f>IFERROR(__xludf.DUMMYFUNCTION("REGEXEXTRACT(C1208, ""🏘️ (\w+) \w+ .* ✅"")"),"Vendre")</f>
        <v>Vendre</v>
      </c>
      <c r="G1208" s="2" t="str">
        <f>IFERROR(__xludf.DUMMYFUNCTION("REGEXEXTRACT(C1208, ""🏘️ \w+ (\w+) .* ✅"")"),"appartement")</f>
        <v>appartement</v>
      </c>
      <c r="H1208" s="4" t="str">
        <f>IFERROR(__xludf.DUMMYFUNCTION("REGEXEXTRACT(A1208, ""/(\w+)-.*?"")"),"lieu")</f>
        <v>lieu</v>
      </c>
      <c r="I1208" s="4" t="str">
        <f>IFERROR(__xludf.DUMMYFUNCTION("if(D1208=""variant"",  substitute(filter(Templates!E:E, Templates!A:A = F1208, Templates!B:B = G1208, Templates!C:C = H1208), ""{{}}"", E1208), B1208)"),"🏘  L’appartement de vos rêves se trouve sur ImmoScout24.ch ✅ Découvrez les dernières annonces de vente à Les Mosses.")</f>
        <v>🏘  L’appartement de vos rêves se trouve sur ImmoScout24.ch ✅ Découvrez les dernières annonces de vente à Les Mosses.</v>
      </c>
      <c r="J1208" s="2" t="s">
        <v>3628</v>
      </c>
    </row>
    <row r="1209">
      <c r="A1209" s="5" t="s">
        <v>3629</v>
      </c>
      <c r="B1209" s="2" t="s">
        <v>3630</v>
      </c>
      <c r="C1209" s="4" t="str">
        <f>IFERROR(__xludf.DUMMYFUNCTION("""🏘️ ""&amp;REGEXEXTRACT(B1209, ""^(.*): "")&amp;"" ✅ "" &amp;REGEXEXTRACT(B1209, ""(Trouvez.*)"")"),"🏘️ Vendre appartement Epalinges ✅ Trouvez le bien immobilier qui correspond idéalement à vos désirs sur ImmoScout24 - La plateforme de l'immobilier en Suisse.")</f>
        <v>🏘️ Vendre appartement Epalinges ✅ Trouvez le bien immobilier qui correspond idéalement à vos désirs sur ImmoScout24 - La plateforme de l'immobilier en Suisse.</v>
      </c>
      <c r="D1209" s="4" t="str">
        <f>vlookup(A1209, Sheet2!D:E, 2, 0)</f>
        <v>variant</v>
      </c>
      <c r="E1209" s="4" t="str">
        <f>IFERROR(__xludf.DUMMYFUNCTION("if(H1209=""pays"",vlookup(REGEXEXTRACT(C1209, ""🏘️ \w+ \w+ (.*) ✅""),'Country prepositions'!A:B, 2, 0) &amp; "" "" &amp; REGEXEXTRACT(C1209, ""🏘️ \w+ \w+ (.*) ✅"") ,  if(H1209=""quartier"",vlookup(REGEXEXTRACT(C1209, ""🏘️ \w+ \w+ (.*) ✅""),'Quartier prepositio"&amp;"ns'!A:E, 5, 0) ,  if(H1209=""region"",vlookup(REGEXEXTRACT(C1209, ""🏘️ \w+ \w+ (.*) ✅""),'Region prepositions'!B:F, 5, 0),  REGEXEXTRACT(C1209, ""🏘️ \w+ \w+ (.*) ✅""))))"),"Epalinges")</f>
        <v>Epalinges</v>
      </c>
      <c r="F1209" s="2" t="str">
        <f>IFERROR(__xludf.DUMMYFUNCTION("REGEXEXTRACT(C1209, ""🏘️ (\w+) \w+ .* ✅"")"),"Vendre")</f>
        <v>Vendre</v>
      </c>
      <c r="G1209" s="2" t="str">
        <f>IFERROR(__xludf.DUMMYFUNCTION("REGEXEXTRACT(C1209, ""🏘️ \w+ (\w+) .* ✅"")"),"appartement")</f>
        <v>appartement</v>
      </c>
      <c r="H1209" s="4" t="str">
        <f>IFERROR(__xludf.DUMMYFUNCTION("REGEXEXTRACT(A1209, ""/(\w+)-.*?"")"),"lieu")</f>
        <v>lieu</v>
      </c>
      <c r="I1209" s="4" t="str">
        <f>IFERROR(__xludf.DUMMYFUNCTION("if(D1209=""variant"",  substitute(filter(Templates!E:E, Templates!A:A = F1209, Templates!B:B = G1209, Templates!C:C = H1209), ""{{}}"", E1209), B1209)"),"🏘  L’appartement de vos rêves se trouve sur ImmoScout24.ch ✅ Découvrez les dernières annonces de vente à Epalinges.")</f>
        <v>🏘  L’appartement de vos rêves se trouve sur ImmoScout24.ch ✅ Découvrez les dernières annonces de vente à Epalinges.</v>
      </c>
      <c r="J1209" s="4" t="s">
        <v>3631</v>
      </c>
    </row>
    <row r="1210">
      <c r="A1210" s="5" t="s">
        <v>3632</v>
      </c>
      <c r="B1210" s="2" t="s">
        <v>3633</v>
      </c>
      <c r="C1210" s="4" t="str">
        <f>IFERROR(__xludf.DUMMYFUNCTION("""🏘️ ""&amp;REGEXEXTRACT(B1210, ""^(.*): "")&amp;"" ✅ "" &amp;REGEXEXTRACT(B1210, ""(Trouvez.*)"")"),"🏘️ Vendre maison Canton de Schwyz ✅ Trouvez le bien immobilier qui correspond idéalement à vos désirs sur ImmoScout24 - La plateforme de l'immobilier en Suisse.")</f>
        <v>🏘️ Vendre maison Canton de Schwyz ✅ Trouvez le bien immobilier qui correspond idéalement à vos désirs sur ImmoScout24 - La plateforme de l'immobilier en Suisse.</v>
      </c>
      <c r="D1210" s="4" t="str">
        <f>vlookup(A1210, Sheet2!D:E, 2, 0)</f>
        <v>variant</v>
      </c>
      <c r="E1210" s="4" t="str">
        <f>IFERROR(__xludf.DUMMYFUNCTION("if(H1210=""pays"",vlookup(REGEXEXTRACT(C1210, ""🏘️ \w+ \w+ (.*) ✅""),'Country prepositions'!A:B, 2, 0) &amp; "" "" &amp; REGEXEXTRACT(C1210, ""🏘️ \w+ \w+ (.*) ✅"") ,  if(H1210=""quartier"",vlookup(REGEXEXTRACT(C1210, ""🏘️ \w+ \w+ (.*) ✅""),'Quartier prepositio"&amp;"ns'!A:E, 5, 0) ,  if(H1210=""region"",vlookup(REGEXEXTRACT(C1210, ""🏘️ \w+ \w+ (.*) ✅""),'Region prepositions'!B:F, 5, 0),  REGEXEXTRACT(C1210, ""🏘️ \w+ \w+ (.*) ✅""))))"),"Canton de Schwyz")</f>
        <v>Canton de Schwyz</v>
      </c>
      <c r="F1210" s="2" t="str">
        <f>IFERROR(__xludf.DUMMYFUNCTION("REGEXEXTRACT(C1210, ""🏘️ (\w+) \w+ .* ✅"")"),"Vendre")</f>
        <v>Vendre</v>
      </c>
      <c r="G1210" s="2" t="str">
        <f>IFERROR(__xludf.DUMMYFUNCTION("REGEXEXTRACT(C1210, ""🏘️ \w+ (\w+) .* ✅"")"),"maison")</f>
        <v>maison</v>
      </c>
      <c r="H1210" s="4" t="str">
        <f>IFERROR(__xludf.DUMMYFUNCTION("REGEXEXTRACT(A1210, ""/(\w+)-.*?"")"),"canton")</f>
        <v>canton</v>
      </c>
      <c r="I1210" s="4" t="str">
        <f>IFERROR(__xludf.DUMMYFUNCTION("if(D1210=""variant"",  substitute(filter(Templates!E:E, Templates!A:A = F1210, Templates!B:B = G1210, Templates!C:C = H1210), ""{{}}"", E1210), B1210)"),"🏘  Vous souhaitez acheter une maison dans le Canton de Schwyz? ✅ Jetez un œil aux dernières offres sur ImmoScout24.ch.")</f>
        <v>🏘  Vous souhaitez acheter une maison dans le Canton de Schwyz? ✅ Jetez un œil aux dernières offres sur ImmoScout24.ch.</v>
      </c>
      <c r="J1210" s="4" t="s">
        <v>3634</v>
      </c>
    </row>
    <row r="1211">
      <c r="A1211" s="5" t="s">
        <v>3635</v>
      </c>
      <c r="B1211" s="2" t="s">
        <v>3636</v>
      </c>
      <c r="C1211" s="4" t="str">
        <f>IFERROR(__xludf.DUMMYFUNCTION("""🏘️ ""&amp;REGEXEXTRACT(B1211, ""^(.*): "")&amp;"" ✅ "" &amp;REGEXEXTRACT(B1211, ""(Trouvez.*)"")"),"🏘️ Vendre maison Tentlingen ✅ Trouvez le bien immobilier qui correspond idéalement à vos désirs sur ImmoScout24 - La plateforme de l'immobilier en Suisse.")</f>
        <v>🏘️ Vendre maison Tentlingen ✅ Trouvez le bien immobilier qui correspond idéalement à vos désirs sur ImmoScout24 - La plateforme de l'immobilier en Suisse.</v>
      </c>
      <c r="D1211" s="4" t="str">
        <f>vlookup(A1211, Sheet2!D:E, 2, 0)</f>
        <v>variant</v>
      </c>
      <c r="E1211" s="4" t="str">
        <f>IFERROR(__xludf.DUMMYFUNCTION("if(H1211=""pays"",vlookup(REGEXEXTRACT(C1211, ""🏘️ \w+ \w+ (.*) ✅""),'Country prepositions'!A:B, 2, 0) &amp; "" "" &amp; REGEXEXTRACT(C1211, ""🏘️ \w+ \w+ (.*) ✅"") ,  if(H1211=""quartier"",vlookup(REGEXEXTRACT(C1211, ""🏘️ \w+ \w+ (.*) ✅""),'Quartier prepositio"&amp;"ns'!A:E, 5, 0) ,  if(H1211=""region"",vlookup(REGEXEXTRACT(C1211, ""🏘️ \w+ \w+ (.*) ✅""),'Region prepositions'!B:F, 5, 0),  REGEXEXTRACT(C1211, ""🏘️ \w+ \w+ (.*) ✅""))))"),"Tentlingen")</f>
        <v>Tentlingen</v>
      </c>
      <c r="F1211" s="2" t="str">
        <f>IFERROR(__xludf.DUMMYFUNCTION("REGEXEXTRACT(C1211, ""🏘️ (\w+) \w+ .* ✅"")"),"Vendre")</f>
        <v>Vendre</v>
      </c>
      <c r="G1211" s="2" t="str">
        <f>IFERROR(__xludf.DUMMYFUNCTION("REGEXEXTRACT(C1211, ""🏘️ \w+ (\w+) .* ✅"")"),"maison")</f>
        <v>maison</v>
      </c>
      <c r="H1211" s="4" t="str">
        <f>IFERROR(__xludf.DUMMYFUNCTION("REGEXEXTRACT(A1211, ""/(\w+)-.*?"")"),"lieu")</f>
        <v>lieu</v>
      </c>
      <c r="I1211" s="4" t="str">
        <f>IFERROR(__xludf.DUMMYFUNCTION("if(D1211=""variant"",  substitute(filter(Templates!E:E, Templates!A:A = F1211, Templates!B:B = G1211, Templates!C:C = H1211), ""{{}}"", E1211), B1211)"),"🏘  Vous souhaitez acheter une maison à Tentlingen? ✅ Jetez un œil aux dernières offres sur ImmoScout24.ch.")</f>
        <v>🏘  Vous souhaitez acheter une maison à Tentlingen? ✅ Jetez un œil aux dernières offres sur ImmoScout24.ch.</v>
      </c>
      <c r="J1211" s="4" t="s">
        <v>3637</v>
      </c>
    </row>
    <row r="1212">
      <c r="A1212" s="5" t="s">
        <v>3638</v>
      </c>
      <c r="B1212" s="2" t="s">
        <v>3639</v>
      </c>
      <c r="C1212" s="4" t="str">
        <f>IFERROR(__xludf.DUMMYFUNCTION("""🏘️ ""&amp;REGEXEXTRACT(B1212, ""^(.*): "")&amp;"" ✅ "" &amp;REGEXEXTRACT(B1212, ""(Trouvez.*)"")"),"🏘️ Louer appartement Léchelles ✅ Trouvez le bien immobilier qui correspond idéalement à vos désirs sur ImmoScout24 - La plateforme de l'immobilier en Suisse.")</f>
        <v>🏘️ Louer appartement Léchelles ✅ Trouvez le bien immobilier qui correspond idéalement à vos désirs sur ImmoScout24 - La plateforme de l'immobilier en Suisse.</v>
      </c>
      <c r="D1212" s="4" t="str">
        <f>vlookup(A1212, Sheet2!D:E, 2, 0)</f>
        <v>variant</v>
      </c>
      <c r="E1212" s="4" t="str">
        <f>IFERROR(__xludf.DUMMYFUNCTION("if(H1212=""pays"",vlookup(REGEXEXTRACT(C1212, ""🏘️ \w+ \w+ (.*) ✅""),'Country prepositions'!A:B, 2, 0) &amp; "" "" &amp; REGEXEXTRACT(C1212, ""🏘️ \w+ \w+ (.*) ✅"") ,  if(H1212=""quartier"",vlookup(REGEXEXTRACT(C1212, ""🏘️ \w+ \w+ (.*) ✅""),'Quartier prepositio"&amp;"ns'!A:E, 5, 0) ,  if(H1212=""region"",vlookup(REGEXEXTRACT(C1212, ""🏘️ \w+ \w+ (.*) ✅""),'Region prepositions'!B:F, 5, 0),  REGEXEXTRACT(C1212, ""🏘️ \w+ \w+ (.*) ✅""))))"),"Léchelles")</f>
        <v>Léchelles</v>
      </c>
      <c r="F1212" s="2" t="str">
        <f>IFERROR(__xludf.DUMMYFUNCTION("REGEXEXTRACT(C1212, ""🏘️ (\w+) \w+ .* ✅"")"),"Louer")</f>
        <v>Louer</v>
      </c>
      <c r="G1212" s="2" t="str">
        <f>IFERROR(__xludf.DUMMYFUNCTION("REGEXEXTRACT(C1212, ""🏘️ \w+ (\w+) .* ✅"")"),"appartement")</f>
        <v>appartement</v>
      </c>
      <c r="H1212" s="4" t="str">
        <f>IFERROR(__xludf.DUMMYFUNCTION("REGEXEXTRACT(A1212, ""/(\w+)-.*?"")"),"lieu")</f>
        <v>lieu</v>
      </c>
      <c r="I1212" s="4" t="str">
        <f>IFERROR(__xludf.DUMMYFUNCTION("if(D1212=""variant"",  substitute(filter(Templates!E:E, Templates!A:A = F1212, Templates!B:B = G1212, Templates!C:C = H1212), ""{{}}"", E1212), B1212)"),"🏘  Vous cherchez un appartement à louer à Léchelles? ✅ Les annonces les plus actuelles sont sur ImmoScout24.ch.")</f>
        <v>🏘  Vous cherchez un appartement à louer à Léchelles? ✅ Les annonces les plus actuelles sont sur ImmoScout24.ch.</v>
      </c>
      <c r="J1212" s="4" t="s">
        <v>3640</v>
      </c>
    </row>
    <row r="1213">
      <c r="A1213" s="5" t="s">
        <v>3641</v>
      </c>
      <c r="B1213" s="2" t="s">
        <v>3642</v>
      </c>
      <c r="C1213" s="4" t="str">
        <f>IFERROR(__xludf.DUMMYFUNCTION("""🏘️ ""&amp;REGEXEXTRACT(B1213, ""^(.*): "")&amp;"" ✅ "" &amp;REGEXEXTRACT(B1213, ""(Trouvez.*)"")"),"🏘️ Louer appartement Büren NW ✅ Trouvez le bien immobilier qui correspond idéalement à vos désirs sur ImmoScout24 - La plateforme de l'immobilier en Suisse.")</f>
        <v>🏘️ Louer appartement Büren NW ✅ Trouvez le bien immobilier qui correspond idéalement à vos désirs sur ImmoScout24 - La plateforme de l'immobilier en Suisse.</v>
      </c>
      <c r="D1213" s="4" t="str">
        <f>vlookup(A1213, Sheet2!D:E, 2, 0)</f>
        <v>variant</v>
      </c>
      <c r="E1213" s="4" t="str">
        <f>IFERROR(__xludf.DUMMYFUNCTION("if(H1213=""pays"",vlookup(REGEXEXTRACT(C1213, ""🏘️ \w+ \w+ (.*) ✅""),'Country prepositions'!A:B, 2, 0) &amp; "" "" &amp; REGEXEXTRACT(C1213, ""🏘️ \w+ \w+ (.*) ✅"") ,  if(H1213=""quartier"",vlookup(REGEXEXTRACT(C1213, ""🏘️ \w+ \w+ (.*) ✅""),'Quartier prepositio"&amp;"ns'!A:E, 5, 0) ,  if(H1213=""region"",vlookup(REGEXEXTRACT(C1213, ""🏘️ \w+ \w+ (.*) ✅""),'Region prepositions'!B:F, 5, 0),  REGEXEXTRACT(C1213, ""🏘️ \w+ \w+ (.*) ✅""))))"),"Büren NW")</f>
        <v>Büren NW</v>
      </c>
      <c r="F1213" s="2" t="str">
        <f>IFERROR(__xludf.DUMMYFUNCTION("REGEXEXTRACT(C1213, ""🏘️ (\w+) \w+ .* ✅"")"),"Louer")</f>
        <v>Louer</v>
      </c>
      <c r="G1213" s="2" t="str">
        <f>IFERROR(__xludf.DUMMYFUNCTION("REGEXEXTRACT(C1213, ""🏘️ \w+ (\w+) .* ✅"")"),"appartement")</f>
        <v>appartement</v>
      </c>
      <c r="H1213" s="4" t="str">
        <f>IFERROR(__xludf.DUMMYFUNCTION("REGEXEXTRACT(A1213, ""/(\w+)-.*?"")"),"lieu")</f>
        <v>lieu</v>
      </c>
      <c r="I1213" s="4" t="str">
        <f>IFERROR(__xludf.DUMMYFUNCTION("if(D1213=""variant"",  substitute(filter(Templates!E:E, Templates!A:A = F1213, Templates!B:B = G1213, Templates!C:C = H1213), ""{{}}"", E1213), B1213)"),"🏘  Vous cherchez un appartement à louer à Büren NW? ✅ Les annonces les plus actuelles sont sur ImmoScout24.ch.")</f>
        <v>🏘  Vous cherchez un appartement à louer à Büren NW? ✅ Les annonces les plus actuelles sont sur ImmoScout24.ch.</v>
      </c>
      <c r="J1213" s="4" t="s">
        <v>3643</v>
      </c>
    </row>
    <row r="1214">
      <c r="A1214" s="5" t="s">
        <v>3644</v>
      </c>
      <c r="B1214" s="2" t="s">
        <v>3645</v>
      </c>
      <c r="C1214" s="4" t="str">
        <f>IFERROR(__xludf.DUMMYFUNCTION("""🏘️ ""&amp;REGEXEXTRACT(B1214, ""^(.*): "")&amp;"" ✅ "" &amp;REGEXEXTRACT(B1214, ""(Trouvez.*)"")"),"🏘️ Vendre maison Eriz ✅ Trouvez le bien immobilier qui correspond idéalement à vos désirs sur ImmoScout24 - La plateforme de l'immobilier en Suisse.")</f>
        <v>🏘️ Vendre maison Eriz ✅ Trouvez le bien immobilier qui correspond idéalement à vos désirs sur ImmoScout24 - La plateforme de l'immobilier en Suisse.</v>
      </c>
      <c r="D1214" s="4" t="str">
        <f>vlookup(A1214, Sheet2!D:E, 2, 0)</f>
        <v>variant</v>
      </c>
      <c r="E1214" s="4" t="str">
        <f>IFERROR(__xludf.DUMMYFUNCTION("if(H1214=""pays"",vlookup(REGEXEXTRACT(C1214, ""🏘️ \w+ \w+ (.*) ✅""),'Country prepositions'!A:B, 2, 0) &amp; "" "" &amp; REGEXEXTRACT(C1214, ""🏘️ \w+ \w+ (.*) ✅"") ,  if(H1214=""quartier"",vlookup(REGEXEXTRACT(C1214, ""🏘️ \w+ \w+ (.*) ✅""),'Quartier prepositio"&amp;"ns'!A:E, 5, 0) ,  if(H1214=""region"",vlookup(REGEXEXTRACT(C1214, ""🏘️ \w+ \w+ (.*) ✅""),'Region prepositions'!B:F, 5, 0),  REGEXEXTRACT(C1214, ""🏘️ \w+ \w+ (.*) ✅""))))"),"Eriz")</f>
        <v>Eriz</v>
      </c>
      <c r="F1214" s="2" t="str">
        <f>IFERROR(__xludf.DUMMYFUNCTION("REGEXEXTRACT(C1214, ""🏘️ (\w+) \w+ .* ✅"")"),"Vendre")</f>
        <v>Vendre</v>
      </c>
      <c r="G1214" s="2" t="str">
        <f>IFERROR(__xludf.DUMMYFUNCTION("REGEXEXTRACT(C1214, ""🏘️ \w+ (\w+) .* ✅"")"),"maison")</f>
        <v>maison</v>
      </c>
      <c r="H1214" s="4" t="str">
        <f>IFERROR(__xludf.DUMMYFUNCTION("REGEXEXTRACT(A1214, ""/(\w+)-.*?"")"),"lieu")</f>
        <v>lieu</v>
      </c>
      <c r="I1214" s="4" t="str">
        <f>IFERROR(__xludf.DUMMYFUNCTION("if(D1214=""variant"",  substitute(filter(Templates!E:E, Templates!A:A = F1214, Templates!B:B = G1214, Templates!C:C = H1214), ""{{}}"", E1214), B1214)"),"🏘  Vous souhaitez acheter une maison à Eriz? ✅ Jetez un œil aux dernières offres sur ImmoScout24.ch.")</f>
        <v>🏘  Vous souhaitez acheter une maison à Eriz? ✅ Jetez un œil aux dernières offres sur ImmoScout24.ch.</v>
      </c>
      <c r="J1214" s="4" t="s">
        <v>3646</v>
      </c>
    </row>
    <row r="1215">
      <c r="A1215" s="5" t="s">
        <v>3647</v>
      </c>
      <c r="B1215" s="2" t="s">
        <v>3648</v>
      </c>
      <c r="C1215" s="4" t="str">
        <f>IFERROR(__xludf.DUMMYFUNCTION("""🏘️ ""&amp;REGEXEXTRACT(B1215, ""^(.*): "")&amp;"" ✅ "" &amp;REGEXEXTRACT(B1215, ""(Trouvez.*)"")"),"🏘️ Louer appartement Iselin (Bâle) ✅ Trouvez le bien immobilier qui correspond idéalement à vos désirs sur ImmoScout24 - La plateforme de l'immobilier en Suisse.")</f>
        <v>🏘️ Louer appartement Iselin (Bâle) ✅ Trouvez le bien immobilier qui correspond idéalement à vos désirs sur ImmoScout24 - La plateforme de l'immobilier en Suisse.</v>
      </c>
      <c r="D1215" s="4" t="str">
        <f>vlookup(A1215, Sheet2!D:E, 2, 0)</f>
        <v>variant</v>
      </c>
      <c r="E1215" s="4" t="str">
        <f>IFERROR(__xludf.DUMMYFUNCTION("if(H1215=""pays"",vlookup(REGEXEXTRACT(C1215, ""🏘️ \w+ \w+ (.*) ✅""),'Country prepositions'!A:B, 2, 0) &amp; "" "" &amp; REGEXEXTRACT(C1215, ""🏘️ \w+ \w+ (.*) ✅"") ,  if(H1215=""quartier"",vlookup(REGEXEXTRACT(C1215, ""🏘️ \w+ \w+ (.*) ✅""),'Quartier prepositio"&amp;"ns'!A:E, 5, 0) ,  if(H1215=""region"",vlookup(REGEXEXTRACT(C1215, ""🏘️ \w+ \w+ (.*) ✅""),'Region prepositions'!B:F, 5, 0),  REGEXEXTRACT(C1215, ""🏘️ \w+ \w+ (.*) ✅""))))"),"dans le quartier d'Iselin (Bâle)")</f>
        <v>dans le quartier d'Iselin (Bâle)</v>
      </c>
      <c r="F1215" s="2" t="str">
        <f>IFERROR(__xludf.DUMMYFUNCTION("REGEXEXTRACT(C1215, ""🏘️ (\w+) \w+ .* ✅"")"),"Louer")</f>
        <v>Louer</v>
      </c>
      <c r="G1215" s="2" t="str">
        <f>IFERROR(__xludf.DUMMYFUNCTION("REGEXEXTRACT(C1215, ""🏘️ \w+ (\w+) .* ✅"")"),"appartement")</f>
        <v>appartement</v>
      </c>
      <c r="H1215" s="4" t="str">
        <f>IFERROR(__xludf.DUMMYFUNCTION("REGEXEXTRACT(A1215, ""/(\w+)-.*?"")"),"quartier")</f>
        <v>quartier</v>
      </c>
      <c r="I1215" s="4" t="str">
        <f>IFERROR(__xludf.DUMMYFUNCTION("if(D1215=""variant"",  substitute(filter(Templates!E:E, Templates!A:A = F1215, Templates!B:B = G1215, Templates!C:C = H1215), ""{{}}"", E1215), B1215)"),"🏘  Vous cherchez un appartement à louer dans le quartier d'Iselin (Bâle)? ✅ Les annonces les plus actuelles sont sur ImmoScout24.ch.")</f>
        <v>🏘  Vous cherchez un appartement à louer dans le quartier d'Iselin (Bâle)? ✅ Les annonces les plus actuelles sont sur ImmoScout24.ch.</v>
      </c>
      <c r="J1215" s="4" t="s">
        <v>3649</v>
      </c>
    </row>
    <row r="1216">
      <c r="A1216" s="5" t="s">
        <v>3650</v>
      </c>
      <c r="B1216" s="2" t="s">
        <v>3651</v>
      </c>
      <c r="C1216" s="4" t="str">
        <f>IFERROR(__xludf.DUMMYFUNCTION("""🏘️ ""&amp;REGEXEXTRACT(B1216, ""^(.*): "")&amp;"" ✅ "" &amp;REGEXEXTRACT(B1216, ""(Trouvez.*)"")"),"🏘️ Vendre maison Montaubion-Chardonney ✅ Trouvez le bien immobilier qui correspond idéalement à vos désirs sur ImmoScout24 - La plateforme de l'immobilier en Suisse.")</f>
        <v>🏘️ Vendre maison Montaubion-Chardonney ✅ Trouvez le bien immobilier qui correspond idéalement à vos désirs sur ImmoScout24 - La plateforme de l'immobilier en Suisse.</v>
      </c>
      <c r="D1216" s="4" t="str">
        <f>vlookup(A1216, Sheet2!D:E, 2, 0)</f>
        <v>variant</v>
      </c>
      <c r="E1216" s="4" t="str">
        <f>IFERROR(__xludf.DUMMYFUNCTION("if(H1216=""pays"",vlookup(REGEXEXTRACT(C1216, ""🏘️ \w+ \w+ (.*) ✅""),'Country prepositions'!A:B, 2, 0) &amp; "" "" &amp; REGEXEXTRACT(C1216, ""🏘️ \w+ \w+ (.*) ✅"") ,  if(H1216=""quartier"",vlookup(REGEXEXTRACT(C1216, ""🏘️ \w+ \w+ (.*) ✅""),'Quartier prepositio"&amp;"ns'!A:E, 5, 0) ,  if(H1216=""region"",vlookup(REGEXEXTRACT(C1216, ""🏘️ \w+ \w+ (.*) ✅""),'Region prepositions'!B:F, 5, 0),  REGEXEXTRACT(C1216, ""🏘️ \w+ \w+ (.*) ✅""))))"),"Montaubion-Chardonney")</f>
        <v>Montaubion-Chardonney</v>
      </c>
      <c r="F1216" s="2" t="str">
        <f>IFERROR(__xludf.DUMMYFUNCTION("REGEXEXTRACT(C1216, ""🏘️ (\w+) \w+ .* ✅"")"),"Vendre")</f>
        <v>Vendre</v>
      </c>
      <c r="G1216" s="2" t="str">
        <f>IFERROR(__xludf.DUMMYFUNCTION("REGEXEXTRACT(C1216, ""🏘️ \w+ (\w+) .* ✅"")"),"maison")</f>
        <v>maison</v>
      </c>
      <c r="H1216" s="4" t="str">
        <f>IFERROR(__xludf.DUMMYFUNCTION("REGEXEXTRACT(A1216, ""/(\w+)-.*?"")"),"lieu")</f>
        <v>lieu</v>
      </c>
      <c r="I1216" s="4" t="str">
        <f>IFERROR(__xludf.DUMMYFUNCTION("if(D1216=""variant"",  substitute(filter(Templates!E:E, Templates!A:A = F1216, Templates!B:B = G1216, Templates!C:C = H1216), ""{{}}"", E1216), B1216)"),"🏘  Vous souhaitez acheter une maison à Montaubion-Chardonney? ✅ Jetez un œil aux dernières offres sur ImmoScout24.ch.")</f>
        <v>🏘  Vous souhaitez acheter une maison à Montaubion-Chardonney? ✅ Jetez un œil aux dernières offres sur ImmoScout24.ch.</v>
      </c>
      <c r="J1216" s="4" t="s">
        <v>3652</v>
      </c>
    </row>
    <row r="1217">
      <c r="A1217" s="5" t="s">
        <v>3653</v>
      </c>
      <c r="B1217" s="2" t="s">
        <v>3654</v>
      </c>
      <c r="C1217" s="4" t="str">
        <f>IFERROR(__xludf.DUMMYFUNCTION("""🏘️ ""&amp;REGEXEXTRACT(B1217, ""^(.*): "")&amp;"" ✅ "" &amp;REGEXEXTRACT(B1217, ""(Trouvez.*)"")"),"🏘️ Vendre maison Oberhof ✅ Trouvez le bien immobilier qui correspond idéalement à vos désirs sur ImmoScout24 - La plateforme de l'immobilier en Suisse.")</f>
        <v>🏘️ Vendre maison Oberhof ✅ Trouvez le bien immobilier qui correspond idéalement à vos désirs sur ImmoScout24 - La plateforme de l'immobilier en Suisse.</v>
      </c>
      <c r="D1217" s="4" t="str">
        <f>vlookup(A1217, Sheet2!D:E, 2, 0)</f>
        <v>variant</v>
      </c>
      <c r="E1217" s="4" t="str">
        <f>IFERROR(__xludf.DUMMYFUNCTION("if(H1217=""pays"",vlookup(REGEXEXTRACT(C1217, ""🏘️ \w+ \w+ (.*) ✅""),'Country prepositions'!A:B, 2, 0) &amp; "" "" &amp; REGEXEXTRACT(C1217, ""🏘️ \w+ \w+ (.*) ✅"") ,  if(H1217=""quartier"",vlookup(REGEXEXTRACT(C1217, ""🏘️ \w+ \w+ (.*) ✅""),'Quartier prepositio"&amp;"ns'!A:E, 5, 0) ,  if(H1217=""region"",vlookup(REGEXEXTRACT(C1217, ""🏘️ \w+ \w+ (.*) ✅""),'Region prepositions'!B:F, 5, 0),  REGEXEXTRACT(C1217, ""🏘️ \w+ \w+ (.*) ✅""))))"),"Oberhof")</f>
        <v>Oberhof</v>
      </c>
      <c r="F1217" s="2" t="str">
        <f>IFERROR(__xludf.DUMMYFUNCTION("REGEXEXTRACT(C1217, ""🏘️ (\w+) \w+ .* ✅"")"),"Vendre")</f>
        <v>Vendre</v>
      </c>
      <c r="G1217" s="2" t="str">
        <f>IFERROR(__xludf.DUMMYFUNCTION("REGEXEXTRACT(C1217, ""🏘️ \w+ (\w+) .* ✅"")"),"maison")</f>
        <v>maison</v>
      </c>
      <c r="H1217" s="4" t="str">
        <f>IFERROR(__xludf.DUMMYFUNCTION("REGEXEXTRACT(A1217, ""/(\w+)-.*?"")"),"lieu")</f>
        <v>lieu</v>
      </c>
      <c r="I1217" s="4" t="str">
        <f>IFERROR(__xludf.DUMMYFUNCTION("if(D1217=""variant"",  substitute(filter(Templates!E:E, Templates!A:A = F1217, Templates!B:B = G1217, Templates!C:C = H1217), ""{{}}"", E1217), B1217)"),"🏘  Vous souhaitez acheter une maison à Oberhof? ✅ Jetez un œil aux dernières offres sur ImmoScout24.ch.")</f>
        <v>🏘  Vous souhaitez acheter une maison à Oberhof? ✅ Jetez un œil aux dernières offres sur ImmoScout24.ch.</v>
      </c>
      <c r="J1217" s="4" t="s">
        <v>3655</v>
      </c>
    </row>
    <row r="1218">
      <c r="A1218" s="5" t="s">
        <v>3656</v>
      </c>
      <c r="B1218" s="2" t="s">
        <v>3657</v>
      </c>
      <c r="C1218" s="4" t="str">
        <f>IFERROR(__xludf.DUMMYFUNCTION("""🏘️ ""&amp;REGEXEXTRACT(B1218, ""^(.*): "")&amp;"" ✅ "" &amp;REGEXEXTRACT(B1218, ""(Trouvez.*)"")"),"🏘️ Louer appartement Bissone ✅ Trouvez le bien immobilier qui correspond idéalement à vos désirs sur ImmoScout24 - La plateforme de l'immobilier en Suisse.")</f>
        <v>🏘️ Louer appartement Bissone ✅ Trouvez le bien immobilier qui correspond idéalement à vos désirs sur ImmoScout24 - La plateforme de l'immobilier en Suisse.</v>
      </c>
      <c r="D1218" s="4" t="str">
        <f>vlookup(A1218, Sheet2!D:E, 2, 0)</f>
        <v>variant</v>
      </c>
      <c r="E1218" s="4" t="str">
        <f>IFERROR(__xludf.DUMMYFUNCTION("if(H1218=""pays"",vlookup(REGEXEXTRACT(C1218, ""🏘️ \w+ \w+ (.*) ✅""),'Country prepositions'!A:B, 2, 0) &amp; "" "" &amp; REGEXEXTRACT(C1218, ""🏘️ \w+ \w+ (.*) ✅"") ,  if(H1218=""quartier"",vlookup(REGEXEXTRACT(C1218, ""🏘️ \w+ \w+ (.*) ✅""),'Quartier prepositio"&amp;"ns'!A:E, 5, 0) ,  if(H1218=""region"",vlookup(REGEXEXTRACT(C1218, ""🏘️ \w+ \w+ (.*) ✅""),'Region prepositions'!B:F, 5, 0),  REGEXEXTRACT(C1218, ""🏘️ \w+ \w+ (.*) ✅""))))"),"Bissone")</f>
        <v>Bissone</v>
      </c>
      <c r="F1218" s="2" t="str">
        <f>IFERROR(__xludf.DUMMYFUNCTION("REGEXEXTRACT(C1218, ""🏘️ (\w+) \w+ .* ✅"")"),"Louer")</f>
        <v>Louer</v>
      </c>
      <c r="G1218" s="2" t="str">
        <f>IFERROR(__xludf.DUMMYFUNCTION("REGEXEXTRACT(C1218, ""🏘️ \w+ (\w+) .* ✅"")"),"appartement")</f>
        <v>appartement</v>
      </c>
      <c r="H1218" s="4" t="str">
        <f>IFERROR(__xludf.DUMMYFUNCTION("REGEXEXTRACT(A1218, ""/(\w+)-.*?"")"),"lieu")</f>
        <v>lieu</v>
      </c>
      <c r="I1218" s="4" t="str">
        <f>IFERROR(__xludf.DUMMYFUNCTION("if(D1218=""variant"",  substitute(filter(Templates!E:E, Templates!A:A = F1218, Templates!B:B = G1218, Templates!C:C = H1218), ""{{}}"", E1218), B1218)"),"🏘  Vous cherchez un appartement à louer à Bissone? ✅ Les annonces les plus actuelles sont sur ImmoScout24.ch.")</f>
        <v>🏘  Vous cherchez un appartement à louer à Bissone? ✅ Les annonces les plus actuelles sont sur ImmoScout24.ch.</v>
      </c>
      <c r="J1218" s="4" t="s">
        <v>3658</v>
      </c>
    </row>
    <row r="1219">
      <c r="A1219" s="5" t="s">
        <v>3659</v>
      </c>
      <c r="B1219" s="2" t="s">
        <v>3660</v>
      </c>
      <c r="C1219" s="4" t="str">
        <f>IFERROR(__xludf.DUMMYFUNCTION("""🏘️ ""&amp;REGEXEXTRACT(B1219, ""^(.*): "")&amp;"" ✅ "" &amp;REGEXEXTRACT(B1219, ""(Trouvez.*)"")"),"🏘️ Vendre maison Délices - Grottes (Genève) ✅ Trouvez le bien immobilier qui correspond idéalement à vos désirs sur ImmoScout24 - La plateforme de l'immobilier en Suisse.")</f>
        <v>🏘️ Vendre maison Délices - Grottes (Genève) ✅ Trouvez le bien immobilier qui correspond idéalement à vos désirs sur ImmoScout24 - La plateforme de l'immobilier en Suisse.</v>
      </c>
      <c r="D1219" s="4" t="str">
        <f>vlookup(A1219, Sheet2!D:E, 2, 0)</f>
        <v>variant</v>
      </c>
      <c r="E1219" s="4" t="str">
        <f>IFERROR(__xludf.DUMMYFUNCTION("if(H1219=""pays"",vlookup(REGEXEXTRACT(C1219, ""🏘️ \w+ \w+ (.*) ✅""),'Country prepositions'!A:B, 2, 0) &amp; "" "" &amp; REGEXEXTRACT(C1219, ""🏘️ \w+ \w+ (.*) ✅"") ,  if(H1219=""quartier"",vlookup(REGEXEXTRACT(C1219, ""🏘️ \w+ \w+ (.*) ✅""),'Quartier prepositio"&amp;"ns'!A:E, 5, 0) ,  if(H1219=""region"",vlookup(REGEXEXTRACT(C1219, ""🏘️ \w+ \w+ (.*) ✅""),'Region prepositions'!B:F, 5, 0),  REGEXEXTRACT(C1219, ""🏘️ \w+ \w+ (.*) ✅""))))"),"dans le quartier des Délices - Grottes (Genève)")</f>
        <v>dans le quartier des Délices - Grottes (Genève)</v>
      </c>
      <c r="F1219" s="2" t="str">
        <f>IFERROR(__xludf.DUMMYFUNCTION("REGEXEXTRACT(C1219, ""🏘️ (\w+) \w+ .* ✅"")"),"Vendre")</f>
        <v>Vendre</v>
      </c>
      <c r="G1219" s="2" t="str">
        <f>IFERROR(__xludf.DUMMYFUNCTION("REGEXEXTRACT(C1219, ""🏘️ \w+ (\w+) .* ✅"")"),"maison")</f>
        <v>maison</v>
      </c>
      <c r="H1219" s="4" t="str">
        <f>IFERROR(__xludf.DUMMYFUNCTION("REGEXEXTRACT(A1219, ""/(\w+)-.*?"")"),"quartier")</f>
        <v>quartier</v>
      </c>
      <c r="I1219" s="4" t="str">
        <f>IFERROR(__xludf.DUMMYFUNCTION("if(D1219=""variant"",  substitute(filter(Templates!E:E, Templates!A:A = F1219, Templates!B:B = G1219, Templates!C:C = H1219), ""{{}}"", E1219), B1219)"),"🏘  Vous souhaitez acheter une maison dans le quartier des Délices - Grottes (Genève)? ✅ Jetez un œil aux dernières offres sur ImmoScout24.ch.")</f>
        <v>🏘  Vous souhaitez acheter une maison dans le quartier des Délices - Grottes (Genève)? ✅ Jetez un œil aux dernières offres sur ImmoScout24.ch.</v>
      </c>
      <c r="J1219" s="4" t="s">
        <v>3661</v>
      </c>
    </row>
    <row r="1220">
      <c r="A1220" s="5" t="s">
        <v>3662</v>
      </c>
      <c r="B1220" s="2" t="s">
        <v>3663</v>
      </c>
      <c r="C1220" s="4" t="str">
        <f>IFERROR(__xludf.DUMMYFUNCTION("""🏘️ ""&amp;REGEXEXTRACT(B1220, ""^(.*): "")&amp;"" ✅ "" &amp;REGEXEXTRACT(B1220, ""(Trouvez.*)"")"),"🏘️ Vendre maison Turbach ✅ Trouvez le bien immobilier qui correspond idéalement à vos désirs sur ImmoScout24 - La plateforme de l'immobilier en Suisse.")</f>
        <v>🏘️ Vendre maison Turbach ✅ Trouvez le bien immobilier qui correspond idéalement à vos désirs sur ImmoScout24 - La plateforme de l'immobilier en Suisse.</v>
      </c>
      <c r="D1220" s="4" t="str">
        <f>vlookup(A1220, Sheet2!D:E, 2, 0)</f>
        <v>variant</v>
      </c>
      <c r="E1220" s="4" t="str">
        <f>IFERROR(__xludf.DUMMYFUNCTION("if(H1220=""pays"",vlookup(REGEXEXTRACT(C1220, ""🏘️ \w+ \w+ (.*) ✅""),'Country prepositions'!A:B, 2, 0) &amp; "" "" &amp; REGEXEXTRACT(C1220, ""🏘️ \w+ \w+ (.*) ✅"") ,  if(H1220=""quartier"",vlookup(REGEXEXTRACT(C1220, ""🏘️ \w+ \w+ (.*) ✅""),'Quartier prepositio"&amp;"ns'!A:E, 5, 0) ,  if(H1220=""region"",vlookup(REGEXEXTRACT(C1220, ""🏘️ \w+ \w+ (.*) ✅""),'Region prepositions'!B:F, 5, 0),  REGEXEXTRACT(C1220, ""🏘️ \w+ \w+ (.*) ✅""))))"),"Turbach")</f>
        <v>Turbach</v>
      </c>
      <c r="F1220" s="2" t="str">
        <f>IFERROR(__xludf.DUMMYFUNCTION("REGEXEXTRACT(C1220, ""🏘️ (\w+) \w+ .* ✅"")"),"Vendre")</f>
        <v>Vendre</v>
      </c>
      <c r="G1220" s="2" t="str">
        <f>IFERROR(__xludf.DUMMYFUNCTION("REGEXEXTRACT(C1220, ""🏘️ \w+ (\w+) .* ✅"")"),"maison")</f>
        <v>maison</v>
      </c>
      <c r="H1220" s="4" t="str">
        <f>IFERROR(__xludf.DUMMYFUNCTION("REGEXEXTRACT(A1220, ""/(\w+)-.*?"")"),"lieu")</f>
        <v>lieu</v>
      </c>
      <c r="I1220" s="4" t="str">
        <f>IFERROR(__xludf.DUMMYFUNCTION("if(D1220=""variant"",  substitute(filter(Templates!E:E, Templates!A:A = F1220, Templates!B:B = G1220, Templates!C:C = H1220), ""{{}}"", E1220), B1220)"),"🏘  Vous souhaitez acheter une maison à Turbach? ✅ Jetez un œil aux dernières offres sur ImmoScout24.ch.")</f>
        <v>🏘  Vous souhaitez acheter une maison à Turbach? ✅ Jetez un œil aux dernières offres sur ImmoScout24.ch.</v>
      </c>
      <c r="J1220" s="4" t="s">
        <v>3664</v>
      </c>
    </row>
    <row r="1221">
      <c r="A1221" s="5" t="s">
        <v>3665</v>
      </c>
      <c r="B1221" s="2" t="s">
        <v>3666</v>
      </c>
      <c r="C1221" s="4" t="str">
        <f>IFERROR(__xludf.DUMMYFUNCTION("""🏘️ ""&amp;REGEXEXTRACT(B1221, ""^(.*): "")&amp;"" ✅ "" &amp;REGEXEXTRACT(B1221, ""(Trouvez.*)"")"),"🏘️ Louer appartement Lenzburg ✅ Trouvez le bien immobilier qui correspond idéalement à vos désirs sur ImmoScout24 - La plateforme de l'immobilier en Suisse.")</f>
        <v>🏘️ Louer appartement Lenzburg ✅ Trouvez le bien immobilier qui correspond idéalement à vos désirs sur ImmoScout24 - La plateforme de l'immobilier en Suisse.</v>
      </c>
      <c r="D1221" s="4" t="str">
        <f>vlookup(A1221, Sheet2!D:E, 2, 0)</f>
        <v>variant</v>
      </c>
      <c r="E1221" s="4" t="str">
        <f>IFERROR(__xludf.DUMMYFUNCTION("if(H1221=""pays"",vlookup(REGEXEXTRACT(C1221, ""🏘️ \w+ \w+ (.*) ✅""),'Country prepositions'!A:B, 2, 0) &amp; "" "" &amp; REGEXEXTRACT(C1221, ""🏘️ \w+ \w+ (.*) ✅"") ,  if(H1221=""quartier"",vlookup(REGEXEXTRACT(C1221, ""🏘️ \w+ \w+ (.*) ✅""),'Quartier prepositio"&amp;"ns'!A:E, 5, 0) ,  if(H1221=""region"",vlookup(REGEXEXTRACT(C1221, ""🏘️ \w+ \w+ (.*) ✅""),'Region prepositions'!B:F, 5, 0),  REGEXEXTRACT(C1221, ""🏘️ \w+ \w+ (.*) ✅""))))"),"Lenzburg")</f>
        <v>Lenzburg</v>
      </c>
      <c r="F1221" s="2" t="str">
        <f>IFERROR(__xludf.DUMMYFUNCTION("REGEXEXTRACT(C1221, ""🏘️ (\w+) \w+ .* ✅"")"),"Louer")</f>
        <v>Louer</v>
      </c>
      <c r="G1221" s="2" t="str">
        <f>IFERROR(__xludf.DUMMYFUNCTION("REGEXEXTRACT(C1221, ""🏘️ \w+ (\w+) .* ✅"")"),"appartement")</f>
        <v>appartement</v>
      </c>
      <c r="H1221" s="4" t="str">
        <f>IFERROR(__xludf.DUMMYFUNCTION("REGEXEXTRACT(A1221, ""/(\w+)-.*?"")"),"lieu")</f>
        <v>lieu</v>
      </c>
      <c r="I1221" s="4" t="str">
        <f>IFERROR(__xludf.DUMMYFUNCTION("if(D1221=""variant"",  substitute(filter(Templates!E:E, Templates!A:A = F1221, Templates!B:B = G1221, Templates!C:C = H1221), ""{{}}"", E1221), B1221)"),"🏘  Vous cherchez un appartement à louer à Lenzburg? ✅ Les annonces les plus actuelles sont sur ImmoScout24.ch.")</f>
        <v>🏘  Vous cherchez un appartement à louer à Lenzburg? ✅ Les annonces les plus actuelles sont sur ImmoScout24.ch.</v>
      </c>
      <c r="J1221" s="2" t="s">
        <v>3667</v>
      </c>
    </row>
    <row r="1222">
      <c r="A1222" s="5" t="s">
        <v>3668</v>
      </c>
      <c r="B1222" s="2" t="s">
        <v>3669</v>
      </c>
      <c r="C1222" s="4" t="str">
        <f>IFERROR(__xludf.DUMMYFUNCTION("""🏘️ ""&amp;REGEXEXTRACT(B1222, ""^(.*): "")&amp;"" ✅ "" &amp;REGEXEXTRACT(B1222, ""(Trouvez.*)"")"),"🏘️ Vendre appartement Isérables ✅ Trouvez le bien immobilier qui correspond idéalement à vos désirs sur ImmoScout24 - La plateforme de l'immobilier en Suisse.")</f>
        <v>🏘️ Vendre appartement Isérables ✅ Trouvez le bien immobilier qui correspond idéalement à vos désirs sur ImmoScout24 - La plateforme de l'immobilier en Suisse.</v>
      </c>
      <c r="D1222" s="4" t="str">
        <f>vlookup(A1222, Sheet2!D:E, 2, 0)</f>
        <v>variant</v>
      </c>
      <c r="E1222" s="4" t="str">
        <f>IFERROR(__xludf.DUMMYFUNCTION("if(H1222=""pays"",vlookup(REGEXEXTRACT(C1222, ""🏘️ \w+ \w+ (.*) ✅""),'Country prepositions'!A:B, 2, 0) &amp; "" "" &amp; REGEXEXTRACT(C1222, ""🏘️ \w+ \w+ (.*) ✅"") ,  if(H1222=""quartier"",vlookup(REGEXEXTRACT(C1222, ""🏘️ \w+ \w+ (.*) ✅""),'Quartier prepositio"&amp;"ns'!A:E, 5, 0) ,  if(H1222=""region"",vlookup(REGEXEXTRACT(C1222, ""🏘️ \w+ \w+ (.*) ✅""),'Region prepositions'!B:F, 5, 0),  REGEXEXTRACT(C1222, ""🏘️ \w+ \w+ (.*) ✅""))))"),"Isérables")</f>
        <v>Isérables</v>
      </c>
      <c r="F1222" s="2" t="str">
        <f>IFERROR(__xludf.DUMMYFUNCTION("REGEXEXTRACT(C1222, ""🏘️ (\w+) \w+ .* ✅"")"),"Vendre")</f>
        <v>Vendre</v>
      </c>
      <c r="G1222" s="2" t="str">
        <f>IFERROR(__xludf.DUMMYFUNCTION("REGEXEXTRACT(C1222, ""🏘️ \w+ (\w+) .* ✅"")"),"appartement")</f>
        <v>appartement</v>
      </c>
      <c r="H1222" s="4" t="str">
        <f>IFERROR(__xludf.DUMMYFUNCTION("REGEXEXTRACT(A1222, ""/(\w+)-.*?"")"),"lieu")</f>
        <v>lieu</v>
      </c>
      <c r="I1222" s="4" t="str">
        <f>IFERROR(__xludf.DUMMYFUNCTION("if(D1222=""variant"",  substitute(filter(Templates!E:E, Templates!A:A = F1222, Templates!B:B = G1222, Templates!C:C = H1222), ""{{}}"", E1222), B1222)"),"🏘  L’appartement de vos rêves se trouve sur ImmoScout24.ch ✅ Découvrez les dernières annonces de vente à Isérables.")</f>
        <v>🏘  L’appartement de vos rêves se trouve sur ImmoScout24.ch ✅ Découvrez les dernières annonces de vente à Isérables.</v>
      </c>
      <c r="J1222" s="4" t="s">
        <v>3670</v>
      </c>
    </row>
    <row r="1223">
      <c r="A1223" s="5" t="s">
        <v>3671</v>
      </c>
      <c r="B1223" s="2" t="s">
        <v>3672</v>
      </c>
      <c r="C1223" s="4" t="str">
        <f>IFERROR(__xludf.DUMMYFUNCTION("""🏘️ ""&amp;REGEXEXTRACT(B1223, ""^(.*): "")&amp;"" ✅ "" &amp;REGEXEXTRACT(B1223, ""(Trouvez.*)"")"),"🏘️ Vendre maison Ueken ✅ Trouvez le bien immobilier qui correspond idéalement à vos désirs sur ImmoScout24 - La plateforme de l'immobilier en Suisse.")</f>
        <v>🏘️ Vendre maison Ueken ✅ Trouvez le bien immobilier qui correspond idéalement à vos désirs sur ImmoScout24 - La plateforme de l'immobilier en Suisse.</v>
      </c>
      <c r="D1223" s="4" t="str">
        <f>vlookup(A1223, Sheet2!D:E, 2, 0)</f>
        <v>variant</v>
      </c>
      <c r="E1223" s="4" t="str">
        <f>IFERROR(__xludf.DUMMYFUNCTION("if(H1223=""pays"",vlookup(REGEXEXTRACT(C1223, ""🏘️ \w+ \w+ (.*) ✅""),'Country prepositions'!A:B, 2, 0) &amp; "" "" &amp; REGEXEXTRACT(C1223, ""🏘️ \w+ \w+ (.*) ✅"") ,  if(H1223=""quartier"",vlookup(REGEXEXTRACT(C1223, ""🏘️ \w+ \w+ (.*) ✅""),'Quartier prepositio"&amp;"ns'!A:E, 5, 0) ,  if(H1223=""region"",vlookup(REGEXEXTRACT(C1223, ""🏘️ \w+ \w+ (.*) ✅""),'Region prepositions'!B:F, 5, 0),  REGEXEXTRACT(C1223, ""🏘️ \w+ \w+ (.*) ✅""))))"),"Ueken")</f>
        <v>Ueken</v>
      </c>
      <c r="F1223" s="2" t="str">
        <f>IFERROR(__xludf.DUMMYFUNCTION("REGEXEXTRACT(C1223, ""🏘️ (\w+) \w+ .* ✅"")"),"Vendre")</f>
        <v>Vendre</v>
      </c>
      <c r="G1223" s="2" t="str">
        <f>IFERROR(__xludf.DUMMYFUNCTION("REGEXEXTRACT(C1223, ""🏘️ \w+ (\w+) .* ✅"")"),"maison")</f>
        <v>maison</v>
      </c>
      <c r="H1223" s="4" t="str">
        <f>IFERROR(__xludf.DUMMYFUNCTION("REGEXEXTRACT(A1223, ""/(\w+)-.*?"")"),"lieu")</f>
        <v>lieu</v>
      </c>
      <c r="I1223" s="4" t="str">
        <f>IFERROR(__xludf.DUMMYFUNCTION("if(D1223=""variant"",  substitute(filter(Templates!E:E, Templates!A:A = F1223, Templates!B:B = G1223, Templates!C:C = H1223), ""{{}}"", E1223), B1223)"),"🏘  Vous souhaitez acheter une maison à Ueken? ✅ Jetez un œil aux dernières offres sur ImmoScout24.ch.")</f>
        <v>🏘  Vous souhaitez acheter une maison à Ueken? ✅ Jetez un œil aux dernières offres sur ImmoScout24.ch.</v>
      </c>
      <c r="J1223" s="4" t="s">
        <v>3673</v>
      </c>
    </row>
    <row r="1224">
      <c r="A1224" s="5" t="s">
        <v>3674</v>
      </c>
      <c r="B1224" s="2" t="s">
        <v>3675</v>
      </c>
      <c r="C1224" s="4" t="str">
        <f>IFERROR(__xludf.DUMMYFUNCTION("""🏘️ ""&amp;REGEXEXTRACT(B1224, ""^(.*): "")&amp;"" ✅ "" &amp;REGEXEXTRACT(B1224, ""(Trouvez.*)"")"),"🏘️ Vendre appartement Auge (Fribourg) ✅ Trouvez le bien immobilier qui correspond idéalement à vos désirs sur ImmoScout24 - La plateforme de l'immobilier en Suisse.")</f>
        <v>🏘️ Vendre appartement Auge (Fribourg) ✅ Trouvez le bien immobilier qui correspond idéalement à vos désirs sur ImmoScout24 - La plateforme de l'immobilier en Suisse.</v>
      </c>
      <c r="D1224" s="4" t="str">
        <f>vlookup(A1224, Sheet2!D:E, 2, 0)</f>
        <v>variant</v>
      </c>
      <c r="E1224" s="4" t="str">
        <f>IFERROR(__xludf.DUMMYFUNCTION("if(H1224=""pays"",vlookup(REGEXEXTRACT(C1224, ""🏘️ \w+ \w+ (.*) ✅""),'Country prepositions'!A:B, 2, 0) &amp; "" "" &amp; REGEXEXTRACT(C1224, ""🏘️ \w+ \w+ (.*) ✅"") ,  if(H1224=""quartier"",vlookup(REGEXEXTRACT(C1224, ""🏘️ \w+ \w+ (.*) ✅""),'Quartier prepositio"&amp;"ns'!A:E, 5, 0) ,  if(H1224=""region"",vlookup(REGEXEXTRACT(C1224, ""🏘️ \w+ \w+ (.*) ✅""),'Region prepositions'!B:F, 5, 0),  REGEXEXTRACT(C1224, ""🏘️ \w+ \w+ (.*) ✅""))))"),"dans le quartier de l'Auge (Fribourg)")</f>
        <v>dans le quartier de l'Auge (Fribourg)</v>
      </c>
      <c r="F1224" s="2" t="str">
        <f>IFERROR(__xludf.DUMMYFUNCTION("REGEXEXTRACT(C1224, ""🏘️ (\w+) \w+ .* ✅"")"),"Vendre")</f>
        <v>Vendre</v>
      </c>
      <c r="G1224" s="2" t="str">
        <f>IFERROR(__xludf.DUMMYFUNCTION("REGEXEXTRACT(C1224, ""🏘️ \w+ (\w+) .* ✅"")"),"appartement")</f>
        <v>appartement</v>
      </c>
      <c r="H1224" s="4" t="str">
        <f>IFERROR(__xludf.DUMMYFUNCTION("REGEXEXTRACT(A1224, ""/(\w+)-.*?"")"),"quartier")</f>
        <v>quartier</v>
      </c>
      <c r="I1224" s="4" t="str">
        <f>IFERROR(__xludf.DUMMYFUNCTION("if(D1224=""variant"",  substitute(filter(Templates!E:E, Templates!A:A = F1224, Templates!B:B = G1224, Templates!C:C = H1224), ""{{}}"", E1224), B1224)"),"🏘  L’appartement de vos rêves se trouve sur ImmoScout24.ch ✅ Découvrez les dernières annonces de vente dans le quartier de l'Auge (Fribourg).")</f>
        <v>🏘  L’appartement de vos rêves se trouve sur ImmoScout24.ch ✅ Découvrez les dernières annonces de vente dans le quartier de l'Auge (Fribourg).</v>
      </c>
      <c r="J1224" s="4" t="s">
        <v>3676</v>
      </c>
    </row>
    <row r="1225">
      <c r="A1225" s="5" t="s">
        <v>3677</v>
      </c>
      <c r="B1225" s="2" t="s">
        <v>3678</v>
      </c>
      <c r="C1225" s="4" t="str">
        <f>IFERROR(__xludf.DUMMYFUNCTION("""🏘️ ""&amp;REGEXEXTRACT(B1225, ""^(.*): "")&amp;"" ✅ "" &amp;REGEXEXTRACT(B1225, ""(Trouvez.*)"")"),"🏘️ Vendre appartement Préverenges ✅ Trouvez le bien immobilier qui correspond idéalement à vos désirs sur ImmoScout24 - La plateforme de l'immobilier en Suisse.")</f>
        <v>🏘️ Vendre appartement Préverenges ✅ Trouvez le bien immobilier qui correspond idéalement à vos désirs sur ImmoScout24 - La plateforme de l'immobilier en Suisse.</v>
      </c>
      <c r="D1225" s="4" t="str">
        <f>vlookup(A1225, Sheet2!D:E, 2, 0)</f>
        <v>variant</v>
      </c>
      <c r="E1225" s="4" t="str">
        <f>IFERROR(__xludf.DUMMYFUNCTION("if(H1225=""pays"",vlookup(REGEXEXTRACT(C1225, ""🏘️ \w+ \w+ (.*) ✅""),'Country prepositions'!A:B, 2, 0) &amp; "" "" &amp; REGEXEXTRACT(C1225, ""🏘️ \w+ \w+ (.*) ✅"") ,  if(H1225=""quartier"",vlookup(REGEXEXTRACT(C1225, ""🏘️ \w+ \w+ (.*) ✅""),'Quartier prepositio"&amp;"ns'!A:E, 5, 0) ,  if(H1225=""region"",vlookup(REGEXEXTRACT(C1225, ""🏘️ \w+ \w+ (.*) ✅""),'Region prepositions'!B:F, 5, 0),  REGEXEXTRACT(C1225, ""🏘️ \w+ \w+ (.*) ✅""))))"),"Préverenges")</f>
        <v>Préverenges</v>
      </c>
      <c r="F1225" s="2" t="str">
        <f>IFERROR(__xludf.DUMMYFUNCTION("REGEXEXTRACT(C1225, ""🏘️ (\w+) \w+ .* ✅"")"),"Vendre")</f>
        <v>Vendre</v>
      </c>
      <c r="G1225" s="2" t="str">
        <f>IFERROR(__xludf.DUMMYFUNCTION("REGEXEXTRACT(C1225, ""🏘️ \w+ (\w+) .* ✅"")"),"appartement")</f>
        <v>appartement</v>
      </c>
      <c r="H1225" s="4" t="str">
        <f>IFERROR(__xludf.DUMMYFUNCTION("REGEXEXTRACT(A1225, ""/(\w+)-.*?"")"),"lieu")</f>
        <v>lieu</v>
      </c>
      <c r="I1225" s="4" t="str">
        <f>IFERROR(__xludf.DUMMYFUNCTION("if(D1225=""variant"",  substitute(filter(Templates!E:E, Templates!A:A = F1225, Templates!B:B = G1225, Templates!C:C = H1225), ""{{}}"", E1225), B1225)"),"🏘  L’appartement de vos rêves se trouve sur ImmoScout24.ch ✅ Découvrez les dernières annonces de vente à Préverenges.")</f>
        <v>🏘  L’appartement de vos rêves se trouve sur ImmoScout24.ch ✅ Découvrez les dernières annonces de vente à Préverenges.</v>
      </c>
      <c r="J1225" s="4" t="s">
        <v>3679</v>
      </c>
    </row>
    <row r="1226">
      <c r="A1226" s="5" t="s">
        <v>3680</v>
      </c>
      <c r="B1226" s="2" t="s">
        <v>3681</v>
      </c>
      <c r="C1226" s="4" t="str">
        <f>IFERROR(__xludf.DUMMYFUNCTION("""🏘️ ""&amp;REGEXEXTRACT(B1226, ""^(.*): "")&amp;"" ✅ "" &amp;REGEXEXTRACT(B1226, ""(Trouvez.*)"")"),"🏘️ Vendre appartement Couvet ✅ Trouvez le bien immobilier qui correspond idéalement à vos désirs sur ImmoScout24 - La plateforme de l'immobilier en Suisse.")</f>
        <v>🏘️ Vendre appartement Couvet ✅ Trouvez le bien immobilier qui correspond idéalement à vos désirs sur ImmoScout24 - La plateforme de l'immobilier en Suisse.</v>
      </c>
      <c r="D1226" s="4" t="str">
        <f>vlookup(A1226, Sheet2!D:E, 2, 0)</f>
        <v>variant</v>
      </c>
      <c r="E1226" s="4" t="str">
        <f>IFERROR(__xludf.DUMMYFUNCTION("if(H1226=""pays"",vlookup(REGEXEXTRACT(C1226, ""🏘️ \w+ \w+ (.*) ✅""),'Country prepositions'!A:B, 2, 0) &amp; "" "" &amp; REGEXEXTRACT(C1226, ""🏘️ \w+ \w+ (.*) ✅"") ,  if(H1226=""quartier"",vlookup(REGEXEXTRACT(C1226, ""🏘️ \w+ \w+ (.*) ✅""),'Quartier prepositio"&amp;"ns'!A:E, 5, 0) ,  if(H1226=""region"",vlookup(REGEXEXTRACT(C1226, ""🏘️ \w+ \w+ (.*) ✅""),'Region prepositions'!B:F, 5, 0),  REGEXEXTRACT(C1226, ""🏘️ \w+ \w+ (.*) ✅""))))"),"Couvet")</f>
        <v>Couvet</v>
      </c>
      <c r="F1226" s="2" t="str">
        <f>IFERROR(__xludf.DUMMYFUNCTION("REGEXEXTRACT(C1226, ""🏘️ (\w+) \w+ .* ✅"")"),"Vendre")</f>
        <v>Vendre</v>
      </c>
      <c r="G1226" s="2" t="str">
        <f>IFERROR(__xludf.DUMMYFUNCTION("REGEXEXTRACT(C1226, ""🏘️ \w+ (\w+) .* ✅"")"),"appartement")</f>
        <v>appartement</v>
      </c>
      <c r="H1226" s="4" t="str">
        <f>IFERROR(__xludf.DUMMYFUNCTION("REGEXEXTRACT(A1226, ""/(\w+)-.*?"")"),"lieu")</f>
        <v>lieu</v>
      </c>
      <c r="I1226" s="4" t="str">
        <f>IFERROR(__xludf.DUMMYFUNCTION("if(D1226=""variant"",  substitute(filter(Templates!E:E, Templates!A:A = F1226, Templates!B:B = G1226, Templates!C:C = H1226), ""{{}}"", E1226), B1226)"),"🏘  L’appartement de vos rêves se trouve sur ImmoScout24.ch ✅ Découvrez les dernières annonces de vente à Couvet.")</f>
        <v>🏘  L’appartement de vos rêves se trouve sur ImmoScout24.ch ✅ Découvrez les dernières annonces de vente à Couvet.</v>
      </c>
      <c r="J1226" s="4" t="s">
        <v>3682</v>
      </c>
    </row>
    <row r="1227">
      <c r="A1227" s="5" t="s">
        <v>3683</v>
      </c>
      <c r="B1227" s="2" t="s">
        <v>3684</v>
      </c>
      <c r="C1227" s="4" t="str">
        <f>IFERROR(__xludf.DUMMYFUNCTION("""🏘️ ""&amp;REGEXEXTRACT(B1227, ""^(.*): "")&amp;"" ✅ "" &amp;REGEXEXTRACT(B1227, ""(Trouvez.*)"")"),"🏘️ Louer appartement Syens ✅ Trouvez le bien immobilier qui correspond idéalement à vos désirs sur ImmoScout24 - La plateforme de l'immobilier en Suisse.")</f>
        <v>🏘️ Louer appartement Syens ✅ Trouvez le bien immobilier qui correspond idéalement à vos désirs sur ImmoScout24 - La plateforme de l'immobilier en Suisse.</v>
      </c>
      <c r="D1227" s="4" t="str">
        <f>vlookup(A1227, Sheet2!D:E, 2, 0)</f>
        <v>variant</v>
      </c>
      <c r="E1227" s="4" t="str">
        <f>IFERROR(__xludf.DUMMYFUNCTION("if(H1227=""pays"",vlookup(REGEXEXTRACT(C1227, ""🏘️ \w+ \w+ (.*) ✅""),'Country prepositions'!A:B, 2, 0) &amp; "" "" &amp; REGEXEXTRACT(C1227, ""🏘️ \w+ \w+ (.*) ✅"") ,  if(H1227=""quartier"",vlookup(REGEXEXTRACT(C1227, ""🏘️ \w+ \w+ (.*) ✅""),'Quartier prepositio"&amp;"ns'!A:E, 5, 0) ,  if(H1227=""region"",vlookup(REGEXEXTRACT(C1227, ""🏘️ \w+ \w+ (.*) ✅""),'Region prepositions'!B:F, 5, 0),  REGEXEXTRACT(C1227, ""🏘️ \w+ \w+ (.*) ✅""))))"),"Syens")</f>
        <v>Syens</v>
      </c>
      <c r="F1227" s="2" t="str">
        <f>IFERROR(__xludf.DUMMYFUNCTION("REGEXEXTRACT(C1227, ""🏘️ (\w+) \w+ .* ✅"")"),"Louer")</f>
        <v>Louer</v>
      </c>
      <c r="G1227" s="2" t="str">
        <f>IFERROR(__xludf.DUMMYFUNCTION("REGEXEXTRACT(C1227, ""🏘️ \w+ (\w+) .* ✅"")"),"appartement")</f>
        <v>appartement</v>
      </c>
      <c r="H1227" s="4" t="str">
        <f>IFERROR(__xludf.DUMMYFUNCTION("REGEXEXTRACT(A1227, ""/(\w+)-.*?"")"),"lieu")</f>
        <v>lieu</v>
      </c>
      <c r="I1227" s="4" t="str">
        <f>IFERROR(__xludf.DUMMYFUNCTION("if(D1227=""variant"",  substitute(filter(Templates!E:E, Templates!A:A = F1227, Templates!B:B = G1227, Templates!C:C = H1227), ""{{}}"", E1227), B1227)"),"🏘  Vous cherchez un appartement à louer à Syens? ✅ Les annonces les plus actuelles sont sur ImmoScout24.ch.")</f>
        <v>🏘  Vous cherchez un appartement à louer à Syens? ✅ Les annonces les plus actuelles sont sur ImmoScout24.ch.</v>
      </c>
      <c r="J1227" s="4" t="s">
        <v>3685</v>
      </c>
    </row>
    <row r="1228">
      <c r="A1228" s="5" t="s">
        <v>3686</v>
      </c>
      <c r="B1228" s="2" t="s">
        <v>3687</v>
      </c>
      <c r="C1228" s="4" t="str">
        <f>IFERROR(__xludf.DUMMYFUNCTION("""🏘️ ""&amp;REGEXEXTRACT(B1228, ""^(.*): "")&amp;"" ✅ "" &amp;REGEXEXTRACT(B1228, ""(Trouvez.*)"")"),"🏘️ Louer appartement Tschugg ✅ Trouvez le bien immobilier qui correspond idéalement à vos désirs sur ImmoScout24 - La plateforme de l'immobilier en Suisse.")</f>
        <v>🏘️ Louer appartement Tschugg ✅ Trouvez le bien immobilier qui correspond idéalement à vos désirs sur ImmoScout24 - La plateforme de l'immobilier en Suisse.</v>
      </c>
      <c r="D1228" s="4" t="str">
        <f>vlookup(A1228, Sheet2!D:E, 2, 0)</f>
        <v>variant</v>
      </c>
      <c r="E1228" s="4" t="str">
        <f>IFERROR(__xludf.DUMMYFUNCTION("if(H1228=""pays"",vlookup(REGEXEXTRACT(C1228, ""🏘️ \w+ \w+ (.*) ✅""),'Country prepositions'!A:B, 2, 0) &amp; "" "" &amp; REGEXEXTRACT(C1228, ""🏘️ \w+ \w+ (.*) ✅"") ,  if(H1228=""quartier"",vlookup(REGEXEXTRACT(C1228, ""🏘️ \w+ \w+ (.*) ✅""),'Quartier prepositio"&amp;"ns'!A:E, 5, 0) ,  if(H1228=""region"",vlookup(REGEXEXTRACT(C1228, ""🏘️ \w+ \w+ (.*) ✅""),'Region prepositions'!B:F, 5, 0),  REGEXEXTRACT(C1228, ""🏘️ \w+ \w+ (.*) ✅""))))"),"Tschugg")</f>
        <v>Tschugg</v>
      </c>
      <c r="F1228" s="2" t="str">
        <f>IFERROR(__xludf.DUMMYFUNCTION("REGEXEXTRACT(C1228, ""🏘️ (\w+) \w+ .* ✅"")"),"Louer")</f>
        <v>Louer</v>
      </c>
      <c r="G1228" s="2" t="str">
        <f>IFERROR(__xludf.DUMMYFUNCTION("REGEXEXTRACT(C1228, ""🏘️ \w+ (\w+) .* ✅"")"),"appartement")</f>
        <v>appartement</v>
      </c>
      <c r="H1228" s="4" t="str">
        <f>IFERROR(__xludf.DUMMYFUNCTION("REGEXEXTRACT(A1228, ""/(\w+)-.*?"")"),"lieu")</f>
        <v>lieu</v>
      </c>
      <c r="I1228" s="4" t="str">
        <f>IFERROR(__xludf.DUMMYFUNCTION("if(D1228=""variant"",  substitute(filter(Templates!E:E, Templates!A:A = F1228, Templates!B:B = G1228, Templates!C:C = H1228), ""{{}}"", E1228), B1228)"),"🏘  Vous cherchez un appartement à louer à Tschugg? ✅ Les annonces les plus actuelles sont sur ImmoScout24.ch.")</f>
        <v>🏘  Vous cherchez un appartement à louer à Tschugg? ✅ Les annonces les plus actuelles sont sur ImmoScout24.ch.</v>
      </c>
      <c r="J1228" s="4" t="s">
        <v>3688</v>
      </c>
    </row>
    <row r="1229">
      <c r="A1229" s="5" t="s">
        <v>3689</v>
      </c>
      <c r="B1229" s="2" t="s">
        <v>3690</v>
      </c>
      <c r="C1229" s="4" t="str">
        <f>IFERROR(__xludf.DUMMYFUNCTION("""🏘️ ""&amp;REGEXEXTRACT(B1229, ""^(.*): "")&amp;"" ✅ "" &amp;REGEXEXTRACT(B1229, ""(Trouvez.*)"")"),"🏘️ Louer appartement Langensand - Matthof (Lucerne) ✅ Trouvez le bien immobilier qui correspond idéalement à vos désirs sur ImmoScout24 - La plateforme de l'immobilier en Suisse.")</f>
        <v>🏘️ Louer appartement Langensand - Matthof (Lucerne) ✅ Trouvez le bien immobilier qui correspond idéalement à vos désirs sur ImmoScout24 - La plateforme de l'immobilier en Suisse.</v>
      </c>
      <c r="D1229" s="4" t="str">
        <f>vlookup(A1229, Sheet2!D:E, 2, 0)</f>
        <v>variant</v>
      </c>
      <c r="E1229" s="4" t="str">
        <f>IFERROR(__xludf.DUMMYFUNCTION("if(H1229=""pays"",vlookup(REGEXEXTRACT(C1229, ""🏘️ \w+ \w+ (.*) ✅""),'Country prepositions'!A:B, 2, 0) &amp; "" "" &amp; REGEXEXTRACT(C1229, ""🏘️ \w+ \w+ (.*) ✅"") ,  if(H1229=""quartier"",vlookup(REGEXEXTRACT(C1229, ""🏘️ \w+ \w+ (.*) ✅""),'Quartier prepositio"&amp;"ns'!A:E, 5, 0) ,  if(H1229=""region"",vlookup(REGEXEXTRACT(C1229, ""🏘️ \w+ \w+ (.*) ✅""),'Region prepositions'!B:F, 5, 0),  REGEXEXTRACT(C1229, ""🏘️ \w+ \w+ (.*) ✅""))))"),"à Langensand - Matthof (Lucerne)")</f>
        <v>à Langensand - Matthof (Lucerne)</v>
      </c>
      <c r="F1229" s="2" t="str">
        <f>IFERROR(__xludf.DUMMYFUNCTION("REGEXEXTRACT(C1229, ""🏘️ (\w+) \w+ .* ✅"")"),"Louer")</f>
        <v>Louer</v>
      </c>
      <c r="G1229" s="2" t="str">
        <f>IFERROR(__xludf.DUMMYFUNCTION("REGEXEXTRACT(C1229, ""🏘️ \w+ (\w+) .* ✅"")"),"appartement")</f>
        <v>appartement</v>
      </c>
      <c r="H1229" s="4" t="str">
        <f>IFERROR(__xludf.DUMMYFUNCTION("REGEXEXTRACT(A1229, ""/(\w+)-.*?"")"),"quartier")</f>
        <v>quartier</v>
      </c>
      <c r="I1229" s="4" t="str">
        <f>IFERROR(__xludf.DUMMYFUNCTION("if(D1229=""variant"",  substitute(filter(Templates!E:E, Templates!A:A = F1229, Templates!B:B = G1229, Templates!C:C = H1229), ""{{}}"", E1229), B1229)"),"🏘  Vous cherchez un appartement à louer à Langensand - Matthof (Lucerne)? ✅ Les annonces les plus actuelles sont sur ImmoScout24.ch.")</f>
        <v>🏘  Vous cherchez un appartement à louer à Langensand - Matthof (Lucerne)? ✅ Les annonces les plus actuelles sont sur ImmoScout24.ch.</v>
      </c>
      <c r="J1229" s="4" t="s">
        <v>3691</v>
      </c>
    </row>
    <row r="1230">
      <c r="A1230" s="5" t="s">
        <v>3692</v>
      </c>
      <c r="B1230" s="2" t="s">
        <v>3693</v>
      </c>
      <c r="C1230" s="4" t="str">
        <f>IFERROR(__xludf.DUMMYFUNCTION("""🏘️ ""&amp;REGEXEXTRACT(B1230, ""^(.*): "")&amp;"" ✅ "" &amp;REGEXEXTRACT(B1230, ""(Trouvez.*)"")"),"🏘️ Vendre maison Aldesago ✅ Trouvez le bien immobilier qui correspond idéalement à vos désirs sur ImmoScout24 - La plateforme de l'immobilier en Suisse.")</f>
        <v>🏘️ Vendre maison Aldesago ✅ Trouvez le bien immobilier qui correspond idéalement à vos désirs sur ImmoScout24 - La plateforme de l'immobilier en Suisse.</v>
      </c>
      <c r="D1230" s="4" t="str">
        <f>vlookup(A1230, Sheet2!D:E, 2, 0)</f>
        <v>variant</v>
      </c>
      <c r="E1230" s="4" t="str">
        <f>IFERROR(__xludf.DUMMYFUNCTION("if(H1230=""pays"",vlookup(REGEXEXTRACT(C1230, ""🏘️ \w+ \w+ (.*) ✅""),'Country prepositions'!A:B, 2, 0) &amp; "" "" &amp; REGEXEXTRACT(C1230, ""🏘️ \w+ \w+ (.*) ✅"") ,  if(H1230=""quartier"",vlookup(REGEXEXTRACT(C1230, ""🏘️ \w+ \w+ (.*) ✅""),'Quartier prepositio"&amp;"ns'!A:E, 5, 0) ,  if(H1230=""region"",vlookup(REGEXEXTRACT(C1230, ""🏘️ \w+ \w+ (.*) ✅""),'Region prepositions'!B:F, 5, 0),  REGEXEXTRACT(C1230, ""🏘️ \w+ \w+ (.*) ✅""))))"),"Aldesago")</f>
        <v>Aldesago</v>
      </c>
      <c r="F1230" s="2" t="str">
        <f>IFERROR(__xludf.DUMMYFUNCTION("REGEXEXTRACT(C1230, ""🏘️ (\w+) \w+ .* ✅"")"),"Vendre")</f>
        <v>Vendre</v>
      </c>
      <c r="G1230" s="2" t="str">
        <f>IFERROR(__xludf.DUMMYFUNCTION("REGEXEXTRACT(C1230, ""🏘️ \w+ (\w+) .* ✅"")"),"maison")</f>
        <v>maison</v>
      </c>
      <c r="H1230" s="4" t="str">
        <f>IFERROR(__xludf.DUMMYFUNCTION("REGEXEXTRACT(A1230, ""/(\w+)-.*?"")"),"lieu")</f>
        <v>lieu</v>
      </c>
      <c r="I1230" s="4" t="str">
        <f>IFERROR(__xludf.DUMMYFUNCTION("if(D1230=""variant"",  substitute(filter(Templates!E:E, Templates!A:A = F1230, Templates!B:B = G1230, Templates!C:C = H1230), ""{{}}"", E1230), B1230)"),"🏘  Vous souhaitez acheter une maison à Aldesago? ✅ Jetez un œil aux dernières offres sur ImmoScout24.ch.")</f>
        <v>🏘  Vous souhaitez acheter une maison à Aldesago? ✅ Jetez un œil aux dernières offres sur ImmoScout24.ch.</v>
      </c>
      <c r="J1230" s="4" t="s">
        <v>3694</v>
      </c>
    </row>
    <row r="1231">
      <c r="A1231" s="5" t="s">
        <v>3695</v>
      </c>
      <c r="B1231" s="2" t="s">
        <v>3696</v>
      </c>
      <c r="C1231" s="4" t="str">
        <f>IFERROR(__xludf.DUMMYFUNCTION("""🏘️ ""&amp;REGEXEXTRACT(B1231, ""^(.*): "")&amp;"" ✅ "" &amp;REGEXEXTRACT(B1231, ""(Trouvez.*)"")"),"🏘️ Vendre maison La Sagne NE ✅ Trouvez le bien immobilier qui correspond idéalement à vos désirs sur ImmoScout24 - La plateforme de l'immobilier en Suisse.")</f>
        <v>🏘️ Vendre maison La Sagne NE ✅ Trouvez le bien immobilier qui correspond idéalement à vos désirs sur ImmoScout24 - La plateforme de l'immobilier en Suisse.</v>
      </c>
      <c r="D1231" s="4" t="str">
        <f>vlookup(A1231, Sheet2!D:E, 2, 0)</f>
        <v>variant</v>
      </c>
      <c r="E1231" s="4" t="str">
        <f>IFERROR(__xludf.DUMMYFUNCTION("if(H1231=""pays"",vlookup(REGEXEXTRACT(C1231, ""🏘️ \w+ \w+ (.*) ✅""),'Country prepositions'!A:B, 2, 0) &amp; "" "" &amp; REGEXEXTRACT(C1231, ""🏘️ \w+ \w+ (.*) ✅"") ,  if(H1231=""quartier"",vlookup(REGEXEXTRACT(C1231, ""🏘️ \w+ \w+ (.*) ✅""),'Quartier prepositio"&amp;"ns'!A:E, 5, 0) ,  if(H1231=""region"",vlookup(REGEXEXTRACT(C1231, ""🏘️ \w+ \w+ (.*) ✅""),'Region prepositions'!B:F, 5, 0),  REGEXEXTRACT(C1231, ""🏘️ \w+ \w+ (.*) ✅""))))"),"La Sagne NE")</f>
        <v>La Sagne NE</v>
      </c>
      <c r="F1231" s="2" t="str">
        <f>IFERROR(__xludf.DUMMYFUNCTION("REGEXEXTRACT(C1231, ""🏘️ (\w+) \w+ .* ✅"")"),"Vendre")</f>
        <v>Vendre</v>
      </c>
      <c r="G1231" s="2" t="str">
        <f>IFERROR(__xludf.DUMMYFUNCTION("REGEXEXTRACT(C1231, ""🏘️ \w+ (\w+) .* ✅"")"),"maison")</f>
        <v>maison</v>
      </c>
      <c r="H1231" s="4" t="str">
        <f>IFERROR(__xludf.DUMMYFUNCTION("REGEXEXTRACT(A1231, ""/(\w+)-.*?"")"),"lieu")</f>
        <v>lieu</v>
      </c>
      <c r="I1231" s="4" t="str">
        <f>IFERROR(__xludf.DUMMYFUNCTION("if(D1231=""variant"",  substitute(filter(Templates!E:E, Templates!A:A = F1231, Templates!B:B = G1231, Templates!C:C = H1231), ""{{}}"", E1231), B1231)"),"🏘  Vous souhaitez acheter une maison à La Sagne NE? ✅ Jetez un œil aux dernières offres sur ImmoScout24.ch.")</f>
        <v>🏘  Vous souhaitez acheter une maison à La Sagne NE? ✅ Jetez un œil aux dernières offres sur ImmoScout24.ch.</v>
      </c>
      <c r="J1231" s="4" t="s">
        <v>3697</v>
      </c>
    </row>
    <row r="1232">
      <c r="A1232" s="5" t="s">
        <v>3698</v>
      </c>
      <c r="B1232" s="2" t="s">
        <v>3699</v>
      </c>
      <c r="C1232" s="4" t="str">
        <f>IFERROR(__xludf.DUMMYFUNCTION("""🏘️ ""&amp;REGEXEXTRACT(B1232, ""^(.*): "")&amp;"" ✅ "" &amp;REGEXEXTRACT(B1232, ""(Trouvez.*)"")"),"🏘️ Louer maison Bussigny ✅ Trouvez le bien immobilier qui correspond idéalement à vos désirs sur ImmoScout24 - La plateforme de l'immobilier en Suisse.")</f>
        <v>🏘️ Louer maison Bussigny ✅ Trouvez le bien immobilier qui correspond idéalement à vos désirs sur ImmoScout24 - La plateforme de l'immobilier en Suisse.</v>
      </c>
      <c r="D1232" s="4" t="str">
        <f>vlookup(A1232, Sheet2!D:E, 2, 0)</f>
        <v>variant</v>
      </c>
      <c r="E1232" s="4" t="str">
        <f>IFERROR(__xludf.DUMMYFUNCTION("if(H1232=""pays"",vlookup(REGEXEXTRACT(C1232, ""🏘️ \w+ \w+ (.*) ✅""),'Country prepositions'!A:B, 2, 0) &amp; "" "" &amp; REGEXEXTRACT(C1232, ""🏘️ \w+ \w+ (.*) ✅"") ,  if(H1232=""quartier"",vlookup(REGEXEXTRACT(C1232, ""🏘️ \w+ \w+ (.*) ✅""),'Quartier prepositio"&amp;"ns'!A:E, 5, 0) ,  if(H1232=""region"",vlookup(REGEXEXTRACT(C1232, ""🏘️ \w+ \w+ (.*) ✅""),'Region prepositions'!B:F, 5, 0),  REGEXEXTRACT(C1232, ""🏘️ \w+ \w+ (.*) ✅""))))"),"Bussigny")</f>
        <v>Bussigny</v>
      </c>
      <c r="F1232" s="2" t="str">
        <f>IFERROR(__xludf.DUMMYFUNCTION("REGEXEXTRACT(C1232, ""🏘️ (\w+) \w+ .* ✅"")"),"Louer")</f>
        <v>Louer</v>
      </c>
      <c r="G1232" s="2" t="str">
        <f>IFERROR(__xludf.DUMMYFUNCTION("REGEXEXTRACT(C1232, ""🏘️ \w+ (\w+) .* ✅"")"),"maison")</f>
        <v>maison</v>
      </c>
      <c r="H1232" s="4" t="str">
        <f>IFERROR(__xludf.DUMMYFUNCTION("REGEXEXTRACT(A1232, ""/(\w+)-.*?"")"),"lieu")</f>
        <v>lieu</v>
      </c>
      <c r="I1232" s="4" t="str">
        <f>IFERROR(__xludf.DUMMYFUNCTION("if(D1232=""variant"",  substitute(filter(Templates!E:E, Templates!A:A = F1232, Templates!B:B = G1232, Templates!C:C = H1232), ""{{}}"", E1232), B1232)"),"🏘  Vous cherchez une maison à louer à Bussigny? ✅ Découvrez nos nombreuses annonces sur ImmoScout24.ch.")</f>
        <v>🏘  Vous cherchez une maison à louer à Bussigny? ✅ Découvrez nos nombreuses annonces sur ImmoScout24.ch.</v>
      </c>
      <c r="J1232" s="4" t="s">
        <v>3700</v>
      </c>
    </row>
    <row r="1233">
      <c r="A1233" s="5" t="s">
        <v>3701</v>
      </c>
      <c r="B1233" s="2" t="s">
        <v>3702</v>
      </c>
      <c r="C1233" s="4" t="str">
        <f>IFERROR(__xludf.DUMMYFUNCTION("""🏘️ ""&amp;REGEXEXTRACT(B1233, ""^(.*): "")&amp;"" ✅ "" &amp;REGEXEXTRACT(B1233, ""(Trouvez.*)"")"),"🏘️ Louer appartement Killwangen ✅ Trouvez le bien immobilier qui correspond idéalement à vos désirs sur ImmoScout24 - La plateforme de l'immobilier en Suisse.")</f>
        <v>🏘️ Louer appartement Killwangen ✅ Trouvez le bien immobilier qui correspond idéalement à vos désirs sur ImmoScout24 - La plateforme de l'immobilier en Suisse.</v>
      </c>
      <c r="D1233" s="4" t="str">
        <f>vlookup(A1233, Sheet2!D:E, 2, 0)</f>
        <v>variant</v>
      </c>
      <c r="E1233" s="4" t="str">
        <f>IFERROR(__xludf.DUMMYFUNCTION("if(H1233=""pays"",vlookup(REGEXEXTRACT(C1233, ""🏘️ \w+ \w+ (.*) ✅""),'Country prepositions'!A:B, 2, 0) &amp; "" "" &amp; REGEXEXTRACT(C1233, ""🏘️ \w+ \w+ (.*) ✅"") ,  if(H1233=""quartier"",vlookup(REGEXEXTRACT(C1233, ""🏘️ \w+ \w+ (.*) ✅""),'Quartier prepositio"&amp;"ns'!A:E, 5, 0) ,  if(H1233=""region"",vlookup(REGEXEXTRACT(C1233, ""🏘️ \w+ \w+ (.*) ✅""),'Region prepositions'!B:F, 5, 0),  REGEXEXTRACT(C1233, ""🏘️ \w+ \w+ (.*) ✅""))))"),"Killwangen")</f>
        <v>Killwangen</v>
      </c>
      <c r="F1233" s="2" t="str">
        <f>IFERROR(__xludf.DUMMYFUNCTION("REGEXEXTRACT(C1233, ""🏘️ (\w+) \w+ .* ✅"")"),"Louer")</f>
        <v>Louer</v>
      </c>
      <c r="G1233" s="2" t="str">
        <f>IFERROR(__xludf.DUMMYFUNCTION("REGEXEXTRACT(C1233, ""🏘️ \w+ (\w+) .* ✅"")"),"appartement")</f>
        <v>appartement</v>
      </c>
      <c r="H1233" s="4" t="str">
        <f>IFERROR(__xludf.DUMMYFUNCTION("REGEXEXTRACT(A1233, ""/(\w+)-.*?"")"),"lieu")</f>
        <v>lieu</v>
      </c>
      <c r="I1233" s="4" t="str">
        <f>IFERROR(__xludf.DUMMYFUNCTION("if(D1233=""variant"",  substitute(filter(Templates!E:E, Templates!A:A = F1233, Templates!B:B = G1233, Templates!C:C = H1233), ""{{}}"", E1233), B1233)"),"🏘  Vous cherchez un appartement à louer à Killwangen? ✅ Les annonces les plus actuelles sont sur ImmoScout24.ch.")</f>
        <v>🏘  Vous cherchez un appartement à louer à Killwangen? ✅ Les annonces les plus actuelles sont sur ImmoScout24.ch.</v>
      </c>
      <c r="J1233" s="4" t="s">
        <v>3703</v>
      </c>
    </row>
    <row r="1234">
      <c r="A1234" s="5" t="s">
        <v>3704</v>
      </c>
      <c r="B1234" s="2" t="s">
        <v>3705</v>
      </c>
      <c r="C1234" s="4" t="str">
        <f>IFERROR(__xludf.DUMMYFUNCTION("""🏘️ ""&amp;REGEXEXTRACT(B1234, ""^(.*): "")&amp;"" ✅ "" &amp;REGEXEXTRACT(B1234, ""(Trouvez.*)"")"),"🏘️ Vendre maison Les Paccots ✅ Trouvez le bien immobilier qui correspond idéalement à vos désirs sur ImmoScout24 - La plateforme de l'immobilier en Suisse.")</f>
        <v>🏘️ Vendre maison Les Paccots ✅ Trouvez le bien immobilier qui correspond idéalement à vos désirs sur ImmoScout24 - La plateforme de l'immobilier en Suisse.</v>
      </c>
      <c r="D1234" s="4" t="str">
        <f>vlookup(A1234, Sheet2!D:E, 2, 0)</f>
        <v>variant</v>
      </c>
      <c r="E1234" s="4" t="str">
        <f>IFERROR(__xludf.DUMMYFUNCTION("if(H1234=""pays"",vlookup(REGEXEXTRACT(C1234, ""🏘️ \w+ \w+ (.*) ✅""),'Country prepositions'!A:B, 2, 0) &amp; "" "" &amp; REGEXEXTRACT(C1234, ""🏘️ \w+ \w+ (.*) ✅"") ,  if(H1234=""quartier"",vlookup(REGEXEXTRACT(C1234, ""🏘️ \w+ \w+ (.*) ✅""),'Quartier prepositio"&amp;"ns'!A:E, 5, 0) ,  if(H1234=""region"",vlookup(REGEXEXTRACT(C1234, ""🏘️ \w+ \w+ (.*) ✅""),'Region prepositions'!B:F, 5, 0),  REGEXEXTRACT(C1234, ""🏘️ \w+ \w+ (.*) ✅""))))"),"Les Paccots")</f>
        <v>Les Paccots</v>
      </c>
      <c r="F1234" s="2" t="str">
        <f>IFERROR(__xludf.DUMMYFUNCTION("REGEXEXTRACT(C1234, ""🏘️ (\w+) \w+ .* ✅"")"),"Vendre")</f>
        <v>Vendre</v>
      </c>
      <c r="G1234" s="2" t="str">
        <f>IFERROR(__xludf.DUMMYFUNCTION("REGEXEXTRACT(C1234, ""🏘️ \w+ (\w+) .* ✅"")"),"maison")</f>
        <v>maison</v>
      </c>
      <c r="H1234" s="4" t="str">
        <f>IFERROR(__xludf.DUMMYFUNCTION("REGEXEXTRACT(A1234, ""/(\w+)-.*?"")"),"lieu")</f>
        <v>lieu</v>
      </c>
      <c r="I1234" s="4" t="str">
        <f>IFERROR(__xludf.DUMMYFUNCTION("if(D1234=""variant"",  substitute(filter(Templates!E:E, Templates!A:A = F1234, Templates!B:B = G1234, Templates!C:C = H1234), ""{{}}"", E1234), B1234)"),"🏘  Vous souhaitez acheter une maison à Les Paccots? ✅ Jetez un œil aux dernières offres sur ImmoScout24.ch.")</f>
        <v>🏘  Vous souhaitez acheter une maison à Les Paccots? ✅ Jetez un œil aux dernières offres sur ImmoScout24.ch.</v>
      </c>
      <c r="J1234" s="2" t="s">
        <v>3706</v>
      </c>
    </row>
    <row r="1235">
      <c r="A1235" s="5" t="s">
        <v>3707</v>
      </c>
      <c r="B1235" s="2" t="s">
        <v>3708</v>
      </c>
      <c r="C1235" s="4" t="str">
        <f>IFERROR(__xludf.DUMMYFUNCTION("""🏘️ ""&amp;REGEXEXTRACT(B1235, ""^(.*): "")&amp;"" ✅ "" &amp;REGEXEXTRACT(B1235, ""(Trouvez.*)"")"),"🏘️ Louer appartement Boudry ✅ Trouvez le bien immobilier qui correspond idéalement à vos désirs sur ImmoScout24 - La plateforme de l'immobilier en Suisse.")</f>
        <v>🏘️ Louer appartement Boudry ✅ Trouvez le bien immobilier qui correspond idéalement à vos désirs sur ImmoScout24 - La plateforme de l'immobilier en Suisse.</v>
      </c>
      <c r="D1235" s="4" t="str">
        <f>vlookup(A1235, Sheet2!D:E, 2, 0)</f>
        <v>variant</v>
      </c>
      <c r="E1235" s="4" t="str">
        <f>IFERROR(__xludf.DUMMYFUNCTION("if(H1235=""pays"",vlookup(REGEXEXTRACT(C1235, ""🏘️ \w+ \w+ (.*) ✅""),'Country prepositions'!A:B, 2, 0) &amp; "" "" &amp; REGEXEXTRACT(C1235, ""🏘️ \w+ \w+ (.*) ✅"") ,  if(H1235=""quartier"",vlookup(REGEXEXTRACT(C1235, ""🏘️ \w+ \w+ (.*) ✅""),'Quartier prepositio"&amp;"ns'!A:E, 5, 0) ,  if(H1235=""region"",vlookup(REGEXEXTRACT(C1235, ""🏘️ \w+ \w+ (.*) ✅""),'Region prepositions'!B:F, 5, 0),  REGEXEXTRACT(C1235, ""🏘️ \w+ \w+ (.*) ✅""))))"),"Boudry")</f>
        <v>Boudry</v>
      </c>
      <c r="F1235" s="2" t="str">
        <f>IFERROR(__xludf.DUMMYFUNCTION("REGEXEXTRACT(C1235, ""🏘️ (\w+) \w+ .* ✅"")"),"Louer")</f>
        <v>Louer</v>
      </c>
      <c r="G1235" s="2" t="str">
        <f>IFERROR(__xludf.DUMMYFUNCTION("REGEXEXTRACT(C1235, ""🏘️ \w+ (\w+) .* ✅"")"),"appartement")</f>
        <v>appartement</v>
      </c>
      <c r="H1235" s="4" t="str">
        <f>IFERROR(__xludf.DUMMYFUNCTION("REGEXEXTRACT(A1235, ""/(\w+)-.*?"")"),"lieu")</f>
        <v>lieu</v>
      </c>
      <c r="I1235" s="4" t="str">
        <f>IFERROR(__xludf.DUMMYFUNCTION("if(D1235=""variant"",  substitute(filter(Templates!E:E, Templates!A:A = F1235, Templates!B:B = G1235, Templates!C:C = H1235), ""{{}}"", E1235), B1235)"),"🏘  Vous cherchez un appartement à louer à Boudry? ✅ Les annonces les plus actuelles sont sur ImmoScout24.ch.")</f>
        <v>🏘  Vous cherchez un appartement à louer à Boudry? ✅ Les annonces les plus actuelles sont sur ImmoScout24.ch.</v>
      </c>
      <c r="J1235" s="4" t="s">
        <v>3709</v>
      </c>
    </row>
    <row r="1236">
      <c r="A1236" s="5" t="s">
        <v>3710</v>
      </c>
      <c r="B1236" s="2" t="s">
        <v>3711</v>
      </c>
      <c r="C1236" s="4" t="str">
        <f>IFERROR(__xludf.DUMMYFUNCTION("""🏘️ ""&amp;REGEXEXTRACT(B1236, ""^(.*): "")&amp;"" ✅ "" &amp;REGEXEXTRACT(B1236, ""(Trouvez.*)"")"),"🏘️ Vendre appartement Siviez (Nendaz) ✅ Trouvez le bien immobilier qui correspond idéalement à vos désirs sur ImmoScout24 - La plateforme de l'immobilier en Suisse.")</f>
        <v>🏘️ Vendre appartement Siviez (Nendaz) ✅ Trouvez le bien immobilier qui correspond idéalement à vos désirs sur ImmoScout24 - La plateforme de l'immobilier en Suisse.</v>
      </c>
      <c r="D1236" s="4" t="str">
        <f>vlookup(A1236, Sheet2!D:E, 2, 0)</f>
        <v>variant</v>
      </c>
      <c r="E1236" s="4" t="str">
        <f>IFERROR(__xludf.DUMMYFUNCTION("if(H1236=""pays"",vlookup(REGEXEXTRACT(C1236, ""🏘️ \w+ \w+ (.*) ✅""),'Country prepositions'!A:B, 2, 0) &amp; "" "" &amp; REGEXEXTRACT(C1236, ""🏘️ \w+ \w+ (.*) ✅"") ,  if(H1236=""quartier"",vlookup(REGEXEXTRACT(C1236, ""🏘️ \w+ \w+ (.*) ✅""),'Quartier prepositio"&amp;"ns'!A:E, 5, 0) ,  if(H1236=""region"",vlookup(REGEXEXTRACT(C1236, ""🏘️ \w+ \w+ (.*) ✅""),'Region prepositions'!B:F, 5, 0),  REGEXEXTRACT(C1236, ""🏘️ \w+ \w+ (.*) ✅""))))"),"Siviez (Nendaz)")</f>
        <v>Siviez (Nendaz)</v>
      </c>
      <c r="F1236" s="2" t="str">
        <f>IFERROR(__xludf.DUMMYFUNCTION("REGEXEXTRACT(C1236, ""🏘️ (\w+) \w+ .* ✅"")"),"Vendre")</f>
        <v>Vendre</v>
      </c>
      <c r="G1236" s="2" t="str">
        <f>IFERROR(__xludf.DUMMYFUNCTION("REGEXEXTRACT(C1236, ""🏘️ \w+ (\w+) .* ✅"")"),"appartement")</f>
        <v>appartement</v>
      </c>
      <c r="H1236" s="4" t="str">
        <f>IFERROR(__xludf.DUMMYFUNCTION("REGEXEXTRACT(A1236, ""/(\w+)-.*?"")"),"lieu")</f>
        <v>lieu</v>
      </c>
      <c r="I1236" s="4" t="str">
        <f>IFERROR(__xludf.DUMMYFUNCTION("if(D1236=""variant"",  substitute(filter(Templates!E:E, Templates!A:A = F1236, Templates!B:B = G1236, Templates!C:C = H1236), ""{{}}"", E1236), B1236)"),"🏘  L’appartement de vos rêves se trouve sur ImmoScout24.ch ✅ Découvrez les dernières annonces de vente à Siviez (Nendaz).")</f>
        <v>🏘  L’appartement de vos rêves se trouve sur ImmoScout24.ch ✅ Découvrez les dernières annonces de vente à Siviez (Nendaz).</v>
      </c>
      <c r="J1236" s="4" t="s">
        <v>3712</v>
      </c>
    </row>
    <row r="1237">
      <c r="A1237" s="5" t="s">
        <v>3713</v>
      </c>
      <c r="B1237" s="2" t="s">
        <v>3714</v>
      </c>
      <c r="C1237" s="4" t="str">
        <f>IFERROR(__xludf.DUMMYFUNCTION("""🏘️ ""&amp;REGEXEXTRACT(B1237, ""^(.*): "")&amp;"" ✅ "" &amp;REGEXEXTRACT(B1237, ""(Trouvez.*)"")"),"🏘️ Vendre maison Goumoens-le-Jux ✅ Trouvez le bien immobilier qui correspond idéalement à vos désirs sur ImmoScout24 - La plateforme de l'immobilier en Suisse.")</f>
        <v>🏘️ Vendre maison Goumoens-le-Jux ✅ Trouvez le bien immobilier qui correspond idéalement à vos désirs sur ImmoScout24 - La plateforme de l'immobilier en Suisse.</v>
      </c>
      <c r="D1237" s="4" t="str">
        <f>vlookup(A1237, Sheet2!D:E, 2, 0)</f>
        <v>variant</v>
      </c>
      <c r="E1237" s="4" t="str">
        <f>IFERROR(__xludf.DUMMYFUNCTION("if(H1237=""pays"",vlookup(REGEXEXTRACT(C1237, ""🏘️ \w+ \w+ (.*) ✅""),'Country prepositions'!A:B, 2, 0) &amp; "" "" &amp; REGEXEXTRACT(C1237, ""🏘️ \w+ \w+ (.*) ✅"") ,  if(H1237=""quartier"",vlookup(REGEXEXTRACT(C1237, ""🏘️ \w+ \w+ (.*) ✅""),'Quartier prepositio"&amp;"ns'!A:E, 5, 0) ,  if(H1237=""region"",vlookup(REGEXEXTRACT(C1237, ""🏘️ \w+ \w+ (.*) ✅""),'Region prepositions'!B:F, 5, 0),  REGEXEXTRACT(C1237, ""🏘️ \w+ \w+ (.*) ✅""))))"),"Goumoens-le-Jux")</f>
        <v>Goumoens-le-Jux</v>
      </c>
      <c r="F1237" s="2" t="str">
        <f>IFERROR(__xludf.DUMMYFUNCTION("REGEXEXTRACT(C1237, ""🏘️ (\w+) \w+ .* ✅"")"),"Vendre")</f>
        <v>Vendre</v>
      </c>
      <c r="G1237" s="2" t="str">
        <f>IFERROR(__xludf.DUMMYFUNCTION("REGEXEXTRACT(C1237, ""🏘️ \w+ (\w+) .* ✅"")"),"maison")</f>
        <v>maison</v>
      </c>
      <c r="H1237" s="4" t="str">
        <f>IFERROR(__xludf.DUMMYFUNCTION("REGEXEXTRACT(A1237, ""/(\w+)-.*?"")"),"lieu")</f>
        <v>lieu</v>
      </c>
      <c r="I1237" s="4" t="str">
        <f>IFERROR(__xludf.DUMMYFUNCTION("if(D1237=""variant"",  substitute(filter(Templates!E:E, Templates!A:A = F1237, Templates!B:B = G1237, Templates!C:C = H1237), ""{{}}"", E1237), B1237)"),"🏘  Vous souhaitez acheter une maison à Goumoens-le-Jux? ✅ Jetez un œil aux dernières offres sur ImmoScout24.ch.")</f>
        <v>🏘  Vous souhaitez acheter une maison à Goumoens-le-Jux? ✅ Jetez un œil aux dernières offres sur ImmoScout24.ch.</v>
      </c>
      <c r="J1237" s="4" t="s">
        <v>3715</v>
      </c>
    </row>
    <row r="1238">
      <c r="A1238" s="5" t="s">
        <v>3716</v>
      </c>
      <c r="B1238" s="2" t="s">
        <v>3717</v>
      </c>
      <c r="C1238" s="4" t="str">
        <f>IFERROR(__xludf.DUMMYFUNCTION("""🏘️ ""&amp;REGEXEXTRACT(B1238, ""^(.*): "")&amp;"" ✅ "" &amp;REGEXEXTRACT(B1238, ""(Trouvez.*)"")"),"🏘️ Louer maison Brè (Lugano) ✅ Trouvez le bien immobilier qui correspond idéalement à vos désirs sur ImmoScout24 - La plateforme de l'immobilier en Suisse.")</f>
        <v>🏘️ Louer maison Brè (Lugano) ✅ Trouvez le bien immobilier qui correspond idéalement à vos désirs sur ImmoScout24 - La plateforme de l'immobilier en Suisse.</v>
      </c>
      <c r="D1238" s="4" t="str">
        <f>vlookup(A1238, Sheet2!D:E, 2, 0)</f>
        <v>variant</v>
      </c>
      <c r="E1238" s="4" t="str">
        <f>IFERROR(__xludf.DUMMYFUNCTION("if(H1238=""pays"",vlookup(REGEXEXTRACT(C1238, ""🏘️ \w+ \w+ (.*) ✅""),'Country prepositions'!A:B, 2, 0) &amp; "" "" &amp; REGEXEXTRACT(C1238, ""🏘️ \w+ \w+ (.*) ✅"") ,  if(H1238=""quartier"",vlookup(REGEXEXTRACT(C1238, ""🏘️ \w+ \w+ (.*) ✅""),'Quartier prepositio"&amp;"ns'!A:E, 5, 0) ,  if(H1238=""region"",vlookup(REGEXEXTRACT(C1238, ""🏘️ \w+ \w+ (.*) ✅""),'Region prepositions'!B:F, 5, 0),  REGEXEXTRACT(C1238, ""🏘️ \w+ \w+ (.*) ✅""))))"),"dans le quartier de Brè (Lugano)")</f>
        <v>dans le quartier de Brè (Lugano)</v>
      </c>
      <c r="F1238" s="2" t="str">
        <f>IFERROR(__xludf.DUMMYFUNCTION("REGEXEXTRACT(C1238, ""🏘️ (\w+) \w+ .* ✅"")"),"Louer")</f>
        <v>Louer</v>
      </c>
      <c r="G1238" s="2" t="str">
        <f>IFERROR(__xludf.DUMMYFUNCTION("REGEXEXTRACT(C1238, ""🏘️ \w+ (\w+) .* ✅"")"),"maison")</f>
        <v>maison</v>
      </c>
      <c r="H1238" s="4" t="str">
        <f>IFERROR(__xludf.DUMMYFUNCTION("REGEXEXTRACT(A1238, ""/(\w+)-.*?"")"),"quartier")</f>
        <v>quartier</v>
      </c>
      <c r="I1238" s="4" t="str">
        <f>IFERROR(__xludf.DUMMYFUNCTION("if(D1238=""variant"",  substitute(filter(Templates!E:E, Templates!A:A = F1238, Templates!B:B = G1238, Templates!C:C = H1238), ""{{}}"", E1238), B1238)"),"🏘  Vous cherchez une maison à louer dans le quartier de Brè (Lugano)? ✅ Découvrez nos nombreuses annonces sur ImmoScout24.ch.")</f>
        <v>🏘  Vous cherchez une maison à louer dans le quartier de Brè (Lugano)? ✅ Découvrez nos nombreuses annonces sur ImmoScout24.ch.</v>
      </c>
      <c r="J1238" s="4" t="s">
        <v>3718</v>
      </c>
    </row>
    <row r="1239">
      <c r="A1239" s="5" t="s">
        <v>3719</v>
      </c>
      <c r="B1239" s="2" t="s">
        <v>3720</v>
      </c>
      <c r="C1239" s="4" t="str">
        <f>IFERROR(__xludf.DUMMYFUNCTION("""🏘️ ""&amp;REGEXEXTRACT(B1239, ""^(.*): "")&amp;"" ✅ "" &amp;REGEXEXTRACT(B1239, ""(Trouvez.*)"")"),"🏘️ Vendre maison Lottigna ✅ Trouvez le bien immobilier qui correspond idéalement à vos désirs sur ImmoScout24 - La plateforme de l'immobilier en Suisse.")</f>
        <v>🏘️ Vendre maison Lottigna ✅ Trouvez le bien immobilier qui correspond idéalement à vos désirs sur ImmoScout24 - La plateforme de l'immobilier en Suisse.</v>
      </c>
      <c r="D1239" s="4" t="str">
        <f>vlookup(A1239, Sheet2!D:E, 2, 0)</f>
        <v>variant</v>
      </c>
      <c r="E1239" s="4" t="str">
        <f>IFERROR(__xludf.DUMMYFUNCTION("if(H1239=""pays"",vlookup(REGEXEXTRACT(C1239, ""🏘️ \w+ \w+ (.*) ✅""),'Country prepositions'!A:B, 2, 0) &amp; "" "" &amp; REGEXEXTRACT(C1239, ""🏘️ \w+ \w+ (.*) ✅"") ,  if(H1239=""quartier"",vlookup(REGEXEXTRACT(C1239, ""🏘️ \w+ \w+ (.*) ✅""),'Quartier prepositio"&amp;"ns'!A:E, 5, 0) ,  if(H1239=""region"",vlookup(REGEXEXTRACT(C1239, ""🏘️ \w+ \w+ (.*) ✅""),'Region prepositions'!B:F, 5, 0),  REGEXEXTRACT(C1239, ""🏘️ \w+ \w+ (.*) ✅""))))"),"Lottigna")</f>
        <v>Lottigna</v>
      </c>
      <c r="F1239" s="2" t="str">
        <f>IFERROR(__xludf.DUMMYFUNCTION("REGEXEXTRACT(C1239, ""🏘️ (\w+) \w+ .* ✅"")"),"Vendre")</f>
        <v>Vendre</v>
      </c>
      <c r="G1239" s="2" t="str">
        <f>IFERROR(__xludf.DUMMYFUNCTION("REGEXEXTRACT(C1239, ""🏘️ \w+ (\w+) .* ✅"")"),"maison")</f>
        <v>maison</v>
      </c>
      <c r="H1239" s="4" t="str">
        <f>IFERROR(__xludf.DUMMYFUNCTION("REGEXEXTRACT(A1239, ""/(\w+)-.*?"")"),"lieu")</f>
        <v>lieu</v>
      </c>
      <c r="I1239" s="4" t="str">
        <f>IFERROR(__xludf.DUMMYFUNCTION("if(D1239=""variant"",  substitute(filter(Templates!E:E, Templates!A:A = F1239, Templates!B:B = G1239, Templates!C:C = H1239), ""{{}}"", E1239), B1239)"),"🏘  Vous souhaitez acheter une maison à Lottigna? ✅ Jetez un œil aux dernières offres sur ImmoScout24.ch.")</f>
        <v>🏘  Vous souhaitez acheter une maison à Lottigna? ✅ Jetez un œil aux dernières offres sur ImmoScout24.ch.</v>
      </c>
      <c r="J1239" s="4" t="s">
        <v>3721</v>
      </c>
    </row>
    <row r="1240">
      <c r="A1240" s="5" t="s">
        <v>3722</v>
      </c>
      <c r="B1240" s="2" t="s">
        <v>3723</v>
      </c>
      <c r="C1240" s="4" t="str">
        <f>IFERROR(__xludf.DUMMYFUNCTION("""🏘️ ""&amp;REGEXEXTRACT(B1240, ""^(.*): "")&amp;"" ✅ "" &amp;REGEXEXTRACT(B1240, ""(Trouvez.*)"")"),"🏘️ Vendre maison Kehrsatz ✅ Trouvez le bien immobilier qui correspond idéalement à vos désirs sur ImmoScout24 - La plateforme de l'immobilier en Suisse.")</f>
        <v>🏘️ Vendre maison Kehrsatz ✅ Trouvez le bien immobilier qui correspond idéalement à vos désirs sur ImmoScout24 - La plateforme de l'immobilier en Suisse.</v>
      </c>
      <c r="D1240" s="4" t="str">
        <f>vlookup(A1240, Sheet2!D:E, 2, 0)</f>
        <v>variant</v>
      </c>
      <c r="E1240" s="4" t="str">
        <f>IFERROR(__xludf.DUMMYFUNCTION("if(H1240=""pays"",vlookup(REGEXEXTRACT(C1240, ""🏘️ \w+ \w+ (.*) ✅""),'Country prepositions'!A:B, 2, 0) &amp; "" "" &amp; REGEXEXTRACT(C1240, ""🏘️ \w+ \w+ (.*) ✅"") ,  if(H1240=""quartier"",vlookup(REGEXEXTRACT(C1240, ""🏘️ \w+ \w+ (.*) ✅""),'Quartier prepositio"&amp;"ns'!A:E, 5, 0) ,  if(H1240=""region"",vlookup(REGEXEXTRACT(C1240, ""🏘️ \w+ \w+ (.*) ✅""),'Region prepositions'!B:F, 5, 0),  REGEXEXTRACT(C1240, ""🏘️ \w+ \w+ (.*) ✅""))))"),"Kehrsatz")</f>
        <v>Kehrsatz</v>
      </c>
      <c r="F1240" s="2" t="str">
        <f>IFERROR(__xludf.DUMMYFUNCTION("REGEXEXTRACT(C1240, ""🏘️ (\w+) \w+ .* ✅"")"),"Vendre")</f>
        <v>Vendre</v>
      </c>
      <c r="G1240" s="2" t="str">
        <f>IFERROR(__xludf.DUMMYFUNCTION("REGEXEXTRACT(C1240, ""🏘️ \w+ (\w+) .* ✅"")"),"maison")</f>
        <v>maison</v>
      </c>
      <c r="H1240" s="4" t="str">
        <f>IFERROR(__xludf.DUMMYFUNCTION("REGEXEXTRACT(A1240, ""/(\w+)-.*?"")"),"lieu")</f>
        <v>lieu</v>
      </c>
      <c r="I1240" s="4" t="str">
        <f>IFERROR(__xludf.DUMMYFUNCTION("if(D1240=""variant"",  substitute(filter(Templates!E:E, Templates!A:A = F1240, Templates!B:B = G1240, Templates!C:C = H1240), ""{{}}"", E1240), B1240)"),"🏘  Vous souhaitez acheter une maison à Kehrsatz? ✅ Jetez un œil aux dernières offres sur ImmoScout24.ch.")</f>
        <v>🏘  Vous souhaitez acheter une maison à Kehrsatz? ✅ Jetez un œil aux dernières offres sur ImmoScout24.ch.</v>
      </c>
      <c r="J1240" s="4" t="s">
        <v>3724</v>
      </c>
    </row>
    <row r="1241">
      <c r="A1241" s="5" t="s">
        <v>3725</v>
      </c>
      <c r="B1241" s="2" t="s">
        <v>3726</v>
      </c>
      <c r="C1241" s="4" t="str">
        <f>IFERROR(__xludf.DUMMYFUNCTION("""🏘️ ""&amp;REGEXEXTRACT(B1241, ""^(.*): "")&amp;"" ✅ "" &amp;REGEXEXTRACT(B1241, ""(Trouvez.*)"")"),"🏘️ Louer appartement Curtilles ✅ Trouvez le bien immobilier qui correspond idéalement à vos désirs sur ImmoScout24 - La plateforme de l'immobilier en Suisse.")</f>
        <v>🏘️ Louer appartement Curtilles ✅ Trouvez le bien immobilier qui correspond idéalement à vos désirs sur ImmoScout24 - La plateforme de l'immobilier en Suisse.</v>
      </c>
      <c r="D1241" s="4" t="str">
        <f>vlookup(A1241, Sheet2!D:E, 2, 0)</f>
        <v>variant</v>
      </c>
      <c r="E1241" s="4" t="str">
        <f>IFERROR(__xludf.DUMMYFUNCTION("if(H1241=""pays"",vlookup(REGEXEXTRACT(C1241, ""🏘️ \w+ \w+ (.*) ✅""),'Country prepositions'!A:B, 2, 0) &amp; "" "" &amp; REGEXEXTRACT(C1241, ""🏘️ \w+ \w+ (.*) ✅"") ,  if(H1241=""quartier"",vlookup(REGEXEXTRACT(C1241, ""🏘️ \w+ \w+ (.*) ✅""),'Quartier prepositio"&amp;"ns'!A:E, 5, 0) ,  if(H1241=""region"",vlookup(REGEXEXTRACT(C1241, ""🏘️ \w+ \w+ (.*) ✅""),'Region prepositions'!B:F, 5, 0),  REGEXEXTRACT(C1241, ""🏘️ \w+ \w+ (.*) ✅""))))"),"Curtilles")</f>
        <v>Curtilles</v>
      </c>
      <c r="F1241" s="2" t="str">
        <f>IFERROR(__xludf.DUMMYFUNCTION("REGEXEXTRACT(C1241, ""🏘️ (\w+) \w+ .* ✅"")"),"Louer")</f>
        <v>Louer</v>
      </c>
      <c r="G1241" s="2" t="str">
        <f>IFERROR(__xludf.DUMMYFUNCTION("REGEXEXTRACT(C1241, ""🏘️ \w+ (\w+) .* ✅"")"),"appartement")</f>
        <v>appartement</v>
      </c>
      <c r="H1241" s="4" t="str">
        <f>IFERROR(__xludf.DUMMYFUNCTION("REGEXEXTRACT(A1241, ""/(\w+)-.*?"")"),"lieu")</f>
        <v>lieu</v>
      </c>
      <c r="I1241" s="4" t="str">
        <f>IFERROR(__xludf.DUMMYFUNCTION("if(D1241=""variant"",  substitute(filter(Templates!E:E, Templates!A:A = F1241, Templates!B:B = G1241, Templates!C:C = H1241), ""{{}}"", E1241), B1241)"),"🏘  Vous cherchez un appartement à louer à Curtilles? ✅ Les annonces les plus actuelles sont sur ImmoScout24.ch.")</f>
        <v>🏘  Vous cherchez un appartement à louer à Curtilles? ✅ Les annonces les plus actuelles sont sur ImmoScout24.ch.</v>
      </c>
      <c r="J1241" s="4" t="s">
        <v>3727</v>
      </c>
    </row>
    <row r="1242">
      <c r="A1242" s="5" t="s">
        <v>3728</v>
      </c>
      <c r="B1242" s="2" t="s">
        <v>3729</v>
      </c>
      <c r="C1242" s="4" t="str">
        <f>IFERROR(__xludf.DUMMYFUNCTION("""🏘️ ""&amp;REGEXEXTRACT(B1242, ""^(.*): "")&amp;"" ✅ "" &amp;REGEXEXTRACT(B1242, ""(Trouvez.*)"")"),"🏘️ Louer appartement Pfaffnau ✅ Trouvez le bien immobilier qui correspond idéalement à vos désirs sur ImmoScout24 - La plateforme de l'immobilier en Suisse.")</f>
        <v>🏘️ Louer appartement Pfaffnau ✅ Trouvez le bien immobilier qui correspond idéalement à vos désirs sur ImmoScout24 - La plateforme de l'immobilier en Suisse.</v>
      </c>
      <c r="D1242" s="4" t="str">
        <f>vlookup(A1242, Sheet2!D:E, 2, 0)</f>
        <v>variant</v>
      </c>
      <c r="E1242" s="4" t="str">
        <f>IFERROR(__xludf.DUMMYFUNCTION("if(H1242=""pays"",vlookup(REGEXEXTRACT(C1242, ""🏘️ \w+ \w+ (.*) ✅""),'Country prepositions'!A:B, 2, 0) &amp; "" "" &amp; REGEXEXTRACT(C1242, ""🏘️ \w+ \w+ (.*) ✅"") ,  if(H1242=""quartier"",vlookup(REGEXEXTRACT(C1242, ""🏘️ \w+ \w+ (.*) ✅""),'Quartier prepositio"&amp;"ns'!A:E, 5, 0) ,  if(H1242=""region"",vlookup(REGEXEXTRACT(C1242, ""🏘️ \w+ \w+ (.*) ✅""),'Region prepositions'!B:F, 5, 0),  REGEXEXTRACT(C1242, ""🏘️ \w+ \w+ (.*) ✅""))))"),"Pfaffnau")</f>
        <v>Pfaffnau</v>
      </c>
      <c r="F1242" s="2" t="str">
        <f>IFERROR(__xludf.DUMMYFUNCTION("REGEXEXTRACT(C1242, ""🏘️ (\w+) \w+ .* ✅"")"),"Louer")</f>
        <v>Louer</v>
      </c>
      <c r="G1242" s="2" t="str">
        <f>IFERROR(__xludf.DUMMYFUNCTION("REGEXEXTRACT(C1242, ""🏘️ \w+ (\w+) .* ✅"")"),"appartement")</f>
        <v>appartement</v>
      </c>
      <c r="H1242" s="4" t="str">
        <f>IFERROR(__xludf.DUMMYFUNCTION("REGEXEXTRACT(A1242, ""/(\w+)-.*?"")"),"lieu")</f>
        <v>lieu</v>
      </c>
      <c r="I1242" s="4" t="str">
        <f>IFERROR(__xludf.DUMMYFUNCTION("if(D1242=""variant"",  substitute(filter(Templates!E:E, Templates!A:A = F1242, Templates!B:B = G1242, Templates!C:C = H1242), ""{{}}"", E1242), B1242)"),"🏘  Vous cherchez un appartement à louer à Pfaffnau? ✅ Les annonces les plus actuelles sont sur ImmoScout24.ch.")</f>
        <v>🏘  Vous cherchez un appartement à louer à Pfaffnau? ✅ Les annonces les plus actuelles sont sur ImmoScout24.ch.</v>
      </c>
      <c r="J1242" s="4" t="s">
        <v>3730</v>
      </c>
    </row>
    <row r="1243">
      <c r="A1243" s="5" t="s">
        <v>3731</v>
      </c>
      <c r="B1243" s="2" t="s">
        <v>3732</v>
      </c>
      <c r="C1243" s="4" t="str">
        <f>IFERROR(__xludf.DUMMYFUNCTION("""🏘️ ""&amp;REGEXEXTRACT(B1243, ""^(.*): "")&amp;"" ✅ "" &amp;REGEXEXTRACT(B1243, ""(Trouvez.*)"")"),"🏘️ Vendre maison Baulmes ✅ Trouvez le bien immobilier qui correspond idéalement à vos désirs sur ImmoScout24 - La plateforme de l'immobilier en Suisse.")</f>
        <v>🏘️ Vendre maison Baulmes ✅ Trouvez le bien immobilier qui correspond idéalement à vos désirs sur ImmoScout24 - La plateforme de l'immobilier en Suisse.</v>
      </c>
      <c r="D1243" s="4" t="str">
        <f>vlookup(A1243, Sheet2!D:E, 2, 0)</f>
        <v>variant</v>
      </c>
      <c r="E1243" s="4" t="str">
        <f>IFERROR(__xludf.DUMMYFUNCTION("if(H1243=""pays"",vlookup(REGEXEXTRACT(C1243, ""🏘️ \w+ \w+ (.*) ✅""),'Country prepositions'!A:B, 2, 0) &amp; "" "" &amp; REGEXEXTRACT(C1243, ""🏘️ \w+ \w+ (.*) ✅"") ,  if(H1243=""quartier"",vlookup(REGEXEXTRACT(C1243, ""🏘️ \w+ \w+ (.*) ✅""),'Quartier prepositio"&amp;"ns'!A:E, 5, 0) ,  if(H1243=""region"",vlookup(REGEXEXTRACT(C1243, ""🏘️ \w+ \w+ (.*) ✅""),'Region prepositions'!B:F, 5, 0),  REGEXEXTRACT(C1243, ""🏘️ \w+ \w+ (.*) ✅""))))"),"Baulmes")</f>
        <v>Baulmes</v>
      </c>
      <c r="F1243" s="2" t="str">
        <f>IFERROR(__xludf.DUMMYFUNCTION("REGEXEXTRACT(C1243, ""🏘️ (\w+) \w+ .* ✅"")"),"Vendre")</f>
        <v>Vendre</v>
      </c>
      <c r="G1243" s="2" t="str">
        <f>IFERROR(__xludf.DUMMYFUNCTION("REGEXEXTRACT(C1243, ""🏘️ \w+ (\w+) .* ✅"")"),"maison")</f>
        <v>maison</v>
      </c>
      <c r="H1243" s="4" t="str">
        <f>IFERROR(__xludf.DUMMYFUNCTION("REGEXEXTRACT(A1243, ""/(\w+)-.*?"")"),"lieu")</f>
        <v>lieu</v>
      </c>
      <c r="I1243" s="4" t="str">
        <f>IFERROR(__xludf.DUMMYFUNCTION("if(D1243=""variant"",  substitute(filter(Templates!E:E, Templates!A:A = F1243, Templates!B:B = G1243, Templates!C:C = H1243), ""{{}}"", E1243), B1243)"),"🏘  Vous souhaitez acheter une maison à Baulmes? ✅ Jetez un œil aux dernières offres sur ImmoScout24.ch.")</f>
        <v>🏘  Vous souhaitez acheter une maison à Baulmes? ✅ Jetez un œil aux dernières offres sur ImmoScout24.ch.</v>
      </c>
      <c r="J1243" s="4" t="s">
        <v>3733</v>
      </c>
    </row>
    <row r="1244">
      <c r="A1244" s="5" t="s">
        <v>3734</v>
      </c>
      <c r="B1244" s="2" t="s">
        <v>3735</v>
      </c>
      <c r="C1244" s="4" t="str">
        <f>IFERROR(__xludf.DUMMYFUNCTION("""🏘️ ""&amp;REGEXEXTRACT(B1244, ""^(.*): "")&amp;"" ✅ "" &amp;REGEXEXTRACT(B1244, ""(Trouvez.*)"")"),"🏘️ Vendre appartement Bubendorf ✅ Trouvez le bien immobilier qui correspond idéalement à vos désirs sur ImmoScout24 - La plateforme de l'immobilier en Suisse.")</f>
        <v>🏘️ Vendre appartement Bubendorf ✅ Trouvez le bien immobilier qui correspond idéalement à vos désirs sur ImmoScout24 - La plateforme de l'immobilier en Suisse.</v>
      </c>
      <c r="D1244" s="4" t="str">
        <f>vlookup(A1244, Sheet2!D:E, 2, 0)</f>
        <v>variant</v>
      </c>
      <c r="E1244" s="4" t="str">
        <f>IFERROR(__xludf.DUMMYFUNCTION("if(H1244=""pays"",vlookup(REGEXEXTRACT(C1244, ""🏘️ \w+ \w+ (.*) ✅""),'Country prepositions'!A:B, 2, 0) &amp; "" "" &amp; REGEXEXTRACT(C1244, ""🏘️ \w+ \w+ (.*) ✅"") ,  if(H1244=""quartier"",vlookup(REGEXEXTRACT(C1244, ""🏘️ \w+ \w+ (.*) ✅""),'Quartier prepositio"&amp;"ns'!A:E, 5, 0) ,  if(H1244=""region"",vlookup(REGEXEXTRACT(C1244, ""🏘️ \w+ \w+ (.*) ✅""),'Region prepositions'!B:F, 5, 0),  REGEXEXTRACT(C1244, ""🏘️ \w+ \w+ (.*) ✅""))))"),"Bubendorf")</f>
        <v>Bubendorf</v>
      </c>
      <c r="F1244" s="2" t="str">
        <f>IFERROR(__xludf.DUMMYFUNCTION("REGEXEXTRACT(C1244, ""🏘️ (\w+) \w+ .* ✅"")"),"Vendre")</f>
        <v>Vendre</v>
      </c>
      <c r="G1244" s="2" t="str">
        <f>IFERROR(__xludf.DUMMYFUNCTION("REGEXEXTRACT(C1244, ""🏘️ \w+ (\w+) .* ✅"")"),"appartement")</f>
        <v>appartement</v>
      </c>
      <c r="H1244" s="4" t="str">
        <f>IFERROR(__xludf.DUMMYFUNCTION("REGEXEXTRACT(A1244, ""/(\w+)-.*?"")"),"lieu")</f>
        <v>lieu</v>
      </c>
      <c r="I1244" s="4" t="str">
        <f>IFERROR(__xludf.DUMMYFUNCTION("if(D1244=""variant"",  substitute(filter(Templates!E:E, Templates!A:A = F1244, Templates!B:B = G1244, Templates!C:C = H1244), ""{{}}"", E1244), B1244)"),"🏘  L’appartement de vos rêves se trouve sur ImmoScout24.ch ✅ Découvrez les dernières annonces de vente à Bubendorf.")</f>
        <v>🏘  L’appartement de vos rêves se trouve sur ImmoScout24.ch ✅ Découvrez les dernières annonces de vente à Bubendorf.</v>
      </c>
      <c r="J1244" s="4" t="s">
        <v>3736</v>
      </c>
    </row>
    <row r="1245">
      <c r="A1245" s="5" t="s">
        <v>3737</v>
      </c>
      <c r="B1245" s="2" t="s">
        <v>3738</v>
      </c>
      <c r="C1245" s="4" t="str">
        <f>IFERROR(__xludf.DUMMYFUNCTION("""🏘️ ""&amp;REGEXEXTRACT(B1245, ""^(.*): "")&amp;"" ✅ "" &amp;REGEXEXTRACT(B1245, ""(Trouvez.*)"")"),"🏘️ Vendre maison Conthey ✅ Trouvez le bien immobilier qui correspond idéalement à vos désirs sur ImmoScout24 - La plateforme de l'immobilier en Suisse.")</f>
        <v>🏘️ Vendre maison Conthey ✅ Trouvez le bien immobilier qui correspond idéalement à vos désirs sur ImmoScout24 - La plateforme de l'immobilier en Suisse.</v>
      </c>
      <c r="D1245" s="4" t="str">
        <f>vlookup(A1245, Sheet2!D:E, 2, 0)</f>
        <v>variant</v>
      </c>
      <c r="E1245" s="4" t="str">
        <f>IFERROR(__xludf.DUMMYFUNCTION("if(H1245=""pays"",vlookup(REGEXEXTRACT(C1245, ""🏘️ \w+ \w+ (.*) ✅""),'Country prepositions'!A:B, 2, 0) &amp; "" "" &amp; REGEXEXTRACT(C1245, ""🏘️ \w+ \w+ (.*) ✅"") ,  if(H1245=""quartier"",vlookup(REGEXEXTRACT(C1245, ""🏘️ \w+ \w+ (.*) ✅""),'Quartier prepositio"&amp;"ns'!A:E, 5, 0) ,  if(H1245=""region"",vlookup(REGEXEXTRACT(C1245, ""🏘️ \w+ \w+ (.*) ✅""),'Region prepositions'!B:F, 5, 0),  REGEXEXTRACT(C1245, ""🏘️ \w+ \w+ (.*) ✅""))))"),"Conthey")</f>
        <v>Conthey</v>
      </c>
      <c r="F1245" s="2" t="str">
        <f>IFERROR(__xludf.DUMMYFUNCTION("REGEXEXTRACT(C1245, ""🏘️ (\w+) \w+ .* ✅"")"),"Vendre")</f>
        <v>Vendre</v>
      </c>
      <c r="G1245" s="2" t="str">
        <f>IFERROR(__xludf.DUMMYFUNCTION("REGEXEXTRACT(C1245, ""🏘️ \w+ (\w+) .* ✅"")"),"maison")</f>
        <v>maison</v>
      </c>
      <c r="H1245" s="4" t="str">
        <f>IFERROR(__xludf.DUMMYFUNCTION("REGEXEXTRACT(A1245, ""/(\w+)-.*?"")"),"lieu")</f>
        <v>lieu</v>
      </c>
      <c r="I1245" s="4" t="str">
        <f>IFERROR(__xludf.DUMMYFUNCTION("if(D1245=""variant"",  substitute(filter(Templates!E:E, Templates!A:A = F1245, Templates!B:B = G1245, Templates!C:C = H1245), ""{{}}"", E1245), B1245)"),"🏘  Vous souhaitez acheter une maison à Conthey? ✅ Jetez un œil aux dernières offres sur ImmoScout24.ch.")</f>
        <v>🏘  Vous souhaitez acheter une maison à Conthey? ✅ Jetez un œil aux dernières offres sur ImmoScout24.ch.</v>
      </c>
      <c r="J1245" s="4" t="s">
        <v>3739</v>
      </c>
    </row>
    <row r="1246">
      <c r="A1246" s="5" t="s">
        <v>3740</v>
      </c>
      <c r="B1246" s="2" t="s">
        <v>3741</v>
      </c>
      <c r="C1246" s="4" t="str">
        <f>IFERROR(__xludf.DUMMYFUNCTION("""🏘️ ""&amp;REGEXEXTRACT(B1246, ""^(.*): "")&amp;"" ✅ "" &amp;REGEXEXTRACT(B1246, ""(Trouvez.*)"")"),"🏘️ Vendre appartement Vauderens ✅ Trouvez le bien immobilier qui correspond idéalement à vos désirs sur ImmoScout24 - La plateforme de l'immobilier en Suisse.")</f>
        <v>🏘️ Vendre appartement Vauderens ✅ Trouvez le bien immobilier qui correspond idéalement à vos désirs sur ImmoScout24 - La plateforme de l'immobilier en Suisse.</v>
      </c>
      <c r="D1246" s="4" t="str">
        <f>vlookup(A1246, Sheet2!D:E, 2, 0)</f>
        <v>variant</v>
      </c>
      <c r="E1246" s="4" t="str">
        <f>IFERROR(__xludf.DUMMYFUNCTION("if(H1246=""pays"",vlookup(REGEXEXTRACT(C1246, ""🏘️ \w+ \w+ (.*) ✅""),'Country prepositions'!A:B, 2, 0) &amp; "" "" &amp; REGEXEXTRACT(C1246, ""🏘️ \w+ \w+ (.*) ✅"") ,  if(H1246=""quartier"",vlookup(REGEXEXTRACT(C1246, ""🏘️ \w+ \w+ (.*) ✅""),'Quartier prepositio"&amp;"ns'!A:E, 5, 0) ,  if(H1246=""region"",vlookup(REGEXEXTRACT(C1246, ""🏘️ \w+ \w+ (.*) ✅""),'Region prepositions'!B:F, 5, 0),  REGEXEXTRACT(C1246, ""🏘️ \w+ \w+ (.*) ✅""))))"),"Vauderens")</f>
        <v>Vauderens</v>
      </c>
      <c r="F1246" s="2" t="str">
        <f>IFERROR(__xludf.DUMMYFUNCTION("REGEXEXTRACT(C1246, ""🏘️ (\w+) \w+ .* ✅"")"),"Vendre")</f>
        <v>Vendre</v>
      </c>
      <c r="G1246" s="2" t="str">
        <f>IFERROR(__xludf.DUMMYFUNCTION("REGEXEXTRACT(C1246, ""🏘️ \w+ (\w+) .* ✅"")"),"appartement")</f>
        <v>appartement</v>
      </c>
      <c r="H1246" s="4" t="str">
        <f>IFERROR(__xludf.DUMMYFUNCTION("REGEXEXTRACT(A1246, ""/(\w+)-.*?"")"),"lieu")</f>
        <v>lieu</v>
      </c>
      <c r="I1246" s="4" t="str">
        <f>IFERROR(__xludf.DUMMYFUNCTION("if(D1246=""variant"",  substitute(filter(Templates!E:E, Templates!A:A = F1246, Templates!B:B = G1246, Templates!C:C = H1246), ""{{}}"", E1246), B1246)"),"🏘  L’appartement de vos rêves se trouve sur ImmoScout24.ch ✅ Découvrez les dernières annonces de vente à Vauderens.")</f>
        <v>🏘  L’appartement de vos rêves se trouve sur ImmoScout24.ch ✅ Découvrez les dernières annonces de vente à Vauderens.</v>
      </c>
      <c r="J1246" s="4" t="s">
        <v>3742</v>
      </c>
    </row>
    <row r="1247">
      <c r="A1247" s="5" t="s">
        <v>3743</v>
      </c>
      <c r="B1247" s="2" t="s">
        <v>3744</v>
      </c>
      <c r="C1247" s="4" t="str">
        <f>IFERROR(__xludf.DUMMYFUNCTION("""🏘️ ""&amp;REGEXEXTRACT(B1247, ""^(.*): "")&amp;"" ✅ "" &amp;REGEXEXTRACT(B1247, ""(Trouvez.*)"")"),"🏘️ Louer appartement La Corbaz ✅ Trouvez le bien immobilier qui correspond idéalement à vos désirs sur ImmoScout24 - La plateforme de l'immobilier en Suisse.")</f>
        <v>🏘️ Louer appartement La Corbaz ✅ Trouvez le bien immobilier qui correspond idéalement à vos désirs sur ImmoScout24 - La plateforme de l'immobilier en Suisse.</v>
      </c>
      <c r="D1247" s="4" t="str">
        <f>vlookup(A1247, Sheet2!D:E, 2, 0)</f>
        <v>variant</v>
      </c>
      <c r="E1247" s="4" t="str">
        <f>IFERROR(__xludf.DUMMYFUNCTION("if(H1247=""pays"",vlookup(REGEXEXTRACT(C1247, ""🏘️ \w+ \w+ (.*) ✅""),'Country prepositions'!A:B, 2, 0) &amp; "" "" &amp; REGEXEXTRACT(C1247, ""🏘️ \w+ \w+ (.*) ✅"") ,  if(H1247=""quartier"",vlookup(REGEXEXTRACT(C1247, ""🏘️ \w+ \w+ (.*) ✅""),'Quartier prepositio"&amp;"ns'!A:E, 5, 0) ,  if(H1247=""region"",vlookup(REGEXEXTRACT(C1247, ""🏘️ \w+ \w+ (.*) ✅""),'Region prepositions'!B:F, 5, 0),  REGEXEXTRACT(C1247, ""🏘️ \w+ \w+ (.*) ✅""))))"),"La Corbaz")</f>
        <v>La Corbaz</v>
      </c>
      <c r="F1247" s="2" t="str">
        <f>IFERROR(__xludf.DUMMYFUNCTION("REGEXEXTRACT(C1247, ""🏘️ (\w+) \w+ .* ✅"")"),"Louer")</f>
        <v>Louer</v>
      </c>
      <c r="G1247" s="2" t="str">
        <f>IFERROR(__xludf.DUMMYFUNCTION("REGEXEXTRACT(C1247, ""🏘️ \w+ (\w+) .* ✅"")"),"appartement")</f>
        <v>appartement</v>
      </c>
      <c r="H1247" s="4" t="str">
        <f>IFERROR(__xludf.DUMMYFUNCTION("REGEXEXTRACT(A1247, ""/(\w+)-.*?"")"),"lieu")</f>
        <v>lieu</v>
      </c>
      <c r="I1247" s="4" t="str">
        <f>IFERROR(__xludf.DUMMYFUNCTION("if(D1247=""variant"",  substitute(filter(Templates!E:E, Templates!A:A = F1247, Templates!B:B = G1247, Templates!C:C = H1247), ""{{}}"", E1247), B1247)"),"🏘  Vous cherchez un appartement à louer à La Corbaz? ✅ Les annonces les plus actuelles sont sur ImmoScout24.ch.")</f>
        <v>🏘  Vous cherchez un appartement à louer à La Corbaz? ✅ Les annonces les plus actuelles sont sur ImmoScout24.ch.</v>
      </c>
      <c r="J1247" s="4" t="s">
        <v>3745</v>
      </c>
    </row>
    <row r="1248">
      <c r="A1248" s="5" t="s">
        <v>3746</v>
      </c>
      <c r="B1248" s="2" t="s">
        <v>3747</v>
      </c>
      <c r="C1248" s="4" t="str">
        <f>IFERROR(__xludf.DUMMYFUNCTION("""🏘️ ""&amp;REGEXEXTRACT(B1248, ""^(.*): "")&amp;"" ✅ "" &amp;REGEXEXTRACT(B1248, ""(Trouvez.*)"")"),"🏘️ Louer maison Pringy ✅ Trouvez le bien immobilier qui correspond idéalement à vos désirs sur ImmoScout24 - La plateforme de l'immobilier en Suisse.")</f>
        <v>🏘️ Louer maison Pringy ✅ Trouvez le bien immobilier qui correspond idéalement à vos désirs sur ImmoScout24 - La plateforme de l'immobilier en Suisse.</v>
      </c>
      <c r="D1248" s="4" t="str">
        <f>vlookup(A1248, Sheet2!D:E, 2, 0)</f>
        <v>variant</v>
      </c>
      <c r="E1248" s="4" t="str">
        <f>IFERROR(__xludf.DUMMYFUNCTION("if(H1248=""pays"",vlookup(REGEXEXTRACT(C1248, ""🏘️ \w+ \w+ (.*) ✅""),'Country prepositions'!A:B, 2, 0) &amp; "" "" &amp; REGEXEXTRACT(C1248, ""🏘️ \w+ \w+ (.*) ✅"") ,  if(H1248=""quartier"",vlookup(REGEXEXTRACT(C1248, ""🏘️ \w+ \w+ (.*) ✅""),'Quartier prepositio"&amp;"ns'!A:E, 5, 0) ,  if(H1248=""region"",vlookup(REGEXEXTRACT(C1248, ""🏘️ \w+ \w+ (.*) ✅""),'Region prepositions'!B:F, 5, 0),  REGEXEXTRACT(C1248, ""🏘️ \w+ \w+ (.*) ✅""))))"),"Pringy")</f>
        <v>Pringy</v>
      </c>
      <c r="F1248" s="2" t="str">
        <f>IFERROR(__xludf.DUMMYFUNCTION("REGEXEXTRACT(C1248, ""🏘️ (\w+) \w+ .* ✅"")"),"Louer")</f>
        <v>Louer</v>
      </c>
      <c r="G1248" s="2" t="str">
        <f>IFERROR(__xludf.DUMMYFUNCTION("REGEXEXTRACT(C1248, ""🏘️ \w+ (\w+) .* ✅"")"),"maison")</f>
        <v>maison</v>
      </c>
      <c r="H1248" s="4" t="str">
        <f>IFERROR(__xludf.DUMMYFUNCTION("REGEXEXTRACT(A1248, ""/(\w+)-.*?"")"),"lieu")</f>
        <v>lieu</v>
      </c>
      <c r="I1248" s="4" t="str">
        <f>IFERROR(__xludf.DUMMYFUNCTION("if(D1248=""variant"",  substitute(filter(Templates!E:E, Templates!A:A = F1248, Templates!B:B = G1248, Templates!C:C = H1248), ""{{}}"", E1248), B1248)"),"🏘  Vous cherchez une maison à louer à Pringy? ✅ Découvrez nos nombreuses annonces sur ImmoScout24.ch.")</f>
        <v>🏘  Vous cherchez une maison à louer à Pringy? ✅ Découvrez nos nombreuses annonces sur ImmoScout24.ch.</v>
      </c>
      <c r="J1248" s="4" t="s">
        <v>3748</v>
      </c>
    </row>
    <row r="1249">
      <c r="A1249" s="5" t="s">
        <v>3749</v>
      </c>
      <c r="B1249" s="2" t="s">
        <v>3750</v>
      </c>
      <c r="C1249" s="4" t="str">
        <f>IFERROR(__xludf.DUMMYFUNCTION("""🏘️ ""&amp;REGEXEXTRACT(B1249, ""^(.*): "")&amp;"" ✅ "" &amp;REGEXEXTRACT(B1249, ""(Trouvez.*)"")"),"🏘️ Louer appartement Territet ✅ Trouvez le bien immobilier qui correspond idéalement à vos désirs sur ImmoScout24 - La plateforme de l'immobilier en Suisse.")</f>
        <v>🏘️ Louer appartement Territet ✅ Trouvez le bien immobilier qui correspond idéalement à vos désirs sur ImmoScout24 - La plateforme de l'immobilier en Suisse.</v>
      </c>
      <c r="D1249" s="4" t="str">
        <f>vlookup(A1249, Sheet2!D:E, 2, 0)</f>
        <v>variant</v>
      </c>
      <c r="E1249" s="4" t="str">
        <f>IFERROR(__xludf.DUMMYFUNCTION("if(H1249=""pays"",vlookup(REGEXEXTRACT(C1249, ""🏘️ \w+ \w+ (.*) ✅""),'Country prepositions'!A:B, 2, 0) &amp; "" "" &amp; REGEXEXTRACT(C1249, ""🏘️ \w+ \w+ (.*) ✅"") ,  if(H1249=""quartier"",vlookup(REGEXEXTRACT(C1249, ""🏘️ \w+ \w+ (.*) ✅""),'Quartier prepositio"&amp;"ns'!A:E, 5, 0) ,  if(H1249=""region"",vlookup(REGEXEXTRACT(C1249, ""🏘️ \w+ \w+ (.*) ✅""),'Region prepositions'!B:F, 5, 0),  REGEXEXTRACT(C1249, ""🏘️ \w+ \w+ (.*) ✅""))))"),"Territet")</f>
        <v>Territet</v>
      </c>
      <c r="F1249" s="2" t="str">
        <f>IFERROR(__xludf.DUMMYFUNCTION("REGEXEXTRACT(C1249, ""🏘️ (\w+) \w+ .* ✅"")"),"Louer")</f>
        <v>Louer</v>
      </c>
      <c r="G1249" s="2" t="str">
        <f>IFERROR(__xludf.DUMMYFUNCTION("REGEXEXTRACT(C1249, ""🏘️ \w+ (\w+) .* ✅"")"),"appartement")</f>
        <v>appartement</v>
      </c>
      <c r="H1249" s="4" t="str">
        <f>IFERROR(__xludf.DUMMYFUNCTION("REGEXEXTRACT(A1249, ""/(\w+)-.*?"")"),"lieu")</f>
        <v>lieu</v>
      </c>
      <c r="I1249" s="4" t="str">
        <f>IFERROR(__xludf.DUMMYFUNCTION("if(D1249=""variant"",  substitute(filter(Templates!E:E, Templates!A:A = F1249, Templates!B:B = G1249, Templates!C:C = H1249), ""{{}}"", E1249), B1249)"),"🏘  Vous cherchez un appartement à louer à Territet? ✅ Les annonces les plus actuelles sont sur ImmoScout24.ch.")</f>
        <v>🏘  Vous cherchez un appartement à louer à Territet? ✅ Les annonces les plus actuelles sont sur ImmoScout24.ch.</v>
      </c>
      <c r="J1249" s="4" t="s">
        <v>3751</v>
      </c>
    </row>
    <row r="1250">
      <c r="A1250" s="5" t="s">
        <v>3752</v>
      </c>
      <c r="B1250" s="2" t="s">
        <v>3753</v>
      </c>
      <c r="C1250" s="4" t="str">
        <f>IFERROR(__xludf.DUMMYFUNCTION("""🏘️ ""&amp;REGEXEXTRACT(B1250, ""^(.*): "")&amp;"" ✅ "" &amp;REGEXEXTRACT(B1250, ""(Trouvez.*)"")"),"🏘️ Vendre maison Cadempino ✅ Trouvez le bien immobilier qui correspond idéalement à vos désirs sur ImmoScout24 - La plateforme de l'immobilier en Suisse.")</f>
        <v>🏘️ Vendre maison Cadempino ✅ Trouvez le bien immobilier qui correspond idéalement à vos désirs sur ImmoScout24 - La plateforme de l'immobilier en Suisse.</v>
      </c>
      <c r="D1250" s="4" t="str">
        <f>vlookup(A1250, Sheet2!D:E, 2, 0)</f>
        <v>variant</v>
      </c>
      <c r="E1250" s="4" t="str">
        <f>IFERROR(__xludf.DUMMYFUNCTION("if(H1250=""pays"",vlookup(REGEXEXTRACT(C1250, ""🏘️ \w+ \w+ (.*) ✅""),'Country prepositions'!A:B, 2, 0) &amp; "" "" &amp; REGEXEXTRACT(C1250, ""🏘️ \w+ \w+ (.*) ✅"") ,  if(H1250=""quartier"",vlookup(REGEXEXTRACT(C1250, ""🏘️ \w+ \w+ (.*) ✅""),'Quartier prepositio"&amp;"ns'!A:E, 5, 0) ,  if(H1250=""region"",vlookup(REGEXEXTRACT(C1250, ""🏘️ \w+ \w+ (.*) ✅""),'Region prepositions'!B:F, 5, 0),  REGEXEXTRACT(C1250, ""🏘️ \w+ \w+ (.*) ✅""))))"),"Cadempino")</f>
        <v>Cadempino</v>
      </c>
      <c r="F1250" s="2" t="str">
        <f>IFERROR(__xludf.DUMMYFUNCTION("REGEXEXTRACT(C1250, ""🏘️ (\w+) \w+ .* ✅"")"),"Vendre")</f>
        <v>Vendre</v>
      </c>
      <c r="G1250" s="2" t="str">
        <f>IFERROR(__xludf.DUMMYFUNCTION("REGEXEXTRACT(C1250, ""🏘️ \w+ (\w+) .* ✅"")"),"maison")</f>
        <v>maison</v>
      </c>
      <c r="H1250" s="4" t="str">
        <f>IFERROR(__xludf.DUMMYFUNCTION("REGEXEXTRACT(A1250, ""/(\w+)-.*?"")"),"lieu")</f>
        <v>lieu</v>
      </c>
      <c r="I1250" s="4" t="str">
        <f>IFERROR(__xludf.DUMMYFUNCTION("if(D1250=""variant"",  substitute(filter(Templates!E:E, Templates!A:A = F1250, Templates!B:B = G1250, Templates!C:C = H1250), ""{{}}"", E1250), B1250)"),"🏘  Vous souhaitez acheter une maison à Cadempino? ✅ Jetez un œil aux dernières offres sur ImmoScout24.ch.")</f>
        <v>🏘  Vous souhaitez acheter une maison à Cadempino? ✅ Jetez un œil aux dernières offres sur ImmoScout24.ch.</v>
      </c>
      <c r="J1250" s="4" t="s">
        <v>3754</v>
      </c>
    </row>
    <row r="1251">
      <c r="A1251" s="5" t="s">
        <v>3755</v>
      </c>
      <c r="B1251" s="2" t="s">
        <v>3756</v>
      </c>
      <c r="C1251" s="4" t="str">
        <f>IFERROR(__xludf.DUMMYFUNCTION("""🏘️ ""&amp;REGEXEXTRACT(B1251, ""^(.*): "")&amp;"" ✅ "" &amp;REGEXEXTRACT(B1251, ""(Trouvez.*)"")"),"🏘️ Louer appartement Uetendorf ✅ Trouvez le bien immobilier qui correspond idéalement à vos désirs sur ImmoScout24 - La plateforme de l'immobilier en Suisse.")</f>
        <v>🏘️ Louer appartement Uetendorf ✅ Trouvez le bien immobilier qui correspond idéalement à vos désirs sur ImmoScout24 - La plateforme de l'immobilier en Suisse.</v>
      </c>
      <c r="D1251" s="4" t="str">
        <f>vlookup(A1251, Sheet2!D:E, 2, 0)</f>
        <v>variant</v>
      </c>
      <c r="E1251" s="4" t="str">
        <f>IFERROR(__xludf.DUMMYFUNCTION("if(H1251=""pays"",vlookup(REGEXEXTRACT(C1251, ""🏘️ \w+ \w+ (.*) ✅""),'Country prepositions'!A:B, 2, 0) &amp; "" "" &amp; REGEXEXTRACT(C1251, ""🏘️ \w+ \w+ (.*) ✅"") ,  if(H1251=""quartier"",vlookup(REGEXEXTRACT(C1251, ""🏘️ \w+ \w+ (.*) ✅""),'Quartier prepositio"&amp;"ns'!A:E, 5, 0) ,  if(H1251=""region"",vlookup(REGEXEXTRACT(C1251, ""🏘️ \w+ \w+ (.*) ✅""),'Region prepositions'!B:F, 5, 0),  REGEXEXTRACT(C1251, ""🏘️ \w+ \w+ (.*) ✅""))))"),"Uetendorf")</f>
        <v>Uetendorf</v>
      </c>
      <c r="F1251" s="2" t="str">
        <f>IFERROR(__xludf.DUMMYFUNCTION("REGEXEXTRACT(C1251, ""🏘️ (\w+) \w+ .* ✅"")"),"Louer")</f>
        <v>Louer</v>
      </c>
      <c r="G1251" s="2" t="str">
        <f>IFERROR(__xludf.DUMMYFUNCTION("REGEXEXTRACT(C1251, ""🏘️ \w+ (\w+) .* ✅"")"),"appartement")</f>
        <v>appartement</v>
      </c>
      <c r="H1251" s="4" t="str">
        <f>IFERROR(__xludf.DUMMYFUNCTION("REGEXEXTRACT(A1251, ""/(\w+)-.*?"")"),"lieu")</f>
        <v>lieu</v>
      </c>
      <c r="I1251" s="4" t="str">
        <f>IFERROR(__xludf.DUMMYFUNCTION("if(D1251=""variant"",  substitute(filter(Templates!E:E, Templates!A:A = F1251, Templates!B:B = G1251, Templates!C:C = H1251), ""{{}}"", E1251), B1251)"),"🏘  Vous cherchez un appartement à louer à Uetendorf? ✅ Les annonces les plus actuelles sont sur ImmoScout24.ch.")</f>
        <v>🏘  Vous cherchez un appartement à louer à Uetendorf? ✅ Les annonces les plus actuelles sont sur ImmoScout24.ch.</v>
      </c>
      <c r="J1251" s="4" t="s">
        <v>3757</v>
      </c>
    </row>
    <row r="1252">
      <c r="A1252" s="5" t="s">
        <v>3758</v>
      </c>
      <c r="B1252" s="2" t="s">
        <v>3759</v>
      </c>
      <c r="C1252" s="4" t="str">
        <f>IFERROR(__xludf.DUMMYFUNCTION("""🏘️ ""&amp;REGEXEXTRACT(B1252, ""^(.*): "")&amp;"" ✅ "" &amp;REGEXEXTRACT(B1252, ""(Trouvez.*)"")"),"🏘️ Louer appartement Niederscherli ✅ Trouvez le bien immobilier qui correspond idéalement à vos désirs sur ImmoScout24 - La plateforme de l'immobilier en Suisse.")</f>
        <v>🏘️ Louer appartement Niederscherli ✅ Trouvez le bien immobilier qui correspond idéalement à vos désirs sur ImmoScout24 - La plateforme de l'immobilier en Suisse.</v>
      </c>
      <c r="D1252" s="4" t="str">
        <f>vlookup(A1252, Sheet2!D:E, 2, 0)</f>
        <v>variant</v>
      </c>
      <c r="E1252" s="4" t="str">
        <f>IFERROR(__xludf.DUMMYFUNCTION("if(H1252=""pays"",vlookup(REGEXEXTRACT(C1252, ""🏘️ \w+ \w+ (.*) ✅""),'Country prepositions'!A:B, 2, 0) &amp; "" "" &amp; REGEXEXTRACT(C1252, ""🏘️ \w+ \w+ (.*) ✅"") ,  if(H1252=""quartier"",vlookup(REGEXEXTRACT(C1252, ""🏘️ \w+ \w+ (.*) ✅""),'Quartier prepositio"&amp;"ns'!A:E, 5, 0) ,  if(H1252=""region"",vlookup(REGEXEXTRACT(C1252, ""🏘️ \w+ \w+ (.*) ✅""),'Region prepositions'!B:F, 5, 0),  REGEXEXTRACT(C1252, ""🏘️ \w+ \w+ (.*) ✅""))))"),"Niederscherli")</f>
        <v>Niederscherli</v>
      </c>
      <c r="F1252" s="2" t="str">
        <f>IFERROR(__xludf.DUMMYFUNCTION("REGEXEXTRACT(C1252, ""🏘️ (\w+) \w+ .* ✅"")"),"Louer")</f>
        <v>Louer</v>
      </c>
      <c r="G1252" s="2" t="str">
        <f>IFERROR(__xludf.DUMMYFUNCTION("REGEXEXTRACT(C1252, ""🏘️ \w+ (\w+) .* ✅"")"),"appartement")</f>
        <v>appartement</v>
      </c>
      <c r="H1252" s="4" t="str">
        <f>IFERROR(__xludf.DUMMYFUNCTION("REGEXEXTRACT(A1252, ""/(\w+)-.*?"")"),"lieu")</f>
        <v>lieu</v>
      </c>
      <c r="I1252" s="4" t="str">
        <f>IFERROR(__xludf.DUMMYFUNCTION("if(D1252=""variant"",  substitute(filter(Templates!E:E, Templates!A:A = F1252, Templates!B:B = G1252, Templates!C:C = H1252), ""{{}}"", E1252), B1252)"),"🏘  Vous cherchez un appartement à louer à Niederscherli? ✅ Les annonces les plus actuelles sont sur ImmoScout24.ch.")</f>
        <v>🏘  Vous cherchez un appartement à louer à Niederscherli? ✅ Les annonces les plus actuelles sont sur ImmoScout24.ch.</v>
      </c>
      <c r="J1252" s="4" t="s">
        <v>3760</v>
      </c>
    </row>
    <row r="1253">
      <c r="A1253" s="5" t="s">
        <v>3761</v>
      </c>
      <c r="B1253" s="2" t="s">
        <v>3762</v>
      </c>
      <c r="C1253" s="4" t="str">
        <f>IFERROR(__xludf.DUMMYFUNCTION("""🏘️ ""&amp;REGEXEXTRACT(B1253, ""^(.*): "")&amp;"" ✅ "" &amp;REGEXEXTRACT(B1253, ""(Trouvez.*)"")"),"🏘️ Vendre appartement Lantsch/Lenz ✅ Trouvez le bien immobilier qui correspond idéalement à vos désirs sur ImmoScout24 - La plateforme de l'immobilier en Suisse.")</f>
        <v>🏘️ Vendre appartement Lantsch/Lenz ✅ Trouvez le bien immobilier qui correspond idéalement à vos désirs sur ImmoScout24 - La plateforme de l'immobilier en Suisse.</v>
      </c>
      <c r="D1253" s="4" t="str">
        <f>vlookup(A1253, Sheet2!D:E, 2, 0)</f>
        <v>variant</v>
      </c>
      <c r="E1253" s="4" t="str">
        <f>IFERROR(__xludf.DUMMYFUNCTION("if(H1253=""pays"",vlookup(REGEXEXTRACT(C1253, ""🏘️ \w+ \w+ (.*) ✅""),'Country prepositions'!A:B, 2, 0) &amp; "" "" &amp; REGEXEXTRACT(C1253, ""🏘️ \w+ \w+ (.*) ✅"") ,  if(H1253=""quartier"",vlookup(REGEXEXTRACT(C1253, ""🏘️ \w+ \w+ (.*) ✅""),'Quartier prepositio"&amp;"ns'!A:E, 5, 0) ,  if(H1253=""region"",vlookup(REGEXEXTRACT(C1253, ""🏘️ \w+ \w+ (.*) ✅""),'Region prepositions'!B:F, 5, 0),  REGEXEXTRACT(C1253, ""🏘️ \w+ \w+ (.*) ✅""))))"),"Lantsch/Lenz")</f>
        <v>Lantsch/Lenz</v>
      </c>
      <c r="F1253" s="2" t="str">
        <f>IFERROR(__xludf.DUMMYFUNCTION("REGEXEXTRACT(C1253, ""🏘️ (\w+) \w+ .* ✅"")"),"Vendre")</f>
        <v>Vendre</v>
      </c>
      <c r="G1253" s="2" t="str">
        <f>IFERROR(__xludf.DUMMYFUNCTION("REGEXEXTRACT(C1253, ""🏘️ \w+ (\w+) .* ✅"")"),"appartement")</f>
        <v>appartement</v>
      </c>
      <c r="H1253" s="4" t="str">
        <f>IFERROR(__xludf.DUMMYFUNCTION("REGEXEXTRACT(A1253, ""/(\w+)-.*?"")"),"lieu")</f>
        <v>lieu</v>
      </c>
      <c r="I1253" s="4" t="str">
        <f>IFERROR(__xludf.DUMMYFUNCTION("if(D1253=""variant"",  substitute(filter(Templates!E:E, Templates!A:A = F1253, Templates!B:B = G1253, Templates!C:C = H1253), ""{{}}"", E1253), B1253)"),"🏘  L’appartement de vos rêves se trouve sur ImmoScout24.ch ✅ Découvrez les dernières annonces de vente à Lantsch/Lenz.")</f>
        <v>🏘  L’appartement de vos rêves se trouve sur ImmoScout24.ch ✅ Découvrez les dernières annonces de vente à Lantsch/Lenz.</v>
      </c>
      <c r="J1253" s="4" t="s">
        <v>3763</v>
      </c>
    </row>
    <row r="1254">
      <c r="A1254" s="5" t="s">
        <v>3764</v>
      </c>
      <c r="B1254" s="2" t="s">
        <v>3765</v>
      </c>
      <c r="C1254" s="4" t="str">
        <f>IFERROR(__xludf.DUMMYFUNCTION("""🏘️ ""&amp;REGEXEXTRACT(B1254, ""^(.*): "")&amp;"" ✅ "" &amp;REGEXEXTRACT(B1254, ""(Trouvez.*)"")"),"🏘️ Louer appartement Thusis ✅ Trouvez le bien immobilier qui correspond idéalement à vos désirs sur ImmoScout24 - La plateforme de l'immobilier en Suisse.")</f>
        <v>🏘️ Louer appartement Thusis ✅ Trouvez le bien immobilier qui correspond idéalement à vos désirs sur ImmoScout24 - La plateforme de l'immobilier en Suisse.</v>
      </c>
      <c r="D1254" s="4" t="str">
        <f>vlookup(A1254, Sheet2!D:E, 2, 0)</f>
        <v>variant</v>
      </c>
      <c r="E1254" s="4" t="str">
        <f>IFERROR(__xludf.DUMMYFUNCTION("if(H1254=""pays"",vlookup(REGEXEXTRACT(C1254, ""🏘️ \w+ \w+ (.*) ✅""),'Country prepositions'!A:B, 2, 0) &amp; "" "" &amp; REGEXEXTRACT(C1254, ""🏘️ \w+ \w+ (.*) ✅"") ,  if(H1254=""quartier"",vlookup(REGEXEXTRACT(C1254, ""🏘️ \w+ \w+ (.*) ✅""),'Quartier prepositio"&amp;"ns'!A:E, 5, 0) ,  if(H1254=""region"",vlookup(REGEXEXTRACT(C1254, ""🏘️ \w+ \w+ (.*) ✅""),'Region prepositions'!B:F, 5, 0),  REGEXEXTRACT(C1254, ""🏘️ \w+ \w+ (.*) ✅""))))"),"Thusis")</f>
        <v>Thusis</v>
      </c>
      <c r="F1254" s="2" t="str">
        <f>IFERROR(__xludf.DUMMYFUNCTION("REGEXEXTRACT(C1254, ""🏘️ (\w+) \w+ .* ✅"")"),"Louer")</f>
        <v>Louer</v>
      </c>
      <c r="G1254" s="2" t="str">
        <f>IFERROR(__xludf.DUMMYFUNCTION("REGEXEXTRACT(C1254, ""🏘️ \w+ (\w+) .* ✅"")"),"appartement")</f>
        <v>appartement</v>
      </c>
      <c r="H1254" s="4" t="str">
        <f>IFERROR(__xludf.DUMMYFUNCTION("REGEXEXTRACT(A1254, ""/(\w+)-.*?"")"),"lieu")</f>
        <v>lieu</v>
      </c>
      <c r="I1254" s="4" t="str">
        <f>IFERROR(__xludf.DUMMYFUNCTION("if(D1254=""variant"",  substitute(filter(Templates!E:E, Templates!A:A = F1254, Templates!B:B = G1254, Templates!C:C = H1254), ""{{}}"", E1254), B1254)"),"🏘  Vous cherchez un appartement à louer à Thusis? ✅ Les annonces les plus actuelles sont sur ImmoScout24.ch.")</f>
        <v>🏘  Vous cherchez un appartement à louer à Thusis? ✅ Les annonces les plus actuelles sont sur ImmoScout24.ch.</v>
      </c>
      <c r="J1254" s="4" t="s">
        <v>3766</v>
      </c>
    </row>
    <row r="1255">
      <c r="A1255" s="5" t="s">
        <v>3767</v>
      </c>
      <c r="B1255" s="2" t="s">
        <v>3768</v>
      </c>
      <c r="C1255" s="4" t="str">
        <f>IFERROR(__xludf.DUMMYFUNCTION("""🏘️ ""&amp;REGEXEXTRACT(B1255, ""^(.*): "")&amp;"" ✅ "" &amp;REGEXEXTRACT(B1255, ""(Trouvez.*)"")"),"🏘️ Louer appartement Villars-Epeney ✅ Trouvez le bien immobilier qui correspond idéalement à vos désirs sur ImmoScout24 - La plateforme de l'immobilier en Suisse.")</f>
        <v>🏘️ Louer appartement Villars-Epeney ✅ Trouvez le bien immobilier qui correspond idéalement à vos désirs sur ImmoScout24 - La plateforme de l'immobilier en Suisse.</v>
      </c>
      <c r="D1255" s="4" t="str">
        <f>vlookup(A1255, Sheet2!D:E, 2, 0)</f>
        <v>variant</v>
      </c>
      <c r="E1255" s="4" t="str">
        <f>IFERROR(__xludf.DUMMYFUNCTION("if(H1255=""pays"",vlookup(REGEXEXTRACT(C1255, ""🏘️ \w+ \w+ (.*) ✅""),'Country prepositions'!A:B, 2, 0) &amp; "" "" &amp; REGEXEXTRACT(C1255, ""🏘️ \w+ \w+ (.*) ✅"") ,  if(H1255=""quartier"",vlookup(REGEXEXTRACT(C1255, ""🏘️ \w+ \w+ (.*) ✅""),'Quartier prepositio"&amp;"ns'!A:E, 5, 0) ,  if(H1255=""region"",vlookup(REGEXEXTRACT(C1255, ""🏘️ \w+ \w+ (.*) ✅""),'Region prepositions'!B:F, 5, 0),  REGEXEXTRACT(C1255, ""🏘️ \w+ \w+ (.*) ✅""))))"),"Villars-Epeney")</f>
        <v>Villars-Epeney</v>
      </c>
      <c r="F1255" s="2" t="str">
        <f>IFERROR(__xludf.DUMMYFUNCTION("REGEXEXTRACT(C1255, ""🏘️ (\w+) \w+ .* ✅"")"),"Louer")</f>
        <v>Louer</v>
      </c>
      <c r="G1255" s="2" t="str">
        <f>IFERROR(__xludf.DUMMYFUNCTION("REGEXEXTRACT(C1255, ""🏘️ \w+ (\w+) .* ✅"")"),"appartement")</f>
        <v>appartement</v>
      </c>
      <c r="H1255" s="4" t="str">
        <f>IFERROR(__xludf.DUMMYFUNCTION("REGEXEXTRACT(A1255, ""/(\w+)-.*?"")"),"lieu")</f>
        <v>lieu</v>
      </c>
      <c r="I1255" s="4" t="str">
        <f>IFERROR(__xludf.DUMMYFUNCTION("if(D1255=""variant"",  substitute(filter(Templates!E:E, Templates!A:A = F1255, Templates!B:B = G1255, Templates!C:C = H1255), ""{{}}"", E1255), B1255)"),"🏘  Vous cherchez un appartement à louer à Villars-Epeney? ✅ Les annonces les plus actuelles sont sur ImmoScout24.ch.")</f>
        <v>🏘  Vous cherchez un appartement à louer à Villars-Epeney? ✅ Les annonces les plus actuelles sont sur ImmoScout24.ch.</v>
      </c>
      <c r="J1255" s="4" t="s">
        <v>3769</v>
      </c>
    </row>
    <row r="1256">
      <c r="A1256" s="5" t="s">
        <v>3770</v>
      </c>
      <c r="B1256" s="2" t="s">
        <v>3771</v>
      </c>
      <c r="C1256" s="4" t="str">
        <f>IFERROR(__xludf.DUMMYFUNCTION("""🏘️ ""&amp;REGEXEXTRACT(B1256, ""^(.*): "")&amp;"" ✅ "" &amp;REGEXEXTRACT(B1256, ""(Trouvez.*)"")"),"🏘️ Vendre appartement Territet ✅ Trouvez le bien immobilier qui correspond idéalement à vos désirs sur ImmoScout24 - La plateforme de l'immobilier en Suisse.")</f>
        <v>🏘️ Vendre appartement Territet ✅ Trouvez le bien immobilier qui correspond idéalement à vos désirs sur ImmoScout24 - La plateforme de l'immobilier en Suisse.</v>
      </c>
      <c r="D1256" s="4" t="str">
        <f>vlookup(A1256, Sheet2!D:E, 2, 0)</f>
        <v>variant</v>
      </c>
      <c r="E1256" s="4" t="str">
        <f>IFERROR(__xludf.DUMMYFUNCTION("if(H1256=""pays"",vlookup(REGEXEXTRACT(C1256, ""🏘️ \w+ \w+ (.*) ✅""),'Country prepositions'!A:B, 2, 0) &amp; "" "" &amp; REGEXEXTRACT(C1256, ""🏘️ \w+ \w+ (.*) ✅"") ,  if(H1256=""quartier"",vlookup(REGEXEXTRACT(C1256, ""🏘️ \w+ \w+ (.*) ✅""),'Quartier prepositio"&amp;"ns'!A:E, 5, 0) ,  if(H1256=""region"",vlookup(REGEXEXTRACT(C1256, ""🏘️ \w+ \w+ (.*) ✅""),'Region prepositions'!B:F, 5, 0),  REGEXEXTRACT(C1256, ""🏘️ \w+ \w+ (.*) ✅""))))"),"Territet")</f>
        <v>Territet</v>
      </c>
      <c r="F1256" s="2" t="str">
        <f>IFERROR(__xludf.DUMMYFUNCTION("REGEXEXTRACT(C1256, ""🏘️ (\w+) \w+ .* ✅"")"),"Vendre")</f>
        <v>Vendre</v>
      </c>
      <c r="G1256" s="2" t="str">
        <f>IFERROR(__xludf.DUMMYFUNCTION("REGEXEXTRACT(C1256, ""🏘️ \w+ (\w+) .* ✅"")"),"appartement")</f>
        <v>appartement</v>
      </c>
      <c r="H1256" s="4" t="str">
        <f>IFERROR(__xludf.DUMMYFUNCTION("REGEXEXTRACT(A1256, ""/(\w+)-.*?"")"),"lieu")</f>
        <v>lieu</v>
      </c>
      <c r="I1256" s="4" t="str">
        <f>IFERROR(__xludf.DUMMYFUNCTION("if(D1256=""variant"",  substitute(filter(Templates!E:E, Templates!A:A = F1256, Templates!B:B = G1256, Templates!C:C = H1256), ""{{}}"", E1256), B1256)"),"🏘  L’appartement de vos rêves se trouve sur ImmoScout24.ch ✅ Découvrez les dernières annonces de vente à Territet.")</f>
        <v>🏘  L’appartement de vos rêves se trouve sur ImmoScout24.ch ✅ Découvrez les dernières annonces de vente à Territet.</v>
      </c>
      <c r="J1256" s="4" t="s">
        <v>3772</v>
      </c>
    </row>
    <row r="1257">
      <c r="A1257" s="5" t="s">
        <v>3773</v>
      </c>
      <c r="B1257" s="2" t="s">
        <v>3774</v>
      </c>
      <c r="C1257" s="4" t="str">
        <f>IFERROR(__xludf.DUMMYFUNCTION("""🏘️ ""&amp;REGEXEXTRACT(B1257, ""^(.*): "")&amp;"" ✅ "" &amp;REGEXEXTRACT(B1257, ""(Trouvez.*)"")"),"🏘️ Louer appartement Mümliswil ✅ Trouvez le bien immobilier qui correspond idéalement à vos désirs sur ImmoScout24 - La plateforme de l'immobilier en Suisse.")</f>
        <v>🏘️ Louer appartement Mümliswil ✅ Trouvez le bien immobilier qui correspond idéalement à vos désirs sur ImmoScout24 - La plateforme de l'immobilier en Suisse.</v>
      </c>
      <c r="D1257" s="4" t="str">
        <f>vlookup(A1257, Sheet2!D:E, 2, 0)</f>
        <v>variant</v>
      </c>
      <c r="E1257" s="4" t="str">
        <f>IFERROR(__xludf.DUMMYFUNCTION("if(H1257=""pays"",vlookup(REGEXEXTRACT(C1257, ""🏘️ \w+ \w+ (.*) ✅""),'Country prepositions'!A:B, 2, 0) &amp; "" "" &amp; REGEXEXTRACT(C1257, ""🏘️ \w+ \w+ (.*) ✅"") ,  if(H1257=""quartier"",vlookup(REGEXEXTRACT(C1257, ""🏘️ \w+ \w+ (.*) ✅""),'Quartier prepositio"&amp;"ns'!A:E, 5, 0) ,  if(H1257=""region"",vlookup(REGEXEXTRACT(C1257, ""🏘️ \w+ \w+ (.*) ✅""),'Region prepositions'!B:F, 5, 0),  REGEXEXTRACT(C1257, ""🏘️ \w+ \w+ (.*) ✅""))))"),"Mümliswil")</f>
        <v>Mümliswil</v>
      </c>
      <c r="F1257" s="2" t="str">
        <f>IFERROR(__xludf.DUMMYFUNCTION("REGEXEXTRACT(C1257, ""🏘️ (\w+) \w+ .* ✅"")"),"Louer")</f>
        <v>Louer</v>
      </c>
      <c r="G1257" s="2" t="str">
        <f>IFERROR(__xludf.DUMMYFUNCTION("REGEXEXTRACT(C1257, ""🏘️ \w+ (\w+) .* ✅"")"),"appartement")</f>
        <v>appartement</v>
      </c>
      <c r="H1257" s="4" t="str">
        <f>IFERROR(__xludf.DUMMYFUNCTION("REGEXEXTRACT(A1257, ""/(\w+)-.*?"")"),"lieu")</f>
        <v>lieu</v>
      </c>
      <c r="I1257" s="4" t="str">
        <f>IFERROR(__xludf.DUMMYFUNCTION("if(D1257=""variant"",  substitute(filter(Templates!E:E, Templates!A:A = F1257, Templates!B:B = G1257, Templates!C:C = H1257), ""{{}}"", E1257), B1257)"),"🏘  Vous cherchez un appartement à louer à Mümliswil? ✅ Les annonces les plus actuelles sont sur ImmoScout24.ch.")</f>
        <v>🏘  Vous cherchez un appartement à louer à Mümliswil? ✅ Les annonces les plus actuelles sont sur ImmoScout24.ch.</v>
      </c>
      <c r="J1257" s="4" t="s">
        <v>3775</v>
      </c>
    </row>
    <row r="1258">
      <c r="A1258" s="5" t="s">
        <v>3776</v>
      </c>
      <c r="B1258" s="2" t="s">
        <v>3777</v>
      </c>
      <c r="C1258" s="4" t="str">
        <f>IFERROR(__xludf.DUMMYFUNCTION("""🏘️ ""&amp;REGEXEXTRACT(B1258, ""^(.*): "")&amp;"" ✅ "" &amp;REGEXEXTRACT(B1258, ""(Trouvez.*)"")"),"🏘️ Louer appartement Oberkirch LU ✅ Trouvez le bien immobilier qui correspond idéalement à vos désirs sur ImmoScout24 - La plateforme de l'immobilier en Suisse.")</f>
        <v>🏘️ Louer appartement Oberkirch LU ✅ Trouvez le bien immobilier qui correspond idéalement à vos désirs sur ImmoScout24 - La plateforme de l'immobilier en Suisse.</v>
      </c>
      <c r="D1258" s="4" t="str">
        <f>vlookup(A1258, Sheet2!D:E, 2, 0)</f>
        <v>variant</v>
      </c>
      <c r="E1258" s="4" t="str">
        <f>IFERROR(__xludf.DUMMYFUNCTION("if(H1258=""pays"",vlookup(REGEXEXTRACT(C1258, ""🏘️ \w+ \w+ (.*) ✅""),'Country prepositions'!A:B, 2, 0) &amp; "" "" &amp; REGEXEXTRACT(C1258, ""🏘️ \w+ \w+ (.*) ✅"") ,  if(H1258=""quartier"",vlookup(REGEXEXTRACT(C1258, ""🏘️ \w+ \w+ (.*) ✅""),'Quartier prepositio"&amp;"ns'!A:E, 5, 0) ,  if(H1258=""region"",vlookup(REGEXEXTRACT(C1258, ""🏘️ \w+ \w+ (.*) ✅""),'Region prepositions'!B:F, 5, 0),  REGEXEXTRACT(C1258, ""🏘️ \w+ \w+ (.*) ✅""))))"),"Oberkirch LU")</f>
        <v>Oberkirch LU</v>
      </c>
      <c r="F1258" s="2" t="str">
        <f>IFERROR(__xludf.DUMMYFUNCTION("REGEXEXTRACT(C1258, ""🏘️ (\w+) \w+ .* ✅"")"),"Louer")</f>
        <v>Louer</v>
      </c>
      <c r="G1258" s="2" t="str">
        <f>IFERROR(__xludf.DUMMYFUNCTION("REGEXEXTRACT(C1258, ""🏘️ \w+ (\w+) .* ✅"")"),"appartement")</f>
        <v>appartement</v>
      </c>
      <c r="H1258" s="4" t="str">
        <f>IFERROR(__xludf.DUMMYFUNCTION("REGEXEXTRACT(A1258, ""/(\w+)-.*?"")"),"lieu")</f>
        <v>lieu</v>
      </c>
      <c r="I1258" s="4" t="str">
        <f>IFERROR(__xludf.DUMMYFUNCTION("if(D1258=""variant"",  substitute(filter(Templates!E:E, Templates!A:A = F1258, Templates!B:B = G1258, Templates!C:C = H1258), ""{{}}"", E1258), B1258)"),"🏘  Vous cherchez un appartement à louer à Oberkirch LU? ✅ Les annonces les plus actuelles sont sur ImmoScout24.ch.")</f>
        <v>🏘  Vous cherchez un appartement à louer à Oberkirch LU? ✅ Les annonces les plus actuelles sont sur ImmoScout24.ch.</v>
      </c>
      <c r="J1258" s="4" t="s">
        <v>3778</v>
      </c>
    </row>
    <row r="1259">
      <c r="A1259" s="5" t="s">
        <v>3779</v>
      </c>
      <c r="B1259" s="2" t="s">
        <v>3780</v>
      </c>
      <c r="C1259" s="4" t="str">
        <f>IFERROR(__xludf.DUMMYFUNCTION("""🏘️ ""&amp;REGEXEXTRACT(B1259, ""^(.*): "")&amp;"" ✅ "" &amp;REGEXEXTRACT(B1259, ""(Trouvez.*)"")"),"🏘️ Vendre maison Suède ✅ Trouvez le bien immobilier qui correspond idéalement à vos désirs sur ImmoScout24 - La plateforme de l'immobilier en Suisse.")</f>
        <v>🏘️ Vendre maison Suède ✅ Trouvez le bien immobilier qui correspond idéalement à vos désirs sur ImmoScout24 - La plateforme de l'immobilier en Suisse.</v>
      </c>
      <c r="D1259" s="4" t="str">
        <f>vlookup(A1259, Sheet2!D:E, 2, 0)</f>
        <v>variant</v>
      </c>
      <c r="E1259" s="4" t="str">
        <f>IFERROR(__xludf.DUMMYFUNCTION("if(H1259=""pays"",vlookup(REGEXEXTRACT(C1259, ""🏘️ \w+ \w+ (.*) ✅""),'Country prepositions'!A:B, 2, 0) &amp; "" "" &amp; REGEXEXTRACT(C1259, ""🏘️ \w+ \w+ (.*) ✅"") ,  if(H1259=""quartier"",vlookup(REGEXEXTRACT(C1259, ""🏘️ \w+ \w+ (.*) ✅""),'Quartier prepositio"&amp;"ns'!A:E, 5, 0) ,  if(H1259=""region"",vlookup(REGEXEXTRACT(C1259, ""🏘️ \w+ \w+ (.*) ✅""),'Region prepositions'!B:F, 5, 0),  REGEXEXTRACT(C1259, ""🏘️ \w+ \w+ (.*) ✅""))))"),"en Suède")</f>
        <v>en Suède</v>
      </c>
      <c r="F1259" s="2" t="str">
        <f>IFERROR(__xludf.DUMMYFUNCTION("REGEXEXTRACT(C1259, ""🏘️ (\w+) \w+ .* ✅"")"),"Vendre")</f>
        <v>Vendre</v>
      </c>
      <c r="G1259" s="2" t="str">
        <f>IFERROR(__xludf.DUMMYFUNCTION("REGEXEXTRACT(C1259, ""🏘️ \w+ (\w+) .* ✅"")"),"maison")</f>
        <v>maison</v>
      </c>
      <c r="H1259" s="4" t="str">
        <f>IFERROR(__xludf.DUMMYFUNCTION("REGEXEXTRACT(A1259, ""/(\w+)-.*?"")"),"pays")</f>
        <v>pays</v>
      </c>
      <c r="I1259" s="4" t="str">
        <f>IFERROR(__xludf.DUMMYFUNCTION("if(D1259=""variant"",  substitute(filter(Templates!E:E, Templates!A:A = F1259, Templates!B:B = G1259, Templates!C:C = H1259), ""{{}}"", E1259), B1259)"),"🏘  Vous cherchez un appartement à louer en Suède? ✅ Les annonces les plus actuelles sont sur ImmoScout24.ch.")</f>
        <v>🏘  Vous cherchez un appartement à louer en Suède? ✅ Les annonces les plus actuelles sont sur ImmoScout24.ch.</v>
      </c>
      <c r="J1259" s="4" t="s">
        <v>3781</v>
      </c>
    </row>
    <row r="1260">
      <c r="A1260" s="5" t="s">
        <v>3782</v>
      </c>
      <c r="B1260" s="2" t="s">
        <v>3783</v>
      </c>
      <c r="C1260" s="4" t="str">
        <f>IFERROR(__xludf.DUMMYFUNCTION("""🏘️ ""&amp;REGEXEXTRACT(B1260, ""^(.*): "")&amp;"" ✅ "" &amp;REGEXEXTRACT(B1260, ""(Trouvez.*)"")"),"🏘️ Vendre maison Rossemaison ✅ Trouvez le bien immobilier qui correspond idéalement à vos désirs sur ImmoScout24 - La plateforme de l'immobilier en Suisse.")</f>
        <v>🏘️ Vendre maison Rossemaison ✅ Trouvez le bien immobilier qui correspond idéalement à vos désirs sur ImmoScout24 - La plateforme de l'immobilier en Suisse.</v>
      </c>
      <c r="D1260" s="4" t="str">
        <f>vlookup(A1260, Sheet2!D:E, 2, 0)</f>
        <v>variant</v>
      </c>
      <c r="E1260" s="4" t="str">
        <f>IFERROR(__xludf.DUMMYFUNCTION("if(H1260=""pays"",vlookup(REGEXEXTRACT(C1260, ""🏘️ \w+ \w+ (.*) ✅""),'Country prepositions'!A:B, 2, 0) &amp; "" "" &amp; REGEXEXTRACT(C1260, ""🏘️ \w+ \w+ (.*) ✅"") ,  if(H1260=""quartier"",vlookup(REGEXEXTRACT(C1260, ""🏘️ \w+ \w+ (.*) ✅""),'Quartier prepositio"&amp;"ns'!A:E, 5, 0) ,  if(H1260=""region"",vlookup(REGEXEXTRACT(C1260, ""🏘️ \w+ \w+ (.*) ✅""),'Region prepositions'!B:F, 5, 0),  REGEXEXTRACT(C1260, ""🏘️ \w+ \w+ (.*) ✅""))))"),"Rossemaison")</f>
        <v>Rossemaison</v>
      </c>
      <c r="F1260" s="2" t="str">
        <f>IFERROR(__xludf.DUMMYFUNCTION("REGEXEXTRACT(C1260, ""🏘️ (\w+) \w+ .* ✅"")"),"Vendre")</f>
        <v>Vendre</v>
      </c>
      <c r="G1260" s="2" t="str">
        <f>IFERROR(__xludf.DUMMYFUNCTION("REGEXEXTRACT(C1260, ""🏘️ \w+ (\w+) .* ✅"")"),"maison")</f>
        <v>maison</v>
      </c>
      <c r="H1260" s="4" t="str">
        <f>IFERROR(__xludf.DUMMYFUNCTION("REGEXEXTRACT(A1260, ""/(\w+)-.*?"")"),"lieu")</f>
        <v>lieu</v>
      </c>
      <c r="I1260" s="4" t="str">
        <f>IFERROR(__xludf.DUMMYFUNCTION("if(D1260=""variant"",  substitute(filter(Templates!E:E, Templates!A:A = F1260, Templates!B:B = G1260, Templates!C:C = H1260), ""{{}}"", E1260), B1260)"),"🏘  Vous souhaitez acheter une maison à Rossemaison? ✅ Jetez un œil aux dernières offres sur ImmoScout24.ch.")</f>
        <v>🏘  Vous souhaitez acheter une maison à Rossemaison? ✅ Jetez un œil aux dernières offres sur ImmoScout24.ch.</v>
      </c>
      <c r="J1260" s="4" t="s">
        <v>3784</v>
      </c>
    </row>
    <row r="1261">
      <c r="A1261" s="5" t="s">
        <v>3785</v>
      </c>
      <c r="B1261" s="2" t="s">
        <v>3786</v>
      </c>
      <c r="C1261" s="4" t="str">
        <f>IFERROR(__xludf.DUMMYFUNCTION("""🏘️ ""&amp;REGEXEXTRACT(B1261, ""^(.*): "")&amp;"" ✅ "" &amp;REGEXEXTRACT(B1261, ""(Trouvez.*)"")"),"🏘️ Louer appartement Tamins ✅ Trouvez le bien immobilier qui correspond idéalement à vos désirs sur ImmoScout24 - La plateforme de l'immobilier en Suisse.")</f>
        <v>🏘️ Louer appartement Tamins ✅ Trouvez le bien immobilier qui correspond idéalement à vos désirs sur ImmoScout24 - La plateforme de l'immobilier en Suisse.</v>
      </c>
      <c r="D1261" s="4" t="str">
        <f>vlookup(A1261, Sheet2!D:E, 2, 0)</f>
        <v>variant</v>
      </c>
      <c r="E1261" s="4" t="str">
        <f>IFERROR(__xludf.DUMMYFUNCTION("if(H1261=""pays"",vlookup(REGEXEXTRACT(C1261, ""🏘️ \w+ \w+ (.*) ✅""),'Country prepositions'!A:B, 2, 0) &amp; "" "" &amp; REGEXEXTRACT(C1261, ""🏘️ \w+ \w+ (.*) ✅"") ,  if(H1261=""quartier"",vlookup(REGEXEXTRACT(C1261, ""🏘️ \w+ \w+ (.*) ✅""),'Quartier prepositio"&amp;"ns'!A:E, 5, 0) ,  if(H1261=""region"",vlookup(REGEXEXTRACT(C1261, ""🏘️ \w+ \w+ (.*) ✅""),'Region prepositions'!B:F, 5, 0),  REGEXEXTRACT(C1261, ""🏘️ \w+ \w+ (.*) ✅""))))"),"Tamins")</f>
        <v>Tamins</v>
      </c>
      <c r="F1261" s="2" t="str">
        <f>IFERROR(__xludf.DUMMYFUNCTION("REGEXEXTRACT(C1261, ""🏘️ (\w+) \w+ .* ✅"")"),"Louer")</f>
        <v>Louer</v>
      </c>
      <c r="G1261" s="2" t="str">
        <f>IFERROR(__xludf.DUMMYFUNCTION("REGEXEXTRACT(C1261, ""🏘️ \w+ (\w+) .* ✅"")"),"appartement")</f>
        <v>appartement</v>
      </c>
      <c r="H1261" s="4" t="str">
        <f>IFERROR(__xludf.DUMMYFUNCTION("REGEXEXTRACT(A1261, ""/(\w+)-.*?"")"),"lieu")</f>
        <v>lieu</v>
      </c>
      <c r="I1261" s="4" t="str">
        <f>IFERROR(__xludf.DUMMYFUNCTION("if(D1261=""variant"",  substitute(filter(Templates!E:E, Templates!A:A = F1261, Templates!B:B = G1261, Templates!C:C = H1261), ""{{}}"", E1261), B1261)"),"🏘  Vous cherchez un appartement à louer à Tamins? ✅ Les annonces les plus actuelles sont sur ImmoScout24.ch.")</f>
        <v>🏘  Vous cherchez un appartement à louer à Tamins? ✅ Les annonces les plus actuelles sont sur ImmoScout24.ch.</v>
      </c>
      <c r="J1261" s="4" t="s">
        <v>3787</v>
      </c>
    </row>
    <row r="1262">
      <c r="A1262" s="5" t="s">
        <v>3788</v>
      </c>
      <c r="B1262" s="2" t="s">
        <v>3789</v>
      </c>
      <c r="C1262" s="4" t="str">
        <f>IFERROR(__xludf.DUMMYFUNCTION("""🏘️ ""&amp;REGEXEXTRACT(B1262, ""^(.*): "")&amp;"" ✅ "" &amp;REGEXEXTRACT(B1262, ""(Trouvez.*)"")"),"🏘️ Vendre maison Aarberg ✅ Trouvez le bien immobilier qui correspond idéalement à vos désirs sur ImmoScout24 - La plateforme de l'immobilier en Suisse.")</f>
        <v>🏘️ Vendre maison Aarberg ✅ Trouvez le bien immobilier qui correspond idéalement à vos désirs sur ImmoScout24 - La plateforme de l'immobilier en Suisse.</v>
      </c>
      <c r="D1262" s="4" t="str">
        <f>vlookup(A1262, Sheet2!D:E, 2, 0)</f>
        <v>variant</v>
      </c>
      <c r="E1262" s="4" t="str">
        <f>IFERROR(__xludf.DUMMYFUNCTION("if(H1262=""pays"",vlookup(REGEXEXTRACT(C1262, ""🏘️ \w+ \w+ (.*) ✅""),'Country prepositions'!A:B, 2, 0) &amp; "" "" &amp; REGEXEXTRACT(C1262, ""🏘️ \w+ \w+ (.*) ✅"") ,  if(H1262=""quartier"",vlookup(REGEXEXTRACT(C1262, ""🏘️ \w+ \w+ (.*) ✅""),'Quartier prepositio"&amp;"ns'!A:E, 5, 0) ,  if(H1262=""region"",vlookup(REGEXEXTRACT(C1262, ""🏘️ \w+ \w+ (.*) ✅""),'Region prepositions'!B:F, 5, 0),  REGEXEXTRACT(C1262, ""🏘️ \w+ \w+ (.*) ✅""))))"),"Aarberg")</f>
        <v>Aarberg</v>
      </c>
      <c r="F1262" s="2" t="str">
        <f>IFERROR(__xludf.DUMMYFUNCTION("REGEXEXTRACT(C1262, ""🏘️ (\w+) \w+ .* ✅"")"),"Vendre")</f>
        <v>Vendre</v>
      </c>
      <c r="G1262" s="2" t="str">
        <f>IFERROR(__xludf.DUMMYFUNCTION("REGEXEXTRACT(C1262, ""🏘️ \w+ (\w+) .* ✅"")"),"maison")</f>
        <v>maison</v>
      </c>
      <c r="H1262" s="4" t="str">
        <f>IFERROR(__xludf.DUMMYFUNCTION("REGEXEXTRACT(A1262, ""/(\w+)-.*?"")"),"lieu")</f>
        <v>lieu</v>
      </c>
      <c r="I1262" s="4" t="str">
        <f>IFERROR(__xludf.DUMMYFUNCTION("if(D1262=""variant"",  substitute(filter(Templates!E:E, Templates!A:A = F1262, Templates!B:B = G1262, Templates!C:C = H1262), ""{{}}"", E1262), B1262)"),"🏘  Vous souhaitez acheter une maison à Aarberg? ✅ Jetez un œil aux dernières offres sur ImmoScout24.ch.")</f>
        <v>🏘  Vous souhaitez acheter une maison à Aarberg? ✅ Jetez un œil aux dernières offres sur ImmoScout24.ch.</v>
      </c>
      <c r="J1262" s="4" t="s">
        <v>3790</v>
      </c>
    </row>
    <row r="1263">
      <c r="A1263" s="5" t="s">
        <v>3791</v>
      </c>
      <c r="B1263" s="2" t="s">
        <v>3792</v>
      </c>
      <c r="C1263" s="4" t="str">
        <f>IFERROR(__xludf.DUMMYFUNCTION("""🏘️ ""&amp;REGEXEXTRACT(B1263, ""^(.*): "")&amp;"" ✅ "" &amp;REGEXEXTRACT(B1263, ""(Trouvez.*)"")"),"🏘️ Vendre appartement Magliaso ✅ Trouvez le bien immobilier qui correspond idéalement à vos désirs sur ImmoScout24 - La plateforme de l'immobilier en Suisse.")</f>
        <v>🏘️ Vendre appartement Magliaso ✅ Trouvez le bien immobilier qui correspond idéalement à vos désirs sur ImmoScout24 - La plateforme de l'immobilier en Suisse.</v>
      </c>
      <c r="D1263" s="4" t="str">
        <f>vlookup(A1263, Sheet2!D:E, 2, 0)</f>
        <v>variant</v>
      </c>
      <c r="E1263" s="4" t="str">
        <f>IFERROR(__xludf.DUMMYFUNCTION("if(H1263=""pays"",vlookup(REGEXEXTRACT(C1263, ""🏘️ \w+ \w+ (.*) ✅""),'Country prepositions'!A:B, 2, 0) &amp; "" "" &amp; REGEXEXTRACT(C1263, ""🏘️ \w+ \w+ (.*) ✅"") ,  if(H1263=""quartier"",vlookup(REGEXEXTRACT(C1263, ""🏘️ \w+ \w+ (.*) ✅""),'Quartier prepositio"&amp;"ns'!A:E, 5, 0) ,  if(H1263=""region"",vlookup(REGEXEXTRACT(C1263, ""🏘️ \w+ \w+ (.*) ✅""),'Region prepositions'!B:F, 5, 0),  REGEXEXTRACT(C1263, ""🏘️ \w+ \w+ (.*) ✅""))))"),"Magliaso")</f>
        <v>Magliaso</v>
      </c>
      <c r="F1263" s="2" t="str">
        <f>IFERROR(__xludf.DUMMYFUNCTION("REGEXEXTRACT(C1263, ""🏘️ (\w+) \w+ .* ✅"")"),"Vendre")</f>
        <v>Vendre</v>
      </c>
      <c r="G1263" s="2" t="str">
        <f>IFERROR(__xludf.DUMMYFUNCTION("REGEXEXTRACT(C1263, ""🏘️ \w+ (\w+) .* ✅"")"),"appartement")</f>
        <v>appartement</v>
      </c>
      <c r="H1263" s="4" t="str">
        <f>IFERROR(__xludf.DUMMYFUNCTION("REGEXEXTRACT(A1263, ""/(\w+)-.*?"")"),"lieu")</f>
        <v>lieu</v>
      </c>
      <c r="I1263" s="4" t="str">
        <f>IFERROR(__xludf.DUMMYFUNCTION("if(D1263=""variant"",  substitute(filter(Templates!E:E, Templates!A:A = F1263, Templates!B:B = G1263, Templates!C:C = H1263), ""{{}}"", E1263), B1263)"),"🏘  L’appartement de vos rêves se trouve sur ImmoScout24.ch ✅ Découvrez les dernières annonces de vente à Magliaso.")</f>
        <v>🏘  L’appartement de vos rêves se trouve sur ImmoScout24.ch ✅ Découvrez les dernières annonces de vente à Magliaso.</v>
      </c>
      <c r="J1263" s="4" t="s">
        <v>3793</v>
      </c>
    </row>
    <row r="1264">
      <c r="A1264" s="5" t="s">
        <v>3794</v>
      </c>
      <c r="B1264" s="2" t="s">
        <v>3795</v>
      </c>
      <c r="C1264" s="4" t="str">
        <f>IFERROR(__xludf.DUMMYFUNCTION("""🏘️ ""&amp;REGEXEXTRACT(B1264, ""^(.*): "")&amp;"" ✅ "" &amp;REGEXEXTRACT(B1264, ""(Trouvez.*)"")"),"🏘️ Vendre maison Oberentfelden ✅ Trouvez le bien immobilier qui correspond idéalement à vos désirs sur ImmoScout24 - La plateforme de l'immobilier en Suisse.")</f>
        <v>🏘️ Vendre maison Oberentfelden ✅ Trouvez le bien immobilier qui correspond idéalement à vos désirs sur ImmoScout24 - La plateforme de l'immobilier en Suisse.</v>
      </c>
      <c r="D1264" s="4" t="str">
        <f>vlookup(A1264, Sheet2!D:E, 2, 0)</f>
        <v>variant</v>
      </c>
      <c r="E1264" s="4" t="str">
        <f>IFERROR(__xludf.DUMMYFUNCTION("if(H1264=""pays"",vlookup(REGEXEXTRACT(C1264, ""🏘️ \w+ \w+ (.*) ✅""),'Country prepositions'!A:B, 2, 0) &amp; "" "" &amp; REGEXEXTRACT(C1264, ""🏘️ \w+ \w+ (.*) ✅"") ,  if(H1264=""quartier"",vlookup(REGEXEXTRACT(C1264, ""🏘️ \w+ \w+ (.*) ✅""),'Quartier prepositio"&amp;"ns'!A:E, 5, 0) ,  if(H1264=""region"",vlookup(REGEXEXTRACT(C1264, ""🏘️ \w+ \w+ (.*) ✅""),'Region prepositions'!B:F, 5, 0),  REGEXEXTRACT(C1264, ""🏘️ \w+ \w+ (.*) ✅""))))"),"Oberentfelden")</f>
        <v>Oberentfelden</v>
      </c>
      <c r="F1264" s="2" t="str">
        <f>IFERROR(__xludf.DUMMYFUNCTION("REGEXEXTRACT(C1264, ""🏘️ (\w+) \w+ .* ✅"")"),"Vendre")</f>
        <v>Vendre</v>
      </c>
      <c r="G1264" s="2" t="str">
        <f>IFERROR(__xludf.DUMMYFUNCTION("REGEXEXTRACT(C1264, ""🏘️ \w+ (\w+) .* ✅"")"),"maison")</f>
        <v>maison</v>
      </c>
      <c r="H1264" s="4" t="str">
        <f>IFERROR(__xludf.DUMMYFUNCTION("REGEXEXTRACT(A1264, ""/(\w+)-.*?"")"),"lieu")</f>
        <v>lieu</v>
      </c>
      <c r="I1264" s="4" t="str">
        <f>IFERROR(__xludf.DUMMYFUNCTION("if(D1264=""variant"",  substitute(filter(Templates!E:E, Templates!A:A = F1264, Templates!B:B = G1264, Templates!C:C = H1264), ""{{}}"", E1264), B1264)"),"🏘  Vous souhaitez acheter une maison à Oberentfelden? ✅ Jetez un œil aux dernières offres sur ImmoScout24.ch.")</f>
        <v>🏘  Vous souhaitez acheter une maison à Oberentfelden? ✅ Jetez un œil aux dernières offres sur ImmoScout24.ch.</v>
      </c>
      <c r="J1264" s="4" t="s">
        <v>3796</v>
      </c>
    </row>
    <row r="1265">
      <c r="A1265" s="5" t="s">
        <v>3797</v>
      </c>
      <c r="B1265" s="2" t="s">
        <v>3798</v>
      </c>
      <c r="C1265" s="4" t="str">
        <f>IFERROR(__xludf.DUMMYFUNCTION("""🏘️ ""&amp;REGEXEXTRACT(B1265, ""^(.*): "")&amp;"" ✅ "" &amp;REGEXEXTRACT(B1265, ""(Trouvez.*)"")"),"🏘️ Vendre maison Auddes-sur-Riddes ✅ Trouvez le bien immobilier qui correspond idéalement à vos désirs sur ImmoScout24 - La plateforme de l'immobilier en Suisse.")</f>
        <v>🏘️ Vendre maison Auddes-sur-Riddes ✅ Trouvez le bien immobilier qui correspond idéalement à vos désirs sur ImmoScout24 - La plateforme de l'immobilier en Suisse.</v>
      </c>
      <c r="D1265" s="4" t="str">
        <f>vlookup(A1265, Sheet2!D:E, 2, 0)</f>
        <v>variant</v>
      </c>
      <c r="E1265" s="4" t="str">
        <f>IFERROR(__xludf.DUMMYFUNCTION("if(H1265=""pays"",vlookup(REGEXEXTRACT(C1265, ""🏘️ \w+ \w+ (.*) ✅""),'Country prepositions'!A:B, 2, 0) &amp; "" "" &amp; REGEXEXTRACT(C1265, ""🏘️ \w+ \w+ (.*) ✅"") ,  if(H1265=""quartier"",vlookup(REGEXEXTRACT(C1265, ""🏘️ \w+ \w+ (.*) ✅""),'Quartier prepositio"&amp;"ns'!A:E, 5, 0) ,  if(H1265=""region"",vlookup(REGEXEXTRACT(C1265, ""🏘️ \w+ \w+ (.*) ✅""),'Region prepositions'!B:F, 5, 0),  REGEXEXTRACT(C1265, ""🏘️ \w+ \w+ (.*) ✅""))))"),"Auddes-sur-Riddes")</f>
        <v>Auddes-sur-Riddes</v>
      </c>
      <c r="F1265" s="2" t="str">
        <f>IFERROR(__xludf.DUMMYFUNCTION("REGEXEXTRACT(C1265, ""🏘️ (\w+) \w+ .* ✅"")"),"Vendre")</f>
        <v>Vendre</v>
      </c>
      <c r="G1265" s="2" t="str">
        <f>IFERROR(__xludf.DUMMYFUNCTION("REGEXEXTRACT(C1265, ""🏘️ \w+ (\w+) .* ✅"")"),"maison")</f>
        <v>maison</v>
      </c>
      <c r="H1265" s="4" t="str">
        <f>IFERROR(__xludf.DUMMYFUNCTION("REGEXEXTRACT(A1265, ""/(\w+)-.*?"")"),"lieu")</f>
        <v>lieu</v>
      </c>
      <c r="I1265" s="4" t="str">
        <f>IFERROR(__xludf.DUMMYFUNCTION("if(D1265=""variant"",  substitute(filter(Templates!E:E, Templates!A:A = F1265, Templates!B:B = G1265, Templates!C:C = H1265), ""{{}}"", E1265), B1265)"),"🏘  Vous souhaitez acheter une maison à Auddes-sur-Riddes? ✅ Jetez un œil aux dernières offres sur ImmoScout24.ch.")</f>
        <v>🏘  Vous souhaitez acheter une maison à Auddes-sur-Riddes? ✅ Jetez un œil aux dernières offres sur ImmoScout24.ch.</v>
      </c>
      <c r="J1265" s="4" t="s">
        <v>3799</v>
      </c>
    </row>
    <row r="1266">
      <c r="A1266" s="5" t="s">
        <v>3800</v>
      </c>
      <c r="B1266" s="2" t="s">
        <v>3801</v>
      </c>
      <c r="C1266" s="4" t="str">
        <f>IFERROR(__xludf.DUMMYFUNCTION("""🏘️ ""&amp;REGEXEXTRACT(B1266, ""^(.*): "")&amp;"" ✅ "" &amp;REGEXEXTRACT(B1266, ""(Trouvez.*)"")"),"🏘️ Vendre appartement Wilen b. Wollerau ✅ Trouvez le bien immobilier qui correspond idéalement à vos désirs sur ImmoScout24 - La plateforme de l'immobilier en Suisse.")</f>
        <v>🏘️ Vendre appartement Wilen b. Wollerau ✅ Trouvez le bien immobilier qui correspond idéalement à vos désirs sur ImmoScout24 - La plateforme de l'immobilier en Suisse.</v>
      </c>
      <c r="D1266" s="4" t="str">
        <f>vlookup(A1266, Sheet2!D:E, 2, 0)</f>
        <v>variant</v>
      </c>
      <c r="E1266" s="4" t="str">
        <f>IFERROR(__xludf.DUMMYFUNCTION("if(H1266=""pays"",vlookup(REGEXEXTRACT(C1266, ""🏘️ \w+ \w+ (.*) ✅""),'Country prepositions'!A:B, 2, 0) &amp; "" "" &amp; REGEXEXTRACT(C1266, ""🏘️ \w+ \w+ (.*) ✅"") ,  if(H1266=""quartier"",vlookup(REGEXEXTRACT(C1266, ""🏘️ \w+ \w+ (.*) ✅""),'Quartier prepositio"&amp;"ns'!A:E, 5, 0) ,  if(H1266=""region"",vlookup(REGEXEXTRACT(C1266, ""🏘️ \w+ \w+ (.*) ✅""),'Region prepositions'!B:F, 5, 0),  REGEXEXTRACT(C1266, ""🏘️ \w+ \w+ (.*) ✅""))))"),"Wilen b. Wollerau")</f>
        <v>Wilen b. Wollerau</v>
      </c>
      <c r="F1266" s="2" t="str">
        <f>IFERROR(__xludf.DUMMYFUNCTION("REGEXEXTRACT(C1266, ""🏘️ (\w+) \w+ .* ✅"")"),"Vendre")</f>
        <v>Vendre</v>
      </c>
      <c r="G1266" s="2" t="str">
        <f>IFERROR(__xludf.DUMMYFUNCTION("REGEXEXTRACT(C1266, ""🏘️ \w+ (\w+) .* ✅"")"),"appartement")</f>
        <v>appartement</v>
      </c>
      <c r="H1266" s="4" t="str">
        <f>IFERROR(__xludf.DUMMYFUNCTION("REGEXEXTRACT(A1266, ""/(\w+)-.*?"")"),"lieu")</f>
        <v>lieu</v>
      </c>
      <c r="I1266" s="4" t="str">
        <f>IFERROR(__xludf.DUMMYFUNCTION("if(D1266=""variant"",  substitute(filter(Templates!E:E, Templates!A:A = F1266, Templates!B:B = G1266, Templates!C:C = H1266), ""{{}}"", E1266), B1266)"),"🏘  L’appartement de vos rêves se trouve sur ImmoScout24.ch ✅ Découvrez les dernières annonces de vente à Wilen b. Wollerau.")</f>
        <v>🏘  L’appartement de vos rêves se trouve sur ImmoScout24.ch ✅ Découvrez les dernières annonces de vente à Wilen b. Wollerau.</v>
      </c>
      <c r="J1266" s="4" t="s">
        <v>3802</v>
      </c>
    </row>
    <row r="1267">
      <c r="A1267" s="5" t="s">
        <v>3803</v>
      </c>
      <c r="B1267" s="2" t="s">
        <v>3804</v>
      </c>
      <c r="C1267" s="4" t="str">
        <f>IFERROR(__xludf.DUMMYFUNCTION("""🏘️ ""&amp;REGEXEXTRACT(B1267, ""^(.*): "")&amp;"" ✅ "" &amp;REGEXEXTRACT(B1267, ""(Trouvez.*)"")"),"🏘️ Vendre maison Camorino ✅ Trouvez le bien immobilier qui correspond idéalement à vos désirs sur ImmoScout24 - La plateforme de l'immobilier en Suisse.")</f>
        <v>🏘️ Vendre maison Camorino ✅ Trouvez le bien immobilier qui correspond idéalement à vos désirs sur ImmoScout24 - La plateforme de l'immobilier en Suisse.</v>
      </c>
      <c r="D1267" s="4" t="str">
        <f>vlookup(A1267, Sheet2!D:E, 2, 0)</f>
        <v>variant</v>
      </c>
      <c r="E1267" s="4" t="str">
        <f>IFERROR(__xludf.DUMMYFUNCTION("if(H1267=""pays"",vlookup(REGEXEXTRACT(C1267, ""🏘️ \w+ \w+ (.*) ✅""),'Country prepositions'!A:B, 2, 0) &amp; "" "" &amp; REGEXEXTRACT(C1267, ""🏘️ \w+ \w+ (.*) ✅"") ,  if(H1267=""quartier"",vlookup(REGEXEXTRACT(C1267, ""🏘️ \w+ \w+ (.*) ✅""),'Quartier prepositio"&amp;"ns'!A:E, 5, 0) ,  if(H1267=""region"",vlookup(REGEXEXTRACT(C1267, ""🏘️ \w+ \w+ (.*) ✅""),'Region prepositions'!B:F, 5, 0),  REGEXEXTRACT(C1267, ""🏘️ \w+ \w+ (.*) ✅""))))"),"Camorino")</f>
        <v>Camorino</v>
      </c>
      <c r="F1267" s="2" t="str">
        <f>IFERROR(__xludf.DUMMYFUNCTION("REGEXEXTRACT(C1267, ""🏘️ (\w+) \w+ .* ✅"")"),"Vendre")</f>
        <v>Vendre</v>
      </c>
      <c r="G1267" s="2" t="str">
        <f>IFERROR(__xludf.DUMMYFUNCTION("REGEXEXTRACT(C1267, ""🏘️ \w+ (\w+) .* ✅"")"),"maison")</f>
        <v>maison</v>
      </c>
      <c r="H1267" s="4" t="str">
        <f>IFERROR(__xludf.DUMMYFUNCTION("REGEXEXTRACT(A1267, ""/(\w+)-.*?"")"),"lieu")</f>
        <v>lieu</v>
      </c>
      <c r="I1267" s="4" t="str">
        <f>IFERROR(__xludf.DUMMYFUNCTION("if(D1267=""variant"",  substitute(filter(Templates!E:E, Templates!A:A = F1267, Templates!B:B = G1267, Templates!C:C = H1267), ""{{}}"", E1267), B1267)"),"🏘  Vous souhaitez acheter une maison à Camorino? ✅ Jetez un œil aux dernières offres sur ImmoScout24.ch.")</f>
        <v>🏘  Vous souhaitez acheter une maison à Camorino? ✅ Jetez un œil aux dernières offres sur ImmoScout24.ch.</v>
      </c>
      <c r="J1267" s="4" t="s">
        <v>3805</v>
      </c>
    </row>
    <row r="1268">
      <c r="A1268" s="5" t="s">
        <v>3806</v>
      </c>
      <c r="B1268" s="2" t="s">
        <v>3807</v>
      </c>
      <c r="C1268" s="4" t="str">
        <f>IFERROR(__xludf.DUMMYFUNCTION("""🏘️ ""&amp;REGEXEXTRACT(B1268, ""^(.*): "")&amp;"" ✅ "" &amp;REGEXEXTRACT(B1268, ""(Trouvez.*)"")"),"🏘️ Vendre maison Herrenschwanden ✅ Trouvez le bien immobilier qui correspond idéalement à vos désirs sur ImmoScout24 - La plateforme de l'immobilier en Suisse.")</f>
        <v>🏘️ Vendre maison Herrenschwanden ✅ Trouvez le bien immobilier qui correspond idéalement à vos désirs sur ImmoScout24 - La plateforme de l'immobilier en Suisse.</v>
      </c>
      <c r="D1268" s="4" t="str">
        <f>vlookup(A1268, Sheet2!D:E, 2, 0)</f>
        <v>variant</v>
      </c>
      <c r="E1268" s="4" t="str">
        <f>IFERROR(__xludf.DUMMYFUNCTION("if(H1268=""pays"",vlookup(REGEXEXTRACT(C1268, ""🏘️ \w+ \w+ (.*) ✅""),'Country prepositions'!A:B, 2, 0) &amp; "" "" &amp; REGEXEXTRACT(C1268, ""🏘️ \w+ \w+ (.*) ✅"") ,  if(H1268=""quartier"",vlookup(REGEXEXTRACT(C1268, ""🏘️ \w+ \w+ (.*) ✅""),'Quartier prepositio"&amp;"ns'!A:E, 5, 0) ,  if(H1268=""region"",vlookup(REGEXEXTRACT(C1268, ""🏘️ \w+ \w+ (.*) ✅""),'Region prepositions'!B:F, 5, 0),  REGEXEXTRACT(C1268, ""🏘️ \w+ \w+ (.*) ✅""))))"),"Herrenschwanden")</f>
        <v>Herrenschwanden</v>
      </c>
      <c r="F1268" s="2" t="str">
        <f>IFERROR(__xludf.DUMMYFUNCTION("REGEXEXTRACT(C1268, ""🏘️ (\w+) \w+ .* ✅"")"),"Vendre")</f>
        <v>Vendre</v>
      </c>
      <c r="G1268" s="2" t="str">
        <f>IFERROR(__xludf.DUMMYFUNCTION("REGEXEXTRACT(C1268, ""🏘️ \w+ (\w+) .* ✅"")"),"maison")</f>
        <v>maison</v>
      </c>
      <c r="H1268" s="4" t="str">
        <f>IFERROR(__xludf.DUMMYFUNCTION("REGEXEXTRACT(A1268, ""/(\w+)-.*?"")"),"lieu")</f>
        <v>lieu</v>
      </c>
      <c r="I1268" s="4" t="str">
        <f>IFERROR(__xludf.DUMMYFUNCTION("if(D1268=""variant"",  substitute(filter(Templates!E:E, Templates!A:A = F1268, Templates!B:B = G1268, Templates!C:C = H1268), ""{{}}"", E1268), B1268)"),"🏘  Vous souhaitez acheter une maison à Herrenschwanden? ✅ Jetez un œil aux dernières offres sur ImmoScout24.ch.")</f>
        <v>🏘  Vous souhaitez acheter une maison à Herrenschwanden? ✅ Jetez un œil aux dernières offres sur ImmoScout24.ch.</v>
      </c>
      <c r="J1268" s="4" t="s">
        <v>3808</v>
      </c>
    </row>
    <row r="1269">
      <c r="A1269" s="5" t="s">
        <v>3809</v>
      </c>
      <c r="B1269" s="2" t="s">
        <v>3810</v>
      </c>
      <c r="C1269" s="4" t="str">
        <f>IFERROR(__xludf.DUMMYFUNCTION("""🏘️ ""&amp;REGEXEXTRACT(B1269, ""^(.*): "")&amp;"" ✅ "" &amp;REGEXEXTRACT(B1269, ""(Trouvez.*)"")"),"🏘️ Vendre maison Gruyère - La Broye - Lac - Veveyse ✅ Trouvez le bien immobilier qui correspond idéalement à vos désirs sur ImmoScout24 - La plateforme de l'immobilier en Suisse.")</f>
        <v>🏘️ Vendre maison Gruyère - La Broye - Lac - Veveyse ✅ Trouvez le bien immobilier qui correspond idéalement à vos désirs sur ImmoScout24 - La plateforme de l'immobilier en Suisse.</v>
      </c>
      <c r="D1269" s="4" t="str">
        <f>vlookup(A1269, Sheet2!D:E, 2, 0)</f>
        <v>variant</v>
      </c>
      <c r="E1269" s="4" t="str">
        <f>IFERROR(__xludf.DUMMYFUNCTION("if(H1269=""pays"",vlookup(REGEXEXTRACT(C1269, ""🏘️ \w+ \w+ (.*) ✅""),'Country prepositions'!A:B, 2, 0) &amp; "" "" &amp; REGEXEXTRACT(C1269, ""🏘️ \w+ \w+ (.*) ✅"") ,  if(H1269=""quartier"",vlookup(REGEXEXTRACT(C1269, ""🏘️ \w+ \w+ (.*) ✅""),'Quartier prepositio"&amp;"ns'!A:E, 5, 0) ,  if(H1269=""region"",vlookup(REGEXEXTRACT(C1269, ""🏘️ \w+ \w+ (.*) ✅""),'Region prepositions'!B:F, 5, 0),  REGEXEXTRACT(C1269, ""🏘️ \w+ \w+ (.*) ✅""))))"),"dans les districts de Gruyère - La Broye - Lac - Veveyse")</f>
        <v>dans les districts de Gruyère - La Broye - Lac - Veveyse</v>
      </c>
      <c r="F1269" s="2" t="str">
        <f>IFERROR(__xludf.DUMMYFUNCTION("REGEXEXTRACT(C1269, ""🏘️ (\w+) \w+ .* ✅"")"),"Vendre")</f>
        <v>Vendre</v>
      </c>
      <c r="G1269" s="2" t="str">
        <f>IFERROR(__xludf.DUMMYFUNCTION("REGEXEXTRACT(C1269, ""🏘️ \w+ (\w+) .* ✅"")"),"maison")</f>
        <v>maison</v>
      </c>
      <c r="H1269" s="4" t="str">
        <f>IFERROR(__xludf.DUMMYFUNCTION("REGEXEXTRACT(A1269, ""/(\w+)-.*?"")"),"region")</f>
        <v>region</v>
      </c>
      <c r="I1269" s="4" t="str">
        <f>IFERROR(__xludf.DUMMYFUNCTION("if(D1269=""variant"",  substitute(filter(Templates!E:E, Templates!A:A = F1269, Templates!B:B = G1269, Templates!C:C = H1269), ""{{}}"", E1269), B1269)"),"🏘  Vous souhaitez acheter une maison dans les districts de Gruyère - La Broye - Lac - Veveyse? ✅ Jetez un œil aux dernières offres sur ImmoScout24.ch.")</f>
        <v>🏘  Vous souhaitez acheter une maison dans les districts de Gruyère - La Broye - Lac - Veveyse? ✅ Jetez un œil aux dernières offres sur ImmoScout24.ch.</v>
      </c>
      <c r="J1269" s="4" t="s">
        <v>3811</v>
      </c>
    </row>
    <row r="1270">
      <c r="A1270" s="5" t="s">
        <v>3812</v>
      </c>
      <c r="B1270" s="2" t="s">
        <v>3813</v>
      </c>
      <c r="C1270" s="4" t="str">
        <f>IFERROR(__xludf.DUMMYFUNCTION("""🏘️ ""&amp;REGEXEXTRACT(B1270, ""^(.*): "")&amp;"" ✅ "" &amp;REGEXEXTRACT(B1270, ""(Trouvez.*)"")"),"🏘️ Louer maison Mézières VD ✅ Trouvez le bien immobilier qui correspond idéalement à vos désirs sur ImmoScout24 - La plateforme de l'immobilier en Suisse.")</f>
        <v>🏘️ Louer maison Mézières VD ✅ Trouvez le bien immobilier qui correspond idéalement à vos désirs sur ImmoScout24 - La plateforme de l'immobilier en Suisse.</v>
      </c>
      <c r="D1270" s="4" t="str">
        <f>vlookup(A1270, Sheet2!D:E, 2, 0)</f>
        <v>variant</v>
      </c>
      <c r="E1270" s="4" t="str">
        <f>IFERROR(__xludf.DUMMYFUNCTION("if(H1270=""pays"",vlookup(REGEXEXTRACT(C1270, ""🏘️ \w+ \w+ (.*) ✅""),'Country prepositions'!A:B, 2, 0) &amp; "" "" &amp; REGEXEXTRACT(C1270, ""🏘️ \w+ \w+ (.*) ✅"") ,  if(H1270=""quartier"",vlookup(REGEXEXTRACT(C1270, ""🏘️ \w+ \w+ (.*) ✅""),'Quartier prepositio"&amp;"ns'!A:E, 5, 0) ,  if(H1270=""region"",vlookup(REGEXEXTRACT(C1270, ""🏘️ \w+ \w+ (.*) ✅""),'Region prepositions'!B:F, 5, 0),  REGEXEXTRACT(C1270, ""🏘️ \w+ \w+ (.*) ✅""))))"),"Mézières VD")</f>
        <v>Mézières VD</v>
      </c>
      <c r="F1270" s="2" t="str">
        <f>IFERROR(__xludf.DUMMYFUNCTION("REGEXEXTRACT(C1270, ""🏘️ (\w+) \w+ .* ✅"")"),"Louer")</f>
        <v>Louer</v>
      </c>
      <c r="G1270" s="2" t="str">
        <f>IFERROR(__xludf.DUMMYFUNCTION("REGEXEXTRACT(C1270, ""🏘️ \w+ (\w+) .* ✅"")"),"maison")</f>
        <v>maison</v>
      </c>
      <c r="H1270" s="4" t="str">
        <f>IFERROR(__xludf.DUMMYFUNCTION("REGEXEXTRACT(A1270, ""/(\w+)-.*?"")"),"lieu")</f>
        <v>lieu</v>
      </c>
      <c r="I1270" s="4" t="str">
        <f>IFERROR(__xludf.DUMMYFUNCTION("if(D1270=""variant"",  substitute(filter(Templates!E:E, Templates!A:A = F1270, Templates!B:B = G1270, Templates!C:C = H1270), ""{{}}"", E1270), B1270)"),"🏘  Vous cherchez une maison à louer à Mézières VD? ✅ Découvrez nos nombreuses annonces sur ImmoScout24.ch.")</f>
        <v>🏘  Vous cherchez une maison à louer à Mézières VD? ✅ Découvrez nos nombreuses annonces sur ImmoScout24.ch.</v>
      </c>
      <c r="J1270" s="4" t="s">
        <v>3814</v>
      </c>
    </row>
    <row r="1271">
      <c r="A1271" s="5" t="s">
        <v>3815</v>
      </c>
      <c r="B1271" s="2" t="s">
        <v>3816</v>
      </c>
      <c r="C1271" s="4" t="str">
        <f>IFERROR(__xludf.DUMMYFUNCTION("""🏘️ ""&amp;REGEXEXTRACT(B1271, ""^(.*): "")&amp;"" ✅ "" &amp;REGEXEXTRACT(B1271, ""(Trouvez.*)"")"),"🏘️ Vendre maison Vouvry ✅ Trouvez le bien immobilier qui correspond idéalement à vos désirs sur ImmoScout24 - La plateforme de l'immobilier en Suisse.")</f>
        <v>🏘️ Vendre maison Vouvry ✅ Trouvez le bien immobilier qui correspond idéalement à vos désirs sur ImmoScout24 - La plateforme de l'immobilier en Suisse.</v>
      </c>
      <c r="D1271" s="4" t="str">
        <f>vlookup(A1271, Sheet2!D:E, 2, 0)</f>
        <v>variant</v>
      </c>
      <c r="E1271" s="4" t="str">
        <f>IFERROR(__xludf.DUMMYFUNCTION("if(H1271=""pays"",vlookup(REGEXEXTRACT(C1271, ""🏘️ \w+ \w+ (.*) ✅""),'Country prepositions'!A:B, 2, 0) &amp; "" "" &amp; REGEXEXTRACT(C1271, ""🏘️ \w+ \w+ (.*) ✅"") ,  if(H1271=""quartier"",vlookup(REGEXEXTRACT(C1271, ""🏘️ \w+ \w+ (.*) ✅""),'Quartier prepositio"&amp;"ns'!A:E, 5, 0) ,  if(H1271=""region"",vlookup(REGEXEXTRACT(C1271, ""🏘️ \w+ \w+ (.*) ✅""),'Region prepositions'!B:F, 5, 0),  REGEXEXTRACT(C1271, ""🏘️ \w+ \w+ (.*) ✅""))))"),"Vouvry")</f>
        <v>Vouvry</v>
      </c>
      <c r="F1271" s="2" t="str">
        <f>IFERROR(__xludf.DUMMYFUNCTION("REGEXEXTRACT(C1271, ""🏘️ (\w+) \w+ .* ✅"")"),"Vendre")</f>
        <v>Vendre</v>
      </c>
      <c r="G1271" s="2" t="str">
        <f>IFERROR(__xludf.DUMMYFUNCTION("REGEXEXTRACT(C1271, ""🏘️ \w+ (\w+) .* ✅"")"),"maison")</f>
        <v>maison</v>
      </c>
      <c r="H1271" s="4" t="str">
        <f>IFERROR(__xludf.DUMMYFUNCTION("REGEXEXTRACT(A1271, ""/(\w+)-.*?"")"),"lieu")</f>
        <v>lieu</v>
      </c>
      <c r="I1271" s="4" t="str">
        <f>IFERROR(__xludf.DUMMYFUNCTION("if(D1271=""variant"",  substitute(filter(Templates!E:E, Templates!A:A = F1271, Templates!B:B = G1271, Templates!C:C = H1271), ""{{}}"", E1271), B1271)"),"🏘  Vous souhaitez acheter une maison à Vouvry? ✅ Jetez un œil aux dernières offres sur ImmoScout24.ch.")</f>
        <v>🏘  Vous souhaitez acheter une maison à Vouvry? ✅ Jetez un œil aux dernières offres sur ImmoScout24.ch.</v>
      </c>
      <c r="J1271" s="4" t="s">
        <v>3817</v>
      </c>
    </row>
    <row r="1272">
      <c r="A1272" s="5" t="s">
        <v>3818</v>
      </c>
      <c r="B1272" s="2" t="s">
        <v>3819</v>
      </c>
      <c r="C1272" s="4" t="str">
        <f>IFERROR(__xludf.DUMMYFUNCTION("""🏘️ ""&amp;REGEXEXTRACT(B1272, ""^(.*): "")&amp;"" ✅ "" &amp;REGEXEXTRACT(B1272, ""(Trouvez.*)"")"),"🏘️ Louer appartement Corbeyrier ✅ Trouvez le bien immobilier qui correspond idéalement à vos désirs sur ImmoScout24 - La plateforme de l'immobilier en Suisse.")</f>
        <v>🏘️ Louer appartement Corbeyrier ✅ Trouvez le bien immobilier qui correspond idéalement à vos désirs sur ImmoScout24 - La plateforme de l'immobilier en Suisse.</v>
      </c>
      <c r="D1272" s="4" t="str">
        <f>vlookup(A1272, Sheet2!D:E, 2, 0)</f>
        <v>variant</v>
      </c>
      <c r="E1272" s="4" t="str">
        <f>IFERROR(__xludf.DUMMYFUNCTION("if(H1272=""pays"",vlookup(REGEXEXTRACT(C1272, ""🏘️ \w+ \w+ (.*) ✅""),'Country prepositions'!A:B, 2, 0) &amp; "" "" &amp; REGEXEXTRACT(C1272, ""🏘️ \w+ \w+ (.*) ✅"") ,  if(H1272=""quartier"",vlookup(REGEXEXTRACT(C1272, ""🏘️ \w+ \w+ (.*) ✅""),'Quartier prepositio"&amp;"ns'!A:E, 5, 0) ,  if(H1272=""region"",vlookup(REGEXEXTRACT(C1272, ""🏘️ \w+ \w+ (.*) ✅""),'Region prepositions'!B:F, 5, 0),  REGEXEXTRACT(C1272, ""🏘️ \w+ \w+ (.*) ✅""))))"),"Corbeyrier")</f>
        <v>Corbeyrier</v>
      </c>
      <c r="F1272" s="2" t="str">
        <f>IFERROR(__xludf.DUMMYFUNCTION("REGEXEXTRACT(C1272, ""🏘️ (\w+) \w+ .* ✅"")"),"Louer")</f>
        <v>Louer</v>
      </c>
      <c r="G1272" s="2" t="str">
        <f>IFERROR(__xludf.DUMMYFUNCTION("REGEXEXTRACT(C1272, ""🏘️ \w+ (\w+) .* ✅"")"),"appartement")</f>
        <v>appartement</v>
      </c>
      <c r="H1272" s="4" t="str">
        <f>IFERROR(__xludf.DUMMYFUNCTION("REGEXEXTRACT(A1272, ""/(\w+)-.*?"")"),"lieu")</f>
        <v>lieu</v>
      </c>
      <c r="I1272" s="4" t="str">
        <f>IFERROR(__xludf.DUMMYFUNCTION("if(D1272=""variant"",  substitute(filter(Templates!E:E, Templates!A:A = F1272, Templates!B:B = G1272, Templates!C:C = H1272), ""{{}}"", E1272), B1272)"),"🏘  Vous cherchez un appartement à louer à Corbeyrier? ✅ Les annonces les plus actuelles sont sur ImmoScout24.ch.")</f>
        <v>🏘  Vous cherchez un appartement à louer à Corbeyrier? ✅ Les annonces les plus actuelles sont sur ImmoScout24.ch.</v>
      </c>
      <c r="J1272" s="4" t="s">
        <v>3820</v>
      </c>
    </row>
    <row r="1273">
      <c r="A1273" s="5" t="s">
        <v>3821</v>
      </c>
      <c r="B1273" s="2" t="s">
        <v>3822</v>
      </c>
      <c r="C1273" s="4" t="str">
        <f>IFERROR(__xludf.DUMMYFUNCTION("""🏘️ ""&amp;REGEXEXTRACT(B1273, ""^(.*): "")&amp;"" ✅ "" &amp;REGEXEXTRACT(B1273, ""(Trouvez.*)"")"),"🏘️ Vendre maison Forel (Lavaux) ✅ Trouvez le bien immobilier qui correspond idéalement à vos désirs sur ImmoScout24 - La plateforme de l'immobilier en Suisse.")</f>
        <v>🏘️ Vendre maison Forel (Lavaux) ✅ Trouvez le bien immobilier qui correspond idéalement à vos désirs sur ImmoScout24 - La plateforme de l'immobilier en Suisse.</v>
      </c>
      <c r="D1273" s="4" t="str">
        <f>vlookup(A1273, Sheet2!D:E, 2, 0)</f>
        <v>variant</v>
      </c>
      <c r="E1273" s="4" t="str">
        <f>IFERROR(__xludf.DUMMYFUNCTION("if(H1273=""pays"",vlookup(REGEXEXTRACT(C1273, ""🏘️ \w+ \w+ (.*) ✅""),'Country prepositions'!A:B, 2, 0) &amp; "" "" &amp; REGEXEXTRACT(C1273, ""🏘️ \w+ \w+ (.*) ✅"") ,  if(H1273=""quartier"",vlookup(REGEXEXTRACT(C1273, ""🏘️ \w+ \w+ (.*) ✅""),'Quartier prepositio"&amp;"ns'!A:E, 5, 0) ,  if(H1273=""region"",vlookup(REGEXEXTRACT(C1273, ""🏘️ \w+ \w+ (.*) ✅""),'Region prepositions'!B:F, 5, 0),  REGEXEXTRACT(C1273, ""🏘️ \w+ \w+ (.*) ✅""))))"),"Forel (Lavaux)")</f>
        <v>Forel (Lavaux)</v>
      </c>
      <c r="F1273" s="2" t="str">
        <f>IFERROR(__xludf.DUMMYFUNCTION("REGEXEXTRACT(C1273, ""🏘️ (\w+) \w+ .* ✅"")"),"Vendre")</f>
        <v>Vendre</v>
      </c>
      <c r="G1273" s="2" t="str">
        <f>IFERROR(__xludf.DUMMYFUNCTION("REGEXEXTRACT(C1273, ""🏘️ \w+ (\w+) .* ✅"")"),"maison")</f>
        <v>maison</v>
      </c>
      <c r="H1273" s="4" t="str">
        <f>IFERROR(__xludf.DUMMYFUNCTION("REGEXEXTRACT(A1273, ""/(\w+)-.*?"")"),"lieu")</f>
        <v>lieu</v>
      </c>
      <c r="I1273" s="4" t="str">
        <f>IFERROR(__xludf.DUMMYFUNCTION("if(D1273=""variant"",  substitute(filter(Templates!E:E, Templates!A:A = F1273, Templates!B:B = G1273, Templates!C:C = H1273), ""{{}}"", E1273), B1273)"),"🏘  Vous souhaitez acheter une maison à Forel (Lavaux)? ✅ Jetez un œil aux dernières offres sur ImmoScout24.ch.")</f>
        <v>🏘  Vous souhaitez acheter une maison à Forel (Lavaux)? ✅ Jetez un œil aux dernières offres sur ImmoScout24.ch.</v>
      </c>
      <c r="J1273" s="4" t="s">
        <v>3823</v>
      </c>
    </row>
    <row r="1274">
      <c r="A1274" s="5" t="s">
        <v>3824</v>
      </c>
      <c r="B1274" s="2" t="s">
        <v>3825</v>
      </c>
      <c r="C1274" s="4" t="str">
        <f>IFERROR(__xludf.DUMMYFUNCTION("""🏘️ ""&amp;REGEXEXTRACT(B1274, ""^(.*): "")&amp;"" ✅ "" &amp;REGEXEXTRACT(B1274, ""(Trouvez.*)"")"),"🏘️ Louer appartement Stettlen ✅ Trouvez le bien immobilier qui correspond idéalement à vos désirs sur ImmoScout24 - La plateforme de l'immobilier en Suisse.")</f>
        <v>🏘️ Louer appartement Stettlen ✅ Trouvez le bien immobilier qui correspond idéalement à vos désirs sur ImmoScout24 - La plateforme de l'immobilier en Suisse.</v>
      </c>
      <c r="D1274" s="4" t="str">
        <f>vlookup(A1274, Sheet2!D:E, 2, 0)</f>
        <v>variant</v>
      </c>
      <c r="E1274" s="4" t="str">
        <f>IFERROR(__xludf.DUMMYFUNCTION("if(H1274=""pays"",vlookup(REGEXEXTRACT(C1274, ""🏘️ \w+ \w+ (.*) ✅""),'Country prepositions'!A:B, 2, 0) &amp; "" "" &amp; REGEXEXTRACT(C1274, ""🏘️ \w+ \w+ (.*) ✅"") ,  if(H1274=""quartier"",vlookup(REGEXEXTRACT(C1274, ""🏘️ \w+ \w+ (.*) ✅""),'Quartier prepositio"&amp;"ns'!A:E, 5, 0) ,  if(H1274=""region"",vlookup(REGEXEXTRACT(C1274, ""🏘️ \w+ \w+ (.*) ✅""),'Region prepositions'!B:F, 5, 0),  REGEXEXTRACT(C1274, ""🏘️ \w+ \w+ (.*) ✅""))))"),"Stettlen")</f>
        <v>Stettlen</v>
      </c>
      <c r="F1274" s="2" t="str">
        <f>IFERROR(__xludf.DUMMYFUNCTION("REGEXEXTRACT(C1274, ""🏘️ (\w+) \w+ .* ✅"")"),"Louer")</f>
        <v>Louer</v>
      </c>
      <c r="G1274" s="2" t="str">
        <f>IFERROR(__xludf.DUMMYFUNCTION("REGEXEXTRACT(C1274, ""🏘️ \w+ (\w+) .* ✅"")"),"appartement")</f>
        <v>appartement</v>
      </c>
      <c r="H1274" s="4" t="str">
        <f>IFERROR(__xludf.DUMMYFUNCTION("REGEXEXTRACT(A1274, ""/(\w+)-.*?"")"),"lieu")</f>
        <v>lieu</v>
      </c>
      <c r="I1274" s="4" t="str">
        <f>IFERROR(__xludf.DUMMYFUNCTION("if(D1274=""variant"",  substitute(filter(Templates!E:E, Templates!A:A = F1274, Templates!B:B = G1274, Templates!C:C = H1274), ""{{}}"", E1274), B1274)"),"🏘  Vous cherchez un appartement à louer à Stettlen? ✅ Les annonces les plus actuelles sont sur ImmoScout24.ch.")</f>
        <v>🏘  Vous cherchez un appartement à louer à Stettlen? ✅ Les annonces les plus actuelles sont sur ImmoScout24.ch.</v>
      </c>
      <c r="J1274" s="4" t="s">
        <v>3826</v>
      </c>
    </row>
    <row r="1275">
      <c r="A1275" s="5" t="s">
        <v>3827</v>
      </c>
      <c r="B1275" s="2" t="s">
        <v>3828</v>
      </c>
      <c r="C1275" s="4" t="str">
        <f>IFERROR(__xludf.DUMMYFUNCTION("""🏘️ ""&amp;REGEXEXTRACT(B1275, ""^(.*): "")&amp;"" ✅ "" &amp;REGEXEXTRACT(B1275, ""(Trouvez.*)"")"),"🏘️ Vendre maison Levron ✅ Trouvez le bien immobilier qui correspond idéalement à vos désirs sur ImmoScout24 - La plateforme de l'immobilier en Suisse.")</f>
        <v>🏘️ Vendre maison Levron ✅ Trouvez le bien immobilier qui correspond idéalement à vos désirs sur ImmoScout24 - La plateforme de l'immobilier en Suisse.</v>
      </c>
      <c r="D1275" s="4" t="str">
        <f>vlookup(A1275, Sheet2!D:E, 2, 0)</f>
        <v>variant</v>
      </c>
      <c r="E1275" s="4" t="str">
        <f>IFERROR(__xludf.DUMMYFUNCTION("if(H1275=""pays"",vlookup(REGEXEXTRACT(C1275, ""🏘️ \w+ \w+ (.*) ✅""),'Country prepositions'!A:B, 2, 0) &amp; "" "" &amp; REGEXEXTRACT(C1275, ""🏘️ \w+ \w+ (.*) ✅"") ,  if(H1275=""quartier"",vlookup(REGEXEXTRACT(C1275, ""🏘️ \w+ \w+ (.*) ✅""),'Quartier prepositio"&amp;"ns'!A:E, 5, 0) ,  if(H1275=""region"",vlookup(REGEXEXTRACT(C1275, ""🏘️ \w+ \w+ (.*) ✅""),'Region prepositions'!B:F, 5, 0),  REGEXEXTRACT(C1275, ""🏘️ \w+ \w+ (.*) ✅""))))"),"Levron")</f>
        <v>Levron</v>
      </c>
      <c r="F1275" s="2" t="str">
        <f>IFERROR(__xludf.DUMMYFUNCTION("REGEXEXTRACT(C1275, ""🏘️ (\w+) \w+ .* ✅"")"),"Vendre")</f>
        <v>Vendre</v>
      </c>
      <c r="G1275" s="2" t="str">
        <f>IFERROR(__xludf.DUMMYFUNCTION("REGEXEXTRACT(C1275, ""🏘️ \w+ (\w+) .* ✅"")"),"maison")</f>
        <v>maison</v>
      </c>
      <c r="H1275" s="4" t="str">
        <f>IFERROR(__xludf.DUMMYFUNCTION("REGEXEXTRACT(A1275, ""/(\w+)-.*?"")"),"lieu")</f>
        <v>lieu</v>
      </c>
      <c r="I1275" s="4" t="str">
        <f>IFERROR(__xludf.DUMMYFUNCTION("if(D1275=""variant"",  substitute(filter(Templates!E:E, Templates!A:A = F1275, Templates!B:B = G1275, Templates!C:C = H1275), ""{{}}"", E1275), B1275)"),"🏘  Vous souhaitez acheter une maison à Levron? ✅ Jetez un œil aux dernières offres sur ImmoScout24.ch.")</f>
        <v>🏘  Vous souhaitez acheter une maison à Levron? ✅ Jetez un œil aux dernières offres sur ImmoScout24.ch.</v>
      </c>
      <c r="J1275" s="2" t="s">
        <v>3829</v>
      </c>
    </row>
    <row r="1276">
      <c r="A1276" s="5" t="s">
        <v>3830</v>
      </c>
      <c r="B1276" s="2" t="s">
        <v>3831</v>
      </c>
      <c r="C1276" s="4" t="str">
        <f>IFERROR(__xludf.DUMMYFUNCTION("""🏘️ ""&amp;REGEXEXTRACT(B1276, ""^(.*): "")&amp;"" ✅ "" &amp;REGEXEXTRACT(B1276, ""(Trouvez.*)"")"),"🏘️ Louer appartement Vaulruz ✅ Trouvez le bien immobilier qui correspond idéalement à vos désirs sur ImmoScout24 - La plateforme de l'immobilier en Suisse.")</f>
        <v>🏘️ Louer appartement Vaulruz ✅ Trouvez le bien immobilier qui correspond idéalement à vos désirs sur ImmoScout24 - La plateforme de l'immobilier en Suisse.</v>
      </c>
      <c r="D1276" s="4" t="str">
        <f>vlookup(A1276, Sheet2!D:E, 2, 0)</f>
        <v>variant</v>
      </c>
      <c r="E1276" s="4" t="str">
        <f>IFERROR(__xludf.DUMMYFUNCTION("if(H1276=""pays"",vlookup(REGEXEXTRACT(C1276, ""🏘️ \w+ \w+ (.*) ✅""),'Country prepositions'!A:B, 2, 0) &amp; "" "" &amp; REGEXEXTRACT(C1276, ""🏘️ \w+ \w+ (.*) ✅"") ,  if(H1276=""quartier"",vlookup(REGEXEXTRACT(C1276, ""🏘️ \w+ \w+ (.*) ✅""),'Quartier prepositio"&amp;"ns'!A:E, 5, 0) ,  if(H1276=""region"",vlookup(REGEXEXTRACT(C1276, ""🏘️ \w+ \w+ (.*) ✅""),'Region prepositions'!B:F, 5, 0),  REGEXEXTRACT(C1276, ""🏘️ \w+ \w+ (.*) ✅""))))"),"Vaulruz")</f>
        <v>Vaulruz</v>
      </c>
      <c r="F1276" s="2" t="str">
        <f>IFERROR(__xludf.DUMMYFUNCTION("REGEXEXTRACT(C1276, ""🏘️ (\w+) \w+ .* ✅"")"),"Louer")</f>
        <v>Louer</v>
      </c>
      <c r="G1276" s="2" t="str">
        <f>IFERROR(__xludf.DUMMYFUNCTION("REGEXEXTRACT(C1276, ""🏘️ \w+ (\w+) .* ✅"")"),"appartement")</f>
        <v>appartement</v>
      </c>
      <c r="H1276" s="4" t="str">
        <f>IFERROR(__xludf.DUMMYFUNCTION("REGEXEXTRACT(A1276, ""/(\w+)-.*?"")"),"lieu")</f>
        <v>lieu</v>
      </c>
      <c r="I1276" s="4" t="str">
        <f>IFERROR(__xludf.DUMMYFUNCTION("if(D1276=""variant"",  substitute(filter(Templates!E:E, Templates!A:A = F1276, Templates!B:B = G1276, Templates!C:C = H1276), ""{{}}"", E1276), B1276)"),"🏘  Vous cherchez un appartement à louer à Vaulruz? ✅ Les annonces les plus actuelles sont sur ImmoScout24.ch.")</f>
        <v>🏘  Vous cherchez un appartement à louer à Vaulruz? ✅ Les annonces les plus actuelles sont sur ImmoScout24.ch.</v>
      </c>
      <c r="J1276" s="4" t="s">
        <v>3832</v>
      </c>
    </row>
    <row r="1277">
      <c r="A1277" s="5" t="s">
        <v>3833</v>
      </c>
      <c r="B1277" s="2" t="s">
        <v>3834</v>
      </c>
      <c r="C1277" s="4" t="str">
        <f>IFERROR(__xludf.DUMMYFUNCTION("""🏘️ ""&amp;REGEXEXTRACT(B1277, ""^(.*): "")&amp;"" ✅ "" &amp;REGEXEXTRACT(B1277, ""(Trouvez.*)"")"),"🏘️ Louer appartement Vaduz ✅ Trouvez le bien immobilier qui correspond idéalement à vos désirs sur ImmoScout24 - La plateforme de l'immobilier en Suisse.")</f>
        <v>🏘️ Louer appartement Vaduz ✅ Trouvez le bien immobilier qui correspond idéalement à vos désirs sur ImmoScout24 - La plateforme de l'immobilier en Suisse.</v>
      </c>
      <c r="D1277" s="4" t="str">
        <f>vlookup(A1277, Sheet2!D:E, 2, 0)</f>
        <v>variant</v>
      </c>
      <c r="E1277" s="4" t="str">
        <f>IFERROR(__xludf.DUMMYFUNCTION("if(H1277=""pays"",vlookup(REGEXEXTRACT(C1277, ""🏘️ \w+ \w+ (.*) ✅""),'Country prepositions'!A:B, 2, 0) &amp; "" "" &amp; REGEXEXTRACT(C1277, ""🏘️ \w+ \w+ (.*) ✅"") ,  if(H1277=""quartier"",vlookup(REGEXEXTRACT(C1277, ""🏘️ \w+ \w+ (.*) ✅""),'Quartier prepositio"&amp;"ns'!A:E, 5, 0) ,  if(H1277=""region"",vlookup(REGEXEXTRACT(C1277, ""🏘️ \w+ \w+ (.*) ✅""),'Region prepositions'!B:F, 5, 0),  REGEXEXTRACT(C1277, ""🏘️ \w+ \w+ (.*) ✅""))))"),"Vaduz")</f>
        <v>Vaduz</v>
      </c>
      <c r="F1277" s="2" t="str">
        <f>IFERROR(__xludf.DUMMYFUNCTION("REGEXEXTRACT(C1277, ""🏘️ (\w+) \w+ .* ✅"")"),"Louer")</f>
        <v>Louer</v>
      </c>
      <c r="G1277" s="2" t="str">
        <f>IFERROR(__xludf.DUMMYFUNCTION("REGEXEXTRACT(C1277, ""🏘️ \w+ (\w+) .* ✅"")"),"appartement")</f>
        <v>appartement</v>
      </c>
      <c r="H1277" s="4" t="str">
        <f>IFERROR(__xludf.DUMMYFUNCTION("REGEXEXTRACT(A1277, ""/(\w+)-.*?"")"),"lieu")</f>
        <v>lieu</v>
      </c>
      <c r="I1277" s="4" t="str">
        <f>IFERROR(__xludf.DUMMYFUNCTION("if(D1277=""variant"",  substitute(filter(Templates!E:E, Templates!A:A = F1277, Templates!B:B = G1277, Templates!C:C = H1277), ""{{}}"", E1277), B1277)"),"🏘  Vous cherchez un appartement à louer à Vaduz? ✅ Les annonces les plus actuelles sont sur ImmoScout24.ch.")</f>
        <v>🏘  Vous cherchez un appartement à louer à Vaduz? ✅ Les annonces les plus actuelles sont sur ImmoScout24.ch.</v>
      </c>
      <c r="J1277" s="4" t="s">
        <v>3835</v>
      </c>
    </row>
    <row r="1278">
      <c r="A1278" s="5" t="s">
        <v>3836</v>
      </c>
      <c r="B1278" s="2" t="s">
        <v>3837</v>
      </c>
      <c r="C1278" s="4" t="str">
        <f>IFERROR(__xludf.DUMMYFUNCTION("""🏘️ ""&amp;REGEXEXTRACT(B1278, ""^(.*): "")&amp;"" ✅ "" &amp;REGEXEXTRACT(B1278, ""(Trouvez.*)"")"),"🏘️ Vendre maison Mollis ✅ Trouvez le bien immobilier qui correspond idéalement à vos désirs sur ImmoScout24 - La plateforme de l'immobilier en Suisse.")</f>
        <v>🏘️ Vendre maison Mollis ✅ Trouvez le bien immobilier qui correspond idéalement à vos désirs sur ImmoScout24 - La plateforme de l'immobilier en Suisse.</v>
      </c>
      <c r="D1278" s="4" t="str">
        <f>vlookup(A1278, Sheet2!D:E, 2, 0)</f>
        <v>variant</v>
      </c>
      <c r="E1278" s="4" t="str">
        <f>IFERROR(__xludf.DUMMYFUNCTION("if(H1278=""pays"",vlookup(REGEXEXTRACT(C1278, ""🏘️ \w+ \w+ (.*) ✅""),'Country prepositions'!A:B, 2, 0) &amp; "" "" &amp; REGEXEXTRACT(C1278, ""🏘️ \w+ \w+ (.*) ✅"") ,  if(H1278=""quartier"",vlookup(REGEXEXTRACT(C1278, ""🏘️ \w+ \w+ (.*) ✅""),'Quartier prepositio"&amp;"ns'!A:E, 5, 0) ,  if(H1278=""region"",vlookup(REGEXEXTRACT(C1278, ""🏘️ \w+ \w+ (.*) ✅""),'Region prepositions'!B:F, 5, 0),  REGEXEXTRACT(C1278, ""🏘️ \w+ \w+ (.*) ✅""))))"),"Mollis")</f>
        <v>Mollis</v>
      </c>
      <c r="F1278" s="2" t="str">
        <f>IFERROR(__xludf.DUMMYFUNCTION("REGEXEXTRACT(C1278, ""🏘️ (\w+) \w+ .* ✅"")"),"Vendre")</f>
        <v>Vendre</v>
      </c>
      <c r="G1278" s="2" t="str">
        <f>IFERROR(__xludf.DUMMYFUNCTION("REGEXEXTRACT(C1278, ""🏘️ \w+ (\w+) .* ✅"")"),"maison")</f>
        <v>maison</v>
      </c>
      <c r="H1278" s="4" t="str">
        <f>IFERROR(__xludf.DUMMYFUNCTION("REGEXEXTRACT(A1278, ""/(\w+)-.*?"")"),"lieu")</f>
        <v>lieu</v>
      </c>
      <c r="I1278" s="4" t="str">
        <f>IFERROR(__xludf.DUMMYFUNCTION("if(D1278=""variant"",  substitute(filter(Templates!E:E, Templates!A:A = F1278, Templates!B:B = G1278, Templates!C:C = H1278), ""{{}}"", E1278), B1278)"),"🏘  Vous souhaitez acheter une maison à Mollis? ✅ Jetez un œil aux dernières offres sur ImmoScout24.ch.")</f>
        <v>🏘  Vous souhaitez acheter une maison à Mollis? ✅ Jetez un œil aux dernières offres sur ImmoScout24.ch.</v>
      </c>
      <c r="J1278" s="4" t="s">
        <v>3838</v>
      </c>
    </row>
    <row r="1279">
      <c r="A1279" s="5" t="s">
        <v>3839</v>
      </c>
      <c r="B1279" s="2" t="s">
        <v>3840</v>
      </c>
      <c r="C1279" s="4" t="str">
        <f>IFERROR(__xludf.DUMMYFUNCTION("""🏘️ ""&amp;REGEXEXTRACT(B1279, ""^(.*): "")&amp;"" ✅ "" &amp;REGEXEXTRACT(B1279, ""(Trouvez.*)"")"),"🏘️ Vendre maison Les Verrières ✅ Trouvez le bien immobilier qui correspond idéalement à vos désirs sur ImmoScout24 - La plateforme de l'immobilier en Suisse.")</f>
        <v>🏘️ Vendre maison Les Verrières ✅ Trouvez le bien immobilier qui correspond idéalement à vos désirs sur ImmoScout24 - La plateforme de l'immobilier en Suisse.</v>
      </c>
      <c r="D1279" s="4" t="str">
        <f>vlookup(A1279, Sheet2!D:E, 2, 0)</f>
        <v>variant</v>
      </c>
      <c r="E1279" s="4" t="str">
        <f>IFERROR(__xludf.DUMMYFUNCTION("if(H1279=""pays"",vlookup(REGEXEXTRACT(C1279, ""🏘️ \w+ \w+ (.*) ✅""),'Country prepositions'!A:B, 2, 0) &amp; "" "" &amp; REGEXEXTRACT(C1279, ""🏘️ \w+ \w+ (.*) ✅"") ,  if(H1279=""quartier"",vlookup(REGEXEXTRACT(C1279, ""🏘️ \w+ \w+ (.*) ✅""),'Quartier prepositio"&amp;"ns'!A:E, 5, 0) ,  if(H1279=""region"",vlookup(REGEXEXTRACT(C1279, ""🏘️ \w+ \w+ (.*) ✅""),'Region prepositions'!B:F, 5, 0),  REGEXEXTRACT(C1279, ""🏘️ \w+ \w+ (.*) ✅""))))"),"Les Verrières")</f>
        <v>Les Verrières</v>
      </c>
      <c r="F1279" s="2" t="str">
        <f>IFERROR(__xludf.DUMMYFUNCTION("REGEXEXTRACT(C1279, ""🏘️ (\w+) \w+ .* ✅"")"),"Vendre")</f>
        <v>Vendre</v>
      </c>
      <c r="G1279" s="2" t="str">
        <f>IFERROR(__xludf.DUMMYFUNCTION("REGEXEXTRACT(C1279, ""🏘️ \w+ (\w+) .* ✅"")"),"maison")</f>
        <v>maison</v>
      </c>
      <c r="H1279" s="4" t="str">
        <f>IFERROR(__xludf.DUMMYFUNCTION("REGEXEXTRACT(A1279, ""/(\w+)-.*?"")"),"lieu")</f>
        <v>lieu</v>
      </c>
      <c r="I1279" s="4" t="str">
        <f>IFERROR(__xludf.DUMMYFUNCTION("if(D1279=""variant"",  substitute(filter(Templates!E:E, Templates!A:A = F1279, Templates!B:B = G1279, Templates!C:C = H1279), ""{{}}"", E1279), B1279)"),"🏘  Vous souhaitez acheter une maison à Les Verrières? ✅ Jetez un œil aux dernières offres sur ImmoScout24.ch.")</f>
        <v>🏘  Vous souhaitez acheter une maison à Les Verrières? ✅ Jetez un œil aux dernières offres sur ImmoScout24.ch.</v>
      </c>
      <c r="J1279" s="2" t="s">
        <v>3841</v>
      </c>
    </row>
    <row r="1280">
      <c r="A1280" s="5" t="s">
        <v>3842</v>
      </c>
      <c r="B1280" s="2" t="s">
        <v>3843</v>
      </c>
      <c r="C1280" s="4" t="str">
        <f>IFERROR(__xludf.DUMMYFUNCTION("""🏘️ ""&amp;REGEXEXTRACT(B1280, ""^(.*): "")&amp;"" ✅ "" &amp;REGEXEXTRACT(B1280, ""(Trouvez.*)"")"),"🏘️ Louer appartement Albeuve ✅ Trouvez le bien immobilier qui correspond idéalement à vos désirs sur ImmoScout24 - La plateforme de l'immobilier en Suisse.")</f>
        <v>🏘️ Louer appartement Albeuve ✅ Trouvez le bien immobilier qui correspond idéalement à vos désirs sur ImmoScout24 - La plateforme de l'immobilier en Suisse.</v>
      </c>
      <c r="D1280" s="4" t="str">
        <f>vlookup(A1280, Sheet2!D:E, 2, 0)</f>
        <v>variant</v>
      </c>
      <c r="E1280" s="4" t="str">
        <f>IFERROR(__xludf.DUMMYFUNCTION("if(H1280=""pays"",vlookup(REGEXEXTRACT(C1280, ""🏘️ \w+ \w+ (.*) ✅""),'Country prepositions'!A:B, 2, 0) &amp; "" "" &amp; REGEXEXTRACT(C1280, ""🏘️ \w+ \w+ (.*) ✅"") ,  if(H1280=""quartier"",vlookup(REGEXEXTRACT(C1280, ""🏘️ \w+ \w+ (.*) ✅""),'Quartier prepositio"&amp;"ns'!A:E, 5, 0) ,  if(H1280=""region"",vlookup(REGEXEXTRACT(C1280, ""🏘️ \w+ \w+ (.*) ✅""),'Region prepositions'!B:F, 5, 0),  REGEXEXTRACT(C1280, ""🏘️ \w+ \w+ (.*) ✅""))))"),"Albeuve")</f>
        <v>Albeuve</v>
      </c>
      <c r="F1280" s="2" t="str">
        <f>IFERROR(__xludf.DUMMYFUNCTION("REGEXEXTRACT(C1280, ""🏘️ (\w+) \w+ .* ✅"")"),"Louer")</f>
        <v>Louer</v>
      </c>
      <c r="G1280" s="2" t="str">
        <f>IFERROR(__xludf.DUMMYFUNCTION("REGEXEXTRACT(C1280, ""🏘️ \w+ (\w+) .* ✅"")"),"appartement")</f>
        <v>appartement</v>
      </c>
      <c r="H1280" s="4" t="str">
        <f>IFERROR(__xludf.DUMMYFUNCTION("REGEXEXTRACT(A1280, ""/(\w+)-.*?"")"),"lieu")</f>
        <v>lieu</v>
      </c>
      <c r="I1280" s="4" t="str">
        <f>IFERROR(__xludf.DUMMYFUNCTION("if(D1280=""variant"",  substitute(filter(Templates!E:E, Templates!A:A = F1280, Templates!B:B = G1280, Templates!C:C = H1280), ""{{}}"", E1280), B1280)"),"🏘  Vous cherchez un appartement à louer à Albeuve? ✅ Les annonces les plus actuelles sont sur ImmoScout24.ch.")</f>
        <v>🏘  Vous cherchez un appartement à louer à Albeuve? ✅ Les annonces les plus actuelles sont sur ImmoScout24.ch.</v>
      </c>
      <c r="J1280" s="4" t="s">
        <v>3844</v>
      </c>
    </row>
    <row r="1281">
      <c r="A1281" s="5" t="s">
        <v>3845</v>
      </c>
      <c r="B1281" s="2" t="s">
        <v>3846</v>
      </c>
      <c r="C1281" s="4" t="str">
        <f>IFERROR(__xludf.DUMMYFUNCTION("""🏘️ ""&amp;REGEXEXTRACT(B1281, ""^(.*): "")&amp;"" ✅ "" &amp;REGEXEXTRACT(B1281, ""(Trouvez.*)"")"),"🏘️ Louer appartement Seftigen ✅ Trouvez le bien immobilier qui correspond idéalement à vos désirs sur ImmoScout24 - La plateforme de l'immobilier en Suisse.")</f>
        <v>🏘️ Louer appartement Seftigen ✅ Trouvez le bien immobilier qui correspond idéalement à vos désirs sur ImmoScout24 - La plateforme de l'immobilier en Suisse.</v>
      </c>
      <c r="D1281" s="4" t="str">
        <f>vlookup(A1281, Sheet2!D:E, 2, 0)</f>
        <v>variant</v>
      </c>
      <c r="E1281" s="4" t="str">
        <f>IFERROR(__xludf.DUMMYFUNCTION("if(H1281=""pays"",vlookup(REGEXEXTRACT(C1281, ""🏘️ \w+ \w+ (.*) ✅""),'Country prepositions'!A:B, 2, 0) &amp; "" "" &amp; REGEXEXTRACT(C1281, ""🏘️ \w+ \w+ (.*) ✅"") ,  if(H1281=""quartier"",vlookup(REGEXEXTRACT(C1281, ""🏘️ \w+ \w+ (.*) ✅""),'Quartier prepositio"&amp;"ns'!A:E, 5, 0) ,  if(H1281=""region"",vlookup(REGEXEXTRACT(C1281, ""🏘️ \w+ \w+ (.*) ✅""),'Region prepositions'!B:F, 5, 0),  REGEXEXTRACT(C1281, ""🏘️ \w+ \w+ (.*) ✅""))))"),"Seftigen")</f>
        <v>Seftigen</v>
      </c>
      <c r="F1281" s="2" t="str">
        <f>IFERROR(__xludf.DUMMYFUNCTION("REGEXEXTRACT(C1281, ""🏘️ (\w+) \w+ .* ✅"")"),"Louer")</f>
        <v>Louer</v>
      </c>
      <c r="G1281" s="2" t="str">
        <f>IFERROR(__xludf.DUMMYFUNCTION("REGEXEXTRACT(C1281, ""🏘️ \w+ (\w+) .* ✅"")"),"appartement")</f>
        <v>appartement</v>
      </c>
      <c r="H1281" s="4" t="str">
        <f>IFERROR(__xludf.DUMMYFUNCTION("REGEXEXTRACT(A1281, ""/(\w+)-.*?"")"),"lieu")</f>
        <v>lieu</v>
      </c>
      <c r="I1281" s="4" t="str">
        <f>IFERROR(__xludf.DUMMYFUNCTION("if(D1281=""variant"",  substitute(filter(Templates!E:E, Templates!A:A = F1281, Templates!B:B = G1281, Templates!C:C = H1281), ""{{}}"", E1281), B1281)"),"🏘  Vous cherchez un appartement à louer à Seftigen? ✅ Les annonces les plus actuelles sont sur ImmoScout24.ch.")</f>
        <v>🏘  Vous cherchez un appartement à louer à Seftigen? ✅ Les annonces les plus actuelles sont sur ImmoScout24.ch.</v>
      </c>
      <c r="J1281" s="4" t="s">
        <v>3847</v>
      </c>
    </row>
    <row r="1282">
      <c r="A1282" s="5" t="s">
        <v>3848</v>
      </c>
      <c r="B1282" s="2" t="s">
        <v>3849</v>
      </c>
      <c r="C1282" s="4" t="str">
        <f>IFERROR(__xludf.DUMMYFUNCTION("""🏘️ ""&amp;REGEXEXTRACT(B1282, ""^(.*): "")&amp;"" ✅ "" &amp;REGEXEXTRACT(B1282, ""(Trouvez.*)"")"),"🏘️ Vendre maison Wallenbuch ✅ Trouvez le bien immobilier qui correspond idéalement à vos désirs sur ImmoScout24 - La plateforme de l'immobilier en Suisse.")</f>
        <v>🏘️ Vendre maison Wallenbuch ✅ Trouvez le bien immobilier qui correspond idéalement à vos désirs sur ImmoScout24 - La plateforme de l'immobilier en Suisse.</v>
      </c>
      <c r="D1282" s="4" t="str">
        <f>vlookup(A1282, Sheet2!D:E, 2, 0)</f>
        <v>variant</v>
      </c>
      <c r="E1282" s="4" t="str">
        <f>IFERROR(__xludf.DUMMYFUNCTION("if(H1282=""pays"",vlookup(REGEXEXTRACT(C1282, ""🏘️ \w+ \w+ (.*) ✅""),'Country prepositions'!A:B, 2, 0) &amp; "" "" &amp; REGEXEXTRACT(C1282, ""🏘️ \w+ \w+ (.*) ✅"") ,  if(H1282=""quartier"",vlookup(REGEXEXTRACT(C1282, ""🏘️ \w+ \w+ (.*) ✅""),'Quartier prepositio"&amp;"ns'!A:E, 5, 0) ,  if(H1282=""region"",vlookup(REGEXEXTRACT(C1282, ""🏘️ \w+ \w+ (.*) ✅""),'Region prepositions'!B:F, 5, 0),  REGEXEXTRACT(C1282, ""🏘️ \w+ \w+ (.*) ✅""))))"),"Wallenbuch")</f>
        <v>Wallenbuch</v>
      </c>
      <c r="F1282" s="2" t="str">
        <f>IFERROR(__xludf.DUMMYFUNCTION("REGEXEXTRACT(C1282, ""🏘️ (\w+) \w+ .* ✅"")"),"Vendre")</f>
        <v>Vendre</v>
      </c>
      <c r="G1282" s="2" t="str">
        <f>IFERROR(__xludf.DUMMYFUNCTION("REGEXEXTRACT(C1282, ""🏘️ \w+ (\w+) .* ✅"")"),"maison")</f>
        <v>maison</v>
      </c>
      <c r="H1282" s="4" t="str">
        <f>IFERROR(__xludf.DUMMYFUNCTION("REGEXEXTRACT(A1282, ""/(\w+)-.*?"")"),"lieu")</f>
        <v>lieu</v>
      </c>
      <c r="I1282" s="4" t="str">
        <f>IFERROR(__xludf.DUMMYFUNCTION("if(D1282=""variant"",  substitute(filter(Templates!E:E, Templates!A:A = F1282, Templates!B:B = G1282, Templates!C:C = H1282), ""{{}}"", E1282), B1282)"),"🏘  Vous souhaitez acheter une maison à Wallenbuch? ✅ Jetez un œil aux dernières offres sur ImmoScout24.ch.")</f>
        <v>🏘  Vous souhaitez acheter une maison à Wallenbuch? ✅ Jetez un œil aux dernières offres sur ImmoScout24.ch.</v>
      </c>
      <c r="J1282" s="4" t="s">
        <v>3850</v>
      </c>
    </row>
    <row r="1283">
      <c r="A1283" s="5" t="s">
        <v>3851</v>
      </c>
      <c r="B1283" s="2" t="s">
        <v>3852</v>
      </c>
      <c r="C1283" s="4" t="str">
        <f>IFERROR(__xludf.DUMMYFUNCTION("""🏘️ ""&amp;REGEXEXTRACT(B1283, ""^(.*): "")&amp;"" ✅ "" &amp;REGEXEXTRACT(B1283, ""(Trouvez.*)"")"),"🏘️ Vendre maison Grône ✅ Trouvez le bien immobilier qui correspond idéalement à vos désirs sur ImmoScout24 - La plateforme de l'immobilier en Suisse.")</f>
        <v>🏘️ Vendre maison Grône ✅ Trouvez le bien immobilier qui correspond idéalement à vos désirs sur ImmoScout24 - La plateforme de l'immobilier en Suisse.</v>
      </c>
      <c r="D1283" s="4" t="str">
        <f>vlookup(A1283, Sheet2!D:E, 2, 0)</f>
        <v>variant</v>
      </c>
      <c r="E1283" s="4" t="str">
        <f>IFERROR(__xludf.DUMMYFUNCTION("if(H1283=""pays"",vlookup(REGEXEXTRACT(C1283, ""🏘️ \w+ \w+ (.*) ✅""),'Country prepositions'!A:B, 2, 0) &amp; "" "" &amp; REGEXEXTRACT(C1283, ""🏘️ \w+ \w+ (.*) ✅"") ,  if(H1283=""quartier"",vlookup(REGEXEXTRACT(C1283, ""🏘️ \w+ \w+ (.*) ✅""),'Quartier prepositio"&amp;"ns'!A:E, 5, 0) ,  if(H1283=""region"",vlookup(REGEXEXTRACT(C1283, ""🏘️ \w+ \w+ (.*) ✅""),'Region prepositions'!B:F, 5, 0),  REGEXEXTRACT(C1283, ""🏘️ \w+ \w+ (.*) ✅""))))"),"Grône")</f>
        <v>Grône</v>
      </c>
      <c r="F1283" s="2" t="str">
        <f>IFERROR(__xludf.DUMMYFUNCTION("REGEXEXTRACT(C1283, ""🏘️ (\w+) \w+ .* ✅"")"),"Vendre")</f>
        <v>Vendre</v>
      </c>
      <c r="G1283" s="2" t="str">
        <f>IFERROR(__xludf.DUMMYFUNCTION("REGEXEXTRACT(C1283, ""🏘️ \w+ (\w+) .* ✅"")"),"maison")</f>
        <v>maison</v>
      </c>
      <c r="H1283" s="4" t="str">
        <f>IFERROR(__xludf.DUMMYFUNCTION("REGEXEXTRACT(A1283, ""/(\w+)-.*?"")"),"lieu")</f>
        <v>lieu</v>
      </c>
      <c r="I1283" s="4" t="str">
        <f>IFERROR(__xludf.DUMMYFUNCTION("if(D1283=""variant"",  substitute(filter(Templates!E:E, Templates!A:A = F1283, Templates!B:B = G1283, Templates!C:C = H1283), ""{{}}"", E1283), B1283)"),"🏘  Vous souhaitez acheter une maison à Grône? ✅ Jetez un œil aux dernières offres sur ImmoScout24.ch.")</f>
        <v>🏘  Vous souhaitez acheter une maison à Grône? ✅ Jetez un œil aux dernières offres sur ImmoScout24.ch.</v>
      </c>
      <c r="J1283" s="4" t="s">
        <v>3853</v>
      </c>
    </row>
    <row r="1284">
      <c r="A1284" s="5" t="s">
        <v>3854</v>
      </c>
      <c r="B1284" s="2" t="s">
        <v>3855</v>
      </c>
      <c r="C1284" s="4" t="str">
        <f>IFERROR(__xludf.DUMMYFUNCTION("""🏘️ ""&amp;REGEXEXTRACT(B1284, ""^(.*): "")&amp;"" ✅ "" &amp;REGEXEXTRACT(B1284, ""(Trouvez.*)"")"),"🏘️ Vendre maison Saxonne (Ayent) ✅ Trouvez le bien immobilier qui correspond idéalement à vos désirs sur ImmoScout24 - La plateforme de l'immobilier en Suisse.")</f>
        <v>🏘️ Vendre maison Saxonne (Ayent) ✅ Trouvez le bien immobilier qui correspond idéalement à vos désirs sur ImmoScout24 - La plateforme de l'immobilier en Suisse.</v>
      </c>
      <c r="D1284" s="4" t="str">
        <f>vlookup(A1284, Sheet2!D:E, 2, 0)</f>
        <v>variant</v>
      </c>
      <c r="E1284" s="4" t="str">
        <f>IFERROR(__xludf.DUMMYFUNCTION("if(H1284=""pays"",vlookup(REGEXEXTRACT(C1284, ""🏘️ \w+ \w+ (.*) ✅""),'Country prepositions'!A:B, 2, 0) &amp; "" "" &amp; REGEXEXTRACT(C1284, ""🏘️ \w+ \w+ (.*) ✅"") ,  if(H1284=""quartier"",vlookup(REGEXEXTRACT(C1284, ""🏘️ \w+ \w+ (.*) ✅""),'Quartier prepositio"&amp;"ns'!A:E, 5, 0) ,  if(H1284=""region"",vlookup(REGEXEXTRACT(C1284, ""🏘️ \w+ \w+ (.*) ✅""),'Region prepositions'!B:F, 5, 0),  REGEXEXTRACT(C1284, ""🏘️ \w+ \w+ (.*) ✅""))))"),"Saxonne (Ayent)")</f>
        <v>Saxonne (Ayent)</v>
      </c>
      <c r="F1284" s="2" t="str">
        <f>IFERROR(__xludf.DUMMYFUNCTION("REGEXEXTRACT(C1284, ""🏘️ (\w+) \w+ .* ✅"")"),"Vendre")</f>
        <v>Vendre</v>
      </c>
      <c r="G1284" s="2" t="str">
        <f>IFERROR(__xludf.DUMMYFUNCTION("REGEXEXTRACT(C1284, ""🏘️ \w+ (\w+) .* ✅"")"),"maison")</f>
        <v>maison</v>
      </c>
      <c r="H1284" s="4" t="str">
        <f>IFERROR(__xludf.DUMMYFUNCTION("REGEXEXTRACT(A1284, ""/(\w+)-.*?"")"),"lieu")</f>
        <v>lieu</v>
      </c>
      <c r="I1284" s="4" t="str">
        <f>IFERROR(__xludf.DUMMYFUNCTION("if(D1284=""variant"",  substitute(filter(Templates!E:E, Templates!A:A = F1284, Templates!B:B = G1284, Templates!C:C = H1284), ""{{}}"", E1284), B1284)"),"🏘  Vous souhaitez acheter une maison à Saxonne (Ayent)? ✅ Jetez un œil aux dernières offres sur ImmoScout24.ch.")</f>
        <v>🏘  Vous souhaitez acheter une maison à Saxonne (Ayent)? ✅ Jetez un œil aux dernières offres sur ImmoScout24.ch.</v>
      </c>
      <c r="J1284" s="4" t="s">
        <v>3856</v>
      </c>
    </row>
    <row r="1285">
      <c r="A1285" s="5" t="s">
        <v>3857</v>
      </c>
      <c r="B1285" s="2" t="s">
        <v>3858</v>
      </c>
      <c r="C1285" s="4" t="str">
        <f>IFERROR(__xludf.DUMMYFUNCTION("""🏘️ ""&amp;REGEXEXTRACT(B1285, ""^(.*): "")&amp;"" ✅ "" &amp;REGEXEXTRACT(B1285, ""(Trouvez.*)"")"),"🏘️ Louer appartement Egg b. Zürich ✅ Trouvez le bien immobilier qui correspond idéalement à vos désirs sur ImmoScout24 - La plateforme de l'immobilier en Suisse.")</f>
        <v>🏘️ Louer appartement Egg b. Zürich ✅ Trouvez le bien immobilier qui correspond idéalement à vos désirs sur ImmoScout24 - La plateforme de l'immobilier en Suisse.</v>
      </c>
      <c r="D1285" s="4" t="str">
        <f>vlookup(A1285, Sheet2!D:E, 2, 0)</f>
        <v>variant</v>
      </c>
      <c r="E1285" s="4" t="str">
        <f>IFERROR(__xludf.DUMMYFUNCTION("if(H1285=""pays"",vlookup(REGEXEXTRACT(C1285, ""🏘️ \w+ \w+ (.*) ✅""),'Country prepositions'!A:B, 2, 0) &amp; "" "" &amp; REGEXEXTRACT(C1285, ""🏘️ \w+ \w+ (.*) ✅"") ,  if(H1285=""quartier"",vlookup(REGEXEXTRACT(C1285, ""🏘️ \w+ \w+ (.*) ✅""),'Quartier prepositio"&amp;"ns'!A:E, 5, 0) ,  if(H1285=""region"",vlookup(REGEXEXTRACT(C1285, ""🏘️ \w+ \w+ (.*) ✅""),'Region prepositions'!B:F, 5, 0),  REGEXEXTRACT(C1285, ""🏘️ \w+ \w+ (.*) ✅""))))"),"Egg b. Zürich")</f>
        <v>Egg b. Zürich</v>
      </c>
      <c r="F1285" s="2" t="str">
        <f>IFERROR(__xludf.DUMMYFUNCTION("REGEXEXTRACT(C1285, ""🏘️ (\w+) \w+ .* ✅"")"),"Louer")</f>
        <v>Louer</v>
      </c>
      <c r="G1285" s="2" t="str">
        <f>IFERROR(__xludf.DUMMYFUNCTION("REGEXEXTRACT(C1285, ""🏘️ \w+ (\w+) .* ✅"")"),"appartement")</f>
        <v>appartement</v>
      </c>
      <c r="H1285" s="4" t="str">
        <f>IFERROR(__xludf.DUMMYFUNCTION("REGEXEXTRACT(A1285, ""/(\w+)-.*?"")"),"lieu")</f>
        <v>lieu</v>
      </c>
      <c r="I1285" s="4" t="str">
        <f>IFERROR(__xludf.DUMMYFUNCTION("if(D1285=""variant"",  substitute(filter(Templates!E:E, Templates!A:A = F1285, Templates!B:B = G1285, Templates!C:C = H1285), ""{{}}"", E1285), B1285)"),"🏘  Vous cherchez un appartement à louer à Egg b. Zürich? ✅ Les annonces les plus actuelles sont sur ImmoScout24.ch.")</f>
        <v>🏘  Vous cherchez un appartement à louer à Egg b. Zürich? ✅ Les annonces les plus actuelles sont sur ImmoScout24.ch.</v>
      </c>
      <c r="J1285" s="4" t="s">
        <v>3859</v>
      </c>
    </row>
    <row r="1286">
      <c r="A1286" s="5" t="s">
        <v>3860</v>
      </c>
      <c r="B1286" s="2" t="s">
        <v>3861</v>
      </c>
      <c r="C1286" s="4" t="str">
        <f>IFERROR(__xludf.DUMMYFUNCTION("""🏘️ ""&amp;REGEXEXTRACT(B1286, ""^(.*): "")&amp;"" ✅ "" &amp;REGEXEXTRACT(B1286, ""(Trouvez.*)"")"),"🏘️ Louer appartement Vernand (Lausanne) ✅ Trouvez le bien immobilier qui correspond idéalement à vos désirs sur ImmoScout24 - La plateforme de l'immobilier en Suisse.")</f>
        <v>🏘️ Louer appartement Vernand (Lausanne) ✅ Trouvez le bien immobilier qui correspond idéalement à vos désirs sur ImmoScout24 - La plateforme de l'immobilier en Suisse.</v>
      </c>
      <c r="D1286" s="4" t="str">
        <f>vlookup(A1286, Sheet2!D:E, 2, 0)</f>
        <v>variant</v>
      </c>
      <c r="E1286" s="4" t="str">
        <f>IFERROR(__xludf.DUMMYFUNCTION("if(H1286=""pays"",vlookup(REGEXEXTRACT(C1286, ""🏘️ \w+ \w+ (.*) ✅""),'Country prepositions'!A:B, 2, 0) &amp; "" "" &amp; REGEXEXTRACT(C1286, ""🏘️ \w+ \w+ (.*) ✅"") ,  if(H1286=""quartier"",vlookup(REGEXEXTRACT(C1286, ""🏘️ \w+ \w+ (.*) ✅""),'Quartier prepositio"&amp;"ns'!A:E, 5, 0) ,  if(H1286=""region"",vlookup(REGEXEXTRACT(C1286, ""🏘️ \w+ \w+ (.*) ✅""),'Region prepositions'!B:F, 5, 0),  REGEXEXTRACT(C1286, ""🏘️ \w+ \w+ (.*) ✅""))))"),"dans le quartier de Vernand (Lausanne)")</f>
        <v>dans le quartier de Vernand (Lausanne)</v>
      </c>
      <c r="F1286" s="2" t="str">
        <f>IFERROR(__xludf.DUMMYFUNCTION("REGEXEXTRACT(C1286, ""🏘️ (\w+) \w+ .* ✅"")"),"Louer")</f>
        <v>Louer</v>
      </c>
      <c r="G1286" s="2" t="str">
        <f>IFERROR(__xludf.DUMMYFUNCTION("REGEXEXTRACT(C1286, ""🏘️ \w+ (\w+) .* ✅"")"),"appartement")</f>
        <v>appartement</v>
      </c>
      <c r="H1286" s="4" t="str">
        <f>IFERROR(__xludf.DUMMYFUNCTION("REGEXEXTRACT(A1286, ""/(\w+)-.*?"")"),"quartier")</f>
        <v>quartier</v>
      </c>
      <c r="I1286" s="4" t="str">
        <f>IFERROR(__xludf.DUMMYFUNCTION("if(D1286=""variant"",  substitute(filter(Templates!E:E, Templates!A:A = F1286, Templates!B:B = G1286, Templates!C:C = H1286), ""{{}}"", E1286), B1286)"),"🏘  Vous cherchez un appartement à louer dans le quartier de Vernand (Lausanne)? ✅ Les annonces les plus actuelles sont sur ImmoScout24.ch.")</f>
        <v>🏘  Vous cherchez un appartement à louer dans le quartier de Vernand (Lausanne)? ✅ Les annonces les plus actuelles sont sur ImmoScout24.ch.</v>
      </c>
      <c r="J1286" s="4" t="s">
        <v>3862</v>
      </c>
    </row>
    <row r="1287">
      <c r="A1287" s="5" t="s">
        <v>3863</v>
      </c>
      <c r="B1287" s="2" t="s">
        <v>3864</v>
      </c>
      <c r="C1287" s="4" t="str">
        <f>IFERROR(__xludf.DUMMYFUNCTION("""🏘️ ""&amp;REGEXEXTRACT(B1287, ""^(.*): "")&amp;"" ✅ "" &amp;REGEXEXTRACT(B1287, ""(Trouvez.*)"")"),"🏘️ Louer appartement Valais Central ✅ Trouvez le bien immobilier qui correspond idéalement à vos désirs sur ImmoScout24 - La plateforme de l'immobilier en Suisse.")</f>
        <v>🏘️ Louer appartement Valais Central ✅ Trouvez le bien immobilier qui correspond idéalement à vos désirs sur ImmoScout24 - La plateforme de l'immobilier en Suisse.</v>
      </c>
      <c r="D1287" s="4" t="str">
        <f>vlookup(A1287, Sheet2!D:E, 2, 0)</f>
        <v>variant</v>
      </c>
      <c r="E1287" s="4" t="str">
        <f>IFERROR(__xludf.DUMMYFUNCTION("if(H1287=""pays"",vlookup(REGEXEXTRACT(C1287, ""🏘️ \w+ \w+ (.*) ✅""),'Country prepositions'!A:B, 2, 0) &amp; "" "" &amp; REGEXEXTRACT(C1287, ""🏘️ \w+ \w+ (.*) ✅"") ,  if(H1287=""quartier"",vlookup(REGEXEXTRACT(C1287, ""🏘️ \w+ \w+ (.*) ✅""),'Quartier prepositio"&amp;"ns'!A:E, 5, 0) ,  if(H1287=""region"",vlookup(REGEXEXTRACT(C1287, ""🏘️ \w+ \w+ (.*) ✅""),'Region prepositions'!B:F, 5, 0),  REGEXEXTRACT(C1287, ""🏘️ \w+ \w+ (.*) ✅""))))"),"en  Valais central")</f>
        <v>en  Valais central</v>
      </c>
      <c r="F1287" s="2" t="str">
        <f>IFERROR(__xludf.DUMMYFUNCTION("REGEXEXTRACT(C1287, ""🏘️ (\w+) \w+ .* ✅"")"),"Louer")</f>
        <v>Louer</v>
      </c>
      <c r="G1287" s="2" t="str">
        <f>IFERROR(__xludf.DUMMYFUNCTION("REGEXEXTRACT(C1287, ""🏘️ \w+ (\w+) .* ✅"")"),"appartement")</f>
        <v>appartement</v>
      </c>
      <c r="H1287" s="4" t="str">
        <f>IFERROR(__xludf.DUMMYFUNCTION("REGEXEXTRACT(A1287, ""/(\w+)-.*?"")"),"region")</f>
        <v>region</v>
      </c>
      <c r="I1287" s="4" t="str">
        <f>IFERROR(__xludf.DUMMYFUNCTION("if(D1287=""variant"",  substitute(filter(Templates!E:E, Templates!A:A = F1287, Templates!B:B = G1287, Templates!C:C = H1287), ""{{}}"", E1287), B1287)"),"🏘  Vous cherchez un appartement à louer en  Valais central? ✅ Les annonces les plus actuelles sont sur ImmoScout24.ch.")</f>
        <v>🏘  Vous cherchez un appartement à louer en  Valais central? ✅ Les annonces les plus actuelles sont sur ImmoScout24.ch.</v>
      </c>
      <c r="J1287" s="4" t="s">
        <v>3865</v>
      </c>
    </row>
    <row r="1288">
      <c r="A1288" s="5" t="s">
        <v>3866</v>
      </c>
      <c r="B1288" s="2" t="s">
        <v>3867</v>
      </c>
      <c r="C1288" s="4" t="str">
        <f>IFERROR(__xludf.DUMMYFUNCTION("""🏘️ ""&amp;REGEXEXTRACT(B1288, ""^(.*): "")&amp;"" ✅ "" &amp;REGEXEXTRACT(B1288, ""(Trouvez.*)"")"),"🏘️ Vendre maison Reichenbach im Kandertal ✅ Trouvez le bien immobilier qui correspond idéalement à vos désirs sur ImmoScout24 - La plateforme de l'immobilier en Suisse.")</f>
        <v>🏘️ Vendre maison Reichenbach im Kandertal ✅ Trouvez le bien immobilier qui correspond idéalement à vos désirs sur ImmoScout24 - La plateforme de l'immobilier en Suisse.</v>
      </c>
      <c r="D1288" s="4" t="str">
        <f>vlookup(A1288, Sheet2!D:E, 2, 0)</f>
        <v>variant</v>
      </c>
      <c r="E1288" s="4" t="str">
        <f>IFERROR(__xludf.DUMMYFUNCTION("if(H1288=""pays"",vlookup(REGEXEXTRACT(C1288, ""🏘️ \w+ \w+ (.*) ✅""),'Country prepositions'!A:B, 2, 0) &amp; "" "" &amp; REGEXEXTRACT(C1288, ""🏘️ \w+ \w+ (.*) ✅"") ,  if(H1288=""quartier"",vlookup(REGEXEXTRACT(C1288, ""🏘️ \w+ \w+ (.*) ✅""),'Quartier prepositio"&amp;"ns'!A:E, 5, 0) ,  if(H1288=""region"",vlookup(REGEXEXTRACT(C1288, ""🏘️ \w+ \w+ (.*) ✅""),'Region prepositions'!B:F, 5, 0),  REGEXEXTRACT(C1288, ""🏘️ \w+ \w+ (.*) ✅""))))"),"Reichenbach im Kandertal")</f>
        <v>Reichenbach im Kandertal</v>
      </c>
      <c r="F1288" s="2" t="str">
        <f>IFERROR(__xludf.DUMMYFUNCTION("REGEXEXTRACT(C1288, ""🏘️ (\w+) \w+ .* ✅"")"),"Vendre")</f>
        <v>Vendre</v>
      </c>
      <c r="G1288" s="2" t="str">
        <f>IFERROR(__xludf.DUMMYFUNCTION("REGEXEXTRACT(C1288, ""🏘️ \w+ (\w+) .* ✅"")"),"maison")</f>
        <v>maison</v>
      </c>
      <c r="H1288" s="4" t="str">
        <f>IFERROR(__xludf.DUMMYFUNCTION("REGEXEXTRACT(A1288, ""/(\w+)-.*?"")"),"lieu")</f>
        <v>lieu</v>
      </c>
      <c r="I1288" s="4" t="str">
        <f>IFERROR(__xludf.DUMMYFUNCTION("if(D1288=""variant"",  substitute(filter(Templates!E:E, Templates!A:A = F1288, Templates!B:B = G1288, Templates!C:C = H1288), ""{{}}"", E1288), B1288)"),"🏘  Vous souhaitez acheter une maison à Reichenbach im Kandertal? ✅ Jetez un œil aux dernières offres sur ImmoScout24.ch.")</f>
        <v>🏘  Vous souhaitez acheter une maison à Reichenbach im Kandertal? ✅ Jetez un œil aux dernières offres sur ImmoScout24.ch.</v>
      </c>
      <c r="J1288" s="4" t="s">
        <v>3868</v>
      </c>
    </row>
    <row r="1289">
      <c r="A1289" s="5" t="s">
        <v>3869</v>
      </c>
      <c r="B1289" s="2" t="s">
        <v>3870</v>
      </c>
      <c r="C1289" s="4" t="str">
        <f>IFERROR(__xludf.DUMMYFUNCTION("""🏘️ ""&amp;REGEXEXTRACT(B1289, ""^(.*): "")&amp;"" ✅ "" &amp;REGEXEXTRACT(B1289, ""(Trouvez.*)"")"),"🏘️ Vendre maison Montcherand ✅ Trouvez le bien immobilier qui correspond idéalement à vos désirs sur ImmoScout24 - La plateforme de l'immobilier en Suisse.")</f>
        <v>🏘️ Vendre maison Montcherand ✅ Trouvez le bien immobilier qui correspond idéalement à vos désirs sur ImmoScout24 - La plateforme de l'immobilier en Suisse.</v>
      </c>
      <c r="D1289" s="4" t="str">
        <f>vlookup(A1289, Sheet2!D:E, 2, 0)</f>
        <v>variant</v>
      </c>
      <c r="E1289" s="4" t="str">
        <f>IFERROR(__xludf.DUMMYFUNCTION("if(H1289=""pays"",vlookup(REGEXEXTRACT(C1289, ""🏘️ \w+ \w+ (.*) ✅""),'Country prepositions'!A:B, 2, 0) &amp; "" "" &amp; REGEXEXTRACT(C1289, ""🏘️ \w+ \w+ (.*) ✅"") ,  if(H1289=""quartier"",vlookup(REGEXEXTRACT(C1289, ""🏘️ \w+ \w+ (.*) ✅""),'Quartier prepositio"&amp;"ns'!A:E, 5, 0) ,  if(H1289=""region"",vlookup(REGEXEXTRACT(C1289, ""🏘️ \w+ \w+ (.*) ✅""),'Region prepositions'!B:F, 5, 0),  REGEXEXTRACT(C1289, ""🏘️ \w+ \w+ (.*) ✅""))))"),"Montcherand")</f>
        <v>Montcherand</v>
      </c>
      <c r="F1289" s="2" t="str">
        <f>IFERROR(__xludf.DUMMYFUNCTION("REGEXEXTRACT(C1289, ""🏘️ (\w+) \w+ .* ✅"")"),"Vendre")</f>
        <v>Vendre</v>
      </c>
      <c r="G1289" s="2" t="str">
        <f>IFERROR(__xludf.DUMMYFUNCTION("REGEXEXTRACT(C1289, ""🏘️ \w+ (\w+) .* ✅"")"),"maison")</f>
        <v>maison</v>
      </c>
      <c r="H1289" s="4" t="str">
        <f>IFERROR(__xludf.DUMMYFUNCTION("REGEXEXTRACT(A1289, ""/(\w+)-.*?"")"),"lieu")</f>
        <v>lieu</v>
      </c>
      <c r="I1289" s="4" t="str">
        <f>IFERROR(__xludf.DUMMYFUNCTION("if(D1289=""variant"",  substitute(filter(Templates!E:E, Templates!A:A = F1289, Templates!B:B = G1289, Templates!C:C = H1289), ""{{}}"", E1289), B1289)"),"🏘  Vous souhaitez acheter une maison à Montcherand? ✅ Jetez un œil aux dernières offres sur ImmoScout24.ch.")</f>
        <v>🏘  Vous souhaitez acheter une maison à Montcherand? ✅ Jetez un œil aux dernières offres sur ImmoScout24.ch.</v>
      </c>
      <c r="J1289" s="4" t="s">
        <v>3871</v>
      </c>
    </row>
    <row r="1290">
      <c r="A1290" s="5" t="s">
        <v>3872</v>
      </c>
      <c r="B1290" s="2" t="s">
        <v>3873</v>
      </c>
      <c r="C1290" s="4" t="str">
        <f>IFERROR(__xludf.DUMMYFUNCTION("""🏘️ ""&amp;REGEXEXTRACT(B1290, ""^(.*): "")&amp;"" ✅ "" &amp;REGEXEXTRACT(B1290, ""(Trouvez.*)"")"),"🏘️ Vendre maison St-Cierges ✅ Trouvez le bien immobilier qui correspond idéalement à vos désirs sur ImmoScout24 - La plateforme de l'immobilier en Suisse.")</f>
        <v>🏘️ Vendre maison St-Cierges ✅ Trouvez le bien immobilier qui correspond idéalement à vos désirs sur ImmoScout24 - La plateforme de l'immobilier en Suisse.</v>
      </c>
      <c r="D1290" s="4" t="str">
        <f>vlookup(A1290, Sheet2!D:E, 2, 0)</f>
        <v>variant</v>
      </c>
      <c r="E1290" s="4" t="str">
        <f>IFERROR(__xludf.DUMMYFUNCTION("if(H1290=""pays"",vlookup(REGEXEXTRACT(C1290, ""🏘️ \w+ \w+ (.*) ✅""),'Country prepositions'!A:B, 2, 0) &amp; "" "" &amp; REGEXEXTRACT(C1290, ""🏘️ \w+ \w+ (.*) ✅"") ,  if(H1290=""quartier"",vlookup(REGEXEXTRACT(C1290, ""🏘️ \w+ \w+ (.*) ✅""),'Quartier prepositio"&amp;"ns'!A:E, 5, 0) ,  if(H1290=""region"",vlookup(REGEXEXTRACT(C1290, ""🏘️ \w+ \w+ (.*) ✅""),'Region prepositions'!B:F, 5, 0),  REGEXEXTRACT(C1290, ""🏘️ \w+ \w+ (.*) ✅""))))"),"St-Cierges")</f>
        <v>St-Cierges</v>
      </c>
      <c r="F1290" s="2" t="str">
        <f>IFERROR(__xludf.DUMMYFUNCTION("REGEXEXTRACT(C1290, ""🏘️ (\w+) \w+ .* ✅"")"),"Vendre")</f>
        <v>Vendre</v>
      </c>
      <c r="G1290" s="2" t="str">
        <f>IFERROR(__xludf.DUMMYFUNCTION("REGEXEXTRACT(C1290, ""🏘️ \w+ (\w+) .* ✅"")"),"maison")</f>
        <v>maison</v>
      </c>
      <c r="H1290" s="4" t="str">
        <f>IFERROR(__xludf.DUMMYFUNCTION("REGEXEXTRACT(A1290, ""/(\w+)-.*?"")"),"lieu")</f>
        <v>lieu</v>
      </c>
      <c r="I1290" s="4" t="str">
        <f>IFERROR(__xludf.DUMMYFUNCTION("if(D1290=""variant"",  substitute(filter(Templates!E:E, Templates!A:A = F1290, Templates!B:B = G1290, Templates!C:C = H1290), ""{{}}"", E1290), B1290)"),"🏘  Vous souhaitez acheter une maison à St-Cierges? ✅ Jetez un œil aux dernières offres sur ImmoScout24.ch.")</f>
        <v>🏘  Vous souhaitez acheter une maison à St-Cierges? ✅ Jetez un œil aux dernières offres sur ImmoScout24.ch.</v>
      </c>
      <c r="J1290" s="4" t="s">
        <v>3874</v>
      </c>
    </row>
    <row r="1291">
      <c r="A1291" s="5" t="s">
        <v>3875</v>
      </c>
      <c r="B1291" s="2" t="s">
        <v>3876</v>
      </c>
      <c r="C1291" s="4" t="str">
        <f>IFERROR(__xludf.DUMMYFUNCTION("""🏘️ ""&amp;REGEXEXTRACT(B1291, ""^(.*): "")&amp;"" ✅ "" &amp;REGEXEXTRACT(B1291, ""(Trouvez.*)"")"),"🏘️ Vendre maison Winterthur ✅ Trouvez le bien immobilier qui correspond idéalement à vos désirs sur ImmoScout24 - La plateforme de l'immobilier en Suisse.")</f>
        <v>🏘️ Vendre maison Winterthur ✅ Trouvez le bien immobilier qui correspond idéalement à vos désirs sur ImmoScout24 - La plateforme de l'immobilier en Suisse.</v>
      </c>
      <c r="D1291" s="4" t="str">
        <f>vlookup(A1291, Sheet2!D:E, 2, 0)</f>
        <v>variant</v>
      </c>
      <c r="E1291" s="4" t="str">
        <f>IFERROR(__xludf.DUMMYFUNCTION("if(H1291=""pays"",vlookup(REGEXEXTRACT(C1291, ""🏘️ \w+ \w+ (.*) ✅""),'Country prepositions'!A:B, 2, 0) &amp; "" "" &amp; REGEXEXTRACT(C1291, ""🏘️ \w+ \w+ (.*) ✅"") ,  if(H1291=""quartier"",vlookup(REGEXEXTRACT(C1291, ""🏘️ \w+ \w+ (.*) ✅""),'Quartier prepositio"&amp;"ns'!A:E, 5, 0) ,  if(H1291=""region"",vlookup(REGEXEXTRACT(C1291, ""🏘️ \w+ \w+ (.*) ✅""),'Region prepositions'!B:F, 5, 0),  REGEXEXTRACT(C1291, ""🏘️ \w+ \w+ (.*) ✅""))))"),"Winterthur")</f>
        <v>Winterthur</v>
      </c>
      <c r="F1291" s="2" t="str">
        <f>IFERROR(__xludf.DUMMYFUNCTION("REGEXEXTRACT(C1291, ""🏘️ (\w+) \w+ .* ✅"")"),"Vendre")</f>
        <v>Vendre</v>
      </c>
      <c r="G1291" s="2" t="str">
        <f>IFERROR(__xludf.DUMMYFUNCTION("REGEXEXTRACT(C1291, ""🏘️ \w+ (\w+) .* ✅"")"),"maison")</f>
        <v>maison</v>
      </c>
      <c r="H1291" s="4" t="str">
        <f>IFERROR(__xludf.DUMMYFUNCTION("REGEXEXTRACT(A1291, ""/(\w+)-.*?"")"),"lieu")</f>
        <v>lieu</v>
      </c>
      <c r="I1291" s="4" t="str">
        <f>IFERROR(__xludf.DUMMYFUNCTION("if(D1291=""variant"",  substitute(filter(Templates!E:E, Templates!A:A = F1291, Templates!B:B = G1291, Templates!C:C = H1291), ""{{}}"", E1291), B1291)"),"🏘  Vous souhaitez acheter une maison à Winterthur? ✅ Jetez un œil aux dernières offres sur ImmoScout24.ch.")</f>
        <v>🏘  Vous souhaitez acheter une maison à Winterthur? ✅ Jetez un œil aux dernières offres sur ImmoScout24.ch.</v>
      </c>
      <c r="J1291" s="4" t="s">
        <v>3877</v>
      </c>
    </row>
    <row r="1292">
      <c r="A1292" s="5" t="s">
        <v>3878</v>
      </c>
      <c r="B1292" s="2" t="s">
        <v>3879</v>
      </c>
      <c r="C1292" s="4" t="str">
        <f>IFERROR(__xludf.DUMMYFUNCTION("""🏘️ ""&amp;REGEXEXTRACT(B1292, ""^(.*): "")&amp;"" ✅ "" &amp;REGEXEXTRACT(B1292, ""(Trouvez.*)"")"),"🏘️ Vendre appartement Brugg AG ✅ Trouvez le bien immobilier qui correspond idéalement à vos désirs sur ImmoScout24 - La plateforme de l'immobilier en Suisse.")</f>
        <v>🏘️ Vendre appartement Brugg AG ✅ Trouvez le bien immobilier qui correspond idéalement à vos désirs sur ImmoScout24 - La plateforme de l'immobilier en Suisse.</v>
      </c>
      <c r="D1292" s="4" t="str">
        <f>vlookup(A1292, Sheet2!D:E, 2, 0)</f>
        <v>variant</v>
      </c>
      <c r="E1292" s="4" t="str">
        <f>IFERROR(__xludf.DUMMYFUNCTION("if(H1292=""pays"",vlookup(REGEXEXTRACT(C1292, ""🏘️ \w+ \w+ (.*) ✅""),'Country prepositions'!A:B, 2, 0) &amp; "" "" &amp; REGEXEXTRACT(C1292, ""🏘️ \w+ \w+ (.*) ✅"") ,  if(H1292=""quartier"",vlookup(REGEXEXTRACT(C1292, ""🏘️ \w+ \w+ (.*) ✅""),'Quartier prepositio"&amp;"ns'!A:E, 5, 0) ,  if(H1292=""region"",vlookup(REGEXEXTRACT(C1292, ""🏘️ \w+ \w+ (.*) ✅""),'Region prepositions'!B:F, 5, 0),  REGEXEXTRACT(C1292, ""🏘️ \w+ \w+ (.*) ✅""))))"),"Brugg AG")</f>
        <v>Brugg AG</v>
      </c>
      <c r="F1292" s="2" t="str">
        <f>IFERROR(__xludf.DUMMYFUNCTION("REGEXEXTRACT(C1292, ""🏘️ (\w+) \w+ .* ✅"")"),"Vendre")</f>
        <v>Vendre</v>
      </c>
      <c r="G1292" s="2" t="str">
        <f>IFERROR(__xludf.DUMMYFUNCTION("REGEXEXTRACT(C1292, ""🏘️ \w+ (\w+) .* ✅"")"),"appartement")</f>
        <v>appartement</v>
      </c>
      <c r="H1292" s="4" t="str">
        <f>IFERROR(__xludf.DUMMYFUNCTION("REGEXEXTRACT(A1292, ""/(\w+)-.*?"")"),"lieu")</f>
        <v>lieu</v>
      </c>
      <c r="I1292" s="4" t="str">
        <f>IFERROR(__xludf.DUMMYFUNCTION("if(D1292=""variant"",  substitute(filter(Templates!E:E, Templates!A:A = F1292, Templates!B:B = G1292, Templates!C:C = H1292), ""{{}}"", E1292), B1292)"),"🏘  L’appartement de vos rêves se trouve sur ImmoScout24.ch ✅ Découvrez les dernières annonces de vente à Brugg AG.")</f>
        <v>🏘  L’appartement de vos rêves se trouve sur ImmoScout24.ch ✅ Découvrez les dernières annonces de vente à Brugg AG.</v>
      </c>
      <c r="J1292" s="4" t="s">
        <v>3880</v>
      </c>
    </row>
    <row r="1293">
      <c r="A1293" s="5" t="s">
        <v>3881</v>
      </c>
      <c r="B1293" s="2" t="s">
        <v>3882</v>
      </c>
      <c r="C1293" s="4" t="str">
        <f>IFERROR(__xludf.DUMMYFUNCTION("""🏘️ ""&amp;REGEXEXTRACT(B1293, ""^(.*): "")&amp;"" ✅ "" &amp;REGEXEXTRACT(B1293, ""(Trouvez.*)"")"),"🏘️ Vendre maison Vuibroye ✅ Trouvez le bien immobilier qui correspond idéalement à vos désirs sur ImmoScout24 - La plateforme de l'immobilier en Suisse.")</f>
        <v>🏘️ Vendre maison Vuibroye ✅ Trouvez le bien immobilier qui correspond idéalement à vos désirs sur ImmoScout24 - La plateforme de l'immobilier en Suisse.</v>
      </c>
      <c r="D1293" s="4" t="str">
        <f>vlookup(A1293, Sheet2!D:E, 2, 0)</f>
        <v>variant</v>
      </c>
      <c r="E1293" s="4" t="str">
        <f>IFERROR(__xludf.DUMMYFUNCTION("if(H1293=""pays"",vlookup(REGEXEXTRACT(C1293, ""🏘️ \w+ \w+ (.*) ✅""),'Country prepositions'!A:B, 2, 0) &amp; "" "" &amp; REGEXEXTRACT(C1293, ""🏘️ \w+ \w+ (.*) ✅"") ,  if(H1293=""quartier"",vlookup(REGEXEXTRACT(C1293, ""🏘️ \w+ \w+ (.*) ✅""),'Quartier prepositio"&amp;"ns'!A:E, 5, 0) ,  if(H1293=""region"",vlookup(REGEXEXTRACT(C1293, ""🏘️ \w+ \w+ (.*) ✅""),'Region prepositions'!B:F, 5, 0),  REGEXEXTRACT(C1293, ""🏘️ \w+ \w+ (.*) ✅""))))"),"Vuibroye")</f>
        <v>Vuibroye</v>
      </c>
      <c r="F1293" s="2" t="str">
        <f>IFERROR(__xludf.DUMMYFUNCTION("REGEXEXTRACT(C1293, ""🏘️ (\w+) \w+ .* ✅"")"),"Vendre")</f>
        <v>Vendre</v>
      </c>
      <c r="G1293" s="2" t="str">
        <f>IFERROR(__xludf.DUMMYFUNCTION("REGEXEXTRACT(C1293, ""🏘️ \w+ (\w+) .* ✅"")"),"maison")</f>
        <v>maison</v>
      </c>
      <c r="H1293" s="4" t="str">
        <f>IFERROR(__xludf.DUMMYFUNCTION("REGEXEXTRACT(A1293, ""/(\w+)-.*?"")"),"lieu")</f>
        <v>lieu</v>
      </c>
      <c r="I1293" s="4" t="str">
        <f>IFERROR(__xludf.DUMMYFUNCTION("if(D1293=""variant"",  substitute(filter(Templates!E:E, Templates!A:A = F1293, Templates!B:B = G1293, Templates!C:C = H1293), ""{{}}"", E1293), B1293)"),"🏘  Vous souhaitez acheter une maison à Vuibroye? ✅ Jetez un œil aux dernières offres sur ImmoScout24.ch.")</f>
        <v>🏘  Vous souhaitez acheter une maison à Vuibroye? ✅ Jetez un œil aux dernières offres sur ImmoScout24.ch.</v>
      </c>
      <c r="J1293" s="4" t="s">
        <v>3883</v>
      </c>
    </row>
    <row r="1294">
      <c r="A1294" s="5" t="s">
        <v>3884</v>
      </c>
      <c r="B1294" s="2" t="s">
        <v>3885</v>
      </c>
      <c r="C1294" s="4" t="str">
        <f>IFERROR(__xludf.DUMMYFUNCTION("""🏘️ ""&amp;REGEXEXTRACT(B1294, ""^(.*): "")&amp;"" ✅ "" &amp;REGEXEXTRACT(B1294, ""(Trouvez.*)"")"),"🏘️ Vendre maison Fulenbach ✅ Trouvez le bien immobilier qui correspond idéalement à vos désirs sur ImmoScout24 - La plateforme de l'immobilier en Suisse.")</f>
        <v>🏘️ Vendre maison Fulenbach ✅ Trouvez le bien immobilier qui correspond idéalement à vos désirs sur ImmoScout24 - La plateforme de l'immobilier en Suisse.</v>
      </c>
      <c r="D1294" s="4" t="str">
        <f>vlookup(A1294, Sheet2!D:E, 2, 0)</f>
        <v>variant</v>
      </c>
      <c r="E1294" s="4" t="str">
        <f>IFERROR(__xludf.DUMMYFUNCTION("if(H1294=""pays"",vlookup(REGEXEXTRACT(C1294, ""🏘️ \w+ \w+ (.*) ✅""),'Country prepositions'!A:B, 2, 0) &amp; "" "" &amp; REGEXEXTRACT(C1294, ""🏘️ \w+ \w+ (.*) ✅"") ,  if(H1294=""quartier"",vlookup(REGEXEXTRACT(C1294, ""🏘️ \w+ \w+ (.*) ✅""),'Quartier prepositio"&amp;"ns'!A:E, 5, 0) ,  if(H1294=""region"",vlookup(REGEXEXTRACT(C1294, ""🏘️ \w+ \w+ (.*) ✅""),'Region prepositions'!B:F, 5, 0),  REGEXEXTRACT(C1294, ""🏘️ \w+ \w+ (.*) ✅""))))"),"Fulenbach")</f>
        <v>Fulenbach</v>
      </c>
      <c r="F1294" s="2" t="str">
        <f>IFERROR(__xludf.DUMMYFUNCTION("REGEXEXTRACT(C1294, ""🏘️ (\w+) \w+ .* ✅"")"),"Vendre")</f>
        <v>Vendre</v>
      </c>
      <c r="G1294" s="2" t="str">
        <f>IFERROR(__xludf.DUMMYFUNCTION("REGEXEXTRACT(C1294, ""🏘️ \w+ (\w+) .* ✅"")"),"maison")</f>
        <v>maison</v>
      </c>
      <c r="H1294" s="4" t="str">
        <f>IFERROR(__xludf.DUMMYFUNCTION("REGEXEXTRACT(A1294, ""/(\w+)-.*?"")"),"lieu")</f>
        <v>lieu</v>
      </c>
      <c r="I1294" s="4" t="str">
        <f>IFERROR(__xludf.DUMMYFUNCTION("if(D1294=""variant"",  substitute(filter(Templates!E:E, Templates!A:A = F1294, Templates!B:B = G1294, Templates!C:C = H1294), ""{{}}"", E1294), B1294)"),"🏘  Vous souhaitez acheter une maison à Fulenbach? ✅ Jetez un œil aux dernières offres sur ImmoScout24.ch.")</f>
        <v>🏘  Vous souhaitez acheter une maison à Fulenbach? ✅ Jetez un œil aux dernières offres sur ImmoScout24.ch.</v>
      </c>
      <c r="J1294" s="4" t="s">
        <v>3886</v>
      </c>
    </row>
    <row r="1295">
      <c r="A1295" s="5" t="s">
        <v>3887</v>
      </c>
      <c r="B1295" s="2" t="s">
        <v>3888</v>
      </c>
      <c r="C1295" s="4" t="str">
        <f>IFERROR(__xludf.DUMMYFUNCTION("""🏘️ ""&amp;REGEXEXTRACT(B1295, ""^(.*): "")&amp;"" ✅ "" &amp;REGEXEXTRACT(B1295, ""(Trouvez.*)"")"),"🏘️ Louer appartement Martigny-Croix ✅ Trouvez le bien immobilier qui correspond idéalement à vos désirs sur ImmoScout24 - La plateforme de l'immobilier en Suisse.")</f>
        <v>🏘️ Louer appartement Martigny-Croix ✅ Trouvez le bien immobilier qui correspond idéalement à vos désirs sur ImmoScout24 - La plateforme de l'immobilier en Suisse.</v>
      </c>
      <c r="D1295" s="4" t="str">
        <f>vlookup(A1295, Sheet2!D:E, 2, 0)</f>
        <v>variant</v>
      </c>
      <c r="E1295" s="4" t="str">
        <f>IFERROR(__xludf.DUMMYFUNCTION("if(H1295=""pays"",vlookup(REGEXEXTRACT(C1295, ""🏘️ \w+ \w+ (.*) ✅""),'Country prepositions'!A:B, 2, 0) &amp; "" "" &amp; REGEXEXTRACT(C1295, ""🏘️ \w+ \w+ (.*) ✅"") ,  if(H1295=""quartier"",vlookup(REGEXEXTRACT(C1295, ""🏘️ \w+ \w+ (.*) ✅""),'Quartier prepositio"&amp;"ns'!A:E, 5, 0) ,  if(H1295=""region"",vlookup(REGEXEXTRACT(C1295, ""🏘️ \w+ \w+ (.*) ✅""),'Region prepositions'!B:F, 5, 0),  REGEXEXTRACT(C1295, ""🏘️ \w+ \w+ (.*) ✅""))))"),"Martigny-Croix")</f>
        <v>Martigny-Croix</v>
      </c>
      <c r="F1295" s="2" t="str">
        <f>IFERROR(__xludf.DUMMYFUNCTION("REGEXEXTRACT(C1295, ""🏘️ (\w+) \w+ .* ✅"")"),"Louer")</f>
        <v>Louer</v>
      </c>
      <c r="G1295" s="2" t="str">
        <f>IFERROR(__xludf.DUMMYFUNCTION("REGEXEXTRACT(C1295, ""🏘️ \w+ (\w+) .* ✅"")"),"appartement")</f>
        <v>appartement</v>
      </c>
      <c r="H1295" s="4" t="str">
        <f>IFERROR(__xludf.DUMMYFUNCTION("REGEXEXTRACT(A1295, ""/(\w+)-.*?"")"),"lieu")</f>
        <v>lieu</v>
      </c>
      <c r="I1295" s="4" t="str">
        <f>IFERROR(__xludf.DUMMYFUNCTION("if(D1295=""variant"",  substitute(filter(Templates!E:E, Templates!A:A = F1295, Templates!B:B = G1295, Templates!C:C = H1295), ""{{}}"", E1295), B1295)"),"🏘  Vous cherchez un appartement à louer à Martigny-Croix? ✅ Les annonces les plus actuelles sont sur ImmoScout24.ch.")</f>
        <v>🏘  Vous cherchez un appartement à louer à Martigny-Croix? ✅ Les annonces les plus actuelles sont sur ImmoScout24.ch.</v>
      </c>
      <c r="J1295" s="4" t="s">
        <v>3889</v>
      </c>
    </row>
    <row r="1296">
      <c r="A1296" s="5" t="s">
        <v>3890</v>
      </c>
      <c r="B1296" s="2" t="s">
        <v>3891</v>
      </c>
      <c r="C1296" s="4" t="str">
        <f>IFERROR(__xludf.DUMMYFUNCTION("""🏘️ ""&amp;REGEXEXTRACT(B1296, ""^(.*): "")&amp;"" ✅ "" &amp;REGEXEXTRACT(B1296, ""(Trouvez.*)"")"),"🏘️ Louer appartement Oetwil am See ✅ Trouvez le bien immobilier qui correspond idéalement à vos désirs sur ImmoScout24 - La plateforme de l'immobilier en Suisse.")</f>
        <v>🏘️ Louer appartement Oetwil am See ✅ Trouvez le bien immobilier qui correspond idéalement à vos désirs sur ImmoScout24 - La plateforme de l'immobilier en Suisse.</v>
      </c>
      <c r="D1296" s="4" t="str">
        <f>vlookup(A1296, Sheet2!D:E, 2, 0)</f>
        <v>variant</v>
      </c>
      <c r="E1296" s="4" t="str">
        <f>IFERROR(__xludf.DUMMYFUNCTION("if(H1296=""pays"",vlookup(REGEXEXTRACT(C1296, ""🏘️ \w+ \w+ (.*) ✅""),'Country prepositions'!A:B, 2, 0) &amp; "" "" &amp; REGEXEXTRACT(C1296, ""🏘️ \w+ \w+ (.*) ✅"") ,  if(H1296=""quartier"",vlookup(REGEXEXTRACT(C1296, ""🏘️ \w+ \w+ (.*) ✅""),'Quartier prepositio"&amp;"ns'!A:E, 5, 0) ,  if(H1296=""region"",vlookup(REGEXEXTRACT(C1296, ""🏘️ \w+ \w+ (.*) ✅""),'Region prepositions'!B:F, 5, 0),  REGEXEXTRACT(C1296, ""🏘️ \w+ \w+ (.*) ✅""))))"),"Oetwil am See")</f>
        <v>Oetwil am See</v>
      </c>
      <c r="F1296" s="2" t="str">
        <f>IFERROR(__xludf.DUMMYFUNCTION("REGEXEXTRACT(C1296, ""🏘️ (\w+) \w+ .* ✅"")"),"Louer")</f>
        <v>Louer</v>
      </c>
      <c r="G1296" s="2" t="str">
        <f>IFERROR(__xludf.DUMMYFUNCTION("REGEXEXTRACT(C1296, ""🏘️ \w+ (\w+) .* ✅"")"),"appartement")</f>
        <v>appartement</v>
      </c>
      <c r="H1296" s="4" t="str">
        <f>IFERROR(__xludf.DUMMYFUNCTION("REGEXEXTRACT(A1296, ""/(\w+)-.*?"")"),"lieu")</f>
        <v>lieu</v>
      </c>
      <c r="I1296" s="4" t="str">
        <f>IFERROR(__xludf.DUMMYFUNCTION("if(D1296=""variant"",  substitute(filter(Templates!E:E, Templates!A:A = F1296, Templates!B:B = G1296, Templates!C:C = H1296), ""{{}}"", E1296), B1296)"),"🏘  Vous cherchez un appartement à louer à Oetwil am See? ✅ Les annonces les plus actuelles sont sur ImmoScout24.ch.")</f>
        <v>🏘  Vous cherchez un appartement à louer à Oetwil am See? ✅ Les annonces les plus actuelles sont sur ImmoScout24.ch.</v>
      </c>
      <c r="J1296" s="4" t="s">
        <v>3892</v>
      </c>
    </row>
    <row r="1297">
      <c r="A1297" s="5" t="s">
        <v>3893</v>
      </c>
      <c r="B1297" s="2" t="s">
        <v>3894</v>
      </c>
      <c r="C1297" s="4" t="str">
        <f>IFERROR(__xludf.DUMMYFUNCTION("""🏘️ ""&amp;REGEXEXTRACT(B1297, ""^(.*): "")&amp;"" ✅ "" &amp;REGEXEXTRACT(B1297, ""(Trouvez.*)"")"),"🏘️ Vendre maison Boécourt ✅ Trouvez le bien immobilier qui correspond idéalement à vos désirs sur ImmoScout24 - La plateforme de l'immobilier en Suisse.")</f>
        <v>🏘️ Vendre maison Boécourt ✅ Trouvez le bien immobilier qui correspond idéalement à vos désirs sur ImmoScout24 - La plateforme de l'immobilier en Suisse.</v>
      </c>
      <c r="D1297" s="4" t="str">
        <f>vlookup(A1297, Sheet2!D:E, 2, 0)</f>
        <v>variant</v>
      </c>
      <c r="E1297" s="4" t="str">
        <f>IFERROR(__xludf.DUMMYFUNCTION("if(H1297=""pays"",vlookup(REGEXEXTRACT(C1297, ""🏘️ \w+ \w+ (.*) ✅""),'Country prepositions'!A:B, 2, 0) &amp; "" "" &amp; REGEXEXTRACT(C1297, ""🏘️ \w+ \w+ (.*) ✅"") ,  if(H1297=""quartier"",vlookup(REGEXEXTRACT(C1297, ""🏘️ \w+ \w+ (.*) ✅""),'Quartier prepositio"&amp;"ns'!A:E, 5, 0) ,  if(H1297=""region"",vlookup(REGEXEXTRACT(C1297, ""🏘️ \w+ \w+ (.*) ✅""),'Region prepositions'!B:F, 5, 0),  REGEXEXTRACT(C1297, ""🏘️ \w+ \w+ (.*) ✅""))))"),"Boécourt")</f>
        <v>Boécourt</v>
      </c>
      <c r="F1297" s="2" t="str">
        <f>IFERROR(__xludf.DUMMYFUNCTION("REGEXEXTRACT(C1297, ""🏘️ (\w+) \w+ .* ✅"")"),"Vendre")</f>
        <v>Vendre</v>
      </c>
      <c r="G1297" s="2" t="str">
        <f>IFERROR(__xludf.DUMMYFUNCTION("REGEXEXTRACT(C1297, ""🏘️ \w+ (\w+) .* ✅"")"),"maison")</f>
        <v>maison</v>
      </c>
      <c r="H1297" s="4" t="str">
        <f>IFERROR(__xludf.DUMMYFUNCTION("REGEXEXTRACT(A1297, ""/(\w+)-.*?"")"),"lieu")</f>
        <v>lieu</v>
      </c>
      <c r="I1297" s="4" t="str">
        <f>IFERROR(__xludf.DUMMYFUNCTION("if(D1297=""variant"",  substitute(filter(Templates!E:E, Templates!A:A = F1297, Templates!B:B = G1297, Templates!C:C = H1297), ""{{}}"", E1297), B1297)"),"🏘  Vous souhaitez acheter une maison à Boécourt? ✅ Jetez un œil aux dernières offres sur ImmoScout24.ch.")</f>
        <v>🏘  Vous souhaitez acheter une maison à Boécourt? ✅ Jetez un œil aux dernières offres sur ImmoScout24.ch.</v>
      </c>
      <c r="J1297" s="4" t="s">
        <v>3895</v>
      </c>
    </row>
    <row r="1298">
      <c r="A1298" s="5" t="s">
        <v>3896</v>
      </c>
      <c r="B1298" s="2" t="s">
        <v>3897</v>
      </c>
      <c r="C1298" s="4" t="str">
        <f>IFERROR(__xludf.DUMMYFUNCTION("""🏘️ ""&amp;REGEXEXTRACT(B1298, ""^(.*): "")&amp;"" ✅ "" &amp;REGEXEXTRACT(B1298, ""(Trouvez.*)"")"),"🏘️ Louer maison Poliez-le-Grand ✅ Trouvez le bien immobilier qui correspond idéalement à vos désirs sur ImmoScout24 - La plateforme de l'immobilier en Suisse.")</f>
        <v>🏘️ Louer maison Poliez-le-Grand ✅ Trouvez le bien immobilier qui correspond idéalement à vos désirs sur ImmoScout24 - La plateforme de l'immobilier en Suisse.</v>
      </c>
      <c r="D1298" s="4" t="str">
        <f>vlookup(A1298, Sheet2!D:E, 2, 0)</f>
        <v>variant</v>
      </c>
      <c r="E1298" s="4" t="str">
        <f>IFERROR(__xludf.DUMMYFUNCTION("if(H1298=""pays"",vlookup(REGEXEXTRACT(C1298, ""🏘️ \w+ \w+ (.*) ✅""),'Country prepositions'!A:B, 2, 0) &amp; "" "" &amp; REGEXEXTRACT(C1298, ""🏘️ \w+ \w+ (.*) ✅"") ,  if(H1298=""quartier"",vlookup(REGEXEXTRACT(C1298, ""🏘️ \w+ \w+ (.*) ✅""),'Quartier prepositio"&amp;"ns'!A:E, 5, 0) ,  if(H1298=""region"",vlookup(REGEXEXTRACT(C1298, ""🏘️ \w+ \w+ (.*) ✅""),'Region prepositions'!B:F, 5, 0),  REGEXEXTRACT(C1298, ""🏘️ \w+ \w+ (.*) ✅""))))"),"Poliez-le-Grand")</f>
        <v>Poliez-le-Grand</v>
      </c>
      <c r="F1298" s="2" t="str">
        <f>IFERROR(__xludf.DUMMYFUNCTION("REGEXEXTRACT(C1298, ""🏘️ (\w+) \w+ .* ✅"")"),"Louer")</f>
        <v>Louer</v>
      </c>
      <c r="G1298" s="2" t="str">
        <f>IFERROR(__xludf.DUMMYFUNCTION("REGEXEXTRACT(C1298, ""🏘️ \w+ (\w+) .* ✅"")"),"maison")</f>
        <v>maison</v>
      </c>
      <c r="H1298" s="4" t="str">
        <f>IFERROR(__xludf.DUMMYFUNCTION("REGEXEXTRACT(A1298, ""/(\w+)-.*?"")"),"lieu")</f>
        <v>lieu</v>
      </c>
      <c r="I1298" s="4" t="str">
        <f>IFERROR(__xludf.DUMMYFUNCTION("if(D1298=""variant"",  substitute(filter(Templates!E:E, Templates!A:A = F1298, Templates!B:B = G1298, Templates!C:C = H1298), ""{{}}"", E1298), B1298)"),"🏘  Vous cherchez une maison à louer à Poliez-le-Grand? ✅ Découvrez nos nombreuses annonces sur ImmoScout24.ch.")</f>
        <v>🏘  Vous cherchez une maison à louer à Poliez-le-Grand? ✅ Découvrez nos nombreuses annonces sur ImmoScout24.ch.</v>
      </c>
      <c r="J1298" s="4" t="s">
        <v>3898</v>
      </c>
    </row>
    <row r="1299">
      <c r="A1299" s="5" t="s">
        <v>3899</v>
      </c>
      <c r="B1299" s="2" t="s">
        <v>3900</v>
      </c>
      <c r="C1299" s="4" t="str">
        <f>IFERROR(__xludf.DUMMYFUNCTION("""🏘️ ""&amp;REGEXEXTRACT(B1299, ""^(.*): "")&amp;"" ✅ "" &amp;REGEXEXTRACT(B1299, ""(Trouvez.*)"")"),"🏘️ Vendre appartement Mézières VD ✅ Trouvez le bien immobilier qui correspond idéalement à vos désirs sur ImmoScout24 - La plateforme de l'immobilier en Suisse.")</f>
        <v>🏘️ Vendre appartement Mézières VD ✅ Trouvez le bien immobilier qui correspond idéalement à vos désirs sur ImmoScout24 - La plateforme de l'immobilier en Suisse.</v>
      </c>
      <c r="D1299" s="4" t="str">
        <f>vlookup(A1299, Sheet2!D:E, 2, 0)</f>
        <v>variant</v>
      </c>
      <c r="E1299" s="4" t="str">
        <f>IFERROR(__xludf.DUMMYFUNCTION("if(H1299=""pays"",vlookup(REGEXEXTRACT(C1299, ""🏘️ \w+ \w+ (.*) ✅""),'Country prepositions'!A:B, 2, 0) &amp; "" "" &amp; REGEXEXTRACT(C1299, ""🏘️ \w+ \w+ (.*) ✅"") ,  if(H1299=""quartier"",vlookup(REGEXEXTRACT(C1299, ""🏘️ \w+ \w+ (.*) ✅""),'Quartier prepositio"&amp;"ns'!A:E, 5, 0) ,  if(H1299=""region"",vlookup(REGEXEXTRACT(C1299, ""🏘️ \w+ \w+ (.*) ✅""),'Region prepositions'!B:F, 5, 0),  REGEXEXTRACT(C1299, ""🏘️ \w+ \w+ (.*) ✅""))))"),"Mézières VD")</f>
        <v>Mézières VD</v>
      </c>
      <c r="F1299" s="2" t="str">
        <f>IFERROR(__xludf.DUMMYFUNCTION("REGEXEXTRACT(C1299, ""🏘️ (\w+) \w+ .* ✅"")"),"Vendre")</f>
        <v>Vendre</v>
      </c>
      <c r="G1299" s="2" t="str">
        <f>IFERROR(__xludf.DUMMYFUNCTION("REGEXEXTRACT(C1299, ""🏘️ \w+ (\w+) .* ✅"")"),"appartement")</f>
        <v>appartement</v>
      </c>
      <c r="H1299" s="4" t="str">
        <f>IFERROR(__xludf.DUMMYFUNCTION("REGEXEXTRACT(A1299, ""/(\w+)-.*?"")"),"lieu")</f>
        <v>lieu</v>
      </c>
      <c r="I1299" s="4" t="str">
        <f>IFERROR(__xludf.DUMMYFUNCTION("if(D1299=""variant"",  substitute(filter(Templates!E:E, Templates!A:A = F1299, Templates!B:B = G1299, Templates!C:C = H1299), ""{{}}"", E1299), B1299)"),"🏘  L’appartement de vos rêves se trouve sur ImmoScout24.ch ✅ Découvrez les dernières annonces de vente à Mézières VD.")</f>
        <v>🏘  L’appartement de vos rêves se trouve sur ImmoScout24.ch ✅ Découvrez les dernières annonces de vente à Mézières VD.</v>
      </c>
      <c r="J1299" s="4" t="s">
        <v>3901</v>
      </c>
    </row>
    <row r="1300">
      <c r="A1300" s="5" t="s">
        <v>3902</v>
      </c>
      <c r="B1300" s="2" t="s">
        <v>3903</v>
      </c>
      <c r="C1300" s="4" t="str">
        <f>IFERROR(__xludf.DUMMYFUNCTION("""🏘️ ""&amp;REGEXEXTRACT(B1300, ""^(.*): "")&amp;"" ✅ "" &amp;REGEXEXTRACT(B1300, ""(Trouvez.*)"")"),"🏘️ Louer maison Grandvaux ✅ Trouvez le bien immobilier qui correspond idéalement à vos désirs sur ImmoScout24 - La plateforme de l'immobilier en Suisse.")</f>
        <v>🏘️ Louer maison Grandvaux ✅ Trouvez le bien immobilier qui correspond idéalement à vos désirs sur ImmoScout24 - La plateforme de l'immobilier en Suisse.</v>
      </c>
      <c r="D1300" s="4" t="str">
        <f>vlookup(A1300, Sheet2!D:E, 2, 0)</f>
        <v>variant</v>
      </c>
      <c r="E1300" s="4" t="str">
        <f>IFERROR(__xludf.DUMMYFUNCTION("if(H1300=""pays"",vlookup(REGEXEXTRACT(C1300, ""🏘️ \w+ \w+ (.*) ✅""),'Country prepositions'!A:B, 2, 0) &amp; "" "" &amp; REGEXEXTRACT(C1300, ""🏘️ \w+ \w+ (.*) ✅"") ,  if(H1300=""quartier"",vlookup(REGEXEXTRACT(C1300, ""🏘️ \w+ \w+ (.*) ✅""),'Quartier prepositio"&amp;"ns'!A:E, 5, 0) ,  if(H1300=""region"",vlookup(REGEXEXTRACT(C1300, ""🏘️ \w+ \w+ (.*) ✅""),'Region prepositions'!B:F, 5, 0),  REGEXEXTRACT(C1300, ""🏘️ \w+ \w+ (.*) ✅""))))"),"Grandvaux")</f>
        <v>Grandvaux</v>
      </c>
      <c r="F1300" s="2" t="str">
        <f>IFERROR(__xludf.DUMMYFUNCTION("REGEXEXTRACT(C1300, ""🏘️ (\w+) \w+ .* ✅"")"),"Louer")</f>
        <v>Louer</v>
      </c>
      <c r="G1300" s="2" t="str">
        <f>IFERROR(__xludf.DUMMYFUNCTION("REGEXEXTRACT(C1300, ""🏘️ \w+ (\w+) .* ✅"")"),"maison")</f>
        <v>maison</v>
      </c>
      <c r="H1300" s="4" t="str">
        <f>IFERROR(__xludf.DUMMYFUNCTION("REGEXEXTRACT(A1300, ""/(\w+)-.*?"")"),"lieu")</f>
        <v>lieu</v>
      </c>
      <c r="I1300" s="4" t="str">
        <f>IFERROR(__xludf.DUMMYFUNCTION("if(D1300=""variant"",  substitute(filter(Templates!E:E, Templates!A:A = F1300, Templates!B:B = G1300, Templates!C:C = H1300), ""{{}}"", E1300), B1300)"),"🏘  Vous cherchez une maison à louer à Grandvaux? ✅ Découvrez nos nombreuses annonces sur ImmoScout24.ch.")</f>
        <v>🏘  Vous cherchez une maison à louer à Grandvaux? ✅ Découvrez nos nombreuses annonces sur ImmoScout24.ch.</v>
      </c>
      <c r="J1300" s="4" t="s">
        <v>3904</v>
      </c>
    </row>
    <row r="1301">
      <c r="A1301" s="5" t="s">
        <v>3905</v>
      </c>
      <c r="B1301" s="2" t="s">
        <v>3906</v>
      </c>
      <c r="C1301" s="4" t="str">
        <f>IFERROR(__xludf.DUMMYFUNCTION("""🏘️ ""&amp;REGEXEXTRACT(B1301, ""^(.*): "")&amp;"" ✅ "" &amp;REGEXEXTRACT(B1301, ""(Trouvez.*)"")"),"🏘️ Louer maison Savièse ✅ Trouvez le bien immobilier qui correspond idéalement à vos désirs sur ImmoScout24 - La plateforme de l'immobilier en Suisse.")</f>
        <v>🏘️ Louer maison Savièse ✅ Trouvez le bien immobilier qui correspond idéalement à vos désirs sur ImmoScout24 - La plateforme de l'immobilier en Suisse.</v>
      </c>
      <c r="D1301" s="4" t="str">
        <f>vlookup(A1301, Sheet2!D:E, 2, 0)</f>
        <v>variant</v>
      </c>
      <c r="E1301" s="4" t="str">
        <f>IFERROR(__xludf.DUMMYFUNCTION("if(H1301=""pays"",vlookup(REGEXEXTRACT(C1301, ""🏘️ \w+ \w+ (.*) ✅""),'Country prepositions'!A:B, 2, 0) &amp; "" "" &amp; REGEXEXTRACT(C1301, ""🏘️ \w+ \w+ (.*) ✅"") ,  if(H1301=""quartier"",vlookup(REGEXEXTRACT(C1301, ""🏘️ \w+ \w+ (.*) ✅""),'Quartier prepositio"&amp;"ns'!A:E, 5, 0) ,  if(H1301=""region"",vlookup(REGEXEXTRACT(C1301, ""🏘️ \w+ \w+ (.*) ✅""),'Region prepositions'!B:F, 5, 0),  REGEXEXTRACT(C1301, ""🏘️ \w+ \w+ (.*) ✅""))))"),"Savièse")</f>
        <v>Savièse</v>
      </c>
      <c r="F1301" s="2" t="str">
        <f>IFERROR(__xludf.DUMMYFUNCTION("REGEXEXTRACT(C1301, ""🏘️ (\w+) \w+ .* ✅"")"),"Louer")</f>
        <v>Louer</v>
      </c>
      <c r="G1301" s="2" t="str">
        <f>IFERROR(__xludf.DUMMYFUNCTION("REGEXEXTRACT(C1301, ""🏘️ \w+ (\w+) .* ✅"")"),"maison")</f>
        <v>maison</v>
      </c>
      <c r="H1301" s="4" t="str">
        <f>IFERROR(__xludf.DUMMYFUNCTION("REGEXEXTRACT(A1301, ""/(\w+)-.*?"")"),"lieu")</f>
        <v>lieu</v>
      </c>
      <c r="I1301" s="4" t="str">
        <f>IFERROR(__xludf.DUMMYFUNCTION("if(D1301=""variant"",  substitute(filter(Templates!E:E, Templates!A:A = F1301, Templates!B:B = G1301, Templates!C:C = H1301), ""{{}}"", E1301), B1301)"),"🏘  Vous cherchez une maison à louer à Savièse? ✅ Découvrez nos nombreuses annonces sur ImmoScout24.ch.")</f>
        <v>🏘  Vous cherchez une maison à louer à Savièse? ✅ Découvrez nos nombreuses annonces sur ImmoScout24.ch.</v>
      </c>
      <c r="J1301" s="4" t="s">
        <v>3907</v>
      </c>
    </row>
    <row r="1302">
      <c r="A1302" s="5" t="s">
        <v>3908</v>
      </c>
      <c r="B1302" s="2" t="s">
        <v>3909</v>
      </c>
      <c r="C1302" s="4" t="str">
        <f>IFERROR(__xludf.DUMMYFUNCTION("""🏘️ ""&amp;REGEXEXTRACT(B1302, ""^(.*): "")&amp;"" ✅ "" &amp;REGEXEXTRACT(B1302, ""(Trouvez.*)"")"),"🏘️ Louer appartement Oberbipp ✅ Trouvez le bien immobilier qui correspond idéalement à vos désirs sur ImmoScout24 - La plateforme de l'immobilier en Suisse.")</f>
        <v>🏘️ Louer appartement Oberbipp ✅ Trouvez le bien immobilier qui correspond idéalement à vos désirs sur ImmoScout24 - La plateforme de l'immobilier en Suisse.</v>
      </c>
      <c r="D1302" s="4" t="str">
        <f>vlookup(A1302, Sheet2!D:E, 2, 0)</f>
        <v>variant</v>
      </c>
      <c r="E1302" s="4" t="str">
        <f>IFERROR(__xludf.DUMMYFUNCTION("if(H1302=""pays"",vlookup(REGEXEXTRACT(C1302, ""🏘️ \w+ \w+ (.*) ✅""),'Country prepositions'!A:B, 2, 0) &amp; "" "" &amp; REGEXEXTRACT(C1302, ""🏘️ \w+ \w+ (.*) ✅"") ,  if(H1302=""quartier"",vlookup(REGEXEXTRACT(C1302, ""🏘️ \w+ \w+ (.*) ✅""),'Quartier prepositio"&amp;"ns'!A:E, 5, 0) ,  if(H1302=""region"",vlookup(REGEXEXTRACT(C1302, ""🏘️ \w+ \w+ (.*) ✅""),'Region prepositions'!B:F, 5, 0),  REGEXEXTRACT(C1302, ""🏘️ \w+ \w+ (.*) ✅""))))"),"Oberbipp")</f>
        <v>Oberbipp</v>
      </c>
      <c r="F1302" s="2" t="str">
        <f>IFERROR(__xludf.DUMMYFUNCTION("REGEXEXTRACT(C1302, ""🏘️ (\w+) \w+ .* ✅"")"),"Louer")</f>
        <v>Louer</v>
      </c>
      <c r="G1302" s="2" t="str">
        <f>IFERROR(__xludf.DUMMYFUNCTION("REGEXEXTRACT(C1302, ""🏘️ \w+ (\w+) .* ✅"")"),"appartement")</f>
        <v>appartement</v>
      </c>
      <c r="H1302" s="4" t="str">
        <f>IFERROR(__xludf.DUMMYFUNCTION("REGEXEXTRACT(A1302, ""/(\w+)-.*?"")"),"lieu")</f>
        <v>lieu</v>
      </c>
      <c r="I1302" s="4" t="str">
        <f>IFERROR(__xludf.DUMMYFUNCTION("if(D1302=""variant"",  substitute(filter(Templates!E:E, Templates!A:A = F1302, Templates!B:B = G1302, Templates!C:C = H1302), ""{{}}"", E1302), B1302)"),"🏘  Vous cherchez un appartement à louer à Oberbipp? ✅ Les annonces les plus actuelles sont sur ImmoScout24.ch.")</f>
        <v>🏘  Vous cherchez un appartement à louer à Oberbipp? ✅ Les annonces les plus actuelles sont sur ImmoScout24.ch.</v>
      </c>
      <c r="J1302" s="4" t="s">
        <v>3910</v>
      </c>
    </row>
    <row r="1303">
      <c r="A1303" s="5" t="s">
        <v>3911</v>
      </c>
      <c r="B1303" s="2" t="s">
        <v>3912</v>
      </c>
      <c r="C1303" s="4" t="str">
        <f>IFERROR(__xludf.DUMMYFUNCTION("""🏘️ ""&amp;REGEXEXTRACT(B1303, ""^(.*): "")&amp;"" ✅ "" &amp;REGEXEXTRACT(B1303, ""(Trouvez.*)"")"),"🏘️ Louer appartement Reconvilier ✅ Trouvez le bien immobilier qui correspond idéalement à vos désirs sur ImmoScout24 - La plateforme de l'immobilier en Suisse.")</f>
        <v>🏘️ Louer appartement Reconvilier ✅ Trouvez le bien immobilier qui correspond idéalement à vos désirs sur ImmoScout24 - La plateforme de l'immobilier en Suisse.</v>
      </c>
      <c r="D1303" s="4" t="str">
        <f>vlookup(A1303, Sheet2!D:E, 2, 0)</f>
        <v>variant</v>
      </c>
      <c r="E1303" s="4" t="str">
        <f>IFERROR(__xludf.DUMMYFUNCTION("if(H1303=""pays"",vlookup(REGEXEXTRACT(C1303, ""🏘️ \w+ \w+ (.*) ✅""),'Country prepositions'!A:B, 2, 0) &amp; "" "" &amp; REGEXEXTRACT(C1303, ""🏘️ \w+ \w+ (.*) ✅"") ,  if(H1303=""quartier"",vlookup(REGEXEXTRACT(C1303, ""🏘️ \w+ \w+ (.*) ✅""),'Quartier prepositio"&amp;"ns'!A:E, 5, 0) ,  if(H1303=""region"",vlookup(REGEXEXTRACT(C1303, ""🏘️ \w+ \w+ (.*) ✅""),'Region prepositions'!B:F, 5, 0),  REGEXEXTRACT(C1303, ""🏘️ \w+ \w+ (.*) ✅""))))"),"Reconvilier")</f>
        <v>Reconvilier</v>
      </c>
      <c r="F1303" s="2" t="str">
        <f>IFERROR(__xludf.DUMMYFUNCTION("REGEXEXTRACT(C1303, ""🏘️ (\w+) \w+ .* ✅"")"),"Louer")</f>
        <v>Louer</v>
      </c>
      <c r="G1303" s="2" t="str">
        <f>IFERROR(__xludf.DUMMYFUNCTION("REGEXEXTRACT(C1303, ""🏘️ \w+ (\w+) .* ✅"")"),"appartement")</f>
        <v>appartement</v>
      </c>
      <c r="H1303" s="4" t="str">
        <f>IFERROR(__xludf.DUMMYFUNCTION("REGEXEXTRACT(A1303, ""/(\w+)-.*?"")"),"lieu")</f>
        <v>lieu</v>
      </c>
      <c r="I1303" s="4" t="str">
        <f>IFERROR(__xludf.DUMMYFUNCTION("if(D1303=""variant"",  substitute(filter(Templates!E:E, Templates!A:A = F1303, Templates!B:B = G1303, Templates!C:C = H1303), ""{{}}"", E1303), B1303)"),"🏘  Vous cherchez un appartement à louer à Reconvilier? ✅ Les annonces les plus actuelles sont sur ImmoScout24.ch.")</f>
        <v>🏘  Vous cherchez un appartement à louer à Reconvilier? ✅ Les annonces les plus actuelles sont sur ImmoScout24.ch.</v>
      </c>
      <c r="J1303" s="4" t="s">
        <v>3913</v>
      </c>
    </row>
    <row r="1304">
      <c r="A1304" s="5" t="s">
        <v>3914</v>
      </c>
      <c r="B1304" s="2" t="s">
        <v>3915</v>
      </c>
      <c r="C1304" s="4" t="str">
        <f>IFERROR(__xludf.DUMMYFUNCTION("""🏘️ ""&amp;REGEXEXTRACT(B1304, ""^(.*): "")&amp;"" ✅ "" &amp;REGEXEXTRACT(B1304, ""(Trouvez.*)"")"),"🏘️ Vendre appartement Grand-Pré - Vermont (Genève) ✅ Trouvez le bien immobilier qui correspond idéalement à vos désirs sur ImmoScout24 - La plateforme de l'immobilier en Suisse.")</f>
        <v>🏘️ Vendre appartement Grand-Pré - Vermont (Genève) ✅ Trouvez le bien immobilier qui correspond idéalement à vos désirs sur ImmoScout24 - La plateforme de l'immobilier en Suisse.</v>
      </c>
      <c r="D1304" s="4" t="str">
        <f>vlookup(A1304, Sheet2!D:E, 2, 0)</f>
        <v>variant</v>
      </c>
      <c r="E1304" s="4" t="str">
        <f>IFERROR(__xludf.DUMMYFUNCTION("if(H1304=""pays"",vlookup(REGEXEXTRACT(C1304, ""🏘️ \w+ \w+ (.*) ✅""),'Country prepositions'!A:B, 2, 0) &amp; "" "" &amp; REGEXEXTRACT(C1304, ""🏘️ \w+ \w+ (.*) ✅"") ,  if(H1304=""quartier"",vlookup(REGEXEXTRACT(C1304, ""🏘️ \w+ \w+ (.*) ✅""),'Quartier prepositio"&amp;"ns'!A:E, 5, 0) ,  if(H1304=""region"",vlookup(REGEXEXTRACT(C1304, ""🏘️ \w+ \w+ (.*) ✅""),'Region prepositions'!B:F, 5, 0),  REGEXEXTRACT(C1304, ""🏘️ \w+ \w+ (.*) ✅""))))"),"dans le quartier de Grand-Pré - Vermont (Genève)")</f>
        <v>dans le quartier de Grand-Pré - Vermont (Genève)</v>
      </c>
      <c r="F1304" s="2" t="str">
        <f>IFERROR(__xludf.DUMMYFUNCTION("REGEXEXTRACT(C1304, ""🏘️ (\w+) \w+ .* ✅"")"),"Vendre")</f>
        <v>Vendre</v>
      </c>
      <c r="G1304" s="2" t="str">
        <f>IFERROR(__xludf.DUMMYFUNCTION("REGEXEXTRACT(C1304, ""🏘️ \w+ (\w+) .* ✅"")"),"appartement")</f>
        <v>appartement</v>
      </c>
      <c r="H1304" s="4" t="str">
        <f>IFERROR(__xludf.DUMMYFUNCTION("REGEXEXTRACT(A1304, ""/(\w+)-.*?"")"),"quartier")</f>
        <v>quartier</v>
      </c>
      <c r="I1304" s="4" t="str">
        <f>IFERROR(__xludf.DUMMYFUNCTION("if(D1304=""variant"",  substitute(filter(Templates!E:E, Templates!A:A = F1304, Templates!B:B = G1304, Templates!C:C = H1304), ""{{}}"", E1304), B1304)"),"🏘  L’appartement de vos rêves se trouve sur ImmoScout24.ch ✅ Découvrez les dernières annonces de vente dans le quartier de Grand-Pré - Vermont (Genève).")</f>
        <v>🏘  L’appartement de vos rêves se trouve sur ImmoScout24.ch ✅ Découvrez les dernières annonces de vente dans le quartier de Grand-Pré - Vermont (Genève).</v>
      </c>
      <c r="J1304" s="4" t="s">
        <v>3916</v>
      </c>
    </row>
    <row r="1305">
      <c r="A1305" s="5" t="s">
        <v>3917</v>
      </c>
      <c r="B1305" s="2" t="s">
        <v>3918</v>
      </c>
      <c r="C1305" s="4" t="str">
        <f>IFERROR(__xludf.DUMMYFUNCTION("""🏘️ ""&amp;REGEXEXTRACT(B1305, ""^(.*): "")&amp;"" ✅ "" &amp;REGEXEXTRACT(B1305, ""(Trouvez.*)"")"),"🏘️ Louer appartement Dällikon ✅ Trouvez le bien immobilier qui correspond idéalement à vos désirs sur ImmoScout24 - La plateforme de l'immobilier en Suisse.")</f>
        <v>🏘️ Louer appartement Dällikon ✅ Trouvez le bien immobilier qui correspond idéalement à vos désirs sur ImmoScout24 - La plateforme de l'immobilier en Suisse.</v>
      </c>
      <c r="D1305" s="4" t="str">
        <f>vlookup(A1305, Sheet2!D:E, 2, 0)</f>
        <v>variant</v>
      </c>
      <c r="E1305" s="4" t="str">
        <f>IFERROR(__xludf.DUMMYFUNCTION("if(H1305=""pays"",vlookup(REGEXEXTRACT(C1305, ""🏘️ \w+ \w+ (.*) ✅""),'Country prepositions'!A:B, 2, 0) &amp; "" "" &amp; REGEXEXTRACT(C1305, ""🏘️ \w+ \w+ (.*) ✅"") ,  if(H1305=""quartier"",vlookup(REGEXEXTRACT(C1305, ""🏘️ \w+ \w+ (.*) ✅""),'Quartier prepositio"&amp;"ns'!A:E, 5, 0) ,  if(H1305=""region"",vlookup(REGEXEXTRACT(C1305, ""🏘️ \w+ \w+ (.*) ✅""),'Region prepositions'!B:F, 5, 0),  REGEXEXTRACT(C1305, ""🏘️ \w+ \w+ (.*) ✅""))))"),"Dällikon")</f>
        <v>Dällikon</v>
      </c>
      <c r="F1305" s="2" t="str">
        <f>IFERROR(__xludf.DUMMYFUNCTION("REGEXEXTRACT(C1305, ""🏘️ (\w+) \w+ .* ✅"")"),"Louer")</f>
        <v>Louer</v>
      </c>
      <c r="G1305" s="2" t="str">
        <f>IFERROR(__xludf.DUMMYFUNCTION("REGEXEXTRACT(C1305, ""🏘️ \w+ (\w+) .* ✅"")"),"appartement")</f>
        <v>appartement</v>
      </c>
      <c r="H1305" s="4" t="str">
        <f>IFERROR(__xludf.DUMMYFUNCTION("REGEXEXTRACT(A1305, ""/(\w+)-.*?"")"),"lieu")</f>
        <v>lieu</v>
      </c>
      <c r="I1305" s="4" t="str">
        <f>IFERROR(__xludf.DUMMYFUNCTION("if(D1305=""variant"",  substitute(filter(Templates!E:E, Templates!A:A = F1305, Templates!B:B = G1305, Templates!C:C = H1305), ""{{}}"", E1305), B1305)"),"🏘  Vous cherchez un appartement à louer à Dällikon? ✅ Les annonces les plus actuelles sont sur ImmoScout24.ch.")</f>
        <v>🏘  Vous cherchez un appartement à louer à Dällikon? ✅ Les annonces les plus actuelles sont sur ImmoScout24.ch.</v>
      </c>
      <c r="J1305" s="4" t="s">
        <v>3919</v>
      </c>
    </row>
    <row r="1306">
      <c r="A1306" s="5" t="s">
        <v>3920</v>
      </c>
      <c r="B1306" s="2" t="s">
        <v>3921</v>
      </c>
      <c r="C1306" s="4" t="str">
        <f>IFERROR(__xludf.DUMMYFUNCTION("""🏘️ ""&amp;REGEXEXTRACT(B1306, ""^(.*): "")&amp;"" ✅ "" &amp;REGEXEXTRACT(B1306, ""(Trouvez.*)"")"),"🏘️ Vendre maison Begnins ✅ Trouvez le bien immobilier qui correspond idéalement à vos désirs sur ImmoScout24 - La plateforme de l'immobilier en Suisse.")</f>
        <v>🏘️ Vendre maison Begnins ✅ Trouvez le bien immobilier qui correspond idéalement à vos désirs sur ImmoScout24 - La plateforme de l'immobilier en Suisse.</v>
      </c>
      <c r="D1306" s="4" t="str">
        <f>vlookup(A1306, Sheet2!D:E, 2, 0)</f>
        <v>variant</v>
      </c>
      <c r="E1306" s="4" t="str">
        <f>IFERROR(__xludf.DUMMYFUNCTION("if(H1306=""pays"",vlookup(REGEXEXTRACT(C1306, ""🏘️ \w+ \w+ (.*) ✅""),'Country prepositions'!A:B, 2, 0) &amp; "" "" &amp; REGEXEXTRACT(C1306, ""🏘️ \w+ \w+ (.*) ✅"") ,  if(H1306=""quartier"",vlookup(REGEXEXTRACT(C1306, ""🏘️ \w+ \w+ (.*) ✅""),'Quartier prepositio"&amp;"ns'!A:E, 5, 0) ,  if(H1306=""region"",vlookup(REGEXEXTRACT(C1306, ""🏘️ \w+ \w+ (.*) ✅""),'Region prepositions'!B:F, 5, 0),  REGEXEXTRACT(C1306, ""🏘️ \w+ \w+ (.*) ✅""))))"),"Begnins")</f>
        <v>Begnins</v>
      </c>
      <c r="F1306" s="2" t="str">
        <f>IFERROR(__xludf.DUMMYFUNCTION("REGEXEXTRACT(C1306, ""🏘️ (\w+) \w+ .* ✅"")"),"Vendre")</f>
        <v>Vendre</v>
      </c>
      <c r="G1306" s="2" t="str">
        <f>IFERROR(__xludf.DUMMYFUNCTION("REGEXEXTRACT(C1306, ""🏘️ \w+ (\w+) .* ✅"")"),"maison")</f>
        <v>maison</v>
      </c>
      <c r="H1306" s="4" t="str">
        <f>IFERROR(__xludf.DUMMYFUNCTION("REGEXEXTRACT(A1306, ""/(\w+)-.*?"")"),"lieu")</f>
        <v>lieu</v>
      </c>
      <c r="I1306" s="4" t="str">
        <f>IFERROR(__xludf.DUMMYFUNCTION("if(D1306=""variant"",  substitute(filter(Templates!E:E, Templates!A:A = F1306, Templates!B:B = G1306, Templates!C:C = H1306), ""{{}}"", E1306), B1306)"),"🏘  Vous souhaitez acheter une maison à Begnins? ✅ Jetez un œil aux dernières offres sur ImmoScout24.ch.")</f>
        <v>🏘  Vous souhaitez acheter une maison à Begnins? ✅ Jetez un œil aux dernières offres sur ImmoScout24.ch.</v>
      </c>
      <c r="J1306" s="4" t="s">
        <v>3922</v>
      </c>
    </row>
    <row r="1307">
      <c r="A1307" s="5" t="s">
        <v>3923</v>
      </c>
      <c r="B1307" s="2" t="s">
        <v>3924</v>
      </c>
      <c r="C1307" s="4" t="str">
        <f>IFERROR(__xludf.DUMMYFUNCTION("""🏘️ ""&amp;REGEXEXTRACT(B1307, ""^(.*): "")&amp;"" ✅ "" &amp;REGEXEXTRACT(B1307, ""(Trouvez.*)"")"),"🏘️ Louer appartement Wangen b. Olten ✅ Trouvez le bien immobilier qui correspond idéalement à vos désirs sur ImmoScout24 - La plateforme de l'immobilier en Suisse.")</f>
        <v>🏘️ Louer appartement Wangen b. Olten ✅ Trouvez le bien immobilier qui correspond idéalement à vos désirs sur ImmoScout24 - La plateforme de l'immobilier en Suisse.</v>
      </c>
      <c r="D1307" s="4" t="str">
        <f>vlookup(A1307, Sheet2!D:E, 2, 0)</f>
        <v>variant</v>
      </c>
      <c r="E1307" s="4" t="str">
        <f>IFERROR(__xludf.DUMMYFUNCTION("if(H1307=""pays"",vlookup(REGEXEXTRACT(C1307, ""🏘️ \w+ \w+ (.*) ✅""),'Country prepositions'!A:B, 2, 0) &amp; "" "" &amp; REGEXEXTRACT(C1307, ""🏘️ \w+ \w+ (.*) ✅"") ,  if(H1307=""quartier"",vlookup(REGEXEXTRACT(C1307, ""🏘️ \w+ \w+ (.*) ✅""),'Quartier prepositio"&amp;"ns'!A:E, 5, 0) ,  if(H1307=""region"",vlookup(REGEXEXTRACT(C1307, ""🏘️ \w+ \w+ (.*) ✅""),'Region prepositions'!B:F, 5, 0),  REGEXEXTRACT(C1307, ""🏘️ \w+ \w+ (.*) ✅""))))"),"Wangen b. Olten")</f>
        <v>Wangen b. Olten</v>
      </c>
      <c r="F1307" s="2" t="str">
        <f>IFERROR(__xludf.DUMMYFUNCTION("REGEXEXTRACT(C1307, ""🏘️ (\w+) \w+ .* ✅"")"),"Louer")</f>
        <v>Louer</v>
      </c>
      <c r="G1307" s="2" t="str">
        <f>IFERROR(__xludf.DUMMYFUNCTION("REGEXEXTRACT(C1307, ""🏘️ \w+ (\w+) .* ✅"")"),"appartement")</f>
        <v>appartement</v>
      </c>
      <c r="H1307" s="4" t="str">
        <f>IFERROR(__xludf.DUMMYFUNCTION("REGEXEXTRACT(A1307, ""/(\w+)-.*?"")"),"lieu")</f>
        <v>lieu</v>
      </c>
      <c r="I1307" s="4" t="str">
        <f>IFERROR(__xludf.DUMMYFUNCTION("if(D1307=""variant"",  substitute(filter(Templates!E:E, Templates!A:A = F1307, Templates!B:B = G1307, Templates!C:C = H1307), ""{{}}"", E1307), B1307)"),"🏘  Vous cherchez un appartement à louer à Wangen b. Olten? ✅ Les annonces les plus actuelles sont sur ImmoScout24.ch.")</f>
        <v>🏘  Vous cherchez un appartement à louer à Wangen b. Olten? ✅ Les annonces les plus actuelles sont sur ImmoScout24.ch.</v>
      </c>
      <c r="J1307" s="4" t="s">
        <v>3925</v>
      </c>
    </row>
    <row r="1308">
      <c r="A1308" s="5" t="s">
        <v>3926</v>
      </c>
      <c r="B1308" s="2" t="s">
        <v>3927</v>
      </c>
      <c r="C1308" s="4" t="str">
        <f>IFERROR(__xludf.DUMMYFUNCTION("""🏘️ ""&amp;REGEXEXTRACT(B1308, ""^(.*): "")&amp;"" ✅ "" &amp;REGEXEXTRACT(B1308, ""(Trouvez.*)"")"),"🏘️ Louer maison Gümligen ✅ Trouvez le bien immobilier qui correspond idéalement à vos désirs sur ImmoScout24 - La plateforme de l'immobilier en Suisse.")</f>
        <v>🏘️ Louer maison Gümligen ✅ Trouvez le bien immobilier qui correspond idéalement à vos désirs sur ImmoScout24 - La plateforme de l'immobilier en Suisse.</v>
      </c>
      <c r="D1308" s="4" t="str">
        <f>vlookup(A1308, Sheet2!D:E, 2, 0)</f>
        <v>variant</v>
      </c>
      <c r="E1308" s="4" t="str">
        <f>IFERROR(__xludf.DUMMYFUNCTION("if(H1308=""pays"",vlookup(REGEXEXTRACT(C1308, ""🏘️ \w+ \w+ (.*) ✅""),'Country prepositions'!A:B, 2, 0) &amp; "" "" &amp; REGEXEXTRACT(C1308, ""🏘️ \w+ \w+ (.*) ✅"") ,  if(H1308=""quartier"",vlookup(REGEXEXTRACT(C1308, ""🏘️ \w+ \w+ (.*) ✅""),'Quartier prepositio"&amp;"ns'!A:E, 5, 0) ,  if(H1308=""region"",vlookup(REGEXEXTRACT(C1308, ""🏘️ \w+ \w+ (.*) ✅""),'Region prepositions'!B:F, 5, 0),  REGEXEXTRACT(C1308, ""🏘️ \w+ \w+ (.*) ✅""))))"),"Gümligen")</f>
        <v>Gümligen</v>
      </c>
      <c r="F1308" s="2" t="str">
        <f>IFERROR(__xludf.DUMMYFUNCTION("REGEXEXTRACT(C1308, ""🏘️ (\w+) \w+ .* ✅"")"),"Louer")</f>
        <v>Louer</v>
      </c>
      <c r="G1308" s="2" t="str">
        <f>IFERROR(__xludf.DUMMYFUNCTION("REGEXEXTRACT(C1308, ""🏘️ \w+ (\w+) .* ✅"")"),"maison")</f>
        <v>maison</v>
      </c>
      <c r="H1308" s="4" t="str">
        <f>IFERROR(__xludf.DUMMYFUNCTION("REGEXEXTRACT(A1308, ""/(\w+)-.*?"")"),"lieu")</f>
        <v>lieu</v>
      </c>
      <c r="I1308" s="4" t="str">
        <f>IFERROR(__xludf.DUMMYFUNCTION("if(D1308=""variant"",  substitute(filter(Templates!E:E, Templates!A:A = F1308, Templates!B:B = G1308, Templates!C:C = H1308), ""{{}}"", E1308), B1308)"),"🏘  Vous cherchez une maison à louer à Gümligen? ✅ Découvrez nos nombreuses annonces sur ImmoScout24.ch.")</f>
        <v>🏘  Vous cherchez une maison à louer à Gümligen? ✅ Découvrez nos nombreuses annonces sur ImmoScout24.ch.</v>
      </c>
      <c r="J1308" s="4" t="s">
        <v>3928</v>
      </c>
    </row>
    <row r="1309">
      <c r="A1309" s="5" t="s">
        <v>3929</v>
      </c>
      <c r="B1309" s="2" t="s">
        <v>3930</v>
      </c>
      <c r="C1309" s="4" t="str">
        <f>IFERROR(__xludf.DUMMYFUNCTION("""🏘️ ""&amp;REGEXEXTRACT(B1309, ""^(.*): "")&amp;"" ✅ "" &amp;REGEXEXTRACT(B1309, ""(Trouvez.*)"")"),"🏘️ Vendre maison Hondrich ✅ Trouvez le bien immobilier qui correspond idéalement à vos désirs sur ImmoScout24 - La plateforme de l'immobilier en Suisse.")</f>
        <v>🏘️ Vendre maison Hondrich ✅ Trouvez le bien immobilier qui correspond idéalement à vos désirs sur ImmoScout24 - La plateforme de l'immobilier en Suisse.</v>
      </c>
      <c r="D1309" s="4" t="str">
        <f>vlookup(A1309, Sheet2!D:E, 2, 0)</f>
        <v>variant</v>
      </c>
      <c r="E1309" s="4" t="str">
        <f>IFERROR(__xludf.DUMMYFUNCTION("if(H1309=""pays"",vlookup(REGEXEXTRACT(C1309, ""🏘️ \w+ \w+ (.*) ✅""),'Country prepositions'!A:B, 2, 0) &amp; "" "" &amp; REGEXEXTRACT(C1309, ""🏘️ \w+ \w+ (.*) ✅"") ,  if(H1309=""quartier"",vlookup(REGEXEXTRACT(C1309, ""🏘️ \w+ \w+ (.*) ✅""),'Quartier prepositio"&amp;"ns'!A:E, 5, 0) ,  if(H1309=""region"",vlookup(REGEXEXTRACT(C1309, ""🏘️ \w+ \w+ (.*) ✅""),'Region prepositions'!B:F, 5, 0),  REGEXEXTRACT(C1309, ""🏘️ \w+ \w+ (.*) ✅""))))"),"Hondrich")</f>
        <v>Hondrich</v>
      </c>
      <c r="F1309" s="2" t="str">
        <f>IFERROR(__xludf.DUMMYFUNCTION("REGEXEXTRACT(C1309, ""🏘️ (\w+) \w+ .* ✅"")"),"Vendre")</f>
        <v>Vendre</v>
      </c>
      <c r="G1309" s="2" t="str">
        <f>IFERROR(__xludf.DUMMYFUNCTION("REGEXEXTRACT(C1309, ""🏘️ \w+ (\w+) .* ✅"")"),"maison")</f>
        <v>maison</v>
      </c>
      <c r="H1309" s="4" t="str">
        <f>IFERROR(__xludf.DUMMYFUNCTION("REGEXEXTRACT(A1309, ""/(\w+)-.*?"")"),"lieu")</f>
        <v>lieu</v>
      </c>
      <c r="I1309" s="4" t="str">
        <f>IFERROR(__xludf.DUMMYFUNCTION("if(D1309=""variant"",  substitute(filter(Templates!E:E, Templates!A:A = F1309, Templates!B:B = G1309, Templates!C:C = H1309), ""{{}}"", E1309), B1309)"),"🏘  Vous souhaitez acheter une maison à Hondrich? ✅ Jetez un œil aux dernières offres sur ImmoScout24.ch.")</f>
        <v>🏘  Vous souhaitez acheter une maison à Hondrich? ✅ Jetez un œil aux dernières offres sur ImmoScout24.ch.</v>
      </c>
      <c r="J1309" s="4" t="s">
        <v>3931</v>
      </c>
    </row>
    <row r="1310">
      <c r="A1310" s="5" t="s">
        <v>3932</v>
      </c>
      <c r="B1310" s="2" t="s">
        <v>3933</v>
      </c>
      <c r="C1310" s="4" t="str">
        <f>IFERROR(__xludf.DUMMYFUNCTION("""🏘️ ""&amp;REGEXEXTRACT(B1310, ""^(.*): "")&amp;"" ✅ "" &amp;REGEXEXTRACT(B1310, ""(Trouvez.*)"")"),"🏘️ Vendre appartement Vessy ✅ Trouvez le bien immobilier qui correspond idéalement à vos désirs sur ImmoScout24 - La plateforme de l'immobilier en Suisse.")</f>
        <v>🏘️ Vendre appartement Vessy ✅ Trouvez le bien immobilier qui correspond idéalement à vos désirs sur ImmoScout24 - La plateforme de l'immobilier en Suisse.</v>
      </c>
      <c r="D1310" s="4" t="str">
        <f>vlookup(A1310, Sheet2!D:E, 2, 0)</f>
        <v>variant</v>
      </c>
      <c r="E1310" s="4" t="str">
        <f>IFERROR(__xludf.DUMMYFUNCTION("if(H1310=""pays"",vlookup(REGEXEXTRACT(C1310, ""🏘️ \w+ \w+ (.*) ✅""),'Country prepositions'!A:B, 2, 0) &amp; "" "" &amp; REGEXEXTRACT(C1310, ""🏘️ \w+ \w+ (.*) ✅"") ,  if(H1310=""quartier"",vlookup(REGEXEXTRACT(C1310, ""🏘️ \w+ \w+ (.*) ✅""),'Quartier prepositio"&amp;"ns'!A:E, 5, 0) ,  if(H1310=""region"",vlookup(REGEXEXTRACT(C1310, ""🏘️ \w+ \w+ (.*) ✅""),'Region prepositions'!B:F, 5, 0),  REGEXEXTRACT(C1310, ""🏘️ \w+ \w+ (.*) ✅""))))"),"Vessy")</f>
        <v>Vessy</v>
      </c>
      <c r="F1310" s="2" t="str">
        <f>IFERROR(__xludf.DUMMYFUNCTION("REGEXEXTRACT(C1310, ""🏘️ (\w+) \w+ .* ✅"")"),"Vendre")</f>
        <v>Vendre</v>
      </c>
      <c r="G1310" s="2" t="str">
        <f>IFERROR(__xludf.DUMMYFUNCTION("REGEXEXTRACT(C1310, ""🏘️ \w+ (\w+) .* ✅"")"),"appartement")</f>
        <v>appartement</v>
      </c>
      <c r="H1310" s="4" t="str">
        <f>IFERROR(__xludf.DUMMYFUNCTION("REGEXEXTRACT(A1310, ""/(\w+)-.*?"")"),"lieu")</f>
        <v>lieu</v>
      </c>
      <c r="I1310" s="4" t="str">
        <f>IFERROR(__xludf.DUMMYFUNCTION("if(D1310=""variant"",  substitute(filter(Templates!E:E, Templates!A:A = F1310, Templates!B:B = G1310, Templates!C:C = H1310), ""{{}}"", E1310), B1310)"),"🏘  L’appartement de vos rêves se trouve sur ImmoScout24.ch ✅ Découvrez les dernières annonces de vente à Vessy.")</f>
        <v>🏘  L’appartement de vos rêves se trouve sur ImmoScout24.ch ✅ Découvrez les dernières annonces de vente à Vessy.</v>
      </c>
      <c r="J1310" s="4" t="s">
        <v>3934</v>
      </c>
    </row>
    <row r="1311">
      <c r="A1311" s="5" t="s">
        <v>3935</v>
      </c>
      <c r="B1311" s="2" t="s">
        <v>3936</v>
      </c>
      <c r="C1311" s="4" t="str">
        <f>IFERROR(__xludf.DUMMYFUNCTION("""🏘️ ""&amp;REGEXEXTRACT(B1311, ""^(.*): "")&amp;"" ✅ "" &amp;REGEXEXTRACT(B1311, ""(Trouvez.*)"")"),"🏘️ Vendre maison Auboranges ✅ Trouvez le bien immobilier qui correspond idéalement à vos désirs sur ImmoScout24 - La plateforme de l'immobilier en Suisse.")</f>
        <v>🏘️ Vendre maison Auboranges ✅ Trouvez le bien immobilier qui correspond idéalement à vos désirs sur ImmoScout24 - La plateforme de l'immobilier en Suisse.</v>
      </c>
      <c r="D1311" s="4" t="str">
        <f>vlookup(A1311, Sheet2!D:E, 2, 0)</f>
        <v>variant</v>
      </c>
      <c r="E1311" s="4" t="str">
        <f>IFERROR(__xludf.DUMMYFUNCTION("if(H1311=""pays"",vlookup(REGEXEXTRACT(C1311, ""🏘️ \w+ \w+ (.*) ✅""),'Country prepositions'!A:B, 2, 0) &amp; "" "" &amp; REGEXEXTRACT(C1311, ""🏘️ \w+ \w+ (.*) ✅"") ,  if(H1311=""quartier"",vlookup(REGEXEXTRACT(C1311, ""🏘️ \w+ \w+ (.*) ✅""),'Quartier prepositio"&amp;"ns'!A:E, 5, 0) ,  if(H1311=""region"",vlookup(REGEXEXTRACT(C1311, ""🏘️ \w+ \w+ (.*) ✅""),'Region prepositions'!B:F, 5, 0),  REGEXEXTRACT(C1311, ""🏘️ \w+ \w+ (.*) ✅""))))"),"Auboranges")</f>
        <v>Auboranges</v>
      </c>
      <c r="F1311" s="2" t="str">
        <f>IFERROR(__xludf.DUMMYFUNCTION("REGEXEXTRACT(C1311, ""🏘️ (\w+) \w+ .* ✅"")"),"Vendre")</f>
        <v>Vendre</v>
      </c>
      <c r="G1311" s="2" t="str">
        <f>IFERROR(__xludf.DUMMYFUNCTION("REGEXEXTRACT(C1311, ""🏘️ \w+ (\w+) .* ✅"")"),"maison")</f>
        <v>maison</v>
      </c>
      <c r="H1311" s="4" t="str">
        <f>IFERROR(__xludf.DUMMYFUNCTION("REGEXEXTRACT(A1311, ""/(\w+)-.*?"")"),"lieu")</f>
        <v>lieu</v>
      </c>
      <c r="I1311" s="4" t="str">
        <f>IFERROR(__xludf.DUMMYFUNCTION("if(D1311=""variant"",  substitute(filter(Templates!E:E, Templates!A:A = F1311, Templates!B:B = G1311, Templates!C:C = H1311), ""{{}}"", E1311), B1311)"),"🏘  Vous souhaitez acheter une maison à Auboranges? ✅ Jetez un œil aux dernières offres sur ImmoScout24.ch.")</f>
        <v>🏘  Vous souhaitez acheter une maison à Auboranges? ✅ Jetez un œil aux dernières offres sur ImmoScout24.ch.</v>
      </c>
      <c r="J1311" s="4" t="s">
        <v>3937</v>
      </c>
    </row>
    <row r="1312">
      <c r="A1312" s="5" t="s">
        <v>3938</v>
      </c>
      <c r="B1312" s="2" t="s">
        <v>3939</v>
      </c>
      <c r="C1312" s="4" t="str">
        <f>IFERROR(__xludf.DUMMYFUNCTION("""🏘️ ""&amp;REGEXEXTRACT(B1312, ""^(.*): "")&amp;"" ✅ "" &amp;REGEXEXTRACT(B1312, ""(Trouvez.*)"")"),"🏘️ Vendre maison Winterberg ZH ✅ Trouvez le bien immobilier qui correspond idéalement à vos désirs sur ImmoScout24 - La plateforme de l'immobilier en Suisse.")</f>
        <v>🏘️ Vendre maison Winterberg ZH ✅ Trouvez le bien immobilier qui correspond idéalement à vos désirs sur ImmoScout24 - La plateforme de l'immobilier en Suisse.</v>
      </c>
      <c r="D1312" s="4" t="str">
        <f>vlookup(A1312, Sheet2!D:E, 2, 0)</f>
        <v>variant</v>
      </c>
      <c r="E1312" s="4" t="str">
        <f>IFERROR(__xludf.DUMMYFUNCTION("if(H1312=""pays"",vlookup(REGEXEXTRACT(C1312, ""🏘️ \w+ \w+ (.*) ✅""),'Country prepositions'!A:B, 2, 0) &amp; "" "" &amp; REGEXEXTRACT(C1312, ""🏘️ \w+ \w+ (.*) ✅"") ,  if(H1312=""quartier"",vlookup(REGEXEXTRACT(C1312, ""🏘️ \w+ \w+ (.*) ✅""),'Quartier prepositio"&amp;"ns'!A:E, 5, 0) ,  if(H1312=""region"",vlookup(REGEXEXTRACT(C1312, ""🏘️ \w+ \w+ (.*) ✅""),'Region prepositions'!B:F, 5, 0),  REGEXEXTRACT(C1312, ""🏘️ \w+ \w+ (.*) ✅""))))"),"Winterberg ZH")</f>
        <v>Winterberg ZH</v>
      </c>
      <c r="F1312" s="2" t="str">
        <f>IFERROR(__xludf.DUMMYFUNCTION("REGEXEXTRACT(C1312, ""🏘️ (\w+) \w+ .* ✅"")"),"Vendre")</f>
        <v>Vendre</v>
      </c>
      <c r="G1312" s="2" t="str">
        <f>IFERROR(__xludf.DUMMYFUNCTION("REGEXEXTRACT(C1312, ""🏘️ \w+ (\w+) .* ✅"")"),"maison")</f>
        <v>maison</v>
      </c>
      <c r="H1312" s="4" t="str">
        <f>IFERROR(__xludf.DUMMYFUNCTION("REGEXEXTRACT(A1312, ""/(\w+)-.*?"")"),"lieu")</f>
        <v>lieu</v>
      </c>
      <c r="I1312" s="4" t="str">
        <f>IFERROR(__xludf.DUMMYFUNCTION("if(D1312=""variant"",  substitute(filter(Templates!E:E, Templates!A:A = F1312, Templates!B:B = G1312, Templates!C:C = H1312), ""{{}}"", E1312), B1312)"),"🏘  Vous souhaitez acheter une maison à Winterberg ZH? ✅ Jetez un œil aux dernières offres sur ImmoScout24.ch.")</f>
        <v>🏘  Vous souhaitez acheter une maison à Winterberg ZH? ✅ Jetez un œil aux dernières offres sur ImmoScout24.ch.</v>
      </c>
      <c r="J1312" s="4" t="s">
        <v>3940</v>
      </c>
    </row>
    <row r="1313">
      <c r="A1313" s="5" t="s">
        <v>3941</v>
      </c>
      <c r="B1313" s="2" t="s">
        <v>3942</v>
      </c>
      <c r="C1313" s="4" t="str">
        <f>IFERROR(__xludf.DUMMYFUNCTION("""🏘️ ""&amp;REGEXEXTRACT(B1313, ""^(.*): "")&amp;"" ✅ "" &amp;REGEXEXTRACT(B1313, ""(Trouvez.*)"")"),"🏘️ Vendre maison Besencens ✅ Trouvez le bien immobilier qui correspond idéalement à vos désirs sur ImmoScout24 - La plateforme de l'immobilier en Suisse.")</f>
        <v>🏘️ Vendre maison Besencens ✅ Trouvez le bien immobilier qui correspond idéalement à vos désirs sur ImmoScout24 - La plateforme de l'immobilier en Suisse.</v>
      </c>
      <c r="D1313" s="4" t="str">
        <f>vlookup(A1313, Sheet2!D:E, 2, 0)</f>
        <v>variant</v>
      </c>
      <c r="E1313" s="4" t="str">
        <f>IFERROR(__xludf.DUMMYFUNCTION("if(H1313=""pays"",vlookup(REGEXEXTRACT(C1313, ""🏘️ \w+ \w+ (.*) ✅""),'Country prepositions'!A:B, 2, 0) &amp; "" "" &amp; REGEXEXTRACT(C1313, ""🏘️ \w+ \w+ (.*) ✅"") ,  if(H1313=""quartier"",vlookup(REGEXEXTRACT(C1313, ""🏘️ \w+ \w+ (.*) ✅""),'Quartier prepositio"&amp;"ns'!A:E, 5, 0) ,  if(H1313=""region"",vlookup(REGEXEXTRACT(C1313, ""🏘️ \w+ \w+ (.*) ✅""),'Region prepositions'!B:F, 5, 0),  REGEXEXTRACT(C1313, ""🏘️ \w+ \w+ (.*) ✅""))))"),"Besencens")</f>
        <v>Besencens</v>
      </c>
      <c r="F1313" s="2" t="str">
        <f>IFERROR(__xludf.DUMMYFUNCTION("REGEXEXTRACT(C1313, ""🏘️ (\w+) \w+ .* ✅"")"),"Vendre")</f>
        <v>Vendre</v>
      </c>
      <c r="G1313" s="2" t="str">
        <f>IFERROR(__xludf.DUMMYFUNCTION("REGEXEXTRACT(C1313, ""🏘️ \w+ (\w+) .* ✅"")"),"maison")</f>
        <v>maison</v>
      </c>
      <c r="H1313" s="4" t="str">
        <f>IFERROR(__xludf.DUMMYFUNCTION("REGEXEXTRACT(A1313, ""/(\w+)-.*?"")"),"lieu")</f>
        <v>lieu</v>
      </c>
      <c r="I1313" s="4" t="str">
        <f>IFERROR(__xludf.DUMMYFUNCTION("if(D1313=""variant"",  substitute(filter(Templates!E:E, Templates!A:A = F1313, Templates!B:B = G1313, Templates!C:C = H1313), ""{{}}"", E1313), B1313)"),"🏘  Vous souhaitez acheter une maison à Besencens? ✅ Jetez un œil aux dernières offres sur ImmoScout24.ch.")</f>
        <v>🏘  Vous souhaitez acheter une maison à Besencens? ✅ Jetez un œil aux dernières offres sur ImmoScout24.ch.</v>
      </c>
      <c r="J1313" s="4" t="s">
        <v>3943</v>
      </c>
    </row>
    <row r="1314">
      <c r="A1314" s="5" t="s">
        <v>3944</v>
      </c>
      <c r="B1314" s="2" t="s">
        <v>3945</v>
      </c>
      <c r="C1314" s="4" t="str">
        <f>IFERROR(__xludf.DUMMYFUNCTION("""🏘️ ""&amp;REGEXEXTRACT(B1314, ""^(.*): "")&amp;"" ✅ "" &amp;REGEXEXTRACT(B1314, ""(Trouvez.*)"")"),"🏘️ Vendre maison Serrières (Neuchâtel) ✅ Trouvez le bien immobilier qui correspond idéalement à vos désirs sur ImmoScout24 - La plateforme de l'immobilier en Suisse.")</f>
        <v>🏘️ Vendre maison Serrières (Neuchâtel) ✅ Trouvez le bien immobilier qui correspond idéalement à vos désirs sur ImmoScout24 - La plateforme de l'immobilier en Suisse.</v>
      </c>
      <c r="D1314" s="4" t="str">
        <f>vlookup(A1314, Sheet2!D:E, 2, 0)</f>
        <v>variant</v>
      </c>
      <c r="E1314" s="4" t="str">
        <f>IFERROR(__xludf.DUMMYFUNCTION("if(H1314=""pays"",vlookup(REGEXEXTRACT(C1314, ""🏘️ \w+ \w+ (.*) ✅""),'Country prepositions'!A:B, 2, 0) &amp; "" "" &amp; REGEXEXTRACT(C1314, ""🏘️ \w+ \w+ (.*) ✅"") ,  if(H1314=""quartier"",vlookup(REGEXEXTRACT(C1314, ""🏘️ \w+ \w+ (.*) ✅""),'Quartier prepositio"&amp;"ns'!A:E, 5, 0) ,  if(H1314=""region"",vlookup(REGEXEXTRACT(C1314, ""🏘️ \w+ \w+ (.*) ✅""),'Region prepositions'!B:F, 5, 0),  REGEXEXTRACT(C1314, ""🏘️ \w+ \w+ (.*) ✅""))))"),"dans le quartier de Serrières (Neuchâtel)")</f>
        <v>dans le quartier de Serrières (Neuchâtel)</v>
      </c>
      <c r="F1314" s="2" t="str">
        <f>IFERROR(__xludf.DUMMYFUNCTION("REGEXEXTRACT(C1314, ""🏘️ (\w+) \w+ .* ✅"")"),"Vendre")</f>
        <v>Vendre</v>
      </c>
      <c r="G1314" s="2" t="str">
        <f>IFERROR(__xludf.DUMMYFUNCTION("REGEXEXTRACT(C1314, ""🏘️ \w+ (\w+) .* ✅"")"),"maison")</f>
        <v>maison</v>
      </c>
      <c r="H1314" s="4" t="str">
        <f>IFERROR(__xludf.DUMMYFUNCTION("REGEXEXTRACT(A1314, ""/(\w+)-.*?"")"),"quartier")</f>
        <v>quartier</v>
      </c>
      <c r="I1314" s="4" t="str">
        <f>IFERROR(__xludf.DUMMYFUNCTION("if(D1314=""variant"",  substitute(filter(Templates!E:E, Templates!A:A = F1314, Templates!B:B = G1314, Templates!C:C = H1314), ""{{}}"", E1314), B1314)"),"🏘  Vous souhaitez acheter une maison dans le quartier de Serrières (Neuchâtel)? ✅ Jetez un œil aux dernières offres sur ImmoScout24.ch.")</f>
        <v>🏘  Vous souhaitez acheter une maison dans le quartier de Serrières (Neuchâtel)? ✅ Jetez un œil aux dernières offres sur ImmoScout24.ch.</v>
      </c>
      <c r="J1314" s="4" t="s">
        <v>3946</v>
      </c>
    </row>
    <row r="1315">
      <c r="A1315" s="5" t="s">
        <v>3947</v>
      </c>
      <c r="B1315" s="2" t="s">
        <v>3948</v>
      </c>
      <c r="C1315" s="4" t="str">
        <f>IFERROR(__xludf.DUMMYFUNCTION("""🏘️ ""&amp;REGEXEXTRACT(B1315, ""^(.*): "")&amp;"" ✅ "" &amp;REGEXEXTRACT(B1315, ""(Trouvez.*)"")"),"🏘️ Vendre maison Troistorrents ✅ Trouvez le bien immobilier qui correspond idéalement à vos désirs sur ImmoScout24 - La plateforme de l'immobilier en Suisse.")</f>
        <v>🏘️ Vendre maison Troistorrents ✅ Trouvez le bien immobilier qui correspond idéalement à vos désirs sur ImmoScout24 - La plateforme de l'immobilier en Suisse.</v>
      </c>
      <c r="D1315" s="4" t="str">
        <f>vlookup(A1315, Sheet2!D:E, 2, 0)</f>
        <v>variant</v>
      </c>
      <c r="E1315" s="4" t="str">
        <f>IFERROR(__xludf.DUMMYFUNCTION("if(H1315=""pays"",vlookup(REGEXEXTRACT(C1315, ""🏘️ \w+ \w+ (.*) ✅""),'Country prepositions'!A:B, 2, 0) &amp; "" "" &amp; REGEXEXTRACT(C1315, ""🏘️ \w+ \w+ (.*) ✅"") ,  if(H1315=""quartier"",vlookup(REGEXEXTRACT(C1315, ""🏘️ \w+ \w+ (.*) ✅""),'Quartier prepositio"&amp;"ns'!A:E, 5, 0) ,  if(H1315=""region"",vlookup(REGEXEXTRACT(C1315, ""🏘️ \w+ \w+ (.*) ✅""),'Region prepositions'!B:F, 5, 0),  REGEXEXTRACT(C1315, ""🏘️ \w+ \w+ (.*) ✅""))))"),"Troistorrents")</f>
        <v>Troistorrents</v>
      </c>
      <c r="F1315" s="2" t="str">
        <f>IFERROR(__xludf.DUMMYFUNCTION("REGEXEXTRACT(C1315, ""🏘️ (\w+) \w+ .* ✅"")"),"Vendre")</f>
        <v>Vendre</v>
      </c>
      <c r="G1315" s="2" t="str">
        <f>IFERROR(__xludf.DUMMYFUNCTION("REGEXEXTRACT(C1315, ""🏘️ \w+ (\w+) .* ✅"")"),"maison")</f>
        <v>maison</v>
      </c>
      <c r="H1315" s="4" t="str">
        <f>IFERROR(__xludf.DUMMYFUNCTION("REGEXEXTRACT(A1315, ""/(\w+)-.*?"")"),"lieu")</f>
        <v>lieu</v>
      </c>
      <c r="I1315" s="4" t="str">
        <f>IFERROR(__xludf.DUMMYFUNCTION("if(D1315=""variant"",  substitute(filter(Templates!E:E, Templates!A:A = F1315, Templates!B:B = G1315, Templates!C:C = H1315), ""{{}}"", E1315), B1315)"),"🏘  Vous souhaitez acheter une maison à Troistorrents? ✅ Jetez un œil aux dernières offres sur ImmoScout24.ch.")</f>
        <v>🏘  Vous souhaitez acheter une maison à Troistorrents? ✅ Jetez un œil aux dernières offres sur ImmoScout24.ch.</v>
      </c>
      <c r="J1315" s="4" t="s">
        <v>3949</v>
      </c>
    </row>
    <row r="1316">
      <c r="A1316" s="5" t="s">
        <v>3950</v>
      </c>
      <c r="B1316" s="2" t="s">
        <v>3951</v>
      </c>
      <c r="C1316" s="4" t="str">
        <f>IFERROR(__xludf.DUMMYFUNCTION("""🏘️ ""&amp;REGEXEXTRACT(B1316, ""^(.*): "")&amp;"" ✅ "" &amp;REGEXEXTRACT(B1316, ""(Trouvez.*)"")"),"🏘️ Vendre maison Moosseedorf ✅ Trouvez le bien immobilier qui correspond idéalement à vos désirs sur ImmoScout24 - La plateforme de l'immobilier en Suisse.")</f>
        <v>🏘️ Vendre maison Moosseedorf ✅ Trouvez le bien immobilier qui correspond idéalement à vos désirs sur ImmoScout24 - La plateforme de l'immobilier en Suisse.</v>
      </c>
      <c r="D1316" s="4" t="str">
        <f>vlookup(A1316, Sheet2!D:E, 2, 0)</f>
        <v>variant</v>
      </c>
      <c r="E1316" s="4" t="str">
        <f>IFERROR(__xludf.DUMMYFUNCTION("if(H1316=""pays"",vlookup(REGEXEXTRACT(C1316, ""🏘️ \w+ \w+ (.*) ✅""),'Country prepositions'!A:B, 2, 0) &amp; "" "" &amp; REGEXEXTRACT(C1316, ""🏘️ \w+ \w+ (.*) ✅"") ,  if(H1316=""quartier"",vlookup(REGEXEXTRACT(C1316, ""🏘️ \w+ \w+ (.*) ✅""),'Quartier prepositio"&amp;"ns'!A:E, 5, 0) ,  if(H1316=""region"",vlookup(REGEXEXTRACT(C1316, ""🏘️ \w+ \w+ (.*) ✅""),'Region prepositions'!B:F, 5, 0),  REGEXEXTRACT(C1316, ""🏘️ \w+ \w+ (.*) ✅""))))"),"Moosseedorf")</f>
        <v>Moosseedorf</v>
      </c>
      <c r="F1316" s="2" t="str">
        <f>IFERROR(__xludf.DUMMYFUNCTION("REGEXEXTRACT(C1316, ""🏘️ (\w+) \w+ .* ✅"")"),"Vendre")</f>
        <v>Vendre</v>
      </c>
      <c r="G1316" s="2" t="str">
        <f>IFERROR(__xludf.DUMMYFUNCTION("REGEXEXTRACT(C1316, ""🏘️ \w+ (\w+) .* ✅"")"),"maison")</f>
        <v>maison</v>
      </c>
      <c r="H1316" s="4" t="str">
        <f>IFERROR(__xludf.DUMMYFUNCTION("REGEXEXTRACT(A1316, ""/(\w+)-.*?"")"),"lieu")</f>
        <v>lieu</v>
      </c>
      <c r="I1316" s="4" t="str">
        <f>IFERROR(__xludf.DUMMYFUNCTION("if(D1316=""variant"",  substitute(filter(Templates!E:E, Templates!A:A = F1316, Templates!B:B = G1316, Templates!C:C = H1316), ""{{}}"", E1316), B1316)"),"🏘  Vous souhaitez acheter une maison à Moosseedorf? ✅ Jetez un œil aux dernières offres sur ImmoScout24.ch.")</f>
        <v>🏘  Vous souhaitez acheter une maison à Moosseedorf? ✅ Jetez un œil aux dernières offres sur ImmoScout24.ch.</v>
      </c>
      <c r="J1316" s="4" t="s">
        <v>3952</v>
      </c>
    </row>
    <row r="1317">
      <c r="A1317" s="5" t="s">
        <v>3953</v>
      </c>
      <c r="B1317" s="2" t="s">
        <v>3954</v>
      </c>
      <c r="C1317" s="4" t="str">
        <f>IFERROR(__xludf.DUMMYFUNCTION("""🏘️ ""&amp;REGEXEXTRACT(B1317, ""^(.*): "")&amp;"" ✅ "" &amp;REGEXEXTRACT(B1317, ""(Trouvez.*)"")"),"🏘️ Vendre appartement Broc ✅ Trouvez le bien immobilier qui correspond idéalement à vos désirs sur ImmoScout24 - La plateforme de l'immobilier en Suisse.")</f>
        <v>🏘️ Vendre appartement Broc ✅ Trouvez le bien immobilier qui correspond idéalement à vos désirs sur ImmoScout24 - La plateforme de l'immobilier en Suisse.</v>
      </c>
      <c r="D1317" s="4" t="str">
        <f>vlookup(A1317, Sheet2!D:E, 2, 0)</f>
        <v>variant</v>
      </c>
      <c r="E1317" s="4" t="str">
        <f>IFERROR(__xludf.DUMMYFUNCTION("if(H1317=""pays"",vlookup(REGEXEXTRACT(C1317, ""🏘️ \w+ \w+ (.*) ✅""),'Country prepositions'!A:B, 2, 0) &amp; "" "" &amp; REGEXEXTRACT(C1317, ""🏘️ \w+ \w+ (.*) ✅"") ,  if(H1317=""quartier"",vlookup(REGEXEXTRACT(C1317, ""🏘️ \w+ \w+ (.*) ✅""),'Quartier prepositio"&amp;"ns'!A:E, 5, 0) ,  if(H1317=""region"",vlookup(REGEXEXTRACT(C1317, ""🏘️ \w+ \w+ (.*) ✅""),'Region prepositions'!B:F, 5, 0),  REGEXEXTRACT(C1317, ""🏘️ \w+ \w+ (.*) ✅""))))"),"Broc")</f>
        <v>Broc</v>
      </c>
      <c r="F1317" s="2" t="str">
        <f>IFERROR(__xludf.DUMMYFUNCTION("REGEXEXTRACT(C1317, ""🏘️ (\w+) \w+ .* ✅"")"),"Vendre")</f>
        <v>Vendre</v>
      </c>
      <c r="G1317" s="2" t="str">
        <f>IFERROR(__xludf.DUMMYFUNCTION("REGEXEXTRACT(C1317, ""🏘️ \w+ (\w+) .* ✅"")"),"appartement")</f>
        <v>appartement</v>
      </c>
      <c r="H1317" s="4" t="str">
        <f>IFERROR(__xludf.DUMMYFUNCTION("REGEXEXTRACT(A1317, ""/(\w+)-.*?"")"),"lieu")</f>
        <v>lieu</v>
      </c>
      <c r="I1317" s="4" t="str">
        <f>IFERROR(__xludf.DUMMYFUNCTION("if(D1317=""variant"",  substitute(filter(Templates!E:E, Templates!A:A = F1317, Templates!B:B = G1317, Templates!C:C = H1317), ""{{}}"", E1317), B1317)"),"🏘  L’appartement de vos rêves se trouve sur ImmoScout24.ch ✅ Découvrez les dernières annonces de vente à Broc.")</f>
        <v>🏘  L’appartement de vos rêves se trouve sur ImmoScout24.ch ✅ Découvrez les dernières annonces de vente à Broc.</v>
      </c>
      <c r="J1317" s="4" t="s">
        <v>3955</v>
      </c>
    </row>
    <row r="1318">
      <c r="A1318" s="5" t="s">
        <v>3956</v>
      </c>
      <c r="B1318" s="2" t="s">
        <v>3957</v>
      </c>
      <c r="C1318" s="4" t="str">
        <f>IFERROR(__xludf.DUMMYFUNCTION("""🏘️ ""&amp;REGEXEXTRACT(B1318, ""^(.*): "")&amp;"" ✅ "" &amp;REGEXEXTRACT(B1318, ""(Trouvez.*)"")"),"🏘️ Louer appartement Bad Ragaz ✅ Trouvez le bien immobilier qui correspond idéalement à vos désirs sur ImmoScout24 - La plateforme de l'immobilier en Suisse.")</f>
        <v>🏘️ Louer appartement Bad Ragaz ✅ Trouvez le bien immobilier qui correspond idéalement à vos désirs sur ImmoScout24 - La plateforme de l'immobilier en Suisse.</v>
      </c>
      <c r="D1318" s="4" t="str">
        <f>vlookup(A1318, Sheet2!D:E, 2, 0)</f>
        <v>variant</v>
      </c>
      <c r="E1318" s="4" t="str">
        <f>IFERROR(__xludf.DUMMYFUNCTION("if(H1318=""pays"",vlookup(REGEXEXTRACT(C1318, ""🏘️ \w+ \w+ (.*) ✅""),'Country prepositions'!A:B, 2, 0) &amp; "" "" &amp; REGEXEXTRACT(C1318, ""🏘️ \w+ \w+ (.*) ✅"") ,  if(H1318=""quartier"",vlookup(REGEXEXTRACT(C1318, ""🏘️ \w+ \w+ (.*) ✅""),'Quartier prepositio"&amp;"ns'!A:E, 5, 0) ,  if(H1318=""region"",vlookup(REGEXEXTRACT(C1318, ""🏘️ \w+ \w+ (.*) ✅""),'Region prepositions'!B:F, 5, 0),  REGEXEXTRACT(C1318, ""🏘️ \w+ \w+ (.*) ✅""))))"),"Bad Ragaz")</f>
        <v>Bad Ragaz</v>
      </c>
      <c r="F1318" s="2" t="str">
        <f>IFERROR(__xludf.DUMMYFUNCTION("REGEXEXTRACT(C1318, ""🏘️ (\w+) \w+ .* ✅"")"),"Louer")</f>
        <v>Louer</v>
      </c>
      <c r="G1318" s="2" t="str">
        <f>IFERROR(__xludf.DUMMYFUNCTION("REGEXEXTRACT(C1318, ""🏘️ \w+ (\w+) .* ✅"")"),"appartement")</f>
        <v>appartement</v>
      </c>
      <c r="H1318" s="4" t="str">
        <f>IFERROR(__xludf.DUMMYFUNCTION("REGEXEXTRACT(A1318, ""/(\w+)-.*?"")"),"lieu")</f>
        <v>lieu</v>
      </c>
      <c r="I1318" s="4" t="str">
        <f>IFERROR(__xludf.DUMMYFUNCTION("if(D1318=""variant"",  substitute(filter(Templates!E:E, Templates!A:A = F1318, Templates!B:B = G1318, Templates!C:C = H1318), ""{{}}"", E1318), B1318)"),"🏘  Vous cherchez un appartement à louer à Bad Ragaz? ✅ Les annonces les plus actuelles sont sur ImmoScout24.ch.")</f>
        <v>🏘  Vous cherchez un appartement à louer à Bad Ragaz? ✅ Les annonces les plus actuelles sont sur ImmoScout24.ch.</v>
      </c>
      <c r="J1318" s="4" t="s">
        <v>3958</v>
      </c>
    </row>
    <row r="1319">
      <c r="A1319" s="5" t="s">
        <v>3959</v>
      </c>
      <c r="B1319" s="2" t="s">
        <v>3960</v>
      </c>
      <c r="C1319" s="4" t="str">
        <f>IFERROR(__xludf.DUMMYFUNCTION("""🏘️ ""&amp;REGEXEXTRACT(B1319, ""^(.*): "")&amp;"" ✅ "" &amp;REGEXEXTRACT(B1319, ""(Trouvez.*)"")"),"🏘️ Louer appartement Langnau am Albis ✅ Trouvez le bien immobilier qui correspond idéalement à vos désirs sur ImmoScout24 - La plateforme de l'immobilier en Suisse.")</f>
        <v>🏘️ Louer appartement Langnau am Albis ✅ Trouvez le bien immobilier qui correspond idéalement à vos désirs sur ImmoScout24 - La plateforme de l'immobilier en Suisse.</v>
      </c>
      <c r="D1319" s="4" t="str">
        <f>vlookup(A1319, Sheet2!D:E, 2, 0)</f>
        <v>variant</v>
      </c>
      <c r="E1319" s="4" t="str">
        <f>IFERROR(__xludf.DUMMYFUNCTION("if(H1319=""pays"",vlookup(REGEXEXTRACT(C1319, ""🏘️ \w+ \w+ (.*) ✅""),'Country prepositions'!A:B, 2, 0) &amp; "" "" &amp; REGEXEXTRACT(C1319, ""🏘️ \w+ \w+ (.*) ✅"") ,  if(H1319=""quartier"",vlookup(REGEXEXTRACT(C1319, ""🏘️ \w+ \w+ (.*) ✅""),'Quartier prepositio"&amp;"ns'!A:E, 5, 0) ,  if(H1319=""region"",vlookup(REGEXEXTRACT(C1319, ""🏘️ \w+ \w+ (.*) ✅""),'Region prepositions'!B:F, 5, 0),  REGEXEXTRACT(C1319, ""🏘️ \w+ \w+ (.*) ✅""))))"),"Langnau am Albis")</f>
        <v>Langnau am Albis</v>
      </c>
      <c r="F1319" s="2" t="str">
        <f>IFERROR(__xludf.DUMMYFUNCTION("REGEXEXTRACT(C1319, ""🏘️ (\w+) \w+ .* ✅"")"),"Louer")</f>
        <v>Louer</v>
      </c>
      <c r="G1319" s="2" t="str">
        <f>IFERROR(__xludf.DUMMYFUNCTION("REGEXEXTRACT(C1319, ""🏘️ \w+ (\w+) .* ✅"")"),"appartement")</f>
        <v>appartement</v>
      </c>
      <c r="H1319" s="4" t="str">
        <f>IFERROR(__xludf.DUMMYFUNCTION("REGEXEXTRACT(A1319, ""/(\w+)-.*?"")"),"lieu")</f>
        <v>lieu</v>
      </c>
      <c r="I1319" s="4" t="str">
        <f>IFERROR(__xludf.DUMMYFUNCTION("if(D1319=""variant"",  substitute(filter(Templates!E:E, Templates!A:A = F1319, Templates!B:B = G1319, Templates!C:C = H1319), ""{{}}"", E1319), B1319)"),"🏘  Vous cherchez un appartement à louer à Langnau am Albis? ✅ Les annonces les plus actuelles sont sur ImmoScout24.ch.")</f>
        <v>🏘  Vous cherchez un appartement à louer à Langnau am Albis? ✅ Les annonces les plus actuelles sont sur ImmoScout24.ch.</v>
      </c>
      <c r="J1319" s="4" t="s">
        <v>3961</v>
      </c>
    </row>
    <row r="1320">
      <c r="A1320" s="5" t="s">
        <v>3962</v>
      </c>
      <c r="B1320" s="2" t="s">
        <v>3963</v>
      </c>
      <c r="C1320" s="4" t="str">
        <f>IFERROR(__xludf.DUMMYFUNCTION("""🏘️ ""&amp;REGEXEXTRACT(B1320, ""^(.*): "")&amp;"" ✅ "" &amp;REGEXEXTRACT(B1320, ""(Trouvez.*)"")"),"🏘️ Vendre appartement Emmental ✅ Trouvez le bien immobilier qui correspond idéalement à vos désirs sur ImmoScout24 - La plateforme de l'immobilier en Suisse.")</f>
        <v>🏘️ Vendre appartement Emmental ✅ Trouvez le bien immobilier qui correspond idéalement à vos désirs sur ImmoScout24 - La plateforme de l'immobilier en Suisse.</v>
      </c>
      <c r="D1320" s="4" t="str">
        <f>vlookup(A1320, Sheet2!D:E, 2, 0)</f>
        <v>variant</v>
      </c>
      <c r="E1320" s="4" t="str">
        <f>IFERROR(__xludf.DUMMYFUNCTION("if(H1320=""pays"",vlookup(REGEXEXTRACT(C1320, ""🏘️ \w+ \w+ (.*) ✅""),'Country prepositions'!A:B, 2, 0) &amp; "" "" &amp; REGEXEXTRACT(C1320, ""🏘️ \w+ \w+ (.*) ✅"") ,  if(H1320=""quartier"",vlookup(REGEXEXTRACT(C1320, ""🏘️ \w+ \w+ (.*) ✅""),'Quartier prepositio"&amp;"ns'!A:E, 5, 0) ,  if(H1320=""region"",vlookup(REGEXEXTRACT(C1320, ""🏘️ \w+ \w+ (.*) ✅""),'Region prepositions'!B:F, 5, 0),  REGEXEXTRACT(C1320, ""🏘️ \w+ \w+ (.*) ✅""))))"),"dans la région de l'Emmental")</f>
        <v>dans la région de l'Emmental</v>
      </c>
      <c r="F1320" s="2" t="str">
        <f>IFERROR(__xludf.DUMMYFUNCTION("REGEXEXTRACT(C1320, ""🏘️ (\w+) \w+ .* ✅"")"),"Vendre")</f>
        <v>Vendre</v>
      </c>
      <c r="G1320" s="2" t="str">
        <f>IFERROR(__xludf.DUMMYFUNCTION("REGEXEXTRACT(C1320, ""🏘️ \w+ (\w+) .* ✅"")"),"appartement")</f>
        <v>appartement</v>
      </c>
      <c r="H1320" s="4" t="str">
        <f>IFERROR(__xludf.DUMMYFUNCTION("REGEXEXTRACT(A1320, ""/(\w+)-.*?"")"),"region")</f>
        <v>region</v>
      </c>
      <c r="I1320" s="8" t="str">
        <f>IFERROR(__xludf.DUMMYFUNCTION("if(D1320=""variant"",  substitute(filter(Templates!E:E, Templates!A:A = F1320, Templates!B:B = G1320, Templates!C:C = H1320), ""{{}}"", E1320), B1320)"),"🏘  L’appartement de vos rêves se trouve sur ImmoScout24.ch ✅ Découvrez les dernières annonces de vente dans la région de l'Emmental.")</f>
        <v>🏘  L’appartement de vos rêves se trouve sur ImmoScout24.ch ✅ Découvrez les dernières annonces de vente dans la région de l'Emmental.</v>
      </c>
      <c r="J1320" s="9" t="s">
        <v>3964</v>
      </c>
    </row>
    <row r="1321">
      <c r="A1321" s="5" t="s">
        <v>3965</v>
      </c>
      <c r="B1321" s="2" t="s">
        <v>3966</v>
      </c>
      <c r="C1321" s="4" t="str">
        <f>IFERROR(__xludf.DUMMYFUNCTION("""🏘️ ""&amp;REGEXEXTRACT(B1321, ""^(.*): "")&amp;"" ✅ "" &amp;REGEXEXTRACT(B1321, ""(Trouvez.*)"")"),"🏘️ Vendre appartement Soral ✅ Trouvez le bien immobilier qui correspond idéalement à vos désirs sur ImmoScout24 - La plateforme de l'immobilier en Suisse.")</f>
        <v>🏘️ Vendre appartement Soral ✅ Trouvez le bien immobilier qui correspond idéalement à vos désirs sur ImmoScout24 - La plateforme de l'immobilier en Suisse.</v>
      </c>
      <c r="D1321" s="4" t="str">
        <f>vlookup(A1321, Sheet2!D:E, 2, 0)</f>
        <v>variant</v>
      </c>
      <c r="E1321" s="4" t="str">
        <f>IFERROR(__xludf.DUMMYFUNCTION("if(H1321=""pays"",vlookup(REGEXEXTRACT(C1321, ""🏘️ \w+ \w+ (.*) ✅""),'Country prepositions'!A:B, 2, 0) &amp; "" "" &amp; REGEXEXTRACT(C1321, ""🏘️ \w+ \w+ (.*) ✅"") ,  if(H1321=""quartier"",vlookup(REGEXEXTRACT(C1321, ""🏘️ \w+ \w+ (.*) ✅""),'Quartier prepositio"&amp;"ns'!A:E, 5, 0) ,  if(H1321=""region"",vlookup(REGEXEXTRACT(C1321, ""🏘️ \w+ \w+ (.*) ✅""),'Region prepositions'!B:F, 5, 0),  REGEXEXTRACT(C1321, ""🏘️ \w+ \w+ (.*) ✅""))))"),"Soral")</f>
        <v>Soral</v>
      </c>
      <c r="F1321" s="2" t="str">
        <f>IFERROR(__xludf.DUMMYFUNCTION("REGEXEXTRACT(C1321, ""🏘️ (\w+) \w+ .* ✅"")"),"Vendre")</f>
        <v>Vendre</v>
      </c>
      <c r="G1321" s="2" t="str">
        <f>IFERROR(__xludf.DUMMYFUNCTION("REGEXEXTRACT(C1321, ""🏘️ \w+ (\w+) .* ✅"")"),"appartement")</f>
        <v>appartement</v>
      </c>
      <c r="H1321" s="4" t="str">
        <f>IFERROR(__xludf.DUMMYFUNCTION("REGEXEXTRACT(A1321, ""/(\w+)-.*?"")"),"lieu")</f>
        <v>lieu</v>
      </c>
      <c r="I1321" s="4" t="str">
        <f>IFERROR(__xludf.DUMMYFUNCTION("if(D1321=""variant"",  substitute(filter(Templates!E:E, Templates!A:A = F1321, Templates!B:B = G1321, Templates!C:C = H1321), ""{{}}"", E1321), B1321)"),"🏘  L’appartement de vos rêves se trouve sur ImmoScout24.ch ✅ Découvrez les dernières annonces de vente à Soral.")</f>
        <v>🏘  L’appartement de vos rêves se trouve sur ImmoScout24.ch ✅ Découvrez les dernières annonces de vente à Soral.</v>
      </c>
      <c r="J1321" s="4" t="s">
        <v>3967</v>
      </c>
    </row>
    <row r="1322">
      <c r="A1322" s="5" t="s">
        <v>3968</v>
      </c>
      <c r="B1322" s="2" t="s">
        <v>3969</v>
      </c>
      <c r="C1322" s="4" t="str">
        <f>IFERROR(__xludf.DUMMYFUNCTION("""🏘️ ""&amp;REGEXEXTRACT(B1322, ""^(.*): "")&amp;"" ✅ "" &amp;REGEXEXTRACT(B1322, ""(Trouvez.*)"")"),"🏘️ Vendre maison Bière ✅ Trouvez le bien immobilier qui correspond idéalement à vos désirs sur ImmoScout24 - La plateforme de l'immobilier en Suisse.")</f>
        <v>🏘️ Vendre maison Bière ✅ Trouvez le bien immobilier qui correspond idéalement à vos désirs sur ImmoScout24 - La plateforme de l'immobilier en Suisse.</v>
      </c>
      <c r="D1322" s="4" t="str">
        <f>vlookup(A1322, Sheet2!D:E, 2, 0)</f>
        <v>variant</v>
      </c>
      <c r="E1322" s="4" t="str">
        <f>IFERROR(__xludf.DUMMYFUNCTION("if(H1322=""pays"",vlookup(REGEXEXTRACT(C1322, ""🏘️ \w+ \w+ (.*) ✅""),'Country prepositions'!A:B, 2, 0) &amp; "" "" &amp; REGEXEXTRACT(C1322, ""🏘️ \w+ \w+ (.*) ✅"") ,  if(H1322=""quartier"",vlookup(REGEXEXTRACT(C1322, ""🏘️ \w+ \w+ (.*) ✅""),'Quartier prepositio"&amp;"ns'!A:E, 5, 0) ,  if(H1322=""region"",vlookup(REGEXEXTRACT(C1322, ""🏘️ \w+ \w+ (.*) ✅""),'Region prepositions'!B:F, 5, 0),  REGEXEXTRACT(C1322, ""🏘️ \w+ \w+ (.*) ✅""))))"),"Bière")</f>
        <v>Bière</v>
      </c>
      <c r="F1322" s="2" t="str">
        <f>IFERROR(__xludf.DUMMYFUNCTION("REGEXEXTRACT(C1322, ""🏘️ (\w+) \w+ .* ✅"")"),"Vendre")</f>
        <v>Vendre</v>
      </c>
      <c r="G1322" s="2" t="str">
        <f>IFERROR(__xludf.DUMMYFUNCTION("REGEXEXTRACT(C1322, ""🏘️ \w+ (\w+) .* ✅"")"),"maison")</f>
        <v>maison</v>
      </c>
      <c r="H1322" s="4" t="str">
        <f>IFERROR(__xludf.DUMMYFUNCTION("REGEXEXTRACT(A1322, ""/(\w+)-.*?"")"),"lieu")</f>
        <v>lieu</v>
      </c>
      <c r="I1322" s="4" t="str">
        <f>IFERROR(__xludf.DUMMYFUNCTION("if(D1322=""variant"",  substitute(filter(Templates!E:E, Templates!A:A = F1322, Templates!B:B = G1322, Templates!C:C = H1322), ""{{}}"", E1322), B1322)"),"🏘  Vous souhaitez acheter une maison à Bière? ✅ Jetez un œil aux dernières offres sur ImmoScout24.ch.")</f>
        <v>🏘  Vous souhaitez acheter une maison à Bière? ✅ Jetez un œil aux dernières offres sur ImmoScout24.ch.</v>
      </c>
      <c r="J1322" s="4" t="s">
        <v>3970</v>
      </c>
    </row>
    <row r="1323">
      <c r="A1323" s="5" t="s">
        <v>3971</v>
      </c>
      <c r="B1323" s="2" t="s">
        <v>3972</v>
      </c>
      <c r="C1323" s="4" t="str">
        <f>IFERROR(__xludf.DUMMYFUNCTION("""🏘️ ""&amp;REGEXEXTRACT(B1323, ""^(.*): "")&amp;"" ✅ "" &amp;REGEXEXTRACT(B1323, ""(Trouvez.*)"")"),"🏘️ Vendre appartement Comano ✅ Trouvez le bien immobilier qui correspond idéalement à vos désirs sur ImmoScout24 - La plateforme de l'immobilier en Suisse.")</f>
        <v>🏘️ Vendre appartement Comano ✅ Trouvez le bien immobilier qui correspond idéalement à vos désirs sur ImmoScout24 - La plateforme de l'immobilier en Suisse.</v>
      </c>
      <c r="D1323" s="4" t="str">
        <f>vlookup(A1323, Sheet2!D:E, 2, 0)</f>
        <v>variant</v>
      </c>
      <c r="E1323" s="4" t="str">
        <f>IFERROR(__xludf.DUMMYFUNCTION("if(H1323=""pays"",vlookup(REGEXEXTRACT(C1323, ""🏘️ \w+ \w+ (.*) ✅""),'Country prepositions'!A:B, 2, 0) &amp; "" "" &amp; REGEXEXTRACT(C1323, ""🏘️ \w+ \w+ (.*) ✅"") ,  if(H1323=""quartier"",vlookup(REGEXEXTRACT(C1323, ""🏘️ \w+ \w+ (.*) ✅""),'Quartier prepositio"&amp;"ns'!A:E, 5, 0) ,  if(H1323=""region"",vlookup(REGEXEXTRACT(C1323, ""🏘️ \w+ \w+ (.*) ✅""),'Region prepositions'!B:F, 5, 0),  REGEXEXTRACT(C1323, ""🏘️ \w+ \w+ (.*) ✅""))))"),"Comano")</f>
        <v>Comano</v>
      </c>
      <c r="F1323" s="2" t="str">
        <f>IFERROR(__xludf.DUMMYFUNCTION("REGEXEXTRACT(C1323, ""🏘️ (\w+) \w+ .* ✅"")"),"Vendre")</f>
        <v>Vendre</v>
      </c>
      <c r="G1323" s="2" t="str">
        <f>IFERROR(__xludf.DUMMYFUNCTION("REGEXEXTRACT(C1323, ""🏘️ \w+ (\w+) .* ✅"")"),"appartement")</f>
        <v>appartement</v>
      </c>
      <c r="H1323" s="4" t="str">
        <f>IFERROR(__xludf.DUMMYFUNCTION("REGEXEXTRACT(A1323, ""/(\w+)-.*?"")"),"lieu")</f>
        <v>lieu</v>
      </c>
      <c r="I1323" s="4" t="str">
        <f>IFERROR(__xludf.DUMMYFUNCTION("if(D1323=""variant"",  substitute(filter(Templates!E:E, Templates!A:A = F1323, Templates!B:B = G1323, Templates!C:C = H1323), ""{{}}"", E1323), B1323)"),"🏘  L’appartement de vos rêves se trouve sur ImmoScout24.ch ✅ Découvrez les dernières annonces de vente à Comano.")</f>
        <v>🏘  L’appartement de vos rêves se trouve sur ImmoScout24.ch ✅ Découvrez les dernières annonces de vente à Comano.</v>
      </c>
      <c r="J1323" s="4" t="s">
        <v>3973</v>
      </c>
    </row>
    <row r="1324">
      <c r="A1324" s="5" t="s">
        <v>3974</v>
      </c>
      <c r="B1324" s="2" t="s">
        <v>3975</v>
      </c>
      <c r="C1324" s="4" t="str">
        <f>IFERROR(__xludf.DUMMYFUNCTION("""🏘️ ""&amp;REGEXEXTRACT(B1324, ""^(.*): "")&amp;"" ✅ "" &amp;REGEXEXTRACT(B1324, ""(Trouvez.*)"")"),"🏘️ Vendre appartement La Sarraz ✅ Trouvez le bien immobilier qui correspond idéalement à vos désirs sur ImmoScout24 - La plateforme de l'immobilier en Suisse.")</f>
        <v>🏘️ Vendre appartement La Sarraz ✅ Trouvez le bien immobilier qui correspond idéalement à vos désirs sur ImmoScout24 - La plateforme de l'immobilier en Suisse.</v>
      </c>
      <c r="D1324" s="4" t="str">
        <f>vlookup(A1324, Sheet2!D:E, 2, 0)</f>
        <v>variant</v>
      </c>
      <c r="E1324" s="4" t="str">
        <f>IFERROR(__xludf.DUMMYFUNCTION("if(H1324=""pays"",vlookup(REGEXEXTRACT(C1324, ""🏘️ \w+ \w+ (.*) ✅""),'Country prepositions'!A:B, 2, 0) &amp; "" "" &amp; REGEXEXTRACT(C1324, ""🏘️ \w+ \w+ (.*) ✅"") ,  if(H1324=""quartier"",vlookup(REGEXEXTRACT(C1324, ""🏘️ \w+ \w+ (.*) ✅""),'Quartier prepositio"&amp;"ns'!A:E, 5, 0) ,  if(H1324=""region"",vlookup(REGEXEXTRACT(C1324, ""🏘️ \w+ \w+ (.*) ✅""),'Region prepositions'!B:F, 5, 0),  REGEXEXTRACT(C1324, ""🏘️ \w+ \w+ (.*) ✅""))))"),"La Sarraz")</f>
        <v>La Sarraz</v>
      </c>
      <c r="F1324" s="2" t="str">
        <f>IFERROR(__xludf.DUMMYFUNCTION("REGEXEXTRACT(C1324, ""🏘️ (\w+) \w+ .* ✅"")"),"Vendre")</f>
        <v>Vendre</v>
      </c>
      <c r="G1324" s="2" t="str">
        <f>IFERROR(__xludf.DUMMYFUNCTION("REGEXEXTRACT(C1324, ""🏘️ \w+ (\w+) .* ✅"")"),"appartement")</f>
        <v>appartement</v>
      </c>
      <c r="H1324" s="4" t="str">
        <f>IFERROR(__xludf.DUMMYFUNCTION("REGEXEXTRACT(A1324, ""/(\w+)-.*?"")"),"lieu")</f>
        <v>lieu</v>
      </c>
      <c r="I1324" s="4" t="str">
        <f>IFERROR(__xludf.DUMMYFUNCTION("if(D1324=""variant"",  substitute(filter(Templates!E:E, Templates!A:A = F1324, Templates!B:B = G1324, Templates!C:C = H1324), ""{{}}"", E1324), B1324)"),"🏘  L’appartement de vos rêves se trouve sur ImmoScout24.ch ✅ Découvrez les dernières annonces de vente à La Sarraz.")</f>
        <v>🏘  L’appartement de vos rêves se trouve sur ImmoScout24.ch ✅ Découvrez les dernières annonces de vente à La Sarraz.</v>
      </c>
      <c r="J1324" s="4" t="s">
        <v>3976</v>
      </c>
    </row>
    <row r="1325">
      <c r="A1325" s="5" t="s">
        <v>3977</v>
      </c>
      <c r="B1325" s="2" t="s">
        <v>3978</v>
      </c>
      <c r="C1325" s="4" t="str">
        <f>IFERROR(__xludf.DUMMYFUNCTION("""🏘️ ""&amp;REGEXEXTRACT(B1325, ""^(.*): "")&amp;"" ✅ "" &amp;REGEXEXTRACT(B1325, ""(Trouvez.*)"")"),"🏘️ Louer appartement Madulain ✅ Trouvez le bien immobilier qui correspond idéalement à vos désirs sur ImmoScout24 - La plateforme de l'immobilier en Suisse.")</f>
        <v>🏘️ Louer appartement Madulain ✅ Trouvez le bien immobilier qui correspond idéalement à vos désirs sur ImmoScout24 - La plateforme de l'immobilier en Suisse.</v>
      </c>
      <c r="D1325" s="4" t="str">
        <f>vlookup(A1325, Sheet2!D:E, 2, 0)</f>
        <v>variant</v>
      </c>
      <c r="E1325" s="4" t="str">
        <f>IFERROR(__xludf.DUMMYFUNCTION("if(H1325=""pays"",vlookup(REGEXEXTRACT(C1325, ""🏘️ \w+ \w+ (.*) ✅""),'Country prepositions'!A:B, 2, 0) &amp; "" "" &amp; REGEXEXTRACT(C1325, ""🏘️ \w+ \w+ (.*) ✅"") ,  if(H1325=""quartier"",vlookup(REGEXEXTRACT(C1325, ""🏘️ \w+ \w+ (.*) ✅""),'Quartier prepositio"&amp;"ns'!A:E, 5, 0) ,  if(H1325=""region"",vlookup(REGEXEXTRACT(C1325, ""🏘️ \w+ \w+ (.*) ✅""),'Region prepositions'!B:F, 5, 0),  REGEXEXTRACT(C1325, ""🏘️ \w+ \w+ (.*) ✅""))))"),"Madulain")</f>
        <v>Madulain</v>
      </c>
      <c r="F1325" s="2" t="str">
        <f>IFERROR(__xludf.DUMMYFUNCTION("REGEXEXTRACT(C1325, ""🏘️ (\w+) \w+ .* ✅"")"),"Louer")</f>
        <v>Louer</v>
      </c>
      <c r="G1325" s="2" t="str">
        <f>IFERROR(__xludf.DUMMYFUNCTION("REGEXEXTRACT(C1325, ""🏘️ \w+ (\w+) .* ✅"")"),"appartement")</f>
        <v>appartement</v>
      </c>
      <c r="H1325" s="4" t="str">
        <f>IFERROR(__xludf.DUMMYFUNCTION("REGEXEXTRACT(A1325, ""/(\w+)-.*?"")"),"lieu")</f>
        <v>lieu</v>
      </c>
      <c r="I1325" s="4" t="str">
        <f>IFERROR(__xludf.DUMMYFUNCTION("if(D1325=""variant"",  substitute(filter(Templates!E:E, Templates!A:A = F1325, Templates!B:B = G1325, Templates!C:C = H1325), ""{{}}"", E1325), B1325)"),"🏘  Vous cherchez un appartement à louer à Madulain? ✅ Les annonces les plus actuelles sont sur ImmoScout24.ch.")</f>
        <v>🏘  Vous cherchez un appartement à louer à Madulain? ✅ Les annonces les plus actuelles sont sur ImmoScout24.ch.</v>
      </c>
      <c r="J1325" s="4" t="s">
        <v>3979</v>
      </c>
    </row>
    <row r="1326">
      <c r="A1326" s="5" t="s">
        <v>3980</v>
      </c>
      <c r="B1326" s="2" t="s">
        <v>3981</v>
      </c>
      <c r="C1326" s="4" t="str">
        <f>IFERROR(__xludf.DUMMYFUNCTION("""🏘️ ""&amp;REGEXEXTRACT(B1326, ""^(.*): "")&amp;"" ✅ "" &amp;REGEXEXTRACT(B1326, ""(Trouvez.*)"")"),"🏘️ Vendre maison Carouge GE ✅ Trouvez le bien immobilier qui correspond idéalement à vos désirs sur ImmoScout24 - La plateforme de l'immobilier en Suisse.")</f>
        <v>🏘️ Vendre maison Carouge GE ✅ Trouvez le bien immobilier qui correspond idéalement à vos désirs sur ImmoScout24 - La plateforme de l'immobilier en Suisse.</v>
      </c>
      <c r="D1326" s="4" t="str">
        <f>vlookup(A1326, Sheet2!D:E, 2, 0)</f>
        <v>variant</v>
      </c>
      <c r="E1326" s="4" t="str">
        <f>IFERROR(__xludf.DUMMYFUNCTION("if(H1326=""pays"",vlookup(REGEXEXTRACT(C1326, ""🏘️ \w+ \w+ (.*) ✅""),'Country prepositions'!A:B, 2, 0) &amp; "" "" &amp; REGEXEXTRACT(C1326, ""🏘️ \w+ \w+ (.*) ✅"") ,  if(H1326=""quartier"",vlookup(REGEXEXTRACT(C1326, ""🏘️ \w+ \w+ (.*) ✅""),'Quartier prepositio"&amp;"ns'!A:E, 5, 0) ,  if(H1326=""region"",vlookup(REGEXEXTRACT(C1326, ""🏘️ \w+ \w+ (.*) ✅""),'Region prepositions'!B:F, 5, 0),  REGEXEXTRACT(C1326, ""🏘️ \w+ \w+ (.*) ✅""))))"),"Carouge GE")</f>
        <v>Carouge GE</v>
      </c>
      <c r="F1326" s="2" t="str">
        <f>IFERROR(__xludf.DUMMYFUNCTION("REGEXEXTRACT(C1326, ""🏘️ (\w+) \w+ .* ✅"")"),"Vendre")</f>
        <v>Vendre</v>
      </c>
      <c r="G1326" s="2" t="str">
        <f>IFERROR(__xludf.DUMMYFUNCTION("REGEXEXTRACT(C1326, ""🏘️ \w+ (\w+) .* ✅"")"),"maison")</f>
        <v>maison</v>
      </c>
      <c r="H1326" s="4" t="str">
        <f>IFERROR(__xludf.DUMMYFUNCTION("REGEXEXTRACT(A1326, ""/(\w+)-.*?"")"),"lieu")</f>
        <v>lieu</v>
      </c>
      <c r="I1326" s="4" t="str">
        <f>IFERROR(__xludf.DUMMYFUNCTION("if(D1326=""variant"",  substitute(filter(Templates!E:E, Templates!A:A = F1326, Templates!B:B = G1326, Templates!C:C = H1326), ""{{}}"", E1326), B1326)"),"🏘  Vous souhaitez acheter une maison à Carouge GE? ✅ Jetez un œil aux dernières offres sur ImmoScout24.ch.")</f>
        <v>🏘  Vous souhaitez acheter une maison à Carouge GE? ✅ Jetez un œil aux dernières offres sur ImmoScout24.ch.</v>
      </c>
      <c r="J1326" s="4" t="s">
        <v>3982</v>
      </c>
    </row>
    <row r="1327">
      <c r="A1327" s="5" t="s">
        <v>3983</v>
      </c>
      <c r="B1327" s="2" t="s">
        <v>3984</v>
      </c>
      <c r="C1327" s="4" t="str">
        <f>IFERROR(__xludf.DUMMYFUNCTION("""🏘️ ""&amp;REGEXEXTRACT(B1327, ""^(.*): "")&amp;"" ✅ "" &amp;REGEXEXTRACT(B1327, ""(Trouvez.*)"")"),"🏘️ Vendre appartement Laax GR ✅ Trouvez le bien immobilier qui correspond idéalement à vos désirs sur ImmoScout24 - La plateforme de l'immobilier en Suisse.")</f>
        <v>🏘️ Vendre appartement Laax GR ✅ Trouvez le bien immobilier qui correspond idéalement à vos désirs sur ImmoScout24 - La plateforme de l'immobilier en Suisse.</v>
      </c>
      <c r="D1327" s="4" t="str">
        <f>vlookup(A1327, Sheet2!D:E, 2, 0)</f>
        <v>variant</v>
      </c>
      <c r="E1327" s="4" t="str">
        <f>IFERROR(__xludf.DUMMYFUNCTION("if(H1327=""pays"",vlookup(REGEXEXTRACT(C1327, ""🏘️ \w+ \w+ (.*) ✅""),'Country prepositions'!A:B, 2, 0) &amp; "" "" &amp; REGEXEXTRACT(C1327, ""🏘️ \w+ \w+ (.*) ✅"") ,  if(H1327=""quartier"",vlookup(REGEXEXTRACT(C1327, ""🏘️ \w+ \w+ (.*) ✅""),'Quartier prepositio"&amp;"ns'!A:E, 5, 0) ,  if(H1327=""region"",vlookup(REGEXEXTRACT(C1327, ""🏘️ \w+ \w+ (.*) ✅""),'Region prepositions'!B:F, 5, 0),  REGEXEXTRACT(C1327, ""🏘️ \w+ \w+ (.*) ✅""))))"),"Laax GR")</f>
        <v>Laax GR</v>
      </c>
      <c r="F1327" s="2" t="str">
        <f>IFERROR(__xludf.DUMMYFUNCTION("REGEXEXTRACT(C1327, ""🏘️ (\w+) \w+ .* ✅"")"),"Vendre")</f>
        <v>Vendre</v>
      </c>
      <c r="G1327" s="2" t="str">
        <f>IFERROR(__xludf.DUMMYFUNCTION("REGEXEXTRACT(C1327, ""🏘️ \w+ (\w+) .* ✅"")"),"appartement")</f>
        <v>appartement</v>
      </c>
      <c r="H1327" s="4" t="str">
        <f>IFERROR(__xludf.DUMMYFUNCTION("REGEXEXTRACT(A1327, ""/(\w+)-.*?"")"),"lieu")</f>
        <v>lieu</v>
      </c>
      <c r="I1327" s="4" t="str">
        <f>IFERROR(__xludf.DUMMYFUNCTION("if(D1327=""variant"",  substitute(filter(Templates!E:E, Templates!A:A = F1327, Templates!B:B = G1327, Templates!C:C = H1327), ""{{}}"", E1327), B1327)"),"🏘  L’appartement de vos rêves se trouve sur ImmoScout24.ch ✅ Découvrez les dernières annonces de vente à Laax GR.")</f>
        <v>🏘  L’appartement de vos rêves se trouve sur ImmoScout24.ch ✅ Découvrez les dernières annonces de vente à Laax GR.</v>
      </c>
      <c r="J1327" s="4" t="s">
        <v>3985</v>
      </c>
    </row>
    <row r="1328">
      <c r="A1328" s="5" t="s">
        <v>3986</v>
      </c>
      <c r="B1328" s="2" t="s">
        <v>3987</v>
      </c>
      <c r="C1328" s="4" t="str">
        <f>IFERROR(__xludf.DUMMYFUNCTION("""🏘️ ""&amp;REGEXEXTRACT(B1328, ""^(.*): "")&amp;"" ✅ "" &amp;REGEXEXTRACT(B1328, ""(Trouvez.*)"")"),"🏘️ Louer appartement Canton du Valais ✅ Trouvez le bien immobilier qui correspond idéalement à vos désirs sur ImmoScout24 - La plateforme de l'immobilier en Suisse.")</f>
        <v>🏘️ Louer appartement Canton du Valais ✅ Trouvez le bien immobilier qui correspond idéalement à vos désirs sur ImmoScout24 - La plateforme de l'immobilier en Suisse.</v>
      </c>
      <c r="D1328" s="4" t="str">
        <f>vlookup(A1328, Sheet2!D:E, 2, 0)</f>
        <v>variant</v>
      </c>
      <c r="E1328" s="4" t="str">
        <f>IFERROR(__xludf.DUMMYFUNCTION("if(H1328=""pays"",vlookup(REGEXEXTRACT(C1328, ""🏘️ \w+ \w+ (.*) ✅""),'Country prepositions'!A:B, 2, 0) &amp; "" "" &amp; REGEXEXTRACT(C1328, ""🏘️ \w+ \w+ (.*) ✅"") ,  if(H1328=""quartier"",vlookup(REGEXEXTRACT(C1328, ""🏘️ \w+ \w+ (.*) ✅""),'Quartier prepositio"&amp;"ns'!A:E, 5, 0) ,  if(H1328=""region"",vlookup(REGEXEXTRACT(C1328, ""🏘️ \w+ \w+ (.*) ✅""),'Region prepositions'!B:F, 5, 0),  REGEXEXTRACT(C1328, ""🏘️ \w+ \w+ (.*) ✅""))))"),"Canton du Valais")</f>
        <v>Canton du Valais</v>
      </c>
      <c r="F1328" s="2" t="str">
        <f>IFERROR(__xludf.DUMMYFUNCTION("REGEXEXTRACT(C1328, ""🏘️ (\w+) \w+ .* ✅"")"),"Louer")</f>
        <v>Louer</v>
      </c>
      <c r="G1328" s="2" t="str">
        <f>IFERROR(__xludf.DUMMYFUNCTION("REGEXEXTRACT(C1328, ""🏘️ \w+ (\w+) .* ✅"")"),"appartement")</f>
        <v>appartement</v>
      </c>
      <c r="H1328" s="4" t="str">
        <f>IFERROR(__xludf.DUMMYFUNCTION("REGEXEXTRACT(A1328, ""/(\w+)-.*?"")"),"canton")</f>
        <v>canton</v>
      </c>
      <c r="I1328" s="4" t="str">
        <f>IFERROR(__xludf.DUMMYFUNCTION("if(D1328=""variant"",  substitute(filter(Templates!E:E, Templates!A:A = F1328, Templates!B:B = G1328, Templates!C:C = H1328), ""{{}}"", E1328), B1328)"),"🏘  Vous cherchez un appartement à louer dans le Canton du Valais? ✅ Les annonces les plus actuelles sont sur ImmoScout24.ch.")</f>
        <v>🏘  Vous cherchez un appartement à louer dans le Canton du Valais? ✅ Les annonces les plus actuelles sont sur ImmoScout24.ch.</v>
      </c>
      <c r="J1328" s="4" t="s">
        <v>3988</v>
      </c>
    </row>
    <row r="1329">
      <c r="A1329" s="5" t="s">
        <v>3989</v>
      </c>
      <c r="B1329" s="2" t="s">
        <v>3990</v>
      </c>
      <c r="C1329" s="4" t="str">
        <f>IFERROR(__xludf.DUMMYFUNCTION("""🏘️ ""&amp;REGEXEXTRACT(B1329, ""^(.*): "")&amp;"" ✅ "" &amp;REGEXEXTRACT(B1329, ""(Trouvez.*)"")"),"🏘️ Vendre maison Staldenried ✅ Trouvez le bien immobilier qui correspond idéalement à vos désirs sur ImmoScout24 - La plateforme de l'immobilier en Suisse.")</f>
        <v>🏘️ Vendre maison Staldenried ✅ Trouvez le bien immobilier qui correspond idéalement à vos désirs sur ImmoScout24 - La plateforme de l'immobilier en Suisse.</v>
      </c>
      <c r="D1329" s="4" t="str">
        <f>vlookup(A1329, Sheet2!D:E, 2, 0)</f>
        <v>variant</v>
      </c>
      <c r="E1329" s="4" t="str">
        <f>IFERROR(__xludf.DUMMYFUNCTION("if(H1329=""pays"",vlookup(REGEXEXTRACT(C1329, ""🏘️ \w+ \w+ (.*) ✅""),'Country prepositions'!A:B, 2, 0) &amp; "" "" &amp; REGEXEXTRACT(C1329, ""🏘️ \w+ \w+ (.*) ✅"") ,  if(H1329=""quartier"",vlookup(REGEXEXTRACT(C1329, ""🏘️ \w+ \w+ (.*) ✅""),'Quartier prepositio"&amp;"ns'!A:E, 5, 0) ,  if(H1329=""region"",vlookup(REGEXEXTRACT(C1329, ""🏘️ \w+ \w+ (.*) ✅""),'Region prepositions'!B:F, 5, 0),  REGEXEXTRACT(C1329, ""🏘️ \w+ \w+ (.*) ✅""))))"),"Staldenried")</f>
        <v>Staldenried</v>
      </c>
      <c r="F1329" s="2" t="str">
        <f>IFERROR(__xludf.DUMMYFUNCTION("REGEXEXTRACT(C1329, ""🏘️ (\w+) \w+ .* ✅"")"),"Vendre")</f>
        <v>Vendre</v>
      </c>
      <c r="G1329" s="2" t="str">
        <f>IFERROR(__xludf.DUMMYFUNCTION("REGEXEXTRACT(C1329, ""🏘️ \w+ (\w+) .* ✅"")"),"maison")</f>
        <v>maison</v>
      </c>
      <c r="H1329" s="4" t="str">
        <f>IFERROR(__xludf.DUMMYFUNCTION("REGEXEXTRACT(A1329, ""/(\w+)-.*?"")"),"lieu")</f>
        <v>lieu</v>
      </c>
      <c r="I1329" s="4" t="str">
        <f>IFERROR(__xludf.DUMMYFUNCTION("if(D1329=""variant"",  substitute(filter(Templates!E:E, Templates!A:A = F1329, Templates!B:B = G1329, Templates!C:C = H1329), ""{{}}"", E1329), B1329)"),"🏘  Vous souhaitez acheter une maison à Staldenried? ✅ Jetez un œil aux dernières offres sur ImmoScout24.ch.")</f>
        <v>🏘  Vous souhaitez acheter une maison à Staldenried? ✅ Jetez un œil aux dernières offres sur ImmoScout24.ch.</v>
      </c>
      <c r="J1329" s="4" t="s">
        <v>3991</v>
      </c>
    </row>
    <row r="1330">
      <c r="A1330" s="5" t="s">
        <v>3992</v>
      </c>
      <c r="B1330" s="2" t="s">
        <v>3993</v>
      </c>
      <c r="C1330" s="4" t="str">
        <f>IFERROR(__xludf.DUMMYFUNCTION("""🏘️ ""&amp;REGEXEXTRACT(B1330, ""^(.*): "")&amp;"" ✅ "" &amp;REGEXEXTRACT(B1330, ""(Trouvez.*)"")"),"🏘️ Louer appartement Le Pont ✅ Trouvez le bien immobilier qui correspond idéalement à vos désirs sur ImmoScout24 - La plateforme de l'immobilier en Suisse.")</f>
        <v>🏘️ Louer appartement Le Pont ✅ Trouvez le bien immobilier qui correspond idéalement à vos désirs sur ImmoScout24 - La plateforme de l'immobilier en Suisse.</v>
      </c>
      <c r="D1330" s="4" t="str">
        <f>vlookup(A1330, Sheet2!D:E, 2, 0)</f>
        <v>variant</v>
      </c>
      <c r="E1330" s="4" t="str">
        <f>IFERROR(__xludf.DUMMYFUNCTION("if(H1330=""pays"",vlookup(REGEXEXTRACT(C1330, ""🏘️ \w+ \w+ (.*) ✅""),'Country prepositions'!A:B, 2, 0) &amp; "" "" &amp; REGEXEXTRACT(C1330, ""🏘️ \w+ \w+ (.*) ✅"") ,  if(H1330=""quartier"",vlookup(REGEXEXTRACT(C1330, ""🏘️ \w+ \w+ (.*) ✅""),'Quartier prepositio"&amp;"ns'!A:E, 5, 0) ,  if(H1330=""region"",vlookup(REGEXEXTRACT(C1330, ""🏘️ \w+ \w+ (.*) ✅""),'Region prepositions'!B:F, 5, 0),  REGEXEXTRACT(C1330, ""🏘️ \w+ \w+ (.*) ✅""))))"),"Le Pont")</f>
        <v>Le Pont</v>
      </c>
      <c r="F1330" s="2" t="str">
        <f>IFERROR(__xludf.DUMMYFUNCTION("REGEXEXTRACT(C1330, ""🏘️ (\w+) \w+ .* ✅"")"),"Louer")</f>
        <v>Louer</v>
      </c>
      <c r="G1330" s="2" t="str">
        <f>IFERROR(__xludf.DUMMYFUNCTION("REGEXEXTRACT(C1330, ""🏘️ \w+ (\w+) .* ✅"")"),"appartement")</f>
        <v>appartement</v>
      </c>
      <c r="H1330" s="4" t="str">
        <f>IFERROR(__xludf.DUMMYFUNCTION("REGEXEXTRACT(A1330, ""/(\w+)-.*?"")"),"lieu")</f>
        <v>lieu</v>
      </c>
      <c r="I1330" s="4" t="str">
        <f>IFERROR(__xludf.DUMMYFUNCTION("if(D1330=""variant"",  substitute(filter(Templates!E:E, Templates!A:A = F1330, Templates!B:B = G1330, Templates!C:C = H1330), ""{{}}"", E1330), B1330)"),"🏘  Vous cherchez un appartement à louer à Le Pont? ✅ Les annonces les plus actuelles sont sur ImmoScout24.ch.")</f>
        <v>🏘  Vous cherchez un appartement à louer à Le Pont? ✅ Les annonces les plus actuelles sont sur ImmoScout24.ch.</v>
      </c>
      <c r="J1330" s="2" t="s">
        <v>3994</v>
      </c>
    </row>
    <row r="1331">
      <c r="A1331" s="5" t="s">
        <v>3995</v>
      </c>
      <c r="B1331" s="2" t="s">
        <v>3996</v>
      </c>
      <c r="C1331" s="4" t="str">
        <f>IFERROR(__xludf.DUMMYFUNCTION("""🏘️ ""&amp;REGEXEXTRACT(B1331, ""^(.*): "")&amp;"" ✅ "" &amp;REGEXEXTRACT(B1331, ""(Trouvez.*)"")"),"🏘️ Vendre appartement Erde ✅ Trouvez le bien immobilier qui correspond idéalement à vos désirs sur ImmoScout24 - La plateforme de l'immobilier en Suisse.")</f>
        <v>🏘️ Vendre appartement Erde ✅ Trouvez le bien immobilier qui correspond idéalement à vos désirs sur ImmoScout24 - La plateforme de l'immobilier en Suisse.</v>
      </c>
      <c r="D1331" s="4" t="str">
        <f>vlookup(A1331, Sheet2!D:E, 2, 0)</f>
        <v>variant</v>
      </c>
      <c r="E1331" s="4" t="str">
        <f>IFERROR(__xludf.DUMMYFUNCTION("if(H1331=""pays"",vlookup(REGEXEXTRACT(C1331, ""🏘️ \w+ \w+ (.*) ✅""),'Country prepositions'!A:B, 2, 0) &amp; "" "" &amp; REGEXEXTRACT(C1331, ""🏘️ \w+ \w+ (.*) ✅"") ,  if(H1331=""quartier"",vlookup(REGEXEXTRACT(C1331, ""🏘️ \w+ \w+ (.*) ✅""),'Quartier prepositio"&amp;"ns'!A:E, 5, 0) ,  if(H1331=""region"",vlookup(REGEXEXTRACT(C1331, ""🏘️ \w+ \w+ (.*) ✅""),'Region prepositions'!B:F, 5, 0),  REGEXEXTRACT(C1331, ""🏘️ \w+ \w+ (.*) ✅""))))"),"Erde")</f>
        <v>Erde</v>
      </c>
      <c r="F1331" s="2" t="str">
        <f>IFERROR(__xludf.DUMMYFUNCTION("REGEXEXTRACT(C1331, ""🏘️ (\w+) \w+ .* ✅"")"),"Vendre")</f>
        <v>Vendre</v>
      </c>
      <c r="G1331" s="2" t="str">
        <f>IFERROR(__xludf.DUMMYFUNCTION("REGEXEXTRACT(C1331, ""🏘️ \w+ (\w+) .* ✅"")"),"appartement")</f>
        <v>appartement</v>
      </c>
      <c r="H1331" s="4" t="str">
        <f>IFERROR(__xludf.DUMMYFUNCTION("REGEXEXTRACT(A1331, ""/(\w+)-.*?"")"),"lieu")</f>
        <v>lieu</v>
      </c>
      <c r="I1331" s="4" t="str">
        <f>IFERROR(__xludf.DUMMYFUNCTION("if(D1331=""variant"",  substitute(filter(Templates!E:E, Templates!A:A = F1331, Templates!B:B = G1331, Templates!C:C = H1331), ""{{}}"", E1331), B1331)"),"🏘  L’appartement de vos rêves se trouve sur ImmoScout24.ch ✅ Découvrez les dernières annonces de vente à Erde.")</f>
        <v>🏘  L’appartement de vos rêves se trouve sur ImmoScout24.ch ✅ Découvrez les dernières annonces de vente à Erde.</v>
      </c>
      <c r="J1331" s="4" t="s">
        <v>3997</v>
      </c>
    </row>
    <row r="1332">
      <c r="A1332" s="5" t="s">
        <v>3998</v>
      </c>
      <c r="B1332" s="2" t="s">
        <v>3999</v>
      </c>
      <c r="C1332" s="4" t="str">
        <f>IFERROR(__xludf.DUMMYFUNCTION("""🏘️ ""&amp;REGEXEXTRACT(B1332, ""^(.*): "")&amp;"" ✅ "" &amp;REGEXEXTRACT(B1332, ""(Trouvez.*)"")"),"🏘️ Louer appartement Windlach ✅ Trouvez le bien immobilier qui correspond idéalement à vos désirs sur ImmoScout24 - La plateforme de l'immobilier en Suisse.")</f>
        <v>🏘️ Louer appartement Windlach ✅ Trouvez le bien immobilier qui correspond idéalement à vos désirs sur ImmoScout24 - La plateforme de l'immobilier en Suisse.</v>
      </c>
      <c r="D1332" s="4" t="str">
        <f>vlookup(A1332, Sheet2!D:E, 2, 0)</f>
        <v>variant</v>
      </c>
      <c r="E1332" s="4" t="str">
        <f>IFERROR(__xludf.DUMMYFUNCTION("if(H1332=""pays"",vlookup(REGEXEXTRACT(C1332, ""🏘️ \w+ \w+ (.*) ✅""),'Country prepositions'!A:B, 2, 0) &amp; "" "" &amp; REGEXEXTRACT(C1332, ""🏘️ \w+ \w+ (.*) ✅"") ,  if(H1332=""quartier"",vlookup(REGEXEXTRACT(C1332, ""🏘️ \w+ \w+ (.*) ✅""),'Quartier prepositio"&amp;"ns'!A:E, 5, 0) ,  if(H1332=""region"",vlookup(REGEXEXTRACT(C1332, ""🏘️ \w+ \w+ (.*) ✅""),'Region prepositions'!B:F, 5, 0),  REGEXEXTRACT(C1332, ""🏘️ \w+ \w+ (.*) ✅""))))"),"Windlach")</f>
        <v>Windlach</v>
      </c>
      <c r="F1332" s="2" t="str">
        <f>IFERROR(__xludf.DUMMYFUNCTION("REGEXEXTRACT(C1332, ""🏘️ (\w+) \w+ .* ✅"")"),"Louer")</f>
        <v>Louer</v>
      </c>
      <c r="G1332" s="2" t="str">
        <f>IFERROR(__xludf.DUMMYFUNCTION("REGEXEXTRACT(C1332, ""🏘️ \w+ (\w+) .* ✅"")"),"appartement")</f>
        <v>appartement</v>
      </c>
      <c r="H1332" s="4" t="str">
        <f>IFERROR(__xludf.DUMMYFUNCTION("REGEXEXTRACT(A1332, ""/(\w+)-.*?"")"),"lieu")</f>
        <v>lieu</v>
      </c>
      <c r="I1332" s="4" t="str">
        <f>IFERROR(__xludf.DUMMYFUNCTION("if(D1332=""variant"",  substitute(filter(Templates!E:E, Templates!A:A = F1332, Templates!B:B = G1332, Templates!C:C = H1332), ""{{}}"", E1332), B1332)"),"🏘  Vous cherchez un appartement à louer à Windlach? ✅ Les annonces les plus actuelles sont sur ImmoScout24.ch.")</f>
        <v>🏘  Vous cherchez un appartement à louer à Windlach? ✅ Les annonces les plus actuelles sont sur ImmoScout24.ch.</v>
      </c>
      <c r="J1332" s="4" t="s">
        <v>4000</v>
      </c>
    </row>
    <row r="1333">
      <c r="A1333" s="5" t="s">
        <v>4001</v>
      </c>
      <c r="B1333" s="2" t="s">
        <v>4002</v>
      </c>
      <c r="C1333" s="4" t="str">
        <f>IFERROR(__xludf.DUMMYFUNCTION("""🏘️ ""&amp;REGEXEXTRACT(B1333, ""^(.*): "")&amp;"" ✅ "" &amp;REGEXEXTRACT(B1333, ""(Trouvez.*)"")"),"🏘️ Vendre appartement Saanen ✅ Trouvez le bien immobilier qui correspond idéalement à vos désirs sur ImmoScout24 - La plateforme de l'immobilier en Suisse.")</f>
        <v>🏘️ Vendre appartement Saanen ✅ Trouvez le bien immobilier qui correspond idéalement à vos désirs sur ImmoScout24 - La plateforme de l'immobilier en Suisse.</v>
      </c>
      <c r="D1333" s="4" t="str">
        <f>vlookup(A1333, Sheet2!D:E, 2, 0)</f>
        <v>variant</v>
      </c>
      <c r="E1333" s="4" t="str">
        <f>IFERROR(__xludf.DUMMYFUNCTION("if(H1333=""pays"",vlookup(REGEXEXTRACT(C1333, ""🏘️ \w+ \w+ (.*) ✅""),'Country prepositions'!A:B, 2, 0) &amp; "" "" &amp; REGEXEXTRACT(C1333, ""🏘️ \w+ \w+ (.*) ✅"") ,  if(H1333=""quartier"",vlookup(REGEXEXTRACT(C1333, ""🏘️ \w+ \w+ (.*) ✅""),'Quartier prepositio"&amp;"ns'!A:E, 5, 0) ,  if(H1333=""region"",vlookup(REGEXEXTRACT(C1333, ""🏘️ \w+ \w+ (.*) ✅""),'Region prepositions'!B:F, 5, 0),  REGEXEXTRACT(C1333, ""🏘️ \w+ \w+ (.*) ✅""))))"),"Saanen")</f>
        <v>Saanen</v>
      </c>
      <c r="F1333" s="2" t="str">
        <f>IFERROR(__xludf.DUMMYFUNCTION("REGEXEXTRACT(C1333, ""🏘️ (\w+) \w+ .* ✅"")"),"Vendre")</f>
        <v>Vendre</v>
      </c>
      <c r="G1333" s="2" t="str">
        <f>IFERROR(__xludf.DUMMYFUNCTION("REGEXEXTRACT(C1333, ""🏘️ \w+ (\w+) .* ✅"")"),"appartement")</f>
        <v>appartement</v>
      </c>
      <c r="H1333" s="4" t="str">
        <f>IFERROR(__xludf.DUMMYFUNCTION("REGEXEXTRACT(A1333, ""/(\w+)-.*?"")"),"lieu")</f>
        <v>lieu</v>
      </c>
      <c r="I1333" s="4" t="str">
        <f>IFERROR(__xludf.DUMMYFUNCTION("if(D1333=""variant"",  substitute(filter(Templates!E:E, Templates!A:A = F1333, Templates!B:B = G1333, Templates!C:C = H1333), ""{{}}"", E1333), B1333)"),"🏘  L’appartement de vos rêves se trouve sur ImmoScout24.ch ✅ Découvrez les dernières annonces de vente à Saanen.")</f>
        <v>🏘  L’appartement de vos rêves se trouve sur ImmoScout24.ch ✅ Découvrez les dernières annonces de vente à Saanen.</v>
      </c>
      <c r="J1333" s="4" t="s">
        <v>4003</v>
      </c>
    </row>
    <row r="1334">
      <c r="A1334" s="5" t="s">
        <v>4004</v>
      </c>
      <c r="B1334" s="2" t="s">
        <v>4005</v>
      </c>
      <c r="C1334" s="4" t="str">
        <f>IFERROR(__xludf.DUMMYFUNCTION("""🏘️ ""&amp;REGEXEXTRACT(B1334, ""^(.*): "")&amp;"" ✅ "" &amp;REGEXEXTRACT(B1334, ""(Trouvez.*)"")"),"🏘️ Louer appartement Seeland ✅ Trouvez le bien immobilier qui correspond idéalement à vos désirs sur ImmoScout24 - La plateforme de l'immobilier en Suisse.")</f>
        <v>🏘️ Louer appartement Seeland ✅ Trouvez le bien immobilier qui correspond idéalement à vos désirs sur ImmoScout24 - La plateforme de l'immobilier en Suisse.</v>
      </c>
      <c r="D1334" s="4" t="str">
        <f>vlookup(A1334, Sheet2!D:E, 2, 0)</f>
        <v>variant</v>
      </c>
      <c r="E1334" s="4" t="str">
        <f>IFERROR(__xludf.DUMMYFUNCTION("if(H1334=""pays"",vlookup(REGEXEXTRACT(C1334, ""🏘️ \w+ \w+ (.*) ✅""),'Country prepositions'!A:B, 2, 0) &amp; "" "" &amp; REGEXEXTRACT(C1334, ""🏘️ \w+ \w+ (.*) ✅"") ,  if(H1334=""quartier"",vlookup(REGEXEXTRACT(C1334, ""🏘️ \w+ \w+ (.*) ✅""),'Quartier prepositio"&amp;"ns'!A:E, 5, 0) ,  if(H1334=""region"",vlookup(REGEXEXTRACT(C1334, ""🏘️ \w+ \w+ (.*) ✅""),'Region prepositions'!B:F, 5, 0),  REGEXEXTRACT(C1334, ""🏘️ \w+ \w+ (.*) ✅""))))"),"dans le Seeland")</f>
        <v>dans le Seeland</v>
      </c>
      <c r="F1334" s="2" t="str">
        <f>IFERROR(__xludf.DUMMYFUNCTION("REGEXEXTRACT(C1334, ""🏘️ (\w+) \w+ .* ✅"")"),"Louer")</f>
        <v>Louer</v>
      </c>
      <c r="G1334" s="2" t="str">
        <f>IFERROR(__xludf.DUMMYFUNCTION("REGEXEXTRACT(C1334, ""🏘️ \w+ (\w+) .* ✅"")"),"appartement")</f>
        <v>appartement</v>
      </c>
      <c r="H1334" s="4" t="str">
        <f>IFERROR(__xludf.DUMMYFUNCTION("REGEXEXTRACT(A1334, ""/(\w+)-.*?"")"),"region")</f>
        <v>region</v>
      </c>
      <c r="I1334" s="4" t="str">
        <f>IFERROR(__xludf.DUMMYFUNCTION("if(D1334=""variant"",  substitute(filter(Templates!E:E, Templates!A:A = F1334, Templates!B:B = G1334, Templates!C:C = H1334), ""{{}}"", E1334), B1334)"),"🏘  Vous cherchez un appartement à louer dans le Seeland? ✅ Les annonces les plus actuelles sont sur ImmoScout24.ch.")</f>
        <v>🏘  Vous cherchez un appartement à louer dans le Seeland? ✅ Les annonces les plus actuelles sont sur ImmoScout24.ch.</v>
      </c>
      <c r="J1334" s="4" t="s">
        <v>4006</v>
      </c>
    </row>
    <row r="1335">
      <c r="A1335" s="5" t="s">
        <v>4007</v>
      </c>
      <c r="B1335" s="2" t="s">
        <v>4008</v>
      </c>
      <c r="C1335" s="4" t="str">
        <f>IFERROR(__xludf.DUMMYFUNCTION("""🏘️ ""&amp;REGEXEXTRACT(B1335, ""^(.*): "")&amp;"" ✅ "" &amp;REGEXEXTRACT(B1335, ""(Trouvez.*)"")"),"🏘️ Louer maison Posieux ✅ Trouvez le bien immobilier qui correspond idéalement à vos désirs sur ImmoScout24 - La plateforme de l'immobilier en Suisse.")</f>
        <v>🏘️ Louer maison Posieux ✅ Trouvez le bien immobilier qui correspond idéalement à vos désirs sur ImmoScout24 - La plateforme de l'immobilier en Suisse.</v>
      </c>
      <c r="D1335" s="4" t="str">
        <f>vlookup(A1335, Sheet2!D:E, 2, 0)</f>
        <v>variant</v>
      </c>
      <c r="E1335" s="4" t="str">
        <f>IFERROR(__xludf.DUMMYFUNCTION("if(H1335=""pays"",vlookup(REGEXEXTRACT(C1335, ""🏘️ \w+ \w+ (.*) ✅""),'Country prepositions'!A:B, 2, 0) &amp; "" "" &amp; REGEXEXTRACT(C1335, ""🏘️ \w+ \w+ (.*) ✅"") ,  if(H1335=""quartier"",vlookup(REGEXEXTRACT(C1335, ""🏘️ \w+ \w+ (.*) ✅""),'Quartier prepositio"&amp;"ns'!A:E, 5, 0) ,  if(H1335=""region"",vlookup(REGEXEXTRACT(C1335, ""🏘️ \w+ \w+ (.*) ✅""),'Region prepositions'!B:F, 5, 0),  REGEXEXTRACT(C1335, ""🏘️ \w+ \w+ (.*) ✅""))))"),"Posieux")</f>
        <v>Posieux</v>
      </c>
      <c r="F1335" s="2" t="str">
        <f>IFERROR(__xludf.DUMMYFUNCTION("REGEXEXTRACT(C1335, ""🏘️ (\w+) \w+ .* ✅"")"),"Louer")</f>
        <v>Louer</v>
      </c>
      <c r="G1335" s="2" t="str">
        <f>IFERROR(__xludf.DUMMYFUNCTION("REGEXEXTRACT(C1335, ""🏘️ \w+ (\w+) .* ✅"")"),"maison")</f>
        <v>maison</v>
      </c>
      <c r="H1335" s="4" t="str">
        <f>IFERROR(__xludf.DUMMYFUNCTION("REGEXEXTRACT(A1335, ""/(\w+)-.*?"")"),"lieu")</f>
        <v>lieu</v>
      </c>
      <c r="I1335" s="4" t="str">
        <f>IFERROR(__xludf.DUMMYFUNCTION("if(D1335=""variant"",  substitute(filter(Templates!E:E, Templates!A:A = F1335, Templates!B:B = G1335, Templates!C:C = H1335), ""{{}}"", E1335), B1335)"),"🏘  Vous cherchez une maison à louer à Posieux? ✅ Découvrez nos nombreuses annonces sur ImmoScout24.ch.")</f>
        <v>🏘  Vous cherchez une maison à louer à Posieux? ✅ Découvrez nos nombreuses annonces sur ImmoScout24.ch.</v>
      </c>
      <c r="J1335" s="4" t="s">
        <v>4009</v>
      </c>
    </row>
    <row r="1336">
      <c r="A1336" s="5" t="s">
        <v>4010</v>
      </c>
      <c r="B1336" s="2" t="s">
        <v>4011</v>
      </c>
      <c r="C1336" s="4" t="str">
        <f>IFERROR(__xludf.DUMMYFUNCTION("""🏘️ ""&amp;REGEXEXTRACT(B1336, ""^(.*): "")&amp;"" ✅ "" &amp;REGEXEXTRACT(B1336, ""(Trouvez.*)"")"),"🏘️ Louer maison Orny ✅ Trouvez le bien immobilier qui correspond idéalement à vos désirs sur ImmoScout24 - La plateforme de l'immobilier en Suisse.")</f>
        <v>🏘️ Louer maison Orny ✅ Trouvez le bien immobilier qui correspond idéalement à vos désirs sur ImmoScout24 - La plateforme de l'immobilier en Suisse.</v>
      </c>
      <c r="D1336" s="4" t="str">
        <f>vlookup(A1336, Sheet2!D:E, 2, 0)</f>
        <v>variant</v>
      </c>
      <c r="E1336" s="4" t="str">
        <f>IFERROR(__xludf.DUMMYFUNCTION("if(H1336=""pays"",vlookup(REGEXEXTRACT(C1336, ""🏘️ \w+ \w+ (.*) ✅""),'Country prepositions'!A:B, 2, 0) &amp; "" "" &amp; REGEXEXTRACT(C1336, ""🏘️ \w+ \w+ (.*) ✅"") ,  if(H1336=""quartier"",vlookup(REGEXEXTRACT(C1336, ""🏘️ \w+ \w+ (.*) ✅""),'Quartier prepositio"&amp;"ns'!A:E, 5, 0) ,  if(H1336=""region"",vlookup(REGEXEXTRACT(C1336, ""🏘️ \w+ \w+ (.*) ✅""),'Region prepositions'!B:F, 5, 0),  REGEXEXTRACT(C1336, ""🏘️ \w+ \w+ (.*) ✅""))))"),"Orny")</f>
        <v>Orny</v>
      </c>
      <c r="F1336" s="2" t="str">
        <f>IFERROR(__xludf.DUMMYFUNCTION("REGEXEXTRACT(C1336, ""🏘️ (\w+) \w+ .* ✅"")"),"Louer")</f>
        <v>Louer</v>
      </c>
      <c r="G1336" s="2" t="str">
        <f>IFERROR(__xludf.DUMMYFUNCTION("REGEXEXTRACT(C1336, ""🏘️ \w+ (\w+) .* ✅"")"),"maison")</f>
        <v>maison</v>
      </c>
      <c r="H1336" s="4" t="str">
        <f>IFERROR(__xludf.DUMMYFUNCTION("REGEXEXTRACT(A1336, ""/(\w+)-.*?"")"),"lieu")</f>
        <v>lieu</v>
      </c>
      <c r="I1336" s="4" t="str">
        <f>IFERROR(__xludf.DUMMYFUNCTION("if(D1336=""variant"",  substitute(filter(Templates!E:E, Templates!A:A = F1336, Templates!B:B = G1336, Templates!C:C = H1336), ""{{}}"", E1336), B1336)"),"🏘  Vous cherchez une maison à louer à Orny? ✅ Découvrez nos nombreuses annonces sur ImmoScout24.ch.")</f>
        <v>🏘  Vous cherchez une maison à louer à Orny? ✅ Découvrez nos nombreuses annonces sur ImmoScout24.ch.</v>
      </c>
      <c r="J1336" s="4" t="s">
        <v>4012</v>
      </c>
    </row>
    <row r="1337">
      <c r="A1337" s="5" t="s">
        <v>4013</v>
      </c>
      <c r="B1337" s="2" t="s">
        <v>4014</v>
      </c>
      <c r="C1337" s="4" t="str">
        <f>IFERROR(__xludf.DUMMYFUNCTION("""🏘️ ""&amp;REGEXEXTRACT(B1337, ""^(.*): "")&amp;"" ✅ "" &amp;REGEXEXTRACT(B1337, ""(Trouvez.*)"")"),"🏘️ Louer maison Niederhasli ✅ Trouvez le bien immobilier qui correspond idéalement à vos désirs sur ImmoScout24 - La plateforme de l'immobilier en Suisse.")</f>
        <v>🏘️ Louer maison Niederhasli ✅ Trouvez le bien immobilier qui correspond idéalement à vos désirs sur ImmoScout24 - La plateforme de l'immobilier en Suisse.</v>
      </c>
      <c r="D1337" s="4" t="str">
        <f>vlookup(A1337, Sheet2!D:E, 2, 0)</f>
        <v>variant</v>
      </c>
      <c r="E1337" s="4" t="str">
        <f>IFERROR(__xludf.DUMMYFUNCTION("if(H1337=""pays"",vlookup(REGEXEXTRACT(C1337, ""🏘️ \w+ \w+ (.*) ✅""),'Country prepositions'!A:B, 2, 0) &amp; "" "" &amp; REGEXEXTRACT(C1337, ""🏘️ \w+ \w+ (.*) ✅"") ,  if(H1337=""quartier"",vlookup(REGEXEXTRACT(C1337, ""🏘️ \w+ \w+ (.*) ✅""),'Quartier prepositio"&amp;"ns'!A:E, 5, 0) ,  if(H1337=""region"",vlookup(REGEXEXTRACT(C1337, ""🏘️ \w+ \w+ (.*) ✅""),'Region prepositions'!B:F, 5, 0),  REGEXEXTRACT(C1337, ""🏘️ \w+ \w+ (.*) ✅""))))"),"Niederhasli")</f>
        <v>Niederhasli</v>
      </c>
      <c r="F1337" s="2" t="str">
        <f>IFERROR(__xludf.DUMMYFUNCTION("REGEXEXTRACT(C1337, ""🏘️ (\w+) \w+ .* ✅"")"),"Louer")</f>
        <v>Louer</v>
      </c>
      <c r="G1337" s="2" t="str">
        <f>IFERROR(__xludf.DUMMYFUNCTION("REGEXEXTRACT(C1337, ""🏘️ \w+ (\w+) .* ✅"")"),"maison")</f>
        <v>maison</v>
      </c>
      <c r="H1337" s="4" t="str">
        <f>IFERROR(__xludf.DUMMYFUNCTION("REGEXEXTRACT(A1337, ""/(\w+)-.*?"")"),"lieu")</f>
        <v>lieu</v>
      </c>
      <c r="I1337" s="4" t="str">
        <f>IFERROR(__xludf.DUMMYFUNCTION("if(D1337=""variant"",  substitute(filter(Templates!E:E, Templates!A:A = F1337, Templates!B:B = G1337, Templates!C:C = H1337), ""{{}}"", E1337), B1337)"),"🏘  Vous cherchez une maison à louer à Niederhasli? ✅ Découvrez nos nombreuses annonces sur ImmoScout24.ch.")</f>
        <v>🏘  Vous cherchez une maison à louer à Niederhasli? ✅ Découvrez nos nombreuses annonces sur ImmoScout24.ch.</v>
      </c>
      <c r="J1337" s="4" t="s">
        <v>4015</v>
      </c>
    </row>
    <row r="1338">
      <c r="A1338" s="5" t="s">
        <v>4016</v>
      </c>
      <c r="B1338" s="2" t="s">
        <v>4017</v>
      </c>
      <c r="C1338" s="4" t="str">
        <f>IFERROR(__xludf.DUMMYFUNCTION("""🏘️ ""&amp;REGEXEXTRACT(B1338, ""^(.*): "")&amp;"" ✅ "" &amp;REGEXEXTRACT(B1338, ""(Trouvez.*)"")"),"🏘️ Louer appartement Pomy ✅ Trouvez le bien immobilier qui correspond idéalement à vos désirs sur ImmoScout24 - La plateforme de l'immobilier en Suisse.")</f>
        <v>🏘️ Louer appartement Pomy ✅ Trouvez le bien immobilier qui correspond idéalement à vos désirs sur ImmoScout24 - La plateforme de l'immobilier en Suisse.</v>
      </c>
      <c r="D1338" s="4" t="str">
        <f>vlookup(A1338, Sheet2!D:E, 2, 0)</f>
        <v>variant</v>
      </c>
      <c r="E1338" s="4" t="str">
        <f>IFERROR(__xludf.DUMMYFUNCTION("if(H1338=""pays"",vlookup(REGEXEXTRACT(C1338, ""🏘️ \w+ \w+ (.*) ✅""),'Country prepositions'!A:B, 2, 0) &amp; "" "" &amp; REGEXEXTRACT(C1338, ""🏘️ \w+ \w+ (.*) ✅"") ,  if(H1338=""quartier"",vlookup(REGEXEXTRACT(C1338, ""🏘️ \w+ \w+ (.*) ✅""),'Quartier prepositio"&amp;"ns'!A:E, 5, 0) ,  if(H1338=""region"",vlookup(REGEXEXTRACT(C1338, ""🏘️ \w+ \w+ (.*) ✅""),'Region prepositions'!B:F, 5, 0),  REGEXEXTRACT(C1338, ""🏘️ \w+ \w+ (.*) ✅""))))"),"Pomy")</f>
        <v>Pomy</v>
      </c>
      <c r="F1338" s="2" t="str">
        <f>IFERROR(__xludf.DUMMYFUNCTION("REGEXEXTRACT(C1338, ""🏘️ (\w+) \w+ .* ✅"")"),"Louer")</f>
        <v>Louer</v>
      </c>
      <c r="G1338" s="2" t="str">
        <f>IFERROR(__xludf.DUMMYFUNCTION("REGEXEXTRACT(C1338, ""🏘️ \w+ (\w+) .* ✅"")"),"appartement")</f>
        <v>appartement</v>
      </c>
      <c r="H1338" s="4" t="str">
        <f>IFERROR(__xludf.DUMMYFUNCTION("REGEXEXTRACT(A1338, ""/(\w+)-.*?"")"),"lieu")</f>
        <v>lieu</v>
      </c>
      <c r="I1338" s="4" t="str">
        <f>IFERROR(__xludf.DUMMYFUNCTION("if(D1338=""variant"",  substitute(filter(Templates!E:E, Templates!A:A = F1338, Templates!B:B = G1338, Templates!C:C = H1338), ""{{}}"", E1338), B1338)"),"🏘  Vous cherchez un appartement à louer à Pomy? ✅ Les annonces les plus actuelles sont sur ImmoScout24.ch.")</f>
        <v>🏘  Vous cherchez un appartement à louer à Pomy? ✅ Les annonces les plus actuelles sont sur ImmoScout24.ch.</v>
      </c>
      <c r="J1338" s="4" t="s">
        <v>4018</v>
      </c>
    </row>
    <row r="1339">
      <c r="A1339" s="5" t="s">
        <v>4019</v>
      </c>
      <c r="B1339" s="2" t="s">
        <v>4020</v>
      </c>
      <c r="C1339" s="4" t="str">
        <f>IFERROR(__xludf.DUMMYFUNCTION("""🏘️ ""&amp;REGEXEXTRACT(B1339, ""^(.*): "")&amp;"" ✅ "" &amp;REGEXEXTRACT(B1339, ""(Trouvez.*)"")"),"🏘️ Vendre maison Eischoll ✅ Trouvez le bien immobilier qui correspond idéalement à vos désirs sur ImmoScout24 - La plateforme de l'immobilier en Suisse.")</f>
        <v>🏘️ Vendre maison Eischoll ✅ Trouvez le bien immobilier qui correspond idéalement à vos désirs sur ImmoScout24 - La plateforme de l'immobilier en Suisse.</v>
      </c>
      <c r="D1339" s="4" t="str">
        <f>vlookup(A1339, Sheet2!D:E, 2, 0)</f>
        <v>variant</v>
      </c>
      <c r="E1339" s="4" t="str">
        <f>IFERROR(__xludf.DUMMYFUNCTION("if(H1339=""pays"",vlookup(REGEXEXTRACT(C1339, ""🏘️ \w+ \w+ (.*) ✅""),'Country prepositions'!A:B, 2, 0) &amp; "" "" &amp; REGEXEXTRACT(C1339, ""🏘️ \w+ \w+ (.*) ✅"") ,  if(H1339=""quartier"",vlookup(REGEXEXTRACT(C1339, ""🏘️ \w+ \w+ (.*) ✅""),'Quartier prepositio"&amp;"ns'!A:E, 5, 0) ,  if(H1339=""region"",vlookup(REGEXEXTRACT(C1339, ""🏘️ \w+ \w+ (.*) ✅""),'Region prepositions'!B:F, 5, 0),  REGEXEXTRACT(C1339, ""🏘️ \w+ \w+ (.*) ✅""))))"),"Eischoll")</f>
        <v>Eischoll</v>
      </c>
      <c r="F1339" s="2" t="str">
        <f>IFERROR(__xludf.DUMMYFUNCTION("REGEXEXTRACT(C1339, ""🏘️ (\w+) \w+ .* ✅"")"),"Vendre")</f>
        <v>Vendre</v>
      </c>
      <c r="G1339" s="2" t="str">
        <f>IFERROR(__xludf.DUMMYFUNCTION("REGEXEXTRACT(C1339, ""🏘️ \w+ (\w+) .* ✅"")"),"maison")</f>
        <v>maison</v>
      </c>
      <c r="H1339" s="4" t="str">
        <f>IFERROR(__xludf.DUMMYFUNCTION("REGEXEXTRACT(A1339, ""/(\w+)-.*?"")"),"lieu")</f>
        <v>lieu</v>
      </c>
      <c r="I1339" s="4" t="str">
        <f>IFERROR(__xludf.DUMMYFUNCTION("if(D1339=""variant"",  substitute(filter(Templates!E:E, Templates!A:A = F1339, Templates!B:B = G1339, Templates!C:C = H1339), ""{{}}"", E1339), B1339)"),"🏘  Vous souhaitez acheter une maison à Eischoll? ✅ Jetez un œil aux dernières offres sur ImmoScout24.ch.")</f>
        <v>🏘  Vous souhaitez acheter une maison à Eischoll? ✅ Jetez un œil aux dernières offres sur ImmoScout24.ch.</v>
      </c>
      <c r="J1339" s="4" t="s">
        <v>4021</v>
      </c>
    </row>
    <row r="1340">
      <c r="A1340" s="5" t="s">
        <v>4022</v>
      </c>
      <c r="B1340" s="2" t="s">
        <v>4023</v>
      </c>
      <c r="C1340" s="4" t="str">
        <f>IFERROR(__xludf.DUMMYFUNCTION("""🏘️ ""&amp;REGEXEXTRACT(B1340, ""^(.*): "")&amp;"" ✅ "" &amp;REGEXEXTRACT(B1340, ""(Trouvez.*)"")"),"🏘️ Vendre maison Köniz ✅ Trouvez le bien immobilier qui correspond idéalement à vos désirs sur ImmoScout24 - La plateforme de l'immobilier en Suisse.")</f>
        <v>🏘️ Vendre maison Köniz ✅ Trouvez le bien immobilier qui correspond idéalement à vos désirs sur ImmoScout24 - La plateforme de l'immobilier en Suisse.</v>
      </c>
      <c r="D1340" s="4" t="str">
        <f>vlookup(A1340, Sheet2!D:E, 2, 0)</f>
        <v>variant</v>
      </c>
      <c r="E1340" s="4" t="str">
        <f>IFERROR(__xludf.DUMMYFUNCTION("if(H1340=""pays"",vlookup(REGEXEXTRACT(C1340, ""🏘️ \w+ \w+ (.*) ✅""),'Country prepositions'!A:B, 2, 0) &amp; "" "" &amp; REGEXEXTRACT(C1340, ""🏘️ \w+ \w+ (.*) ✅"") ,  if(H1340=""quartier"",vlookup(REGEXEXTRACT(C1340, ""🏘️ \w+ \w+ (.*) ✅""),'Quartier prepositio"&amp;"ns'!A:E, 5, 0) ,  if(H1340=""region"",vlookup(REGEXEXTRACT(C1340, ""🏘️ \w+ \w+ (.*) ✅""),'Region prepositions'!B:F, 5, 0),  REGEXEXTRACT(C1340, ""🏘️ \w+ \w+ (.*) ✅""))))"),"Köniz")</f>
        <v>Köniz</v>
      </c>
      <c r="F1340" s="2" t="str">
        <f>IFERROR(__xludf.DUMMYFUNCTION("REGEXEXTRACT(C1340, ""🏘️ (\w+) \w+ .* ✅"")"),"Vendre")</f>
        <v>Vendre</v>
      </c>
      <c r="G1340" s="2" t="str">
        <f>IFERROR(__xludf.DUMMYFUNCTION("REGEXEXTRACT(C1340, ""🏘️ \w+ (\w+) .* ✅"")"),"maison")</f>
        <v>maison</v>
      </c>
      <c r="H1340" s="4" t="str">
        <f>IFERROR(__xludf.DUMMYFUNCTION("REGEXEXTRACT(A1340, ""/(\w+)-.*?"")"),"lieu")</f>
        <v>lieu</v>
      </c>
      <c r="I1340" s="4" t="str">
        <f>IFERROR(__xludf.DUMMYFUNCTION("if(D1340=""variant"",  substitute(filter(Templates!E:E, Templates!A:A = F1340, Templates!B:B = G1340, Templates!C:C = H1340), ""{{}}"", E1340), B1340)"),"🏘  Vous souhaitez acheter une maison à Köniz? ✅ Jetez un œil aux dernières offres sur ImmoScout24.ch.")</f>
        <v>🏘  Vous souhaitez acheter une maison à Köniz? ✅ Jetez un œil aux dernières offres sur ImmoScout24.ch.</v>
      </c>
      <c r="J1340" s="4" t="s">
        <v>4024</v>
      </c>
    </row>
    <row r="1341">
      <c r="A1341" s="5" t="s">
        <v>4025</v>
      </c>
      <c r="B1341" s="2" t="s">
        <v>4026</v>
      </c>
      <c r="C1341" s="4" t="str">
        <f>IFERROR(__xludf.DUMMYFUNCTION("""🏘️ ""&amp;REGEXEXTRACT(B1341, ""^(.*): "")&amp;"" ✅ "" &amp;REGEXEXTRACT(B1341, ""(Trouvez.*)"")"),"🏘️ Vendre maison Bossonnens ✅ Trouvez le bien immobilier qui correspond idéalement à vos désirs sur ImmoScout24 - La plateforme de l'immobilier en Suisse.")</f>
        <v>🏘️ Vendre maison Bossonnens ✅ Trouvez le bien immobilier qui correspond idéalement à vos désirs sur ImmoScout24 - La plateforme de l'immobilier en Suisse.</v>
      </c>
      <c r="D1341" s="4" t="str">
        <f>vlookup(A1341, Sheet2!D:E, 2, 0)</f>
        <v>variant</v>
      </c>
      <c r="E1341" s="4" t="str">
        <f>IFERROR(__xludf.DUMMYFUNCTION("if(H1341=""pays"",vlookup(REGEXEXTRACT(C1341, ""🏘️ \w+ \w+ (.*) ✅""),'Country prepositions'!A:B, 2, 0) &amp; "" "" &amp; REGEXEXTRACT(C1341, ""🏘️ \w+ \w+ (.*) ✅"") ,  if(H1341=""quartier"",vlookup(REGEXEXTRACT(C1341, ""🏘️ \w+ \w+ (.*) ✅""),'Quartier prepositio"&amp;"ns'!A:E, 5, 0) ,  if(H1341=""region"",vlookup(REGEXEXTRACT(C1341, ""🏘️ \w+ \w+ (.*) ✅""),'Region prepositions'!B:F, 5, 0),  REGEXEXTRACT(C1341, ""🏘️ \w+ \w+ (.*) ✅""))))"),"Bossonnens")</f>
        <v>Bossonnens</v>
      </c>
      <c r="F1341" s="2" t="str">
        <f>IFERROR(__xludf.DUMMYFUNCTION("REGEXEXTRACT(C1341, ""🏘️ (\w+) \w+ .* ✅"")"),"Vendre")</f>
        <v>Vendre</v>
      </c>
      <c r="G1341" s="2" t="str">
        <f>IFERROR(__xludf.DUMMYFUNCTION("REGEXEXTRACT(C1341, ""🏘️ \w+ (\w+) .* ✅"")"),"maison")</f>
        <v>maison</v>
      </c>
      <c r="H1341" s="4" t="str">
        <f>IFERROR(__xludf.DUMMYFUNCTION("REGEXEXTRACT(A1341, ""/(\w+)-.*?"")"),"lieu")</f>
        <v>lieu</v>
      </c>
      <c r="I1341" s="4" t="str">
        <f>IFERROR(__xludf.DUMMYFUNCTION("if(D1341=""variant"",  substitute(filter(Templates!E:E, Templates!A:A = F1341, Templates!B:B = G1341, Templates!C:C = H1341), ""{{}}"", E1341), B1341)"),"🏘  Vous souhaitez acheter une maison à Bossonnens? ✅ Jetez un œil aux dernières offres sur ImmoScout24.ch.")</f>
        <v>🏘  Vous souhaitez acheter une maison à Bossonnens? ✅ Jetez un œil aux dernières offres sur ImmoScout24.ch.</v>
      </c>
      <c r="J1341" s="4" t="s">
        <v>4027</v>
      </c>
    </row>
    <row r="1342">
      <c r="A1342" s="5" t="s">
        <v>4028</v>
      </c>
      <c r="B1342" s="2" t="s">
        <v>4029</v>
      </c>
      <c r="C1342" s="4" t="str">
        <f>IFERROR(__xludf.DUMMYFUNCTION("""🏘️ ""&amp;REGEXEXTRACT(B1342, ""^(.*): "")&amp;"" ✅ "" &amp;REGEXEXTRACT(B1342, ""(Trouvez.*)"")"),"🏘️ Louer maison Singine - Sarine - Lac ✅ Trouvez le bien immobilier qui correspond idéalement à vos désirs sur ImmoScout24 - La plateforme de l'immobilier en Suisse.")</f>
        <v>🏘️ Louer maison Singine - Sarine - Lac ✅ Trouvez le bien immobilier qui correspond idéalement à vos désirs sur ImmoScout24 - La plateforme de l'immobilier en Suisse.</v>
      </c>
      <c r="D1342" s="4" t="str">
        <f>vlookup(A1342, Sheet2!D:E, 2, 0)</f>
        <v>variant</v>
      </c>
      <c r="E1342" s="4" t="str">
        <f>IFERROR(__xludf.DUMMYFUNCTION("if(H1342=""pays"",vlookup(REGEXEXTRACT(C1342, ""🏘️ \w+ \w+ (.*) ✅""),'Country prepositions'!A:B, 2, 0) &amp; "" "" &amp; REGEXEXTRACT(C1342, ""🏘️ \w+ \w+ (.*) ✅"") ,  if(H1342=""quartier"",vlookup(REGEXEXTRACT(C1342, ""🏘️ \w+ \w+ (.*) ✅""),'Quartier prepositio"&amp;"ns'!A:E, 5, 0) ,  if(H1342=""region"",vlookup(REGEXEXTRACT(C1342, ""🏘️ \w+ \w+ (.*) ✅""),'Region prepositions'!B:F, 5, 0),  REGEXEXTRACT(C1342, ""🏘️ \w+ \w+ (.*) ✅""))))"),"dans les districts de Singine - Sarine - Lac")</f>
        <v>dans les districts de Singine - Sarine - Lac</v>
      </c>
      <c r="F1342" s="2" t="str">
        <f>IFERROR(__xludf.DUMMYFUNCTION("REGEXEXTRACT(C1342, ""🏘️ (\w+) \w+ .* ✅"")"),"Louer")</f>
        <v>Louer</v>
      </c>
      <c r="G1342" s="2" t="str">
        <f>IFERROR(__xludf.DUMMYFUNCTION("REGEXEXTRACT(C1342, ""🏘️ \w+ (\w+) .* ✅"")"),"maison")</f>
        <v>maison</v>
      </c>
      <c r="H1342" s="4" t="str">
        <f>IFERROR(__xludf.DUMMYFUNCTION("REGEXEXTRACT(A1342, ""/(\w+)-.*?"")"),"region")</f>
        <v>region</v>
      </c>
      <c r="I1342" s="4" t="str">
        <f>IFERROR(__xludf.DUMMYFUNCTION("if(D1342=""variant"",  substitute(filter(Templates!E:E, Templates!A:A = F1342, Templates!B:B = G1342, Templates!C:C = H1342), ""{{}}"", E1342), B1342)"),"🏘  Vous cherchez une maison à louer dans les districts de Singine - Sarine - Lac? ✅ Découvrez nos nombreuses annonces sur ImmoScout24.ch.")</f>
        <v>🏘  Vous cherchez une maison à louer dans les districts de Singine - Sarine - Lac? ✅ Découvrez nos nombreuses annonces sur ImmoScout24.ch.</v>
      </c>
      <c r="J1342" s="4" t="s">
        <v>4030</v>
      </c>
    </row>
    <row r="1343">
      <c r="A1343" s="5" t="s">
        <v>4031</v>
      </c>
      <c r="B1343" s="2" t="s">
        <v>4032</v>
      </c>
      <c r="C1343" s="4" t="str">
        <f>IFERROR(__xludf.DUMMYFUNCTION("""🏘️ ""&amp;REGEXEXTRACT(B1343, ""^(.*): "")&amp;"" ✅ "" &amp;REGEXEXTRACT(B1343, ""(Trouvez.*)"")"),"🏘️ Vendre maison Pérou ✅ Trouvez le bien immobilier qui correspond idéalement à vos désirs sur ImmoScout24 - La plateforme de l'immobilier en Suisse.")</f>
        <v>🏘️ Vendre maison Pérou ✅ Trouvez le bien immobilier qui correspond idéalement à vos désirs sur ImmoScout24 - La plateforme de l'immobilier en Suisse.</v>
      </c>
      <c r="D1343" s="4" t="str">
        <f>vlookup(A1343, Sheet2!D:E, 2, 0)</f>
        <v>variant</v>
      </c>
      <c r="E1343" s="4" t="str">
        <f>IFERROR(__xludf.DUMMYFUNCTION("if(H1343=""pays"",vlookup(REGEXEXTRACT(C1343, ""🏘️ \w+ \w+ (.*) ✅""),'Country prepositions'!A:B, 2, 0) &amp; "" "" &amp; REGEXEXTRACT(C1343, ""🏘️ \w+ \w+ (.*) ✅"") ,  if(H1343=""quartier"",vlookup(REGEXEXTRACT(C1343, ""🏘️ \w+ \w+ (.*) ✅""),'Quartier prepositio"&amp;"ns'!A:E, 5, 0) ,  if(H1343=""region"",vlookup(REGEXEXTRACT(C1343, ""🏘️ \w+ \w+ (.*) ✅""),'Region prepositions'!B:F, 5, 0),  REGEXEXTRACT(C1343, ""🏘️ \w+ \w+ (.*) ✅""))))"),"au Pérou")</f>
        <v>au Pérou</v>
      </c>
      <c r="F1343" s="2" t="str">
        <f>IFERROR(__xludf.DUMMYFUNCTION("REGEXEXTRACT(C1343, ""🏘️ (\w+) \w+ .* ✅"")"),"Vendre")</f>
        <v>Vendre</v>
      </c>
      <c r="G1343" s="2" t="str">
        <f>IFERROR(__xludf.DUMMYFUNCTION("REGEXEXTRACT(C1343, ""🏘️ \w+ (\w+) .* ✅"")"),"maison")</f>
        <v>maison</v>
      </c>
      <c r="H1343" s="4" t="str">
        <f>IFERROR(__xludf.DUMMYFUNCTION("REGEXEXTRACT(A1343, ""/(\w+)-.*?"")"),"pays")</f>
        <v>pays</v>
      </c>
      <c r="I1343" s="4" t="str">
        <f>IFERROR(__xludf.DUMMYFUNCTION("if(D1343=""variant"",  substitute(filter(Templates!E:E, Templates!A:A = F1343, Templates!B:B = G1343, Templates!C:C = H1343), ""{{}}"", E1343), B1343)"),"🏘  Vous cherchez un appartement à louer au Pérou? ✅ Les annonces les plus actuelles sont sur ImmoScout24.ch.")</f>
        <v>🏘  Vous cherchez un appartement à louer au Pérou? ✅ Les annonces les plus actuelles sont sur ImmoScout24.ch.</v>
      </c>
      <c r="J1343" s="4" t="s">
        <v>4033</v>
      </c>
    </row>
    <row r="1344">
      <c r="A1344" s="5" t="s">
        <v>4034</v>
      </c>
      <c r="B1344" s="2" t="s">
        <v>4035</v>
      </c>
      <c r="C1344" s="4" t="str">
        <f>IFERROR(__xludf.DUMMYFUNCTION("""🏘️ ""&amp;REGEXEXTRACT(B1344, ""^(.*): "")&amp;"" ✅ "" &amp;REGEXEXTRACT(B1344, ""(Trouvez.*)"")"),"🏘️ Louer appartement Genthod ✅ Trouvez le bien immobilier qui correspond idéalement à vos désirs sur ImmoScout24 - La plateforme de l'immobilier en Suisse.")</f>
        <v>🏘️ Louer appartement Genthod ✅ Trouvez le bien immobilier qui correspond idéalement à vos désirs sur ImmoScout24 - La plateforme de l'immobilier en Suisse.</v>
      </c>
      <c r="D1344" s="4" t="str">
        <f>vlookup(A1344, Sheet2!D:E, 2, 0)</f>
        <v>variant</v>
      </c>
      <c r="E1344" s="4" t="str">
        <f>IFERROR(__xludf.DUMMYFUNCTION("if(H1344=""pays"",vlookup(REGEXEXTRACT(C1344, ""🏘️ \w+ \w+ (.*) ✅""),'Country prepositions'!A:B, 2, 0) &amp; "" "" &amp; REGEXEXTRACT(C1344, ""🏘️ \w+ \w+ (.*) ✅"") ,  if(H1344=""quartier"",vlookup(REGEXEXTRACT(C1344, ""🏘️ \w+ \w+ (.*) ✅""),'Quartier prepositio"&amp;"ns'!A:E, 5, 0) ,  if(H1344=""region"",vlookup(REGEXEXTRACT(C1344, ""🏘️ \w+ \w+ (.*) ✅""),'Region prepositions'!B:F, 5, 0),  REGEXEXTRACT(C1344, ""🏘️ \w+ \w+ (.*) ✅""))))"),"Genthod")</f>
        <v>Genthod</v>
      </c>
      <c r="F1344" s="2" t="str">
        <f>IFERROR(__xludf.DUMMYFUNCTION("REGEXEXTRACT(C1344, ""🏘️ (\w+) \w+ .* ✅"")"),"Louer")</f>
        <v>Louer</v>
      </c>
      <c r="G1344" s="2" t="str">
        <f>IFERROR(__xludf.DUMMYFUNCTION("REGEXEXTRACT(C1344, ""🏘️ \w+ (\w+) .* ✅"")"),"appartement")</f>
        <v>appartement</v>
      </c>
      <c r="H1344" s="4" t="str">
        <f>IFERROR(__xludf.DUMMYFUNCTION("REGEXEXTRACT(A1344, ""/(\w+)-.*?"")"),"lieu")</f>
        <v>lieu</v>
      </c>
      <c r="I1344" s="4" t="str">
        <f>IFERROR(__xludf.DUMMYFUNCTION("if(D1344=""variant"",  substitute(filter(Templates!E:E, Templates!A:A = F1344, Templates!B:B = G1344, Templates!C:C = H1344), ""{{}}"", E1344), B1344)"),"🏘  Vous cherchez un appartement à louer à Genthod? ✅ Les annonces les plus actuelles sont sur ImmoScout24.ch.")</f>
        <v>🏘  Vous cherchez un appartement à louer à Genthod? ✅ Les annonces les plus actuelles sont sur ImmoScout24.ch.</v>
      </c>
      <c r="J1344" s="4" t="s">
        <v>4036</v>
      </c>
    </row>
    <row r="1345">
      <c r="A1345" s="5" t="s">
        <v>4037</v>
      </c>
      <c r="B1345" s="2" t="s">
        <v>4038</v>
      </c>
      <c r="C1345" s="4" t="str">
        <f>IFERROR(__xludf.DUMMYFUNCTION("""🏘️ ""&amp;REGEXEXTRACT(B1345, ""^(.*): "")&amp;"" ✅ "" &amp;REGEXEXTRACT(B1345, ""(Trouvez.*)"")"),"🏘️ Louer appartement Troinex ✅ Trouvez le bien immobilier qui correspond idéalement à vos désirs sur ImmoScout24 - La plateforme de l'immobilier en Suisse.")</f>
        <v>🏘️ Louer appartement Troinex ✅ Trouvez le bien immobilier qui correspond idéalement à vos désirs sur ImmoScout24 - La plateforme de l'immobilier en Suisse.</v>
      </c>
      <c r="D1345" s="4" t="str">
        <f>vlookup(A1345, Sheet2!D:E, 2, 0)</f>
        <v>variant</v>
      </c>
      <c r="E1345" s="4" t="str">
        <f>IFERROR(__xludf.DUMMYFUNCTION("if(H1345=""pays"",vlookup(REGEXEXTRACT(C1345, ""🏘️ \w+ \w+ (.*) ✅""),'Country prepositions'!A:B, 2, 0) &amp; "" "" &amp; REGEXEXTRACT(C1345, ""🏘️ \w+ \w+ (.*) ✅"") ,  if(H1345=""quartier"",vlookup(REGEXEXTRACT(C1345, ""🏘️ \w+ \w+ (.*) ✅""),'Quartier prepositio"&amp;"ns'!A:E, 5, 0) ,  if(H1345=""region"",vlookup(REGEXEXTRACT(C1345, ""🏘️ \w+ \w+ (.*) ✅""),'Region prepositions'!B:F, 5, 0),  REGEXEXTRACT(C1345, ""🏘️ \w+ \w+ (.*) ✅""))))"),"Troinex")</f>
        <v>Troinex</v>
      </c>
      <c r="F1345" s="2" t="str">
        <f>IFERROR(__xludf.DUMMYFUNCTION("REGEXEXTRACT(C1345, ""🏘️ (\w+) \w+ .* ✅"")"),"Louer")</f>
        <v>Louer</v>
      </c>
      <c r="G1345" s="2" t="str">
        <f>IFERROR(__xludf.DUMMYFUNCTION("REGEXEXTRACT(C1345, ""🏘️ \w+ (\w+) .* ✅"")"),"appartement")</f>
        <v>appartement</v>
      </c>
      <c r="H1345" s="4" t="str">
        <f>IFERROR(__xludf.DUMMYFUNCTION("REGEXEXTRACT(A1345, ""/(\w+)-.*?"")"),"lieu")</f>
        <v>lieu</v>
      </c>
      <c r="I1345" s="4" t="str">
        <f>IFERROR(__xludf.DUMMYFUNCTION("if(D1345=""variant"",  substitute(filter(Templates!E:E, Templates!A:A = F1345, Templates!B:B = G1345, Templates!C:C = H1345), ""{{}}"", E1345), B1345)"),"🏘  Vous cherchez un appartement à louer à Troinex? ✅ Les annonces les plus actuelles sont sur ImmoScout24.ch.")</f>
        <v>🏘  Vous cherchez un appartement à louer à Troinex? ✅ Les annonces les plus actuelles sont sur ImmoScout24.ch.</v>
      </c>
      <c r="J1345" s="4" t="s">
        <v>4039</v>
      </c>
    </row>
    <row r="1346">
      <c r="A1346" s="5" t="s">
        <v>4040</v>
      </c>
      <c r="B1346" s="2" t="s">
        <v>4041</v>
      </c>
      <c r="C1346" s="4" t="str">
        <f>IFERROR(__xludf.DUMMYFUNCTION("""🏘️ ""&amp;REGEXEXTRACT(B1346, ""^(.*): "")&amp;"" ✅ "" &amp;REGEXEXTRACT(B1346, ""(Trouvez.*)"")"),"🏘️ Vendre appartement Haute-Nendaz ✅ Trouvez le bien immobilier qui correspond idéalement à vos désirs sur ImmoScout24 - La plateforme de l'immobilier en Suisse.")</f>
        <v>🏘️ Vendre appartement Haute-Nendaz ✅ Trouvez le bien immobilier qui correspond idéalement à vos désirs sur ImmoScout24 - La plateforme de l'immobilier en Suisse.</v>
      </c>
      <c r="D1346" s="4" t="str">
        <f>vlookup(A1346, Sheet2!D:E, 2, 0)</f>
        <v>variant</v>
      </c>
      <c r="E1346" s="4" t="str">
        <f>IFERROR(__xludf.DUMMYFUNCTION("if(H1346=""pays"",vlookup(REGEXEXTRACT(C1346, ""🏘️ \w+ \w+ (.*) ✅""),'Country prepositions'!A:B, 2, 0) &amp; "" "" &amp; REGEXEXTRACT(C1346, ""🏘️ \w+ \w+ (.*) ✅"") ,  if(H1346=""quartier"",vlookup(REGEXEXTRACT(C1346, ""🏘️ \w+ \w+ (.*) ✅""),'Quartier prepositio"&amp;"ns'!A:E, 5, 0) ,  if(H1346=""region"",vlookup(REGEXEXTRACT(C1346, ""🏘️ \w+ \w+ (.*) ✅""),'Region prepositions'!B:F, 5, 0),  REGEXEXTRACT(C1346, ""🏘️ \w+ \w+ (.*) ✅""))))"),"Haute-Nendaz")</f>
        <v>Haute-Nendaz</v>
      </c>
      <c r="F1346" s="2" t="str">
        <f>IFERROR(__xludf.DUMMYFUNCTION("REGEXEXTRACT(C1346, ""🏘️ (\w+) \w+ .* ✅"")"),"Vendre")</f>
        <v>Vendre</v>
      </c>
      <c r="G1346" s="2" t="str">
        <f>IFERROR(__xludf.DUMMYFUNCTION("REGEXEXTRACT(C1346, ""🏘️ \w+ (\w+) .* ✅"")"),"appartement")</f>
        <v>appartement</v>
      </c>
      <c r="H1346" s="4" t="str">
        <f>IFERROR(__xludf.DUMMYFUNCTION("REGEXEXTRACT(A1346, ""/(\w+)-.*?"")"),"lieu")</f>
        <v>lieu</v>
      </c>
      <c r="I1346" s="4" t="str">
        <f>IFERROR(__xludf.DUMMYFUNCTION("if(D1346=""variant"",  substitute(filter(Templates!E:E, Templates!A:A = F1346, Templates!B:B = G1346, Templates!C:C = H1346), ""{{}}"", E1346), B1346)"),"🏘  L’appartement de vos rêves se trouve sur ImmoScout24.ch ✅ Découvrez les dernières annonces de vente à Haute-Nendaz.")</f>
        <v>🏘  L’appartement de vos rêves se trouve sur ImmoScout24.ch ✅ Découvrez les dernières annonces de vente à Haute-Nendaz.</v>
      </c>
      <c r="J1346" s="4" t="s">
        <v>4042</v>
      </c>
    </row>
    <row r="1347">
      <c r="A1347" s="5" t="s">
        <v>4043</v>
      </c>
      <c r="B1347" s="2" t="s">
        <v>4044</v>
      </c>
      <c r="C1347" s="4" t="str">
        <f>IFERROR(__xludf.DUMMYFUNCTION("""🏘️ ""&amp;REGEXEXTRACT(B1347, ""^(.*): "")&amp;"" ✅ "" &amp;REGEXEXTRACT(B1347, ""(Trouvez.*)"")"),"🏘️ Louer appartement Lucelle ✅ Trouvez le bien immobilier qui correspond idéalement à vos désirs sur ImmoScout24 - La plateforme de l'immobilier en Suisse.")</f>
        <v>🏘️ Louer appartement Lucelle ✅ Trouvez le bien immobilier qui correspond idéalement à vos désirs sur ImmoScout24 - La plateforme de l'immobilier en Suisse.</v>
      </c>
      <c r="D1347" s="4" t="str">
        <f>vlookup(A1347, Sheet2!D:E, 2, 0)</f>
        <v>variant</v>
      </c>
      <c r="E1347" s="4" t="str">
        <f>IFERROR(__xludf.DUMMYFUNCTION("if(H1347=""pays"",vlookup(REGEXEXTRACT(C1347, ""🏘️ \w+ \w+ (.*) ✅""),'Country prepositions'!A:B, 2, 0) &amp; "" "" &amp; REGEXEXTRACT(C1347, ""🏘️ \w+ \w+ (.*) ✅"") ,  if(H1347=""quartier"",vlookup(REGEXEXTRACT(C1347, ""🏘️ \w+ \w+ (.*) ✅""),'Quartier prepositio"&amp;"ns'!A:E, 5, 0) ,  if(H1347=""region"",vlookup(REGEXEXTRACT(C1347, ""🏘️ \w+ \w+ (.*) ✅""),'Region prepositions'!B:F, 5, 0),  REGEXEXTRACT(C1347, ""🏘️ \w+ \w+ (.*) ✅""))))"),"Lucelle")</f>
        <v>Lucelle</v>
      </c>
      <c r="F1347" s="2" t="str">
        <f>IFERROR(__xludf.DUMMYFUNCTION("REGEXEXTRACT(C1347, ""🏘️ (\w+) \w+ .* ✅"")"),"Louer")</f>
        <v>Louer</v>
      </c>
      <c r="G1347" s="2" t="str">
        <f>IFERROR(__xludf.DUMMYFUNCTION("REGEXEXTRACT(C1347, ""🏘️ \w+ (\w+) .* ✅"")"),"appartement")</f>
        <v>appartement</v>
      </c>
      <c r="H1347" s="4" t="str">
        <f>IFERROR(__xludf.DUMMYFUNCTION("REGEXEXTRACT(A1347, ""/(\w+)-.*?"")"),"lieu")</f>
        <v>lieu</v>
      </c>
      <c r="I1347" s="4" t="str">
        <f>IFERROR(__xludf.DUMMYFUNCTION("if(D1347=""variant"",  substitute(filter(Templates!E:E, Templates!A:A = F1347, Templates!B:B = G1347, Templates!C:C = H1347), ""{{}}"", E1347), B1347)"),"🏘  Vous cherchez un appartement à louer à Lucelle? ✅ Les annonces les plus actuelles sont sur ImmoScout24.ch.")</f>
        <v>🏘  Vous cherchez un appartement à louer à Lucelle? ✅ Les annonces les plus actuelles sont sur ImmoScout24.ch.</v>
      </c>
      <c r="J1347" s="4" t="s">
        <v>4045</v>
      </c>
    </row>
    <row r="1348">
      <c r="A1348" s="5" t="s">
        <v>4046</v>
      </c>
      <c r="B1348" s="2" t="s">
        <v>4047</v>
      </c>
      <c r="C1348" s="4" t="str">
        <f>IFERROR(__xludf.DUMMYFUNCTION("""🏘️ ""&amp;REGEXEXTRACT(B1348, ""^(.*): "")&amp;"" ✅ "" &amp;REGEXEXTRACT(B1348, ""(Trouvez.*)"")"),"🏘️ Vendre maison Gerolfingen ✅ Trouvez le bien immobilier qui correspond idéalement à vos désirs sur ImmoScout24 - La plateforme de l'immobilier en Suisse.")</f>
        <v>🏘️ Vendre maison Gerolfingen ✅ Trouvez le bien immobilier qui correspond idéalement à vos désirs sur ImmoScout24 - La plateforme de l'immobilier en Suisse.</v>
      </c>
      <c r="D1348" s="4" t="str">
        <f>vlookup(A1348, Sheet2!D:E, 2, 0)</f>
        <v>variant</v>
      </c>
      <c r="E1348" s="4" t="str">
        <f>IFERROR(__xludf.DUMMYFUNCTION("if(H1348=""pays"",vlookup(REGEXEXTRACT(C1348, ""🏘️ \w+ \w+ (.*) ✅""),'Country prepositions'!A:B, 2, 0) &amp; "" "" &amp; REGEXEXTRACT(C1348, ""🏘️ \w+ \w+ (.*) ✅"") ,  if(H1348=""quartier"",vlookup(REGEXEXTRACT(C1348, ""🏘️ \w+ \w+ (.*) ✅""),'Quartier prepositio"&amp;"ns'!A:E, 5, 0) ,  if(H1348=""region"",vlookup(REGEXEXTRACT(C1348, ""🏘️ \w+ \w+ (.*) ✅""),'Region prepositions'!B:F, 5, 0),  REGEXEXTRACT(C1348, ""🏘️ \w+ \w+ (.*) ✅""))))"),"Gerolfingen")</f>
        <v>Gerolfingen</v>
      </c>
      <c r="F1348" s="2" t="str">
        <f>IFERROR(__xludf.DUMMYFUNCTION("REGEXEXTRACT(C1348, ""🏘️ (\w+) \w+ .* ✅"")"),"Vendre")</f>
        <v>Vendre</v>
      </c>
      <c r="G1348" s="2" t="str">
        <f>IFERROR(__xludf.DUMMYFUNCTION("REGEXEXTRACT(C1348, ""🏘️ \w+ (\w+) .* ✅"")"),"maison")</f>
        <v>maison</v>
      </c>
      <c r="H1348" s="4" t="str">
        <f>IFERROR(__xludf.DUMMYFUNCTION("REGEXEXTRACT(A1348, ""/(\w+)-.*?"")"),"lieu")</f>
        <v>lieu</v>
      </c>
      <c r="I1348" s="4" t="str">
        <f>IFERROR(__xludf.DUMMYFUNCTION("if(D1348=""variant"",  substitute(filter(Templates!E:E, Templates!A:A = F1348, Templates!B:B = G1348, Templates!C:C = H1348), ""{{}}"", E1348), B1348)"),"🏘  Vous souhaitez acheter une maison à Gerolfingen? ✅ Jetez un œil aux dernières offres sur ImmoScout24.ch.")</f>
        <v>🏘  Vous souhaitez acheter une maison à Gerolfingen? ✅ Jetez un œil aux dernières offres sur ImmoScout24.ch.</v>
      </c>
      <c r="J1348" s="4" t="s">
        <v>4048</v>
      </c>
    </row>
    <row r="1349">
      <c r="A1349" s="5" t="s">
        <v>4049</v>
      </c>
      <c r="B1349" s="2" t="s">
        <v>4050</v>
      </c>
      <c r="C1349" s="4" t="str">
        <f>IFERROR(__xludf.DUMMYFUNCTION("""🏘️ ""&amp;REGEXEXTRACT(B1349, ""^(.*): "")&amp;"" ✅ "" &amp;REGEXEXTRACT(B1349, ""(Trouvez.*)"")"),"🏘️ Vendre appartement Pampigny ✅ Trouvez le bien immobilier qui correspond idéalement à vos désirs sur ImmoScout24 - La plateforme de l'immobilier en Suisse.")</f>
        <v>🏘️ Vendre appartement Pampigny ✅ Trouvez le bien immobilier qui correspond idéalement à vos désirs sur ImmoScout24 - La plateforme de l'immobilier en Suisse.</v>
      </c>
      <c r="D1349" s="4" t="str">
        <f>vlookup(A1349, Sheet2!D:E, 2, 0)</f>
        <v>variant</v>
      </c>
      <c r="E1349" s="4" t="str">
        <f>IFERROR(__xludf.DUMMYFUNCTION("if(H1349=""pays"",vlookup(REGEXEXTRACT(C1349, ""🏘️ \w+ \w+ (.*) ✅""),'Country prepositions'!A:B, 2, 0) &amp; "" "" &amp; REGEXEXTRACT(C1349, ""🏘️ \w+ \w+ (.*) ✅"") ,  if(H1349=""quartier"",vlookup(REGEXEXTRACT(C1349, ""🏘️ \w+ \w+ (.*) ✅""),'Quartier prepositio"&amp;"ns'!A:E, 5, 0) ,  if(H1349=""region"",vlookup(REGEXEXTRACT(C1349, ""🏘️ \w+ \w+ (.*) ✅""),'Region prepositions'!B:F, 5, 0),  REGEXEXTRACT(C1349, ""🏘️ \w+ \w+ (.*) ✅""))))"),"Pampigny")</f>
        <v>Pampigny</v>
      </c>
      <c r="F1349" s="2" t="str">
        <f>IFERROR(__xludf.DUMMYFUNCTION("REGEXEXTRACT(C1349, ""🏘️ (\w+) \w+ .* ✅"")"),"Vendre")</f>
        <v>Vendre</v>
      </c>
      <c r="G1349" s="2" t="str">
        <f>IFERROR(__xludf.DUMMYFUNCTION("REGEXEXTRACT(C1349, ""🏘️ \w+ (\w+) .* ✅"")"),"appartement")</f>
        <v>appartement</v>
      </c>
      <c r="H1349" s="4" t="str">
        <f>IFERROR(__xludf.DUMMYFUNCTION("REGEXEXTRACT(A1349, ""/(\w+)-.*?"")"),"lieu")</f>
        <v>lieu</v>
      </c>
      <c r="I1349" s="4" t="str">
        <f>IFERROR(__xludf.DUMMYFUNCTION("if(D1349=""variant"",  substitute(filter(Templates!E:E, Templates!A:A = F1349, Templates!B:B = G1349, Templates!C:C = H1349), ""{{}}"", E1349), B1349)"),"🏘  L’appartement de vos rêves se trouve sur ImmoScout24.ch ✅ Découvrez les dernières annonces de vente à Pampigny.")</f>
        <v>🏘  L’appartement de vos rêves se trouve sur ImmoScout24.ch ✅ Découvrez les dernières annonces de vente à Pampigny.</v>
      </c>
      <c r="J1349" s="4" t="s">
        <v>4051</v>
      </c>
    </row>
    <row r="1350">
      <c r="A1350" s="5" t="s">
        <v>4052</v>
      </c>
      <c r="B1350" s="2" t="s">
        <v>4053</v>
      </c>
      <c r="C1350" s="4" t="str">
        <f>IFERROR(__xludf.DUMMYFUNCTION("""🏘️ ""&amp;REGEXEXTRACT(B1350, ""^(.*): "")&amp;"" ✅ "" &amp;REGEXEXTRACT(B1350, ""(Trouvez.*)"")"),"🏘️ Vendre appartement Petit-Lancy ✅ Trouvez le bien immobilier qui correspond idéalement à vos désirs sur ImmoScout24 - La plateforme de l'immobilier en Suisse.")</f>
        <v>🏘️ Vendre appartement Petit-Lancy ✅ Trouvez le bien immobilier qui correspond idéalement à vos désirs sur ImmoScout24 - La plateforme de l'immobilier en Suisse.</v>
      </c>
      <c r="D1350" s="4" t="str">
        <f>vlookup(A1350, Sheet2!D:E, 2, 0)</f>
        <v>variant</v>
      </c>
      <c r="E1350" s="4" t="str">
        <f>IFERROR(__xludf.DUMMYFUNCTION("if(H1350=""pays"",vlookup(REGEXEXTRACT(C1350, ""🏘️ \w+ \w+ (.*) ✅""),'Country prepositions'!A:B, 2, 0) &amp; "" "" &amp; REGEXEXTRACT(C1350, ""🏘️ \w+ \w+ (.*) ✅"") ,  if(H1350=""quartier"",vlookup(REGEXEXTRACT(C1350, ""🏘️ \w+ \w+ (.*) ✅""),'Quartier prepositio"&amp;"ns'!A:E, 5, 0) ,  if(H1350=""region"",vlookup(REGEXEXTRACT(C1350, ""🏘️ \w+ \w+ (.*) ✅""),'Region prepositions'!B:F, 5, 0),  REGEXEXTRACT(C1350, ""🏘️ \w+ \w+ (.*) ✅""))))"),"Petit-Lancy")</f>
        <v>Petit-Lancy</v>
      </c>
      <c r="F1350" s="2" t="str">
        <f>IFERROR(__xludf.DUMMYFUNCTION("REGEXEXTRACT(C1350, ""🏘️ (\w+) \w+ .* ✅"")"),"Vendre")</f>
        <v>Vendre</v>
      </c>
      <c r="G1350" s="2" t="str">
        <f>IFERROR(__xludf.DUMMYFUNCTION("REGEXEXTRACT(C1350, ""🏘️ \w+ (\w+) .* ✅"")"),"appartement")</f>
        <v>appartement</v>
      </c>
      <c r="H1350" s="4" t="str">
        <f>IFERROR(__xludf.DUMMYFUNCTION("REGEXEXTRACT(A1350, ""/(\w+)-.*?"")"),"lieu")</f>
        <v>lieu</v>
      </c>
      <c r="I1350" s="4" t="str">
        <f>IFERROR(__xludf.DUMMYFUNCTION("if(D1350=""variant"",  substitute(filter(Templates!E:E, Templates!A:A = F1350, Templates!B:B = G1350, Templates!C:C = H1350), ""{{}}"", E1350), B1350)"),"🏘  L’appartement de vos rêves se trouve sur ImmoScout24.ch ✅ Découvrez les dernières annonces de vente à Petit-Lancy.")</f>
        <v>🏘  L’appartement de vos rêves se trouve sur ImmoScout24.ch ✅ Découvrez les dernières annonces de vente à Petit-Lancy.</v>
      </c>
      <c r="J1350" s="2" t="s">
        <v>4054</v>
      </c>
    </row>
    <row r="1351">
      <c r="A1351" s="5" t="s">
        <v>4055</v>
      </c>
      <c r="B1351" s="2" t="s">
        <v>4056</v>
      </c>
      <c r="C1351" s="4" t="str">
        <f>IFERROR(__xludf.DUMMYFUNCTION("""🏘️ ""&amp;REGEXEXTRACT(B1351, ""^(.*): "")&amp;"" ✅ "" &amp;REGEXEXTRACT(B1351, ""(Trouvez.*)"")"),"🏘️ Vendre maison Arch ✅ Trouvez le bien immobilier qui correspond idéalement à vos désirs sur ImmoScout24 - La plateforme de l'immobilier en Suisse.")</f>
        <v>🏘️ Vendre maison Arch ✅ Trouvez le bien immobilier qui correspond idéalement à vos désirs sur ImmoScout24 - La plateforme de l'immobilier en Suisse.</v>
      </c>
      <c r="D1351" s="4" t="str">
        <f>vlookup(A1351, Sheet2!D:E, 2, 0)</f>
        <v>variant</v>
      </c>
      <c r="E1351" s="4" t="str">
        <f>IFERROR(__xludf.DUMMYFUNCTION("if(H1351=""pays"",vlookup(REGEXEXTRACT(C1351, ""🏘️ \w+ \w+ (.*) ✅""),'Country prepositions'!A:B, 2, 0) &amp; "" "" &amp; REGEXEXTRACT(C1351, ""🏘️ \w+ \w+ (.*) ✅"") ,  if(H1351=""quartier"",vlookup(REGEXEXTRACT(C1351, ""🏘️ \w+ \w+ (.*) ✅""),'Quartier prepositio"&amp;"ns'!A:E, 5, 0) ,  if(H1351=""region"",vlookup(REGEXEXTRACT(C1351, ""🏘️ \w+ \w+ (.*) ✅""),'Region prepositions'!B:F, 5, 0),  REGEXEXTRACT(C1351, ""🏘️ \w+ \w+ (.*) ✅""))))"),"Arch")</f>
        <v>Arch</v>
      </c>
      <c r="F1351" s="2" t="str">
        <f>IFERROR(__xludf.DUMMYFUNCTION("REGEXEXTRACT(C1351, ""🏘️ (\w+) \w+ .* ✅"")"),"Vendre")</f>
        <v>Vendre</v>
      </c>
      <c r="G1351" s="2" t="str">
        <f>IFERROR(__xludf.DUMMYFUNCTION("REGEXEXTRACT(C1351, ""🏘️ \w+ (\w+) .* ✅"")"),"maison")</f>
        <v>maison</v>
      </c>
      <c r="H1351" s="4" t="str">
        <f>IFERROR(__xludf.DUMMYFUNCTION("REGEXEXTRACT(A1351, ""/(\w+)-.*?"")"),"lieu")</f>
        <v>lieu</v>
      </c>
      <c r="I1351" s="4" t="str">
        <f>IFERROR(__xludf.DUMMYFUNCTION("if(D1351=""variant"",  substitute(filter(Templates!E:E, Templates!A:A = F1351, Templates!B:B = G1351, Templates!C:C = H1351), ""{{}}"", E1351), B1351)"),"🏘  Vous souhaitez acheter une maison à Arch? ✅ Jetez un œil aux dernières offres sur ImmoScout24.ch.")</f>
        <v>🏘  Vous souhaitez acheter une maison à Arch? ✅ Jetez un œil aux dernières offres sur ImmoScout24.ch.</v>
      </c>
      <c r="J1351" s="4" t="s">
        <v>4057</v>
      </c>
    </row>
    <row r="1352">
      <c r="A1352" s="5" t="s">
        <v>4058</v>
      </c>
      <c r="B1352" s="2" t="s">
        <v>4059</v>
      </c>
      <c r="C1352" s="4" t="str">
        <f>IFERROR(__xludf.DUMMYFUNCTION("""🏘️ ""&amp;REGEXEXTRACT(B1352, ""^(.*): "")&amp;"" ✅ "" &amp;REGEXEXTRACT(B1352, ""(Trouvez.*)"")"),"🏘️ Vendre appartement Bremgarten - Lenzburg - Muri - Kulm ✅ Trouvez le bien immobilier qui correspond idéalement à vos désirs sur ImmoScout24 - La plateforme de l'immobilier en Suisse.")</f>
        <v>🏘️ Vendre appartement Bremgarten - Lenzburg - Muri - Kulm ✅ Trouvez le bien immobilier qui correspond idéalement à vos désirs sur ImmoScout24 - La plateforme de l'immobilier en Suisse.</v>
      </c>
      <c r="D1352" s="4" t="str">
        <f>vlookup(A1352, Sheet2!D:E, 2, 0)</f>
        <v>variant</v>
      </c>
      <c r="E1352" s="4" t="str">
        <f>IFERROR(__xludf.DUMMYFUNCTION("if(H1352=""pays"",vlookup(REGEXEXTRACT(C1352, ""🏘️ \w+ \w+ (.*) ✅""),'Country prepositions'!A:B, 2, 0) &amp; "" "" &amp; REGEXEXTRACT(C1352, ""🏘️ \w+ \w+ (.*) ✅"") ,  if(H1352=""quartier"",vlookup(REGEXEXTRACT(C1352, ""🏘️ \w+ \w+ (.*) ✅""),'Quartier prepositio"&amp;"ns'!A:E, 5, 0) ,  if(H1352=""region"",vlookup(REGEXEXTRACT(C1352, ""🏘️ \w+ \w+ (.*) ✅""),'Region prepositions'!B:F, 5, 0),  REGEXEXTRACT(C1352, ""🏘️ \w+ \w+ (.*) ✅""))))"),"dans les districts de Bremgarten - Lenzburg - Muri - Kulm")</f>
        <v>dans les districts de Bremgarten - Lenzburg - Muri - Kulm</v>
      </c>
      <c r="F1352" s="2" t="str">
        <f>IFERROR(__xludf.DUMMYFUNCTION("REGEXEXTRACT(C1352, ""🏘️ (\w+) \w+ .* ✅"")"),"Vendre")</f>
        <v>Vendre</v>
      </c>
      <c r="G1352" s="2" t="str">
        <f>IFERROR(__xludf.DUMMYFUNCTION("REGEXEXTRACT(C1352, ""🏘️ \w+ (\w+) .* ✅"")"),"appartement")</f>
        <v>appartement</v>
      </c>
      <c r="H1352" s="4" t="str">
        <f>IFERROR(__xludf.DUMMYFUNCTION("REGEXEXTRACT(A1352, ""/(\w+)-.*?"")"),"region")</f>
        <v>region</v>
      </c>
      <c r="I1352" s="4" t="str">
        <f>IFERROR(__xludf.DUMMYFUNCTION("if(D1352=""variant"",  substitute(filter(Templates!E:E, Templates!A:A = F1352, Templates!B:B = G1352, Templates!C:C = H1352), ""{{}}"", E1352), B1352)"),"🏘  L’appartement de vos rêves se trouve sur ImmoScout24.ch ✅ Découvrez les dernières annonces de vente dans les districts de Bremgarten - Lenzburg - Muri - Kulm.")</f>
        <v>🏘  L’appartement de vos rêves se trouve sur ImmoScout24.ch ✅ Découvrez les dernières annonces de vente dans les districts de Bremgarten - Lenzburg - Muri - Kulm.</v>
      </c>
      <c r="J1352" s="4" t="s">
        <v>4060</v>
      </c>
    </row>
    <row r="1353">
      <c r="A1353" s="5" t="s">
        <v>4061</v>
      </c>
      <c r="B1353" s="2" t="s">
        <v>4062</v>
      </c>
      <c r="C1353" s="4" t="str">
        <f>IFERROR(__xludf.DUMMYFUNCTION("""🏘️ ""&amp;REGEXEXTRACT(B1353, ""^(.*): "")&amp;"" ✅ "" &amp;REGEXEXTRACT(B1353, ""(Trouvez.*)"")"),"🏘️ Louer appartement Erlenbach ZH ✅ Trouvez le bien immobilier qui correspond idéalement à vos désirs sur ImmoScout24 - La plateforme de l'immobilier en Suisse.")</f>
        <v>🏘️ Louer appartement Erlenbach ZH ✅ Trouvez le bien immobilier qui correspond idéalement à vos désirs sur ImmoScout24 - La plateforme de l'immobilier en Suisse.</v>
      </c>
      <c r="D1353" s="4" t="str">
        <f>vlookup(A1353, Sheet2!D:E, 2, 0)</f>
        <v>variant</v>
      </c>
      <c r="E1353" s="4" t="str">
        <f>IFERROR(__xludf.DUMMYFUNCTION("if(H1353=""pays"",vlookup(REGEXEXTRACT(C1353, ""🏘️ \w+ \w+ (.*) ✅""),'Country prepositions'!A:B, 2, 0) &amp; "" "" &amp; REGEXEXTRACT(C1353, ""🏘️ \w+ \w+ (.*) ✅"") ,  if(H1353=""quartier"",vlookup(REGEXEXTRACT(C1353, ""🏘️ \w+ \w+ (.*) ✅""),'Quartier prepositio"&amp;"ns'!A:E, 5, 0) ,  if(H1353=""region"",vlookup(REGEXEXTRACT(C1353, ""🏘️ \w+ \w+ (.*) ✅""),'Region prepositions'!B:F, 5, 0),  REGEXEXTRACT(C1353, ""🏘️ \w+ \w+ (.*) ✅""))))"),"Erlenbach ZH")</f>
        <v>Erlenbach ZH</v>
      </c>
      <c r="F1353" s="2" t="str">
        <f>IFERROR(__xludf.DUMMYFUNCTION("REGEXEXTRACT(C1353, ""🏘️ (\w+) \w+ .* ✅"")"),"Louer")</f>
        <v>Louer</v>
      </c>
      <c r="G1353" s="2" t="str">
        <f>IFERROR(__xludf.DUMMYFUNCTION("REGEXEXTRACT(C1353, ""🏘️ \w+ (\w+) .* ✅"")"),"appartement")</f>
        <v>appartement</v>
      </c>
      <c r="H1353" s="4" t="str">
        <f>IFERROR(__xludf.DUMMYFUNCTION("REGEXEXTRACT(A1353, ""/(\w+)-.*?"")"),"lieu")</f>
        <v>lieu</v>
      </c>
      <c r="I1353" s="4" t="str">
        <f>IFERROR(__xludf.DUMMYFUNCTION("if(D1353=""variant"",  substitute(filter(Templates!E:E, Templates!A:A = F1353, Templates!B:B = G1353, Templates!C:C = H1353), ""{{}}"", E1353), B1353)"),"🏘  Vous cherchez un appartement à louer à Erlenbach ZH? ✅ Les annonces les plus actuelles sont sur ImmoScout24.ch.")</f>
        <v>🏘  Vous cherchez un appartement à louer à Erlenbach ZH? ✅ Les annonces les plus actuelles sont sur ImmoScout24.ch.</v>
      </c>
      <c r="J1353" s="4" t="s">
        <v>4063</v>
      </c>
    </row>
    <row r="1354">
      <c r="A1354" s="5" t="s">
        <v>4064</v>
      </c>
      <c r="B1354" s="2" t="s">
        <v>4065</v>
      </c>
      <c r="C1354" s="4" t="str">
        <f>IFERROR(__xludf.DUMMYFUNCTION("""🏘️ ""&amp;REGEXEXTRACT(B1354, ""^(.*): "")&amp;"" ✅ "" &amp;REGEXEXTRACT(B1354, ""(Trouvez.*)"")"),"🏘️ Louer appartement Prévondavaux ✅ Trouvez le bien immobilier qui correspond idéalement à vos désirs sur ImmoScout24 - La plateforme de l'immobilier en Suisse.")</f>
        <v>🏘️ Louer appartement Prévondavaux ✅ Trouvez le bien immobilier qui correspond idéalement à vos désirs sur ImmoScout24 - La plateforme de l'immobilier en Suisse.</v>
      </c>
      <c r="D1354" s="4" t="str">
        <f>vlookup(A1354, Sheet2!D:E, 2, 0)</f>
        <v>variant</v>
      </c>
      <c r="E1354" s="4" t="str">
        <f>IFERROR(__xludf.DUMMYFUNCTION("if(H1354=""pays"",vlookup(REGEXEXTRACT(C1354, ""🏘️ \w+ \w+ (.*) ✅""),'Country prepositions'!A:B, 2, 0) &amp; "" "" &amp; REGEXEXTRACT(C1354, ""🏘️ \w+ \w+ (.*) ✅"") ,  if(H1354=""quartier"",vlookup(REGEXEXTRACT(C1354, ""🏘️ \w+ \w+ (.*) ✅""),'Quartier prepositio"&amp;"ns'!A:E, 5, 0) ,  if(H1354=""region"",vlookup(REGEXEXTRACT(C1354, ""🏘️ \w+ \w+ (.*) ✅""),'Region prepositions'!B:F, 5, 0),  REGEXEXTRACT(C1354, ""🏘️ \w+ \w+ (.*) ✅""))))"),"Prévondavaux")</f>
        <v>Prévondavaux</v>
      </c>
      <c r="F1354" s="2" t="str">
        <f>IFERROR(__xludf.DUMMYFUNCTION("REGEXEXTRACT(C1354, ""🏘️ (\w+) \w+ .* ✅"")"),"Louer")</f>
        <v>Louer</v>
      </c>
      <c r="G1354" s="2" t="str">
        <f>IFERROR(__xludf.DUMMYFUNCTION("REGEXEXTRACT(C1354, ""🏘️ \w+ (\w+) .* ✅"")"),"appartement")</f>
        <v>appartement</v>
      </c>
      <c r="H1354" s="4" t="str">
        <f>IFERROR(__xludf.DUMMYFUNCTION("REGEXEXTRACT(A1354, ""/(\w+)-.*?"")"),"lieu")</f>
        <v>lieu</v>
      </c>
      <c r="I1354" s="4" t="str">
        <f>IFERROR(__xludf.DUMMYFUNCTION("if(D1354=""variant"",  substitute(filter(Templates!E:E, Templates!A:A = F1354, Templates!B:B = G1354, Templates!C:C = H1354), ""{{}}"", E1354), B1354)"),"🏘  Vous cherchez un appartement à louer à Prévondavaux? ✅ Les annonces les plus actuelles sont sur ImmoScout24.ch.")</f>
        <v>🏘  Vous cherchez un appartement à louer à Prévondavaux? ✅ Les annonces les plus actuelles sont sur ImmoScout24.ch.</v>
      </c>
      <c r="J1354" s="4" t="s">
        <v>4066</v>
      </c>
    </row>
    <row r="1355">
      <c r="A1355" s="5" t="s">
        <v>4067</v>
      </c>
      <c r="B1355" s="2" t="s">
        <v>4068</v>
      </c>
      <c r="C1355" s="4" t="str">
        <f>IFERROR(__xludf.DUMMYFUNCTION("""🏘️ ""&amp;REGEXEXTRACT(B1355, ""^(.*): "")&amp;"" ✅ "" &amp;REGEXEXTRACT(B1355, ""(Trouvez.*)"")"),"🏘️ Vendre appartement Genève ✅ Trouvez le bien immobilier qui correspond idéalement à vos désirs sur ImmoScout24 - La plateforme de l'immobilier en Suisse.")</f>
        <v>🏘️ Vendre appartement Genève ✅ Trouvez le bien immobilier qui correspond idéalement à vos désirs sur ImmoScout24 - La plateforme de l'immobilier en Suisse.</v>
      </c>
      <c r="D1355" s="4" t="str">
        <f>vlookup(A1355, Sheet2!D:E, 2, 0)</f>
        <v>variant</v>
      </c>
      <c r="E1355" s="4" t="str">
        <f>IFERROR(__xludf.DUMMYFUNCTION("if(H1355=""pays"",vlookup(REGEXEXTRACT(C1355, ""🏘️ \w+ \w+ (.*) ✅""),'Country prepositions'!A:B, 2, 0) &amp; "" "" &amp; REGEXEXTRACT(C1355, ""🏘️ \w+ \w+ (.*) ✅"") ,  if(H1355=""quartier"",vlookup(REGEXEXTRACT(C1355, ""🏘️ \w+ \w+ (.*) ✅""),'Quartier prepositio"&amp;"ns'!A:E, 5, 0) ,  if(H1355=""region"",vlookup(REGEXEXTRACT(C1355, ""🏘️ \w+ \w+ (.*) ✅""),'Region prepositions'!B:F, 5, 0),  REGEXEXTRACT(C1355, ""🏘️ \w+ \w+ (.*) ✅""))))"),"Genève")</f>
        <v>Genève</v>
      </c>
      <c r="F1355" s="2" t="str">
        <f>IFERROR(__xludf.DUMMYFUNCTION("REGEXEXTRACT(C1355, ""🏘️ (\w+) \w+ .* ✅"")"),"Vendre")</f>
        <v>Vendre</v>
      </c>
      <c r="G1355" s="2" t="str">
        <f>IFERROR(__xludf.DUMMYFUNCTION("REGEXEXTRACT(C1355, ""🏘️ \w+ (\w+) .* ✅"")"),"appartement")</f>
        <v>appartement</v>
      </c>
      <c r="H1355" s="4" t="str">
        <f>IFERROR(__xludf.DUMMYFUNCTION("REGEXEXTRACT(A1355, ""/(\w+)-.*?"")"),"lieu")</f>
        <v>lieu</v>
      </c>
      <c r="I1355" s="4" t="str">
        <f>IFERROR(__xludf.DUMMYFUNCTION("if(D1355=""variant"",  substitute(filter(Templates!E:E, Templates!A:A = F1355, Templates!B:B = G1355, Templates!C:C = H1355), ""{{}}"", E1355), B1355)"),"🏘  L’appartement de vos rêves se trouve sur ImmoScout24.ch ✅ Découvrez les dernières annonces de vente à Genève.")</f>
        <v>🏘  L’appartement de vos rêves se trouve sur ImmoScout24.ch ✅ Découvrez les dernières annonces de vente à Genève.</v>
      </c>
      <c r="J1355" s="4" t="s">
        <v>4069</v>
      </c>
    </row>
    <row r="1356">
      <c r="A1356" s="5" t="s">
        <v>4070</v>
      </c>
      <c r="B1356" s="2" t="s">
        <v>4071</v>
      </c>
      <c r="C1356" s="4" t="str">
        <f>IFERROR(__xludf.DUMMYFUNCTION("""🏘️ ""&amp;REGEXEXTRACT(B1356, ""^(.*): "")&amp;"" ✅ "" &amp;REGEXEXTRACT(B1356, ""(Trouvez.*)"")"),"🏘️ Louer appartement Brontallo ✅ Trouvez le bien immobilier qui correspond idéalement à vos désirs sur ImmoScout24 - La plateforme de l'immobilier en Suisse.")</f>
        <v>🏘️ Louer appartement Brontallo ✅ Trouvez le bien immobilier qui correspond idéalement à vos désirs sur ImmoScout24 - La plateforme de l'immobilier en Suisse.</v>
      </c>
      <c r="D1356" s="4" t="str">
        <f>vlookup(A1356, Sheet2!D:E, 2, 0)</f>
        <v>variant</v>
      </c>
      <c r="E1356" s="4" t="str">
        <f>IFERROR(__xludf.DUMMYFUNCTION("if(H1356=""pays"",vlookup(REGEXEXTRACT(C1356, ""🏘️ \w+ \w+ (.*) ✅""),'Country prepositions'!A:B, 2, 0) &amp; "" "" &amp; REGEXEXTRACT(C1356, ""🏘️ \w+ \w+ (.*) ✅"") ,  if(H1356=""quartier"",vlookup(REGEXEXTRACT(C1356, ""🏘️ \w+ \w+ (.*) ✅""),'Quartier prepositio"&amp;"ns'!A:E, 5, 0) ,  if(H1356=""region"",vlookup(REGEXEXTRACT(C1356, ""🏘️ \w+ \w+ (.*) ✅""),'Region prepositions'!B:F, 5, 0),  REGEXEXTRACT(C1356, ""🏘️ \w+ \w+ (.*) ✅""))))"),"Brontallo")</f>
        <v>Brontallo</v>
      </c>
      <c r="F1356" s="2" t="str">
        <f>IFERROR(__xludf.DUMMYFUNCTION("REGEXEXTRACT(C1356, ""🏘️ (\w+) \w+ .* ✅"")"),"Louer")</f>
        <v>Louer</v>
      </c>
      <c r="G1356" s="2" t="str">
        <f>IFERROR(__xludf.DUMMYFUNCTION("REGEXEXTRACT(C1356, ""🏘️ \w+ (\w+) .* ✅"")"),"appartement")</f>
        <v>appartement</v>
      </c>
      <c r="H1356" s="4" t="str">
        <f>IFERROR(__xludf.DUMMYFUNCTION("REGEXEXTRACT(A1356, ""/(\w+)-.*?"")"),"lieu")</f>
        <v>lieu</v>
      </c>
      <c r="I1356" s="4" t="str">
        <f>IFERROR(__xludf.DUMMYFUNCTION("if(D1356=""variant"",  substitute(filter(Templates!E:E, Templates!A:A = F1356, Templates!B:B = G1356, Templates!C:C = H1356), ""{{}}"", E1356), B1356)"),"🏘  Vous cherchez un appartement à louer à Brontallo? ✅ Les annonces les plus actuelles sont sur ImmoScout24.ch.")</f>
        <v>🏘  Vous cherchez un appartement à louer à Brontallo? ✅ Les annonces les plus actuelles sont sur ImmoScout24.ch.</v>
      </c>
      <c r="J1356" s="4" t="s">
        <v>4072</v>
      </c>
    </row>
    <row r="1357">
      <c r="A1357" s="5" t="s">
        <v>4073</v>
      </c>
      <c r="B1357" s="2" t="s">
        <v>4074</v>
      </c>
      <c r="C1357" s="4" t="str">
        <f>IFERROR(__xludf.DUMMYFUNCTION("""🏘️ ""&amp;REGEXEXTRACT(B1357, ""^(.*): "")&amp;"" ✅ "" &amp;REGEXEXTRACT(B1357, ""(Trouvez.*)"")"),"🏘️ Vendre maison Vitznau ✅ Trouvez le bien immobilier qui correspond idéalement à vos désirs sur ImmoScout24 - La plateforme de l'immobilier en Suisse.")</f>
        <v>🏘️ Vendre maison Vitznau ✅ Trouvez le bien immobilier qui correspond idéalement à vos désirs sur ImmoScout24 - La plateforme de l'immobilier en Suisse.</v>
      </c>
      <c r="D1357" s="4" t="str">
        <f>vlookup(A1357, Sheet2!D:E, 2, 0)</f>
        <v>variant</v>
      </c>
      <c r="E1357" s="4" t="str">
        <f>IFERROR(__xludf.DUMMYFUNCTION("if(H1357=""pays"",vlookup(REGEXEXTRACT(C1357, ""🏘️ \w+ \w+ (.*) ✅""),'Country prepositions'!A:B, 2, 0) &amp; "" "" &amp; REGEXEXTRACT(C1357, ""🏘️ \w+ \w+ (.*) ✅"") ,  if(H1357=""quartier"",vlookup(REGEXEXTRACT(C1357, ""🏘️ \w+ \w+ (.*) ✅""),'Quartier prepositio"&amp;"ns'!A:E, 5, 0) ,  if(H1357=""region"",vlookup(REGEXEXTRACT(C1357, ""🏘️ \w+ \w+ (.*) ✅""),'Region prepositions'!B:F, 5, 0),  REGEXEXTRACT(C1357, ""🏘️ \w+ \w+ (.*) ✅""))))"),"Vitznau")</f>
        <v>Vitznau</v>
      </c>
      <c r="F1357" s="2" t="str">
        <f>IFERROR(__xludf.DUMMYFUNCTION("REGEXEXTRACT(C1357, ""🏘️ (\w+) \w+ .* ✅"")"),"Vendre")</f>
        <v>Vendre</v>
      </c>
      <c r="G1357" s="2" t="str">
        <f>IFERROR(__xludf.DUMMYFUNCTION("REGEXEXTRACT(C1357, ""🏘️ \w+ (\w+) .* ✅"")"),"maison")</f>
        <v>maison</v>
      </c>
      <c r="H1357" s="4" t="str">
        <f>IFERROR(__xludf.DUMMYFUNCTION("REGEXEXTRACT(A1357, ""/(\w+)-.*?"")"),"lieu")</f>
        <v>lieu</v>
      </c>
      <c r="I1357" s="4" t="str">
        <f>IFERROR(__xludf.DUMMYFUNCTION("if(D1357=""variant"",  substitute(filter(Templates!E:E, Templates!A:A = F1357, Templates!B:B = G1357, Templates!C:C = H1357), ""{{}}"", E1357), B1357)"),"🏘  Vous souhaitez acheter une maison à Vitznau? ✅ Jetez un œil aux dernières offres sur ImmoScout24.ch.")</f>
        <v>🏘  Vous souhaitez acheter une maison à Vitznau? ✅ Jetez un œil aux dernières offres sur ImmoScout24.ch.</v>
      </c>
      <c r="J1357" s="4" t="s">
        <v>4075</v>
      </c>
    </row>
    <row r="1358">
      <c r="A1358" s="5" t="s">
        <v>4076</v>
      </c>
      <c r="B1358" s="2" t="s">
        <v>4077</v>
      </c>
      <c r="C1358" s="4" t="str">
        <f>IFERROR(__xludf.DUMMYFUNCTION("""🏘️ ""&amp;REGEXEXTRACT(B1358, ""^(.*): "")&amp;"" ✅ "" &amp;REGEXEXTRACT(B1358, ""(Trouvez.*)"")"),"🏘️ Louer maison Allaman ✅ Trouvez le bien immobilier qui correspond idéalement à vos désirs sur ImmoScout24 - La plateforme de l'immobilier en Suisse.")</f>
        <v>🏘️ Louer maison Allaman ✅ Trouvez le bien immobilier qui correspond idéalement à vos désirs sur ImmoScout24 - La plateforme de l'immobilier en Suisse.</v>
      </c>
      <c r="D1358" s="4" t="str">
        <f>vlookup(A1358, Sheet2!D:E, 2, 0)</f>
        <v>variant</v>
      </c>
      <c r="E1358" s="4" t="str">
        <f>IFERROR(__xludf.DUMMYFUNCTION("if(H1358=""pays"",vlookup(REGEXEXTRACT(C1358, ""🏘️ \w+ \w+ (.*) ✅""),'Country prepositions'!A:B, 2, 0) &amp; "" "" &amp; REGEXEXTRACT(C1358, ""🏘️ \w+ \w+ (.*) ✅"") ,  if(H1358=""quartier"",vlookup(REGEXEXTRACT(C1358, ""🏘️ \w+ \w+ (.*) ✅""),'Quartier prepositio"&amp;"ns'!A:E, 5, 0) ,  if(H1358=""region"",vlookup(REGEXEXTRACT(C1358, ""🏘️ \w+ \w+ (.*) ✅""),'Region prepositions'!B:F, 5, 0),  REGEXEXTRACT(C1358, ""🏘️ \w+ \w+ (.*) ✅""))))"),"Allaman")</f>
        <v>Allaman</v>
      </c>
      <c r="F1358" s="2" t="str">
        <f>IFERROR(__xludf.DUMMYFUNCTION("REGEXEXTRACT(C1358, ""🏘️ (\w+) \w+ .* ✅"")"),"Louer")</f>
        <v>Louer</v>
      </c>
      <c r="G1358" s="2" t="str">
        <f>IFERROR(__xludf.DUMMYFUNCTION("REGEXEXTRACT(C1358, ""🏘️ \w+ (\w+) .* ✅"")"),"maison")</f>
        <v>maison</v>
      </c>
      <c r="H1358" s="4" t="str">
        <f>IFERROR(__xludf.DUMMYFUNCTION("REGEXEXTRACT(A1358, ""/(\w+)-.*?"")"),"lieu")</f>
        <v>lieu</v>
      </c>
      <c r="I1358" s="4" t="str">
        <f>IFERROR(__xludf.DUMMYFUNCTION("if(D1358=""variant"",  substitute(filter(Templates!E:E, Templates!A:A = F1358, Templates!B:B = G1358, Templates!C:C = H1358), ""{{}}"", E1358), B1358)"),"🏘  Vous cherchez une maison à louer à Allaman? ✅ Découvrez nos nombreuses annonces sur ImmoScout24.ch.")</f>
        <v>🏘  Vous cherchez une maison à louer à Allaman? ✅ Découvrez nos nombreuses annonces sur ImmoScout24.ch.</v>
      </c>
      <c r="J1358" s="4" t="s">
        <v>4078</v>
      </c>
    </row>
    <row r="1359">
      <c r="A1359" s="5" t="s">
        <v>4079</v>
      </c>
      <c r="B1359" s="2" t="s">
        <v>4080</v>
      </c>
      <c r="C1359" s="4" t="str">
        <f>IFERROR(__xludf.DUMMYFUNCTION("""🏘️ ""&amp;REGEXEXTRACT(B1359, ""^(.*): "")&amp;"" ✅ "" &amp;REGEXEXTRACT(B1359, ""(Trouvez.*)"")"),"🏘️ Louer appartement Beringen ✅ Trouvez le bien immobilier qui correspond idéalement à vos désirs sur ImmoScout24 - La plateforme de l'immobilier en Suisse.")</f>
        <v>🏘️ Louer appartement Beringen ✅ Trouvez le bien immobilier qui correspond idéalement à vos désirs sur ImmoScout24 - La plateforme de l'immobilier en Suisse.</v>
      </c>
      <c r="D1359" s="4" t="str">
        <f>vlookup(A1359, Sheet2!D:E, 2, 0)</f>
        <v>variant</v>
      </c>
      <c r="E1359" s="4" t="str">
        <f>IFERROR(__xludf.DUMMYFUNCTION("if(H1359=""pays"",vlookup(REGEXEXTRACT(C1359, ""🏘️ \w+ \w+ (.*) ✅""),'Country prepositions'!A:B, 2, 0) &amp; "" "" &amp; REGEXEXTRACT(C1359, ""🏘️ \w+ \w+ (.*) ✅"") ,  if(H1359=""quartier"",vlookup(REGEXEXTRACT(C1359, ""🏘️ \w+ \w+ (.*) ✅""),'Quartier prepositio"&amp;"ns'!A:E, 5, 0) ,  if(H1359=""region"",vlookup(REGEXEXTRACT(C1359, ""🏘️ \w+ \w+ (.*) ✅""),'Region prepositions'!B:F, 5, 0),  REGEXEXTRACT(C1359, ""🏘️ \w+ \w+ (.*) ✅""))))"),"Beringen")</f>
        <v>Beringen</v>
      </c>
      <c r="F1359" s="2" t="str">
        <f>IFERROR(__xludf.DUMMYFUNCTION("REGEXEXTRACT(C1359, ""🏘️ (\w+) \w+ .* ✅"")"),"Louer")</f>
        <v>Louer</v>
      </c>
      <c r="G1359" s="2" t="str">
        <f>IFERROR(__xludf.DUMMYFUNCTION("REGEXEXTRACT(C1359, ""🏘️ \w+ (\w+) .* ✅"")"),"appartement")</f>
        <v>appartement</v>
      </c>
      <c r="H1359" s="4" t="str">
        <f>IFERROR(__xludf.DUMMYFUNCTION("REGEXEXTRACT(A1359, ""/(\w+)-.*?"")"),"lieu")</f>
        <v>lieu</v>
      </c>
      <c r="I1359" s="4" t="str">
        <f>IFERROR(__xludf.DUMMYFUNCTION("if(D1359=""variant"",  substitute(filter(Templates!E:E, Templates!A:A = F1359, Templates!B:B = G1359, Templates!C:C = H1359), ""{{}}"", E1359), B1359)"),"🏘  Vous cherchez un appartement à louer à Beringen? ✅ Les annonces les plus actuelles sont sur ImmoScout24.ch.")</f>
        <v>🏘  Vous cherchez un appartement à louer à Beringen? ✅ Les annonces les plus actuelles sont sur ImmoScout24.ch.</v>
      </c>
      <c r="J1359" s="4" t="s">
        <v>4081</v>
      </c>
    </row>
    <row r="1360">
      <c r="A1360" s="5" t="s">
        <v>4082</v>
      </c>
      <c r="B1360" s="2" t="s">
        <v>4083</v>
      </c>
      <c r="C1360" s="4" t="str">
        <f>IFERROR(__xludf.DUMMYFUNCTION("""🏘️ ""&amp;REGEXEXTRACT(B1360, ""^(.*): "")&amp;"" ✅ "" &amp;REGEXEXTRACT(B1360, ""(Trouvez.*)"")"),"🏘️ Louer appartement Rhône-Arve ✅ Trouvez le bien immobilier qui correspond idéalement à vos désirs sur ImmoScout24 - La plateforme de l'immobilier en Suisse.")</f>
        <v>🏘️ Louer appartement Rhône-Arve ✅ Trouvez le bien immobilier qui correspond idéalement à vos désirs sur ImmoScout24 - La plateforme de l'immobilier en Suisse.</v>
      </c>
      <c r="D1360" s="4" t="str">
        <f>vlookup(A1360, Sheet2!D:E, 2, 0)</f>
        <v>variant</v>
      </c>
      <c r="E1360" s="4" t="str">
        <f>IFERROR(__xludf.DUMMYFUNCTION("if(H1360=""pays"",vlookup(REGEXEXTRACT(C1360, ""🏘️ \w+ \w+ (.*) ✅""),'Country prepositions'!A:B, 2, 0) &amp; "" "" &amp; REGEXEXTRACT(C1360, ""🏘️ \w+ \w+ (.*) ✅"") ,  if(H1360=""quartier"",vlookup(REGEXEXTRACT(C1360, ""🏘️ \w+ \w+ (.*) ✅""),'Quartier prepositio"&amp;"ns'!A:E, 5, 0) ,  if(H1360=""region"",vlookup(REGEXEXTRACT(C1360, ""🏘️ \w+ \w+ (.*) ✅""),'Region prepositions'!B:F, 5, 0),  REGEXEXTRACT(C1360, ""🏘️ \w+ \w+ (.*) ✅""))))"),"dans la région de Rhône-Arve")</f>
        <v>dans la région de Rhône-Arve</v>
      </c>
      <c r="F1360" s="2" t="str">
        <f>IFERROR(__xludf.DUMMYFUNCTION("REGEXEXTRACT(C1360, ""🏘️ (\w+) \w+ .* ✅"")"),"Louer")</f>
        <v>Louer</v>
      </c>
      <c r="G1360" s="2" t="str">
        <f>IFERROR(__xludf.DUMMYFUNCTION("REGEXEXTRACT(C1360, ""🏘️ \w+ (\w+) .* ✅"")"),"appartement")</f>
        <v>appartement</v>
      </c>
      <c r="H1360" s="4" t="str">
        <f>IFERROR(__xludf.DUMMYFUNCTION("REGEXEXTRACT(A1360, ""/(\w+)-.*?"")"),"region")</f>
        <v>region</v>
      </c>
      <c r="I1360" s="4" t="str">
        <f>IFERROR(__xludf.DUMMYFUNCTION("if(D1360=""variant"",  substitute(filter(Templates!E:E, Templates!A:A = F1360, Templates!B:B = G1360, Templates!C:C = H1360), ""{{}}"", E1360), B1360)"),"🏘  Vous cherchez un appartement à louer dans la région de Rhône-Arve? ✅ Les annonces les plus actuelles sont sur ImmoScout24.ch.")</f>
        <v>🏘  Vous cherchez un appartement à louer dans la région de Rhône-Arve? ✅ Les annonces les plus actuelles sont sur ImmoScout24.ch.</v>
      </c>
      <c r="J1360" s="4" t="s">
        <v>4084</v>
      </c>
    </row>
    <row r="1361">
      <c r="A1361" s="5" t="s">
        <v>4085</v>
      </c>
      <c r="B1361" s="2" t="s">
        <v>4086</v>
      </c>
      <c r="C1361" s="4" t="str">
        <f>IFERROR(__xludf.DUMMYFUNCTION("""🏘️ ""&amp;REGEXEXTRACT(B1361, ""^(.*): "")&amp;"" ✅ "" &amp;REGEXEXTRACT(B1361, ""(Trouvez.*)"")"),"🏘️ Vendre maison Breil/Brigels ✅ Trouvez le bien immobilier qui correspond idéalement à vos désirs sur ImmoScout24 - La plateforme de l'immobilier en Suisse.")</f>
        <v>🏘️ Vendre maison Breil/Brigels ✅ Trouvez le bien immobilier qui correspond idéalement à vos désirs sur ImmoScout24 - La plateforme de l'immobilier en Suisse.</v>
      </c>
      <c r="D1361" s="4" t="str">
        <f>vlookup(A1361, Sheet2!D:E, 2, 0)</f>
        <v>variant</v>
      </c>
      <c r="E1361" s="4" t="str">
        <f>IFERROR(__xludf.DUMMYFUNCTION("if(H1361=""pays"",vlookup(REGEXEXTRACT(C1361, ""🏘️ \w+ \w+ (.*) ✅""),'Country prepositions'!A:B, 2, 0) &amp; "" "" &amp; REGEXEXTRACT(C1361, ""🏘️ \w+ \w+ (.*) ✅"") ,  if(H1361=""quartier"",vlookup(REGEXEXTRACT(C1361, ""🏘️ \w+ \w+ (.*) ✅""),'Quartier prepositio"&amp;"ns'!A:E, 5, 0) ,  if(H1361=""region"",vlookup(REGEXEXTRACT(C1361, ""🏘️ \w+ \w+ (.*) ✅""),'Region prepositions'!B:F, 5, 0),  REGEXEXTRACT(C1361, ""🏘️ \w+ \w+ (.*) ✅""))))"),"Breil/Brigels")</f>
        <v>Breil/Brigels</v>
      </c>
      <c r="F1361" s="2" t="str">
        <f>IFERROR(__xludf.DUMMYFUNCTION("REGEXEXTRACT(C1361, ""🏘️ (\w+) \w+ .* ✅"")"),"Vendre")</f>
        <v>Vendre</v>
      </c>
      <c r="G1361" s="2" t="str">
        <f>IFERROR(__xludf.DUMMYFUNCTION("REGEXEXTRACT(C1361, ""🏘️ \w+ (\w+) .* ✅"")"),"maison")</f>
        <v>maison</v>
      </c>
      <c r="H1361" s="4" t="str">
        <f>IFERROR(__xludf.DUMMYFUNCTION("REGEXEXTRACT(A1361, ""/(\w+)-.*?"")"),"lieu")</f>
        <v>lieu</v>
      </c>
      <c r="I1361" s="4" t="str">
        <f>IFERROR(__xludf.DUMMYFUNCTION("if(D1361=""variant"",  substitute(filter(Templates!E:E, Templates!A:A = F1361, Templates!B:B = G1361, Templates!C:C = H1361), ""{{}}"", E1361), B1361)"),"🏘  Vous souhaitez acheter une maison à Breil/Brigels? ✅ Jetez un œil aux dernières offres sur ImmoScout24.ch.")</f>
        <v>🏘  Vous souhaitez acheter une maison à Breil/Brigels? ✅ Jetez un œil aux dernières offres sur ImmoScout24.ch.</v>
      </c>
      <c r="J1361" s="4" t="s">
        <v>4087</v>
      </c>
    </row>
    <row r="1362">
      <c r="A1362" s="5" t="s">
        <v>4088</v>
      </c>
      <c r="B1362" s="2" t="s">
        <v>4089</v>
      </c>
      <c r="C1362" s="4" t="str">
        <f>IFERROR(__xludf.DUMMYFUNCTION("""🏘️ ""&amp;REGEXEXTRACT(B1362, ""^(.*): "")&amp;"" ✅ "" &amp;REGEXEXTRACT(B1362, ""(Trouvez.*)"")"),"🏘️ Vendre appartement Jura (Fribourg) ✅ Trouvez le bien immobilier qui correspond idéalement à vos désirs sur ImmoScout24 - La plateforme de l'immobilier en Suisse.")</f>
        <v>🏘️ Vendre appartement Jura (Fribourg) ✅ Trouvez le bien immobilier qui correspond idéalement à vos désirs sur ImmoScout24 - La plateforme de l'immobilier en Suisse.</v>
      </c>
      <c r="D1362" s="4" t="str">
        <f>vlookup(A1362, Sheet2!D:E, 2, 0)</f>
        <v>variant</v>
      </c>
      <c r="E1362" s="4" t="str">
        <f>IFERROR(__xludf.DUMMYFUNCTION("if(H1362=""pays"",vlookup(REGEXEXTRACT(C1362, ""🏘️ \w+ \w+ (.*) ✅""),'Country prepositions'!A:B, 2, 0) &amp; "" "" &amp; REGEXEXTRACT(C1362, ""🏘️ \w+ \w+ (.*) ✅"") ,  if(H1362=""quartier"",vlookup(REGEXEXTRACT(C1362, ""🏘️ \w+ \w+ (.*) ✅""),'Quartier prepositio"&amp;"ns'!A:E, 5, 0) ,  if(H1362=""region"",vlookup(REGEXEXTRACT(C1362, ""🏘️ \w+ \w+ (.*) ✅""),'Region prepositions'!B:F, 5, 0),  REGEXEXTRACT(C1362, ""🏘️ \w+ \w+ (.*) ✅""))))"),"dans le quartier du Jura (Fribourg)")</f>
        <v>dans le quartier du Jura (Fribourg)</v>
      </c>
      <c r="F1362" s="2" t="str">
        <f>IFERROR(__xludf.DUMMYFUNCTION("REGEXEXTRACT(C1362, ""🏘️ (\w+) \w+ .* ✅"")"),"Vendre")</f>
        <v>Vendre</v>
      </c>
      <c r="G1362" s="2" t="str">
        <f>IFERROR(__xludf.DUMMYFUNCTION("REGEXEXTRACT(C1362, ""🏘️ \w+ (\w+) .* ✅"")"),"appartement")</f>
        <v>appartement</v>
      </c>
      <c r="H1362" s="4" t="str">
        <f>IFERROR(__xludf.DUMMYFUNCTION("REGEXEXTRACT(A1362, ""/(\w+)-.*?"")"),"quartier")</f>
        <v>quartier</v>
      </c>
      <c r="I1362" s="4" t="str">
        <f>IFERROR(__xludf.DUMMYFUNCTION("if(D1362=""variant"",  substitute(filter(Templates!E:E, Templates!A:A = F1362, Templates!B:B = G1362, Templates!C:C = H1362), ""{{}}"", E1362), B1362)"),"🏘  L’appartement de vos rêves se trouve sur ImmoScout24.ch ✅ Découvrez les dernières annonces de vente dans le quartier du Jura (Fribourg).")</f>
        <v>🏘  L’appartement de vos rêves se trouve sur ImmoScout24.ch ✅ Découvrez les dernières annonces de vente dans le quartier du Jura (Fribourg).</v>
      </c>
      <c r="J1362" s="4" t="s">
        <v>4090</v>
      </c>
    </row>
    <row r="1363">
      <c r="A1363" s="5" t="s">
        <v>4091</v>
      </c>
      <c r="B1363" s="2" t="s">
        <v>4092</v>
      </c>
      <c r="C1363" s="4" t="str">
        <f>IFERROR(__xludf.DUMMYFUNCTION("""🏘️ ""&amp;REGEXEXTRACT(B1363, ""^(.*): "")&amp;"" ✅ "" &amp;REGEXEXTRACT(B1363, ""(Trouvez.*)"")"),"🏘️ Vendre maison Ligerz ✅ Trouvez le bien immobilier qui correspond idéalement à vos désirs sur ImmoScout24 - La plateforme de l'immobilier en Suisse.")</f>
        <v>🏘️ Vendre maison Ligerz ✅ Trouvez le bien immobilier qui correspond idéalement à vos désirs sur ImmoScout24 - La plateforme de l'immobilier en Suisse.</v>
      </c>
      <c r="D1363" s="4" t="str">
        <f>vlookup(A1363, Sheet2!D:E, 2, 0)</f>
        <v>variant</v>
      </c>
      <c r="E1363" s="4" t="str">
        <f>IFERROR(__xludf.DUMMYFUNCTION("if(H1363=""pays"",vlookup(REGEXEXTRACT(C1363, ""🏘️ \w+ \w+ (.*) ✅""),'Country prepositions'!A:B, 2, 0) &amp; "" "" &amp; REGEXEXTRACT(C1363, ""🏘️ \w+ \w+ (.*) ✅"") ,  if(H1363=""quartier"",vlookup(REGEXEXTRACT(C1363, ""🏘️ \w+ \w+ (.*) ✅""),'Quartier prepositio"&amp;"ns'!A:E, 5, 0) ,  if(H1363=""region"",vlookup(REGEXEXTRACT(C1363, ""🏘️ \w+ \w+ (.*) ✅""),'Region prepositions'!B:F, 5, 0),  REGEXEXTRACT(C1363, ""🏘️ \w+ \w+ (.*) ✅""))))"),"Ligerz")</f>
        <v>Ligerz</v>
      </c>
      <c r="F1363" s="2" t="str">
        <f>IFERROR(__xludf.DUMMYFUNCTION("REGEXEXTRACT(C1363, ""🏘️ (\w+) \w+ .* ✅"")"),"Vendre")</f>
        <v>Vendre</v>
      </c>
      <c r="G1363" s="2" t="str">
        <f>IFERROR(__xludf.DUMMYFUNCTION("REGEXEXTRACT(C1363, ""🏘️ \w+ (\w+) .* ✅"")"),"maison")</f>
        <v>maison</v>
      </c>
      <c r="H1363" s="4" t="str">
        <f>IFERROR(__xludf.DUMMYFUNCTION("REGEXEXTRACT(A1363, ""/(\w+)-.*?"")"),"lieu")</f>
        <v>lieu</v>
      </c>
      <c r="I1363" s="4" t="str">
        <f>IFERROR(__xludf.DUMMYFUNCTION("if(D1363=""variant"",  substitute(filter(Templates!E:E, Templates!A:A = F1363, Templates!B:B = G1363, Templates!C:C = H1363), ""{{}}"", E1363), B1363)"),"🏘  Vous souhaitez acheter une maison à Ligerz? ✅ Jetez un œil aux dernières offres sur ImmoScout24.ch.")</f>
        <v>🏘  Vous souhaitez acheter une maison à Ligerz? ✅ Jetez un œil aux dernières offres sur ImmoScout24.ch.</v>
      </c>
      <c r="J1363" s="4" t="s">
        <v>4093</v>
      </c>
    </row>
    <row r="1364">
      <c r="A1364" s="5" t="s">
        <v>4094</v>
      </c>
      <c r="B1364" s="2" t="s">
        <v>4095</v>
      </c>
      <c r="C1364" s="4" t="str">
        <f>IFERROR(__xludf.DUMMYFUNCTION("""🏘️ ""&amp;REGEXEXTRACT(B1364, ""^(.*): "")&amp;"" ✅ "" &amp;REGEXEXTRACT(B1364, ""(Trouvez.*)"")"),"🏘️ Vendre appartement Lavigny ✅ Trouvez le bien immobilier qui correspond idéalement à vos désirs sur ImmoScout24 - La plateforme de l'immobilier en Suisse.")</f>
        <v>🏘️ Vendre appartement Lavigny ✅ Trouvez le bien immobilier qui correspond idéalement à vos désirs sur ImmoScout24 - La plateforme de l'immobilier en Suisse.</v>
      </c>
      <c r="D1364" s="4" t="str">
        <f>vlookup(A1364, Sheet2!D:E, 2, 0)</f>
        <v>variant</v>
      </c>
      <c r="E1364" s="4" t="str">
        <f>IFERROR(__xludf.DUMMYFUNCTION("if(H1364=""pays"",vlookup(REGEXEXTRACT(C1364, ""🏘️ \w+ \w+ (.*) ✅""),'Country prepositions'!A:B, 2, 0) &amp; "" "" &amp; REGEXEXTRACT(C1364, ""🏘️ \w+ \w+ (.*) ✅"") ,  if(H1364=""quartier"",vlookup(REGEXEXTRACT(C1364, ""🏘️ \w+ \w+ (.*) ✅""),'Quartier prepositio"&amp;"ns'!A:E, 5, 0) ,  if(H1364=""region"",vlookup(REGEXEXTRACT(C1364, ""🏘️ \w+ \w+ (.*) ✅""),'Region prepositions'!B:F, 5, 0),  REGEXEXTRACT(C1364, ""🏘️ \w+ \w+ (.*) ✅""))))"),"Lavigny")</f>
        <v>Lavigny</v>
      </c>
      <c r="F1364" s="2" t="str">
        <f>IFERROR(__xludf.DUMMYFUNCTION("REGEXEXTRACT(C1364, ""🏘️ (\w+) \w+ .* ✅"")"),"Vendre")</f>
        <v>Vendre</v>
      </c>
      <c r="G1364" s="2" t="str">
        <f>IFERROR(__xludf.DUMMYFUNCTION("REGEXEXTRACT(C1364, ""🏘️ \w+ (\w+) .* ✅"")"),"appartement")</f>
        <v>appartement</v>
      </c>
      <c r="H1364" s="4" t="str">
        <f>IFERROR(__xludf.DUMMYFUNCTION("REGEXEXTRACT(A1364, ""/(\w+)-.*?"")"),"lieu")</f>
        <v>lieu</v>
      </c>
      <c r="I1364" s="4" t="str">
        <f>IFERROR(__xludf.DUMMYFUNCTION("if(D1364=""variant"",  substitute(filter(Templates!E:E, Templates!A:A = F1364, Templates!B:B = G1364, Templates!C:C = H1364), ""{{}}"", E1364), B1364)"),"🏘  L’appartement de vos rêves se trouve sur ImmoScout24.ch ✅ Découvrez les dernières annonces de vente à Lavigny.")</f>
        <v>🏘  L’appartement de vos rêves se trouve sur ImmoScout24.ch ✅ Découvrez les dernières annonces de vente à Lavigny.</v>
      </c>
      <c r="J1364" s="4" t="s">
        <v>4096</v>
      </c>
    </row>
    <row r="1365">
      <c r="A1365" s="5" t="s">
        <v>4097</v>
      </c>
      <c r="B1365" s="2" t="s">
        <v>4098</v>
      </c>
      <c r="C1365" s="4" t="str">
        <f>IFERROR(__xludf.DUMMYFUNCTION("""🏘️ ""&amp;REGEXEXTRACT(B1365, ""^(.*): "")&amp;"" ✅ "" &amp;REGEXEXTRACT(B1365, ""(Trouvez.*)"")"),"🏘️ Louer appartement Portugal ✅ Trouvez le bien immobilier qui correspond idéalement à vos désirs sur ImmoScout24 - La plateforme de l'immobilier en Suisse.")</f>
        <v>🏘️ Louer appartement Portugal ✅ Trouvez le bien immobilier qui correspond idéalement à vos désirs sur ImmoScout24 - La plateforme de l'immobilier en Suisse.</v>
      </c>
      <c r="D1365" s="4" t="str">
        <f>vlookup(A1365, Sheet2!D:E, 2, 0)</f>
        <v>variant</v>
      </c>
      <c r="E1365" s="4" t="str">
        <f>IFERROR(__xludf.DUMMYFUNCTION("if(H1365=""pays"",vlookup(REGEXEXTRACT(C1365, ""🏘️ \w+ \w+ (.*) ✅""),'Country prepositions'!A:B, 2, 0) &amp; "" "" &amp; REGEXEXTRACT(C1365, ""🏘️ \w+ \w+ (.*) ✅"") ,  if(H1365=""quartier"",vlookup(REGEXEXTRACT(C1365, ""🏘️ \w+ \w+ (.*) ✅""),'Quartier prepositio"&amp;"ns'!A:E, 5, 0) ,  if(H1365=""region"",vlookup(REGEXEXTRACT(C1365, ""🏘️ \w+ \w+ (.*) ✅""),'Region prepositions'!B:F, 5, 0),  REGEXEXTRACT(C1365, ""🏘️ \w+ \w+ (.*) ✅""))))"),"au Portugal")</f>
        <v>au Portugal</v>
      </c>
      <c r="F1365" s="2" t="str">
        <f>IFERROR(__xludf.DUMMYFUNCTION("REGEXEXTRACT(C1365, ""🏘️ (\w+) \w+ .* ✅"")"),"Louer")</f>
        <v>Louer</v>
      </c>
      <c r="G1365" s="2" t="str">
        <f>IFERROR(__xludf.DUMMYFUNCTION("REGEXEXTRACT(C1365, ""🏘️ \w+ (\w+) .* ✅"")"),"appartement")</f>
        <v>appartement</v>
      </c>
      <c r="H1365" s="4" t="str">
        <f>IFERROR(__xludf.DUMMYFUNCTION("REGEXEXTRACT(A1365, ""/(\w+)-.*?"")"),"pays")</f>
        <v>pays</v>
      </c>
      <c r="I1365" s="4" t="str">
        <f>IFERROR(__xludf.DUMMYFUNCTION("if(D1365=""variant"",  substitute(filter(Templates!E:E, Templates!A:A = F1365, Templates!B:B = G1365, Templates!C:C = H1365), ""{{}}"", E1365), B1365)"),"🏘  Vous cherchez un appartement à louer au Portugal? ✅ Les annonces les plus actuelles sont sur ImmoScout24.ch.")</f>
        <v>🏘  Vous cherchez un appartement à louer au Portugal? ✅ Les annonces les plus actuelles sont sur ImmoScout24.ch.</v>
      </c>
      <c r="J1365" s="4" t="s">
        <v>4099</v>
      </c>
    </row>
    <row r="1366">
      <c r="A1366" s="5" t="s">
        <v>4100</v>
      </c>
      <c r="B1366" s="2" t="s">
        <v>4101</v>
      </c>
      <c r="C1366" s="4" t="str">
        <f>IFERROR(__xludf.DUMMYFUNCTION("""🏘️ ""&amp;REGEXEXTRACT(B1366, ""^(.*): "")&amp;"" ✅ "" &amp;REGEXEXTRACT(B1366, ""(Trouvez.*)"")"),"🏘️ Vendre maison Guarda ✅ Trouvez le bien immobilier qui correspond idéalement à vos désirs sur ImmoScout24 - La plateforme de l'immobilier en Suisse.")</f>
        <v>🏘️ Vendre maison Guarda ✅ Trouvez le bien immobilier qui correspond idéalement à vos désirs sur ImmoScout24 - La plateforme de l'immobilier en Suisse.</v>
      </c>
      <c r="D1366" s="4" t="str">
        <f>vlookup(A1366, Sheet2!D:E, 2, 0)</f>
        <v>variant</v>
      </c>
      <c r="E1366" s="4" t="str">
        <f>IFERROR(__xludf.DUMMYFUNCTION("if(H1366=""pays"",vlookup(REGEXEXTRACT(C1366, ""🏘️ \w+ \w+ (.*) ✅""),'Country prepositions'!A:B, 2, 0) &amp; "" "" &amp; REGEXEXTRACT(C1366, ""🏘️ \w+ \w+ (.*) ✅"") ,  if(H1366=""quartier"",vlookup(REGEXEXTRACT(C1366, ""🏘️ \w+ \w+ (.*) ✅""),'Quartier prepositio"&amp;"ns'!A:E, 5, 0) ,  if(H1366=""region"",vlookup(REGEXEXTRACT(C1366, ""🏘️ \w+ \w+ (.*) ✅""),'Region prepositions'!B:F, 5, 0),  REGEXEXTRACT(C1366, ""🏘️ \w+ \w+ (.*) ✅""))))"),"Guarda")</f>
        <v>Guarda</v>
      </c>
      <c r="F1366" s="2" t="str">
        <f>IFERROR(__xludf.DUMMYFUNCTION("REGEXEXTRACT(C1366, ""🏘️ (\w+) \w+ .* ✅"")"),"Vendre")</f>
        <v>Vendre</v>
      </c>
      <c r="G1366" s="2" t="str">
        <f>IFERROR(__xludf.DUMMYFUNCTION("REGEXEXTRACT(C1366, ""🏘️ \w+ (\w+) .* ✅"")"),"maison")</f>
        <v>maison</v>
      </c>
      <c r="H1366" s="4" t="str">
        <f>IFERROR(__xludf.DUMMYFUNCTION("REGEXEXTRACT(A1366, ""/(\w+)-.*?"")"),"lieu")</f>
        <v>lieu</v>
      </c>
      <c r="I1366" s="4" t="str">
        <f>IFERROR(__xludf.DUMMYFUNCTION("if(D1366=""variant"",  substitute(filter(Templates!E:E, Templates!A:A = F1366, Templates!B:B = G1366, Templates!C:C = H1366), ""{{}}"", E1366), B1366)"),"🏘  Vous souhaitez acheter une maison à Guarda? ✅ Jetez un œil aux dernières offres sur ImmoScout24.ch.")</f>
        <v>🏘  Vous souhaitez acheter une maison à Guarda? ✅ Jetez un œil aux dernières offres sur ImmoScout24.ch.</v>
      </c>
      <c r="J1366" s="4" t="s">
        <v>4102</v>
      </c>
    </row>
    <row r="1367">
      <c r="A1367" s="5" t="s">
        <v>4103</v>
      </c>
      <c r="B1367" s="2" t="s">
        <v>4104</v>
      </c>
      <c r="C1367" s="4" t="str">
        <f>IFERROR(__xludf.DUMMYFUNCTION("""🏘️ ""&amp;REGEXEXTRACT(B1367, ""^(.*): "")&amp;"" ✅ "" &amp;REGEXEXTRACT(B1367, ""(Trouvez.*)"")"),"🏘️ Vendre appartement Mollens VS ✅ Trouvez le bien immobilier qui correspond idéalement à vos désirs sur ImmoScout24 - La plateforme de l'immobilier en Suisse.")</f>
        <v>🏘️ Vendre appartement Mollens VS ✅ Trouvez le bien immobilier qui correspond idéalement à vos désirs sur ImmoScout24 - La plateforme de l'immobilier en Suisse.</v>
      </c>
      <c r="D1367" s="4" t="str">
        <f>vlookup(A1367, Sheet2!D:E, 2, 0)</f>
        <v>variant</v>
      </c>
      <c r="E1367" s="4" t="str">
        <f>IFERROR(__xludf.DUMMYFUNCTION("if(H1367=""pays"",vlookup(REGEXEXTRACT(C1367, ""🏘️ \w+ \w+ (.*) ✅""),'Country prepositions'!A:B, 2, 0) &amp; "" "" &amp; REGEXEXTRACT(C1367, ""🏘️ \w+ \w+ (.*) ✅"") ,  if(H1367=""quartier"",vlookup(REGEXEXTRACT(C1367, ""🏘️ \w+ \w+ (.*) ✅""),'Quartier prepositio"&amp;"ns'!A:E, 5, 0) ,  if(H1367=""region"",vlookup(REGEXEXTRACT(C1367, ""🏘️ \w+ \w+ (.*) ✅""),'Region prepositions'!B:F, 5, 0),  REGEXEXTRACT(C1367, ""🏘️ \w+ \w+ (.*) ✅""))))"),"Mollens VS")</f>
        <v>Mollens VS</v>
      </c>
      <c r="F1367" s="2" t="str">
        <f>IFERROR(__xludf.DUMMYFUNCTION("REGEXEXTRACT(C1367, ""🏘️ (\w+) \w+ .* ✅"")"),"Vendre")</f>
        <v>Vendre</v>
      </c>
      <c r="G1367" s="2" t="str">
        <f>IFERROR(__xludf.DUMMYFUNCTION("REGEXEXTRACT(C1367, ""🏘️ \w+ (\w+) .* ✅"")"),"appartement")</f>
        <v>appartement</v>
      </c>
      <c r="H1367" s="4" t="str">
        <f>IFERROR(__xludf.DUMMYFUNCTION("REGEXEXTRACT(A1367, ""/(\w+)-.*?"")"),"lieu")</f>
        <v>lieu</v>
      </c>
      <c r="I1367" s="4" t="str">
        <f>IFERROR(__xludf.DUMMYFUNCTION("if(D1367=""variant"",  substitute(filter(Templates!E:E, Templates!A:A = F1367, Templates!B:B = G1367, Templates!C:C = H1367), ""{{}}"", E1367), B1367)"),"🏘  L’appartement de vos rêves se trouve sur ImmoScout24.ch ✅ Découvrez les dernières annonces de vente à Mollens VS.")</f>
        <v>🏘  L’appartement de vos rêves se trouve sur ImmoScout24.ch ✅ Découvrez les dernières annonces de vente à Mollens VS.</v>
      </c>
      <c r="J1367" s="4" t="s">
        <v>4105</v>
      </c>
    </row>
    <row r="1368">
      <c r="A1368" s="5" t="s">
        <v>4106</v>
      </c>
      <c r="B1368" s="2" t="s">
        <v>4107</v>
      </c>
      <c r="C1368" s="4" t="str">
        <f>IFERROR(__xludf.DUMMYFUNCTION("""🏘️ ""&amp;REGEXEXTRACT(B1368, ""^(.*): "")&amp;"" ✅ "" &amp;REGEXEXTRACT(B1368, ""(Trouvez.*)"")"),"🏘️ Vendre maison Vernayaz ✅ Trouvez le bien immobilier qui correspond idéalement à vos désirs sur ImmoScout24 - La plateforme de l'immobilier en Suisse.")</f>
        <v>🏘️ Vendre maison Vernayaz ✅ Trouvez le bien immobilier qui correspond idéalement à vos désirs sur ImmoScout24 - La plateforme de l'immobilier en Suisse.</v>
      </c>
      <c r="D1368" s="4" t="str">
        <f>vlookup(A1368, Sheet2!D:E, 2, 0)</f>
        <v>variant</v>
      </c>
      <c r="E1368" s="4" t="str">
        <f>IFERROR(__xludf.DUMMYFUNCTION("if(H1368=""pays"",vlookup(REGEXEXTRACT(C1368, ""🏘️ \w+ \w+ (.*) ✅""),'Country prepositions'!A:B, 2, 0) &amp; "" "" &amp; REGEXEXTRACT(C1368, ""🏘️ \w+ \w+ (.*) ✅"") ,  if(H1368=""quartier"",vlookup(REGEXEXTRACT(C1368, ""🏘️ \w+ \w+ (.*) ✅""),'Quartier prepositio"&amp;"ns'!A:E, 5, 0) ,  if(H1368=""region"",vlookup(REGEXEXTRACT(C1368, ""🏘️ \w+ \w+ (.*) ✅""),'Region prepositions'!B:F, 5, 0),  REGEXEXTRACT(C1368, ""🏘️ \w+ \w+ (.*) ✅""))))"),"Vernayaz")</f>
        <v>Vernayaz</v>
      </c>
      <c r="F1368" s="2" t="str">
        <f>IFERROR(__xludf.DUMMYFUNCTION("REGEXEXTRACT(C1368, ""🏘️ (\w+) \w+ .* ✅"")"),"Vendre")</f>
        <v>Vendre</v>
      </c>
      <c r="G1368" s="2" t="str">
        <f>IFERROR(__xludf.DUMMYFUNCTION("REGEXEXTRACT(C1368, ""🏘️ \w+ (\w+) .* ✅"")"),"maison")</f>
        <v>maison</v>
      </c>
      <c r="H1368" s="4" t="str">
        <f>IFERROR(__xludf.DUMMYFUNCTION("REGEXEXTRACT(A1368, ""/(\w+)-.*?"")"),"lieu")</f>
        <v>lieu</v>
      </c>
      <c r="I1368" s="4" t="str">
        <f>IFERROR(__xludf.DUMMYFUNCTION("if(D1368=""variant"",  substitute(filter(Templates!E:E, Templates!A:A = F1368, Templates!B:B = G1368, Templates!C:C = H1368), ""{{}}"", E1368), B1368)"),"🏘  Vous souhaitez acheter une maison à Vernayaz? ✅ Jetez un œil aux dernières offres sur ImmoScout24.ch.")</f>
        <v>🏘  Vous souhaitez acheter une maison à Vernayaz? ✅ Jetez un œil aux dernières offres sur ImmoScout24.ch.</v>
      </c>
      <c r="J1368" s="4" t="s">
        <v>4108</v>
      </c>
    </row>
    <row r="1369">
      <c r="A1369" s="5" t="s">
        <v>4109</v>
      </c>
      <c r="B1369" s="2" t="s">
        <v>4110</v>
      </c>
      <c r="C1369" s="4" t="str">
        <f>IFERROR(__xludf.DUMMYFUNCTION("""🏘️ ""&amp;REGEXEXTRACT(B1369, ""^(.*): "")&amp;"" ✅ "" &amp;REGEXEXTRACT(B1369, ""(Trouvez.*)"")"),"🏘️ Louer maison Canton du Tessin ✅ Trouvez le bien immobilier qui correspond idéalement à vos désirs sur ImmoScout24 - La plateforme de l'immobilier en Suisse.")</f>
        <v>🏘️ Louer maison Canton du Tessin ✅ Trouvez le bien immobilier qui correspond idéalement à vos désirs sur ImmoScout24 - La plateforme de l'immobilier en Suisse.</v>
      </c>
      <c r="D1369" s="4" t="str">
        <f>vlookup(A1369, Sheet2!D:E, 2, 0)</f>
        <v>variant</v>
      </c>
      <c r="E1369" s="4" t="str">
        <f>IFERROR(__xludf.DUMMYFUNCTION("if(H1369=""pays"",vlookup(REGEXEXTRACT(C1369, ""🏘️ \w+ \w+ (.*) ✅""),'Country prepositions'!A:B, 2, 0) &amp; "" "" &amp; REGEXEXTRACT(C1369, ""🏘️ \w+ \w+ (.*) ✅"") ,  if(H1369=""quartier"",vlookup(REGEXEXTRACT(C1369, ""🏘️ \w+ \w+ (.*) ✅""),'Quartier prepositio"&amp;"ns'!A:E, 5, 0) ,  if(H1369=""region"",vlookup(REGEXEXTRACT(C1369, ""🏘️ \w+ \w+ (.*) ✅""),'Region prepositions'!B:F, 5, 0),  REGEXEXTRACT(C1369, ""🏘️ \w+ \w+ (.*) ✅""))))"),"Canton du Tessin")</f>
        <v>Canton du Tessin</v>
      </c>
      <c r="F1369" s="2" t="str">
        <f>IFERROR(__xludf.DUMMYFUNCTION("REGEXEXTRACT(C1369, ""🏘️ (\w+) \w+ .* ✅"")"),"Louer")</f>
        <v>Louer</v>
      </c>
      <c r="G1369" s="2" t="str">
        <f>IFERROR(__xludf.DUMMYFUNCTION("REGEXEXTRACT(C1369, ""🏘️ \w+ (\w+) .* ✅"")"),"maison")</f>
        <v>maison</v>
      </c>
      <c r="H1369" s="4" t="str">
        <f>IFERROR(__xludf.DUMMYFUNCTION("REGEXEXTRACT(A1369, ""/(\w+)-.*?"")"),"canton")</f>
        <v>canton</v>
      </c>
      <c r="I1369" s="4" t="str">
        <f>IFERROR(__xludf.DUMMYFUNCTION("if(D1369=""variant"",  substitute(filter(Templates!E:E, Templates!A:A = F1369, Templates!B:B = G1369, Templates!C:C = H1369), ""{{}}"", E1369), B1369)"),"🏘  Vous cherchez une maison à louer dans le Canton du Tessin? ✅ Découvrez nos nombreuses annonces sur ImmoScout24.ch.")</f>
        <v>🏘  Vous cherchez une maison à louer dans le Canton du Tessin? ✅ Découvrez nos nombreuses annonces sur ImmoScout24.ch.</v>
      </c>
      <c r="J1369" s="4" t="s">
        <v>4111</v>
      </c>
    </row>
    <row r="1370">
      <c r="A1370" s="5" t="s">
        <v>4112</v>
      </c>
      <c r="B1370" s="2" t="s">
        <v>4113</v>
      </c>
      <c r="C1370" s="4" t="str">
        <f>IFERROR(__xludf.DUMMYFUNCTION("""🏘️ ""&amp;REGEXEXTRACT(B1370, ""^(.*): "")&amp;"" ✅ "" &amp;REGEXEXTRACT(B1370, ""(Trouvez.*)"")"),"🏘️ Louer appartement Canton de Bâle-Campagne ✅ Trouvez le bien immobilier qui correspond idéalement à vos désirs sur ImmoScout24 - La plateforme de l'immobilier en Suisse.")</f>
        <v>🏘️ Louer appartement Canton de Bâle-Campagne ✅ Trouvez le bien immobilier qui correspond idéalement à vos désirs sur ImmoScout24 - La plateforme de l'immobilier en Suisse.</v>
      </c>
      <c r="D1370" s="4" t="str">
        <f>vlookup(A1370, Sheet2!D:E, 2, 0)</f>
        <v>variant</v>
      </c>
      <c r="E1370" s="4" t="str">
        <f>IFERROR(__xludf.DUMMYFUNCTION("if(H1370=""pays"",vlookup(REGEXEXTRACT(C1370, ""🏘️ \w+ \w+ (.*) ✅""),'Country prepositions'!A:B, 2, 0) &amp; "" "" &amp; REGEXEXTRACT(C1370, ""🏘️ \w+ \w+ (.*) ✅"") ,  if(H1370=""quartier"",vlookup(REGEXEXTRACT(C1370, ""🏘️ \w+ \w+ (.*) ✅""),'Quartier prepositio"&amp;"ns'!A:E, 5, 0) ,  if(H1370=""region"",vlookup(REGEXEXTRACT(C1370, ""🏘️ \w+ \w+ (.*) ✅""),'Region prepositions'!B:F, 5, 0),  REGEXEXTRACT(C1370, ""🏘️ \w+ \w+ (.*) ✅""))))"),"Canton de Bâle-Campagne")</f>
        <v>Canton de Bâle-Campagne</v>
      </c>
      <c r="F1370" s="2" t="str">
        <f>IFERROR(__xludf.DUMMYFUNCTION("REGEXEXTRACT(C1370, ""🏘️ (\w+) \w+ .* ✅"")"),"Louer")</f>
        <v>Louer</v>
      </c>
      <c r="G1370" s="2" t="str">
        <f>IFERROR(__xludf.DUMMYFUNCTION("REGEXEXTRACT(C1370, ""🏘️ \w+ (\w+) .* ✅"")"),"appartement")</f>
        <v>appartement</v>
      </c>
      <c r="H1370" s="4" t="str">
        <f>IFERROR(__xludf.DUMMYFUNCTION("REGEXEXTRACT(A1370, ""/(\w+)-.*?"")"),"canton")</f>
        <v>canton</v>
      </c>
      <c r="I1370" s="4" t="str">
        <f>IFERROR(__xludf.DUMMYFUNCTION("if(D1370=""variant"",  substitute(filter(Templates!E:E, Templates!A:A = F1370, Templates!B:B = G1370, Templates!C:C = H1370), ""{{}}"", E1370), B1370)"),"🏘  Vous cherchez un appartement à louer dans le Canton de Bâle-Campagne? ✅ Les annonces les plus actuelles sont sur ImmoScout24.ch.")</f>
        <v>🏘  Vous cherchez un appartement à louer dans le Canton de Bâle-Campagne? ✅ Les annonces les plus actuelles sont sur ImmoScout24.ch.</v>
      </c>
      <c r="J1370" s="4" t="s">
        <v>4114</v>
      </c>
    </row>
    <row r="1371">
      <c r="A1371" s="5" t="s">
        <v>4115</v>
      </c>
      <c r="B1371" s="2" t="s">
        <v>4116</v>
      </c>
      <c r="C1371" s="4" t="str">
        <f>IFERROR(__xludf.DUMMYFUNCTION("""🏘️ ""&amp;REGEXEXTRACT(B1371, ""^(.*): "")&amp;"" ✅ "" &amp;REGEXEXTRACT(B1371, ""(Trouvez.*)"")"),"🏘️ Vendre maison Grindelwald ✅ Trouvez le bien immobilier qui correspond idéalement à vos désirs sur ImmoScout24 - La plateforme de l'immobilier en Suisse.")</f>
        <v>🏘️ Vendre maison Grindelwald ✅ Trouvez le bien immobilier qui correspond idéalement à vos désirs sur ImmoScout24 - La plateforme de l'immobilier en Suisse.</v>
      </c>
      <c r="D1371" s="4" t="str">
        <f>vlookup(A1371, Sheet2!D:E, 2, 0)</f>
        <v>variant</v>
      </c>
      <c r="E1371" s="4" t="str">
        <f>IFERROR(__xludf.DUMMYFUNCTION("if(H1371=""pays"",vlookup(REGEXEXTRACT(C1371, ""🏘️ \w+ \w+ (.*) ✅""),'Country prepositions'!A:B, 2, 0) &amp; "" "" &amp; REGEXEXTRACT(C1371, ""🏘️ \w+ \w+ (.*) ✅"") ,  if(H1371=""quartier"",vlookup(REGEXEXTRACT(C1371, ""🏘️ \w+ \w+ (.*) ✅""),'Quartier prepositio"&amp;"ns'!A:E, 5, 0) ,  if(H1371=""region"",vlookup(REGEXEXTRACT(C1371, ""🏘️ \w+ \w+ (.*) ✅""),'Region prepositions'!B:F, 5, 0),  REGEXEXTRACT(C1371, ""🏘️ \w+ \w+ (.*) ✅""))))"),"Grindelwald")</f>
        <v>Grindelwald</v>
      </c>
      <c r="F1371" s="2" t="str">
        <f>IFERROR(__xludf.DUMMYFUNCTION("REGEXEXTRACT(C1371, ""🏘️ (\w+) \w+ .* ✅"")"),"Vendre")</f>
        <v>Vendre</v>
      </c>
      <c r="G1371" s="2" t="str">
        <f>IFERROR(__xludf.DUMMYFUNCTION("REGEXEXTRACT(C1371, ""🏘️ \w+ (\w+) .* ✅"")"),"maison")</f>
        <v>maison</v>
      </c>
      <c r="H1371" s="4" t="str">
        <f>IFERROR(__xludf.DUMMYFUNCTION("REGEXEXTRACT(A1371, ""/(\w+)-.*?"")"),"lieu")</f>
        <v>lieu</v>
      </c>
      <c r="I1371" s="4" t="str">
        <f>IFERROR(__xludf.DUMMYFUNCTION("if(D1371=""variant"",  substitute(filter(Templates!E:E, Templates!A:A = F1371, Templates!B:B = G1371, Templates!C:C = H1371), ""{{}}"", E1371), B1371)"),"🏘  Vous souhaitez acheter une maison à Grindelwald? ✅ Jetez un œil aux dernières offres sur ImmoScout24.ch.")</f>
        <v>🏘  Vous souhaitez acheter une maison à Grindelwald? ✅ Jetez un œil aux dernières offres sur ImmoScout24.ch.</v>
      </c>
      <c r="J1371" s="4" t="s">
        <v>4117</v>
      </c>
    </row>
    <row r="1372">
      <c r="A1372" s="5" t="s">
        <v>4118</v>
      </c>
      <c r="B1372" s="2" t="s">
        <v>4119</v>
      </c>
      <c r="C1372" s="4" t="str">
        <f>IFERROR(__xludf.DUMMYFUNCTION("""🏘️ ""&amp;REGEXEXTRACT(B1372, ""^(.*): "")&amp;"" ✅ "" &amp;REGEXEXTRACT(B1372, ""(Trouvez.*)"")"),"🏘️ Louer maison Corgémont ✅ Trouvez le bien immobilier qui correspond idéalement à vos désirs sur ImmoScout24 - La plateforme de l'immobilier en Suisse.")</f>
        <v>🏘️ Louer maison Corgémont ✅ Trouvez le bien immobilier qui correspond idéalement à vos désirs sur ImmoScout24 - La plateforme de l'immobilier en Suisse.</v>
      </c>
      <c r="D1372" s="4" t="str">
        <f>vlookup(A1372, Sheet2!D:E, 2, 0)</f>
        <v>variant</v>
      </c>
      <c r="E1372" s="4" t="str">
        <f>IFERROR(__xludf.DUMMYFUNCTION("if(H1372=""pays"",vlookup(REGEXEXTRACT(C1372, ""🏘️ \w+ \w+ (.*) ✅""),'Country prepositions'!A:B, 2, 0) &amp; "" "" &amp; REGEXEXTRACT(C1372, ""🏘️ \w+ \w+ (.*) ✅"") ,  if(H1372=""quartier"",vlookup(REGEXEXTRACT(C1372, ""🏘️ \w+ \w+ (.*) ✅""),'Quartier prepositio"&amp;"ns'!A:E, 5, 0) ,  if(H1372=""region"",vlookup(REGEXEXTRACT(C1372, ""🏘️ \w+ \w+ (.*) ✅""),'Region prepositions'!B:F, 5, 0),  REGEXEXTRACT(C1372, ""🏘️ \w+ \w+ (.*) ✅""))))"),"Corgémont")</f>
        <v>Corgémont</v>
      </c>
      <c r="F1372" s="2" t="str">
        <f>IFERROR(__xludf.DUMMYFUNCTION("REGEXEXTRACT(C1372, ""🏘️ (\w+) \w+ .* ✅"")"),"Louer")</f>
        <v>Louer</v>
      </c>
      <c r="G1372" s="2" t="str">
        <f>IFERROR(__xludf.DUMMYFUNCTION("REGEXEXTRACT(C1372, ""🏘️ \w+ (\w+) .* ✅"")"),"maison")</f>
        <v>maison</v>
      </c>
      <c r="H1372" s="4" t="str">
        <f>IFERROR(__xludf.DUMMYFUNCTION("REGEXEXTRACT(A1372, ""/(\w+)-.*?"")"),"lieu")</f>
        <v>lieu</v>
      </c>
      <c r="I1372" s="4" t="str">
        <f>IFERROR(__xludf.DUMMYFUNCTION("if(D1372=""variant"",  substitute(filter(Templates!E:E, Templates!A:A = F1372, Templates!B:B = G1372, Templates!C:C = H1372), ""{{}}"", E1372), B1372)"),"🏘  Vous cherchez une maison à louer à Corgémont? ✅ Découvrez nos nombreuses annonces sur ImmoScout24.ch.")</f>
        <v>🏘  Vous cherchez une maison à louer à Corgémont? ✅ Découvrez nos nombreuses annonces sur ImmoScout24.ch.</v>
      </c>
      <c r="J1372" s="4" t="s">
        <v>4120</v>
      </c>
    </row>
    <row r="1373">
      <c r="A1373" s="5" t="s">
        <v>4121</v>
      </c>
      <c r="B1373" s="2" t="s">
        <v>4122</v>
      </c>
      <c r="C1373" s="4" t="str">
        <f>IFERROR(__xludf.DUMMYFUNCTION("""🏘️ ""&amp;REGEXEXTRACT(B1373, ""^(.*): "")&amp;"" ✅ "" &amp;REGEXEXTRACT(B1373, ""(Trouvez.*)"")"),"🏘️ Louer appartement Mendrisiotto ✅ Trouvez le bien immobilier qui correspond idéalement à vos désirs sur ImmoScout24 - La plateforme de l'immobilier en Suisse.")</f>
        <v>🏘️ Louer appartement Mendrisiotto ✅ Trouvez le bien immobilier qui correspond idéalement à vos désirs sur ImmoScout24 - La plateforme de l'immobilier en Suisse.</v>
      </c>
      <c r="D1373" s="4" t="str">
        <f>vlookup(A1373, Sheet2!D:E, 2, 0)</f>
        <v>variant</v>
      </c>
      <c r="E1373" s="4" t="str">
        <f>IFERROR(__xludf.DUMMYFUNCTION("if(H1373=""pays"",vlookup(REGEXEXTRACT(C1373, ""🏘️ \w+ \w+ (.*) ✅""),'Country prepositions'!A:B, 2, 0) &amp; "" "" &amp; REGEXEXTRACT(C1373, ""🏘️ \w+ \w+ (.*) ✅"") ,  if(H1373=""quartier"",vlookup(REGEXEXTRACT(C1373, ""🏘️ \w+ \w+ (.*) ✅""),'Quartier prepositio"&amp;"ns'!A:E, 5, 0) ,  if(H1373=""region"",vlookup(REGEXEXTRACT(C1373, ""🏘️ \w+ \w+ (.*) ✅""),'Region prepositions'!B:F, 5, 0),  REGEXEXTRACT(C1373, ""🏘️ \w+ \w+ (.*) ✅""))))"),"dans le Mendrisiotto")</f>
        <v>dans le Mendrisiotto</v>
      </c>
      <c r="F1373" s="2" t="str">
        <f>IFERROR(__xludf.DUMMYFUNCTION("REGEXEXTRACT(C1373, ""🏘️ (\w+) \w+ .* ✅"")"),"Louer")</f>
        <v>Louer</v>
      </c>
      <c r="G1373" s="2" t="str">
        <f>IFERROR(__xludf.DUMMYFUNCTION("REGEXEXTRACT(C1373, ""🏘️ \w+ (\w+) .* ✅"")"),"appartement")</f>
        <v>appartement</v>
      </c>
      <c r="H1373" s="4" t="str">
        <f>IFERROR(__xludf.DUMMYFUNCTION("REGEXEXTRACT(A1373, ""/(\w+)-.*?"")"),"region")</f>
        <v>region</v>
      </c>
      <c r="I1373" s="4" t="str">
        <f>IFERROR(__xludf.DUMMYFUNCTION("if(D1373=""variant"",  substitute(filter(Templates!E:E, Templates!A:A = F1373, Templates!B:B = G1373, Templates!C:C = H1373), ""{{}}"", E1373), B1373)"),"🏘  Vous cherchez un appartement à louer dans le Mendrisiotto? ✅ Les annonces les plus actuelles sont sur ImmoScout24.ch.")</f>
        <v>🏘  Vous cherchez un appartement à louer dans le Mendrisiotto? ✅ Les annonces les plus actuelles sont sur ImmoScout24.ch.</v>
      </c>
      <c r="J1373" s="4" t="s">
        <v>4123</v>
      </c>
    </row>
    <row r="1374">
      <c r="A1374" s="5" t="s">
        <v>4124</v>
      </c>
      <c r="B1374" s="2" t="s">
        <v>4125</v>
      </c>
      <c r="C1374" s="4" t="str">
        <f>IFERROR(__xludf.DUMMYFUNCTION("""🏘️ ""&amp;REGEXEXTRACT(B1374, ""^(.*): "")&amp;"" ✅ "" &amp;REGEXEXTRACT(B1374, ""(Trouvez.*)"")"),"🏘️ Louer appartement Goldiwil (Thun) ✅ Trouvez le bien immobilier qui correspond idéalement à vos désirs sur ImmoScout24 - La plateforme de l'immobilier en Suisse.")</f>
        <v>🏘️ Louer appartement Goldiwil (Thun) ✅ Trouvez le bien immobilier qui correspond idéalement à vos désirs sur ImmoScout24 - La plateforme de l'immobilier en Suisse.</v>
      </c>
      <c r="D1374" s="4" t="str">
        <f>vlookup(A1374, Sheet2!D:E, 2, 0)</f>
        <v>variant</v>
      </c>
      <c r="E1374" s="4" t="str">
        <f>IFERROR(__xludf.DUMMYFUNCTION("if(H1374=""pays"",vlookup(REGEXEXTRACT(C1374, ""🏘️ \w+ \w+ (.*) ✅""),'Country prepositions'!A:B, 2, 0) &amp; "" "" &amp; REGEXEXTRACT(C1374, ""🏘️ \w+ \w+ (.*) ✅"") ,  if(H1374=""quartier"",vlookup(REGEXEXTRACT(C1374, ""🏘️ \w+ \w+ (.*) ✅""),'Quartier prepositio"&amp;"ns'!A:E, 5, 0) ,  if(H1374=""region"",vlookup(REGEXEXTRACT(C1374, ""🏘️ \w+ \w+ (.*) ✅""),'Region prepositions'!B:F, 5, 0),  REGEXEXTRACT(C1374, ""🏘️ \w+ \w+ (.*) ✅""))))"),"Goldiwil (Thun)")</f>
        <v>Goldiwil (Thun)</v>
      </c>
      <c r="F1374" s="2" t="str">
        <f>IFERROR(__xludf.DUMMYFUNCTION("REGEXEXTRACT(C1374, ""🏘️ (\w+) \w+ .* ✅"")"),"Louer")</f>
        <v>Louer</v>
      </c>
      <c r="G1374" s="2" t="str">
        <f>IFERROR(__xludf.DUMMYFUNCTION("REGEXEXTRACT(C1374, ""🏘️ \w+ (\w+) .* ✅"")"),"appartement")</f>
        <v>appartement</v>
      </c>
      <c r="H1374" s="4" t="str">
        <f>IFERROR(__xludf.DUMMYFUNCTION("REGEXEXTRACT(A1374, ""/(\w+)-.*?"")"),"lieu")</f>
        <v>lieu</v>
      </c>
      <c r="I1374" s="4" t="str">
        <f>IFERROR(__xludf.DUMMYFUNCTION("if(D1374=""variant"",  substitute(filter(Templates!E:E, Templates!A:A = F1374, Templates!B:B = G1374, Templates!C:C = H1374), ""{{}}"", E1374), B1374)"),"🏘  Vous cherchez un appartement à louer à Goldiwil (Thun)? ✅ Les annonces les plus actuelles sont sur ImmoScout24.ch.")</f>
        <v>🏘  Vous cherchez un appartement à louer à Goldiwil (Thun)? ✅ Les annonces les plus actuelles sont sur ImmoScout24.ch.</v>
      </c>
      <c r="J1374" s="4" t="s">
        <v>4126</v>
      </c>
    </row>
    <row r="1375">
      <c r="A1375" s="5" t="s">
        <v>4127</v>
      </c>
      <c r="B1375" s="2" t="s">
        <v>4128</v>
      </c>
      <c r="C1375" s="4" t="str">
        <f>IFERROR(__xludf.DUMMYFUNCTION("""🏘️ ""&amp;REGEXEXTRACT(B1375, ""^(.*): "")&amp;"" ✅ "" &amp;REGEXEXTRACT(B1375, ""(Trouvez.*)"")"),"🏘️ Louer appartement Hurden ✅ Trouvez le bien immobilier qui correspond idéalement à vos désirs sur ImmoScout24 - La plateforme de l'immobilier en Suisse.")</f>
        <v>🏘️ Louer appartement Hurden ✅ Trouvez le bien immobilier qui correspond idéalement à vos désirs sur ImmoScout24 - La plateforme de l'immobilier en Suisse.</v>
      </c>
      <c r="D1375" s="4" t="str">
        <f>vlookup(A1375, Sheet2!D:E, 2, 0)</f>
        <v>variant</v>
      </c>
      <c r="E1375" s="4" t="str">
        <f>IFERROR(__xludf.DUMMYFUNCTION("if(H1375=""pays"",vlookup(REGEXEXTRACT(C1375, ""🏘️ \w+ \w+ (.*) ✅""),'Country prepositions'!A:B, 2, 0) &amp; "" "" &amp; REGEXEXTRACT(C1375, ""🏘️ \w+ \w+ (.*) ✅"") ,  if(H1375=""quartier"",vlookup(REGEXEXTRACT(C1375, ""🏘️ \w+ \w+ (.*) ✅""),'Quartier prepositio"&amp;"ns'!A:E, 5, 0) ,  if(H1375=""region"",vlookup(REGEXEXTRACT(C1375, ""🏘️ \w+ \w+ (.*) ✅""),'Region prepositions'!B:F, 5, 0),  REGEXEXTRACT(C1375, ""🏘️ \w+ \w+ (.*) ✅""))))"),"Hurden")</f>
        <v>Hurden</v>
      </c>
      <c r="F1375" s="2" t="str">
        <f>IFERROR(__xludf.DUMMYFUNCTION("REGEXEXTRACT(C1375, ""🏘️ (\w+) \w+ .* ✅"")"),"Louer")</f>
        <v>Louer</v>
      </c>
      <c r="G1375" s="2" t="str">
        <f>IFERROR(__xludf.DUMMYFUNCTION("REGEXEXTRACT(C1375, ""🏘️ \w+ (\w+) .* ✅"")"),"appartement")</f>
        <v>appartement</v>
      </c>
      <c r="H1375" s="4" t="str">
        <f>IFERROR(__xludf.DUMMYFUNCTION("REGEXEXTRACT(A1375, ""/(\w+)-.*?"")"),"lieu")</f>
        <v>lieu</v>
      </c>
      <c r="I1375" s="4" t="str">
        <f>IFERROR(__xludf.DUMMYFUNCTION("if(D1375=""variant"",  substitute(filter(Templates!E:E, Templates!A:A = F1375, Templates!B:B = G1375, Templates!C:C = H1375), ""{{}}"", E1375), B1375)"),"🏘  Vous cherchez un appartement à louer à Hurden? ✅ Les annonces les plus actuelles sont sur ImmoScout24.ch.")</f>
        <v>🏘  Vous cherchez un appartement à louer à Hurden? ✅ Les annonces les plus actuelles sont sur ImmoScout24.ch.</v>
      </c>
      <c r="J1375" s="4" t="s">
        <v>4129</v>
      </c>
    </row>
    <row r="1376">
      <c r="A1376" s="5" t="s">
        <v>4130</v>
      </c>
      <c r="B1376" s="2" t="s">
        <v>4131</v>
      </c>
      <c r="C1376" s="4" t="str">
        <f>IFERROR(__xludf.DUMMYFUNCTION("""🏘️ ""&amp;REGEXEXTRACT(B1376, ""^(.*): "")&amp;"" ✅ "" &amp;REGEXEXTRACT(B1376, ""(Trouvez.*)"")"),"🏘️ Vendre maison Welschenrohr ✅ Trouvez le bien immobilier qui correspond idéalement à vos désirs sur ImmoScout24 - La plateforme de l'immobilier en Suisse.")</f>
        <v>🏘️ Vendre maison Welschenrohr ✅ Trouvez le bien immobilier qui correspond idéalement à vos désirs sur ImmoScout24 - La plateforme de l'immobilier en Suisse.</v>
      </c>
      <c r="D1376" s="4" t="str">
        <f>vlookup(A1376, Sheet2!D:E, 2, 0)</f>
        <v>variant</v>
      </c>
      <c r="E1376" s="4" t="str">
        <f>IFERROR(__xludf.DUMMYFUNCTION("if(H1376=""pays"",vlookup(REGEXEXTRACT(C1376, ""🏘️ \w+ \w+ (.*) ✅""),'Country prepositions'!A:B, 2, 0) &amp; "" "" &amp; REGEXEXTRACT(C1376, ""🏘️ \w+ \w+ (.*) ✅"") ,  if(H1376=""quartier"",vlookup(REGEXEXTRACT(C1376, ""🏘️ \w+ \w+ (.*) ✅""),'Quartier prepositio"&amp;"ns'!A:E, 5, 0) ,  if(H1376=""region"",vlookup(REGEXEXTRACT(C1376, ""🏘️ \w+ \w+ (.*) ✅""),'Region prepositions'!B:F, 5, 0),  REGEXEXTRACT(C1376, ""🏘️ \w+ \w+ (.*) ✅""))))"),"Welschenrohr")</f>
        <v>Welschenrohr</v>
      </c>
      <c r="F1376" s="2" t="str">
        <f>IFERROR(__xludf.DUMMYFUNCTION("REGEXEXTRACT(C1376, ""🏘️ (\w+) \w+ .* ✅"")"),"Vendre")</f>
        <v>Vendre</v>
      </c>
      <c r="G1376" s="2" t="str">
        <f>IFERROR(__xludf.DUMMYFUNCTION("REGEXEXTRACT(C1376, ""🏘️ \w+ (\w+) .* ✅"")"),"maison")</f>
        <v>maison</v>
      </c>
      <c r="H1376" s="4" t="str">
        <f>IFERROR(__xludf.DUMMYFUNCTION("REGEXEXTRACT(A1376, ""/(\w+)-.*?"")"),"lieu")</f>
        <v>lieu</v>
      </c>
      <c r="I1376" s="4" t="str">
        <f>IFERROR(__xludf.DUMMYFUNCTION("if(D1376=""variant"",  substitute(filter(Templates!E:E, Templates!A:A = F1376, Templates!B:B = G1376, Templates!C:C = H1376), ""{{}}"", E1376), B1376)"),"🏘  Vous souhaitez acheter une maison à Welschenrohr? ✅ Jetez un œil aux dernières offres sur ImmoScout24.ch.")</f>
        <v>🏘  Vous souhaitez acheter une maison à Welschenrohr? ✅ Jetez un œil aux dernières offres sur ImmoScout24.ch.</v>
      </c>
      <c r="J1376" s="4" t="s">
        <v>4132</v>
      </c>
    </row>
    <row r="1377">
      <c r="A1377" s="5" t="s">
        <v>4133</v>
      </c>
      <c r="B1377" s="2" t="s">
        <v>4134</v>
      </c>
      <c r="C1377" s="4" t="str">
        <f>IFERROR(__xludf.DUMMYFUNCTION("""🏘️ ""&amp;REGEXEXTRACT(B1377, ""^(.*): "")&amp;"" ✅ "" &amp;REGEXEXTRACT(B1377, ""(Trouvez.*)"")"),"🏘️ Louer maison Villars-sur-Fontenais ✅ Trouvez le bien immobilier qui correspond idéalement à vos désirs sur ImmoScout24 - La plateforme de l'immobilier en Suisse.")</f>
        <v>🏘️ Louer maison Villars-sur-Fontenais ✅ Trouvez le bien immobilier qui correspond idéalement à vos désirs sur ImmoScout24 - La plateforme de l'immobilier en Suisse.</v>
      </c>
      <c r="D1377" s="4" t="str">
        <f>vlookup(A1377, Sheet2!D:E, 2, 0)</f>
        <v>variant</v>
      </c>
      <c r="E1377" s="4" t="str">
        <f>IFERROR(__xludf.DUMMYFUNCTION("if(H1377=""pays"",vlookup(REGEXEXTRACT(C1377, ""🏘️ \w+ \w+ (.*) ✅""),'Country prepositions'!A:B, 2, 0) &amp; "" "" &amp; REGEXEXTRACT(C1377, ""🏘️ \w+ \w+ (.*) ✅"") ,  if(H1377=""quartier"",vlookup(REGEXEXTRACT(C1377, ""🏘️ \w+ \w+ (.*) ✅""),'Quartier prepositio"&amp;"ns'!A:E, 5, 0) ,  if(H1377=""region"",vlookup(REGEXEXTRACT(C1377, ""🏘️ \w+ \w+ (.*) ✅""),'Region prepositions'!B:F, 5, 0),  REGEXEXTRACT(C1377, ""🏘️ \w+ \w+ (.*) ✅""))))"),"Villars-sur-Fontenais")</f>
        <v>Villars-sur-Fontenais</v>
      </c>
      <c r="F1377" s="2" t="str">
        <f>IFERROR(__xludf.DUMMYFUNCTION("REGEXEXTRACT(C1377, ""🏘️ (\w+) \w+ .* ✅"")"),"Louer")</f>
        <v>Louer</v>
      </c>
      <c r="G1377" s="2" t="str">
        <f>IFERROR(__xludf.DUMMYFUNCTION("REGEXEXTRACT(C1377, ""🏘️ \w+ (\w+) .* ✅"")"),"maison")</f>
        <v>maison</v>
      </c>
      <c r="H1377" s="4" t="str">
        <f>IFERROR(__xludf.DUMMYFUNCTION("REGEXEXTRACT(A1377, ""/(\w+)-.*?"")"),"lieu")</f>
        <v>lieu</v>
      </c>
      <c r="I1377" s="4" t="str">
        <f>IFERROR(__xludf.DUMMYFUNCTION("if(D1377=""variant"",  substitute(filter(Templates!E:E, Templates!A:A = F1377, Templates!B:B = G1377, Templates!C:C = H1377), ""{{}}"", E1377), B1377)"),"🏘  Vous cherchez une maison à louer à Villars-sur-Fontenais? ✅ Découvrez nos nombreuses annonces sur ImmoScout24.ch.")</f>
        <v>🏘  Vous cherchez une maison à louer à Villars-sur-Fontenais? ✅ Découvrez nos nombreuses annonces sur ImmoScout24.ch.</v>
      </c>
      <c r="J1377" s="4" t="s">
        <v>4135</v>
      </c>
    </row>
    <row r="1378">
      <c r="A1378" s="5" t="s">
        <v>4136</v>
      </c>
      <c r="B1378" s="2" t="s">
        <v>4137</v>
      </c>
      <c r="C1378" s="4" t="str">
        <f>IFERROR(__xludf.DUMMYFUNCTION("""🏘️ ""&amp;REGEXEXTRACT(B1378, ""^(.*): "")&amp;"" ✅ "" &amp;REGEXEXTRACT(B1378, ""(Trouvez.*)"")"),"🏘️ Vendre appartement Campagne - Rive droite ✅ Trouvez le bien immobilier qui correspond idéalement à vos désirs sur ImmoScout24 - La plateforme de l'immobilier en Suisse.")</f>
        <v>🏘️ Vendre appartement Campagne - Rive droite ✅ Trouvez le bien immobilier qui correspond idéalement à vos désirs sur ImmoScout24 - La plateforme de l'immobilier en Suisse.</v>
      </c>
      <c r="D1378" s="4" t="str">
        <f>vlookup(A1378, Sheet2!D:E, 2, 0)</f>
        <v>variant</v>
      </c>
      <c r="E1378" s="4" t="str">
        <f>IFERROR(__xludf.DUMMYFUNCTION("if(H1378=""pays"",vlookup(REGEXEXTRACT(C1378, ""🏘️ \w+ \w+ (.*) ✅""),'Country prepositions'!A:B, 2, 0) &amp; "" "" &amp; REGEXEXTRACT(C1378, ""🏘️ \w+ \w+ (.*) ✅"") ,  if(H1378=""quartier"",vlookup(REGEXEXTRACT(C1378, ""🏘️ \w+ \w+ (.*) ✅""),'Quartier prepositio"&amp;"ns'!A:E, 5, 0) ,  if(H1378=""region"",vlookup(REGEXEXTRACT(C1378, ""🏘️ \w+ \w+ (.*) ✅""),'Region prepositions'!B:F, 5, 0),  REGEXEXTRACT(C1378, ""🏘️ \w+ \w+ (.*) ✅""))))"),"à Campagne - Rive droite")</f>
        <v>à Campagne - Rive droite</v>
      </c>
      <c r="F1378" s="2" t="str">
        <f>IFERROR(__xludf.DUMMYFUNCTION("REGEXEXTRACT(C1378, ""🏘️ (\w+) \w+ .* ✅"")"),"Vendre")</f>
        <v>Vendre</v>
      </c>
      <c r="G1378" s="2" t="str">
        <f>IFERROR(__xludf.DUMMYFUNCTION("REGEXEXTRACT(C1378, ""🏘️ \w+ (\w+) .* ✅"")"),"appartement")</f>
        <v>appartement</v>
      </c>
      <c r="H1378" s="4" t="str">
        <f>IFERROR(__xludf.DUMMYFUNCTION("REGEXEXTRACT(A1378, ""/(\w+)-.*?"")"),"region")</f>
        <v>region</v>
      </c>
      <c r="I1378" s="4" t="str">
        <f>IFERROR(__xludf.DUMMYFUNCTION("if(D1378=""variant"",  substitute(filter(Templates!E:E, Templates!A:A = F1378, Templates!B:B = G1378, Templates!C:C = H1378), ""{{}}"", E1378), B1378)"),"🏘  L’appartement de vos rêves se trouve sur ImmoScout24.ch ✅ Découvrez les dernières annonces de vente à Campagne - Rive droite.")</f>
        <v>🏘  L’appartement de vos rêves se trouve sur ImmoScout24.ch ✅ Découvrez les dernières annonces de vente à Campagne - Rive droite.</v>
      </c>
      <c r="J1378" s="4" t="s">
        <v>4138</v>
      </c>
    </row>
    <row r="1379">
      <c r="A1379" s="5" t="s">
        <v>4139</v>
      </c>
      <c r="B1379" s="2" t="s">
        <v>4140</v>
      </c>
      <c r="C1379" s="4" t="str">
        <f>IFERROR(__xludf.DUMMYFUNCTION("""🏘️ ""&amp;REGEXEXTRACT(B1379, ""^(.*): "")&amp;"" ✅ "" &amp;REGEXEXTRACT(B1379, ""(Trouvez.*)"")"),"🏘️ Vendre appartement Genolier ✅ Trouvez le bien immobilier qui correspond idéalement à vos désirs sur ImmoScout24 - La plateforme de l'immobilier en Suisse.")</f>
        <v>🏘️ Vendre appartement Genolier ✅ Trouvez le bien immobilier qui correspond idéalement à vos désirs sur ImmoScout24 - La plateforme de l'immobilier en Suisse.</v>
      </c>
      <c r="D1379" s="4" t="str">
        <f>vlookup(A1379, Sheet2!D:E, 2, 0)</f>
        <v>variant</v>
      </c>
      <c r="E1379" s="4" t="str">
        <f>IFERROR(__xludf.DUMMYFUNCTION("if(H1379=""pays"",vlookup(REGEXEXTRACT(C1379, ""🏘️ \w+ \w+ (.*) ✅""),'Country prepositions'!A:B, 2, 0) &amp; "" "" &amp; REGEXEXTRACT(C1379, ""🏘️ \w+ \w+ (.*) ✅"") ,  if(H1379=""quartier"",vlookup(REGEXEXTRACT(C1379, ""🏘️ \w+ \w+ (.*) ✅""),'Quartier prepositio"&amp;"ns'!A:E, 5, 0) ,  if(H1379=""region"",vlookup(REGEXEXTRACT(C1379, ""🏘️ \w+ \w+ (.*) ✅""),'Region prepositions'!B:F, 5, 0),  REGEXEXTRACT(C1379, ""🏘️ \w+ \w+ (.*) ✅""))))"),"Genolier")</f>
        <v>Genolier</v>
      </c>
      <c r="F1379" s="2" t="str">
        <f>IFERROR(__xludf.DUMMYFUNCTION("REGEXEXTRACT(C1379, ""🏘️ (\w+) \w+ .* ✅"")"),"Vendre")</f>
        <v>Vendre</v>
      </c>
      <c r="G1379" s="2" t="str">
        <f>IFERROR(__xludf.DUMMYFUNCTION("REGEXEXTRACT(C1379, ""🏘️ \w+ (\w+) .* ✅"")"),"appartement")</f>
        <v>appartement</v>
      </c>
      <c r="H1379" s="4" t="str">
        <f>IFERROR(__xludf.DUMMYFUNCTION("REGEXEXTRACT(A1379, ""/(\w+)-.*?"")"),"lieu")</f>
        <v>lieu</v>
      </c>
      <c r="I1379" s="4" t="str">
        <f>IFERROR(__xludf.DUMMYFUNCTION("if(D1379=""variant"",  substitute(filter(Templates!E:E, Templates!A:A = F1379, Templates!B:B = G1379, Templates!C:C = H1379), ""{{}}"", E1379), B1379)"),"🏘  L’appartement de vos rêves se trouve sur ImmoScout24.ch ✅ Découvrez les dernières annonces de vente à Genolier.")</f>
        <v>🏘  L’appartement de vos rêves se trouve sur ImmoScout24.ch ✅ Découvrez les dernières annonces de vente à Genolier.</v>
      </c>
      <c r="J1379" s="4" t="s">
        <v>4141</v>
      </c>
    </row>
    <row r="1380">
      <c r="A1380" s="5" t="s">
        <v>4142</v>
      </c>
      <c r="B1380" s="2" t="s">
        <v>4143</v>
      </c>
      <c r="C1380" s="4" t="str">
        <f>IFERROR(__xludf.DUMMYFUNCTION("""🏘️ ""&amp;REGEXEXTRACT(B1380, ""^(.*): "")&amp;"" ✅ "" &amp;REGEXEXTRACT(B1380, ""(Trouvez.*)"")"),"🏘️ Louer appartement Wangen SZ ✅ Trouvez le bien immobilier qui correspond idéalement à vos désirs sur ImmoScout24 - La plateforme de l'immobilier en Suisse.")</f>
        <v>🏘️ Louer appartement Wangen SZ ✅ Trouvez le bien immobilier qui correspond idéalement à vos désirs sur ImmoScout24 - La plateforme de l'immobilier en Suisse.</v>
      </c>
      <c r="D1380" s="4" t="str">
        <f>vlookup(A1380, Sheet2!D:E, 2, 0)</f>
        <v>variant</v>
      </c>
      <c r="E1380" s="4" t="str">
        <f>IFERROR(__xludf.DUMMYFUNCTION("if(H1380=""pays"",vlookup(REGEXEXTRACT(C1380, ""🏘️ \w+ \w+ (.*) ✅""),'Country prepositions'!A:B, 2, 0) &amp; "" "" &amp; REGEXEXTRACT(C1380, ""🏘️ \w+ \w+ (.*) ✅"") ,  if(H1380=""quartier"",vlookup(REGEXEXTRACT(C1380, ""🏘️ \w+ \w+ (.*) ✅""),'Quartier prepositio"&amp;"ns'!A:E, 5, 0) ,  if(H1380=""region"",vlookup(REGEXEXTRACT(C1380, ""🏘️ \w+ \w+ (.*) ✅""),'Region prepositions'!B:F, 5, 0),  REGEXEXTRACT(C1380, ""🏘️ \w+ \w+ (.*) ✅""))))"),"Wangen SZ")</f>
        <v>Wangen SZ</v>
      </c>
      <c r="F1380" s="2" t="str">
        <f>IFERROR(__xludf.DUMMYFUNCTION("REGEXEXTRACT(C1380, ""🏘️ (\w+) \w+ .* ✅"")"),"Louer")</f>
        <v>Louer</v>
      </c>
      <c r="G1380" s="2" t="str">
        <f>IFERROR(__xludf.DUMMYFUNCTION("REGEXEXTRACT(C1380, ""🏘️ \w+ (\w+) .* ✅"")"),"appartement")</f>
        <v>appartement</v>
      </c>
      <c r="H1380" s="4" t="str">
        <f>IFERROR(__xludf.DUMMYFUNCTION("REGEXEXTRACT(A1380, ""/(\w+)-.*?"")"),"lieu")</f>
        <v>lieu</v>
      </c>
      <c r="I1380" s="4" t="str">
        <f>IFERROR(__xludf.DUMMYFUNCTION("if(D1380=""variant"",  substitute(filter(Templates!E:E, Templates!A:A = F1380, Templates!B:B = G1380, Templates!C:C = H1380), ""{{}}"", E1380), B1380)"),"🏘  Vous cherchez un appartement à louer à Wangen SZ? ✅ Les annonces les plus actuelles sont sur ImmoScout24.ch.")</f>
        <v>🏘  Vous cherchez un appartement à louer à Wangen SZ? ✅ Les annonces les plus actuelles sont sur ImmoScout24.ch.</v>
      </c>
      <c r="J1380" s="4" t="s">
        <v>4144</v>
      </c>
    </row>
    <row r="1381">
      <c r="A1381" s="5" t="s">
        <v>4145</v>
      </c>
      <c r="B1381" s="2" t="s">
        <v>4146</v>
      </c>
      <c r="C1381" s="4" t="str">
        <f>IFERROR(__xludf.DUMMYFUNCTION("""🏘️ ""&amp;REGEXEXTRACT(B1381, ""^(.*): "")&amp;"" ✅ "" &amp;REGEXEXTRACT(B1381, ""(Trouvez.*)"")"),"🏘️ Louer appartement Luzern ✅ Trouvez le bien immobilier qui correspond idéalement à vos désirs sur ImmoScout24 - La plateforme de l'immobilier en Suisse.")</f>
        <v>🏘️ Louer appartement Luzern ✅ Trouvez le bien immobilier qui correspond idéalement à vos désirs sur ImmoScout24 - La plateforme de l'immobilier en Suisse.</v>
      </c>
      <c r="D1381" s="4" t="str">
        <f>vlookup(A1381, Sheet2!D:E, 2, 0)</f>
        <v>variant</v>
      </c>
      <c r="E1381" s="4" t="str">
        <f>IFERROR(__xludf.DUMMYFUNCTION("if(H1381=""pays"",vlookup(REGEXEXTRACT(C1381, ""🏘️ \w+ \w+ (.*) ✅""),'Country prepositions'!A:B, 2, 0) &amp; "" "" &amp; REGEXEXTRACT(C1381, ""🏘️ \w+ \w+ (.*) ✅"") ,  if(H1381=""quartier"",vlookup(REGEXEXTRACT(C1381, ""🏘️ \w+ \w+ (.*) ✅""),'Quartier prepositio"&amp;"ns'!A:E, 5, 0) ,  if(H1381=""region"",vlookup(REGEXEXTRACT(C1381, ""🏘️ \w+ \w+ (.*) ✅""),'Region prepositions'!B:F, 5, 0),  REGEXEXTRACT(C1381, ""🏘️ \w+ \w+ (.*) ✅""))))"),"Luzern")</f>
        <v>Luzern</v>
      </c>
      <c r="F1381" s="2" t="str">
        <f>IFERROR(__xludf.DUMMYFUNCTION("REGEXEXTRACT(C1381, ""🏘️ (\w+) \w+ .* ✅"")"),"Louer")</f>
        <v>Louer</v>
      </c>
      <c r="G1381" s="2" t="str">
        <f>IFERROR(__xludf.DUMMYFUNCTION("REGEXEXTRACT(C1381, ""🏘️ \w+ (\w+) .* ✅"")"),"appartement")</f>
        <v>appartement</v>
      </c>
      <c r="H1381" s="4" t="str">
        <f>IFERROR(__xludf.DUMMYFUNCTION("REGEXEXTRACT(A1381, ""/(\w+)-.*?"")"),"lieu")</f>
        <v>lieu</v>
      </c>
      <c r="I1381" s="4" t="str">
        <f>IFERROR(__xludf.DUMMYFUNCTION("if(D1381=""variant"",  substitute(filter(Templates!E:E, Templates!A:A = F1381, Templates!B:B = G1381, Templates!C:C = H1381), ""{{}}"", E1381), B1381)"),"🏘  Vous cherchez un appartement à louer à Luzern? ✅ Les annonces les plus actuelles sont sur ImmoScout24.ch.")</f>
        <v>🏘  Vous cherchez un appartement à louer à Luzern? ✅ Les annonces les plus actuelles sont sur ImmoScout24.ch.</v>
      </c>
      <c r="J1381" s="4" t="s">
        <v>4147</v>
      </c>
    </row>
    <row r="1382">
      <c r="A1382" s="5" t="s">
        <v>4148</v>
      </c>
      <c r="B1382" s="2" t="s">
        <v>4149</v>
      </c>
      <c r="C1382" s="4" t="str">
        <f>IFERROR(__xludf.DUMMYFUNCTION("""🏘️ ""&amp;REGEXEXTRACT(B1382, ""^(.*): "")&amp;"" ✅ "" &amp;REGEXEXTRACT(B1382, ""(Trouvez.*)"")"),"🏘️ Vendre maison Mexique ✅ Trouvez le bien immobilier qui correspond idéalement à vos désirs sur ImmoScout24 - La plateforme de l'immobilier en Suisse.")</f>
        <v>🏘️ Vendre maison Mexique ✅ Trouvez le bien immobilier qui correspond idéalement à vos désirs sur ImmoScout24 - La plateforme de l'immobilier en Suisse.</v>
      </c>
      <c r="D1382" s="4" t="str">
        <f>vlookup(A1382, Sheet2!D:E, 2, 0)</f>
        <v>variant</v>
      </c>
      <c r="E1382" s="4" t="str">
        <f>IFERROR(__xludf.DUMMYFUNCTION("if(H1382=""pays"",vlookup(REGEXEXTRACT(C1382, ""🏘️ \w+ \w+ (.*) ✅""),'Country prepositions'!A:B, 2, 0) &amp; "" "" &amp; REGEXEXTRACT(C1382, ""🏘️ \w+ \w+ (.*) ✅"") ,  if(H1382=""quartier"",vlookup(REGEXEXTRACT(C1382, ""🏘️ \w+ \w+ (.*) ✅""),'Quartier prepositio"&amp;"ns'!A:E, 5, 0) ,  if(H1382=""region"",vlookup(REGEXEXTRACT(C1382, ""🏘️ \w+ \w+ (.*) ✅""),'Region prepositions'!B:F, 5, 0),  REGEXEXTRACT(C1382, ""🏘️ \w+ \w+ (.*) ✅""))))"),"au Mexique")</f>
        <v>au Mexique</v>
      </c>
      <c r="F1382" s="2" t="str">
        <f>IFERROR(__xludf.DUMMYFUNCTION("REGEXEXTRACT(C1382, ""🏘️ (\w+) \w+ .* ✅"")"),"Vendre")</f>
        <v>Vendre</v>
      </c>
      <c r="G1382" s="2" t="str">
        <f>IFERROR(__xludf.DUMMYFUNCTION("REGEXEXTRACT(C1382, ""🏘️ \w+ (\w+) .* ✅"")"),"maison")</f>
        <v>maison</v>
      </c>
      <c r="H1382" s="4" t="str">
        <f>IFERROR(__xludf.DUMMYFUNCTION("REGEXEXTRACT(A1382, ""/(\w+)-.*?"")"),"pays")</f>
        <v>pays</v>
      </c>
      <c r="I1382" s="4" t="str">
        <f>IFERROR(__xludf.DUMMYFUNCTION("if(D1382=""variant"",  substitute(filter(Templates!E:E, Templates!A:A = F1382, Templates!B:B = G1382, Templates!C:C = H1382), ""{{}}"", E1382), B1382)"),"🏘  Vous cherchez un appartement à louer au Mexique? ✅ Les annonces les plus actuelles sont sur ImmoScout24.ch.")</f>
        <v>🏘  Vous cherchez un appartement à louer au Mexique? ✅ Les annonces les plus actuelles sont sur ImmoScout24.ch.</v>
      </c>
      <c r="J1382" s="4" t="s">
        <v>4150</v>
      </c>
    </row>
    <row r="1383">
      <c r="A1383" s="5" t="s">
        <v>4151</v>
      </c>
      <c r="B1383" s="2" t="s">
        <v>4152</v>
      </c>
      <c r="C1383" s="4" t="str">
        <f>IFERROR(__xludf.DUMMYFUNCTION("""🏘️ ""&amp;REGEXEXTRACT(B1383, ""^(.*): "")&amp;"" ✅ "" &amp;REGEXEXTRACT(B1383, ""(Trouvez.*)"")"),"🏘️ Louer appartement Mendrisio ✅ Trouvez le bien immobilier qui correspond idéalement à vos désirs sur ImmoScout24 - La plateforme de l'immobilier en Suisse.")</f>
        <v>🏘️ Louer appartement Mendrisio ✅ Trouvez le bien immobilier qui correspond idéalement à vos désirs sur ImmoScout24 - La plateforme de l'immobilier en Suisse.</v>
      </c>
      <c r="D1383" s="4" t="str">
        <f>vlookup(A1383, Sheet2!D:E, 2, 0)</f>
        <v>variant</v>
      </c>
      <c r="E1383" s="4" t="str">
        <f>IFERROR(__xludf.DUMMYFUNCTION("if(H1383=""pays"",vlookup(REGEXEXTRACT(C1383, ""🏘️ \w+ \w+ (.*) ✅""),'Country prepositions'!A:B, 2, 0) &amp; "" "" &amp; REGEXEXTRACT(C1383, ""🏘️ \w+ \w+ (.*) ✅"") ,  if(H1383=""quartier"",vlookup(REGEXEXTRACT(C1383, ""🏘️ \w+ \w+ (.*) ✅""),'Quartier prepositio"&amp;"ns'!A:E, 5, 0) ,  if(H1383=""region"",vlookup(REGEXEXTRACT(C1383, ""🏘️ \w+ \w+ (.*) ✅""),'Region prepositions'!B:F, 5, 0),  REGEXEXTRACT(C1383, ""🏘️ \w+ \w+ (.*) ✅""))))"),"Mendrisio")</f>
        <v>Mendrisio</v>
      </c>
      <c r="F1383" s="2" t="str">
        <f>IFERROR(__xludf.DUMMYFUNCTION("REGEXEXTRACT(C1383, ""🏘️ (\w+) \w+ .* ✅"")"),"Louer")</f>
        <v>Louer</v>
      </c>
      <c r="G1383" s="2" t="str">
        <f>IFERROR(__xludf.DUMMYFUNCTION("REGEXEXTRACT(C1383, ""🏘️ \w+ (\w+) .* ✅"")"),"appartement")</f>
        <v>appartement</v>
      </c>
      <c r="H1383" s="4" t="str">
        <f>IFERROR(__xludf.DUMMYFUNCTION("REGEXEXTRACT(A1383, ""/(\w+)-.*?"")"),"lieu")</f>
        <v>lieu</v>
      </c>
      <c r="I1383" s="4" t="str">
        <f>IFERROR(__xludf.DUMMYFUNCTION("if(D1383=""variant"",  substitute(filter(Templates!E:E, Templates!A:A = F1383, Templates!B:B = G1383, Templates!C:C = H1383), ""{{}}"", E1383), B1383)"),"🏘  Vous cherchez un appartement à louer à Mendrisio? ✅ Les annonces les plus actuelles sont sur ImmoScout24.ch.")</f>
        <v>🏘  Vous cherchez un appartement à louer à Mendrisio? ✅ Les annonces les plus actuelles sont sur ImmoScout24.ch.</v>
      </c>
      <c r="J1383" s="4" t="s">
        <v>4153</v>
      </c>
    </row>
    <row r="1384">
      <c r="A1384" s="5" t="s">
        <v>4154</v>
      </c>
      <c r="B1384" s="2" t="s">
        <v>4155</v>
      </c>
      <c r="C1384" s="4" t="str">
        <f>IFERROR(__xludf.DUMMYFUNCTION("""🏘️ ""&amp;REGEXEXTRACT(B1384, ""^(.*): "")&amp;"" ✅ "" &amp;REGEXEXTRACT(B1384, ""(Trouvez.*)"")"),"🏘️ Louer appartement Klosters ✅ Trouvez le bien immobilier qui correspond idéalement à vos désirs sur ImmoScout24 - La plateforme de l'immobilier en Suisse.")</f>
        <v>🏘️ Louer appartement Klosters ✅ Trouvez le bien immobilier qui correspond idéalement à vos désirs sur ImmoScout24 - La plateforme de l'immobilier en Suisse.</v>
      </c>
      <c r="D1384" s="4" t="str">
        <f>vlookup(A1384, Sheet2!D:E, 2, 0)</f>
        <v>variant</v>
      </c>
      <c r="E1384" s="4" t="str">
        <f>IFERROR(__xludf.DUMMYFUNCTION("if(H1384=""pays"",vlookup(REGEXEXTRACT(C1384, ""🏘️ \w+ \w+ (.*) ✅""),'Country prepositions'!A:B, 2, 0) &amp; "" "" &amp; REGEXEXTRACT(C1384, ""🏘️ \w+ \w+ (.*) ✅"") ,  if(H1384=""quartier"",vlookup(REGEXEXTRACT(C1384, ""🏘️ \w+ \w+ (.*) ✅""),'Quartier prepositio"&amp;"ns'!A:E, 5, 0) ,  if(H1384=""region"",vlookup(REGEXEXTRACT(C1384, ""🏘️ \w+ \w+ (.*) ✅""),'Region prepositions'!B:F, 5, 0),  REGEXEXTRACT(C1384, ""🏘️ \w+ \w+ (.*) ✅""))))"),"Klosters")</f>
        <v>Klosters</v>
      </c>
      <c r="F1384" s="2" t="str">
        <f>IFERROR(__xludf.DUMMYFUNCTION("REGEXEXTRACT(C1384, ""🏘️ (\w+) \w+ .* ✅"")"),"Louer")</f>
        <v>Louer</v>
      </c>
      <c r="G1384" s="2" t="str">
        <f>IFERROR(__xludf.DUMMYFUNCTION("REGEXEXTRACT(C1384, ""🏘️ \w+ (\w+) .* ✅"")"),"appartement")</f>
        <v>appartement</v>
      </c>
      <c r="H1384" s="4" t="str">
        <f>IFERROR(__xludf.DUMMYFUNCTION("REGEXEXTRACT(A1384, ""/(\w+)-.*?"")"),"lieu")</f>
        <v>lieu</v>
      </c>
      <c r="I1384" s="4" t="str">
        <f>IFERROR(__xludf.DUMMYFUNCTION("if(D1384=""variant"",  substitute(filter(Templates!E:E, Templates!A:A = F1384, Templates!B:B = G1384, Templates!C:C = H1384), ""{{}}"", E1384), B1384)"),"🏘  Vous cherchez un appartement à louer à Klosters? ✅ Les annonces les plus actuelles sont sur ImmoScout24.ch.")</f>
        <v>🏘  Vous cherchez un appartement à louer à Klosters? ✅ Les annonces les plus actuelles sont sur ImmoScout24.ch.</v>
      </c>
      <c r="J1384" s="4" t="s">
        <v>4156</v>
      </c>
    </row>
    <row r="1385">
      <c r="A1385" s="5" t="s">
        <v>4157</v>
      </c>
      <c r="B1385" s="2" t="s">
        <v>4158</v>
      </c>
      <c r="C1385" s="4" t="str">
        <f>IFERROR(__xludf.DUMMYFUNCTION("""🏘️ ""&amp;REGEXEXTRACT(B1385, ""^(.*): "")&amp;"" ✅ "" &amp;REGEXEXTRACT(B1385, ""(Trouvez.*)"")"),"🏘️ Louer maison Willisau ✅ Trouvez le bien immobilier qui correspond idéalement à vos désirs sur ImmoScout24 - La plateforme de l'immobilier en Suisse.")</f>
        <v>🏘️ Louer maison Willisau ✅ Trouvez le bien immobilier qui correspond idéalement à vos désirs sur ImmoScout24 - La plateforme de l'immobilier en Suisse.</v>
      </c>
      <c r="D1385" s="4" t="str">
        <f>vlookup(A1385, Sheet2!D:E, 2, 0)</f>
        <v>variant</v>
      </c>
      <c r="E1385" s="4" t="str">
        <f>IFERROR(__xludf.DUMMYFUNCTION("if(H1385=""pays"",vlookup(REGEXEXTRACT(C1385, ""🏘️ \w+ \w+ (.*) ✅""),'Country prepositions'!A:B, 2, 0) &amp; "" "" &amp; REGEXEXTRACT(C1385, ""🏘️ \w+ \w+ (.*) ✅"") ,  if(H1385=""quartier"",vlookup(REGEXEXTRACT(C1385, ""🏘️ \w+ \w+ (.*) ✅""),'Quartier prepositio"&amp;"ns'!A:E, 5, 0) ,  if(H1385=""region"",vlookup(REGEXEXTRACT(C1385, ""🏘️ \w+ \w+ (.*) ✅""),'Region prepositions'!B:F, 5, 0),  REGEXEXTRACT(C1385, ""🏘️ \w+ \w+ (.*) ✅""))))"),"Willisau")</f>
        <v>Willisau</v>
      </c>
      <c r="F1385" s="2" t="str">
        <f>IFERROR(__xludf.DUMMYFUNCTION("REGEXEXTRACT(C1385, ""🏘️ (\w+) \w+ .* ✅"")"),"Louer")</f>
        <v>Louer</v>
      </c>
      <c r="G1385" s="2" t="str">
        <f>IFERROR(__xludf.DUMMYFUNCTION("REGEXEXTRACT(C1385, ""🏘️ \w+ (\w+) .* ✅"")"),"maison")</f>
        <v>maison</v>
      </c>
      <c r="H1385" s="4" t="str">
        <f>IFERROR(__xludf.DUMMYFUNCTION("REGEXEXTRACT(A1385, ""/(\w+)-.*?"")"),"lieu")</f>
        <v>lieu</v>
      </c>
      <c r="I1385" s="4" t="str">
        <f>IFERROR(__xludf.DUMMYFUNCTION("if(D1385=""variant"",  substitute(filter(Templates!E:E, Templates!A:A = F1385, Templates!B:B = G1385, Templates!C:C = H1385), ""{{}}"", E1385), B1385)"),"🏘  Vous cherchez une maison à louer à Willisau? ✅ Découvrez nos nombreuses annonces sur ImmoScout24.ch.")</f>
        <v>🏘  Vous cherchez une maison à louer à Willisau? ✅ Découvrez nos nombreuses annonces sur ImmoScout24.ch.</v>
      </c>
      <c r="J1385" s="4" t="s">
        <v>4159</v>
      </c>
    </row>
    <row r="1386">
      <c r="A1386" s="5" t="s">
        <v>4160</v>
      </c>
      <c r="B1386" s="2" t="s">
        <v>4161</v>
      </c>
      <c r="C1386" s="4" t="str">
        <f>IFERROR(__xludf.DUMMYFUNCTION("""🏘️ ""&amp;REGEXEXTRACT(B1386, ""^(.*): "")&amp;"" ✅ "" &amp;REGEXEXTRACT(B1386, ""(Trouvez.*)"")"),"🏘️ Vendre appartement Rosshäusern ✅ Trouvez le bien immobilier qui correspond idéalement à vos désirs sur ImmoScout24 - La plateforme de l'immobilier en Suisse.")</f>
        <v>🏘️ Vendre appartement Rosshäusern ✅ Trouvez le bien immobilier qui correspond idéalement à vos désirs sur ImmoScout24 - La plateforme de l'immobilier en Suisse.</v>
      </c>
      <c r="D1386" s="4" t="str">
        <f>vlookup(A1386, Sheet2!D:E, 2, 0)</f>
        <v>variant</v>
      </c>
      <c r="E1386" s="4" t="str">
        <f>IFERROR(__xludf.DUMMYFUNCTION("if(H1386=""pays"",vlookup(REGEXEXTRACT(C1386, ""🏘️ \w+ \w+ (.*) ✅""),'Country prepositions'!A:B, 2, 0) &amp; "" "" &amp; REGEXEXTRACT(C1386, ""🏘️ \w+ \w+ (.*) ✅"") ,  if(H1386=""quartier"",vlookup(REGEXEXTRACT(C1386, ""🏘️ \w+ \w+ (.*) ✅""),'Quartier prepositio"&amp;"ns'!A:E, 5, 0) ,  if(H1386=""region"",vlookup(REGEXEXTRACT(C1386, ""🏘️ \w+ \w+ (.*) ✅""),'Region prepositions'!B:F, 5, 0),  REGEXEXTRACT(C1386, ""🏘️ \w+ \w+ (.*) ✅""))))"),"Rosshäusern")</f>
        <v>Rosshäusern</v>
      </c>
      <c r="F1386" s="2" t="str">
        <f>IFERROR(__xludf.DUMMYFUNCTION("REGEXEXTRACT(C1386, ""🏘️ (\w+) \w+ .* ✅"")"),"Vendre")</f>
        <v>Vendre</v>
      </c>
      <c r="G1386" s="2" t="str">
        <f>IFERROR(__xludf.DUMMYFUNCTION("REGEXEXTRACT(C1386, ""🏘️ \w+ (\w+) .* ✅"")"),"appartement")</f>
        <v>appartement</v>
      </c>
      <c r="H1386" s="4" t="str">
        <f>IFERROR(__xludf.DUMMYFUNCTION("REGEXEXTRACT(A1386, ""/(\w+)-.*?"")"),"lieu")</f>
        <v>lieu</v>
      </c>
      <c r="I1386" s="4" t="str">
        <f>IFERROR(__xludf.DUMMYFUNCTION("if(D1386=""variant"",  substitute(filter(Templates!E:E, Templates!A:A = F1386, Templates!B:B = G1386, Templates!C:C = H1386), ""{{}}"", E1386), B1386)"),"🏘  L’appartement de vos rêves se trouve sur ImmoScout24.ch ✅ Découvrez les dernières annonces de vente à Rosshäusern.")</f>
        <v>🏘  L’appartement de vos rêves se trouve sur ImmoScout24.ch ✅ Découvrez les dernières annonces de vente à Rosshäusern.</v>
      </c>
      <c r="J1386" s="4" t="s">
        <v>4162</v>
      </c>
    </row>
    <row r="1387">
      <c r="A1387" s="5" t="s">
        <v>4163</v>
      </c>
      <c r="B1387" s="2" t="s">
        <v>4164</v>
      </c>
      <c r="C1387" s="4" t="str">
        <f>IFERROR(__xludf.DUMMYFUNCTION("""🏘️ ""&amp;REGEXEXTRACT(B1387, ""^(.*): "")&amp;"" ✅ "" &amp;REGEXEXTRACT(B1387, ""(Trouvez.*)"")"),"🏘️ Vendre maison Meilen ✅ Trouvez le bien immobilier qui correspond idéalement à vos désirs sur ImmoScout24 - La plateforme de l'immobilier en Suisse.")</f>
        <v>🏘️ Vendre maison Meilen ✅ Trouvez le bien immobilier qui correspond idéalement à vos désirs sur ImmoScout24 - La plateforme de l'immobilier en Suisse.</v>
      </c>
      <c r="D1387" s="4" t="str">
        <f>vlookup(A1387, Sheet2!D:E, 2, 0)</f>
        <v>variant</v>
      </c>
      <c r="E1387" s="4" t="str">
        <f>IFERROR(__xludf.DUMMYFUNCTION("if(H1387=""pays"",vlookup(REGEXEXTRACT(C1387, ""🏘️ \w+ \w+ (.*) ✅""),'Country prepositions'!A:B, 2, 0) &amp; "" "" &amp; REGEXEXTRACT(C1387, ""🏘️ \w+ \w+ (.*) ✅"") ,  if(H1387=""quartier"",vlookup(REGEXEXTRACT(C1387, ""🏘️ \w+ \w+ (.*) ✅""),'Quartier prepositio"&amp;"ns'!A:E, 5, 0) ,  if(H1387=""region"",vlookup(REGEXEXTRACT(C1387, ""🏘️ \w+ \w+ (.*) ✅""),'Region prepositions'!B:F, 5, 0),  REGEXEXTRACT(C1387, ""🏘️ \w+ \w+ (.*) ✅""))))"),"Meilen")</f>
        <v>Meilen</v>
      </c>
      <c r="F1387" s="2" t="str">
        <f>IFERROR(__xludf.DUMMYFUNCTION("REGEXEXTRACT(C1387, ""🏘️ (\w+) \w+ .* ✅"")"),"Vendre")</f>
        <v>Vendre</v>
      </c>
      <c r="G1387" s="2" t="str">
        <f>IFERROR(__xludf.DUMMYFUNCTION("REGEXEXTRACT(C1387, ""🏘️ \w+ (\w+) .* ✅"")"),"maison")</f>
        <v>maison</v>
      </c>
      <c r="H1387" s="4" t="str">
        <f>IFERROR(__xludf.DUMMYFUNCTION("REGEXEXTRACT(A1387, ""/(\w+)-.*?"")"),"lieu")</f>
        <v>lieu</v>
      </c>
      <c r="I1387" s="4" t="str">
        <f>IFERROR(__xludf.DUMMYFUNCTION("if(D1387=""variant"",  substitute(filter(Templates!E:E, Templates!A:A = F1387, Templates!B:B = G1387, Templates!C:C = H1387), ""{{}}"", E1387), B1387)"),"🏘  Vous souhaitez acheter une maison à Meilen? ✅ Jetez un œil aux dernières offres sur ImmoScout24.ch.")</f>
        <v>🏘  Vous souhaitez acheter une maison à Meilen? ✅ Jetez un œil aux dernières offres sur ImmoScout24.ch.</v>
      </c>
      <c r="J1387" s="4" t="s">
        <v>4165</v>
      </c>
    </row>
    <row r="1388">
      <c r="A1388" s="5" t="s">
        <v>4166</v>
      </c>
      <c r="B1388" s="2" t="s">
        <v>4167</v>
      </c>
      <c r="C1388" s="4" t="str">
        <f>IFERROR(__xludf.DUMMYFUNCTION("""🏘️ ""&amp;REGEXEXTRACT(B1388, ""^(.*): "")&amp;"" ✅ "" &amp;REGEXEXTRACT(B1388, ""(Trouvez.*)"")"),"🏘️ Louer appartement Aproz (Nendaz) ✅ Trouvez le bien immobilier qui correspond idéalement à vos désirs sur ImmoScout24 - La plateforme de l'immobilier en Suisse.")</f>
        <v>🏘️ Louer appartement Aproz (Nendaz) ✅ Trouvez le bien immobilier qui correspond idéalement à vos désirs sur ImmoScout24 - La plateforme de l'immobilier en Suisse.</v>
      </c>
      <c r="D1388" s="4" t="str">
        <f>vlookup(A1388, Sheet2!D:E, 2, 0)</f>
        <v>variant</v>
      </c>
      <c r="E1388" s="4" t="str">
        <f>IFERROR(__xludf.DUMMYFUNCTION("if(H1388=""pays"",vlookup(REGEXEXTRACT(C1388, ""🏘️ \w+ \w+ (.*) ✅""),'Country prepositions'!A:B, 2, 0) &amp; "" "" &amp; REGEXEXTRACT(C1388, ""🏘️ \w+ \w+ (.*) ✅"") ,  if(H1388=""quartier"",vlookup(REGEXEXTRACT(C1388, ""🏘️ \w+ \w+ (.*) ✅""),'Quartier prepositio"&amp;"ns'!A:E, 5, 0) ,  if(H1388=""region"",vlookup(REGEXEXTRACT(C1388, ""🏘️ \w+ \w+ (.*) ✅""),'Region prepositions'!B:F, 5, 0),  REGEXEXTRACT(C1388, ""🏘️ \w+ \w+ (.*) ✅""))))"),"Aproz (Nendaz)")</f>
        <v>Aproz (Nendaz)</v>
      </c>
      <c r="F1388" s="2" t="str">
        <f>IFERROR(__xludf.DUMMYFUNCTION("REGEXEXTRACT(C1388, ""🏘️ (\w+) \w+ .* ✅"")"),"Louer")</f>
        <v>Louer</v>
      </c>
      <c r="G1388" s="2" t="str">
        <f>IFERROR(__xludf.DUMMYFUNCTION("REGEXEXTRACT(C1388, ""🏘️ \w+ (\w+) .* ✅"")"),"appartement")</f>
        <v>appartement</v>
      </c>
      <c r="H1388" s="4" t="str">
        <f>IFERROR(__xludf.DUMMYFUNCTION("REGEXEXTRACT(A1388, ""/(\w+)-.*?"")"),"lieu")</f>
        <v>lieu</v>
      </c>
      <c r="I1388" s="4" t="str">
        <f>IFERROR(__xludf.DUMMYFUNCTION("if(D1388=""variant"",  substitute(filter(Templates!E:E, Templates!A:A = F1388, Templates!B:B = G1388, Templates!C:C = H1388), ""{{}}"", E1388), B1388)"),"🏘  Vous cherchez un appartement à louer à Aproz (Nendaz)? ✅ Les annonces les plus actuelles sont sur ImmoScout24.ch.")</f>
        <v>🏘  Vous cherchez un appartement à louer à Aproz (Nendaz)? ✅ Les annonces les plus actuelles sont sur ImmoScout24.ch.</v>
      </c>
      <c r="J1388" s="4" t="s">
        <v>4168</v>
      </c>
    </row>
    <row r="1389">
      <c r="A1389" s="5" t="s">
        <v>4169</v>
      </c>
      <c r="B1389" s="2" t="s">
        <v>4170</v>
      </c>
      <c r="C1389" s="4" t="str">
        <f>IFERROR(__xludf.DUMMYFUNCTION("""🏘️ ""&amp;REGEXEXTRACT(B1389, ""^(.*): "")&amp;"" ✅ "" &amp;REGEXEXTRACT(B1389, ""(Trouvez.*)"")"),"🏘️ Vendre appartement Plan-les-Ouates ✅ Trouvez le bien immobilier qui correspond idéalement à vos désirs sur ImmoScout24 - La plateforme de l'immobilier en Suisse.")</f>
        <v>🏘️ Vendre appartement Plan-les-Ouates ✅ Trouvez le bien immobilier qui correspond idéalement à vos désirs sur ImmoScout24 - La plateforme de l'immobilier en Suisse.</v>
      </c>
      <c r="D1389" s="4" t="str">
        <f>vlookup(A1389, Sheet2!D:E, 2, 0)</f>
        <v>variant</v>
      </c>
      <c r="E1389" s="4" t="str">
        <f>IFERROR(__xludf.DUMMYFUNCTION("if(H1389=""pays"",vlookup(REGEXEXTRACT(C1389, ""🏘️ \w+ \w+ (.*) ✅""),'Country prepositions'!A:B, 2, 0) &amp; "" "" &amp; REGEXEXTRACT(C1389, ""🏘️ \w+ \w+ (.*) ✅"") ,  if(H1389=""quartier"",vlookup(REGEXEXTRACT(C1389, ""🏘️ \w+ \w+ (.*) ✅""),'Quartier prepositio"&amp;"ns'!A:E, 5, 0) ,  if(H1389=""region"",vlookup(REGEXEXTRACT(C1389, ""🏘️ \w+ \w+ (.*) ✅""),'Region prepositions'!B:F, 5, 0),  REGEXEXTRACT(C1389, ""🏘️ \w+ \w+ (.*) ✅""))))"),"Plan-les-Ouates")</f>
        <v>Plan-les-Ouates</v>
      </c>
      <c r="F1389" s="2" t="str">
        <f>IFERROR(__xludf.DUMMYFUNCTION("REGEXEXTRACT(C1389, ""🏘️ (\w+) \w+ .* ✅"")"),"Vendre")</f>
        <v>Vendre</v>
      </c>
      <c r="G1389" s="2" t="str">
        <f>IFERROR(__xludf.DUMMYFUNCTION("REGEXEXTRACT(C1389, ""🏘️ \w+ (\w+) .* ✅"")"),"appartement")</f>
        <v>appartement</v>
      </c>
      <c r="H1389" s="4" t="str">
        <f>IFERROR(__xludf.DUMMYFUNCTION("REGEXEXTRACT(A1389, ""/(\w+)-.*?"")"),"lieu")</f>
        <v>lieu</v>
      </c>
      <c r="I1389" s="4" t="str">
        <f>IFERROR(__xludf.DUMMYFUNCTION("if(D1389=""variant"",  substitute(filter(Templates!E:E, Templates!A:A = F1389, Templates!B:B = G1389, Templates!C:C = H1389), ""{{}}"", E1389), B1389)"),"🏘  L’appartement de vos rêves se trouve sur ImmoScout24.ch ✅ Découvrez les dernières annonces de vente à Plan-les-Ouates.")</f>
        <v>🏘  L’appartement de vos rêves se trouve sur ImmoScout24.ch ✅ Découvrez les dernières annonces de vente à Plan-les-Ouates.</v>
      </c>
      <c r="J1389" s="4" t="s">
        <v>4171</v>
      </c>
    </row>
    <row r="1390">
      <c r="A1390" s="5" t="s">
        <v>4172</v>
      </c>
      <c r="B1390" s="2" t="s">
        <v>4173</v>
      </c>
      <c r="C1390" s="4" t="str">
        <f>IFERROR(__xludf.DUMMYFUNCTION("""🏘️ ""&amp;REGEXEXTRACT(B1390, ""^(.*): "")&amp;"" ✅ "" &amp;REGEXEXTRACT(B1390, ""(Trouvez.*)"")"),"🏘️ Louer maison Athenaz (Avusy) ✅ Trouvez le bien immobilier qui correspond idéalement à vos désirs sur ImmoScout24 - La plateforme de l'immobilier en Suisse.")</f>
        <v>🏘️ Louer maison Athenaz (Avusy) ✅ Trouvez le bien immobilier qui correspond idéalement à vos désirs sur ImmoScout24 - La plateforme de l'immobilier en Suisse.</v>
      </c>
      <c r="D1390" s="4" t="str">
        <f>vlookup(A1390, Sheet2!D:E, 2, 0)</f>
        <v>variant</v>
      </c>
      <c r="E1390" s="4" t="str">
        <f>IFERROR(__xludf.DUMMYFUNCTION("if(H1390=""pays"",vlookup(REGEXEXTRACT(C1390, ""🏘️ \w+ \w+ (.*) ✅""),'Country prepositions'!A:B, 2, 0) &amp; "" "" &amp; REGEXEXTRACT(C1390, ""🏘️ \w+ \w+ (.*) ✅"") ,  if(H1390=""quartier"",vlookup(REGEXEXTRACT(C1390, ""🏘️ \w+ \w+ (.*) ✅""),'Quartier prepositio"&amp;"ns'!A:E, 5, 0) ,  if(H1390=""region"",vlookup(REGEXEXTRACT(C1390, ""🏘️ \w+ \w+ (.*) ✅""),'Region prepositions'!B:F, 5, 0),  REGEXEXTRACT(C1390, ""🏘️ \w+ \w+ (.*) ✅""))))"),"Athenaz (Avusy)")</f>
        <v>Athenaz (Avusy)</v>
      </c>
      <c r="F1390" s="2" t="str">
        <f>IFERROR(__xludf.DUMMYFUNCTION("REGEXEXTRACT(C1390, ""🏘️ (\w+) \w+ .* ✅"")"),"Louer")</f>
        <v>Louer</v>
      </c>
      <c r="G1390" s="2" t="str">
        <f>IFERROR(__xludf.DUMMYFUNCTION("REGEXEXTRACT(C1390, ""🏘️ \w+ (\w+) .* ✅"")"),"maison")</f>
        <v>maison</v>
      </c>
      <c r="H1390" s="4" t="str">
        <f>IFERROR(__xludf.DUMMYFUNCTION("REGEXEXTRACT(A1390, ""/(\w+)-.*?"")"),"lieu")</f>
        <v>lieu</v>
      </c>
      <c r="I1390" s="4" t="str">
        <f>IFERROR(__xludf.DUMMYFUNCTION("if(D1390=""variant"",  substitute(filter(Templates!E:E, Templates!A:A = F1390, Templates!B:B = G1390, Templates!C:C = H1390), ""{{}}"", E1390), B1390)"),"🏘  Vous cherchez une maison à louer à Athenaz (Avusy)? ✅ Découvrez nos nombreuses annonces sur ImmoScout24.ch.")</f>
        <v>🏘  Vous cherchez une maison à louer à Athenaz (Avusy)? ✅ Découvrez nos nombreuses annonces sur ImmoScout24.ch.</v>
      </c>
      <c r="J1390" s="4" t="s">
        <v>4174</v>
      </c>
    </row>
    <row r="1391">
      <c r="A1391" s="5" t="s">
        <v>4175</v>
      </c>
      <c r="B1391" s="2" t="s">
        <v>4176</v>
      </c>
      <c r="C1391" s="4" t="str">
        <f>IFERROR(__xludf.DUMMYFUNCTION("""🏘️ ""&amp;REGEXEXTRACT(B1391, ""^(.*): "")&amp;"" ✅ "" &amp;REGEXEXTRACT(B1391, ""(Trouvez.*)"")"),"🏘️ Louer appartement Breganzona ✅ Trouvez le bien immobilier qui correspond idéalement à vos désirs sur ImmoScout24 - La plateforme de l'immobilier en Suisse.")</f>
        <v>🏘️ Louer appartement Breganzona ✅ Trouvez le bien immobilier qui correspond idéalement à vos désirs sur ImmoScout24 - La plateforme de l'immobilier en Suisse.</v>
      </c>
      <c r="D1391" s="4" t="str">
        <f>vlookup(A1391, Sheet2!D:E, 2, 0)</f>
        <v>variant</v>
      </c>
      <c r="E1391" s="4" t="str">
        <f>IFERROR(__xludf.DUMMYFUNCTION("if(H1391=""pays"",vlookup(REGEXEXTRACT(C1391, ""🏘️ \w+ \w+ (.*) ✅""),'Country prepositions'!A:B, 2, 0) &amp; "" "" &amp; REGEXEXTRACT(C1391, ""🏘️ \w+ \w+ (.*) ✅"") ,  if(H1391=""quartier"",vlookup(REGEXEXTRACT(C1391, ""🏘️ \w+ \w+ (.*) ✅""),'Quartier prepositio"&amp;"ns'!A:E, 5, 0) ,  if(H1391=""region"",vlookup(REGEXEXTRACT(C1391, ""🏘️ \w+ \w+ (.*) ✅""),'Region prepositions'!B:F, 5, 0),  REGEXEXTRACT(C1391, ""🏘️ \w+ \w+ (.*) ✅""))))"),"Breganzona")</f>
        <v>Breganzona</v>
      </c>
      <c r="F1391" s="2" t="str">
        <f>IFERROR(__xludf.DUMMYFUNCTION("REGEXEXTRACT(C1391, ""🏘️ (\w+) \w+ .* ✅"")"),"Louer")</f>
        <v>Louer</v>
      </c>
      <c r="G1391" s="2" t="str">
        <f>IFERROR(__xludf.DUMMYFUNCTION("REGEXEXTRACT(C1391, ""🏘️ \w+ (\w+) .* ✅"")"),"appartement")</f>
        <v>appartement</v>
      </c>
      <c r="H1391" s="4" t="str">
        <f>IFERROR(__xludf.DUMMYFUNCTION("REGEXEXTRACT(A1391, ""/(\w+)-.*?"")"),"lieu")</f>
        <v>lieu</v>
      </c>
      <c r="I1391" s="4" t="str">
        <f>IFERROR(__xludf.DUMMYFUNCTION("if(D1391=""variant"",  substitute(filter(Templates!E:E, Templates!A:A = F1391, Templates!B:B = G1391, Templates!C:C = H1391), ""{{}}"", E1391), B1391)"),"🏘  Vous cherchez un appartement à louer à Breganzona? ✅ Les annonces les plus actuelles sont sur ImmoScout24.ch.")</f>
        <v>🏘  Vous cherchez un appartement à louer à Breganzona? ✅ Les annonces les plus actuelles sont sur ImmoScout24.ch.</v>
      </c>
      <c r="J1391" s="4" t="s">
        <v>4177</v>
      </c>
    </row>
    <row r="1392">
      <c r="A1392" s="5" t="s">
        <v>4178</v>
      </c>
      <c r="B1392" s="2" t="s">
        <v>4179</v>
      </c>
      <c r="C1392" s="4" t="str">
        <f>IFERROR(__xludf.DUMMYFUNCTION("""🏘️ ""&amp;REGEXEXTRACT(B1392, ""^(.*): "")&amp;"" ✅ "" &amp;REGEXEXTRACT(B1392, ""(Trouvez.*)"")"),"🏘️ Vendre appartement Posieux ✅ Trouvez le bien immobilier qui correspond idéalement à vos désirs sur ImmoScout24 - La plateforme de l'immobilier en Suisse.")</f>
        <v>🏘️ Vendre appartement Posieux ✅ Trouvez le bien immobilier qui correspond idéalement à vos désirs sur ImmoScout24 - La plateforme de l'immobilier en Suisse.</v>
      </c>
      <c r="D1392" s="4" t="str">
        <f>vlookup(A1392, Sheet2!D:E, 2, 0)</f>
        <v>variant</v>
      </c>
      <c r="E1392" s="4" t="str">
        <f>IFERROR(__xludf.DUMMYFUNCTION("if(H1392=""pays"",vlookup(REGEXEXTRACT(C1392, ""🏘️ \w+ \w+ (.*) ✅""),'Country prepositions'!A:B, 2, 0) &amp; "" "" &amp; REGEXEXTRACT(C1392, ""🏘️ \w+ \w+ (.*) ✅"") ,  if(H1392=""quartier"",vlookup(REGEXEXTRACT(C1392, ""🏘️ \w+ \w+ (.*) ✅""),'Quartier prepositio"&amp;"ns'!A:E, 5, 0) ,  if(H1392=""region"",vlookup(REGEXEXTRACT(C1392, ""🏘️ \w+ \w+ (.*) ✅""),'Region prepositions'!B:F, 5, 0),  REGEXEXTRACT(C1392, ""🏘️ \w+ \w+ (.*) ✅""))))"),"Posieux")</f>
        <v>Posieux</v>
      </c>
      <c r="F1392" s="2" t="str">
        <f>IFERROR(__xludf.DUMMYFUNCTION("REGEXEXTRACT(C1392, ""🏘️ (\w+) \w+ .* ✅"")"),"Vendre")</f>
        <v>Vendre</v>
      </c>
      <c r="G1392" s="2" t="str">
        <f>IFERROR(__xludf.DUMMYFUNCTION("REGEXEXTRACT(C1392, ""🏘️ \w+ (\w+) .* ✅"")"),"appartement")</f>
        <v>appartement</v>
      </c>
      <c r="H1392" s="4" t="str">
        <f>IFERROR(__xludf.DUMMYFUNCTION("REGEXEXTRACT(A1392, ""/(\w+)-.*?"")"),"lieu")</f>
        <v>lieu</v>
      </c>
      <c r="I1392" s="4" t="str">
        <f>IFERROR(__xludf.DUMMYFUNCTION("if(D1392=""variant"",  substitute(filter(Templates!E:E, Templates!A:A = F1392, Templates!B:B = G1392, Templates!C:C = H1392), ""{{}}"", E1392), B1392)"),"🏘  L’appartement de vos rêves se trouve sur ImmoScout24.ch ✅ Découvrez les dernières annonces de vente à Posieux.")</f>
        <v>🏘  L’appartement de vos rêves se trouve sur ImmoScout24.ch ✅ Découvrez les dernières annonces de vente à Posieux.</v>
      </c>
      <c r="J1392" s="4" t="s">
        <v>4180</v>
      </c>
    </row>
    <row r="1393">
      <c r="A1393" s="5" t="s">
        <v>4181</v>
      </c>
      <c r="B1393" s="2" t="s">
        <v>4182</v>
      </c>
      <c r="C1393" s="4" t="str">
        <f>IFERROR(__xludf.DUMMYFUNCTION("""🏘️ ""&amp;REGEXEXTRACT(B1393, ""^(.*): "")&amp;"" ✅ "" &amp;REGEXEXTRACT(B1393, ""(Trouvez.*)"")"),"🏘️ Louer maison Aigle - Alpes Vaudoises ✅ Trouvez le bien immobilier qui correspond idéalement à vos désirs sur ImmoScout24 - La plateforme de l'immobilier en Suisse.")</f>
        <v>🏘️ Louer maison Aigle - Alpes Vaudoises ✅ Trouvez le bien immobilier qui correspond idéalement à vos désirs sur ImmoScout24 - La plateforme de l'immobilier en Suisse.</v>
      </c>
      <c r="D1393" s="4" t="str">
        <f>vlookup(A1393, Sheet2!D:E, 2, 0)</f>
        <v>variant</v>
      </c>
      <c r="E1393" s="4" t="str">
        <f>IFERROR(__xludf.DUMMYFUNCTION("if(H1393=""pays"",vlookup(REGEXEXTRACT(C1393, ""🏘️ \w+ \w+ (.*) ✅""),'Country prepositions'!A:B, 2, 0) &amp; "" "" &amp; REGEXEXTRACT(C1393, ""🏘️ \w+ \w+ (.*) ✅"") ,  if(H1393=""quartier"",vlookup(REGEXEXTRACT(C1393, ""🏘️ \w+ \w+ (.*) ✅""),'Quartier prepositio"&amp;"ns'!A:E, 5, 0) ,  if(H1393=""region"",vlookup(REGEXEXTRACT(C1393, ""🏘️ \w+ \w+ (.*) ✅""),'Region prepositions'!B:F, 5, 0),  REGEXEXTRACT(C1393, ""🏘️ \w+ \w+ (.*) ✅""))))"),"dans la région d'Aigle - Alpes vaudoises")</f>
        <v>dans la région d'Aigle - Alpes vaudoises</v>
      </c>
      <c r="F1393" s="2" t="str">
        <f>IFERROR(__xludf.DUMMYFUNCTION("REGEXEXTRACT(C1393, ""🏘️ (\w+) \w+ .* ✅"")"),"Louer")</f>
        <v>Louer</v>
      </c>
      <c r="G1393" s="2" t="str">
        <f>IFERROR(__xludf.DUMMYFUNCTION("REGEXEXTRACT(C1393, ""🏘️ \w+ (\w+) .* ✅"")"),"maison")</f>
        <v>maison</v>
      </c>
      <c r="H1393" s="4" t="str">
        <f>IFERROR(__xludf.DUMMYFUNCTION("REGEXEXTRACT(A1393, ""/(\w+)-.*?"")"),"region")</f>
        <v>region</v>
      </c>
      <c r="I1393" s="4" t="str">
        <f>IFERROR(__xludf.DUMMYFUNCTION("if(D1393=""variant"",  substitute(filter(Templates!E:E, Templates!A:A = F1393, Templates!B:B = G1393, Templates!C:C = H1393), ""{{}}"", E1393), B1393)"),"🏘  Vous cherchez une maison à louer dans la région d'Aigle - Alpes vaudoises? ✅ Découvrez nos nombreuses annonces sur ImmoScout24.ch.")</f>
        <v>🏘  Vous cherchez une maison à louer dans la région d'Aigle - Alpes vaudoises? ✅ Découvrez nos nombreuses annonces sur ImmoScout24.ch.</v>
      </c>
      <c r="J1393" s="4" t="s">
        <v>4183</v>
      </c>
    </row>
    <row r="1394">
      <c r="A1394" s="5" t="s">
        <v>4184</v>
      </c>
      <c r="B1394" s="2" t="s">
        <v>4185</v>
      </c>
      <c r="C1394" s="4" t="str">
        <f>IFERROR(__xludf.DUMMYFUNCTION("""🏘️ ""&amp;REGEXEXTRACT(B1394, ""^(.*): "")&amp;"" ✅ "" &amp;REGEXEXTRACT(B1394, ""(Trouvez.*)"")"),"🏘️ Louer appartement La Garde (Sembrancher) ✅ Trouvez le bien immobilier qui correspond idéalement à vos désirs sur ImmoScout24 - La plateforme de l'immobilier en Suisse.")</f>
        <v>🏘️ Louer appartement La Garde (Sembrancher) ✅ Trouvez le bien immobilier qui correspond idéalement à vos désirs sur ImmoScout24 - La plateforme de l'immobilier en Suisse.</v>
      </c>
      <c r="D1394" s="4" t="str">
        <f>vlookup(A1394, Sheet2!D:E, 2, 0)</f>
        <v>variant</v>
      </c>
      <c r="E1394" s="4" t="str">
        <f>IFERROR(__xludf.DUMMYFUNCTION("if(H1394=""pays"",vlookup(REGEXEXTRACT(C1394, ""🏘️ \w+ \w+ (.*) ✅""),'Country prepositions'!A:B, 2, 0) &amp; "" "" &amp; REGEXEXTRACT(C1394, ""🏘️ \w+ \w+ (.*) ✅"") ,  if(H1394=""quartier"",vlookup(REGEXEXTRACT(C1394, ""🏘️ \w+ \w+ (.*) ✅""),'Quartier prepositio"&amp;"ns'!A:E, 5, 0) ,  if(H1394=""region"",vlookup(REGEXEXTRACT(C1394, ""🏘️ \w+ \w+ (.*) ✅""),'Region prepositions'!B:F, 5, 0),  REGEXEXTRACT(C1394, ""🏘️ \w+ \w+ (.*) ✅""))))"),"La Garde (Sembrancher)")</f>
        <v>La Garde (Sembrancher)</v>
      </c>
      <c r="F1394" s="2" t="str">
        <f>IFERROR(__xludf.DUMMYFUNCTION("REGEXEXTRACT(C1394, ""🏘️ (\w+) \w+ .* ✅"")"),"Louer")</f>
        <v>Louer</v>
      </c>
      <c r="G1394" s="2" t="str">
        <f>IFERROR(__xludf.DUMMYFUNCTION("REGEXEXTRACT(C1394, ""🏘️ \w+ (\w+) .* ✅"")"),"appartement")</f>
        <v>appartement</v>
      </c>
      <c r="H1394" s="4" t="str">
        <f>IFERROR(__xludf.DUMMYFUNCTION("REGEXEXTRACT(A1394, ""/(\w+)-.*?"")"),"lieu")</f>
        <v>lieu</v>
      </c>
      <c r="I1394" s="4" t="str">
        <f>IFERROR(__xludf.DUMMYFUNCTION("if(D1394=""variant"",  substitute(filter(Templates!E:E, Templates!A:A = F1394, Templates!B:B = G1394, Templates!C:C = H1394), ""{{}}"", E1394), B1394)"),"🏘  Vous cherchez un appartement à louer à La Garde (Sembrancher)? ✅ Les annonces les plus actuelles sont sur ImmoScout24.ch.")</f>
        <v>🏘  Vous cherchez un appartement à louer à La Garde (Sembrancher)? ✅ Les annonces les plus actuelles sont sur ImmoScout24.ch.</v>
      </c>
      <c r="J1394" s="4" t="s">
        <v>4186</v>
      </c>
    </row>
    <row r="1395">
      <c r="A1395" s="5" t="s">
        <v>4187</v>
      </c>
      <c r="B1395" s="2" t="s">
        <v>4188</v>
      </c>
      <c r="C1395" s="4" t="str">
        <f>IFERROR(__xludf.DUMMYFUNCTION("""🏘️ ""&amp;REGEXEXTRACT(B1395, ""^(.*): "")&amp;"" ✅ "" &amp;REGEXEXTRACT(B1395, ""(Trouvez.*)"")"),"🏘️ Louer appartement Senarclens ✅ Trouvez le bien immobilier qui correspond idéalement à vos désirs sur ImmoScout24 - La plateforme de l'immobilier en Suisse.")</f>
        <v>🏘️ Louer appartement Senarclens ✅ Trouvez le bien immobilier qui correspond idéalement à vos désirs sur ImmoScout24 - La plateforme de l'immobilier en Suisse.</v>
      </c>
      <c r="D1395" s="4" t="str">
        <f>vlookup(A1395, Sheet2!D:E, 2, 0)</f>
        <v>variant</v>
      </c>
      <c r="E1395" s="4" t="str">
        <f>IFERROR(__xludf.DUMMYFUNCTION("if(H1395=""pays"",vlookup(REGEXEXTRACT(C1395, ""🏘️ \w+ \w+ (.*) ✅""),'Country prepositions'!A:B, 2, 0) &amp; "" "" &amp; REGEXEXTRACT(C1395, ""🏘️ \w+ \w+ (.*) ✅"") ,  if(H1395=""quartier"",vlookup(REGEXEXTRACT(C1395, ""🏘️ \w+ \w+ (.*) ✅""),'Quartier prepositio"&amp;"ns'!A:E, 5, 0) ,  if(H1395=""region"",vlookup(REGEXEXTRACT(C1395, ""🏘️ \w+ \w+ (.*) ✅""),'Region prepositions'!B:F, 5, 0),  REGEXEXTRACT(C1395, ""🏘️ \w+ \w+ (.*) ✅""))))"),"Senarclens")</f>
        <v>Senarclens</v>
      </c>
      <c r="F1395" s="2" t="str">
        <f>IFERROR(__xludf.DUMMYFUNCTION("REGEXEXTRACT(C1395, ""🏘️ (\w+) \w+ .* ✅"")"),"Louer")</f>
        <v>Louer</v>
      </c>
      <c r="G1395" s="2" t="str">
        <f>IFERROR(__xludf.DUMMYFUNCTION("REGEXEXTRACT(C1395, ""🏘️ \w+ (\w+) .* ✅"")"),"appartement")</f>
        <v>appartement</v>
      </c>
      <c r="H1395" s="4" t="str">
        <f>IFERROR(__xludf.DUMMYFUNCTION("REGEXEXTRACT(A1395, ""/(\w+)-.*?"")"),"lieu")</f>
        <v>lieu</v>
      </c>
      <c r="I1395" s="4" t="str">
        <f>IFERROR(__xludf.DUMMYFUNCTION("if(D1395=""variant"",  substitute(filter(Templates!E:E, Templates!A:A = F1395, Templates!B:B = G1395, Templates!C:C = H1395), ""{{}}"", E1395), B1395)"),"🏘  Vous cherchez un appartement à louer à Senarclens? ✅ Les annonces les plus actuelles sont sur ImmoScout24.ch.")</f>
        <v>🏘  Vous cherchez un appartement à louer à Senarclens? ✅ Les annonces les plus actuelles sont sur ImmoScout24.ch.</v>
      </c>
      <c r="J1395" s="4" t="s">
        <v>4189</v>
      </c>
    </row>
    <row r="1396">
      <c r="A1396" s="5" t="s">
        <v>4190</v>
      </c>
      <c r="B1396" s="2" t="s">
        <v>4191</v>
      </c>
      <c r="C1396" s="4" t="str">
        <f>IFERROR(__xludf.DUMMYFUNCTION("""🏘️ ""&amp;REGEXEXTRACT(B1396, ""^(.*): "")&amp;"" ✅ "" &amp;REGEXEXTRACT(B1396, ""(Trouvez.*)"")"),"🏘️ Louer appartement Neuchâtel ✅ Trouvez le bien immobilier qui correspond idéalement à vos désirs sur ImmoScout24 - La plateforme de l'immobilier en Suisse.")</f>
        <v>🏘️ Louer appartement Neuchâtel ✅ Trouvez le bien immobilier qui correspond idéalement à vos désirs sur ImmoScout24 - La plateforme de l'immobilier en Suisse.</v>
      </c>
      <c r="D1396" s="4" t="str">
        <f>vlookup(A1396, Sheet2!D:E, 2, 0)</f>
        <v>variant</v>
      </c>
      <c r="E1396" s="4" t="str">
        <f>IFERROR(__xludf.DUMMYFUNCTION("if(H1396=""pays"",vlookup(REGEXEXTRACT(C1396, ""🏘️ \w+ \w+ (.*) ✅""),'Country prepositions'!A:B, 2, 0) &amp; "" "" &amp; REGEXEXTRACT(C1396, ""🏘️ \w+ \w+ (.*) ✅"") ,  if(H1396=""quartier"",vlookup(REGEXEXTRACT(C1396, ""🏘️ \w+ \w+ (.*) ✅""),'Quartier prepositio"&amp;"ns'!A:E, 5, 0) ,  if(H1396=""region"",vlookup(REGEXEXTRACT(C1396, ""🏘️ \w+ \w+ (.*) ✅""),'Region prepositions'!B:F, 5, 0),  REGEXEXTRACT(C1396, ""🏘️ \w+ \w+ (.*) ✅""))))"),"Neuchâtel")</f>
        <v>Neuchâtel</v>
      </c>
      <c r="F1396" s="2" t="str">
        <f>IFERROR(__xludf.DUMMYFUNCTION("REGEXEXTRACT(C1396, ""🏘️ (\w+) \w+ .* ✅"")"),"Louer")</f>
        <v>Louer</v>
      </c>
      <c r="G1396" s="2" t="str">
        <f>IFERROR(__xludf.DUMMYFUNCTION("REGEXEXTRACT(C1396, ""🏘️ \w+ (\w+) .* ✅"")"),"appartement")</f>
        <v>appartement</v>
      </c>
      <c r="H1396" s="4" t="str">
        <f>IFERROR(__xludf.DUMMYFUNCTION("REGEXEXTRACT(A1396, ""/(\w+)-.*?"")"),"lieu")</f>
        <v>lieu</v>
      </c>
      <c r="I1396" s="4" t="str">
        <f>IFERROR(__xludf.DUMMYFUNCTION("if(D1396=""variant"",  substitute(filter(Templates!E:E, Templates!A:A = F1396, Templates!B:B = G1396, Templates!C:C = H1396), ""{{}}"", E1396), B1396)"),"🏘  Vous cherchez un appartement à louer à Neuchâtel? ✅ Les annonces les plus actuelles sont sur ImmoScout24.ch.")</f>
        <v>🏘  Vous cherchez un appartement à louer à Neuchâtel? ✅ Les annonces les plus actuelles sont sur ImmoScout24.ch.</v>
      </c>
      <c r="J1396" s="4" t="s">
        <v>4192</v>
      </c>
    </row>
    <row r="1397">
      <c r="A1397" s="5" t="s">
        <v>4193</v>
      </c>
      <c r="B1397" s="2" t="s">
        <v>4194</v>
      </c>
      <c r="C1397" s="4" t="str">
        <f>IFERROR(__xludf.DUMMYFUNCTION("""🏘️ ""&amp;REGEXEXTRACT(B1397, ""^(.*): "")&amp;"" ✅ "" &amp;REGEXEXTRACT(B1397, ""(Trouvez.*)"")"),"🏘️ Vendre appartement Stalden VS ✅ Trouvez le bien immobilier qui correspond idéalement à vos désirs sur ImmoScout24 - La plateforme de l'immobilier en Suisse.")</f>
        <v>🏘️ Vendre appartement Stalden VS ✅ Trouvez le bien immobilier qui correspond idéalement à vos désirs sur ImmoScout24 - La plateforme de l'immobilier en Suisse.</v>
      </c>
      <c r="D1397" s="4" t="str">
        <f>vlookup(A1397, Sheet2!D:E, 2, 0)</f>
        <v>variant</v>
      </c>
      <c r="E1397" s="4" t="str">
        <f>IFERROR(__xludf.DUMMYFUNCTION("if(H1397=""pays"",vlookup(REGEXEXTRACT(C1397, ""🏘️ \w+ \w+ (.*) ✅""),'Country prepositions'!A:B, 2, 0) &amp; "" "" &amp; REGEXEXTRACT(C1397, ""🏘️ \w+ \w+ (.*) ✅"") ,  if(H1397=""quartier"",vlookup(REGEXEXTRACT(C1397, ""🏘️ \w+ \w+ (.*) ✅""),'Quartier prepositio"&amp;"ns'!A:E, 5, 0) ,  if(H1397=""region"",vlookup(REGEXEXTRACT(C1397, ""🏘️ \w+ \w+ (.*) ✅""),'Region prepositions'!B:F, 5, 0),  REGEXEXTRACT(C1397, ""🏘️ \w+ \w+ (.*) ✅""))))"),"Stalden VS")</f>
        <v>Stalden VS</v>
      </c>
      <c r="F1397" s="2" t="str">
        <f>IFERROR(__xludf.DUMMYFUNCTION("REGEXEXTRACT(C1397, ""🏘️ (\w+) \w+ .* ✅"")"),"Vendre")</f>
        <v>Vendre</v>
      </c>
      <c r="G1397" s="2" t="str">
        <f>IFERROR(__xludf.DUMMYFUNCTION("REGEXEXTRACT(C1397, ""🏘️ \w+ (\w+) .* ✅"")"),"appartement")</f>
        <v>appartement</v>
      </c>
      <c r="H1397" s="4" t="str">
        <f>IFERROR(__xludf.DUMMYFUNCTION("REGEXEXTRACT(A1397, ""/(\w+)-.*?"")"),"lieu")</f>
        <v>lieu</v>
      </c>
      <c r="I1397" s="4" t="str">
        <f>IFERROR(__xludf.DUMMYFUNCTION("if(D1397=""variant"",  substitute(filter(Templates!E:E, Templates!A:A = F1397, Templates!B:B = G1397, Templates!C:C = H1397), ""{{}}"", E1397), B1397)"),"🏘  L’appartement de vos rêves se trouve sur ImmoScout24.ch ✅ Découvrez les dernières annonces de vente à Stalden VS.")</f>
        <v>🏘  L’appartement de vos rêves se trouve sur ImmoScout24.ch ✅ Découvrez les dernières annonces de vente à Stalden VS.</v>
      </c>
      <c r="J1397" s="4" t="s">
        <v>4195</v>
      </c>
    </row>
    <row r="1398">
      <c r="A1398" s="5" t="s">
        <v>4196</v>
      </c>
      <c r="B1398" s="2" t="s">
        <v>4197</v>
      </c>
      <c r="C1398" s="4" t="str">
        <f>IFERROR(__xludf.DUMMYFUNCTION("""🏘️ ""&amp;REGEXEXTRACT(B1398, ""^(.*): "")&amp;"" ✅ "" &amp;REGEXEXTRACT(B1398, ""(Trouvez.*)"")"),"🏘️ Vendre appartement Boll ✅ Trouvez le bien immobilier qui correspond idéalement à vos désirs sur ImmoScout24 - La plateforme de l'immobilier en Suisse.")</f>
        <v>🏘️ Vendre appartement Boll ✅ Trouvez le bien immobilier qui correspond idéalement à vos désirs sur ImmoScout24 - La plateforme de l'immobilier en Suisse.</v>
      </c>
      <c r="D1398" s="4" t="str">
        <f>vlookup(A1398, Sheet2!D:E, 2, 0)</f>
        <v>variant</v>
      </c>
      <c r="E1398" s="4" t="str">
        <f>IFERROR(__xludf.DUMMYFUNCTION("if(H1398=""pays"",vlookup(REGEXEXTRACT(C1398, ""🏘️ \w+ \w+ (.*) ✅""),'Country prepositions'!A:B, 2, 0) &amp; "" "" &amp; REGEXEXTRACT(C1398, ""🏘️ \w+ \w+ (.*) ✅"") ,  if(H1398=""quartier"",vlookup(REGEXEXTRACT(C1398, ""🏘️ \w+ \w+ (.*) ✅""),'Quartier prepositio"&amp;"ns'!A:E, 5, 0) ,  if(H1398=""region"",vlookup(REGEXEXTRACT(C1398, ""🏘️ \w+ \w+ (.*) ✅""),'Region prepositions'!B:F, 5, 0),  REGEXEXTRACT(C1398, ""🏘️ \w+ \w+ (.*) ✅""))))"),"Boll")</f>
        <v>Boll</v>
      </c>
      <c r="F1398" s="2" t="str">
        <f>IFERROR(__xludf.DUMMYFUNCTION("REGEXEXTRACT(C1398, ""🏘️ (\w+) \w+ .* ✅"")"),"Vendre")</f>
        <v>Vendre</v>
      </c>
      <c r="G1398" s="2" t="str">
        <f>IFERROR(__xludf.DUMMYFUNCTION("REGEXEXTRACT(C1398, ""🏘️ \w+ (\w+) .* ✅"")"),"appartement")</f>
        <v>appartement</v>
      </c>
      <c r="H1398" s="4" t="str">
        <f>IFERROR(__xludf.DUMMYFUNCTION("REGEXEXTRACT(A1398, ""/(\w+)-.*?"")"),"lieu")</f>
        <v>lieu</v>
      </c>
      <c r="I1398" s="4" t="str">
        <f>IFERROR(__xludf.DUMMYFUNCTION("if(D1398=""variant"",  substitute(filter(Templates!E:E, Templates!A:A = F1398, Templates!B:B = G1398, Templates!C:C = H1398), ""{{}}"", E1398), B1398)"),"🏘  L’appartement de vos rêves se trouve sur ImmoScout24.ch ✅ Découvrez les dernières annonces de vente à Boll.")</f>
        <v>🏘  L’appartement de vos rêves se trouve sur ImmoScout24.ch ✅ Découvrez les dernières annonces de vente à Boll.</v>
      </c>
      <c r="J1398" s="4" t="s">
        <v>4198</v>
      </c>
    </row>
    <row r="1399">
      <c r="A1399" s="5" t="s">
        <v>4199</v>
      </c>
      <c r="B1399" s="2" t="s">
        <v>4200</v>
      </c>
      <c r="C1399" s="4" t="str">
        <f>IFERROR(__xludf.DUMMYFUNCTION("""🏘️ ""&amp;REGEXEXTRACT(B1399, ""^(.*): "")&amp;"" ✅ "" &amp;REGEXEXTRACT(B1399, ""(Trouvez.*)"")"),"🏘️ Vendre appartement Roche VD ✅ Trouvez le bien immobilier qui correspond idéalement à vos désirs sur ImmoScout24 - La plateforme de l'immobilier en Suisse.")</f>
        <v>🏘️ Vendre appartement Roche VD ✅ Trouvez le bien immobilier qui correspond idéalement à vos désirs sur ImmoScout24 - La plateforme de l'immobilier en Suisse.</v>
      </c>
      <c r="D1399" s="4" t="str">
        <f>vlookup(A1399, Sheet2!D:E, 2, 0)</f>
        <v>variant</v>
      </c>
      <c r="E1399" s="4" t="str">
        <f>IFERROR(__xludf.DUMMYFUNCTION("if(H1399=""pays"",vlookup(REGEXEXTRACT(C1399, ""🏘️ \w+ \w+ (.*) ✅""),'Country prepositions'!A:B, 2, 0) &amp; "" "" &amp; REGEXEXTRACT(C1399, ""🏘️ \w+ \w+ (.*) ✅"") ,  if(H1399=""quartier"",vlookup(REGEXEXTRACT(C1399, ""🏘️ \w+ \w+ (.*) ✅""),'Quartier prepositio"&amp;"ns'!A:E, 5, 0) ,  if(H1399=""region"",vlookup(REGEXEXTRACT(C1399, ""🏘️ \w+ \w+ (.*) ✅""),'Region prepositions'!B:F, 5, 0),  REGEXEXTRACT(C1399, ""🏘️ \w+ \w+ (.*) ✅""))))"),"Roche VD")</f>
        <v>Roche VD</v>
      </c>
      <c r="F1399" s="2" t="str">
        <f>IFERROR(__xludf.DUMMYFUNCTION("REGEXEXTRACT(C1399, ""🏘️ (\w+) \w+ .* ✅"")"),"Vendre")</f>
        <v>Vendre</v>
      </c>
      <c r="G1399" s="2" t="str">
        <f>IFERROR(__xludf.DUMMYFUNCTION("REGEXEXTRACT(C1399, ""🏘️ \w+ (\w+) .* ✅"")"),"appartement")</f>
        <v>appartement</v>
      </c>
      <c r="H1399" s="4" t="str">
        <f>IFERROR(__xludf.DUMMYFUNCTION("REGEXEXTRACT(A1399, ""/(\w+)-.*?"")"),"lieu")</f>
        <v>lieu</v>
      </c>
      <c r="I1399" s="4" t="str">
        <f>IFERROR(__xludf.DUMMYFUNCTION("if(D1399=""variant"",  substitute(filter(Templates!E:E, Templates!A:A = F1399, Templates!B:B = G1399, Templates!C:C = H1399), ""{{}}"", E1399), B1399)"),"🏘  L’appartement de vos rêves se trouve sur ImmoScout24.ch ✅ Découvrez les dernières annonces de vente à Roche VD.")</f>
        <v>🏘  L’appartement de vos rêves se trouve sur ImmoScout24.ch ✅ Découvrez les dernières annonces de vente à Roche VD.</v>
      </c>
      <c r="J1399" s="4" t="s">
        <v>4201</v>
      </c>
    </row>
    <row r="1400">
      <c r="A1400" s="5" t="s">
        <v>4202</v>
      </c>
      <c r="B1400" s="2" t="s">
        <v>4203</v>
      </c>
      <c r="C1400" s="4" t="str">
        <f>IFERROR(__xludf.DUMMYFUNCTION("""🏘️ ""&amp;REGEXEXTRACT(B1400, ""^(.*): "")&amp;"" ✅ "" &amp;REGEXEXTRACT(B1400, ""(Trouvez.*)"")"),"🏘️ Vendre maison Hérémence ✅ Trouvez le bien immobilier qui correspond idéalement à vos désirs sur ImmoScout24 - La plateforme de l'immobilier en Suisse.")</f>
        <v>🏘️ Vendre maison Hérémence ✅ Trouvez le bien immobilier qui correspond idéalement à vos désirs sur ImmoScout24 - La plateforme de l'immobilier en Suisse.</v>
      </c>
      <c r="D1400" s="4" t="str">
        <f>vlookup(A1400, Sheet2!D:E, 2, 0)</f>
        <v>variant</v>
      </c>
      <c r="E1400" s="4" t="str">
        <f>IFERROR(__xludf.DUMMYFUNCTION("if(H1400=""pays"",vlookup(REGEXEXTRACT(C1400, ""🏘️ \w+ \w+ (.*) ✅""),'Country prepositions'!A:B, 2, 0) &amp; "" "" &amp; REGEXEXTRACT(C1400, ""🏘️ \w+ \w+ (.*) ✅"") ,  if(H1400=""quartier"",vlookup(REGEXEXTRACT(C1400, ""🏘️ \w+ \w+ (.*) ✅""),'Quartier prepositio"&amp;"ns'!A:E, 5, 0) ,  if(H1400=""region"",vlookup(REGEXEXTRACT(C1400, ""🏘️ \w+ \w+ (.*) ✅""),'Region prepositions'!B:F, 5, 0),  REGEXEXTRACT(C1400, ""🏘️ \w+ \w+ (.*) ✅""))))"),"Hérémence")</f>
        <v>Hérémence</v>
      </c>
      <c r="F1400" s="2" t="str">
        <f>IFERROR(__xludf.DUMMYFUNCTION("REGEXEXTRACT(C1400, ""🏘️ (\w+) \w+ .* ✅"")"),"Vendre")</f>
        <v>Vendre</v>
      </c>
      <c r="G1400" s="2" t="str">
        <f>IFERROR(__xludf.DUMMYFUNCTION("REGEXEXTRACT(C1400, ""🏘️ \w+ (\w+) .* ✅"")"),"maison")</f>
        <v>maison</v>
      </c>
      <c r="H1400" s="4" t="str">
        <f>IFERROR(__xludf.DUMMYFUNCTION("REGEXEXTRACT(A1400, ""/(\w+)-.*?"")"),"lieu")</f>
        <v>lieu</v>
      </c>
      <c r="I1400" s="4" t="str">
        <f>IFERROR(__xludf.DUMMYFUNCTION("if(D1400=""variant"",  substitute(filter(Templates!E:E, Templates!A:A = F1400, Templates!B:B = G1400, Templates!C:C = H1400), ""{{}}"", E1400), B1400)"),"🏘  Vous souhaitez acheter une maison à Hérémence? ✅ Jetez un œil aux dernières offres sur ImmoScout24.ch.")</f>
        <v>🏘  Vous souhaitez acheter une maison à Hérémence? ✅ Jetez un œil aux dernières offres sur ImmoScout24.ch.</v>
      </c>
      <c r="J1400" s="4" t="s">
        <v>4204</v>
      </c>
    </row>
    <row r="1401">
      <c r="A1401" s="5" t="s">
        <v>4205</v>
      </c>
      <c r="B1401" s="2" t="s">
        <v>4206</v>
      </c>
      <c r="C1401" s="4" t="str">
        <f>IFERROR(__xludf.DUMMYFUNCTION("""🏘️ ""&amp;REGEXEXTRACT(B1401, ""^(.*): "")&amp;"" ✅ "" &amp;REGEXEXTRACT(B1401, ""(Trouvez.*)"")"),"🏘️ Louer appartement Siselen BE ✅ Trouvez le bien immobilier qui correspond idéalement à vos désirs sur ImmoScout24 - La plateforme de l'immobilier en Suisse.")</f>
        <v>🏘️ Louer appartement Siselen BE ✅ Trouvez le bien immobilier qui correspond idéalement à vos désirs sur ImmoScout24 - La plateforme de l'immobilier en Suisse.</v>
      </c>
      <c r="D1401" s="4" t="str">
        <f>vlookup(A1401, Sheet2!D:E, 2, 0)</f>
        <v>variant</v>
      </c>
      <c r="E1401" s="4" t="str">
        <f>IFERROR(__xludf.DUMMYFUNCTION("if(H1401=""pays"",vlookup(REGEXEXTRACT(C1401, ""🏘️ \w+ \w+ (.*) ✅""),'Country prepositions'!A:B, 2, 0) &amp; "" "" &amp; REGEXEXTRACT(C1401, ""🏘️ \w+ \w+ (.*) ✅"") ,  if(H1401=""quartier"",vlookup(REGEXEXTRACT(C1401, ""🏘️ \w+ \w+ (.*) ✅""),'Quartier prepositio"&amp;"ns'!A:E, 5, 0) ,  if(H1401=""region"",vlookup(REGEXEXTRACT(C1401, ""🏘️ \w+ \w+ (.*) ✅""),'Region prepositions'!B:F, 5, 0),  REGEXEXTRACT(C1401, ""🏘️ \w+ \w+ (.*) ✅""))))"),"Siselen BE")</f>
        <v>Siselen BE</v>
      </c>
      <c r="F1401" s="2" t="str">
        <f>IFERROR(__xludf.DUMMYFUNCTION("REGEXEXTRACT(C1401, ""🏘️ (\w+) \w+ .* ✅"")"),"Louer")</f>
        <v>Louer</v>
      </c>
      <c r="G1401" s="2" t="str">
        <f>IFERROR(__xludf.DUMMYFUNCTION("REGEXEXTRACT(C1401, ""🏘️ \w+ (\w+) .* ✅"")"),"appartement")</f>
        <v>appartement</v>
      </c>
      <c r="H1401" s="4" t="str">
        <f>IFERROR(__xludf.DUMMYFUNCTION("REGEXEXTRACT(A1401, ""/(\w+)-.*?"")"),"lieu")</f>
        <v>lieu</v>
      </c>
      <c r="I1401" s="4" t="str">
        <f>IFERROR(__xludf.DUMMYFUNCTION("if(D1401=""variant"",  substitute(filter(Templates!E:E, Templates!A:A = F1401, Templates!B:B = G1401, Templates!C:C = H1401), ""{{}}"", E1401), B1401)"),"🏘  Vous cherchez un appartement à louer à Siselen BE? ✅ Les annonces les plus actuelles sont sur ImmoScout24.ch.")</f>
        <v>🏘  Vous cherchez un appartement à louer à Siselen BE? ✅ Les annonces les plus actuelles sont sur ImmoScout24.ch.</v>
      </c>
      <c r="J1401" s="4" t="s">
        <v>4207</v>
      </c>
    </row>
    <row r="1402">
      <c r="A1402" s="5" t="s">
        <v>4208</v>
      </c>
      <c r="B1402" s="2" t="s">
        <v>4209</v>
      </c>
      <c r="C1402" s="4" t="str">
        <f>IFERROR(__xludf.DUMMYFUNCTION("""🏘️ ""&amp;REGEXEXTRACT(B1402, ""^(.*): "")&amp;"" ✅ "" &amp;REGEXEXTRACT(B1402, ""(Trouvez.*)"")"),"🏘️ Vendre maison Peccia ✅ Trouvez le bien immobilier qui correspond idéalement à vos désirs sur ImmoScout24 - La plateforme de l'immobilier en Suisse.")</f>
        <v>🏘️ Vendre maison Peccia ✅ Trouvez le bien immobilier qui correspond idéalement à vos désirs sur ImmoScout24 - La plateforme de l'immobilier en Suisse.</v>
      </c>
      <c r="D1402" s="4" t="str">
        <f>vlookup(A1402, Sheet2!D:E, 2, 0)</f>
        <v>variant</v>
      </c>
      <c r="E1402" s="4" t="str">
        <f>IFERROR(__xludf.DUMMYFUNCTION("if(H1402=""pays"",vlookup(REGEXEXTRACT(C1402, ""🏘️ \w+ \w+ (.*) ✅""),'Country prepositions'!A:B, 2, 0) &amp; "" "" &amp; REGEXEXTRACT(C1402, ""🏘️ \w+ \w+ (.*) ✅"") ,  if(H1402=""quartier"",vlookup(REGEXEXTRACT(C1402, ""🏘️ \w+ \w+ (.*) ✅""),'Quartier prepositio"&amp;"ns'!A:E, 5, 0) ,  if(H1402=""region"",vlookup(REGEXEXTRACT(C1402, ""🏘️ \w+ \w+ (.*) ✅""),'Region prepositions'!B:F, 5, 0),  REGEXEXTRACT(C1402, ""🏘️ \w+ \w+ (.*) ✅""))))"),"Peccia")</f>
        <v>Peccia</v>
      </c>
      <c r="F1402" s="2" t="str">
        <f>IFERROR(__xludf.DUMMYFUNCTION("REGEXEXTRACT(C1402, ""🏘️ (\w+) \w+ .* ✅"")"),"Vendre")</f>
        <v>Vendre</v>
      </c>
      <c r="G1402" s="2" t="str">
        <f>IFERROR(__xludf.DUMMYFUNCTION("REGEXEXTRACT(C1402, ""🏘️ \w+ (\w+) .* ✅"")"),"maison")</f>
        <v>maison</v>
      </c>
      <c r="H1402" s="4" t="str">
        <f>IFERROR(__xludf.DUMMYFUNCTION("REGEXEXTRACT(A1402, ""/(\w+)-.*?"")"),"lieu")</f>
        <v>lieu</v>
      </c>
      <c r="I1402" s="4" t="str">
        <f>IFERROR(__xludf.DUMMYFUNCTION("if(D1402=""variant"",  substitute(filter(Templates!E:E, Templates!A:A = F1402, Templates!B:B = G1402, Templates!C:C = H1402), ""{{}}"", E1402), B1402)"),"🏘  Vous souhaitez acheter une maison à Peccia? ✅ Jetez un œil aux dernières offres sur ImmoScout24.ch.")</f>
        <v>🏘  Vous souhaitez acheter une maison à Peccia? ✅ Jetez un œil aux dernières offres sur ImmoScout24.ch.</v>
      </c>
      <c r="J1402" s="4" t="s">
        <v>4210</v>
      </c>
    </row>
    <row r="1403">
      <c r="A1403" s="5" t="s">
        <v>4211</v>
      </c>
      <c r="B1403" s="2" t="s">
        <v>4212</v>
      </c>
      <c r="C1403" s="4" t="str">
        <f>IFERROR(__xludf.DUMMYFUNCTION("""🏘️ ""&amp;REGEXEXTRACT(B1403, ""^(.*): "")&amp;"" ✅ "" &amp;REGEXEXTRACT(B1403, ""(Trouvez.*)"")"),"🏘️ Louer appartement Ferreyres ✅ Trouvez le bien immobilier qui correspond idéalement à vos désirs sur ImmoScout24 - La plateforme de l'immobilier en Suisse.")</f>
        <v>🏘️ Louer appartement Ferreyres ✅ Trouvez le bien immobilier qui correspond idéalement à vos désirs sur ImmoScout24 - La plateforme de l'immobilier en Suisse.</v>
      </c>
      <c r="D1403" s="4" t="str">
        <f>vlookup(A1403, Sheet2!D:E, 2, 0)</f>
        <v>variant</v>
      </c>
      <c r="E1403" s="4" t="str">
        <f>IFERROR(__xludf.DUMMYFUNCTION("if(H1403=""pays"",vlookup(REGEXEXTRACT(C1403, ""🏘️ \w+ \w+ (.*) ✅""),'Country prepositions'!A:B, 2, 0) &amp; "" "" &amp; REGEXEXTRACT(C1403, ""🏘️ \w+ \w+ (.*) ✅"") ,  if(H1403=""quartier"",vlookup(REGEXEXTRACT(C1403, ""🏘️ \w+ \w+ (.*) ✅""),'Quartier prepositio"&amp;"ns'!A:E, 5, 0) ,  if(H1403=""region"",vlookup(REGEXEXTRACT(C1403, ""🏘️ \w+ \w+ (.*) ✅""),'Region prepositions'!B:F, 5, 0),  REGEXEXTRACT(C1403, ""🏘️ \w+ \w+ (.*) ✅""))))"),"Ferreyres")</f>
        <v>Ferreyres</v>
      </c>
      <c r="F1403" s="2" t="str">
        <f>IFERROR(__xludf.DUMMYFUNCTION("REGEXEXTRACT(C1403, ""🏘️ (\w+) \w+ .* ✅"")"),"Louer")</f>
        <v>Louer</v>
      </c>
      <c r="G1403" s="2" t="str">
        <f>IFERROR(__xludf.DUMMYFUNCTION("REGEXEXTRACT(C1403, ""🏘️ \w+ (\w+) .* ✅"")"),"appartement")</f>
        <v>appartement</v>
      </c>
      <c r="H1403" s="4" t="str">
        <f>IFERROR(__xludf.DUMMYFUNCTION("REGEXEXTRACT(A1403, ""/(\w+)-.*?"")"),"lieu")</f>
        <v>lieu</v>
      </c>
      <c r="I1403" s="4" t="str">
        <f>IFERROR(__xludf.DUMMYFUNCTION("if(D1403=""variant"",  substitute(filter(Templates!E:E, Templates!A:A = F1403, Templates!B:B = G1403, Templates!C:C = H1403), ""{{}}"", E1403), B1403)"),"🏘  Vous cherchez un appartement à louer à Ferreyres? ✅ Les annonces les plus actuelles sont sur ImmoScout24.ch.")</f>
        <v>🏘  Vous cherchez un appartement à louer à Ferreyres? ✅ Les annonces les plus actuelles sont sur ImmoScout24.ch.</v>
      </c>
      <c r="J1403" s="4" t="s">
        <v>4213</v>
      </c>
    </row>
    <row r="1404">
      <c r="A1404" s="5" t="s">
        <v>4214</v>
      </c>
      <c r="B1404" s="2" t="s">
        <v>4215</v>
      </c>
      <c r="C1404" s="4" t="str">
        <f>IFERROR(__xludf.DUMMYFUNCTION("""🏘️ ""&amp;REGEXEXTRACT(B1404, ""^(.*): "")&amp;"" ✅ "" &amp;REGEXEXTRACT(B1404, ""(Trouvez.*)"")"),"🏘️ Vendre maison Pieterlen ✅ Trouvez le bien immobilier qui correspond idéalement à vos désirs sur ImmoScout24 - La plateforme de l'immobilier en Suisse.")</f>
        <v>🏘️ Vendre maison Pieterlen ✅ Trouvez le bien immobilier qui correspond idéalement à vos désirs sur ImmoScout24 - La plateforme de l'immobilier en Suisse.</v>
      </c>
      <c r="D1404" s="4" t="str">
        <f>vlookup(A1404, Sheet2!D:E, 2, 0)</f>
        <v>variant</v>
      </c>
      <c r="E1404" s="4" t="str">
        <f>IFERROR(__xludf.DUMMYFUNCTION("if(H1404=""pays"",vlookup(REGEXEXTRACT(C1404, ""🏘️ \w+ \w+ (.*) ✅""),'Country prepositions'!A:B, 2, 0) &amp; "" "" &amp; REGEXEXTRACT(C1404, ""🏘️ \w+ \w+ (.*) ✅"") ,  if(H1404=""quartier"",vlookup(REGEXEXTRACT(C1404, ""🏘️ \w+ \w+ (.*) ✅""),'Quartier prepositio"&amp;"ns'!A:E, 5, 0) ,  if(H1404=""region"",vlookup(REGEXEXTRACT(C1404, ""🏘️ \w+ \w+ (.*) ✅""),'Region prepositions'!B:F, 5, 0),  REGEXEXTRACT(C1404, ""🏘️ \w+ \w+ (.*) ✅""))))"),"Pieterlen")</f>
        <v>Pieterlen</v>
      </c>
      <c r="F1404" s="2" t="str">
        <f>IFERROR(__xludf.DUMMYFUNCTION("REGEXEXTRACT(C1404, ""🏘️ (\w+) \w+ .* ✅"")"),"Vendre")</f>
        <v>Vendre</v>
      </c>
      <c r="G1404" s="2" t="str">
        <f>IFERROR(__xludf.DUMMYFUNCTION("REGEXEXTRACT(C1404, ""🏘️ \w+ (\w+) .* ✅"")"),"maison")</f>
        <v>maison</v>
      </c>
      <c r="H1404" s="4" t="str">
        <f>IFERROR(__xludf.DUMMYFUNCTION("REGEXEXTRACT(A1404, ""/(\w+)-.*?"")"),"lieu")</f>
        <v>lieu</v>
      </c>
      <c r="I1404" s="4" t="str">
        <f>IFERROR(__xludf.DUMMYFUNCTION("if(D1404=""variant"",  substitute(filter(Templates!E:E, Templates!A:A = F1404, Templates!B:B = G1404, Templates!C:C = H1404), ""{{}}"", E1404), B1404)"),"🏘  Vous souhaitez acheter une maison à Pieterlen? ✅ Jetez un œil aux dernières offres sur ImmoScout24.ch.")</f>
        <v>🏘  Vous souhaitez acheter une maison à Pieterlen? ✅ Jetez un œil aux dernières offres sur ImmoScout24.ch.</v>
      </c>
      <c r="J1404" s="4" t="s">
        <v>4216</v>
      </c>
    </row>
    <row r="1405">
      <c r="A1405" s="5" t="s">
        <v>4217</v>
      </c>
      <c r="B1405" s="2" t="s">
        <v>4218</v>
      </c>
      <c r="C1405" s="4" t="str">
        <f>IFERROR(__xludf.DUMMYFUNCTION("""🏘️ ""&amp;REGEXEXTRACT(B1405, ""^(.*): "")&amp;"" ✅ "" &amp;REGEXEXTRACT(B1405, ""(Trouvez.*)"")"),"🏘️ Louer appartement Weinfelden ✅ Trouvez le bien immobilier qui correspond idéalement à vos désirs sur ImmoScout24 - La plateforme de l'immobilier en Suisse.")</f>
        <v>🏘️ Louer appartement Weinfelden ✅ Trouvez le bien immobilier qui correspond idéalement à vos désirs sur ImmoScout24 - La plateforme de l'immobilier en Suisse.</v>
      </c>
      <c r="D1405" s="4" t="str">
        <f>vlookup(A1405, Sheet2!D:E, 2, 0)</f>
        <v>variant</v>
      </c>
      <c r="E1405" s="4" t="str">
        <f>IFERROR(__xludf.DUMMYFUNCTION("if(H1405=""pays"",vlookup(REGEXEXTRACT(C1405, ""🏘️ \w+ \w+ (.*) ✅""),'Country prepositions'!A:B, 2, 0) &amp; "" "" &amp; REGEXEXTRACT(C1405, ""🏘️ \w+ \w+ (.*) ✅"") ,  if(H1405=""quartier"",vlookup(REGEXEXTRACT(C1405, ""🏘️ \w+ \w+ (.*) ✅""),'Quartier prepositio"&amp;"ns'!A:E, 5, 0) ,  if(H1405=""region"",vlookup(REGEXEXTRACT(C1405, ""🏘️ \w+ \w+ (.*) ✅""),'Region prepositions'!B:F, 5, 0),  REGEXEXTRACT(C1405, ""🏘️ \w+ \w+ (.*) ✅""))))"),"Weinfelden")</f>
        <v>Weinfelden</v>
      </c>
      <c r="F1405" s="2" t="str">
        <f>IFERROR(__xludf.DUMMYFUNCTION("REGEXEXTRACT(C1405, ""🏘️ (\w+) \w+ .* ✅"")"),"Louer")</f>
        <v>Louer</v>
      </c>
      <c r="G1405" s="2" t="str">
        <f>IFERROR(__xludf.DUMMYFUNCTION("REGEXEXTRACT(C1405, ""🏘️ \w+ (\w+) .* ✅"")"),"appartement")</f>
        <v>appartement</v>
      </c>
      <c r="H1405" s="4" t="str">
        <f>IFERROR(__xludf.DUMMYFUNCTION("REGEXEXTRACT(A1405, ""/(\w+)-.*?"")"),"lieu")</f>
        <v>lieu</v>
      </c>
      <c r="I1405" s="4" t="str">
        <f>IFERROR(__xludf.DUMMYFUNCTION("if(D1405=""variant"",  substitute(filter(Templates!E:E, Templates!A:A = F1405, Templates!B:B = G1405, Templates!C:C = H1405), ""{{}}"", E1405), B1405)"),"🏘  Vous cherchez un appartement à louer à Weinfelden? ✅ Les annonces les plus actuelles sont sur ImmoScout24.ch.")</f>
        <v>🏘  Vous cherchez un appartement à louer à Weinfelden? ✅ Les annonces les plus actuelles sont sur ImmoScout24.ch.</v>
      </c>
      <c r="J1405" s="4" t="s">
        <v>4219</v>
      </c>
    </row>
    <row r="1406">
      <c r="A1406" s="5" t="s">
        <v>4220</v>
      </c>
      <c r="B1406" s="2" t="s">
        <v>4221</v>
      </c>
      <c r="C1406" s="4" t="str">
        <f>IFERROR(__xludf.DUMMYFUNCTION("""🏘️ ""&amp;REGEXEXTRACT(B1406, ""^(.*): "")&amp;"" ✅ "" &amp;REGEXEXTRACT(B1406, ""(Trouvez.*)"")"),"🏘️ Vendre maison Costa Rica ✅ Trouvez le bien immobilier qui correspond idéalement à vos désirs sur ImmoScout24 - La plateforme de l'immobilier en Suisse.")</f>
        <v>🏘️ Vendre maison Costa Rica ✅ Trouvez le bien immobilier qui correspond idéalement à vos désirs sur ImmoScout24 - La plateforme de l'immobilier en Suisse.</v>
      </c>
      <c r="D1406" s="4" t="str">
        <f>vlookup(A1406, Sheet2!D:E, 2, 0)</f>
        <v>variant</v>
      </c>
      <c r="E1406" s="4" t="str">
        <f>IFERROR(__xludf.DUMMYFUNCTION("if(H1406=""pays"",vlookup(REGEXEXTRACT(C1406, ""🏘️ \w+ \w+ (.*) ✅""),'Country prepositions'!A:B, 2, 0) &amp; "" "" &amp; REGEXEXTRACT(C1406, ""🏘️ \w+ \w+ (.*) ✅"") ,  if(H1406=""quartier"",vlookup(REGEXEXTRACT(C1406, ""🏘️ \w+ \w+ (.*) ✅""),'Quartier prepositio"&amp;"ns'!A:E, 5, 0) ,  if(H1406=""region"",vlookup(REGEXEXTRACT(C1406, ""🏘️ \w+ \w+ (.*) ✅""),'Region prepositions'!B:F, 5, 0),  REGEXEXTRACT(C1406, ""🏘️ \w+ \w+ (.*) ✅""))))"),"au Costa Rica")</f>
        <v>au Costa Rica</v>
      </c>
      <c r="F1406" s="2" t="str">
        <f>IFERROR(__xludf.DUMMYFUNCTION("REGEXEXTRACT(C1406, ""🏘️ (\w+) \w+ .* ✅"")"),"Vendre")</f>
        <v>Vendre</v>
      </c>
      <c r="G1406" s="2" t="str">
        <f>IFERROR(__xludf.DUMMYFUNCTION("REGEXEXTRACT(C1406, ""🏘️ \w+ (\w+) .* ✅"")"),"maison")</f>
        <v>maison</v>
      </c>
      <c r="H1406" s="4" t="str">
        <f>IFERROR(__xludf.DUMMYFUNCTION("REGEXEXTRACT(A1406, ""/(\w+)-.*?"")"),"pays")</f>
        <v>pays</v>
      </c>
      <c r="I1406" s="4" t="str">
        <f>IFERROR(__xludf.DUMMYFUNCTION("if(D1406=""variant"",  substitute(filter(Templates!E:E, Templates!A:A = F1406, Templates!B:B = G1406, Templates!C:C = H1406), ""{{}}"", E1406), B1406)"),"🏘  Vous cherchez un appartement à louer au Costa Rica? ✅ Les annonces les plus actuelles sont sur ImmoScout24.ch.")</f>
        <v>🏘  Vous cherchez un appartement à louer au Costa Rica? ✅ Les annonces les plus actuelles sont sur ImmoScout24.ch.</v>
      </c>
      <c r="J1406" s="4" t="s">
        <v>4222</v>
      </c>
    </row>
    <row r="1407">
      <c r="A1407" s="5" t="s">
        <v>4223</v>
      </c>
      <c r="B1407" s="2" t="s">
        <v>4224</v>
      </c>
      <c r="C1407" s="4" t="str">
        <f>IFERROR(__xludf.DUMMYFUNCTION("""🏘️ ""&amp;REGEXEXTRACT(B1407, ""^(.*): "")&amp;"" ✅ "" &amp;REGEXEXTRACT(B1407, ""(Trouvez.*)"")"),"🏘️ Vendre maison Liddes ✅ Trouvez le bien immobilier qui correspond idéalement à vos désirs sur ImmoScout24 - La plateforme de l'immobilier en Suisse.")</f>
        <v>🏘️ Vendre maison Liddes ✅ Trouvez le bien immobilier qui correspond idéalement à vos désirs sur ImmoScout24 - La plateforme de l'immobilier en Suisse.</v>
      </c>
      <c r="D1407" s="4" t="str">
        <f>vlookup(A1407, Sheet2!D:E, 2, 0)</f>
        <v>variant</v>
      </c>
      <c r="E1407" s="4" t="str">
        <f>IFERROR(__xludf.DUMMYFUNCTION("if(H1407=""pays"",vlookup(REGEXEXTRACT(C1407, ""🏘️ \w+ \w+ (.*) ✅""),'Country prepositions'!A:B, 2, 0) &amp; "" "" &amp; REGEXEXTRACT(C1407, ""🏘️ \w+ \w+ (.*) ✅"") ,  if(H1407=""quartier"",vlookup(REGEXEXTRACT(C1407, ""🏘️ \w+ \w+ (.*) ✅""),'Quartier prepositio"&amp;"ns'!A:E, 5, 0) ,  if(H1407=""region"",vlookup(REGEXEXTRACT(C1407, ""🏘️ \w+ \w+ (.*) ✅""),'Region prepositions'!B:F, 5, 0),  REGEXEXTRACT(C1407, ""🏘️ \w+ \w+ (.*) ✅""))))"),"Liddes")</f>
        <v>Liddes</v>
      </c>
      <c r="F1407" s="2" t="str">
        <f>IFERROR(__xludf.DUMMYFUNCTION("REGEXEXTRACT(C1407, ""🏘️ (\w+) \w+ .* ✅"")"),"Vendre")</f>
        <v>Vendre</v>
      </c>
      <c r="G1407" s="2" t="str">
        <f>IFERROR(__xludf.DUMMYFUNCTION("REGEXEXTRACT(C1407, ""🏘️ \w+ (\w+) .* ✅"")"),"maison")</f>
        <v>maison</v>
      </c>
      <c r="H1407" s="4" t="str">
        <f>IFERROR(__xludf.DUMMYFUNCTION("REGEXEXTRACT(A1407, ""/(\w+)-.*?"")"),"lieu")</f>
        <v>lieu</v>
      </c>
      <c r="I1407" s="4" t="str">
        <f>IFERROR(__xludf.DUMMYFUNCTION("if(D1407=""variant"",  substitute(filter(Templates!E:E, Templates!A:A = F1407, Templates!B:B = G1407, Templates!C:C = H1407), ""{{}}"", E1407), B1407)"),"🏘  Vous souhaitez acheter une maison à Liddes? ✅ Jetez un œil aux dernières offres sur ImmoScout24.ch.")</f>
        <v>🏘  Vous souhaitez acheter une maison à Liddes? ✅ Jetez un œil aux dernières offres sur ImmoScout24.ch.</v>
      </c>
      <c r="J1407" s="4" t="s">
        <v>4225</v>
      </c>
    </row>
    <row r="1408">
      <c r="A1408" s="5" t="s">
        <v>4226</v>
      </c>
      <c r="B1408" s="2" t="s">
        <v>4227</v>
      </c>
      <c r="C1408" s="4" t="str">
        <f>IFERROR(__xludf.DUMMYFUNCTION("""🏘️ ""&amp;REGEXEXTRACT(B1408, ""^(.*): "")&amp;"" ✅ "" &amp;REGEXEXTRACT(B1408, ""(Trouvez.*)"")"),"🏘️ Louer maison Binningen ✅ Trouvez le bien immobilier qui correspond idéalement à vos désirs sur ImmoScout24 - La plateforme de l'immobilier en Suisse.")</f>
        <v>🏘️ Louer maison Binningen ✅ Trouvez le bien immobilier qui correspond idéalement à vos désirs sur ImmoScout24 - La plateforme de l'immobilier en Suisse.</v>
      </c>
      <c r="D1408" s="4" t="str">
        <f>vlookup(A1408, Sheet2!D:E, 2, 0)</f>
        <v>variant</v>
      </c>
      <c r="E1408" s="4" t="str">
        <f>IFERROR(__xludf.DUMMYFUNCTION("if(H1408=""pays"",vlookup(REGEXEXTRACT(C1408, ""🏘️ \w+ \w+ (.*) ✅""),'Country prepositions'!A:B, 2, 0) &amp; "" "" &amp; REGEXEXTRACT(C1408, ""🏘️ \w+ \w+ (.*) ✅"") ,  if(H1408=""quartier"",vlookup(REGEXEXTRACT(C1408, ""🏘️ \w+ \w+ (.*) ✅""),'Quartier prepositio"&amp;"ns'!A:E, 5, 0) ,  if(H1408=""region"",vlookup(REGEXEXTRACT(C1408, ""🏘️ \w+ \w+ (.*) ✅""),'Region prepositions'!B:F, 5, 0),  REGEXEXTRACT(C1408, ""🏘️ \w+ \w+ (.*) ✅""))))"),"Binningen")</f>
        <v>Binningen</v>
      </c>
      <c r="F1408" s="2" t="str">
        <f>IFERROR(__xludf.DUMMYFUNCTION("REGEXEXTRACT(C1408, ""🏘️ (\w+) \w+ .* ✅"")"),"Louer")</f>
        <v>Louer</v>
      </c>
      <c r="G1408" s="2" t="str">
        <f>IFERROR(__xludf.DUMMYFUNCTION("REGEXEXTRACT(C1408, ""🏘️ \w+ (\w+) .* ✅"")"),"maison")</f>
        <v>maison</v>
      </c>
      <c r="H1408" s="4" t="str">
        <f>IFERROR(__xludf.DUMMYFUNCTION("REGEXEXTRACT(A1408, ""/(\w+)-.*?"")"),"lieu")</f>
        <v>lieu</v>
      </c>
      <c r="I1408" s="4" t="str">
        <f>IFERROR(__xludf.DUMMYFUNCTION("if(D1408=""variant"",  substitute(filter(Templates!E:E, Templates!A:A = F1408, Templates!B:B = G1408, Templates!C:C = H1408), ""{{}}"", E1408), B1408)"),"🏘  Vous cherchez une maison à louer à Binningen? ✅ Découvrez nos nombreuses annonces sur ImmoScout24.ch.")</f>
        <v>🏘  Vous cherchez une maison à louer à Binningen? ✅ Découvrez nos nombreuses annonces sur ImmoScout24.ch.</v>
      </c>
      <c r="J1408" s="4" t="s">
        <v>4228</v>
      </c>
    </row>
    <row r="1409">
      <c r="A1409" s="5" t="s">
        <v>4229</v>
      </c>
      <c r="B1409" s="2" t="s">
        <v>4230</v>
      </c>
      <c r="C1409" s="4" t="str">
        <f>IFERROR(__xludf.DUMMYFUNCTION("""🏘️ ""&amp;REGEXEXTRACT(B1409, ""^(.*): "")&amp;"" ✅ "" &amp;REGEXEXTRACT(B1409, ""(Trouvez.*)"")"),"🏘️ Vendre maison St-Pierre-de-Clages ✅ Trouvez le bien immobilier qui correspond idéalement à vos désirs sur ImmoScout24 - La plateforme de l'immobilier en Suisse.")</f>
        <v>🏘️ Vendre maison St-Pierre-de-Clages ✅ Trouvez le bien immobilier qui correspond idéalement à vos désirs sur ImmoScout24 - La plateforme de l'immobilier en Suisse.</v>
      </c>
      <c r="D1409" s="4" t="str">
        <f>vlookup(A1409, Sheet2!D:E, 2, 0)</f>
        <v>variant</v>
      </c>
      <c r="E1409" s="4" t="str">
        <f>IFERROR(__xludf.DUMMYFUNCTION("if(H1409=""pays"",vlookup(REGEXEXTRACT(C1409, ""🏘️ \w+ \w+ (.*) ✅""),'Country prepositions'!A:B, 2, 0) &amp; "" "" &amp; REGEXEXTRACT(C1409, ""🏘️ \w+ \w+ (.*) ✅"") ,  if(H1409=""quartier"",vlookup(REGEXEXTRACT(C1409, ""🏘️ \w+ \w+ (.*) ✅""),'Quartier prepositio"&amp;"ns'!A:E, 5, 0) ,  if(H1409=""region"",vlookup(REGEXEXTRACT(C1409, ""🏘️ \w+ \w+ (.*) ✅""),'Region prepositions'!B:F, 5, 0),  REGEXEXTRACT(C1409, ""🏘️ \w+ \w+ (.*) ✅""))))"),"St-Pierre-de-Clages")</f>
        <v>St-Pierre-de-Clages</v>
      </c>
      <c r="F1409" s="2" t="str">
        <f>IFERROR(__xludf.DUMMYFUNCTION("REGEXEXTRACT(C1409, ""🏘️ (\w+) \w+ .* ✅"")"),"Vendre")</f>
        <v>Vendre</v>
      </c>
      <c r="G1409" s="2" t="str">
        <f>IFERROR(__xludf.DUMMYFUNCTION("REGEXEXTRACT(C1409, ""🏘️ \w+ (\w+) .* ✅"")"),"maison")</f>
        <v>maison</v>
      </c>
      <c r="H1409" s="4" t="str">
        <f>IFERROR(__xludf.DUMMYFUNCTION("REGEXEXTRACT(A1409, ""/(\w+)-.*?"")"),"lieu")</f>
        <v>lieu</v>
      </c>
      <c r="I1409" s="4" t="str">
        <f>IFERROR(__xludf.DUMMYFUNCTION("if(D1409=""variant"",  substitute(filter(Templates!E:E, Templates!A:A = F1409, Templates!B:B = G1409, Templates!C:C = H1409), ""{{}}"", E1409), B1409)"),"🏘  Vous souhaitez acheter une maison à St-Pierre-de-Clages? ✅ Jetez un œil aux dernières offres sur ImmoScout24.ch.")</f>
        <v>🏘  Vous souhaitez acheter une maison à St-Pierre-de-Clages? ✅ Jetez un œil aux dernières offres sur ImmoScout24.ch.</v>
      </c>
      <c r="J1409" s="4" t="s">
        <v>4231</v>
      </c>
    </row>
    <row r="1410">
      <c r="A1410" s="5" t="s">
        <v>4232</v>
      </c>
      <c r="B1410" s="2" t="s">
        <v>4233</v>
      </c>
      <c r="C1410" s="4" t="str">
        <f>IFERROR(__xludf.DUMMYFUNCTION("""🏘️ ""&amp;REGEXEXTRACT(B1410, ""^(.*): "")&amp;"" ✅ "" &amp;REGEXEXTRACT(B1410, ""(Trouvez.*)"")"),"🏘️ Vendre maison Courtaman ✅ Trouvez le bien immobilier qui correspond idéalement à vos désirs sur ImmoScout24 - La plateforme de l'immobilier en Suisse.")</f>
        <v>🏘️ Vendre maison Courtaman ✅ Trouvez le bien immobilier qui correspond idéalement à vos désirs sur ImmoScout24 - La plateforme de l'immobilier en Suisse.</v>
      </c>
      <c r="D1410" s="4" t="str">
        <f>vlookup(A1410, Sheet2!D:E, 2, 0)</f>
        <v>variant</v>
      </c>
      <c r="E1410" s="4" t="str">
        <f>IFERROR(__xludf.DUMMYFUNCTION("if(H1410=""pays"",vlookup(REGEXEXTRACT(C1410, ""🏘️ \w+ \w+ (.*) ✅""),'Country prepositions'!A:B, 2, 0) &amp; "" "" &amp; REGEXEXTRACT(C1410, ""🏘️ \w+ \w+ (.*) ✅"") ,  if(H1410=""quartier"",vlookup(REGEXEXTRACT(C1410, ""🏘️ \w+ \w+ (.*) ✅""),'Quartier prepositio"&amp;"ns'!A:E, 5, 0) ,  if(H1410=""region"",vlookup(REGEXEXTRACT(C1410, ""🏘️ \w+ \w+ (.*) ✅""),'Region prepositions'!B:F, 5, 0),  REGEXEXTRACT(C1410, ""🏘️ \w+ \w+ (.*) ✅""))))"),"Courtaman")</f>
        <v>Courtaman</v>
      </c>
      <c r="F1410" s="2" t="str">
        <f>IFERROR(__xludf.DUMMYFUNCTION("REGEXEXTRACT(C1410, ""🏘️ (\w+) \w+ .* ✅"")"),"Vendre")</f>
        <v>Vendre</v>
      </c>
      <c r="G1410" s="2" t="str">
        <f>IFERROR(__xludf.DUMMYFUNCTION("REGEXEXTRACT(C1410, ""🏘️ \w+ (\w+) .* ✅"")"),"maison")</f>
        <v>maison</v>
      </c>
      <c r="H1410" s="4" t="str">
        <f>IFERROR(__xludf.DUMMYFUNCTION("REGEXEXTRACT(A1410, ""/(\w+)-.*?"")"),"lieu")</f>
        <v>lieu</v>
      </c>
      <c r="I1410" s="4" t="str">
        <f>IFERROR(__xludf.DUMMYFUNCTION("if(D1410=""variant"",  substitute(filter(Templates!E:E, Templates!A:A = F1410, Templates!B:B = G1410, Templates!C:C = H1410), ""{{}}"", E1410), B1410)"),"🏘  Vous souhaitez acheter une maison à Courtaman? ✅ Jetez un œil aux dernières offres sur ImmoScout24.ch.")</f>
        <v>🏘  Vous souhaitez acheter une maison à Courtaman? ✅ Jetez un œil aux dernières offres sur ImmoScout24.ch.</v>
      </c>
      <c r="J1410" s="4" t="s">
        <v>4234</v>
      </c>
    </row>
    <row r="1411">
      <c r="A1411" s="5" t="s">
        <v>4235</v>
      </c>
      <c r="B1411" s="2" t="s">
        <v>4236</v>
      </c>
      <c r="C1411" s="4" t="str">
        <f>IFERROR(__xludf.DUMMYFUNCTION("""🏘️ ""&amp;REGEXEXTRACT(B1411, ""^(.*): "")&amp;"" ✅ "" &amp;REGEXEXTRACT(B1411, ""(Trouvez.*)"")"),"🏘️ Vendre maison Comano ✅ Trouvez le bien immobilier qui correspond idéalement à vos désirs sur ImmoScout24 - La plateforme de l'immobilier en Suisse.")</f>
        <v>🏘️ Vendre maison Comano ✅ Trouvez le bien immobilier qui correspond idéalement à vos désirs sur ImmoScout24 - La plateforme de l'immobilier en Suisse.</v>
      </c>
      <c r="D1411" s="4" t="str">
        <f>vlookup(A1411, Sheet2!D:E, 2, 0)</f>
        <v>variant</v>
      </c>
      <c r="E1411" s="4" t="str">
        <f>IFERROR(__xludf.DUMMYFUNCTION("if(H1411=""pays"",vlookup(REGEXEXTRACT(C1411, ""🏘️ \w+ \w+ (.*) ✅""),'Country prepositions'!A:B, 2, 0) &amp; "" "" &amp; REGEXEXTRACT(C1411, ""🏘️ \w+ \w+ (.*) ✅"") ,  if(H1411=""quartier"",vlookup(REGEXEXTRACT(C1411, ""🏘️ \w+ \w+ (.*) ✅""),'Quartier prepositio"&amp;"ns'!A:E, 5, 0) ,  if(H1411=""region"",vlookup(REGEXEXTRACT(C1411, ""🏘️ \w+ \w+ (.*) ✅""),'Region prepositions'!B:F, 5, 0),  REGEXEXTRACT(C1411, ""🏘️ \w+ \w+ (.*) ✅""))))"),"Comano")</f>
        <v>Comano</v>
      </c>
      <c r="F1411" s="2" t="str">
        <f>IFERROR(__xludf.DUMMYFUNCTION("REGEXEXTRACT(C1411, ""🏘️ (\w+) \w+ .* ✅"")"),"Vendre")</f>
        <v>Vendre</v>
      </c>
      <c r="G1411" s="2" t="str">
        <f>IFERROR(__xludf.DUMMYFUNCTION("REGEXEXTRACT(C1411, ""🏘️ \w+ (\w+) .* ✅"")"),"maison")</f>
        <v>maison</v>
      </c>
      <c r="H1411" s="4" t="str">
        <f>IFERROR(__xludf.DUMMYFUNCTION("REGEXEXTRACT(A1411, ""/(\w+)-.*?"")"),"lieu")</f>
        <v>lieu</v>
      </c>
      <c r="I1411" s="4" t="str">
        <f>IFERROR(__xludf.DUMMYFUNCTION("if(D1411=""variant"",  substitute(filter(Templates!E:E, Templates!A:A = F1411, Templates!B:B = G1411, Templates!C:C = H1411), ""{{}}"", E1411), B1411)"),"🏘  Vous souhaitez acheter une maison à Comano? ✅ Jetez un œil aux dernières offres sur ImmoScout24.ch.")</f>
        <v>🏘  Vous souhaitez acheter une maison à Comano? ✅ Jetez un œil aux dernières offres sur ImmoScout24.ch.</v>
      </c>
      <c r="J1411" s="4" t="s">
        <v>4237</v>
      </c>
    </row>
    <row r="1412">
      <c r="A1412" s="5" t="s">
        <v>4238</v>
      </c>
      <c r="B1412" s="2" t="s">
        <v>4239</v>
      </c>
      <c r="C1412" s="4" t="str">
        <f>IFERROR(__xludf.DUMMYFUNCTION("""🏘️ ""&amp;REGEXEXTRACT(B1412, ""^(.*): "")&amp;"" ✅ "" &amp;REGEXEXTRACT(B1412, ""(Trouvez.*)"")"),"🏘️ Louer appartement Grandson ✅ Trouvez le bien immobilier qui correspond idéalement à vos désirs sur ImmoScout24 - La plateforme de l'immobilier en Suisse.")</f>
        <v>🏘️ Louer appartement Grandson ✅ Trouvez le bien immobilier qui correspond idéalement à vos désirs sur ImmoScout24 - La plateforme de l'immobilier en Suisse.</v>
      </c>
      <c r="D1412" s="4" t="str">
        <f>vlookup(A1412, Sheet2!D:E, 2, 0)</f>
        <v>variant</v>
      </c>
      <c r="E1412" s="4" t="str">
        <f>IFERROR(__xludf.DUMMYFUNCTION("if(H1412=""pays"",vlookup(REGEXEXTRACT(C1412, ""🏘️ \w+ \w+ (.*) ✅""),'Country prepositions'!A:B, 2, 0) &amp; "" "" &amp; REGEXEXTRACT(C1412, ""🏘️ \w+ \w+ (.*) ✅"") ,  if(H1412=""quartier"",vlookup(REGEXEXTRACT(C1412, ""🏘️ \w+ \w+ (.*) ✅""),'Quartier prepositio"&amp;"ns'!A:E, 5, 0) ,  if(H1412=""region"",vlookup(REGEXEXTRACT(C1412, ""🏘️ \w+ \w+ (.*) ✅""),'Region prepositions'!B:F, 5, 0),  REGEXEXTRACT(C1412, ""🏘️ \w+ \w+ (.*) ✅""))))"),"Grandson")</f>
        <v>Grandson</v>
      </c>
      <c r="F1412" s="2" t="str">
        <f>IFERROR(__xludf.DUMMYFUNCTION("REGEXEXTRACT(C1412, ""🏘️ (\w+) \w+ .* ✅"")"),"Louer")</f>
        <v>Louer</v>
      </c>
      <c r="G1412" s="2" t="str">
        <f>IFERROR(__xludf.DUMMYFUNCTION("REGEXEXTRACT(C1412, ""🏘️ \w+ (\w+) .* ✅"")"),"appartement")</f>
        <v>appartement</v>
      </c>
      <c r="H1412" s="4" t="str">
        <f>IFERROR(__xludf.DUMMYFUNCTION("REGEXEXTRACT(A1412, ""/(\w+)-.*?"")"),"lieu")</f>
        <v>lieu</v>
      </c>
      <c r="I1412" s="4" t="str">
        <f>IFERROR(__xludf.DUMMYFUNCTION("if(D1412=""variant"",  substitute(filter(Templates!E:E, Templates!A:A = F1412, Templates!B:B = G1412, Templates!C:C = H1412), ""{{}}"", E1412), B1412)"),"🏘  Vous cherchez un appartement à louer à Grandson? ✅ Les annonces les plus actuelles sont sur ImmoScout24.ch.")</f>
        <v>🏘  Vous cherchez un appartement à louer à Grandson? ✅ Les annonces les plus actuelles sont sur ImmoScout24.ch.</v>
      </c>
      <c r="J1412" s="4" t="s">
        <v>4240</v>
      </c>
    </row>
    <row r="1413">
      <c r="A1413" s="5" t="s">
        <v>4241</v>
      </c>
      <c r="B1413" s="2" t="s">
        <v>4242</v>
      </c>
      <c r="C1413" s="4" t="str">
        <f>IFERROR(__xludf.DUMMYFUNCTION("""🏘️ ""&amp;REGEXEXTRACT(B1413, ""^(.*): "")&amp;"" ✅ "" &amp;REGEXEXTRACT(B1413, ""(Trouvez.*)"")"),"🏘️ Louer appartement Prez-vers-Siviriez ✅ Trouvez le bien immobilier qui correspond idéalement à vos désirs sur ImmoScout24 - La plateforme de l'immobilier en Suisse.")</f>
        <v>🏘️ Louer appartement Prez-vers-Siviriez ✅ Trouvez le bien immobilier qui correspond idéalement à vos désirs sur ImmoScout24 - La plateforme de l'immobilier en Suisse.</v>
      </c>
      <c r="D1413" s="4" t="str">
        <f>vlookup(A1413, Sheet2!D:E, 2, 0)</f>
        <v>variant</v>
      </c>
      <c r="E1413" s="4" t="str">
        <f>IFERROR(__xludf.DUMMYFUNCTION("if(H1413=""pays"",vlookup(REGEXEXTRACT(C1413, ""🏘️ \w+ \w+ (.*) ✅""),'Country prepositions'!A:B, 2, 0) &amp; "" "" &amp; REGEXEXTRACT(C1413, ""🏘️ \w+ \w+ (.*) ✅"") ,  if(H1413=""quartier"",vlookup(REGEXEXTRACT(C1413, ""🏘️ \w+ \w+ (.*) ✅""),'Quartier prepositio"&amp;"ns'!A:E, 5, 0) ,  if(H1413=""region"",vlookup(REGEXEXTRACT(C1413, ""🏘️ \w+ \w+ (.*) ✅""),'Region prepositions'!B:F, 5, 0),  REGEXEXTRACT(C1413, ""🏘️ \w+ \w+ (.*) ✅""))))"),"Prez-vers-Siviriez")</f>
        <v>Prez-vers-Siviriez</v>
      </c>
      <c r="F1413" s="2" t="str">
        <f>IFERROR(__xludf.DUMMYFUNCTION("REGEXEXTRACT(C1413, ""🏘️ (\w+) \w+ .* ✅"")"),"Louer")</f>
        <v>Louer</v>
      </c>
      <c r="G1413" s="2" t="str">
        <f>IFERROR(__xludf.DUMMYFUNCTION("REGEXEXTRACT(C1413, ""🏘️ \w+ (\w+) .* ✅"")"),"appartement")</f>
        <v>appartement</v>
      </c>
      <c r="H1413" s="4" t="str">
        <f>IFERROR(__xludf.DUMMYFUNCTION("REGEXEXTRACT(A1413, ""/(\w+)-.*?"")"),"lieu")</f>
        <v>lieu</v>
      </c>
      <c r="I1413" s="4" t="str">
        <f>IFERROR(__xludf.DUMMYFUNCTION("if(D1413=""variant"",  substitute(filter(Templates!E:E, Templates!A:A = F1413, Templates!B:B = G1413, Templates!C:C = H1413), ""{{}}"", E1413), B1413)"),"🏘  Vous cherchez un appartement à louer à Prez-vers-Siviriez? ✅ Les annonces les plus actuelles sont sur ImmoScout24.ch.")</f>
        <v>🏘  Vous cherchez un appartement à louer à Prez-vers-Siviriez? ✅ Les annonces les plus actuelles sont sur ImmoScout24.ch.</v>
      </c>
      <c r="J1413" s="4" t="s">
        <v>4243</v>
      </c>
    </row>
    <row r="1414">
      <c r="A1414" s="5" t="s">
        <v>4244</v>
      </c>
      <c r="B1414" s="2" t="s">
        <v>4245</v>
      </c>
      <c r="C1414" s="4" t="str">
        <f>IFERROR(__xludf.DUMMYFUNCTION("""🏘️ ""&amp;REGEXEXTRACT(B1414, ""^(.*): "")&amp;"" ✅ "" &amp;REGEXEXTRACT(B1414, ""(Trouvez.*)"")"),"🏘️ Vendre maison Corseaux ✅ Trouvez le bien immobilier qui correspond idéalement à vos désirs sur ImmoScout24 - La plateforme de l'immobilier en Suisse.")</f>
        <v>🏘️ Vendre maison Corseaux ✅ Trouvez le bien immobilier qui correspond idéalement à vos désirs sur ImmoScout24 - La plateforme de l'immobilier en Suisse.</v>
      </c>
      <c r="D1414" s="4" t="str">
        <f>vlookup(A1414, Sheet2!D:E, 2, 0)</f>
        <v>variant</v>
      </c>
      <c r="E1414" s="4" t="str">
        <f>IFERROR(__xludf.DUMMYFUNCTION("if(H1414=""pays"",vlookup(REGEXEXTRACT(C1414, ""🏘️ \w+ \w+ (.*) ✅""),'Country prepositions'!A:B, 2, 0) &amp; "" "" &amp; REGEXEXTRACT(C1414, ""🏘️ \w+ \w+ (.*) ✅"") ,  if(H1414=""quartier"",vlookup(REGEXEXTRACT(C1414, ""🏘️ \w+ \w+ (.*) ✅""),'Quartier prepositio"&amp;"ns'!A:E, 5, 0) ,  if(H1414=""region"",vlookup(REGEXEXTRACT(C1414, ""🏘️ \w+ \w+ (.*) ✅""),'Region prepositions'!B:F, 5, 0),  REGEXEXTRACT(C1414, ""🏘️ \w+ \w+ (.*) ✅""))))"),"Corseaux")</f>
        <v>Corseaux</v>
      </c>
      <c r="F1414" s="2" t="str">
        <f>IFERROR(__xludf.DUMMYFUNCTION("REGEXEXTRACT(C1414, ""🏘️ (\w+) \w+ .* ✅"")"),"Vendre")</f>
        <v>Vendre</v>
      </c>
      <c r="G1414" s="2" t="str">
        <f>IFERROR(__xludf.DUMMYFUNCTION("REGEXEXTRACT(C1414, ""🏘️ \w+ (\w+) .* ✅"")"),"maison")</f>
        <v>maison</v>
      </c>
      <c r="H1414" s="4" t="str">
        <f>IFERROR(__xludf.DUMMYFUNCTION("REGEXEXTRACT(A1414, ""/(\w+)-.*?"")"),"lieu")</f>
        <v>lieu</v>
      </c>
      <c r="I1414" s="4" t="str">
        <f>IFERROR(__xludf.DUMMYFUNCTION("if(D1414=""variant"",  substitute(filter(Templates!E:E, Templates!A:A = F1414, Templates!B:B = G1414, Templates!C:C = H1414), ""{{}}"", E1414), B1414)"),"🏘  Vous souhaitez acheter une maison à Corseaux? ✅ Jetez un œil aux dernières offres sur ImmoScout24.ch.")</f>
        <v>🏘  Vous souhaitez acheter une maison à Corseaux? ✅ Jetez un œil aux dernières offres sur ImmoScout24.ch.</v>
      </c>
      <c r="J1414" s="4" t="s">
        <v>4246</v>
      </c>
    </row>
    <row r="1415">
      <c r="A1415" s="5" t="s">
        <v>4247</v>
      </c>
      <c r="B1415" s="2" t="s">
        <v>4248</v>
      </c>
      <c r="C1415" s="4" t="str">
        <f>IFERROR(__xludf.DUMMYFUNCTION("""🏘️ ""&amp;REGEXEXTRACT(B1415, ""^(.*): "")&amp;"" ✅ "" &amp;REGEXEXTRACT(B1415, ""(Trouvez.*)"")"),"🏘️ Louer maison Froideville ✅ Trouvez le bien immobilier qui correspond idéalement à vos désirs sur ImmoScout24 - La plateforme de l'immobilier en Suisse.")</f>
        <v>🏘️ Louer maison Froideville ✅ Trouvez le bien immobilier qui correspond idéalement à vos désirs sur ImmoScout24 - La plateforme de l'immobilier en Suisse.</v>
      </c>
      <c r="D1415" s="4" t="str">
        <f>vlookup(A1415, Sheet2!D:E, 2, 0)</f>
        <v>variant</v>
      </c>
      <c r="E1415" s="4" t="str">
        <f>IFERROR(__xludf.DUMMYFUNCTION("if(H1415=""pays"",vlookup(REGEXEXTRACT(C1415, ""🏘️ \w+ \w+ (.*) ✅""),'Country prepositions'!A:B, 2, 0) &amp; "" "" &amp; REGEXEXTRACT(C1415, ""🏘️ \w+ \w+ (.*) ✅"") ,  if(H1415=""quartier"",vlookup(REGEXEXTRACT(C1415, ""🏘️ \w+ \w+ (.*) ✅""),'Quartier prepositio"&amp;"ns'!A:E, 5, 0) ,  if(H1415=""region"",vlookup(REGEXEXTRACT(C1415, ""🏘️ \w+ \w+ (.*) ✅""),'Region prepositions'!B:F, 5, 0),  REGEXEXTRACT(C1415, ""🏘️ \w+ \w+ (.*) ✅""))))"),"Froideville")</f>
        <v>Froideville</v>
      </c>
      <c r="F1415" s="2" t="str">
        <f>IFERROR(__xludf.DUMMYFUNCTION("REGEXEXTRACT(C1415, ""🏘️ (\w+) \w+ .* ✅"")"),"Louer")</f>
        <v>Louer</v>
      </c>
      <c r="G1415" s="2" t="str">
        <f>IFERROR(__xludf.DUMMYFUNCTION("REGEXEXTRACT(C1415, ""🏘️ \w+ (\w+) .* ✅"")"),"maison")</f>
        <v>maison</v>
      </c>
      <c r="H1415" s="4" t="str">
        <f>IFERROR(__xludf.DUMMYFUNCTION("REGEXEXTRACT(A1415, ""/(\w+)-.*?"")"),"lieu")</f>
        <v>lieu</v>
      </c>
      <c r="I1415" s="4" t="str">
        <f>IFERROR(__xludf.DUMMYFUNCTION("if(D1415=""variant"",  substitute(filter(Templates!E:E, Templates!A:A = F1415, Templates!B:B = G1415, Templates!C:C = H1415), ""{{}}"", E1415), B1415)"),"🏘  Vous cherchez une maison à louer à Froideville? ✅ Découvrez nos nombreuses annonces sur ImmoScout24.ch.")</f>
        <v>🏘  Vous cherchez une maison à louer à Froideville? ✅ Découvrez nos nombreuses annonces sur ImmoScout24.ch.</v>
      </c>
      <c r="J1415" s="4" t="s">
        <v>4249</v>
      </c>
    </row>
    <row r="1416">
      <c r="A1416" s="5" t="s">
        <v>4250</v>
      </c>
      <c r="B1416" s="2" t="s">
        <v>4251</v>
      </c>
      <c r="C1416" s="4" t="str">
        <f>IFERROR(__xludf.DUMMYFUNCTION("""🏘️ ""&amp;REGEXEXTRACT(B1416, ""^(.*): "")&amp;"" ✅ "" &amp;REGEXEXTRACT(B1416, ""(Trouvez.*)"")"),"🏘️ Louer appartement Rebstein ✅ Trouvez le bien immobilier qui correspond idéalement à vos désirs sur ImmoScout24 - La plateforme de l'immobilier en Suisse.")</f>
        <v>🏘️ Louer appartement Rebstein ✅ Trouvez le bien immobilier qui correspond idéalement à vos désirs sur ImmoScout24 - La plateforme de l'immobilier en Suisse.</v>
      </c>
      <c r="D1416" s="4" t="str">
        <f>vlookup(A1416, Sheet2!D:E, 2, 0)</f>
        <v>variant</v>
      </c>
      <c r="E1416" s="4" t="str">
        <f>IFERROR(__xludf.DUMMYFUNCTION("if(H1416=""pays"",vlookup(REGEXEXTRACT(C1416, ""🏘️ \w+ \w+ (.*) ✅""),'Country prepositions'!A:B, 2, 0) &amp; "" "" &amp; REGEXEXTRACT(C1416, ""🏘️ \w+ \w+ (.*) ✅"") ,  if(H1416=""quartier"",vlookup(REGEXEXTRACT(C1416, ""🏘️ \w+ \w+ (.*) ✅""),'Quartier prepositio"&amp;"ns'!A:E, 5, 0) ,  if(H1416=""region"",vlookup(REGEXEXTRACT(C1416, ""🏘️ \w+ \w+ (.*) ✅""),'Region prepositions'!B:F, 5, 0),  REGEXEXTRACT(C1416, ""🏘️ \w+ \w+ (.*) ✅""))))"),"Rebstein")</f>
        <v>Rebstein</v>
      </c>
      <c r="F1416" s="2" t="str">
        <f>IFERROR(__xludf.DUMMYFUNCTION("REGEXEXTRACT(C1416, ""🏘️ (\w+) \w+ .* ✅"")"),"Louer")</f>
        <v>Louer</v>
      </c>
      <c r="G1416" s="2" t="str">
        <f>IFERROR(__xludf.DUMMYFUNCTION("REGEXEXTRACT(C1416, ""🏘️ \w+ (\w+) .* ✅"")"),"appartement")</f>
        <v>appartement</v>
      </c>
      <c r="H1416" s="4" t="str">
        <f>IFERROR(__xludf.DUMMYFUNCTION("REGEXEXTRACT(A1416, ""/(\w+)-.*?"")"),"lieu")</f>
        <v>lieu</v>
      </c>
      <c r="I1416" s="4" t="str">
        <f>IFERROR(__xludf.DUMMYFUNCTION("if(D1416=""variant"",  substitute(filter(Templates!E:E, Templates!A:A = F1416, Templates!B:B = G1416, Templates!C:C = H1416), ""{{}}"", E1416), B1416)"),"🏘  Vous cherchez un appartement à louer à Rebstein? ✅ Les annonces les plus actuelles sont sur ImmoScout24.ch.")</f>
        <v>🏘  Vous cherchez un appartement à louer à Rebstein? ✅ Les annonces les plus actuelles sont sur ImmoScout24.ch.</v>
      </c>
      <c r="J1416" s="4" t="s">
        <v>4252</v>
      </c>
    </row>
    <row r="1417">
      <c r="A1417" s="5" t="s">
        <v>4253</v>
      </c>
      <c r="B1417" s="2" t="s">
        <v>4254</v>
      </c>
      <c r="C1417" s="4" t="str">
        <f>IFERROR(__xludf.DUMMYFUNCTION("""🏘️ ""&amp;REGEXEXTRACT(B1417, ""^(.*): "")&amp;"" ✅ "" &amp;REGEXEXTRACT(B1417, ""(Trouvez.*)"")"),"🏘️ Louer appartement Fiez ✅ Trouvez le bien immobilier qui correspond idéalement à vos désirs sur ImmoScout24 - La plateforme de l'immobilier en Suisse.")</f>
        <v>🏘️ Louer appartement Fiez ✅ Trouvez le bien immobilier qui correspond idéalement à vos désirs sur ImmoScout24 - La plateforme de l'immobilier en Suisse.</v>
      </c>
      <c r="D1417" s="4" t="str">
        <f>vlookup(A1417, Sheet2!D:E, 2, 0)</f>
        <v>variant</v>
      </c>
      <c r="E1417" s="4" t="str">
        <f>IFERROR(__xludf.DUMMYFUNCTION("if(H1417=""pays"",vlookup(REGEXEXTRACT(C1417, ""🏘️ \w+ \w+ (.*) ✅""),'Country prepositions'!A:B, 2, 0) &amp; "" "" &amp; REGEXEXTRACT(C1417, ""🏘️ \w+ \w+ (.*) ✅"") ,  if(H1417=""quartier"",vlookup(REGEXEXTRACT(C1417, ""🏘️ \w+ \w+ (.*) ✅""),'Quartier prepositio"&amp;"ns'!A:E, 5, 0) ,  if(H1417=""region"",vlookup(REGEXEXTRACT(C1417, ""🏘️ \w+ \w+ (.*) ✅""),'Region prepositions'!B:F, 5, 0),  REGEXEXTRACT(C1417, ""🏘️ \w+ \w+ (.*) ✅""))))"),"Fiez")</f>
        <v>Fiez</v>
      </c>
      <c r="F1417" s="2" t="str">
        <f>IFERROR(__xludf.DUMMYFUNCTION("REGEXEXTRACT(C1417, ""🏘️ (\w+) \w+ .* ✅"")"),"Louer")</f>
        <v>Louer</v>
      </c>
      <c r="G1417" s="2" t="str">
        <f>IFERROR(__xludf.DUMMYFUNCTION("REGEXEXTRACT(C1417, ""🏘️ \w+ (\w+) .* ✅"")"),"appartement")</f>
        <v>appartement</v>
      </c>
      <c r="H1417" s="4" t="str">
        <f>IFERROR(__xludf.DUMMYFUNCTION("REGEXEXTRACT(A1417, ""/(\w+)-.*?"")"),"lieu")</f>
        <v>lieu</v>
      </c>
      <c r="I1417" s="4" t="str">
        <f>IFERROR(__xludf.DUMMYFUNCTION("if(D1417=""variant"",  substitute(filter(Templates!E:E, Templates!A:A = F1417, Templates!B:B = G1417, Templates!C:C = H1417), ""{{}}"", E1417), B1417)"),"🏘  Vous cherchez un appartement à louer à Fiez? ✅ Les annonces les plus actuelles sont sur ImmoScout24.ch.")</f>
        <v>🏘  Vous cherchez un appartement à louer à Fiez? ✅ Les annonces les plus actuelles sont sur ImmoScout24.ch.</v>
      </c>
      <c r="J1417" s="4" t="s">
        <v>4255</v>
      </c>
    </row>
    <row r="1418">
      <c r="A1418" s="5" t="s">
        <v>4256</v>
      </c>
      <c r="B1418" s="2" t="s">
        <v>4257</v>
      </c>
      <c r="C1418" s="4" t="str">
        <f>IFERROR(__xludf.DUMMYFUNCTION("""🏘️ ""&amp;REGEXEXTRACT(B1418, ""^(.*): "")&amp;"" ✅ "" &amp;REGEXEXTRACT(B1418, ""(Trouvez.*)"")"),"🏘️ Louer appartement Suscévaz ✅ Trouvez le bien immobilier qui correspond idéalement à vos désirs sur ImmoScout24 - La plateforme de l'immobilier en Suisse.")</f>
        <v>🏘️ Louer appartement Suscévaz ✅ Trouvez le bien immobilier qui correspond idéalement à vos désirs sur ImmoScout24 - La plateforme de l'immobilier en Suisse.</v>
      </c>
      <c r="D1418" s="4" t="str">
        <f>vlookup(A1418, Sheet2!D:E, 2, 0)</f>
        <v>variant</v>
      </c>
      <c r="E1418" s="4" t="str">
        <f>IFERROR(__xludf.DUMMYFUNCTION("if(H1418=""pays"",vlookup(REGEXEXTRACT(C1418, ""🏘️ \w+ \w+ (.*) ✅""),'Country prepositions'!A:B, 2, 0) &amp; "" "" &amp; REGEXEXTRACT(C1418, ""🏘️ \w+ \w+ (.*) ✅"") ,  if(H1418=""quartier"",vlookup(REGEXEXTRACT(C1418, ""🏘️ \w+ \w+ (.*) ✅""),'Quartier prepositio"&amp;"ns'!A:E, 5, 0) ,  if(H1418=""region"",vlookup(REGEXEXTRACT(C1418, ""🏘️ \w+ \w+ (.*) ✅""),'Region prepositions'!B:F, 5, 0),  REGEXEXTRACT(C1418, ""🏘️ \w+ \w+ (.*) ✅""))))"),"Suscévaz")</f>
        <v>Suscévaz</v>
      </c>
      <c r="F1418" s="2" t="str">
        <f>IFERROR(__xludf.DUMMYFUNCTION("REGEXEXTRACT(C1418, ""🏘️ (\w+) \w+ .* ✅"")"),"Louer")</f>
        <v>Louer</v>
      </c>
      <c r="G1418" s="2" t="str">
        <f>IFERROR(__xludf.DUMMYFUNCTION("REGEXEXTRACT(C1418, ""🏘️ \w+ (\w+) .* ✅"")"),"appartement")</f>
        <v>appartement</v>
      </c>
      <c r="H1418" s="4" t="str">
        <f>IFERROR(__xludf.DUMMYFUNCTION("REGEXEXTRACT(A1418, ""/(\w+)-.*?"")"),"lieu")</f>
        <v>lieu</v>
      </c>
      <c r="I1418" s="4" t="str">
        <f>IFERROR(__xludf.DUMMYFUNCTION("if(D1418=""variant"",  substitute(filter(Templates!E:E, Templates!A:A = F1418, Templates!B:B = G1418, Templates!C:C = H1418), ""{{}}"", E1418), B1418)"),"🏘  Vous cherchez un appartement à louer à Suscévaz? ✅ Les annonces les plus actuelles sont sur ImmoScout24.ch.")</f>
        <v>🏘  Vous cherchez un appartement à louer à Suscévaz? ✅ Les annonces les plus actuelles sont sur ImmoScout24.ch.</v>
      </c>
      <c r="J1418" s="4" t="s">
        <v>4258</v>
      </c>
    </row>
    <row r="1419">
      <c r="A1419" s="5" t="s">
        <v>4259</v>
      </c>
      <c r="B1419" s="2" t="s">
        <v>4260</v>
      </c>
      <c r="C1419" s="4" t="str">
        <f>IFERROR(__xludf.DUMMYFUNCTION("""🏘️ ""&amp;REGEXEXTRACT(B1419, ""^(.*): "")&amp;"" ✅ "" &amp;REGEXEXTRACT(B1419, ""(Trouvez.*)"")"),"🏘️ Louer appartement Charmoille ✅ Trouvez le bien immobilier qui correspond idéalement à vos désirs sur ImmoScout24 - La plateforme de l'immobilier en Suisse.")</f>
        <v>🏘️ Louer appartement Charmoille ✅ Trouvez le bien immobilier qui correspond idéalement à vos désirs sur ImmoScout24 - La plateforme de l'immobilier en Suisse.</v>
      </c>
      <c r="D1419" s="4" t="str">
        <f>vlookup(A1419, Sheet2!D:E, 2, 0)</f>
        <v>variant</v>
      </c>
      <c r="E1419" s="4" t="str">
        <f>IFERROR(__xludf.DUMMYFUNCTION("if(H1419=""pays"",vlookup(REGEXEXTRACT(C1419, ""🏘️ \w+ \w+ (.*) ✅""),'Country prepositions'!A:B, 2, 0) &amp; "" "" &amp; REGEXEXTRACT(C1419, ""🏘️ \w+ \w+ (.*) ✅"") ,  if(H1419=""quartier"",vlookup(REGEXEXTRACT(C1419, ""🏘️ \w+ \w+ (.*) ✅""),'Quartier prepositio"&amp;"ns'!A:E, 5, 0) ,  if(H1419=""region"",vlookup(REGEXEXTRACT(C1419, ""🏘️ \w+ \w+ (.*) ✅""),'Region prepositions'!B:F, 5, 0),  REGEXEXTRACT(C1419, ""🏘️ \w+ \w+ (.*) ✅""))))"),"Charmoille")</f>
        <v>Charmoille</v>
      </c>
      <c r="F1419" s="2" t="str">
        <f>IFERROR(__xludf.DUMMYFUNCTION("REGEXEXTRACT(C1419, ""🏘️ (\w+) \w+ .* ✅"")"),"Louer")</f>
        <v>Louer</v>
      </c>
      <c r="G1419" s="2" t="str">
        <f>IFERROR(__xludf.DUMMYFUNCTION("REGEXEXTRACT(C1419, ""🏘️ \w+ (\w+) .* ✅"")"),"appartement")</f>
        <v>appartement</v>
      </c>
      <c r="H1419" s="4" t="str">
        <f>IFERROR(__xludf.DUMMYFUNCTION("REGEXEXTRACT(A1419, ""/(\w+)-.*?"")"),"lieu")</f>
        <v>lieu</v>
      </c>
      <c r="I1419" s="4" t="str">
        <f>IFERROR(__xludf.DUMMYFUNCTION("if(D1419=""variant"",  substitute(filter(Templates!E:E, Templates!A:A = F1419, Templates!B:B = G1419, Templates!C:C = H1419), ""{{}}"", E1419), B1419)"),"🏘  Vous cherchez un appartement à louer à Charmoille? ✅ Les annonces les plus actuelles sont sur ImmoScout24.ch.")</f>
        <v>🏘  Vous cherchez un appartement à louer à Charmoille? ✅ Les annonces les plus actuelles sont sur ImmoScout24.ch.</v>
      </c>
      <c r="J1419" s="4" t="s">
        <v>4261</v>
      </c>
    </row>
    <row r="1420">
      <c r="A1420" s="5" t="s">
        <v>4262</v>
      </c>
      <c r="B1420" s="2" t="s">
        <v>4263</v>
      </c>
      <c r="C1420" s="4" t="str">
        <f>IFERROR(__xludf.DUMMYFUNCTION("""🏘️ ""&amp;REGEXEXTRACT(B1420, ""^(.*): "")&amp;"" ✅ "" &amp;REGEXEXTRACT(B1420, ""(Trouvez.*)"")"),"🏘️ Louer appartement Ravoire ✅ Trouvez le bien immobilier qui correspond idéalement à vos désirs sur ImmoScout24 - La plateforme de l'immobilier en Suisse.")</f>
        <v>🏘️ Louer appartement Ravoire ✅ Trouvez le bien immobilier qui correspond idéalement à vos désirs sur ImmoScout24 - La plateforme de l'immobilier en Suisse.</v>
      </c>
      <c r="D1420" s="4" t="str">
        <f>vlookup(A1420, Sheet2!D:E, 2, 0)</f>
        <v>variant</v>
      </c>
      <c r="E1420" s="4" t="str">
        <f>IFERROR(__xludf.DUMMYFUNCTION("if(H1420=""pays"",vlookup(REGEXEXTRACT(C1420, ""🏘️ \w+ \w+ (.*) ✅""),'Country prepositions'!A:B, 2, 0) &amp; "" "" &amp; REGEXEXTRACT(C1420, ""🏘️ \w+ \w+ (.*) ✅"") ,  if(H1420=""quartier"",vlookup(REGEXEXTRACT(C1420, ""🏘️ \w+ \w+ (.*) ✅""),'Quartier prepositio"&amp;"ns'!A:E, 5, 0) ,  if(H1420=""region"",vlookup(REGEXEXTRACT(C1420, ""🏘️ \w+ \w+ (.*) ✅""),'Region prepositions'!B:F, 5, 0),  REGEXEXTRACT(C1420, ""🏘️ \w+ \w+ (.*) ✅""))))"),"Ravoire")</f>
        <v>Ravoire</v>
      </c>
      <c r="F1420" s="2" t="str">
        <f>IFERROR(__xludf.DUMMYFUNCTION("REGEXEXTRACT(C1420, ""🏘️ (\w+) \w+ .* ✅"")"),"Louer")</f>
        <v>Louer</v>
      </c>
      <c r="G1420" s="2" t="str">
        <f>IFERROR(__xludf.DUMMYFUNCTION("REGEXEXTRACT(C1420, ""🏘️ \w+ (\w+) .* ✅"")"),"appartement")</f>
        <v>appartement</v>
      </c>
      <c r="H1420" s="4" t="str">
        <f>IFERROR(__xludf.DUMMYFUNCTION("REGEXEXTRACT(A1420, ""/(\w+)-.*?"")"),"lieu")</f>
        <v>lieu</v>
      </c>
      <c r="I1420" s="4" t="str">
        <f>IFERROR(__xludf.DUMMYFUNCTION("if(D1420=""variant"",  substitute(filter(Templates!E:E, Templates!A:A = F1420, Templates!B:B = G1420, Templates!C:C = H1420), ""{{}}"", E1420), B1420)"),"🏘  Vous cherchez un appartement à louer à Ravoire? ✅ Les annonces les plus actuelles sont sur ImmoScout24.ch.")</f>
        <v>🏘  Vous cherchez un appartement à louer à Ravoire? ✅ Les annonces les plus actuelles sont sur ImmoScout24.ch.</v>
      </c>
      <c r="J1420" s="4" t="s">
        <v>4264</v>
      </c>
    </row>
    <row r="1421">
      <c r="A1421" s="5" t="s">
        <v>4265</v>
      </c>
      <c r="B1421" s="2" t="s">
        <v>4266</v>
      </c>
      <c r="C1421" s="4" t="str">
        <f>IFERROR(__xludf.DUMMYFUNCTION("""🏘️ ""&amp;REGEXEXTRACT(B1421, ""^(.*): "")&amp;"" ✅ "" &amp;REGEXEXTRACT(B1421, ""(Trouvez.*)"")"),"🏘️ Vendre maison Mammern ✅ Trouvez le bien immobilier qui correspond idéalement à vos désirs sur ImmoScout24 - La plateforme de l'immobilier en Suisse.")</f>
        <v>🏘️ Vendre maison Mammern ✅ Trouvez le bien immobilier qui correspond idéalement à vos désirs sur ImmoScout24 - La plateforme de l'immobilier en Suisse.</v>
      </c>
      <c r="D1421" s="4" t="str">
        <f>vlookup(A1421, Sheet2!D:E, 2, 0)</f>
        <v>variant</v>
      </c>
      <c r="E1421" s="4" t="str">
        <f>IFERROR(__xludf.DUMMYFUNCTION("if(H1421=""pays"",vlookup(REGEXEXTRACT(C1421, ""🏘️ \w+ \w+ (.*) ✅""),'Country prepositions'!A:B, 2, 0) &amp; "" "" &amp; REGEXEXTRACT(C1421, ""🏘️ \w+ \w+ (.*) ✅"") ,  if(H1421=""quartier"",vlookup(REGEXEXTRACT(C1421, ""🏘️ \w+ \w+ (.*) ✅""),'Quartier prepositio"&amp;"ns'!A:E, 5, 0) ,  if(H1421=""region"",vlookup(REGEXEXTRACT(C1421, ""🏘️ \w+ \w+ (.*) ✅""),'Region prepositions'!B:F, 5, 0),  REGEXEXTRACT(C1421, ""🏘️ \w+ \w+ (.*) ✅""))))"),"Mammern")</f>
        <v>Mammern</v>
      </c>
      <c r="F1421" s="2" t="str">
        <f>IFERROR(__xludf.DUMMYFUNCTION("REGEXEXTRACT(C1421, ""🏘️ (\w+) \w+ .* ✅"")"),"Vendre")</f>
        <v>Vendre</v>
      </c>
      <c r="G1421" s="2" t="str">
        <f>IFERROR(__xludf.DUMMYFUNCTION("REGEXEXTRACT(C1421, ""🏘️ \w+ (\w+) .* ✅"")"),"maison")</f>
        <v>maison</v>
      </c>
      <c r="H1421" s="4" t="str">
        <f>IFERROR(__xludf.DUMMYFUNCTION("REGEXEXTRACT(A1421, ""/(\w+)-.*?"")"),"lieu")</f>
        <v>lieu</v>
      </c>
      <c r="I1421" s="4" t="str">
        <f>IFERROR(__xludf.DUMMYFUNCTION("if(D1421=""variant"",  substitute(filter(Templates!E:E, Templates!A:A = F1421, Templates!B:B = G1421, Templates!C:C = H1421), ""{{}}"", E1421), B1421)"),"🏘  Vous souhaitez acheter une maison à Mammern? ✅ Jetez un œil aux dernières offres sur ImmoScout24.ch.")</f>
        <v>🏘  Vous souhaitez acheter une maison à Mammern? ✅ Jetez un œil aux dernières offres sur ImmoScout24.ch.</v>
      </c>
      <c r="J1421" s="4" t="s">
        <v>4267</v>
      </c>
    </row>
    <row r="1422">
      <c r="A1422" s="5" t="s">
        <v>4268</v>
      </c>
      <c r="B1422" s="2" t="s">
        <v>4269</v>
      </c>
      <c r="C1422" s="4" t="str">
        <f>IFERROR(__xludf.DUMMYFUNCTION("""🏘️ ""&amp;REGEXEXTRACT(B1422, ""^(.*): "")&amp;"" ✅ "" &amp;REGEXEXTRACT(B1422, ""(Trouvez.*)"")"),"🏘️ Vendre appartement Le Châble VS ✅ Trouvez le bien immobilier qui correspond idéalement à vos désirs sur ImmoScout24 - La plateforme de l'immobilier en Suisse.")</f>
        <v>🏘️ Vendre appartement Le Châble VS ✅ Trouvez le bien immobilier qui correspond idéalement à vos désirs sur ImmoScout24 - La plateforme de l'immobilier en Suisse.</v>
      </c>
      <c r="D1422" s="4" t="str">
        <f>vlookup(A1422, Sheet2!D:E, 2, 0)</f>
        <v>variant</v>
      </c>
      <c r="E1422" s="4" t="str">
        <f>IFERROR(__xludf.DUMMYFUNCTION("if(H1422=""pays"",vlookup(REGEXEXTRACT(C1422, ""🏘️ \w+ \w+ (.*) ✅""),'Country prepositions'!A:B, 2, 0) &amp; "" "" &amp; REGEXEXTRACT(C1422, ""🏘️ \w+ \w+ (.*) ✅"") ,  if(H1422=""quartier"",vlookup(REGEXEXTRACT(C1422, ""🏘️ \w+ \w+ (.*) ✅""),'Quartier prepositio"&amp;"ns'!A:E, 5, 0) ,  if(H1422=""region"",vlookup(REGEXEXTRACT(C1422, ""🏘️ \w+ \w+ (.*) ✅""),'Region prepositions'!B:F, 5, 0),  REGEXEXTRACT(C1422, ""🏘️ \w+ \w+ (.*) ✅""))))"),"Le Châble VS")</f>
        <v>Le Châble VS</v>
      </c>
      <c r="F1422" s="2" t="str">
        <f>IFERROR(__xludf.DUMMYFUNCTION("REGEXEXTRACT(C1422, ""🏘️ (\w+) \w+ .* ✅"")"),"Vendre")</f>
        <v>Vendre</v>
      </c>
      <c r="G1422" s="2" t="str">
        <f>IFERROR(__xludf.DUMMYFUNCTION("REGEXEXTRACT(C1422, ""🏘️ \w+ (\w+) .* ✅"")"),"appartement")</f>
        <v>appartement</v>
      </c>
      <c r="H1422" s="4" t="str">
        <f>IFERROR(__xludf.DUMMYFUNCTION("REGEXEXTRACT(A1422, ""/(\w+)-.*?"")"),"lieu")</f>
        <v>lieu</v>
      </c>
      <c r="I1422" s="4" t="str">
        <f>IFERROR(__xludf.DUMMYFUNCTION("if(D1422=""variant"",  substitute(filter(Templates!E:E, Templates!A:A = F1422, Templates!B:B = G1422, Templates!C:C = H1422), ""{{}}"", E1422), B1422)"),"🏘  L’appartement de vos rêves se trouve sur ImmoScout24.ch ✅ Découvrez les dernières annonces de vente à Le Châble VS.")</f>
        <v>🏘  L’appartement de vos rêves se trouve sur ImmoScout24.ch ✅ Découvrez les dernières annonces de vente à Le Châble VS.</v>
      </c>
      <c r="J1422" s="2" t="s">
        <v>4270</v>
      </c>
    </row>
    <row r="1423">
      <c r="A1423" s="5" t="s">
        <v>4271</v>
      </c>
      <c r="B1423" s="2" t="s">
        <v>4272</v>
      </c>
      <c r="C1423" s="4" t="str">
        <f>IFERROR(__xludf.DUMMYFUNCTION("""🏘️ ""&amp;REGEXEXTRACT(B1423, ""^(.*): "")&amp;"" ✅ "" &amp;REGEXEXTRACT(B1423, ""(Trouvez.*)"")"),"🏘️ Vendre maison Thônex ✅ Trouvez le bien immobilier qui correspond idéalement à vos désirs sur ImmoScout24 - La plateforme de l'immobilier en Suisse.")</f>
        <v>🏘️ Vendre maison Thônex ✅ Trouvez le bien immobilier qui correspond idéalement à vos désirs sur ImmoScout24 - La plateforme de l'immobilier en Suisse.</v>
      </c>
      <c r="D1423" s="4" t="str">
        <f>vlookup(A1423, Sheet2!D:E, 2, 0)</f>
        <v>variant</v>
      </c>
      <c r="E1423" s="4" t="str">
        <f>IFERROR(__xludf.DUMMYFUNCTION("if(H1423=""pays"",vlookup(REGEXEXTRACT(C1423, ""🏘️ \w+ \w+ (.*) ✅""),'Country prepositions'!A:B, 2, 0) &amp; "" "" &amp; REGEXEXTRACT(C1423, ""🏘️ \w+ \w+ (.*) ✅"") ,  if(H1423=""quartier"",vlookup(REGEXEXTRACT(C1423, ""🏘️ \w+ \w+ (.*) ✅""),'Quartier prepositio"&amp;"ns'!A:E, 5, 0) ,  if(H1423=""region"",vlookup(REGEXEXTRACT(C1423, ""🏘️ \w+ \w+ (.*) ✅""),'Region prepositions'!B:F, 5, 0),  REGEXEXTRACT(C1423, ""🏘️ \w+ \w+ (.*) ✅""))))"),"Thônex")</f>
        <v>Thônex</v>
      </c>
      <c r="F1423" s="2" t="str">
        <f>IFERROR(__xludf.DUMMYFUNCTION("REGEXEXTRACT(C1423, ""🏘️ (\w+) \w+ .* ✅"")"),"Vendre")</f>
        <v>Vendre</v>
      </c>
      <c r="G1423" s="2" t="str">
        <f>IFERROR(__xludf.DUMMYFUNCTION("REGEXEXTRACT(C1423, ""🏘️ \w+ (\w+) .* ✅"")"),"maison")</f>
        <v>maison</v>
      </c>
      <c r="H1423" s="4" t="str">
        <f>IFERROR(__xludf.DUMMYFUNCTION("REGEXEXTRACT(A1423, ""/(\w+)-.*?"")"),"lieu")</f>
        <v>lieu</v>
      </c>
      <c r="I1423" s="4" t="str">
        <f>IFERROR(__xludf.DUMMYFUNCTION("if(D1423=""variant"",  substitute(filter(Templates!E:E, Templates!A:A = F1423, Templates!B:B = G1423, Templates!C:C = H1423), ""{{}}"", E1423), B1423)"),"🏘  Vous souhaitez acheter une maison à Thônex? ✅ Jetez un œil aux dernières offres sur ImmoScout24.ch.")</f>
        <v>🏘  Vous souhaitez acheter une maison à Thônex? ✅ Jetez un œil aux dernières offres sur ImmoScout24.ch.</v>
      </c>
      <c r="J1423" s="4" t="s">
        <v>4273</v>
      </c>
    </row>
    <row r="1424">
      <c r="A1424" s="5" t="s">
        <v>4274</v>
      </c>
      <c r="B1424" s="2" t="s">
        <v>4275</v>
      </c>
      <c r="C1424" s="4" t="str">
        <f>IFERROR(__xludf.DUMMYFUNCTION("""🏘️ ""&amp;REGEXEXTRACT(B1424, ""^(.*): "")&amp;"" ✅ "" &amp;REGEXEXTRACT(B1424, ""(Trouvez.*)"")"),"🏘️ Vendre maison Canton de Schaffhouse ✅ Trouvez le bien immobilier qui correspond idéalement à vos désirs sur ImmoScout24 - La plateforme de l'immobilier en Suisse.")</f>
        <v>🏘️ Vendre maison Canton de Schaffhouse ✅ Trouvez le bien immobilier qui correspond idéalement à vos désirs sur ImmoScout24 - La plateforme de l'immobilier en Suisse.</v>
      </c>
      <c r="D1424" s="4" t="str">
        <f>vlookup(A1424, Sheet2!D:E, 2, 0)</f>
        <v>variant</v>
      </c>
      <c r="E1424" s="4" t="str">
        <f>IFERROR(__xludf.DUMMYFUNCTION("if(H1424=""pays"",vlookup(REGEXEXTRACT(C1424, ""🏘️ \w+ \w+ (.*) ✅""),'Country prepositions'!A:B, 2, 0) &amp; "" "" &amp; REGEXEXTRACT(C1424, ""🏘️ \w+ \w+ (.*) ✅"") ,  if(H1424=""quartier"",vlookup(REGEXEXTRACT(C1424, ""🏘️ \w+ \w+ (.*) ✅""),'Quartier prepositio"&amp;"ns'!A:E, 5, 0) ,  if(H1424=""region"",vlookup(REGEXEXTRACT(C1424, ""🏘️ \w+ \w+ (.*) ✅""),'Region prepositions'!B:F, 5, 0),  REGEXEXTRACT(C1424, ""🏘️ \w+ \w+ (.*) ✅""))))"),"Canton de Schaffhouse")</f>
        <v>Canton de Schaffhouse</v>
      </c>
      <c r="F1424" s="2" t="str">
        <f>IFERROR(__xludf.DUMMYFUNCTION("REGEXEXTRACT(C1424, ""🏘️ (\w+) \w+ .* ✅"")"),"Vendre")</f>
        <v>Vendre</v>
      </c>
      <c r="G1424" s="2" t="str">
        <f>IFERROR(__xludf.DUMMYFUNCTION("REGEXEXTRACT(C1424, ""🏘️ \w+ (\w+) .* ✅"")"),"maison")</f>
        <v>maison</v>
      </c>
      <c r="H1424" s="4" t="str">
        <f>IFERROR(__xludf.DUMMYFUNCTION("REGEXEXTRACT(A1424, ""/(\w+)-.*?"")"),"canton")</f>
        <v>canton</v>
      </c>
      <c r="I1424" s="4" t="str">
        <f>IFERROR(__xludf.DUMMYFUNCTION("if(D1424=""variant"",  substitute(filter(Templates!E:E, Templates!A:A = F1424, Templates!B:B = G1424, Templates!C:C = H1424), ""{{}}"", E1424), B1424)"),"🏘  Vous souhaitez acheter une maison dans le Canton de Schaffhouse? ✅ Jetez un œil aux dernières offres sur ImmoScout24.ch.")</f>
        <v>🏘  Vous souhaitez acheter une maison dans le Canton de Schaffhouse? ✅ Jetez un œil aux dernières offres sur ImmoScout24.ch.</v>
      </c>
      <c r="J1424" s="4" t="s">
        <v>4276</v>
      </c>
    </row>
    <row r="1425">
      <c r="A1425" s="5" t="s">
        <v>4277</v>
      </c>
      <c r="B1425" s="2" t="s">
        <v>4278</v>
      </c>
      <c r="C1425" s="4" t="str">
        <f>IFERROR(__xludf.DUMMYFUNCTION("""🏘️ ""&amp;REGEXEXTRACT(B1425, ""^(.*): "")&amp;"" ✅ "" &amp;REGEXEXTRACT(B1425, ""(Trouvez.*)"")"),"🏘️ Vendre maison Gruben ✅ Trouvez le bien immobilier qui correspond idéalement à vos désirs sur ImmoScout24 - La plateforme de l'immobilier en Suisse.")</f>
        <v>🏘️ Vendre maison Gruben ✅ Trouvez le bien immobilier qui correspond idéalement à vos désirs sur ImmoScout24 - La plateforme de l'immobilier en Suisse.</v>
      </c>
      <c r="D1425" s="4" t="str">
        <f>vlookup(A1425, Sheet2!D:E, 2, 0)</f>
        <v>variant</v>
      </c>
      <c r="E1425" s="4" t="str">
        <f>IFERROR(__xludf.DUMMYFUNCTION("if(H1425=""pays"",vlookup(REGEXEXTRACT(C1425, ""🏘️ \w+ \w+ (.*) ✅""),'Country prepositions'!A:B, 2, 0) &amp; "" "" &amp; REGEXEXTRACT(C1425, ""🏘️ \w+ \w+ (.*) ✅"") ,  if(H1425=""quartier"",vlookup(REGEXEXTRACT(C1425, ""🏘️ \w+ \w+ (.*) ✅""),'Quartier prepositio"&amp;"ns'!A:E, 5, 0) ,  if(H1425=""region"",vlookup(REGEXEXTRACT(C1425, ""🏘️ \w+ \w+ (.*) ✅""),'Region prepositions'!B:F, 5, 0),  REGEXEXTRACT(C1425, ""🏘️ \w+ \w+ (.*) ✅""))))"),"Gruben")</f>
        <v>Gruben</v>
      </c>
      <c r="F1425" s="2" t="str">
        <f>IFERROR(__xludf.DUMMYFUNCTION("REGEXEXTRACT(C1425, ""🏘️ (\w+) \w+ .* ✅"")"),"Vendre")</f>
        <v>Vendre</v>
      </c>
      <c r="G1425" s="2" t="str">
        <f>IFERROR(__xludf.DUMMYFUNCTION("REGEXEXTRACT(C1425, ""🏘️ \w+ (\w+) .* ✅"")"),"maison")</f>
        <v>maison</v>
      </c>
      <c r="H1425" s="4" t="str">
        <f>IFERROR(__xludf.DUMMYFUNCTION("REGEXEXTRACT(A1425, ""/(\w+)-.*?"")"),"lieu")</f>
        <v>lieu</v>
      </c>
      <c r="I1425" s="4" t="str">
        <f>IFERROR(__xludf.DUMMYFUNCTION("if(D1425=""variant"",  substitute(filter(Templates!E:E, Templates!A:A = F1425, Templates!B:B = G1425, Templates!C:C = H1425), ""{{}}"", E1425), B1425)"),"🏘  Vous souhaitez acheter une maison à Gruben? ✅ Jetez un œil aux dernières offres sur ImmoScout24.ch.")</f>
        <v>🏘  Vous souhaitez acheter une maison à Gruben? ✅ Jetez un œil aux dernières offres sur ImmoScout24.ch.</v>
      </c>
      <c r="J1425" s="4" t="s">
        <v>4279</v>
      </c>
    </row>
    <row r="1426">
      <c r="A1426" s="5" t="s">
        <v>4280</v>
      </c>
      <c r="B1426" s="2" t="s">
        <v>4281</v>
      </c>
      <c r="C1426" s="4" t="str">
        <f>IFERROR(__xludf.DUMMYFUNCTION("""🏘️ ""&amp;REGEXEXTRACT(B1426, ""^(.*): "")&amp;"" ✅ "" &amp;REGEXEXTRACT(B1426, ""(Trouvez.*)"")"),"🏘️ Louer appartement Perlen ✅ Trouvez le bien immobilier qui correspond idéalement à vos désirs sur ImmoScout24 - La plateforme de l'immobilier en Suisse.")</f>
        <v>🏘️ Louer appartement Perlen ✅ Trouvez le bien immobilier qui correspond idéalement à vos désirs sur ImmoScout24 - La plateforme de l'immobilier en Suisse.</v>
      </c>
      <c r="D1426" s="4" t="str">
        <f>vlookup(A1426, Sheet2!D:E, 2, 0)</f>
        <v>variant</v>
      </c>
      <c r="E1426" s="4" t="str">
        <f>IFERROR(__xludf.DUMMYFUNCTION("if(H1426=""pays"",vlookup(REGEXEXTRACT(C1426, ""🏘️ \w+ \w+ (.*) ✅""),'Country prepositions'!A:B, 2, 0) &amp; "" "" &amp; REGEXEXTRACT(C1426, ""🏘️ \w+ \w+ (.*) ✅"") ,  if(H1426=""quartier"",vlookup(REGEXEXTRACT(C1426, ""🏘️ \w+ \w+ (.*) ✅""),'Quartier prepositio"&amp;"ns'!A:E, 5, 0) ,  if(H1426=""region"",vlookup(REGEXEXTRACT(C1426, ""🏘️ \w+ \w+ (.*) ✅""),'Region prepositions'!B:F, 5, 0),  REGEXEXTRACT(C1426, ""🏘️ \w+ \w+ (.*) ✅""))))"),"Perlen")</f>
        <v>Perlen</v>
      </c>
      <c r="F1426" s="2" t="str">
        <f>IFERROR(__xludf.DUMMYFUNCTION("REGEXEXTRACT(C1426, ""🏘️ (\w+) \w+ .* ✅"")"),"Louer")</f>
        <v>Louer</v>
      </c>
      <c r="G1426" s="2" t="str">
        <f>IFERROR(__xludf.DUMMYFUNCTION("REGEXEXTRACT(C1426, ""🏘️ \w+ (\w+) .* ✅"")"),"appartement")</f>
        <v>appartement</v>
      </c>
      <c r="H1426" s="4" t="str">
        <f>IFERROR(__xludf.DUMMYFUNCTION("REGEXEXTRACT(A1426, ""/(\w+)-.*?"")"),"lieu")</f>
        <v>lieu</v>
      </c>
      <c r="I1426" s="4" t="str">
        <f>IFERROR(__xludf.DUMMYFUNCTION("if(D1426=""variant"",  substitute(filter(Templates!E:E, Templates!A:A = F1426, Templates!B:B = G1426, Templates!C:C = H1426), ""{{}}"", E1426), B1426)"),"🏘  Vous cherchez un appartement à louer à Perlen? ✅ Les annonces les plus actuelles sont sur ImmoScout24.ch.")</f>
        <v>🏘  Vous cherchez un appartement à louer à Perlen? ✅ Les annonces les plus actuelles sont sur ImmoScout24.ch.</v>
      </c>
      <c r="J1426" s="4" t="s">
        <v>4282</v>
      </c>
    </row>
    <row r="1427">
      <c r="A1427" s="5" t="s">
        <v>4283</v>
      </c>
      <c r="B1427" s="2" t="s">
        <v>4284</v>
      </c>
      <c r="C1427" s="4" t="str">
        <f>IFERROR(__xludf.DUMMYFUNCTION("""🏘️ ""&amp;REGEXEXTRACT(B1427, ""^(.*): "")&amp;"" ✅ "" &amp;REGEXEXTRACT(B1427, ""(Trouvez.*)"")"),"🏘️ Louer appartement Steg im Tösstal ✅ Trouvez le bien immobilier qui correspond idéalement à vos désirs sur ImmoScout24 - La plateforme de l'immobilier en Suisse.")</f>
        <v>🏘️ Louer appartement Steg im Tösstal ✅ Trouvez le bien immobilier qui correspond idéalement à vos désirs sur ImmoScout24 - La plateforme de l'immobilier en Suisse.</v>
      </c>
      <c r="D1427" s="4" t="str">
        <f>vlookup(A1427, Sheet2!D:E, 2, 0)</f>
        <v>variant</v>
      </c>
      <c r="E1427" s="4" t="str">
        <f>IFERROR(__xludf.DUMMYFUNCTION("if(H1427=""pays"",vlookup(REGEXEXTRACT(C1427, ""🏘️ \w+ \w+ (.*) ✅""),'Country prepositions'!A:B, 2, 0) &amp; "" "" &amp; REGEXEXTRACT(C1427, ""🏘️ \w+ \w+ (.*) ✅"") ,  if(H1427=""quartier"",vlookup(REGEXEXTRACT(C1427, ""🏘️ \w+ \w+ (.*) ✅""),'Quartier prepositio"&amp;"ns'!A:E, 5, 0) ,  if(H1427=""region"",vlookup(REGEXEXTRACT(C1427, ""🏘️ \w+ \w+ (.*) ✅""),'Region prepositions'!B:F, 5, 0),  REGEXEXTRACT(C1427, ""🏘️ \w+ \w+ (.*) ✅""))))"),"Steg im Tösstal")</f>
        <v>Steg im Tösstal</v>
      </c>
      <c r="F1427" s="2" t="str">
        <f>IFERROR(__xludf.DUMMYFUNCTION("REGEXEXTRACT(C1427, ""🏘️ (\w+) \w+ .* ✅"")"),"Louer")</f>
        <v>Louer</v>
      </c>
      <c r="G1427" s="2" t="str">
        <f>IFERROR(__xludf.DUMMYFUNCTION("REGEXEXTRACT(C1427, ""🏘️ \w+ (\w+) .* ✅"")"),"appartement")</f>
        <v>appartement</v>
      </c>
      <c r="H1427" s="4" t="str">
        <f>IFERROR(__xludf.DUMMYFUNCTION("REGEXEXTRACT(A1427, ""/(\w+)-.*?"")"),"lieu")</f>
        <v>lieu</v>
      </c>
      <c r="I1427" s="4" t="str">
        <f>IFERROR(__xludf.DUMMYFUNCTION("if(D1427=""variant"",  substitute(filter(Templates!E:E, Templates!A:A = F1427, Templates!B:B = G1427, Templates!C:C = H1427), ""{{}}"", E1427), B1427)"),"🏘  Vous cherchez un appartement à louer à Steg im Tösstal? ✅ Les annonces les plus actuelles sont sur ImmoScout24.ch.")</f>
        <v>🏘  Vous cherchez un appartement à louer à Steg im Tösstal? ✅ Les annonces les plus actuelles sont sur ImmoScout24.ch.</v>
      </c>
      <c r="J1427" s="4" t="s">
        <v>4285</v>
      </c>
    </row>
    <row r="1428">
      <c r="A1428" s="5" t="s">
        <v>4286</v>
      </c>
      <c r="B1428" s="2" t="s">
        <v>4287</v>
      </c>
      <c r="C1428" s="4" t="str">
        <f>IFERROR(__xludf.DUMMYFUNCTION("""🏘️ ""&amp;REGEXEXTRACT(B1428, ""^(.*): "")&amp;"" ✅ "" &amp;REGEXEXTRACT(B1428, ""(Trouvez.*)"")"),"🏘️ Louer appartement Bolligen ✅ Trouvez le bien immobilier qui correspond idéalement à vos désirs sur ImmoScout24 - La plateforme de l'immobilier en Suisse.")</f>
        <v>🏘️ Louer appartement Bolligen ✅ Trouvez le bien immobilier qui correspond idéalement à vos désirs sur ImmoScout24 - La plateforme de l'immobilier en Suisse.</v>
      </c>
      <c r="D1428" s="4" t="str">
        <f>vlookup(A1428, Sheet2!D:E, 2, 0)</f>
        <v>variant</v>
      </c>
      <c r="E1428" s="4" t="str">
        <f>IFERROR(__xludf.DUMMYFUNCTION("if(H1428=""pays"",vlookup(REGEXEXTRACT(C1428, ""🏘️ \w+ \w+ (.*) ✅""),'Country prepositions'!A:B, 2, 0) &amp; "" "" &amp; REGEXEXTRACT(C1428, ""🏘️ \w+ \w+ (.*) ✅"") ,  if(H1428=""quartier"",vlookup(REGEXEXTRACT(C1428, ""🏘️ \w+ \w+ (.*) ✅""),'Quartier prepositio"&amp;"ns'!A:E, 5, 0) ,  if(H1428=""region"",vlookup(REGEXEXTRACT(C1428, ""🏘️ \w+ \w+ (.*) ✅""),'Region prepositions'!B:F, 5, 0),  REGEXEXTRACT(C1428, ""🏘️ \w+ \w+ (.*) ✅""))))"),"Bolligen")</f>
        <v>Bolligen</v>
      </c>
      <c r="F1428" s="2" t="str">
        <f>IFERROR(__xludf.DUMMYFUNCTION("REGEXEXTRACT(C1428, ""🏘️ (\w+) \w+ .* ✅"")"),"Louer")</f>
        <v>Louer</v>
      </c>
      <c r="G1428" s="2" t="str">
        <f>IFERROR(__xludf.DUMMYFUNCTION("REGEXEXTRACT(C1428, ""🏘️ \w+ (\w+) .* ✅"")"),"appartement")</f>
        <v>appartement</v>
      </c>
      <c r="H1428" s="4" t="str">
        <f>IFERROR(__xludf.DUMMYFUNCTION("REGEXEXTRACT(A1428, ""/(\w+)-.*?"")"),"lieu")</f>
        <v>lieu</v>
      </c>
      <c r="I1428" s="4" t="str">
        <f>IFERROR(__xludf.DUMMYFUNCTION("if(D1428=""variant"",  substitute(filter(Templates!E:E, Templates!A:A = F1428, Templates!B:B = G1428, Templates!C:C = H1428), ""{{}}"", E1428), B1428)"),"🏘  Vous cherchez un appartement à louer à Bolligen? ✅ Les annonces les plus actuelles sont sur ImmoScout24.ch.")</f>
        <v>🏘  Vous cherchez un appartement à louer à Bolligen? ✅ Les annonces les plus actuelles sont sur ImmoScout24.ch.</v>
      </c>
      <c r="J1428" s="4" t="s">
        <v>4288</v>
      </c>
    </row>
    <row r="1429">
      <c r="A1429" s="5" t="s">
        <v>4289</v>
      </c>
      <c r="B1429" s="2" t="s">
        <v>4290</v>
      </c>
      <c r="C1429" s="4" t="str">
        <f>IFERROR(__xludf.DUMMYFUNCTION("""🏘️ ""&amp;REGEXEXTRACT(B1429, ""^(.*): "")&amp;"" ✅ "" &amp;REGEXEXTRACT(B1429, ""(Trouvez.*)"")"),"🏘️ Louer appartement Novalles ✅ Trouvez le bien immobilier qui correspond idéalement à vos désirs sur ImmoScout24 - La plateforme de l'immobilier en Suisse.")</f>
        <v>🏘️ Louer appartement Novalles ✅ Trouvez le bien immobilier qui correspond idéalement à vos désirs sur ImmoScout24 - La plateforme de l'immobilier en Suisse.</v>
      </c>
      <c r="D1429" s="4" t="str">
        <f>vlookup(A1429, Sheet2!D:E, 2, 0)</f>
        <v>variant</v>
      </c>
      <c r="E1429" s="4" t="str">
        <f>IFERROR(__xludf.DUMMYFUNCTION("if(H1429=""pays"",vlookup(REGEXEXTRACT(C1429, ""🏘️ \w+ \w+ (.*) ✅""),'Country prepositions'!A:B, 2, 0) &amp; "" "" &amp; REGEXEXTRACT(C1429, ""🏘️ \w+ \w+ (.*) ✅"") ,  if(H1429=""quartier"",vlookup(REGEXEXTRACT(C1429, ""🏘️ \w+ \w+ (.*) ✅""),'Quartier prepositio"&amp;"ns'!A:E, 5, 0) ,  if(H1429=""region"",vlookup(REGEXEXTRACT(C1429, ""🏘️ \w+ \w+ (.*) ✅""),'Region prepositions'!B:F, 5, 0),  REGEXEXTRACT(C1429, ""🏘️ \w+ \w+ (.*) ✅""))))"),"Novalles")</f>
        <v>Novalles</v>
      </c>
      <c r="F1429" s="2" t="str">
        <f>IFERROR(__xludf.DUMMYFUNCTION("REGEXEXTRACT(C1429, ""🏘️ (\w+) \w+ .* ✅"")"),"Louer")</f>
        <v>Louer</v>
      </c>
      <c r="G1429" s="2" t="str">
        <f>IFERROR(__xludf.DUMMYFUNCTION("REGEXEXTRACT(C1429, ""🏘️ \w+ (\w+) .* ✅"")"),"appartement")</f>
        <v>appartement</v>
      </c>
      <c r="H1429" s="4" t="str">
        <f>IFERROR(__xludf.DUMMYFUNCTION("REGEXEXTRACT(A1429, ""/(\w+)-.*?"")"),"lieu")</f>
        <v>lieu</v>
      </c>
      <c r="I1429" s="4" t="str">
        <f>IFERROR(__xludf.DUMMYFUNCTION("if(D1429=""variant"",  substitute(filter(Templates!E:E, Templates!A:A = F1429, Templates!B:B = G1429, Templates!C:C = H1429), ""{{}}"", E1429), B1429)"),"🏘  Vous cherchez un appartement à louer à Novalles? ✅ Les annonces les plus actuelles sont sur ImmoScout24.ch.")</f>
        <v>🏘  Vous cherchez un appartement à louer à Novalles? ✅ Les annonces les plus actuelles sont sur ImmoScout24.ch.</v>
      </c>
      <c r="J1429" s="4" t="s">
        <v>4291</v>
      </c>
    </row>
    <row r="1430">
      <c r="A1430" s="5" t="s">
        <v>4292</v>
      </c>
      <c r="B1430" s="2" t="s">
        <v>4293</v>
      </c>
      <c r="C1430" s="4" t="str">
        <f>IFERROR(__xludf.DUMMYFUNCTION("""🏘️ ""&amp;REGEXEXTRACT(B1430, ""^(.*): "")&amp;"" ✅ "" &amp;REGEXEXTRACT(B1430, ""(Trouvez.*)"")"),"🏘️ Louer appartement Salenstein ✅ Trouvez le bien immobilier qui correspond idéalement à vos désirs sur ImmoScout24 - La plateforme de l'immobilier en Suisse.")</f>
        <v>🏘️ Louer appartement Salenstein ✅ Trouvez le bien immobilier qui correspond idéalement à vos désirs sur ImmoScout24 - La plateforme de l'immobilier en Suisse.</v>
      </c>
      <c r="D1430" s="4" t="str">
        <f>vlookup(A1430, Sheet2!D:E, 2, 0)</f>
        <v>variant</v>
      </c>
      <c r="E1430" s="4" t="str">
        <f>IFERROR(__xludf.DUMMYFUNCTION("if(H1430=""pays"",vlookup(REGEXEXTRACT(C1430, ""🏘️ \w+ \w+ (.*) ✅""),'Country prepositions'!A:B, 2, 0) &amp; "" "" &amp; REGEXEXTRACT(C1430, ""🏘️ \w+ \w+ (.*) ✅"") ,  if(H1430=""quartier"",vlookup(REGEXEXTRACT(C1430, ""🏘️ \w+ \w+ (.*) ✅""),'Quartier prepositio"&amp;"ns'!A:E, 5, 0) ,  if(H1430=""region"",vlookup(REGEXEXTRACT(C1430, ""🏘️ \w+ \w+ (.*) ✅""),'Region prepositions'!B:F, 5, 0),  REGEXEXTRACT(C1430, ""🏘️ \w+ \w+ (.*) ✅""))))"),"Salenstein")</f>
        <v>Salenstein</v>
      </c>
      <c r="F1430" s="2" t="str">
        <f>IFERROR(__xludf.DUMMYFUNCTION("REGEXEXTRACT(C1430, ""🏘️ (\w+) \w+ .* ✅"")"),"Louer")</f>
        <v>Louer</v>
      </c>
      <c r="G1430" s="2" t="str">
        <f>IFERROR(__xludf.DUMMYFUNCTION("REGEXEXTRACT(C1430, ""🏘️ \w+ (\w+) .* ✅"")"),"appartement")</f>
        <v>appartement</v>
      </c>
      <c r="H1430" s="4" t="str">
        <f>IFERROR(__xludf.DUMMYFUNCTION("REGEXEXTRACT(A1430, ""/(\w+)-.*?"")"),"lieu")</f>
        <v>lieu</v>
      </c>
      <c r="I1430" s="4" t="str">
        <f>IFERROR(__xludf.DUMMYFUNCTION("if(D1430=""variant"",  substitute(filter(Templates!E:E, Templates!A:A = F1430, Templates!B:B = G1430, Templates!C:C = H1430), ""{{}}"", E1430), B1430)"),"🏘  Vous cherchez un appartement à louer à Salenstein? ✅ Les annonces les plus actuelles sont sur ImmoScout24.ch.")</f>
        <v>🏘  Vous cherchez un appartement à louer à Salenstein? ✅ Les annonces les plus actuelles sont sur ImmoScout24.ch.</v>
      </c>
      <c r="J1430" s="4" t="s">
        <v>4294</v>
      </c>
    </row>
    <row r="1431">
      <c r="A1431" s="5" t="s">
        <v>4295</v>
      </c>
      <c r="B1431" s="2" t="s">
        <v>4296</v>
      </c>
      <c r="C1431" s="4" t="str">
        <f>IFERROR(__xludf.DUMMYFUNCTION("""🏘️ ""&amp;REGEXEXTRACT(B1431, ""^(.*): "")&amp;"" ✅ "" &amp;REGEXEXTRACT(B1431, ""(Trouvez.*)"")"),"🏘️ Louer appartement Le Trétien ✅ Trouvez le bien immobilier qui correspond idéalement à vos désirs sur ImmoScout24 - La plateforme de l'immobilier en Suisse.")</f>
        <v>🏘️ Louer appartement Le Trétien ✅ Trouvez le bien immobilier qui correspond idéalement à vos désirs sur ImmoScout24 - La plateforme de l'immobilier en Suisse.</v>
      </c>
      <c r="D1431" s="4" t="str">
        <f>vlookup(A1431, Sheet2!D:E, 2, 0)</f>
        <v>variant</v>
      </c>
      <c r="E1431" s="4" t="str">
        <f>IFERROR(__xludf.DUMMYFUNCTION("if(H1431=""pays"",vlookup(REGEXEXTRACT(C1431, ""🏘️ \w+ \w+ (.*) ✅""),'Country prepositions'!A:B, 2, 0) &amp; "" "" &amp; REGEXEXTRACT(C1431, ""🏘️ \w+ \w+ (.*) ✅"") ,  if(H1431=""quartier"",vlookup(REGEXEXTRACT(C1431, ""🏘️ \w+ \w+ (.*) ✅""),'Quartier prepositio"&amp;"ns'!A:E, 5, 0) ,  if(H1431=""region"",vlookup(REGEXEXTRACT(C1431, ""🏘️ \w+ \w+ (.*) ✅""),'Region prepositions'!B:F, 5, 0),  REGEXEXTRACT(C1431, ""🏘️ \w+ \w+ (.*) ✅""))))"),"Le Trétien")</f>
        <v>Le Trétien</v>
      </c>
      <c r="F1431" s="2" t="str">
        <f>IFERROR(__xludf.DUMMYFUNCTION("REGEXEXTRACT(C1431, ""🏘️ (\w+) \w+ .* ✅"")"),"Louer")</f>
        <v>Louer</v>
      </c>
      <c r="G1431" s="2" t="str">
        <f>IFERROR(__xludf.DUMMYFUNCTION("REGEXEXTRACT(C1431, ""🏘️ \w+ (\w+) .* ✅"")"),"appartement")</f>
        <v>appartement</v>
      </c>
      <c r="H1431" s="4" t="str">
        <f>IFERROR(__xludf.DUMMYFUNCTION("REGEXEXTRACT(A1431, ""/(\w+)-.*?"")"),"lieu")</f>
        <v>lieu</v>
      </c>
      <c r="I1431" s="4" t="str">
        <f>IFERROR(__xludf.DUMMYFUNCTION("if(D1431=""variant"",  substitute(filter(Templates!E:E, Templates!A:A = F1431, Templates!B:B = G1431, Templates!C:C = H1431), ""{{}}"", E1431), B1431)"),"🏘  Vous cherchez un appartement à louer à Le Trétien? ✅ Les annonces les plus actuelles sont sur ImmoScout24.ch.")</f>
        <v>🏘  Vous cherchez un appartement à louer à Le Trétien? ✅ Les annonces les plus actuelles sont sur ImmoScout24.ch.</v>
      </c>
      <c r="J1431" s="2" t="s">
        <v>4297</v>
      </c>
    </row>
    <row r="1432">
      <c r="A1432" s="5" t="s">
        <v>4298</v>
      </c>
      <c r="B1432" s="2" t="s">
        <v>4299</v>
      </c>
      <c r="C1432" s="4" t="str">
        <f>IFERROR(__xludf.DUMMYFUNCTION("""🏘️ ""&amp;REGEXEXTRACT(B1432, ""^(.*): "")&amp;"" ✅ "" &amp;REGEXEXTRACT(B1432, ""(Trouvez.*)"")"),"🏘️ Louer appartement La Coudre (Neuchâtel) ✅ Trouvez le bien immobilier qui correspond idéalement à vos désirs sur ImmoScout24 - La plateforme de l'immobilier en Suisse.")</f>
        <v>🏘️ Louer appartement La Coudre (Neuchâtel) ✅ Trouvez le bien immobilier qui correspond idéalement à vos désirs sur ImmoScout24 - La plateforme de l'immobilier en Suisse.</v>
      </c>
      <c r="D1432" s="4" t="str">
        <f>vlookup(A1432, Sheet2!D:E, 2, 0)</f>
        <v>variant</v>
      </c>
      <c r="E1432" s="4" t="str">
        <f>IFERROR(__xludf.DUMMYFUNCTION("if(H1432=""pays"",vlookup(REGEXEXTRACT(C1432, ""🏘️ \w+ \w+ (.*) ✅""),'Country prepositions'!A:B, 2, 0) &amp; "" "" &amp; REGEXEXTRACT(C1432, ""🏘️ \w+ \w+ (.*) ✅"") ,  if(H1432=""quartier"",vlookup(REGEXEXTRACT(C1432, ""🏘️ \w+ \w+ (.*) ✅""),'Quartier prepositio"&amp;"ns'!A:E, 5, 0) ,  if(H1432=""region"",vlookup(REGEXEXTRACT(C1432, ""🏘️ \w+ \w+ (.*) ✅""),'Region prepositions'!B:F, 5, 0),  REGEXEXTRACT(C1432, ""🏘️ \w+ \w+ (.*) ✅""))))"),"dans le quartier de La Coudre (Neuchâtel)")</f>
        <v>dans le quartier de La Coudre (Neuchâtel)</v>
      </c>
      <c r="F1432" s="2" t="str">
        <f>IFERROR(__xludf.DUMMYFUNCTION("REGEXEXTRACT(C1432, ""🏘️ (\w+) \w+ .* ✅"")"),"Louer")</f>
        <v>Louer</v>
      </c>
      <c r="G1432" s="2" t="str">
        <f>IFERROR(__xludf.DUMMYFUNCTION("REGEXEXTRACT(C1432, ""🏘️ \w+ (\w+) .* ✅"")"),"appartement")</f>
        <v>appartement</v>
      </c>
      <c r="H1432" s="4" t="str">
        <f>IFERROR(__xludf.DUMMYFUNCTION("REGEXEXTRACT(A1432, ""/(\w+)-.*?"")"),"quartier")</f>
        <v>quartier</v>
      </c>
      <c r="I1432" s="4" t="str">
        <f>IFERROR(__xludf.DUMMYFUNCTION("if(D1432=""variant"",  substitute(filter(Templates!E:E, Templates!A:A = F1432, Templates!B:B = G1432, Templates!C:C = H1432), ""{{}}"", E1432), B1432)"),"🏘  Vous cherchez un appartement à louer dans le quartier de La Coudre (Neuchâtel)? ✅ Les annonces les plus actuelles sont sur ImmoScout24.ch.")</f>
        <v>🏘  Vous cherchez un appartement à louer dans le quartier de La Coudre (Neuchâtel)? ✅ Les annonces les plus actuelles sont sur ImmoScout24.ch.</v>
      </c>
      <c r="J1432" s="4" t="s">
        <v>4300</v>
      </c>
    </row>
    <row r="1433">
      <c r="A1433" s="5" t="s">
        <v>4301</v>
      </c>
      <c r="B1433" s="2" t="s">
        <v>4302</v>
      </c>
      <c r="C1433" s="4" t="str">
        <f>IFERROR(__xludf.DUMMYFUNCTION("""🏘️ ""&amp;REGEXEXTRACT(B1433, ""^(.*): "")&amp;"" ✅ "" &amp;REGEXEXTRACT(B1433, ""(Trouvez.*)"")"),"🏘️ Louer appartement Necker ✅ Trouvez le bien immobilier qui correspond idéalement à vos désirs sur ImmoScout24 - La plateforme de l'immobilier en Suisse.")</f>
        <v>🏘️ Louer appartement Necker ✅ Trouvez le bien immobilier qui correspond idéalement à vos désirs sur ImmoScout24 - La plateforme de l'immobilier en Suisse.</v>
      </c>
      <c r="D1433" s="4" t="str">
        <f>vlookup(A1433, Sheet2!D:E, 2, 0)</f>
        <v>variant</v>
      </c>
      <c r="E1433" s="4" t="str">
        <f>IFERROR(__xludf.DUMMYFUNCTION("if(H1433=""pays"",vlookup(REGEXEXTRACT(C1433, ""🏘️ \w+ \w+ (.*) ✅""),'Country prepositions'!A:B, 2, 0) &amp; "" "" &amp; REGEXEXTRACT(C1433, ""🏘️ \w+ \w+ (.*) ✅"") ,  if(H1433=""quartier"",vlookup(REGEXEXTRACT(C1433, ""🏘️ \w+ \w+ (.*) ✅""),'Quartier prepositio"&amp;"ns'!A:E, 5, 0) ,  if(H1433=""region"",vlookup(REGEXEXTRACT(C1433, ""🏘️ \w+ \w+ (.*) ✅""),'Region prepositions'!B:F, 5, 0),  REGEXEXTRACT(C1433, ""🏘️ \w+ \w+ (.*) ✅""))))"),"Necker")</f>
        <v>Necker</v>
      </c>
      <c r="F1433" s="2" t="str">
        <f>IFERROR(__xludf.DUMMYFUNCTION("REGEXEXTRACT(C1433, ""🏘️ (\w+) \w+ .* ✅"")"),"Louer")</f>
        <v>Louer</v>
      </c>
      <c r="G1433" s="2" t="str">
        <f>IFERROR(__xludf.DUMMYFUNCTION("REGEXEXTRACT(C1433, ""🏘️ \w+ (\w+) .* ✅"")"),"appartement")</f>
        <v>appartement</v>
      </c>
      <c r="H1433" s="4" t="str">
        <f>IFERROR(__xludf.DUMMYFUNCTION("REGEXEXTRACT(A1433, ""/(\w+)-.*?"")"),"lieu")</f>
        <v>lieu</v>
      </c>
      <c r="I1433" s="4" t="str">
        <f>IFERROR(__xludf.DUMMYFUNCTION("if(D1433=""variant"",  substitute(filter(Templates!E:E, Templates!A:A = F1433, Templates!B:B = G1433, Templates!C:C = H1433), ""{{}}"", E1433), B1433)"),"🏘  Vous cherchez un appartement à louer à Necker? ✅ Les annonces les plus actuelles sont sur ImmoScout24.ch.")</f>
        <v>🏘  Vous cherchez un appartement à louer à Necker? ✅ Les annonces les plus actuelles sont sur ImmoScout24.ch.</v>
      </c>
      <c r="J1433" s="4" t="s">
        <v>4303</v>
      </c>
    </row>
    <row r="1434">
      <c r="A1434" s="5" t="s">
        <v>4304</v>
      </c>
      <c r="B1434" s="2" t="s">
        <v>4305</v>
      </c>
      <c r="C1434" s="4" t="str">
        <f>IFERROR(__xludf.DUMMYFUNCTION("""🏘️ ""&amp;REGEXEXTRACT(B1434, ""^(.*): "")&amp;"" ✅ "" &amp;REGEXEXTRACT(B1434, ""(Trouvez.*)"")"),"🏘️ Vendre appartement Champagne ✅ Trouvez le bien immobilier qui correspond idéalement à vos désirs sur ImmoScout24 - La plateforme de l'immobilier en Suisse.")</f>
        <v>🏘️ Vendre appartement Champagne ✅ Trouvez le bien immobilier qui correspond idéalement à vos désirs sur ImmoScout24 - La plateforme de l'immobilier en Suisse.</v>
      </c>
      <c r="D1434" s="4" t="str">
        <f>vlookup(A1434, Sheet2!D:E, 2, 0)</f>
        <v>variant</v>
      </c>
      <c r="E1434" s="4" t="str">
        <f>IFERROR(__xludf.DUMMYFUNCTION("if(H1434=""pays"",vlookup(REGEXEXTRACT(C1434, ""🏘️ \w+ \w+ (.*) ✅""),'Country prepositions'!A:B, 2, 0) &amp; "" "" &amp; REGEXEXTRACT(C1434, ""🏘️ \w+ \w+ (.*) ✅"") ,  if(H1434=""quartier"",vlookup(REGEXEXTRACT(C1434, ""🏘️ \w+ \w+ (.*) ✅""),'Quartier prepositio"&amp;"ns'!A:E, 5, 0) ,  if(H1434=""region"",vlookup(REGEXEXTRACT(C1434, ""🏘️ \w+ \w+ (.*) ✅""),'Region prepositions'!B:F, 5, 0),  REGEXEXTRACT(C1434, ""🏘️ \w+ \w+ (.*) ✅""))))"),"Champagne")</f>
        <v>Champagne</v>
      </c>
      <c r="F1434" s="2" t="str">
        <f>IFERROR(__xludf.DUMMYFUNCTION("REGEXEXTRACT(C1434, ""🏘️ (\w+) \w+ .* ✅"")"),"Vendre")</f>
        <v>Vendre</v>
      </c>
      <c r="G1434" s="2" t="str">
        <f>IFERROR(__xludf.DUMMYFUNCTION("REGEXEXTRACT(C1434, ""🏘️ \w+ (\w+) .* ✅"")"),"appartement")</f>
        <v>appartement</v>
      </c>
      <c r="H1434" s="4" t="str">
        <f>IFERROR(__xludf.DUMMYFUNCTION("REGEXEXTRACT(A1434, ""/(\w+)-.*?"")"),"lieu")</f>
        <v>lieu</v>
      </c>
      <c r="I1434" s="4" t="str">
        <f>IFERROR(__xludf.DUMMYFUNCTION("if(D1434=""variant"",  substitute(filter(Templates!E:E, Templates!A:A = F1434, Templates!B:B = G1434, Templates!C:C = H1434), ""{{}}"", E1434), B1434)"),"🏘  L’appartement de vos rêves se trouve sur ImmoScout24.ch ✅ Découvrez les dernières annonces de vente à Champagne.")</f>
        <v>🏘  L’appartement de vos rêves se trouve sur ImmoScout24.ch ✅ Découvrez les dernières annonces de vente à Champagne.</v>
      </c>
      <c r="J1434" s="4" t="s">
        <v>4306</v>
      </c>
    </row>
    <row r="1435">
      <c r="A1435" s="5" t="s">
        <v>4307</v>
      </c>
      <c r="B1435" s="2" t="s">
        <v>4308</v>
      </c>
      <c r="C1435" s="4" t="str">
        <f>IFERROR(__xludf.DUMMYFUNCTION("""🏘️ ""&amp;REGEXEXTRACT(B1435, ""^(.*): "")&amp;"" ✅ "" &amp;REGEXEXTRACT(B1435, ""(Trouvez.*)"")"),"🏘️ Louer maison Eschert ✅ Trouvez le bien immobilier qui correspond idéalement à vos désirs sur ImmoScout24 - La plateforme de l'immobilier en Suisse.")</f>
        <v>🏘️ Louer maison Eschert ✅ Trouvez le bien immobilier qui correspond idéalement à vos désirs sur ImmoScout24 - La plateforme de l'immobilier en Suisse.</v>
      </c>
      <c r="D1435" s="4" t="str">
        <f>vlookup(A1435, Sheet2!D:E, 2, 0)</f>
        <v>variant</v>
      </c>
      <c r="E1435" s="4" t="str">
        <f>IFERROR(__xludf.DUMMYFUNCTION("if(H1435=""pays"",vlookup(REGEXEXTRACT(C1435, ""🏘️ \w+ \w+ (.*) ✅""),'Country prepositions'!A:B, 2, 0) &amp; "" "" &amp; REGEXEXTRACT(C1435, ""🏘️ \w+ \w+ (.*) ✅"") ,  if(H1435=""quartier"",vlookup(REGEXEXTRACT(C1435, ""🏘️ \w+ \w+ (.*) ✅""),'Quartier prepositio"&amp;"ns'!A:E, 5, 0) ,  if(H1435=""region"",vlookup(REGEXEXTRACT(C1435, ""🏘️ \w+ \w+ (.*) ✅""),'Region prepositions'!B:F, 5, 0),  REGEXEXTRACT(C1435, ""🏘️ \w+ \w+ (.*) ✅""))))"),"Eschert")</f>
        <v>Eschert</v>
      </c>
      <c r="F1435" s="2" t="str">
        <f>IFERROR(__xludf.DUMMYFUNCTION("REGEXEXTRACT(C1435, ""🏘️ (\w+) \w+ .* ✅"")"),"Louer")</f>
        <v>Louer</v>
      </c>
      <c r="G1435" s="2" t="str">
        <f>IFERROR(__xludf.DUMMYFUNCTION("REGEXEXTRACT(C1435, ""🏘️ \w+ (\w+) .* ✅"")"),"maison")</f>
        <v>maison</v>
      </c>
      <c r="H1435" s="4" t="str">
        <f>IFERROR(__xludf.DUMMYFUNCTION("REGEXEXTRACT(A1435, ""/(\w+)-.*?"")"),"lieu")</f>
        <v>lieu</v>
      </c>
      <c r="I1435" s="4" t="str">
        <f>IFERROR(__xludf.DUMMYFUNCTION("if(D1435=""variant"",  substitute(filter(Templates!E:E, Templates!A:A = F1435, Templates!B:B = G1435, Templates!C:C = H1435), ""{{}}"", E1435), B1435)"),"🏘  Vous cherchez une maison à louer à Eschert? ✅ Découvrez nos nombreuses annonces sur ImmoScout24.ch.")</f>
        <v>🏘  Vous cherchez une maison à louer à Eschert? ✅ Découvrez nos nombreuses annonces sur ImmoScout24.ch.</v>
      </c>
      <c r="J1435" s="4" t="s">
        <v>4309</v>
      </c>
    </row>
    <row r="1436">
      <c r="A1436" s="5" t="s">
        <v>4310</v>
      </c>
      <c r="B1436" s="2" t="s">
        <v>4311</v>
      </c>
      <c r="C1436" s="4" t="str">
        <f>IFERROR(__xludf.DUMMYFUNCTION("""🏘️ ""&amp;REGEXEXTRACT(B1436, ""^(.*): "")&amp;"" ✅ "" &amp;REGEXEXTRACT(B1436, ""(Trouvez.*)"")"),"🏘️ Louer maison Ligerz ✅ Trouvez le bien immobilier qui correspond idéalement à vos désirs sur ImmoScout24 - La plateforme de l'immobilier en Suisse.")</f>
        <v>🏘️ Louer maison Ligerz ✅ Trouvez le bien immobilier qui correspond idéalement à vos désirs sur ImmoScout24 - La plateforme de l'immobilier en Suisse.</v>
      </c>
      <c r="D1436" s="4" t="str">
        <f>vlookup(A1436, Sheet2!D:E, 2, 0)</f>
        <v>variant</v>
      </c>
      <c r="E1436" s="4" t="str">
        <f>IFERROR(__xludf.DUMMYFUNCTION("if(H1436=""pays"",vlookup(REGEXEXTRACT(C1436, ""🏘️ \w+ \w+ (.*) ✅""),'Country prepositions'!A:B, 2, 0) &amp; "" "" &amp; REGEXEXTRACT(C1436, ""🏘️ \w+ \w+ (.*) ✅"") ,  if(H1436=""quartier"",vlookup(REGEXEXTRACT(C1436, ""🏘️ \w+ \w+ (.*) ✅""),'Quartier prepositio"&amp;"ns'!A:E, 5, 0) ,  if(H1436=""region"",vlookup(REGEXEXTRACT(C1436, ""🏘️ \w+ \w+ (.*) ✅""),'Region prepositions'!B:F, 5, 0),  REGEXEXTRACT(C1436, ""🏘️ \w+ \w+ (.*) ✅""))))"),"Ligerz")</f>
        <v>Ligerz</v>
      </c>
      <c r="F1436" s="2" t="str">
        <f>IFERROR(__xludf.DUMMYFUNCTION("REGEXEXTRACT(C1436, ""🏘️ (\w+) \w+ .* ✅"")"),"Louer")</f>
        <v>Louer</v>
      </c>
      <c r="G1436" s="2" t="str">
        <f>IFERROR(__xludf.DUMMYFUNCTION("REGEXEXTRACT(C1436, ""🏘️ \w+ (\w+) .* ✅"")"),"maison")</f>
        <v>maison</v>
      </c>
      <c r="H1436" s="4" t="str">
        <f>IFERROR(__xludf.DUMMYFUNCTION("REGEXEXTRACT(A1436, ""/(\w+)-.*?"")"),"lieu")</f>
        <v>lieu</v>
      </c>
      <c r="I1436" s="4" t="str">
        <f>IFERROR(__xludf.DUMMYFUNCTION("if(D1436=""variant"",  substitute(filter(Templates!E:E, Templates!A:A = F1436, Templates!B:B = G1436, Templates!C:C = H1436), ""{{}}"", E1436), B1436)"),"🏘  Vous cherchez une maison à louer à Ligerz? ✅ Découvrez nos nombreuses annonces sur ImmoScout24.ch.")</f>
        <v>🏘  Vous cherchez une maison à louer à Ligerz? ✅ Découvrez nos nombreuses annonces sur ImmoScout24.ch.</v>
      </c>
      <c r="J1436" s="4" t="s">
        <v>4312</v>
      </c>
    </row>
    <row r="1437">
      <c r="A1437" s="5" t="s">
        <v>4313</v>
      </c>
      <c r="B1437" s="2" t="s">
        <v>4314</v>
      </c>
      <c r="C1437" s="4" t="str">
        <f>IFERROR(__xludf.DUMMYFUNCTION("""🏘️ ""&amp;REGEXEXTRACT(B1437, ""^(.*): "")&amp;"" ✅ "" &amp;REGEXEXTRACT(B1437, ""(Trouvez.*)"")"),"🏘️ Vendre maison Laufenburg - Rheinfelden ✅ Trouvez le bien immobilier qui correspond idéalement à vos désirs sur ImmoScout24 - La plateforme de l'immobilier en Suisse.")</f>
        <v>🏘️ Vendre maison Laufenburg - Rheinfelden ✅ Trouvez le bien immobilier qui correspond idéalement à vos désirs sur ImmoScout24 - La plateforme de l'immobilier en Suisse.</v>
      </c>
      <c r="D1437" s="4" t="str">
        <f>vlookup(A1437, Sheet2!D:E, 2, 0)</f>
        <v>variant</v>
      </c>
      <c r="E1437" s="4" t="str">
        <f>IFERROR(__xludf.DUMMYFUNCTION("if(H1437=""pays"",vlookup(REGEXEXTRACT(C1437, ""🏘️ \w+ \w+ (.*) ✅""),'Country prepositions'!A:B, 2, 0) &amp; "" "" &amp; REGEXEXTRACT(C1437, ""🏘️ \w+ \w+ (.*) ✅"") ,  if(H1437=""quartier"",vlookup(REGEXEXTRACT(C1437, ""🏘️ \w+ \w+ (.*) ✅""),'Quartier prepositio"&amp;"ns'!A:E, 5, 0) ,  if(H1437=""region"",vlookup(REGEXEXTRACT(C1437, ""🏘️ \w+ \w+ (.*) ✅""),'Region prepositions'!B:F, 5, 0),  REGEXEXTRACT(C1437, ""🏘️ \w+ \w+ (.*) ✅""))))"),"dans la région de Laufenburg - Rheinfelden")</f>
        <v>dans la région de Laufenburg - Rheinfelden</v>
      </c>
      <c r="F1437" s="2" t="str">
        <f>IFERROR(__xludf.DUMMYFUNCTION("REGEXEXTRACT(C1437, ""🏘️ (\w+) \w+ .* ✅"")"),"Vendre")</f>
        <v>Vendre</v>
      </c>
      <c r="G1437" s="2" t="str">
        <f>IFERROR(__xludf.DUMMYFUNCTION("REGEXEXTRACT(C1437, ""🏘️ \w+ (\w+) .* ✅"")"),"maison")</f>
        <v>maison</v>
      </c>
      <c r="H1437" s="4" t="str">
        <f>IFERROR(__xludf.DUMMYFUNCTION("REGEXEXTRACT(A1437, ""/(\w+)-.*?"")"),"region")</f>
        <v>region</v>
      </c>
      <c r="I1437" s="4" t="str">
        <f>IFERROR(__xludf.DUMMYFUNCTION("if(D1437=""variant"",  substitute(filter(Templates!E:E, Templates!A:A = F1437, Templates!B:B = G1437, Templates!C:C = H1437), ""{{}}"", E1437), B1437)"),"🏘  Vous souhaitez acheter une maison dans la région de Laufenburg - Rheinfelden? ✅ Jetez un œil aux dernières offres sur ImmoScout24.ch.")</f>
        <v>🏘  Vous souhaitez acheter une maison dans la région de Laufenburg - Rheinfelden? ✅ Jetez un œil aux dernières offres sur ImmoScout24.ch.</v>
      </c>
      <c r="J1437" s="4" t="s">
        <v>4315</v>
      </c>
    </row>
    <row r="1438">
      <c r="A1438" s="5" t="s">
        <v>4316</v>
      </c>
      <c r="B1438" s="2" t="s">
        <v>4317</v>
      </c>
      <c r="C1438" s="4" t="str">
        <f>IFERROR(__xludf.DUMMYFUNCTION("""🏘️ ""&amp;REGEXEXTRACT(B1438, ""^(.*): "")&amp;"" ✅ "" &amp;REGEXEXTRACT(B1438, ""(Trouvez.*)"")"),"🏘️ Vendre maison Vich ✅ Trouvez le bien immobilier qui correspond idéalement à vos désirs sur ImmoScout24 - La plateforme de l'immobilier en Suisse.")</f>
        <v>🏘️ Vendre maison Vich ✅ Trouvez le bien immobilier qui correspond idéalement à vos désirs sur ImmoScout24 - La plateforme de l'immobilier en Suisse.</v>
      </c>
      <c r="D1438" s="4" t="str">
        <f>vlookup(A1438, Sheet2!D:E, 2, 0)</f>
        <v>variant</v>
      </c>
      <c r="E1438" s="4" t="str">
        <f>IFERROR(__xludf.DUMMYFUNCTION("if(H1438=""pays"",vlookup(REGEXEXTRACT(C1438, ""🏘️ \w+ \w+ (.*) ✅""),'Country prepositions'!A:B, 2, 0) &amp; "" "" &amp; REGEXEXTRACT(C1438, ""🏘️ \w+ \w+ (.*) ✅"") ,  if(H1438=""quartier"",vlookup(REGEXEXTRACT(C1438, ""🏘️ \w+ \w+ (.*) ✅""),'Quartier prepositio"&amp;"ns'!A:E, 5, 0) ,  if(H1438=""region"",vlookup(REGEXEXTRACT(C1438, ""🏘️ \w+ \w+ (.*) ✅""),'Region prepositions'!B:F, 5, 0),  REGEXEXTRACT(C1438, ""🏘️ \w+ \w+ (.*) ✅""))))"),"Vich")</f>
        <v>Vich</v>
      </c>
      <c r="F1438" s="2" t="str">
        <f>IFERROR(__xludf.DUMMYFUNCTION("REGEXEXTRACT(C1438, ""🏘️ (\w+) \w+ .* ✅"")"),"Vendre")</f>
        <v>Vendre</v>
      </c>
      <c r="G1438" s="2" t="str">
        <f>IFERROR(__xludf.DUMMYFUNCTION("REGEXEXTRACT(C1438, ""🏘️ \w+ (\w+) .* ✅"")"),"maison")</f>
        <v>maison</v>
      </c>
      <c r="H1438" s="4" t="str">
        <f>IFERROR(__xludf.DUMMYFUNCTION("REGEXEXTRACT(A1438, ""/(\w+)-.*?"")"),"lieu")</f>
        <v>lieu</v>
      </c>
      <c r="I1438" s="4" t="str">
        <f>IFERROR(__xludf.DUMMYFUNCTION("if(D1438=""variant"",  substitute(filter(Templates!E:E, Templates!A:A = F1438, Templates!B:B = G1438, Templates!C:C = H1438), ""{{}}"", E1438), B1438)"),"🏘  Vous souhaitez acheter une maison à Vich? ✅ Jetez un œil aux dernières offres sur ImmoScout24.ch.")</f>
        <v>🏘  Vous souhaitez acheter une maison à Vich? ✅ Jetez un œil aux dernières offres sur ImmoScout24.ch.</v>
      </c>
      <c r="J1438" s="4" t="s">
        <v>4318</v>
      </c>
    </row>
    <row r="1439">
      <c r="A1439" s="5" t="s">
        <v>4319</v>
      </c>
      <c r="B1439" s="2" t="s">
        <v>4320</v>
      </c>
      <c r="C1439" s="4" t="str">
        <f>IFERROR(__xludf.DUMMYFUNCTION("""🏘️ ""&amp;REGEXEXTRACT(B1439, ""^(.*): "")&amp;"" ✅ "" &amp;REGEXEXTRACT(B1439, ""(Trouvez.*)"")"),"🏘️ Vendre appartement St-Léonard ✅ Trouvez le bien immobilier qui correspond idéalement à vos désirs sur ImmoScout24 - La plateforme de l'immobilier en Suisse.")</f>
        <v>🏘️ Vendre appartement St-Léonard ✅ Trouvez le bien immobilier qui correspond idéalement à vos désirs sur ImmoScout24 - La plateforme de l'immobilier en Suisse.</v>
      </c>
      <c r="D1439" s="4" t="str">
        <f>vlookup(A1439, Sheet2!D:E, 2, 0)</f>
        <v>variant</v>
      </c>
      <c r="E1439" s="4" t="str">
        <f>IFERROR(__xludf.DUMMYFUNCTION("if(H1439=""pays"",vlookup(REGEXEXTRACT(C1439, ""🏘️ \w+ \w+ (.*) ✅""),'Country prepositions'!A:B, 2, 0) &amp; "" "" &amp; REGEXEXTRACT(C1439, ""🏘️ \w+ \w+ (.*) ✅"") ,  if(H1439=""quartier"",vlookup(REGEXEXTRACT(C1439, ""🏘️ \w+ \w+ (.*) ✅""),'Quartier prepositio"&amp;"ns'!A:E, 5, 0) ,  if(H1439=""region"",vlookup(REGEXEXTRACT(C1439, ""🏘️ \w+ \w+ (.*) ✅""),'Region prepositions'!B:F, 5, 0),  REGEXEXTRACT(C1439, ""🏘️ \w+ \w+ (.*) ✅""))))"),"St-Léonard")</f>
        <v>St-Léonard</v>
      </c>
      <c r="F1439" s="2" t="str">
        <f>IFERROR(__xludf.DUMMYFUNCTION("REGEXEXTRACT(C1439, ""🏘️ (\w+) \w+ .* ✅"")"),"Vendre")</f>
        <v>Vendre</v>
      </c>
      <c r="G1439" s="2" t="str">
        <f>IFERROR(__xludf.DUMMYFUNCTION("REGEXEXTRACT(C1439, ""🏘️ \w+ (\w+) .* ✅"")"),"appartement")</f>
        <v>appartement</v>
      </c>
      <c r="H1439" s="4" t="str">
        <f>IFERROR(__xludf.DUMMYFUNCTION("REGEXEXTRACT(A1439, ""/(\w+)-.*?"")"),"lieu")</f>
        <v>lieu</v>
      </c>
      <c r="I1439" s="4" t="str">
        <f>IFERROR(__xludf.DUMMYFUNCTION("if(D1439=""variant"",  substitute(filter(Templates!E:E, Templates!A:A = F1439, Templates!B:B = G1439, Templates!C:C = H1439), ""{{}}"", E1439), B1439)"),"🏘  L’appartement de vos rêves se trouve sur ImmoScout24.ch ✅ Découvrez les dernières annonces de vente à St-Léonard.")</f>
        <v>🏘  L’appartement de vos rêves se trouve sur ImmoScout24.ch ✅ Découvrez les dernières annonces de vente à St-Léonard.</v>
      </c>
      <c r="J1439" s="4" t="s">
        <v>4321</v>
      </c>
    </row>
    <row r="1440">
      <c r="A1440" s="5" t="s">
        <v>4322</v>
      </c>
      <c r="B1440" s="2" t="s">
        <v>4323</v>
      </c>
      <c r="C1440" s="4" t="str">
        <f>IFERROR(__xludf.DUMMYFUNCTION("""🏘️ ""&amp;REGEXEXTRACT(B1440, ""^(.*): "")&amp;"" ✅ "" &amp;REGEXEXTRACT(B1440, ""(Trouvez.*)"")"),"🏘️ Louer appartement Vinelz ✅ Trouvez le bien immobilier qui correspond idéalement à vos désirs sur ImmoScout24 - La plateforme de l'immobilier en Suisse.")</f>
        <v>🏘️ Louer appartement Vinelz ✅ Trouvez le bien immobilier qui correspond idéalement à vos désirs sur ImmoScout24 - La plateforme de l'immobilier en Suisse.</v>
      </c>
      <c r="D1440" s="4" t="str">
        <f>vlookup(A1440, Sheet2!D:E, 2, 0)</f>
        <v>variant</v>
      </c>
      <c r="E1440" s="4" t="str">
        <f>IFERROR(__xludf.DUMMYFUNCTION("if(H1440=""pays"",vlookup(REGEXEXTRACT(C1440, ""🏘️ \w+ \w+ (.*) ✅""),'Country prepositions'!A:B, 2, 0) &amp; "" "" &amp; REGEXEXTRACT(C1440, ""🏘️ \w+ \w+ (.*) ✅"") ,  if(H1440=""quartier"",vlookup(REGEXEXTRACT(C1440, ""🏘️ \w+ \w+ (.*) ✅""),'Quartier prepositio"&amp;"ns'!A:E, 5, 0) ,  if(H1440=""region"",vlookup(REGEXEXTRACT(C1440, ""🏘️ \w+ \w+ (.*) ✅""),'Region prepositions'!B:F, 5, 0),  REGEXEXTRACT(C1440, ""🏘️ \w+ \w+ (.*) ✅""))))"),"Vinelz")</f>
        <v>Vinelz</v>
      </c>
      <c r="F1440" s="2" t="str">
        <f>IFERROR(__xludf.DUMMYFUNCTION("REGEXEXTRACT(C1440, ""🏘️ (\w+) \w+ .* ✅"")"),"Louer")</f>
        <v>Louer</v>
      </c>
      <c r="G1440" s="2" t="str">
        <f>IFERROR(__xludf.DUMMYFUNCTION("REGEXEXTRACT(C1440, ""🏘️ \w+ (\w+) .* ✅"")"),"appartement")</f>
        <v>appartement</v>
      </c>
      <c r="H1440" s="4" t="str">
        <f>IFERROR(__xludf.DUMMYFUNCTION("REGEXEXTRACT(A1440, ""/(\w+)-.*?"")"),"lieu")</f>
        <v>lieu</v>
      </c>
      <c r="I1440" s="4" t="str">
        <f>IFERROR(__xludf.DUMMYFUNCTION("if(D1440=""variant"",  substitute(filter(Templates!E:E, Templates!A:A = F1440, Templates!B:B = G1440, Templates!C:C = H1440), ""{{}}"", E1440), B1440)"),"🏘  Vous cherchez un appartement à louer à Vinelz? ✅ Les annonces les plus actuelles sont sur ImmoScout24.ch.")</f>
        <v>🏘  Vous cherchez un appartement à louer à Vinelz? ✅ Les annonces les plus actuelles sont sur ImmoScout24.ch.</v>
      </c>
      <c r="J1440" s="4" t="s">
        <v>4324</v>
      </c>
    </row>
    <row r="1441">
      <c r="A1441" s="5" t="s">
        <v>4325</v>
      </c>
      <c r="B1441" s="2" t="s">
        <v>4326</v>
      </c>
      <c r="C1441" s="4" t="str">
        <f>IFERROR(__xludf.DUMMYFUNCTION("""🏘️ ""&amp;REGEXEXTRACT(B1441, ""^(.*): "")&amp;"" ✅ "" &amp;REGEXEXTRACT(B1441, ""(Trouvez.*)"")"),"🏘️ Vendre appartement Rancate ✅ Trouvez le bien immobilier qui correspond idéalement à vos désirs sur ImmoScout24 - La plateforme de l'immobilier en Suisse.")</f>
        <v>🏘️ Vendre appartement Rancate ✅ Trouvez le bien immobilier qui correspond idéalement à vos désirs sur ImmoScout24 - La plateforme de l'immobilier en Suisse.</v>
      </c>
      <c r="D1441" s="4" t="str">
        <f>vlookup(A1441, Sheet2!D:E, 2, 0)</f>
        <v>variant</v>
      </c>
      <c r="E1441" s="4" t="str">
        <f>IFERROR(__xludf.DUMMYFUNCTION("if(H1441=""pays"",vlookup(REGEXEXTRACT(C1441, ""🏘️ \w+ \w+ (.*) ✅""),'Country prepositions'!A:B, 2, 0) &amp; "" "" &amp; REGEXEXTRACT(C1441, ""🏘️ \w+ \w+ (.*) ✅"") ,  if(H1441=""quartier"",vlookup(REGEXEXTRACT(C1441, ""🏘️ \w+ \w+ (.*) ✅""),'Quartier prepositio"&amp;"ns'!A:E, 5, 0) ,  if(H1441=""region"",vlookup(REGEXEXTRACT(C1441, ""🏘️ \w+ \w+ (.*) ✅""),'Region prepositions'!B:F, 5, 0),  REGEXEXTRACT(C1441, ""🏘️ \w+ \w+ (.*) ✅""))))"),"Rancate")</f>
        <v>Rancate</v>
      </c>
      <c r="F1441" s="2" t="str">
        <f>IFERROR(__xludf.DUMMYFUNCTION("REGEXEXTRACT(C1441, ""🏘️ (\w+) \w+ .* ✅"")"),"Vendre")</f>
        <v>Vendre</v>
      </c>
      <c r="G1441" s="2" t="str">
        <f>IFERROR(__xludf.DUMMYFUNCTION("REGEXEXTRACT(C1441, ""🏘️ \w+ (\w+) .* ✅"")"),"appartement")</f>
        <v>appartement</v>
      </c>
      <c r="H1441" s="4" t="str">
        <f>IFERROR(__xludf.DUMMYFUNCTION("REGEXEXTRACT(A1441, ""/(\w+)-.*?"")"),"lieu")</f>
        <v>lieu</v>
      </c>
      <c r="I1441" s="4" t="str">
        <f>IFERROR(__xludf.DUMMYFUNCTION("if(D1441=""variant"",  substitute(filter(Templates!E:E, Templates!A:A = F1441, Templates!B:B = G1441, Templates!C:C = H1441), ""{{}}"", E1441), B1441)"),"🏘  L’appartement de vos rêves se trouve sur ImmoScout24.ch ✅ Découvrez les dernières annonces de vente à Rancate.")</f>
        <v>🏘  L’appartement de vos rêves se trouve sur ImmoScout24.ch ✅ Découvrez les dernières annonces de vente à Rancate.</v>
      </c>
      <c r="J1441" s="4" t="s">
        <v>4327</v>
      </c>
    </row>
    <row r="1442">
      <c r="A1442" s="5" t="s">
        <v>4328</v>
      </c>
      <c r="B1442" s="2" t="s">
        <v>4329</v>
      </c>
      <c r="C1442" s="4" t="str">
        <f>IFERROR(__xludf.DUMMYFUNCTION("""🏘️ ""&amp;REGEXEXTRACT(B1442, ""^(.*): "")&amp;"" ✅ "" &amp;REGEXEXTRACT(B1442, ""(Trouvez.*)"")"),"🏘️ Vendre maison Vellerat ✅ Trouvez le bien immobilier qui correspond idéalement à vos désirs sur ImmoScout24 - La plateforme de l'immobilier en Suisse.")</f>
        <v>🏘️ Vendre maison Vellerat ✅ Trouvez le bien immobilier qui correspond idéalement à vos désirs sur ImmoScout24 - La plateforme de l'immobilier en Suisse.</v>
      </c>
      <c r="D1442" s="4" t="str">
        <f>vlookup(A1442, Sheet2!D:E, 2, 0)</f>
        <v>variant</v>
      </c>
      <c r="E1442" s="4" t="str">
        <f>IFERROR(__xludf.DUMMYFUNCTION("if(H1442=""pays"",vlookup(REGEXEXTRACT(C1442, ""🏘️ \w+ \w+ (.*) ✅""),'Country prepositions'!A:B, 2, 0) &amp; "" "" &amp; REGEXEXTRACT(C1442, ""🏘️ \w+ \w+ (.*) ✅"") ,  if(H1442=""quartier"",vlookup(REGEXEXTRACT(C1442, ""🏘️ \w+ \w+ (.*) ✅""),'Quartier prepositio"&amp;"ns'!A:E, 5, 0) ,  if(H1442=""region"",vlookup(REGEXEXTRACT(C1442, ""🏘️ \w+ \w+ (.*) ✅""),'Region prepositions'!B:F, 5, 0),  REGEXEXTRACT(C1442, ""🏘️ \w+ \w+ (.*) ✅""))))"),"Vellerat")</f>
        <v>Vellerat</v>
      </c>
      <c r="F1442" s="2" t="str">
        <f>IFERROR(__xludf.DUMMYFUNCTION("REGEXEXTRACT(C1442, ""🏘️ (\w+) \w+ .* ✅"")"),"Vendre")</f>
        <v>Vendre</v>
      </c>
      <c r="G1442" s="2" t="str">
        <f>IFERROR(__xludf.DUMMYFUNCTION("REGEXEXTRACT(C1442, ""🏘️ \w+ (\w+) .* ✅"")"),"maison")</f>
        <v>maison</v>
      </c>
      <c r="H1442" s="4" t="str">
        <f>IFERROR(__xludf.DUMMYFUNCTION("REGEXEXTRACT(A1442, ""/(\w+)-.*?"")"),"lieu")</f>
        <v>lieu</v>
      </c>
      <c r="I1442" s="4" t="str">
        <f>IFERROR(__xludf.DUMMYFUNCTION("if(D1442=""variant"",  substitute(filter(Templates!E:E, Templates!A:A = F1442, Templates!B:B = G1442, Templates!C:C = H1442), ""{{}}"", E1442), B1442)"),"🏘  Vous souhaitez acheter une maison à Vellerat? ✅ Jetez un œil aux dernières offres sur ImmoScout24.ch.")</f>
        <v>🏘  Vous souhaitez acheter une maison à Vellerat? ✅ Jetez un œil aux dernières offres sur ImmoScout24.ch.</v>
      </c>
      <c r="J1442" s="4" t="s">
        <v>4330</v>
      </c>
    </row>
    <row r="1443">
      <c r="A1443" s="5" t="s">
        <v>4331</v>
      </c>
      <c r="B1443" s="2" t="s">
        <v>4332</v>
      </c>
      <c r="C1443" s="4" t="str">
        <f>IFERROR(__xludf.DUMMYFUNCTION("""🏘️ ""&amp;REGEXEXTRACT(B1443, ""^(.*): "")&amp;"" ✅ "" &amp;REGEXEXTRACT(B1443, ""(Trouvez.*)"")"),"🏘️ Louer appartement Chapelle (Glâne) ✅ Trouvez le bien immobilier qui correspond idéalement à vos désirs sur ImmoScout24 - La plateforme de l'immobilier en Suisse.")</f>
        <v>🏘️ Louer appartement Chapelle (Glâne) ✅ Trouvez le bien immobilier qui correspond idéalement à vos désirs sur ImmoScout24 - La plateforme de l'immobilier en Suisse.</v>
      </c>
      <c r="D1443" s="4" t="str">
        <f>vlookup(A1443, Sheet2!D:E, 2, 0)</f>
        <v>variant</v>
      </c>
      <c r="E1443" s="4" t="str">
        <f>IFERROR(__xludf.DUMMYFUNCTION("if(H1443=""pays"",vlookup(REGEXEXTRACT(C1443, ""🏘️ \w+ \w+ (.*) ✅""),'Country prepositions'!A:B, 2, 0) &amp; "" "" &amp; REGEXEXTRACT(C1443, ""🏘️ \w+ \w+ (.*) ✅"") ,  if(H1443=""quartier"",vlookup(REGEXEXTRACT(C1443, ""🏘️ \w+ \w+ (.*) ✅""),'Quartier prepositio"&amp;"ns'!A:E, 5, 0) ,  if(H1443=""region"",vlookup(REGEXEXTRACT(C1443, ""🏘️ \w+ \w+ (.*) ✅""),'Region prepositions'!B:F, 5, 0),  REGEXEXTRACT(C1443, ""🏘️ \w+ \w+ (.*) ✅""))))"),"Chapelle (Glâne)")</f>
        <v>Chapelle (Glâne)</v>
      </c>
      <c r="F1443" s="2" t="str">
        <f>IFERROR(__xludf.DUMMYFUNCTION("REGEXEXTRACT(C1443, ""🏘️ (\w+) \w+ .* ✅"")"),"Louer")</f>
        <v>Louer</v>
      </c>
      <c r="G1443" s="2" t="str">
        <f>IFERROR(__xludf.DUMMYFUNCTION("REGEXEXTRACT(C1443, ""🏘️ \w+ (\w+) .* ✅"")"),"appartement")</f>
        <v>appartement</v>
      </c>
      <c r="H1443" s="4" t="str">
        <f>IFERROR(__xludf.DUMMYFUNCTION("REGEXEXTRACT(A1443, ""/(\w+)-.*?"")"),"lieu")</f>
        <v>lieu</v>
      </c>
      <c r="I1443" s="4" t="str">
        <f>IFERROR(__xludf.DUMMYFUNCTION("if(D1443=""variant"",  substitute(filter(Templates!E:E, Templates!A:A = F1443, Templates!B:B = G1443, Templates!C:C = H1443), ""{{}}"", E1443), B1443)"),"🏘  Vous cherchez un appartement à louer à Chapelle (Glâne)? ✅ Les annonces les plus actuelles sont sur ImmoScout24.ch.")</f>
        <v>🏘  Vous cherchez un appartement à louer à Chapelle (Glâne)? ✅ Les annonces les plus actuelles sont sur ImmoScout24.ch.</v>
      </c>
      <c r="J1443" s="4" t="s">
        <v>4333</v>
      </c>
    </row>
    <row r="1444">
      <c r="A1444" s="5" t="s">
        <v>4334</v>
      </c>
      <c r="B1444" s="2" t="s">
        <v>4335</v>
      </c>
      <c r="C1444" s="4" t="str">
        <f>IFERROR(__xludf.DUMMYFUNCTION("""🏘️ ""&amp;REGEXEXTRACT(B1444, ""^(.*): "")&amp;"" ✅ "" &amp;REGEXEXTRACT(B1444, ""(Trouvez.*)"")"),"🏘️ Louer appartement Crans-Montana ✅ Trouvez le bien immobilier qui correspond idéalement à vos désirs sur ImmoScout24 - La plateforme de l'immobilier en Suisse.")</f>
        <v>🏘️ Louer appartement Crans-Montana ✅ Trouvez le bien immobilier qui correspond idéalement à vos désirs sur ImmoScout24 - La plateforme de l'immobilier en Suisse.</v>
      </c>
      <c r="D1444" s="4" t="str">
        <f>vlookup(A1444, Sheet2!D:E, 2, 0)</f>
        <v>variant</v>
      </c>
      <c r="E1444" s="4" t="str">
        <f>IFERROR(__xludf.DUMMYFUNCTION("if(H1444=""pays"",vlookup(REGEXEXTRACT(C1444, ""🏘️ \w+ \w+ (.*) ✅""),'Country prepositions'!A:B, 2, 0) &amp; "" "" &amp; REGEXEXTRACT(C1444, ""🏘️ \w+ \w+ (.*) ✅"") ,  if(H1444=""quartier"",vlookup(REGEXEXTRACT(C1444, ""🏘️ \w+ \w+ (.*) ✅""),'Quartier prepositio"&amp;"ns'!A:E, 5, 0) ,  if(H1444=""region"",vlookup(REGEXEXTRACT(C1444, ""🏘️ \w+ \w+ (.*) ✅""),'Region prepositions'!B:F, 5, 0),  REGEXEXTRACT(C1444, ""🏘️ \w+ \w+ (.*) ✅""))))"),"Crans-Montana")</f>
        <v>Crans-Montana</v>
      </c>
      <c r="F1444" s="2" t="str">
        <f>IFERROR(__xludf.DUMMYFUNCTION("REGEXEXTRACT(C1444, ""🏘️ (\w+) \w+ .* ✅"")"),"Louer")</f>
        <v>Louer</v>
      </c>
      <c r="G1444" s="2" t="str">
        <f>IFERROR(__xludf.DUMMYFUNCTION("REGEXEXTRACT(C1444, ""🏘️ \w+ (\w+) .* ✅"")"),"appartement")</f>
        <v>appartement</v>
      </c>
      <c r="H1444" s="4" t="str">
        <f>IFERROR(__xludf.DUMMYFUNCTION("REGEXEXTRACT(A1444, ""/(\w+)-.*?"")"),"lieu")</f>
        <v>lieu</v>
      </c>
      <c r="I1444" s="4" t="str">
        <f>IFERROR(__xludf.DUMMYFUNCTION("if(D1444=""variant"",  substitute(filter(Templates!E:E, Templates!A:A = F1444, Templates!B:B = G1444, Templates!C:C = H1444), ""{{}}"", E1444), B1444)"),"🏘  Vous cherchez un appartement à louer à Crans-Montana? ✅ Les annonces les plus actuelles sont sur ImmoScout24.ch.")</f>
        <v>🏘  Vous cherchez un appartement à louer à Crans-Montana? ✅ Les annonces les plus actuelles sont sur ImmoScout24.ch.</v>
      </c>
      <c r="J1444" s="4" t="s">
        <v>4336</v>
      </c>
    </row>
    <row r="1445">
      <c r="A1445" s="5" t="s">
        <v>4337</v>
      </c>
      <c r="B1445" s="2" t="s">
        <v>4338</v>
      </c>
      <c r="C1445" s="4" t="str">
        <f>IFERROR(__xludf.DUMMYFUNCTION("""🏘️ ""&amp;REGEXEXTRACT(B1445, ""^(.*): "")&amp;"" ✅ "" &amp;REGEXEXTRACT(B1445, ""(Trouvez.*)"")"),"🏘️ Vendre maison Appenzell ✅ Trouvez le bien immobilier qui correspond idéalement à vos désirs sur ImmoScout24 - La plateforme de l'immobilier en Suisse.")</f>
        <v>🏘️ Vendre maison Appenzell ✅ Trouvez le bien immobilier qui correspond idéalement à vos désirs sur ImmoScout24 - La plateforme de l'immobilier en Suisse.</v>
      </c>
      <c r="D1445" s="4" t="str">
        <f>vlookup(A1445, Sheet2!D:E, 2, 0)</f>
        <v>variant</v>
      </c>
      <c r="E1445" s="4" t="str">
        <f>IFERROR(__xludf.DUMMYFUNCTION("if(H1445=""pays"",vlookup(REGEXEXTRACT(C1445, ""🏘️ \w+ \w+ (.*) ✅""),'Country prepositions'!A:B, 2, 0) &amp; "" "" &amp; REGEXEXTRACT(C1445, ""🏘️ \w+ \w+ (.*) ✅"") ,  if(H1445=""quartier"",vlookup(REGEXEXTRACT(C1445, ""🏘️ \w+ \w+ (.*) ✅""),'Quartier prepositio"&amp;"ns'!A:E, 5, 0) ,  if(H1445=""region"",vlookup(REGEXEXTRACT(C1445, ""🏘️ \w+ \w+ (.*) ✅""),'Region prepositions'!B:F, 5, 0),  REGEXEXTRACT(C1445, ""🏘️ \w+ \w+ (.*) ✅""))))"),"Appenzell")</f>
        <v>Appenzell</v>
      </c>
      <c r="F1445" s="2" t="str">
        <f>IFERROR(__xludf.DUMMYFUNCTION("REGEXEXTRACT(C1445, ""🏘️ (\w+) \w+ .* ✅"")"),"Vendre")</f>
        <v>Vendre</v>
      </c>
      <c r="G1445" s="2" t="str">
        <f>IFERROR(__xludf.DUMMYFUNCTION("REGEXEXTRACT(C1445, ""🏘️ \w+ (\w+) .* ✅"")"),"maison")</f>
        <v>maison</v>
      </c>
      <c r="H1445" s="4" t="str">
        <f>IFERROR(__xludf.DUMMYFUNCTION("REGEXEXTRACT(A1445, ""/(\w+)-.*?"")"),"lieu")</f>
        <v>lieu</v>
      </c>
      <c r="I1445" s="4" t="str">
        <f>IFERROR(__xludf.DUMMYFUNCTION("if(D1445=""variant"",  substitute(filter(Templates!E:E, Templates!A:A = F1445, Templates!B:B = G1445, Templates!C:C = H1445), ""{{}}"", E1445), B1445)"),"🏘  Vous souhaitez acheter une maison à Appenzell? ✅ Jetez un œil aux dernières offres sur ImmoScout24.ch.")</f>
        <v>🏘  Vous souhaitez acheter une maison à Appenzell? ✅ Jetez un œil aux dernières offres sur ImmoScout24.ch.</v>
      </c>
      <c r="J1445" s="4" t="s">
        <v>4339</v>
      </c>
    </row>
    <row r="1446">
      <c r="A1446" s="5" t="s">
        <v>4340</v>
      </c>
      <c r="B1446" s="2" t="s">
        <v>4341</v>
      </c>
      <c r="C1446" s="4" t="str">
        <f>IFERROR(__xludf.DUMMYFUNCTION("""🏘️ ""&amp;REGEXEXTRACT(B1446, ""^(.*): "")&amp;"" ✅ "" &amp;REGEXEXTRACT(B1446, ""(Trouvez.*)"")"),"🏘️ Louer appartement La Joux FR ✅ Trouvez le bien immobilier qui correspond idéalement à vos désirs sur ImmoScout24 - La plateforme de l'immobilier en Suisse.")</f>
        <v>🏘️ Louer appartement La Joux FR ✅ Trouvez le bien immobilier qui correspond idéalement à vos désirs sur ImmoScout24 - La plateforme de l'immobilier en Suisse.</v>
      </c>
      <c r="D1446" s="4" t="str">
        <f>vlookup(A1446, Sheet2!D:E, 2, 0)</f>
        <v>variant</v>
      </c>
      <c r="E1446" s="4" t="str">
        <f>IFERROR(__xludf.DUMMYFUNCTION("if(H1446=""pays"",vlookup(REGEXEXTRACT(C1446, ""🏘️ \w+ \w+ (.*) ✅""),'Country prepositions'!A:B, 2, 0) &amp; "" "" &amp; REGEXEXTRACT(C1446, ""🏘️ \w+ \w+ (.*) ✅"") ,  if(H1446=""quartier"",vlookup(REGEXEXTRACT(C1446, ""🏘️ \w+ \w+ (.*) ✅""),'Quartier prepositio"&amp;"ns'!A:E, 5, 0) ,  if(H1446=""region"",vlookup(REGEXEXTRACT(C1446, ""🏘️ \w+ \w+ (.*) ✅""),'Region prepositions'!B:F, 5, 0),  REGEXEXTRACT(C1446, ""🏘️ \w+ \w+ (.*) ✅""))))"),"La Joux FR")</f>
        <v>La Joux FR</v>
      </c>
      <c r="F1446" s="2" t="str">
        <f>IFERROR(__xludf.DUMMYFUNCTION("REGEXEXTRACT(C1446, ""🏘️ (\w+) \w+ .* ✅"")"),"Louer")</f>
        <v>Louer</v>
      </c>
      <c r="G1446" s="2" t="str">
        <f>IFERROR(__xludf.DUMMYFUNCTION("REGEXEXTRACT(C1446, ""🏘️ \w+ (\w+) .* ✅"")"),"appartement")</f>
        <v>appartement</v>
      </c>
      <c r="H1446" s="4" t="str">
        <f>IFERROR(__xludf.DUMMYFUNCTION("REGEXEXTRACT(A1446, ""/(\w+)-.*?"")"),"lieu")</f>
        <v>lieu</v>
      </c>
      <c r="I1446" s="4" t="str">
        <f>IFERROR(__xludf.DUMMYFUNCTION("if(D1446=""variant"",  substitute(filter(Templates!E:E, Templates!A:A = F1446, Templates!B:B = G1446, Templates!C:C = H1446), ""{{}}"", E1446), B1446)"),"🏘  Vous cherchez un appartement à louer à La Joux FR? ✅ Les annonces les plus actuelles sont sur ImmoScout24.ch.")</f>
        <v>🏘  Vous cherchez un appartement à louer à La Joux FR? ✅ Les annonces les plus actuelles sont sur ImmoScout24.ch.</v>
      </c>
      <c r="J1446" s="4" t="s">
        <v>4342</v>
      </c>
    </row>
    <row r="1447">
      <c r="A1447" s="5" t="s">
        <v>4343</v>
      </c>
      <c r="B1447" s="2" t="s">
        <v>4344</v>
      </c>
      <c r="C1447" s="4" t="str">
        <f>IFERROR(__xludf.DUMMYFUNCTION("""🏘️ ""&amp;REGEXEXTRACT(B1447, ""^(.*): "")&amp;"" ✅ "" &amp;REGEXEXTRACT(B1447, ""(Trouvez.*)"")"),"🏘️ Louer appartement Diegten ✅ Trouvez le bien immobilier qui correspond idéalement à vos désirs sur ImmoScout24 - La plateforme de l'immobilier en Suisse.")</f>
        <v>🏘️ Louer appartement Diegten ✅ Trouvez le bien immobilier qui correspond idéalement à vos désirs sur ImmoScout24 - La plateforme de l'immobilier en Suisse.</v>
      </c>
      <c r="D1447" s="4" t="str">
        <f>vlookup(A1447, Sheet2!D:E, 2, 0)</f>
        <v>variant</v>
      </c>
      <c r="E1447" s="4" t="str">
        <f>IFERROR(__xludf.DUMMYFUNCTION("if(H1447=""pays"",vlookup(REGEXEXTRACT(C1447, ""🏘️ \w+ \w+ (.*) ✅""),'Country prepositions'!A:B, 2, 0) &amp; "" "" &amp; REGEXEXTRACT(C1447, ""🏘️ \w+ \w+ (.*) ✅"") ,  if(H1447=""quartier"",vlookup(REGEXEXTRACT(C1447, ""🏘️ \w+ \w+ (.*) ✅""),'Quartier prepositio"&amp;"ns'!A:E, 5, 0) ,  if(H1447=""region"",vlookup(REGEXEXTRACT(C1447, ""🏘️ \w+ \w+ (.*) ✅""),'Region prepositions'!B:F, 5, 0),  REGEXEXTRACT(C1447, ""🏘️ \w+ \w+ (.*) ✅""))))"),"Diegten")</f>
        <v>Diegten</v>
      </c>
      <c r="F1447" s="2" t="str">
        <f>IFERROR(__xludf.DUMMYFUNCTION("REGEXEXTRACT(C1447, ""🏘️ (\w+) \w+ .* ✅"")"),"Louer")</f>
        <v>Louer</v>
      </c>
      <c r="G1447" s="2" t="str">
        <f>IFERROR(__xludf.DUMMYFUNCTION("REGEXEXTRACT(C1447, ""🏘️ \w+ (\w+) .* ✅"")"),"appartement")</f>
        <v>appartement</v>
      </c>
      <c r="H1447" s="4" t="str">
        <f>IFERROR(__xludf.DUMMYFUNCTION("REGEXEXTRACT(A1447, ""/(\w+)-.*?"")"),"lieu")</f>
        <v>lieu</v>
      </c>
      <c r="I1447" s="4" t="str">
        <f>IFERROR(__xludf.DUMMYFUNCTION("if(D1447=""variant"",  substitute(filter(Templates!E:E, Templates!A:A = F1447, Templates!B:B = G1447, Templates!C:C = H1447), ""{{}}"", E1447), B1447)"),"🏘  Vous cherchez un appartement à louer à Diegten? ✅ Les annonces les plus actuelles sont sur ImmoScout24.ch.")</f>
        <v>🏘  Vous cherchez un appartement à louer à Diegten? ✅ Les annonces les plus actuelles sont sur ImmoScout24.ch.</v>
      </c>
      <c r="J1447" s="4" t="s">
        <v>4345</v>
      </c>
    </row>
    <row r="1448">
      <c r="A1448" s="5" t="s">
        <v>4346</v>
      </c>
      <c r="B1448" s="2" t="s">
        <v>4347</v>
      </c>
      <c r="C1448" s="4" t="str">
        <f>IFERROR(__xludf.DUMMYFUNCTION("""🏘️ ""&amp;REGEXEXTRACT(B1448, ""^(.*): "")&amp;"" ✅ "" &amp;REGEXEXTRACT(B1448, ""(Trouvez.*)"")"),"🏘️ Louer appartement Oensingen ✅ Trouvez le bien immobilier qui correspond idéalement à vos désirs sur ImmoScout24 - La plateforme de l'immobilier en Suisse.")</f>
        <v>🏘️ Louer appartement Oensingen ✅ Trouvez le bien immobilier qui correspond idéalement à vos désirs sur ImmoScout24 - La plateforme de l'immobilier en Suisse.</v>
      </c>
      <c r="D1448" s="4" t="str">
        <f>vlookup(A1448, Sheet2!D:E, 2, 0)</f>
        <v>variant</v>
      </c>
      <c r="E1448" s="4" t="str">
        <f>IFERROR(__xludf.DUMMYFUNCTION("if(H1448=""pays"",vlookup(REGEXEXTRACT(C1448, ""🏘️ \w+ \w+ (.*) ✅""),'Country prepositions'!A:B, 2, 0) &amp; "" "" &amp; REGEXEXTRACT(C1448, ""🏘️ \w+ \w+ (.*) ✅"") ,  if(H1448=""quartier"",vlookup(REGEXEXTRACT(C1448, ""🏘️ \w+ \w+ (.*) ✅""),'Quartier prepositio"&amp;"ns'!A:E, 5, 0) ,  if(H1448=""region"",vlookup(REGEXEXTRACT(C1448, ""🏘️ \w+ \w+ (.*) ✅""),'Region prepositions'!B:F, 5, 0),  REGEXEXTRACT(C1448, ""🏘️ \w+ \w+ (.*) ✅""))))"),"Oensingen")</f>
        <v>Oensingen</v>
      </c>
      <c r="F1448" s="2" t="str">
        <f>IFERROR(__xludf.DUMMYFUNCTION("REGEXEXTRACT(C1448, ""🏘️ (\w+) \w+ .* ✅"")"),"Louer")</f>
        <v>Louer</v>
      </c>
      <c r="G1448" s="2" t="str">
        <f>IFERROR(__xludf.DUMMYFUNCTION("REGEXEXTRACT(C1448, ""🏘️ \w+ (\w+) .* ✅"")"),"appartement")</f>
        <v>appartement</v>
      </c>
      <c r="H1448" s="4" t="str">
        <f>IFERROR(__xludf.DUMMYFUNCTION("REGEXEXTRACT(A1448, ""/(\w+)-.*?"")"),"lieu")</f>
        <v>lieu</v>
      </c>
      <c r="I1448" s="4" t="str">
        <f>IFERROR(__xludf.DUMMYFUNCTION("if(D1448=""variant"",  substitute(filter(Templates!E:E, Templates!A:A = F1448, Templates!B:B = G1448, Templates!C:C = H1448), ""{{}}"", E1448), B1448)"),"🏘  Vous cherchez un appartement à louer à Oensingen? ✅ Les annonces les plus actuelles sont sur ImmoScout24.ch.")</f>
        <v>🏘  Vous cherchez un appartement à louer à Oensingen? ✅ Les annonces les plus actuelles sont sur ImmoScout24.ch.</v>
      </c>
      <c r="J1448" s="4" t="s">
        <v>4348</v>
      </c>
    </row>
    <row r="1449">
      <c r="A1449" s="5" t="s">
        <v>4349</v>
      </c>
      <c r="B1449" s="2" t="s">
        <v>4350</v>
      </c>
      <c r="C1449" s="4" t="str">
        <f>IFERROR(__xludf.DUMMYFUNCTION("""🏘️ ""&amp;REGEXEXTRACT(B1449, ""^(.*): "")&amp;"" ✅ "" &amp;REGEXEXTRACT(B1449, ""(Trouvez.*)"")"),"🏘️ Vendre appartement Cevio ✅ Trouvez le bien immobilier qui correspond idéalement à vos désirs sur ImmoScout24 - La plateforme de l'immobilier en Suisse.")</f>
        <v>🏘️ Vendre appartement Cevio ✅ Trouvez le bien immobilier qui correspond idéalement à vos désirs sur ImmoScout24 - La plateforme de l'immobilier en Suisse.</v>
      </c>
      <c r="D1449" s="4" t="str">
        <f>vlookup(A1449, Sheet2!D:E, 2, 0)</f>
        <v>variant</v>
      </c>
      <c r="E1449" s="4" t="str">
        <f>IFERROR(__xludf.DUMMYFUNCTION("if(H1449=""pays"",vlookup(REGEXEXTRACT(C1449, ""🏘️ \w+ \w+ (.*) ✅""),'Country prepositions'!A:B, 2, 0) &amp; "" "" &amp; REGEXEXTRACT(C1449, ""🏘️ \w+ \w+ (.*) ✅"") ,  if(H1449=""quartier"",vlookup(REGEXEXTRACT(C1449, ""🏘️ \w+ \w+ (.*) ✅""),'Quartier prepositio"&amp;"ns'!A:E, 5, 0) ,  if(H1449=""region"",vlookup(REGEXEXTRACT(C1449, ""🏘️ \w+ \w+ (.*) ✅""),'Region prepositions'!B:F, 5, 0),  REGEXEXTRACT(C1449, ""🏘️ \w+ \w+ (.*) ✅""))))"),"Cevio")</f>
        <v>Cevio</v>
      </c>
      <c r="F1449" s="2" t="str">
        <f>IFERROR(__xludf.DUMMYFUNCTION("REGEXEXTRACT(C1449, ""🏘️ (\w+) \w+ .* ✅"")"),"Vendre")</f>
        <v>Vendre</v>
      </c>
      <c r="G1449" s="2" t="str">
        <f>IFERROR(__xludf.DUMMYFUNCTION("REGEXEXTRACT(C1449, ""🏘️ \w+ (\w+) .* ✅"")"),"appartement")</f>
        <v>appartement</v>
      </c>
      <c r="H1449" s="4" t="str">
        <f>IFERROR(__xludf.DUMMYFUNCTION("REGEXEXTRACT(A1449, ""/(\w+)-.*?"")"),"lieu")</f>
        <v>lieu</v>
      </c>
      <c r="I1449" s="4" t="str">
        <f>IFERROR(__xludf.DUMMYFUNCTION("if(D1449=""variant"",  substitute(filter(Templates!E:E, Templates!A:A = F1449, Templates!B:B = G1449, Templates!C:C = H1449), ""{{}}"", E1449), B1449)"),"🏘  L’appartement de vos rêves se trouve sur ImmoScout24.ch ✅ Découvrez les dernières annonces de vente à Cevio.")</f>
        <v>🏘  L’appartement de vos rêves se trouve sur ImmoScout24.ch ✅ Découvrez les dernières annonces de vente à Cevio.</v>
      </c>
      <c r="J1449" s="4" t="s">
        <v>4351</v>
      </c>
    </row>
    <row r="1450">
      <c r="A1450" s="5" t="s">
        <v>4352</v>
      </c>
      <c r="B1450" s="2" t="s">
        <v>4353</v>
      </c>
      <c r="C1450" s="4" t="str">
        <f>IFERROR(__xludf.DUMMYFUNCTION("""🏘️ ""&amp;REGEXEXTRACT(B1450, ""^(.*): "")&amp;"" ✅ "" &amp;REGEXEXTRACT(B1450, ""(Trouvez.*)"")"),"🏘️ Louer appartement Montavon ✅ Trouvez le bien immobilier qui correspond idéalement à vos désirs sur ImmoScout24 - La plateforme de l'immobilier en Suisse.")</f>
        <v>🏘️ Louer appartement Montavon ✅ Trouvez le bien immobilier qui correspond idéalement à vos désirs sur ImmoScout24 - La plateforme de l'immobilier en Suisse.</v>
      </c>
      <c r="D1450" s="4" t="str">
        <f>vlookup(A1450, Sheet2!D:E, 2, 0)</f>
        <v>variant</v>
      </c>
      <c r="E1450" s="4" t="str">
        <f>IFERROR(__xludf.DUMMYFUNCTION("if(H1450=""pays"",vlookup(REGEXEXTRACT(C1450, ""🏘️ \w+ \w+ (.*) ✅""),'Country prepositions'!A:B, 2, 0) &amp; "" "" &amp; REGEXEXTRACT(C1450, ""🏘️ \w+ \w+ (.*) ✅"") ,  if(H1450=""quartier"",vlookup(REGEXEXTRACT(C1450, ""🏘️ \w+ \w+ (.*) ✅""),'Quartier prepositio"&amp;"ns'!A:E, 5, 0) ,  if(H1450=""region"",vlookup(REGEXEXTRACT(C1450, ""🏘️ \w+ \w+ (.*) ✅""),'Region prepositions'!B:F, 5, 0),  REGEXEXTRACT(C1450, ""🏘️ \w+ \w+ (.*) ✅""))))"),"Montavon")</f>
        <v>Montavon</v>
      </c>
      <c r="F1450" s="2" t="str">
        <f>IFERROR(__xludf.DUMMYFUNCTION("REGEXEXTRACT(C1450, ""🏘️ (\w+) \w+ .* ✅"")"),"Louer")</f>
        <v>Louer</v>
      </c>
      <c r="G1450" s="2" t="str">
        <f>IFERROR(__xludf.DUMMYFUNCTION("REGEXEXTRACT(C1450, ""🏘️ \w+ (\w+) .* ✅"")"),"appartement")</f>
        <v>appartement</v>
      </c>
      <c r="H1450" s="4" t="str">
        <f>IFERROR(__xludf.DUMMYFUNCTION("REGEXEXTRACT(A1450, ""/(\w+)-.*?"")"),"lieu")</f>
        <v>lieu</v>
      </c>
      <c r="I1450" s="4" t="str">
        <f>IFERROR(__xludf.DUMMYFUNCTION("if(D1450=""variant"",  substitute(filter(Templates!E:E, Templates!A:A = F1450, Templates!B:B = G1450, Templates!C:C = H1450), ""{{}}"", E1450), B1450)"),"🏘  Vous cherchez un appartement à louer à Montavon? ✅ Les annonces les plus actuelles sont sur ImmoScout24.ch.")</f>
        <v>🏘  Vous cherchez un appartement à louer à Montavon? ✅ Les annonces les plus actuelles sont sur ImmoScout24.ch.</v>
      </c>
      <c r="J1450" s="4" t="s">
        <v>4354</v>
      </c>
    </row>
    <row r="1451">
      <c r="A1451" s="5" t="s">
        <v>4355</v>
      </c>
      <c r="B1451" s="2" t="s">
        <v>4356</v>
      </c>
      <c r="C1451" s="4" t="str">
        <f>IFERROR(__xludf.DUMMYFUNCTION("""🏘️ ""&amp;REGEXEXTRACT(B1451, ""^(.*): "")&amp;"" ✅ "" &amp;REGEXEXTRACT(B1451, ""(Trouvez.*)"")"),"🏘️ Vendre appartement Varen ✅ Trouvez le bien immobilier qui correspond idéalement à vos désirs sur ImmoScout24 - La plateforme de l'immobilier en Suisse.")</f>
        <v>🏘️ Vendre appartement Varen ✅ Trouvez le bien immobilier qui correspond idéalement à vos désirs sur ImmoScout24 - La plateforme de l'immobilier en Suisse.</v>
      </c>
      <c r="D1451" s="4" t="str">
        <f>vlookup(A1451, Sheet2!D:E, 2, 0)</f>
        <v>variant</v>
      </c>
      <c r="E1451" s="4" t="str">
        <f>IFERROR(__xludf.DUMMYFUNCTION("if(H1451=""pays"",vlookup(REGEXEXTRACT(C1451, ""🏘️ \w+ \w+ (.*) ✅""),'Country prepositions'!A:B, 2, 0) &amp; "" "" &amp; REGEXEXTRACT(C1451, ""🏘️ \w+ \w+ (.*) ✅"") ,  if(H1451=""quartier"",vlookup(REGEXEXTRACT(C1451, ""🏘️ \w+ \w+ (.*) ✅""),'Quartier prepositio"&amp;"ns'!A:E, 5, 0) ,  if(H1451=""region"",vlookup(REGEXEXTRACT(C1451, ""🏘️ \w+ \w+ (.*) ✅""),'Region prepositions'!B:F, 5, 0),  REGEXEXTRACT(C1451, ""🏘️ \w+ \w+ (.*) ✅""))))"),"Varen")</f>
        <v>Varen</v>
      </c>
      <c r="F1451" s="2" t="str">
        <f>IFERROR(__xludf.DUMMYFUNCTION("REGEXEXTRACT(C1451, ""🏘️ (\w+) \w+ .* ✅"")"),"Vendre")</f>
        <v>Vendre</v>
      </c>
      <c r="G1451" s="2" t="str">
        <f>IFERROR(__xludf.DUMMYFUNCTION("REGEXEXTRACT(C1451, ""🏘️ \w+ (\w+) .* ✅"")"),"appartement")</f>
        <v>appartement</v>
      </c>
      <c r="H1451" s="4" t="str">
        <f>IFERROR(__xludf.DUMMYFUNCTION("REGEXEXTRACT(A1451, ""/(\w+)-.*?"")"),"lieu")</f>
        <v>lieu</v>
      </c>
      <c r="I1451" s="4" t="str">
        <f>IFERROR(__xludf.DUMMYFUNCTION("if(D1451=""variant"",  substitute(filter(Templates!E:E, Templates!A:A = F1451, Templates!B:B = G1451, Templates!C:C = H1451), ""{{}}"", E1451), B1451)"),"🏘  L’appartement de vos rêves se trouve sur ImmoScout24.ch ✅ Découvrez les dernières annonces de vente à Varen.")</f>
        <v>🏘  L’appartement de vos rêves se trouve sur ImmoScout24.ch ✅ Découvrez les dernières annonces de vente à Varen.</v>
      </c>
      <c r="J1451" s="4" t="s">
        <v>4357</v>
      </c>
    </row>
    <row r="1452">
      <c r="A1452" s="5" t="s">
        <v>4358</v>
      </c>
      <c r="B1452" s="2" t="s">
        <v>4359</v>
      </c>
      <c r="C1452" s="4" t="str">
        <f>IFERROR(__xludf.DUMMYFUNCTION("""🏘️ ""&amp;REGEXEXTRACT(B1452, ""^(.*): "")&amp;"" ✅ "" &amp;REGEXEXTRACT(B1452, ""(Trouvez.*)"")"),"🏘️ Louer appartement Hospental ✅ Trouvez le bien immobilier qui correspond idéalement à vos désirs sur ImmoScout24 - La plateforme de l'immobilier en Suisse.")</f>
        <v>🏘️ Louer appartement Hospental ✅ Trouvez le bien immobilier qui correspond idéalement à vos désirs sur ImmoScout24 - La plateforme de l'immobilier en Suisse.</v>
      </c>
      <c r="D1452" s="4" t="str">
        <f>vlookup(A1452, Sheet2!D:E, 2, 0)</f>
        <v>variant</v>
      </c>
      <c r="E1452" s="4" t="str">
        <f>IFERROR(__xludf.DUMMYFUNCTION("if(H1452=""pays"",vlookup(REGEXEXTRACT(C1452, ""🏘️ \w+ \w+ (.*) ✅""),'Country prepositions'!A:B, 2, 0) &amp; "" "" &amp; REGEXEXTRACT(C1452, ""🏘️ \w+ \w+ (.*) ✅"") ,  if(H1452=""quartier"",vlookup(REGEXEXTRACT(C1452, ""🏘️ \w+ \w+ (.*) ✅""),'Quartier prepositio"&amp;"ns'!A:E, 5, 0) ,  if(H1452=""region"",vlookup(REGEXEXTRACT(C1452, ""🏘️ \w+ \w+ (.*) ✅""),'Region prepositions'!B:F, 5, 0),  REGEXEXTRACT(C1452, ""🏘️ \w+ \w+ (.*) ✅""))))"),"Hospental")</f>
        <v>Hospental</v>
      </c>
      <c r="F1452" s="2" t="str">
        <f>IFERROR(__xludf.DUMMYFUNCTION("REGEXEXTRACT(C1452, ""🏘️ (\w+) \w+ .* ✅"")"),"Louer")</f>
        <v>Louer</v>
      </c>
      <c r="G1452" s="2" t="str">
        <f>IFERROR(__xludf.DUMMYFUNCTION("REGEXEXTRACT(C1452, ""🏘️ \w+ (\w+) .* ✅"")"),"appartement")</f>
        <v>appartement</v>
      </c>
      <c r="H1452" s="4" t="str">
        <f>IFERROR(__xludf.DUMMYFUNCTION("REGEXEXTRACT(A1452, ""/(\w+)-.*?"")"),"lieu")</f>
        <v>lieu</v>
      </c>
      <c r="I1452" s="4" t="str">
        <f>IFERROR(__xludf.DUMMYFUNCTION("if(D1452=""variant"",  substitute(filter(Templates!E:E, Templates!A:A = F1452, Templates!B:B = G1452, Templates!C:C = H1452), ""{{}}"", E1452), B1452)"),"🏘  Vous cherchez un appartement à louer à Hospental? ✅ Les annonces les plus actuelles sont sur ImmoScout24.ch.")</f>
        <v>🏘  Vous cherchez un appartement à louer à Hospental? ✅ Les annonces les plus actuelles sont sur ImmoScout24.ch.</v>
      </c>
      <c r="J1452" s="4" t="s">
        <v>4360</v>
      </c>
    </row>
    <row r="1453">
      <c r="A1453" s="5" t="s">
        <v>4361</v>
      </c>
      <c r="B1453" s="2" t="s">
        <v>4362</v>
      </c>
      <c r="C1453" s="4" t="str">
        <f>IFERROR(__xludf.DUMMYFUNCTION("""🏘️ ""&amp;REGEXEXTRACT(B1453, ""^(.*): "")&amp;"" ✅ "" &amp;REGEXEXTRACT(B1453, ""(Trouvez.*)"")"),"🏘️ Vendre appartement Ernen ✅ Trouvez le bien immobilier qui correspond idéalement à vos désirs sur ImmoScout24 - La plateforme de l'immobilier en Suisse.")</f>
        <v>🏘️ Vendre appartement Ernen ✅ Trouvez le bien immobilier qui correspond idéalement à vos désirs sur ImmoScout24 - La plateforme de l'immobilier en Suisse.</v>
      </c>
      <c r="D1453" s="4" t="str">
        <f>vlookup(A1453, Sheet2!D:E, 2, 0)</f>
        <v>variant</v>
      </c>
      <c r="E1453" s="4" t="str">
        <f>IFERROR(__xludf.DUMMYFUNCTION("if(H1453=""pays"",vlookup(REGEXEXTRACT(C1453, ""🏘️ \w+ \w+ (.*) ✅""),'Country prepositions'!A:B, 2, 0) &amp; "" "" &amp; REGEXEXTRACT(C1453, ""🏘️ \w+ \w+ (.*) ✅"") ,  if(H1453=""quartier"",vlookup(REGEXEXTRACT(C1453, ""🏘️ \w+ \w+ (.*) ✅""),'Quartier prepositio"&amp;"ns'!A:E, 5, 0) ,  if(H1453=""region"",vlookup(REGEXEXTRACT(C1453, ""🏘️ \w+ \w+ (.*) ✅""),'Region prepositions'!B:F, 5, 0),  REGEXEXTRACT(C1453, ""🏘️ \w+ \w+ (.*) ✅""))))"),"Ernen")</f>
        <v>Ernen</v>
      </c>
      <c r="F1453" s="2" t="str">
        <f>IFERROR(__xludf.DUMMYFUNCTION("REGEXEXTRACT(C1453, ""🏘️ (\w+) \w+ .* ✅"")"),"Vendre")</f>
        <v>Vendre</v>
      </c>
      <c r="G1453" s="2" t="str">
        <f>IFERROR(__xludf.DUMMYFUNCTION("REGEXEXTRACT(C1453, ""🏘️ \w+ (\w+) .* ✅"")"),"appartement")</f>
        <v>appartement</v>
      </c>
      <c r="H1453" s="4" t="str">
        <f>IFERROR(__xludf.DUMMYFUNCTION("REGEXEXTRACT(A1453, ""/(\w+)-.*?"")"),"lieu")</f>
        <v>lieu</v>
      </c>
      <c r="I1453" s="4" t="str">
        <f>IFERROR(__xludf.DUMMYFUNCTION("if(D1453=""variant"",  substitute(filter(Templates!E:E, Templates!A:A = F1453, Templates!B:B = G1453, Templates!C:C = H1453), ""{{}}"", E1453), B1453)"),"🏘  L’appartement de vos rêves se trouve sur ImmoScout24.ch ✅ Découvrez les dernières annonces de vente à Ernen.")</f>
        <v>🏘  L’appartement de vos rêves se trouve sur ImmoScout24.ch ✅ Découvrez les dernières annonces de vente à Ernen.</v>
      </c>
      <c r="J1453" s="4" t="s">
        <v>4363</v>
      </c>
    </row>
    <row r="1454">
      <c r="A1454" s="5" t="s">
        <v>4364</v>
      </c>
      <c r="B1454" s="2" t="s">
        <v>4365</v>
      </c>
      <c r="C1454" s="4" t="str">
        <f>IFERROR(__xludf.DUMMYFUNCTION("""🏘️ ""&amp;REGEXEXTRACT(B1454, ""^(.*): "")&amp;"" ✅ "" &amp;REGEXEXTRACT(B1454, ""(Trouvez.*)"")"),"🏘️ Vendre maison Cologny ✅ Trouvez le bien immobilier qui correspond idéalement à vos désirs sur ImmoScout24 - La plateforme de l'immobilier en Suisse.")</f>
        <v>🏘️ Vendre maison Cologny ✅ Trouvez le bien immobilier qui correspond idéalement à vos désirs sur ImmoScout24 - La plateforme de l'immobilier en Suisse.</v>
      </c>
      <c r="D1454" s="4" t="str">
        <f>vlookup(A1454, Sheet2!D:E, 2, 0)</f>
        <v>variant</v>
      </c>
      <c r="E1454" s="4" t="str">
        <f>IFERROR(__xludf.DUMMYFUNCTION("if(H1454=""pays"",vlookup(REGEXEXTRACT(C1454, ""🏘️ \w+ \w+ (.*) ✅""),'Country prepositions'!A:B, 2, 0) &amp; "" "" &amp; REGEXEXTRACT(C1454, ""🏘️ \w+ \w+ (.*) ✅"") ,  if(H1454=""quartier"",vlookup(REGEXEXTRACT(C1454, ""🏘️ \w+ \w+ (.*) ✅""),'Quartier prepositio"&amp;"ns'!A:E, 5, 0) ,  if(H1454=""region"",vlookup(REGEXEXTRACT(C1454, ""🏘️ \w+ \w+ (.*) ✅""),'Region prepositions'!B:F, 5, 0),  REGEXEXTRACT(C1454, ""🏘️ \w+ \w+ (.*) ✅""))))"),"Cologny")</f>
        <v>Cologny</v>
      </c>
      <c r="F1454" s="2" t="str">
        <f>IFERROR(__xludf.DUMMYFUNCTION("REGEXEXTRACT(C1454, ""🏘️ (\w+) \w+ .* ✅"")"),"Vendre")</f>
        <v>Vendre</v>
      </c>
      <c r="G1454" s="2" t="str">
        <f>IFERROR(__xludf.DUMMYFUNCTION("REGEXEXTRACT(C1454, ""🏘️ \w+ (\w+) .* ✅"")"),"maison")</f>
        <v>maison</v>
      </c>
      <c r="H1454" s="4" t="str">
        <f>IFERROR(__xludf.DUMMYFUNCTION("REGEXEXTRACT(A1454, ""/(\w+)-.*?"")"),"lieu")</f>
        <v>lieu</v>
      </c>
      <c r="I1454" s="4" t="str">
        <f>IFERROR(__xludf.DUMMYFUNCTION("if(D1454=""variant"",  substitute(filter(Templates!E:E, Templates!A:A = F1454, Templates!B:B = G1454, Templates!C:C = H1454), ""{{}}"", E1454), B1454)"),"🏘  Vous souhaitez acheter une maison à Cologny? ✅ Jetez un œil aux dernières offres sur ImmoScout24.ch.")</f>
        <v>🏘  Vous souhaitez acheter une maison à Cologny? ✅ Jetez un œil aux dernières offres sur ImmoScout24.ch.</v>
      </c>
      <c r="J1454" s="4" t="s">
        <v>4366</v>
      </c>
    </row>
    <row r="1455">
      <c r="A1455" s="5" t="s">
        <v>4367</v>
      </c>
      <c r="B1455" s="2" t="s">
        <v>4368</v>
      </c>
      <c r="C1455" s="4" t="str">
        <f>IFERROR(__xludf.DUMMYFUNCTION("""🏘️ ""&amp;REGEXEXTRACT(B1455, ""^(.*): "")&amp;"" ✅ "" &amp;REGEXEXTRACT(B1455, ""(Trouvez.*)"")"),"🏘️ Louer maison Leuk Stadt ✅ Trouvez le bien immobilier qui correspond idéalement à vos désirs sur ImmoScout24 - La plateforme de l'immobilier en Suisse.")</f>
        <v>🏘️ Louer maison Leuk Stadt ✅ Trouvez le bien immobilier qui correspond idéalement à vos désirs sur ImmoScout24 - La plateforme de l'immobilier en Suisse.</v>
      </c>
      <c r="D1455" s="4" t="str">
        <f>vlookup(A1455, Sheet2!D:E, 2, 0)</f>
        <v>variant</v>
      </c>
      <c r="E1455" s="4" t="str">
        <f>IFERROR(__xludf.DUMMYFUNCTION("if(H1455=""pays"",vlookup(REGEXEXTRACT(C1455, ""🏘️ \w+ \w+ (.*) ✅""),'Country prepositions'!A:B, 2, 0) &amp; "" "" &amp; REGEXEXTRACT(C1455, ""🏘️ \w+ \w+ (.*) ✅"") ,  if(H1455=""quartier"",vlookup(REGEXEXTRACT(C1455, ""🏘️ \w+ \w+ (.*) ✅""),'Quartier prepositio"&amp;"ns'!A:E, 5, 0) ,  if(H1455=""region"",vlookup(REGEXEXTRACT(C1455, ""🏘️ \w+ \w+ (.*) ✅""),'Region prepositions'!B:F, 5, 0),  REGEXEXTRACT(C1455, ""🏘️ \w+ \w+ (.*) ✅""))))"),"Leuk Stadt")</f>
        <v>Leuk Stadt</v>
      </c>
      <c r="F1455" s="2" t="str">
        <f>IFERROR(__xludf.DUMMYFUNCTION("REGEXEXTRACT(C1455, ""🏘️ (\w+) \w+ .* ✅"")"),"Louer")</f>
        <v>Louer</v>
      </c>
      <c r="G1455" s="2" t="str">
        <f>IFERROR(__xludf.DUMMYFUNCTION("REGEXEXTRACT(C1455, ""🏘️ \w+ (\w+) .* ✅"")"),"maison")</f>
        <v>maison</v>
      </c>
      <c r="H1455" s="4" t="str">
        <f>IFERROR(__xludf.DUMMYFUNCTION("REGEXEXTRACT(A1455, ""/(\w+)-.*?"")"),"lieu")</f>
        <v>lieu</v>
      </c>
      <c r="I1455" s="4" t="str">
        <f>IFERROR(__xludf.DUMMYFUNCTION("if(D1455=""variant"",  substitute(filter(Templates!E:E, Templates!A:A = F1455, Templates!B:B = G1455, Templates!C:C = H1455), ""{{}}"", E1455), B1455)"),"🏘  Vous cherchez une maison à louer à Leuk Stadt? ✅ Découvrez nos nombreuses annonces sur ImmoScout24.ch.")</f>
        <v>🏘  Vous cherchez une maison à louer à Leuk Stadt? ✅ Découvrez nos nombreuses annonces sur ImmoScout24.ch.</v>
      </c>
      <c r="J1455" s="2" t="s">
        <v>4369</v>
      </c>
    </row>
    <row r="1456">
      <c r="A1456" s="5" t="s">
        <v>4370</v>
      </c>
      <c r="B1456" s="2" t="s">
        <v>4371</v>
      </c>
      <c r="C1456" s="4" t="str">
        <f>IFERROR(__xludf.DUMMYFUNCTION("""🏘️ ""&amp;REGEXEXTRACT(B1456, ""^(.*): "")&amp;"" ✅ "" &amp;REGEXEXTRACT(B1456, ""(Trouvez.*)"")"),"🏘️ Louer maison Les Paccots ✅ Trouvez le bien immobilier qui correspond idéalement à vos désirs sur ImmoScout24 - La plateforme de l'immobilier en Suisse.")</f>
        <v>🏘️ Louer maison Les Paccots ✅ Trouvez le bien immobilier qui correspond idéalement à vos désirs sur ImmoScout24 - La plateforme de l'immobilier en Suisse.</v>
      </c>
      <c r="D1456" s="4" t="str">
        <f>vlookup(A1456, Sheet2!D:E, 2, 0)</f>
        <v>variant</v>
      </c>
      <c r="E1456" s="4" t="str">
        <f>IFERROR(__xludf.DUMMYFUNCTION("if(H1456=""pays"",vlookup(REGEXEXTRACT(C1456, ""🏘️ \w+ \w+ (.*) ✅""),'Country prepositions'!A:B, 2, 0) &amp; "" "" &amp; REGEXEXTRACT(C1456, ""🏘️ \w+ \w+ (.*) ✅"") ,  if(H1456=""quartier"",vlookup(REGEXEXTRACT(C1456, ""🏘️ \w+ \w+ (.*) ✅""),'Quartier prepositio"&amp;"ns'!A:E, 5, 0) ,  if(H1456=""region"",vlookup(REGEXEXTRACT(C1456, ""🏘️ \w+ \w+ (.*) ✅""),'Region prepositions'!B:F, 5, 0),  REGEXEXTRACT(C1456, ""🏘️ \w+ \w+ (.*) ✅""))))"),"Les Paccots")</f>
        <v>Les Paccots</v>
      </c>
      <c r="F1456" s="2" t="str">
        <f>IFERROR(__xludf.DUMMYFUNCTION("REGEXEXTRACT(C1456, ""🏘️ (\w+) \w+ .* ✅"")"),"Louer")</f>
        <v>Louer</v>
      </c>
      <c r="G1456" s="2" t="str">
        <f>IFERROR(__xludf.DUMMYFUNCTION("REGEXEXTRACT(C1456, ""🏘️ \w+ (\w+) .* ✅"")"),"maison")</f>
        <v>maison</v>
      </c>
      <c r="H1456" s="4" t="str">
        <f>IFERROR(__xludf.DUMMYFUNCTION("REGEXEXTRACT(A1456, ""/(\w+)-.*?"")"),"lieu")</f>
        <v>lieu</v>
      </c>
      <c r="I1456" s="4" t="str">
        <f>IFERROR(__xludf.DUMMYFUNCTION("if(D1456=""variant"",  substitute(filter(Templates!E:E, Templates!A:A = F1456, Templates!B:B = G1456, Templates!C:C = H1456), ""{{}}"", E1456), B1456)"),"🏘  Vous cherchez une maison à louer à Les Paccots? ✅ Découvrez nos nombreuses annonces sur ImmoScout24.ch.")</f>
        <v>🏘  Vous cherchez une maison à louer à Les Paccots? ✅ Découvrez nos nombreuses annonces sur ImmoScout24.ch.</v>
      </c>
      <c r="J1456" s="2" t="s">
        <v>4372</v>
      </c>
    </row>
    <row r="1457">
      <c r="A1457" s="5" t="s">
        <v>4373</v>
      </c>
      <c r="B1457" s="2" t="s">
        <v>4374</v>
      </c>
      <c r="C1457" s="4" t="str">
        <f>IFERROR(__xludf.DUMMYFUNCTION("""🏘️ ""&amp;REGEXEXTRACT(B1457, ""^(.*): "")&amp;"" ✅ "" &amp;REGEXEXTRACT(B1457, ""(Trouvez.*)"")"),"🏘️ Louer appartement Canton de Lucerne ✅ Trouvez le bien immobilier qui correspond idéalement à vos désirs sur ImmoScout24 - La plateforme de l'immobilier en Suisse.")</f>
        <v>🏘️ Louer appartement Canton de Lucerne ✅ Trouvez le bien immobilier qui correspond idéalement à vos désirs sur ImmoScout24 - La plateforme de l'immobilier en Suisse.</v>
      </c>
      <c r="D1457" s="4" t="str">
        <f>vlookup(A1457, Sheet2!D:E, 2, 0)</f>
        <v>variant</v>
      </c>
      <c r="E1457" s="4" t="str">
        <f>IFERROR(__xludf.DUMMYFUNCTION("if(H1457=""pays"",vlookup(REGEXEXTRACT(C1457, ""🏘️ \w+ \w+ (.*) ✅""),'Country prepositions'!A:B, 2, 0) &amp; "" "" &amp; REGEXEXTRACT(C1457, ""🏘️ \w+ \w+ (.*) ✅"") ,  if(H1457=""quartier"",vlookup(REGEXEXTRACT(C1457, ""🏘️ \w+ \w+ (.*) ✅""),'Quartier prepositio"&amp;"ns'!A:E, 5, 0) ,  if(H1457=""region"",vlookup(REGEXEXTRACT(C1457, ""🏘️ \w+ \w+ (.*) ✅""),'Region prepositions'!B:F, 5, 0),  REGEXEXTRACT(C1457, ""🏘️ \w+ \w+ (.*) ✅""))))"),"Canton de Lucerne")</f>
        <v>Canton de Lucerne</v>
      </c>
      <c r="F1457" s="2" t="str">
        <f>IFERROR(__xludf.DUMMYFUNCTION("REGEXEXTRACT(C1457, ""🏘️ (\w+) \w+ .* ✅"")"),"Louer")</f>
        <v>Louer</v>
      </c>
      <c r="G1457" s="2" t="str">
        <f>IFERROR(__xludf.DUMMYFUNCTION("REGEXEXTRACT(C1457, ""🏘️ \w+ (\w+) .* ✅"")"),"appartement")</f>
        <v>appartement</v>
      </c>
      <c r="H1457" s="4" t="str">
        <f>IFERROR(__xludf.DUMMYFUNCTION("REGEXEXTRACT(A1457, ""/(\w+)-.*?"")"),"canton")</f>
        <v>canton</v>
      </c>
      <c r="I1457" s="4" t="str">
        <f>IFERROR(__xludf.DUMMYFUNCTION("if(D1457=""variant"",  substitute(filter(Templates!E:E, Templates!A:A = F1457, Templates!B:B = G1457, Templates!C:C = H1457), ""{{}}"", E1457), B1457)"),"🏘  Vous cherchez un appartement à louer dans le Canton de Lucerne? ✅ Les annonces les plus actuelles sont sur ImmoScout24.ch.")</f>
        <v>🏘  Vous cherchez un appartement à louer dans le Canton de Lucerne? ✅ Les annonces les plus actuelles sont sur ImmoScout24.ch.</v>
      </c>
      <c r="J1457" s="4" t="s">
        <v>4375</v>
      </c>
    </row>
    <row r="1458">
      <c r="A1458" s="5" t="s">
        <v>4376</v>
      </c>
      <c r="B1458" s="2" t="s">
        <v>4377</v>
      </c>
      <c r="C1458" s="4" t="str">
        <f>IFERROR(__xludf.DUMMYFUNCTION("""🏘️ ""&amp;REGEXEXTRACT(B1458, ""^(.*): "")&amp;"" ✅ "" &amp;REGEXEXTRACT(B1458, ""(Trouvez.*)"")"),"🏘️ Louer appartement Wil SG ✅ Trouvez le bien immobilier qui correspond idéalement à vos désirs sur ImmoScout24 - La plateforme de l'immobilier en Suisse.")</f>
        <v>🏘️ Louer appartement Wil SG ✅ Trouvez le bien immobilier qui correspond idéalement à vos désirs sur ImmoScout24 - La plateforme de l'immobilier en Suisse.</v>
      </c>
      <c r="D1458" s="4" t="str">
        <f>vlookup(A1458, Sheet2!D:E, 2, 0)</f>
        <v>variant</v>
      </c>
      <c r="E1458" s="4" t="str">
        <f>IFERROR(__xludf.DUMMYFUNCTION("if(H1458=""pays"",vlookup(REGEXEXTRACT(C1458, ""🏘️ \w+ \w+ (.*) ✅""),'Country prepositions'!A:B, 2, 0) &amp; "" "" &amp; REGEXEXTRACT(C1458, ""🏘️ \w+ \w+ (.*) ✅"") ,  if(H1458=""quartier"",vlookup(REGEXEXTRACT(C1458, ""🏘️ \w+ \w+ (.*) ✅""),'Quartier prepositio"&amp;"ns'!A:E, 5, 0) ,  if(H1458=""region"",vlookup(REGEXEXTRACT(C1458, ""🏘️ \w+ \w+ (.*) ✅""),'Region prepositions'!B:F, 5, 0),  REGEXEXTRACT(C1458, ""🏘️ \w+ \w+ (.*) ✅""))))"),"Wil SG")</f>
        <v>Wil SG</v>
      </c>
      <c r="F1458" s="2" t="str">
        <f>IFERROR(__xludf.DUMMYFUNCTION("REGEXEXTRACT(C1458, ""🏘️ (\w+) \w+ .* ✅"")"),"Louer")</f>
        <v>Louer</v>
      </c>
      <c r="G1458" s="2" t="str">
        <f>IFERROR(__xludf.DUMMYFUNCTION("REGEXEXTRACT(C1458, ""🏘️ \w+ (\w+) .* ✅"")"),"appartement")</f>
        <v>appartement</v>
      </c>
      <c r="H1458" s="4" t="str">
        <f>IFERROR(__xludf.DUMMYFUNCTION("REGEXEXTRACT(A1458, ""/(\w+)-.*?"")"),"lieu")</f>
        <v>lieu</v>
      </c>
      <c r="I1458" s="4" t="str">
        <f>IFERROR(__xludf.DUMMYFUNCTION("if(D1458=""variant"",  substitute(filter(Templates!E:E, Templates!A:A = F1458, Templates!B:B = G1458, Templates!C:C = H1458), ""{{}}"", E1458), B1458)"),"🏘  Vous cherchez un appartement à louer à Wil SG? ✅ Les annonces les plus actuelles sont sur ImmoScout24.ch.")</f>
        <v>🏘  Vous cherchez un appartement à louer à Wil SG? ✅ Les annonces les plus actuelles sont sur ImmoScout24.ch.</v>
      </c>
      <c r="J1458" s="4" t="s">
        <v>4378</v>
      </c>
    </row>
    <row r="1459">
      <c r="A1459" s="5" t="s">
        <v>4379</v>
      </c>
      <c r="B1459" s="2" t="s">
        <v>4380</v>
      </c>
      <c r="C1459" s="4" t="str">
        <f>IFERROR(__xludf.DUMMYFUNCTION("""🏘️ ""&amp;REGEXEXTRACT(B1459, ""^(.*): "")&amp;"" ✅ "" &amp;REGEXEXTRACT(B1459, ""(Trouvez.*)"")"),"🏘️ Louer appartement Evionnaz ✅ Trouvez le bien immobilier qui correspond idéalement à vos désirs sur ImmoScout24 - La plateforme de l'immobilier en Suisse.")</f>
        <v>🏘️ Louer appartement Evionnaz ✅ Trouvez le bien immobilier qui correspond idéalement à vos désirs sur ImmoScout24 - La plateforme de l'immobilier en Suisse.</v>
      </c>
      <c r="D1459" s="4" t="str">
        <f>vlookup(A1459, Sheet2!D:E, 2, 0)</f>
        <v>variant</v>
      </c>
      <c r="E1459" s="4" t="str">
        <f>IFERROR(__xludf.DUMMYFUNCTION("if(H1459=""pays"",vlookup(REGEXEXTRACT(C1459, ""🏘️ \w+ \w+ (.*) ✅""),'Country prepositions'!A:B, 2, 0) &amp; "" "" &amp; REGEXEXTRACT(C1459, ""🏘️ \w+ \w+ (.*) ✅"") ,  if(H1459=""quartier"",vlookup(REGEXEXTRACT(C1459, ""🏘️ \w+ \w+ (.*) ✅""),'Quartier prepositio"&amp;"ns'!A:E, 5, 0) ,  if(H1459=""region"",vlookup(REGEXEXTRACT(C1459, ""🏘️ \w+ \w+ (.*) ✅""),'Region prepositions'!B:F, 5, 0),  REGEXEXTRACT(C1459, ""🏘️ \w+ \w+ (.*) ✅""))))"),"Evionnaz")</f>
        <v>Evionnaz</v>
      </c>
      <c r="F1459" s="2" t="str">
        <f>IFERROR(__xludf.DUMMYFUNCTION("REGEXEXTRACT(C1459, ""🏘️ (\w+) \w+ .* ✅"")"),"Louer")</f>
        <v>Louer</v>
      </c>
      <c r="G1459" s="2" t="str">
        <f>IFERROR(__xludf.DUMMYFUNCTION("REGEXEXTRACT(C1459, ""🏘️ \w+ (\w+) .* ✅"")"),"appartement")</f>
        <v>appartement</v>
      </c>
      <c r="H1459" s="4" t="str">
        <f>IFERROR(__xludf.DUMMYFUNCTION("REGEXEXTRACT(A1459, ""/(\w+)-.*?"")"),"lieu")</f>
        <v>lieu</v>
      </c>
      <c r="I1459" s="4" t="str">
        <f>IFERROR(__xludf.DUMMYFUNCTION("if(D1459=""variant"",  substitute(filter(Templates!E:E, Templates!A:A = F1459, Templates!B:B = G1459, Templates!C:C = H1459), ""{{}}"", E1459), B1459)"),"🏘  Vous cherchez un appartement à louer à Evionnaz? ✅ Les annonces les plus actuelles sont sur ImmoScout24.ch.")</f>
        <v>🏘  Vous cherchez un appartement à louer à Evionnaz? ✅ Les annonces les plus actuelles sont sur ImmoScout24.ch.</v>
      </c>
      <c r="J1459" s="4" t="s">
        <v>4381</v>
      </c>
    </row>
    <row r="1460">
      <c r="A1460" s="5" t="s">
        <v>4382</v>
      </c>
      <c r="B1460" s="2" t="s">
        <v>4383</v>
      </c>
      <c r="C1460" s="4" t="str">
        <f>IFERROR(__xludf.DUMMYFUNCTION("""🏘️ ""&amp;REGEXEXTRACT(B1460, ""^(.*): "")&amp;"" ✅ "" &amp;REGEXEXTRACT(B1460, ""(Trouvez.*)"")"),"🏘️ Vendre maison Lucens ✅ Trouvez le bien immobilier qui correspond idéalement à vos désirs sur ImmoScout24 - La plateforme de l'immobilier en Suisse.")</f>
        <v>🏘️ Vendre maison Lucens ✅ Trouvez le bien immobilier qui correspond idéalement à vos désirs sur ImmoScout24 - La plateforme de l'immobilier en Suisse.</v>
      </c>
      <c r="D1460" s="4" t="str">
        <f>vlookup(A1460, Sheet2!D:E, 2, 0)</f>
        <v>variant</v>
      </c>
      <c r="E1460" s="4" t="str">
        <f>IFERROR(__xludf.DUMMYFUNCTION("if(H1460=""pays"",vlookup(REGEXEXTRACT(C1460, ""🏘️ \w+ \w+ (.*) ✅""),'Country prepositions'!A:B, 2, 0) &amp; "" "" &amp; REGEXEXTRACT(C1460, ""🏘️ \w+ \w+ (.*) ✅"") ,  if(H1460=""quartier"",vlookup(REGEXEXTRACT(C1460, ""🏘️ \w+ \w+ (.*) ✅""),'Quartier prepositio"&amp;"ns'!A:E, 5, 0) ,  if(H1460=""region"",vlookup(REGEXEXTRACT(C1460, ""🏘️ \w+ \w+ (.*) ✅""),'Region prepositions'!B:F, 5, 0),  REGEXEXTRACT(C1460, ""🏘️ \w+ \w+ (.*) ✅""))))"),"Lucens")</f>
        <v>Lucens</v>
      </c>
      <c r="F1460" s="2" t="str">
        <f>IFERROR(__xludf.DUMMYFUNCTION("REGEXEXTRACT(C1460, ""🏘️ (\w+) \w+ .* ✅"")"),"Vendre")</f>
        <v>Vendre</v>
      </c>
      <c r="G1460" s="2" t="str">
        <f>IFERROR(__xludf.DUMMYFUNCTION("REGEXEXTRACT(C1460, ""🏘️ \w+ (\w+) .* ✅"")"),"maison")</f>
        <v>maison</v>
      </c>
      <c r="H1460" s="4" t="str">
        <f>IFERROR(__xludf.DUMMYFUNCTION("REGEXEXTRACT(A1460, ""/(\w+)-.*?"")"),"lieu")</f>
        <v>lieu</v>
      </c>
      <c r="I1460" s="4" t="str">
        <f>IFERROR(__xludf.DUMMYFUNCTION("if(D1460=""variant"",  substitute(filter(Templates!E:E, Templates!A:A = F1460, Templates!B:B = G1460, Templates!C:C = H1460), ""{{}}"", E1460), B1460)"),"🏘  Vous souhaitez acheter une maison à Lucens? ✅ Jetez un œil aux dernières offres sur ImmoScout24.ch.")</f>
        <v>🏘  Vous souhaitez acheter une maison à Lucens? ✅ Jetez un œil aux dernières offres sur ImmoScout24.ch.</v>
      </c>
      <c r="J1460" s="4" t="s">
        <v>4384</v>
      </c>
    </row>
    <row r="1461">
      <c r="A1461" s="5" t="s">
        <v>4385</v>
      </c>
      <c r="B1461" s="2" t="s">
        <v>4386</v>
      </c>
      <c r="C1461" s="4" t="str">
        <f>IFERROR(__xludf.DUMMYFUNCTION("""🏘️ ""&amp;REGEXEXTRACT(B1461, ""^(.*): "")&amp;"" ✅ "" &amp;REGEXEXTRACT(B1461, ""(Trouvez.*)"")"),"🏘️ Vendre appartement Troistorrents ✅ Trouvez le bien immobilier qui correspond idéalement à vos désirs sur ImmoScout24 - La plateforme de l'immobilier en Suisse.")</f>
        <v>🏘️ Vendre appartement Troistorrents ✅ Trouvez le bien immobilier qui correspond idéalement à vos désirs sur ImmoScout24 - La plateforme de l'immobilier en Suisse.</v>
      </c>
      <c r="D1461" s="4" t="str">
        <f>vlookup(A1461, Sheet2!D:E, 2, 0)</f>
        <v>variant</v>
      </c>
      <c r="E1461" s="4" t="str">
        <f>IFERROR(__xludf.DUMMYFUNCTION("if(H1461=""pays"",vlookup(REGEXEXTRACT(C1461, ""🏘️ \w+ \w+ (.*) ✅""),'Country prepositions'!A:B, 2, 0) &amp; "" "" &amp; REGEXEXTRACT(C1461, ""🏘️ \w+ \w+ (.*) ✅"") ,  if(H1461=""quartier"",vlookup(REGEXEXTRACT(C1461, ""🏘️ \w+ \w+ (.*) ✅""),'Quartier prepositio"&amp;"ns'!A:E, 5, 0) ,  if(H1461=""region"",vlookup(REGEXEXTRACT(C1461, ""🏘️ \w+ \w+ (.*) ✅""),'Region prepositions'!B:F, 5, 0),  REGEXEXTRACT(C1461, ""🏘️ \w+ \w+ (.*) ✅""))))"),"Troistorrents")</f>
        <v>Troistorrents</v>
      </c>
      <c r="F1461" s="2" t="str">
        <f>IFERROR(__xludf.DUMMYFUNCTION("REGEXEXTRACT(C1461, ""🏘️ (\w+) \w+ .* ✅"")"),"Vendre")</f>
        <v>Vendre</v>
      </c>
      <c r="G1461" s="2" t="str">
        <f>IFERROR(__xludf.DUMMYFUNCTION("REGEXEXTRACT(C1461, ""🏘️ \w+ (\w+) .* ✅"")"),"appartement")</f>
        <v>appartement</v>
      </c>
      <c r="H1461" s="4" t="str">
        <f>IFERROR(__xludf.DUMMYFUNCTION("REGEXEXTRACT(A1461, ""/(\w+)-.*?"")"),"lieu")</f>
        <v>lieu</v>
      </c>
      <c r="I1461" s="4" t="str">
        <f>IFERROR(__xludf.DUMMYFUNCTION("if(D1461=""variant"",  substitute(filter(Templates!E:E, Templates!A:A = F1461, Templates!B:B = G1461, Templates!C:C = H1461), ""{{}}"", E1461), B1461)"),"🏘  L’appartement de vos rêves se trouve sur ImmoScout24.ch ✅ Découvrez les dernières annonces de vente à Troistorrents.")</f>
        <v>🏘  L’appartement de vos rêves se trouve sur ImmoScout24.ch ✅ Découvrez les dernières annonces de vente à Troistorrents.</v>
      </c>
      <c r="J1461" s="4" t="s">
        <v>4387</v>
      </c>
    </row>
    <row r="1462">
      <c r="A1462" s="5" t="s">
        <v>4388</v>
      </c>
      <c r="B1462" s="2" t="s">
        <v>4389</v>
      </c>
      <c r="C1462" s="4" t="str">
        <f>IFERROR(__xludf.DUMMYFUNCTION("""🏘️ ""&amp;REGEXEXTRACT(B1462, ""^(.*): "")&amp;"" ✅ "" &amp;REGEXEXTRACT(B1462, ""(Trouvez.*)"")"),"🏘️ Louer maison Dombresson ✅ Trouvez le bien immobilier qui correspond idéalement à vos désirs sur ImmoScout24 - La plateforme de l'immobilier en Suisse.")</f>
        <v>🏘️ Louer maison Dombresson ✅ Trouvez le bien immobilier qui correspond idéalement à vos désirs sur ImmoScout24 - La plateforme de l'immobilier en Suisse.</v>
      </c>
      <c r="D1462" s="4" t="str">
        <f>vlookup(A1462, Sheet2!D:E, 2, 0)</f>
        <v>variant</v>
      </c>
      <c r="E1462" s="4" t="str">
        <f>IFERROR(__xludf.DUMMYFUNCTION("if(H1462=""pays"",vlookup(REGEXEXTRACT(C1462, ""🏘️ \w+ \w+ (.*) ✅""),'Country prepositions'!A:B, 2, 0) &amp; "" "" &amp; REGEXEXTRACT(C1462, ""🏘️ \w+ \w+ (.*) ✅"") ,  if(H1462=""quartier"",vlookup(REGEXEXTRACT(C1462, ""🏘️ \w+ \w+ (.*) ✅""),'Quartier prepositio"&amp;"ns'!A:E, 5, 0) ,  if(H1462=""region"",vlookup(REGEXEXTRACT(C1462, ""🏘️ \w+ \w+ (.*) ✅""),'Region prepositions'!B:F, 5, 0),  REGEXEXTRACT(C1462, ""🏘️ \w+ \w+ (.*) ✅""))))"),"Dombresson")</f>
        <v>Dombresson</v>
      </c>
      <c r="F1462" s="2" t="str">
        <f>IFERROR(__xludf.DUMMYFUNCTION("REGEXEXTRACT(C1462, ""🏘️ (\w+) \w+ .* ✅"")"),"Louer")</f>
        <v>Louer</v>
      </c>
      <c r="G1462" s="2" t="str">
        <f>IFERROR(__xludf.DUMMYFUNCTION("REGEXEXTRACT(C1462, ""🏘️ \w+ (\w+) .* ✅"")"),"maison")</f>
        <v>maison</v>
      </c>
      <c r="H1462" s="4" t="str">
        <f>IFERROR(__xludf.DUMMYFUNCTION("REGEXEXTRACT(A1462, ""/(\w+)-.*?"")"),"lieu")</f>
        <v>lieu</v>
      </c>
      <c r="I1462" s="4" t="str">
        <f>IFERROR(__xludf.DUMMYFUNCTION("if(D1462=""variant"",  substitute(filter(Templates!E:E, Templates!A:A = F1462, Templates!B:B = G1462, Templates!C:C = H1462), ""{{}}"", E1462), B1462)"),"🏘  Vous cherchez une maison à louer à Dombresson? ✅ Découvrez nos nombreuses annonces sur ImmoScout24.ch.")</f>
        <v>🏘  Vous cherchez une maison à louer à Dombresson? ✅ Découvrez nos nombreuses annonces sur ImmoScout24.ch.</v>
      </c>
      <c r="J1462" s="4" t="s">
        <v>4390</v>
      </c>
    </row>
    <row r="1463">
      <c r="A1463" s="5" t="s">
        <v>4391</v>
      </c>
      <c r="B1463" s="2" t="s">
        <v>4392</v>
      </c>
      <c r="C1463" s="4" t="str">
        <f>IFERROR(__xludf.DUMMYFUNCTION("""🏘️ ""&amp;REGEXEXTRACT(B1463, ""^(.*): "")&amp;"" ✅ "" &amp;REGEXEXTRACT(B1463, ""(Trouvez.*)"")"),"🏘️ Vendre appartement Le Mont-Pèlerin ✅ Trouvez le bien immobilier qui correspond idéalement à vos désirs sur ImmoScout24 - La plateforme de l'immobilier en Suisse.")</f>
        <v>🏘️ Vendre appartement Le Mont-Pèlerin ✅ Trouvez le bien immobilier qui correspond idéalement à vos désirs sur ImmoScout24 - La plateforme de l'immobilier en Suisse.</v>
      </c>
      <c r="D1463" s="4" t="str">
        <f>vlookup(A1463, Sheet2!D:E, 2, 0)</f>
        <v>variant</v>
      </c>
      <c r="E1463" s="4" t="str">
        <f>IFERROR(__xludf.DUMMYFUNCTION("if(H1463=""pays"",vlookup(REGEXEXTRACT(C1463, ""🏘️ \w+ \w+ (.*) ✅""),'Country prepositions'!A:B, 2, 0) &amp; "" "" &amp; REGEXEXTRACT(C1463, ""🏘️ \w+ \w+ (.*) ✅"") ,  if(H1463=""quartier"",vlookup(REGEXEXTRACT(C1463, ""🏘️ \w+ \w+ (.*) ✅""),'Quartier prepositio"&amp;"ns'!A:E, 5, 0) ,  if(H1463=""region"",vlookup(REGEXEXTRACT(C1463, ""🏘️ \w+ \w+ (.*) ✅""),'Region prepositions'!B:F, 5, 0),  REGEXEXTRACT(C1463, ""🏘️ \w+ \w+ (.*) ✅""))))"),"Le Mont-Pèlerin")</f>
        <v>Le Mont-Pèlerin</v>
      </c>
      <c r="F1463" s="2" t="str">
        <f>IFERROR(__xludf.DUMMYFUNCTION("REGEXEXTRACT(C1463, ""🏘️ (\w+) \w+ .* ✅"")"),"Vendre")</f>
        <v>Vendre</v>
      </c>
      <c r="G1463" s="2" t="str">
        <f>IFERROR(__xludf.DUMMYFUNCTION("REGEXEXTRACT(C1463, ""🏘️ \w+ (\w+) .* ✅"")"),"appartement")</f>
        <v>appartement</v>
      </c>
      <c r="H1463" s="4" t="str">
        <f>IFERROR(__xludf.DUMMYFUNCTION("REGEXEXTRACT(A1463, ""/(\w+)-.*?"")"),"lieu")</f>
        <v>lieu</v>
      </c>
      <c r="I1463" s="4" t="str">
        <f>IFERROR(__xludf.DUMMYFUNCTION("if(D1463=""variant"",  substitute(filter(Templates!E:E, Templates!A:A = F1463, Templates!B:B = G1463, Templates!C:C = H1463), ""{{}}"", E1463), B1463)"),"🏘  L’appartement de vos rêves se trouve sur ImmoScout24.ch ✅ Découvrez les dernières annonces de vente à Le Mont-Pèlerin.")</f>
        <v>🏘  L’appartement de vos rêves se trouve sur ImmoScout24.ch ✅ Découvrez les dernières annonces de vente à Le Mont-Pèlerin.</v>
      </c>
      <c r="J1463" s="2" t="s">
        <v>4393</v>
      </c>
    </row>
    <row r="1464">
      <c r="A1464" s="5" t="s">
        <v>4394</v>
      </c>
      <c r="B1464" s="2" t="s">
        <v>4395</v>
      </c>
      <c r="C1464" s="4" t="str">
        <f>IFERROR(__xludf.DUMMYFUNCTION("""🏘️ ""&amp;REGEXEXTRACT(B1464, ""^(.*): "")&amp;"" ✅ "" &amp;REGEXEXTRACT(B1464, ""(Trouvez.*)"")"),"🏘️ Louer appartement Valbella ✅ Trouvez le bien immobilier qui correspond idéalement à vos désirs sur ImmoScout24 - La plateforme de l'immobilier en Suisse.")</f>
        <v>🏘️ Louer appartement Valbella ✅ Trouvez le bien immobilier qui correspond idéalement à vos désirs sur ImmoScout24 - La plateforme de l'immobilier en Suisse.</v>
      </c>
      <c r="D1464" s="4" t="str">
        <f>vlookup(A1464, Sheet2!D:E, 2, 0)</f>
        <v>variant</v>
      </c>
      <c r="E1464" s="4" t="str">
        <f>IFERROR(__xludf.DUMMYFUNCTION("if(H1464=""pays"",vlookup(REGEXEXTRACT(C1464, ""🏘️ \w+ \w+ (.*) ✅""),'Country prepositions'!A:B, 2, 0) &amp; "" "" &amp; REGEXEXTRACT(C1464, ""🏘️ \w+ \w+ (.*) ✅"") ,  if(H1464=""quartier"",vlookup(REGEXEXTRACT(C1464, ""🏘️ \w+ \w+ (.*) ✅""),'Quartier prepositio"&amp;"ns'!A:E, 5, 0) ,  if(H1464=""region"",vlookup(REGEXEXTRACT(C1464, ""🏘️ \w+ \w+ (.*) ✅""),'Region prepositions'!B:F, 5, 0),  REGEXEXTRACT(C1464, ""🏘️ \w+ \w+ (.*) ✅""))))"),"Valbella")</f>
        <v>Valbella</v>
      </c>
      <c r="F1464" s="2" t="str">
        <f>IFERROR(__xludf.DUMMYFUNCTION("REGEXEXTRACT(C1464, ""🏘️ (\w+) \w+ .* ✅"")"),"Louer")</f>
        <v>Louer</v>
      </c>
      <c r="G1464" s="2" t="str">
        <f>IFERROR(__xludf.DUMMYFUNCTION("REGEXEXTRACT(C1464, ""🏘️ \w+ (\w+) .* ✅"")"),"appartement")</f>
        <v>appartement</v>
      </c>
      <c r="H1464" s="4" t="str">
        <f>IFERROR(__xludf.DUMMYFUNCTION("REGEXEXTRACT(A1464, ""/(\w+)-.*?"")"),"lieu")</f>
        <v>lieu</v>
      </c>
      <c r="I1464" s="4" t="str">
        <f>IFERROR(__xludf.DUMMYFUNCTION("if(D1464=""variant"",  substitute(filter(Templates!E:E, Templates!A:A = F1464, Templates!B:B = G1464, Templates!C:C = H1464), ""{{}}"", E1464), B1464)"),"🏘  Vous cherchez un appartement à louer à Valbella? ✅ Les annonces les plus actuelles sont sur ImmoScout24.ch.")</f>
        <v>🏘  Vous cherchez un appartement à louer à Valbella? ✅ Les annonces les plus actuelles sont sur ImmoScout24.ch.</v>
      </c>
      <c r="J1464" s="4" t="s">
        <v>4396</v>
      </c>
    </row>
    <row r="1465">
      <c r="A1465" s="5" t="s">
        <v>4397</v>
      </c>
      <c r="B1465" s="2" t="s">
        <v>4398</v>
      </c>
      <c r="C1465" s="4" t="str">
        <f>IFERROR(__xludf.DUMMYFUNCTION("""🏘️ ""&amp;REGEXEXTRACT(B1465, ""^(.*): "")&amp;"" ✅ "" &amp;REGEXEXTRACT(B1465, ""(Trouvez.*)"")"),"🏘️ Louer maison Signy ✅ Trouvez le bien immobilier qui correspond idéalement à vos désirs sur ImmoScout24 - La plateforme de l'immobilier en Suisse.")</f>
        <v>🏘️ Louer maison Signy ✅ Trouvez le bien immobilier qui correspond idéalement à vos désirs sur ImmoScout24 - La plateforme de l'immobilier en Suisse.</v>
      </c>
      <c r="D1465" s="4" t="str">
        <f>vlookup(A1465, Sheet2!D:E, 2, 0)</f>
        <v>variant</v>
      </c>
      <c r="E1465" s="4" t="str">
        <f>IFERROR(__xludf.DUMMYFUNCTION("if(H1465=""pays"",vlookup(REGEXEXTRACT(C1465, ""🏘️ \w+ \w+ (.*) ✅""),'Country prepositions'!A:B, 2, 0) &amp; "" "" &amp; REGEXEXTRACT(C1465, ""🏘️ \w+ \w+ (.*) ✅"") ,  if(H1465=""quartier"",vlookup(REGEXEXTRACT(C1465, ""🏘️ \w+ \w+ (.*) ✅""),'Quartier prepositio"&amp;"ns'!A:E, 5, 0) ,  if(H1465=""region"",vlookup(REGEXEXTRACT(C1465, ""🏘️ \w+ \w+ (.*) ✅""),'Region prepositions'!B:F, 5, 0),  REGEXEXTRACT(C1465, ""🏘️ \w+ \w+ (.*) ✅""))))"),"Signy")</f>
        <v>Signy</v>
      </c>
      <c r="F1465" s="2" t="str">
        <f>IFERROR(__xludf.DUMMYFUNCTION("REGEXEXTRACT(C1465, ""🏘️ (\w+) \w+ .* ✅"")"),"Louer")</f>
        <v>Louer</v>
      </c>
      <c r="G1465" s="2" t="str">
        <f>IFERROR(__xludf.DUMMYFUNCTION("REGEXEXTRACT(C1465, ""🏘️ \w+ (\w+) .* ✅"")"),"maison")</f>
        <v>maison</v>
      </c>
      <c r="H1465" s="4" t="str">
        <f>IFERROR(__xludf.DUMMYFUNCTION("REGEXEXTRACT(A1465, ""/(\w+)-.*?"")"),"lieu")</f>
        <v>lieu</v>
      </c>
      <c r="I1465" s="4" t="str">
        <f>IFERROR(__xludf.DUMMYFUNCTION("if(D1465=""variant"",  substitute(filter(Templates!E:E, Templates!A:A = F1465, Templates!B:B = G1465, Templates!C:C = H1465), ""{{}}"", E1465), B1465)"),"🏘  Vous cherchez une maison à louer à Signy? ✅ Découvrez nos nombreuses annonces sur ImmoScout24.ch.")</f>
        <v>🏘  Vous cherchez une maison à louer à Signy? ✅ Découvrez nos nombreuses annonces sur ImmoScout24.ch.</v>
      </c>
      <c r="J1465" s="4" t="s">
        <v>4399</v>
      </c>
    </row>
    <row r="1466">
      <c r="A1466" s="5" t="s">
        <v>4400</v>
      </c>
      <c r="B1466" s="2" t="s">
        <v>4401</v>
      </c>
      <c r="C1466" s="4" t="str">
        <f>IFERROR(__xludf.DUMMYFUNCTION("""🏘️ ""&amp;REGEXEXTRACT(B1466, ""^(.*): "")&amp;"" ✅ "" &amp;REGEXEXTRACT(B1466, ""(Trouvez.*)"")"),"🏘️ Louer appartement Mur (Vully) FR ✅ Trouvez le bien immobilier qui correspond idéalement à vos désirs sur ImmoScout24 - La plateforme de l'immobilier en Suisse.")</f>
        <v>🏘️ Louer appartement Mur (Vully) FR ✅ Trouvez le bien immobilier qui correspond idéalement à vos désirs sur ImmoScout24 - La plateforme de l'immobilier en Suisse.</v>
      </c>
      <c r="D1466" s="4" t="str">
        <f>vlookup(A1466, Sheet2!D:E, 2, 0)</f>
        <v>variant</v>
      </c>
      <c r="E1466" s="4" t="str">
        <f>IFERROR(__xludf.DUMMYFUNCTION("if(H1466=""pays"",vlookup(REGEXEXTRACT(C1466, ""🏘️ \w+ \w+ (.*) ✅""),'Country prepositions'!A:B, 2, 0) &amp; "" "" &amp; REGEXEXTRACT(C1466, ""🏘️ \w+ \w+ (.*) ✅"") ,  if(H1466=""quartier"",vlookup(REGEXEXTRACT(C1466, ""🏘️ \w+ \w+ (.*) ✅""),'Quartier prepositio"&amp;"ns'!A:E, 5, 0) ,  if(H1466=""region"",vlookup(REGEXEXTRACT(C1466, ""🏘️ \w+ \w+ (.*) ✅""),'Region prepositions'!B:F, 5, 0),  REGEXEXTRACT(C1466, ""🏘️ \w+ \w+ (.*) ✅""))))"),"Mur (Vully) FR")</f>
        <v>Mur (Vully) FR</v>
      </c>
      <c r="F1466" s="2" t="str">
        <f>IFERROR(__xludf.DUMMYFUNCTION("REGEXEXTRACT(C1466, ""🏘️ (\w+) \w+ .* ✅"")"),"Louer")</f>
        <v>Louer</v>
      </c>
      <c r="G1466" s="2" t="str">
        <f>IFERROR(__xludf.DUMMYFUNCTION("REGEXEXTRACT(C1466, ""🏘️ \w+ (\w+) .* ✅"")"),"appartement")</f>
        <v>appartement</v>
      </c>
      <c r="H1466" s="4" t="str">
        <f>IFERROR(__xludf.DUMMYFUNCTION("REGEXEXTRACT(A1466, ""/(\w+)-.*?"")"),"lieu")</f>
        <v>lieu</v>
      </c>
      <c r="I1466" s="4" t="str">
        <f>IFERROR(__xludf.DUMMYFUNCTION("if(D1466=""variant"",  substitute(filter(Templates!E:E, Templates!A:A = F1466, Templates!B:B = G1466, Templates!C:C = H1466), ""{{}}"", E1466), B1466)"),"🏘  Vous cherchez un appartement à louer à Mur (Vully) FR? ✅ Les annonces les plus actuelles sont sur ImmoScout24.ch.")</f>
        <v>🏘  Vous cherchez un appartement à louer à Mur (Vully) FR? ✅ Les annonces les plus actuelles sont sur ImmoScout24.ch.</v>
      </c>
      <c r="J1466" s="4" t="s">
        <v>4402</v>
      </c>
    </row>
    <row r="1467">
      <c r="A1467" s="5" t="s">
        <v>4403</v>
      </c>
      <c r="B1467" s="2" t="s">
        <v>4404</v>
      </c>
      <c r="C1467" s="4" t="str">
        <f>IFERROR(__xludf.DUMMYFUNCTION("""🏘️ ""&amp;REGEXEXTRACT(B1467, ""^(.*): "")&amp;"" ✅ "" &amp;REGEXEXTRACT(B1467, ""(Trouvez.*)"")"),"🏘️ Vendre maison Kirchdorf AG ✅ Trouvez le bien immobilier qui correspond idéalement à vos désirs sur ImmoScout24 - La plateforme de l'immobilier en Suisse.")</f>
        <v>🏘️ Vendre maison Kirchdorf AG ✅ Trouvez le bien immobilier qui correspond idéalement à vos désirs sur ImmoScout24 - La plateforme de l'immobilier en Suisse.</v>
      </c>
      <c r="D1467" s="4" t="str">
        <f>vlookup(A1467, Sheet2!D:E, 2, 0)</f>
        <v>variant</v>
      </c>
      <c r="E1467" s="4" t="str">
        <f>IFERROR(__xludf.DUMMYFUNCTION("if(H1467=""pays"",vlookup(REGEXEXTRACT(C1467, ""🏘️ \w+ \w+ (.*) ✅""),'Country prepositions'!A:B, 2, 0) &amp; "" "" &amp; REGEXEXTRACT(C1467, ""🏘️ \w+ \w+ (.*) ✅"") ,  if(H1467=""quartier"",vlookup(REGEXEXTRACT(C1467, ""🏘️ \w+ \w+ (.*) ✅""),'Quartier prepositio"&amp;"ns'!A:E, 5, 0) ,  if(H1467=""region"",vlookup(REGEXEXTRACT(C1467, ""🏘️ \w+ \w+ (.*) ✅""),'Region prepositions'!B:F, 5, 0),  REGEXEXTRACT(C1467, ""🏘️ \w+ \w+ (.*) ✅""))))"),"Kirchdorf AG")</f>
        <v>Kirchdorf AG</v>
      </c>
      <c r="F1467" s="2" t="str">
        <f>IFERROR(__xludf.DUMMYFUNCTION("REGEXEXTRACT(C1467, ""🏘️ (\w+) \w+ .* ✅"")"),"Vendre")</f>
        <v>Vendre</v>
      </c>
      <c r="G1467" s="2" t="str">
        <f>IFERROR(__xludf.DUMMYFUNCTION("REGEXEXTRACT(C1467, ""🏘️ \w+ (\w+) .* ✅"")"),"maison")</f>
        <v>maison</v>
      </c>
      <c r="H1467" s="4" t="str">
        <f>IFERROR(__xludf.DUMMYFUNCTION("REGEXEXTRACT(A1467, ""/(\w+)-.*?"")"),"lieu")</f>
        <v>lieu</v>
      </c>
      <c r="I1467" s="4" t="str">
        <f>IFERROR(__xludf.DUMMYFUNCTION("if(D1467=""variant"",  substitute(filter(Templates!E:E, Templates!A:A = F1467, Templates!B:B = G1467, Templates!C:C = H1467), ""{{}}"", E1467), B1467)"),"🏘  Vous souhaitez acheter une maison à Kirchdorf AG? ✅ Jetez un œil aux dernières offres sur ImmoScout24.ch.")</f>
        <v>🏘  Vous souhaitez acheter une maison à Kirchdorf AG? ✅ Jetez un œil aux dernières offres sur ImmoScout24.ch.</v>
      </c>
      <c r="J1467" s="4" t="s">
        <v>4405</v>
      </c>
    </row>
    <row r="1468">
      <c r="A1468" s="5" t="s">
        <v>4406</v>
      </c>
      <c r="B1468" s="2" t="s">
        <v>4407</v>
      </c>
      <c r="C1468" s="4" t="str">
        <f>IFERROR(__xludf.DUMMYFUNCTION("""🏘️ ""&amp;REGEXEXTRACT(B1468, ""^(.*): "")&amp;"" ✅ "" &amp;REGEXEXTRACT(B1468, ""(Trouvez.*)"")"),"🏘️ Louer appartement Bel-Air (La Chaux-de-Fonds) ✅ Trouvez le bien immobilier qui correspond idéalement à vos désirs sur ImmoScout24 - La plateforme de l'immobilier en Suisse.")</f>
        <v>🏘️ Louer appartement Bel-Air (La Chaux-de-Fonds) ✅ Trouvez le bien immobilier qui correspond idéalement à vos désirs sur ImmoScout24 - La plateforme de l'immobilier en Suisse.</v>
      </c>
      <c r="D1468" s="4" t="str">
        <f>vlookup(A1468, Sheet2!D:E, 2, 0)</f>
        <v>variant</v>
      </c>
      <c r="E1468" s="4" t="str">
        <f>IFERROR(__xludf.DUMMYFUNCTION("if(H1468=""pays"",vlookup(REGEXEXTRACT(C1468, ""🏘️ \w+ \w+ (.*) ✅""),'Country prepositions'!A:B, 2, 0) &amp; "" "" &amp; REGEXEXTRACT(C1468, ""🏘️ \w+ \w+ (.*) ✅"") ,  if(H1468=""quartier"",vlookup(REGEXEXTRACT(C1468, ""🏘️ \w+ \w+ (.*) ✅""),'Quartier prepositio"&amp;"ns'!A:E, 5, 0) ,  if(H1468=""region"",vlookup(REGEXEXTRACT(C1468, ""🏘️ \w+ \w+ (.*) ✅""),'Region prepositions'!B:F, 5, 0),  REGEXEXTRACT(C1468, ""🏘️ \w+ \w+ (.*) ✅""))))"),"dans le quartier de Bel-Air (La Chaux-de-Fonds)")</f>
        <v>dans le quartier de Bel-Air (La Chaux-de-Fonds)</v>
      </c>
      <c r="F1468" s="2" t="str">
        <f>IFERROR(__xludf.DUMMYFUNCTION("REGEXEXTRACT(C1468, ""🏘️ (\w+) \w+ .* ✅"")"),"Louer")</f>
        <v>Louer</v>
      </c>
      <c r="G1468" s="2" t="str">
        <f>IFERROR(__xludf.DUMMYFUNCTION("REGEXEXTRACT(C1468, ""🏘️ \w+ (\w+) .* ✅"")"),"appartement")</f>
        <v>appartement</v>
      </c>
      <c r="H1468" s="4" t="str">
        <f>IFERROR(__xludf.DUMMYFUNCTION("REGEXEXTRACT(A1468, ""/(\w+)-.*?"")"),"quartier")</f>
        <v>quartier</v>
      </c>
      <c r="I1468" s="4" t="str">
        <f>IFERROR(__xludf.DUMMYFUNCTION("if(D1468=""variant"",  substitute(filter(Templates!E:E, Templates!A:A = F1468, Templates!B:B = G1468, Templates!C:C = H1468), ""{{}}"", E1468), B1468)"),"🏘  Vous cherchez un appartement à louer dans le quartier de Bel-Air (La Chaux-de-Fonds)? ✅ Les annonces les plus actuelles sont sur ImmoScout24.ch.")</f>
        <v>🏘  Vous cherchez un appartement à louer dans le quartier de Bel-Air (La Chaux-de-Fonds)? ✅ Les annonces les plus actuelles sont sur ImmoScout24.ch.</v>
      </c>
      <c r="J1468" s="4" t="s">
        <v>4408</v>
      </c>
    </row>
    <row r="1469">
      <c r="A1469" s="5" t="s">
        <v>4409</v>
      </c>
      <c r="B1469" s="2" t="s">
        <v>4410</v>
      </c>
      <c r="C1469" s="4" t="str">
        <f>IFERROR(__xludf.DUMMYFUNCTION("""🏘️ ""&amp;REGEXEXTRACT(B1469, ""^(.*): "")&amp;"" ✅ "" &amp;REGEXEXTRACT(B1469, ""(Trouvez.*)"")"),"🏘️ Louer appartement St. Alban (Bâle) ✅ Trouvez le bien immobilier qui correspond idéalement à vos désirs sur ImmoScout24 - La plateforme de l'immobilier en Suisse.")</f>
        <v>🏘️ Louer appartement St. Alban (Bâle) ✅ Trouvez le bien immobilier qui correspond idéalement à vos désirs sur ImmoScout24 - La plateforme de l'immobilier en Suisse.</v>
      </c>
      <c r="D1469" s="4" t="str">
        <f>vlookup(A1469, Sheet2!D:E, 2, 0)</f>
        <v>variant</v>
      </c>
      <c r="E1469" s="4" t="str">
        <f>IFERROR(__xludf.DUMMYFUNCTION("if(H1469=""pays"",vlookup(REGEXEXTRACT(C1469, ""🏘️ \w+ \w+ (.*) ✅""),'Country prepositions'!A:B, 2, 0) &amp; "" "" &amp; REGEXEXTRACT(C1469, ""🏘️ \w+ \w+ (.*) ✅"") ,  if(H1469=""quartier"",vlookup(REGEXEXTRACT(C1469, ""🏘️ \w+ \w+ (.*) ✅""),'Quartier prepositio"&amp;"ns'!A:E, 5, 0) ,  if(H1469=""region"",vlookup(REGEXEXTRACT(C1469, ""🏘️ \w+ \w+ (.*) ✅""),'Region prepositions'!B:F, 5, 0),  REGEXEXTRACT(C1469, ""🏘️ \w+ \w+ (.*) ✅""))))"),"dans le quartier de St. Alban (Bâle)")</f>
        <v>dans le quartier de St. Alban (Bâle)</v>
      </c>
      <c r="F1469" s="2" t="str">
        <f>IFERROR(__xludf.DUMMYFUNCTION("REGEXEXTRACT(C1469, ""🏘️ (\w+) \w+ .* ✅"")"),"Louer")</f>
        <v>Louer</v>
      </c>
      <c r="G1469" s="2" t="str">
        <f>IFERROR(__xludf.DUMMYFUNCTION("REGEXEXTRACT(C1469, ""🏘️ \w+ (\w+) .* ✅"")"),"appartement")</f>
        <v>appartement</v>
      </c>
      <c r="H1469" s="4" t="str">
        <f>IFERROR(__xludf.DUMMYFUNCTION("REGEXEXTRACT(A1469, ""/(\w+)-.*?"")"),"quartier")</f>
        <v>quartier</v>
      </c>
      <c r="I1469" s="4" t="str">
        <f>IFERROR(__xludf.DUMMYFUNCTION("if(D1469=""variant"",  substitute(filter(Templates!E:E, Templates!A:A = F1469, Templates!B:B = G1469, Templates!C:C = H1469), ""{{}}"", E1469), B1469)"),"🏘  Vous cherchez un appartement à louer dans le quartier de St. Alban (Bâle)? ✅ Les annonces les plus actuelles sont sur ImmoScout24.ch.")</f>
        <v>🏘  Vous cherchez un appartement à louer dans le quartier de St. Alban (Bâle)? ✅ Les annonces les plus actuelles sont sur ImmoScout24.ch.</v>
      </c>
      <c r="J1469" s="4" t="s">
        <v>4411</v>
      </c>
    </row>
    <row r="1470">
      <c r="A1470" s="5" t="s">
        <v>4412</v>
      </c>
      <c r="B1470" s="2" t="s">
        <v>4413</v>
      </c>
      <c r="C1470" s="4" t="str">
        <f>IFERROR(__xludf.DUMMYFUNCTION("""🏘️ ""&amp;REGEXEXTRACT(B1470, ""^(.*): "")&amp;"" ✅ "" &amp;REGEXEXTRACT(B1470, ""(Trouvez.*)"")"),"🏘️ Vendre maison Wavre ✅ Trouvez le bien immobilier qui correspond idéalement à vos désirs sur ImmoScout24 - La plateforme de l'immobilier en Suisse.")</f>
        <v>🏘️ Vendre maison Wavre ✅ Trouvez le bien immobilier qui correspond idéalement à vos désirs sur ImmoScout24 - La plateforme de l'immobilier en Suisse.</v>
      </c>
      <c r="D1470" s="4" t="str">
        <f>vlookup(A1470, Sheet2!D:E, 2, 0)</f>
        <v>variant</v>
      </c>
      <c r="E1470" s="4" t="str">
        <f>IFERROR(__xludf.DUMMYFUNCTION("if(H1470=""pays"",vlookup(REGEXEXTRACT(C1470, ""🏘️ \w+ \w+ (.*) ✅""),'Country prepositions'!A:B, 2, 0) &amp; "" "" &amp; REGEXEXTRACT(C1470, ""🏘️ \w+ \w+ (.*) ✅"") ,  if(H1470=""quartier"",vlookup(REGEXEXTRACT(C1470, ""🏘️ \w+ \w+ (.*) ✅""),'Quartier prepositio"&amp;"ns'!A:E, 5, 0) ,  if(H1470=""region"",vlookup(REGEXEXTRACT(C1470, ""🏘️ \w+ \w+ (.*) ✅""),'Region prepositions'!B:F, 5, 0),  REGEXEXTRACT(C1470, ""🏘️ \w+ \w+ (.*) ✅""))))"),"Wavre")</f>
        <v>Wavre</v>
      </c>
      <c r="F1470" s="2" t="str">
        <f>IFERROR(__xludf.DUMMYFUNCTION("REGEXEXTRACT(C1470, ""🏘️ (\w+) \w+ .* ✅"")"),"Vendre")</f>
        <v>Vendre</v>
      </c>
      <c r="G1470" s="2" t="str">
        <f>IFERROR(__xludf.DUMMYFUNCTION("REGEXEXTRACT(C1470, ""🏘️ \w+ (\w+) .* ✅"")"),"maison")</f>
        <v>maison</v>
      </c>
      <c r="H1470" s="4" t="str">
        <f>IFERROR(__xludf.DUMMYFUNCTION("REGEXEXTRACT(A1470, ""/(\w+)-.*?"")"),"lieu")</f>
        <v>lieu</v>
      </c>
      <c r="I1470" s="4" t="str">
        <f>IFERROR(__xludf.DUMMYFUNCTION("if(D1470=""variant"",  substitute(filter(Templates!E:E, Templates!A:A = F1470, Templates!B:B = G1470, Templates!C:C = H1470), ""{{}}"", E1470), B1470)"),"🏘  Vous souhaitez acheter une maison à Wavre? ✅ Jetez un œil aux dernières offres sur ImmoScout24.ch.")</f>
        <v>🏘  Vous souhaitez acheter une maison à Wavre? ✅ Jetez un œil aux dernières offres sur ImmoScout24.ch.</v>
      </c>
      <c r="J1470" s="4" t="s">
        <v>4414</v>
      </c>
    </row>
    <row r="1471">
      <c r="A1471" s="5" t="s">
        <v>4415</v>
      </c>
      <c r="B1471" s="2" t="s">
        <v>4416</v>
      </c>
      <c r="C1471" s="4" t="str">
        <f>IFERROR(__xludf.DUMMYFUNCTION("""🏘️ ""&amp;REGEXEXTRACT(B1471, ""^(.*): "")&amp;"" ✅ "" &amp;REGEXEXTRACT(B1471, ""(Trouvez.*)"")"),"🏘️ Louer appartement Oberdiessbach ✅ Trouvez le bien immobilier qui correspond idéalement à vos désirs sur ImmoScout24 - La plateforme de l'immobilier en Suisse.")</f>
        <v>🏘️ Louer appartement Oberdiessbach ✅ Trouvez le bien immobilier qui correspond idéalement à vos désirs sur ImmoScout24 - La plateforme de l'immobilier en Suisse.</v>
      </c>
      <c r="D1471" s="4" t="str">
        <f>vlookup(A1471, Sheet2!D:E, 2, 0)</f>
        <v>variant</v>
      </c>
      <c r="E1471" s="4" t="str">
        <f>IFERROR(__xludf.DUMMYFUNCTION("if(H1471=""pays"",vlookup(REGEXEXTRACT(C1471, ""🏘️ \w+ \w+ (.*) ✅""),'Country prepositions'!A:B, 2, 0) &amp; "" "" &amp; REGEXEXTRACT(C1471, ""🏘️ \w+ \w+ (.*) ✅"") ,  if(H1471=""quartier"",vlookup(REGEXEXTRACT(C1471, ""🏘️ \w+ \w+ (.*) ✅""),'Quartier prepositio"&amp;"ns'!A:E, 5, 0) ,  if(H1471=""region"",vlookup(REGEXEXTRACT(C1471, ""🏘️ \w+ \w+ (.*) ✅""),'Region prepositions'!B:F, 5, 0),  REGEXEXTRACT(C1471, ""🏘️ \w+ \w+ (.*) ✅""))))"),"Oberdiessbach")</f>
        <v>Oberdiessbach</v>
      </c>
      <c r="F1471" s="2" t="str">
        <f>IFERROR(__xludf.DUMMYFUNCTION("REGEXEXTRACT(C1471, ""🏘️ (\w+) \w+ .* ✅"")"),"Louer")</f>
        <v>Louer</v>
      </c>
      <c r="G1471" s="2" t="str">
        <f>IFERROR(__xludf.DUMMYFUNCTION("REGEXEXTRACT(C1471, ""🏘️ \w+ (\w+) .* ✅"")"),"appartement")</f>
        <v>appartement</v>
      </c>
      <c r="H1471" s="4" t="str">
        <f>IFERROR(__xludf.DUMMYFUNCTION("REGEXEXTRACT(A1471, ""/(\w+)-.*?"")"),"lieu")</f>
        <v>lieu</v>
      </c>
      <c r="I1471" s="4" t="str">
        <f>IFERROR(__xludf.DUMMYFUNCTION("if(D1471=""variant"",  substitute(filter(Templates!E:E, Templates!A:A = F1471, Templates!B:B = G1471, Templates!C:C = H1471), ""{{}}"", E1471), B1471)"),"🏘  Vous cherchez un appartement à louer à Oberdiessbach? ✅ Les annonces les plus actuelles sont sur ImmoScout24.ch.")</f>
        <v>🏘  Vous cherchez un appartement à louer à Oberdiessbach? ✅ Les annonces les plus actuelles sont sur ImmoScout24.ch.</v>
      </c>
      <c r="J1471" s="4" t="s">
        <v>4417</v>
      </c>
    </row>
    <row r="1472">
      <c r="A1472" s="5" t="s">
        <v>4418</v>
      </c>
      <c r="B1472" s="2" t="s">
        <v>4419</v>
      </c>
      <c r="C1472" s="4" t="str">
        <f>IFERROR(__xludf.DUMMYFUNCTION("""🏘️ ""&amp;REGEXEXTRACT(B1472, ""^(.*): "")&amp;"" ✅ "" &amp;REGEXEXTRACT(B1472, ""(Trouvez.*)"")"),"🏘️ Louer appartement St-Gingolph ✅ Trouvez le bien immobilier qui correspond idéalement à vos désirs sur ImmoScout24 - La plateforme de l'immobilier en Suisse.")</f>
        <v>🏘️ Louer appartement St-Gingolph ✅ Trouvez le bien immobilier qui correspond idéalement à vos désirs sur ImmoScout24 - La plateforme de l'immobilier en Suisse.</v>
      </c>
      <c r="D1472" s="4" t="str">
        <f>vlookup(A1472, Sheet2!D:E, 2, 0)</f>
        <v>variant</v>
      </c>
      <c r="E1472" s="4" t="str">
        <f>IFERROR(__xludf.DUMMYFUNCTION("if(H1472=""pays"",vlookup(REGEXEXTRACT(C1472, ""🏘️ \w+ \w+ (.*) ✅""),'Country prepositions'!A:B, 2, 0) &amp; "" "" &amp; REGEXEXTRACT(C1472, ""🏘️ \w+ \w+ (.*) ✅"") ,  if(H1472=""quartier"",vlookup(REGEXEXTRACT(C1472, ""🏘️ \w+ \w+ (.*) ✅""),'Quartier prepositio"&amp;"ns'!A:E, 5, 0) ,  if(H1472=""region"",vlookup(REGEXEXTRACT(C1472, ""🏘️ \w+ \w+ (.*) ✅""),'Region prepositions'!B:F, 5, 0),  REGEXEXTRACT(C1472, ""🏘️ \w+ \w+ (.*) ✅""))))"),"St-Gingolph")</f>
        <v>St-Gingolph</v>
      </c>
      <c r="F1472" s="2" t="str">
        <f>IFERROR(__xludf.DUMMYFUNCTION("REGEXEXTRACT(C1472, ""🏘️ (\w+) \w+ .* ✅"")"),"Louer")</f>
        <v>Louer</v>
      </c>
      <c r="G1472" s="2" t="str">
        <f>IFERROR(__xludf.DUMMYFUNCTION("REGEXEXTRACT(C1472, ""🏘️ \w+ (\w+) .* ✅"")"),"appartement")</f>
        <v>appartement</v>
      </c>
      <c r="H1472" s="4" t="str">
        <f>IFERROR(__xludf.DUMMYFUNCTION("REGEXEXTRACT(A1472, ""/(\w+)-.*?"")"),"lieu")</f>
        <v>lieu</v>
      </c>
      <c r="I1472" s="4" t="str">
        <f>IFERROR(__xludf.DUMMYFUNCTION("if(D1472=""variant"",  substitute(filter(Templates!E:E, Templates!A:A = F1472, Templates!B:B = G1472, Templates!C:C = H1472), ""{{}}"", E1472), B1472)"),"🏘  Vous cherchez un appartement à louer à St-Gingolph? ✅ Les annonces les plus actuelles sont sur ImmoScout24.ch.")</f>
        <v>🏘  Vous cherchez un appartement à louer à St-Gingolph? ✅ Les annonces les plus actuelles sont sur ImmoScout24.ch.</v>
      </c>
      <c r="J1472" s="4" t="s">
        <v>4420</v>
      </c>
    </row>
    <row r="1473">
      <c r="A1473" s="5" t="s">
        <v>4421</v>
      </c>
      <c r="B1473" s="2" t="s">
        <v>4422</v>
      </c>
      <c r="C1473" s="4" t="str">
        <f>IFERROR(__xludf.DUMMYFUNCTION("""🏘️ ""&amp;REGEXEXTRACT(B1473, ""^(.*): "")&amp;"" ✅ "" &amp;REGEXEXTRACT(B1473, ""(Trouvez.*)"")"),"🏘️ Vendre maison Cressier NE ✅ Trouvez le bien immobilier qui correspond idéalement à vos désirs sur ImmoScout24 - La plateforme de l'immobilier en Suisse.")</f>
        <v>🏘️ Vendre maison Cressier NE ✅ Trouvez le bien immobilier qui correspond idéalement à vos désirs sur ImmoScout24 - La plateforme de l'immobilier en Suisse.</v>
      </c>
      <c r="D1473" s="4" t="str">
        <f>vlookup(A1473, Sheet2!D:E, 2, 0)</f>
        <v>variant</v>
      </c>
      <c r="E1473" s="4" t="str">
        <f>IFERROR(__xludf.DUMMYFUNCTION("if(H1473=""pays"",vlookup(REGEXEXTRACT(C1473, ""🏘️ \w+ \w+ (.*) ✅""),'Country prepositions'!A:B, 2, 0) &amp; "" "" &amp; REGEXEXTRACT(C1473, ""🏘️ \w+ \w+ (.*) ✅"") ,  if(H1473=""quartier"",vlookup(REGEXEXTRACT(C1473, ""🏘️ \w+ \w+ (.*) ✅""),'Quartier prepositio"&amp;"ns'!A:E, 5, 0) ,  if(H1473=""region"",vlookup(REGEXEXTRACT(C1473, ""🏘️ \w+ \w+ (.*) ✅""),'Region prepositions'!B:F, 5, 0),  REGEXEXTRACT(C1473, ""🏘️ \w+ \w+ (.*) ✅""))))"),"Cressier NE")</f>
        <v>Cressier NE</v>
      </c>
      <c r="F1473" s="2" t="str">
        <f>IFERROR(__xludf.DUMMYFUNCTION("REGEXEXTRACT(C1473, ""🏘️ (\w+) \w+ .* ✅"")"),"Vendre")</f>
        <v>Vendre</v>
      </c>
      <c r="G1473" s="2" t="str">
        <f>IFERROR(__xludf.DUMMYFUNCTION("REGEXEXTRACT(C1473, ""🏘️ \w+ (\w+) .* ✅"")"),"maison")</f>
        <v>maison</v>
      </c>
      <c r="H1473" s="4" t="str">
        <f>IFERROR(__xludf.DUMMYFUNCTION("REGEXEXTRACT(A1473, ""/(\w+)-.*?"")"),"lieu")</f>
        <v>lieu</v>
      </c>
      <c r="I1473" s="4" t="str">
        <f>IFERROR(__xludf.DUMMYFUNCTION("if(D1473=""variant"",  substitute(filter(Templates!E:E, Templates!A:A = F1473, Templates!B:B = G1473, Templates!C:C = H1473), ""{{}}"", E1473), B1473)"),"🏘  Vous souhaitez acheter une maison à Cressier NE? ✅ Jetez un œil aux dernières offres sur ImmoScout24.ch.")</f>
        <v>🏘  Vous souhaitez acheter une maison à Cressier NE? ✅ Jetez un œil aux dernières offres sur ImmoScout24.ch.</v>
      </c>
      <c r="J1473" s="4" t="s">
        <v>4423</v>
      </c>
    </row>
    <row r="1474">
      <c r="A1474" s="5" t="s">
        <v>4424</v>
      </c>
      <c r="B1474" s="2" t="s">
        <v>4425</v>
      </c>
      <c r="C1474" s="4" t="str">
        <f>IFERROR(__xludf.DUMMYFUNCTION("""🏘️ ""&amp;REGEXEXTRACT(B1474, ""^(.*): "")&amp;"" ✅ "" &amp;REGEXEXTRACT(B1474, ""(Trouvez.*)"")"),"🏘️ Louer appartement Uitikon Waldegg ✅ Trouvez le bien immobilier qui correspond idéalement à vos désirs sur ImmoScout24 - La plateforme de l'immobilier en Suisse.")</f>
        <v>🏘️ Louer appartement Uitikon Waldegg ✅ Trouvez le bien immobilier qui correspond idéalement à vos désirs sur ImmoScout24 - La plateforme de l'immobilier en Suisse.</v>
      </c>
      <c r="D1474" s="4" t="str">
        <f>vlookup(A1474, Sheet2!D:E, 2, 0)</f>
        <v>variant</v>
      </c>
      <c r="E1474" s="4" t="str">
        <f>IFERROR(__xludf.DUMMYFUNCTION("if(H1474=""pays"",vlookup(REGEXEXTRACT(C1474, ""🏘️ \w+ \w+ (.*) ✅""),'Country prepositions'!A:B, 2, 0) &amp; "" "" &amp; REGEXEXTRACT(C1474, ""🏘️ \w+ \w+ (.*) ✅"") ,  if(H1474=""quartier"",vlookup(REGEXEXTRACT(C1474, ""🏘️ \w+ \w+ (.*) ✅""),'Quartier prepositio"&amp;"ns'!A:E, 5, 0) ,  if(H1474=""region"",vlookup(REGEXEXTRACT(C1474, ""🏘️ \w+ \w+ (.*) ✅""),'Region prepositions'!B:F, 5, 0),  REGEXEXTRACT(C1474, ""🏘️ \w+ \w+ (.*) ✅""))))"),"Uitikon Waldegg")</f>
        <v>Uitikon Waldegg</v>
      </c>
      <c r="F1474" s="2" t="str">
        <f>IFERROR(__xludf.DUMMYFUNCTION("REGEXEXTRACT(C1474, ""🏘️ (\w+) \w+ .* ✅"")"),"Louer")</f>
        <v>Louer</v>
      </c>
      <c r="G1474" s="2" t="str">
        <f>IFERROR(__xludf.DUMMYFUNCTION("REGEXEXTRACT(C1474, ""🏘️ \w+ (\w+) .* ✅"")"),"appartement")</f>
        <v>appartement</v>
      </c>
      <c r="H1474" s="4" t="str">
        <f>IFERROR(__xludf.DUMMYFUNCTION("REGEXEXTRACT(A1474, ""/(\w+)-.*?"")"),"lieu")</f>
        <v>lieu</v>
      </c>
      <c r="I1474" s="4" t="str">
        <f>IFERROR(__xludf.DUMMYFUNCTION("if(D1474=""variant"",  substitute(filter(Templates!E:E, Templates!A:A = F1474, Templates!B:B = G1474, Templates!C:C = H1474), ""{{}}"", E1474), B1474)"),"🏘  Vous cherchez un appartement à louer à Uitikon Waldegg? ✅ Les annonces les plus actuelles sont sur ImmoScout24.ch.")</f>
        <v>🏘  Vous cherchez un appartement à louer à Uitikon Waldegg? ✅ Les annonces les plus actuelles sont sur ImmoScout24.ch.</v>
      </c>
      <c r="J1474" s="4" t="s">
        <v>4426</v>
      </c>
    </row>
    <row r="1475">
      <c r="A1475" s="5" t="s">
        <v>4427</v>
      </c>
      <c r="B1475" s="2" t="s">
        <v>4428</v>
      </c>
      <c r="C1475" s="4" t="str">
        <f>IFERROR(__xludf.DUMMYFUNCTION("""🏘️ ""&amp;REGEXEXTRACT(B1475, ""^(.*): "")&amp;"" ✅ "" &amp;REGEXEXTRACT(B1475, ""(Trouvez.*)"")"),"🏘️ Louer appartement Grande-Bretagne ✅ Trouvez le bien immobilier qui correspond idéalement à vos désirs sur ImmoScout24 - La plateforme de l'immobilier en Suisse.")</f>
        <v>🏘️ Louer appartement Grande-Bretagne ✅ Trouvez le bien immobilier qui correspond idéalement à vos désirs sur ImmoScout24 - La plateforme de l'immobilier en Suisse.</v>
      </c>
      <c r="D1475" s="4" t="str">
        <f>vlookup(A1475, Sheet2!D:E, 2, 0)</f>
        <v>variant</v>
      </c>
      <c r="E1475" s="4" t="str">
        <f>IFERROR(__xludf.DUMMYFUNCTION("if(H1475=""pays"",vlookup(REGEXEXTRACT(C1475, ""🏘️ \w+ \w+ (.*) ✅""),'Country prepositions'!A:B, 2, 0) &amp; "" "" &amp; REGEXEXTRACT(C1475, ""🏘️ \w+ \w+ (.*) ✅"") ,  if(H1475=""quartier"",vlookup(REGEXEXTRACT(C1475, ""🏘️ \w+ \w+ (.*) ✅""),'Quartier prepositio"&amp;"ns'!A:E, 5, 0) ,  if(H1475=""region"",vlookup(REGEXEXTRACT(C1475, ""🏘️ \w+ \w+ (.*) ✅""),'Region prepositions'!B:F, 5, 0),  REGEXEXTRACT(C1475, ""🏘️ \w+ \w+ (.*) ✅""))))"),"en Grande-Bretagne")</f>
        <v>en Grande-Bretagne</v>
      </c>
      <c r="F1475" s="2" t="str">
        <f>IFERROR(__xludf.DUMMYFUNCTION("REGEXEXTRACT(C1475, ""🏘️ (\w+) \w+ .* ✅"")"),"Louer")</f>
        <v>Louer</v>
      </c>
      <c r="G1475" s="2" t="str">
        <f>IFERROR(__xludf.DUMMYFUNCTION("REGEXEXTRACT(C1475, ""🏘️ \w+ (\w+) .* ✅"")"),"appartement")</f>
        <v>appartement</v>
      </c>
      <c r="H1475" s="4" t="str">
        <f>IFERROR(__xludf.DUMMYFUNCTION("REGEXEXTRACT(A1475, ""/(\w+)-.*?"")"),"pays")</f>
        <v>pays</v>
      </c>
      <c r="I1475" s="4" t="str">
        <f>IFERROR(__xludf.DUMMYFUNCTION("if(D1475=""variant"",  substitute(filter(Templates!E:E, Templates!A:A = F1475, Templates!B:B = G1475, Templates!C:C = H1475), ""{{}}"", E1475), B1475)"),"🏘  Vous cherchez un appartement à louer en Grande-Bretagne? ✅ Les annonces les plus actuelles sont sur ImmoScout24.ch.")</f>
        <v>🏘  Vous cherchez un appartement à louer en Grande-Bretagne? ✅ Les annonces les plus actuelles sont sur ImmoScout24.ch.</v>
      </c>
      <c r="J1475" s="4" t="s">
        <v>4429</v>
      </c>
    </row>
    <row r="1476">
      <c r="A1476" s="5" t="s">
        <v>4430</v>
      </c>
      <c r="B1476" s="2" t="s">
        <v>4431</v>
      </c>
      <c r="C1476" s="4" t="str">
        <f>IFERROR(__xludf.DUMMYFUNCTION("""🏘️ ""&amp;REGEXEXTRACT(B1476, ""^(.*): "")&amp;"" ✅ "" &amp;REGEXEXTRACT(B1476, ""(Trouvez.*)"")"),"🏘️ Louer appartement Glis ✅ Trouvez le bien immobilier qui correspond idéalement à vos désirs sur ImmoScout24 - La plateforme de l'immobilier en Suisse.")</f>
        <v>🏘️ Louer appartement Glis ✅ Trouvez le bien immobilier qui correspond idéalement à vos désirs sur ImmoScout24 - La plateforme de l'immobilier en Suisse.</v>
      </c>
      <c r="D1476" s="4" t="str">
        <f>vlookup(A1476, Sheet2!D:E, 2, 0)</f>
        <v>variant</v>
      </c>
      <c r="E1476" s="4" t="str">
        <f>IFERROR(__xludf.DUMMYFUNCTION("if(H1476=""pays"",vlookup(REGEXEXTRACT(C1476, ""🏘️ \w+ \w+ (.*) ✅""),'Country prepositions'!A:B, 2, 0) &amp; "" "" &amp; REGEXEXTRACT(C1476, ""🏘️ \w+ \w+ (.*) ✅"") ,  if(H1476=""quartier"",vlookup(REGEXEXTRACT(C1476, ""🏘️ \w+ \w+ (.*) ✅""),'Quartier prepositio"&amp;"ns'!A:E, 5, 0) ,  if(H1476=""region"",vlookup(REGEXEXTRACT(C1476, ""🏘️ \w+ \w+ (.*) ✅""),'Region prepositions'!B:F, 5, 0),  REGEXEXTRACT(C1476, ""🏘️ \w+ \w+ (.*) ✅""))))"),"Glis")</f>
        <v>Glis</v>
      </c>
      <c r="F1476" s="2" t="str">
        <f>IFERROR(__xludf.DUMMYFUNCTION("REGEXEXTRACT(C1476, ""🏘️ (\w+) \w+ .* ✅"")"),"Louer")</f>
        <v>Louer</v>
      </c>
      <c r="G1476" s="2" t="str">
        <f>IFERROR(__xludf.DUMMYFUNCTION("REGEXEXTRACT(C1476, ""🏘️ \w+ (\w+) .* ✅"")"),"appartement")</f>
        <v>appartement</v>
      </c>
      <c r="H1476" s="4" t="str">
        <f>IFERROR(__xludf.DUMMYFUNCTION("REGEXEXTRACT(A1476, ""/(\w+)-.*?"")"),"lieu")</f>
        <v>lieu</v>
      </c>
      <c r="I1476" s="4" t="str">
        <f>IFERROR(__xludf.DUMMYFUNCTION("if(D1476=""variant"",  substitute(filter(Templates!E:E, Templates!A:A = F1476, Templates!B:B = G1476, Templates!C:C = H1476), ""{{}}"", E1476), B1476)"),"🏘  Vous cherchez un appartement à louer à Glis? ✅ Les annonces les plus actuelles sont sur ImmoScout24.ch.")</f>
        <v>🏘  Vous cherchez un appartement à louer à Glis? ✅ Les annonces les plus actuelles sont sur ImmoScout24.ch.</v>
      </c>
      <c r="J1476" s="4" t="s">
        <v>4432</v>
      </c>
    </row>
    <row r="1477">
      <c r="A1477" s="5" t="s">
        <v>4433</v>
      </c>
      <c r="B1477" s="2" t="s">
        <v>4434</v>
      </c>
      <c r="C1477" s="4" t="str">
        <f>IFERROR(__xludf.DUMMYFUNCTION("""🏘️ ""&amp;REGEXEXTRACT(B1477, ""^(.*): "")&amp;"" ✅ "" &amp;REGEXEXTRACT(B1477, ""(Trouvez.*)"")"),"🏘️ Vendre appartement Sallaz - Vennes - Séchaud (Lausanne) ✅ Trouvez le bien immobilier qui correspond idéalement à vos désirs sur ImmoScout24 - La plateforme de l'immobilier en Suisse.")</f>
        <v>🏘️ Vendre appartement Sallaz - Vennes - Séchaud (Lausanne) ✅ Trouvez le bien immobilier qui correspond idéalement à vos désirs sur ImmoScout24 - La plateforme de l'immobilier en Suisse.</v>
      </c>
      <c r="D1477" s="4" t="str">
        <f>vlookup(A1477, Sheet2!D:E, 2, 0)</f>
        <v>variant</v>
      </c>
      <c r="E1477" s="4" t="str">
        <f>IFERROR(__xludf.DUMMYFUNCTION("if(H1477=""pays"",vlookup(REGEXEXTRACT(C1477, ""🏘️ \w+ \w+ (.*) ✅""),'Country prepositions'!A:B, 2, 0) &amp; "" "" &amp; REGEXEXTRACT(C1477, ""🏘️ \w+ \w+ (.*) ✅"") ,  if(H1477=""quartier"",vlookup(REGEXEXTRACT(C1477, ""🏘️ \w+ \w+ (.*) ✅""),'Quartier prepositio"&amp;"ns'!A:E, 5, 0) ,  if(H1477=""region"",vlookup(REGEXEXTRACT(C1477, ""🏘️ \w+ \w+ (.*) ✅""),'Region prepositions'!B:F, 5, 0),  REGEXEXTRACT(C1477, ""🏘️ \w+ \w+ (.*) ✅""))))"),"dans le quartier de Sallaz - Vennes - Séchaud (Lausanne)")</f>
        <v>dans le quartier de Sallaz - Vennes - Séchaud (Lausanne)</v>
      </c>
      <c r="F1477" s="2" t="str">
        <f>IFERROR(__xludf.DUMMYFUNCTION("REGEXEXTRACT(C1477, ""🏘️ (\w+) \w+ .* ✅"")"),"Vendre")</f>
        <v>Vendre</v>
      </c>
      <c r="G1477" s="2" t="str">
        <f>IFERROR(__xludf.DUMMYFUNCTION("REGEXEXTRACT(C1477, ""🏘️ \w+ (\w+) .* ✅"")"),"appartement")</f>
        <v>appartement</v>
      </c>
      <c r="H1477" s="4" t="str">
        <f>IFERROR(__xludf.DUMMYFUNCTION("REGEXEXTRACT(A1477, ""/(\w+)-.*?"")"),"quartier")</f>
        <v>quartier</v>
      </c>
      <c r="I1477" s="4" t="str">
        <f>IFERROR(__xludf.DUMMYFUNCTION("if(D1477=""variant"",  substitute(filter(Templates!E:E, Templates!A:A = F1477, Templates!B:B = G1477, Templates!C:C = H1477), ""{{}}"", E1477), B1477)"),"🏘  L’appartement de vos rêves se trouve sur ImmoScout24.ch ✅ Découvrez les dernières annonces de vente dans le quartier de Sallaz - Vennes - Séchaud (Lausanne).")</f>
        <v>🏘  L’appartement de vos rêves se trouve sur ImmoScout24.ch ✅ Découvrez les dernières annonces de vente dans le quartier de Sallaz - Vennes - Séchaud (Lausanne).</v>
      </c>
      <c r="J1477" s="4" t="s">
        <v>4435</v>
      </c>
    </row>
    <row r="1478">
      <c r="A1478" s="5" t="s">
        <v>4436</v>
      </c>
      <c r="B1478" s="2" t="s">
        <v>4437</v>
      </c>
      <c r="C1478" s="4" t="str">
        <f>IFERROR(__xludf.DUMMYFUNCTION("""🏘️ ""&amp;REGEXEXTRACT(B1478, ""^(.*): "")&amp;"" ✅ "" &amp;REGEXEXTRACT(B1478, ""(Trouvez.*)"")"),"🏘️ Louer appartement Meltingen ✅ Trouvez le bien immobilier qui correspond idéalement à vos désirs sur ImmoScout24 - La plateforme de l'immobilier en Suisse.")</f>
        <v>🏘️ Louer appartement Meltingen ✅ Trouvez le bien immobilier qui correspond idéalement à vos désirs sur ImmoScout24 - La plateforme de l'immobilier en Suisse.</v>
      </c>
      <c r="D1478" s="4" t="str">
        <f>vlookup(A1478, Sheet2!D:E, 2, 0)</f>
        <v>variant</v>
      </c>
      <c r="E1478" s="4" t="str">
        <f>IFERROR(__xludf.DUMMYFUNCTION("if(H1478=""pays"",vlookup(REGEXEXTRACT(C1478, ""🏘️ \w+ \w+ (.*) ✅""),'Country prepositions'!A:B, 2, 0) &amp; "" "" &amp; REGEXEXTRACT(C1478, ""🏘️ \w+ \w+ (.*) ✅"") ,  if(H1478=""quartier"",vlookup(REGEXEXTRACT(C1478, ""🏘️ \w+ \w+ (.*) ✅""),'Quartier prepositio"&amp;"ns'!A:E, 5, 0) ,  if(H1478=""region"",vlookup(REGEXEXTRACT(C1478, ""🏘️ \w+ \w+ (.*) ✅""),'Region prepositions'!B:F, 5, 0),  REGEXEXTRACT(C1478, ""🏘️ \w+ \w+ (.*) ✅""))))"),"Meltingen")</f>
        <v>Meltingen</v>
      </c>
      <c r="F1478" s="2" t="str">
        <f>IFERROR(__xludf.DUMMYFUNCTION("REGEXEXTRACT(C1478, ""🏘️ (\w+) \w+ .* ✅"")"),"Louer")</f>
        <v>Louer</v>
      </c>
      <c r="G1478" s="2" t="str">
        <f>IFERROR(__xludf.DUMMYFUNCTION("REGEXEXTRACT(C1478, ""🏘️ \w+ (\w+) .* ✅"")"),"appartement")</f>
        <v>appartement</v>
      </c>
      <c r="H1478" s="4" t="str">
        <f>IFERROR(__xludf.DUMMYFUNCTION("REGEXEXTRACT(A1478, ""/(\w+)-.*?"")"),"lieu")</f>
        <v>lieu</v>
      </c>
      <c r="I1478" s="4" t="str">
        <f>IFERROR(__xludf.DUMMYFUNCTION("if(D1478=""variant"",  substitute(filter(Templates!E:E, Templates!A:A = F1478, Templates!B:B = G1478, Templates!C:C = H1478), ""{{}}"", E1478), B1478)"),"🏘  Vous cherchez un appartement à louer à Meltingen? ✅ Les annonces les plus actuelles sont sur ImmoScout24.ch.")</f>
        <v>🏘  Vous cherchez un appartement à louer à Meltingen? ✅ Les annonces les plus actuelles sont sur ImmoScout24.ch.</v>
      </c>
      <c r="J1478" s="4" t="s">
        <v>4438</v>
      </c>
    </row>
    <row r="1479">
      <c r="A1479" s="5" t="s">
        <v>4439</v>
      </c>
      <c r="B1479" s="2" t="s">
        <v>4440</v>
      </c>
      <c r="C1479" s="4" t="str">
        <f>IFERROR(__xludf.DUMMYFUNCTION("""🏘️ ""&amp;REGEXEXTRACT(B1479, ""^(.*): "")&amp;"" ✅ "" &amp;REGEXEXTRACT(B1479, ""(Trouvez.*)"")"),"🏘️ Vendre maison Unterägeri ✅ Trouvez le bien immobilier qui correspond idéalement à vos désirs sur ImmoScout24 - La plateforme de l'immobilier en Suisse.")</f>
        <v>🏘️ Vendre maison Unterägeri ✅ Trouvez le bien immobilier qui correspond idéalement à vos désirs sur ImmoScout24 - La plateforme de l'immobilier en Suisse.</v>
      </c>
      <c r="D1479" s="4" t="str">
        <f>vlookup(A1479, Sheet2!D:E, 2, 0)</f>
        <v>variant</v>
      </c>
      <c r="E1479" s="4" t="str">
        <f>IFERROR(__xludf.DUMMYFUNCTION("if(H1479=""pays"",vlookup(REGEXEXTRACT(C1479, ""🏘️ \w+ \w+ (.*) ✅""),'Country prepositions'!A:B, 2, 0) &amp; "" "" &amp; REGEXEXTRACT(C1479, ""🏘️ \w+ \w+ (.*) ✅"") ,  if(H1479=""quartier"",vlookup(REGEXEXTRACT(C1479, ""🏘️ \w+ \w+ (.*) ✅""),'Quartier prepositio"&amp;"ns'!A:E, 5, 0) ,  if(H1479=""region"",vlookup(REGEXEXTRACT(C1479, ""🏘️ \w+ \w+ (.*) ✅""),'Region prepositions'!B:F, 5, 0),  REGEXEXTRACT(C1479, ""🏘️ \w+ \w+ (.*) ✅""))))"),"Unterägeri")</f>
        <v>Unterägeri</v>
      </c>
      <c r="F1479" s="2" t="str">
        <f>IFERROR(__xludf.DUMMYFUNCTION("REGEXEXTRACT(C1479, ""🏘️ (\w+) \w+ .* ✅"")"),"Vendre")</f>
        <v>Vendre</v>
      </c>
      <c r="G1479" s="2" t="str">
        <f>IFERROR(__xludf.DUMMYFUNCTION("REGEXEXTRACT(C1479, ""🏘️ \w+ (\w+) .* ✅"")"),"maison")</f>
        <v>maison</v>
      </c>
      <c r="H1479" s="4" t="str">
        <f>IFERROR(__xludf.DUMMYFUNCTION("REGEXEXTRACT(A1479, ""/(\w+)-.*?"")"),"lieu")</f>
        <v>lieu</v>
      </c>
      <c r="I1479" s="4" t="str">
        <f>IFERROR(__xludf.DUMMYFUNCTION("if(D1479=""variant"",  substitute(filter(Templates!E:E, Templates!A:A = F1479, Templates!B:B = G1479, Templates!C:C = H1479), ""{{}}"", E1479), B1479)"),"🏘  Vous souhaitez acheter une maison à Unterägeri? ✅ Jetez un œil aux dernières offres sur ImmoScout24.ch.")</f>
        <v>🏘  Vous souhaitez acheter une maison à Unterägeri? ✅ Jetez un œil aux dernières offres sur ImmoScout24.ch.</v>
      </c>
      <c r="J1479" s="4" t="s">
        <v>4441</v>
      </c>
    </row>
    <row r="1480">
      <c r="A1480" s="5" t="s">
        <v>4442</v>
      </c>
      <c r="B1480" s="2" t="s">
        <v>4443</v>
      </c>
      <c r="C1480" s="4" t="str">
        <f>IFERROR(__xludf.DUMMYFUNCTION("""🏘️ ""&amp;REGEXEXTRACT(B1480, ""^(.*): "")&amp;"" ✅ "" &amp;REGEXEXTRACT(B1480, ""(Trouvez.*)"")"),"🏘️ Vendre appartement Sembrancher ✅ Trouvez le bien immobilier qui correspond idéalement à vos désirs sur ImmoScout24 - La plateforme de l'immobilier en Suisse.")</f>
        <v>🏘️ Vendre appartement Sembrancher ✅ Trouvez le bien immobilier qui correspond idéalement à vos désirs sur ImmoScout24 - La plateforme de l'immobilier en Suisse.</v>
      </c>
      <c r="D1480" s="4" t="str">
        <f>vlookup(A1480, Sheet2!D:E, 2, 0)</f>
        <v>variant</v>
      </c>
      <c r="E1480" s="4" t="str">
        <f>IFERROR(__xludf.DUMMYFUNCTION("if(H1480=""pays"",vlookup(REGEXEXTRACT(C1480, ""🏘️ \w+ \w+ (.*) ✅""),'Country prepositions'!A:B, 2, 0) &amp; "" "" &amp; REGEXEXTRACT(C1480, ""🏘️ \w+ \w+ (.*) ✅"") ,  if(H1480=""quartier"",vlookup(REGEXEXTRACT(C1480, ""🏘️ \w+ \w+ (.*) ✅""),'Quartier prepositio"&amp;"ns'!A:E, 5, 0) ,  if(H1480=""region"",vlookup(REGEXEXTRACT(C1480, ""🏘️ \w+ \w+ (.*) ✅""),'Region prepositions'!B:F, 5, 0),  REGEXEXTRACT(C1480, ""🏘️ \w+ \w+ (.*) ✅""))))"),"Sembrancher")</f>
        <v>Sembrancher</v>
      </c>
      <c r="F1480" s="2" t="str">
        <f>IFERROR(__xludf.DUMMYFUNCTION("REGEXEXTRACT(C1480, ""🏘️ (\w+) \w+ .* ✅"")"),"Vendre")</f>
        <v>Vendre</v>
      </c>
      <c r="G1480" s="2" t="str">
        <f>IFERROR(__xludf.DUMMYFUNCTION("REGEXEXTRACT(C1480, ""🏘️ \w+ (\w+) .* ✅"")"),"appartement")</f>
        <v>appartement</v>
      </c>
      <c r="H1480" s="4" t="str">
        <f>IFERROR(__xludf.DUMMYFUNCTION("REGEXEXTRACT(A1480, ""/(\w+)-.*?"")"),"lieu")</f>
        <v>lieu</v>
      </c>
      <c r="I1480" s="4" t="str">
        <f>IFERROR(__xludf.DUMMYFUNCTION("if(D1480=""variant"",  substitute(filter(Templates!E:E, Templates!A:A = F1480, Templates!B:B = G1480, Templates!C:C = H1480), ""{{}}"", E1480), B1480)"),"🏘  L’appartement de vos rêves se trouve sur ImmoScout24.ch ✅ Découvrez les dernières annonces de vente à Sembrancher.")</f>
        <v>🏘  L’appartement de vos rêves se trouve sur ImmoScout24.ch ✅ Découvrez les dernières annonces de vente à Sembrancher.</v>
      </c>
      <c r="J1480" s="4" t="s">
        <v>4444</v>
      </c>
    </row>
    <row r="1481">
      <c r="A1481" s="5" t="s">
        <v>4445</v>
      </c>
      <c r="B1481" s="2" t="s">
        <v>4446</v>
      </c>
      <c r="C1481" s="4" t="str">
        <f>IFERROR(__xludf.DUMMYFUNCTION("""🏘️ ""&amp;REGEXEXTRACT(B1481, ""^(.*): "")&amp;"" ✅ "" &amp;REGEXEXTRACT(B1481, ""(Trouvez.*)"")"),"🏘️ Vendre appartement Saxon ✅ Trouvez le bien immobilier qui correspond idéalement à vos désirs sur ImmoScout24 - La plateforme de l'immobilier en Suisse.")</f>
        <v>🏘️ Vendre appartement Saxon ✅ Trouvez le bien immobilier qui correspond idéalement à vos désirs sur ImmoScout24 - La plateforme de l'immobilier en Suisse.</v>
      </c>
      <c r="D1481" s="4" t="str">
        <f>vlookup(A1481, Sheet2!D:E, 2, 0)</f>
        <v>variant</v>
      </c>
      <c r="E1481" s="4" t="str">
        <f>IFERROR(__xludf.DUMMYFUNCTION("if(H1481=""pays"",vlookup(REGEXEXTRACT(C1481, ""🏘️ \w+ \w+ (.*) ✅""),'Country prepositions'!A:B, 2, 0) &amp; "" "" &amp; REGEXEXTRACT(C1481, ""🏘️ \w+ \w+ (.*) ✅"") ,  if(H1481=""quartier"",vlookup(REGEXEXTRACT(C1481, ""🏘️ \w+ \w+ (.*) ✅""),'Quartier prepositio"&amp;"ns'!A:E, 5, 0) ,  if(H1481=""region"",vlookup(REGEXEXTRACT(C1481, ""🏘️ \w+ \w+ (.*) ✅""),'Region prepositions'!B:F, 5, 0),  REGEXEXTRACT(C1481, ""🏘️ \w+ \w+ (.*) ✅""))))"),"Saxon")</f>
        <v>Saxon</v>
      </c>
      <c r="F1481" s="2" t="str">
        <f>IFERROR(__xludf.DUMMYFUNCTION("REGEXEXTRACT(C1481, ""🏘️ (\w+) \w+ .* ✅"")"),"Vendre")</f>
        <v>Vendre</v>
      </c>
      <c r="G1481" s="2" t="str">
        <f>IFERROR(__xludf.DUMMYFUNCTION("REGEXEXTRACT(C1481, ""🏘️ \w+ (\w+) .* ✅"")"),"appartement")</f>
        <v>appartement</v>
      </c>
      <c r="H1481" s="4" t="str">
        <f>IFERROR(__xludf.DUMMYFUNCTION("REGEXEXTRACT(A1481, ""/(\w+)-.*?"")"),"lieu")</f>
        <v>lieu</v>
      </c>
      <c r="I1481" s="4" t="str">
        <f>IFERROR(__xludf.DUMMYFUNCTION("if(D1481=""variant"",  substitute(filter(Templates!E:E, Templates!A:A = F1481, Templates!B:B = G1481, Templates!C:C = H1481), ""{{}}"", E1481), B1481)"),"🏘  L’appartement de vos rêves se trouve sur ImmoScout24.ch ✅ Découvrez les dernières annonces de vente à Saxon.")</f>
        <v>🏘  L’appartement de vos rêves se trouve sur ImmoScout24.ch ✅ Découvrez les dernières annonces de vente à Saxon.</v>
      </c>
      <c r="J1481" s="4" t="s">
        <v>4447</v>
      </c>
    </row>
    <row r="1482">
      <c r="A1482" s="5" t="s">
        <v>4448</v>
      </c>
      <c r="B1482" s="2" t="s">
        <v>4449</v>
      </c>
      <c r="C1482" s="4" t="str">
        <f>IFERROR(__xludf.DUMMYFUNCTION("""🏘️ ""&amp;REGEXEXTRACT(B1482, ""^(.*): "")&amp;"" ✅ "" &amp;REGEXEXTRACT(B1482, ""(Trouvez.*)"")"),"🏘️ Vendre maison Sargans et environs ✅ Trouvez le bien immobilier qui correspond idéalement à vos désirs sur ImmoScout24 - La plateforme de l'immobilier en Suisse.")</f>
        <v>🏘️ Vendre maison Sargans et environs ✅ Trouvez le bien immobilier qui correspond idéalement à vos désirs sur ImmoScout24 - La plateforme de l'immobilier en Suisse.</v>
      </c>
      <c r="D1482" s="4" t="str">
        <f>vlookup(A1482, Sheet2!D:E, 2, 0)</f>
        <v>variant</v>
      </c>
      <c r="E1482" s="4" t="str">
        <f>IFERROR(__xludf.DUMMYFUNCTION("if(H1482=""pays"",vlookup(REGEXEXTRACT(C1482, ""🏘️ \w+ \w+ (.*) ✅""),'Country prepositions'!A:B, 2, 0) &amp; "" "" &amp; REGEXEXTRACT(C1482, ""🏘️ \w+ \w+ (.*) ✅"") ,  if(H1482=""quartier"",vlookup(REGEXEXTRACT(C1482, ""🏘️ \w+ \w+ (.*) ✅""),'Quartier prepositio"&amp;"ns'!A:E, 5, 0) ,  if(H1482=""region"",vlookup(REGEXEXTRACT(C1482, ""🏘️ \w+ \w+ (.*) ✅""),'Region prepositions'!B:F, 5, 0),  REGEXEXTRACT(C1482, ""🏘️ \w+ \w+ (.*) ✅""))))"),"à Sargans et environs")</f>
        <v>à Sargans et environs</v>
      </c>
      <c r="F1482" s="2" t="str">
        <f>IFERROR(__xludf.DUMMYFUNCTION("REGEXEXTRACT(C1482, ""🏘️ (\w+) \w+ .* ✅"")"),"Vendre")</f>
        <v>Vendre</v>
      </c>
      <c r="G1482" s="2" t="str">
        <f>IFERROR(__xludf.DUMMYFUNCTION("REGEXEXTRACT(C1482, ""🏘️ \w+ (\w+) .* ✅"")"),"maison")</f>
        <v>maison</v>
      </c>
      <c r="H1482" s="4" t="str">
        <f>IFERROR(__xludf.DUMMYFUNCTION("REGEXEXTRACT(A1482, ""/(\w+)-.*?"")"),"region")</f>
        <v>region</v>
      </c>
      <c r="I1482" s="4" t="str">
        <f>IFERROR(__xludf.DUMMYFUNCTION("if(D1482=""variant"",  substitute(filter(Templates!E:E, Templates!A:A = F1482, Templates!B:B = G1482, Templates!C:C = H1482), ""{{}}"", E1482), B1482)"),"🏘  Vous souhaitez acheter une maison à Sargans et environs? ✅ Jetez un œil aux dernières offres sur ImmoScout24.ch.")</f>
        <v>🏘  Vous souhaitez acheter une maison à Sargans et environs? ✅ Jetez un œil aux dernières offres sur ImmoScout24.ch.</v>
      </c>
      <c r="J1482" s="4" t="s">
        <v>4450</v>
      </c>
    </row>
    <row r="1483">
      <c r="A1483" s="5" t="s">
        <v>4451</v>
      </c>
      <c r="B1483" s="2" t="s">
        <v>4452</v>
      </c>
      <c r="C1483" s="4" t="str">
        <f>IFERROR(__xludf.DUMMYFUNCTION("""🏘️ ""&amp;REGEXEXTRACT(B1483, ""^(.*): "")&amp;"" ✅ "" &amp;REGEXEXTRACT(B1483, ""(Trouvez.*)"")"),"🏘️ Louer appartement Cormoret ✅ Trouvez le bien immobilier qui correspond idéalement à vos désirs sur ImmoScout24 - La plateforme de l'immobilier en Suisse.")</f>
        <v>🏘️ Louer appartement Cormoret ✅ Trouvez le bien immobilier qui correspond idéalement à vos désirs sur ImmoScout24 - La plateforme de l'immobilier en Suisse.</v>
      </c>
      <c r="D1483" s="4" t="str">
        <f>vlookup(A1483, Sheet2!D:E, 2, 0)</f>
        <v>variant</v>
      </c>
      <c r="E1483" s="4" t="str">
        <f>IFERROR(__xludf.DUMMYFUNCTION("if(H1483=""pays"",vlookup(REGEXEXTRACT(C1483, ""🏘️ \w+ \w+ (.*) ✅""),'Country prepositions'!A:B, 2, 0) &amp; "" "" &amp; REGEXEXTRACT(C1483, ""🏘️ \w+ \w+ (.*) ✅"") ,  if(H1483=""quartier"",vlookup(REGEXEXTRACT(C1483, ""🏘️ \w+ \w+ (.*) ✅""),'Quartier prepositio"&amp;"ns'!A:E, 5, 0) ,  if(H1483=""region"",vlookup(REGEXEXTRACT(C1483, ""🏘️ \w+ \w+ (.*) ✅""),'Region prepositions'!B:F, 5, 0),  REGEXEXTRACT(C1483, ""🏘️ \w+ \w+ (.*) ✅""))))"),"Cormoret")</f>
        <v>Cormoret</v>
      </c>
      <c r="F1483" s="2" t="str">
        <f>IFERROR(__xludf.DUMMYFUNCTION("REGEXEXTRACT(C1483, ""🏘️ (\w+) \w+ .* ✅"")"),"Louer")</f>
        <v>Louer</v>
      </c>
      <c r="G1483" s="2" t="str">
        <f>IFERROR(__xludf.DUMMYFUNCTION("REGEXEXTRACT(C1483, ""🏘️ \w+ (\w+) .* ✅"")"),"appartement")</f>
        <v>appartement</v>
      </c>
      <c r="H1483" s="4" t="str">
        <f>IFERROR(__xludf.DUMMYFUNCTION("REGEXEXTRACT(A1483, ""/(\w+)-.*?"")"),"lieu")</f>
        <v>lieu</v>
      </c>
      <c r="I1483" s="4" t="str">
        <f>IFERROR(__xludf.DUMMYFUNCTION("if(D1483=""variant"",  substitute(filter(Templates!E:E, Templates!A:A = F1483, Templates!B:B = G1483, Templates!C:C = H1483), ""{{}}"", E1483), B1483)"),"🏘  Vous cherchez un appartement à louer à Cormoret? ✅ Les annonces les plus actuelles sont sur ImmoScout24.ch.")</f>
        <v>🏘  Vous cherchez un appartement à louer à Cormoret? ✅ Les annonces les plus actuelles sont sur ImmoScout24.ch.</v>
      </c>
      <c r="J1483" s="4" t="s">
        <v>4453</v>
      </c>
    </row>
    <row r="1484">
      <c r="A1484" s="5" t="s">
        <v>4454</v>
      </c>
      <c r="B1484" s="2" t="s">
        <v>1228</v>
      </c>
      <c r="C1484" s="4" t="str">
        <f>IFERROR(__xludf.DUMMYFUNCTION("""🏘️ ""&amp;REGEXEXTRACT(B1484, ""^(.*): "")&amp;"" ✅ "" &amp;REGEXEXTRACT(B1484, ""(Trouvez.*)"")"),"🏘️ Louer appartement Gwatt (Thun) ✅ Trouvez le bien immobilier qui correspond idéalement à vos désirs sur ImmoScout24 - La plateforme de l'immobilier en Suisse.")</f>
        <v>🏘️ Louer appartement Gwatt (Thun) ✅ Trouvez le bien immobilier qui correspond idéalement à vos désirs sur ImmoScout24 - La plateforme de l'immobilier en Suisse.</v>
      </c>
      <c r="D1484" s="4" t="str">
        <f>vlookup(A1484, Sheet2!D:E, 2, 0)</f>
        <v>variant</v>
      </c>
      <c r="E1484" s="4" t="str">
        <f>IFERROR(__xludf.DUMMYFUNCTION("if(H1484=""pays"",vlookup(REGEXEXTRACT(C1484, ""🏘️ \w+ \w+ (.*) ✅""),'Country prepositions'!A:B, 2, 0) &amp; "" "" &amp; REGEXEXTRACT(C1484, ""🏘️ \w+ \w+ (.*) ✅"") ,  if(H1484=""quartier"",vlookup(REGEXEXTRACT(C1484, ""🏘️ \w+ \w+ (.*) ✅""),'Quartier prepositio"&amp;"ns'!A:E, 5, 0) ,  if(H1484=""region"",vlookup(REGEXEXTRACT(C1484, ""🏘️ \w+ \w+ (.*) ✅""),'Region prepositions'!B:F, 5, 0),  REGEXEXTRACT(C1484, ""🏘️ \w+ \w+ (.*) ✅""))))"),"dans le quartier de Gwatt (Thoune)")</f>
        <v>dans le quartier de Gwatt (Thoune)</v>
      </c>
      <c r="F1484" s="2" t="str">
        <f>IFERROR(__xludf.DUMMYFUNCTION("REGEXEXTRACT(C1484, ""🏘️ (\w+) \w+ .* ✅"")"),"Louer")</f>
        <v>Louer</v>
      </c>
      <c r="G1484" s="2" t="str">
        <f>IFERROR(__xludf.DUMMYFUNCTION("REGEXEXTRACT(C1484, ""🏘️ \w+ (\w+) .* ✅"")"),"appartement")</f>
        <v>appartement</v>
      </c>
      <c r="H1484" s="4" t="str">
        <f>IFERROR(__xludf.DUMMYFUNCTION("REGEXEXTRACT(A1484, ""/(\w+)-.*?"")"),"quartier")</f>
        <v>quartier</v>
      </c>
      <c r="I1484" s="4" t="str">
        <f>IFERROR(__xludf.DUMMYFUNCTION("if(D1484=""variant"",  substitute(filter(Templates!E:E, Templates!A:A = F1484, Templates!B:B = G1484, Templates!C:C = H1484), ""{{}}"", E1484), B1484)"),"🏘  Vous cherchez un appartement à louer dans le quartier de Gwatt (Thoune)? ✅ Les annonces les plus actuelles sont sur ImmoScout24.ch.")</f>
        <v>🏘  Vous cherchez un appartement à louer dans le quartier de Gwatt (Thoune)? ✅ Les annonces les plus actuelles sont sur ImmoScout24.ch.</v>
      </c>
      <c r="J1484" s="4" t="s">
        <v>4455</v>
      </c>
    </row>
    <row r="1485">
      <c r="A1485" s="5" t="s">
        <v>4456</v>
      </c>
      <c r="B1485" s="2" t="s">
        <v>4457</v>
      </c>
      <c r="C1485" s="4" t="str">
        <f>IFERROR(__xludf.DUMMYFUNCTION("""🏘️ ""&amp;REGEXEXTRACT(B1485, ""^(.*): "")&amp;"" ✅ "" &amp;REGEXEXTRACT(B1485, ""(Trouvez.*)"")"),"🏘️ Vendre maison Studen BE ✅ Trouvez le bien immobilier qui correspond idéalement à vos désirs sur ImmoScout24 - La plateforme de l'immobilier en Suisse.")</f>
        <v>🏘️ Vendre maison Studen BE ✅ Trouvez le bien immobilier qui correspond idéalement à vos désirs sur ImmoScout24 - La plateforme de l'immobilier en Suisse.</v>
      </c>
      <c r="D1485" s="4" t="str">
        <f>vlookup(A1485, Sheet2!D:E, 2, 0)</f>
        <v>variant</v>
      </c>
      <c r="E1485" s="4" t="str">
        <f>IFERROR(__xludf.DUMMYFUNCTION("if(H1485=""pays"",vlookup(REGEXEXTRACT(C1485, ""🏘️ \w+ \w+ (.*) ✅""),'Country prepositions'!A:B, 2, 0) &amp; "" "" &amp; REGEXEXTRACT(C1485, ""🏘️ \w+ \w+ (.*) ✅"") ,  if(H1485=""quartier"",vlookup(REGEXEXTRACT(C1485, ""🏘️ \w+ \w+ (.*) ✅""),'Quartier prepositio"&amp;"ns'!A:E, 5, 0) ,  if(H1485=""region"",vlookup(REGEXEXTRACT(C1485, ""🏘️ \w+ \w+ (.*) ✅""),'Region prepositions'!B:F, 5, 0),  REGEXEXTRACT(C1485, ""🏘️ \w+ \w+ (.*) ✅""))))"),"Studen BE")</f>
        <v>Studen BE</v>
      </c>
      <c r="F1485" s="2" t="str">
        <f>IFERROR(__xludf.DUMMYFUNCTION("REGEXEXTRACT(C1485, ""🏘️ (\w+) \w+ .* ✅"")"),"Vendre")</f>
        <v>Vendre</v>
      </c>
      <c r="G1485" s="2" t="str">
        <f>IFERROR(__xludf.DUMMYFUNCTION("REGEXEXTRACT(C1485, ""🏘️ \w+ (\w+) .* ✅"")"),"maison")</f>
        <v>maison</v>
      </c>
      <c r="H1485" s="4" t="str">
        <f>IFERROR(__xludf.DUMMYFUNCTION("REGEXEXTRACT(A1485, ""/(\w+)-.*?"")"),"lieu")</f>
        <v>lieu</v>
      </c>
      <c r="I1485" s="4" t="str">
        <f>IFERROR(__xludf.DUMMYFUNCTION("if(D1485=""variant"",  substitute(filter(Templates!E:E, Templates!A:A = F1485, Templates!B:B = G1485, Templates!C:C = H1485), ""{{}}"", E1485), B1485)"),"🏘  Vous souhaitez acheter une maison à Studen BE? ✅ Jetez un œil aux dernières offres sur ImmoScout24.ch.")</f>
        <v>🏘  Vous souhaitez acheter une maison à Studen BE? ✅ Jetez un œil aux dernières offres sur ImmoScout24.ch.</v>
      </c>
      <c r="J1485" s="4" t="s">
        <v>4458</v>
      </c>
    </row>
    <row r="1486">
      <c r="A1486" s="5" t="s">
        <v>4459</v>
      </c>
      <c r="B1486" s="2" t="s">
        <v>4460</v>
      </c>
      <c r="C1486" s="4" t="str">
        <f>IFERROR(__xludf.DUMMYFUNCTION("""🏘️ ""&amp;REGEXEXTRACT(B1486, ""^(.*): "")&amp;"" ✅ "" &amp;REGEXEXTRACT(B1486, ""(Trouvez.*)"")"),"🏘️ Louer appartement Villaraboud ✅ Trouvez le bien immobilier qui correspond idéalement à vos désirs sur ImmoScout24 - La plateforme de l'immobilier en Suisse.")</f>
        <v>🏘️ Louer appartement Villaraboud ✅ Trouvez le bien immobilier qui correspond idéalement à vos désirs sur ImmoScout24 - La plateforme de l'immobilier en Suisse.</v>
      </c>
      <c r="D1486" s="4" t="str">
        <f>vlookup(A1486, Sheet2!D:E, 2, 0)</f>
        <v>variant</v>
      </c>
      <c r="E1486" s="4" t="str">
        <f>IFERROR(__xludf.DUMMYFUNCTION("if(H1486=""pays"",vlookup(REGEXEXTRACT(C1486, ""🏘️ \w+ \w+ (.*) ✅""),'Country prepositions'!A:B, 2, 0) &amp; "" "" &amp; REGEXEXTRACT(C1486, ""🏘️ \w+ \w+ (.*) ✅"") ,  if(H1486=""quartier"",vlookup(REGEXEXTRACT(C1486, ""🏘️ \w+ \w+ (.*) ✅""),'Quartier prepositio"&amp;"ns'!A:E, 5, 0) ,  if(H1486=""region"",vlookup(REGEXEXTRACT(C1486, ""🏘️ \w+ \w+ (.*) ✅""),'Region prepositions'!B:F, 5, 0),  REGEXEXTRACT(C1486, ""🏘️ \w+ \w+ (.*) ✅""))))"),"Villaraboud")</f>
        <v>Villaraboud</v>
      </c>
      <c r="F1486" s="2" t="str">
        <f>IFERROR(__xludf.DUMMYFUNCTION("REGEXEXTRACT(C1486, ""🏘️ (\w+) \w+ .* ✅"")"),"Louer")</f>
        <v>Louer</v>
      </c>
      <c r="G1486" s="2" t="str">
        <f>IFERROR(__xludf.DUMMYFUNCTION("REGEXEXTRACT(C1486, ""🏘️ \w+ (\w+) .* ✅"")"),"appartement")</f>
        <v>appartement</v>
      </c>
      <c r="H1486" s="4" t="str">
        <f>IFERROR(__xludf.DUMMYFUNCTION("REGEXEXTRACT(A1486, ""/(\w+)-.*?"")"),"lieu")</f>
        <v>lieu</v>
      </c>
      <c r="I1486" s="4" t="str">
        <f>IFERROR(__xludf.DUMMYFUNCTION("if(D1486=""variant"",  substitute(filter(Templates!E:E, Templates!A:A = F1486, Templates!B:B = G1486, Templates!C:C = H1486), ""{{}}"", E1486), B1486)"),"🏘  Vous cherchez un appartement à louer à Villaraboud? ✅ Les annonces les plus actuelles sont sur ImmoScout24.ch.")</f>
        <v>🏘  Vous cherchez un appartement à louer à Villaraboud? ✅ Les annonces les plus actuelles sont sur ImmoScout24.ch.</v>
      </c>
      <c r="J1486" s="4" t="s">
        <v>4461</v>
      </c>
    </row>
    <row r="1487">
      <c r="A1487" s="5" t="s">
        <v>4462</v>
      </c>
      <c r="B1487" s="2" t="s">
        <v>4463</v>
      </c>
      <c r="C1487" s="4" t="str">
        <f>IFERROR(__xludf.DUMMYFUNCTION("""🏘️ ""&amp;REGEXEXTRACT(B1487, ""^(.*): "")&amp;"" ✅ "" &amp;REGEXEXTRACT(B1487, ""(Trouvez.*)"")"),"🏘️ Vendre maison Nuvilly ✅ Trouvez le bien immobilier qui correspond idéalement à vos désirs sur ImmoScout24 - La plateforme de l'immobilier en Suisse.")</f>
        <v>🏘️ Vendre maison Nuvilly ✅ Trouvez le bien immobilier qui correspond idéalement à vos désirs sur ImmoScout24 - La plateforme de l'immobilier en Suisse.</v>
      </c>
      <c r="D1487" s="4" t="str">
        <f>vlookup(A1487, Sheet2!D:E, 2, 0)</f>
        <v>variant</v>
      </c>
      <c r="E1487" s="4" t="str">
        <f>IFERROR(__xludf.DUMMYFUNCTION("if(H1487=""pays"",vlookup(REGEXEXTRACT(C1487, ""🏘️ \w+ \w+ (.*) ✅""),'Country prepositions'!A:B, 2, 0) &amp; "" "" &amp; REGEXEXTRACT(C1487, ""🏘️ \w+ \w+ (.*) ✅"") ,  if(H1487=""quartier"",vlookup(REGEXEXTRACT(C1487, ""🏘️ \w+ \w+ (.*) ✅""),'Quartier prepositio"&amp;"ns'!A:E, 5, 0) ,  if(H1487=""region"",vlookup(REGEXEXTRACT(C1487, ""🏘️ \w+ \w+ (.*) ✅""),'Region prepositions'!B:F, 5, 0),  REGEXEXTRACT(C1487, ""🏘️ \w+ \w+ (.*) ✅""))))"),"Nuvilly")</f>
        <v>Nuvilly</v>
      </c>
      <c r="F1487" s="2" t="str">
        <f>IFERROR(__xludf.DUMMYFUNCTION("REGEXEXTRACT(C1487, ""🏘️ (\w+) \w+ .* ✅"")"),"Vendre")</f>
        <v>Vendre</v>
      </c>
      <c r="G1487" s="2" t="str">
        <f>IFERROR(__xludf.DUMMYFUNCTION("REGEXEXTRACT(C1487, ""🏘️ \w+ (\w+) .* ✅"")"),"maison")</f>
        <v>maison</v>
      </c>
      <c r="H1487" s="4" t="str">
        <f>IFERROR(__xludf.DUMMYFUNCTION("REGEXEXTRACT(A1487, ""/(\w+)-.*?"")"),"lieu")</f>
        <v>lieu</v>
      </c>
      <c r="I1487" s="4" t="str">
        <f>IFERROR(__xludf.DUMMYFUNCTION("if(D1487=""variant"",  substitute(filter(Templates!E:E, Templates!A:A = F1487, Templates!B:B = G1487, Templates!C:C = H1487), ""{{}}"", E1487), B1487)"),"🏘  Vous souhaitez acheter une maison à Nuvilly? ✅ Jetez un œil aux dernières offres sur ImmoScout24.ch.")</f>
        <v>🏘  Vous souhaitez acheter une maison à Nuvilly? ✅ Jetez un œil aux dernières offres sur ImmoScout24.ch.</v>
      </c>
      <c r="J1487" s="4" t="s">
        <v>4464</v>
      </c>
    </row>
    <row r="1488">
      <c r="A1488" s="5" t="s">
        <v>4465</v>
      </c>
      <c r="B1488" s="2" t="s">
        <v>4466</v>
      </c>
      <c r="C1488" s="4" t="str">
        <f>IFERROR(__xludf.DUMMYFUNCTION("""🏘️ ""&amp;REGEXEXTRACT(B1488, ""^(.*): "")&amp;"" ✅ "" &amp;REGEXEXTRACT(B1488, ""(Trouvez.*)"")"),"🏘️ Louer appartement Cortébert ✅ Trouvez le bien immobilier qui correspond idéalement à vos désirs sur ImmoScout24 - La plateforme de l'immobilier en Suisse.")</f>
        <v>🏘️ Louer appartement Cortébert ✅ Trouvez le bien immobilier qui correspond idéalement à vos désirs sur ImmoScout24 - La plateforme de l'immobilier en Suisse.</v>
      </c>
      <c r="D1488" s="4" t="str">
        <f>vlookup(A1488, Sheet2!D:E, 2, 0)</f>
        <v>variant</v>
      </c>
      <c r="E1488" s="4" t="str">
        <f>IFERROR(__xludf.DUMMYFUNCTION("if(H1488=""pays"",vlookup(REGEXEXTRACT(C1488, ""🏘️ \w+ \w+ (.*) ✅""),'Country prepositions'!A:B, 2, 0) &amp; "" "" &amp; REGEXEXTRACT(C1488, ""🏘️ \w+ \w+ (.*) ✅"") ,  if(H1488=""quartier"",vlookup(REGEXEXTRACT(C1488, ""🏘️ \w+ \w+ (.*) ✅""),'Quartier prepositio"&amp;"ns'!A:E, 5, 0) ,  if(H1488=""region"",vlookup(REGEXEXTRACT(C1488, ""🏘️ \w+ \w+ (.*) ✅""),'Region prepositions'!B:F, 5, 0),  REGEXEXTRACT(C1488, ""🏘️ \w+ \w+ (.*) ✅""))))"),"Cortébert")</f>
        <v>Cortébert</v>
      </c>
      <c r="F1488" s="2" t="str">
        <f>IFERROR(__xludf.DUMMYFUNCTION("REGEXEXTRACT(C1488, ""🏘️ (\w+) \w+ .* ✅"")"),"Louer")</f>
        <v>Louer</v>
      </c>
      <c r="G1488" s="2" t="str">
        <f>IFERROR(__xludf.DUMMYFUNCTION("REGEXEXTRACT(C1488, ""🏘️ \w+ (\w+) .* ✅"")"),"appartement")</f>
        <v>appartement</v>
      </c>
      <c r="H1488" s="4" t="str">
        <f>IFERROR(__xludf.DUMMYFUNCTION("REGEXEXTRACT(A1488, ""/(\w+)-.*?"")"),"lieu")</f>
        <v>lieu</v>
      </c>
      <c r="I1488" s="4" t="str">
        <f>IFERROR(__xludf.DUMMYFUNCTION("if(D1488=""variant"",  substitute(filter(Templates!E:E, Templates!A:A = F1488, Templates!B:B = G1488, Templates!C:C = H1488), ""{{}}"", E1488), B1488)"),"🏘  Vous cherchez un appartement à louer à Cortébert? ✅ Les annonces les plus actuelles sont sur ImmoScout24.ch.")</f>
        <v>🏘  Vous cherchez un appartement à louer à Cortébert? ✅ Les annonces les plus actuelles sont sur ImmoScout24.ch.</v>
      </c>
      <c r="J1488" s="4" t="s">
        <v>4467</v>
      </c>
    </row>
    <row r="1489">
      <c r="A1489" s="5" t="s">
        <v>4468</v>
      </c>
      <c r="B1489" s="2" t="s">
        <v>4469</v>
      </c>
      <c r="C1489" s="4" t="str">
        <f>IFERROR(__xludf.DUMMYFUNCTION("""🏘️ ""&amp;REGEXEXTRACT(B1489, ""^(.*): "")&amp;"" ✅ "" &amp;REGEXEXTRACT(B1489, ""(Trouvez.*)"")"),"🏘️ Louer maison Provence ✅ Trouvez le bien immobilier qui correspond idéalement à vos désirs sur ImmoScout24 - La plateforme de l'immobilier en Suisse.")</f>
        <v>🏘️ Louer maison Provence ✅ Trouvez le bien immobilier qui correspond idéalement à vos désirs sur ImmoScout24 - La plateforme de l'immobilier en Suisse.</v>
      </c>
      <c r="D1489" s="4" t="str">
        <f>vlookup(A1489, Sheet2!D:E, 2, 0)</f>
        <v>variant</v>
      </c>
      <c r="E1489" s="4" t="str">
        <f>IFERROR(__xludf.DUMMYFUNCTION("if(H1489=""pays"",vlookup(REGEXEXTRACT(C1489, ""🏘️ \w+ \w+ (.*) ✅""),'Country prepositions'!A:B, 2, 0) &amp; "" "" &amp; REGEXEXTRACT(C1489, ""🏘️ \w+ \w+ (.*) ✅"") ,  if(H1489=""quartier"",vlookup(REGEXEXTRACT(C1489, ""🏘️ \w+ \w+ (.*) ✅""),'Quartier prepositio"&amp;"ns'!A:E, 5, 0) ,  if(H1489=""region"",vlookup(REGEXEXTRACT(C1489, ""🏘️ \w+ \w+ (.*) ✅""),'Region prepositions'!B:F, 5, 0),  REGEXEXTRACT(C1489, ""🏘️ \w+ \w+ (.*) ✅""))))"),"Provence")</f>
        <v>Provence</v>
      </c>
      <c r="F1489" s="2" t="str">
        <f>IFERROR(__xludf.DUMMYFUNCTION("REGEXEXTRACT(C1489, ""🏘️ (\w+) \w+ .* ✅"")"),"Louer")</f>
        <v>Louer</v>
      </c>
      <c r="G1489" s="2" t="str">
        <f>IFERROR(__xludf.DUMMYFUNCTION("REGEXEXTRACT(C1489, ""🏘️ \w+ (\w+) .* ✅"")"),"maison")</f>
        <v>maison</v>
      </c>
      <c r="H1489" s="4" t="str">
        <f>IFERROR(__xludf.DUMMYFUNCTION("REGEXEXTRACT(A1489, ""/(\w+)-.*?"")"),"lieu")</f>
        <v>lieu</v>
      </c>
      <c r="I1489" s="4" t="str">
        <f>IFERROR(__xludf.DUMMYFUNCTION("if(D1489=""variant"",  substitute(filter(Templates!E:E, Templates!A:A = F1489, Templates!B:B = G1489, Templates!C:C = H1489), ""{{}}"", E1489), B1489)"),"🏘  Vous cherchez une maison à louer à Provence? ✅ Découvrez nos nombreuses annonces sur ImmoScout24.ch.")</f>
        <v>🏘  Vous cherchez une maison à louer à Provence? ✅ Découvrez nos nombreuses annonces sur ImmoScout24.ch.</v>
      </c>
      <c r="J1489" s="4" t="s">
        <v>4470</v>
      </c>
    </row>
    <row r="1490">
      <c r="A1490" s="5" t="s">
        <v>4471</v>
      </c>
      <c r="B1490" s="2" t="s">
        <v>4472</v>
      </c>
      <c r="C1490" s="4" t="str">
        <f>IFERROR(__xludf.DUMMYFUNCTION("""🏘️ ""&amp;REGEXEXTRACT(B1490, ""^(.*): "")&amp;"" ✅ "" &amp;REGEXEXTRACT(B1490, ""(Trouvez.*)"")"),"🏘️ Louer appartement Villars-Tiercelin ✅ Trouvez le bien immobilier qui correspond idéalement à vos désirs sur ImmoScout24 - La plateforme de l'immobilier en Suisse.")</f>
        <v>🏘️ Louer appartement Villars-Tiercelin ✅ Trouvez le bien immobilier qui correspond idéalement à vos désirs sur ImmoScout24 - La plateforme de l'immobilier en Suisse.</v>
      </c>
      <c r="D1490" s="4" t="str">
        <f>vlookup(A1490, Sheet2!D:E, 2, 0)</f>
        <v>variant</v>
      </c>
      <c r="E1490" s="4" t="str">
        <f>IFERROR(__xludf.DUMMYFUNCTION("if(H1490=""pays"",vlookup(REGEXEXTRACT(C1490, ""🏘️ \w+ \w+ (.*) ✅""),'Country prepositions'!A:B, 2, 0) &amp; "" "" &amp; REGEXEXTRACT(C1490, ""🏘️ \w+ \w+ (.*) ✅"") ,  if(H1490=""quartier"",vlookup(REGEXEXTRACT(C1490, ""🏘️ \w+ \w+ (.*) ✅""),'Quartier prepositio"&amp;"ns'!A:E, 5, 0) ,  if(H1490=""region"",vlookup(REGEXEXTRACT(C1490, ""🏘️ \w+ \w+ (.*) ✅""),'Region prepositions'!B:F, 5, 0),  REGEXEXTRACT(C1490, ""🏘️ \w+ \w+ (.*) ✅""))))"),"Villars-Tiercelin")</f>
        <v>Villars-Tiercelin</v>
      </c>
      <c r="F1490" s="2" t="str">
        <f>IFERROR(__xludf.DUMMYFUNCTION("REGEXEXTRACT(C1490, ""🏘️ (\w+) \w+ .* ✅"")"),"Louer")</f>
        <v>Louer</v>
      </c>
      <c r="G1490" s="2" t="str">
        <f>IFERROR(__xludf.DUMMYFUNCTION("REGEXEXTRACT(C1490, ""🏘️ \w+ (\w+) .* ✅"")"),"appartement")</f>
        <v>appartement</v>
      </c>
      <c r="H1490" s="4" t="str">
        <f>IFERROR(__xludf.DUMMYFUNCTION("REGEXEXTRACT(A1490, ""/(\w+)-.*?"")"),"lieu")</f>
        <v>lieu</v>
      </c>
      <c r="I1490" s="4" t="str">
        <f>IFERROR(__xludf.DUMMYFUNCTION("if(D1490=""variant"",  substitute(filter(Templates!E:E, Templates!A:A = F1490, Templates!B:B = G1490, Templates!C:C = H1490), ""{{}}"", E1490), B1490)"),"🏘  Vous cherchez un appartement à louer à Villars-Tiercelin? ✅ Les annonces les plus actuelles sont sur ImmoScout24.ch.")</f>
        <v>🏘  Vous cherchez un appartement à louer à Villars-Tiercelin? ✅ Les annonces les plus actuelles sont sur ImmoScout24.ch.</v>
      </c>
      <c r="J1490" s="4" t="s">
        <v>4473</v>
      </c>
    </row>
    <row r="1491">
      <c r="A1491" s="5" t="s">
        <v>4474</v>
      </c>
      <c r="B1491" s="2" t="s">
        <v>4475</v>
      </c>
      <c r="C1491" s="4" t="str">
        <f>IFERROR(__xludf.DUMMYFUNCTION("""🏘️ ""&amp;REGEXEXTRACT(B1491, ""^(.*): "")&amp;"" ✅ "" &amp;REGEXEXTRACT(B1491, ""(Trouvez.*)"")"),"🏘️ Louer maison Les Ponts-de-Martel ✅ Trouvez le bien immobilier qui correspond idéalement à vos désirs sur ImmoScout24 - La plateforme de l'immobilier en Suisse.")</f>
        <v>🏘️ Louer maison Les Ponts-de-Martel ✅ Trouvez le bien immobilier qui correspond idéalement à vos désirs sur ImmoScout24 - La plateforme de l'immobilier en Suisse.</v>
      </c>
      <c r="D1491" s="4" t="str">
        <f>vlookup(A1491, Sheet2!D:E, 2, 0)</f>
        <v>variant</v>
      </c>
      <c r="E1491" s="4" t="str">
        <f>IFERROR(__xludf.DUMMYFUNCTION("if(H1491=""pays"",vlookup(REGEXEXTRACT(C1491, ""🏘️ \w+ \w+ (.*) ✅""),'Country prepositions'!A:B, 2, 0) &amp; "" "" &amp; REGEXEXTRACT(C1491, ""🏘️ \w+ \w+ (.*) ✅"") ,  if(H1491=""quartier"",vlookup(REGEXEXTRACT(C1491, ""🏘️ \w+ \w+ (.*) ✅""),'Quartier prepositio"&amp;"ns'!A:E, 5, 0) ,  if(H1491=""region"",vlookup(REGEXEXTRACT(C1491, ""🏘️ \w+ \w+ (.*) ✅""),'Region prepositions'!B:F, 5, 0),  REGEXEXTRACT(C1491, ""🏘️ \w+ \w+ (.*) ✅""))))"),"Les Ponts-de-Martel")</f>
        <v>Les Ponts-de-Martel</v>
      </c>
      <c r="F1491" s="2" t="str">
        <f>IFERROR(__xludf.DUMMYFUNCTION("REGEXEXTRACT(C1491, ""🏘️ (\w+) \w+ .* ✅"")"),"Louer")</f>
        <v>Louer</v>
      </c>
      <c r="G1491" s="2" t="str">
        <f>IFERROR(__xludf.DUMMYFUNCTION("REGEXEXTRACT(C1491, ""🏘️ \w+ (\w+) .* ✅"")"),"maison")</f>
        <v>maison</v>
      </c>
      <c r="H1491" s="4" t="str">
        <f>IFERROR(__xludf.DUMMYFUNCTION("REGEXEXTRACT(A1491, ""/(\w+)-.*?"")"),"lieu")</f>
        <v>lieu</v>
      </c>
      <c r="I1491" s="4" t="str">
        <f>IFERROR(__xludf.DUMMYFUNCTION("if(D1491=""variant"",  substitute(filter(Templates!E:E, Templates!A:A = F1491, Templates!B:B = G1491, Templates!C:C = H1491), ""{{}}"", E1491), B1491)"),"🏘  Vous cherchez une maison à louer à Les Ponts-de-Martel? ✅ Découvrez nos nombreuses annonces sur ImmoScout24.ch.")</f>
        <v>🏘  Vous cherchez une maison à louer à Les Ponts-de-Martel? ✅ Découvrez nos nombreuses annonces sur ImmoScout24.ch.</v>
      </c>
      <c r="J1491" s="2" t="s">
        <v>4476</v>
      </c>
    </row>
    <row r="1492">
      <c r="A1492" s="5" t="s">
        <v>4477</v>
      </c>
      <c r="B1492" s="2" t="s">
        <v>4478</v>
      </c>
      <c r="C1492" s="4" t="str">
        <f>IFERROR(__xludf.DUMMYFUNCTION("""🏘️ ""&amp;REGEXEXTRACT(B1492, ""^(.*): "")&amp;"" ✅ "" &amp;REGEXEXTRACT(B1492, ""(Trouvez.*)"")"),"🏘️ Vendre maison Isone ✅ Trouvez le bien immobilier qui correspond idéalement à vos désirs sur ImmoScout24 - La plateforme de l'immobilier en Suisse.")</f>
        <v>🏘️ Vendre maison Isone ✅ Trouvez le bien immobilier qui correspond idéalement à vos désirs sur ImmoScout24 - La plateforme de l'immobilier en Suisse.</v>
      </c>
      <c r="D1492" s="4" t="str">
        <f>vlookup(A1492, Sheet2!D:E, 2, 0)</f>
        <v>variant</v>
      </c>
      <c r="E1492" s="4" t="str">
        <f>IFERROR(__xludf.DUMMYFUNCTION("if(H1492=""pays"",vlookup(REGEXEXTRACT(C1492, ""🏘️ \w+ \w+ (.*) ✅""),'Country prepositions'!A:B, 2, 0) &amp; "" "" &amp; REGEXEXTRACT(C1492, ""🏘️ \w+ \w+ (.*) ✅"") ,  if(H1492=""quartier"",vlookup(REGEXEXTRACT(C1492, ""🏘️ \w+ \w+ (.*) ✅""),'Quartier prepositio"&amp;"ns'!A:E, 5, 0) ,  if(H1492=""region"",vlookup(REGEXEXTRACT(C1492, ""🏘️ \w+ \w+ (.*) ✅""),'Region prepositions'!B:F, 5, 0),  REGEXEXTRACT(C1492, ""🏘️ \w+ \w+ (.*) ✅""))))"),"Isone")</f>
        <v>Isone</v>
      </c>
      <c r="F1492" s="2" t="str">
        <f>IFERROR(__xludf.DUMMYFUNCTION("REGEXEXTRACT(C1492, ""🏘️ (\w+) \w+ .* ✅"")"),"Vendre")</f>
        <v>Vendre</v>
      </c>
      <c r="G1492" s="2" t="str">
        <f>IFERROR(__xludf.DUMMYFUNCTION("REGEXEXTRACT(C1492, ""🏘️ \w+ (\w+) .* ✅"")"),"maison")</f>
        <v>maison</v>
      </c>
      <c r="H1492" s="4" t="str">
        <f>IFERROR(__xludf.DUMMYFUNCTION("REGEXEXTRACT(A1492, ""/(\w+)-.*?"")"),"lieu")</f>
        <v>lieu</v>
      </c>
      <c r="I1492" s="4" t="str">
        <f>IFERROR(__xludf.DUMMYFUNCTION("if(D1492=""variant"",  substitute(filter(Templates!E:E, Templates!A:A = F1492, Templates!B:B = G1492, Templates!C:C = H1492), ""{{}}"", E1492), B1492)"),"🏘  Vous souhaitez acheter une maison à Isone? ✅ Jetez un œil aux dernières offres sur ImmoScout24.ch.")</f>
        <v>🏘  Vous souhaitez acheter une maison à Isone? ✅ Jetez un œil aux dernières offres sur ImmoScout24.ch.</v>
      </c>
      <c r="J1492" s="4" t="s">
        <v>4479</v>
      </c>
    </row>
    <row r="1493">
      <c r="A1493" s="5" t="s">
        <v>4480</v>
      </c>
      <c r="B1493" s="2" t="s">
        <v>4481</v>
      </c>
      <c r="C1493" s="4" t="str">
        <f>IFERROR(__xludf.DUMMYFUNCTION("""🏘️ ""&amp;REGEXEXTRACT(B1493, ""^(.*): "")&amp;"" ✅ "" &amp;REGEXEXTRACT(B1493, ""(Trouvez.*)"")"),"🏘️ Vendre appartement Meinier ✅ Trouvez le bien immobilier qui correspond idéalement à vos désirs sur ImmoScout24 - La plateforme de l'immobilier en Suisse.")</f>
        <v>🏘️ Vendre appartement Meinier ✅ Trouvez le bien immobilier qui correspond idéalement à vos désirs sur ImmoScout24 - La plateforme de l'immobilier en Suisse.</v>
      </c>
      <c r="D1493" s="4" t="str">
        <f>vlookup(A1493, Sheet2!D:E, 2, 0)</f>
        <v>variant</v>
      </c>
      <c r="E1493" s="4" t="str">
        <f>IFERROR(__xludf.DUMMYFUNCTION("if(H1493=""pays"",vlookup(REGEXEXTRACT(C1493, ""🏘️ \w+ \w+ (.*) ✅""),'Country prepositions'!A:B, 2, 0) &amp; "" "" &amp; REGEXEXTRACT(C1493, ""🏘️ \w+ \w+ (.*) ✅"") ,  if(H1493=""quartier"",vlookup(REGEXEXTRACT(C1493, ""🏘️ \w+ \w+ (.*) ✅""),'Quartier prepositio"&amp;"ns'!A:E, 5, 0) ,  if(H1493=""region"",vlookup(REGEXEXTRACT(C1493, ""🏘️ \w+ \w+ (.*) ✅""),'Region prepositions'!B:F, 5, 0),  REGEXEXTRACT(C1493, ""🏘️ \w+ \w+ (.*) ✅""))))"),"Meinier")</f>
        <v>Meinier</v>
      </c>
      <c r="F1493" s="2" t="str">
        <f>IFERROR(__xludf.DUMMYFUNCTION("REGEXEXTRACT(C1493, ""🏘️ (\w+) \w+ .* ✅"")"),"Vendre")</f>
        <v>Vendre</v>
      </c>
      <c r="G1493" s="2" t="str">
        <f>IFERROR(__xludf.DUMMYFUNCTION("REGEXEXTRACT(C1493, ""🏘️ \w+ (\w+) .* ✅"")"),"appartement")</f>
        <v>appartement</v>
      </c>
      <c r="H1493" s="4" t="str">
        <f>IFERROR(__xludf.DUMMYFUNCTION("REGEXEXTRACT(A1493, ""/(\w+)-.*?"")"),"lieu")</f>
        <v>lieu</v>
      </c>
      <c r="I1493" s="4" t="str">
        <f>IFERROR(__xludf.DUMMYFUNCTION("if(D1493=""variant"",  substitute(filter(Templates!E:E, Templates!A:A = F1493, Templates!B:B = G1493, Templates!C:C = H1493), ""{{}}"", E1493), B1493)"),"🏘  L’appartement de vos rêves se trouve sur ImmoScout24.ch ✅ Découvrez les dernières annonces de vente à Meinier.")</f>
        <v>🏘  L’appartement de vos rêves se trouve sur ImmoScout24.ch ✅ Découvrez les dernières annonces de vente à Meinier.</v>
      </c>
      <c r="J1493" s="4" t="s">
        <v>4482</v>
      </c>
    </row>
    <row r="1494">
      <c r="A1494" s="5" t="s">
        <v>4483</v>
      </c>
      <c r="B1494" s="2" t="s">
        <v>4484</v>
      </c>
      <c r="C1494" s="4" t="str">
        <f>IFERROR(__xludf.DUMMYFUNCTION("""🏘️ ""&amp;REGEXEXTRACT(B1494, ""^(.*): "")&amp;"" ✅ "" &amp;REGEXEXTRACT(B1494, ""(Trouvez.*)"")"),"🏘️ Louer appartement Bramois ✅ Trouvez le bien immobilier qui correspond idéalement à vos désirs sur ImmoScout24 - La plateforme de l'immobilier en Suisse.")</f>
        <v>🏘️ Louer appartement Bramois ✅ Trouvez le bien immobilier qui correspond idéalement à vos désirs sur ImmoScout24 - La plateforme de l'immobilier en Suisse.</v>
      </c>
      <c r="D1494" s="4" t="str">
        <f>vlookup(A1494, Sheet2!D:E, 2, 0)</f>
        <v>variant</v>
      </c>
      <c r="E1494" s="4" t="str">
        <f>IFERROR(__xludf.DUMMYFUNCTION("if(H1494=""pays"",vlookup(REGEXEXTRACT(C1494, ""🏘️ \w+ \w+ (.*) ✅""),'Country prepositions'!A:B, 2, 0) &amp; "" "" &amp; REGEXEXTRACT(C1494, ""🏘️ \w+ \w+ (.*) ✅"") ,  if(H1494=""quartier"",vlookup(REGEXEXTRACT(C1494, ""🏘️ \w+ \w+ (.*) ✅""),'Quartier prepositio"&amp;"ns'!A:E, 5, 0) ,  if(H1494=""region"",vlookup(REGEXEXTRACT(C1494, ""🏘️ \w+ \w+ (.*) ✅""),'Region prepositions'!B:F, 5, 0),  REGEXEXTRACT(C1494, ""🏘️ \w+ \w+ (.*) ✅""))))"),"Bramois")</f>
        <v>Bramois</v>
      </c>
      <c r="F1494" s="2" t="str">
        <f>IFERROR(__xludf.DUMMYFUNCTION("REGEXEXTRACT(C1494, ""🏘️ (\w+) \w+ .* ✅"")"),"Louer")</f>
        <v>Louer</v>
      </c>
      <c r="G1494" s="2" t="str">
        <f>IFERROR(__xludf.DUMMYFUNCTION("REGEXEXTRACT(C1494, ""🏘️ \w+ (\w+) .* ✅"")"),"appartement")</f>
        <v>appartement</v>
      </c>
      <c r="H1494" s="4" t="str">
        <f>IFERROR(__xludf.DUMMYFUNCTION("REGEXEXTRACT(A1494, ""/(\w+)-.*?"")"),"lieu")</f>
        <v>lieu</v>
      </c>
      <c r="I1494" s="4" t="str">
        <f>IFERROR(__xludf.DUMMYFUNCTION("if(D1494=""variant"",  substitute(filter(Templates!E:E, Templates!A:A = F1494, Templates!B:B = G1494, Templates!C:C = H1494), ""{{}}"", E1494), B1494)"),"🏘  Vous cherchez un appartement à louer à Bramois? ✅ Les annonces les plus actuelles sont sur ImmoScout24.ch.")</f>
        <v>🏘  Vous cherchez un appartement à louer à Bramois? ✅ Les annonces les plus actuelles sont sur ImmoScout24.ch.</v>
      </c>
      <c r="J1494" s="4" t="s">
        <v>4485</v>
      </c>
    </row>
    <row r="1495">
      <c r="A1495" s="5" t="s">
        <v>4486</v>
      </c>
      <c r="B1495" s="2" t="s">
        <v>4487</v>
      </c>
      <c r="C1495" s="4" t="str">
        <f>IFERROR(__xludf.DUMMYFUNCTION("""🏘️ ""&amp;REGEXEXTRACT(B1495, ""^(.*): "")&amp;"" ✅ "" &amp;REGEXEXTRACT(B1495, ""(Trouvez.*)"")"),"🏘️ Vendre maison Sonogno ✅ Trouvez le bien immobilier qui correspond idéalement à vos désirs sur ImmoScout24 - La plateforme de l'immobilier en Suisse.")</f>
        <v>🏘️ Vendre maison Sonogno ✅ Trouvez le bien immobilier qui correspond idéalement à vos désirs sur ImmoScout24 - La plateforme de l'immobilier en Suisse.</v>
      </c>
      <c r="D1495" s="4" t="str">
        <f>vlookup(A1495, Sheet2!D:E, 2, 0)</f>
        <v>variant</v>
      </c>
      <c r="E1495" s="4" t="str">
        <f>IFERROR(__xludf.DUMMYFUNCTION("if(H1495=""pays"",vlookup(REGEXEXTRACT(C1495, ""🏘️ \w+ \w+ (.*) ✅""),'Country prepositions'!A:B, 2, 0) &amp; "" "" &amp; REGEXEXTRACT(C1495, ""🏘️ \w+ \w+ (.*) ✅"") ,  if(H1495=""quartier"",vlookup(REGEXEXTRACT(C1495, ""🏘️ \w+ \w+ (.*) ✅""),'Quartier prepositio"&amp;"ns'!A:E, 5, 0) ,  if(H1495=""region"",vlookup(REGEXEXTRACT(C1495, ""🏘️ \w+ \w+ (.*) ✅""),'Region prepositions'!B:F, 5, 0),  REGEXEXTRACT(C1495, ""🏘️ \w+ \w+ (.*) ✅""))))"),"Sonogno")</f>
        <v>Sonogno</v>
      </c>
      <c r="F1495" s="2" t="str">
        <f>IFERROR(__xludf.DUMMYFUNCTION("REGEXEXTRACT(C1495, ""🏘️ (\w+) \w+ .* ✅"")"),"Vendre")</f>
        <v>Vendre</v>
      </c>
      <c r="G1495" s="2" t="str">
        <f>IFERROR(__xludf.DUMMYFUNCTION("REGEXEXTRACT(C1495, ""🏘️ \w+ (\w+) .* ✅"")"),"maison")</f>
        <v>maison</v>
      </c>
      <c r="H1495" s="4" t="str">
        <f>IFERROR(__xludf.DUMMYFUNCTION("REGEXEXTRACT(A1495, ""/(\w+)-.*?"")"),"lieu")</f>
        <v>lieu</v>
      </c>
      <c r="I1495" s="4" t="str">
        <f>IFERROR(__xludf.DUMMYFUNCTION("if(D1495=""variant"",  substitute(filter(Templates!E:E, Templates!A:A = F1495, Templates!B:B = G1495, Templates!C:C = H1495), ""{{}}"", E1495), B1495)"),"🏘  Vous souhaitez acheter une maison à Sonogno? ✅ Jetez un œil aux dernières offres sur ImmoScout24.ch.")</f>
        <v>🏘  Vous souhaitez acheter une maison à Sonogno? ✅ Jetez un œil aux dernières offres sur ImmoScout24.ch.</v>
      </c>
      <c r="J1495" s="4" t="s">
        <v>4488</v>
      </c>
    </row>
    <row r="1496">
      <c r="A1496" s="5" t="s">
        <v>4489</v>
      </c>
      <c r="B1496" s="2" t="s">
        <v>4490</v>
      </c>
      <c r="C1496" s="4" t="str">
        <f>IFERROR(__xludf.DUMMYFUNCTION("""🏘️ ""&amp;REGEXEXTRACT(B1496, ""^(.*): "")&amp;"" ✅ "" &amp;REGEXEXTRACT(B1496, ""(Trouvez.*)"")"),"🏘️ Vendre maison Villars-Epeney ✅ Trouvez le bien immobilier qui correspond idéalement à vos désirs sur ImmoScout24 - La plateforme de l'immobilier en Suisse.")</f>
        <v>🏘️ Vendre maison Villars-Epeney ✅ Trouvez le bien immobilier qui correspond idéalement à vos désirs sur ImmoScout24 - La plateforme de l'immobilier en Suisse.</v>
      </c>
      <c r="D1496" s="4" t="str">
        <f>vlookup(A1496, Sheet2!D:E, 2, 0)</f>
        <v>variant</v>
      </c>
      <c r="E1496" s="4" t="str">
        <f>IFERROR(__xludf.DUMMYFUNCTION("if(H1496=""pays"",vlookup(REGEXEXTRACT(C1496, ""🏘️ \w+ \w+ (.*) ✅""),'Country prepositions'!A:B, 2, 0) &amp; "" "" &amp; REGEXEXTRACT(C1496, ""🏘️ \w+ \w+ (.*) ✅"") ,  if(H1496=""quartier"",vlookup(REGEXEXTRACT(C1496, ""🏘️ \w+ \w+ (.*) ✅""),'Quartier prepositio"&amp;"ns'!A:E, 5, 0) ,  if(H1496=""region"",vlookup(REGEXEXTRACT(C1496, ""🏘️ \w+ \w+ (.*) ✅""),'Region prepositions'!B:F, 5, 0),  REGEXEXTRACT(C1496, ""🏘️ \w+ \w+ (.*) ✅""))))"),"Villars-Epeney")</f>
        <v>Villars-Epeney</v>
      </c>
      <c r="F1496" s="2" t="str">
        <f>IFERROR(__xludf.DUMMYFUNCTION("REGEXEXTRACT(C1496, ""🏘️ (\w+) \w+ .* ✅"")"),"Vendre")</f>
        <v>Vendre</v>
      </c>
      <c r="G1496" s="2" t="str">
        <f>IFERROR(__xludf.DUMMYFUNCTION("REGEXEXTRACT(C1496, ""🏘️ \w+ (\w+) .* ✅"")"),"maison")</f>
        <v>maison</v>
      </c>
      <c r="H1496" s="4" t="str">
        <f>IFERROR(__xludf.DUMMYFUNCTION("REGEXEXTRACT(A1496, ""/(\w+)-.*?"")"),"lieu")</f>
        <v>lieu</v>
      </c>
      <c r="I1496" s="4" t="str">
        <f>IFERROR(__xludf.DUMMYFUNCTION("if(D1496=""variant"",  substitute(filter(Templates!E:E, Templates!A:A = F1496, Templates!B:B = G1496, Templates!C:C = H1496), ""{{}}"", E1496), B1496)"),"🏘  Vous souhaitez acheter une maison à Villars-Epeney? ✅ Jetez un œil aux dernières offres sur ImmoScout24.ch.")</f>
        <v>🏘  Vous souhaitez acheter une maison à Villars-Epeney? ✅ Jetez un œil aux dernières offres sur ImmoScout24.ch.</v>
      </c>
      <c r="J1496" s="4" t="s">
        <v>4491</v>
      </c>
    </row>
    <row r="1497">
      <c r="A1497" s="5" t="s">
        <v>4492</v>
      </c>
      <c r="B1497" s="2" t="s">
        <v>4493</v>
      </c>
      <c r="C1497" s="4" t="str">
        <f>IFERROR(__xludf.DUMMYFUNCTION("""🏘️ ""&amp;REGEXEXTRACT(B1497, ""^(.*): "")&amp;"" ✅ "" &amp;REGEXEXTRACT(B1497, ""(Trouvez.*)"")"),"🏘️ Vendre appartement Eaux-Vives - Lac (Genève) ✅ Trouvez le bien immobilier qui correspond idéalement à vos désirs sur ImmoScout24 - La plateforme de l'immobilier en Suisse.")</f>
        <v>🏘️ Vendre appartement Eaux-Vives - Lac (Genève) ✅ Trouvez le bien immobilier qui correspond idéalement à vos désirs sur ImmoScout24 - La plateforme de l'immobilier en Suisse.</v>
      </c>
      <c r="D1497" s="4" t="str">
        <f>vlookup(A1497, Sheet2!D:E, 2, 0)</f>
        <v>variant</v>
      </c>
      <c r="E1497" s="4" t="str">
        <f>IFERROR(__xludf.DUMMYFUNCTION("if(H1497=""pays"",vlookup(REGEXEXTRACT(C1497, ""🏘️ \w+ \w+ (.*) ✅""),'Country prepositions'!A:B, 2, 0) &amp; "" "" &amp; REGEXEXTRACT(C1497, ""🏘️ \w+ \w+ (.*) ✅"") ,  if(H1497=""quartier"",vlookup(REGEXEXTRACT(C1497, ""🏘️ \w+ \w+ (.*) ✅""),'Quartier prepositio"&amp;"ns'!A:E, 5, 0) ,  if(H1497=""region"",vlookup(REGEXEXTRACT(C1497, ""🏘️ \w+ \w+ (.*) ✅""),'Region prepositions'!B:F, 5, 0),  REGEXEXTRACT(C1497, ""🏘️ \w+ \w+ (.*) ✅""))))"),"dans le quartier des Eaux-Vives - Lac (Genève)")</f>
        <v>dans le quartier des Eaux-Vives - Lac (Genève)</v>
      </c>
      <c r="F1497" s="2" t="str">
        <f>IFERROR(__xludf.DUMMYFUNCTION("REGEXEXTRACT(C1497, ""🏘️ (\w+) \w+ .* ✅"")"),"Vendre")</f>
        <v>Vendre</v>
      </c>
      <c r="G1497" s="2" t="str">
        <f>IFERROR(__xludf.DUMMYFUNCTION("REGEXEXTRACT(C1497, ""🏘️ \w+ (\w+) .* ✅"")"),"appartement")</f>
        <v>appartement</v>
      </c>
      <c r="H1497" s="4" t="str">
        <f>IFERROR(__xludf.DUMMYFUNCTION("REGEXEXTRACT(A1497, ""/(\w+)-.*?"")"),"quartier")</f>
        <v>quartier</v>
      </c>
      <c r="I1497" s="4" t="str">
        <f>IFERROR(__xludf.DUMMYFUNCTION("if(D1497=""variant"",  substitute(filter(Templates!E:E, Templates!A:A = F1497, Templates!B:B = G1497, Templates!C:C = H1497), ""{{}}"", E1497), B1497)"),"🏘  L’appartement de vos rêves se trouve sur ImmoScout24.ch ✅ Découvrez les dernières annonces de vente dans le quartier des Eaux-Vives - Lac (Genève).")</f>
        <v>🏘  L’appartement de vos rêves se trouve sur ImmoScout24.ch ✅ Découvrez les dernières annonces de vente dans le quartier des Eaux-Vives - Lac (Genève).</v>
      </c>
      <c r="J1497" s="4" t="s">
        <v>4494</v>
      </c>
    </row>
    <row r="1498">
      <c r="A1498" s="5" t="s">
        <v>4495</v>
      </c>
      <c r="B1498" s="2" t="s">
        <v>4496</v>
      </c>
      <c r="C1498" s="4" t="str">
        <f>IFERROR(__xludf.DUMMYFUNCTION("""🏘️ ""&amp;REGEXEXTRACT(B1498, ""^(.*): "")&amp;"" ✅ "" &amp;REGEXEXTRACT(B1498, ""(Trouvez.*)"")"),"🏘️ Vendre maison Canton de Glaris ✅ Trouvez le bien immobilier qui correspond idéalement à vos désirs sur ImmoScout24 - La plateforme de l'immobilier en Suisse.")</f>
        <v>🏘️ Vendre maison Canton de Glaris ✅ Trouvez le bien immobilier qui correspond idéalement à vos désirs sur ImmoScout24 - La plateforme de l'immobilier en Suisse.</v>
      </c>
      <c r="D1498" s="4" t="str">
        <f>vlookup(A1498, Sheet2!D:E, 2, 0)</f>
        <v>variant</v>
      </c>
      <c r="E1498" s="4" t="str">
        <f>IFERROR(__xludf.DUMMYFUNCTION("if(H1498=""pays"",vlookup(REGEXEXTRACT(C1498, ""🏘️ \w+ \w+ (.*) ✅""),'Country prepositions'!A:B, 2, 0) &amp; "" "" &amp; REGEXEXTRACT(C1498, ""🏘️ \w+ \w+ (.*) ✅"") ,  if(H1498=""quartier"",vlookup(REGEXEXTRACT(C1498, ""🏘️ \w+ \w+ (.*) ✅""),'Quartier prepositio"&amp;"ns'!A:E, 5, 0) ,  if(H1498=""region"",vlookup(REGEXEXTRACT(C1498, ""🏘️ \w+ \w+ (.*) ✅""),'Region prepositions'!B:F, 5, 0),  REGEXEXTRACT(C1498, ""🏘️ \w+ \w+ (.*) ✅""))))"),"Canton de Glaris")</f>
        <v>Canton de Glaris</v>
      </c>
      <c r="F1498" s="2" t="str">
        <f>IFERROR(__xludf.DUMMYFUNCTION("REGEXEXTRACT(C1498, ""🏘️ (\w+) \w+ .* ✅"")"),"Vendre")</f>
        <v>Vendre</v>
      </c>
      <c r="G1498" s="2" t="str">
        <f>IFERROR(__xludf.DUMMYFUNCTION("REGEXEXTRACT(C1498, ""🏘️ \w+ (\w+) .* ✅"")"),"maison")</f>
        <v>maison</v>
      </c>
      <c r="H1498" s="4" t="str">
        <f>IFERROR(__xludf.DUMMYFUNCTION("REGEXEXTRACT(A1498, ""/(\w+)-.*?"")"),"canton")</f>
        <v>canton</v>
      </c>
      <c r="I1498" s="4" t="str">
        <f>IFERROR(__xludf.DUMMYFUNCTION("if(D1498=""variant"",  substitute(filter(Templates!E:E, Templates!A:A = F1498, Templates!B:B = G1498, Templates!C:C = H1498), ""{{}}"", E1498), B1498)"),"🏘  Vous souhaitez acheter une maison dans le Canton de Glaris? ✅ Jetez un œil aux dernières offres sur ImmoScout24.ch.")</f>
        <v>🏘  Vous souhaitez acheter une maison dans le Canton de Glaris? ✅ Jetez un œil aux dernières offres sur ImmoScout24.ch.</v>
      </c>
      <c r="J1498" s="4" t="s">
        <v>4497</v>
      </c>
    </row>
    <row r="1499">
      <c r="A1499" s="5" t="s">
        <v>4498</v>
      </c>
      <c r="B1499" s="2" t="s">
        <v>4499</v>
      </c>
      <c r="C1499" s="4" t="str">
        <f>IFERROR(__xludf.DUMMYFUNCTION("""🏘️ ""&amp;REGEXEXTRACT(B1499, ""^(.*): "")&amp;"" ✅ "" &amp;REGEXEXTRACT(B1499, ""(Trouvez.*)"")"),"🏘️ Vendre maison Kriechenwil ✅ Trouvez le bien immobilier qui correspond idéalement à vos désirs sur ImmoScout24 - La plateforme de l'immobilier en Suisse.")</f>
        <v>🏘️ Vendre maison Kriechenwil ✅ Trouvez le bien immobilier qui correspond idéalement à vos désirs sur ImmoScout24 - La plateforme de l'immobilier en Suisse.</v>
      </c>
      <c r="D1499" s="4" t="str">
        <f>vlookup(A1499, Sheet2!D:E, 2, 0)</f>
        <v>variant</v>
      </c>
      <c r="E1499" s="4" t="str">
        <f>IFERROR(__xludf.DUMMYFUNCTION("if(H1499=""pays"",vlookup(REGEXEXTRACT(C1499, ""🏘️ \w+ \w+ (.*) ✅""),'Country prepositions'!A:B, 2, 0) &amp; "" "" &amp; REGEXEXTRACT(C1499, ""🏘️ \w+ \w+ (.*) ✅"") ,  if(H1499=""quartier"",vlookup(REGEXEXTRACT(C1499, ""🏘️ \w+ \w+ (.*) ✅""),'Quartier prepositio"&amp;"ns'!A:E, 5, 0) ,  if(H1499=""region"",vlookup(REGEXEXTRACT(C1499, ""🏘️ \w+ \w+ (.*) ✅""),'Region prepositions'!B:F, 5, 0),  REGEXEXTRACT(C1499, ""🏘️ \w+ \w+ (.*) ✅""))))"),"Kriechenwil")</f>
        <v>Kriechenwil</v>
      </c>
      <c r="F1499" s="2" t="str">
        <f>IFERROR(__xludf.DUMMYFUNCTION("REGEXEXTRACT(C1499, ""🏘️ (\w+) \w+ .* ✅"")"),"Vendre")</f>
        <v>Vendre</v>
      </c>
      <c r="G1499" s="2" t="str">
        <f>IFERROR(__xludf.DUMMYFUNCTION("REGEXEXTRACT(C1499, ""🏘️ \w+ (\w+) .* ✅"")"),"maison")</f>
        <v>maison</v>
      </c>
      <c r="H1499" s="4" t="str">
        <f>IFERROR(__xludf.DUMMYFUNCTION("REGEXEXTRACT(A1499, ""/(\w+)-.*?"")"),"lieu")</f>
        <v>lieu</v>
      </c>
      <c r="I1499" s="4" t="str">
        <f>IFERROR(__xludf.DUMMYFUNCTION("if(D1499=""variant"",  substitute(filter(Templates!E:E, Templates!A:A = F1499, Templates!B:B = G1499, Templates!C:C = H1499), ""{{}}"", E1499), B1499)"),"🏘  Vous souhaitez acheter une maison à Kriechenwil? ✅ Jetez un œil aux dernières offres sur ImmoScout24.ch.")</f>
        <v>🏘  Vous souhaitez acheter une maison à Kriechenwil? ✅ Jetez un œil aux dernières offres sur ImmoScout24.ch.</v>
      </c>
      <c r="J1499" s="4" t="s">
        <v>4500</v>
      </c>
    </row>
    <row r="1500">
      <c r="A1500" s="5" t="s">
        <v>4501</v>
      </c>
      <c r="B1500" s="2" t="s">
        <v>4502</v>
      </c>
      <c r="C1500" s="4" t="str">
        <f>IFERROR(__xludf.DUMMYFUNCTION("""🏘️ ""&amp;REGEXEXTRACT(B1500, ""^(.*): "")&amp;"" ✅ "" &amp;REGEXEXTRACT(B1500, ""(Trouvez.*)"")"),"🏘️ Louer maison Correvon ✅ Trouvez le bien immobilier qui correspond idéalement à vos désirs sur ImmoScout24 - La plateforme de l'immobilier en Suisse.")</f>
        <v>🏘️ Louer maison Correvon ✅ Trouvez le bien immobilier qui correspond idéalement à vos désirs sur ImmoScout24 - La plateforme de l'immobilier en Suisse.</v>
      </c>
      <c r="D1500" s="4" t="str">
        <f>vlookup(A1500, Sheet2!D:E, 2, 0)</f>
        <v>variant</v>
      </c>
      <c r="E1500" s="4" t="str">
        <f>IFERROR(__xludf.DUMMYFUNCTION("if(H1500=""pays"",vlookup(REGEXEXTRACT(C1500, ""🏘️ \w+ \w+ (.*) ✅""),'Country prepositions'!A:B, 2, 0) &amp; "" "" &amp; REGEXEXTRACT(C1500, ""🏘️ \w+ \w+ (.*) ✅"") ,  if(H1500=""quartier"",vlookup(REGEXEXTRACT(C1500, ""🏘️ \w+ \w+ (.*) ✅""),'Quartier prepositio"&amp;"ns'!A:E, 5, 0) ,  if(H1500=""region"",vlookup(REGEXEXTRACT(C1500, ""🏘️ \w+ \w+ (.*) ✅""),'Region prepositions'!B:F, 5, 0),  REGEXEXTRACT(C1500, ""🏘️ \w+ \w+ (.*) ✅""))))"),"Correvon")</f>
        <v>Correvon</v>
      </c>
      <c r="F1500" s="2" t="str">
        <f>IFERROR(__xludf.DUMMYFUNCTION("REGEXEXTRACT(C1500, ""🏘️ (\w+) \w+ .* ✅"")"),"Louer")</f>
        <v>Louer</v>
      </c>
      <c r="G1500" s="2" t="str">
        <f>IFERROR(__xludf.DUMMYFUNCTION("REGEXEXTRACT(C1500, ""🏘️ \w+ (\w+) .* ✅"")"),"maison")</f>
        <v>maison</v>
      </c>
      <c r="H1500" s="4" t="str">
        <f>IFERROR(__xludf.DUMMYFUNCTION("REGEXEXTRACT(A1500, ""/(\w+)-.*?"")"),"lieu")</f>
        <v>lieu</v>
      </c>
      <c r="I1500" s="4" t="str">
        <f>IFERROR(__xludf.DUMMYFUNCTION("if(D1500=""variant"",  substitute(filter(Templates!E:E, Templates!A:A = F1500, Templates!B:B = G1500, Templates!C:C = H1500), ""{{}}"", E1500), B1500)"),"🏘  Vous cherchez une maison à louer à Correvon? ✅ Découvrez nos nombreuses annonces sur ImmoScout24.ch.")</f>
        <v>🏘  Vous cherchez une maison à louer à Correvon? ✅ Découvrez nos nombreuses annonces sur ImmoScout24.ch.</v>
      </c>
      <c r="J1500" s="4" t="s">
        <v>4503</v>
      </c>
    </row>
    <row r="1501">
      <c r="A1501" s="5" t="s">
        <v>4504</v>
      </c>
      <c r="B1501" s="2" t="s">
        <v>4505</v>
      </c>
      <c r="C1501" s="4" t="str">
        <f>IFERROR(__xludf.DUMMYFUNCTION("""🏘️ ""&amp;REGEXEXTRACT(B1501, ""^(.*): "")&amp;"" ✅ "" &amp;REGEXEXTRACT(B1501, ""(Trouvez.*)"")"),"🏘️ Vendre maison Büsserach ✅ Trouvez le bien immobilier qui correspond idéalement à vos désirs sur ImmoScout24 - La plateforme de l'immobilier en Suisse.")</f>
        <v>🏘️ Vendre maison Büsserach ✅ Trouvez le bien immobilier qui correspond idéalement à vos désirs sur ImmoScout24 - La plateforme de l'immobilier en Suisse.</v>
      </c>
      <c r="D1501" s="4" t="str">
        <f>vlookup(A1501, Sheet2!D:E, 2, 0)</f>
        <v>variant</v>
      </c>
      <c r="E1501" s="4" t="str">
        <f>IFERROR(__xludf.DUMMYFUNCTION("if(H1501=""pays"",vlookup(REGEXEXTRACT(C1501, ""🏘️ \w+ \w+ (.*) ✅""),'Country prepositions'!A:B, 2, 0) &amp; "" "" &amp; REGEXEXTRACT(C1501, ""🏘️ \w+ \w+ (.*) ✅"") ,  if(H1501=""quartier"",vlookup(REGEXEXTRACT(C1501, ""🏘️ \w+ \w+ (.*) ✅""),'Quartier prepositio"&amp;"ns'!A:E, 5, 0) ,  if(H1501=""region"",vlookup(REGEXEXTRACT(C1501, ""🏘️ \w+ \w+ (.*) ✅""),'Region prepositions'!B:F, 5, 0),  REGEXEXTRACT(C1501, ""🏘️ \w+ \w+ (.*) ✅""))))"),"Büsserach")</f>
        <v>Büsserach</v>
      </c>
      <c r="F1501" s="2" t="str">
        <f>IFERROR(__xludf.DUMMYFUNCTION("REGEXEXTRACT(C1501, ""🏘️ (\w+) \w+ .* ✅"")"),"Vendre")</f>
        <v>Vendre</v>
      </c>
      <c r="G1501" s="2" t="str">
        <f>IFERROR(__xludf.DUMMYFUNCTION("REGEXEXTRACT(C1501, ""🏘️ \w+ (\w+) .* ✅"")"),"maison")</f>
        <v>maison</v>
      </c>
      <c r="H1501" s="4" t="str">
        <f>IFERROR(__xludf.DUMMYFUNCTION("REGEXEXTRACT(A1501, ""/(\w+)-.*?"")"),"lieu")</f>
        <v>lieu</v>
      </c>
      <c r="I1501" s="4" t="str">
        <f>IFERROR(__xludf.DUMMYFUNCTION("if(D1501=""variant"",  substitute(filter(Templates!E:E, Templates!A:A = F1501, Templates!B:B = G1501, Templates!C:C = H1501), ""{{}}"", E1501), B1501)"),"🏘  Vous souhaitez acheter une maison à Büsserach? ✅ Jetez un œil aux dernières offres sur ImmoScout24.ch.")</f>
        <v>🏘  Vous souhaitez acheter une maison à Büsserach? ✅ Jetez un œil aux dernières offres sur ImmoScout24.ch.</v>
      </c>
      <c r="J1501" s="4" t="s">
        <v>4506</v>
      </c>
    </row>
    <row r="1502">
      <c r="A1502" s="5" t="s">
        <v>4507</v>
      </c>
      <c r="B1502" s="2" t="s">
        <v>4508</v>
      </c>
      <c r="C1502" s="4" t="str">
        <f>IFERROR(__xludf.DUMMYFUNCTION("""🏘️ ""&amp;REGEXEXTRACT(B1502, ""^(.*): "")&amp;"" ✅ "" &amp;REGEXEXTRACT(B1502, ""(Trouvez.*)"")"),"🏘️ Louer appartement Les Ecasseys ✅ Trouvez le bien immobilier qui correspond idéalement à vos désirs sur ImmoScout24 - La plateforme de l'immobilier en Suisse.")</f>
        <v>🏘️ Louer appartement Les Ecasseys ✅ Trouvez le bien immobilier qui correspond idéalement à vos désirs sur ImmoScout24 - La plateforme de l'immobilier en Suisse.</v>
      </c>
      <c r="D1502" s="4" t="str">
        <f>vlookup(A1502, Sheet2!D:E, 2, 0)</f>
        <v>variant</v>
      </c>
      <c r="E1502" s="4" t="str">
        <f>IFERROR(__xludf.DUMMYFUNCTION("if(H1502=""pays"",vlookup(REGEXEXTRACT(C1502, ""🏘️ \w+ \w+ (.*) ✅""),'Country prepositions'!A:B, 2, 0) &amp; "" "" &amp; REGEXEXTRACT(C1502, ""🏘️ \w+ \w+ (.*) ✅"") ,  if(H1502=""quartier"",vlookup(REGEXEXTRACT(C1502, ""🏘️ \w+ \w+ (.*) ✅""),'Quartier prepositio"&amp;"ns'!A:E, 5, 0) ,  if(H1502=""region"",vlookup(REGEXEXTRACT(C1502, ""🏘️ \w+ \w+ (.*) ✅""),'Region prepositions'!B:F, 5, 0),  REGEXEXTRACT(C1502, ""🏘️ \w+ \w+ (.*) ✅""))))"),"Les Ecasseys")</f>
        <v>Les Ecasseys</v>
      </c>
      <c r="F1502" s="2" t="str">
        <f>IFERROR(__xludf.DUMMYFUNCTION("REGEXEXTRACT(C1502, ""🏘️ (\w+) \w+ .* ✅"")"),"Louer")</f>
        <v>Louer</v>
      </c>
      <c r="G1502" s="2" t="str">
        <f>IFERROR(__xludf.DUMMYFUNCTION("REGEXEXTRACT(C1502, ""🏘️ \w+ (\w+) .* ✅"")"),"appartement")</f>
        <v>appartement</v>
      </c>
      <c r="H1502" s="4" t="str">
        <f>IFERROR(__xludf.DUMMYFUNCTION("REGEXEXTRACT(A1502, ""/(\w+)-.*?"")"),"lieu")</f>
        <v>lieu</v>
      </c>
      <c r="I1502" s="4" t="str">
        <f>IFERROR(__xludf.DUMMYFUNCTION("if(D1502=""variant"",  substitute(filter(Templates!E:E, Templates!A:A = F1502, Templates!B:B = G1502, Templates!C:C = H1502), ""{{}}"", E1502), B1502)"),"🏘  Vous cherchez un appartement à louer à Les Ecasseys? ✅ Les annonces les plus actuelles sont sur ImmoScout24.ch.")</f>
        <v>🏘  Vous cherchez un appartement à louer à Les Ecasseys? ✅ Les annonces les plus actuelles sont sur ImmoScout24.ch.</v>
      </c>
      <c r="J1502" s="2" t="s">
        <v>4509</v>
      </c>
    </row>
    <row r="1503">
      <c r="A1503" s="5" t="s">
        <v>4510</v>
      </c>
      <c r="B1503" s="2" t="s">
        <v>4511</v>
      </c>
      <c r="C1503" s="4" t="str">
        <f>IFERROR(__xludf.DUMMYFUNCTION("""🏘️ ""&amp;REGEXEXTRACT(B1503, ""^(.*): "")&amp;"" ✅ "" &amp;REGEXEXTRACT(B1503, ""(Trouvez.*)"")"),"🏘️ Louer maison Les Posses-sur-Bex ✅ Trouvez le bien immobilier qui correspond idéalement à vos désirs sur ImmoScout24 - La plateforme de l'immobilier en Suisse.")</f>
        <v>🏘️ Louer maison Les Posses-sur-Bex ✅ Trouvez le bien immobilier qui correspond idéalement à vos désirs sur ImmoScout24 - La plateforme de l'immobilier en Suisse.</v>
      </c>
      <c r="D1503" s="4" t="str">
        <f>vlookup(A1503, Sheet2!D:E, 2, 0)</f>
        <v>variant</v>
      </c>
      <c r="E1503" s="4" t="str">
        <f>IFERROR(__xludf.DUMMYFUNCTION("if(H1503=""pays"",vlookup(REGEXEXTRACT(C1503, ""🏘️ \w+ \w+ (.*) ✅""),'Country prepositions'!A:B, 2, 0) &amp; "" "" &amp; REGEXEXTRACT(C1503, ""🏘️ \w+ \w+ (.*) ✅"") ,  if(H1503=""quartier"",vlookup(REGEXEXTRACT(C1503, ""🏘️ \w+ \w+ (.*) ✅""),'Quartier prepositio"&amp;"ns'!A:E, 5, 0) ,  if(H1503=""region"",vlookup(REGEXEXTRACT(C1503, ""🏘️ \w+ \w+ (.*) ✅""),'Region prepositions'!B:F, 5, 0),  REGEXEXTRACT(C1503, ""🏘️ \w+ \w+ (.*) ✅""))))"),"Les Posses-sur-Bex")</f>
        <v>Les Posses-sur-Bex</v>
      </c>
      <c r="F1503" s="2" t="str">
        <f>IFERROR(__xludf.DUMMYFUNCTION("REGEXEXTRACT(C1503, ""🏘️ (\w+) \w+ .* ✅"")"),"Louer")</f>
        <v>Louer</v>
      </c>
      <c r="G1503" s="2" t="str">
        <f>IFERROR(__xludf.DUMMYFUNCTION("REGEXEXTRACT(C1503, ""🏘️ \w+ (\w+) .* ✅"")"),"maison")</f>
        <v>maison</v>
      </c>
      <c r="H1503" s="4" t="str">
        <f>IFERROR(__xludf.DUMMYFUNCTION("REGEXEXTRACT(A1503, ""/(\w+)-.*?"")"),"lieu")</f>
        <v>lieu</v>
      </c>
      <c r="I1503" s="4" t="str">
        <f>IFERROR(__xludf.DUMMYFUNCTION("if(D1503=""variant"",  substitute(filter(Templates!E:E, Templates!A:A = F1503, Templates!B:B = G1503, Templates!C:C = H1503), ""{{}}"", E1503), B1503)"),"🏘  Vous cherchez une maison à louer à Les Posses-sur-Bex? ✅ Découvrez nos nombreuses annonces sur ImmoScout24.ch.")</f>
        <v>🏘  Vous cherchez une maison à louer à Les Posses-sur-Bex? ✅ Découvrez nos nombreuses annonces sur ImmoScout24.ch.</v>
      </c>
      <c r="J1503" s="2" t="s">
        <v>4512</v>
      </c>
    </row>
    <row r="1504">
      <c r="A1504" s="5" t="s">
        <v>4513</v>
      </c>
      <c r="B1504" s="2" t="s">
        <v>4514</v>
      </c>
      <c r="C1504" s="4" t="str">
        <f>IFERROR(__xludf.DUMMYFUNCTION("""🏘️ ""&amp;REGEXEXTRACT(B1504, ""^(.*): "")&amp;"" ✅ "" &amp;REGEXEXTRACT(B1504, ""(Trouvez.*)"")"),"🏘️ Louer appartement Fällanden ✅ Trouvez le bien immobilier qui correspond idéalement à vos désirs sur ImmoScout24 - La plateforme de l'immobilier en Suisse.")</f>
        <v>🏘️ Louer appartement Fällanden ✅ Trouvez le bien immobilier qui correspond idéalement à vos désirs sur ImmoScout24 - La plateforme de l'immobilier en Suisse.</v>
      </c>
      <c r="D1504" s="4" t="str">
        <f>vlookup(A1504, Sheet2!D:E, 2, 0)</f>
        <v>variant</v>
      </c>
      <c r="E1504" s="4" t="str">
        <f>IFERROR(__xludf.DUMMYFUNCTION("if(H1504=""pays"",vlookup(REGEXEXTRACT(C1504, ""🏘️ \w+ \w+ (.*) ✅""),'Country prepositions'!A:B, 2, 0) &amp; "" "" &amp; REGEXEXTRACT(C1504, ""🏘️ \w+ \w+ (.*) ✅"") ,  if(H1504=""quartier"",vlookup(REGEXEXTRACT(C1504, ""🏘️ \w+ \w+ (.*) ✅""),'Quartier prepositio"&amp;"ns'!A:E, 5, 0) ,  if(H1504=""region"",vlookup(REGEXEXTRACT(C1504, ""🏘️ \w+ \w+ (.*) ✅""),'Region prepositions'!B:F, 5, 0),  REGEXEXTRACT(C1504, ""🏘️ \w+ \w+ (.*) ✅""))))"),"Fällanden")</f>
        <v>Fällanden</v>
      </c>
      <c r="F1504" s="2" t="str">
        <f>IFERROR(__xludf.DUMMYFUNCTION("REGEXEXTRACT(C1504, ""🏘️ (\w+) \w+ .* ✅"")"),"Louer")</f>
        <v>Louer</v>
      </c>
      <c r="G1504" s="2" t="str">
        <f>IFERROR(__xludf.DUMMYFUNCTION("REGEXEXTRACT(C1504, ""🏘️ \w+ (\w+) .* ✅"")"),"appartement")</f>
        <v>appartement</v>
      </c>
      <c r="H1504" s="4" t="str">
        <f>IFERROR(__xludf.DUMMYFUNCTION("REGEXEXTRACT(A1504, ""/(\w+)-.*?"")"),"lieu")</f>
        <v>lieu</v>
      </c>
      <c r="I1504" s="4" t="str">
        <f>IFERROR(__xludf.DUMMYFUNCTION("if(D1504=""variant"",  substitute(filter(Templates!E:E, Templates!A:A = F1504, Templates!B:B = G1504, Templates!C:C = H1504), ""{{}}"", E1504), B1504)"),"🏘  Vous cherchez un appartement à louer à Fällanden? ✅ Les annonces les plus actuelles sont sur ImmoScout24.ch.")</f>
        <v>🏘  Vous cherchez un appartement à louer à Fällanden? ✅ Les annonces les plus actuelles sont sur ImmoScout24.ch.</v>
      </c>
      <c r="J1504" s="4" t="s">
        <v>4515</v>
      </c>
    </row>
    <row r="1505">
      <c r="A1505" s="5" t="s">
        <v>4516</v>
      </c>
      <c r="B1505" s="2" t="s">
        <v>4517</v>
      </c>
      <c r="C1505" s="4" t="str">
        <f>IFERROR(__xludf.DUMMYFUNCTION("""🏘️ ""&amp;REGEXEXTRACT(B1505, ""^(.*): "")&amp;"" ✅ "" &amp;REGEXEXTRACT(B1505, ""(Trouvez.*)"")"),"🏘️ Vendre appartement Chexbres ✅ Trouvez le bien immobilier qui correspond idéalement à vos désirs sur ImmoScout24 - La plateforme de l'immobilier en Suisse.")</f>
        <v>🏘️ Vendre appartement Chexbres ✅ Trouvez le bien immobilier qui correspond idéalement à vos désirs sur ImmoScout24 - La plateforme de l'immobilier en Suisse.</v>
      </c>
      <c r="D1505" s="4" t="str">
        <f>vlookup(A1505, Sheet2!D:E, 2, 0)</f>
        <v>variant</v>
      </c>
      <c r="E1505" s="4" t="str">
        <f>IFERROR(__xludf.DUMMYFUNCTION("if(H1505=""pays"",vlookup(REGEXEXTRACT(C1505, ""🏘️ \w+ \w+ (.*) ✅""),'Country prepositions'!A:B, 2, 0) &amp; "" "" &amp; REGEXEXTRACT(C1505, ""🏘️ \w+ \w+ (.*) ✅"") ,  if(H1505=""quartier"",vlookup(REGEXEXTRACT(C1505, ""🏘️ \w+ \w+ (.*) ✅""),'Quartier prepositio"&amp;"ns'!A:E, 5, 0) ,  if(H1505=""region"",vlookup(REGEXEXTRACT(C1505, ""🏘️ \w+ \w+ (.*) ✅""),'Region prepositions'!B:F, 5, 0),  REGEXEXTRACT(C1505, ""🏘️ \w+ \w+ (.*) ✅""))))"),"Chexbres")</f>
        <v>Chexbres</v>
      </c>
      <c r="F1505" s="2" t="str">
        <f>IFERROR(__xludf.DUMMYFUNCTION("REGEXEXTRACT(C1505, ""🏘️ (\w+) \w+ .* ✅"")"),"Vendre")</f>
        <v>Vendre</v>
      </c>
      <c r="G1505" s="2" t="str">
        <f>IFERROR(__xludf.DUMMYFUNCTION("REGEXEXTRACT(C1505, ""🏘️ \w+ (\w+) .* ✅"")"),"appartement")</f>
        <v>appartement</v>
      </c>
      <c r="H1505" s="4" t="str">
        <f>IFERROR(__xludf.DUMMYFUNCTION("REGEXEXTRACT(A1505, ""/(\w+)-.*?"")"),"lieu")</f>
        <v>lieu</v>
      </c>
      <c r="I1505" s="4" t="str">
        <f>IFERROR(__xludf.DUMMYFUNCTION("if(D1505=""variant"",  substitute(filter(Templates!E:E, Templates!A:A = F1505, Templates!B:B = G1505, Templates!C:C = H1505), ""{{}}"", E1505), B1505)"),"🏘  L’appartement de vos rêves se trouve sur ImmoScout24.ch ✅ Découvrez les dernières annonces de vente à Chexbres.")</f>
        <v>🏘  L’appartement de vos rêves se trouve sur ImmoScout24.ch ✅ Découvrez les dernières annonces de vente à Chexbres.</v>
      </c>
      <c r="J1505" s="4" t="s">
        <v>4518</v>
      </c>
    </row>
    <row r="1506">
      <c r="A1506" s="5" t="s">
        <v>4519</v>
      </c>
      <c r="B1506" s="2" t="s">
        <v>4520</v>
      </c>
      <c r="C1506" s="4" t="str">
        <f>IFERROR(__xludf.DUMMYFUNCTION("""🏘️ ""&amp;REGEXEXTRACT(B1506, ""^(.*): "")&amp;"" ✅ "" &amp;REGEXEXTRACT(B1506, ""(Trouvez.*)"")"),"🏘️ Vendre maison Charmoille ✅ Trouvez le bien immobilier qui correspond idéalement à vos désirs sur ImmoScout24 - La plateforme de l'immobilier en Suisse.")</f>
        <v>🏘️ Vendre maison Charmoille ✅ Trouvez le bien immobilier qui correspond idéalement à vos désirs sur ImmoScout24 - La plateforme de l'immobilier en Suisse.</v>
      </c>
      <c r="D1506" s="4" t="str">
        <f>vlookup(A1506, Sheet2!D:E, 2, 0)</f>
        <v>variant</v>
      </c>
      <c r="E1506" s="4" t="str">
        <f>IFERROR(__xludf.DUMMYFUNCTION("if(H1506=""pays"",vlookup(REGEXEXTRACT(C1506, ""🏘️ \w+ \w+ (.*) ✅""),'Country prepositions'!A:B, 2, 0) &amp; "" "" &amp; REGEXEXTRACT(C1506, ""🏘️ \w+ \w+ (.*) ✅"") ,  if(H1506=""quartier"",vlookup(REGEXEXTRACT(C1506, ""🏘️ \w+ \w+ (.*) ✅""),'Quartier prepositio"&amp;"ns'!A:E, 5, 0) ,  if(H1506=""region"",vlookup(REGEXEXTRACT(C1506, ""🏘️ \w+ \w+ (.*) ✅""),'Region prepositions'!B:F, 5, 0),  REGEXEXTRACT(C1506, ""🏘️ \w+ \w+ (.*) ✅""))))"),"Charmoille")</f>
        <v>Charmoille</v>
      </c>
      <c r="F1506" s="2" t="str">
        <f>IFERROR(__xludf.DUMMYFUNCTION("REGEXEXTRACT(C1506, ""🏘️ (\w+) \w+ .* ✅"")"),"Vendre")</f>
        <v>Vendre</v>
      </c>
      <c r="G1506" s="2" t="str">
        <f>IFERROR(__xludf.DUMMYFUNCTION("REGEXEXTRACT(C1506, ""🏘️ \w+ (\w+) .* ✅"")"),"maison")</f>
        <v>maison</v>
      </c>
      <c r="H1506" s="4" t="str">
        <f>IFERROR(__xludf.DUMMYFUNCTION("REGEXEXTRACT(A1506, ""/(\w+)-.*?"")"),"lieu")</f>
        <v>lieu</v>
      </c>
      <c r="I1506" s="4" t="str">
        <f>IFERROR(__xludf.DUMMYFUNCTION("if(D1506=""variant"",  substitute(filter(Templates!E:E, Templates!A:A = F1506, Templates!B:B = G1506, Templates!C:C = H1506), ""{{}}"", E1506), B1506)"),"🏘  Vous souhaitez acheter une maison à Charmoille? ✅ Jetez un œil aux dernières offres sur ImmoScout24.ch.")</f>
        <v>🏘  Vous souhaitez acheter une maison à Charmoille? ✅ Jetez un œil aux dernières offres sur ImmoScout24.ch.</v>
      </c>
      <c r="J1506" s="4" t="s">
        <v>4521</v>
      </c>
    </row>
    <row r="1507">
      <c r="A1507" s="5" t="s">
        <v>4522</v>
      </c>
      <c r="B1507" s="2" t="s">
        <v>4523</v>
      </c>
      <c r="C1507" s="4" t="str">
        <f>IFERROR(__xludf.DUMMYFUNCTION("""🏘️ ""&amp;REGEXEXTRACT(B1507, ""^(.*): "")&amp;"" ✅ "" &amp;REGEXEXTRACT(B1507, ""(Trouvez.*)"")"),"🏘️ Vendre maison Oberschrot ✅ Trouvez le bien immobilier qui correspond idéalement à vos désirs sur ImmoScout24 - La plateforme de l'immobilier en Suisse.")</f>
        <v>🏘️ Vendre maison Oberschrot ✅ Trouvez le bien immobilier qui correspond idéalement à vos désirs sur ImmoScout24 - La plateforme de l'immobilier en Suisse.</v>
      </c>
      <c r="D1507" s="4" t="str">
        <f>vlookup(A1507, Sheet2!D:E, 2, 0)</f>
        <v>variant</v>
      </c>
      <c r="E1507" s="4" t="str">
        <f>IFERROR(__xludf.DUMMYFUNCTION("if(H1507=""pays"",vlookup(REGEXEXTRACT(C1507, ""🏘️ \w+ \w+ (.*) ✅""),'Country prepositions'!A:B, 2, 0) &amp; "" "" &amp; REGEXEXTRACT(C1507, ""🏘️ \w+ \w+ (.*) ✅"") ,  if(H1507=""quartier"",vlookup(REGEXEXTRACT(C1507, ""🏘️ \w+ \w+ (.*) ✅""),'Quartier prepositio"&amp;"ns'!A:E, 5, 0) ,  if(H1507=""region"",vlookup(REGEXEXTRACT(C1507, ""🏘️ \w+ \w+ (.*) ✅""),'Region prepositions'!B:F, 5, 0),  REGEXEXTRACT(C1507, ""🏘️ \w+ \w+ (.*) ✅""))))"),"Oberschrot")</f>
        <v>Oberschrot</v>
      </c>
      <c r="F1507" s="2" t="str">
        <f>IFERROR(__xludf.DUMMYFUNCTION("REGEXEXTRACT(C1507, ""🏘️ (\w+) \w+ .* ✅"")"),"Vendre")</f>
        <v>Vendre</v>
      </c>
      <c r="G1507" s="2" t="str">
        <f>IFERROR(__xludf.DUMMYFUNCTION("REGEXEXTRACT(C1507, ""🏘️ \w+ (\w+) .* ✅"")"),"maison")</f>
        <v>maison</v>
      </c>
      <c r="H1507" s="4" t="str">
        <f>IFERROR(__xludf.DUMMYFUNCTION("REGEXEXTRACT(A1507, ""/(\w+)-.*?"")"),"lieu")</f>
        <v>lieu</v>
      </c>
      <c r="I1507" s="4" t="str">
        <f>IFERROR(__xludf.DUMMYFUNCTION("if(D1507=""variant"",  substitute(filter(Templates!E:E, Templates!A:A = F1507, Templates!B:B = G1507, Templates!C:C = H1507), ""{{}}"", E1507), B1507)"),"🏘  Vous souhaitez acheter une maison à Oberschrot? ✅ Jetez un œil aux dernières offres sur ImmoScout24.ch.")</f>
        <v>🏘  Vous souhaitez acheter une maison à Oberschrot? ✅ Jetez un œil aux dernières offres sur ImmoScout24.ch.</v>
      </c>
      <c r="J1507" s="4" t="s">
        <v>4524</v>
      </c>
    </row>
    <row r="1508">
      <c r="A1508" s="5" t="s">
        <v>4525</v>
      </c>
      <c r="B1508" s="2" t="s">
        <v>4526</v>
      </c>
      <c r="C1508" s="4" t="str">
        <f>IFERROR(__xludf.DUMMYFUNCTION("""🏘️ ""&amp;REGEXEXTRACT(B1508, ""^(.*): "")&amp;"" ✅ "" &amp;REGEXEXTRACT(B1508, ""(Trouvez.*)"")"),"🏘️ Vendre maison Fusio ✅ Trouvez le bien immobilier qui correspond idéalement à vos désirs sur ImmoScout24 - La plateforme de l'immobilier en Suisse.")</f>
        <v>🏘️ Vendre maison Fusio ✅ Trouvez le bien immobilier qui correspond idéalement à vos désirs sur ImmoScout24 - La plateforme de l'immobilier en Suisse.</v>
      </c>
      <c r="D1508" s="4" t="str">
        <f>vlookup(A1508, Sheet2!D:E, 2, 0)</f>
        <v>variant</v>
      </c>
      <c r="E1508" s="4" t="str">
        <f>IFERROR(__xludf.DUMMYFUNCTION("if(H1508=""pays"",vlookup(REGEXEXTRACT(C1508, ""🏘️ \w+ \w+ (.*) ✅""),'Country prepositions'!A:B, 2, 0) &amp; "" "" &amp; REGEXEXTRACT(C1508, ""🏘️ \w+ \w+ (.*) ✅"") ,  if(H1508=""quartier"",vlookup(REGEXEXTRACT(C1508, ""🏘️ \w+ \w+ (.*) ✅""),'Quartier prepositio"&amp;"ns'!A:E, 5, 0) ,  if(H1508=""region"",vlookup(REGEXEXTRACT(C1508, ""🏘️ \w+ \w+ (.*) ✅""),'Region prepositions'!B:F, 5, 0),  REGEXEXTRACT(C1508, ""🏘️ \w+ \w+ (.*) ✅""))))"),"Fusio")</f>
        <v>Fusio</v>
      </c>
      <c r="F1508" s="2" t="str">
        <f>IFERROR(__xludf.DUMMYFUNCTION("REGEXEXTRACT(C1508, ""🏘️ (\w+) \w+ .* ✅"")"),"Vendre")</f>
        <v>Vendre</v>
      </c>
      <c r="G1508" s="2" t="str">
        <f>IFERROR(__xludf.DUMMYFUNCTION("REGEXEXTRACT(C1508, ""🏘️ \w+ (\w+) .* ✅"")"),"maison")</f>
        <v>maison</v>
      </c>
      <c r="H1508" s="4" t="str">
        <f>IFERROR(__xludf.DUMMYFUNCTION("REGEXEXTRACT(A1508, ""/(\w+)-.*?"")"),"lieu")</f>
        <v>lieu</v>
      </c>
      <c r="I1508" s="4" t="str">
        <f>IFERROR(__xludf.DUMMYFUNCTION("if(D1508=""variant"",  substitute(filter(Templates!E:E, Templates!A:A = F1508, Templates!B:B = G1508, Templates!C:C = H1508), ""{{}}"", E1508), B1508)"),"🏘  Vous souhaitez acheter une maison à Fusio? ✅ Jetez un œil aux dernières offres sur ImmoScout24.ch.")</f>
        <v>🏘  Vous souhaitez acheter une maison à Fusio? ✅ Jetez un œil aux dernières offres sur ImmoScout24.ch.</v>
      </c>
      <c r="J1508" s="4" t="s">
        <v>4527</v>
      </c>
    </row>
    <row r="1509">
      <c r="A1509" s="5" t="s">
        <v>4528</v>
      </c>
      <c r="B1509" s="2" t="s">
        <v>4529</v>
      </c>
      <c r="C1509" s="4" t="str">
        <f>IFERROR(__xludf.DUMMYFUNCTION("""🏘️ ""&amp;REGEXEXTRACT(B1509, ""^(.*): "")&amp;"" ✅ "" &amp;REGEXEXTRACT(B1509, ""(Trouvez.*)"")"),"🏘️ Vendre maison Coffrane ✅ Trouvez le bien immobilier qui correspond idéalement à vos désirs sur ImmoScout24 - La plateforme de l'immobilier en Suisse.")</f>
        <v>🏘️ Vendre maison Coffrane ✅ Trouvez le bien immobilier qui correspond idéalement à vos désirs sur ImmoScout24 - La plateforme de l'immobilier en Suisse.</v>
      </c>
      <c r="D1509" s="4" t="str">
        <f>vlookup(A1509, Sheet2!D:E, 2, 0)</f>
        <v>variant</v>
      </c>
      <c r="E1509" s="4" t="str">
        <f>IFERROR(__xludf.DUMMYFUNCTION("if(H1509=""pays"",vlookup(REGEXEXTRACT(C1509, ""🏘️ \w+ \w+ (.*) ✅""),'Country prepositions'!A:B, 2, 0) &amp; "" "" &amp; REGEXEXTRACT(C1509, ""🏘️ \w+ \w+ (.*) ✅"") ,  if(H1509=""quartier"",vlookup(REGEXEXTRACT(C1509, ""🏘️ \w+ \w+ (.*) ✅""),'Quartier prepositio"&amp;"ns'!A:E, 5, 0) ,  if(H1509=""region"",vlookup(REGEXEXTRACT(C1509, ""🏘️ \w+ \w+ (.*) ✅""),'Region prepositions'!B:F, 5, 0),  REGEXEXTRACT(C1509, ""🏘️ \w+ \w+ (.*) ✅""))))"),"Coffrane")</f>
        <v>Coffrane</v>
      </c>
      <c r="F1509" s="2" t="str">
        <f>IFERROR(__xludf.DUMMYFUNCTION("REGEXEXTRACT(C1509, ""🏘️ (\w+) \w+ .* ✅"")"),"Vendre")</f>
        <v>Vendre</v>
      </c>
      <c r="G1509" s="2" t="str">
        <f>IFERROR(__xludf.DUMMYFUNCTION("REGEXEXTRACT(C1509, ""🏘️ \w+ (\w+) .* ✅"")"),"maison")</f>
        <v>maison</v>
      </c>
      <c r="H1509" s="4" t="str">
        <f>IFERROR(__xludf.DUMMYFUNCTION("REGEXEXTRACT(A1509, ""/(\w+)-.*?"")"),"lieu")</f>
        <v>lieu</v>
      </c>
      <c r="I1509" s="4" t="str">
        <f>IFERROR(__xludf.DUMMYFUNCTION("if(D1509=""variant"",  substitute(filter(Templates!E:E, Templates!A:A = F1509, Templates!B:B = G1509, Templates!C:C = H1509), ""{{}}"", E1509), B1509)"),"🏘  Vous souhaitez acheter une maison à Coffrane? ✅ Jetez un œil aux dernières offres sur ImmoScout24.ch.")</f>
        <v>🏘  Vous souhaitez acheter une maison à Coffrane? ✅ Jetez un œil aux dernières offres sur ImmoScout24.ch.</v>
      </c>
      <c r="J1509" s="4" t="s">
        <v>4530</v>
      </c>
    </row>
    <row r="1510">
      <c r="A1510" s="5" t="s">
        <v>4531</v>
      </c>
      <c r="B1510" s="2" t="s">
        <v>4532</v>
      </c>
      <c r="C1510" s="4" t="str">
        <f>IFERROR(__xludf.DUMMYFUNCTION("""🏘️ ""&amp;REGEXEXTRACT(B1510, ""^(.*): "")&amp;"" ✅ "" &amp;REGEXEXTRACT(B1510, ""(Trouvez.*)"")"),"🏘️ Louer appartement Cronay ✅ Trouvez le bien immobilier qui correspond idéalement à vos désirs sur ImmoScout24 - La plateforme de l'immobilier en Suisse.")</f>
        <v>🏘️ Louer appartement Cronay ✅ Trouvez le bien immobilier qui correspond idéalement à vos désirs sur ImmoScout24 - La plateforme de l'immobilier en Suisse.</v>
      </c>
      <c r="D1510" s="4" t="str">
        <f>vlookup(A1510, Sheet2!D:E, 2, 0)</f>
        <v>variant</v>
      </c>
      <c r="E1510" s="4" t="str">
        <f>IFERROR(__xludf.DUMMYFUNCTION("if(H1510=""pays"",vlookup(REGEXEXTRACT(C1510, ""🏘️ \w+ \w+ (.*) ✅""),'Country prepositions'!A:B, 2, 0) &amp; "" "" &amp; REGEXEXTRACT(C1510, ""🏘️ \w+ \w+ (.*) ✅"") ,  if(H1510=""quartier"",vlookup(REGEXEXTRACT(C1510, ""🏘️ \w+ \w+ (.*) ✅""),'Quartier prepositio"&amp;"ns'!A:E, 5, 0) ,  if(H1510=""region"",vlookup(REGEXEXTRACT(C1510, ""🏘️ \w+ \w+ (.*) ✅""),'Region prepositions'!B:F, 5, 0),  REGEXEXTRACT(C1510, ""🏘️ \w+ \w+ (.*) ✅""))))"),"Cronay")</f>
        <v>Cronay</v>
      </c>
      <c r="F1510" s="2" t="str">
        <f>IFERROR(__xludf.DUMMYFUNCTION("REGEXEXTRACT(C1510, ""🏘️ (\w+) \w+ .* ✅"")"),"Louer")</f>
        <v>Louer</v>
      </c>
      <c r="G1510" s="2" t="str">
        <f>IFERROR(__xludf.DUMMYFUNCTION("REGEXEXTRACT(C1510, ""🏘️ \w+ (\w+) .* ✅"")"),"appartement")</f>
        <v>appartement</v>
      </c>
      <c r="H1510" s="4" t="str">
        <f>IFERROR(__xludf.DUMMYFUNCTION("REGEXEXTRACT(A1510, ""/(\w+)-.*?"")"),"lieu")</f>
        <v>lieu</v>
      </c>
      <c r="I1510" s="4" t="str">
        <f>IFERROR(__xludf.DUMMYFUNCTION("if(D1510=""variant"",  substitute(filter(Templates!E:E, Templates!A:A = F1510, Templates!B:B = G1510, Templates!C:C = H1510), ""{{}}"", E1510), B1510)"),"🏘  Vous cherchez un appartement à louer à Cronay? ✅ Les annonces les plus actuelles sont sur ImmoScout24.ch.")</f>
        <v>🏘  Vous cherchez un appartement à louer à Cronay? ✅ Les annonces les plus actuelles sont sur ImmoScout24.ch.</v>
      </c>
      <c r="J1510" s="4" t="s">
        <v>4533</v>
      </c>
    </row>
    <row r="1511">
      <c r="A1511" s="5" t="s">
        <v>4534</v>
      </c>
      <c r="B1511" s="2" t="s">
        <v>4535</v>
      </c>
      <c r="C1511" s="4" t="str">
        <f>IFERROR(__xludf.DUMMYFUNCTION("""🏘️ ""&amp;REGEXEXTRACT(B1511, ""^(.*): "")&amp;"" ✅ "" &amp;REGEXEXTRACT(B1511, ""(Trouvez.*)"")"),"🏘️ Louer maison Fenin ✅ Trouvez le bien immobilier qui correspond idéalement à vos désirs sur ImmoScout24 - La plateforme de l'immobilier en Suisse.")</f>
        <v>🏘️ Louer maison Fenin ✅ Trouvez le bien immobilier qui correspond idéalement à vos désirs sur ImmoScout24 - La plateforme de l'immobilier en Suisse.</v>
      </c>
      <c r="D1511" s="4" t="str">
        <f>vlookup(A1511, Sheet2!D:E, 2, 0)</f>
        <v>variant</v>
      </c>
      <c r="E1511" s="4" t="str">
        <f>IFERROR(__xludf.DUMMYFUNCTION("if(H1511=""pays"",vlookup(REGEXEXTRACT(C1511, ""🏘️ \w+ \w+ (.*) ✅""),'Country prepositions'!A:B, 2, 0) &amp; "" "" &amp; REGEXEXTRACT(C1511, ""🏘️ \w+ \w+ (.*) ✅"") ,  if(H1511=""quartier"",vlookup(REGEXEXTRACT(C1511, ""🏘️ \w+ \w+ (.*) ✅""),'Quartier prepositio"&amp;"ns'!A:E, 5, 0) ,  if(H1511=""region"",vlookup(REGEXEXTRACT(C1511, ""🏘️ \w+ \w+ (.*) ✅""),'Region prepositions'!B:F, 5, 0),  REGEXEXTRACT(C1511, ""🏘️ \w+ \w+ (.*) ✅""))))"),"Fenin")</f>
        <v>Fenin</v>
      </c>
      <c r="F1511" s="2" t="str">
        <f>IFERROR(__xludf.DUMMYFUNCTION("REGEXEXTRACT(C1511, ""🏘️ (\w+) \w+ .* ✅"")"),"Louer")</f>
        <v>Louer</v>
      </c>
      <c r="G1511" s="2" t="str">
        <f>IFERROR(__xludf.DUMMYFUNCTION("REGEXEXTRACT(C1511, ""🏘️ \w+ (\w+) .* ✅"")"),"maison")</f>
        <v>maison</v>
      </c>
      <c r="H1511" s="4" t="str">
        <f>IFERROR(__xludf.DUMMYFUNCTION("REGEXEXTRACT(A1511, ""/(\w+)-.*?"")"),"lieu")</f>
        <v>lieu</v>
      </c>
      <c r="I1511" s="4" t="str">
        <f>IFERROR(__xludf.DUMMYFUNCTION("if(D1511=""variant"",  substitute(filter(Templates!E:E, Templates!A:A = F1511, Templates!B:B = G1511, Templates!C:C = H1511), ""{{}}"", E1511), B1511)"),"🏘  Vous cherchez une maison à louer à Fenin? ✅ Découvrez nos nombreuses annonces sur ImmoScout24.ch.")</f>
        <v>🏘  Vous cherchez une maison à louer à Fenin? ✅ Découvrez nos nombreuses annonces sur ImmoScout24.ch.</v>
      </c>
      <c r="J1511" s="4" t="s">
        <v>4536</v>
      </c>
    </row>
    <row r="1512">
      <c r="A1512" s="5" t="s">
        <v>4537</v>
      </c>
      <c r="B1512" s="2" t="s">
        <v>4538</v>
      </c>
      <c r="C1512" s="4" t="str">
        <f>IFERROR(__xludf.DUMMYFUNCTION("""🏘️ ""&amp;REGEXEXTRACT(B1512, ""^(.*): "")&amp;"" ✅ "" &amp;REGEXEXTRACT(B1512, ""(Trouvez.*)"")"),"🏘️ Louer maison St-George ✅ Trouvez le bien immobilier qui correspond idéalement à vos désirs sur ImmoScout24 - La plateforme de l'immobilier en Suisse.")</f>
        <v>🏘️ Louer maison St-George ✅ Trouvez le bien immobilier qui correspond idéalement à vos désirs sur ImmoScout24 - La plateforme de l'immobilier en Suisse.</v>
      </c>
      <c r="D1512" s="4" t="str">
        <f>vlookup(A1512, Sheet2!D:E, 2, 0)</f>
        <v>variant</v>
      </c>
      <c r="E1512" s="4" t="str">
        <f>IFERROR(__xludf.DUMMYFUNCTION("if(H1512=""pays"",vlookup(REGEXEXTRACT(C1512, ""🏘️ \w+ \w+ (.*) ✅""),'Country prepositions'!A:B, 2, 0) &amp; "" "" &amp; REGEXEXTRACT(C1512, ""🏘️ \w+ \w+ (.*) ✅"") ,  if(H1512=""quartier"",vlookup(REGEXEXTRACT(C1512, ""🏘️ \w+ \w+ (.*) ✅""),'Quartier prepositio"&amp;"ns'!A:E, 5, 0) ,  if(H1512=""region"",vlookup(REGEXEXTRACT(C1512, ""🏘️ \w+ \w+ (.*) ✅""),'Region prepositions'!B:F, 5, 0),  REGEXEXTRACT(C1512, ""🏘️ \w+ \w+ (.*) ✅""))))"),"St-George")</f>
        <v>St-George</v>
      </c>
      <c r="F1512" s="2" t="str">
        <f>IFERROR(__xludf.DUMMYFUNCTION("REGEXEXTRACT(C1512, ""🏘️ (\w+) \w+ .* ✅"")"),"Louer")</f>
        <v>Louer</v>
      </c>
      <c r="G1512" s="2" t="str">
        <f>IFERROR(__xludf.DUMMYFUNCTION("REGEXEXTRACT(C1512, ""🏘️ \w+ (\w+) .* ✅"")"),"maison")</f>
        <v>maison</v>
      </c>
      <c r="H1512" s="4" t="str">
        <f>IFERROR(__xludf.DUMMYFUNCTION("REGEXEXTRACT(A1512, ""/(\w+)-.*?"")"),"lieu")</f>
        <v>lieu</v>
      </c>
      <c r="I1512" s="4" t="str">
        <f>IFERROR(__xludf.DUMMYFUNCTION("if(D1512=""variant"",  substitute(filter(Templates!E:E, Templates!A:A = F1512, Templates!B:B = G1512, Templates!C:C = H1512), ""{{}}"", E1512), B1512)"),"🏘  Vous cherchez une maison à louer à St-George? ✅ Découvrez nos nombreuses annonces sur ImmoScout24.ch.")</f>
        <v>🏘  Vous cherchez une maison à louer à St-George? ✅ Découvrez nos nombreuses annonces sur ImmoScout24.ch.</v>
      </c>
      <c r="J1512" s="4" t="s">
        <v>4539</v>
      </c>
    </row>
    <row r="1513">
      <c r="A1513" s="5" t="s">
        <v>4540</v>
      </c>
      <c r="B1513" s="2" t="s">
        <v>4541</v>
      </c>
      <c r="C1513" s="4" t="str">
        <f>IFERROR(__xludf.DUMMYFUNCTION("""🏘️ ""&amp;REGEXEXTRACT(B1513, ""^(.*): "")&amp;"" ✅ "" &amp;REGEXEXTRACT(B1513, ""(Trouvez.*)"")"),"🏘️ Louer appartement Roumanie ✅ Trouvez le bien immobilier qui correspond idéalement à vos désirs sur ImmoScout24 - La plateforme de l'immobilier en Suisse.")</f>
        <v>🏘️ Louer appartement Roumanie ✅ Trouvez le bien immobilier qui correspond idéalement à vos désirs sur ImmoScout24 - La plateforme de l'immobilier en Suisse.</v>
      </c>
      <c r="D1513" s="4" t="str">
        <f>vlookup(A1513, Sheet2!D:E, 2, 0)</f>
        <v>variant</v>
      </c>
      <c r="E1513" s="4" t="str">
        <f>IFERROR(__xludf.DUMMYFUNCTION("if(H1513=""pays"",vlookup(REGEXEXTRACT(C1513, ""🏘️ \w+ \w+ (.*) ✅""),'Country prepositions'!A:B, 2, 0) &amp; "" "" &amp; REGEXEXTRACT(C1513, ""🏘️ \w+ \w+ (.*) ✅"") ,  if(H1513=""quartier"",vlookup(REGEXEXTRACT(C1513, ""🏘️ \w+ \w+ (.*) ✅""),'Quartier prepositio"&amp;"ns'!A:E, 5, 0) ,  if(H1513=""region"",vlookup(REGEXEXTRACT(C1513, ""🏘️ \w+ \w+ (.*) ✅""),'Region prepositions'!B:F, 5, 0),  REGEXEXTRACT(C1513, ""🏘️ \w+ \w+ (.*) ✅""))))"),"en Roumanie")</f>
        <v>en Roumanie</v>
      </c>
      <c r="F1513" s="2" t="str">
        <f>IFERROR(__xludf.DUMMYFUNCTION("REGEXEXTRACT(C1513, ""🏘️ (\w+) \w+ .* ✅"")"),"Louer")</f>
        <v>Louer</v>
      </c>
      <c r="G1513" s="2" t="str">
        <f>IFERROR(__xludf.DUMMYFUNCTION("REGEXEXTRACT(C1513, ""🏘️ \w+ (\w+) .* ✅"")"),"appartement")</f>
        <v>appartement</v>
      </c>
      <c r="H1513" s="4" t="str">
        <f>IFERROR(__xludf.DUMMYFUNCTION("REGEXEXTRACT(A1513, ""/(\w+)-.*?"")"),"pays")</f>
        <v>pays</v>
      </c>
      <c r="I1513" s="4" t="str">
        <f>IFERROR(__xludf.DUMMYFUNCTION("if(D1513=""variant"",  substitute(filter(Templates!E:E, Templates!A:A = F1513, Templates!B:B = G1513, Templates!C:C = H1513), ""{{}}"", E1513), B1513)"),"🏘  Vous cherchez un appartement à louer en Roumanie? ✅ Les annonces les plus actuelles sont sur ImmoScout24.ch.")</f>
        <v>🏘  Vous cherchez un appartement à louer en Roumanie? ✅ Les annonces les plus actuelles sont sur ImmoScout24.ch.</v>
      </c>
      <c r="J1513" s="4" t="s">
        <v>2736</v>
      </c>
    </row>
    <row r="1514">
      <c r="A1514" s="5" t="s">
        <v>4542</v>
      </c>
      <c r="B1514" s="2" t="s">
        <v>4543</v>
      </c>
      <c r="C1514" s="4" t="str">
        <f>IFERROR(__xludf.DUMMYFUNCTION("""🏘️ ""&amp;REGEXEXTRACT(B1514, ""^(.*): "")&amp;"" ✅ "" &amp;REGEXEXTRACT(B1514, ""(Trouvez.*)"")"),"🏘️ Vendre appartement Cully ✅ Trouvez le bien immobilier qui correspond idéalement à vos désirs sur ImmoScout24 - La plateforme de l'immobilier en Suisse.")</f>
        <v>🏘️ Vendre appartement Cully ✅ Trouvez le bien immobilier qui correspond idéalement à vos désirs sur ImmoScout24 - La plateforme de l'immobilier en Suisse.</v>
      </c>
      <c r="D1514" s="4" t="str">
        <f>vlookup(A1514, Sheet2!D:E, 2, 0)</f>
        <v>variant</v>
      </c>
      <c r="E1514" s="4" t="str">
        <f>IFERROR(__xludf.DUMMYFUNCTION("if(H1514=""pays"",vlookup(REGEXEXTRACT(C1514, ""🏘️ \w+ \w+ (.*) ✅""),'Country prepositions'!A:B, 2, 0) &amp; "" "" &amp; REGEXEXTRACT(C1514, ""🏘️ \w+ \w+ (.*) ✅"") ,  if(H1514=""quartier"",vlookup(REGEXEXTRACT(C1514, ""🏘️ \w+ \w+ (.*) ✅""),'Quartier prepositio"&amp;"ns'!A:E, 5, 0) ,  if(H1514=""region"",vlookup(REGEXEXTRACT(C1514, ""🏘️ \w+ \w+ (.*) ✅""),'Region prepositions'!B:F, 5, 0),  REGEXEXTRACT(C1514, ""🏘️ \w+ \w+ (.*) ✅""))))"),"Cully")</f>
        <v>Cully</v>
      </c>
      <c r="F1514" s="2" t="str">
        <f>IFERROR(__xludf.DUMMYFUNCTION("REGEXEXTRACT(C1514, ""🏘️ (\w+) \w+ .* ✅"")"),"Vendre")</f>
        <v>Vendre</v>
      </c>
      <c r="G1514" s="2" t="str">
        <f>IFERROR(__xludf.DUMMYFUNCTION("REGEXEXTRACT(C1514, ""🏘️ \w+ (\w+) .* ✅"")"),"appartement")</f>
        <v>appartement</v>
      </c>
      <c r="H1514" s="4" t="str">
        <f>IFERROR(__xludf.DUMMYFUNCTION("REGEXEXTRACT(A1514, ""/(\w+)-.*?"")"),"lieu")</f>
        <v>lieu</v>
      </c>
      <c r="I1514" s="4" t="str">
        <f>IFERROR(__xludf.DUMMYFUNCTION("if(D1514=""variant"",  substitute(filter(Templates!E:E, Templates!A:A = F1514, Templates!B:B = G1514, Templates!C:C = H1514), ""{{}}"", E1514), B1514)"),"🏘  L’appartement de vos rêves se trouve sur ImmoScout24.ch ✅ Découvrez les dernières annonces de vente à Cully.")</f>
        <v>🏘  L’appartement de vos rêves se trouve sur ImmoScout24.ch ✅ Découvrez les dernières annonces de vente à Cully.</v>
      </c>
      <c r="J1514" s="4" t="s">
        <v>4544</v>
      </c>
    </row>
    <row r="1515">
      <c r="A1515" s="5" t="s">
        <v>4545</v>
      </c>
      <c r="B1515" s="2" t="s">
        <v>4546</v>
      </c>
      <c r="C1515" s="4" t="str">
        <f>IFERROR(__xludf.DUMMYFUNCTION("""🏘️ ""&amp;REGEXEXTRACT(B1515, ""^(.*): "")&amp;"" ✅ "" &amp;REGEXEXTRACT(B1515, ""(Trouvez.*)"")"),"🏘️ Vendre maison Vallamand ✅ Trouvez le bien immobilier qui correspond idéalement à vos désirs sur ImmoScout24 - La plateforme de l'immobilier en Suisse.")</f>
        <v>🏘️ Vendre maison Vallamand ✅ Trouvez le bien immobilier qui correspond idéalement à vos désirs sur ImmoScout24 - La plateforme de l'immobilier en Suisse.</v>
      </c>
      <c r="D1515" s="4" t="str">
        <f>vlookup(A1515, Sheet2!D:E, 2, 0)</f>
        <v>variant</v>
      </c>
      <c r="E1515" s="4" t="str">
        <f>IFERROR(__xludf.DUMMYFUNCTION("if(H1515=""pays"",vlookup(REGEXEXTRACT(C1515, ""🏘️ \w+ \w+ (.*) ✅""),'Country prepositions'!A:B, 2, 0) &amp; "" "" &amp; REGEXEXTRACT(C1515, ""🏘️ \w+ \w+ (.*) ✅"") ,  if(H1515=""quartier"",vlookup(REGEXEXTRACT(C1515, ""🏘️ \w+ \w+ (.*) ✅""),'Quartier prepositio"&amp;"ns'!A:E, 5, 0) ,  if(H1515=""region"",vlookup(REGEXEXTRACT(C1515, ""🏘️ \w+ \w+ (.*) ✅""),'Region prepositions'!B:F, 5, 0),  REGEXEXTRACT(C1515, ""🏘️ \w+ \w+ (.*) ✅""))))"),"Vallamand")</f>
        <v>Vallamand</v>
      </c>
      <c r="F1515" s="2" t="str">
        <f>IFERROR(__xludf.DUMMYFUNCTION("REGEXEXTRACT(C1515, ""🏘️ (\w+) \w+ .* ✅"")"),"Vendre")</f>
        <v>Vendre</v>
      </c>
      <c r="G1515" s="2" t="str">
        <f>IFERROR(__xludf.DUMMYFUNCTION("REGEXEXTRACT(C1515, ""🏘️ \w+ (\w+) .* ✅"")"),"maison")</f>
        <v>maison</v>
      </c>
      <c r="H1515" s="4" t="str">
        <f>IFERROR(__xludf.DUMMYFUNCTION("REGEXEXTRACT(A1515, ""/(\w+)-.*?"")"),"lieu")</f>
        <v>lieu</v>
      </c>
      <c r="I1515" s="4" t="str">
        <f>IFERROR(__xludf.DUMMYFUNCTION("if(D1515=""variant"",  substitute(filter(Templates!E:E, Templates!A:A = F1515, Templates!B:B = G1515, Templates!C:C = H1515), ""{{}}"", E1515), B1515)"),"🏘  Vous souhaitez acheter une maison à Vallamand? ✅ Jetez un œil aux dernières offres sur ImmoScout24.ch.")</f>
        <v>🏘  Vous souhaitez acheter une maison à Vallamand? ✅ Jetez un œil aux dernières offres sur ImmoScout24.ch.</v>
      </c>
      <c r="J1515" s="4" t="s">
        <v>4547</v>
      </c>
    </row>
    <row r="1516">
      <c r="A1516" s="5" t="s">
        <v>4548</v>
      </c>
      <c r="B1516" s="2" t="s">
        <v>4549</v>
      </c>
      <c r="C1516" s="4" t="str">
        <f>IFERROR(__xludf.DUMMYFUNCTION("""🏘️ ""&amp;REGEXEXTRACT(B1516, ""^(.*): "")&amp;"" ✅ "" &amp;REGEXEXTRACT(B1516, ""(Trouvez.*)"")"),"🏘️ Vendre maison Wirzweli ✅ Trouvez le bien immobilier qui correspond idéalement à vos désirs sur ImmoScout24 - La plateforme de l'immobilier en Suisse.")</f>
        <v>🏘️ Vendre maison Wirzweli ✅ Trouvez le bien immobilier qui correspond idéalement à vos désirs sur ImmoScout24 - La plateforme de l'immobilier en Suisse.</v>
      </c>
      <c r="D1516" s="4" t="str">
        <f>vlookup(A1516, Sheet2!D:E, 2, 0)</f>
        <v>variant</v>
      </c>
      <c r="E1516" s="4" t="str">
        <f>IFERROR(__xludf.DUMMYFUNCTION("if(H1516=""pays"",vlookup(REGEXEXTRACT(C1516, ""🏘️ \w+ \w+ (.*) ✅""),'Country prepositions'!A:B, 2, 0) &amp; "" "" &amp; REGEXEXTRACT(C1516, ""🏘️ \w+ \w+ (.*) ✅"") ,  if(H1516=""quartier"",vlookup(REGEXEXTRACT(C1516, ""🏘️ \w+ \w+ (.*) ✅""),'Quartier prepositio"&amp;"ns'!A:E, 5, 0) ,  if(H1516=""region"",vlookup(REGEXEXTRACT(C1516, ""🏘️ \w+ \w+ (.*) ✅""),'Region prepositions'!B:F, 5, 0),  REGEXEXTRACT(C1516, ""🏘️ \w+ \w+ (.*) ✅""))))"),"Wirzweli")</f>
        <v>Wirzweli</v>
      </c>
      <c r="F1516" s="2" t="str">
        <f>IFERROR(__xludf.DUMMYFUNCTION("REGEXEXTRACT(C1516, ""🏘️ (\w+) \w+ .* ✅"")"),"Vendre")</f>
        <v>Vendre</v>
      </c>
      <c r="G1516" s="2" t="str">
        <f>IFERROR(__xludf.DUMMYFUNCTION("REGEXEXTRACT(C1516, ""🏘️ \w+ (\w+) .* ✅"")"),"maison")</f>
        <v>maison</v>
      </c>
      <c r="H1516" s="4" t="str">
        <f>IFERROR(__xludf.DUMMYFUNCTION("REGEXEXTRACT(A1516, ""/(\w+)-.*?"")"),"lieu")</f>
        <v>lieu</v>
      </c>
      <c r="I1516" s="4" t="str">
        <f>IFERROR(__xludf.DUMMYFUNCTION("if(D1516=""variant"",  substitute(filter(Templates!E:E, Templates!A:A = F1516, Templates!B:B = G1516, Templates!C:C = H1516), ""{{}}"", E1516), B1516)"),"🏘  Vous souhaitez acheter une maison à Wirzweli? ✅ Jetez un œil aux dernières offres sur ImmoScout24.ch.")</f>
        <v>🏘  Vous souhaitez acheter une maison à Wirzweli? ✅ Jetez un œil aux dernières offres sur ImmoScout24.ch.</v>
      </c>
      <c r="J1516" s="4" t="s">
        <v>4550</v>
      </c>
    </row>
    <row r="1517">
      <c r="A1517" s="5" t="s">
        <v>4551</v>
      </c>
      <c r="B1517" s="2" t="s">
        <v>4552</v>
      </c>
      <c r="C1517" s="4" t="str">
        <f>IFERROR(__xludf.DUMMYFUNCTION("""🏘️ ""&amp;REGEXEXTRACT(B1517, ""^(.*): "")&amp;"" ✅ "" &amp;REGEXEXTRACT(B1517, ""(Trouvez.*)"")"),"🏘️ Louer appartement Villargiroud ✅ Trouvez le bien immobilier qui correspond idéalement à vos désirs sur ImmoScout24 - La plateforme de l'immobilier en Suisse.")</f>
        <v>🏘️ Louer appartement Villargiroud ✅ Trouvez le bien immobilier qui correspond idéalement à vos désirs sur ImmoScout24 - La plateforme de l'immobilier en Suisse.</v>
      </c>
      <c r="D1517" s="4" t="str">
        <f>vlookup(A1517, Sheet2!D:E, 2, 0)</f>
        <v>variant</v>
      </c>
      <c r="E1517" s="4" t="str">
        <f>IFERROR(__xludf.DUMMYFUNCTION("if(H1517=""pays"",vlookup(REGEXEXTRACT(C1517, ""🏘️ \w+ \w+ (.*) ✅""),'Country prepositions'!A:B, 2, 0) &amp; "" "" &amp; REGEXEXTRACT(C1517, ""🏘️ \w+ \w+ (.*) ✅"") ,  if(H1517=""quartier"",vlookup(REGEXEXTRACT(C1517, ""🏘️ \w+ \w+ (.*) ✅""),'Quartier prepositio"&amp;"ns'!A:E, 5, 0) ,  if(H1517=""region"",vlookup(REGEXEXTRACT(C1517, ""🏘️ \w+ \w+ (.*) ✅""),'Region prepositions'!B:F, 5, 0),  REGEXEXTRACT(C1517, ""🏘️ \w+ \w+ (.*) ✅""))))"),"Villargiroud")</f>
        <v>Villargiroud</v>
      </c>
      <c r="F1517" s="2" t="str">
        <f>IFERROR(__xludf.DUMMYFUNCTION("REGEXEXTRACT(C1517, ""🏘️ (\w+) \w+ .* ✅"")"),"Louer")</f>
        <v>Louer</v>
      </c>
      <c r="G1517" s="2" t="str">
        <f>IFERROR(__xludf.DUMMYFUNCTION("REGEXEXTRACT(C1517, ""🏘️ \w+ (\w+) .* ✅"")"),"appartement")</f>
        <v>appartement</v>
      </c>
      <c r="H1517" s="4" t="str">
        <f>IFERROR(__xludf.DUMMYFUNCTION("REGEXEXTRACT(A1517, ""/(\w+)-.*?"")"),"lieu")</f>
        <v>lieu</v>
      </c>
      <c r="I1517" s="4" t="str">
        <f>IFERROR(__xludf.DUMMYFUNCTION("if(D1517=""variant"",  substitute(filter(Templates!E:E, Templates!A:A = F1517, Templates!B:B = G1517, Templates!C:C = H1517), ""{{}}"", E1517), B1517)"),"🏘  Vous cherchez un appartement à louer à Villargiroud? ✅ Les annonces les plus actuelles sont sur ImmoScout24.ch.")</f>
        <v>🏘  Vous cherchez un appartement à louer à Villargiroud? ✅ Les annonces les plus actuelles sont sur ImmoScout24.ch.</v>
      </c>
      <c r="J1517" s="4" t="s">
        <v>4553</v>
      </c>
    </row>
    <row r="1518">
      <c r="A1518" s="5" t="s">
        <v>4554</v>
      </c>
      <c r="B1518" s="2" t="s">
        <v>4555</v>
      </c>
      <c r="C1518" s="4" t="str">
        <f>IFERROR(__xludf.DUMMYFUNCTION("""🏘️ ""&amp;REGEXEXTRACT(B1518, ""^(.*): "")&amp;"" ✅ "" &amp;REGEXEXTRACT(B1518, ""(Trouvez.*)"")"),"🏘️ Louer appartement Thyon ✅ Trouvez le bien immobilier qui correspond idéalement à vos désirs sur ImmoScout24 - La plateforme de l'immobilier en Suisse.")</f>
        <v>🏘️ Louer appartement Thyon ✅ Trouvez le bien immobilier qui correspond idéalement à vos désirs sur ImmoScout24 - La plateforme de l'immobilier en Suisse.</v>
      </c>
      <c r="D1518" s="4" t="str">
        <f>vlookup(A1518, Sheet2!D:E, 2, 0)</f>
        <v>variant</v>
      </c>
      <c r="E1518" s="4" t="str">
        <f>IFERROR(__xludf.DUMMYFUNCTION("if(H1518=""pays"",vlookup(REGEXEXTRACT(C1518, ""🏘️ \w+ \w+ (.*) ✅""),'Country prepositions'!A:B, 2, 0) &amp; "" "" &amp; REGEXEXTRACT(C1518, ""🏘️ \w+ \w+ (.*) ✅"") ,  if(H1518=""quartier"",vlookup(REGEXEXTRACT(C1518, ""🏘️ \w+ \w+ (.*) ✅""),'Quartier prepositio"&amp;"ns'!A:E, 5, 0) ,  if(H1518=""region"",vlookup(REGEXEXTRACT(C1518, ""🏘️ \w+ \w+ (.*) ✅""),'Region prepositions'!B:F, 5, 0),  REGEXEXTRACT(C1518, ""🏘️ \w+ \w+ (.*) ✅""))))"),"Thyon")</f>
        <v>Thyon</v>
      </c>
      <c r="F1518" s="2" t="str">
        <f>IFERROR(__xludf.DUMMYFUNCTION("REGEXEXTRACT(C1518, ""🏘️ (\w+) \w+ .* ✅"")"),"Louer")</f>
        <v>Louer</v>
      </c>
      <c r="G1518" s="2" t="str">
        <f>IFERROR(__xludf.DUMMYFUNCTION("REGEXEXTRACT(C1518, ""🏘️ \w+ (\w+) .* ✅"")"),"appartement")</f>
        <v>appartement</v>
      </c>
      <c r="H1518" s="4" t="str">
        <f>IFERROR(__xludf.DUMMYFUNCTION("REGEXEXTRACT(A1518, ""/(\w+)-.*?"")"),"lieu")</f>
        <v>lieu</v>
      </c>
      <c r="I1518" s="4" t="str">
        <f>IFERROR(__xludf.DUMMYFUNCTION("if(D1518=""variant"",  substitute(filter(Templates!E:E, Templates!A:A = F1518, Templates!B:B = G1518, Templates!C:C = H1518), ""{{}}"", E1518), B1518)"),"🏘  Vous cherchez un appartement à louer à Thyon? ✅ Les annonces les plus actuelles sont sur ImmoScout24.ch.")</f>
        <v>🏘  Vous cherchez un appartement à louer à Thyon? ✅ Les annonces les plus actuelles sont sur ImmoScout24.ch.</v>
      </c>
      <c r="J1518" s="4" t="s">
        <v>4556</v>
      </c>
    </row>
    <row r="1519">
      <c r="A1519" s="5" t="s">
        <v>4557</v>
      </c>
      <c r="B1519" s="2" t="s">
        <v>4558</v>
      </c>
      <c r="C1519" s="4" t="str">
        <f>IFERROR(__xludf.DUMMYFUNCTION("""🏘️ ""&amp;REGEXEXTRACT(B1519, ""^(.*): "")&amp;"" ✅ "" &amp;REGEXEXTRACT(B1519, ""(Trouvez.*)"")"),"🏘️ Louer maison Leysin ✅ Trouvez le bien immobilier qui correspond idéalement à vos désirs sur ImmoScout24 - La plateforme de l'immobilier en Suisse.")</f>
        <v>🏘️ Louer maison Leysin ✅ Trouvez le bien immobilier qui correspond idéalement à vos désirs sur ImmoScout24 - La plateforme de l'immobilier en Suisse.</v>
      </c>
      <c r="D1519" s="4" t="str">
        <f>vlookup(A1519, Sheet2!D:E, 2, 0)</f>
        <v>variant</v>
      </c>
      <c r="E1519" s="4" t="str">
        <f>IFERROR(__xludf.DUMMYFUNCTION("if(H1519=""pays"",vlookup(REGEXEXTRACT(C1519, ""🏘️ \w+ \w+ (.*) ✅""),'Country prepositions'!A:B, 2, 0) &amp; "" "" &amp; REGEXEXTRACT(C1519, ""🏘️ \w+ \w+ (.*) ✅"") ,  if(H1519=""quartier"",vlookup(REGEXEXTRACT(C1519, ""🏘️ \w+ \w+ (.*) ✅""),'Quartier prepositio"&amp;"ns'!A:E, 5, 0) ,  if(H1519=""region"",vlookup(REGEXEXTRACT(C1519, ""🏘️ \w+ \w+ (.*) ✅""),'Region prepositions'!B:F, 5, 0),  REGEXEXTRACT(C1519, ""🏘️ \w+ \w+ (.*) ✅""))))"),"Leysin")</f>
        <v>Leysin</v>
      </c>
      <c r="F1519" s="2" t="str">
        <f>IFERROR(__xludf.DUMMYFUNCTION("REGEXEXTRACT(C1519, ""🏘️ (\w+) \w+ .* ✅"")"),"Louer")</f>
        <v>Louer</v>
      </c>
      <c r="G1519" s="2" t="str">
        <f>IFERROR(__xludf.DUMMYFUNCTION("REGEXEXTRACT(C1519, ""🏘️ \w+ (\w+) .* ✅"")"),"maison")</f>
        <v>maison</v>
      </c>
      <c r="H1519" s="4" t="str">
        <f>IFERROR(__xludf.DUMMYFUNCTION("REGEXEXTRACT(A1519, ""/(\w+)-.*?"")"),"lieu")</f>
        <v>lieu</v>
      </c>
      <c r="I1519" s="4" t="str">
        <f>IFERROR(__xludf.DUMMYFUNCTION("if(D1519=""variant"",  substitute(filter(Templates!E:E, Templates!A:A = F1519, Templates!B:B = G1519, Templates!C:C = H1519), ""{{}}"", E1519), B1519)"),"🏘  Vous cherchez une maison à louer à Leysin? ✅ Découvrez nos nombreuses annonces sur ImmoScout24.ch.")</f>
        <v>🏘  Vous cherchez une maison à louer à Leysin? ✅ Découvrez nos nombreuses annonces sur ImmoScout24.ch.</v>
      </c>
      <c r="J1519" s="2" t="s">
        <v>4559</v>
      </c>
    </row>
    <row r="1520">
      <c r="A1520" s="5" t="s">
        <v>4560</v>
      </c>
      <c r="B1520" s="2" t="s">
        <v>4561</v>
      </c>
      <c r="C1520" s="4" t="str">
        <f>IFERROR(__xludf.DUMMYFUNCTION("""🏘️ ""&amp;REGEXEXTRACT(B1520, ""^(.*): "")&amp;"" ✅ "" &amp;REGEXEXTRACT(B1520, ""(Trouvez.*)"")"),"🏘️ Vendre maison Singine - Sarine - Lac ✅ Trouvez le bien immobilier qui correspond idéalement à vos désirs sur ImmoScout24 - La plateforme de l'immobilier en Suisse.")</f>
        <v>🏘️ Vendre maison Singine - Sarine - Lac ✅ Trouvez le bien immobilier qui correspond idéalement à vos désirs sur ImmoScout24 - La plateforme de l'immobilier en Suisse.</v>
      </c>
      <c r="D1520" s="4" t="str">
        <f>vlookup(A1520, Sheet2!D:E, 2, 0)</f>
        <v>variant</v>
      </c>
      <c r="E1520" s="4" t="str">
        <f>IFERROR(__xludf.DUMMYFUNCTION("if(H1520=""pays"",vlookup(REGEXEXTRACT(C1520, ""🏘️ \w+ \w+ (.*) ✅""),'Country prepositions'!A:B, 2, 0) &amp; "" "" &amp; REGEXEXTRACT(C1520, ""🏘️ \w+ \w+ (.*) ✅"") ,  if(H1520=""quartier"",vlookup(REGEXEXTRACT(C1520, ""🏘️ \w+ \w+ (.*) ✅""),'Quartier prepositio"&amp;"ns'!A:E, 5, 0) ,  if(H1520=""region"",vlookup(REGEXEXTRACT(C1520, ""🏘️ \w+ \w+ (.*) ✅""),'Region prepositions'!B:F, 5, 0),  REGEXEXTRACT(C1520, ""🏘️ \w+ \w+ (.*) ✅""))))"),"dans les districts de Singine - Sarine - Lac")</f>
        <v>dans les districts de Singine - Sarine - Lac</v>
      </c>
      <c r="F1520" s="2" t="str">
        <f>IFERROR(__xludf.DUMMYFUNCTION("REGEXEXTRACT(C1520, ""🏘️ (\w+) \w+ .* ✅"")"),"Vendre")</f>
        <v>Vendre</v>
      </c>
      <c r="G1520" s="2" t="str">
        <f>IFERROR(__xludf.DUMMYFUNCTION("REGEXEXTRACT(C1520, ""🏘️ \w+ (\w+) .* ✅"")"),"maison")</f>
        <v>maison</v>
      </c>
      <c r="H1520" s="4" t="str">
        <f>IFERROR(__xludf.DUMMYFUNCTION("REGEXEXTRACT(A1520, ""/(\w+)-.*?"")"),"region")</f>
        <v>region</v>
      </c>
      <c r="I1520" s="4" t="str">
        <f>IFERROR(__xludf.DUMMYFUNCTION("if(D1520=""variant"",  substitute(filter(Templates!E:E, Templates!A:A = F1520, Templates!B:B = G1520, Templates!C:C = H1520), ""{{}}"", E1520), B1520)"),"🏘  Vous souhaitez acheter une maison dans les districts de Singine - Sarine - Lac? ✅ Jetez un œil aux dernières offres sur ImmoScout24.ch.")</f>
        <v>🏘  Vous souhaitez acheter une maison dans les districts de Singine - Sarine - Lac? ✅ Jetez un œil aux dernières offres sur ImmoScout24.ch.</v>
      </c>
      <c r="J1520" s="4" t="s">
        <v>4562</v>
      </c>
    </row>
    <row r="1521">
      <c r="A1521" s="5" t="s">
        <v>4563</v>
      </c>
      <c r="B1521" s="2" t="s">
        <v>4564</v>
      </c>
      <c r="C1521" s="4" t="str">
        <f>IFERROR(__xludf.DUMMYFUNCTION("""🏘️ ""&amp;REGEXEXTRACT(B1521, ""^(.*): "")&amp;"" ✅ "" &amp;REGEXEXTRACT(B1521, ""(Trouvez.*)"")"),"🏘️ Louer appartement Fionnay ✅ Trouvez le bien immobilier qui correspond idéalement à vos désirs sur ImmoScout24 - La plateforme de l'immobilier en Suisse.")</f>
        <v>🏘️ Louer appartement Fionnay ✅ Trouvez le bien immobilier qui correspond idéalement à vos désirs sur ImmoScout24 - La plateforme de l'immobilier en Suisse.</v>
      </c>
      <c r="D1521" s="4" t="str">
        <f>vlookup(A1521, Sheet2!D:E, 2, 0)</f>
        <v>variant</v>
      </c>
      <c r="E1521" s="4" t="str">
        <f>IFERROR(__xludf.DUMMYFUNCTION("if(H1521=""pays"",vlookup(REGEXEXTRACT(C1521, ""🏘️ \w+ \w+ (.*) ✅""),'Country prepositions'!A:B, 2, 0) &amp; "" "" &amp; REGEXEXTRACT(C1521, ""🏘️ \w+ \w+ (.*) ✅"") ,  if(H1521=""quartier"",vlookup(REGEXEXTRACT(C1521, ""🏘️ \w+ \w+ (.*) ✅""),'Quartier prepositio"&amp;"ns'!A:E, 5, 0) ,  if(H1521=""region"",vlookup(REGEXEXTRACT(C1521, ""🏘️ \w+ \w+ (.*) ✅""),'Region prepositions'!B:F, 5, 0),  REGEXEXTRACT(C1521, ""🏘️ \w+ \w+ (.*) ✅""))))"),"Fionnay")</f>
        <v>Fionnay</v>
      </c>
      <c r="F1521" s="2" t="str">
        <f>IFERROR(__xludf.DUMMYFUNCTION("REGEXEXTRACT(C1521, ""🏘️ (\w+) \w+ .* ✅"")"),"Louer")</f>
        <v>Louer</v>
      </c>
      <c r="G1521" s="2" t="str">
        <f>IFERROR(__xludf.DUMMYFUNCTION("REGEXEXTRACT(C1521, ""🏘️ \w+ (\w+) .* ✅"")"),"appartement")</f>
        <v>appartement</v>
      </c>
      <c r="H1521" s="4" t="str">
        <f>IFERROR(__xludf.DUMMYFUNCTION("REGEXEXTRACT(A1521, ""/(\w+)-.*?"")"),"lieu")</f>
        <v>lieu</v>
      </c>
      <c r="I1521" s="4" t="str">
        <f>IFERROR(__xludf.DUMMYFUNCTION("if(D1521=""variant"",  substitute(filter(Templates!E:E, Templates!A:A = F1521, Templates!B:B = G1521, Templates!C:C = H1521), ""{{}}"", E1521), B1521)"),"🏘  Vous cherchez un appartement à louer à Fionnay? ✅ Les annonces les plus actuelles sont sur ImmoScout24.ch.")</f>
        <v>🏘  Vous cherchez un appartement à louer à Fionnay? ✅ Les annonces les plus actuelles sont sur ImmoScout24.ch.</v>
      </c>
      <c r="J1521" s="4" t="s">
        <v>4565</v>
      </c>
    </row>
    <row r="1522">
      <c r="A1522" s="5" t="s">
        <v>4566</v>
      </c>
      <c r="B1522" s="2" t="s">
        <v>4567</v>
      </c>
      <c r="C1522" s="4" t="str">
        <f>IFERROR(__xludf.DUMMYFUNCTION("""🏘️ ""&amp;REGEXEXTRACT(B1522, ""^(.*): "")&amp;"" ✅ "" &amp;REGEXEXTRACT(B1522, ""(Trouvez.*)"")"),"🏘️ Vendre maison Prêles ✅ Trouvez le bien immobilier qui correspond idéalement à vos désirs sur ImmoScout24 - La plateforme de l'immobilier en Suisse.")</f>
        <v>🏘️ Vendre maison Prêles ✅ Trouvez le bien immobilier qui correspond idéalement à vos désirs sur ImmoScout24 - La plateforme de l'immobilier en Suisse.</v>
      </c>
      <c r="D1522" s="4" t="str">
        <f>vlookup(A1522, Sheet2!D:E, 2, 0)</f>
        <v>variant</v>
      </c>
      <c r="E1522" s="4" t="str">
        <f>IFERROR(__xludf.DUMMYFUNCTION("if(H1522=""pays"",vlookup(REGEXEXTRACT(C1522, ""🏘️ \w+ \w+ (.*) ✅""),'Country prepositions'!A:B, 2, 0) &amp; "" "" &amp; REGEXEXTRACT(C1522, ""🏘️ \w+ \w+ (.*) ✅"") ,  if(H1522=""quartier"",vlookup(REGEXEXTRACT(C1522, ""🏘️ \w+ \w+ (.*) ✅""),'Quartier prepositio"&amp;"ns'!A:E, 5, 0) ,  if(H1522=""region"",vlookup(REGEXEXTRACT(C1522, ""🏘️ \w+ \w+ (.*) ✅""),'Region prepositions'!B:F, 5, 0),  REGEXEXTRACT(C1522, ""🏘️ \w+ \w+ (.*) ✅""))))"),"Prêles")</f>
        <v>Prêles</v>
      </c>
      <c r="F1522" s="2" t="str">
        <f>IFERROR(__xludf.DUMMYFUNCTION("REGEXEXTRACT(C1522, ""🏘️ (\w+) \w+ .* ✅"")"),"Vendre")</f>
        <v>Vendre</v>
      </c>
      <c r="G1522" s="2" t="str">
        <f>IFERROR(__xludf.DUMMYFUNCTION("REGEXEXTRACT(C1522, ""🏘️ \w+ (\w+) .* ✅"")"),"maison")</f>
        <v>maison</v>
      </c>
      <c r="H1522" s="4" t="str">
        <f>IFERROR(__xludf.DUMMYFUNCTION("REGEXEXTRACT(A1522, ""/(\w+)-.*?"")"),"lieu")</f>
        <v>lieu</v>
      </c>
      <c r="I1522" s="4" t="str">
        <f>IFERROR(__xludf.DUMMYFUNCTION("if(D1522=""variant"",  substitute(filter(Templates!E:E, Templates!A:A = F1522, Templates!B:B = G1522, Templates!C:C = H1522), ""{{}}"", E1522), B1522)"),"🏘  Vous souhaitez acheter une maison à Prêles? ✅ Jetez un œil aux dernières offres sur ImmoScout24.ch.")</f>
        <v>🏘  Vous souhaitez acheter une maison à Prêles? ✅ Jetez un œil aux dernières offres sur ImmoScout24.ch.</v>
      </c>
      <c r="J1522" s="4" t="s">
        <v>4568</v>
      </c>
    </row>
    <row r="1523">
      <c r="A1523" s="5" t="s">
        <v>4569</v>
      </c>
      <c r="B1523" s="2" t="s">
        <v>4570</v>
      </c>
      <c r="C1523" s="4" t="str">
        <f>IFERROR(__xludf.DUMMYFUNCTION("""🏘️ ""&amp;REGEXEXTRACT(B1523, ""^(.*): "")&amp;"" ✅ "" &amp;REGEXEXTRACT(B1523, ""(Trouvez.*)"")"),"🏘️ Louer appartement Bougy-Villars ✅ Trouvez le bien immobilier qui correspond idéalement à vos désirs sur ImmoScout24 - La plateforme de l'immobilier en Suisse.")</f>
        <v>🏘️ Louer appartement Bougy-Villars ✅ Trouvez le bien immobilier qui correspond idéalement à vos désirs sur ImmoScout24 - La plateforme de l'immobilier en Suisse.</v>
      </c>
      <c r="D1523" s="4" t="str">
        <f>vlookup(A1523, Sheet2!D:E, 2, 0)</f>
        <v>variant</v>
      </c>
      <c r="E1523" s="4" t="str">
        <f>IFERROR(__xludf.DUMMYFUNCTION("if(H1523=""pays"",vlookup(REGEXEXTRACT(C1523, ""🏘️ \w+ \w+ (.*) ✅""),'Country prepositions'!A:B, 2, 0) &amp; "" "" &amp; REGEXEXTRACT(C1523, ""🏘️ \w+ \w+ (.*) ✅"") ,  if(H1523=""quartier"",vlookup(REGEXEXTRACT(C1523, ""🏘️ \w+ \w+ (.*) ✅""),'Quartier prepositio"&amp;"ns'!A:E, 5, 0) ,  if(H1523=""region"",vlookup(REGEXEXTRACT(C1523, ""🏘️ \w+ \w+ (.*) ✅""),'Region prepositions'!B:F, 5, 0),  REGEXEXTRACT(C1523, ""🏘️ \w+ \w+ (.*) ✅""))))"),"Bougy-Villars")</f>
        <v>Bougy-Villars</v>
      </c>
      <c r="F1523" s="2" t="str">
        <f>IFERROR(__xludf.DUMMYFUNCTION("REGEXEXTRACT(C1523, ""🏘️ (\w+) \w+ .* ✅"")"),"Louer")</f>
        <v>Louer</v>
      </c>
      <c r="G1523" s="2" t="str">
        <f>IFERROR(__xludf.DUMMYFUNCTION("REGEXEXTRACT(C1523, ""🏘️ \w+ (\w+) .* ✅"")"),"appartement")</f>
        <v>appartement</v>
      </c>
      <c r="H1523" s="4" t="str">
        <f>IFERROR(__xludf.DUMMYFUNCTION("REGEXEXTRACT(A1523, ""/(\w+)-.*?"")"),"lieu")</f>
        <v>lieu</v>
      </c>
      <c r="I1523" s="4" t="str">
        <f>IFERROR(__xludf.DUMMYFUNCTION("if(D1523=""variant"",  substitute(filter(Templates!E:E, Templates!A:A = F1523, Templates!B:B = G1523, Templates!C:C = H1523), ""{{}}"", E1523), B1523)"),"🏘  Vous cherchez un appartement à louer à Bougy-Villars? ✅ Les annonces les plus actuelles sont sur ImmoScout24.ch.")</f>
        <v>🏘  Vous cherchez un appartement à louer à Bougy-Villars? ✅ Les annonces les plus actuelles sont sur ImmoScout24.ch.</v>
      </c>
      <c r="J1523" s="4" t="s">
        <v>4571</v>
      </c>
    </row>
    <row r="1524">
      <c r="A1524" s="5" t="s">
        <v>4572</v>
      </c>
      <c r="B1524" s="2" t="s">
        <v>4573</v>
      </c>
      <c r="C1524" s="4" t="str">
        <f>IFERROR(__xludf.DUMMYFUNCTION("""🏘️ ""&amp;REGEXEXTRACT(B1524, ""^(.*): "")&amp;"" ✅ "" &amp;REGEXEXTRACT(B1524, ""(Trouvez.*)"")"),"🏘️ Louer appartement Les Cullayes ✅ Trouvez le bien immobilier qui correspond idéalement à vos désirs sur ImmoScout24 - La plateforme de l'immobilier en Suisse.")</f>
        <v>🏘️ Louer appartement Les Cullayes ✅ Trouvez le bien immobilier qui correspond idéalement à vos désirs sur ImmoScout24 - La plateforme de l'immobilier en Suisse.</v>
      </c>
      <c r="D1524" s="4" t="str">
        <f>vlookup(A1524, Sheet2!D:E, 2, 0)</f>
        <v>variant</v>
      </c>
      <c r="E1524" s="4" t="str">
        <f>IFERROR(__xludf.DUMMYFUNCTION("if(H1524=""pays"",vlookup(REGEXEXTRACT(C1524, ""🏘️ \w+ \w+ (.*) ✅""),'Country prepositions'!A:B, 2, 0) &amp; "" "" &amp; REGEXEXTRACT(C1524, ""🏘️ \w+ \w+ (.*) ✅"") ,  if(H1524=""quartier"",vlookup(REGEXEXTRACT(C1524, ""🏘️ \w+ \w+ (.*) ✅""),'Quartier prepositio"&amp;"ns'!A:E, 5, 0) ,  if(H1524=""region"",vlookup(REGEXEXTRACT(C1524, ""🏘️ \w+ \w+ (.*) ✅""),'Region prepositions'!B:F, 5, 0),  REGEXEXTRACT(C1524, ""🏘️ \w+ \w+ (.*) ✅""))))"),"Les Cullayes")</f>
        <v>Les Cullayes</v>
      </c>
      <c r="F1524" s="2" t="str">
        <f>IFERROR(__xludf.DUMMYFUNCTION("REGEXEXTRACT(C1524, ""🏘️ (\w+) \w+ .* ✅"")"),"Louer")</f>
        <v>Louer</v>
      </c>
      <c r="G1524" s="2" t="str">
        <f>IFERROR(__xludf.DUMMYFUNCTION("REGEXEXTRACT(C1524, ""🏘️ \w+ (\w+) .* ✅"")"),"appartement")</f>
        <v>appartement</v>
      </c>
      <c r="H1524" s="4" t="str">
        <f>IFERROR(__xludf.DUMMYFUNCTION("REGEXEXTRACT(A1524, ""/(\w+)-.*?"")"),"lieu")</f>
        <v>lieu</v>
      </c>
      <c r="I1524" s="4" t="str">
        <f>IFERROR(__xludf.DUMMYFUNCTION("if(D1524=""variant"",  substitute(filter(Templates!E:E, Templates!A:A = F1524, Templates!B:B = G1524, Templates!C:C = H1524), ""{{}}"", E1524), B1524)"),"🏘  Vous cherchez un appartement à louer à Les Cullayes? ✅ Les annonces les plus actuelles sont sur ImmoScout24.ch.")</f>
        <v>🏘  Vous cherchez un appartement à louer à Les Cullayes? ✅ Les annonces les plus actuelles sont sur ImmoScout24.ch.</v>
      </c>
      <c r="J1524" s="2" t="s">
        <v>4574</v>
      </c>
    </row>
    <row r="1525">
      <c r="A1525" s="5" t="s">
        <v>4575</v>
      </c>
      <c r="B1525" s="2" t="s">
        <v>4576</v>
      </c>
      <c r="C1525" s="4" t="str">
        <f>IFERROR(__xludf.DUMMYFUNCTION("""🏘️ ""&amp;REGEXEXTRACT(B1525, ""^(.*): "")&amp;"" ✅ "" &amp;REGEXEXTRACT(B1525, ""(Trouvez.*)"")"),"🏘️ Vendre maison Vugelles-La Mothe ✅ Trouvez le bien immobilier qui correspond idéalement à vos désirs sur ImmoScout24 - La plateforme de l'immobilier en Suisse.")</f>
        <v>🏘️ Vendre maison Vugelles-La Mothe ✅ Trouvez le bien immobilier qui correspond idéalement à vos désirs sur ImmoScout24 - La plateforme de l'immobilier en Suisse.</v>
      </c>
      <c r="D1525" s="4" t="str">
        <f>vlookup(A1525, Sheet2!D:E, 2, 0)</f>
        <v>variant</v>
      </c>
      <c r="E1525" s="4" t="str">
        <f>IFERROR(__xludf.DUMMYFUNCTION("if(H1525=""pays"",vlookup(REGEXEXTRACT(C1525, ""🏘️ \w+ \w+ (.*) ✅""),'Country prepositions'!A:B, 2, 0) &amp; "" "" &amp; REGEXEXTRACT(C1525, ""🏘️ \w+ \w+ (.*) ✅"") ,  if(H1525=""quartier"",vlookup(REGEXEXTRACT(C1525, ""🏘️ \w+ \w+ (.*) ✅""),'Quartier prepositio"&amp;"ns'!A:E, 5, 0) ,  if(H1525=""region"",vlookup(REGEXEXTRACT(C1525, ""🏘️ \w+ \w+ (.*) ✅""),'Region prepositions'!B:F, 5, 0),  REGEXEXTRACT(C1525, ""🏘️ \w+ \w+ (.*) ✅""))))"),"Vugelles-La Mothe")</f>
        <v>Vugelles-La Mothe</v>
      </c>
      <c r="F1525" s="2" t="str">
        <f>IFERROR(__xludf.DUMMYFUNCTION("REGEXEXTRACT(C1525, ""🏘️ (\w+) \w+ .* ✅"")"),"Vendre")</f>
        <v>Vendre</v>
      </c>
      <c r="G1525" s="2" t="str">
        <f>IFERROR(__xludf.DUMMYFUNCTION("REGEXEXTRACT(C1525, ""🏘️ \w+ (\w+) .* ✅"")"),"maison")</f>
        <v>maison</v>
      </c>
      <c r="H1525" s="4" t="str">
        <f>IFERROR(__xludf.DUMMYFUNCTION("REGEXEXTRACT(A1525, ""/(\w+)-.*?"")"),"lieu")</f>
        <v>lieu</v>
      </c>
      <c r="I1525" s="4" t="str">
        <f>IFERROR(__xludf.DUMMYFUNCTION("if(D1525=""variant"",  substitute(filter(Templates!E:E, Templates!A:A = F1525, Templates!B:B = G1525, Templates!C:C = H1525), ""{{}}"", E1525), B1525)"),"🏘  Vous souhaitez acheter une maison à Vugelles-La Mothe? ✅ Jetez un œil aux dernières offres sur ImmoScout24.ch.")</f>
        <v>🏘  Vous souhaitez acheter une maison à Vugelles-La Mothe? ✅ Jetez un œil aux dernières offres sur ImmoScout24.ch.</v>
      </c>
      <c r="J1525" s="4" t="s">
        <v>4577</v>
      </c>
    </row>
    <row r="1526">
      <c r="A1526" s="5" t="s">
        <v>4578</v>
      </c>
      <c r="B1526" s="2" t="s">
        <v>4579</v>
      </c>
      <c r="C1526" s="4" t="str">
        <f>IFERROR(__xludf.DUMMYFUNCTION("""🏘️ ""&amp;REGEXEXTRACT(B1526, ""^(.*): "")&amp;"" ✅ "" &amp;REGEXEXTRACT(B1526, ""(Trouvez.*)"")"),"🏘️ Vendre maison Nidfurn ✅ Trouvez le bien immobilier qui correspond idéalement à vos désirs sur ImmoScout24 - La plateforme de l'immobilier en Suisse.")</f>
        <v>🏘️ Vendre maison Nidfurn ✅ Trouvez le bien immobilier qui correspond idéalement à vos désirs sur ImmoScout24 - La plateforme de l'immobilier en Suisse.</v>
      </c>
      <c r="D1526" s="4" t="str">
        <f>vlookup(A1526, Sheet2!D:E, 2, 0)</f>
        <v>variant</v>
      </c>
      <c r="E1526" s="4" t="str">
        <f>IFERROR(__xludf.DUMMYFUNCTION("if(H1526=""pays"",vlookup(REGEXEXTRACT(C1526, ""🏘️ \w+ \w+ (.*) ✅""),'Country prepositions'!A:B, 2, 0) &amp; "" "" &amp; REGEXEXTRACT(C1526, ""🏘️ \w+ \w+ (.*) ✅"") ,  if(H1526=""quartier"",vlookup(REGEXEXTRACT(C1526, ""🏘️ \w+ \w+ (.*) ✅""),'Quartier prepositio"&amp;"ns'!A:E, 5, 0) ,  if(H1526=""region"",vlookup(REGEXEXTRACT(C1526, ""🏘️ \w+ \w+ (.*) ✅""),'Region prepositions'!B:F, 5, 0),  REGEXEXTRACT(C1526, ""🏘️ \w+ \w+ (.*) ✅""))))"),"Nidfurn")</f>
        <v>Nidfurn</v>
      </c>
      <c r="F1526" s="2" t="str">
        <f>IFERROR(__xludf.DUMMYFUNCTION("REGEXEXTRACT(C1526, ""🏘️ (\w+) \w+ .* ✅"")"),"Vendre")</f>
        <v>Vendre</v>
      </c>
      <c r="G1526" s="2" t="str">
        <f>IFERROR(__xludf.DUMMYFUNCTION("REGEXEXTRACT(C1526, ""🏘️ \w+ (\w+) .* ✅"")"),"maison")</f>
        <v>maison</v>
      </c>
      <c r="H1526" s="4" t="str">
        <f>IFERROR(__xludf.DUMMYFUNCTION("REGEXEXTRACT(A1526, ""/(\w+)-.*?"")"),"lieu")</f>
        <v>lieu</v>
      </c>
      <c r="I1526" s="4" t="str">
        <f>IFERROR(__xludf.DUMMYFUNCTION("if(D1526=""variant"",  substitute(filter(Templates!E:E, Templates!A:A = F1526, Templates!B:B = G1526, Templates!C:C = H1526), ""{{}}"", E1526), B1526)"),"🏘  Vous souhaitez acheter une maison à Nidfurn? ✅ Jetez un œil aux dernières offres sur ImmoScout24.ch.")</f>
        <v>🏘  Vous souhaitez acheter une maison à Nidfurn? ✅ Jetez un œil aux dernières offres sur ImmoScout24.ch.</v>
      </c>
      <c r="J1526" s="4" t="s">
        <v>4580</v>
      </c>
    </row>
    <row r="1527">
      <c r="A1527" s="5" t="s">
        <v>4581</v>
      </c>
      <c r="B1527" s="2" t="s">
        <v>4582</v>
      </c>
      <c r="C1527" s="4" t="str">
        <f>IFERROR(__xludf.DUMMYFUNCTION("""🏘️ ""&amp;REGEXEXTRACT(B1527, ""^(.*): "")&amp;"" ✅ "" &amp;REGEXEXTRACT(B1527, ""(Trouvez.*)"")"),"🏘️ Vendre appartement Thun ✅ Trouvez le bien immobilier qui correspond idéalement à vos désirs sur ImmoScout24 - La plateforme de l'immobilier en Suisse.")</f>
        <v>🏘️ Vendre appartement Thun ✅ Trouvez le bien immobilier qui correspond idéalement à vos désirs sur ImmoScout24 - La plateforme de l'immobilier en Suisse.</v>
      </c>
      <c r="D1527" s="4" t="str">
        <f>vlookup(A1527, Sheet2!D:E, 2, 0)</f>
        <v>variant</v>
      </c>
      <c r="E1527" s="4" t="str">
        <f>IFERROR(__xludf.DUMMYFUNCTION("if(H1527=""pays"",vlookup(REGEXEXTRACT(C1527, ""🏘️ \w+ \w+ (.*) ✅""),'Country prepositions'!A:B, 2, 0) &amp; "" "" &amp; REGEXEXTRACT(C1527, ""🏘️ \w+ \w+ (.*) ✅"") ,  if(H1527=""quartier"",vlookup(REGEXEXTRACT(C1527, ""🏘️ \w+ \w+ (.*) ✅""),'Quartier prepositio"&amp;"ns'!A:E, 5, 0) ,  if(H1527=""region"",vlookup(REGEXEXTRACT(C1527, ""🏘️ \w+ \w+ (.*) ✅""),'Region prepositions'!B:F, 5, 0),  REGEXEXTRACT(C1527, ""🏘️ \w+ \w+ (.*) ✅""))))"),"Thun")</f>
        <v>Thun</v>
      </c>
      <c r="F1527" s="2" t="str">
        <f>IFERROR(__xludf.DUMMYFUNCTION("REGEXEXTRACT(C1527, ""🏘️ (\w+) \w+ .* ✅"")"),"Vendre")</f>
        <v>Vendre</v>
      </c>
      <c r="G1527" s="2" t="str">
        <f>IFERROR(__xludf.DUMMYFUNCTION("REGEXEXTRACT(C1527, ""🏘️ \w+ (\w+) .* ✅"")"),"appartement")</f>
        <v>appartement</v>
      </c>
      <c r="H1527" s="4" t="str">
        <f>IFERROR(__xludf.DUMMYFUNCTION("REGEXEXTRACT(A1527, ""/(\w+)-.*?"")"),"lieu")</f>
        <v>lieu</v>
      </c>
      <c r="I1527" s="4" t="str">
        <f>IFERROR(__xludf.DUMMYFUNCTION("if(D1527=""variant"",  substitute(filter(Templates!E:E, Templates!A:A = F1527, Templates!B:B = G1527, Templates!C:C = H1527), ""{{}}"", E1527), B1527)"),"🏘  L’appartement de vos rêves se trouve sur ImmoScout24.ch ✅ Découvrez les dernières annonces de vente à Thun.")</f>
        <v>🏘  L’appartement de vos rêves se trouve sur ImmoScout24.ch ✅ Découvrez les dernières annonces de vente à Thun.</v>
      </c>
      <c r="J1527" s="4" t="s">
        <v>4583</v>
      </c>
    </row>
    <row r="1528">
      <c r="A1528" s="5" t="s">
        <v>4584</v>
      </c>
      <c r="B1528" s="2" t="s">
        <v>4585</v>
      </c>
      <c r="C1528" s="4" t="str">
        <f>IFERROR(__xludf.DUMMYFUNCTION("""🏘️ ""&amp;REGEXEXTRACT(B1528, ""^(.*): "")&amp;"" ✅ "" &amp;REGEXEXTRACT(B1528, ""(Trouvez.*)"")"),"🏘️ Louer appartement Ennetbürgen ✅ Trouvez le bien immobilier qui correspond idéalement à vos désirs sur ImmoScout24 - La plateforme de l'immobilier en Suisse.")</f>
        <v>🏘️ Louer appartement Ennetbürgen ✅ Trouvez le bien immobilier qui correspond idéalement à vos désirs sur ImmoScout24 - La plateforme de l'immobilier en Suisse.</v>
      </c>
      <c r="D1528" s="4" t="str">
        <f>vlookup(A1528, Sheet2!D:E, 2, 0)</f>
        <v>variant</v>
      </c>
      <c r="E1528" s="4" t="str">
        <f>IFERROR(__xludf.DUMMYFUNCTION("if(H1528=""pays"",vlookup(REGEXEXTRACT(C1528, ""🏘️ \w+ \w+ (.*) ✅""),'Country prepositions'!A:B, 2, 0) &amp; "" "" &amp; REGEXEXTRACT(C1528, ""🏘️ \w+ \w+ (.*) ✅"") ,  if(H1528=""quartier"",vlookup(REGEXEXTRACT(C1528, ""🏘️ \w+ \w+ (.*) ✅""),'Quartier prepositio"&amp;"ns'!A:E, 5, 0) ,  if(H1528=""region"",vlookup(REGEXEXTRACT(C1528, ""🏘️ \w+ \w+ (.*) ✅""),'Region prepositions'!B:F, 5, 0),  REGEXEXTRACT(C1528, ""🏘️ \w+ \w+ (.*) ✅""))))"),"Ennetbürgen")</f>
        <v>Ennetbürgen</v>
      </c>
      <c r="F1528" s="2" t="str">
        <f>IFERROR(__xludf.DUMMYFUNCTION("REGEXEXTRACT(C1528, ""🏘️ (\w+) \w+ .* ✅"")"),"Louer")</f>
        <v>Louer</v>
      </c>
      <c r="G1528" s="2" t="str">
        <f>IFERROR(__xludf.DUMMYFUNCTION("REGEXEXTRACT(C1528, ""🏘️ \w+ (\w+) .* ✅"")"),"appartement")</f>
        <v>appartement</v>
      </c>
      <c r="H1528" s="4" t="str">
        <f>IFERROR(__xludf.DUMMYFUNCTION("REGEXEXTRACT(A1528, ""/(\w+)-.*?"")"),"lieu")</f>
        <v>lieu</v>
      </c>
      <c r="I1528" s="4" t="str">
        <f>IFERROR(__xludf.DUMMYFUNCTION("if(D1528=""variant"",  substitute(filter(Templates!E:E, Templates!A:A = F1528, Templates!B:B = G1528, Templates!C:C = H1528), ""{{}}"", E1528), B1528)"),"🏘  Vous cherchez un appartement à louer à Ennetbürgen? ✅ Les annonces les plus actuelles sont sur ImmoScout24.ch.")</f>
        <v>🏘  Vous cherchez un appartement à louer à Ennetbürgen? ✅ Les annonces les plus actuelles sont sur ImmoScout24.ch.</v>
      </c>
      <c r="J1528" s="4" t="s">
        <v>4586</v>
      </c>
    </row>
    <row r="1529">
      <c r="A1529" s="5" t="s">
        <v>4587</v>
      </c>
      <c r="B1529" s="2" t="s">
        <v>4588</v>
      </c>
      <c r="C1529" s="4" t="str">
        <f>IFERROR(__xludf.DUMMYFUNCTION("""🏘️ ""&amp;REGEXEXTRACT(B1529, ""^(.*): "")&amp;"" ✅ "" &amp;REGEXEXTRACT(B1529, ""(Trouvez.*)"")"),"🏘️ Louer appartement Bourg-St-Pierre ✅ Trouvez le bien immobilier qui correspond idéalement à vos désirs sur ImmoScout24 - La plateforme de l'immobilier en Suisse.")</f>
        <v>🏘️ Louer appartement Bourg-St-Pierre ✅ Trouvez le bien immobilier qui correspond idéalement à vos désirs sur ImmoScout24 - La plateforme de l'immobilier en Suisse.</v>
      </c>
      <c r="D1529" s="4" t="str">
        <f>vlookup(A1529, Sheet2!D:E, 2, 0)</f>
        <v>variant</v>
      </c>
      <c r="E1529" s="4" t="str">
        <f>IFERROR(__xludf.DUMMYFUNCTION("if(H1529=""pays"",vlookup(REGEXEXTRACT(C1529, ""🏘️ \w+ \w+ (.*) ✅""),'Country prepositions'!A:B, 2, 0) &amp; "" "" &amp; REGEXEXTRACT(C1529, ""🏘️ \w+ \w+ (.*) ✅"") ,  if(H1529=""quartier"",vlookup(REGEXEXTRACT(C1529, ""🏘️ \w+ \w+ (.*) ✅""),'Quartier prepositio"&amp;"ns'!A:E, 5, 0) ,  if(H1529=""region"",vlookup(REGEXEXTRACT(C1529, ""🏘️ \w+ \w+ (.*) ✅""),'Region prepositions'!B:F, 5, 0),  REGEXEXTRACT(C1529, ""🏘️ \w+ \w+ (.*) ✅""))))"),"Bourg-St-Pierre")</f>
        <v>Bourg-St-Pierre</v>
      </c>
      <c r="F1529" s="2" t="str">
        <f>IFERROR(__xludf.DUMMYFUNCTION("REGEXEXTRACT(C1529, ""🏘️ (\w+) \w+ .* ✅"")"),"Louer")</f>
        <v>Louer</v>
      </c>
      <c r="G1529" s="2" t="str">
        <f>IFERROR(__xludf.DUMMYFUNCTION("REGEXEXTRACT(C1529, ""🏘️ \w+ (\w+) .* ✅"")"),"appartement")</f>
        <v>appartement</v>
      </c>
      <c r="H1529" s="4" t="str">
        <f>IFERROR(__xludf.DUMMYFUNCTION("REGEXEXTRACT(A1529, ""/(\w+)-.*?"")"),"lieu")</f>
        <v>lieu</v>
      </c>
      <c r="I1529" s="4" t="str">
        <f>IFERROR(__xludf.DUMMYFUNCTION("if(D1529=""variant"",  substitute(filter(Templates!E:E, Templates!A:A = F1529, Templates!B:B = G1529, Templates!C:C = H1529), ""{{}}"", E1529), B1529)"),"🏘  Vous cherchez un appartement à louer à Bourg-St-Pierre? ✅ Les annonces les plus actuelles sont sur ImmoScout24.ch.")</f>
        <v>🏘  Vous cherchez un appartement à louer à Bourg-St-Pierre? ✅ Les annonces les plus actuelles sont sur ImmoScout24.ch.</v>
      </c>
      <c r="J1529" s="4" t="s">
        <v>4589</v>
      </c>
    </row>
    <row r="1530">
      <c r="A1530" s="5" t="s">
        <v>4590</v>
      </c>
      <c r="B1530" s="2" t="s">
        <v>4591</v>
      </c>
      <c r="C1530" s="4" t="str">
        <f>IFERROR(__xludf.DUMMYFUNCTION("""🏘️ ""&amp;REGEXEXTRACT(B1530, ""^(.*): "")&amp;"" ✅ "" &amp;REGEXEXTRACT(B1530, ""(Trouvez.*)"")"),"🏘️ Louer appartement Neyruz FR ✅ Trouvez le bien immobilier qui correspond idéalement à vos désirs sur ImmoScout24 - La plateforme de l'immobilier en Suisse.")</f>
        <v>🏘️ Louer appartement Neyruz FR ✅ Trouvez le bien immobilier qui correspond idéalement à vos désirs sur ImmoScout24 - La plateforme de l'immobilier en Suisse.</v>
      </c>
      <c r="D1530" s="4" t="str">
        <f>vlookup(A1530, Sheet2!D:E, 2, 0)</f>
        <v>variant</v>
      </c>
      <c r="E1530" s="4" t="str">
        <f>IFERROR(__xludf.DUMMYFUNCTION("if(H1530=""pays"",vlookup(REGEXEXTRACT(C1530, ""🏘️ \w+ \w+ (.*) ✅""),'Country prepositions'!A:B, 2, 0) &amp; "" "" &amp; REGEXEXTRACT(C1530, ""🏘️ \w+ \w+ (.*) ✅"") ,  if(H1530=""quartier"",vlookup(REGEXEXTRACT(C1530, ""🏘️ \w+ \w+ (.*) ✅""),'Quartier prepositio"&amp;"ns'!A:E, 5, 0) ,  if(H1530=""region"",vlookup(REGEXEXTRACT(C1530, ""🏘️ \w+ \w+ (.*) ✅""),'Region prepositions'!B:F, 5, 0),  REGEXEXTRACT(C1530, ""🏘️ \w+ \w+ (.*) ✅""))))"),"Neyruz FR")</f>
        <v>Neyruz FR</v>
      </c>
      <c r="F1530" s="2" t="str">
        <f>IFERROR(__xludf.DUMMYFUNCTION("REGEXEXTRACT(C1530, ""🏘️ (\w+) \w+ .* ✅"")"),"Louer")</f>
        <v>Louer</v>
      </c>
      <c r="G1530" s="2" t="str">
        <f>IFERROR(__xludf.DUMMYFUNCTION("REGEXEXTRACT(C1530, ""🏘️ \w+ (\w+) .* ✅"")"),"appartement")</f>
        <v>appartement</v>
      </c>
      <c r="H1530" s="4" t="str">
        <f>IFERROR(__xludf.DUMMYFUNCTION("REGEXEXTRACT(A1530, ""/(\w+)-.*?"")"),"lieu")</f>
        <v>lieu</v>
      </c>
      <c r="I1530" s="4" t="str">
        <f>IFERROR(__xludf.DUMMYFUNCTION("if(D1530=""variant"",  substitute(filter(Templates!E:E, Templates!A:A = F1530, Templates!B:B = G1530, Templates!C:C = H1530), ""{{}}"", E1530), B1530)"),"🏘  Vous cherchez un appartement à louer à Neyruz FR? ✅ Les annonces les plus actuelles sont sur ImmoScout24.ch.")</f>
        <v>🏘  Vous cherchez un appartement à louer à Neyruz FR? ✅ Les annonces les plus actuelles sont sur ImmoScout24.ch.</v>
      </c>
      <c r="J1530" s="4" t="s">
        <v>4592</v>
      </c>
    </row>
    <row r="1531">
      <c r="A1531" s="5" t="s">
        <v>4593</v>
      </c>
      <c r="B1531" s="2" t="s">
        <v>4594</v>
      </c>
      <c r="C1531" s="4" t="str">
        <f>IFERROR(__xludf.DUMMYFUNCTION("""🏘️ ""&amp;REGEXEXTRACT(B1531, ""^(.*): "")&amp;"" ✅ "" &amp;REGEXEXTRACT(B1531, ""(Trouvez.*)"")"),"🏘️ Louer appartement Hagendorn ✅ Trouvez le bien immobilier qui correspond idéalement à vos désirs sur ImmoScout24 - La plateforme de l'immobilier en Suisse.")</f>
        <v>🏘️ Louer appartement Hagendorn ✅ Trouvez le bien immobilier qui correspond idéalement à vos désirs sur ImmoScout24 - La plateforme de l'immobilier en Suisse.</v>
      </c>
      <c r="D1531" s="4" t="str">
        <f>vlookup(A1531, Sheet2!D:E, 2, 0)</f>
        <v>variant</v>
      </c>
      <c r="E1531" s="4" t="str">
        <f>IFERROR(__xludf.DUMMYFUNCTION("if(H1531=""pays"",vlookup(REGEXEXTRACT(C1531, ""🏘️ \w+ \w+ (.*) ✅""),'Country prepositions'!A:B, 2, 0) &amp; "" "" &amp; REGEXEXTRACT(C1531, ""🏘️ \w+ \w+ (.*) ✅"") ,  if(H1531=""quartier"",vlookup(REGEXEXTRACT(C1531, ""🏘️ \w+ \w+ (.*) ✅""),'Quartier prepositio"&amp;"ns'!A:E, 5, 0) ,  if(H1531=""region"",vlookup(REGEXEXTRACT(C1531, ""🏘️ \w+ \w+ (.*) ✅""),'Region prepositions'!B:F, 5, 0),  REGEXEXTRACT(C1531, ""🏘️ \w+ \w+ (.*) ✅""))))"),"Hagendorn")</f>
        <v>Hagendorn</v>
      </c>
      <c r="F1531" s="2" t="str">
        <f>IFERROR(__xludf.DUMMYFUNCTION("REGEXEXTRACT(C1531, ""🏘️ (\w+) \w+ .* ✅"")"),"Louer")</f>
        <v>Louer</v>
      </c>
      <c r="G1531" s="2" t="str">
        <f>IFERROR(__xludf.DUMMYFUNCTION("REGEXEXTRACT(C1531, ""🏘️ \w+ (\w+) .* ✅"")"),"appartement")</f>
        <v>appartement</v>
      </c>
      <c r="H1531" s="4" t="str">
        <f>IFERROR(__xludf.DUMMYFUNCTION("REGEXEXTRACT(A1531, ""/(\w+)-.*?"")"),"lieu")</f>
        <v>lieu</v>
      </c>
      <c r="I1531" s="4" t="str">
        <f>IFERROR(__xludf.DUMMYFUNCTION("if(D1531=""variant"",  substitute(filter(Templates!E:E, Templates!A:A = F1531, Templates!B:B = G1531, Templates!C:C = H1531), ""{{}}"", E1531), B1531)"),"🏘  Vous cherchez un appartement à louer à Hagendorn? ✅ Les annonces les plus actuelles sont sur ImmoScout24.ch.")</f>
        <v>🏘  Vous cherchez un appartement à louer à Hagendorn? ✅ Les annonces les plus actuelles sont sur ImmoScout24.ch.</v>
      </c>
      <c r="J1531" s="4" t="s">
        <v>4595</v>
      </c>
    </row>
    <row r="1532">
      <c r="A1532" s="5" t="s">
        <v>4596</v>
      </c>
      <c r="B1532" s="2" t="s">
        <v>4597</v>
      </c>
      <c r="C1532" s="4" t="str">
        <f>IFERROR(__xludf.DUMMYFUNCTION("""🏘️ ""&amp;REGEXEXTRACT(B1532, ""^(.*): "")&amp;"" ✅ "" &amp;REGEXEXTRACT(B1532, ""(Trouvez.*)"")"),"🏘️ Vendre appartement Celerina/Schlarigna ✅ Trouvez le bien immobilier qui correspond idéalement à vos désirs sur ImmoScout24 - La plateforme de l'immobilier en Suisse.")</f>
        <v>🏘️ Vendre appartement Celerina/Schlarigna ✅ Trouvez le bien immobilier qui correspond idéalement à vos désirs sur ImmoScout24 - La plateforme de l'immobilier en Suisse.</v>
      </c>
      <c r="D1532" s="4" t="str">
        <f>vlookup(A1532, Sheet2!D:E, 2, 0)</f>
        <v>variant</v>
      </c>
      <c r="E1532" s="4" t="str">
        <f>IFERROR(__xludf.DUMMYFUNCTION("if(H1532=""pays"",vlookup(REGEXEXTRACT(C1532, ""🏘️ \w+ \w+ (.*) ✅""),'Country prepositions'!A:B, 2, 0) &amp; "" "" &amp; REGEXEXTRACT(C1532, ""🏘️ \w+ \w+ (.*) ✅"") ,  if(H1532=""quartier"",vlookup(REGEXEXTRACT(C1532, ""🏘️ \w+ \w+ (.*) ✅""),'Quartier prepositio"&amp;"ns'!A:E, 5, 0) ,  if(H1532=""region"",vlookup(REGEXEXTRACT(C1532, ""🏘️ \w+ \w+ (.*) ✅""),'Region prepositions'!B:F, 5, 0),  REGEXEXTRACT(C1532, ""🏘️ \w+ \w+ (.*) ✅""))))"),"Celerina/Schlarigna")</f>
        <v>Celerina/Schlarigna</v>
      </c>
      <c r="F1532" s="2" t="str">
        <f>IFERROR(__xludf.DUMMYFUNCTION("REGEXEXTRACT(C1532, ""🏘️ (\w+) \w+ .* ✅"")"),"Vendre")</f>
        <v>Vendre</v>
      </c>
      <c r="G1532" s="2" t="str">
        <f>IFERROR(__xludf.DUMMYFUNCTION("REGEXEXTRACT(C1532, ""🏘️ \w+ (\w+) .* ✅"")"),"appartement")</f>
        <v>appartement</v>
      </c>
      <c r="H1532" s="4" t="str">
        <f>IFERROR(__xludf.DUMMYFUNCTION("REGEXEXTRACT(A1532, ""/(\w+)-.*?"")"),"lieu")</f>
        <v>lieu</v>
      </c>
      <c r="I1532" s="4" t="str">
        <f>IFERROR(__xludf.DUMMYFUNCTION("if(D1532=""variant"",  substitute(filter(Templates!E:E, Templates!A:A = F1532, Templates!B:B = G1532, Templates!C:C = H1532), ""{{}}"", E1532), B1532)"),"🏘  L’appartement de vos rêves se trouve sur ImmoScout24.ch ✅ Découvrez les dernières annonces de vente à Celerina/Schlarigna.")</f>
        <v>🏘  L’appartement de vos rêves se trouve sur ImmoScout24.ch ✅ Découvrez les dernières annonces de vente à Celerina/Schlarigna.</v>
      </c>
      <c r="J1532" s="4" t="s">
        <v>4598</v>
      </c>
    </row>
    <row r="1533">
      <c r="A1533" s="5" t="s">
        <v>4599</v>
      </c>
      <c r="B1533" s="2" t="s">
        <v>4600</v>
      </c>
      <c r="C1533" s="4" t="str">
        <f>IFERROR(__xludf.DUMMYFUNCTION("""🏘️ ""&amp;REGEXEXTRACT(B1533, ""^(.*): "")&amp;"" ✅ "" &amp;REGEXEXTRACT(B1533, ""(Trouvez.*)"")"),"🏘️ Louer appartement Vers-chez-les-Blanc (Lausanne) ✅ Trouvez le bien immobilier qui correspond idéalement à vos désirs sur ImmoScout24 - La plateforme de l'immobilier en Suisse.")</f>
        <v>🏘️ Louer appartement Vers-chez-les-Blanc (Lausanne) ✅ Trouvez le bien immobilier qui correspond idéalement à vos désirs sur ImmoScout24 - La plateforme de l'immobilier en Suisse.</v>
      </c>
      <c r="D1533" s="4" t="str">
        <f>vlookup(A1533, Sheet2!D:E, 2, 0)</f>
        <v>variant</v>
      </c>
      <c r="E1533" s="4" t="str">
        <f>IFERROR(__xludf.DUMMYFUNCTION("if(H1533=""pays"",vlookup(REGEXEXTRACT(C1533, ""🏘️ \w+ \w+ (.*) ✅""),'Country prepositions'!A:B, 2, 0) &amp; "" "" &amp; REGEXEXTRACT(C1533, ""🏘️ \w+ \w+ (.*) ✅"") ,  if(H1533=""quartier"",vlookup(REGEXEXTRACT(C1533, ""🏘️ \w+ \w+ (.*) ✅""),'Quartier prepositio"&amp;"ns'!A:E, 5, 0) ,  if(H1533=""region"",vlookup(REGEXEXTRACT(C1533, ""🏘️ \w+ \w+ (.*) ✅""),'Region prepositions'!B:F, 5, 0),  REGEXEXTRACT(C1533, ""🏘️ \w+ \w+ (.*) ✅""))))"),"à Vers-chez-les-Blanc (Lausanne)")</f>
        <v>à Vers-chez-les-Blanc (Lausanne)</v>
      </c>
      <c r="F1533" s="2" t="str">
        <f>IFERROR(__xludf.DUMMYFUNCTION("REGEXEXTRACT(C1533, ""🏘️ (\w+) \w+ .* ✅"")"),"Louer")</f>
        <v>Louer</v>
      </c>
      <c r="G1533" s="2" t="str">
        <f>IFERROR(__xludf.DUMMYFUNCTION("REGEXEXTRACT(C1533, ""🏘️ \w+ (\w+) .* ✅"")"),"appartement")</f>
        <v>appartement</v>
      </c>
      <c r="H1533" s="4" t="str">
        <f>IFERROR(__xludf.DUMMYFUNCTION("REGEXEXTRACT(A1533, ""/(\w+)-.*?"")"),"quartier")</f>
        <v>quartier</v>
      </c>
      <c r="I1533" s="4" t="str">
        <f>IFERROR(__xludf.DUMMYFUNCTION("if(D1533=""variant"",  substitute(filter(Templates!E:E, Templates!A:A = F1533, Templates!B:B = G1533, Templates!C:C = H1533), ""{{}}"", E1533), B1533)"),"🏘  Vous cherchez un appartement à louer à Vers-chez-les-Blanc (Lausanne)? ✅ Les annonces les plus actuelles sont sur ImmoScout24.ch.")</f>
        <v>🏘  Vous cherchez un appartement à louer à Vers-chez-les-Blanc (Lausanne)? ✅ Les annonces les plus actuelles sont sur ImmoScout24.ch.</v>
      </c>
      <c r="J1533" s="4" t="s">
        <v>4601</v>
      </c>
    </row>
    <row r="1534">
      <c r="A1534" s="5" t="s">
        <v>4602</v>
      </c>
      <c r="B1534" s="2" t="s">
        <v>4603</v>
      </c>
      <c r="C1534" s="4" t="str">
        <f>IFERROR(__xludf.DUMMYFUNCTION("""🏘️ ""&amp;REGEXEXTRACT(B1534, ""^(.*): "")&amp;"" ✅ "" &amp;REGEXEXTRACT(B1534, ""(Trouvez.*)"")"),"🏘️ Louer appartement Sullens ✅ Trouvez le bien immobilier qui correspond idéalement à vos désirs sur ImmoScout24 - La plateforme de l'immobilier en Suisse.")</f>
        <v>🏘️ Louer appartement Sullens ✅ Trouvez le bien immobilier qui correspond idéalement à vos désirs sur ImmoScout24 - La plateforme de l'immobilier en Suisse.</v>
      </c>
      <c r="D1534" s="4" t="str">
        <f>vlookup(A1534, Sheet2!D:E, 2, 0)</f>
        <v>variant</v>
      </c>
      <c r="E1534" s="4" t="str">
        <f>IFERROR(__xludf.DUMMYFUNCTION("if(H1534=""pays"",vlookup(REGEXEXTRACT(C1534, ""🏘️ \w+ \w+ (.*) ✅""),'Country prepositions'!A:B, 2, 0) &amp; "" "" &amp; REGEXEXTRACT(C1534, ""🏘️ \w+ \w+ (.*) ✅"") ,  if(H1534=""quartier"",vlookup(REGEXEXTRACT(C1534, ""🏘️ \w+ \w+ (.*) ✅""),'Quartier prepositio"&amp;"ns'!A:E, 5, 0) ,  if(H1534=""region"",vlookup(REGEXEXTRACT(C1534, ""🏘️ \w+ \w+ (.*) ✅""),'Region prepositions'!B:F, 5, 0),  REGEXEXTRACT(C1534, ""🏘️ \w+ \w+ (.*) ✅""))))"),"Sullens")</f>
        <v>Sullens</v>
      </c>
      <c r="F1534" s="2" t="str">
        <f>IFERROR(__xludf.DUMMYFUNCTION("REGEXEXTRACT(C1534, ""🏘️ (\w+) \w+ .* ✅"")"),"Louer")</f>
        <v>Louer</v>
      </c>
      <c r="G1534" s="2" t="str">
        <f>IFERROR(__xludf.DUMMYFUNCTION("REGEXEXTRACT(C1534, ""🏘️ \w+ (\w+) .* ✅"")"),"appartement")</f>
        <v>appartement</v>
      </c>
      <c r="H1534" s="4" t="str">
        <f>IFERROR(__xludf.DUMMYFUNCTION("REGEXEXTRACT(A1534, ""/(\w+)-.*?"")"),"lieu")</f>
        <v>lieu</v>
      </c>
      <c r="I1534" s="4" t="str">
        <f>IFERROR(__xludf.DUMMYFUNCTION("if(D1534=""variant"",  substitute(filter(Templates!E:E, Templates!A:A = F1534, Templates!B:B = G1534, Templates!C:C = H1534), ""{{}}"", E1534), B1534)"),"🏘  Vous cherchez un appartement à louer à Sullens? ✅ Les annonces les plus actuelles sont sur ImmoScout24.ch.")</f>
        <v>🏘  Vous cherchez un appartement à louer à Sullens? ✅ Les annonces les plus actuelles sont sur ImmoScout24.ch.</v>
      </c>
      <c r="J1534" s="4" t="s">
        <v>4604</v>
      </c>
    </row>
    <row r="1535">
      <c r="A1535" s="5" t="s">
        <v>4605</v>
      </c>
      <c r="B1535" s="2" t="s">
        <v>4606</v>
      </c>
      <c r="C1535" s="4" t="str">
        <f>IFERROR(__xludf.DUMMYFUNCTION("""🏘️ ""&amp;REGEXEXTRACT(B1535, ""^(.*): "")&amp;"" ✅ "" &amp;REGEXEXTRACT(B1535, ""(Trouvez.*)"")"),"🏘️ Louer appartement Stäfa ✅ Trouvez le bien immobilier qui correspond idéalement à vos désirs sur ImmoScout24 - La plateforme de l'immobilier en Suisse.")</f>
        <v>🏘️ Louer appartement Stäfa ✅ Trouvez le bien immobilier qui correspond idéalement à vos désirs sur ImmoScout24 - La plateforme de l'immobilier en Suisse.</v>
      </c>
      <c r="D1535" s="4" t="str">
        <f>vlookup(A1535, Sheet2!D:E, 2, 0)</f>
        <v>variant</v>
      </c>
      <c r="E1535" s="4" t="str">
        <f>IFERROR(__xludf.DUMMYFUNCTION("if(H1535=""pays"",vlookup(REGEXEXTRACT(C1535, ""🏘️ \w+ \w+ (.*) ✅""),'Country prepositions'!A:B, 2, 0) &amp; "" "" &amp; REGEXEXTRACT(C1535, ""🏘️ \w+ \w+ (.*) ✅"") ,  if(H1535=""quartier"",vlookup(REGEXEXTRACT(C1535, ""🏘️ \w+ \w+ (.*) ✅""),'Quartier prepositio"&amp;"ns'!A:E, 5, 0) ,  if(H1535=""region"",vlookup(REGEXEXTRACT(C1535, ""🏘️ \w+ \w+ (.*) ✅""),'Region prepositions'!B:F, 5, 0),  REGEXEXTRACT(C1535, ""🏘️ \w+ \w+ (.*) ✅""))))"),"Stäfa")</f>
        <v>Stäfa</v>
      </c>
      <c r="F1535" s="2" t="str">
        <f>IFERROR(__xludf.DUMMYFUNCTION("REGEXEXTRACT(C1535, ""🏘️ (\w+) \w+ .* ✅"")"),"Louer")</f>
        <v>Louer</v>
      </c>
      <c r="G1535" s="2" t="str">
        <f>IFERROR(__xludf.DUMMYFUNCTION("REGEXEXTRACT(C1535, ""🏘️ \w+ (\w+) .* ✅"")"),"appartement")</f>
        <v>appartement</v>
      </c>
      <c r="H1535" s="4" t="str">
        <f>IFERROR(__xludf.DUMMYFUNCTION("REGEXEXTRACT(A1535, ""/(\w+)-.*?"")"),"lieu")</f>
        <v>lieu</v>
      </c>
      <c r="I1535" s="4" t="str">
        <f>IFERROR(__xludf.DUMMYFUNCTION("if(D1535=""variant"",  substitute(filter(Templates!E:E, Templates!A:A = F1535, Templates!B:B = G1535, Templates!C:C = H1535), ""{{}}"", E1535), B1535)"),"🏘  Vous cherchez un appartement à louer à Stäfa? ✅ Les annonces les plus actuelles sont sur ImmoScout24.ch.")</f>
        <v>🏘  Vous cherchez un appartement à louer à Stäfa? ✅ Les annonces les plus actuelles sont sur ImmoScout24.ch.</v>
      </c>
      <c r="J1535" s="4" t="s">
        <v>4607</v>
      </c>
    </row>
    <row r="1536">
      <c r="A1536" s="5" t="s">
        <v>4608</v>
      </c>
      <c r="B1536" s="2" t="s">
        <v>4609</v>
      </c>
      <c r="C1536" s="4" t="str">
        <f>IFERROR(__xludf.DUMMYFUNCTION("""🏘️ ""&amp;REGEXEXTRACT(B1536, ""^(.*): "")&amp;"" ✅ "" &amp;REGEXEXTRACT(B1536, ""(Trouvez.*)"")"),"🏘️ Louer appartement Ruswil ✅ Trouvez le bien immobilier qui correspond idéalement à vos désirs sur ImmoScout24 - La plateforme de l'immobilier en Suisse.")</f>
        <v>🏘️ Louer appartement Ruswil ✅ Trouvez le bien immobilier qui correspond idéalement à vos désirs sur ImmoScout24 - La plateforme de l'immobilier en Suisse.</v>
      </c>
      <c r="D1536" s="4" t="str">
        <f>vlookup(A1536, Sheet2!D:E, 2, 0)</f>
        <v>variant</v>
      </c>
      <c r="E1536" s="4" t="str">
        <f>IFERROR(__xludf.DUMMYFUNCTION("if(H1536=""pays"",vlookup(REGEXEXTRACT(C1536, ""🏘️ \w+ \w+ (.*) ✅""),'Country prepositions'!A:B, 2, 0) &amp; "" "" &amp; REGEXEXTRACT(C1536, ""🏘️ \w+ \w+ (.*) ✅"") ,  if(H1536=""quartier"",vlookup(REGEXEXTRACT(C1536, ""🏘️ \w+ \w+ (.*) ✅""),'Quartier prepositio"&amp;"ns'!A:E, 5, 0) ,  if(H1536=""region"",vlookup(REGEXEXTRACT(C1536, ""🏘️ \w+ \w+ (.*) ✅""),'Region prepositions'!B:F, 5, 0),  REGEXEXTRACT(C1536, ""🏘️ \w+ \w+ (.*) ✅""))))"),"Ruswil")</f>
        <v>Ruswil</v>
      </c>
      <c r="F1536" s="2" t="str">
        <f>IFERROR(__xludf.DUMMYFUNCTION("REGEXEXTRACT(C1536, ""🏘️ (\w+) \w+ .* ✅"")"),"Louer")</f>
        <v>Louer</v>
      </c>
      <c r="G1536" s="2" t="str">
        <f>IFERROR(__xludf.DUMMYFUNCTION("REGEXEXTRACT(C1536, ""🏘️ \w+ (\w+) .* ✅"")"),"appartement")</f>
        <v>appartement</v>
      </c>
      <c r="H1536" s="4" t="str">
        <f>IFERROR(__xludf.DUMMYFUNCTION("REGEXEXTRACT(A1536, ""/(\w+)-.*?"")"),"lieu")</f>
        <v>lieu</v>
      </c>
      <c r="I1536" s="4" t="str">
        <f>IFERROR(__xludf.DUMMYFUNCTION("if(D1536=""variant"",  substitute(filter(Templates!E:E, Templates!A:A = F1536, Templates!B:B = G1536, Templates!C:C = H1536), ""{{}}"", E1536), B1536)"),"🏘  Vous cherchez un appartement à louer à Ruswil? ✅ Les annonces les plus actuelles sont sur ImmoScout24.ch.")</f>
        <v>🏘  Vous cherchez un appartement à louer à Ruswil? ✅ Les annonces les plus actuelles sont sur ImmoScout24.ch.</v>
      </c>
      <c r="J1536" s="4" t="s">
        <v>4610</v>
      </c>
    </row>
    <row r="1537">
      <c r="A1537" s="5" t="s">
        <v>4611</v>
      </c>
      <c r="B1537" s="2" t="s">
        <v>4612</v>
      </c>
      <c r="C1537" s="4" t="str">
        <f>IFERROR(__xludf.DUMMYFUNCTION("""🏘️ ""&amp;REGEXEXTRACT(B1537, ""^(.*): "")&amp;"" ✅ "" &amp;REGEXEXTRACT(B1537, ""(Trouvez.*)"")"),"🏘️ Vendre appartement La Fouly VS ✅ Trouvez le bien immobilier qui correspond idéalement à vos désirs sur ImmoScout24 - La plateforme de l'immobilier en Suisse.")</f>
        <v>🏘️ Vendre appartement La Fouly VS ✅ Trouvez le bien immobilier qui correspond idéalement à vos désirs sur ImmoScout24 - La plateforme de l'immobilier en Suisse.</v>
      </c>
      <c r="D1537" s="4" t="str">
        <f>vlookup(A1537, Sheet2!D:E, 2, 0)</f>
        <v>variant</v>
      </c>
      <c r="E1537" s="4" t="str">
        <f>IFERROR(__xludf.DUMMYFUNCTION("if(H1537=""pays"",vlookup(REGEXEXTRACT(C1537, ""🏘️ \w+ \w+ (.*) ✅""),'Country prepositions'!A:B, 2, 0) &amp; "" "" &amp; REGEXEXTRACT(C1537, ""🏘️ \w+ \w+ (.*) ✅"") ,  if(H1537=""quartier"",vlookup(REGEXEXTRACT(C1537, ""🏘️ \w+ \w+ (.*) ✅""),'Quartier prepositio"&amp;"ns'!A:E, 5, 0) ,  if(H1537=""region"",vlookup(REGEXEXTRACT(C1537, ""🏘️ \w+ \w+ (.*) ✅""),'Region prepositions'!B:F, 5, 0),  REGEXEXTRACT(C1537, ""🏘️ \w+ \w+ (.*) ✅""))))"),"La Fouly VS")</f>
        <v>La Fouly VS</v>
      </c>
      <c r="F1537" s="2" t="str">
        <f>IFERROR(__xludf.DUMMYFUNCTION("REGEXEXTRACT(C1537, ""🏘️ (\w+) \w+ .* ✅"")"),"Vendre")</f>
        <v>Vendre</v>
      </c>
      <c r="G1537" s="2" t="str">
        <f>IFERROR(__xludf.DUMMYFUNCTION("REGEXEXTRACT(C1537, ""🏘️ \w+ (\w+) .* ✅"")"),"appartement")</f>
        <v>appartement</v>
      </c>
      <c r="H1537" s="4" t="str">
        <f>IFERROR(__xludf.DUMMYFUNCTION("REGEXEXTRACT(A1537, ""/(\w+)-.*?"")"),"lieu")</f>
        <v>lieu</v>
      </c>
      <c r="I1537" s="4" t="str">
        <f>IFERROR(__xludf.DUMMYFUNCTION("if(D1537=""variant"",  substitute(filter(Templates!E:E, Templates!A:A = F1537, Templates!B:B = G1537, Templates!C:C = H1537), ""{{}}"", E1537), B1537)"),"🏘  L’appartement de vos rêves se trouve sur ImmoScout24.ch ✅ Découvrez les dernières annonces de vente à La Fouly VS.")</f>
        <v>🏘  L’appartement de vos rêves se trouve sur ImmoScout24.ch ✅ Découvrez les dernières annonces de vente à La Fouly VS.</v>
      </c>
      <c r="J1537" s="4" t="s">
        <v>4613</v>
      </c>
    </row>
    <row r="1538">
      <c r="A1538" s="6" t="s">
        <v>4614</v>
      </c>
      <c r="B1538" s="7" t="s">
        <v>4615</v>
      </c>
      <c r="C1538" s="8" t="str">
        <f>IFERROR(__xludf.DUMMYFUNCTION("""🏘️ ""&amp;REGEXEXTRACT(B1538, ""^(.*): "")&amp;"" ✅ "" &amp;REGEXEXTRACT(B1538, ""(Trouvez.*)"")"),"🏘️ Louer appartement Les Thioleyres ✅ Trouvez le bien immobilier qui correspond idéalement à vos désirs sur ImmoScout24 - La plateforme de l'immobilier en Suisse.")</f>
        <v>🏘️ Louer appartement Les Thioleyres ✅ Trouvez le bien immobilier qui correspond idéalement à vos désirs sur ImmoScout24 - La plateforme de l'immobilier en Suisse.</v>
      </c>
      <c r="D1538" s="8" t="str">
        <f>vlookup(A1538, Sheet2!D:E, 2, 0)</f>
        <v>variant</v>
      </c>
      <c r="E1538" s="8" t="str">
        <f>IFERROR(__xludf.DUMMYFUNCTION("if(H1538=""pays"",vlookup(REGEXEXTRACT(C1538, ""🏘️ \w+ \w+ (.*) ✅""),'Country prepositions'!A:B, 2, 0) &amp; "" "" &amp; REGEXEXTRACT(C1538, ""🏘️ \w+ \w+ (.*) ✅"") ,  if(H1538=""quartier"",vlookup(REGEXEXTRACT(C1538, ""🏘️ \w+ \w+ (.*) ✅""),'Quartier prepositio"&amp;"ns'!A:E, 5, 0) ,  if(H1538=""region"",vlookup(REGEXEXTRACT(C1538, ""🏘️ \w+ \w+ (.*) ✅""),'Region prepositions'!B:F, 5, 0),  REGEXEXTRACT(C1538, ""🏘️ \w+ \w+ (.*) ✅""))))"),"Les Thioleyres")</f>
        <v>Les Thioleyres</v>
      </c>
      <c r="F1538" s="7" t="str">
        <f>IFERROR(__xludf.DUMMYFUNCTION("REGEXEXTRACT(C1538, ""🏘️ (\w+) \w+ .* ✅"")"),"Louer")</f>
        <v>Louer</v>
      </c>
      <c r="G1538" s="7" t="str">
        <f>IFERROR(__xludf.DUMMYFUNCTION("REGEXEXTRACT(C1538, ""🏘️ \w+ (\w+) .* ✅"")"),"appartement")</f>
        <v>appartement</v>
      </c>
      <c r="H1538" s="8" t="str">
        <f>IFERROR(__xludf.DUMMYFUNCTION("REGEXEXTRACT(A1538, ""/(\w+)-.*?"")"),"lieu")</f>
        <v>lieu</v>
      </c>
      <c r="I1538" s="8" t="str">
        <f>IFERROR(__xludf.DUMMYFUNCTION("if(D1538=""variant"",  substitute(filter(Templates!E:E, Templates!A:A = F1538, Templates!B:B = G1538, Templates!C:C = H1538), ""{{}}"", E1538), B1538)"),"🏘  Vous cherchez un appartement à louer à Les Thioleyres? ✅ Les annonces les plus actuelles sont sur ImmoScout24.ch.")</f>
        <v>🏘  Vous cherchez un appartement à louer à Les Thioleyres? ✅ Les annonces les plus actuelles sont sur ImmoScout24.ch.</v>
      </c>
      <c r="J1538" s="7" t="s">
        <v>4616</v>
      </c>
      <c r="K1538" s="8"/>
      <c r="L1538" s="8"/>
      <c r="M1538" s="8"/>
      <c r="N1538" s="8"/>
      <c r="O1538" s="8"/>
      <c r="P1538" s="8"/>
      <c r="Q1538" s="8"/>
      <c r="R1538" s="8"/>
      <c r="S1538" s="8"/>
      <c r="T1538" s="8"/>
    </row>
    <row r="1539">
      <c r="A1539" s="5" t="s">
        <v>4617</v>
      </c>
      <c r="B1539" s="2" t="s">
        <v>4618</v>
      </c>
      <c r="C1539" s="4" t="str">
        <f>IFERROR(__xludf.DUMMYFUNCTION("""🏘️ ""&amp;REGEXEXTRACT(B1539, ""^(.*): "")&amp;"" ✅ "" &amp;REGEXEXTRACT(B1539, ""(Trouvez.*)"")"),"🏘️ Louer maison Veyras ✅ Trouvez le bien immobilier qui correspond idéalement à vos désirs sur ImmoScout24 - La plateforme de l'immobilier en Suisse.")</f>
        <v>🏘️ Louer maison Veyras ✅ Trouvez le bien immobilier qui correspond idéalement à vos désirs sur ImmoScout24 - La plateforme de l'immobilier en Suisse.</v>
      </c>
      <c r="D1539" s="4" t="str">
        <f>vlookup(A1539, Sheet2!D:E, 2, 0)</f>
        <v>variant</v>
      </c>
      <c r="E1539" s="4" t="str">
        <f>IFERROR(__xludf.DUMMYFUNCTION("if(H1539=""pays"",vlookup(REGEXEXTRACT(C1539, ""🏘️ \w+ \w+ (.*) ✅""),'Country prepositions'!A:B, 2, 0) &amp; "" "" &amp; REGEXEXTRACT(C1539, ""🏘️ \w+ \w+ (.*) ✅"") ,  if(H1539=""quartier"",vlookup(REGEXEXTRACT(C1539, ""🏘️ \w+ \w+ (.*) ✅""),'Quartier prepositio"&amp;"ns'!A:E, 5, 0) ,  if(H1539=""region"",vlookup(REGEXEXTRACT(C1539, ""🏘️ \w+ \w+ (.*) ✅""),'Region prepositions'!B:F, 5, 0),  REGEXEXTRACT(C1539, ""🏘️ \w+ \w+ (.*) ✅""))))"),"Veyras")</f>
        <v>Veyras</v>
      </c>
      <c r="F1539" s="2" t="str">
        <f>IFERROR(__xludf.DUMMYFUNCTION("REGEXEXTRACT(C1539, ""🏘️ (\w+) \w+ .* ✅"")"),"Louer")</f>
        <v>Louer</v>
      </c>
      <c r="G1539" s="2" t="str">
        <f>IFERROR(__xludf.DUMMYFUNCTION("REGEXEXTRACT(C1539, ""🏘️ \w+ (\w+) .* ✅"")"),"maison")</f>
        <v>maison</v>
      </c>
      <c r="H1539" s="4" t="str">
        <f>IFERROR(__xludf.DUMMYFUNCTION("REGEXEXTRACT(A1539, ""/(\w+)-.*?"")"),"lieu")</f>
        <v>lieu</v>
      </c>
      <c r="I1539" s="4" t="str">
        <f>IFERROR(__xludf.DUMMYFUNCTION("if(D1539=""variant"",  substitute(filter(Templates!E:E, Templates!A:A = F1539, Templates!B:B = G1539, Templates!C:C = H1539), ""{{}}"", E1539), B1539)"),"🏘  Vous cherchez une maison à louer à Veyras? ✅ Découvrez nos nombreuses annonces sur ImmoScout24.ch.")</f>
        <v>🏘  Vous cherchez une maison à louer à Veyras? ✅ Découvrez nos nombreuses annonces sur ImmoScout24.ch.</v>
      </c>
      <c r="J1539" s="4" t="s">
        <v>4619</v>
      </c>
    </row>
    <row r="1540">
      <c r="A1540" s="5" t="s">
        <v>4620</v>
      </c>
      <c r="B1540" s="2" t="s">
        <v>4621</v>
      </c>
      <c r="C1540" s="4" t="str">
        <f>IFERROR(__xludf.DUMMYFUNCTION("""🏘️ ""&amp;REGEXEXTRACT(B1540, ""^(.*): "")&amp;"" ✅ "" &amp;REGEXEXTRACT(B1540, ""(Trouvez.*)"")"),"🏘️ Louer appartement Posat ✅ Trouvez le bien immobilier qui correspond idéalement à vos désirs sur ImmoScout24 - La plateforme de l'immobilier en Suisse.")</f>
        <v>🏘️ Louer appartement Posat ✅ Trouvez le bien immobilier qui correspond idéalement à vos désirs sur ImmoScout24 - La plateforme de l'immobilier en Suisse.</v>
      </c>
      <c r="D1540" s="4" t="str">
        <f>vlookup(A1540, Sheet2!D:E, 2, 0)</f>
        <v>variant</v>
      </c>
      <c r="E1540" s="4" t="str">
        <f>IFERROR(__xludf.DUMMYFUNCTION("if(H1540=""pays"",vlookup(REGEXEXTRACT(C1540, ""🏘️ \w+ \w+ (.*) ✅""),'Country prepositions'!A:B, 2, 0) &amp; "" "" &amp; REGEXEXTRACT(C1540, ""🏘️ \w+ \w+ (.*) ✅"") ,  if(H1540=""quartier"",vlookup(REGEXEXTRACT(C1540, ""🏘️ \w+ \w+ (.*) ✅""),'Quartier prepositio"&amp;"ns'!A:E, 5, 0) ,  if(H1540=""region"",vlookup(REGEXEXTRACT(C1540, ""🏘️ \w+ \w+ (.*) ✅""),'Region prepositions'!B:F, 5, 0),  REGEXEXTRACT(C1540, ""🏘️ \w+ \w+ (.*) ✅""))))"),"Posat")</f>
        <v>Posat</v>
      </c>
      <c r="F1540" s="2" t="str">
        <f>IFERROR(__xludf.DUMMYFUNCTION("REGEXEXTRACT(C1540, ""🏘️ (\w+) \w+ .* ✅"")"),"Louer")</f>
        <v>Louer</v>
      </c>
      <c r="G1540" s="2" t="str">
        <f>IFERROR(__xludf.DUMMYFUNCTION("REGEXEXTRACT(C1540, ""🏘️ \w+ (\w+) .* ✅"")"),"appartement")</f>
        <v>appartement</v>
      </c>
      <c r="H1540" s="4" t="str">
        <f>IFERROR(__xludf.DUMMYFUNCTION("REGEXEXTRACT(A1540, ""/(\w+)-.*?"")"),"lieu")</f>
        <v>lieu</v>
      </c>
      <c r="I1540" s="4" t="str">
        <f>IFERROR(__xludf.DUMMYFUNCTION("if(D1540=""variant"",  substitute(filter(Templates!E:E, Templates!A:A = F1540, Templates!B:B = G1540, Templates!C:C = H1540), ""{{}}"", E1540), B1540)"),"🏘  Vous cherchez un appartement à louer à Posat? ✅ Les annonces les plus actuelles sont sur ImmoScout24.ch.")</f>
        <v>🏘  Vous cherchez un appartement à louer à Posat? ✅ Les annonces les plus actuelles sont sur ImmoScout24.ch.</v>
      </c>
      <c r="J1540" s="4" t="s">
        <v>4622</v>
      </c>
    </row>
    <row r="1541">
      <c r="A1541" s="5" t="s">
        <v>4623</v>
      </c>
      <c r="B1541" s="2" t="s">
        <v>4624</v>
      </c>
      <c r="C1541" s="4" t="str">
        <f>IFERROR(__xludf.DUMMYFUNCTION("""🏘️ ""&amp;REGEXEXTRACT(B1541, ""^(.*): "")&amp;"" ✅ "" &amp;REGEXEXTRACT(B1541, ""(Trouvez.*)"")"),"🏘️ Vendre maison Chamoille (Sembrancher) ✅ Trouvez le bien immobilier qui correspond idéalement à vos désirs sur ImmoScout24 - La plateforme de l'immobilier en Suisse.")</f>
        <v>🏘️ Vendre maison Chamoille (Sembrancher) ✅ Trouvez le bien immobilier qui correspond idéalement à vos désirs sur ImmoScout24 - La plateforme de l'immobilier en Suisse.</v>
      </c>
      <c r="D1541" s="4" t="str">
        <f>vlookup(A1541, Sheet2!D:E, 2, 0)</f>
        <v>variant</v>
      </c>
      <c r="E1541" s="4" t="str">
        <f>IFERROR(__xludf.DUMMYFUNCTION("if(H1541=""pays"",vlookup(REGEXEXTRACT(C1541, ""🏘️ \w+ \w+ (.*) ✅""),'Country prepositions'!A:B, 2, 0) &amp; "" "" &amp; REGEXEXTRACT(C1541, ""🏘️ \w+ \w+ (.*) ✅"") ,  if(H1541=""quartier"",vlookup(REGEXEXTRACT(C1541, ""🏘️ \w+ \w+ (.*) ✅""),'Quartier prepositio"&amp;"ns'!A:E, 5, 0) ,  if(H1541=""region"",vlookup(REGEXEXTRACT(C1541, ""🏘️ \w+ \w+ (.*) ✅""),'Region prepositions'!B:F, 5, 0),  REGEXEXTRACT(C1541, ""🏘️ \w+ \w+ (.*) ✅""))))"),"Chamoille (Sembrancher)")</f>
        <v>Chamoille (Sembrancher)</v>
      </c>
      <c r="F1541" s="2" t="str">
        <f>IFERROR(__xludf.DUMMYFUNCTION("REGEXEXTRACT(C1541, ""🏘️ (\w+) \w+ .* ✅"")"),"Vendre")</f>
        <v>Vendre</v>
      </c>
      <c r="G1541" s="2" t="str">
        <f>IFERROR(__xludf.DUMMYFUNCTION("REGEXEXTRACT(C1541, ""🏘️ \w+ (\w+) .* ✅"")"),"maison")</f>
        <v>maison</v>
      </c>
      <c r="H1541" s="4" t="str">
        <f>IFERROR(__xludf.DUMMYFUNCTION("REGEXEXTRACT(A1541, ""/(\w+)-.*?"")"),"lieu")</f>
        <v>lieu</v>
      </c>
      <c r="I1541" s="4" t="str">
        <f>IFERROR(__xludf.DUMMYFUNCTION("if(D1541=""variant"",  substitute(filter(Templates!E:E, Templates!A:A = F1541, Templates!B:B = G1541, Templates!C:C = H1541), ""{{}}"", E1541), B1541)"),"🏘  Vous souhaitez acheter une maison à Chamoille (Sembrancher)? ✅ Jetez un œil aux dernières offres sur ImmoScout24.ch.")</f>
        <v>🏘  Vous souhaitez acheter une maison à Chamoille (Sembrancher)? ✅ Jetez un œil aux dernières offres sur ImmoScout24.ch.</v>
      </c>
      <c r="J1541" s="4" t="s">
        <v>4625</v>
      </c>
    </row>
    <row r="1542">
      <c r="A1542" s="5" t="s">
        <v>4626</v>
      </c>
      <c r="B1542" s="2" t="s">
        <v>4627</v>
      </c>
      <c r="C1542" s="4" t="str">
        <f>IFERROR(__xludf.DUMMYFUNCTION("""🏘️ ""&amp;REGEXEXTRACT(B1542, ""^(.*): "")&amp;"" ✅ "" &amp;REGEXEXTRACT(B1542, ""(Trouvez.*)"")"),"🏘️ Vendre maison Lopagno ✅ Trouvez le bien immobilier qui correspond idéalement à vos désirs sur ImmoScout24 - La plateforme de l'immobilier en Suisse.")</f>
        <v>🏘️ Vendre maison Lopagno ✅ Trouvez le bien immobilier qui correspond idéalement à vos désirs sur ImmoScout24 - La plateforme de l'immobilier en Suisse.</v>
      </c>
      <c r="D1542" s="4" t="str">
        <f>vlookup(A1542, Sheet2!D:E, 2, 0)</f>
        <v>variant</v>
      </c>
      <c r="E1542" s="4" t="str">
        <f>IFERROR(__xludf.DUMMYFUNCTION("if(H1542=""pays"",vlookup(REGEXEXTRACT(C1542, ""🏘️ \w+ \w+ (.*) ✅""),'Country prepositions'!A:B, 2, 0) &amp; "" "" &amp; REGEXEXTRACT(C1542, ""🏘️ \w+ \w+ (.*) ✅"") ,  if(H1542=""quartier"",vlookup(REGEXEXTRACT(C1542, ""🏘️ \w+ \w+ (.*) ✅""),'Quartier prepositio"&amp;"ns'!A:E, 5, 0) ,  if(H1542=""region"",vlookup(REGEXEXTRACT(C1542, ""🏘️ \w+ \w+ (.*) ✅""),'Region prepositions'!B:F, 5, 0),  REGEXEXTRACT(C1542, ""🏘️ \w+ \w+ (.*) ✅""))))"),"Lopagno")</f>
        <v>Lopagno</v>
      </c>
      <c r="F1542" s="2" t="str">
        <f>IFERROR(__xludf.DUMMYFUNCTION("REGEXEXTRACT(C1542, ""🏘️ (\w+) \w+ .* ✅"")"),"Vendre")</f>
        <v>Vendre</v>
      </c>
      <c r="G1542" s="2" t="str">
        <f>IFERROR(__xludf.DUMMYFUNCTION("REGEXEXTRACT(C1542, ""🏘️ \w+ (\w+) .* ✅"")"),"maison")</f>
        <v>maison</v>
      </c>
      <c r="H1542" s="4" t="str">
        <f>IFERROR(__xludf.DUMMYFUNCTION("REGEXEXTRACT(A1542, ""/(\w+)-.*?"")"),"lieu")</f>
        <v>lieu</v>
      </c>
      <c r="I1542" s="4" t="str">
        <f>IFERROR(__xludf.DUMMYFUNCTION("if(D1542=""variant"",  substitute(filter(Templates!E:E, Templates!A:A = F1542, Templates!B:B = G1542, Templates!C:C = H1542), ""{{}}"", E1542), B1542)"),"🏘  Vous souhaitez acheter une maison à Lopagno? ✅ Jetez un œil aux dernières offres sur ImmoScout24.ch.")</f>
        <v>🏘  Vous souhaitez acheter une maison à Lopagno? ✅ Jetez un œil aux dernières offres sur ImmoScout24.ch.</v>
      </c>
      <c r="J1542" s="4" t="s">
        <v>4628</v>
      </c>
    </row>
    <row r="1543">
      <c r="A1543" s="5" t="s">
        <v>4629</v>
      </c>
      <c r="B1543" s="2" t="s">
        <v>4630</v>
      </c>
      <c r="C1543" s="4" t="str">
        <f>IFERROR(__xludf.DUMMYFUNCTION("""🏘️ ""&amp;REGEXEXTRACT(B1543, ""^(.*): "")&amp;"" ✅ "" &amp;REGEXEXTRACT(B1543, ""(Trouvez.*)"")"),"🏘️ Louer appartement Coppet ✅ Trouvez le bien immobilier qui correspond idéalement à vos désirs sur ImmoScout24 - La plateforme de l'immobilier en Suisse.")</f>
        <v>🏘️ Louer appartement Coppet ✅ Trouvez le bien immobilier qui correspond idéalement à vos désirs sur ImmoScout24 - La plateforme de l'immobilier en Suisse.</v>
      </c>
      <c r="D1543" s="4" t="str">
        <f>vlookup(A1543, Sheet2!D:E, 2, 0)</f>
        <v>variant</v>
      </c>
      <c r="E1543" s="4" t="str">
        <f>IFERROR(__xludf.DUMMYFUNCTION("if(H1543=""pays"",vlookup(REGEXEXTRACT(C1543, ""🏘️ \w+ \w+ (.*) ✅""),'Country prepositions'!A:B, 2, 0) &amp; "" "" &amp; REGEXEXTRACT(C1543, ""🏘️ \w+ \w+ (.*) ✅"") ,  if(H1543=""quartier"",vlookup(REGEXEXTRACT(C1543, ""🏘️ \w+ \w+ (.*) ✅""),'Quartier prepositio"&amp;"ns'!A:E, 5, 0) ,  if(H1543=""region"",vlookup(REGEXEXTRACT(C1543, ""🏘️ \w+ \w+ (.*) ✅""),'Region prepositions'!B:F, 5, 0),  REGEXEXTRACT(C1543, ""🏘️ \w+ \w+ (.*) ✅""))))"),"Coppet")</f>
        <v>Coppet</v>
      </c>
      <c r="F1543" s="2" t="str">
        <f>IFERROR(__xludf.DUMMYFUNCTION("REGEXEXTRACT(C1543, ""🏘️ (\w+) \w+ .* ✅"")"),"Louer")</f>
        <v>Louer</v>
      </c>
      <c r="G1543" s="2" t="str">
        <f>IFERROR(__xludf.DUMMYFUNCTION("REGEXEXTRACT(C1543, ""🏘️ \w+ (\w+) .* ✅"")"),"appartement")</f>
        <v>appartement</v>
      </c>
      <c r="H1543" s="4" t="str">
        <f>IFERROR(__xludf.DUMMYFUNCTION("REGEXEXTRACT(A1543, ""/(\w+)-.*?"")"),"lieu")</f>
        <v>lieu</v>
      </c>
      <c r="I1543" s="4" t="str">
        <f>IFERROR(__xludf.DUMMYFUNCTION("if(D1543=""variant"",  substitute(filter(Templates!E:E, Templates!A:A = F1543, Templates!B:B = G1543, Templates!C:C = H1543), ""{{}}"", E1543), B1543)"),"🏘  Vous cherchez un appartement à louer à Coppet? ✅ Les annonces les plus actuelles sont sur ImmoScout24.ch.")</f>
        <v>🏘  Vous cherchez un appartement à louer à Coppet? ✅ Les annonces les plus actuelles sont sur ImmoScout24.ch.</v>
      </c>
      <c r="J1543" s="4" t="s">
        <v>4631</v>
      </c>
    </row>
    <row r="1544">
      <c r="A1544" s="5" t="s">
        <v>4632</v>
      </c>
      <c r="B1544" s="2" t="s">
        <v>4633</v>
      </c>
      <c r="C1544" s="4" t="str">
        <f>IFERROR(__xludf.DUMMYFUNCTION("""🏘️ ""&amp;REGEXEXTRACT(B1544, ""^(.*): "")&amp;"" ✅ "" &amp;REGEXEXTRACT(B1544, ""(Trouvez.*)"")"),"🏘️ Vendre appartement Effretikon ✅ Trouvez le bien immobilier qui correspond idéalement à vos désirs sur ImmoScout24 - La plateforme de l'immobilier en Suisse.")</f>
        <v>🏘️ Vendre appartement Effretikon ✅ Trouvez le bien immobilier qui correspond idéalement à vos désirs sur ImmoScout24 - La plateforme de l'immobilier en Suisse.</v>
      </c>
      <c r="D1544" s="4" t="str">
        <f>vlookup(A1544, Sheet2!D:E, 2, 0)</f>
        <v>variant</v>
      </c>
      <c r="E1544" s="4" t="str">
        <f>IFERROR(__xludf.DUMMYFUNCTION("if(H1544=""pays"",vlookup(REGEXEXTRACT(C1544, ""🏘️ \w+ \w+ (.*) ✅""),'Country prepositions'!A:B, 2, 0) &amp; "" "" &amp; REGEXEXTRACT(C1544, ""🏘️ \w+ \w+ (.*) ✅"") ,  if(H1544=""quartier"",vlookup(REGEXEXTRACT(C1544, ""🏘️ \w+ \w+ (.*) ✅""),'Quartier prepositio"&amp;"ns'!A:E, 5, 0) ,  if(H1544=""region"",vlookup(REGEXEXTRACT(C1544, ""🏘️ \w+ \w+ (.*) ✅""),'Region prepositions'!B:F, 5, 0),  REGEXEXTRACT(C1544, ""🏘️ \w+ \w+ (.*) ✅""))))"),"Effretikon")</f>
        <v>Effretikon</v>
      </c>
      <c r="F1544" s="2" t="str">
        <f>IFERROR(__xludf.DUMMYFUNCTION("REGEXEXTRACT(C1544, ""🏘️ (\w+) \w+ .* ✅"")"),"Vendre")</f>
        <v>Vendre</v>
      </c>
      <c r="G1544" s="2" t="str">
        <f>IFERROR(__xludf.DUMMYFUNCTION("REGEXEXTRACT(C1544, ""🏘️ \w+ (\w+) .* ✅"")"),"appartement")</f>
        <v>appartement</v>
      </c>
      <c r="H1544" s="4" t="str">
        <f>IFERROR(__xludf.DUMMYFUNCTION("REGEXEXTRACT(A1544, ""/(\w+)-.*?"")"),"lieu")</f>
        <v>lieu</v>
      </c>
      <c r="I1544" s="4" t="str">
        <f>IFERROR(__xludf.DUMMYFUNCTION("if(D1544=""variant"",  substitute(filter(Templates!E:E, Templates!A:A = F1544, Templates!B:B = G1544, Templates!C:C = H1544), ""{{}}"", E1544), B1544)"),"🏘  L’appartement de vos rêves se trouve sur ImmoScout24.ch ✅ Découvrez les dernières annonces de vente à Effretikon.")</f>
        <v>🏘  L’appartement de vos rêves se trouve sur ImmoScout24.ch ✅ Découvrez les dernières annonces de vente à Effretikon.</v>
      </c>
      <c r="J1544" s="4" t="s">
        <v>4634</v>
      </c>
    </row>
    <row r="1545">
      <c r="A1545" s="5" t="s">
        <v>4635</v>
      </c>
      <c r="B1545" s="2" t="s">
        <v>4636</v>
      </c>
      <c r="C1545" s="4" t="str">
        <f>IFERROR(__xludf.DUMMYFUNCTION("""🏘️ ""&amp;REGEXEXTRACT(B1545, ""^(.*): "")&amp;"" ✅ "" &amp;REGEXEXTRACT(B1545, ""(Trouvez.*)"")"),"🏘️ Vendre appartement Alt-Wiedikon (Zurich) ✅ Trouvez le bien immobilier qui correspond idéalement à vos désirs sur ImmoScout24 - La plateforme de l'immobilier en Suisse.")</f>
        <v>🏘️ Vendre appartement Alt-Wiedikon (Zurich) ✅ Trouvez le bien immobilier qui correspond idéalement à vos désirs sur ImmoScout24 - La plateforme de l'immobilier en Suisse.</v>
      </c>
      <c r="D1545" s="4" t="str">
        <f>vlookup(A1545, Sheet2!D:E, 2, 0)</f>
        <v>variant</v>
      </c>
      <c r="E1545" s="4" t="str">
        <f>IFERROR(__xludf.DUMMYFUNCTION("if(H1545=""pays"",vlookup(REGEXEXTRACT(C1545, ""🏘️ \w+ \w+ (.*) ✅""),'Country prepositions'!A:B, 2, 0) &amp; "" "" &amp; REGEXEXTRACT(C1545, ""🏘️ \w+ \w+ (.*) ✅"") ,  if(H1545=""quartier"",vlookup(REGEXEXTRACT(C1545, ""🏘️ \w+ \w+ (.*) ✅""),'Quartier prepositio"&amp;"ns'!A:E, 5, 0) ,  if(H1545=""region"",vlookup(REGEXEXTRACT(C1545, ""🏘️ \w+ \w+ (.*) ✅""),'Region prepositions'!B:F, 5, 0),  REGEXEXTRACT(C1545, ""🏘️ \w+ \w+ (.*) ✅""))))"),"dans le quartier d'Alt-Wiedikon (Zurich)")</f>
        <v>dans le quartier d'Alt-Wiedikon (Zurich)</v>
      </c>
      <c r="F1545" s="2" t="str">
        <f>IFERROR(__xludf.DUMMYFUNCTION("REGEXEXTRACT(C1545, ""🏘️ (\w+) \w+ .* ✅"")"),"Vendre")</f>
        <v>Vendre</v>
      </c>
      <c r="G1545" s="2" t="str">
        <f>IFERROR(__xludf.DUMMYFUNCTION("REGEXEXTRACT(C1545, ""🏘️ \w+ (\w+) .* ✅"")"),"appartement")</f>
        <v>appartement</v>
      </c>
      <c r="H1545" s="4" t="str">
        <f>IFERROR(__xludf.DUMMYFUNCTION("REGEXEXTRACT(A1545, ""/(\w+)-.*?"")"),"quartier")</f>
        <v>quartier</v>
      </c>
      <c r="I1545" s="4" t="str">
        <f>IFERROR(__xludf.DUMMYFUNCTION("if(D1545=""variant"",  substitute(filter(Templates!E:E, Templates!A:A = F1545, Templates!B:B = G1545, Templates!C:C = H1545), ""{{}}"", E1545), B1545)"),"🏘  L’appartement de vos rêves se trouve sur ImmoScout24.ch ✅ Découvrez les dernières annonces de vente dans le quartier d'Alt-Wiedikon (Zurich).")</f>
        <v>🏘  L’appartement de vos rêves se trouve sur ImmoScout24.ch ✅ Découvrez les dernières annonces de vente dans le quartier d'Alt-Wiedikon (Zurich).</v>
      </c>
      <c r="J1545" s="4" t="s">
        <v>4637</v>
      </c>
    </row>
    <row r="1546">
      <c r="A1546" s="5" t="s">
        <v>4638</v>
      </c>
      <c r="B1546" s="2" t="s">
        <v>4639</v>
      </c>
      <c r="C1546" s="4" t="str">
        <f>IFERROR(__xludf.DUMMYFUNCTION("""🏘️ ""&amp;REGEXEXTRACT(B1546, ""^(.*): "")&amp;"" ✅ "" &amp;REGEXEXTRACT(B1546, ""(Trouvez.*)"")"),"🏘️ Vendre maison Dombresson ✅ Trouvez le bien immobilier qui correspond idéalement à vos désirs sur ImmoScout24 - La plateforme de l'immobilier en Suisse.")</f>
        <v>🏘️ Vendre maison Dombresson ✅ Trouvez le bien immobilier qui correspond idéalement à vos désirs sur ImmoScout24 - La plateforme de l'immobilier en Suisse.</v>
      </c>
      <c r="D1546" s="4" t="str">
        <f>vlookup(A1546, Sheet2!D:E, 2, 0)</f>
        <v>variant</v>
      </c>
      <c r="E1546" s="4" t="str">
        <f>IFERROR(__xludf.DUMMYFUNCTION("if(H1546=""pays"",vlookup(REGEXEXTRACT(C1546, ""🏘️ \w+ \w+ (.*) ✅""),'Country prepositions'!A:B, 2, 0) &amp; "" "" &amp; REGEXEXTRACT(C1546, ""🏘️ \w+ \w+ (.*) ✅"") ,  if(H1546=""quartier"",vlookup(REGEXEXTRACT(C1546, ""🏘️ \w+ \w+ (.*) ✅""),'Quartier prepositio"&amp;"ns'!A:E, 5, 0) ,  if(H1546=""region"",vlookup(REGEXEXTRACT(C1546, ""🏘️ \w+ \w+ (.*) ✅""),'Region prepositions'!B:F, 5, 0),  REGEXEXTRACT(C1546, ""🏘️ \w+ \w+ (.*) ✅""))))"),"Dombresson")</f>
        <v>Dombresson</v>
      </c>
      <c r="F1546" s="2" t="str">
        <f>IFERROR(__xludf.DUMMYFUNCTION("REGEXEXTRACT(C1546, ""🏘️ (\w+) \w+ .* ✅"")"),"Vendre")</f>
        <v>Vendre</v>
      </c>
      <c r="G1546" s="2" t="str">
        <f>IFERROR(__xludf.DUMMYFUNCTION("REGEXEXTRACT(C1546, ""🏘️ \w+ (\w+) .* ✅"")"),"maison")</f>
        <v>maison</v>
      </c>
      <c r="H1546" s="4" t="str">
        <f>IFERROR(__xludf.DUMMYFUNCTION("REGEXEXTRACT(A1546, ""/(\w+)-.*?"")"),"lieu")</f>
        <v>lieu</v>
      </c>
      <c r="I1546" s="4" t="str">
        <f>IFERROR(__xludf.DUMMYFUNCTION("if(D1546=""variant"",  substitute(filter(Templates!E:E, Templates!A:A = F1546, Templates!B:B = G1546, Templates!C:C = H1546), ""{{}}"", E1546), B1546)"),"🏘  Vous souhaitez acheter une maison à Dombresson? ✅ Jetez un œil aux dernières offres sur ImmoScout24.ch.")</f>
        <v>🏘  Vous souhaitez acheter une maison à Dombresson? ✅ Jetez un œil aux dernières offres sur ImmoScout24.ch.</v>
      </c>
      <c r="J1546" s="4" t="s">
        <v>4640</v>
      </c>
    </row>
    <row r="1547">
      <c r="A1547" s="5" t="s">
        <v>4641</v>
      </c>
      <c r="B1547" s="2" t="s">
        <v>4642</v>
      </c>
      <c r="C1547" s="4" t="str">
        <f>IFERROR(__xludf.DUMMYFUNCTION("""🏘️ ""&amp;REGEXEXTRACT(B1547, ""^(.*): "")&amp;"" ✅ "" &amp;REGEXEXTRACT(B1547, ""(Trouvez.*)"")"),"🏘️ Vendre maison Wangen b. Olten ✅ Trouvez le bien immobilier qui correspond idéalement à vos désirs sur ImmoScout24 - La plateforme de l'immobilier en Suisse.")</f>
        <v>🏘️ Vendre maison Wangen b. Olten ✅ Trouvez le bien immobilier qui correspond idéalement à vos désirs sur ImmoScout24 - La plateforme de l'immobilier en Suisse.</v>
      </c>
      <c r="D1547" s="4" t="str">
        <f>vlookup(A1547, Sheet2!D:E, 2, 0)</f>
        <v>variant</v>
      </c>
      <c r="E1547" s="4" t="str">
        <f>IFERROR(__xludf.DUMMYFUNCTION("if(H1547=""pays"",vlookup(REGEXEXTRACT(C1547, ""🏘️ \w+ \w+ (.*) ✅""),'Country prepositions'!A:B, 2, 0) &amp; "" "" &amp; REGEXEXTRACT(C1547, ""🏘️ \w+ \w+ (.*) ✅"") ,  if(H1547=""quartier"",vlookup(REGEXEXTRACT(C1547, ""🏘️ \w+ \w+ (.*) ✅""),'Quartier prepositio"&amp;"ns'!A:E, 5, 0) ,  if(H1547=""region"",vlookup(REGEXEXTRACT(C1547, ""🏘️ \w+ \w+ (.*) ✅""),'Region prepositions'!B:F, 5, 0),  REGEXEXTRACT(C1547, ""🏘️ \w+ \w+ (.*) ✅""))))"),"Wangen b. Olten")</f>
        <v>Wangen b. Olten</v>
      </c>
      <c r="F1547" s="2" t="str">
        <f>IFERROR(__xludf.DUMMYFUNCTION("REGEXEXTRACT(C1547, ""🏘️ (\w+) \w+ .* ✅"")"),"Vendre")</f>
        <v>Vendre</v>
      </c>
      <c r="G1547" s="2" t="str">
        <f>IFERROR(__xludf.DUMMYFUNCTION("REGEXEXTRACT(C1547, ""🏘️ \w+ (\w+) .* ✅"")"),"maison")</f>
        <v>maison</v>
      </c>
      <c r="H1547" s="4" t="str">
        <f>IFERROR(__xludf.DUMMYFUNCTION("REGEXEXTRACT(A1547, ""/(\w+)-.*?"")"),"lieu")</f>
        <v>lieu</v>
      </c>
      <c r="I1547" s="4" t="str">
        <f>IFERROR(__xludf.DUMMYFUNCTION("if(D1547=""variant"",  substitute(filter(Templates!E:E, Templates!A:A = F1547, Templates!B:B = G1547, Templates!C:C = H1547), ""{{}}"", E1547), B1547)"),"🏘  Vous souhaitez acheter une maison à Wangen b. Olten? ✅ Jetez un œil aux dernières offres sur ImmoScout24.ch.")</f>
        <v>🏘  Vous souhaitez acheter une maison à Wangen b. Olten? ✅ Jetez un œil aux dernières offres sur ImmoScout24.ch.</v>
      </c>
      <c r="J1547" s="4" t="s">
        <v>4643</v>
      </c>
    </row>
    <row r="1548">
      <c r="A1548" s="5" t="s">
        <v>4644</v>
      </c>
      <c r="B1548" s="2" t="s">
        <v>4645</v>
      </c>
      <c r="C1548" s="4" t="str">
        <f>IFERROR(__xludf.DUMMYFUNCTION("""🏘️ ""&amp;REGEXEXTRACT(B1548, ""^(.*): "")&amp;"" ✅ "" &amp;REGEXEXTRACT(B1548, ""(Trouvez.*)"")"),"🏘️ Vendre maison Thyon ✅ Trouvez le bien immobilier qui correspond idéalement à vos désirs sur ImmoScout24 - La plateforme de l'immobilier en Suisse.")</f>
        <v>🏘️ Vendre maison Thyon ✅ Trouvez le bien immobilier qui correspond idéalement à vos désirs sur ImmoScout24 - La plateforme de l'immobilier en Suisse.</v>
      </c>
      <c r="D1548" s="4" t="str">
        <f>vlookup(A1548, Sheet2!D:E, 2, 0)</f>
        <v>variant</v>
      </c>
      <c r="E1548" s="4" t="str">
        <f>IFERROR(__xludf.DUMMYFUNCTION("if(H1548=""pays"",vlookup(REGEXEXTRACT(C1548, ""🏘️ \w+ \w+ (.*) ✅""),'Country prepositions'!A:B, 2, 0) &amp; "" "" &amp; REGEXEXTRACT(C1548, ""🏘️ \w+ \w+ (.*) ✅"") ,  if(H1548=""quartier"",vlookup(REGEXEXTRACT(C1548, ""🏘️ \w+ \w+ (.*) ✅""),'Quartier prepositio"&amp;"ns'!A:E, 5, 0) ,  if(H1548=""region"",vlookup(REGEXEXTRACT(C1548, ""🏘️ \w+ \w+ (.*) ✅""),'Region prepositions'!B:F, 5, 0),  REGEXEXTRACT(C1548, ""🏘️ \w+ \w+ (.*) ✅""))))"),"Thyon")</f>
        <v>Thyon</v>
      </c>
      <c r="F1548" s="2" t="str">
        <f>IFERROR(__xludf.DUMMYFUNCTION("REGEXEXTRACT(C1548, ""🏘️ (\w+) \w+ .* ✅"")"),"Vendre")</f>
        <v>Vendre</v>
      </c>
      <c r="G1548" s="2" t="str">
        <f>IFERROR(__xludf.DUMMYFUNCTION("REGEXEXTRACT(C1548, ""🏘️ \w+ (\w+) .* ✅"")"),"maison")</f>
        <v>maison</v>
      </c>
      <c r="H1548" s="4" t="str">
        <f>IFERROR(__xludf.DUMMYFUNCTION("REGEXEXTRACT(A1548, ""/(\w+)-.*?"")"),"lieu")</f>
        <v>lieu</v>
      </c>
      <c r="I1548" s="4" t="str">
        <f>IFERROR(__xludf.DUMMYFUNCTION("if(D1548=""variant"",  substitute(filter(Templates!E:E, Templates!A:A = F1548, Templates!B:B = G1548, Templates!C:C = H1548), ""{{}}"", E1548), B1548)"),"🏘  Vous souhaitez acheter une maison à Thyon? ✅ Jetez un œil aux dernières offres sur ImmoScout24.ch.")</f>
        <v>🏘  Vous souhaitez acheter une maison à Thyon? ✅ Jetez un œil aux dernières offres sur ImmoScout24.ch.</v>
      </c>
      <c r="J1548" s="4" t="s">
        <v>4646</v>
      </c>
    </row>
    <row r="1549">
      <c r="A1549" s="5" t="s">
        <v>4647</v>
      </c>
      <c r="B1549" s="2" t="s">
        <v>4648</v>
      </c>
      <c r="C1549" s="4" t="str">
        <f>IFERROR(__xludf.DUMMYFUNCTION("""🏘️ ""&amp;REGEXEXTRACT(B1549, ""^(.*): "")&amp;"" ✅ "" &amp;REGEXEXTRACT(B1549, ""(Trouvez.*)"")"),"🏘️ Vendre appartement Zermatt ✅ Trouvez le bien immobilier qui correspond idéalement à vos désirs sur ImmoScout24 - La plateforme de l'immobilier en Suisse.")</f>
        <v>🏘️ Vendre appartement Zermatt ✅ Trouvez le bien immobilier qui correspond idéalement à vos désirs sur ImmoScout24 - La plateforme de l'immobilier en Suisse.</v>
      </c>
      <c r="D1549" s="4" t="str">
        <f>vlookup(A1549, Sheet2!D:E, 2, 0)</f>
        <v>variant</v>
      </c>
      <c r="E1549" s="4" t="str">
        <f>IFERROR(__xludf.DUMMYFUNCTION("if(H1549=""pays"",vlookup(REGEXEXTRACT(C1549, ""🏘️ \w+ \w+ (.*) ✅""),'Country prepositions'!A:B, 2, 0) &amp; "" "" &amp; REGEXEXTRACT(C1549, ""🏘️ \w+ \w+ (.*) ✅"") ,  if(H1549=""quartier"",vlookup(REGEXEXTRACT(C1549, ""🏘️ \w+ \w+ (.*) ✅""),'Quartier prepositio"&amp;"ns'!A:E, 5, 0) ,  if(H1549=""region"",vlookup(REGEXEXTRACT(C1549, ""🏘️ \w+ \w+ (.*) ✅""),'Region prepositions'!B:F, 5, 0),  REGEXEXTRACT(C1549, ""🏘️ \w+ \w+ (.*) ✅""))))"),"Zermatt")</f>
        <v>Zermatt</v>
      </c>
      <c r="F1549" s="2" t="str">
        <f>IFERROR(__xludf.DUMMYFUNCTION("REGEXEXTRACT(C1549, ""🏘️ (\w+) \w+ .* ✅"")"),"Vendre")</f>
        <v>Vendre</v>
      </c>
      <c r="G1549" s="2" t="str">
        <f>IFERROR(__xludf.DUMMYFUNCTION("REGEXEXTRACT(C1549, ""🏘️ \w+ (\w+) .* ✅"")"),"appartement")</f>
        <v>appartement</v>
      </c>
      <c r="H1549" s="4" t="str">
        <f>IFERROR(__xludf.DUMMYFUNCTION("REGEXEXTRACT(A1549, ""/(\w+)-.*?"")"),"lieu")</f>
        <v>lieu</v>
      </c>
      <c r="I1549" s="4" t="str">
        <f>IFERROR(__xludf.DUMMYFUNCTION("if(D1549=""variant"",  substitute(filter(Templates!E:E, Templates!A:A = F1549, Templates!B:B = G1549, Templates!C:C = H1549), ""{{}}"", E1549), B1549)"),"🏘  L’appartement de vos rêves se trouve sur ImmoScout24.ch ✅ Découvrez les dernières annonces de vente à Zermatt.")</f>
        <v>🏘  L’appartement de vos rêves se trouve sur ImmoScout24.ch ✅ Découvrez les dernières annonces de vente à Zermatt.</v>
      </c>
      <c r="J1549" s="4" t="s">
        <v>4649</v>
      </c>
    </row>
    <row r="1550">
      <c r="A1550" s="5" t="s">
        <v>4650</v>
      </c>
      <c r="B1550" s="2" t="s">
        <v>4651</v>
      </c>
      <c r="C1550" s="4" t="str">
        <f>IFERROR(__xludf.DUMMYFUNCTION("""🏘️ ""&amp;REGEXEXTRACT(B1550, ""^(.*): "")&amp;"" ✅ "" &amp;REGEXEXTRACT(B1550, ""(Trouvez.*)"")"),"🏘️ Louer maison Canton de Zoug ✅ Trouvez le bien immobilier qui correspond idéalement à vos désirs sur ImmoScout24 - La plateforme de l'immobilier en Suisse.")</f>
        <v>🏘️ Louer maison Canton de Zoug ✅ Trouvez le bien immobilier qui correspond idéalement à vos désirs sur ImmoScout24 - La plateforme de l'immobilier en Suisse.</v>
      </c>
      <c r="D1550" s="4" t="str">
        <f>vlookup(A1550, Sheet2!D:E, 2, 0)</f>
        <v>variant</v>
      </c>
      <c r="E1550" s="4" t="str">
        <f>IFERROR(__xludf.DUMMYFUNCTION("if(H1550=""pays"",vlookup(REGEXEXTRACT(C1550, ""🏘️ \w+ \w+ (.*) ✅""),'Country prepositions'!A:B, 2, 0) &amp; "" "" &amp; REGEXEXTRACT(C1550, ""🏘️ \w+ \w+ (.*) ✅"") ,  if(H1550=""quartier"",vlookup(REGEXEXTRACT(C1550, ""🏘️ \w+ \w+ (.*) ✅""),'Quartier prepositio"&amp;"ns'!A:E, 5, 0) ,  if(H1550=""region"",vlookup(REGEXEXTRACT(C1550, ""🏘️ \w+ \w+ (.*) ✅""),'Region prepositions'!B:F, 5, 0),  REGEXEXTRACT(C1550, ""🏘️ \w+ \w+ (.*) ✅""))))"),"Canton de Zoug")</f>
        <v>Canton de Zoug</v>
      </c>
      <c r="F1550" s="2" t="str">
        <f>IFERROR(__xludf.DUMMYFUNCTION("REGEXEXTRACT(C1550, ""🏘️ (\w+) \w+ .* ✅"")"),"Louer")</f>
        <v>Louer</v>
      </c>
      <c r="G1550" s="2" t="str">
        <f>IFERROR(__xludf.DUMMYFUNCTION("REGEXEXTRACT(C1550, ""🏘️ \w+ (\w+) .* ✅"")"),"maison")</f>
        <v>maison</v>
      </c>
      <c r="H1550" s="4" t="str">
        <f>IFERROR(__xludf.DUMMYFUNCTION("REGEXEXTRACT(A1550, ""/(\w+)-.*?"")"),"canton")</f>
        <v>canton</v>
      </c>
      <c r="I1550" s="4" t="str">
        <f>IFERROR(__xludf.DUMMYFUNCTION("if(D1550=""variant"",  substitute(filter(Templates!E:E, Templates!A:A = F1550, Templates!B:B = G1550, Templates!C:C = H1550), ""{{}}"", E1550), B1550)"),"🏘  Vous cherchez une maison à louer dans le Canton de Zoug? ✅ Découvrez nos nombreuses annonces sur ImmoScout24.ch.")</f>
        <v>🏘  Vous cherchez une maison à louer dans le Canton de Zoug? ✅ Découvrez nos nombreuses annonces sur ImmoScout24.ch.</v>
      </c>
      <c r="J1550" s="4" t="s">
        <v>4652</v>
      </c>
    </row>
    <row r="1551">
      <c r="A1551" s="5" t="s">
        <v>4653</v>
      </c>
      <c r="B1551" s="2" t="s">
        <v>4654</v>
      </c>
      <c r="C1551" s="4" t="str">
        <f>IFERROR(__xludf.DUMMYFUNCTION("""🏘️ ""&amp;REGEXEXTRACT(B1551, ""^(.*): "")&amp;"" ✅ "" &amp;REGEXEXTRACT(B1551, ""(Trouvez.*)"")"),"🏘️ Louer appartement Orsonnens ✅ Trouvez le bien immobilier qui correspond idéalement à vos désirs sur ImmoScout24 - La plateforme de l'immobilier en Suisse.")</f>
        <v>🏘️ Louer appartement Orsonnens ✅ Trouvez le bien immobilier qui correspond idéalement à vos désirs sur ImmoScout24 - La plateforme de l'immobilier en Suisse.</v>
      </c>
      <c r="D1551" s="4" t="str">
        <f>vlookup(A1551, Sheet2!D:E, 2, 0)</f>
        <v>variant</v>
      </c>
      <c r="E1551" s="4" t="str">
        <f>IFERROR(__xludf.DUMMYFUNCTION("if(H1551=""pays"",vlookup(REGEXEXTRACT(C1551, ""🏘️ \w+ \w+ (.*) ✅""),'Country prepositions'!A:B, 2, 0) &amp; "" "" &amp; REGEXEXTRACT(C1551, ""🏘️ \w+ \w+ (.*) ✅"") ,  if(H1551=""quartier"",vlookup(REGEXEXTRACT(C1551, ""🏘️ \w+ \w+ (.*) ✅""),'Quartier prepositio"&amp;"ns'!A:E, 5, 0) ,  if(H1551=""region"",vlookup(REGEXEXTRACT(C1551, ""🏘️ \w+ \w+ (.*) ✅""),'Region prepositions'!B:F, 5, 0),  REGEXEXTRACT(C1551, ""🏘️ \w+ \w+ (.*) ✅""))))"),"Orsonnens")</f>
        <v>Orsonnens</v>
      </c>
      <c r="F1551" s="2" t="str">
        <f>IFERROR(__xludf.DUMMYFUNCTION("REGEXEXTRACT(C1551, ""🏘️ (\w+) \w+ .* ✅"")"),"Louer")</f>
        <v>Louer</v>
      </c>
      <c r="G1551" s="2" t="str">
        <f>IFERROR(__xludf.DUMMYFUNCTION("REGEXEXTRACT(C1551, ""🏘️ \w+ (\w+) .* ✅"")"),"appartement")</f>
        <v>appartement</v>
      </c>
      <c r="H1551" s="4" t="str">
        <f>IFERROR(__xludf.DUMMYFUNCTION("REGEXEXTRACT(A1551, ""/(\w+)-.*?"")"),"lieu")</f>
        <v>lieu</v>
      </c>
      <c r="I1551" s="4" t="str">
        <f>IFERROR(__xludf.DUMMYFUNCTION("if(D1551=""variant"",  substitute(filter(Templates!E:E, Templates!A:A = F1551, Templates!B:B = G1551, Templates!C:C = H1551), ""{{}}"", E1551), B1551)"),"🏘  Vous cherchez un appartement à louer à Orsonnens? ✅ Les annonces les plus actuelles sont sur ImmoScout24.ch.")</f>
        <v>🏘  Vous cherchez un appartement à louer à Orsonnens? ✅ Les annonces les plus actuelles sont sur ImmoScout24.ch.</v>
      </c>
      <c r="J1551" s="4" t="s">
        <v>4655</v>
      </c>
    </row>
    <row r="1552">
      <c r="A1552" s="5" t="s">
        <v>4656</v>
      </c>
      <c r="B1552" s="2" t="s">
        <v>4657</v>
      </c>
      <c r="C1552" s="4" t="str">
        <f>IFERROR(__xludf.DUMMYFUNCTION("""🏘️ ""&amp;REGEXEXTRACT(B1552, ""^(.*): "")&amp;"" ✅ "" &amp;REGEXEXTRACT(B1552, ""(Trouvez.*)"")"),"🏘️ Louer appartement Cressier NE ✅ Trouvez le bien immobilier qui correspond idéalement à vos désirs sur ImmoScout24 - La plateforme de l'immobilier en Suisse.")</f>
        <v>🏘️ Louer appartement Cressier NE ✅ Trouvez le bien immobilier qui correspond idéalement à vos désirs sur ImmoScout24 - La plateforme de l'immobilier en Suisse.</v>
      </c>
      <c r="D1552" s="4" t="str">
        <f>vlookup(A1552, Sheet2!D:E, 2, 0)</f>
        <v>variant</v>
      </c>
      <c r="E1552" s="4" t="str">
        <f>IFERROR(__xludf.DUMMYFUNCTION("if(H1552=""pays"",vlookup(REGEXEXTRACT(C1552, ""🏘️ \w+ \w+ (.*) ✅""),'Country prepositions'!A:B, 2, 0) &amp; "" "" &amp; REGEXEXTRACT(C1552, ""🏘️ \w+ \w+ (.*) ✅"") ,  if(H1552=""quartier"",vlookup(REGEXEXTRACT(C1552, ""🏘️ \w+ \w+ (.*) ✅""),'Quartier prepositio"&amp;"ns'!A:E, 5, 0) ,  if(H1552=""region"",vlookup(REGEXEXTRACT(C1552, ""🏘️ \w+ \w+ (.*) ✅""),'Region prepositions'!B:F, 5, 0),  REGEXEXTRACT(C1552, ""🏘️ \w+ \w+ (.*) ✅""))))"),"Cressier NE")</f>
        <v>Cressier NE</v>
      </c>
      <c r="F1552" s="2" t="str">
        <f>IFERROR(__xludf.DUMMYFUNCTION("REGEXEXTRACT(C1552, ""🏘️ (\w+) \w+ .* ✅"")"),"Louer")</f>
        <v>Louer</v>
      </c>
      <c r="G1552" s="2" t="str">
        <f>IFERROR(__xludf.DUMMYFUNCTION("REGEXEXTRACT(C1552, ""🏘️ \w+ (\w+) .* ✅"")"),"appartement")</f>
        <v>appartement</v>
      </c>
      <c r="H1552" s="4" t="str">
        <f>IFERROR(__xludf.DUMMYFUNCTION("REGEXEXTRACT(A1552, ""/(\w+)-.*?"")"),"lieu")</f>
        <v>lieu</v>
      </c>
      <c r="I1552" s="4" t="str">
        <f>IFERROR(__xludf.DUMMYFUNCTION("if(D1552=""variant"",  substitute(filter(Templates!E:E, Templates!A:A = F1552, Templates!B:B = G1552, Templates!C:C = H1552), ""{{}}"", E1552), B1552)"),"🏘  Vous cherchez un appartement à louer à Cressier NE? ✅ Les annonces les plus actuelles sont sur ImmoScout24.ch.")</f>
        <v>🏘  Vous cherchez un appartement à louer à Cressier NE? ✅ Les annonces les plus actuelles sont sur ImmoScout24.ch.</v>
      </c>
      <c r="J1552" s="4" t="s">
        <v>4658</v>
      </c>
    </row>
    <row r="1553">
      <c r="A1553" s="5" t="s">
        <v>4659</v>
      </c>
      <c r="B1553" s="2" t="s">
        <v>4660</v>
      </c>
      <c r="C1553" s="4" t="str">
        <f>IFERROR(__xludf.DUMMYFUNCTION("""🏘️ ""&amp;REGEXEXTRACT(B1553, ""^(.*): "")&amp;"" ✅ "" &amp;REGEXEXTRACT(B1553, ""(Trouvez.*)"")"),"🏘️ Vendre appartement Ascona ✅ Trouvez le bien immobilier qui correspond idéalement à vos désirs sur ImmoScout24 - La plateforme de l'immobilier en Suisse.")</f>
        <v>🏘️ Vendre appartement Ascona ✅ Trouvez le bien immobilier qui correspond idéalement à vos désirs sur ImmoScout24 - La plateforme de l'immobilier en Suisse.</v>
      </c>
      <c r="D1553" s="4" t="str">
        <f>vlookup(A1553, Sheet2!D:E, 2, 0)</f>
        <v>variant</v>
      </c>
      <c r="E1553" s="4" t="str">
        <f>IFERROR(__xludf.DUMMYFUNCTION("if(H1553=""pays"",vlookup(REGEXEXTRACT(C1553, ""🏘️ \w+ \w+ (.*) ✅""),'Country prepositions'!A:B, 2, 0) &amp; "" "" &amp; REGEXEXTRACT(C1553, ""🏘️ \w+ \w+ (.*) ✅"") ,  if(H1553=""quartier"",vlookup(REGEXEXTRACT(C1553, ""🏘️ \w+ \w+ (.*) ✅""),'Quartier prepositio"&amp;"ns'!A:E, 5, 0) ,  if(H1553=""region"",vlookup(REGEXEXTRACT(C1553, ""🏘️ \w+ \w+ (.*) ✅""),'Region prepositions'!B:F, 5, 0),  REGEXEXTRACT(C1553, ""🏘️ \w+ \w+ (.*) ✅""))))"),"Ascona")</f>
        <v>Ascona</v>
      </c>
      <c r="F1553" s="2" t="str">
        <f>IFERROR(__xludf.DUMMYFUNCTION("REGEXEXTRACT(C1553, ""🏘️ (\w+) \w+ .* ✅"")"),"Vendre")</f>
        <v>Vendre</v>
      </c>
      <c r="G1553" s="2" t="str">
        <f>IFERROR(__xludf.DUMMYFUNCTION("REGEXEXTRACT(C1553, ""🏘️ \w+ (\w+) .* ✅"")"),"appartement")</f>
        <v>appartement</v>
      </c>
      <c r="H1553" s="4" t="str">
        <f>IFERROR(__xludf.DUMMYFUNCTION("REGEXEXTRACT(A1553, ""/(\w+)-.*?"")"),"lieu")</f>
        <v>lieu</v>
      </c>
      <c r="I1553" s="4" t="str">
        <f>IFERROR(__xludf.DUMMYFUNCTION("if(D1553=""variant"",  substitute(filter(Templates!E:E, Templates!A:A = F1553, Templates!B:B = G1553, Templates!C:C = H1553), ""{{}}"", E1553), B1553)"),"🏘  L’appartement de vos rêves se trouve sur ImmoScout24.ch ✅ Découvrez les dernières annonces de vente à Ascona.")</f>
        <v>🏘  L’appartement de vos rêves se trouve sur ImmoScout24.ch ✅ Découvrez les dernières annonces de vente à Ascona.</v>
      </c>
      <c r="J1553" s="4" t="s">
        <v>4661</v>
      </c>
    </row>
    <row r="1554">
      <c r="A1554" s="5" t="s">
        <v>4662</v>
      </c>
      <c r="B1554" s="2" t="s">
        <v>4663</v>
      </c>
      <c r="C1554" s="4" t="str">
        <f>IFERROR(__xludf.DUMMYFUNCTION("""🏘️ ""&amp;REGEXEXTRACT(B1554, ""^(.*): "")&amp;"" ✅ "" &amp;REGEXEXTRACT(B1554, ""(Trouvez.*)"")"),"🏘️ Louer appartement Solothurn ✅ Trouvez le bien immobilier qui correspond idéalement à vos désirs sur ImmoScout24 - La plateforme de l'immobilier en Suisse.")</f>
        <v>🏘️ Louer appartement Solothurn ✅ Trouvez le bien immobilier qui correspond idéalement à vos désirs sur ImmoScout24 - La plateforme de l'immobilier en Suisse.</v>
      </c>
      <c r="D1554" s="4" t="str">
        <f>vlookup(A1554, Sheet2!D:E, 2, 0)</f>
        <v>variant</v>
      </c>
      <c r="E1554" s="4" t="str">
        <f>IFERROR(__xludf.DUMMYFUNCTION("if(H1554=""pays"",vlookup(REGEXEXTRACT(C1554, ""🏘️ \w+ \w+ (.*) ✅""),'Country prepositions'!A:B, 2, 0) &amp; "" "" &amp; REGEXEXTRACT(C1554, ""🏘️ \w+ \w+ (.*) ✅"") ,  if(H1554=""quartier"",vlookup(REGEXEXTRACT(C1554, ""🏘️ \w+ \w+ (.*) ✅""),'Quartier prepositio"&amp;"ns'!A:E, 5, 0) ,  if(H1554=""region"",vlookup(REGEXEXTRACT(C1554, ""🏘️ \w+ \w+ (.*) ✅""),'Region prepositions'!B:F, 5, 0),  REGEXEXTRACT(C1554, ""🏘️ \w+ \w+ (.*) ✅""))))"),"Solothurn")</f>
        <v>Solothurn</v>
      </c>
      <c r="F1554" s="2" t="str">
        <f>IFERROR(__xludf.DUMMYFUNCTION("REGEXEXTRACT(C1554, ""🏘️ (\w+) \w+ .* ✅"")"),"Louer")</f>
        <v>Louer</v>
      </c>
      <c r="G1554" s="2" t="str">
        <f>IFERROR(__xludf.DUMMYFUNCTION("REGEXEXTRACT(C1554, ""🏘️ \w+ (\w+) .* ✅"")"),"appartement")</f>
        <v>appartement</v>
      </c>
      <c r="H1554" s="4" t="str">
        <f>IFERROR(__xludf.DUMMYFUNCTION("REGEXEXTRACT(A1554, ""/(\w+)-.*?"")"),"lieu")</f>
        <v>lieu</v>
      </c>
      <c r="I1554" s="4" t="str">
        <f>IFERROR(__xludf.DUMMYFUNCTION("if(D1554=""variant"",  substitute(filter(Templates!E:E, Templates!A:A = F1554, Templates!B:B = G1554, Templates!C:C = H1554), ""{{}}"", E1554), B1554)"),"🏘  Vous cherchez un appartement à louer à Solothurn? ✅ Les annonces les plus actuelles sont sur ImmoScout24.ch.")</f>
        <v>🏘  Vous cherchez un appartement à louer à Solothurn? ✅ Les annonces les plus actuelles sont sur ImmoScout24.ch.</v>
      </c>
      <c r="J1554" s="4" t="s">
        <v>4664</v>
      </c>
    </row>
    <row r="1555">
      <c r="A1555" s="5" t="s">
        <v>4665</v>
      </c>
      <c r="B1555" s="2" t="s">
        <v>4666</v>
      </c>
      <c r="C1555" s="4" t="str">
        <f>IFERROR(__xludf.DUMMYFUNCTION("""🏘️ ""&amp;REGEXEXTRACT(B1555, ""^(.*): "")&amp;"" ✅ "" &amp;REGEXEXTRACT(B1555, ""(Trouvez.*)"")"),"🏘️ Louer maison La Sagne NE ✅ Trouvez le bien immobilier qui correspond idéalement à vos désirs sur ImmoScout24 - La plateforme de l'immobilier en Suisse.")</f>
        <v>🏘️ Louer maison La Sagne NE ✅ Trouvez le bien immobilier qui correspond idéalement à vos désirs sur ImmoScout24 - La plateforme de l'immobilier en Suisse.</v>
      </c>
      <c r="D1555" s="4" t="str">
        <f>vlookup(A1555, Sheet2!D:E, 2, 0)</f>
        <v>variant</v>
      </c>
      <c r="E1555" s="4" t="str">
        <f>IFERROR(__xludf.DUMMYFUNCTION("if(H1555=""pays"",vlookup(REGEXEXTRACT(C1555, ""🏘️ \w+ \w+ (.*) ✅""),'Country prepositions'!A:B, 2, 0) &amp; "" "" &amp; REGEXEXTRACT(C1555, ""🏘️ \w+ \w+ (.*) ✅"") ,  if(H1555=""quartier"",vlookup(REGEXEXTRACT(C1555, ""🏘️ \w+ \w+ (.*) ✅""),'Quartier prepositio"&amp;"ns'!A:E, 5, 0) ,  if(H1555=""region"",vlookup(REGEXEXTRACT(C1555, ""🏘️ \w+ \w+ (.*) ✅""),'Region prepositions'!B:F, 5, 0),  REGEXEXTRACT(C1555, ""🏘️ \w+ \w+ (.*) ✅""))))"),"La Sagne NE")</f>
        <v>La Sagne NE</v>
      </c>
      <c r="F1555" s="2" t="str">
        <f>IFERROR(__xludf.DUMMYFUNCTION("REGEXEXTRACT(C1555, ""🏘️ (\w+) \w+ .* ✅"")"),"Louer")</f>
        <v>Louer</v>
      </c>
      <c r="G1555" s="2" t="str">
        <f>IFERROR(__xludf.DUMMYFUNCTION("REGEXEXTRACT(C1555, ""🏘️ \w+ (\w+) .* ✅"")"),"maison")</f>
        <v>maison</v>
      </c>
      <c r="H1555" s="4" t="str">
        <f>IFERROR(__xludf.DUMMYFUNCTION("REGEXEXTRACT(A1555, ""/(\w+)-.*?"")"),"lieu")</f>
        <v>lieu</v>
      </c>
      <c r="I1555" s="4" t="str">
        <f>IFERROR(__xludf.DUMMYFUNCTION("if(D1555=""variant"",  substitute(filter(Templates!E:E, Templates!A:A = F1555, Templates!B:B = G1555, Templates!C:C = H1555), ""{{}}"", E1555), B1555)"),"🏘  Vous cherchez une maison à louer à La Sagne NE? ✅ Découvrez nos nombreuses annonces sur ImmoScout24.ch.")</f>
        <v>🏘  Vous cherchez une maison à louer à La Sagne NE? ✅ Découvrez nos nombreuses annonces sur ImmoScout24.ch.</v>
      </c>
      <c r="J1555" s="4" t="s">
        <v>4667</v>
      </c>
    </row>
    <row r="1556">
      <c r="A1556" s="5" t="s">
        <v>4668</v>
      </c>
      <c r="B1556" s="2" t="s">
        <v>4669</v>
      </c>
      <c r="C1556" s="4" t="str">
        <f>IFERROR(__xludf.DUMMYFUNCTION("""🏘️ ""&amp;REGEXEXTRACT(B1556, ""^(.*): "")&amp;"" ✅ "" &amp;REGEXEXTRACT(B1556, ""(Trouvez.*)"")"),"🏘️ Vendre maison Collonge-Bellerive ✅ Trouvez le bien immobilier qui correspond idéalement à vos désirs sur ImmoScout24 - La plateforme de l'immobilier en Suisse.")</f>
        <v>🏘️ Vendre maison Collonge-Bellerive ✅ Trouvez le bien immobilier qui correspond idéalement à vos désirs sur ImmoScout24 - La plateforme de l'immobilier en Suisse.</v>
      </c>
      <c r="D1556" s="4" t="str">
        <f>vlookup(A1556, Sheet2!D:E, 2, 0)</f>
        <v>variant</v>
      </c>
      <c r="E1556" s="4" t="str">
        <f>IFERROR(__xludf.DUMMYFUNCTION("if(H1556=""pays"",vlookup(REGEXEXTRACT(C1556, ""🏘️ \w+ \w+ (.*) ✅""),'Country prepositions'!A:B, 2, 0) &amp; "" "" &amp; REGEXEXTRACT(C1556, ""🏘️ \w+ \w+ (.*) ✅"") ,  if(H1556=""quartier"",vlookup(REGEXEXTRACT(C1556, ""🏘️ \w+ \w+ (.*) ✅""),'Quartier prepositio"&amp;"ns'!A:E, 5, 0) ,  if(H1556=""region"",vlookup(REGEXEXTRACT(C1556, ""🏘️ \w+ \w+ (.*) ✅""),'Region prepositions'!B:F, 5, 0),  REGEXEXTRACT(C1556, ""🏘️ \w+ \w+ (.*) ✅""))))"),"Collonge-Bellerive")</f>
        <v>Collonge-Bellerive</v>
      </c>
      <c r="F1556" s="2" t="str">
        <f>IFERROR(__xludf.DUMMYFUNCTION("REGEXEXTRACT(C1556, ""🏘️ (\w+) \w+ .* ✅"")"),"Vendre")</f>
        <v>Vendre</v>
      </c>
      <c r="G1556" s="2" t="str">
        <f>IFERROR(__xludf.DUMMYFUNCTION("REGEXEXTRACT(C1556, ""🏘️ \w+ (\w+) .* ✅"")"),"maison")</f>
        <v>maison</v>
      </c>
      <c r="H1556" s="4" t="str">
        <f>IFERROR(__xludf.DUMMYFUNCTION("REGEXEXTRACT(A1556, ""/(\w+)-.*?"")"),"lieu")</f>
        <v>lieu</v>
      </c>
      <c r="I1556" s="4" t="str">
        <f>IFERROR(__xludf.DUMMYFUNCTION("if(D1556=""variant"",  substitute(filter(Templates!E:E, Templates!A:A = F1556, Templates!B:B = G1556, Templates!C:C = H1556), ""{{}}"", E1556), B1556)"),"🏘  Vous souhaitez acheter une maison à Collonge-Bellerive? ✅ Jetez un œil aux dernières offres sur ImmoScout24.ch.")</f>
        <v>🏘  Vous souhaitez acheter une maison à Collonge-Bellerive? ✅ Jetez un œil aux dernières offres sur ImmoScout24.ch.</v>
      </c>
      <c r="J1556" s="4" t="s">
        <v>4670</v>
      </c>
    </row>
    <row r="1557">
      <c r="A1557" s="5" t="s">
        <v>4671</v>
      </c>
      <c r="B1557" s="2" t="s">
        <v>4672</v>
      </c>
      <c r="C1557" s="4" t="str">
        <f>IFERROR(__xludf.DUMMYFUNCTION("""🏘️ ""&amp;REGEXEXTRACT(B1557, ""^(.*): "")&amp;"" ✅ "" &amp;REGEXEXTRACT(B1557, ""(Trouvez.*)"")"),"🏘️ Louer appartement Corjolens ✅ Trouvez le bien immobilier qui correspond idéalement à vos désirs sur ImmoScout24 - La plateforme de l'immobilier en Suisse.")</f>
        <v>🏘️ Louer appartement Corjolens ✅ Trouvez le bien immobilier qui correspond idéalement à vos désirs sur ImmoScout24 - La plateforme de l'immobilier en Suisse.</v>
      </c>
      <c r="D1557" s="4" t="str">
        <f>vlookup(A1557, Sheet2!D:E, 2, 0)</f>
        <v>variant</v>
      </c>
      <c r="E1557" s="4" t="str">
        <f>IFERROR(__xludf.DUMMYFUNCTION("if(H1557=""pays"",vlookup(REGEXEXTRACT(C1557, ""🏘️ \w+ \w+ (.*) ✅""),'Country prepositions'!A:B, 2, 0) &amp; "" "" &amp; REGEXEXTRACT(C1557, ""🏘️ \w+ \w+ (.*) ✅"") ,  if(H1557=""quartier"",vlookup(REGEXEXTRACT(C1557, ""🏘️ \w+ \w+ (.*) ✅""),'Quartier prepositio"&amp;"ns'!A:E, 5, 0) ,  if(H1557=""region"",vlookup(REGEXEXTRACT(C1557, ""🏘️ \w+ \w+ (.*) ✅""),'Region prepositions'!B:F, 5, 0),  REGEXEXTRACT(C1557, ""🏘️ \w+ \w+ (.*) ✅""))))"),"Corjolens")</f>
        <v>Corjolens</v>
      </c>
      <c r="F1557" s="2" t="str">
        <f>IFERROR(__xludf.DUMMYFUNCTION("REGEXEXTRACT(C1557, ""🏘️ (\w+) \w+ .* ✅"")"),"Louer")</f>
        <v>Louer</v>
      </c>
      <c r="G1557" s="2" t="str">
        <f>IFERROR(__xludf.DUMMYFUNCTION("REGEXEXTRACT(C1557, ""🏘️ \w+ (\w+) .* ✅"")"),"appartement")</f>
        <v>appartement</v>
      </c>
      <c r="H1557" s="4" t="str">
        <f>IFERROR(__xludf.DUMMYFUNCTION("REGEXEXTRACT(A1557, ""/(\w+)-.*?"")"),"lieu")</f>
        <v>lieu</v>
      </c>
      <c r="I1557" s="4" t="str">
        <f>IFERROR(__xludf.DUMMYFUNCTION("if(D1557=""variant"",  substitute(filter(Templates!E:E, Templates!A:A = F1557, Templates!B:B = G1557, Templates!C:C = H1557), ""{{}}"", E1557), B1557)"),"🏘  Vous cherchez un appartement à louer à Corjolens? ✅ Les annonces les plus actuelles sont sur ImmoScout24.ch.")</f>
        <v>🏘  Vous cherchez un appartement à louer à Corjolens? ✅ Les annonces les plus actuelles sont sur ImmoScout24.ch.</v>
      </c>
      <c r="J1557" s="4" t="s">
        <v>4673</v>
      </c>
    </row>
    <row r="1558">
      <c r="A1558" s="5" t="s">
        <v>4674</v>
      </c>
      <c r="B1558" s="2" t="s">
        <v>4675</v>
      </c>
      <c r="C1558" s="4" t="str">
        <f>IFERROR(__xludf.DUMMYFUNCTION("""🏘️ ""&amp;REGEXEXTRACT(B1558, ""^(.*): "")&amp;"" ✅ "" &amp;REGEXEXTRACT(B1558, ""(Trouvez.*)"")"),"🏘️ Louer maison Sonvilier ✅ Trouvez le bien immobilier qui correspond idéalement à vos désirs sur ImmoScout24 - La plateforme de l'immobilier en Suisse.")</f>
        <v>🏘️ Louer maison Sonvilier ✅ Trouvez le bien immobilier qui correspond idéalement à vos désirs sur ImmoScout24 - La plateforme de l'immobilier en Suisse.</v>
      </c>
      <c r="D1558" s="4" t="str">
        <f>vlookup(A1558, Sheet2!D:E, 2, 0)</f>
        <v>variant</v>
      </c>
      <c r="E1558" s="4" t="str">
        <f>IFERROR(__xludf.DUMMYFUNCTION("if(H1558=""pays"",vlookup(REGEXEXTRACT(C1558, ""🏘️ \w+ \w+ (.*) ✅""),'Country prepositions'!A:B, 2, 0) &amp; "" "" &amp; REGEXEXTRACT(C1558, ""🏘️ \w+ \w+ (.*) ✅"") ,  if(H1558=""quartier"",vlookup(REGEXEXTRACT(C1558, ""🏘️ \w+ \w+ (.*) ✅""),'Quartier prepositio"&amp;"ns'!A:E, 5, 0) ,  if(H1558=""region"",vlookup(REGEXEXTRACT(C1558, ""🏘️ \w+ \w+ (.*) ✅""),'Region prepositions'!B:F, 5, 0),  REGEXEXTRACT(C1558, ""🏘️ \w+ \w+ (.*) ✅""))))"),"Sonvilier")</f>
        <v>Sonvilier</v>
      </c>
      <c r="F1558" s="2" t="str">
        <f>IFERROR(__xludf.DUMMYFUNCTION("REGEXEXTRACT(C1558, ""🏘️ (\w+) \w+ .* ✅"")"),"Louer")</f>
        <v>Louer</v>
      </c>
      <c r="G1558" s="2" t="str">
        <f>IFERROR(__xludf.DUMMYFUNCTION("REGEXEXTRACT(C1558, ""🏘️ \w+ (\w+) .* ✅"")"),"maison")</f>
        <v>maison</v>
      </c>
      <c r="H1558" s="4" t="str">
        <f>IFERROR(__xludf.DUMMYFUNCTION("REGEXEXTRACT(A1558, ""/(\w+)-.*?"")"),"lieu")</f>
        <v>lieu</v>
      </c>
      <c r="I1558" s="4" t="str">
        <f>IFERROR(__xludf.DUMMYFUNCTION("if(D1558=""variant"",  substitute(filter(Templates!E:E, Templates!A:A = F1558, Templates!B:B = G1558, Templates!C:C = H1558), ""{{}}"", E1558), B1558)"),"🏘  Vous cherchez une maison à louer à Sonvilier? ✅ Découvrez nos nombreuses annonces sur ImmoScout24.ch.")</f>
        <v>🏘  Vous cherchez une maison à louer à Sonvilier? ✅ Découvrez nos nombreuses annonces sur ImmoScout24.ch.</v>
      </c>
      <c r="J1558" s="4" t="s">
        <v>4676</v>
      </c>
    </row>
    <row r="1559">
      <c r="A1559" s="5" t="s">
        <v>4677</v>
      </c>
      <c r="B1559" s="2" t="s">
        <v>4678</v>
      </c>
      <c r="C1559" s="4" t="str">
        <f>IFERROR(__xludf.DUMMYFUNCTION("""🏘️ ""&amp;REGEXEXTRACT(B1559, ""^(.*): "")&amp;"" ✅ "" &amp;REGEXEXTRACT(B1559, ""(Trouvez.*)"")"),"🏘️ Louer maison Vallorbe ✅ Trouvez le bien immobilier qui correspond idéalement à vos désirs sur ImmoScout24 - La plateforme de l'immobilier en Suisse.")</f>
        <v>🏘️ Louer maison Vallorbe ✅ Trouvez le bien immobilier qui correspond idéalement à vos désirs sur ImmoScout24 - La plateforme de l'immobilier en Suisse.</v>
      </c>
      <c r="D1559" s="4" t="str">
        <f>vlookup(A1559, Sheet2!D:E, 2, 0)</f>
        <v>variant</v>
      </c>
      <c r="E1559" s="4" t="str">
        <f>IFERROR(__xludf.DUMMYFUNCTION("if(H1559=""pays"",vlookup(REGEXEXTRACT(C1559, ""🏘️ \w+ \w+ (.*) ✅""),'Country prepositions'!A:B, 2, 0) &amp; "" "" &amp; REGEXEXTRACT(C1559, ""🏘️ \w+ \w+ (.*) ✅"") ,  if(H1559=""quartier"",vlookup(REGEXEXTRACT(C1559, ""🏘️ \w+ \w+ (.*) ✅""),'Quartier prepositio"&amp;"ns'!A:E, 5, 0) ,  if(H1559=""region"",vlookup(REGEXEXTRACT(C1559, ""🏘️ \w+ \w+ (.*) ✅""),'Region prepositions'!B:F, 5, 0),  REGEXEXTRACT(C1559, ""🏘️ \w+ \w+ (.*) ✅""))))"),"Vallorbe")</f>
        <v>Vallorbe</v>
      </c>
      <c r="F1559" s="2" t="str">
        <f>IFERROR(__xludf.DUMMYFUNCTION("REGEXEXTRACT(C1559, ""🏘️ (\w+) \w+ .* ✅"")"),"Louer")</f>
        <v>Louer</v>
      </c>
      <c r="G1559" s="2" t="str">
        <f>IFERROR(__xludf.DUMMYFUNCTION("REGEXEXTRACT(C1559, ""🏘️ \w+ (\w+) .* ✅"")"),"maison")</f>
        <v>maison</v>
      </c>
      <c r="H1559" s="4" t="str">
        <f>IFERROR(__xludf.DUMMYFUNCTION("REGEXEXTRACT(A1559, ""/(\w+)-.*?"")"),"lieu")</f>
        <v>lieu</v>
      </c>
      <c r="I1559" s="4" t="str">
        <f>IFERROR(__xludf.DUMMYFUNCTION("if(D1559=""variant"",  substitute(filter(Templates!E:E, Templates!A:A = F1559, Templates!B:B = G1559, Templates!C:C = H1559), ""{{}}"", E1559), B1559)"),"🏘  Vous cherchez une maison à louer à Vallorbe? ✅ Découvrez nos nombreuses annonces sur ImmoScout24.ch.")</f>
        <v>🏘  Vous cherchez une maison à louer à Vallorbe? ✅ Découvrez nos nombreuses annonces sur ImmoScout24.ch.</v>
      </c>
      <c r="J1559" s="4" t="s">
        <v>4679</v>
      </c>
    </row>
    <row r="1560">
      <c r="A1560" s="5" t="s">
        <v>4680</v>
      </c>
      <c r="B1560" s="2" t="s">
        <v>4681</v>
      </c>
      <c r="C1560" s="4" t="str">
        <f>IFERROR(__xludf.DUMMYFUNCTION("""🏘️ ""&amp;REGEXEXTRACT(B1560, ""^(.*): "")&amp;"" ✅ "" &amp;REGEXEXTRACT(B1560, ""(Trouvez.*)"")"),"🏘️ Louer maison Canton de Berne ✅ Trouvez le bien immobilier qui correspond idéalement à vos désirs sur ImmoScout24 - La plateforme de l'immobilier en Suisse.")</f>
        <v>🏘️ Louer maison Canton de Berne ✅ Trouvez le bien immobilier qui correspond idéalement à vos désirs sur ImmoScout24 - La plateforme de l'immobilier en Suisse.</v>
      </c>
      <c r="D1560" s="4" t="str">
        <f>vlookup(A1560, Sheet2!D:E, 2, 0)</f>
        <v>variant</v>
      </c>
      <c r="E1560" s="4" t="str">
        <f>IFERROR(__xludf.DUMMYFUNCTION("if(H1560=""pays"",vlookup(REGEXEXTRACT(C1560, ""🏘️ \w+ \w+ (.*) ✅""),'Country prepositions'!A:B, 2, 0) &amp; "" "" &amp; REGEXEXTRACT(C1560, ""🏘️ \w+ \w+ (.*) ✅"") ,  if(H1560=""quartier"",vlookup(REGEXEXTRACT(C1560, ""🏘️ \w+ \w+ (.*) ✅""),'Quartier prepositio"&amp;"ns'!A:E, 5, 0) ,  if(H1560=""region"",vlookup(REGEXEXTRACT(C1560, ""🏘️ \w+ \w+ (.*) ✅""),'Region prepositions'!B:F, 5, 0),  REGEXEXTRACT(C1560, ""🏘️ \w+ \w+ (.*) ✅""))))"),"Canton de Berne")</f>
        <v>Canton de Berne</v>
      </c>
      <c r="F1560" s="2" t="str">
        <f>IFERROR(__xludf.DUMMYFUNCTION("REGEXEXTRACT(C1560, ""🏘️ (\w+) \w+ .* ✅"")"),"Louer")</f>
        <v>Louer</v>
      </c>
      <c r="G1560" s="2" t="str">
        <f>IFERROR(__xludf.DUMMYFUNCTION("REGEXEXTRACT(C1560, ""🏘️ \w+ (\w+) .* ✅"")"),"maison")</f>
        <v>maison</v>
      </c>
      <c r="H1560" s="4" t="str">
        <f>IFERROR(__xludf.DUMMYFUNCTION("REGEXEXTRACT(A1560, ""/(\w+)-.*?"")"),"canton")</f>
        <v>canton</v>
      </c>
      <c r="I1560" s="4" t="str">
        <f>IFERROR(__xludf.DUMMYFUNCTION("if(D1560=""variant"",  substitute(filter(Templates!E:E, Templates!A:A = F1560, Templates!B:B = G1560, Templates!C:C = H1560), ""{{}}"", E1560), B1560)"),"🏘  Vous cherchez une maison à louer dans le Canton de Berne? ✅ Découvrez nos nombreuses annonces sur ImmoScout24.ch.")</f>
        <v>🏘  Vous cherchez une maison à louer dans le Canton de Berne? ✅ Découvrez nos nombreuses annonces sur ImmoScout24.ch.</v>
      </c>
      <c r="J1560" s="4" t="s">
        <v>4682</v>
      </c>
    </row>
    <row r="1561">
      <c r="A1561" s="5" t="s">
        <v>4683</v>
      </c>
      <c r="B1561" s="2" t="s">
        <v>4684</v>
      </c>
      <c r="C1561" s="4" t="str">
        <f>IFERROR(__xludf.DUMMYFUNCTION("""🏘️ ""&amp;REGEXEXTRACT(B1561, ""^(.*): "")&amp;"" ✅ "" &amp;REGEXEXTRACT(B1561, ""(Trouvez.*)"")"),"🏘️ Vendre maison Vevey ✅ Trouvez le bien immobilier qui correspond idéalement à vos désirs sur ImmoScout24 - La plateforme de l'immobilier en Suisse.")</f>
        <v>🏘️ Vendre maison Vevey ✅ Trouvez le bien immobilier qui correspond idéalement à vos désirs sur ImmoScout24 - La plateforme de l'immobilier en Suisse.</v>
      </c>
      <c r="D1561" s="4" t="str">
        <f>vlookup(A1561, Sheet2!D:E, 2, 0)</f>
        <v>variant</v>
      </c>
      <c r="E1561" s="4" t="str">
        <f>IFERROR(__xludf.DUMMYFUNCTION("if(H1561=""pays"",vlookup(REGEXEXTRACT(C1561, ""🏘️ \w+ \w+ (.*) ✅""),'Country prepositions'!A:B, 2, 0) &amp; "" "" &amp; REGEXEXTRACT(C1561, ""🏘️ \w+ \w+ (.*) ✅"") ,  if(H1561=""quartier"",vlookup(REGEXEXTRACT(C1561, ""🏘️ \w+ \w+ (.*) ✅""),'Quartier prepositio"&amp;"ns'!A:E, 5, 0) ,  if(H1561=""region"",vlookup(REGEXEXTRACT(C1561, ""🏘️ \w+ \w+ (.*) ✅""),'Region prepositions'!B:F, 5, 0),  REGEXEXTRACT(C1561, ""🏘️ \w+ \w+ (.*) ✅""))))"),"Vevey")</f>
        <v>Vevey</v>
      </c>
      <c r="F1561" s="2" t="str">
        <f>IFERROR(__xludf.DUMMYFUNCTION("REGEXEXTRACT(C1561, ""🏘️ (\w+) \w+ .* ✅"")"),"Vendre")</f>
        <v>Vendre</v>
      </c>
      <c r="G1561" s="2" t="str">
        <f>IFERROR(__xludf.DUMMYFUNCTION("REGEXEXTRACT(C1561, ""🏘️ \w+ (\w+) .* ✅"")"),"maison")</f>
        <v>maison</v>
      </c>
      <c r="H1561" s="4" t="str">
        <f>IFERROR(__xludf.DUMMYFUNCTION("REGEXEXTRACT(A1561, ""/(\w+)-.*?"")"),"lieu")</f>
        <v>lieu</v>
      </c>
      <c r="I1561" s="4" t="str">
        <f>IFERROR(__xludf.DUMMYFUNCTION("if(D1561=""variant"",  substitute(filter(Templates!E:E, Templates!A:A = F1561, Templates!B:B = G1561, Templates!C:C = H1561), ""{{}}"", E1561), B1561)"),"🏘  Vous souhaitez acheter une maison à Vevey? ✅ Jetez un œil aux dernières offres sur ImmoScout24.ch.")</f>
        <v>🏘  Vous souhaitez acheter une maison à Vevey? ✅ Jetez un œil aux dernières offres sur ImmoScout24.ch.</v>
      </c>
      <c r="J1561" s="4" t="s">
        <v>4685</v>
      </c>
    </row>
    <row r="1562">
      <c r="A1562" s="5" t="s">
        <v>4686</v>
      </c>
      <c r="B1562" s="2" t="s">
        <v>4687</v>
      </c>
      <c r="C1562" s="4" t="str">
        <f>IFERROR(__xludf.DUMMYFUNCTION("""🏘️ ""&amp;REGEXEXTRACT(B1562, ""^(.*): "")&amp;"" ✅ "" &amp;REGEXEXTRACT(B1562, ""(Trouvez.*)"")"),"🏘️ Louer appartement St. Silvester ✅ Trouvez le bien immobilier qui correspond idéalement à vos désirs sur ImmoScout24 - La plateforme de l'immobilier en Suisse.")</f>
        <v>🏘️ Louer appartement St. Silvester ✅ Trouvez le bien immobilier qui correspond idéalement à vos désirs sur ImmoScout24 - La plateforme de l'immobilier en Suisse.</v>
      </c>
      <c r="D1562" s="4" t="str">
        <f>vlookup(A1562, Sheet2!D:E, 2, 0)</f>
        <v>variant</v>
      </c>
      <c r="E1562" s="4" t="str">
        <f>IFERROR(__xludf.DUMMYFUNCTION("if(H1562=""pays"",vlookup(REGEXEXTRACT(C1562, ""🏘️ \w+ \w+ (.*) ✅""),'Country prepositions'!A:B, 2, 0) &amp; "" "" &amp; REGEXEXTRACT(C1562, ""🏘️ \w+ \w+ (.*) ✅"") ,  if(H1562=""quartier"",vlookup(REGEXEXTRACT(C1562, ""🏘️ \w+ \w+ (.*) ✅""),'Quartier prepositio"&amp;"ns'!A:E, 5, 0) ,  if(H1562=""region"",vlookup(REGEXEXTRACT(C1562, ""🏘️ \w+ \w+ (.*) ✅""),'Region prepositions'!B:F, 5, 0),  REGEXEXTRACT(C1562, ""🏘️ \w+ \w+ (.*) ✅""))))"),"St. Silvester")</f>
        <v>St. Silvester</v>
      </c>
      <c r="F1562" s="2" t="str">
        <f>IFERROR(__xludf.DUMMYFUNCTION("REGEXEXTRACT(C1562, ""🏘️ (\w+) \w+ .* ✅"")"),"Louer")</f>
        <v>Louer</v>
      </c>
      <c r="G1562" s="2" t="str">
        <f>IFERROR(__xludf.DUMMYFUNCTION("REGEXEXTRACT(C1562, ""🏘️ \w+ (\w+) .* ✅"")"),"appartement")</f>
        <v>appartement</v>
      </c>
      <c r="H1562" s="4" t="str">
        <f>IFERROR(__xludf.DUMMYFUNCTION("REGEXEXTRACT(A1562, ""/(\w+)-.*?"")"),"lieu")</f>
        <v>lieu</v>
      </c>
      <c r="I1562" s="4" t="str">
        <f>IFERROR(__xludf.DUMMYFUNCTION("if(D1562=""variant"",  substitute(filter(Templates!E:E, Templates!A:A = F1562, Templates!B:B = G1562, Templates!C:C = H1562), ""{{}}"", E1562), B1562)"),"🏘  Vous cherchez un appartement à louer à St. Silvester? ✅ Les annonces les plus actuelles sont sur ImmoScout24.ch.")</f>
        <v>🏘  Vous cherchez un appartement à louer à St. Silvester? ✅ Les annonces les plus actuelles sont sur ImmoScout24.ch.</v>
      </c>
      <c r="J1562" s="4" t="s">
        <v>4688</v>
      </c>
    </row>
    <row r="1563">
      <c r="A1563" s="5" t="s">
        <v>4689</v>
      </c>
      <c r="B1563" s="2" t="s">
        <v>4690</v>
      </c>
      <c r="C1563" s="4" t="str">
        <f>IFERROR(__xludf.DUMMYFUNCTION("""🏘️ ""&amp;REGEXEXTRACT(B1563, ""^(.*): "")&amp;"" ✅ "" &amp;REGEXEXTRACT(B1563, ""(Trouvez.*)"")"),"🏘️ Vendre maison Le Bémont JU ✅ Trouvez le bien immobilier qui correspond idéalement à vos désirs sur ImmoScout24 - La plateforme de l'immobilier en Suisse.")</f>
        <v>🏘️ Vendre maison Le Bémont JU ✅ Trouvez le bien immobilier qui correspond idéalement à vos désirs sur ImmoScout24 - La plateforme de l'immobilier en Suisse.</v>
      </c>
      <c r="D1563" s="4" t="str">
        <f>vlookup(A1563, Sheet2!D:E, 2, 0)</f>
        <v>variant</v>
      </c>
      <c r="E1563" s="4" t="str">
        <f>IFERROR(__xludf.DUMMYFUNCTION("if(H1563=""pays"",vlookup(REGEXEXTRACT(C1563, ""🏘️ \w+ \w+ (.*) ✅""),'Country prepositions'!A:B, 2, 0) &amp; "" "" &amp; REGEXEXTRACT(C1563, ""🏘️ \w+ \w+ (.*) ✅"") ,  if(H1563=""quartier"",vlookup(REGEXEXTRACT(C1563, ""🏘️ \w+ \w+ (.*) ✅""),'Quartier prepositio"&amp;"ns'!A:E, 5, 0) ,  if(H1563=""region"",vlookup(REGEXEXTRACT(C1563, ""🏘️ \w+ \w+ (.*) ✅""),'Region prepositions'!B:F, 5, 0),  REGEXEXTRACT(C1563, ""🏘️ \w+ \w+ (.*) ✅""))))"),"Le Bémont JU")</f>
        <v>Le Bémont JU</v>
      </c>
      <c r="F1563" s="2" t="str">
        <f>IFERROR(__xludf.DUMMYFUNCTION("REGEXEXTRACT(C1563, ""🏘️ (\w+) \w+ .* ✅"")"),"Vendre")</f>
        <v>Vendre</v>
      </c>
      <c r="G1563" s="2" t="str">
        <f>IFERROR(__xludf.DUMMYFUNCTION("REGEXEXTRACT(C1563, ""🏘️ \w+ (\w+) .* ✅"")"),"maison")</f>
        <v>maison</v>
      </c>
      <c r="H1563" s="4" t="str">
        <f>IFERROR(__xludf.DUMMYFUNCTION("REGEXEXTRACT(A1563, ""/(\w+)-.*?"")"),"lieu")</f>
        <v>lieu</v>
      </c>
      <c r="I1563" s="4" t="str">
        <f>IFERROR(__xludf.DUMMYFUNCTION("if(D1563=""variant"",  substitute(filter(Templates!E:E, Templates!A:A = F1563, Templates!B:B = G1563, Templates!C:C = H1563), ""{{}}"", E1563), B1563)"),"🏘  Vous souhaitez acheter une maison à Le Bémont JU? ✅ Jetez un œil aux dernières offres sur ImmoScout24.ch.")</f>
        <v>🏘  Vous souhaitez acheter une maison à Le Bémont JU? ✅ Jetez un œil aux dernières offres sur ImmoScout24.ch.</v>
      </c>
      <c r="J1563" s="2" t="s">
        <v>4691</v>
      </c>
    </row>
    <row r="1564">
      <c r="A1564" s="5" t="s">
        <v>4692</v>
      </c>
      <c r="B1564" s="2" t="s">
        <v>4693</v>
      </c>
      <c r="C1564" s="4" t="str">
        <f>IFERROR(__xludf.DUMMYFUNCTION("""🏘️ ""&amp;REGEXEXTRACT(B1564, ""^(.*): "")&amp;"" ✅ "" &amp;REGEXEXTRACT(B1564, ""(Trouvez.*)"")"),"🏘️ Louer appartement Asuel ✅ Trouvez le bien immobilier qui correspond idéalement à vos désirs sur ImmoScout24 - La plateforme de l'immobilier en Suisse.")</f>
        <v>🏘️ Louer appartement Asuel ✅ Trouvez le bien immobilier qui correspond idéalement à vos désirs sur ImmoScout24 - La plateforme de l'immobilier en Suisse.</v>
      </c>
      <c r="D1564" s="4" t="str">
        <f>vlookup(A1564, Sheet2!D:E, 2, 0)</f>
        <v>variant</v>
      </c>
      <c r="E1564" s="4" t="str">
        <f>IFERROR(__xludf.DUMMYFUNCTION("if(H1564=""pays"",vlookup(REGEXEXTRACT(C1564, ""🏘️ \w+ \w+ (.*) ✅""),'Country prepositions'!A:B, 2, 0) &amp; "" "" &amp; REGEXEXTRACT(C1564, ""🏘️ \w+ \w+ (.*) ✅"") ,  if(H1564=""quartier"",vlookup(REGEXEXTRACT(C1564, ""🏘️ \w+ \w+ (.*) ✅""),'Quartier prepositio"&amp;"ns'!A:E, 5, 0) ,  if(H1564=""region"",vlookup(REGEXEXTRACT(C1564, ""🏘️ \w+ \w+ (.*) ✅""),'Region prepositions'!B:F, 5, 0),  REGEXEXTRACT(C1564, ""🏘️ \w+ \w+ (.*) ✅""))))"),"Asuel")</f>
        <v>Asuel</v>
      </c>
      <c r="F1564" s="2" t="str">
        <f>IFERROR(__xludf.DUMMYFUNCTION("REGEXEXTRACT(C1564, ""🏘️ (\w+) \w+ .* ✅"")"),"Louer")</f>
        <v>Louer</v>
      </c>
      <c r="G1564" s="2" t="str">
        <f>IFERROR(__xludf.DUMMYFUNCTION("REGEXEXTRACT(C1564, ""🏘️ \w+ (\w+) .* ✅"")"),"appartement")</f>
        <v>appartement</v>
      </c>
      <c r="H1564" s="4" t="str">
        <f>IFERROR(__xludf.DUMMYFUNCTION("REGEXEXTRACT(A1564, ""/(\w+)-.*?"")"),"lieu")</f>
        <v>lieu</v>
      </c>
      <c r="I1564" s="4" t="str">
        <f>IFERROR(__xludf.DUMMYFUNCTION("if(D1564=""variant"",  substitute(filter(Templates!E:E, Templates!A:A = F1564, Templates!B:B = G1564, Templates!C:C = H1564), ""{{}}"", E1564), B1564)"),"🏘  Vous cherchez un appartement à louer à Asuel? ✅ Les annonces les plus actuelles sont sur ImmoScout24.ch.")</f>
        <v>🏘  Vous cherchez un appartement à louer à Asuel? ✅ Les annonces les plus actuelles sont sur ImmoScout24.ch.</v>
      </c>
      <c r="J1564" s="4" t="s">
        <v>4694</v>
      </c>
    </row>
    <row r="1565">
      <c r="A1565" s="5" t="s">
        <v>4695</v>
      </c>
      <c r="B1565" s="2" t="s">
        <v>4696</v>
      </c>
      <c r="C1565" s="4" t="str">
        <f>IFERROR(__xludf.DUMMYFUNCTION("""🏘️ ""&amp;REGEXEXTRACT(B1565, ""^(.*): "")&amp;"" ✅ "" &amp;REGEXEXTRACT(B1565, ""(Trouvez.*)"")"),"🏘️ Vendre maison Moudon ✅ Trouvez le bien immobilier qui correspond idéalement à vos désirs sur ImmoScout24 - La plateforme de l'immobilier en Suisse.")</f>
        <v>🏘️ Vendre maison Moudon ✅ Trouvez le bien immobilier qui correspond idéalement à vos désirs sur ImmoScout24 - La plateforme de l'immobilier en Suisse.</v>
      </c>
      <c r="D1565" s="4" t="str">
        <f>vlookup(A1565, Sheet2!D:E, 2, 0)</f>
        <v>variant</v>
      </c>
      <c r="E1565" s="4" t="str">
        <f>IFERROR(__xludf.DUMMYFUNCTION("if(H1565=""pays"",vlookup(REGEXEXTRACT(C1565, ""🏘️ \w+ \w+ (.*) ✅""),'Country prepositions'!A:B, 2, 0) &amp; "" "" &amp; REGEXEXTRACT(C1565, ""🏘️ \w+ \w+ (.*) ✅"") ,  if(H1565=""quartier"",vlookup(REGEXEXTRACT(C1565, ""🏘️ \w+ \w+ (.*) ✅""),'Quartier prepositio"&amp;"ns'!A:E, 5, 0) ,  if(H1565=""region"",vlookup(REGEXEXTRACT(C1565, ""🏘️ \w+ \w+ (.*) ✅""),'Region prepositions'!B:F, 5, 0),  REGEXEXTRACT(C1565, ""🏘️ \w+ \w+ (.*) ✅""))))"),"Moudon")</f>
        <v>Moudon</v>
      </c>
      <c r="F1565" s="2" t="str">
        <f>IFERROR(__xludf.DUMMYFUNCTION("REGEXEXTRACT(C1565, ""🏘️ (\w+) \w+ .* ✅"")"),"Vendre")</f>
        <v>Vendre</v>
      </c>
      <c r="G1565" s="2" t="str">
        <f>IFERROR(__xludf.DUMMYFUNCTION("REGEXEXTRACT(C1565, ""🏘️ \w+ (\w+) .* ✅"")"),"maison")</f>
        <v>maison</v>
      </c>
      <c r="H1565" s="4" t="str">
        <f>IFERROR(__xludf.DUMMYFUNCTION("REGEXEXTRACT(A1565, ""/(\w+)-.*?"")"),"lieu")</f>
        <v>lieu</v>
      </c>
      <c r="I1565" s="4" t="str">
        <f>IFERROR(__xludf.DUMMYFUNCTION("if(D1565=""variant"",  substitute(filter(Templates!E:E, Templates!A:A = F1565, Templates!B:B = G1565, Templates!C:C = H1565), ""{{}}"", E1565), B1565)"),"🏘  Vous souhaitez acheter une maison à Moudon? ✅ Jetez un œil aux dernières offres sur ImmoScout24.ch.")</f>
        <v>🏘  Vous souhaitez acheter une maison à Moudon? ✅ Jetez un œil aux dernières offres sur ImmoScout24.ch.</v>
      </c>
      <c r="J1565" s="4" t="s">
        <v>4697</v>
      </c>
    </row>
    <row r="1566">
      <c r="A1566" s="5" t="s">
        <v>4698</v>
      </c>
      <c r="B1566" s="2" t="s">
        <v>4699</v>
      </c>
      <c r="C1566" s="4" t="str">
        <f>IFERROR(__xludf.DUMMYFUNCTION("""🏘️ ""&amp;REGEXEXTRACT(B1566, ""^(.*): "")&amp;"" ✅ "" &amp;REGEXEXTRACT(B1566, ""(Trouvez.*)"")"),"🏘️ Vendre appartement Seelisberg ✅ Trouvez le bien immobilier qui correspond idéalement à vos désirs sur ImmoScout24 - La plateforme de l'immobilier en Suisse.")</f>
        <v>🏘️ Vendre appartement Seelisberg ✅ Trouvez le bien immobilier qui correspond idéalement à vos désirs sur ImmoScout24 - La plateforme de l'immobilier en Suisse.</v>
      </c>
      <c r="D1566" s="4" t="str">
        <f>vlookup(A1566, Sheet2!D:E, 2, 0)</f>
        <v>variant</v>
      </c>
      <c r="E1566" s="4" t="str">
        <f>IFERROR(__xludf.DUMMYFUNCTION("if(H1566=""pays"",vlookup(REGEXEXTRACT(C1566, ""🏘️ \w+ \w+ (.*) ✅""),'Country prepositions'!A:B, 2, 0) &amp; "" "" &amp; REGEXEXTRACT(C1566, ""🏘️ \w+ \w+ (.*) ✅"") ,  if(H1566=""quartier"",vlookup(REGEXEXTRACT(C1566, ""🏘️ \w+ \w+ (.*) ✅""),'Quartier prepositio"&amp;"ns'!A:E, 5, 0) ,  if(H1566=""region"",vlookup(REGEXEXTRACT(C1566, ""🏘️ \w+ \w+ (.*) ✅""),'Region prepositions'!B:F, 5, 0),  REGEXEXTRACT(C1566, ""🏘️ \w+ \w+ (.*) ✅""))))"),"Seelisberg")</f>
        <v>Seelisberg</v>
      </c>
      <c r="F1566" s="2" t="str">
        <f>IFERROR(__xludf.DUMMYFUNCTION("REGEXEXTRACT(C1566, ""🏘️ (\w+) \w+ .* ✅"")"),"Vendre")</f>
        <v>Vendre</v>
      </c>
      <c r="G1566" s="2" t="str">
        <f>IFERROR(__xludf.DUMMYFUNCTION("REGEXEXTRACT(C1566, ""🏘️ \w+ (\w+) .* ✅"")"),"appartement")</f>
        <v>appartement</v>
      </c>
      <c r="H1566" s="4" t="str">
        <f>IFERROR(__xludf.DUMMYFUNCTION("REGEXEXTRACT(A1566, ""/(\w+)-.*?"")"),"lieu")</f>
        <v>lieu</v>
      </c>
      <c r="I1566" s="4" t="str">
        <f>IFERROR(__xludf.DUMMYFUNCTION("if(D1566=""variant"",  substitute(filter(Templates!E:E, Templates!A:A = F1566, Templates!B:B = G1566, Templates!C:C = H1566), ""{{}}"", E1566), B1566)"),"🏘  L’appartement de vos rêves se trouve sur ImmoScout24.ch ✅ Découvrez les dernières annonces de vente à Seelisberg.")</f>
        <v>🏘  L’appartement de vos rêves se trouve sur ImmoScout24.ch ✅ Découvrez les dernières annonces de vente à Seelisberg.</v>
      </c>
      <c r="J1566" s="4" t="s">
        <v>4700</v>
      </c>
    </row>
    <row r="1567">
      <c r="A1567" s="5" t="s">
        <v>4701</v>
      </c>
      <c r="B1567" s="2" t="s">
        <v>4702</v>
      </c>
      <c r="C1567" s="4" t="str">
        <f>IFERROR(__xludf.DUMMYFUNCTION("""🏘️ ""&amp;REGEXEXTRACT(B1567, ""^(.*): "")&amp;"" ✅ "" &amp;REGEXEXTRACT(B1567, ""(Trouvez.*)"")"),"🏘️ Louer maison Minusio ✅ Trouvez le bien immobilier qui correspond idéalement à vos désirs sur ImmoScout24 - La plateforme de l'immobilier en Suisse.")</f>
        <v>🏘️ Louer maison Minusio ✅ Trouvez le bien immobilier qui correspond idéalement à vos désirs sur ImmoScout24 - La plateforme de l'immobilier en Suisse.</v>
      </c>
      <c r="D1567" s="4" t="str">
        <f>vlookup(A1567, Sheet2!D:E, 2, 0)</f>
        <v>variant</v>
      </c>
      <c r="E1567" s="4" t="str">
        <f>IFERROR(__xludf.DUMMYFUNCTION("if(H1567=""pays"",vlookup(REGEXEXTRACT(C1567, ""🏘️ \w+ \w+ (.*) ✅""),'Country prepositions'!A:B, 2, 0) &amp; "" "" &amp; REGEXEXTRACT(C1567, ""🏘️ \w+ \w+ (.*) ✅"") ,  if(H1567=""quartier"",vlookup(REGEXEXTRACT(C1567, ""🏘️ \w+ \w+ (.*) ✅""),'Quartier prepositio"&amp;"ns'!A:E, 5, 0) ,  if(H1567=""region"",vlookup(REGEXEXTRACT(C1567, ""🏘️ \w+ \w+ (.*) ✅""),'Region prepositions'!B:F, 5, 0),  REGEXEXTRACT(C1567, ""🏘️ \w+ \w+ (.*) ✅""))))"),"Minusio")</f>
        <v>Minusio</v>
      </c>
      <c r="F1567" s="2" t="str">
        <f>IFERROR(__xludf.DUMMYFUNCTION("REGEXEXTRACT(C1567, ""🏘️ (\w+) \w+ .* ✅"")"),"Louer")</f>
        <v>Louer</v>
      </c>
      <c r="G1567" s="2" t="str">
        <f>IFERROR(__xludf.DUMMYFUNCTION("REGEXEXTRACT(C1567, ""🏘️ \w+ (\w+) .* ✅"")"),"maison")</f>
        <v>maison</v>
      </c>
      <c r="H1567" s="4" t="str">
        <f>IFERROR(__xludf.DUMMYFUNCTION("REGEXEXTRACT(A1567, ""/(\w+)-.*?"")"),"lieu")</f>
        <v>lieu</v>
      </c>
      <c r="I1567" s="4" t="str">
        <f>IFERROR(__xludf.DUMMYFUNCTION("if(D1567=""variant"",  substitute(filter(Templates!E:E, Templates!A:A = F1567, Templates!B:B = G1567, Templates!C:C = H1567), ""{{}}"", E1567), B1567)"),"🏘  Vous cherchez une maison à louer à Minusio? ✅ Découvrez nos nombreuses annonces sur ImmoScout24.ch.")</f>
        <v>🏘  Vous cherchez une maison à louer à Minusio? ✅ Découvrez nos nombreuses annonces sur ImmoScout24.ch.</v>
      </c>
      <c r="J1567" s="4" t="s">
        <v>4703</v>
      </c>
    </row>
    <row r="1568">
      <c r="A1568" s="5" t="s">
        <v>4704</v>
      </c>
      <c r="B1568" s="2" t="s">
        <v>4705</v>
      </c>
      <c r="C1568" s="4" t="str">
        <f>IFERROR(__xludf.DUMMYFUNCTION("""🏘️ ""&amp;REGEXEXTRACT(B1568, ""^(.*): "")&amp;"" ✅ "" &amp;REGEXEXTRACT(B1568, ""(Trouvez.*)"")"),"🏘️ Louer appartement Courtételle ✅ Trouvez le bien immobilier qui correspond idéalement à vos désirs sur ImmoScout24 - La plateforme de l'immobilier en Suisse.")</f>
        <v>🏘️ Louer appartement Courtételle ✅ Trouvez le bien immobilier qui correspond idéalement à vos désirs sur ImmoScout24 - La plateforme de l'immobilier en Suisse.</v>
      </c>
      <c r="D1568" s="4" t="str">
        <f>vlookup(A1568, Sheet2!D:E, 2, 0)</f>
        <v>variant</v>
      </c>
      <c r="E1568" s="4" t="str">
        <f>IFERROR(__xludf.DUMMYFUNCTION("if(H1568=""pays"",vlookup(REGEXEXTRACT(C1568, ""🏘️ \w+ \w+ (.*) ✅""),'Country prepositions'!A:B, 2, 0) &amp; "" "" &amp; REGEXEXTRACT(C1568, ""🏘️ \w+ \w+ (.*) ✅"") ,  if(H1568=""quartier"",vlookup(REGEXEXTRACT(C1568, ""🏘️ \w+ \w+ (.*) ✅""),'Quartier prepositio"&amp;"ns'!A:E, 5, 0) ,  if(H1568=""region"",vlookup(REGEXEXTRACT(C1568, ""🏘️ \w+ \w+ (.*) ✅""),'Region prepositions'!B:F, 5, 0),  REGEXEXTRACT(C1568, ""🏘️ \w+ \w+ (.*) ✅""))))"),"Courtételle")</f>
        <v>Courtételle</v>
      </c>
      <c r="F1568" s="2" t="str">
        <f>IFERROR(__xludf.DUMMYFUNCTION("REGEXEXTRACT(C1568, ""🏘️ (\w+) \w+ .* ✅"")"),"Louer")</f>
        <v>Louer</v>
      </c>
      <c r="G1568" s="2" t="str">
        <f>IFERROR(__xludf.DUMMYFUNCTION("REGEXEXTRACT(C1568, ""🏘️ \w+ (\w+) .* ✅"")"),"appartement")</f>
        <v>appartement</v>
      </c>
      <c r="H1568" s="4" t="str">
        <f>IFERROR(__xludf.DUMMYFUNCTION("REGEXEXTRACT(A1568, ""/(\w+)-.*?"")"),"lieu")</f>
        <v>lieu</v>
      </c>
      <c r="I1568" s="4" t="str">
        <f>IFERROR(__xludf.DUMMYFUNCTION("if(D1568=""variant"",  substitute(filter(Templates!E:E, Templates!A:A = F1568, Templates!B:B = G1568, Templates!C:C = H1568), ""{{}}"", E1568), B1568)"),"🏘  Vous cherchez un appartement à louer à Courtételle? ✅ Les annonces les plus actuelles sont sur ImmoScout24.ch.")</f>
        <v>🏘  Vous cherchez un appartement à louer à Courtételle? ✅ Les annonces les plus actuelles sont sur ImmoScout24.ch.</v>
      </c>
      <c r="J1568" s="4" t="s">
        <v>4706</v>
      </c>
    </row>
    <row r="1569">
      <c r="A1569" s="5" t="s">
        <v>4707</v>
      </c>
      <c r="B1569" s="2" t="s">
        <v>4708</v>
      </c>
      <c r="C1569" s="4" t="str">
        <f>IFERROR(__xludf.DUMMYFUNCTION("""🏘️ ""&amp;REGEXEXTRACT(B1569, ""^(.*): "")&amp;"" ✅ "" &amp;REGEXEXTRACT(B1569, ""(Trouvez.*)"")"),"🏘️ Vendre maison Derendingen ✅ Trouvez le bien immobilier qui correspond idéalement à vos désirs sur ImmoScout24 - La plateforme de l'immobilier en Suisse.")</f>
        <v>🏘️ Vendre maison Derendingen ✅ Trouvez le bien immobilier qui correspond idéalement à vos désirs sur ImmoScout24 - La plateforme de l'immobilier en Suisse.</v>
      </c>
      <c r="D1569" s="4" t="str">
        <f>vlookup(A1569, Sheet2!D:E, 2, 0)</f>
        <v>variant</v>
      </c>
      <c r="E1569" s="4" t="str">
        <f>IFERROR(__xludf.DUMMYFUNCTION("if(H1569=""pays"",vlookup(REGEXEXTRACT(C1569, ""🏘️ \w+ \w+ (.*) ✅""),'Country prepositions'!A:B, 2, 0) &amp; "" "" &amp; REGEXEXTRACT(C1569, ""🏘️ \w+ \w+ (.*) ✅"") ,  if(H1569=""quartier"",vlookup(REGEXEXTRACT(C1569, ""🏘️ \w+ \w+ (.*) ✅""),'Quartier prepositio"&amp;"ns'!A:E, 5, 0) ,  if(H1569=""region"",vlookup(REGEXEXTRACT(C1569, ""🏘️ \w+ \w+ (.*) ✅""),'Region prepositions'!B:F, 5, 0),  REGEXEXTRACT(C1569, ""🏘️ \w+ \w+ (.*) ✅""))))"),"Derendingen")</f>
        <v>Derendingen</v>
      </c>
      <c r="F1569" s="2" t="str">
        <f>IFERROR(__xludf.DUMMYFUNCTION("REGEXEXTRACT(C1569, ""🏘️ (\w+) \w+ .* ✅"")"),"Vendre")</f>
        <v>Vendre</v>
      </c>
      <c r="G1569" s="2" t="str">
        <f>IFERROR(__xludf.DUMMYFUNCTION("REGEXEXTRACT(C1569, ""🏘️ \w+ (\w+) .* ✅"")"),"maison")</f>
        <v>maison</v>
      </c>
      <c r="H1569" s="4" t="str">
        <f>IFERROR(__xludf.DUMMYFUNCTION("REGEXEXTRACT(A1569, ""/(\w+)-.*?"")"),"lieu")</f>
        <v>lieu</v>
      </c>
      <c r="I1569" s="4" t="str">
        <f>IFERROR(__xludf.DUMMYFUNCTION("if(D1569=""variant"",  substitute(filter(Templates!E:E, Templates!A:A = F1569, Templates!B:B = G1569, Templates!C:C = H1569), ""{{}}"", E1569), B1569)"),"🏘  Vous souhaitez acheter une maison à Derendingen? ✅ Jetez un œil aux dernières offres sur ImmoScout24.ch.")</f>
        <v>🏘  Vous souhaitez acheter une maison à Derendingen? ✅ Jetez un œil aux dernières offres sur ImmoScout24.ch.</v>
      </c>
      <c r="J1569" s="4" t="s">
        <v>4709</v>
      </c>
    </row>
    <row r="1570">
      <c r="A1570" s="5" t="s">
        <v>4710</v>
      </c>
      <c r="B1570" s="2" t="s">
        <v>4711</v>
      </c>
      <c r="C1570" s="4" t="str">
        <f>IFERROR(__xludf.DUMMYFUNCTION("""🏘️ ""&amp;REGEXEXTRACT(B1570, ""^(.*): "")&amp;"" ✅ "" &amp;REGEXEXTRACT(B1570, ""(Trouvez.*)"")"),"🏘️ Louer maison St-Ursanne ✅ Trouvez le bien immobilier qui correspond idéalement à vos désirs sur ImmoScout24 - La plateforme de l'immobilier en Suisse.")</f>
        <v>🏘️ Louer maison St-Ursanne ✅ Trouvez le bien immobilier qui correspond idéalement à vos désirs sur ImmoScout24 - La plateforme de l'immobilier en Suisse.</v>
      </c>
      <c r="D1570" s="4" t="str">
        <f>vlookup(A1570, Sheet2!D:E, 2, 0)</f>
        <v>variant</v>
      </c>
      <c r="E1570" s="4" t="str">
        <f>IFERROR(__xludf.DUMMYFUNCTION("if(H1570=""pays"",vlookup(REGEXEXTRACT(C1570, ""🏘️ \w+ \w+ (.*) ✅""),'Country prepositions'!A:B, 2, 0) &amp; "" "" &amp; REGEXEXTRACT(C1570, ""🏘️ \w+ \w+ (.*) ✅"") ,  if(H1570=""quartier"",vlookup(REGEXEXTRACT(C1570, ""🏘️ \w+ \w+ (.*) ✅""),'Quartier prepositio"&amp;"ns'!A:E, 5, 0) ,  if(H1570=""region"",vlookup(REGEXEXTRACT(C1570, ""🏘️ \w+ \w+ (.*) ✅""),'Region prepositions'!B:F, 5, 0),  REGEXEXTRACT(C1570, ""🏘️ \w+ \w+ (.*) ✅""))))"),"St-Ursanne")</f>
        <v>St-Ursanne</v>
      </c>
      <c r="F1570" s="2" t="str">
        <f>IFERROR(__xludf.DUMMYFUNCTION("REGEXEXTRACT(C1570, ""🏘️ (\w+) \w+ .* ✅"")"),"Louer")</f>
        <v>Louer</v>
      </c>
      <c r="G1570" s="2" t="str">
        <f>IFERROR(__xludf.DUMMYFUNCTION("REGEXEXTRACT(C1570, ""🏘️ \w+ (\w+) .* ✅"")"),"maison")</f>
        <v>maison</v>
      </c>
      <c r="H1570" s="4" t="str">
        <f>IFERROR(__xludf.DUMMYFUNCTION("REGEXEXTRACT(A1570, ""/(\w+)-.*?"")"),"lieu")</f>
        <v>lieu</v>
      </c>
      <c r="I1570" s="4" t="str">
        <f>IFERROR(__xludf.DUMMYFUNCTION("if(D1570=""variant"",  substitute(filter(Templates!E:E, Templates!A:A = F1570, Templates!B:B = G1570, Templates!C:C = H1570), ""{{}}"", E1570), B1570)"),"🏘  Vous cherchez une maison à louer à St-Ursanne? ✅ Découvrez nos nombreuses annonces sur ImmoScout24.ch.")</f>
        <v>🏘  Vous cherchez une maison à louer à St-Ursanne? ✅ Découvrez nos nombreuses annonces sur ImmoScout24.ch.</v>
      </c>
      <c r="J1570" s="4" t="s">
        <v>4712</v>
      </c>
    </row>
    <row r="1571">
      <c r="A1571" s="5" t="s">
        <v>4713</v>
      </c>
      <c r="B1571" s="2" t="s">
        <v>4714</v>
      </c>
      <c r="C1571" s="4" t="str">
        <f>IFERROR(__xludf.DUMMYFUNCTION("""🏘️ ""&amp;REGEXEXTRACT(B1571, ""^(.*): "")&amp;"" ✅ "" &amp;REGEXEXTRACT(B1571, ""(Trouvez.*)"")"),"🏘️ Vendre maison Hochdorf ✅ Trouvez le bien immobilier qui correspond idéalement à vos désirs sur ImmoScout24 - La plateforme de l'immobilier en Suisse.")</f>
        <v>🏘️ Vendre maison Hochdorf ✅ Trouvez le bien immobilier qui correspond idéalement à vos désirs sur ImmoScout24 - La plateforme de l'immobilier en Suisse.</v>
      </c>
      <c r="D1571" s="4" t="str">
        <f>vlookup(A1571, Sheet2!D:E, 2, 0)</f>
        <v>variant</v>
      </c>
      <c r="E1571" s="4" t="str">
        <f>IFERROR(__xludf.DUMMYFUNCTION("if(H1571=""pays"",vlookup(REGEXEXTRACT(C1571, ""🏘️ \w+ \w+ (.*) ✅""),'Country prepositions'!A:B, 2, 0) &amp; "" "" &amp; REGEXEXTRACT(C1571, ""🏘️ \w+ \w+ (.*) ✅"") ,  if(H1571=""quartier"",vlookup(REGEXEXTRACT(C1571, ""🏘️ \w+ \w+ (.*) ✅""),'Quartier prepositio"&amp;"ns'!A:E, 5, 0) ,  if(H1571=""region"",vlookup(REGEXEXTRACT(C1571, ""🏘️ \w+ \w+ (.*) ✅""),'Region prepositions'!B:F, 5, 0),  REGEXEXTRACT(C1571, ""🏘️ \w+ \w+ (.*) ✅""))))"),"Hochdorf")</f>
        <v>Hochdorf</v>
      </c>
      <c r="F1571" s="2" t="str">
        <f>IFERROR(__xludf.DUMMYFUNCTION("REGEXEXTRACT(C1571, ""🏘️ (\w+) \w+ .* ✅"")"),"Vendre")</f>
        <v>Vendre</v>
      </c>
      <c r="G1571" s="2" t="str">
        <f>IFERROR(__xludf.DUMMYFUNCTION("REGEXEXTRACT(C1571, ""🏘️ \w+ (\w+) .* ✅"")"),"maison")</f>
        <v>maison</v>
      </c>
      <c r="H1571" s="4" t="str">
        <f>IFERROR(__xludf.DUMMYFUNCTION("REGEXEXTRACT(A1571, ""/(\w+)-.*?"")"),"lieu")</f>
        <v>lieu</v>
      </c>
      <c r="I1571" s="4" t="str">
        <f>IFERROR(__xludf.DUMMYFUNCTION("if(D1571=""variant"",  substitute(filter(Templates!E:E, Templates!A:A = F1571, Templates!B:B = G1571, Templates!C:C = H1571), ""{{}}"", E1571), B1571)"),"🏘  Vous souhaitez acheter une maison à Hochdorf? ✅ Jetez un œil aux dernières offres sur ImmoScout24.ch.")</f>
        <v>🏘  Vous souhaitez acheter une maison à Hochdorf? ✅ Jetez un œil aux dernières offres sur ImmoScout24.ch.</v>
      </c>
      <c r="J1571" s="4" t="s">
        <v>4715</v>
      </c>
    </row>
    <row r="1572">
      <c r="A1572" s="5" t="s">
        <v>4716</v>
      </c>
      <c r="B1572" s="2" t="s">
        <v>4717</v>
      </c>
      <c r="C1572" s="4" t="str">
        <f>IFERROR(__xludf.DUMMYFUNCTION("""🏘️ ""&amp;REGEXEXTRACT(B1572, ""^(.*): "")&amp;"" ✅ "" &amp;REGEXEXTRACT(B1572, ""(Trouvez.*)"")"),"🏘️ Louer maison Fey ✅ Trouvez le bien immobilier qui correspond idéalement à vos désirs sur ImmoScout24 - La plateforme de l'immobilier en Suisse.")</f>
        <v>🏘️ Louer maison Fey ✅ Trouvez le bien immobilier qui correspond idéalement à vos désirs sur ImmoScout24 - La plateforme de l'immobilier en Suisse.</v>
      </c>
      <c r="D1572" s="4" t="str">
        <f>vlookup(A1572, Sheet2!D:E, 2, 0)</f>
        <v>variant</v>
      </c>
      <c r="E1572" s="4" t="str">
        <f>IFERROR(__xludf.DUMMYFUNCTION("if(H1572=""pays"",vlookup(REGEXEXTRACT(C1572, ""🏘️ \w+ \w+ (.*) ✅""),'Country prepositions'!A:B, 2, 0) &amp; "" "" &amp; REGEXEXTRACT(C1572, ""🏘️ \w+ \w+ (.*) ✅"") ,  if(H1572=""quartier"",vlookup(REGEXEXTRACT(C1572, ""🏘️ \w+ \w+ (.*) ✅""),'Quartier prepositio"&amp;"ns'!A:E, 5, 0) ,  if(H1572=""region"",vlookup(REGEXEXTRACT(C1572, ""🏘️ \w+ \w+ (.*) ✅""),'Region prepositions'!B:F, 5, 0),  REGEXEXTRACT(C1572, ""🏘️ \w+ \w+ (.*) ✅""))))"),"Fey")</f>
        <v>Fey</v>
      </c>
      <c r="F1572" s="2" t="str">
        <f>IFERROR(__xludf.DUMMYFUNCTION("REGEXEXTRACT(C1572, ""🏘️ (\w+) \w+ .* ✅"")"),"Louer")</f>
        <v>Louer</v>
      </c>
      <c r="G1572" s="2" t="str">
        <f>IFERROR(__xludf.DUMMYFUNCTION("REGEXEXTRACT(C1572, ""🏘️ \w+ (\w+) .* ✅"")"),"maison")</f>
        <v>maison</v>
      </c>
      <c r="H1572" s="4" t="str">
        <f>IFERROR(__xludf.DUMMYFUNCTION("REGEXEXTRACT(A1572, ""/(\w+)-.*?"")"),"lieu")</f>
        <v>lieu</v>
      </c>
      <c r="I1572" s="4" t="str">
        <f>IFERROR(__xludf.DUMMYFUNCTION("if(D1572=""variant"",  substitute(filter(Templates!E:E, Templates!A:A = F1572, Templates!B:B = G1572, Templates!C:C = H1572), ""{{}}"", E1572), B1572)"),"🏘  Vous cherchez une maison à louer à Fey? ✅ Découvrez nos nombreuses annonces sur ImmoScout24.ch.")</f>
        <v>🏘  Vous cherchez une maison à louer à Fey? ✅ Découvrez nos nombreuses annonces sur ImmoScout24.ch.</v>
      </c>
      <c r="J1572" s="4" t="s">
        <v>4718</v>
      </c>
    </row>
    <row r="1573">
      <c r="A1573" s="5" t="s">
        <v>4719</v>
      </c>
      <c r="B1573" s="2" t="s">
        <v>4720</v>
      </c>
      <c r="C1573" s="4" t="str">
        <f>IFERROR(__xludf.DUMMYFUNCTION("""🏘️ ""&amp;REGEXEXTRACT(B1573, ""^(.*): "")&amp;"" ✅ "" &amp;REGEXEXTRACT(B1573, ""(Trouvez.*)"")"),"🏘️ Louer appartement Aadorf ✅ Trouvez le bien immobilier qui correspond idéalement à vos désirs sur ImmoScout24 - La plateforme de l'immobilier en Suisse.")</f>
        <v>🏘️ Louer appartement Aadorf ✅ Trouvez le bien immobilier qui correspond idéalement à vos désirs sur ImmoScout24 - La plateforme de l'immobilier en Suisse.</v>
      </c>
      <c r="D1573" s="4" t="str">
        <f>vlookup(A1573, Sheet2!D:E, 2, 0)</f>
        <v>variant</v>
      </c>
      <c r="E1573" s="4" t="str">
        <f>IFERROR(__xludf.DUMMYFUNCTION("if(H1573=""pays"",vlookup(REGEXEXTRACT(C1573, ""🏘️ \w+ \w+ (.*) ✅""),'Country prepositions'!A:B, 2, 0) &amp; "" "" &amp; REGEXEXTRACT(C1573, ""🏘️ \w+ \w+ (.*) ✅"") ,  if(H1573=""quartier"",vlookup(REGEXEXTRACT(C1573, ""🏘️ \w+ \w+ (.*) ✅""),'Quartier prepositio"&amp;"ns'!A:E, 5, 0) ,  if(H1573=""region"",vlookup(REGEXEXTRACT(C1573, ""🏘️ \w+ \w+ (.*) ✅""),'Region prepositions'!B:F, 5, 0),  REGEXEXTRACT(C1573, ""🏘️ \w+ \w+ (.*) ✅""))))"),"Aadorf")</f>
        <v>Aadorf</v>
      </c>
      <c r="F1573" s="2" t="str">
        <f>IFERROR(__xludf.DUMMYFUNCTION("REGEXEXTRACT(C1573, ""🏘️ (\w+) \w+ .* ✅"")"),"Louer")</f>
        <v>Louer</v>
      </c>
      <c r="G1573" s="2" t="str">
        <f>IFERROR(__xludf.DUMMYFUNCTION("REGEXEXTRACT(C1573, ""🏘️ \w+ (\w+) .* ✅"")"),"appartement")</f>
        <v>appartement</v>
      </c>
      <c r="H1573" s="4" t="str">
        <f>IFERROR(__xludf.DUMMYFUNCTION("REGEXEXTRACT(A1573, ""/(\w+)-.*?"")"),"lieu")</f>
        <v>lieu</v>
      </c>
      <c r="I1573" s="4" t="str">
        <f>IFERROR(__xludf.DUMMYFUNCTION("if(D1573=""variant"",  substitute(filter(Templates!E:E, Templates!A:A = F1573, Templates!B:B = G1573, Templates!C:C = H1573), ""{{}}"", E1573), B1573)"),"🏘  Vous cherchez un appartement à louer à Aadorf? ✅ Les annonces les plus actuelles sont sur ImmoScout24.ch.")</f>
        <v>🏘  Vous cherchez un appartement à louer à Aadorf? ✅ Les annonces les plus actuelles sont sur ImmoScout24.ch.</v>
      </c>
      <c r="J1573" s="4" t="s">
        <v>4721</v>
      </c>
    </row>
    <row r="1574">
      <c r="A1574" s="5" t="s">
        <v>4722</v>
      </c>
      <c r="B1574" s="2" t="s">
        <v>4723</v>
      </c>
      <c r="C1574" s="4" t="str">
        <f>IFERROR(__xludf.DUMMYFUNCTION("""🏘️ ""&amp;REGEXEXTRACT(B1574, ""^(.*): "")&amp;"" ✅ "" &amp;REGEXEXTRACT(B1574, ""(Trouvez.*)"")"),"🏘️ Vendre maison Russo ✅ Trouvez le bien immobilier qui correspond idéalement à vos désirs sur ImmoScout24 - La plateforme de l'immobilier en Suisse.")</f>
        <v>🏘️ Vendre maison Russo ✅ Trouvez le bien immobilier qui correspond idéalement à vos désirs sur ImmoScout24 - La plateforme de l'immobilier en Suisse.</v>
      </c>
      <c r="D1574" s="4" t="str">
        <f>vlookup(A1574, Sheet2!D:E, 2, 0)</f>
        <v>variant</v>
      </c>
      <c r="E1574" s="4" t="str">
        <f>IFERROR(__xludf.DUMMYFUNCTION("if(H1574=""pays"",vlookup(REGEXEXTRACT(C1574, ""🏘️ \w+ \w+ (.*) ✅""),'Country prepositions'!A:B, 2, 0) &amp; "" "" &amp; REGEXEXTRACT(C1574, ""🏘️ \w+ \w+ (.*) ✅"") ,  if(H1574=""quartier"",vlookup(REGEXEXTRACT(C1574, ""🏘️ \w+ \w+ (.*) ✅""),'Quartier prepositio"&amp;"ns'!A:E, 5, 0) ,  if(H1574=""region"",vlookup(REGEXEXTRACT(C1574, ""🏘️ \w+ \w+ (.*) ✅""),'Region prepositions'!B:F, 5, 0),  REGEXEXTRACT(C1574, ""🏘️ \w+ \w+ (.*) ✅""))))"),"Russo")</f>
        <v>Russo</v>
      </c>
      <c r="F1574" s="2" t="str">
        <f>IFERROR(__xludf.DUMMYFUNCTION("REGEXEXTRACT(C1574, ""🏘️ (\w+) \w+ .* ✅"")"),"Vendre")</f>
        <v>Vendre</v>
      </c>
      <c r="G1574" s="2" t="str">
        <f>IFERROR(__xludf.DUMMYFUNCTION("REGEXEXTRACT(C1574, ""🏘️ \w+ (\w+) .* ✅"")"),"maison")</f>
        <v>maison</v>
      </c>
      <c r="H1574" s="4" t="str">
        <f>IFERROR(__xludf.DUMMYFUNCTION("REGEXEXTRACT(A1574, ""/(\w+)-.*?"")"),"lieu")</f>
        <v>lieu</v>
      </c>
      <c r="I1574" s="4" t="str">
        <f>IFERROR(__xludf.DUMMYFUNCTION("if(D1574=""variant"",  substitute(filter(Templates!E:E, Templates!A:A = F1574, Templates!B:B = G1574, Templates!C:C = H1574), ""{{}}"", E1574), B1574)"),"🏘  Vous souhaitez acheter une maison à Russo? ✅ Jetez un œil aux dernières offres sur ImmoScout24.ch.")</f>
        <v>🏘  Vous souhaitez acheter une maison à Russo? ✅ Jetez un œil aux dernières offres sur ImmoScout24.ch.</v>
      </c>
      <c r="J1574" s="4" t="s">
        <v>4724</v>
      </c>
    </row>
    <row r="1575">
      <c r="A1575" s="5" t="s">
        <v>4725</v>
      </c>
      <c r="B1575" s="2" t="s">
        <v>4726</v>
      </c>
      <c r="C1575" s="4" t="str">
        <f>IFERROR(__xludf.DUMMYFUNCTION("""🏘️ ""&amp;REGEXEXTRACT(B1575, ""^(.*): "")&amp;"" ✅ "" &amp;REGEXEXTRACT(B1575, ""(Trouvez.*)"")"),"🏘️ Louer maison Les Diablerets ✅ Trouvez le bien immobilier qui correspond idéalement à vos désirs sur ImmoScout24 - La plateforme de l'immobilier en Suisse.")</f>
        <v>🏘️ Louer maison Les Diablerets ✅ Trouvez le bien immobilier qui correspond idéalement à vos désirs sur ImmoScout24 - La plateforme de l'immobilier en Suisse.</v>
      </c>
      <c r="D1575" s="4" t="str">
        <f>vlookup(A1575, Sheet2!D:E, 2, 0)</f>
        <v>variant</v>
      </c>
      <c r="E1575" s="4" t="str">
        <f>IFERROR(__xludf.DUMMYFUNCTION("if(H1575=""pays"",vlookup(REGEXEXTRACT(C1575, ""🏘️ \w+ \w+ (.*) ✅""),'Country prepositions'!A:B, 2, 0) &amp; "" "" &amp; REGEXEXTRACT(C1575, ""🏘️ \w+ \w+ (.*) ✅"") ,  if(H1575=""quartier"",vlookup(REGEXEXTRACT(C1575, ""🏘️ \w+ \w+ (.*) ✅""),'Quartier prepositio"&amp;"ns'!A:E, 5, 0) ,  if(H1575=""region"",vlookup(REGEXEXTRACT(C1575, ""🏘️ \w+ \w+ (.*) ✅""),'Region prepositions'!B:F, 5, 0),  REGEXEXTRACT(C1575, ""🏘️ \w+ \w+ (.*) ✅""))))"),"Les Diablerets")</f>
        <v>Les Diablerets</v>
      </c>
      <c r="F1575" s="2" t="str">
        <f>IFERROR(__xludf.DUMMYFUNCTION("REGEXEXTRACT(C1575, ""🏘️ (\w+) \w+ .* ✅"")"),"Louer")</f>
        <v>Louer</v>
      </c>
      <c r="G1575" s="2" t="str">
        <f>IFERROR(__xludf.DUMMYFUNCTION("REGEXEXTRACT(C1575, ""🏘️ \w+ (\w+) .* ✅"")"),"maison")</f>
        <v>maison</v>
      </c>
      <c r="H1575" s="4" t="str">
        <f>IFERROR(__xludf.DUMMYFUNCTION("REGEXEXTRACT(A1575, ""/(\w+)-.*?"")"),"lieu")</f>
        <v>lieu</v>
      </c>
      <c r="I1575" s="4" t="str">
        <f>IFERROR(__xludf.DUMMYFUNCTION("if(D1575=""variant"",  substitute(filter(Templates!E:E, Templates!A:A = F1575, Templates!B:B = G1575, Templates!C:C = H1575), ""{{}}"", E1575), B1575)"),"🏘  Vous cherchez une maison à louer à Les Diablerets? ✅ Découvrez nos nombreuses annonces sur ImmoScout24.ch.")</f>
        <v>🏘  Vous cherchez une maison à louer à Les Diablerets? ✅ Découvrez nos nombreuses annonces sur ImmoScout24.ch.</v>
      </c>
      <c r="J1575" s="2" t="s">
        <v>4727</v>
      </c>
    </row>
    <row r="1576">
      <c r="A1576" s="5" t="s">
        <v>4728</v>
      </c>
      <c r="B1576" s="2" t="s">
        <v>4729</v>
      </c>
      <c r="C1576" s="4" t="str">
        <f>IFERROR(__xludf.DUMMYFUNCTION("""🏘️ ""&amp;REGEXEXTRACT(B1576, ""^(.*): "")&amp;"" ✅ "" &amp;REGEXEXTRACT(B1576, ""(Trouvez.*)"")"),"🏘️ Louer maison Petit Vichères (Liddes) ✅ Trouvez le bien immobilier qui correspond idéalement à vos désirs sur ImmoScout24 - La plateforme de l'immobilier en Suisse.")</f>
        <v>🏘️ Louer maison Petit Vichères (Liddes) ✅ Trouvez le bien immobilier qui correspond idéalement à vos désirs sur ImmoScout24 - La plateforme de l'immobilier en Suisse.</v>
      </c>
      <c r="D1576" s="4" t="str">
        <f>vlookup(A1576, Sheet2!D:E, 2, 0)</f>
        <v>variant</v>
      </c>
      <c r="E1576" s="4" t="str">
        <f>IFERROR(__xludf.DUMMYFUNCTION("if(H1576=""pays"",vlookup(REGEXEXTRACT(C1576, ""🏘️ \w+ \w+ (.*) ✅""),'Country prepositions'!A:B, 2, 0) &amp; "" "" &amp; REGEXEXTRACT(C1576, ""🏘️ \w+ \w+ (.*) ✅"") ,  if(H1576=""quartier"",vlookup(REGEXEXTRACT(C1576, ""🏘️ \w+ \w+ (.*) ✅""),'Quartier prepositio"&amp;"ns'!A:E, 5, 0) ,  if(H1576=""region"",vlookup(REGEXEXTRACT(C1576, ""🏘️ \w+ \w+ (.*) ✅""),'Region prepositions'!B:F, 5, 0),  REGEXEXTRACT(C1576, ""🏘️ \w+ \w+ (.*) ✅""))))"),"Petit Vichères (Liddes)")</f>
        <v>Petit Vichères (Liddes)</v>
      </c>
      <c r="F1576" s="2" t="str">
        <f>IFERROR(__xludf.DUMMYFUNCTION("REGEXEXTRACT(C1576, ""🏘️ (\w+) \w+ .* ✅"")"),"Louer")</f>
        <v>Louer</v>
      </c>
      <c r="G1576" s="2" t="str">
        <f>IFERROR(__xludf.DUMMYFUNCTION("REGEXEXTRACT(C1576, ""🏘️ \w+ (\w+) .* ✅"")"),"maison")</f>
        <v>maison</v>
      </c>
      <c r="H1576" s="4" t="str">
        <f>IFERROR(__xludf.DUMMYFUNCTION("REGEXEXTRACT(A1576, ""/(\w+)-.*?"")"),"lieu")</f>
        <v>lieu</v>
      </c>
      <c r="I1576" s="4" t="str">
        <f>IFERROR(__xludf.DUMMYFUNCTION("if(D1576=""variant"",  substitute(filter(Templates!E:E, Templates!A:A = F1576, Templates!B:B = G1576, Templates!C:C = H1576), ""{{}}"", E1576), B1576)"),"🏘  Vous cherchez une maison à louer à Petit Vichères (Liddes)? ✅ Découvrez nos nombreuses annonces sur ImmoScout24.ch.")</f>
        <v>🏘  Vous cherchez une maison à louer à Petit Vichères (Liddes)? ✅ Découvrez nos nombreuses annonces sur ImmoScout24.ch.</v>
      </c>
      <c r="J1576" s="4" t="s">
        <v>4730</v>
      </c>
    </row>
    <row r="1577">
      <c r="A1577" s="5" t="s">
        <v>4731</v>
      </c>
      <c r="B1577" s="2" t="s">
        <v>4732</v>
      </c>
      <c r="C1577" s="4" t="str">
        <f>IFERROR(__xludf.DUMMYFUNCTION("""🏘️ ""&amp;REGEXEXTRACT(B1577, ""^(.*): "")&amp;"" ✅ "" &amp;REGEXEXTRACT(B1577, ""(Trouvez.*)"")"),"🏘️ Vendre maison Lugnorre ✅ Trouvez le bien immobilier qui correspond idéalement à vos désirs sur ImmoScout24 - La plateforme de l'immobilier en Suisse.")</f>
        <v>🏘️ Vendre maison Lugnorre ✅ Trouvez le bien immobilier qui correspond idéalement à vos désirs sur ImmoScout24 - La plateforme de l'immobilier en Suisse.</v>
      </c>
      <c r="D1577" s="4" t="str">
        <f>vlookup(A1577, Sheet2!D:E, 2, 0)</f>
        <v>variant</v>
      </c>
      <c r="E1577" s="4" t="str">
        <f>IFERROR(__xludf.DUMMYFUNCTION("if(H1577=""pays"",vlookup(REGEXEXTRACT(C1577, ""🏘️ \w+ \w+ (.*) ✅""),'Country prepositions'!A:B, 2, 0) &amp; "" "" &amp; REGEXEXTRACT(C1577, ""🏘️ \w+ \w+ (.*) ✅"") ,  if(H1577=""quartier"",vlookup(REGEXEXTRACT(C1577, ""🏘️ \w+ \w+ (.*) ✅""),'Quartier prepositio"&amp;"ns'!A:E, 5, 0) ,  if(H1577=""region"",vlookup(REGEXEXTRACT(C1577, ""🏘️ \w+ \w+ (.*) ✅""),'Region prepositions'!B:F, 5, 0),  REGEXEXTRACT(C1577, ""🏘️ \w+ \w+ (.*) ✅""))))"),"Lugnorre")</f>
        <v>Lugnorre</v>
      </c>
      <c r="F1577" s="2" t="str">
        <f>IFERROR(__xludf.DUMMYFUNCTION("REGEXEXTRACT(C1577, ""🏘️ (\w+) \w+ .* ✅"")"),"Vendre")</f>
        <v>Vendre</v>
      </c>
      <c r="G1577" s="2" t="str">
        <f>IFERROR(__xludf.DUMMYFUNCTION("REGEXEXTRACT(C1577, ""🏘️ \w+ (\w+) .* ✅"")"),"maison")</f>
        <v>maison</v>
      </c>
      <c r="H1577" s="4" t="str">
        <f>IFERROR(__xludf.DUMMYFUNCTION("REGEXEXTRACT(A1577, ""/(\w+)-.*?"")"),"lieu")</f>
        <v>lieu</v>
      </c>
      <c r="I1577" s="4" t="str">
        <f>IFERROR(__xludf.DUMMYFUNCTION("if(D1577=""variant"",  substitute(filter(Templates!E:E, Templates!A:A = F1577, Templates!B:B = G1577, Templates!C:C = H1577), ""{{}}"", E1577), B1577)"),"🏘  Vous souhaitez acheter une maison à Lugnorre? ✅ Jetez un œil aux dernières offres sur ImmoScout24.ch.")</f>
        <v>🏘  Vous souhaitez acheter une maison à Lugnorre? ✅ Jetez un œil aux dernières offres sur ImmoScout24.ch.</v>
      </c>
      <c r="J1577" s="4" t="s">
        <v>4733</v>
      </c>
    </row>
    <row r="1578">
      <c r="A1578" s="5" t="s">
        <v>4734</v>
      </c>
      <c r="B1578" s="2" t="s">
        <v>4735</v>
      </c>
      <c r="C1578" s="4" t="str">
        <f>IFERROR(__xludf.DUMMYFUNCTION("""🏘️ ""&amp;REGEXEXTRACT(B1578, ""^(.*): "")&amp;"" ✅ "" &amp;REGEXEXTRACT(B1578, ""(Trouvez.*)"")"),"🏘️ Louer maison Canton de Schwyz ✅ Trouvez le bien immobilier qui correspond idéalement à vos désirs sur ImmoScout24 - La plateforme de l'immobilier en Suisse.")</f>
        <v>🏘️ Louer maison Canton de Schwyz ✅ Trouvez le bien immobilier qui correspond idéalement à vos désirs sur ImmoScout24 - La plateforme de l'immobilier en Suisse.</v>
      </c>
      <c r="D1578" s="4" t="str">
        <f>vlookup(A1578, Sheet2!D:E, 2, 0)</f>
        <v>variant</v>
      </c>
      <c r="E1578" s="4" t="str">
        <f>IFERROR(__xludf.DUMMYFUNCTION("if(H1578=""pays"",vlookup(REGEXEXTRACT(C1578, ""🏘️ \w+ \w+ (.*) ✅""),'Country prepositions'!A:B, 2, 0) &amp; "" "" &amp; REGEXEXTRACT(C1578, ""🏘️ \w+ \w+ (.*) ✅"") ,  if(H1578=""quartier"",vlookup(REGEXEXTRACT(C1578, ""🏘️ \w+ \w+ (.*) ✅""),'Quartier prepositio"&amp;"ns'!A:E, 5, 0) ,  if(H1578=""region"",vlookup(REGEXEXTRACT(C1578, ""🏘️ \w+ \w+ (.*) ✅""),'Region prepositions'!B:F, 5, 0),  REGEXEXTRACT(C1578, ""🏘️ \w+ \w+ (.*) ✅""))))"),"Canton de Schwyz")</f>
        <v>Canton de Schwyz</v>
      </c>
      <c r="F1578" s="2" t="str">
        <f>IFERROR(__xludf.DUMMYFUNCTION("REGEXEXTRACT(C1578, ""🏘️ (\w+) \w+ .* ✅"")"),"Louer")</f>
        <v>Louer</v>
      </c>
      <c r="G1578" s="2" t="str">
        <f>IFERROR(__xludf.DUMMYFUNCTION("REGEXEXTRACT(C1578, ""🏘️ \w+ (\w+) .* ✅"")"),"maison")</f>
        <v>maison</v>
      </c>
      <c r="H1578" s="4" t="str">
        <f>IFERROR(__xludf.DUMMYFUNCTION("REGEXEXTRACT(A1578, ""/(\w+)-.*?"")"),"canton")</f>
        <v>canton</v>
      </c>
      <c r="I1578" s="4" t="str">
        <f>IFERROR(__xludf.DUMMYFUNCTION("if(D1578=""variant"",  substitute(filter(Templates!E:E, Templates!A:A = F1578, Templates!B:B = G1578, Templates!C:C = H1578), ""{{}}"", E1578), B1578)"),"🏘  Vous cherchez une maison à louer dans le Canton de Schwyz? ✅ Découvrez nos nombreuses annonces sur ImmoScout24.ch.")</f>
        <v>🏘  Vous cherchez une maison à louer dans le Canton de Schwyz? ✅ Découvrez nos nombreuses annonces sur ImmoScout24.ch.</v>
      </c>
      <c r="J1578" s="4" t="s">
        <v>4736</v>
      </c>
    </row>
    <row r="1579">
      <c r="A1579" s="5" t="s">
        <v>4737</v>
      </c>
      <c r="B1579" s="2" t="s">
        <v>4738</v>
      </c>
      <c r="C1579" s="4" t="str">
        <f>IFERROR(__xludf.DUMMYFUNCTION("""🏘️ ""&amp;REGEXEXTRACT(B1579, ""^(.*): "")&amp;"" ✅ "" &amp;REGEXEXTRACT(B1579, ""(Trouvez.*)"")"),"🏘️ Louer appartement Sins ✅ Trouvez le bien immobilier qui correspond idéalement à vos désirs sur ImmoScout24 - La plateforme de l'immobilier en Suisse.")</f>
        <v>🏘️ Louer appartement Sins ✅ Trouvez le bien immobilier qui correspond idéalement à vos désirs sur ImmoScout24 - La plateforme de l'immobilier en Suisse.</v>
      </c>
      <c r="D1579" s="4" t="str">
        <f>vlookup(A1579, Sheet2!D:E, 2, 0)</f>
        <v>variant</v>
      </c>
      <c r="E1579" s="4" t="str">
        <f>IFERROR(__xludf.DUMMYFUNCTION("if(H1579=""pays"",vlookup(REGEXEXTRACT(C1579, ""🏘️ \w+ \w+ (.*) ✅""),'Country prepositions'!A:B, 2, 0) &amp; "" "" &amp; REGEXEXTRACT(C1579, ""🏘️ \w+ \w+ (.*) ✅"") ,  if(H1579=""quartier"",vlookup(REGEXEXTRACT(C1579, ""🏘️ \w+ \w+ (.*) ✅""),'Quartier prepositio"&amp;"ns'!A:E, 5, 0) ,  if(H1579=""region"",vlookup(REGEXEXTRACT(C1579, ""🏘️ \w+ \w+ (.*) ✅""),'Region prepositions'!B:F, 5, 0),  REGEXEXTRACT(C1579, ""🏘️ \w+ \w+ (.*) ✅""))))"),"Sins")</f>
        <v>Sins</v>
      </c>
      <c r="F1579" s="2" t="str">
        <f>IFERROR(__xludf.DUMMYFUNCTION("REGEXEXTRACT(C1579, ""🏘️ (\w+) \w+ .* ✅"")"),"Louer")</f>
        <v>Louer</v>
      </c>
      <c r="G1579" s="2" t="str">
        <f>IFERROR(__xludf.DUMMYFUNCTION("REGEXEXTRACT(C1579, ""🏘️ \w+ (\w+) .* ✅"")"),"appartement")</f>
        <v>appartement</v>
      </c>
      <c r="H1579" s="4" t="str">
        <f>IFERROR(__xludf.DUMMYFUNCTION("REGEXEXTRACT(A1579, ""/(\w+)-.*?"")"),"lieu")</f>
        <v>lieu</v>
      </c>
      <c r="I1579" s="4" t="str">
        <f>IFERROR(__xludf.DUMMYFUNCTION("if(D1579=""variant"",  substitute(filter(Templates!E:E, Templates!A:A = F1579, Templates!B:B = G1579, Templates!C:C = H1579), ""{{}}"", E1579), B1579)"),"🏘  Vous cherchez un appartement à louer à Sins? ✅ Les annonces les plus actuelles sont sur ImmoScout24.ch.")</f>
        <v>🏘  Vous cherchez un appartement à louer à Sins? ✅ Les annonces les plus actuelles sont sur ImmoScout24.ch.</v>
      </c>
      <c r="J1579" s="4" t="s">
        <v>4739</v>
      </c>
    </row>
    <row r="1580">
      <c r="A1580" s="5" t="s">
        <v>4740</v>
      </c>
      <c r="B1580" s="2" t="s">
        <v>4741</v>
      </c>
      <c r="C1580" s="4" t="str">
        <f>IFERROR(__xludf.DUMMYFUNCTION("""🏘️ ""&amp;REGEXEXTRACT(B1580, ""^(.*): "")&amp;"" ✅ "" &amp;REGEXEXTRACT(B1580, ""(Trouvez.*)"")"),"🏘️ Vendre maison Toffen ✅ Trouvez le bien immobilier qui correspond idéalement à vos désirs sur ImmoScout24 - La plateforme de l'immobilier en Suisse.")</f>
        <v>🏘️ Vendre maison Toffen ✅ Trouvez le bien immobilier qui correspond idéalement à vos désirs sur ImmoScout24 - La plateforme de l'immobilier en Suisse.</v>
      </c>
      <c r="D1580" s="4" t="str">
        <f>vlookup(A1580, Sheet2!D:E, 2, 0)</f>
        <v>variant</v>
      </c>
      <c r="E1580" s="4" t="str">
        <f>IFERROR(__xludf.DUMMYFUNCTION("if(H1580=""pays"",vlookup(REGEXEXTRACT(C1580, ""🏘️ \w+ \w+ (.*) ✅""),'Country prepositions'!A:B, 2, 0) &amp; "" "" &amp; REGEXEXTRACT(C1580, ""🏘️ \w+ \w+ (.*) ✅"") ,  if(H1580=""quartier"",vlookup(REGEXEXTRACT(C1580, ""🏘️ \w+ \w+ (.*) ✅""),'Quartier prepositio"&amp;"ns'!A:E, 5, 0) ,  if(H1580=""region"",vlookup(REGEXEXTRACT(C1580, ""🏘️ \w+ \w+ (.*) ✅""),'Region prepositions'!B:F, 5, 0),  REGEXEXTRACT(C1580, ""🏘️ \w+ \w+ (.*) ✅""))))"),"Toffen")</f>
        <v>Toffen</v>
      </c>
      <c r="F1580" s="2" t="str">
        <f>IFERROR(__xludf.DUMMYFUNCTION("REGEXEXTRACT(C1580, ""🏘️ (\w+) \w+ .* ✅"")"),"Vendre")</f>
        <v>Vendre</v>
      </c>
      <c r="G1580" s="2" t="str">
        <f>IFERROR(__xludf.DUMMYFUNCTION("REGEXEXTRACT(C1580, ""🏘️ \w+ (\w+) .* ✅"")"),"maison")</f>
        <v>maison</v>
      </c>
      <c r="H1580" s="4" t="str">
        <f>IFERROR(__xludf.DUMMYFUNCTION("REGEXEXTRACT(A1580, ""/(\w+)-.*?"")"),"lieu")</f>
        <v>lieu</v>
      </c>
      <c r="I1580" s="4" t="str">
        <f>IFERROR(__xludf.DUMMYFUNCTION("if(D1580=""variant"",  substitute(filter(Templates!E:E, Templates!A:A = F1580, Templates!B:B = G1580, Templates!C:C = H1580), ""{{}}"", E1580), B1580)"),"🏘  Vous souhaitez acheter une maison à Toffen? ✅ Jetez un œil aux dernières offres sur ImmoScout24.ch.")</f>
        <v>🏘  Vous souhaitez acheter une maison à Toffen? ✅ Jetez un œil aux dernières offres sur ImmoScout24.ch.</v>
      </c>
      <c r="J1580" s="4" t="s">
        <v>4742</v>
      </c>
    </row>
    <row r="1581">
      <c r="A1581" s="5" t="s">
        <v>4743</v>
      </c>
      <c r="B1581" s="2" t="s">
        <v>4744</v>
      </c>
      <c r="C1581" s="4" t="str">
        <f>IFERROR(__xludf.DUMMYFUNCTION("""🏘️ ""&amp;REGEXEXTRACT(B1581, ""^(.*): "")&amp;"" ✅ "" &amp;REGEXEXTRACT(B1581, ""(Trouvez.*)"")"),"🏘️ Vendre appartement Vandoeuvres ✅ Trouvez le bien immobilier qui correspond idéalement à vos désirs sur ImmoScout24 - La plateforme de l'immobilier en Suisse.")</f>
        <v>🏘️ Vendre appartement Vandoeuvres ✅ Trouvez le bien immobilier qui correspond idéalement à vos désirs sur ImmoScout24 - La plateforme de l'immobilier en Suisse.</v>
      </c>
      <c r="D1581" s="4" t="str">
        <f>vlookup(A1581, Sheet2!D:E, 2, 0)</f>
        <v>variant</v>
      </c>
      <c r="E1581" s="4" t="str">
        <f>IFERROR(__xludf.DUMMYFUNCTION("if(H1581=""pays"",vlookup(REGEXEXTRACT(C1581, ""🏘️ \w+ \w+ (.*) ✅""),'Country prepositions'!A:B, 2, 0) &amp; "" "" &amp; REGEXEXTRACT(C1581, ""🏘️ \w+ \w+ (.*) ✅"") ,  if(H1581=""quartier"",vlookup(REGEXEXTRACT(C1581, ""🏘️ \w+ \w+ (.*) ✅""),'Quartier prepositio"&amp;"ns'!A:E, 5, 0) ,  if(H1581=""region"",vlookup(REGEXEXTRACT(C1581, ""🏘️ \w+ \w+ (.*) ✅""),'Region prepositions'!B:F, 5, 0),  REGEXEXTRACT(C1581, ""🏘️ \w+ \w+ (.*) ✅""))))"),"Vandoeuvres")</f>
        <v>Vandoeuvres</v>
      </c>
      <c r="F1581" s="2" t="str">
        <f>IFERROR(__xludf.DUMMYFUNCTION("REGEXEXTRACT(C1581, ""🏘️ (\w+) \w+ .* ✅"")"),"Vendre")</f>
        <v>Vendre</v>
      </c>
      <c r="G1581" s="2" t="str">
        <f>IFERROR(__xludf.DUMMYFUNCTION("REGEXEXTRACT(C1581, ""🏘️ \w+ (\w+) .* ✅"")"),"appartement")</f>
        <v>appartement</v>
      </c>
      <c r="H1581" s="4" t="str">
        <f>IFERROR(__xludf.DUMMYFUNCTION("REGEXEXTRACT(A1581, ""/(\w+)-.*?"")"),"lieu")</f>
        <v>lieu</v>
      </c>
      <c r="I1581" s="4" t="str">
        <f>IFERROR(__xludf.DUMMYFUNCTION("if(D1581=""variant"",  substitute(filter(Templates!E:E, Templates!A:A = F1581, Templates!B:B = G1581, Templates!C:C = H1581), ""{{}}"", E1581), B1581)"),"🏘  L’appartement de vos rêves se trouve sur ImmoScout24.ch ✅ Découvrez les dernières annonces de vente à Vandoeuvres.")</f>
        <v>🏘  L’appartement de vos rêves se trouve sur ImmoScout24.ch ✅ Découvrez les dernières annonces de vente à Vandoeuvres.</v>
      </c>
      <c r="J1581" s="4" t="s">
        <v>4745</v>
      </c>
    </row>
    <row r="1582">
      <c r="A1582" s="5" t="s">
        <v>4746</v>
      </c>
      <c r="B1582" s="2" t="s">
        <v>4747</v>
      </c>
      <c r="C1582" s="4" t="str">
        <f>IFERROR(__xludf.DUMMYFUNCTION("""🏘️ ""&amp;REGEXEXTRACT(B1582, ""^(.*): "")&amp;"" ✅ "" &amp;REGEXEXTRACT(B1582, ""(Trouvez.*)"")"),"🏘️ Vendre appartement Bussy FR ✅ Trouvez le bien immobilier qui correspond idéalement à vos désirs sur ImmoScout24 - La plateforme de l'immobilier en Suisse.")</f>
        <v>🏘️ Vendre appartement Bussy FR ✅ Trouvez le bien immobilier qui correspond idéalement à vos désirs sur ImmoScout24 - La plateforme de l'immobilier en Suisse.</v>
      </c>
      <c r="D1582" s="4" t="str">
        <f>vlookup(A1582, Sheet2!D:E, 2, 0)</f>
        <v>variant</v>
      </c>
      <c r="E1582" s="4" t="str">
        <f>IFERROR(__xludf.DUMMYFUNCTION("if(H1582=""pays"",vlookup(REGEXEXTRACT(C1582, ""🏘️ \w+ \w+ (.*) ✅""),'Country prepositions'!A:B, 2, 0) &amp; "" "" &amp; REGEXEXTRACT(C1582, ""🏘️ \w+ \w+ (.*) ✅"") ,  if(H1582=""quartier"",vlookup(REGEXEXTRACT(C1582, ""🏘️ \w+ \w+ (.*) ✅""),'Quartier prepositio"&amp;"ns'!A:E, 5, 0) ,  if(H1582=""region"",vlookup(REGEXEXTRACT(C1582, ""🏘️ \w+ \w+ (.*) ✅""),'Region prepositions'!B:F, 5, 0),  REGEXEXTRACT(C1582, ""🏘️ \w+ \w+ (.*) ✅""))))"),"Bussy FR")</f>
        <v>Bussy FR</v>
      </c>
      <c r="F1582" s="2" t="str">
        <f>IFERROR(__xludf.DUMMYFUNCTION("REGEXEXTRACT(C1582, ""🏘️ (\w+) \w+ .* ✅"")"),"Vendre")</f>
        <v>Vendre</v>
      </c>
      <c r="G1582" s="2" t="str">
        <f>IFERROR(__xludf.DUMMYFUNCTION("REGEXEXTRACT(C1582, ""🏘️ \w+ (\w+) .* ✅"")"),"appartement")</f>
        <v>appartement</v>
      </c>
      <c r="H1582" s="4" t="str">
        <f>IFERROR(__xludf.DUMMYFUNCTION("REGEXEXTRACT(A1582, ""/(\w+)-.*?"")"),"lieu")</f>
        <v>lieu</v>
      </c>
      <c r="I1582" s="4" t="str">
        <f>IFERROR(__xludf.DUMMYFUNCTION("if(D1582=""variant"",  substitute(filter(Templates!E:E, Templates!A:A = F1582, Templates!B:B = G1582, Templates!C:C = H1582), ""{{}}"", E1582), B1582)"),"🏘  L’appartement de vos rêves se trouve sur ImmoScout24.ch ✅ Découvrez les dernières annonces de vente à Bussy FR.")</f>
        <v>🏘  L’appartement de vos rêves se trouve sur ImmoScout24.ch ✅ Découvrez les dernières annonces de vente à Bussy FR.</v>
      </c>
      <c r="J1582" s="4" t="s">
        <v>4748</v>
      </c>
    </row>
    <row r="1583">
      <c r="A1583" s="5" t="s">
        <v>4749</v>
      </c>
      <c r="B1583" s="2" t="s">
        <v>4750</v>
      </c>
      <c r="C1583" s="4" t="str">
        <f>IFERROR(__xludf.DUMMYFUNCTION("""🏘️ ""&amp;REGEXEXTRACT(B1583, ""^(.*): "")&amp;"" ✅ "" &amp;REGEXEXTRACT(B1583, ""(Trouvez.*)"")"),"🏘️ Vendre maison Aadorf ✅ Trouvez le bien immobilier qui correspond idéalement à vos désirs sur ImmoScout24 - La plateforme de l'immobilier en Suisse.")</f>
        <v>🏘️ Vendre maison Aadorf ✅ Trouvez le bien immobilier qui correspond idéalement à vos désirs sur ImmoScout24 - La plateforme de l'immobilier en Suisse.</v>
      </c>
      <c r="D1583" s="4" t="str">
        <f>vlookup(A1583, Sheet2!D:E, 2, 0)</f>
        <v>variant</v>
      </c>
      <c r="E1583" s="4" t="str">
        <f>IFERROR(__xludf.DUMMYFUNCTION("if(H1583=""pays"",vlookup(REGEXEXTRACT(C1583, ""🏘️ \w+ \w+ (.*) ✅""),'Country prepositions'!A:B, 2, 0) &amp; "" "" &amp; REGEXEXTRACT(C1583, ""🏘️ \w+ \w+ (.*) ✅"") ,  if(H1583=""quartier"",vlookup(REGEXEXTRACT(C1583, ""🏘️ \w+ \w+ (.*) ✅""),'Quartier prepositio"&amp;"ns'!A:E, 5, 0) ,  if(H1583=""region"",vlookup(REGEXEXTRACT(C1583, ""🏘️ \w+ \w+ (.*) ✅""),'Region prepositions'!B:F, 5, 0),  REGEXEXTRACT(C1583, ""🏘️ \w+ \w+ (.*) ✅""))))"),"Aadorf")</f>
        <v>Aadorf</v>
      </c>
      <c r="F1583" s="2" t="str">
        <f>IFERROR(__xludf.DUMMYFUNCTION("REGEXEXTRACT(C1583, ""🏘️ (\w+) \w+ .* ✅"")"),"Vendre")</f>
        <v>Vendre</v>
      </c>
      <c r="G1583" s="2" t="str">
        <f>IFERROR(__xludf.DUMMYFUNCTION("REGEXEXTRACT(C1583, ""🏘️ \w+ (\w+) .* ✅"")"),"maison")</f>
        <v>maison</v>
      </c>
      <c r="H1583" s="4" t="str">
        <f>IFERROR(__xludf.DUMMYFUNCTION("REGEXEXTRACT(A1583, ""/(\w+)-.*?"")"),"lieu")</f>
        <v>lieu</v>
      </c>
      <c r="I1583" s="4" t="str">
        <f>IFERROR(__xludf.DUMMYFUNCTION("if(D1583=""variant"",  substitute(filter(Templates!E:E, Templates!A:A = F1583, Templates!B:B = G1583, Templates!C:C = H1583), ""{{}}"", E1583), B1583)"),"🏘  Vous souhaitez acheter une maison à Aadorf? ✅ Jetez un œil aux dernières offres sur ImmoScout24.ch.")</f>
        <v>🏘  Vous souhaitez acheter une maison à Aadorf? ✅ Jetez un œil aux dernières offres sur ImmoScout24.ch.</v>
      </c>
      <c r="J1583" s="4" t="s">
        <v>4751</v>
      </c>
    </row>
    <row r="1584">
      <c r="A1584" s="5" t="s">
        <v>4752</v>
      </c>
      <c r="B1584" s="2" t="s">
        <v>4753</v>
      </c>
      <c r="C1584" s="4" t="str">
        <f>IFERROR(__xludf.DUMMYFUNCTION("""🏘️ ""&amp;REGEXEXTRACT(B1584, ""^(.*): "")&amp;"" ✅ "" &amp;REGEXEXTRACT(B1584, ""(Trouvez.*)"")"),"🏘️ Vendre appartement Feusisberg ✅ Trouvez le bien immobilier qui correspond idéalement à vos désirs sur ImmoScout24 - La plateforme de l'immobilier en Suisse.")</f>
        <v>🏘️ Vendre appartement Feusisberg ✅ Trouvez le bien immobilier qui correspond idéalement à vos désirs sur ImmoScout24 - La plateforme de l'immobilier en Suisse.</v>
      </c>
      <c r="D1584" s="4" t="str">
        <f>vlookup(A1584, Sheet2!D:E, 2, 0)</f>
        <v>variant</v>
      </c>
      <c r="E1584" s="4" t="str">
        <f>IFERROR(__xludf.DUMMYFUNCTION("if(H1584=""pays"",vlookup(REGEXEXTRACT(C1584, ""🏘️ \w+ \w+ (.*) ✅""),'Country prepositions'!A:B, 2, 0) &amp; "" "" &amp; REGEXEXTRACT(C1584, ""🏘️ \w+ \w+ (.*) ✅"") ,  if(H1584=""quartier"",vlookup(REGEXEXTRACT(C1584, ""🏘️ \w+ \w+ (.*) ✅""),'Quartier prepositio"&amp;"ns'!A:E, 5, 0) ,  if(H1584=""region"",vlookup(REGEXEXTRACT(C1584, ""🏘️ \w+ \w+ (.*) ✅""),'Region prepositions'!B:F, 5, 0),  REGEXEXTRACT(C1584, ""🏘️ \w+ \w+ (.*) ✅""))))"),"Feusisberg")</f>
        <v>Feusisberg</v>
      </c>
      <c r="F1584" s="2" t="str">
        <f>IFERROR(__xludf.DUMMYFUNCTION("REGEXEXTRACT(C1584, ""🏘️ (\w+) \w+ .* ✅"")"),"Vendre")</f>
        <v>Vendre</v>
      </c>
      <c r="G1584" s="2" t="str">
        <f>IFERROR(__xludf.DUMMYFUNCTION("REGEXEXTRACT(C1584, ""🏘️ \w+ (\w+) .* ✅"")"),"appartement")</f>
        <v>appartement</v>
      </c>
      <c r="H1584" s="4" t="str">
        <f>IFERROR(__xludf.DUMMYFUNCTION("REGEXEXTRACT(A1584, ""/(\w+)-.*?"")"),"lieu")</f>
        <v>lieu</v>
      </c>
      <c r="I1584" s="4" t="str">
        <f>IFERROR(__xludf.DUMMYFUNCTION("if(D1584=""variant"",  substitute(filter(Templates!E:E, Templates!A:A = F1584, Templates!B:B = G1584, Templates!C:C = H1584), ""{{}}"", E1584), B1584)"),"🏘  L’appartement de vos rêves se trouve sur ImmoScout24.ch ✅ Découvrez les dernières annonces de vente à Feusisberg.")</f>
        <v>🏘  L’appartement de vos rêves se trouve sur ImmoScout24.ch ✅ Découvrez les dernières annonces de vente à Feusisberg.</v>
      </c>
      <c r="J1584" s="4" t="s">
        <v>4754</v>
      </c>
    </row>
    <row r="1585">
      <c r="A1585" s="5" t="s">
        <v>4755</v>
      </c>
      <c r="B1585" s="2" t="s">
        <v>4756</v>
      </c>
      <c r="C1585" s="4" t="str">
        <f>IFERROR(__xludf.DUMMYFUNCTION("""🏘️ ""&amp;REGEXEXTRACT(B1585, ""^(.*): "")&amp;"" ✅ "" &amp;REGEXEXTRACT(B1585, ""(Trouvez.*)"")"),"🏘️ Louer appartement Arbaz ✅ Trouvez le bien immobilier qui correspond idéalement à vos désirs sur ImmoScout24 - La plateforme de l'immobilier en Suisse.")</f>
        <v>🏘️ Louer appartement Arbaz ✅ Trouvez le bien immobilier qui correspond idéalement à vos désirs sur ImmoScout24 - La plateforme de l'immobilier en Suisse.</v>
      </c>
      <c r="D1585" s="4" t="str">
        <f>vlookup(A1585, Sheet2!D:E, 2, 0)</f>
        <v>variant</v>
      </c>
      <c r="E1585" s="4" t="str">
        <f>IFERROR(__xludf.DUMMYFUNCTION("if(H1585=""pays"",vlookup(REGEXEXTRACT(C1585, ""🏘️ \w+ \w+ (.*) ✅""),'Country prepositions'!A:B, 2, 0) &amp; "" "" &amp; REGEXEXTRACT(C1585, ""🏘️ \w+ \w+ (.*) ✅"") ,  if(H1585=""quartier"",vlookup(REGEXEXTRACT(C1585, ""🏘️ \w+ \w+ (.*) ✅""),'Quartier prepositio"&amp;"ns'!A:E, 5, 0) ,  if(H1585=""region"",vlookup(REGEXEXTRACT(C1585, ""🏘️ \w+ \w+ (.*) ✅""),'Region prepositions'!B:F, 5, 0),  REGEXEXTRACT(C1585, ""🏘️ \w+ \w+ (.*) ✅""))))"),"Arbaz")</f>
        <v>Arbaz</v>
      </c>
      <c r="F1585" s="2" t="str">
        <f>IFERROR(__xludf.DUMMYFUNCTION("REGEXEXTRACT(C1585, ""🏘️ (\w+) \w+ .* ✅"")"),"Louer")</f>
        <v>Louer</v>
      </c>
      <c r="G1585" s="2" t="str">
        <f>IFERROR(__xludf.DUMMYFUNCTION("REGEXEXTRACT(C1585, ""🏘️ \w+ (\w+) .* ✅"")"),"appartement")</f>
        <v>appartement</v>
      </c>
      <c r="H1585" s="4" t="str">
        <f>IFERROR(__xludf.DUMMYFUNCTION("REGEXEXTRACT(A1585, ""/(\w+)-.*?"")"),"lieu")</f>
        <v>lieu</v>
      </c>
      <c r="I1585" s="4" t="str">
        <f>IFERROR(__xludf.DUMMYFUNCTION("if(D1585=""variant"",  substitute(filter(Templates!E:E, Templates!A:A = F1585, Templates!B:B = G1585, Templates!C:C = H1585), ""{{}}"", E1585), B1585)"),"🏘  Vous cherchez un appartement à louer à Arbaz? ✅ Les annonces les plus actuelles sont sur ImmoScout24.ch.")</f>
        <v>🏘  Vous cherchez un appartement à louer à Arbaz? ✅ Les annonces les plus actuelles sont sur ImmoScout24.ch.</v>
      </c>
      <c r="J1585" s="4" t="s">
        <v>4757</v>
      </c>
    </row>
    <row r="1586">
      <c r="A1586" s="5" t="s">
        <v>4758</v>
      </c>
      <c r="B1586" s="2" t="s">
        <v>4759</v>
      </c>
      <c r="C1586" s="4" t="str">
        <f>IFERROR(__xludf.DUMMYFUNCTION("""🏘️ ""&amp;REGEXEXTRACT(B1586, ""^(.*): "")&amp;"" ✅ "" &amp;REGEXEXTRACT(B1586, ""(Trouvez.*)"")"),"🏘️ Vendre appartement Lussy-sur-Morges ✅ Trouvez le bien immobilier qui correspond idéalement à vos désirs sur ImmoScout24 - La plateforme de l'immobilier en Suisse.")</f>
        <v>🏘️ Vendre appartement Lussy-sur-Morges ✅ Trouvez le bien immobilier qui correspond idéalement à vos désirs sur ImmoScout24 - La plateforme de l'immobilier en Suisse.</v>
      </c>
      <c r="D1586" s="4" t="str">
        <f>vlookup(A1586, Sheet2!D:E, 2, 0)</f>
        <v>variant</v>
      </c>
      <c r="E1586" s="4" t="str">
        <f>IFERROR(__xludf.DUMMYFUNCTION("if(H1586=""pays"",vlookup(REGEXEXTRACT(C1586, ""🏘️ \w+ \w+ (.*) ✅""),'Country prepositions'!A:B, 2, 0) &amp; "" "" &amp; REGEXEXTRACT(C1586, ""🏘️ \w+ \w+ (.*) ✅"") ,  if(H1586=""quartier"",vlookup(REGEXEXTRACT(C1586, ""🏘️ \w+ \w+ (.*) ✅""),'Quartier prepositio"&amp;"ns'!A:E, 5, 0) ,  if(H1586=""region"",vlookup(REGEXEXTRACT(C1586, ""🏘️ \w+ \w+ (.*) ✅""),'Region prepositions'!B:F, 5, 0),  REGEXEXTRACT(C1586, ""🏘️ \w+ \w+ (.*) ✅""))))"),"Lussy-sur-Morges")</f>
        <v>Lussy-sur-Morges</v>
      </c>
      <c r="F1586" s="2" t="str">
        <f>IFERROR(__xludf.DUMMYFUNCTION("REGEXEXTRACT(C1586, ""🏘️ (\w+) \w+ .* ✅"")"),"Vendre")</f>
        <v>Vendre</v>
      </c>
      <c r="G1586" s="2" t="str">
        <f>IFERROR(__xludf.DUMMYFUNCTION("REGEXEXTRACT(C1586, ""🏘️ \w+ (\w+) .* ✅"")"),"appartement")</f>
        <v>appartement</v>
      </c>
      <c r="H1586" s="4" t="str">
        <f>IFERROR(__xludf.DUMMYFUNCTION("REGEXEXTRACT(A1586, ""/(\w+)-.*?"")"),"lieu")</f>
        <v>lieu</v>
      </c>
      <c r="I1586" s="4" t="str">
        <f>IFERROR(__xludf.DUMMYFUNCTION("if(D1586=""variant"",  substitute(filter(Templates!E:E, Templates!A:A = F1586, Templates!B:B = G1586, Templates!C:C = H1586), ""{{}}"", E1586), B1586)"),"🏘  L’appartement de vos rêves se trouve sur ImmoScout24.ch ✅ Découvrez les dernières annonces de vente à Lussy-sur-Morges.")</f>
        <v>🏘  L’appartement de vos rêves se trouve sur ImmoScout24.ch ✅ Découvrez les dernières annonces de vente à Lussy-sur-Morges.</v>
      </c>
      <c r="J1586" s="4" t="s">
        <v>4760</v>
      </c>
    </row>
    <row r="1587">
      <c r="A1587" s="5" t="s">
        <v>4761</v>
      </c>
      <c r="B1587" s="2" t="s">
        <v>4762</v>
      </c>
      <c r="C1587" s="4" t="str">
        <f>IFERROR(__xludf.DUMMYFUNCTION("""🏘️ ""&amp;REGEXEXTRACT(B1587, ""^(.*): "")&amp;"" ✅ "" &amp;REGEXEXTRACT(B1587, ""(Trouvez.*)"")"),"🏘️ Vendre maison Beaux-Arts (Neuchâtel) ✅ Trouvez le bien immobilier qui correspond idéalement à vos désirs sur ImmoScout24 - La plateforme de l'immobilier en Suisse.")</f>
        <v>🏘️ Vendre maison Beaux-Arts (Neuchâtel) ✅ Trouvez le bien immobilier qui correspond idéalement à vos désirs sur ImmoScout24 - La plateforme de l'immobilier en Suisse.</v>
      </c>
      <c r="D1587" s="4" t="str">
        <f>vlookup(A1587, Sheet2!D:E, 2, 0)</f>
        <v>variant</v>
      </c>
      <c r="E1587" s="4" t="str">
        <f>IFERROR(__xludf.DUMMYFUNCTION("if(H1587=""pays"",vlookup(REGEXEXTRACT(C1587, ""🏘️ \w+ \w+ (.*) ✅""),'Country prepositions'!A:B, 2, 0) &amp; "" "" &amp; REGEXEXTRACT(C1587, ""🏘️ \w+ \w+ (.*) ✅"") ,  if(H1587=""quartier"",vlookup(REGEXEXTRACT(C1587, ""🏘️ \w+ \w+ (.*) ✅""),'Quartier prepositio"&amp;"ns'!A:E, 5, 0) ,  if(H1587=""region"",vlookup(REGEXEXTRACT(C1587, ""🏘️ \w+ \w+ (.*) ✅""),'Region prepositions'!B:F, 5, 0),  REGEXEXTRACT(C1587, ""🏘️ \w+ \w+ (.*) ✅""))))"),"dans le quartier des Beaux-Arts (Neuchâtel)")</f>
        <v>dans le quartier des Beaux-Arts (Neuchâtel)</v>
      </c>
      <c r="F1587" s="2" t="str">
        <f>IFERROR(__xludf.DUMMYFUNCTION("REGEXEXTRACT(C1587, ""🏘️ (\w+) \w+ .* ✅"")"),"Vendre")</f>
        <v>Vendre</v>
      </c>
      <c r="G1587" s="2" t="str">
        <f>IFERROR(__xludf.DUMMYFUNCTION("REGEXEXTRACT(C1587, ""🏘️ \w+ (\w+) .* ✅"")"),"maison")</f>
        <v>maison</v>
      </c>
      <c r="H1587" s="4" t="str">
        <f>IFERROR(__xludf.DUMMYFUNCTION("REGEXEXTRACT(A1587, ""/(\w+)-.*?"")"),"quartier")</f>
        <v>quartier</v>
      </c>
      <c r="I1587" s="4" t="str">
        <f>IFERROR(__xludf.DUMMYFUNCTION("if(D1587=""variant"",  substitute(filter(Templates!E:E, Templates!A:A = F1587, Templates!B:B = G1587, Templates!C:C = H1587), ""{{}}"", E1587), B1587)"),"🏘  Vous souhaitez acheter une maison dans le quartier des Beaux-Arts (Neuchâtel)? ✅ Jetez un œil aux dernières offres sur ImmoScout24.ch.")</f>
        <v>🏘  Vous souhaitez acheter une maison dans le quartier des Beaux-Arts (Neuchâtel)? ✅ Jetez un œil aux dernières offres sur ImmoScout24.ch.</v>
      </c>
      <c r="J1587" s="4" t="s">
        <v>4763</v>
      </c>
    </row>
    <row r="1588">
      <c r="A1588" s="5" t="s">
        <v>4764</v>
      </c>
      <c r="B1588" s="2" t="s">
        <v>4765</v>
      </c>
      <c r="C1588" s="4" t="str">
        <f>IFERROR(__xludf.DUMMYFUNCTION("""🏘️ ""&amp;REGEXEXTRACT(B1588, ""^(.*): "")&amp;"" ✅ "" &amp;REGEXEXTRACT(B1588, ""(Trouvez.*)"")"),"🏘️ Louer appartement Niederwil AG ✅ Trouvez le bien immobilier qui correspond idéalement à vos désirs sur ImmoScout24 - La plateforme de l'immobilier en Suisse.")</f>
        <v>🏘️ Louer appartement Niederwil AG ✅ Trouvez le bien immobilier qui correspond idéalement à vos désirs sur ImmoScout24 - La plateforme de l'immobilier en Suisse.</v>
      </c>
      <c r="D1588" s="4" t="str">
        <f>vlookup(A1588, Sheet2!D:E, 2, 0)</f>
        <v>variant</v>
      </c>
      <c r="E1588" s="4" t="str">
        <f>IFERROR(__xludf.DUMMYFUNCTION("if(H1588=""pays"",vlookup(REGEXEXTRACT(C1588, ""🏘️ \w+ \w+ (.*) ✅""),'Country prepositions'!A:B, 2, 0) &amp; "" "" &amp; REGEXEXTRACT(C1588, ""🏘️ \w+ \w+ (.*) ✅"") ,  if(H1588=""quartier"",vlookup(REGEXEXTRACT(C1588, ""🏘️ \w+ \w+ (.*) ✅""),'Quartier prepositio"&amp;"ns'!A:E, 5, 0) ,  if(H1588=""region"",vlookup(REGEXEXTRACT(C1588, ""🏘️ \w+ \w+ (.*) ✅""),'Region prepositions'!B:F, 5, 0),  REGEXEXTRACT(C1588, ""🏘️ \w+ \w+ (.*) ✅""))))"),"Niederwil AG")</f>
        <v>Niederwil AG</v>
      </c>
      <c r="F1588" s="2" t="str">
        <f>IFERROR(__xludf.DUMMYFUNCTION("REGEXEXTRACT(C1588, ""🏘️ (\w+) \w+ .* ✅"")"),"Louer")</f>
        <v>Louer</v>
      </c>
      <c r="G1588" s="2" t="str">
        <f>IFERROR(__xludf.DUMMYFUNCTION("REGEXEXTRACT(C1588, ""🏘️ \w+ (\w+) .* ✅"")"),"appartement")</f>
        <v>appartement</v>
      </c>
      <c r="H1588" s="4" t="str">
        <f>IFERROR(__xludf.DUMMYFUNCTION("REGEXEXTRACT(A1588, ""/(\w+)-.*?"")"),"lieu")</f>
        <v>lieu</v>
      </c>
      <c r="I1588" s="4" t="str">
        <f>IFERROR(__xludf.DUMMYFUNCTION("if(D1588=""variant"",  substitute(filter(Templates!E:E, Templates!A:A = F1588, Templates!B:B = G1588, Templates!C:C = H1588), ""{{}}"", E1588), B1588)"),"🏘  Vous cherchez un appartement à louer à Niederwil AG? ✅ Les annonces les plus actuelles sont sur ImmoScout24.ch.")</f>
        <v>🏘  Vous cherchez un appartement à louer à Niederwil AG? ✅ Les annonces les plus actuelles sont sur ImmoScout24.ch.</v>
      </c>
      <c r="J1588" s="4" t="s">
        <v>4766</v>
      </c>
    </row>
    <row r="1589">
      <c r="A1589" s="5" t="s">
        <v>4767</v>
      </c>
      <c r="B1589" s="2" t="s">
        <v>4768</v>
      </c>
      <c r="C1589" s="4" t="str">
        <f>IFERROR(__xludf.DUMMYFUNCTION("""🏘️ ""&amp;REGEXEXTRACT(B1589, ""^(.*): "")&amp;"" ✅ "" &amp;REGEXEXTRACT(B1589, ""(Trouvez.*)"")"),"🏘️ Louer appartement Jonction - Plainpalais (Genève) ✅ Trouvez le bien immobilier qui correspond idéalement à vos désirs sur ImmoScout24 - La plateforme de l'immobilier en Suisse.")</f>
        <v>🏘️ Louer appartement Jonction - Plainpalais (Genève) ✅ Trouvez le bien immobilier qui correspond idéalement à vos désirs sur ImmoScout24 - La plateforme de l'immobilier en Suisse.</v>
      </c>
      <c r="D1589" s="4" t="str">
        <f>vlookup(A1589, Sheet2!D:E, 2, 0)</f>
        <v>variant</v>
      </c>
      <c r="E1589" s="4" t="str">
        <f>IFERROR(__xludf.DUMMYFUNCTION("if(H1589=""pays"",vlookup(REGEXEXTRACT(C1589, ""🏘️ \w+ \w+ (.*) ✅""),'Country prepositions'!A:B, 2, 0) &amp; "" "" &amp; REGEXEXTRACT(C1589, ""🏘️ \w+ \w+ (.*) ✅"") ,  if(H1589=""quartier"",vlookup(REGEXEXTRACT(C1589, ""🏘️ \w+ \w+ (.*) ✅""),'Quartier prepositio"&amp;"ns'!A:E, 5, 0) ,  if(H1589=""region"",vlookup(REGEXEXTRACT(C1589, ""🏘️ \w+ \w+ (.*) ✅""),'Region prepositions'!B:F, 5, 0),  REGEXEXTRACT(C1589, ""🏘️ \w+ \w+ (.*) ✅""))))"),"dans le quartier de la Jonction - Plainpalais (Genève)")</f>
        <v>dans le quartier de la Jonction - Plainpalais (Genève)</v>
      </c>
      <c r="F1589" s="2" t="str">
        <f>IFERROR(__xludf.DUMMYFUNCTION("REGEXEXTRACT(C1589, ""🏘️ (\w+) \w+ .* ✅"")"),"Louer")</f>
        <v>Louer</v>
      </c>
      <c r="G1589" s="2" t="str">
        <f>IFERROR(__xludf.DUMMYFUNCTION("REGEXEXTRACT(C1589, ""🏘️ \w+ (\w+) .* ✅"")"),"appartement")</f>
        <v>appartement</v>
      </c>
      <c r="H1589" s="4" t="str">
        <f>IFERROR(__xludf.DUMMYFUNCTION("REGEXEXTRACT(A1589, ""/(\w+)-.*?"")"),"quartier")</f>
        <v>quartier</v>
      </c>
      <c r="I1589" s="4" t="str">
        <f>IFERROR(__xludf.DUMMYFUNCTION("if(D1589=""variant"",  substitute(filter(Templates!E:E, Templates!A:A = F1589, Templates!B:B = G1589, Templates!C:C = H1589), ""{{}}"", E1589), B1589)"),"🏘  Vous cherchez un appartement à louer dans le quartier de la Jonction - Plainpalais (Genève)? ✅ Les annonces les plus actuelles sont sur ImmoScout24.ch.")</f>
        <v>🏘  Vous cherchez un appartement à louer dans le quartier de la Jonction - Plainpalais (Genève)? ✅ Les annonces les plus actuelles sont sur ImmoScout24.ch.</v>
      </c>
      <c r="J1589" s="4" t="s">
        <v>4769</v>
      </c>
    </row>
    <row r="1590">
      <c r="A1590" s="5" t="s">
        <v>4770</v>
      </c>
      <c r="B1590" s="2" t="s">
        <v>4771</v>
      </c>
      <c r="C1590" s="4" t="str">
        <f>IFERROR(__xludf.DUMMYFUNCTION("""🏘️ ""&amp;REGEXEXTRACT(B1590, ""^(.*): "")&amp;"" ✅ "" &amp;REGEXEXTRACT(B1590, ""(Trouvez.*)"")"),"🏘️ Vendre maison Hirzel ✅ Trouvez le bien immobilier qui correspond idéalement à vos désirs sur ImmoScout24 - La plateforme de l'immobilier en Suisse.")</f>
        <v>🏘️ Vendre maison Hirzel ✅ Trouvez le bien immobilier qui correspond idéalement à vos désirs sur ImmoScout24 - La plateforme de l'immobilier en Suisse.</v>
      </c>
      <c r="D1590" s="4" t="str">
        <f>vlookup(A1590, Sheet2!D:E, 2, 0)</f>
        <v>variant</v>
      </c>
      <c r="E1590" s="4" t="str">
        <f>IFERROR(__xludf.DUMMYFUNCTION("if(H1590=""pays"",vlookup(REGEXEXTRACT(C1590, ""🏘️ \w+ \w+ (.*) ✅""),'Country prepositions'!A:B, 2, 0) &amp; "" "" &amp; REGEXEXTRACT(C1590, ""🏘️ \w+ \w+ (.*) ✅"") ,  if(H1590=""quartier"",vlookup(REGEXEXTRACT(C1590, ""🏘️ \w+ \w+ (.*) ✅""),'Quartier prepositio"&amp;"ns'!A:E, 5, 0) ,  if(H1590=""region"",vlookup(REGEXEXTRACT(C1590, ""🏘️ \w+ \w+ (.*) ✅""),'Region prepositions'!B:F, 5, 0),  REGEXEXTRACT(C1590, ""🏘️ \w+ \w+ (.*) ✅""))))"),"Hirzel")</f>
        <v>Hirzel</v>
      </c>
      <c r="F1590" s="2" t="str">
        <f>IFERROR(__xludf.DUMMYFUNCTION("REGEXEXTRACT(C1590, ""🏘️ (\w+) \w+ .* ✅"")"),"Vendre")</f>
        <v>Vendre</v>
      </c>
      <c r="G1590" s="2" t="str">
        <f>IFERROR(__xludf.DUMMYFUNCTION("REGEXEXTRACT(C1590, ""🏘️ \w+ (\w+) .* ✅"")"),"maison")</f>
        <v>maison</v>
      </c>
      <c r="H1590" s="4" t="str">
        <f>IFERROR(__xludf.DUMMYFUNCTION("REGEXEXTRACT(A1590, ""/(\w+)-.*?"")"),"lieu")</f>
        <v>lieu</v>
      </c>
      <c r="I1590" s="4" t="str">
        <f>IFERROR(__xludf.DUMMYFUNCTION("if(D1590=""variant"",  substitute(filter(Templates!E:E, Templates!A:A = F1590, Templates!B:B = G1590, Templates!C:C = H1590), ""{{}}"", E1590), B1590)"),"🏘  Vous souhaitez acheter une maison à Hirzel? ✅ Jetez un œil aux dernières offres sur ImmoScout24.ch.")</f>
        <v>🏘  Vous souhaitez acheter une maison à Hirzel? ✅ Jetez un œil aux dernières offres sur ImmoScout24.ch.</v>
      </c>
      <c r="J1590" s="4" t="s">
        <v>4772</v>
      </c>
    </row>
    <row r="1591">
      <c r="A1591" s="5" t="s">
        <v>4773</v>
      </c>
      <c r="B1591" s="2" t="s">
        <v>4774</v>
      </c>
      <c r="C1591" s="4" t="str">
        <f>IFERROR(__xludf.DUMMYFUNCTION("""🏘️ ""&amp;REGEXEXTRACT(B1591, ""^(.*): "")&amp;"" ✅ "" &amp;REGEXEXTRACT(B1591, ""(Trouvez.*)"")"),"🏘️ Vendre appartement Uttwil ✅ Trouvez le bien immobilier qui correspond idéalement à vos désirs sur ImmoScout24 - La plateforme de l'immobilier en Suisse.")</f>
        <v>🏘️ Vendre appartement Uttwil ✅ Trouvez le bien immobilier qui correspond idéalement à vos désirs sur ImmoScout24 - La plateforme de l'immobilier en Suisse.</v>
      </c>
      <c r="D1591" s="4" t="str">
        <f>vlookup(A1591, Sheet2!D:E, 2, 0)</f>
        <v>variant</v>
      </c>
      <c r="E1591" s="4" t="str">
        <f>IFERROR(__xludf.DUMMYFUNCTION("if(H1591=""pays"",vlookup(REGEXEXTRACT(C1591, ""🏘️ \w+ \w+ (.*) ✅""),'Country prepositions'!A:B, 2, 0) &amp; "" "" &amp; REGEXEXTRACT(C1591, ""🏘️ \w+ \w+ (.*) ✅"") ,  if(H1591=""quartier"",vlookup(REGEXEXTRACT(C1591, ""🏘️ \w+ \w+ (.*) ✅""),'Quartier prepositio"&amp;"ns'!A:E, 5, 0) ,  if(H1591=""region"",vlookup(REGEXEXTRACT(C1591, ""🏘️ \w+ \w+ (.*) ✅""),'Region prepositions'!B:F, 5, 0),  REGEXEXTRACT(C1591, ""🏘️ \w+ \w+ (.*) ✅""))))"),"Uttwil")</f>
        <v>Uttwil</v>
      </c>
      <c r="F1591" s="2" t="str">
        <f>IFERROR(__xludf.DUMMYFUNCTION("REGEXEXTRACT(C1591, ""🏘️ (\w+) \w+ .* ✅"")"),"Vendre")</f>
        <v>Vendre</v>
      </c>
      <c r="G1591" s="2" t="str">
        <f>IFERROR(__xludf.DUMMYFUNCTION("REGEXEXTRACT(C1591, ""🏘️ \w+ (\w+) .* ✅"")"),"appartement")</f>
        <v>appartement</v>
      </c>
      <c r="H1591" s="4" t="str">
        <f>IFERROR(__xludf.DUMMYFUNCTION("REGEXEXTRACT(A1591, ""/(\w+)-.*?"")"),"lieu")</f>
        <v>lieu</v>
      </c>
      <c r="I1591" s="4" t="str">
        <f>IFERROR(__xludf.DUMMYFUNCTION("if(D1591=""variant"",  substitute(filter(Templates!E:E, Templates!A:A = F1591, Templates!B:B = G1591, Templates!C:C = H1591), ""{{}}"", E1591), B1591)"),"🏘  L’appartement de vos rêves se trouve sur ImmoScout24.ch ✅ Découvrez les dernières annonces de vente à Uttwil.")</f>
        <v>🏘  L’appartement de vos rêves se trouve sur ImmoScout24.ch ✅ Découvrez les dernières annonces de vente à Uttwil.</v>
      </c>
      <c r="J1591" s="4" t="s">
        <v>4775</v>
      </c>
    </row>
    <row r="1592">
      <c r="A1592" s="5" t="s">
        <v>4776</v>
      </c>
      <c r="B1592" s="2" t="s">
        <v>4777</v>
      </c>
      <c r="C1592" s="4" t="str">
        <f>IFERROR(__xludf.DUMMYFUNCTION("""🏘️ ""&amp;REGEXEXTRACT(B1592, ""^(.*): "")&amp;"" ✅ "" &amp;REGEXEXTRACT(B1592, ""(Trouvez.*)"")"),"🏘️ Vendre maison Morcote ✅ Trouvez le bien immobilier qui correspond idéalement à vos désirs sur ImmoScout24 - La plateforme de l'immobilier en Suisse.")</f>
        <v>🏘️ Vendre maison Morcote ✅ Trouvez le bien immobilier qui correspond idéalement à vos désirs sur ImmoScout24 - La plateforme de l'immobilier en Suisse.</v>
      </c>
      <c r="D1592" s="4" t="str">
        <f>vlookup(A1592, Sheet2!D:E, 2, 0)</f>
        <v>variant</v>
      </c>
      <c r="E1592" s="4" t="str">
        <f>IFERROR(__xludf.DUMMYFUNCTION("if(H1592=""pays"",vlookup(REGEXEXTRACT(C1592, ""🏘️ \w+ \w+ (.*) ✅""),'Country prepositions'!A:B, 2, 0) &amp; "" "" &amp; REGEXEXTRACT(C1592, ""🏘️ \w+ \w+ (.*) ✅"") ,  if(H1592=""quartier"",vlookup(REGEXEXTRACT(C1592, ""🏘️ \w+ \w+ (.*) ✅""),'Quartier prepositio"&amp;"ns'!A:E, 5, 0) ,  if(H1592=""region"",vlookup(REGEXEXTRACT(C1592, ""🏘️ \w+ \w+ (.*) ✅""),'Region prepositions'!B:F, 5, 0),  REGEXEXTRACT(C1592, ""🏘️ \w+ \w+ (.*) ✅""))))"),"Morcote")</f>
        <v>Morcote</v>
      </c>
      <c r="F1592" s="2" t="str">
        <f>IFERROR(__xludf.DUMMYFUNCTION("REGEXEXTRACT(C1592, ""🏘️ (\w+) \w+ .* ✅"")"),"Vendre")</f>
        <v>Vendre</v>
      </c>
      <c r="G1592" s="2" t="str">
        <f>IFERROR(__xludf.DUMMYFUNCTION("REGEXEXTRACT(C1592, ""🏘️ \w+ (\w+) .* ✅"")"),"maison")</f>
        <v>maison</v>
      </c>
      <c r="H1592" s="4" t="str">
        <f>IFERROR(__xludf.DUMMYFUNCTION("REGEXEXTRACT(A1592, ""/(\w+)-.*?"")"),"lieu")</f>
        <v>lieu</v>
      </c>
      <c r="I1592" s="4" t="str">
        <f>IFERROR(__xludf.DUMMYFUNCTION("if(D1592=""variant"",  substitute(filter(Templates!E:E, Templates!A:A = F1592, Templates!B:B = G1592, Templates!C:C = H1592), ""{{}}"", E1592), B1592)"),"🏘  Vous souhaitez acheter une maison à Morcote? ✅ Jetez un œil aux dernières offres sur ImmoScout24.ch.")</f>
        <v>🏘  Vous souhaitez acheter une maison à Morcote? ✅ Jetez un œil aux dernières offres sur ImmoScout24.ch.</v>
      </c>
      <c r="J1592" s="4" t="s">
        <v>4778</v>
      </c>
    </row>
    <row r="1593">
      <c r="A1593" s="5" t="s">
        <v>4779</v>
      </c>
      <c r="B1593" s="2" t="s">
        <v>4780</v>
      </c>
      <c r="C1593" s="4" t="str">
        <f>IFERROR(__xludf.DUMMYFUNCTION("""🏘️ ""&amp;REGEXEXTRACT(B1593, ""^(.*): "")&amp;"" ✅ "" &amp;REGEXEXTRACT(B1593, ""(Trouvez.*)"")"),"🏘️ Louer appartement Ascona ✅ Trouvez le bien immobilier qui correspond idéalement à vos désirs sur ImmoScout24 - La plateforme de l'immobilier en Suisse.")</f>
        <v>🏘️ Louer appartement Ascona ✅ Trouvez le bien immobilier qui correspond idéalement à vos désirs sur ImmoScout24 - La plateforme de l'immobilier en Suisse.</v>
      </c>
      <c r="D1593" s="4" t="str">
        <f>vlookup(A1593, Sheet2!D:E, 2, 0)</f>
        <v>variant</v>
      </c>
      <c r="E1593" s="4" t="str">
        <f>IFERROR(__xludf.DUMMYFUNCTION("if(H1593=""pays"",vlookup(REGEXEXTRACT(C1593, ""🏘️ \w+ \w+ (.*) ✅""),'Country prepositions'!A:B, 2, 0) &amp; "" "" &amp; REGEXEXTRACT(C1593, ""🏘️ \w+ \w+ (.*) ✅"") ,  if(H1593=""quartier"",vlookup(REGEXEXTRACT(C1593, ""🏘️ \w+ \w+ (.*) ✅""),'Quartier prepositio"&amp;"ns'!A:E, 5, 0) ,  if(H1593=""region"",vlookup(REGEXEXTRACT(C1593, ""🏘️ \w+ \w+ (.*) ✅""),'Region prepositions'!B:F, 5, 0),  REGEXEXTRACT(C1593, ""🏘️ \w+ \w+ (.*) ✅""))))"),"Ascona")</f>
        <v>Ascona</v>
      </c>
      <c r="F1593" s="2" t="str">
        <f>IFERROR(__xludf.DUMMYFUNCTION("REGEXEXTRACT(C1593, ""🏘️ (\w+) \w+ .* ✅"")"),"Louer")</f>
        <v>Louer</v>
      </c>
      <c r="G1593" s="2" t="str">
        <f>IFERROR(__xludf.DUMMYFUNCTION("REGEXEXTRACT(C1593, ""🏘️ \w+ (\w+) .* ✅"")"),"appartement")</f>
        <v>appartement</v>
      </c>
      <c r="H1593" s="4" t="str">
        <f>IFERROR(__xludf.DUMMYFUNCTION("REGEXEXTRACT(A1593, ""/(\w+)-.*?"")"),"lieu")</f>
        <v>lieu</v>
      </c>
      <c r="I1593" s="4" t="str">
        <f>IFERROR(__xludf.DUMMYFUNCTION("if(D1593=""variant"",  substitute(filter(Templates!E:E, Templates!A:A = F1593, Templates!B:B = G1593, Templates!C:C = H1593), ""{{}}"", E1593), B1593)"),"🏘  Vous cherchez un appartement à louer à Ascona? ✅ Les annonces les plus actuelles sont sur ImmoScout24.ch.")</f>
        <v>🏘  Vous cherchez un appartement à louer à Ascona? ✅ Les annonces les plus actuelles sont sur ImmoScout24.ch.</v>
      </c>
      <c r="J1593" s="4" t="s">
        <v>4781</v>
      </c>
    </row>
    <row r="1594">
      <c r="A1594" s="5" t="s">
        <v>4782</v>
      </c>
      <c r="B1594" s="2" t="s">
        <v>4783</v>
      </c>
      <c r="C1594" s="4" t="str">
        <f>IFERROR(__xludf.DUMMYFUNCTION("""🏘️ ""&amp;REGEXEXTRACT(B1594, ""^(.*): "")&amp;"" ✅ "" &amp;REGEXEXTRACT(B1594, ""(Trouvez.*)"")"),"🏘️ Vendre appartement Botyre (Ayent) ✅ Trouvez le bien immobilier qui correspond idéalement à vos désirs sur ImmoScout24 - La plateforme de l'immobilier en Suisse.")</f>
        <v>🏘️ Vendre appartement Botyre (Ayent) ✅ Trouvez le bien immobilier qui correspond idéalement à vos désirs sur ImmoScout24 - La plateforme de l'immobilier en Suisse.</v>
      </c>
      <c r="D1594" s="4" t="str">
        <f>vlookup(A1594, Sheet2!D:E, 2, 0)</f>
        <v>variant</v>
      </c>
      <c r="E1594" s="4" t="str">
        <f>IFERROR(__xludf.DUMMYFUNCTION("if(H1594=""pays"",vlookup(REGEXEXTRACT(C1594, ""🏘️ \w+ \w+ (.*) ✅""),'Country prepositions'!A:B, 2, 0) &amp; "" "" &amp; REGEXEXTRACT(C1594, ""🏘️ \w+ \w+ (.*) ✅"") ,  if(H1594=""quartier"",vlookup(REGEXEXTRACT(C1594, ""🏘️ \w+ \w+ (.*) ✅""),'Quartier prepositio"&amp;"ns'!A:E, 5, 0) ,  if(H1594=""region"",vlookup(REGEXEXTRACT(C1594, ""🏘️ \w+ \w+ (.*) ✅""),'Region prepositions'!B:F, 5, 0),  REGEXEXTRACT(C1594, ""🏘️ \w+ \w+ (.*) ✅""))))"),"Botyre (Ayent)")</f>
        <v>Botyre (Ayent)</v>
      </c>
      <c r="F1594" s="2" t="str">
        <f>IFERROR(__xludf.DUMMYFUNCTION("REGEXEXTRACT(C1594, ""🏘️ (\w+) \w+ .* ✅"")"),"Vendre")</f>
        <v>Vendre</v>
      </c>
      <c r="G1594" s="2" t="str">
        <f>IFERROR(__xludf.DUMMYFUNCTION("REGEXEXTRACT(C1594, ""🏘️ \w+ (\w+) .* ✅"")"),"appartement")</f>
        <v>appartement</v>
      </c>
      <c r="H1594" s="4" t="str">
        <f>IFERROR(__xludf.DUMMYFUNCTION("REGEXEXTRACT(A1594, ""/(\w+)-.*?"")"),"lieu")</f>
        <v>lieu</v>
      </c>
      <c r="I1594" s="4" t="str">
        <f>IFERROR(__xludf.DUMMYFUNCTION("if(D1594=""variant"",  substitute(filter(Templates!E:E, Templates!A:A = F1594, Templates!B:B = G1594, Templates!C:C = H1594), ""{{}}"", E1594), B1594)"),"🏘  L’appartement de vos rêves se trouve sur ImmoScout24.ch ✅ Découvrez les dernières annonces de vente à Botyre (Ayent).")</f>
        <v>🏘  L’appartement de vos rêves se trouve sur ImmoScout24.ch ✅ Découvrez les dernières annonces de vente à Botyre (Ayent).</v>
      </c>
      <c r="J1594" s="4" t="s">
        <v>4784</v>
      </c>
    </row>
    <row r="1595">
      <c r="A1595" s="5" t="s">
        <v>4785</v>
      </c>
      <c r="B1595" s="2" t="s">
        <v>4786</v>
      </c>
      <c r="C1595" s="4" t="str">
        <f>IFERROR(__xludf.DUMMYFUNCTION("""🏘️ ""&amp;REGEXEXTRACT(B1595, ""^(.*): "")&amp;"" ✅ "" &amp;REGEXEXTRACT(B1595, ""(Trouvez.*)"")"),"🏘️ Vendre maison Gockhausen ✅ Trouvez le bien immobilier qui correspond idéalement à vos désirs sur ImmoScout24 - La plateforme de l'immobilier en Suisse.")</f>
        <v>🏘️ Vendre maison Gockhausen ✅ Trouvez le bien immobilier qui correspond idéalement à vos désirs sur ImmoScout24 - La plateforme de l'immobilier en Suisse.</v>
      </c>
      <c r="D1595" s="4" t="str">
        <f>vlookup(A1595, Sheet2!D:E, 2, 0)</f>
        <v>variant</v>
      </c>
      <c r="E1595" s="4" t="str">
        <f>IFERROR(__xludf.DUMMYFUNCTION("if(H1595=""pays"",vlookup(REGEXEXTRACT(C1595, ""🏘️ \w+ \w+ (.*) ✅""),'Country prepositions'!A:B, 2, 0) &amp; "" "" &amp; REGEXEXTRACT(C1595, ""🏘️ \w+ \w+ (.*) ✅"") ,  if(H1595=""quartier"",vlookup(REGEXEXTRACT(C1595, ""🏘️ \w+ \w+ (.*) ✅""),'Quartier prepositio"&amp;"ns'!A:E, 5, 0) ,  if(H1595=""region"",vlookup(REGEXEXTRACT(C1595, ""🏘️ \w+ \w+ (.*) ✅""),'Region prepositions'!B:F, 5, 0),  REGEXEXTRACT(C1595, ""🏘️ \w+ \w+ (.*) ✅""))))"),"Gockhausen")</f>
        <v>Gockhausen</v>
      </c>
      <c r="F1595" s="2" t="str">
        <f>IFERROR(__xludf.DUMMYFUNCTION("REGEXEXTRACT(C1595, ""🏘️ (\w+) \w+ .* ✅"")"),"Vendre")</f>
        <v>Vendre</v>
      </c>
      <c r="G1595" s="2" t="str">
        <f>IFERROR(__xludf.DUMMYFUNCTION("REGEXEXTRACT(C1595, ""🏘️ \w+ (\w+) .* ✅"")"),"maison")</f>
        <v>maison</v>
      </c>
      <c r="H1595" s="4" t="str">
        <f>IFERROR(__xludf.DUMMYFUNCTION("REGEXEXTRACT(A1595, ""/(\w+)-.*?"")"),"lieu")</f>
        <v>lieu</v>
      </c>
      <c r="I1595" s="4" t="str">
        <f>IFERROR(__xludf.DUMMYFUNCTION("if(D1595=""variant"",  substitute(filter(Templates!E:E, Templates!A:A = F1595, Templates!B:B = G1595, Templates!C:C = H1595), ""{{}}"", E1595), B1595)"),"🏘  Vous souhaitez acheter une maison à Gockhausen? ✅ Jetez un œil aux dernières offres sur ImmoScout24.ch.")</f>
        <v>🏘  Vous souhaitez acheter une maison à Gockhausen? ✅ Jetez un œil aux dernières offres sur ImmoScout24.ch.</v>
      </c>
      <c r="J1595" s="4" t="s">
        <v>4787</v>
      </c>
    </row>
    <row r="1596">
      <c r="A1596" s="5" t="s">
        <v>4788</v>
      </c>
      <c r="B1596" s="2" t="s">
        <v>4789</v>
      </c>
      <c r="C1596" s="4" t="str">
        <f>IFERROR(__xludf.DUMMYFUNCTION("""🏘️ ""&amp;REGEXEXTRACT(B1596, ""^(.*): "")&amp;"" ✅ "" &amp;REGEXEXTRACT(B1596, ""(Trouvez.*)"")"),"🏘️ Vendre maison Rue ✅ Trouvez le bien immobilier qui correspond idéalement à vos désirs sur ImmoScout24 - La plateforme de l'immobilier en Suisse.")</f>
        <v>🏘️ Vendre maison Rue ✅ Trouvez le bien immobilier qui correspond idéalement à vos désirs sur ImmoScout24 - La plateforme de l'immobilier en Suisse.</v>
      </c>
      <c r="D1596" s="4" t="str">
        <f>vlookup(A1596, Sheet2!D:E, 2, 0)</f>
        <v>variant</v>
      </c>
      <c r="E1596" s="4" t="str">
        <f>IFERROR(__xludf.DUMMYFUNCTION("if(H1596=""pays"",vlookup(REGEXEXTRACT(C1596, ""🏘️ \w+ \w+ (.*) ✅""),'Country prepositions'!A:B, 2, 0) &amp; "" "" &amp; REGEXEXTRACT(C1596, ""🏘️ \w+ \w+ (.*) ✅"") ,  if(H1596=""quartier"",vlookup(REGEXEXTRACT(C1596, ""🏘️ \w+ \w+ (.*) ✅""),'Quartier prepositio"&amp;"ns'!A:E, 5, 0) ,  if(H1596=""region"",vlookup(REGEXEXTRACT(C1596, ""🏘️ \w+ \w+ (.*) ✅""),'Region prepositions'!B:F, 5, 0),  REGEXEXTRACT(C1596, ""🏘️ \w+ \w+ (.*) ✅""))))"),"Rue")</f>
        <v>Rue</v>
      </c>
      <c r="F1596" s="2" t="str">
        <f>IFERROR(__xludf.DUMMYFUNCTION("REGEXEXTRACT(C1596, ""🏘️ (\w+) \w+ .* ✅"")"),"Vendre")</f>
        <v>Vendre</v>
      </c>
      <c r="G1596" s="2" t="str">
        <f>IFERROR(__xludf.DUMMYFUNCTION("REGEXEXTRACT(C1596, ""🏘️ \w+ (\w+) .* ✅"")"),"maison")</f>
        <v>maison</v>
      </c>
      <c r="H1596" s="4" t="str">
        <f>IFERROR(__xludf.DUMMYFUNCTION("REGEXEXTRACT(A1596, ""/(\w+)-.*?"")"),"lieu")</f>
        <v>lieu</v>
      </c>
      <c r="I1596" s="4" t="str">
        <f>IFERROR(__xludf.DUMMYFUNCTION("if(D1596=""variant"",  substitute(filter(Templates!E:E, Templates!A:A = F1596, Templates!B:B = G1596, Templates!C:C = H1596), ""{{}}"", E1596), B1596)"),"🏘  Vous souhaitez acheter une maison à Rue? ✅ Jetez un œil aux dernières offres sur ImmoScout24.ch.")</f>
        <v>🏘  Vous souhaitez acheter une maison à Rue? ✅ Jetez un œil aux dernières offres sur ImmoScout24.ch.</v>
      </c>
      <c r="J1596" s="4" t="s">
        <v>4790</v>
      </c>
    </row>
    <row r="1597">
      <c r="A1597" s="5" t="s">
        <v>4791</v>
      </c>
      <c r="B1597" s="2" t="s">
        <v>4792</v>
      </c>
      <c r="C1597" s="4" t="str">
        <f>IFERROR(__xludf.DUMMYFUNCTION("""🏘️ ""&amp;REGEXEXTRACT(B1597, ""^(.*): "")&amp;"" ✅ "" &amp;REGEXEXTRACT(B1597, ""(Trouvez.*)"")"),"🏘️ Vendre maison Ballwil ✅ Trouvez le bien immobilier qui correspond idéalement à vos désirs sur ImmoScout24 - La plateforme de l'immobilier en Suisse.")</f>
        <v>🏘️ Vendre maison Ballwil ✅ Trouvez le bien immobilier qui correspond idéalement à vos désirs sur ImmoScout24 - La plateforme de l'immobilier en Suisse.</v>
      </c>
      <c r="D1597" s="4" t="str">
        <f>vlookup(A1597, Sheet2!D:E, 2, 0)</f>
        <v>variant</v>
      </c>
      <c r="E1597" s="4" t="str">
        <f>IFERROR(__xludf.DUMMYFUNCTION("if(H1597=""pays"",vlookup(REGEXEXTRACT(C1597, ""🏘️ \w+ \w+ (.*) ✅""),'Country prepositions'!A:B, 2, 0) &amp; "" "" &amp; REGEXEXTRACT(C1597, ""🏘️ \w+ \w+ (.*) ✅"") ,  if(H1597=""quartier"",vlookup(REGEXEXTRACT(C1597, ""🏘️ \w+ \w+ (.*) ✅""),'Quartier prepositio"&amp;"ns'!A:E, 5, 0) ,  if(H1597=""region"",vlookup(REGEXEXTRACT(C1597, ""🏘️ \w+ \w+ (.*) ✅""),'Region prepositions'!B:F, 5, 0),  REGEXEXTRACT(C1597, ""🏘️ \w+ \w+ (.*) ✅""))))"),"Ballwil")</f>
        <v>Ballwil</v>
      </c>
      <c r="F1597" s="2" t="str">
        <f>IFERROR(__xludf.DUMMYFUNCTION("REGEXEXTRACT(C1597, ""🏘️ (\w+) \w+ .* ✅"")"),"Vendre")</f>
        <v>Vendre</v>
      </c>
      <c r="G1597" s="2" t="str">
        <f>IFERROR(__xludf.DUMMYFUNCTION("REGEXEXTRACT(C1597, ""🏘️ \w+ (\w+) .* ✅"")"),"maison")</f>
        <v>maison</v>
      </c>
      <c r="H1597" s="4" t="str">
        <f>IFERROR(__xludf.DUMMYFUNCTION("REGEXEXTRACT(A1597, ""/(\w+)-.*?"")"),"lieu")</f>
        <v>lieu</v>
      </c>
      <c r="I1597" s="4" t="str">
        <f>IFERROR(__xludf.DUMMYFUNCTION("if(D1597=""variant"",  substitute(filter(Templates!E:E, Templates!A:A = F1597, Templates!B:B = G1597, Templates!C:C = H1597), ""{{}}"", E1597), B1597)"),"🏘  Vous souhaitez acheter une maison à Ballwil? ✅ Jetez un œil aux dernières offres sur ImmoScout24.ch.")</f>
        <v>🏘  Vous souhaitez acheter une maison à Ballwil? ✅ Jetez un œil aux dernières offres sur ImmoScout24.ch.</v>
      </c>
      <c r="J1597" s="4" t="s">
        <v>4793</v>
      </c>
    </row>
    <row r="1598">
      <c r="A1598" s="5" t="s">
        <v>4794</v>
      </c>
      <c r="B1598" s="2" t="s">
        <v>4795</v>
      </c>
      <c r="C1598" s="4" t="str">
        <f>IFERROR(__xludf.DUMMYFUNCTION("""🏘️ ""&amp;REGEXEXTRACT(B1598, ""^(.*): "")&amp;"" ✅ "" &amp;REGEXEXTRACT(B1598, ""(Trouvez.*)"")"),"🏘️ Louer appartement Signèse (Ayent) ✅ Trouvez le bien immobilier qui correspond idéalement à vos désirs sur ImmoScout24 - La plateforme de l'immobilier en Suisse.")</f>
        <v>🏘️ Louer appartement Signèse (Ayent) ✅ Trouvez le bien immobilier qui correspond idéalement à vos désirs sur ImmoScout24 - La plateforme de l'immobilier en Suisse.</v>
      </c>
      <c r="D1598" s="4" t="str">
        <f>vlookup(A1598, Sheet2!D:E, 2, 0)</f>
        <v>variant</v>
      </c>
      <c r="E1598" s="4" t="str">
        <f>IFERROR(__xludf.DUMMYFUNCTION("if(H1598=""pays"",vlookup(REGEXEXTRACT(C1598, ""🏘️ \w+ \w+ (.*) ✅""),'Country prepositions'!A:B, 2, 0) &amp; "" "" &amp; REGEXEXTRACT(C1598, ""🏘️ \w+ \w+ (.*) ✅"") ,  if(H1598=""quartier"",vlookup(REGEXEXTRACT(C1598, ""🏘️ \w+ \w+ (.*) ✅""),'Quartier prepositio"&amp;"ns'!A:E, 5, 0) ,  if(H1598=""region"",vlookup(REGEXEXTRACT(C1598, ""🏘️ \w+ \w+ (.*) ✅""),'Region prepositions'!B:F, 5, 0),  REGEXEXTRACT(C1598, ""🏘️ \w+ \w+ (.*) ✅""))))"),"Signèse (Ayent)")</f>
        <v>Signèse (Ayent)</v>
      </c>
      <c r="F1598" s="2" t="str">
        <f>IFERROR(__xludf.DUMMYFUNCTION("REGEXEXTRACT(C1598, ""🏘️ (\w+) \w+ .* ✅"")"),"Louer")</f>
        <v>Louer</v>
      </c>
      <c r="G1598" s="2" t="str">
        <f>IFERROR(__xludf.DUMMYFUNCTION("REGEXEXTRACT(C1598, ""🏘️ \w+ (\w+) .* ✅"")"),"appartement")</f>
        <v>appartement</v>
      </c>
      <c r="H1598" s="4" t="str">
        <f>IFERROR(__xludf.DUMMYFUNCTION("REGEXEXTRACT(A1598, ""/(\w+)-.*?"")"),"lieu")</f>
        <v>lieu</v>
      </c>
      <c r="I1598" s="4" t="str">
        <f>IFERROR(__xludf.DUMMYFUNCTION("if(D1598=""variant"",  substitute(filter(Templates!E:E, Templates!A:A = F1598, Templates!B:B = G1598, Templates!C:C = H1598), ""{{}}"", E1598), B1598)"),"🏘  Vous cherchez un appartement à louer à Signèse (Ayent)? ✅ Les annonces les plus actuelles sont sur ImmoScout24.ch.")</f>
        <v>🏘  Vous cherchez un appartement à louer à Signèse (Ayent)? ✅ Les annonces les plus actuelles sont sur ImmoScout24.ch.</v>
      </c>
      <c r="J1598" s="4" t="s">
        <v>4796</v>
      </c>
    </row>
    <row r="1599">
      <c r="A1599" s="5" t="s">
        <v>4797</v>
      </c>
      <c r="B1599" s="2" t="s">
        <v>4798</v>
      </c>
      <c r="C1599" s="4" t="str">
        <f>IFERROR(__xludf.DUMMYFUNCTION("""🏘️ ""&amp;REGEXEXTRACT(B1599, ""^(.*): "")&amp;"" ✅ "" &amp;REGEXEXTRACT(B1599, ""(Trouvez.*)"")"),"🏘️ Louer appartement Echandens ✅ Trouvez le bien immobilier qui correspond idéalement à vos désirs sur ImmoScout24 - La plateforme de l'immobilier en Suisse.")</f>
        <v>🏘️ Louer appartement Echandens ✅ Trouvez le bien immobilier qui correspond idéalement à vos désirs sur ImmoScout24 - La plateforme de l'immobilier en Suisse.</v>
      </c>
      <c r="D1599" s="4" t="str">
        <f>vlookup(A1599, Sheet2!D:E, 2, 0)</f>
        <v>variant</v>
      </c>
      <c r="E1599" s="4" t="str">
        <f>IFERROR(__xludf.DUMMYFUNCTION("if(H1599=""pays"",vlookup(REGEXEXTRACT(C1599, ""🏘️ \w+ \w+ (.*) ✅""),'Country prepositions'!A:B, 2, 0) &amp; "" "" &amp; REGEXEXTRACT(C1599, ""🏘️ \w+ \w+ (.*) ✅"") ,  if(H1599=""quartier"",vlookup(REGEXEXTRACT(C1599, ""🏘️ \w+ \w+ (.*) ✅""),'Quartier prepositio"&amp;"ns'!A:E, 5, 0) ,  if(H1599=""region"",vlookup(REGEXEXTRACT(C1599, ""🏘️ \w+ \w+ (.*) ✅""),'Region prepositions'!B:F, 5, 0),  REGEXEXTRACT(C1599, ""🏘️ \w+ \w+ (.*) ✅""))))"),"Echandens")</f>
        <v>Echandens</v>
      </c>
      <c r="F1599" s="2" t="str">
        <f>IFERROR(__xludf.DUMMYFUNCTION("REGEXEXTRACT(C1599, ""🏘️ (\w+) \w+ .* ✅"")"),"Louer")</f>
        <v>Louer</v>
      </c>
      <c r="G1599" s="2" t="str">
        <f>IFERROR(__xludf.DUMMYFUNCTION("REGEXEXTRACT(C1599, ""🏘️ \w+ (\w+) .* ✅"")"),"appartement")</f>
        <v>appartement</v>
      </c>
      <c r="H1599" s="4" t="str">
        <f>IFERROR(__xludf.DUMMYFUNCTION("REGEXEXTRACT(A1599, ""/(\w+)-.*?"")"),"lieu")</f>
        <v>lieu</v>
      </c>
      <c r="I1599" s="4" t="str">
        <f>IFERROR(__xludf.DUMMYFUNCTION("if(D1599=""variant"",  substitute(filter(Templates!E:E, Templates!A:A = F1599, Templates!B:B = G1599, Templates!C:C = H1599), ""{{}}"", E1599), B1599)"),"🏘  Vous cherchez un appartement à louer à Echandens? ✅ Les annonces les plus actuelles sont sur ImmoScout24.ch.")</f>
        <v>🏘  Vous cherchez un appartement à louer à Echandens? ✅ Les annonces les plus actuelles sont sur ImmoScout24.ch.</v>
      </c>
      <c r="J1599" s="4" t="s">
        <v>4799</v>
      </c>
    </row>
    <row r="1600">
      <c r="A1600" s="5" t="s">
        <v>4800</v>
      </c>
      <c r="B1600" s="2" t="s">
        <v>4801</v>
      </c>
      <c r="C1600" s="4" t="str">
        <f>IFERROR(__xludf.DUMMYFUNCTION("""🏘️ ""&amp;REGEXEXTRACT(B1600, ""^(.*): "")&amp;"" ✅ "" &amp;REGEXEXTRACT(B1600, ""(Trouvez.*)"")"),"🏘️ Vendre maison Zwischenflüh ✅ Trouvez le bien immobilier qui correspond idéalement à vos désirs sur ImmoScout24 - La plateforme de l'immobilier en Suisse.")</f>
        <v>🏘️ Vendre maison Zwischenflüh ✅ Trouvez le bien immobilier qui correspond idéalement à vos désirs sur ImmoScout24 - La plateforme de l'immobilier en Suisse.</v>
      </c>
      <c r="D1600" s="4" t="str">
        <f>vlookup(A1600, Sheet2!D:E, 2, 0)</f>
        <v>variant</v>
      </c>
      <c r="E1600" s="4" t="str">
        <f>IFERROR(__xludf.DUMMYFUNCTION("if(H1600=""pays"",vlookup(REGEXEXTRACT(C1600, ""🏘️ \w+ \w+ (.*) ✅""),'Country prepositions'!A:B, 2, 0) &amp; "" "" &amp; REGEXEXTRACT(C1600, ""🏘️ \w+ \w+ (.*) ✅"") ,  if(H1600=""quartier"",vlookup(REGEXEXTRACT(C1600, ""🏘️ \w+ \w+ (.*) ✅""),'Quartier prepositio"&amp;"ns'!A:E, 5, 0) ,  if(H1600=""region"",vlookup(REGEXEXTRACT(C1600, ""🏘️ \w+ \w+ (.*) ✅""),'Region prepositions'!B:F, 5, 0),  REGEXEXTRACT(C1600, ""🏘️ \w+ \w+ (.*) ✅""))))"),"Zwischenflüh")</f>
        <v>Zwischenflüh</v>
      </c>
      <c r="F1600" s="2" t="str">
        <f>IFERROR(__xludf.DUMMYFUNCTION("REGEXEXTRACT(C1600, ""🏘️ (\w+) \w+ .* ✅"")"),"Vendre")</f>
        <v>Vendre</v>
      </c>
      <c r="G1600" s="2" t="str">
        <f>IFERROR(__xludf.DUMMYFUNCTION("REGEXEXTRACT(C1600, ""🏘️ \w+ (\w+) .* ✅"")"),"maison")</f>
        <v>maison</v>
      </c>
      <c r="H1600" s="4" t="str">
        <f>IFERROR(__xludf.DUMMYFUNCTION("REGEXEXTRACT(A1600, ""/(\w+)-.*?"")"),"lieu")</f>
        <v>lieu</v>
      </c>
      <c r="I1600" s="4" t="str">
        <f>IFERROR(__xludf.DUMMYFUNCTION("if(D1600=""variant"",  substitute(filter(Templates!E:E, Templates!A:A = F1600, Templates!B:B = G1600, Templates!C:C = H1600), ""{{}}"", E1600), B1600)"),"🏘  Vous souhaitez acheter une maison à Zwischenflüh? ✅ Jetez un œil aux dernières offres sur ImmoScout24.ch.")</f>
        <v>🏘  Vous souhaitez acheter une maison à Zwischenflüh? ✅ Jetez un œil aux dernières offres sur ImmoScout24.ch.</v>
      </c>
      <c r="J1600" s="4" t="s">
        <v>4802</v>
      </c>
    </row>
    <row r="1601">
      <c r="A1601" s="5" t="s">
        <v>4803</v>
      </c>
      <c r="B1601" s="2" t="s">
        <v>4804</v>
      </c>
      <c r="C1601" s="4" t="str">
        <f>IFERROR(__xludf.DUMMYFUNCTION("""🏘️ ""&amp;REGEXEXTRACT(B1601, ""^(.*): "")&amp;"" ✅ "" &amp;REGEXEXTRACT(B1601, ""(Trouvez.*)"")"),"🏘️ Louer maison Espagne ✅ Trouvez le bien immobilier qui correspond idéalement à vos désirs sur ImmoScout24 - La plateforme de l'immobilier en Suisse.")</f>
        <v>🏘️ Louer maison Espagne ✅ Trouvez le bien immobilier qui correspond idéalement à vos désirs sur ImmoScout24 - La plateforme de l'immobilier en Suisse.</v>
      </c>
      <c r="D1601" s="4" t="str">
        <f>vlookup(A1601, Sheet2!D:E, 2, 0)</f>
        <v>variant</v>
      </c>
      <c r="E1601" s="4" t="str">
        <f>IFERROR(__xludf.DUMMYFUNCTION("if(H1601=""pays"",vlookup(REGEXEXTRACT(C1601, ""🏘️ \w+ \w+ (.*) ✅""),'Country prepositions'!A:B, 2, 0) &amp; "" "" &amp; REGEXEXTRACT(C1601, ""🏘️ \w+ \w+ (.*) ✅"") ,  if(H1601=""quartier"",vlookup(REGEXEXTRACT(C1601, ""🏘️ \w+ \w+ (.*) ✅""),'Quartier prepositio"&amp;"ns'!A:E, 5, 0) ,  if(H1601=""region"",vlookup(REGEXEXTRACT(C1601, ""🏘️ \w+ \w+ (.*) ✅""),'Region prepositions'!B:F, 5, 0),  REGEXEXTRACT(C1601, ""🏘️ \w+ \w+ (.*) ✅""))))"),"en Espagne")</f>
        <v>en Espagne</v>
      </c>
      <c r="F1601" s="2" t="str">
        <f>IFERROR(__xludf.DUMMYFUNCTION("REGEXEXTRACT(C1601, ""🏘️ (\w+) \w+ .* ✅"")"),"Louer")</f>
        <v>Louer</v>
      </c>
      <c r="G1601" s="2" t="str">
        <f>IFERROR(__xludf.DUMMYFUNCTION("REGEXEXTRACT(C1601, ""🏘️ \w+ (\w+) .* ✅"")"),"maison")</f>
        <v>maison</v>
      </c>
      <c r="H1601" s="4" t="str">
        <f>IFERROR(__xludf.DUMMYFUNCTION("REGEXEXTRACT(A1601, ""/(\w+)-.*?"")"),"pays")</f>
        <v>pays</v>
      </c>
      <c r="I1601" s="4" t="str">
        <f>IFERROR(__xludf.DUMMYFUNCTION("if(D1601=""variant"",  substitute(filter(Templates!E:E, Templates!A:A = F1601, Templates!B:B = G1601, Templates!C:C = H1601), ""{{}}"", E1601), B1601)"),"🏘  Vous cherchez un appartement à louer en Espagne? ✅ Les annonces les plus actuelles sont sur ImmoScout24.ch.")</f>
        <v>🏘  Vous cherchez un appartement à louer en Espagne? ✅ Les annonces les plus actuelles sont sur ImmoScout24.ch.</v>
      </c>
      <c r="J1601" s="4" t="s">
        <v>237</v>
      </c>
    </row>
    <row r="1602">
      <c r="A1602" s="5" t="s">
        <v>4805</v>
      </c>
      <c r="B1602" s="2" t="s">
        <v>4806</v>
      </c>
      <c r="C1602" s="4" t="str">
        <f>IFERROR(__xludf.DUMMYFUNCTION("""🏘️ ""&amp;REGEXEXTRACT(B1602, ""^(.*): "")&amp;"" ✅ "" &amp;REGEXEXTRACT(B1602, ""(Trouvez.*)"")"),"🏘️ Vendre maison L'Abbaye ✅ Trouvez le bien immobilier qui correspond idéalement à vos désirs sur ImmoScout24 - La plateforme de l'immobilier en Suisse.")</f>
        <v>🏘️ Vendre maison L'Abbaye ✅ Trouvez le bien immobilier qui correspond idéalement à vos désirs sur ImmoScout24 - La plateforme de l'immobilier en Suisse.</v>
      </c>
      <c r="D1602" s="4" t="str">
        <f>vlookup(A1602, Sheet2!D:E, 2, 0)</f>
        <v>variant</v>
      </c>
      <c r="E1602" s="4" t="str">
        <f>IFERROR(__xludf.DUMMYFUNCTION("if(H1602=""pays"",vlookup(REGEXEXTRACT(C1602, ""🏘️ \w+ \w+ (.*) ✅""),'Country prepositions'!A:B, 2, 0) &amp; "" "" &amp; REGEXEXTRACT(C1602, ""🏘️ \w+ \w+ (.*) ✅"") ,  if(H1602=""quartier"",vlookup(REGEXEXTRACT(C1602, ""🏘️ \w+ \w+ (.*) ✅""),'Quartier prepositio"&amp;"ns'!A:E, 5, 0) ,  if(H1602=""region"",vlookup(REGEXEXTRACT(C1602, ""🏘️ \w+ \w+ (.*) ✅""),'Region prepositions'!B:F, 5, 0),  REGEXEXTRACT(C1602, ""🏘️ \w+ \w+ (.*) ✅""))))"),"L'Abbaye")</f>
        <v>L'Abbaye</v>
      </c>
      <c r="F1602" s="2" t="str">
        <f>IFERROR(__xludf.DUMMYFUNCTION("REGEXEXTRACT(C1602, ""🏘️ (\w+) \w+ .* ✅"")"),"Vendre")</f>
        <v>Vendre</v>
      </c>
      <c r="G1602" s="2" t="str">
        <f>IFERROR(__xludf.DUMMYFUNCTION("REGEXEXTRACT(C1602, ""🏘️ \w+ (\w+) .* ✅"")"),"maison")</f>
        <v>maison</v>
      </c>
      <c r="H1602" s="4" t="str">
        <f>IFERROR(__xludf.DUMMYFUNCTION("REGEXEXTRACT(A1602, ""/(\w+)-.*?"")"),"lieu")</f>
        <v>lieu</v>
      </c>
      <c r="I1602" s="4" t="str">
        <f>IFERROR(__xludf.DUMMYFUNCTION("if(D1602=""variant"",  substitute(filter(Templates!E:E, Templates!A:A = F1602, Templates!B:B = G1602, Templates!C:C = H1602), ""{{}}"", E1602), B1602)"),"🏘  Vous souhaitez acheter une maison à L'Abbaye? ✅ Jetez un œil aux dernières offres sur ImmoScout24.ch.")</f>
        <v>🏘  Vous souhaitez acheter une maison à L'Abbaye? ✅ Jetez un œil aux dernières offres sur ImmoScout24.ch.</v>
      </c>
      <c r="J1602" s="4" t="s">
        <v>4807</v>
      </c>
    </row>
    <row r="1603">
      <c r="A1603" s="5" t="s">
        <v>4808</v>
      </c>
      <c r="B1603" s="2" t="s">
        <v>4809</v>
      </c>
      <c r="C1603" s="4" t="str">
        <f>IFERROR(__xludf.DUMMYFUNCTION("""🏘️ ""&amp;REGEXEXTRACT(B1603, ""^(.*): "")&amp;"" ✅ "" &amp;REGEXEXTRACT(B1603, ""(Trouvez.*)"")"),"🏘️ Vendre appartement Canton du Tessin ✅ Trouvez le bien immobilier qui correspond idéalement à vos désirs sur ImmoScout24 - La plateforme de l'immobilier en Suisse.")</f>
        <v>🏘️ Vendre appartement Canton du Tessin ✅ Trouvez le bien immobilier qui correspond idéalement à vos désirs sur ImmoScout24 - La plateforme de l'immobilier en Suisse.</v>
      </c>
      <c r="D1603" s="4" t="str">
        <f>vlookup(A1603, Sheet2!D:E, 2, 0)</f>
        <v>variant</v>
      </c>
      <c r="E1603" s="4" t="str">
        <f>IFERROR(__xludf.DUMMYFUNCTION("if(H1603=""pays"",vlookup(REGEXEXTRACT(C1603, ""🏘️ \w+ \w+ (.*) ✅""),'Country prepositions'!A:B, 2, 0) &amp; "" "" &amp; REGEXEXTRACT(C1603, ""🏘️ \w+ \w+ (.*) ✅"") ,  if(H1603=""quartier"",vlookup(REGEXEXTRACT(C1603, ""🏘️ \w+ \w+ (.*) ✅""),'Quartier prepositio"&amp;"ns'!A:E, 5, 0) ,  if(H1603=""region"",vlookup(REGEXEXTRACT(C1603, ""🏘️ \w+ \w+ (.*) ✅""),'Region prepositions'!B:F, 5, 0),  REGEXEXTRACT(C1603, ""🏘️ \w+ \w+ (.*) ✅""))))"),"Canton du Tessin")</f>
        <v>Canton du Tessin</v>
      </c>
      <c r="F1603" s="2" t="str">
        <f>IFERROR(__xludf.DUMMYFUNCTION("REGEXEXTRACT(C1603, ""🏘️ (\w+) \w+ .* ✅"")"),"Vendre")</f>
        <v>Vendre</v>
      </c>
      <c r="G1603" s="2" t="str">
        <f>IFERROR(__xludf.DUMMYFUNCTION("REGEXEXTRACT(C1603, ""🏘️ \w+ (\w+) .* ✅"")"),"appartement")</f>
        <v>appartement</v>
      </c>
      <c r="H1603" s="4" t="str">
        <f>IFERROR(__xludf.DUMMYFUNCTION("REGEXEXTRACT(A1603, ""/(\w+)-.*?"")"),"canton")</f>
        <v>canton</v>
      </c>
      <c r="I1603" s="4" t="str">
        <f>IFERROR(__xludf.DUMMYFUNCTION("if(D1603=""variant"",  substitute(filter(Templates!E:E, Templates!A:A = F1603, Templates!B:B = G1603, Templates!C:C = H1603), ""{{}}"", E1603), B1603)"),"#N/A")</f>
        <v>#N/A</v>
      </c>
      <c r="J1603" s="4" t="s">
        <v>4810</v>
      </c>
    </row>
    <row r="1604">
      <c r="A1604" s="5" t="s">
        <v>4811</v>
      </c>
      <c r="B1604" s="2" t="s">
        <v>4812</v>
      </c>
      <c r="C1604" s="4" t="str">
        <f>IFERROR(__xludf.DUMMYFUNCTION("""🏘️ ""&amp;REGEXEXTRACT(B1604, ""^(.*): "")&amp;"" ✅ "" &amp;REGEXEXTRACT(B1604, ""(Trouvez.*)"")"),"🏘️ Vendre maison Torgon ✅ Trouvez le bien immobilier qui correspond idéalement à vos désirs sur ImmoScout24 - La plateforme de l'immobilier en Suisse.")</f>
        <v>🏘️ Vendre maison Torgon ✅ Trouvez le bien immobilier qui correspond idéalement à vos désirs sur ImmoScout24 - La plateforme de l'immobilier en Suisse.</v>
      </c>
      <c r="D1604" s="4" t="str">
        <f>vlookup(A1604, Sheet2!D:E, 2, 0)</f>
        <v>variant</v>
      </c>
      <c r="E1604" s="4" t="str">
        <f>IFERROR(__xludf.DUMMYFUNCTION("if(H1604=""pays"",vlookup(REGEXEXTRACT(C1604, ""🏘️ \w+ \w+ (.*) ✅""),'Country prepositions'!A:B, 2, 0) &amp; "" "" &amp; REGEXEXTRACT(C1604, ""🏘️ \w+ \w+ (.*) ✅"") ,  if(H1604=""quartier"",vlookup(REGEXEXTRACT(C1604, ""🏘️ \w+ \w+ (.*) ✅""),'Quartier prepositio"&amp;"ns'!A:E, 5, 0) ,  if(H1604=""region"",vlookup(REGEXEXTRACT(C1604, ""🏘️ \w+ \w+ (.*) ✅""),'Region prepositions'!B:F, 5, 0),  REGEXEXTRACT(C1604, ""🏘️ \w+ \w+ (.*) ✅""))))"),"Torgon")</f>
        <v>Torgon</v>
      </c>
      <c r="F1604" s="2" t="str">
        <f>IFERROR(__xludf.DUMMYFUNCTION("REGEXEXTRACT(C1604, ""🏘️ (\w+) \w+ .* ✅"")"),"Vendre")</f>
        <v>Vendre</v>
      </c>
      <c r="G1604" s="2" t="str">
        <f>IFERROR(__xludf.DUMMYFUNCTION("REGEXEXTRACT(C1604, ""🏘️ \w+ (\w+) .* ✅"")"),"maison")</f>
        <v>maison</v>
      </c>
      <c r="H1604" s="4" t="str">
        <f>IFERROR(__xludf.DUMMYFUNCTION("REGEXEXTRACT(A1604, ""/(\w+)-.*?"")"),"lieu")</f>
        <v>lieu</v>
      </c>
      <c r="I1604" s="4" t="str">
        <f>IFERROR(__xludf.DUMMYFUNCTION("if(D1604=""variant"",  substitute(filter(Templates!E:E, Templates!A:A = F1604, Templates!B:B = G1604, Templates!C:C = H1604), ""{{}}"", E1604), B1604)"),"🏘  Vous souhaitez acheter une maison à Torgon? ✅ Jetez un œil aux dernières offres sur ImmoScout24.ch.")</f>
        <v>🏘  Vous souhaitez acheter une maison à Torgon? ✅ Jetez un œil aux dernières offres sur ImmoScout24.ch.</v>
      </c>
      <c r="J1604" s="4" t="s">
        <v>4813</v>
      </c>
    </row>
    <row r="1605">
      <c r="A1605" s="5" t="s">
        <v>4814</v>
      </c>
      <c r="B1605" s="2" t="s">
        <v>4815</v>
      </c>
      <c r="C1605" s="4" t="str">
        <f>IFERROR(__xludf.DUMMYFUNCTION("""🏘️ ""&amp;REGEXEXTRACT(B1605, ""^(.*): "")&amp;"" ✅ "" &amp;REGEXEXTRACT(B1605, ""(Trouvez.*)"")"),"🏘️ Vendre maison Noréaz ✅ Trouvez le bien immobilier qui correspond idéalement à vos désirs sur ImmoScout24 - La plateforme de l'immobilier en Suisse.")</f>
        <v>🏘️ Vendre maison Noréaz ✅ Trouvez le bien immobilier qui correspond idéalement à vos désirs sur ImmoScout24 - La plateforme de l'immobilier en Suisse.</v>
      </c>
      <c r="D1605" s="4" t="str">
        <f>vlookup(A1605, Sheet2!D:E, 2, 0)</f>
        <v>variant</v>
      </c>
      <c r="E1605" s="4" t="str">
        <f>IFERROR(__xludf.DUMMYFUNCTION("if(H1605=""pays"",vlookup(REGEXEXTRACT(C1605, ""🏘️ \w+ \w+ (.*) ✅""),'Country prepositions'!A:B, 2, 0) &amp; "" "" &amp; REGEXEXTRACT(C1605, ""🏘️ \w+ \w+ (.*) ✅"") ,  if(H1605=""quartier"",vlookup(REGEXEXTRACT(C1605, ""🏘️ \w+ \w+ (.*) ✅""),'Quartier prepositio"&amp;"ns'!A:E, 5, 0) ,  if(H1605=""region"",vlookup(REGEXEXTRACT(C1605, ""🏘️ \w+ \w+ (.*) ✅""),'Region prepositions'!B:F, 5, 0),  REGEXEXTRACT(C1605, ""🏘️ \w+ \w+ (.*) ✅""))))"),"Noréaz")</f>
        <v>Noréaz</v>
      </c>
      <c r="F1605" s="2" t="str">
        <f>IFERROR(__xludf.DUMMYFUNCTION("REGEXEXTRACT(C1605, ""🏘️ (\w+) \w+ .* ✅"")"),"Vendre")</f>
        <v>Vendre</v>
      </c>
      <c r="G1605" s="2" t="str">
        <f>IFERROR(__xludf.DUMMYFUNCTION("REGEXEXTRACT(C1605, ""🏘️ \w+ (\w+) .* ✅"")"),"maison")</f>
        <v>maison</v>
      </c>
      <c r="H1605" s="4" t="str">
        <f>IFERROR(__xludf.DUMMYFUNCTION("REGEXEXTRACT(A1605, ""/(\w+)-.*?"")"),"lieu")</f>
        <v>lieu</v>
      </c>
      <c r="I1605" s="4" t="str">
        <f>IFERROR(__xludf.DUMMYFUNCTION("if(D1605=""variant"",  substitute(filter(Templates!E:E, Templates!A:A = F1605, Templates!B:B = G1605, Templates!C:C = H1605), ""{{}}"", E1605), B1605)"),"🏘  Vous souhaitez acheter une maison à Noréaz? ✅ Jetez un œil aux dernières offres sur ImmoScout24.ch.")</f>
        <v>🏘  Vous souhaitez acheter une maison à Noréaz? ✅ Jetez un œil aux dernières offres sur ImmoScout24.ch.</v>
      </c>
      <c r="J1605" s="4" t="s">
        <v>4816</v>
      </c>
    </row>
    <row r="1606">
      <c r="A1606" s="5" t="s">
        <v>4817</v>
      </c>
      <c r="B1606" s="2" t="s">
        <v>4818</v>
      </c>
      <c r="C1606" s="4" t="str">
        <f>IFERROR(__xludf.DUMMYFUNCTION("""🏘️ ""&amp;REGEXEXTRACT(B1606, ""^(.*): "")&amp;"" ✅ "" &amp;REGEXEXTRACT(B1606, ""(Trouvez.*)"")"),"🏘️ Louer appartement Canton d'Obwald ✅ Trouvez le bien immobilier qui correspond idéalement à vos désirs sur ImmoScout24 - La plateforme de l'immobilier en Suisse.")</f>
        <v>🏘️ Louer appartement Canton d'Obwald ✅ Trouvez le bien immobilier qui correspond idéalement à vos désirs sur ImmoScout24 - La plateforme de l'immobilier en Suisse.</v>
      </c>
      <c r="D1606" s="4" t="str">
        <f>vlookup(A1606, Sheet2!D:E, 2, 0)</f>
        <v>variant</v>
      </c>
      <c r="E1606" s="4" t="str">
        <f>IFERROR(__xludf.DUMMYFUNCTION("if(H1606=""pays"",vlookup(REGEXEXTRACT(C1606, ""🏘️ \w+ \w+ (.*) ✅""),'Country prepositions'!A:B, 2, 0) &amp; "" "" &amp; REGEXEXTRACT(C1606, ""🏘️ \w+ \w+ (.*) ✅"") ,  if(H1606=""quartier"",vlookup(REGEXEXTRACT(C1606, ""🏘️ \w+ \w+ (.*) ✅""),'Quartier prepositio"&amp;"ns'!A:E, 5, 0) ,  if(H1606=""region"",vlookup(REGEXEXTRACT(C1606, ""🏘️ \w+ \w+ (.*) ✅""),'Region prepositions'!B:F, 5, 0),  REGEXEXTRACT(C1606, ""🏘️ \w+ \w+ (.*) ✅""))))"),"Canton d'Obwald")</f>
        <v>Canton d'Obwald</v>
      </c>
      <c r="F1606" s="2" t="str">
        <f>IFERROR(__xludf.DUMMYFUNCTION("REGEXEXTRACT(C1606, ""🏘️ (\w+) \w+ .* ✅"")"),"Louer")</f>
        <v>Louer</v>
      </c>
      <c r="G1606" s="2" t="str">
        <f>IFERROR(__xludf.DUMMYFUNCTION("REGEXEXTRACT(C1606, ""🏘️ \w+ (\w+) .* ✅"")"),"appartement")</f>
        <v>appartement</v>
      </c>
      <c r="H1606" s="4" t="str">
        <f>IFERROR(__xludf.DUMMYFUNCTION("REGEXEXTRACT(A1606, ""/(\w+)-.*?"")"),"canton")</f>
        <v>canton</v>
      </c>
      <c r="I1606" s="4" t="str">
        <f>IFERROR(__xludf.DUMMYFUNCTION("if(D1606=""variant"",  substitute(filter(Templates!E:E, Templates!A:A = F1606, Templates!B:B = G1606, Templates!C:C = H1606), ""{{}}"", E1606), B1606)"),"🏘  Vous cherchez un appartement à louer dans le Canton d'Obwald? ✅ Les annonces les plus actuelles sont sur ImmoScout24.ch.")</f>
        <v>🏘  Vous cherchez un appartement à louer dans le Canton d'Obwald? ✅ Les annonces les plus actuelles sont sur ImmoScout24.ch.</v>
      </c>
      <c r="J1606" s="4" t="s">
        <v>4819</v>
      </c>
    </row>
    <row r="1607">
      <c r="A1607" s="5" t="s">
        <v>4820</v>
      </c>
      <c r="B1607" s="2" t="s">
        <v>4821</v>
      </c>
      <c r="C1607" s="4" t="str">
        <f>IFERROR(__xludf.DUMMYFUNCTION("""🏘️ ""&amp;REGEXEXTRACT(B1607, ""^(.*): "")&amp;"" ✅ "" &amp;REGEXEXTRACT(B1607, ""(Trouvez.*)"")"),"🏘️ Vendre appartement Fey ✅ Trouvez le bien immobilier qui correspond idéalement à vos désirs sur ImmoScout24 - La plateforme de l'immobilier en Suisse.")</f>
        <v>🏘️ Vendre appartement Fey ✅ Trouvez le bien immobilier qui correspond idéalement à vos désirs sur ImmoScout24 - La plateforme de l'immobilier en Suisse.</v>
      </c>
      <c r="D1607" s="4" t="str">
        <f>vlookup(A1607, Sheet2!D:E, 2, 0)</f>
        <v>variant</v>
      </c>
      <c r="E1607" s="4" t="str">
        <f>IFERROR(__xludf.DUMMYFUNCTION("if(H1607=""pays"",vlookup(REGEXEXTRACT(C1607, ""🏘️ \w+ \w+ (.*) ✅""),'Country prepositions'!A:B, 2, 0) &amp; "" "" &amp; REGEXEXTRACT(C1607, ""🏘️ \w+ \w+ (.*) ✅"") ,  if(H1607=""quartier"",vlookup(REGEXEXTRACT(C1607, ""🏘️ \w+ \w+ (.*) ✅""),'Quartier prepositio"&amp;"ns'!A:E, 5, 0) ,  if(H1607=""region"",vlookup(REGEXEXTRACT(C1607, ""🏘️ \w+ \w+ (.*) ✅""),'Region prepositions'!B:F, 5, 0),  REGEXEXTRACT(C1607, ""🏘️ \w+ \w+ (.*) ✅""))))"),"Fey")</f>
        <v>Fey</v>
      </c>
      <c r="F1607" s="2" t="str">
        <f>IFERROR(__xludf.DUMMYFUNCTION("REGEXEXTRACT(C1607, ""🏘️ (\w+) \w+ .* ✅"")"),"Vendre")</f>
        <v>Vendre</v>
      </c>
      <c r="G1607" s="2" t="str">
        <f>IFERROR(__xludf.DUMMYFUNCTION("REGEXEXTRACT(C1607, ""🏘️ \w+ (\w+) .* ✅"")"),"appartement")</f>
        <v>appartement</v>
      </c>
      <c r="H1607" s="4" t="str">
        <f>IFERROR(__xludf.DUMMYFUNCTION("REGEXEXTRACT(A1607, ""/(\w+)-.*?"")"),"lieu")</f>
        <v>lieu</v>
      </c>
      <c r="I1607" s="4" t="str">
        <f>IFERROR(__xludf.DUMMYFUNCTION("if(D1607=""variant"",  substitute(filter(Templates!E:E, Templates!A:A = F1607, Templates!B:B = G1607, Templates!C:C = H1607), ""{{}}"", E1607), B1607)"),"🏘  L’appartement de vos rêves se trouve sur ImmoScout24.ch ✅ Découvrez les dernières annonces de vente à Fey.")</f>
        <v>🏘  L’appartement de vos rêves se trouve sur ImmoScout24.ch ✅ Découvrez les dernières annonces de vente à Fey.</v>
      </c>
      <c r="J1607" s="4" t="s">
        <v>4822</v>
      </c>
    </row>
    <row r="1608">
      <c r="A1608" s="5" t="s">
        <v>4823</v>
      </c>
      <c r="B1608" s="2" t="s">
        <v>4824</v>
      </c>
      <c r="C1608" s="4" t="str">
        <f>IFERROR(__xludf.DUMMYFUNCTION("""🏘️ ""&amp;REGEXEXTRACT(B1608, ""^(.*): "")&amp;"" ✅ "" &amp;REGEXEXTRACT(B1608, ""(Trouvez.*)"")"),"🏘️ Vendre maison Lauenen b. Gstaad ✅ Trouvez le bien immobilier qui correspond idéalement à vos désirs sur ImmoScout24 - La plateforme de l'immobilier en Suisse.")</f>
        <v>🏘️ Vendre maison Lauenen b. Gstaad ✅ Trouvez le bien immobilier qui correspond idéalement à vos désirs sur ImmoScout24 - La plateforme de l'immobilier en Suisse.</v>
      </c>
      <c r="D1608" s="4" t="str">
        <f>vlookup(A1608, Sheet2!D:E, 2, 0)</f>
        <v>variant</v>
      </c>
      <c r="E1608" s="4" t="str">
        <f>IFERROR(__xludf.DUMMYFUNCTION("if(H1608=""pays"",vlookup(REGEXEXTRACT(C1608, ""🏘️ \w+ \w+ (.*) ✅""),'Country prepositions'!A:B, 2, 0) &amp; "" "" &amp; REGEXEXTRACT(C1608, ""🏘️ \w+ \w+ (.*) ✅"") ,  if(H1608=""quartier"",vlookup(REGEXEXTRACT(C1608, ""🏘️ \w+ \w+ (.*) ✅""),'Quartier prepositio"&amp;"ns'!A:E, 5, 0) ,  if(H1608=""region"",vlookup(REGEXEXTRACT(C1608, ""🏘️ \w+ \w+ (.*) ✅""),'Region prepositions'!B:F, 5, 0),  REGEXEXTRACT(C1608, ""🏘️ \w+ \w+ (.*) ✅""))))"),"Lauenen b. Gstaad")</f>
        <v>Lauenen b. Gstaad</v>
      </c>
      <c r="F1608" s="2" t="str">
        <f>IFERROR(__xludf.DUMMYFUNCTION("REGEXEXTRACT(C1608, ""🏘️ (\w+) \w+ .* ✅"")"),"Vendre")</f>
        <v>Vendre</v>
      </c>
      <c r="G1608" s="2" t="str">
        <f>IFERROR(__xludf.DUMMYFUNCTION("REGEXEXTRACT(C1608, ""🏘️ \w+ (\w+) .* ✅"")"),"maison")</f>
        <v>maison</v>
      </c>
      <c r="H1608" s="4" t="str">
        <f>IFERROR(__xludf.DUMMYFUNCTION("REGEXEXTRACT(A1608, ""/(\w+)-.*?"")"),"lieu")</f>
        <v>lieu</v>
      </c>
      <c r="I1608" s="4" t="str">
        <f>IFERROR(__xludf.DUMMYFUNCTION("if(D1608=""variant"",  substitute(filter(Templates!E:E, Templates!A:A = F1608, Templates!B:B = G1608, Templates!C:C = H1608), ""{{}}"", E1608), B1608)"),"🏘  Vous souhaitez acheter une maison à Lauenen b. Gstaad? ✅ Jetez un œil aux dernières offres sur ImmoScout24.ch.")</f>
        <v>🏘  Vous souhaitez acheter une maison à Lauenen b. Gstaad? ✅ Jetez un œil aux dernières offres sur ImmoScout24.ch.</v>
      </c>
      <c r="J1608" s="4" t="s">
        <v>4825</v>
      </c>
    </row>
    <row r="1609">
      <c r="A1609" s="5" t="s">
        <v>4826</v>
      </c>
      <c r="B1609" s="2" t="s">
        <v>4827</v>
      </c>
      <c r="C1609" s="4" t="str">
        <f>IFERROR(__xludf.DUMMYFUNCTION("""🏘️ ""&amp;REGEXEXTRACT(B1609, ""^(.*): "")&amp;"" ✅ "" &amp;REGEXEXTRACT(B1609, ""(Trouvez.*)"")"),"🏘️ Vendre appartement Bière ✅ Trouvez le bien immobilier qui correspond idéalement à vos désirs sur ImmoScout24 - La plateforme de l'immobilier en Suisse.")</f>
        <v>🏘️ Vendre appartement Bière ✅ Trouvez le bien immobilier qui correspond idéalement à vos désirs sur ImmoScout24 - La plateforme de l'immobilier en Suisse.</v>
      </c>
      <c r="D1609" s="4" t="str">
        <f>vlookup(A1609, Sheet2!D:E, 2, 0)</f>
        <v>variant</v>
      </c>
      <c r="E1609" s="4" t="str">
        <f>IFERROR(__xludf.DUMMYFUNCTION("if(H1609=""pays"",vlookup(REGEXEXTRACT(C1609, ""🏘️ \w+ \w+ (.*) ✅""),'Country prepositions'!A:B, 2, 0) &amp; "" "" &amp; REGEXEXTRACT(C1609, ""🏘️ \w+ \w+ (.*) ✅"") ,  if(H1609=""quartier"",vlookup(REGEXEXTRACT(C1609, ""🏘️ \w+ \w+ (.*) ✅""),'Quartier prepositio"&amp;"ns'!A:E, 5, 0) ,  if(H1609=""region"",vlookup(REGEXEXTRACT(C1609, ""🏘️ \w+ \w+ (.*) ✅""),'Region prepositions'!B:F, 5, 0),  REGEXEXTRACT(C1609, ""🏘️ \w+ \w+ (.*) ✅""))))"),"Bière")</f>
        <v>Bière</v>
      </c>
      <c r="F1609" s="2" t="str">
        <f>IFERROR(__xludf.DUMMYFUNCTION("REGEXEXTRACT(C1609, ""🏘️ (\w+) \w+ .* ✅"")"),"Vendre")</f>
        <v>Vendre</v>
      </c>
      <c r="G1609" s="2" t="str">
        <f>IFERROR(__xludf.DUMMYFUNCTION("REGEXEXTRACT(C1609, ""🏘️ \w+ (\w+) .* ✅"")"),"appartement")</f>
        <v>appartement</v>
      </c>
      <c r="H1609" s="4" t="str">
        <f>IFERROR(__xludf.DUMMYFUNCTION("REGEXEXTRACT(A1609, ""/(\w+)-.*?"")"),"lieu")</f>
        <v>lieu</v>
      </c>
      <c r="I1609" s="4" t="str">
        <f>IFERROR(__xludf.DUMMYFUNCTION("if(D1609=""variant"",  substitute(filter(Templates!E:E, Templates!A:A = F1609, Templates!B:B = G1609, Templates!C:C = H1609), ""{{}}"", E1609), B1609)"),"🏘  L’appartement de vos rêves se trouve sur ImmoScout24.ch ✅ Découvrez les dernières annonces de vente à Bière.")</f>
        <v>🏘  L’appartement de vos rêves se trouve sur ImmoScout24.ch ✅ Découvrez les dernières annonces de vente à Bière.</v>
      </c>
      <c r="J1609" s="4" t="s">
        <v>4828</v>
      </c>
    </row>
    <row r="1610">
      <c r="A1610" s="5" t="s">
        <v>4829</v>
      </c>
      <c r="B1610" s="2" t="s">
        <v>4830</v>
      </c>
      <c r="C1610" s="4" t="str">
        <f>IFERROR(__xludf.DUMMYFUNCTION("""🏘️ ""&amp;REGEXEXTRACT(B1610, ""^(.*): "")&amp;"" ✅ "" &amp;REGEXEXTRACT(B1610, ""(Trouvez.*)"")"),"🏘️ Vendre maison Boningen ✅ Trouvez le bien immobilier qui correspond idéalement à vos désirs sur ImmoScout24 - La plateforme de l'immobilier en Suisse.")</f>
        <v>🏘️ Vendre maison Boningen ✅ Trouvez le bien immobilier qui correspond idéalement à vos désirs sur ImmoScout24 - La plateforme de l'immobilier en Suisse.</v>
      </c>
      <c r="D1610" s="4" t="str">
        <f>vlookup(A1610, Sheet2!D:E, 2, 0)</f>
        <v>variant</v>
      </c>
      <c r="E1610" s="4" t="str">
        <f>IFERROR(__xludf.DUMMYFUNCTION("if(H1610=""pays"",vlookup(REGEXEXTRACT(C1610, ""🏘️ \w+ \w+ (.*) ✅""),'Country prepositions'!A:B, 2, 0) &amp; "" "" &amp; REGEXEXTRACT(C1610, ""🏘️ \w+ \w+ (.*) ✅"") ,  if(H1610=""quartier"",vlookup(REGEXEXTRACT(C1610, ""🏘️ \w+ \w+ (.*) ✅""),'Quartier prepositio"&amp;"ns'!A:E, 5, 0) ,  if(H1610=""region"",vlookup(REGEXEXTRACT(C1610, ""🏘️ \w+ \w+ (.*) ✅""),'Region prepositions'!B:F, 5, 0),  REGEXEXTRACT(C1610, ""🏘️ \w+ \w+ (.*) ✅""))))"),"Boningen")</f>
        <v>Boningen</v>
      </c>
      <c r="F1610" s="2" t="str">
        <f>IFERROR(__xludf.DUMMYFUNCTION("REGEXEXTRACT(C1610, ""🏘️ (\w+) \w+ .* ✅"")"),"Vendre")</f>
        <v>Vendre</v>
      </c>
      <c r="G1610" s="2" t="str">
        <f>IFERROR(__xludf.DUMMYFUNCTION("REGEXEXTRACT(C1610, ""🏘️ \w+ (\w+) .* ✅"")"),"maison")</f>
        <v>maison</v>
      </c>
      <c r="H1610" s="4" t="str">
        <f>IFERROR(__xludf.DUMMYFUNCTION("REGEXEXTRACT(A1610, ""/(\w+)-.*?"")"),"lieu")</f>
        <v>lieu</v>
      </c>
      <c r="I1610" s="4" t="str">
        <f>IFERROR(__xludf.DUMMYFUNCTION("if(D1610=""variant"",  substitute(filter(Templates!E:E, Templates!A:A = F1610, Templates!B:B = G1610, Templates!C:C = H1610), ""{{}}"", E1610), B1610)"),"🏘  Vous souhaitez acheter une maison à Boningen? ✅ Jetez un œil aux dernières offres sur ImmoScout24.ch.")</f>
        <v>🏘  Vous souhaitez acheter une maison à Boningen? ✅ Jetez un œil aux dernières offres sur ImmoScout24.ch.</v>
      </c>
      <c r="J1610" s="4" t="s">
        <v>4831</v>
      </c>
    </row>
    <row r="1611">
      <c r="A1611" s="5" t="s">
        <v>4832</v>
      </c>
      <c r="B1611" s="2" t="s">
        <v>4833</v>
      </c>
      <c r="C1611" s="4" t="str">
        <f>IFERROR(__xludf.DUMMYFUNCTION("""🏘️ ""&amp;REGEXEXTRACT(B1611, ""^(.*): "")&amp;"" ✅ "" &amp;REGEXEXTRACT(B1611, ""(Trouvez.*)"")"),"🏘️ Vendre maison Alpes (Neuchâtel) ✅ Trouvez le bien immobilier qui correspond idéalement à vos désirs sur ImmoScout24 - La plateforme de l'immobilier en Suisse.")</f>
        <v>🏘️ Vendre maison Alpes (Neuchâtel) ✅ Trouvez le bien immobilier qui correspond idéalement à vos désirs sur ImmoScout24 - La plateforme de l'immobilier en Suisse.</v>
      </c>
      <c r="D1611" s="4" t="str">
        <f>vlookup(A1611, Sheet2!D:E, 2, 0)</f>
        <v>variant</v>
      </c>
      <c r="E1611" s="4" t="str">
        <f>IFERROR(__xludf.DUMMYFUNCTION("if(H1611=""pays"",vlookup(REGEXEXTRACT(C1611, ""🏘️ \w+ \w+ (.*) ✅""),'Country prepositions'!A:B, 2, 0) &amp; "" "" &amp; REGEXEXTRACT(C1611, ""🏘️ \w+ \w+ (.*) ✅"") ,  if(H1611=""quartier"",vlookup(REGEXEXTRACT(C1611, ""🏘️ \w+ \w+ (.*) ✅""),'Quartier prepositio"&amp;"ns'!A:E, 5, 0) ,  if(H1611=""region"",vlookup(REGEXEXTRACT(C1611, ""🏘️ \w+ \w+ (.*) ✅""),'Region prepositions'!B:F, 5, 0),  REGEXEXTRACT(C1611, ""🏘️ \w+ \w+ (.*) ✅""))))"),"à l'avenue des Alpes (Neuchâtel)")</f>
        <v>à l'avenue des Alpes (Neuchâtel)</v>
      </c>
      <c r="F1611" s="2" t="str">
        <f>IFERROR(__xludf.DUMMYFUNCTION("REGEXEXTRACT(C1611, ""🏘️ (\w+) \w+ .* ✅"")"),"Vendre")</f>
        <v>Vendre</v>
      </c>
      <c r="G1611" s="2" t="str">
        <f>IFERROR(__xludf.DUMMYFUNCTION("REGEXEXTRACT(C1611, ""🏘️ \w+ (\w+) .* ✅"")"),"maison")</f>
        <v>maison</v>
      </c>
      <c r="H1611" s="4" t="str">
        <f>IFERROR(__xludf.DUMMYFUNCTION("REGEXEXTRACT(A1611, ""/(\w+)-.*?"")"),"quartier")</f>
        <v>quartier</v>
      </c>
      <c r="I1611" s="4" t="str">
        <f>IFERROR(__xludf.DUMMYFUNCTION("if(D1611=""variant"",  substitute(filter(Templates!E:E, Templates!A:A = F1611, Templates!B:B = G1611, Templates!C:C = H1611), ""{{}}"", E1611), B1611)"),"🏘  Vous souhaitez acheter une maison à l'avenue des Alpes (Neuchâtel)? ✅ Jetez un œil aux dernières offres sur ImmoScout24.ch.")</f>
        <v>🏘  Vous souhaitez acheter une maison à l'avenue des Alpes (Neuchâtel)? ✅ Jetez un œil aux dernières offres sur ImmoScout24.ch.</v>
      </c>
      <c r="J1611" s="4" t="s">
        <v>4834</v>
      </c>
    </row>
    <row r="1612">
      <c r="A1612" s="5" t="s">
        <v>4835</v>
      </c>
      <c r="B1612" s="2" t="s">
        <v>4836</v>
      </c>
      <c r="C1612" s="4" t="str">
        <f>IFERROR(__xludf.DUMMYFUNCTION("""🏘️ ""&amp;REGEXEXTRACT(B1612, ""^(.*): "")&amp;"" ✅ "" &amp;REGEXEXTRACT(B1612, ""(Trouvez.*)"")"),"🏘️ Vendre maison Bôle ✅ Trouvez le bien immobilier qui correspond idéalement à vos désirs sur ImmoScout24 - La plateforme de l'immobilier en Suisse.")</f>
        <v>🏘️ Vendre maison Bôle ✅ Trouvez le bien immobilier qui correspond idéalement à vos désirs sur ImmoScout24 - La plateforme de l'immobilier en Suisse.</v>
      </c>
      <c r="D1612" s="4" t="str">
        <f>vlookup(A1612, Sheet2!D:E, 2, 0)</f>
        <v>variant</v>
      </c>
      <c r="E1612" s="4" t="str">
        <f>IFERROR(__xludf.DUMMYFUNCTION("if(H1612=""pays"",vlookup(REGEXEXTRACT(C1612, ""🏘️ \w+ \w+ (.*) ✅""),'Country prepositions'!A:B, 2, 0) &amp; "" "" &amp; REGEXEXTRACT(C1612, ""🏘️ \w+ \w+ (.*) ✅"") ,  if(H1612=""quartier"",vlookup(REGEXEXTRACT(C1612, ""🏘️ \w+ \w+ (.*) ✅""),'Quartier prepositio"&amp;"ns'!A:E, 5, 0) ,  if(H1612=""region"",vlookup(REGEXEXTRACT(C1612, ""🏘️ \w+ \w+ (.*) ✅""),'Region prepositions'!B:F, 5, 0),  REGEXEXTRACT(C1612, ""🏘️ \w+ \w+ (.*) ✅""))))"),"Bôle")</f>
        <v>Bôle</v>
      </c>
      <c r="F1612" s="2" t="str">
        <f>IFERROR(__xludf.DUMMYFUNCTION("REGEXEXTRACT(C1612, ""🏘️ (\w+) \w+ .* ✅"")"),"Vendre")</f>
        <v>Vendre</v>
      </c>
      <c r="G1612" s="2" t="str">
        <f>IFERROR(__xludf.DUMMYFUNCTION("REGEXEXTRACT(C1612, ""🏘️ \w+ (\w+) .* ✅"")"),"maison")</f>
        <v>maison</v>
      </c>
      <c r="H1612" s="4" t="str">
        <f>IFERROR(__xludf.DUMMYFUNCTION("REGEXEXTRACT(A1612, ""/(\w+)-.*?"")"),"lieu")</f>
        <v>lieu</v>
      </c>
      <c r="I1612" s="4" t="str">
        <f>IFERROR(__xludf.DUMMYFUNCTION("if(D1612=""variant"",  substitute(filter(Templates!E:E, Templates!A:A = F1612, Templates!B:B = G1612, Templates!C:C = H1612), ""{{}}"", E1612), B1612)"),"🏘  Vous souhaitez acheter une maison à Bôle? ✅ Jetez un œil aux dernières offres sur ImmoScout24.ch.")</f>
        <v>🏘  Vous souhaitez acheter une maison à Bôle? ✅ Jetez un œil aux dernières offres sur ImmoScout24.ch.</v>
      </c>
      <c r="J1612" s="4" t="s">
        <v>4837</v>
      </c>
    </row>
    <row r="1613">
      <c r="A1613" s="5" t="s">
        <v>4838</v>
      </c>
      <c r="B1613" s="2" t="s">
        <v>4839</v>
      </c>
      <c r="C1613" s="4" t="str">
        <f>IFERROR(__xludf.DUMMYFUNCTION("""🏘️ ""&amp;REGEXEXTRACT(B1613, ""^(.*): "")&amp;"" ✅ "" &amp;REGEXEXTRACT(B1613, ""(Trouvez.*)"")"),"🏘️ Louer maison Chermignon ✅ Trouvez le bien immobilier qui correspond idéalement à vos désirs sur ImmoScout24 - La plateforme de l'immobilier en Suisse.")</f>
        <v>🏘️ Louer maison Chermignon ✅ Trouvez le bien immobilier qui correspond idéalement à vos désirs sur ImmoScout24 - La plateforme de l'immobilier en Suisse.</v>
      </c>
      <c r="D1613" s="4" t="str">
        <f>vlookup(A1613, Sheet2!D:E, 2, 0)</f>
        <v>variant</v>
      </c>
      <c r="E1613" s="4" t="str">
        <f>IFERROR(__xludf.DUMMYFUNCTION("if(H1613=""pays"",vlookup(REGEXEXTRACT(C1613, ""🏘️ \w+ \w+ (.*) ✅""),'Country prepositions'!A:B, 2, 0) &amp; "" "" &amp; REGEXEXTRACT(C1613, ""🏘️ \w+ \w+ (.*) ✅"") ,  if(H1613=""quartier"",vlookup(REGEXEXTRACT(C1613, ""🏘️ \w+ \w+ (.*) ✅""),'Quartier prepositio"&amp;"ns'!A:E, 5, 0) ,  if(H1613=""region"",vlookup(REGEXEXTRACT(C1613, ""🏘️ \w+ \w+ (.*) ✅""),'Region prepositions'!B:F, 5, 0),  REGEXEXTRACT(C1613, ""🏘️ \w+ \w+ (.*) ✅""))))"),"Chermignon")</f>
        <v>Chermignon</v>
      </c>
      <c r="F1613" s="2" t="str">
        <f>IFERROR(__xludf.DUMMYFUNCTION("REGEXEXTRACT(C1613, ""🏘️ (\w+) \w+ .* ✅"")"),"Louer")</f>
        <v>Louer</v>
      </c>
      <c r="G1613" s="2" t="str">
        <f>IFERROR(__xludf.DUMMYFUNCTION("REGEXEXTRACT(C1613, ""🏘️ \w+ (\w+) .* ✅"")"),"maison")</f>
        <v>maison</v>
      </c>
      <c r="H1613" s="4" t="str">
        <f>IFERROR(__xludf.DUMMYFUNCTION("REGEXEXTRACT(A1613, ""/(\w+)-.*?"")"),"lieu")</f>
        <v>lieu</v>
      </c>
      <c r="I1613" s="4" t="str">
        <f>IFERROR(__xludf.DUMMYFUNCTION("if(D1613=""variant"",  substitute(filter(Templates!E:E, Templates!A:A = F1613, Templates!B:B = G1613, Templates!C:C = H1613), ""{{}}"", E1613), B1613)"),"🏘  Vous cherchez une maison à louer à Chermignon? ✅ Découvrez nos nombreuses annonces sur ImmoScout24.ch.")</f>
        <v>🏘  Vous cherchez une maison à louer à Chermignon? ✅ Découvrez nos nombreuses annonces sur ImmoScout24.ch.</v>
      </c>
      <c r="J1613" s="4" t="s">
        <v>4840</v>
      </c>
    </row>
    <row r="1614">
      <c r="A1614" s="5" t="s">
        <v>4841</v>
      </c>
      <c r="B1614" s="2" t="s">
        <v>4842</v>
      </c>
      <c r="C1614" s="4" t="str">
        <f>IFERROR(__xludf.DUMMYFUNCTION("""🏘️ ""&amp;REGEXEXTRACT(B1614, ""^(.*): "")&amp;"" ✅ "" &amp;REGEXEXTRACT(B1614, ""(Trouvez.*)"")"),"🏘️ Vendre maison Nouvelle ville nord (Biel/Bienne) ✅ Trouvez le bien immobilier qui correspond idéalement à vos désirs sur ImmoScout24 - La plateforme de l'immobilier en Suisse.")</f>
        <v>🏘️ Vendre maison Nouvelle ville nord (Biel/Bienne) ✅ Trouvez le bien immobilier qui correspond idéalement à vos désirs sur ImmoScout24 - La plateforme de l'immobilier en Suisse.</v>
      </c>
      <c r="D1614" s="4" t="str">
        <f>vlookup(A1614, Sheet2!D:E, 2, 0)</f>
        <v>variant</v>
      </c>
      <c r="E1614" s="4" t="str">
        <f>IFERROR(__xludf.DUMMYFUNCTION("if(H1614=""pays"",vlookup(REGEXEXTRACT(C1614, ""🏘️ \w+ \w+ (.*) ✅""),'Country prepositions'!A:B, 2, 0) &amp; "" "" &amp; REGEXEXTRACT(C1614, ""🏘️ \w+ \w+ (.*) ✅"") ,  if(H1614=""quartier"",vlookup(REGEXEXTRACT(C1614, ""🏘️ \w+ \w+ (.*) ✅""),'Quartier prepositio"&amp;"ns'!A:E, 5, 0) ,  if(H1614=""region"",vlookup(REGEXEXTRACT(C1614, ""🏘️ \w+ \w+ (.*) ✅""),'Region prepositions'!B:F, 5, 0),  REGEXEXTRACT(C1614, ""🏘️ \w+ \w+ (.*) ✅""))))"),"dans le quartier de la Nouvelle ville nord (Biel/Bienne)")</f>
        <v>dans le quartier de la Nouvelle ville nord (Biel/Bienne)</v>
      </c>
      <c r="F1614" s="2" t="str">
        <f>IFERROR(__xludf.DUMMYFUNCTION("REGEXEXTRACT(C1614, ""🏘️ (\w+) \w+ .* ✅"")"),"Vendre")</f>
        <v>Vendre</v>
      </c>
      <c r="G1614" s="2" t="str">
        <f>IFERROR(__xludf.DUMMYFUNCTION("REGEXEXTRACT(C1614, ""🏘️ \w+ (\w+) .* ✅"")"),"maison")</f>
        <v>maison</v>
      </c>
      <c r="H1614" s="4" t="str">
        <f>IFERROR(__xludf.DUMMYFUNCTION("REGEXEXTRACT(A1614, ""/(\w+)-.*?"")"),"quartier")</f>
        <v>quartier</v>
      </c>
      <c r="I1614" s="4" t="str">
        <f>IFERROR(__xludf.DUMMYFUNCTION("if(D1614=""variant"",  substitute(filter(Templates!E:E, Templates!A:A = F1614, Templates!B:B = G1614, Templates!C:C = H1614), ""{{}}"", E1614), B1614)"),"🏘  Vous souhaitez acheter une maison dans le quartier de la Nouvelle ville nord (Biel/Bienne)? ✅ Jetez un œil aux dernières offres sur ImmoScout24.ch.")</f>
        <v>🏘  Vous souhaitez acheter une maison dans le quartier de la Nouvelle ville nord (Biel/Bienne)? ✅ Jetez un œil aux dernières offres sur ImmoScout24.ch.</v>
      </c>
      <c r="J1614" s="4" t="s">
        <v>4843</v>
      </c>
    </row>
    <row r="1615">
      <c r="A1615" s="5" t="s">
        <v>4844</v>
      </c>
      <c r="B1615" s="2" t="s">
        <v>4845</v>
      </c>
      <c r="C1615" s="4" t="str">
        <f>IFERROR(__xludf.DUMMYFUNCTION("""🏘️ ""&amp;REGEXEXTRACT(B1615, ""^(.*): "")&amp;"" ✅ "" &amp;REGEXEXTRACT(B1615, ""(Trouvez.*)"")"),"🏘️ Louer maison Vallemaggia ✅ Trouvez le bien immobilier qui correspond idéalement à vos désirs sur ImmoScout24 - La plateforme de l'immobilier en Suisse.")</f>
        <v>🏘️ Louer maison Vallemaggia ✅ Trouvez le bien immobilier qui correspond idéalement à vos désirs sur ImmoScout24 - La plateforme de l'immobilier en Suisse.</v>
      </c>
      <c r="D1615" s="4" t="str">
        <f>vlookup(A1615, Sheet2!D:E, 2, 0)</f>
        <v>variant</v>
      </c>
      <c r="E1615" s="4" t="str">
        <f>IFERROR(__xludf.DUMMYFUNCTION("if(H1615=""pays"",vlookup(REGEXEXTRACT(C1615, ""🏘️ \w+ \w+ (.*) ✅""),'Country prepositions'!A:B, 2, 0) &amp; "" "" &amp; REGEXEXTRACT(C1615, ""🏘️ \w+ \w+ (.*) ✅"") ,  if(H1615=""quartier"",vlookup(REGEXEXTRACT(C1615, ""🏘️ \w+ \w+ (.*) ✅""),'Quartier prepositio"&amp;"ns'!A:E, 5, 0) ,  if(H1615=""region"",vlookup(REGEXEXTRACT(C1615, ""🏘️ \w+ \w+ (.*) ✅""),'Region prepositions'!B:F, 5, 0),  REGEXEXTRACT(C1615, ""🏘️ \w+ \w+ (.*) ✅""))))"),"dans la région de Vallemaggia")</f>
        <v>dans la région de Vallemaggia</v>
      </c>
      <c r="F1615" s="2" t="str">
        <f>IFERROR(__xludf.DUMMYFUNCTION("REGEXEXTRACT(C1615, ""🏘️ (\w+) \w+ .* ✅"")"),"Louer")</f>
        <v>Louer</v>
      </c>
      <c r="G1615" s="2" t="str">
        <f>IFERROR(__xludf.DUMMYFUNCTION("REGEXEXTRACT(C1615, ""🏘️ \w+ (\w+) .* ✅"")"),"maison")</f>
        <v>maison</v>
      </c>
      <c r="H1615" s="4" t="str">
        <f>IFERROR(__xludf.DUMMYFUNCTION("REGEXEXTRACT(A1615, ""/(\w+)-.*?"")"),"region")</f>
        <v>region</v>
      </c>
      <c r="I1615" s="4" t="str">
        <f>IFERROR(__xludf.DUMMYFUNCTION("if(D1615=""variant"",  substitute(filter(Templates!E:E, Templates!A:A = F1615, Templates!B:B = G1615, Templates!C:C = H1615), ""{{}}"", E1615), B1615)"),"🏘  Vous cherchez une maison à louer dans la région de Vallemaggia? ✅ Découvrez nos nombreuses annonces sur ImmoScout24.ch.")</f>
        <v>🏘  Vous cherchez une maison à louer dans la région de Vallemaggia? ✅ Découvrez nos nombreuses annonces sur ImmoScout24.ch.</v>
      </c>
      <c r="J1615" s="4" t="s">
        <v>4846</v>
      </c>
    </row>
    <row r="1616">
      <c r="A1616" s="5" t="s">
        <v>4847</v>
      </c>
      <c r="B1616" s="2" t="s">
        <v>4848</v>
      </c>
      <c r="C1616" s="4" t="str">
        <f>IFERROR(__xludf.DUMMYFUNCTION("""🏘️ ""&amp;REGEXEXTRACT(B1616, ""^(.*): "")&amp;"" ✅ "" &amp;REGEXEXTRACT(B1616, ""(Trouvez.*)"")"),"🏘️ Louer maison Puidoux ✅ Trouvez le bien immobilier qui correspond idéalement à vos désirs sur ImmoScout24 - La plateforme de l'immobilier en Suisse.")</f>
        <v>🏘️ Louer maison Puidoux ✅ Trouvez le bien immobilier qui correspond idéalement à vos désirs sur ImmoScout24 - La plateforme de l'immobilier en Suisse.</v>
      </c>
      <c r="D1616" s="4" t="str">
        <f>vlookup(A1616, Sheet2!D:E, 2, 0)</f>
        <v>variant</v>
      </c>
      <c r="E1616" s="4" t="str">
        <f>IFERROR(__xludf.DUMMYFUNCTION("if(H1616=""pays"",vlookup(REGEXEXTRACT(C1616, ""🏘️ \w+ \w+ (.*) ✅""),'Country prepositions'!A:B, 2, 0) &amp; "" "" &amp; REGEXEXTRACT(C1616, ""🏘️ \w+ \w+ (.*) ✅"") ,  if(H1616=""quartier"",vlookup(REGEXEXTRACT(C1616, ""🏘️ \w+ \w+ (.*) ✅""),'Quartier prepositio"&amp;"ns'!A:E, 5, 0) ,  if(H1616=""region"",vlookup(REGEXEXTRACT(C1616, ""🏘️ \w+ \w+ (.*) ✅""),'Region prepositions'!B:F, 5, 0),  REGEXEXTRACT(C1616, ""🏘️ \w+ \w+ (.*) ✅""))))"),"Puidoux")</f>
        <v>Puidoux</v>
      </c>
      <c r="F1616" s="2" t="str">
        <f>IFERROR(__xludf.DUMMYFUNCTION("REGEXEXTRACT(C1616, ""🏘️ (\w+) \w+ .* ✅"")"),"Louer")</f>
        <v>Louer</v>
      </c>
      <c r="G1616" s="2" t="str">
        <f>IFERROR(__xludf.DUMMYFUNCTION("REGEXEXTRACT(C1616, ""🏘️ \w+ (\w+) .* ✅"")"),"maison")</f>
        <v>maison</v>
      </c>
      <c r="H1616" s="4" t="str">
        <f>IFERROR(__xludf.DUMMYFUNCTION("REGEXEXTRACT(A1616, ""/(\w+)-.*?"")"),"lieu")</f>
        <v>lieu</v>
      </c>
      <c r="I1616" s="4" t="str">
        <f>IFERROR(__xludf.DUMMYFUNCTION("if(D1616=""variant"",  substitute(filter(Templates!E:E, Templates!A:A = F1616, Templates!B:B = G1616, Templates!C:C = H1616), ""{{}}"", E1616), B1616)"),"🏘  Vous cherchez une maison à louer à Puidoux? ✅ Découvrez nos nombreuses annonces sur ImmoScout24.ch.")</f>
        <v>🏘  Vous cherchez une maison à louer à Puidoux? ✅ Découvrez nos nombreuses annonces sur ImmoScout24.ch.</v>
      </c>
      <c r="J1616" s="4" t="s">
        <v>4849</v>
      </c>
    </row>
    <row r="1617">
      <c r="A1617" s="5" t="s">
        <v>4850</v>
      </c>
      <c r="B1617" s="2" t="s">
        <v>4851</v>
      </c>
      <c r="C1617" s="4" t="str">
        <f>IFERROR(__xludf.DUMMYFUNCTION("""🏘️ ""&amp;REGEXEXTRACT(B1617, ""^(.*): "")&amp;"" ✅ "" &amp;REGEXEXTRACT(B1617, ""(Trouvez.*)"")"),"🏘️ Vendre appartement Treyvaux ✅ Trouvez le bien immobilier qui correspond idéalement à vos désirs sur ImmoScout24 - La plateforme de l'immobilier en Suisse.")</f>
        <v>🏘️ Vendre appartement Treyvaux ✅ Trouvez le bien immobilier qui correspond idéalement à vos désirs sur ImmoScout24 - La plateforme de l'immobilier en Suisse.</v>
      </c>
      <c r="D1617" s="4" t="str">
        <f>vlookup(A1617, Sheet2!D:E, 2, 0)</f>
        <v>variant</v>
      </c>
      <c r="E1617" s="4" t="str">
        <f>IFERROR(__xludf.DUMMYFUNCTION("if(H1617=""pays"",vlookup(REGEXEXTRACT(C1617, ""🏘️ \w+ \w+ (.*) ✅""),'Country prepositions'!A:B, 2, 0) &amp; "" "" &amp; REGEXEXTRACT(C1617, ""🏘️ \w+ \w+ (.*) ✅"") ,  if(H1617=""quartier"",vlookup(REGEXEXTRACT(C1617, ""🏘️ \w+ \w+ (.*) ✅""),'Quartier prepositio"&amp;"ns'!A:E, 5, 0) ,  if(H1617=""region"",vlookup(REGEXEXTRACT(C1617, ""🏘️ \w+ \w+ (.*) ✅""),'Region prepositions'!B:F, 5, 0),  REGEXEXTRACT(C1617, ""🏘️ \w+ \w+ (.*) ✅""))))"),"Treyvaux")</f>
        <v>Treyvaux</v>
      </c>
      <c r="F1617" s="2" t="str">
        <f>IFERROR(__xludf.DUMMYFUNCTION("REGEXEXTRACT(C1617, ""🏘️ (\w+) \w+ .* ✅"")"),"Vendre")</f>
        <v>Vendre</v>
      </c>
      <c r="G1617" s="2" t="str">
        <f>IFERROR(__xludf.DUMMYFUNCTION("REGEXEXTRACT(C1617, ""🏘️ \w+ (\w+) .* ✅"")"),"appartement")</f>
        <v>appartement</v>
      </c>
      <c r="H1617" s="4" t="str">
        <f>IFERROR(__xludf.DUMMYFUNCTION("REGEXEXTRACT(A1617, ""/(\w+)-.*?"")"),"lieu")</f>
        <v>lieu</v>
      </c>
      <c r="I1617" s="4" t="str">
        <f>IFERROR(__xludf.DUMMYFUNCTION("if(D1617=""variant"",  substitute(filter(Templates!E:E, Templates!A:A = F1617, Templates!B:B = G1617, Templates!C:C = H1617), ""{{}}"", E1617), B1617)"),"🏘  L’appartement de vos rêves se trouve sur ImmoScout24.ch ✅ Découvrez les dernières annonces de vente à Treyvaux.")</f>
        <v>🏘  L’appartement de vos rêves se trouve sur ImmoScout24.ch ✅ Découvrez les dernières annonces de vente à Treyvaux.</v>
      </c>
      <c r="J1617" s="4" t="s">
        <v>4852</v>
      </c>
    </row>
    <row r="1618">
      <c r="A1618" s="5" t="s">
        <v>4853</v>
      </c>
      <c r="B1618" s="2" t="s">
        <v>4854</v>
      </c>
      <c r="C1618" s="4" t="str">
        <f>IFERROR(__xludf.DUMMYFUNCTION("""🏘️ ""&amp;REGEXEXTRACT(B1618, ""^(.*): "")&amp;"" ✅ "" &amp;REGEXEXTRACT(B1618, ""(Trouvez.*)"")"),"🏘️ Louer maison Arosa ✅ Trouvez le bien immobilier qui correspond idéalement à vos désirs sur ImmoScout24 - La plateforme de l'immobilier en Suisse.")</f>
        <v>🏘️ Louer maison Arosa ✅ Trouvez le bien immobilier qui correspond idéalement à vos désirs sur ImmoScout24 - La plateforme de l'immobilier en Suisse.</v>
      </c>
      <c r="D1618" s="4" t="str">
        <f>vlookup(A1618, Sheet2!D:E, 2, 0)</f>
        <v>variant</v>
      </c>
      <c r="E1618" s="4" t="str">
        <f>IFERROR(__xludf.DUMMYFUNCTION("if(H1618=""pays"",vlookup(REGEXEXTRACT(C1618, ""🏘️ \w+ \w+ (.*) ✅""),'Country prepositions'!A:B, 2, 0) &amp; "" "" &amp; REGEXEXTRACT(C1618, ""🏘️ \w+ \w+ (.*) ✅"") ,  if(H1618=""quartier"",vlookup(REGEXEXTRACT(C1618, ""🏘️ \w+ \w+ (.*) ✅""),'Quartier prepositio"&amp;"ns'!A:E, 5, 0) ,  if(H1618=""region"",vlookup(REGEXEXTRACT(C1618, ""🏘️ \w+ \w+ (.*) ✅""),'Region prepositions'!B:F, 5, 0),  REGEXEXTRACT(C1618, ""🏘️ \w+ \w+ (.*) ✅""))))"),"Arosa")</f>
        <v>Arosa</v>
      </c>
      <c r="F1618" s="2" t="str">
        <f>IFERROR(__xludf.DUMMYFUNCTION("REGEXEXTRACT(C1618, ""🏘️ (\w+) \w+ .* ✅"")"),"Louer")</f>
        <v>Louer</v>
      </c>
      <c r="G1618" s="2" t="str">
        <f>IFERROR(__xludf.DUMMYFUNCTION("REGEXEXTRACT(C1618, ""🏘️ \w+ (\w+) .* ✅"")"),"maison")</f>
        <v>maison</v>
      </c>
      <c r="H1618" s="4" t="str">
        <f>IFERROR(__xludf.DUMMYFUNCTION("REGEXEXTRACT(A1618, ""/(\w+)-.*?"")"),"lieu")</f>
        <v>lieu</v>
      </c>
      <c r="I1618" s="4" t="str">
        <f>IFERROR(__xludf.DUMMYFUNCTION("if(D1618=""variant"",  substitute(filter(Templates!E:E, Templates!A:A = F1618, Templates!B:B = G1618, Templates!C:C = H1618), ""{{}}"", E1618), B1618)"),"🏘  Vous cherchez une maison à louer à Arosa? ✅ Découvrez nos nombreuses annonces sur ImmoScout24.ch.")</f>
        <v>🏘  Vous cherchez une maison à louer à Arosa? ✅ Découvrez nos nombreuses annonces sur ImmoScout24.ch.</v>
      </c>
      <c r="J1618" s="4" t="s">
        <v>4855</v>
      </c>
    </row>
    <row r="1619">
      <c r="A1619" s="5" t="s">
        <v>4856</v>
      </c>
      <c r="B1619" s="2" t="s">
        <v>4857</v>
      </c>
      <c r="C1619" s="4" t="str">
        <f>IFERROR(__xludf.DUMMYFUNCTION("""🏘️ ""&amp;REGEXEXTRACT(B1619, ""^(.*): "")&amp;"" ✅ "" &amp;REGEXEXTRACT(B1619, ""(Trouvez.*)"")"),"🏘️ Louer appartement Muttenz ✅ Trouvez le bien immobilier qui correspond idéalement à vos désirs sur ImmoScout24 - La plateforme de l'immobilier en Suisse.")</f>
        <v>🏘️ Louer appartement Muttenz ✅ Trouvez le bien immobilier qui correspond idéalement à vos désirs sur ImmoScout24 - La plateforme de l'immobilier en Suisse.</v>
      </c>
      <c r="D1619" s="4" t="str">
        <f>vlookup(A1619, Sheet2!D:E, 2, 0)</f>
        <v>variant</v>
      </c>
      <c r="E1619" s="4" t="str">
        <f>IFERROR(__xludf.DUMMYFUNCTION("if(H1619=""pays"",vlookup(REGEXEXTRACT(C1619, ""🏘️ \w+ \w+ (.*) ✅""),'Country prepositions'!A:B, 2, 0) &amp; "" "" &amp; REGEXEXTRACT(C1619, ""🏘️ \w+ \w+ (.*) ✅"") ,  if(H1619=""quartier"",vlookup(REGEXEXTRACT(C1619, ""🏘️ \w+ \w+ (.*) ✅""),'Quartier prepositio"&amp;"ns'!A:E, 5, 0) ,  if(H1619=""region"",vlookup(REGEXEXTRACT(C1619, ""🏘️ \w+ \w+ (.*) ✅""),'Region prepositions'!B:F, 5, 0),  REGEXEXTRACT(C1619, ""🏘️ \w+ \w+ (.*) ✅""))))"),"Muttenz")</f>
        <v>Muttenz</v>
      </c>
      <c r="F1619" s="2" t="str">
        <f>IFERROR(__xludf.DUMMYFUNCTION("REGEXEXTRACT(C1619, ""🏘️ (\w+) \w+ .* ✅"")"),"Louer")</f>
        <v>Louer</v>
      </c>
      <c r="G1619" s="2" t="str">
        <f>IFERROR(__xludf.DUMMYFUNCTION("REGEXEXTRACT(C1619, ""🏘️ \w+ (\w+) .* ✅"")"),"appartement")</f>
        <v>appartement</v>
      </c>
      <c r="H1619" s="4" t="str">
        <f>IFERROR(__xludf.DUMMYFUNCTION("REGEXEXTRACT(A1619, ""/(\w+)-.*?"")"),"lieu")</f>
        <v>lieu</v>
      </c>
      <c r="I1619" s="4" t="str">
        <f>IFERROR(__xludf.DUMMYFUNCTION("if(D1619=""variant"",  substitute(filter(Templates!E:E, Templates!A:A = F1619, Templates!B:B = G1619, Templates!C:C = H1619), ""{{}}"", E1619), B1619)"),"🏘  Vous cherchez un appartement à louer à Muttenz? ✅ Les annonces les plus actuelles sont sur ImmoScout24.ch.")</f>
        <v>🏘  Vous cherchez un appartement à louer à Muttenz? ✅ Les annonces les plus actuelles sont sur ImmoScout24.ch.</v>
      </c>
      <c r="J1619" s="4" t="s">
        <v>4858</v>
      </c>
    </row>
    <row r="1620">
      <c r="A1620" s="5" t="s">
        <v>4859</v>
      </c>
      <c r="B1620" s="2" t="s">
        <v>4860</v>
      </c>
      <c r="C1620" s="4" t="str">
        <f>IFERROR(__xludf.DUMMYFUNCTION("""🏘️ ""&amp;REGEXEXTRACT(B1620, ""^(.*): "")&amp;"" ✅ "" &amp;REGEXEXTRACT(B1620, ""(Trouvez.*)"")"),"🏘️ Vendre maison Walenstadtberg ✅ Trouvez le bien immobilier qui correspond idéalement à vos désirs sur ImmoScout24 - La plateforme de l'immobilier en Suisse.")</f>
        <v>🏘️ Vendre maison Walenstadtberg ✅ Trouvez le bien immobilier qui correspond idéalement à vos désirs sur ImmoScout24 - La plateforme de l'immobilier en Suisse.</v>
      </c>
      <c r="D1620" s="4" t="str">
        <f>vlookup(A1620, Sheet2!D:E, 2, 0)</f>
        <v>variant</v>
      </c>
      <c r="E1620" s="4" t="str">
        <f>IFERROR(__xludf.DUMMYFUNCTION("if(H1620=""pays"",vlookup(REGEXEXTRACT(C1620, ""🏘️ \w+ \w+ (.*) ✅""),'Country prepositions'!A:B, 2, 0) &amp; "" "" &amp; REGEXEXTRACT(C1620, ""🏘️ \w+ \w+ (.*) ✅"") ,  if(H1620=""quartier"",vlookup(REGEXEXTRACT(C1620, ""🏘️ \w+ \w+ (.*) ✅""),'Quartier prepositio"&amp;"ns'!A:E, 5, 0) ,  if(H1620=""region"",vlookup(REGEXEXTRACT(C1620, ""🏘️ \w+ \w+ (.*) ✅""),'Region prepositions'!B:F, 5, 0),  REGEXEXTRACT(C1620, ""🏘️ \w+ \w+ (.*) ✅""))))"),"Walenstadtberg")</f>
        <v>Walenstadtberg</v>
      </c>
      <c r="F1620" s="2" t="str">
        <f>IFERROR(__xludf.DUMMYFUNCTION("REGEXEXTRACT(C1620, ""🏘️ (\w+) \w+ .* ✅"")"),"Vendre")</f>
        <v>Vendre</v>
      </c>
      <c r="G1620" s="2" t="str">
        <f>IFERROR(__xludf.DUMMYFUNCTION("REGEXEXTRACT(C1620, ""🏘️ \w+ (\w+) .* ✅"")"),"maison")</f>
        <v>maison</v>
      </c>
      <c r="H1620" s="4" t="str">
        <f>IFERROR(__xludf.DUMMYFUNCTION("REGEXEXTRACT(A1620, ""/(\w+)-.*?"")"),"lieu")</f>
        <v>lieu</v>
      </c>
      <c r="I1620" s="4" t="str">
        <f>IFERROR(__xludf.DUMMYFUNCTION("if(D1620=""variant"",  substitute(filter(Templates!E:E, Templates!A:A = F1620, Templates!B:B = G1620, Templates!C:C = H1620), ""{{}}"", E1620), B1620)"),"🏘  Vous souhaitez acheter une maison à Walenstadtberg? ✅ Jetez un œil aux dernières offres sur ImmoScout24.ch.")</f>
        <v>🏘  Vous souhaitez acheter une maison à Walenstadtberg? ✅ Jetez un œil aux dernières offres sur ImmoScout24.ch.</v>
      </c>
      <c r="J1620" s="4" t="s">
        <v>4861</v>
      </c>
    </row>
    <row r="1621">
      <c r="A1621" s="5" t="s">
        <v>4862</v>
      </c>
      <c r="B1621" s="2" t="s">
        <v>4863</v>
      </c>
      <c r="C1621" s="4" t="str">
        <f>IFERROR(__xludf.DUMMYFUNCTION("""🏘️ ""&amp;REGEXEXTRACT(B1621, ""^(.*): "")&amp;"" ✅ "" &amp;REGEXEXTRACT(B1621, ""(Trouvez.*)"")"),"🏘️ Louer appartement Gsteig b. Gstaad ✅ Trouvez le bien immobilier qui correspond idéalement à vos désirs sur ImmoScout24 - La plateforme de l'immobilier en Suisse.")</f>
        <v>🏘️ Louer appartement Gsteig b. Gstaad ✅ Trouvez le bien immobilier qui correspond idéalement à vos désirs sur ImmoScout24 - La plateforme de l'immobilier en Suisse.</v>
      </c>
      <c r="D1621" s="4" t="str">
        <f>vlookup(A1621, Sheet2!D:E, 2, 0)</f>
        <v>variant</v>
      </c>
      <c r="E1621" s="4" t="str">
        <f>IFERROR(__xludf.DUMMYFUNCTION("if(H1621=""pays"",vlookup(REGEXEXTRACT(C1621, ""🏘️ \w+ \w+ (.*) ✅""),'Country prepositions'!A:B, 2, 0) &amp; "" "" &amp; REGEXEXTRACT(C1621, ""🏘️ \w+ \w+ (.*) ✅"") ,  if(H1621=""quartier"",vlookup(REGEXEXTRACT(C1621, ""🏘️ \w+ \w+ (.*) ✅""),'Quartier prepositio"&amp;"ns'!A:E, 5, 0) ,  if(H1621=""region"",vlookup(REGEXEXTRACT(C1621, ""🏘️ \w+ \w+ (.*) ✅""),'Region prepositions'!B:F, 5, 0),  REGEXEXTRACT(C1621, ""🏘️ \w+ \w+ (.*) ✅""))))"),"Gsteig b. Gstaad")</f>
        <v>Gsteig b. Gstaad</v>
      </c>
      <c r="F1621" s="2" t="str">
        <f>IFERROR(__xludf.DUMMYFUNCTION("REGEXEXTRACT(C1621, ""🏘️ (\w+) \w+ .* ✅"")"),"Louer")</f>
        <v>Louer</v>
      </c>
      <c r="G1621" s="2" t="str">
        <f>IFERROR(__xludf.DUMMYFUNCTION("REGEXEXTRACT(C1621, ""🏘️ \w+ (\w+) .* ✅"")"),"appartement")</f>
        <v>appartement</v>
      </c>
      <c r="H1621" s="4" t="str">
        <f>IFERROR(__xludf.DUMMYFUNCTION("REGEXEXTRACT(A1621, ""/(\w+)-.*?"")"),"lieu")</f>
        <v>lieu</v>
      </c>
      <c r="I1621" s="4" t="str">
        <f>IFERROR(__xludf.DUMMYFUNCTION("if(D1621=""variant"",  substitute(filter(Templates!E:E, Templates!A:A = F1621, Templates!B:B = G1621, Templates!C:C = H1621), ""{{}}"", E1621), B1621)"),"🏘  Vous cherchez un appartement à louer à Gsteig b. Gstaad? ✅ Les annonces les plus actuelles sont sur ImmoScout24.ch.")</f>
        <v>🏘  Vous cherchez un appartement à louer à Gsteig b. Gstaad? ✅ Les annonces les plus actuelles sont sur ImmoScout24.ch.</v>
      </c>
      <c r="J1621" s="4" t="s">
        <v>4864</v>
      </c>
    </row>
    <row r="1622">
      <c r="A1622" s="5" t="s">
        <v>4865</v>
      </c>
      <c r="B1622" s="2" t="s">
        <v>4866</v>
      </c>
      <c r="C1622" s="4" t="str">
        <f>IFERROR(__xludf.DUMMYFUNCTION("""🏘️ ""&amp;REGEXEXTRACT(B1622, ""^(.*): "")&amp;"" ✅ "" &amp;REGEXEXTRACT(B1622, ""(Trouvez.*)"")"),"🏘️ Louer appartement Rueyres-St-Laurent ✅ Trouvez le bien immobilier qui correspond idéalement à vos désirs sur ImmoScout24 - La plateforme de l'immobilier en Suisse.")</f>
        <v>🏘️ Louer appartement Rueyres-St-Laurent ✅ Trouvez le bien immobilier qui correspond idéalement à vos désirs sur ImmoScout24 - La plateforme de l'immobilier en Suisse.</v>
      </c>
      <c r="D1622" s="4" t="str">
        <f>vlookup(A1622, Sheet2!D:E, 2, 0)</f>
        <v>variant</v>
      </c>
      <c r="E1622" s="4" t="str">
        <f>IFERROR(__xludf.DUMMYFUNCTION("if(H1622=""pays"",vlookup(REGEXEXTRACT(C1622, ""🏘️ \w+ \w+ (.*) ✅""),'Country prepositions'!A:B, 2, 0) &amp; "" "" &amp; REGEXEXTRACT(C1622, ""🏘️ \w+ \w+ (.*) ✅"") ,  if(H1622=""quartier"",vlookup(REGEXEXTRACT(C1622, ""🏘️ \w+ \w+ (.*) ✅""),'Quartier prepositio"&amp;"ns'!A:E, 5, 0) ,  if(H1622=""region"",vlookup(REGEXEXTRACT(C1622, ""🏘️ \w+ \w+ (.*) ✅""),'Region prepositions'!B:F, 5, 0),  REGEXEXTRACT(C1622, ""🏘️ \w+ \w+ (.*) ✅""))))"),"Rueyres-St-Laurent")</f>
        <v>Rueyres-St-Laurent</v>
      </c>
      <c r="F1622" s="2" t="str">
        <f>IFERROR(__xludf.DUMMYFUNCTION("REGEXEXTRACT(C1622, ""🏘️ (\w+) \w+ .* ✅"")"),"Louer")</f>
        <v>Louer</v>
      </c>
      <c r="G1622" s="2" t="str">
        <f>IFERROR(__xludf.DUMMYFUNCTION("REGEXEXTRACT(C1622, ""🏘️ \w+ (\w+) .* ✅"")"),"appartement")</f>
        <v>appartement</v>
      </c>
      <c r="H1622" s="4" t="str">
        <f>IFERROR(__xludf.DUMMYFUNCTION("REGEXEXTRACT(A1622, ""/(\w+)-.*?"")"),"lieu")</f>
        <v>lieu</v>
      </c>
      <c r="I1622" s="4" t="str">
        <f>IFERROR(__xludf.DUMMYFUNCTION("if(D1622=""variant"",  substitute(filter(Templates!E:E, Templates!A:A = F1622, Templates!B:B = G1622, Templates!C:C = H1622), ""{{}}"", E1622), B1622)"),"🏘  Vous cherchez un appartement à louer à Rueyres-St-Laurent? ✅ Les annonces les plus actuelles sont sur ImmoScout24.ch.")</f>
        <v>🏘  Vous cherchez un appartement à louer à Rueyres-St-Laurent? ✅ Les annonces les plus actuelles sont sur ImmoScout24.ch.</v>
      </c>
      <c r="J1622" s="4" t="s">
        <v>4867</v>
      </c>
    </row>
    <row r="1623">
      <c r="A1623" s="5" t="s">
        <v>4868</v>
      </c>
      <c r="B1623" s="2" t="s">
        <v>4869</v>
      </c>
      <c r="C1623" s="4" t="str">
        <f>IFERROR(__xludf.DUMMYFUNCTION("""🏘️ ""&amp;REGEXEXTRACT(B1623, ""^(.*): "")&amp;"" ✅ "" &amp;REGEXEXTRACT(B1623, ""(Trouvez.*)"")"),"🏘️ Louer appartement Tecknau ✅ Trouvez le bien immobilier qui correspond idéalement à vos désirs sur ImmoScout24 - La plateforme de l'immobilier en Suisse.")</f>
        <v>🏘️ Louer appartement Tecknau ✅ Trouvez le bien immobilier qui correspond idéalement à vos désirs sur ImmoScout24 - La plateforme de l'immobilier en Suisse.</v>
      </c>
      <c r="D1623" s="4" t="str">
        <f>vlookup(A1623, Sheet2!D:E, 2, 0)</f>
        <v>variant</v>
      </c>
      <c r="E1623" s="4" t="str">
        <f>IFERROR(__xludf.DUMMYFUNCTION("if(H1623=""pays"",vlookup(REGEXEXTRACT(C1623, ""🏘️ \w+ \w+ (.*) ✅""),'Country prepositions'!A:B, 2, 0) &amp; "" "" &amp; REGEXEXTRACT(C1623, ""🏘️ \w+ \w+ (.*) ✅"") ,  if(H1623=""quartier"",vlookup(REGEXEXTRACT(C1623, ""🏘️ \w+ \w+ (.*) ✅""),'Quartier prepositio"&amp;"ns'!A:E, 5, 0) ,  if(H1623=""region"",vlookup(REGEXEXTRACT(C1623, ""🏘️ \w+ \w+ (.*) ✅""),'Region prepositions'!B:F, 5, 0),  REGEXEXTRACT(C1623, ""🏘️ \w+ \w+ (.*) ✅""))))"),"Tecknau")</f>
        <v>Tecknau</v>
      </c>
      <c r="F1623" s="2" t="str">
        <f>IFERROR(__xludf.DUMMYFUNCTION("REGEXEXTRACT(C1623, ""🏘️ (\w+) \w+ .* ✅"")"),"Louer")</f>
        <v>Louer</v>
      </c>
      <c r="G1623" s="2" t="str">
        <f>IFERROR(__xludf.DUMMYFUNCTION("REGEXEXTRACT(C1623, ""🏘️ \w+ (\w+) .* ✅"")"),"appartement")</f>
        <v>appartement</v>
      </c>
      <c r="H1623" s="4" t="str">
        <f>IFERROR(__xludf.DUMMYFUNCTION("REGEXEXTRACT(A1623, ""/(\w+)-.*?"")"),"lieu")</f>
        <v>lieu</v>
      </c>
      <c r="I1623" s="4" t="str">
        <f>IFERROR(__xludf.DUMMYFUNCTION("if(D1623=""variant"",  substitute(filter(Templates!E:E, Templates!A:A = F1623, Templates!B:B = G1623, Templates!C:C = H1623), ""{{}}"", E1623), B1623)"),"🏘  Vous cherchez un appartement à louer à Tecknau? ✅ Les annonces les plus actuelles sont sur ImmoScout24.ch.")</f>
        <v>🏘  Vous cherchez un appartement à louer à Tecknau? ✅ Les annonces les plus actuelles sont sur ImmoScout24.ch.</v>
      </c>
      <c r="J1623" s="4" t="s">
        <v>4870</v>
      </c>
    </row>
    <row r="1624">
      <c r="A1624" s="5" t="s">
        <v>4871</v>
      </c>
      <c r="B1624" s="2" t="s">
        <v>4872</v>
      </c>
      <c r="C1624" s="4" t="str">
        <f>IFERROR(__xludf.DUMMYFUNCTION("""🏘️ ""&amp;REGEXEXTRACT(B1624, ""^(.*): "")&amp;"" ✅ "" &amp;REGEXEXTRACT(B1624, ""(Trouvez.*)"")"),"🏘️ Louer appartement Aesch BL ✅ Trouvez le bien immobilier qui correspond idéalement à vos désirs sur ImmoScout24 - La plateforme de l'immobilier en Suisse.")</f>
        <v>🏘️ Louer appartement Aesch BL ✅ Trouvez le bien immobilier qui correspond idéalement à vos désirs sur ImmoScout24 - La plateforme de l'immobilier en Suisse.</v>
      </c>
      <c r="D1624" s="4" t="str">
        <f>vlookup(A1624, Sheet2!D:E, 2, 0)</f>
        <v>variant</v>
      </c>
      <c r="E1624" s="4" t="str">
        <f>IFERROR(__xludf.DUMMYFUNCTION("if(H1624=""pays"",vlookup(REGEXEXTRACT(C1624, ""🏘️ \w+ \w+ (.*) ✅""),'Country prepositions'!A:B, 2, 0) &amp; "" "" &amp; REGEXEXTRACT(C1624, ""🏘️ \w+ \w+ (.*) ✅"") ,  if(H1624=""quartier"",vlookup(REGEXEXTRACT(C1624, ""🏘️ \w+ \w+ (.*) ✅""),'Quartier prepositio"&amp;"ns'!A:E, 5, 0) ,  if(H1624=""region"",vlookup(REGEXEXTRACT(C1624, ""🏘️ \w+ \w+ (.*) ✅""),'Region prepositions'!B:F, 5, 0),  REGEXEXTRACT(C1624, ""🏘️ \w+ \w+ (.*) ✅""))))"),"Aesch BL")</f>
        <v>Aesch BL</v>
      </c>
      <c r="F1624" s="2" t="str">
        <f>IFERROR(__xludf.DUMMYFUNCTION("REGEXEXTRACT(C1624, ""🏘️ (\w+) \w+ .* ✅"")"),"Louer")</f>
        <v>Louer</v>
      </c>
      <c r="G1624" s="2" t="str">
        <f>IFERROR(__xludf.DUMMYFUNCTION("REGEXEXTRACT(C1624, ""🏘️ \w+ (\w+) .* ✅"")"),"appartement")</f>
        <v>appartement</v>
      </c>
      <c r="H1624" s="4" t="str">
        <f>IFERROR(__xludf.DUMMYFUNCTION("REGEXEXTRACT(A1624, ""/(\w+)-.*?"")"),"lieu")</f>
        <v>lieu</v>
      </c>
      <c r="I1624" s="4" t="str">
        <f>IFERROR(__xludf.DUMMYFUNCTION("if(D1624=""variant"",  substitute(filter(Templates!E:E, Templates!A:A = F1624, Templates!B:B = G1624, Templates!C:C = H1624), ""{{}}"", E1624), B1624)"),"🏘  Vous cherchez un appartement à louer à Aesch BL? ✅ Les annonces les plus actuelles sont sur ImmoScout24.ch.")</f>
        <v>🏘  Vous cherchez un appartement à louer à Aesch BL? ✅ Les annonces les plus actuelles sont sur ImmoScout24.ch.</v>
      </c>
      <c r="J1624" s="4" t="s">
        <v>4873</v>
      </c>
    </row>
    <row r="1625">
      <c r="A1625" s="5" t="s">
        <v>4874</v>
      </c>
      <c r="B1625" s="2" t="s">
        <v>4875</v>
      </c>
      <c r="C1625" s="4" t="str">
        <f>IFERROR(__xludf.DUMMYFUNCTION("""🏘️ ""&amp;REGEXEXTRACT(B1625, ""^(.*): "")&amp;"" ✅ "" &amp;REGEXEXTRACT(B1625, ""(Trouvez.*)"")"),"🏘️ Louer maison Romanens ✅ Trouvez le bien immobilier qui correspond idéalement à vos désirs sur ImmoScout24 - La plateforme de l'immobilier en Suisse.")</f>
        <v>🏘️ Louer maison Romanens ✅ Trouvez le bien immobilier qui correspond idéalement à vos désirs sur ImmoScout24 - La plateforme de l'immobilier en Suisse.</v>
      </c>
      <c r="D1625" s="4" t="str">
        <f>vlookup(A1625, Sheet2!D:E, 2, 0)</f>
        <v>variant</v>
      </c>
      <c r="E1625" s="4" t="str">
        <f>IFERROR(__xludf.DUMMYFUNCTION("if(H1625=""pays"",vlookup(REGEXEXTRACT(C1625, ""🏘️ \w+ \w+ (.*) ✅""),'Country prepositions'!A:B, 2, 0) &amp; "" "" &amp; REGEXEXTRACT(C1625, ""🏘️ \w+ \w+ (.*) ✅"") ,  if(H1625=""quartier"",vlookup(REGEXEXTRACT(C1625, ""🏘️ \w+ \w+ (.*) ✅""),'Quartier prepositio"&amp;"ns'!A:E, 5, 0) ,  if(H1625=""region"",vlookup(REGEXEXTRACT(C1625, ""🏘️ \w+ \w+ (.*) ✅""),'Region prepositions'!B:F, 5, 0),  REGEXEXTRACT(C1625, ""🏘️ \w+ \w+ (.*) ✅""))))"),"Romanens")</f>
        <v>Romanens</v>
      </c>
      <c r="F1625" s="2" t="str">
        <f>IFERROR(__xludf.DUMMYFUNCTION("REGEXEXTRACT(C1625, ""🏘️ (\w+) \w+ .* ✅"")"),"Louer")</f>
        <v>Louer</v>
      </c>
      <c r="G1625" s="2" t="str">
        <f>IFERROR(__xludf.DUMMYFUNCTION("REGEXEXTRACT(C1625, ""🏘️ \w+ (\w+) .* ✅"")"),"maison")</f>
        <v>maison</v>
      </c>
      <c r="H1625" s="4" t="str">
        <f>IFERROR(__xludf.DUMMYFUNCTION("REGEXEXTRACT(A1625, ""/(\w+)-.*?"")"),"lieu")</f>
        <v>lieu</v>
      </c>
      <c r="I1625" s="4" t="str">
        <f>IFERROR(__xludf.DUMMYFUNCTION("if(D1625=""variant"",  substitute(filter(Templates!E:E, Templates!A:A = F1625, Templates!B:B = G1625, Templates!C:C = H1625), ""{{}}"", E1625), B1625)"),"🏘  Vous cherchez une maison à louer à Romanens? ✅ Découvrez nos nombreuses annonces sur ImmoScout24.ch.")</f>
        <v>🏘  Vous cherchez une maison à louer à Romanens? ✅ Découvrez nos nombreuses annonces sur ImmoScout24.ch.</v>
      </c>
      <c r="J1625" s="4" t="s">
        <v>4876</v>
      </c>
    </row>
    <row r="1626">
      <c r="A1626" s="5" t="s">
        <v>4877</v>
      </c>
      <c r="B1626" s="2" t="s">
        <v>4878</v>
      </c>
      <c r="C1626" s="4" t="str">
        <f>IFERROR(__xludf.DUMMYFUNCTION("""🏘️ ""&amp;REGEXEXTRACT(B1626, ""^(.*): "")&amp;"" ✅ "" &amp;REGEXEXTRACT(B1626, ""(Trouvez.*)"")"),"🏘️ Louer appartement Gingins ✅ Trouvez le bien immobilier qui correspond idéalement à vos désirs sur ImmoScout24 - La plateforme de l'immobilier en Suisse.")</f>
        <v>🏘️ Louer appartement Gingins ✅ Trouvez le bien immobilier qui correspond idéalement à vos désirs sur ImmoScout24 - La plateforme de l'immobilier en Suisse.</v>
      </c>
      <c r="D1626" s="4" t="str">
        <f>vlookup(A1626, Sheet2!D:E, 2, 0)</f>
        <v>variant</v>
      </c>
      <c r="E1626" s="4" t="str">
        <f>IFERROR(__xludf.DUMMYFUNCTION("if(H1626=""pays"",vlookup(REGEXEXTRACT(C1626, ""🏘️ \w+ \w+ (.*) ✅""),'Country prepositions'!A:B, 2, 0) &amp; "" "" &amp; REGEXEXTRACT(C1626, ""🏘️ \w+ \w+ (.*) ✅"") ,  if(H1626=""quartier"",vlookup(REGEXEXTRACT(C1626, ""🏘️ \w+ \w+ (.*) ✅""),'Quartier prepositio"&amp;"ns'!A:E, 5, 0) ,  if(H1626=""region"",vlookup(REGEXEXTRACT(C1626, ""🏘️ \w+ \w+ (.*) ✅""),'Region prepositions'!B:F, 5, 0),  REGEXEXTRACT(C1626, ""🏘️ \w+ \w+ (.*) ✅""))))"),"Gingins")</f>
        <v>Gingins</v>
      </c>
      <c r="F1626" s="2" t="str">
        <f>IFERROR(__xludf.DUMMYFUNCTION("REGEXEXTRACT(C1626, ""🏘️ (\w+) \w+ .* ✅"")"),"Louer")</f>
        <v>Louer</v>
      </c>
      <c r="G1626" s="2" t="str">
        <f>IFERROR(__xludf.DUMMYFUNCTION("REGEXEXTRACT(C1626, ""🏘️ \w+ (\w+) .* ✅"")"),"appartement")</f>
        <v>appartement</v>
      </c>
      <c r="H1626" s="4" t="str">
        <f>IFERROR(__xludf.DUMMYFUNCTION("REGEXEXTRACT(A1626, ""/(\w+)-.*?"")"),"lieu")</f>
        <v>lieu</v>
      </c>
      <c r="I1626" s="4" t="str">
        <f>IFERROR(__xludf.DUMMYFUNCTION("if(D1626=""variant"",  substitute(filter(Templates!E:E, Templates!A:A = F1626, Templates!B:B = G1626, Templates!C:C = H1626), ""{{}}"", E1626), B1626)"),"🏘  Vous cherchez un appartement à louer à Gingins? ✅ Les annonces les plus actuelles sont sur ImmoScout24.ch.")</f>
        <v>🏘  Vous cherchez un appartement à louer à Gingins? ✅ Les annonces les plus actuelles sont sur ImmoScout24.ch.</v>
      </c>
      <c r="J1626" s="4" t="s">
        <v>4879</v>
      </c>
    </row>
    <row r="1627">
      <c r="A1627" s="5" t="s">
        <v>4880</v>
      </c>
      <c r="B1627" s="2" t="s">
        <v>4881</v>
      </c>
      <c r="C1627" s="4" t="str">
        <f>IFERROR(__xludf.DUMMYFUNCTION("""🏘️ ""&amp;REGEXEXTRACT(B1627, ""^(.*): "")&amp;"" ✅ "" &amp;REGEXEXTRACT(B1627, ""(Trouvez.*)"")"),"🏘️ Louer appartement Oberägeri ✅ Trouvez le bien immobilier qui correspond idéalement à vos désirs sur ImmoScout24 - La plateforme de l'immobilier en Suisse.")</f>
        <v>🏘️ Louer appartement Oberägeri ✅ Trouvez le bien immobilier qui correspond idéalement à vos désirs sur ImmoScout24 - La plateforme de l'immobilier en Suisse.</v>
      </c>
      <c r="D1627" s="4" t="str">
        <f>vlookup(A1627, Sheet2!D:E, 2, 0)</f>
        <v>variant</v>
      </c>
      <c r="E1627" s="4" t="str">
        <f>IFERROR(__xludf.DUMMYFUNCTION("if(H1627=""pays"",vlookup(REGEXEXTRACT(C1627, ""🏘️ \w+ \w+ (.*) ✅""),'Country prepositions'!A:B, 2, 0) &amp; "" "" &amp; REGEXEXTRACT(C1627, ""🏘️ \w+ \w+ (.*) ✅"") ,  if(H1627=""quartier"",vlookup(REGEXEXTRACT(C1627, ""🏘️ \w+ \w+ (.*) ✅""),'Quartier prepositio"&amp;"ns'!A:E, 5, 0) ,  if(H1627=""region"",vlookup(REGEXEXTRACT(C1627, ""🏘️ \w+ \w+ (.*) ✅""),'Region prepositions'!B:F, 5, 0),  REGEXEXTRACT(C1627, ""🏘️ \w+ \w+ (.*) ✅""))))"),"Oberägeri")</f>
        <v>Oberägeri</v>
      </c>
      <c r="F1627" s="2" t="str">
        <f>IFERROR(__xludf.DUMMYFUNCTION("REGEXEXTRACT(C1627, ""🏘️ (\w+) \w+ .* ✅"")"),"Louer")</f>
        <v>Louer</v>
      </c>
      <c r="G1627" s="2" t="str">
        <f>IFERROR(__xludf.DUMMYFUNCTION("REGEXEXTRACT(C1627, ""🏘️ \w+ (\w+) .* ✅"")"),"appartement")</f>
        <v>appartement</v>
      </c>
      <c r="H1627" s="4" t="str">
        <f>IFERROR(__xludf.DUMMYFUNCTION("REGEXEXTRACT(A1627, ""/(\w+)-.*?"")"),"lieu")</f>
        <v>lieu</v>
      </c>
      <c r="I1627" s="4" t="str">
        <f>IFERROR(__xludf.DUMMYFUNCTION("if(D1627=""variant"",  substitute(filter(Templates!E:E, Templates!A:A = F1627, Templates!B:B = G1627, Templates!C:C = H1627), ""{{}}"", E1627), B1627)"),"🏘  Vous cherchez un appartement à louer à Oberägeri? ✅ Les annonces les plus actuelles sont sur ImmoScout24.ch.")</f>
        <v>🏘  Vous cherchez un appartement à louer à Oberägeri? ✅ Les annonces les plus actuelles sont sur ImmoScout24.ch.</v>
      </c>
      <c r="J1627" s="4" t="s">
        <v>4882</v>
      </c>
    </row>
    <row r="1628">
      <c r="A1628" s="5" t="s">
        <v>4883</v>
      </c>
      <c r="B1628" s="2" t="s">
        <v>4884</v>
      </c>
      <c r="C1628" s="4" t="str">
        <f>IFERROR(__xludf.DUMMYFUNCTION("""🏘️ ""&amp;REGEXEXTRACT(B1628, ""^(.*): "")&amp;"" ✅ "" &amp;REGEXEXTRACT(B1628, ""(Trouvez.*)"")"),"🏘️ Vendre appartement Romont FR ✅ Trouvez le bien immobilier qui correspond idéalement à vos désirs sur ImmoScout24 - La plateforme de l'immobilier en Suisse.")</f>
        <v>🏘️ Vendre appartement Romont FR ✅ Trouvez le bien immobilier qui correspond idéalement à vos désirs sur ImmoScout24 - La plateforme de l'immobilier en Suisse.</v>
      </c>
      <c r="D1628" s="4" t="str">
        <f>vlookup(A1628, Sheet2!D:E, 2, 0)</f>
        <v>variant</v>
      </c>
      <c r="E1628" s="4" t="str">
        <f>IFERROR(__xludf.DUMMYFUNCTION("if(H1628=""pays"",vlookup(REGEXEXTRACT(C1628, ""🏘️ \w+ \w+ (.*) ✅""),'Country prepositions'!A:B, 2, 0) &amp; "" "" &amp; REGEXEXTRACT(C1628, ""🏘️ \w+ \w+ (.*) ✅"") ,  if(H1628=""quartier"",vlookup(REGEXEXTRACT(C1628, ""🏘️ \w+ \w+ (.*) ✅""),'Quartier prepositio"&amp;"ns'!A:E, 5, 0) ,  if(H1628=""region"",vlookup(REGEXEXTRACT(C1628, ""🏘️ \w+ \w+ (.*) ✅""),'Region prepositions'!B:F, 5, 0),  REGEXEXTRACT(C1628, ""🏘️ \w+ \w+ (.*) ✅""))))"),"Romont FR")</f>
        <v>Romont FR</v>
      </c>
      <c r="F1628" s="2" t="str">
        <f>IFERROR(__xludf.DUMMYFUNCTION("REGEXEXTRACT(C1628, ""🏘️ (\w+) \w+ .* ✅"")"),"Vendre")</f>
        <v>Vendre</v>
      </c>
      <c r="G1628" s="2" t="str">
        <f>IFERROR(__xludf.DUMMYFUNCTION("REGEXEXTRACT(C1628, ""🏘️ \w+ (\w+) .* ✅"")"),"appartement")</f>
        <v>appartement</v>
      </c>
      <c r="H1628" s="4" t="str">
        <f>IFERROR(__xludf.DUMMYFUNCTION("REGEXEXTRACT(A1628, ""/(\w+)-.*?"")"),"lieu")</f>
        <v>lieu</v>
      </c>
      <c r="I1628" s="4" t="str">
        <f>IFERROR(__xludf.DUMMYFUNCTION("if(D1628=""variant"",  substitute(filter(Templates!E:E, Templates!A:A = F1628, Templates!B:B = G1628, Templates!C:C = H1628), ""{{}}"", E1628), B1628)"),"🏘  L’appartement de vos rêves se trouve sur ImmoScout24.ch ✅ Découvrez les dernières annonces de vente à Romont FR.")</f>
        <v>🏘  L’appartement de vos rêves se trouve sur ImmoScout24.ch ✅ Découvrez les dernières annonces de vente à Romont FR.</v>
      </c>
      <c r="J1628" s="4" t="s">
        <v>4885</v>
      </c>
    </row>
    <row r="1629">
      <c r="A1629" s="5" t="s">
        <v>4886</v>
      </c>
      <c r="B1629" s="2" t="s">
        <v>4887</v>
      </c>
      <c r="C1629" s="4" t="str">
        <f>IFERROR(__xludf.DUMMYFUNCTION("""🏘️ ""&amp;REGEXEXTRACT(B1629, ""^(.*): "")&amp;"" ✅ "" &amp;REGEXEXTRACT(B1629, ""(Trouvez.*)"")"),"🏘️ Louer appartement Rubigen ✅ Trouvez le bien immobilier qui correspond idéalement à vos désirs sur ImmoScout24 - La plateforme de l'immobilier en Suisse.")</f>
        <v>🏘️ Louer appartement Rubigen ✅ Trouvez le bien immobilier qui correspond idéalement à vos désirs sur ImmoScout24 - La plateforme de l'immobilier en Suisse.</v>
      </c>
      <c r="D1629" s="4" t="str">
        <f>vlookup(A1629, Sheet2!D:E, 2, 0)</f>
        <v>variant</v>
      </c>
      <c r="E1629" s="4" t="str">
        <f>IFERROR(__xludf.DUMMYFUNCTION("if(H1629=""pays"",vlookup(REGEXEXTRACT(C1629, ""🏘️ \w+ \w+ (.*) ✅""),'Country prepositions'!A:B, 2, 0) &amp; "" "" &amp; REGEXEXTRACT(C1629, ""🏘️ \w+ \w+ (.*) ✅"") ,  if(H1629=""quartier"",vlookup(REGEXEXTRACT(C1629, ""🏘️ \w+ \w+ (.*) ✅""),'Quartier prepositio"&amp;"ns'!A:E, 5, 0) ,  if(H1629=""region"",vlookup(REGEXEXTRACT(C1629, ""🏘️ \w+ \w+ (.*) ✅""),'Region prepositions'!B:F, 5, 0),  REGEXEXTRACT(C1629, ""🏘️ \w+ \w+ (.*) ✅""))))"),"Rubigen")</f>
        <v>Rubigen</v>
      </c>
      <c r="F1629" s="2" t="str">
        <f>IFERROR(__xludf.DUMMYFUNCTION("REGEXEXTRACT(C1629, ""🏘️ (\w+) \w+ .* ✅"")"),"Louer")</f>
        <v>Louer</v>
      </c>
      <c r="G1629" s="2" t="str">
        <f>IFERROR(__xludf.DUMMYFUNCTION("REGEXEXTRACT(C1629, ""🏘️ \w+ (\w+) .* ✅"")"),"appartement")</f>
        <v>appartement</v>
      </c>
      <c r="H1629" s="4" t="str">
        <f>IFERROR(__xludf.DUMMYFUNCTION("REGEXEXTRACT(A1629, ""/(\w+)-.*?"")"),"lieu")</f>
        <v>lieu</v>
      </c>
      <c r="I1629" s="4" t="str">
        <f>IFERROR(__xludf.DUMMYFUNCTION("if(D1629=""variant"",  substitute(filter(Templates!E:E, Templates!A:A = F1629, Templates!B:B = G1629, Templates!C:C = H1629), ""{{}}"", E1629), B1629)"),"🏘  Vous cherchez un appartement à louer à Rubigen? ✅ Les annonces les plus actuelles sont sur ImmoScout24.ch.")</f>
        <v>🏘  Vous cherchez un appartement à louer à Rubigen? ✅ Les annonces les plus actuelles sont sur ImmoScout24.ch.</v>
      </c>
      <c r="J1629" s="4" t="s">
        <v>4888</v>
      </c>
    </row>
    <row r="1630">
      <c r="A1630" s="5" t="s">
        <v>4889</v>
      </c>
      <c r="B1630" s="2" t="s">
        <v>4890</v>
      </c>
      <c r="C1630" s="4" t="str">
        <f>IFERROR(__xludf.DUMMYFUNCTION("""🏘️ ""&amp;REGEXEXTRACT(B1630, ""^(.*): "")&amp;"" ✅ "" &amp;REGEXEXTRACT(B1630, ""(Trouvez.*)"")"),"🏘️ Louer maison Lavaux - Vevey ✅ Trouvez le bien immobilier qui correspond idéalement à vos désirs sur ImmoScout24 - La plateforme de l'immobilier en Suisse.")</f>
        <v>🏘️ Louer maison Lavaux - Vevey ✅ Trouvez le bien immobilier qui correspond idéalement à vos désirs sur ImmoScout24 - La plateforme de l'immobilier en Suisse.</v>
      </c>
      <c r="D1630" s="4" t="str">
        <f>vlookup(A1630, Sheet2!D:E, 2, 0)</f>
        <v>variant</v>
      </c>
      <c r="E1630" s="4" t="str">
        <f>IFERROR(__xludf.DUMMYFUNCTION("if(H1630=""pays"",vlookup(REGEXEXTRACT(C1630, ""🏘️ \w+ \w+ (.*) ✅""),'Country prepositions'!A:B, 2, 0) &amp; "" "" &amp; REGEXEXTRACT(C1630, ""🏘️ \w+ \w+ (.*) ✅"") ,  if(H1630=""quartier"",vlookup(REGEXEXTRACT(C1630, ""🏘️ \w+ \w+ (.*) ✅""),'Quartier prepositio"&amp;"ns'!A:E, 5, 0) ,  if(H1630=""region"",vlookup(REGEXEXTRACT(C1630, ""🏘️ \w+ \w+ (.*) ✅""),'Region prepositions'!B:F, 5, 0),  REGEXEXTRACT(C1630, ""🏘️ \w+ \w+ (.*) ✅""))))"),"dans la région de Lavaux - Vevey")</f>
        <v>dans la région de Lavaux - Vevey</v>
      </c>
      <c r="F1630" s="2" t="str">
        <f>IFERROR(__xludf.DUMMYFUNCTION("REGEXEXTRACT(C1630, ""🏘️ (\w+) \w+ .* ✅"")"),"Louer")</f>
        <v>Louer</v>
      </c>
      <c r="G1630" s="2" t="str">
        <f>IFERROR(__xludf.DUMMYFUNCTION("REGEXEXTRACT(C1630, ""🏘️ \w+ (\w+) .* ✅"")"),"maison")</f>
        <v>maison</v>
      </c>
      <c r="H1630" s="4" t="str">
        <f>IFERROR(__xludf.DUMMYFUNCTION("REGEXEXTRACT(A1630, ""/(\w+)-.*?"")"),"region")</f>
        <v>region</v>
      </c>
      <c r="I1630" s="4" t="str">
        <f>IFERROR(__xludf.DUMMYFUNCTION("if(D1630=""variant"",  substitute(filter(Templates!E:E, Templates!A:A = F1630, Templates!B:B = G1630, Templates!C:C = H1630), ""{{}}"", E1630), B1630)"),"🏘  Vous cherchez une maison à louer dans la région de Lavaux - Vevey? ✅ Découvrez nos nombreuses annonces sur ImmoScout24.ch.")</f>
        <v>🏘  Vous cherchez une maison à louer dans la région de Lavaux - Vevey? ✅ Découvrez nos nombreuses annonces sur ImmoScout24.ch.</v>
      </c>
      <c r="J1630" s="4" t="s">
        <v>4891</v>
      </c>
    </row>
    <row r="1631">
      <c r="A1631" s="5" t="s">
        <v>4892</v>
      </c>
      <c r="B1631" s="2" t="s">
        <v>4893</v>
      </c>
      <c r="C1631" s="4" t="str">
        <f>IFERROR(__xludf.DUMMYFUNCTION("""🏘️ ""&amp;REGEXEXTRACT(B1631, ""^(.*): "")&amp;"" ✅ "" &amp;REGEXEXTRACT(B1631, ""(Trouvez.*)"")"),"🏘️ Vendre appartement Centre (Neuchâtel) ✅ Trouvez le bien immobilier qui correspond idéalement à vos désirs sur ImmoScout24 - La plateforme de l'immobilier en Suisse.")</f>
        <v>🏘️ Vendre appartement Centre (Neuchâtel) ✅ Trouvez le bien immobilier qui correspond idéalement à vos désirs sur ImmoScout24 - La plateforme de l'immobilier en Suisse.</v>
      </c>
      <c r="D1631" s="4" t="str">
        <f>vlookup(A1631, Sheet2!D:E, 2, 0)</f>
        <v>variant</v>
      </c>
      <c r="E1631" s="4" t="str">
        <f>IFERROR(__xludf.DUMMYFUNCTION("if(H1631=""pays"",vlookup(REGEXEXTRACT(C1631, ""🏘️ \w+ \w+ (.*) ✅""),'Country prepositions'!A:B, 2, 0) &amp; "" "" &amp; REGEXEXTRACT(C1631, ""🏘️ \w+ \w+ (.*) ✅"") ,  if(H1631=""quartier"",vlookup(REGEXEXTRACT(C1631, ""🏘️ \w+ \w+ (.*) ✅""),'Quartier prepositio"&amp;"ns'!A:E, 5, 0) ,  if(H1631=""region"",vlookup(REGEXEXTRACT(C1631, ""🏘️ \w+ \w+ (.*) ✅""),'Region prepositions'!B:F, 5, 0),  REGEXEXTRACT(C1631, ""🏘️ \w+ \w+ (.*) ✅""))))"),"dans le Centre de Neuchâtel")</f>
        <v>dans le Centre de Neuchâtel</v>
      </c>
      <c r="F1631" s="2" t="str">
        <f>IFERROR(__xludf.DUMMYFUNCTION("REGEXEXTRACT(C1631, ""🏘️ (\w+) \w+ .* ✅"")"),"Vendre")</f>
        <v>Vendre</v>
      </c>
      <c r="G1631" s="2" t="str">
        <f>IFERROR(__xludf.DUMMYFUNCTION("REGEXEXTRACT(C1631, ""🏘️ \w+ (\w+) .* ✅"")"),"appartement")</f>
        <v>appartement</v>
      </c>
      <c r="H1631" s="4" t="str">
        <f>IFERROR(__xludf.DUMMYFUNCTION("REGEXEXTRACT(A1631, ""/(\w+)-.*?"")"),"quartier")</f>
        <v>quartier</v>
      </c>
      <c r="I1631" s="4" t="str">
        <f>IFERROR(__xludf.DUMMYFUNCTION("if(D1631=""variant"",  substitute(filter(Templates!E:E, Templates!A:A = F1631, Templates!B:B = G1631, Templates!C:C = H1631), ""{{}}"", E1631), B1631)"),"🏘  L’appartement de vos rêves se trouve sur ImmoScout24.ch ✅ Découvrez les dernières annonces de vente dans le Centre de Neuchâtel.")</f>
        <v>🏘  L’appartement de vos rêves se trouve sur ImmoScout24.ch ✅ Découvrez les dernières annonces de vente dans le Centre de Neuchâtel.</v>
      </c>
      <c r="J1631" s="4" t="s">
        <v>4894</v>
      </c>
    </row>
    <row r="1632">
      <c r="A1632" s="5" t="s">
        <v>4895</v>
      </c>
      <c r="B1632" s="2" t="s">
        <v>4896</v>
      </c>
      <c r="C1632" s="4" t="str">
        <f>IFERROR(__xludf.DUMMYFUNCTION("""🏘️ ""&amp;REGEXEXTRACT(B1632, ""^(.*): "")&amp;"" ✅ "" &amp;REGEXEXTRACT(B1632, ""(Trouvez.*)"")"),"🏘️ Vendre maison Küsnacht ZH ✅ Trouvez le bien immobilier qui correspond idéalement à vos désirs sur ImmoScout24 - La plateforme de l'immobilier en Suisse.")</f>
        <v>🏘️ Vendre maison Küsnacht ZH ✅ Trouvez le bien immobilier qui correspond idéalement à vos désirs sur ImmoScout24 - La plateforme de l'immobilier en Suisse.</v>
      </c>
      <c r="D1632" s="4" t="str">
        <f>vlookup(A1632, Sheet2!D:E, 2, 0)</f>
        <v>variant</v>
      </c>
      <c r="E1632" s="4" t="str">
        <f>IFERROR(__xludf.DUMMYFUNCTION("if(H1632=""pays"",vlookup(REGEXEXTRACT(C1632, ""🏘️ \w+ \w+ (.*) ✅""),'Country prepositions'!A:B, 2, 0) &amp; "" "" &amp; REGEXEXTRACT(C1632, ""🏘️ \w+ \w+ (.*) ✅"") ,  if(H1632=""quartier"",vlookup(REGEXEXTRACT(C1632, ""🏘️ \w+ \w+ (.*) ✅""),'Quartier prepositio"&amp;"ns'!A:E, 5, 0) ,  if(H1632=""region"",vlookup(REGEXEXTRACT(C1632, ""🏘️ \w+ \w+ (.*) ✅""),'Region prepositions'!B:F, 5, 0),  REGEXEXTRACT(C1632, ""🏘️ \w+ \w+ (.*) ✅""))))"),"Küsnacht ZH")</f>
        <v>Küsnacht ZH</v>
      </c>
      <c r="F1632" s="2" t="str">
        <f>IFERROR(__xludf.DUMMYFUNCTION("REGEXEXTRACT(C1632, ""🏘️ (\w+) \w+ .* ✅"")"),"Vendre")</f>
        <v>Vendre</v>
      </c>
      <c r="G1632" s="2" t="str">
        <f>IFERROR(__xludf.DUMMYFUNCTION("REGEXEXTRACT(C1632, ""🏘️ \w+ (\w+) .* ✅"")"),"maison")</f>
        <v>maison</v>
      </c>
      <c r="H1632" s="4" t="str">
        <f>IFERROR(__xludf.DUMMYFUNCTION("REGEXEXTRACT(A1632, ""/(\w+)-.*?"")"),"lieu")</f>
        <v>lieu</v>
      </c>
      <c r="I1632" s="4" t="str">
        <f>IFERROR(__xludf.DUMMYFUNCTION("if(D1632=""variant"",  substitute(filter(Templates!E:E, Templates!A:A = F1632, Templates!B:B = G1632, Templates!C:C = H1632), ""{{}}"", E1632), B1632)"),"🏘  Vous souhaitez acheter une maison à Küsnacht ZH? ✅ Jetez un œil aux dernières offres sur ImmoScout24.ch.")</f>
        <v>🏘  Vous souhaitez acheter une maison à Küsnacht ZH? ✅ Jetez un œil aux dernières offres sur ImmoScout24.ch.</v>
      </c>
      <c r="J1632" s="4" t="s">
        <v>4897</v>
      </c>
    </row>
    <row r="1633">
      <c r="A1633" s="5" t="s">
        <v>4898</v>
      </c>
      <c r="B1633" s="2" t="s">
        <v>4899</v>
      </c>
      <c r="C1633" s="4" t="str">
        <f>IFERROR(__xludf.DUMMYFUNCTION("""🏘️ ""&amp;REGEXEXTRACT(B1633, ""^(.*): "")&amp;"" ✅ "" &amp;REGEXEXTRACT(B1633, ""(Trouvez.*)"")"),"🏘️ Vendre appartement Rorschach - St. Gallen ✅ Trouvez le bien immobilier qui correspond idéalement à vos désirs sur ImmoScout24 - La plateforme de l'immobilier en Suisse.")</f>
        <v>🏘️ Vendre appartement Rorschach - St. Gallen ✅ Trouvez le bien immobilier qui correspond idéalement à vos désirs sur ImmoScout24 - La plateforme de l'immobilier en Suisse.</v>
      </c>
      <c r="D1633" s="4" t="str">
        <f>vlookup(A1633, Sheet2!D:E, 2, 0)</f>
        <v>variant</v>
      </c>
      <c r="E1633" s="4" t="str">
        <f>IFERROR(__xludf.DUMMYFUNCTION("if(H1633=""pays"",vlookup(REGEXEXTRACT(C1633, ""🏘️ \w+ \w+ (.*) ✅""),'Country prepositions'!A:B, 2, 0) &amp; "" "" &amp; REGEXEXTRACT(C1633, ""🏘️ \w+ \w+ (.*) ✅"") ,  if(H1633=""quartier"",vlookup(REGEXEXTRACT(C1633, ""🏘️ \w+ \w+ (.*) ✅""),'Quartier prepositio"&amp;"ns'!A:E, 5, 0) ,  if(H1633=""region"",vlookup(REGEXEXTRACT(C1633, ""🏘️ \w+ \w+ (.*) ✅""),'Region prepositions'!B:F, 5, 0),  REGEXEXTRACT(C1633, ""🏘️ \w+ \w+ (.*) ✅""))))"),"dans la région de St-Gall")</f>
        <v>dans la région de St-Gall</v>
      </c>
      <c r="F1633" s="2" t="str">
        <f>IFERROR(__xludf.DUMMYFUNCTION("REGEXEXTRACT(C1633, ""🏘️ (\w+) \w+ .* ✅"")"),"Vendre")</f>
        <v>Vendre</v>
      </c>
      <c r="G1633" s="2" t="str">
        <f>IFERROR(__xludf.DUMMYFUNCTION("REGEXEXTRACT(C1633, ""🏘️ \w+ (\w+) .* ✅"")"),"appartement")</f>
        <v>appartement</v>
      </c>
      <c r="H1633" s="4" t="str">
        <f>IFERROR(__xludf.DUMMYFUNCTION("REGEXEXTRACT(A1633, ""/(\w+)-.*?"")"),"region")</f>
        <v>region</v>
      </c>
      <c r="I1633" s="4" t="str">
        <f>IFERROR(__xludf.DUMMYFUNCTION("if(D1633=""variant"",  substitute(filter(Templates!E:E, Templates!A:A = F1633, Templates!B:B = G1633, Templates!C:C = H1633), ""{{}}"", E1633), B1633)"),"🏘  L’appartement de vos rêves se trouve sur ImmoScout24.ch ✅ Découvrez les dernières annonces de vente dans la région de St-Gall.")</f>
        <v>🏘  L’appartement de vos rêves se trouve sur ImmoScout24.ch ✅ Découvrez les dernières annonces de vente dans la région de St-Gall.</v>
      </c>
      <c r="J1633" s="4" t="s">
        <v>4900</v>
      </c>
    </row>
    <row r="1634">
      <c r="A1634" s="5" t="s">
        <v>4901</v>
      </c>
      <c r="B1634" s="2" t="s">
        <v>4902</v>
      </c>
      <c r="C1634" s="4" t="str">
        <f>IFERROR(__xludf.DUMMYFUNCTION("""🏘️ ""&amp;REGEXEXTRACT(B1634, ""^(.*): "")&amp;"" ✅ "" &amp;REGEXEXTRACT(B1634, ""(Trouvez.*)"")"),"🏘️ Louer appartement Fontaines NE ✅ Trouvez le bien immobilier qui correspond idéalement à vos désirs sur ImmoScout24 - La plateforme de l'immobilier en Suisse.")</f>
        <v>🏘️ Louer appartement Fontaines NE ✅ Trouvez le bien immobilier qui correspond idéalement à vos désirs sur ImmoScout24 - La plateforme de l'immobilier en Suisse.</v>
      </c>
      <c r="D1634" s="4" t="str">
        <f>vlookup(A1634, Sheet2!D:E, 2, 0)</f>
        <v>variant</v>
      </c>
      <c r="E1634" s="4" t="str">
        <f>IFERROR(__xludf.DUMMYFUNCTION("if(H1634=""pays"",vlookup(REGEXEXTRACT(C1634, ""🏘️ \w+ \w+ (.*) ✅""),'Country prepositions'!A:B, 2, 0) &amp; "" "" &amp; REGEXEXTRACT(C1634, ""🏘️ \w+ \w+ (.*) ✅"") ,  if(H1634=""quartier"",vlookup(REGEXEXTRACT(C1634, ""🏘️ \w+ \w+ (.*) ✅""),'Quartier prepositio"&amp;"ns'!A:E, 5, 0) ,  if(H1634=""region"",vlookup(REGEXEXTRACT(C1634, ""🏘️ \w+ \w+ (.*) ✅""),'Region prepositions'!B:F, 5, 0),  REGEXEXTRACT(C1634, ""🏘️ \w+ \w+ (.*) ✅""))))"),"Fontaines NE")</f>
        <v>Fontaines NE</v>
      </c>
      <c r="F1634" s="2" t="str">
        <f>IFERROR(__xludf.DUMMYFUNCTION("REGEXEXTRACT(C1634, ""🏘️ (\w+) \w+ .* ✅"")"),"Louer")</f>
        <v>Louer</v>
      </c>
      <c r="G1634" s="2" t="str">
        <f>IFERROR(__xludf.DUMMYFUNCTION("REGEXEXTRACT(C1634, ""🏘️ \w+ (\w+) .* ✅"")"),"appartement")</f>
        <v>appartement</v>
      </c>
      <c r="H1634" s="4" t="str">
        <f>IFERROR(__xludf.DUMMYFUNCTION("REGEXEXTRACT(A1634, ""/(\w+)-.*?"")"),"lieu")</f>
        <v>lieu</v>
      </c>
      <c r="I1634" s="4" t="str">
        <f>IFERROR(__xludf.DUMMYFUNCTION("if(D1634=""variant"",  substitute(filter(Templates!E:E, Templates!A:A = F1634, Templates!B:B = G1634, Templates!C:C = H1634), ""{{}}"", E1634), B1634)"),"🏘  Vous cherchez un appartement à louer à Fontaines NE? ✅ Les annonces les plus actuelles sont sur ImmoScout24.ch.")</f>
        <v>🏘  Vous cherchez un appartement à louer à Fontaines NE? ✅ Les annonces les plus actuelles sont sur ImmoScout24.ch.</v>
      </c>
      <c r="J1634" s="4" t="s">
        <v>4903</v>
      </c>
    </row>
    <row r="1635">
      <c r="A1635" s="5" t="s">
        <v>4904</v>
      </c>
      <c r="B1635" s="2" t="s">
        <v>4905</v>
      </c>
      <c r="C1635" s="4" t="str">
        <f>IFERROR(__xludf.DUMMYFUNCTION("""🏘️ ""&amp;REGEXEXTRACT(B1635, ""^(.*): "")&amp;"" ✅ "" &amp;REGEXEXTRACT(B1635, ""(Trouvez.*)"")"),"🏘️ Louer maison Autavaux ✅ Trouvez le bien immobilier qui correspond idéalement à vos désirs sur ImmoScout24 - La plateforme de l'immobilier en Suisse.")</f>
        <v>🏘️ Louer maison Autavaux ✅ Trouvez le bien immobilier qui correspond idéalement à vos désirs sur ImmoScout24 - La plateforme de l'immobilier en Suisse.</v>
      </c>
      <c r="D1635" s="4" t="str">
        <f>vlookup(A1635, Sheet2!D:E, 2, 0)</f>
        <v>variant</v>
      </c>
      <c r="E1635" s="4" t="str">
        <f>IFERROR(__xludf.DUMMYFUNCTION("if(H1635=""pays"",vlookup(REGEXEXTRACT(C1635, ""🏘️ \w+ \w+ (.*) ✅""),'Country prepositions'!A:B, 2, 0) &amp; "" "" &amp; REGEXEXTRACT(C1635, ""🏘️ \w+ \w+ (.*) ✅"") ,  if(H1635=""quartier"",vlookup(REGEXEXTRACT(C1635, ""🏘️ \w+ \w+ (.*) ✅""),'Quartier prepositio"&amp;"ns'!A:E, 5, 0) ,  if(H1635=""region"",vlookup(REGEXEXTRACT(C1635, ""🏘️ \w+ \w+ (.*) ✅""),'Region prepositions'!B:F, 5, 0),  REGEXEXTRACT(C1635, ""🏘️ \w+ \w+ (.*) ✅""))))"),"Autavaux")</f>
        <v>Autavaux</v>
      </c>
      <c r="F1635" s="2" t="str">
        <f>IFERROR(__xludf.DUMMYFUNCTION("REGEXEXTRACT(C1635, ""🏘️ (\w+) \w+ .* ✅"")"),"Louer")</f>
        <v>Louer</v>
      </c>
      <c r="G1635" s="2" t="str">
        <f>IFERROR(__xludf.DUMMYFUNCTION("REGEXEXTRACT(C1635, ""🏘️ \w+ (\w+) .* ✅"")"),"maison")</f>
        <v>maison</v>
      </c>
      <c r="H1635" s="4" t="str">
        <f>IFERROR(__xludf.DUMMYFUNCTION("REGEXEXTRACT(A1635, ""/(\w+)-.*?"")"),"lieu")</f>
        <v>lieu</v>
      </c>
      <c r="I1635" s="4" t="str">
        <f>IFERROR(__xludf.DUMMYFUNCTION("if(D1635=""variant"",  substitute(filter(Templates!E:E, Templates!A:A = F1635, Templates!B:B = G1635, Templates!C:C = H1635), ""{{}}"", E1635), B1635)"),"🏘  Vous cherchez une maison à louer à Autavaux? ✅ Découvrez nos nombreuses annonces sur ImmoScout24.ch.")</f>
        <v>🏘  Vous cherchez une maison à louer à Autavaux? ✅ Découvrez nos nombreuses annonces sur ImmoScout24.ch.</v>
      </c>
      <c r="J1635" s="4" t="s">
        <v>4906</v>
      </c>
    </row>
    <row r="1636">
      <c r="A1636" s="5" t="s">
        <v>4907</v>
      </c>
      <c r="B1636" s="2" t="s">
        <v>4908</v>
      </c>
      <c r="C1636" s="4" t="str">
        <f>IFERROR(__xludf.DUMMYFUNCTION("""🏘️ ""&amp;REGEXEXTRACT(B1636, ""^(.*): "")&amp;"" ✅ "" &amp;REGEXEXTRACT(B1636, ""(Trouvez.*)"")"),"🏘️ Vendre maison Montherod ✅ Trouvez le bien immobilier qui correspond idéalement à vos désirs sur ImmoScout24 - La plateforme de l'immobilier en Suisse.")</f>
        <v>🏘️ Vendre maison Montherod ✅ Trouvez le bien immobilier qui correspond idéalement à vos désirs sur ImmoScout24 - La plateforme de l'immobilier en Suisse.</v>
      </c>
      <c r="D1636" s="4" t="str">
        <f>vlookup(A1636, Sheet2!D:E, 2, 0)</f>
        <v>variant</v>
      </c>
      <c r="E1636" s="4" t="str">
        <f>IFERROR(__xludf.DUMMYFUNCTION("if(H1636=""pays"",vlookup(REGEXEXTRACT(C1636, ""🏘️ \w+ \w+ (.*) ✅""),'Country prepositions'!A:B, 2, 0) &amp; "" "" &amp; REGEXEXTRACT(C1636, ""🏘️ \w+ \w+ (.*) ✅"") ,  if(H1636=""quartier"",vlookup(REGEXEXTRACT(C1636, ""🏘️ \w+ \w+ (.*) ✅""),'Quartier prepositio"&amp;"ns'!A:E, 5, 0) ,  if(H1636=""region"",vlookup(REGEXEXTRACT(C1636, ""🏘️ \w+ \w+ (.*) ✅""),'Region prepositions'!B:F, 5, 0),  REGEXEXTRACT(C1636, ""🏘️ \w+ \w+ (.*) ✅""))))"),"Montherod")</f>
        <v>Montherod</v>
      </c>
      <c r="F1636" s="2" t="str">
        <f>IFERROR(__xludf.DUMMYFUNCTION("REGEXEXTRACT(C1636, ""🏘️ (\w+) \w+ .* ✅"")"),"Vendre")</f>
        <v>Vendre</v>
      </c>
      <c r="G1636" s="2" t="str">
        <f>IFERROR(__xludf.DUMMYFUNCTION("REGEXEXTRACT(C1636, ""🏘️ \w+ (\w+) .* ✅"")"),"maison")</f>
        <v>maison</v>
      </c>
      <c r="H1636" s="4" t="str">
        <f>IFERROR(__xludf.DUMMYFUNCTION("REGEXEXTRACT(A1636, ""/(\w+)-.*?"")"),"lieu")</f>
        <v>lieu</v>
      </c>
      <c r="I1636" s="4" t="str">
        <f>IFERROR(__xludf.DUMMYFUNCTION("if(D1636=""variant"",  substitute(filter(Templates!E:E, Templates!A:A = F1636, Templates!B:B = G1636, Templates!C:C = H1636), ""{{}}"", E1636), B1636)"),"🏘  Vous souhaitez acheter une maison à Montherod? ✅ Jetez un œil aux dernières offres sur ImmoScout24.ch.")</f>
        <v>🏘  Vous souhaitez acheter une maison à Montherod? ✅ Jetez un œil aux dernières offres sur ImmoScout24.ch.</v>
      </c>
      <c r="J1636" s="4" t="s">
        <v>4909</v>
      </c>
    </row>
    <row r="1637">
      <c r="A1637" s="5" t="s">
        <v>4910</v>
      </c>
      <c r="B1637" s="2" t="s">
        <v>4911</v>
      </c>
      <c r="C1637" s="4" t="str">
        <f>IFERROR(__xludf.DUMMYFUNCTION("""🏘️ ""&amp;REGEXEXTRACT(B1637, ""^(.*): "")&amp;"" ✅ "" &amp;REGEXEXTRACT(B1637, ""(Trouvez.*)"")"),"🏘️ Vendre maison La Côte-aux-Fées ✅ Trouvez le bien immobilier qui correspond idéalement à vos désirs sur ImmoScout24 - La plateforme de l'immobilier en Suisse.")</f>
        <v>🏘️ Vendre maison La Côte-aux-Fées ✅ Trouvez le bien immobilier qui correspond idéalement à vos désirs sur ImmoScout24 - La plateforme de l'immobilier en Suisse.</v>
      </c>
      <c r="D1637" s="4" t="str">
        <f>vlookup(A1637, Sheet2!D:E, 2, 0)</f>
        <v>variant</v>
      </c>
      <c r="E1637" s="4" t="str">
        <f>IFERROR(__xludf.DUMMYFUNCTION("if(H1637=""pays"",vlookup(REGEXEXTRACT(C1637, ""🏘️ \w+ \w+ (.*) ✅""),'Country prepositions'!A:B, 2, 0) &amp; "" "" &amp; REGEXEXTRACT(C1637, ""🏘️ \w+ \w+ (.*) ✅"") ,  if(H1637=""quartier"",vlookup(REGEXEXTRACT(C1637, ""🏘️ \w+ \w+ (.*) ✅""),'Quartier prepositio"&amp;"ns'!A:E, 5, 0) ,  if(H1637=""region"",vlookup(REGEXEXTRACT(C1637, ""🏘️ \w+ \w+ (.*) ✅""),'Region prepositions'!B:F, 5, 0),  REGEXEXTRACT(C1637, ""🏘️ \w+ \w+ (.*) ✅""))))"),"La Côte-aux-Fées")</f>
        <v>La Côte-aux-Fées</v>
      </c>
      <c r="F1637" s="2" t="str">
        <f>IFERROR(__xludf.DUMMYFUNCTION("REGEXEXTRACT(C1637, ""🏘️ (\w+) \w+ .* ✅"")"),"Vendre")</f>
        <v>Vendre</v>
      </c>
      <c r="G1637" s="2" t="str">
        <f>IFERROR(__xludf.DUMMYFUNCTION("REGEXEXTRACT(C1637, ""🏘️ \w+ (\w+) .* ✅"")"),"maison")</f>
        <v>maison</v>
      </c>
      <c r="H1637" s="4" t="str">
        <f>IFERROR(__xludf.DUMMYFUNCTION("REGEXEXTRACT(A1637, ""/(\w+)-.*?"")"),"lieu")</f>
        <v>lieu</v>
      </c>
      <c r="I1637" s="4" t="str">
        <f>IFERROR(__xludf.DUMMYFUNCTION("if(D1637=""variant"",  substitute(filter(Templates!E:E, Templates!A:A = F1637, Templates!B:B = G1637, Templates!C:C = H1637), ""{{}}"", E1637), B1637)"),"🏘  Vous souhaitez acheter une maison à La Côte-aux-Fées? ✅ Jetez un œil aux dernières offres sur ImmoScout24.ch.")</f>
        <v>🏘  Vous souhaitez acheter une maison à La Côte-aux-Fées? ✅ Jetez un œil aux dernières offres sur ImmoScout24.ch.</v>
      </c>
      <c r="J1637" s="4" t="s">
        <v>4912</v>
      </c>
    </row>
    <row r="1638">
      <c r="A1638" s="5" t="s">
        <v>4913</v>
      </c>
      <c r="B1638" s="2" t="s">
        <v>4914</v>
      </c>
      <c r="C1638" s="4" t="str">
        <f>IFERROR(__xludf.DUMMYFUNCTION("""🏘️ ""&amp;REGEXEXTRACT(B1638, ""^(.*): "")&amp;"" ✅ "" &amp;REGEXEXTRACT(B1638, ""(Trouvez.*)"")"),"🏘️ Louer appartement Herisau ✅ Trouvez le bien immobilier qui correspond idéalement à vos désirs sur ImmoScout24 - La plateforme de l'immobilier en Suisse.")</f>
        <v>🏘️ Louer appartement Herisau ✅ Trouvez le bien immobilier qui correspond idéalement à vos désirs sur ImmoScout24 - La plateforme de l'immobilier en Suisse.</v>
      </c>
      <c r="D1638" s="4" t="str">
        <f>vlookup(A1638, Sheet2!D:E, 2, 0)</f>
        <v>variant</v>
      </c>
      <c r="E1638" s="4" t="str">
        <f>IFERROR(__xludf.DUMMYFUNCTION("if(H1638=""pays"",vlookup(REGEXEXTRACT(C1638, ""🏘️ \w+ \w+ (.*) ✅""),'Country prepositions'!A:B, 2, 0) &amp; "" "" &amp; REGEXEXTRACT(C1638, ""🏘️ \w+ \w+ (.*) ✅"") ,  if(H1638=""quartier"",vlookup(REGEXEXTRACT(C1638, ""🏘️ \w+ \w+ (.*) ✅""),'Quartier prepositio"&amp;"ns'!A:E, 5, 0) ,  if(H1638=""region"",vlookup(REGEXEXTRACT(C1638, ""🏘️ \w+ \w+ (.*) ✅""),'Region prepositions'!B:F, 5, 0),  REGEXEXTRACT(C1638, ""🏘️ \w+ \w+ (.*) ✅""))))"),"Herisau")</f>
        <v>Herisau</v>
      </c>
      <c r="F1638" s="2" t="str">
        <f>IFERROR(__xludf.DUMMYFUNCTION("REGEXEXTRACT(C1638, ""🏘️ (\w+) \w+ .* ✅"")"),"Louer")</f>
        <v>Louer</v>
      </c>
      <c r="G1638" s="2" t="str">
        <f>IFERROR(__xludf.DUMMYFUNCTION("REGEXEXTRACT(C1638, ""🏘️ \w+ (\w+) .* ✅"")"),"appartement")</f>
        <v>appartement</v>
      </c>
      <c r="H1638" s="4" t="str">
        <f>IFERROR(__xludf.DUMMYFUNCTION("REGEXEXTRACT(A1638, ""/(\w+)-.*?"")"),"lieu")</f>
        <v>lieu</v>
      </c>
      <c r="I1638" s="4" t="str">
        <f>IFERROR(__xludf.DUMMYFUNCTION("if(D1638=""variant"",  substitute(filter(Templates!E:E, Templates!A:A = F1638, Templates!B:B = G1638, Templates!C:C = H1638), ""{{}}"", E1638), B1638)"),"🏘  Vous cherchez un appartement à louer à Herisau? ✅ Les annonces les plus actuelles sont sur ImmoScout24.ch.")</f>
        <v>🏘  Vous cherchez un appartement à louer à Herisau? ✅ Les annonces les plus actuelles sont sur ImmoScout24.ch.</v>
      </c>
      <c r="J1638" s="4" t="s">
        <v>4915</v>
      </c>
    </row>
    <row r="1639">
      <c r="A1639" s="5" t="s">
        <v>4916</v>
      </c>
      <c r="B1639" s="2" t="s">
        <v>4917</v>
      </c>
      <c r="C1639" s="4" t="str">
        <f>IFERROR(__xludf.DUMMYFUNCTION("""🏘️ ""&amp;REGEXEXTRACT(B1639, ""^(.*): "")&amp;"" ✅ "" &amp;REGEXEXTRACT(B1639, ""(Trouvez.*)"")"),"🏘️ Louer appartement Les Haudères ✅ Trouvez le bien immobilier qui correspond idéalement à vos désirs sur ImmoScout24 - La plateforme de l'immobilier en Suisse.")</f>
        <v>🏘️ Louer appartement Les Haudères ✅ Trouvez le bien immobilier qui correspond idéalement à vos désirs sur ImmoScout24 - La plateforme de l'immobilier en Suisse.</v>
      </c>
      <c r="D1639" s="4" t="str">
        <f>vlookup(A1639, Sheet2!D:E, 2, 0)</f>
        <v>variant</v>
      </c>
      <c r="E1639" s="4" t="str">
        <f>IFERROR(__xludf.DUMMYFUNCTION("if(H1639=""pays"",vlookup(REGEXEXTRACT(C1639, ""🏘️ \w+ \w+ (.*) ✅""),'Country prepositions'!A:B, 2, 0) &amp; "" "" &amp; REGEXEXTRACT(C1639, ""🏘️ \w+ \w+ (.*) ✅"") ,  if(H1639=""quartier"",vlookup(REGEXEXTRACT(C1639, ""🏘️ \w+ \w+ (.*) ✅""),'Quartier prepositio"&amp;"ns'!A:E, 5, 0) ,  if(H1639=""region"",vlookup(REGEXEXTRACT(C1639, ""🏘️ \w+ \w+ (.*) ✅""),'Region prepositions'!B:F, 5, 0),  REGEXEXTRACT(C1639, ""🏘️ \w+ \w+ (.*) ✅""))))"),"Les Haudères")</f>
        <v>Les Haudères</v>
      </c>
      <c r="F1639" s="2" t="str">
        <f>IFERROR(__xludf.DUMMYFUNCTION("REGEXEXTRACT(C1639, ""🏘️ (\w+) \w+ .* ✅"")"),"Louer")</f>
        <v>Louer</v>
      </c>
      <c r="G1639" s="2" t="str">
        <f>IFERROR(__xludf.DUMMYFUNCTION("REGEXEXTRACT(C1639, ""🏘️ \w+ (\w+) .* ✅"")"),"appartement")</f>
        <v>appartement</v>
      </c>
      <c r="H1639" s="4" t="str">
        <f>IFERROR(__xludf.DUMMYFUNCTION("REGEXEXTRACT(A1639, ""/(\w+)-.*?"")"),"lieu")</f>
        <v>lieu</v>
      </c>
      <c r="I1639" s="4" t="str">
        <f>IFERROR(__xludf.DUMMYFUNCTION("if(D1639=""variant"",  substitute(filter(Templates!E:E, Templates!A:A = F1639, Templates!B:B = G1639, Templates!C:C = H1639), ""{{}}"", E1639), B1639)"),"🏘  Vous cherchez un appartement à louer à Les Haudères? ✅ Les annonces les plus actuelles sont sur ImmoScout24.ch.")</f>
        <v>🏘  Vous cherchez un appartement à louer à Les Haudères? ✅ Les annonces les plus actuelles sont sur ImmoScout24.ch.</v>
      </c>
      <c r="J1639" s="2" t="s">
        <v>4918</v>
      </c>
    </row>
    <row r="1640">
      <c r="A1640" s="5" t="s">
        <v>4919</v>
      </c>
      <c r="B1640" s="2" t="s">
        <v>4920</v>
      </c>
      <c r="C1640" s="4" t="str">
        <f>IFERROR(__xludf.DUMMYFUNCTION("""🏘️ ""&amp;REGEXEXTRACT(B1640, ""^(.*): "")&amp;"" ✅ "" &amp;REGEXEXTRACT(B1640, ""(Trouvez.*)"")"),"🏘️ Louer appartement La Vraconnaz ✅ Trouvez le bien immobilier qui correspond idéalement à vos désirs sur ImmoScout24 - La plateforme de l'immobilier en Suisse.")</f>
        <v>🏘️ Louer appartement La Vraconnaz ✅ Trouvez le bien immobilier qui correspond idéalement à vos désirs sur ImmoScout24 - La plateforme de l'immobilier en Suisse.</v>
      </c>
      <c r="D1640" s="4" t="str">
        <f>vlookup(A1640, Sheet2!D:E, 2, 0)</f>
        <v>variant</v>
      </c>
      <c r="E1640" s="4" t="str">
        <f>IFERROR(__xludf.DUMMYFUNCTION("if(H1640=""pays"",vlookup(REGEXEXTRACT(C1640, ""🏘️ \w+ \w+ (.*) ✅""),'Country prepositions'!A:B, 2, 0) &amp; "" "" &amp; REGEXEXTRACT(C1640, ""🏘️ \w+ \w+ (.*) ✅"") ,  if(H1640=""quartier"",vlookup(REGEXEXTRACT(C1640, ""🏘️ \w+ \w+ (.*) ✅""),'Quartier prepositio"&amp;"ns'!A:E, 5, 0) ,  if(H1640=""region"",vlookup(REGEXEXTRACT(C1640, ""🏘️ \w+ \w+ (.*) ✅""),'Region prepositions'!B:F, 5, 0),  REGEXEXTRACT(C1640, ""🏘️ \w+ \w+ (.*) ✅""))))"),"La Vraconnaz")</f>
        <v>La Vraconnaz</v>
      </c>
      <c r="F1640" s="2" t="str">
        <f>IFERROR(__xludf.DUMMYFUNCTION("REGEXEXTRACT(C1640, ""🏘️ (\w+) \w+ .* ✅"")"),"Louer")</f>
        <v>Louer</v>
      </c>
      <c r="G1640" s="2" t="str">
        <f>IFERROR(__xludf.DUMMYFUNCTION("REGEXEXTRACT(C1640, ""🏘️ \w+ (\w+) .* ✅"")"),"appartement")</f>
        <v>appartement</v>
      </c>
      <c r="H1640" s="4" t="str">
        <f>IFERROR(__xludf.DUMMYFUNCTION("REGEXEXTRACT(A1640, ""/(\w+)-.*?"")"),"lieu")</f>
        <v>lieu</v>
      </c>
      <c r="I1640" s="4" t="str">
        <f>IFERROR(__xludf.DUMMYFUNCTION("if(D1640=""variant"",  substitute(filter(Templates!E:E, Templates!A:A = F1640, Templates!B:B = G1640, Templates!C:C = H1640), ""{{}}"", E1640), B1640)"),"🏘  Vous cherchez un appartement à louer à La Vraconnaz? ✅ Les annonces les plus actuelles sont sur ImmoScout24.ch.")</f>
        <v>🏘  Vous cherchez un appartement à louer à La Vraconnaz? ✅ Les annonces les plus actuelles sont sur ImmoScout24.ch.</v>
      </c>
      <c r="J1640" s="4" t="s">
        <v>4921</v>
      </c>
    </row>
    <row r="1641">
      <c r="A1641" s="5" t="s">
        <v>4922</v>
      </c>
      <c r="B1641" s="2" t="s">
        <v>4923</v>
      </c>
      <c r="C1641" s="4" t="str">
        <f>IFERROR(__xludf.DUMMYFUNCTION("""🏘️ ""&amp;REGEXEXTRACT(B1641, ""^(.*): "")&amp;"" ✅ "" &amp;REGEXEXTRACT(B1641, ""(Trouvez.*)"")"),"🏘️ Louer appartement Le Sentier ✅ Trouvez le bien immobilier qui correspond idéalement à vos désirs sur ImmoScout24 - La plateforme de l'immobilier en Suisse.")</f>
        <v>🏘️ Louer appartement Le Sentier ✅ Trouvez le bien immobilier qui correspond idéalement à vos désirs sur ImmoScout24 - La plateforme de l'immobilier en Suisse.</v>
      </c>
      <c r="D1641" s="4" t="str">
        <f>vlookup(A1641, Sheet2!D:E, 2, 0)</f>
        <v>variant</v>
      </c>
      <c r="E1641" s="4" t="str">
        <f>IFERROR(__xludf.DUMMYFUNCTION("if(H1641=""pays"",vlookup(REGEXEXTRACT(C1641, ""🏘️ \w+ \w+ (.*) ✅""),'Country prepositions'!A:B, 2, 0) &amp; "" "" &amp; REGEXEXTRACT(C1641, ""🏘️ \w+ \w+ (.*) ✅"") ,  if(H1641=""quartier"",vlookup(REGEXEXTRACT(C1641, ""🏘️ \w+ \w+ (.*) ✅""),'Quartier prepositio"&amp;"ns'!A:E, 5, 0) ,  if(H1641=""region"",vlookup(REGEXEXTRACT(C1641, ""🏘️ \w+ \w+ (.*) ✅""),'Region prepositions'!B:F, 5, 0),  REGEXEXTRACT(C1641, ""🏘️ \w+ \w+ (.*) ✅""))))"),"Le Sentier")</f>
        <v>Le Sentier</v>
      </c>
      <c r="F1641" s="2" t="str">
        <f>IFERROR(__xludf.DUMMYFUNCTION("REGEXEXTRACT(C1641, ""🏘️ (\w+) \w+ .* ✅"")"),"Louer")</f>
        <v>Louer</v>
      </c>
      <c r="G1641" s="2" t="str">
        <f>IFERROR(__xludf.DUMMYFUNCTION("REGEXEXTRACT(C1641, ""🏘️ \w+ (\w+) .* ✅"")"),"appartement")</f>
        <v>appartement</v>
      </c>
      <c r="H1641" s="4" t="str">
        <f>IFERROR(__xludf.DUMMYFUNCTION("REGEXEXTRACT(A1641, ""/(\w+)-.*?"")"),"lieu")</f>
        <v>lieu</v>
      </c>
      <c r="I1641" s="4" t="str">
        <f>IFERROR(__xludf.DUMMYFUNCTION("if(D1641=""variant"",  substitute(filter(Templates!E:E, Templates!A:A = F1641, Templates!B:B = G1641, Templates!C:C = H1641), ""{{}}"", E1641), B1641)"),"🏘  Vous cherchez un appartement à louer à Le Sentier? ✅ Les annonces les plus actuelles sont sur ImmoScout24.ch.")</f>
        <v>🏘  Vous cherchez un appartement à louer à Le Sentier? ✅ Les annonces les plus actuelles sont sur ImmoScout24.ch.</v>
      </c>
      <c r="J1641" s="2" t="s">
        <v>4924</v>
      </c>
    </row>
    <row r="1642">
      <c r="A1642" s="5" t="s">
        <v>4925</v>
      </c>
      <c r="B1642" s="2" t="s">
        <v>4926</v>
      </c>
      <c r="C1642" s="4" t="str">
        <f>IFERROR(__xludf.DUMMYFUNCTION("""🏘️ ""&amp;REGEXEXTRACT(B1642, ""^(.*): "")&amp;"" ✅ "" &amp;REGEXEXTRACT(B1642, ""(Trouvez.*)"")"),"🏘️ Louer appartement Champlan (Grimisuat) ✅ Trouvez le bien immobilier qui correspond idéalement à vos désirs sur ImmoScout24 - La plateforme de l'immobilier en Suisse.")</f>
        <v>🏘️ Louer appartement Champlan (Grimisuat) ✅ Trouvez le bien immobilier qui correspond idéalement à vos désirs sur ImmoScout24 - La plateforme de l'immobilier en Suisse.</v>
      </c>
      <c r="D1642" s="4" t="str">
        <f>vlookup(A1642, Sheet2!D:E, 2, 0)</f>
        <v>variant</v>
      </c>
      <c r="E1642" s="4" t="str">
        <f>IFERROR(__xludf.DUMMYFUNCTION("if(H1642=""pays"",vlookup(REGEXEXTRACT(C1642, ""🏘️ \w+ \w+ (.*) ✅""),'Country prepositions'!A:B, 2, 0) &amp; "" "" &amp; REGEXEXTRACT(C1642, ""🏘️ \w+ \w+ (.*) ✅"") ,  if(H1642=""quartier"",vlookup(REGEXEXTRACT(C1642, ""🏘️ \w+ \w+ (.*) ✅""),'Quartier prepositio"&amp;"ns'!A:E, 5, 0) ,  if(H1642=""region"",vlookup(REGEXEXTRACT(C1642, ""🏘️ \w+ \w+ (.*) ✅""),'Region prepositions'!B:F, 5, 0),  REGEXEXTRACT(C1642, ""🏘️ \w+ \w+ (.*) ✅""))))"),"Champlan (Grimisuat)")</f>
        <v>Champlan (Grimisuat)</v>
      </c>
      <c r="F1642" s="2" t="str">
        <f>IFERROR(__xludf.DUMMYFUNCTION("REGEXEXTRACT(C1642, ""🏘️ (\w+) \w+ .* ✅"")"),"Louer")</f>
        <v>Louer</v>
      </c>
      <c r="G1642" s="2" t="str">
        <f>IFERROR(__xludf.DUMMYFUNCTION("REGEXEXTRACT(C1642, ""🏘️ \w+ (\w+) .* ✅"")"),"appartement")</f>
        <v>appartement</v>
      </c>
      <c r="H1642" s="4" t="str">
        <f>IFERROR(__xludf.DUMMYFUNCTION("REGEXEXTRACT(A1642, ""/(\w+)-.*?"")"),"lieu")</f>
        <v>lieu</v>
      </c>
      <c r="I1642" s="4" t="str">
        <f>IFERROR(__xludf.DUMMYFUNCTION("if(D1642=""variant"",  substitute(filter(Templates!E:E, Templates!A:A = F1642, Templates!B:B = G1642, Templates!C:C = H1642), ""{{}}"", E1642), B1642)"),"🏘  Vous cherchez un appartement à louer à Champlan (Grimisuat)? ✅ Les annonces les plus actuelles sont sur ImmoScout24.ch.")</f>
        <v>🏘  Vous cherchez un appartement à louer à Champlan (Grimisuat)? ✅ Les annonces les plus actuelles sont sur ImmoScout24.ch.</v>
      </c>
      <c r="J1642" s="4" t="s">
        <v>4927</v>
      </c>
    </row>
    <row r="1643">
      <c r="A1643" s="5" t="s">
        <v>4928</v>
      </c>
      <c r="B1643" s="2" t="s">
        <v>4929</v>
      </c>
      <c r="C1643" s="4" t="str">
        <f>IFERROR(__xludf.DUMMYFUNCTION("""🏘️ ""&amp;REGEXEXTRACT(B1643, ""^(.*): "")&amp;"" ✅ "" &amp;REGEXEXTRACT(B1643, ""(Trouvez.*)"")"),"🏘️ Louer appartement Veyras ✅ Trouvez le bien immobilier qui correspond idéalement à vos désirs sur ImmoScout24 - La plateforme de l'immobilier en Suisse.")</f>
        <v>🏘️ Louer appartement Veyras ✅ Trouvez le bien immobilier qui correspond idéalement à vos désirs sur ImmoScout24 - La plateforme de l'immobilier en Suisse.</v>
      </c>
      <c r="D1643" s="4" t="str">
        <f>vlookup(A1643, Sheet2!D:E, 2, 0)</f>
        <v>variant</v>
      </c>
      <c r="E1643" s="4" t="str">
        <f>IFERROR(__xludf.DUMMYFUNCTION("if(H1643=""pays"",vlookup(REGEXEXTRACT(C1643, ""🏘️ \w+ \w+ (.*) ✅""),'Country prepositions'!A:B, 2, 0) &amp; "" "" &amp; REGEXEXTRACT(C1643, ""🏘️ \w+ \w+ (.*) ✅"") ,  if(H1643=""quartier"",vlookup(REGEXEXTRACT(C1643, ""🏘️ \w+ \w+ (.*) ✅""),'Quartier prepositio"&amp;"ns'!A:E, 5, 0) ,  if(H1643=""region"",vlookup(REGEXEXTRACT(C1643, ""🏘️ \w+ \w+ (.*) ✅""),'Region prepositions'!B:F, 5, 0),  REGEXEXTRACT(C1643, ""🏘️ \w+ \w+ (.*) ✅""))))"),"Veyras")</f>
        <v>Veyras</v>
      </c>
      <c r="F1643" s="2" t="str">
        <f>IFERROR(__xludf.DUMMYFUNCTION("REGEXEXTRACT(C1643, ""🏘️ (\w+) \w+ .* ✅"")"),"Louer")</f>
        <v>Louer</v>
      </c>
      <c r="G1643" s="2" t="str">
        <f>IFERROR(__xludf.DUMMYFUNCTION("REGEXEXTRACT(C1643, ""🏘️ \w+ (\w+) .* ✅"")"),"appartement")</f>
        <v>appartement</v>
      </c>
      <c r="H1643" s="4" t="str">
        <f>IFERROR(__xludf.DUMMYFUNCTION("REGEXEXTRACT(A1643, ""/(\w+)-.*?"")"),"lieu")</f>
        <v>lieu</v>
      </c>
      <c r="I1643" s="4" t="str">
        <f>IFERROR(__xludf.DUMMYFUNCTION("if(D1643=""variant"",  substitute(filter(Templates!E:E, Templates!A:A = F1643, Templates!B:B = G1643, Templates!C:C = H1643), ""{{}}"", E1643), B1643)"),"🏘  Vous cherchez un appartement à louer à Veyras? ✅ Les annonces les plus actuelles sont sur ImmoScout24.ch.")</f>
        <v>🏘  Vous cherchez un appartement à louer à Veyras? ✅ Les annonces les plus actuelles sont sur ImmoScout24.ch.</v>
      </c>
      <c r="J1643" s="4" t="s">
        <v>4930</v>
      </c>
    </row>
    <row r="1644">
      <c r="A1644" s="5" t="s">
        <v>4931</v>
      </c>
      <c r="B1644" s="2" t="s">
        <v>4932</v>
      </c>
      <c r="C1644" s="4" t="str">
        <f>IFERROR(__xludf.DUMMYFUNCTION("""🏘️ ""&amp;REGEXEXTRACT(B1644, ""^(.*): "")&amp;"" ✅ "" &amp;REGEXEXTRACT(B1644, ""(Trouvez.*)"")"),"🏘️ Vendre maison Beatenberg ✅ Trouvez le bien immobilier qui correspond idéalement à vos désirs sur ImmoScout24 - La plateforme de l'immobilier en Suisse.")</f>
        <v>🏘️ Vendre maison Beatenberg ✅ Trouvez le bien immobilier qui correspond idéalement à vos désirs sur ImmoScout24 - La plateforme de l'immobilier en Suisse.</v>
      </c>
      <c r="D1644" s="4" t="str">
        <f>vlookup(A1644, Sheet2!D:E, 2, 0)</f>
        <v>variant</v>
      </c>
      <c r="E1644" s="4" t="str">
        <f>IFERROR(__xludf.DUMMYFUNCTION("if(H1644=""pays"",vlookup(REGEXEXTRACT(C1644, ""🏘️ \w+ \w+ (.*) ✅""),'Country prepositions'!A:B, 2, 0) &amp; "" "" &amp; REGEXEXTRACT(C1644, ""🏘️ \w+ \w+ (.*) ✅"") ,  if(H1644=""quartier"",vlookup(REGEXEXTRACT(C1644, ""🏘️ \w+ \w+ (.*) ✅""),'Quartier prepositio"&amp;"ns'!A:E, 5, 0) ,  if(H1644=""region"",vlookup(REGEXEXTRACT(C1644, ""🏘️ \w+ \w+ (.*) ✅""),'Region prepositions'!B:F, 5, 0),  REGEXEXTRACT(C1644, ""🏘️ \w+ \w+ (.*) ✅""))))"),"Beatenberg")</f>
        <v>Beatenberg</v>
      </c>
      <c r="F1644" s="2" t="str">
        <f>IFERROR(__xludf.DUMMYFUNCTION("REGEXEXTRACT(C1644, ""🏘️ (\w+) \w+ .* ✅"")"),"Vendre")</f>
        <v>Vendre</v>
      </c>
      <c r="G1644" s="2" t="str">
        <f>IFERROR(__xludf.DUMMYFUNCTION("REGEXEXTRACT(C1644, ""🏘️ \w+ (\w+) .* ✅"")"),"maison")</f>
        <v>maison</v>
      </c>
      <c r="H1644" s="4" t="str">
        <f>IFERROR(__xludf.DUMMYFUNCTION("REGEXEXTRACT(A1644, ""/(\w+)-.*?"")"),"lieu")</f>
        <v>lieu</v>
      </c>
      <c r="I1644" s="4" t="str">
        <f>IFERROR(__xludf.DUMMYFUNCTION("if(D1644=""variant"",  substitute(filter(Templates!E:E, Templates!A:A = F1644, Templates!B:B = G1644, Templates!C:C = H1644), ""{{}}"", E1644), B1644)"),"🏘  Vous souhaitez acheter une maison à Beatenberg? ✅ Jetez un œil aux dernières offres sur ImmoScout24.ch.")</f>
        <v>🏘  Vous souhaitez acheter une maison à Beatenberg? ✅ Jetez un œil aux dernières offres sur ImmoScout24.ch.</v>
      </c>
      <c r="J1644" s="4" t="s">
        <v>4933</v>
      </c>
    </row>
    <row r="1645">
      <c r="A1645" s="5" t="s">
        <v>4934</v>
      </c>
      <c r="B1645" s="2" t="s">
        <v>4935</v>
      </c>
      <c r="C1645" s="4" t="str">
        <f>IFERROR(__xludf.DUMMYFUNCTION("""🏘️ ""&amp;REGEXEXTRACT(B1645, ""^(.*): "")&amp;"" ✅ "" &amp;REGEXEXTRACT(B1645, ""(Trouvez.*)"")"),"🏘️ Louer appartement Liez (St-Martin) ✅ Trouvez le bien immobilier qui correspond idéalement à vos désirs sur ImmoScout24 - La plateforme de l'immobilier en Suisse.")</f>
        <v>🏘️ Louer appartement Liez (St-Martin) ✅ Trouvez le bien immobilier qui correspond idéalement à vos désirs sur ImmoScout24 - La plateforme de l'immobilier en Suisse.</v>
      </c>
      <c r="D1645" s="4" t="str">
        <f>vlookup(A1645, Sheet2!D:E, 2, 0)</f>
        <v>variant</v>
      </c>
      <c r="E1645" s="4" t="str">
        <f>IFERROR(__xludf.DUMMYFUNCTION("if(H1645=""pays"",vlookup(REGEXEXTRACT(C1645, ""🏘️ \w+ \w+ (.*) ✅""),'Country prepositions'!A:B, 2, 0) &amp; "" "" &amp; REGEXEXTRACT(C1645, ""🏘️ \w+ \w+ (.*) ✅"") ,  if(H1645=""quartier"",vlookup(REGEXEXTRACT(C1645, ""🏘️ \w+ \w+ (.*) ✅""),'Quartier prepositio"&amp;"ns'!A:E, 5, 0) ,  if(H1645=""region"",vlookup(REGEXEXTRACT(C1645, ""🏘️ \w+ \w+ (.*) ✅""),'Region prepositions'!B:F, 5, 0),  REGEXEXTRACT(C1645, ""🏘️ \w+ \w+ (.*) ✅""))))"),"Liez (St-Martin)")</f>
        <v>Liez (St-Martin)</v>
      </c>
      <c r="F1645" s="2" t="str">
        <f>IFERROR(__xludf.DUMMYFUNCTION("REGEXEXTRACT(C1645, ""🏘️ (\w+) \w+ .* ✅"")"),"Louer")</f>
        <v>Louer</v>
      </c>
      <c r="G1645" s="2" t="str">
        <f>IFERROR(__xludf.DUMMYFUNCTION("REGEXEXTRACT(C1645, ""🏘️ \w+ (\w+) .* ✅"")"),"appartement")</f>
        <v>appartement</v>
      </c>
      <c r="H1645" s="4" t="str">
        <f>IFERROR(__xludf.DUMMYFUNCTION("REGEXEXTRACT(A1645, ""/(\w+)-.*?"")"),"lieu")</f>
        <v>lieu</v>
      </c>
      <c r="I1645" s="4" t="str">
        <f>IFERROR(__xludf.DUMMYFUNCTION("if(D1645=""variant"",  substitute(filter(Templates!E:E, Templates!A:A = F1645, Templates!B:B = G1645, Templates!C:C = H1645), ""{{}}"", E1645), B1645)"),"🏘  Vous cherchez un appartement à louer à Liez (St-Martin)? ✅ Les annonces les plus actuelles sont sur ImmoScout24.ch.")</f>
        <v>🏘  Vous cherchez un appartement à louer à Liez (St-Martin)? ✅ Les annonces les plus actuelles sont sur ImmoScout24.ch.</v>
      </c>
      <c r="J1645" s="4" t="s">
        <v>4936</v>
      </c>
    </row>
    <row r="1646">
      <c r="A1646" s="5" t="s">
        <v>4937</v>
      </c>
      <c r="B1646" s="2" t="s">
        <v>4938</v>
      </c>
      <c r="C1646" s="4" t="str">
        <f>IFERROR(__xludf.DUMMYFUNCTION("""🏘️ ""&amp;REGEXEXTRACT(B1646, ""^(.*): "")&amp;"" ✅ "" &amp;REGEXEXTRACT(B1646, ""(Trouvez.*)"")"),"🏘️ Louer appartement Villeneuve FR ✅ Trouvez le bien immobilier qui correspond idéalement à vos désirs sur ImmoScout24 - La plateforme de l'immobilier en Suisse.")</f>
        <v>🏘️ Louer appartement Villeneuve FR ✅ Trouvez le bien immobilier qui correspond idéalement à vos désirs sur ImmoScout24 - La plateforme de l'immobilier en Suisse.</v>
      </c>
      <c r="D1646" s="4" t="str">
        <f>vlookup(A1646, Sheet2!D:E, 2, 0)</f>
        <v>variant</v>
      </c>
      <c r="E1646" s="4" t="str">
        <f>IFERROR(__xludf.DUMMYFUNCTION("if(H1646=""pays"",vlookup(REGEXEXTRACT(C1646, ""🏘️ \w+ \w+ (.*) ✅""),'Country prepositions'!A:B, 2, 0) &amp; "" "" &amp; REGEXEXTRACT(C1646, ""🏘️ \w+ \w+ (.*) ✅"") ,  if(H1646=""quartier"",vlookup(REGEXEXTRACT(C1646, ""🏘️ \w+ \w+ (.*) ✅""),'Quartier prepositio"&amp;"ns'!A:E, 5, 0) ,  if(H1646=""region"",vlookup(REGEXEXTRACT(C1646, ""🏘️ \w+ \w+ (.*) ✅""),'Region prepositions'!B:F, 5, 0),  REGEXEXTRACT(C1646, ""🏘️ \w+ \w+ (.*) ✅""))))"),"Villeneuve FR")</f>
        <v>Villeneuve FR</v>
      </c>
      <c r="F1646" s="2" t="str">
        <f>IFERROR(__xludf.DUMMYFUNCTION("REGEXEXTRACT(C1646, ""🏘️ (\w+) \w+ .* ✅"")"),"Louer")</f>
        <v>Louer</v>
      </c>
      <c r="G1646" s="2" t="str">
        <f>IFERROR(__xludf.DUMMYFUNCTION("REGEXEXTRACT(C1646, ""🏘️ \w+ (\w+) .* ✅"")"),"appartement")</f>
        <v>appartement</v>
      </c>
      <c r="H1646" s="4" t="str">
        <f>IFERROR(__xludf.DUMMYFUNCTION("REGEXEXTRACT(A1646, ""/(\w+)-.*?"")"),"lieu")</f>
        <v>lieu</v>
      </c>
      <c r="I1646" s="4" t="str">
        <f>IFERROR(__xludf.DUMMYFUNCTION("if(D1646=""variant"",  substitute(filter(Templates!E:E, Templates!A:A = F1646, Templates!B:B = G1646, Templates!C:C = H1646), ""{{}}"", E1646), B1646)"),"🏘  Vous cherchez un appartement à louer à Villeneuve FR? ✅ Les annonces les plus actuelles sont sur ImmoScout24.ch.")</f>
        <v>🏘  Vous cherchez un appartement à louer à Villeneuve FR? ✅ Les annonces les plus actuelles sont sur ImmoScout24.ch.</v>
      </c>
      <c r="J1646" s="4" t="s">
        <v>4939</v>
      </c>
    </row>
    <row r="1647">
      <c r="A1647" s="5" t="s">
        <v>4940</v>
      </c>
      <c r="B1647" s="2" t="s">
        <v>4941</v>
      </c>
      <c r="C1647" s="4" t="str">
        <f>IFERROR(__xludf.DUMMYFUNCTION("""🏘️ ""&amp;REGEXEXTRACT(B1647, ""^(.*): "")&amp;"" ✅ "" &amp;REGEXEXTRACT(B1647, ""(Trouvez.*)"")"),"🏘️ Vendre appartement Albanie ✅ Trouvez le bien immobilier qui correspond idéalement à vos désirs sur ImmoScout24 - La plateforme de l'immobilier en Suisse.")</f>
        <v>🏘️ Vendre appartement Albanie ✅ Trouvez le bien immobilier qui correspond idéalement à vos désirs sur ImmoScout24 - La plateforme de l'immobilier en Suisse.</v>
      </c>
      <c r="D1647" s="4" t="str">
        <f>vlookup(A1647, Sheet2!D:E, 2, 0)</f>
        <v>variant</v>
      </c>
      <c r="E1647" s="4" t="str">
        <f>IFERROR(__xludf.DUMMYFUNCTION("if(H1647=""pays"",vlookup(REGEXEXTRACT(C1647, ""🏘️ \w+ \w+ (.*) ✅""),'Country prepositions'!A:B, 2, 0) &amp; "" "" &amp; REGEXEXTRACT(C1647, ""🏘️ \w+ \w+ (.*) ✅"") ,  if(H1647=""quartier"",vlookup(REGEXEXTRACT(C1647, ""🏘️ \w+ \w+ (.*) ✅""),'Quartier prepositio"&amp;"ns'!A:E, 5, 0) ,  if(H1647=""region"",vlookup(REGEXEXTRACT(C1647, ""🏘️ \w+ \w+ (.*) ✅""),'Region prepositions'!B:F, 5, 0),  REGEXEXTRACT(C1647, ""🏘️ \w+ \w+ (.*) ✅""))))"),"en Albanie")</f>
        <v>en Albanie</v>
      </c>
      <c r="F1647" s="2" t="str">
        <f>IFERROR(__xludf.DUMMYFUNCTION("REGEXEXTRACT(C1647, ""🏘️ (\w+) \w+ .* ✅"")"),"Vendre")</f>
        <v>Vendre</v>
      </c>
      <c r="G1647" s="2" t="str">
        <f>IFERROR(__xludf.DUMMYFUNCTION("REGEXEXTRACT(C1647, ""🏘️ \w+ (\w+) .* ✅"")"),"appartement")</f>
        <v>appartement</v>
      </c>
      <c r="H1647" s="4" t="str">
        <f>IFERROR(__xludf.DUMMYFUNCTION("REGEXEXTRACT(A1647, ""/(\w+)-.*?"")"),"pays")</f>
        <v>pays</v>
      </c>
      <c r="I1647" s="4" t="str">
        <f>IFERROR(__xludf.DUMMYFUNCTION("if(D1647=""variant"",  substitute(filter(Templates!E:E, Templates!A:A = F1647, Templates!B:B = G1647, Templates!C:C = H1647), ""{{}}"", E1647), B1647)"),"🏘  Vous cherchez un appartement à louer en Albanie? ✅ Les annonces les plus actuelles sont sur ImmoScout24.ch.")</f>
        <v>🏘  Vous cherchez un appartement à louer en Albanie? ✅ Les annonces les plus actuelles sont sur ImmoScout24.ch.</v>
      </c>
      <c r="J1647" s="4" t="s">
        <v>4942</v>
      </c>
    </row>
    <row r="1648">
      <c r="A1648" s="5" t="s">
        <v>4943</v>
      </c>
      <c r="B1648" s="2" t="s">
        <v>4944</v>
      </c>
      <c r="C1648" s="4" t="str">
        <f>IFERROR(__xludf.DUMMYFUNCTION("""🏘️ ""&amp;REGEXEXTRACT(B1648, ""^(.*): "")&amp;"" ✅ "" &amp;REGEXEXTRACT(B1648, ""(Trouvez.*)"")"),"🏘️ Louer maison Gryon ✅ Trouvez le bien immobilier qui correspond idéalement à vos désirs sur ImmoScout24 - La plateforme de l'immobilier en Suisse.")</f>
        <v>🏘️ Louer maison Gryon ✅ Trouvez le bien immobilier qui correspond idéalement à vos désirs sur ImmoScout24 - La plateforme de l'immobilier en Suisse.</v>
      </c>
      <c r="D1648" s="4" t="str">
        <f>vlookup(A1648, Sheet2!D:E, 2, 0)</f>
        <v>variant</v>
      </c>
      <c r="E1648" s="4" t="str">
        <f>IFERROR(__xludf.DUMMYFUNCTION("if(H1648=""pays"",vlookup(REGEXEXTRACT(C1648, ""🏘️ \w+ \w+ (.*) ✅""),'Country prepositions'!A:B, 2, 0) &amp; "" "" &amp; REGEXEXTRACT(C1648, ""🏘️ \w+ \w+ (.*) ✅"") ,  if(H1648=""quartier"",vlookup(REGEXEXTRACT(C1648, ""🏘️ \w+ \w+ (.*) ✅""),'Quartier prepositio"&amp;"ns'!A:E, 5, 0) ,  if(H1648=""region"",vlookup(REGEXEXTRACT(C1648, ""🏘️ \w+ \w+ (.*) ✅""),'Region prepositions'!B:F, 5, 0),  REGEXEXTRACT(C1648, ""🏘️ \w+ \w+ (.*) ✅""))))"),"Gryon")</f>
        <v>Gryon</v>
      </c>
      <c r="F1648" s="2" t="str">
        <f>IFERROR(__xludf.DUMMYFUNCTION("REGEXEXTRACT(C1648, ""🏘️ (\w+) \w+ .* ✅"")"),"Louer")</f>
        <v>Louer</v>
      </c>
      <c r="G1648" s="2" t="str">
        <f>IFERROR(__xludf.DUMMYFUNCTION("REGEXEXTRACT(C1648, ""🏘️ \w+ (\w+) .* ✅"")"),"maison")</f>
        <v>maison</v>
      </c>
      <c r="H1648" s="4" t="str">
        <f>IFERROR(__xludf.DUMMYFUNCTION("REGEXEXTRACT(A1648, ""/(\w+)-.*?"")"),"lieu")</f>
        <v>lieu</v>
      </c>
      <c r="I1648" s="4" t="str">
        <f>IFERROR(__xludf.DUMMYFUNCTION("if(D1648=""variant"",  substitute(filter(Templates!E:E, Templates!A:A = F1648, Templates!B:B = G1648, Templates!C:C = H1648), ""{{}}"", E1648), B1648)"),"🏘  Vous cherchez une maison à louer à Gryon? ✅ Découvrez nos nombreuses annonces sur ImmoScout24.ch.")</f>
        <v>🏘  Vous cherchez une maison à louer à Gryon? ✅ Découvrez nos nombreuses annonces sur ImmoScout24.ch.</v>
      </c>
      <c r="J1648" s="4" t="s">
        <v>4945</v>
      </c>
    </row>
    <row r="1649">
      <c r="A1649" s="5" t="s">
        <v>4946</v>
      </c>
      <c r="B1649" s="2" t="s">
        <v>4947</v>
      </c>
      <c r="C1649" s="4" t="str">
        <f>IFERROR(__xludf.DUMMYFUNCTION("""🏘️ ""&amp;REGEXEXTRACT(B1649, ""^(.*): "")&amp;"" ✅ "" &amp;REGEXEXTRACT(B1649, ""(Trouvez.*)"")"),"🏘️ Louer appartement Les Moulins ✅ Trouvez le bien immobilier qui correspond idéalement à vos désirs sur ImmoScout24 - La plateforme de l'immobilier en Suisse.")</f>
        <v>🏘️ Louer appartement Les Moulins ✅ Trouvez le bien immobilier qui correspond idéalement à vos désirs sur ImmoScout24 - La plateforme de l'immobilier en Suisse.</v>
      </c>
      <c r="D1649" s="4" t="str">
        <f>vlookup(A1649, Sheet2!D:E, 2, 0)</f>
        <v>variant</v>
      </c>
      <c r="E1649" s="4" t="str">
        <f>IFERROR(__xludf.DUMMYFUNCTION("if(H1649=""pays"",vlookup(REGEXEXTRACT(C1649, ""🏘️ \w+ \w+ (.*) ✅""),'Country prepositions'!A:B, 2, 0) &amp; "" "" &amp; REGEXEXTRACT(C1649, ""🏘️ \w+ \w+ (.*) ✅"") ,  if(H1649=""quartier"",vlookup(REGEXEXTRACT(C1649, ""🏘️ \w+ \w+ (.*) ✅""),'Quartier prepositio"&amp;"ns'!A:E, 5, 0) ,  if(H1649=""region"",vlookup(REGEXEXTRACT(C1649, ""🏘️ \w+ \w+ (.*) ✅""),'Region prepositions'!B:F, 5, 0),  REGEXEXTRACT(C1649, ""🏘️ \w+ \w+ (.*) ✅""))))"),"Les Moulins")</f>
        <v>Les Moulins</v>
      </c>
      <c r="F1649" s="2" t="str">
        <f>IFERROR(__xludf.DUMMYFUNCTION("REGEXEXTRACT(C1649, ""🏘️ (\w+) \w+ .* ✅"")"),"Louer")</f>
        <v>Louer</v>
      </c>
      <c r="G1649" s="2" t="str">
        <f>IFERROR(__xludf.DUMMYFUNCTION("REGEXEXTRACT(C1649, ""🏘️ \w+ (\w+) .* ✅"")"),"appartement")</f>
        <v>appartement</v>
      </c>
      <c r="H1649" s="4" t="str">
        <f>IFERROR(__xludf.DUMMYFUNCTION("REGEXEXTRACT(A1649, ""/(\w+)-.*?"")"),"lieu")</f>
        <v>lieu</v>
      </c>
      <c r="I1649" s="4" t="str">
        <f>IFERROR(__xludf.DUMMYFUNCTION("if(D1649=""variant"",  substitute(filter(Templates!E:E, Templates!A:A = F1649, Templates!B:B = G1649, Templates!C:C = H1649), ""{{}}"", E1649), B1649)"),"🏘  Vous cherchez un appartement à louer à Les Moulins? ✅ Les annonces les plus actuelles sont sur ImmoScout24.ch.")</f>
        <v>🏘  Vous cherchez un appartement à louer à Les Moulins? ✅ Les annonces les plus actuelles sont sur ImmoScout24.ch.</v>
      </c>
      <c r="J1649" s="2" t="s">
        <v>4948</v>
      </c>
    </row>
    <row r="1650">
      <c r="A1650" s="5" t="s">
        <v>4949</v>
      </c>
      <c r="B1650" s="2" t="s">
        <v>4950</v>
      </c>
      <c r="C1650" s="4" t="str">
        <f>IFERROR(__xludf.DUMMYFUNCTION("""🏘️ ""&amp;REGEXEXTRACT(B1650, ""^(.*): "")&amp;"" ✅ "" &amp;REGEXEXTRACT(B1650, ""(Trouvez.*)"")"),"🏘️ Vendre maison Tschugg ✅ Trouvez le bien immobilier qui correspond idéalement à vos désirs sur ImmoScout24 - La plateforme de l'immobilier en Suisse.")</f>
        <v>🏘️ Vendre maison Tschugg ✅ Trouvez le bien immobilier qui correspond idéalement à vos désirs sur ImmoScout24 - La plateforme de l'immobilier en Suisse.</v>
      </c>
      <c r="D1650" s="4" t="str">
        <f>vlookup(A1650, Sheet2!D:E, 2, 0)</f>
        <v>variant</v>
      </c>
      <c r="E1650" s="4" t="str">
        <f>IFERROR(__xludf.DUMMYFUNCTION("if(H1650=""pays"",vlookup(REGEXEXTRACT(C1650, ""🏘️ \w+ \w+ (.*) ✅""),'Country prepositions'!A:B, 2, 0) &amp; "" "" &amp; REGEXEXTRACT(C1650, ""🏘️ \w+ \w+ (.*) ✅"") ,  if(H1650=""quartier"",vlookup(REGEXEXTRACT(C1650, ""🏘️ \w+ \w+ (.*) ✅""),'Quartier prepositio"&amp;"ns'!A:E, 5, 0) ,  if(H1650=""region"",vlookup(REGEXEXTRACT(C1650, ""🏘️ \w+ \w+ (.*) ✅""),'Region prepositions'!B:F, 5, 0),  REGEXEXTRACT(C1650, ""🏘️ \w+ \w+ (.*) ✅""))))"),"Tschugg")</f>
        <v>Tschugg</v>
      </c>
      <c r="F1650" s="2" t="str">
        <f>IFERROR(__xludf.DUMMYFUNCTION("REGEXEXTRACT(C1650, ""🏘️ (\w+) \w+ .* ✅"")"),"Vendre")</f>
        <v>Vendre</v>
      </c>
      <c r="G1650" s="2" t="str">
        <f>IFERROR(__xludf.DUMMYFUNCTION("REGEXEXTRACT(C1650, ""🏘️ \w+ (\w+) .* ✅"")"),"maison")</f>
        <v>maison</v>
      </c>
      <c r="H1650" s="4" t="str">
        <f>IFERROR(__xludf.DUMMYFUNCTION("REGEXEXTRACT(A1650, ""/(\w+)-.*?"")"),"lieu")</f>
        <v>lieu</v>
      </c>
      <c r="I1650" s="4" t="str">
        <f>IFERROR(__xludf.DUMMYFUNCTION("if(D1650=""variant"",  substitute(filter(Templates!E:E, Templates!A:A = F1650, Templates!B:B = G1650, Templates!C:C = H1650), ""{{}}"", E1650), B1650)"),"🏘  Vous souhaitez acheter une maison à Tschugg? ✅ Jetez un œil aux dernières offres sur ImmoScout24.ch.")</f>
        <v>🏘  Vous souhaitez acheter une maison à Tschugg? ✅ Jetez un œil aux dernières offres sur ImmoScout24.ch.</v>
      </c>
      <c r="J1650" s="4" t="s">
        <v>4951</v>
      </c>
    </row>
    <row r="1651">
      <c r="A1651" s="5" t="s">
        <v>4952</v>
      </c>
      <c r="B1651" s="2" t="s">
        <v>4953</v>
      </c>
      <c r="C1651" s="4" t="str">
        <f>IFERROR(__xludf.DUMMYFUNCTION("""🏘️ ""&amp;REGEXEXTRACT(B1651, ""^(.*): "")&amp;"" ✅ "" &amp;REGEXEXTRACT(B1651, ""(Trouvez.*)"")"),"🏘️ Vendre maison Borgnone ✅ Trouvez le bien immobilier qui correspond idéalement à vos désirs sur ImmoScout24 - La plateforme de l'immobilier en Suisse.")</f>
        <v>🏘️ Vendre maison Borgnone ✅ Trouvez le bien immobilier qui correspond idéalement à vos désirs sur ImmoScout24 - La plateforme de l'immobilier en Suisse.</v>
      </c>
      <c r="D1651" s="4" t="str">
        <f>vlookup(A1651, Sheet2!D:E, 2, 0)</f>
        <v>variant</v>
      </c>
      <c r="E1651" s="4" t="str">
        <f>IFERROR(__xludf.DUMMYFUNCTION("if(H1651=""pays"",vlookup(REGEXEXTRACT(C1651, ""🏘️ \w+ \w+ (.*) ✅""),'Country prepositions'!A:B, 2, 0) &amp; "" "" &amp; REGEXEXTRACT(C1651, ""🏘️ \w+ \w+ (.*) ✅"") ,  if(H1651=""quartier"",vlookup(REGEXEXTRACT(C1651, ""🏘️ \w+ \w+ (.*) ✅""),'Quartier prepositio"&amp;"ns'!A:E, 5, 0) ,  if(H1651=""region"",vlookup(REGEXEXTRACT(C1651, ""🏘️ \w+ \w+ (.*) ✅""),'Region prepositions'!B:F, 5, 0),  REGEXEXTRACT(C1651, ""🏘️ \w+ \w+ (.*) ✅""))))"),"Borgnone")</f>
        <v>Borgnone</v>
      </c>
      <c r="F1651" s="2" t="str">
        <f>IFERROR(__xludf.DUMMYFUNCTION("REGEXEXTRACT(C1651, ""🏘️ (\w+) \w+ .* ✅"")"),"Vendre")</f>
        <v>Vendre</v>
      </c>
      <c r="G1651" s="2" t="str">
        <f>IFERROR(__xludf.DUMMYFUNCTION("REGEXEXTRACT(C1651, ""🏘️ \w+ (\w+) .* ✅"")"),"maison")</f>
        <v>maison</v>
      </c>
      <c r="H1651" s="4" t="str">
        <f>IFERROR(__xludf.DUMMYFUNCTION("REGEXEXTRACT(A1651, ""/(\w+)-.*?"")"),"lieu")</f>
        <v>lieu</v>
      </c>
      <c r="I1651" s="4" t="str">
        <f>IFERROR(__xludf.DUMMYFUNCTION("if(D1651=""variant"",  substitute(filter(Templates!E:E, Templates!A:A = F1651, Templates!B:B = G1651, Templates!C:C = H1651), ""{{}}"", E1651), B1651)"),"🏘  Vous souhaitez acheter une maison à Borgnone? ✅ Jetez un œil aux dernières offres sur ImmoScout24.ch.")</f>
        <v>🏘  Vous souhaitez acheter une maison à Borgnone? ✅ Jetez un œil aux dernières offres sur ImmoScout24.ch.</v>
      </c>
      <c r="J1651" s="4" t="s">
        <v>4954</v>
      </c>
    </row>
    <row r="1652">
      <c r="A1652" s="5" t="s">
        <v>4955</v>
      </c>
      <c r="B1652" s="2" t="s">
        <v>4956</v>
      </c>
      <c r="C1652" s="4" t="str">
        <f>IFERROR(__xludf.DUMMYFUNCTION("""🏘️ ""&amp;REGEXEXTRACT(B1652, ""^(.*): "")&amp;"" ✅ "" &amp;REGEXEXTRACT(B1652, ""(Trouvez.*)"")"),"🏘️ Louer maison Forges-Endroits (La Chaux-de-Fonds) ✅ Trouvez le bien immobilier qui correspond idéalement à vos désirs sur ImmoScout24 - La plateforme de l'immobilier en Suisse.")</f>
        <v>🏘️ Louer maison Forges-Endroits (La Chaux-de-Fonds) ✅ Trouvez le bien immobilier qui correspond idéalement à vos désirs sur ImmoScout24 - La plateforme de l'immobilier en Suisse.</v>
      </c>
      <c r="D1652" s="4" t="str">
        <f>vlookup(A1652, Sheet2!D:E, 2, 0)</f>
        <v>variant</v>
      </c>
      <c r="E1652" s="4" t="str">
        <f>IFERROR(__xludf.DUMMYFUNCTION("if(H1652=""pays"",vlookup(REGEXEXTRACT(C1652, ""🏘️ \w+ \w+ (.*) ✅""),'Country prepositions'!A:B, 2, 0) &amp; "" "" &amp; REGEXEXTRACT(C1652, ""🏘️ \w+ \w+ (.*) ✅"") ,  if(H1652=""quartier"",vlookup(REGEXEXTRACT(C1652, ""🏘️ \w+ \w+ (.*) ✅""),'Quartier prepositio"&amp;"ns'!A:E, 5, 0) ,  if(H1652=""region"",vlookup(REGEXEXTRACT(C1652, ""🏘️ \w+ \w+ (.*) ✅""),'Region prepositions'!B:F, 5, 0),  REGEXEXTRACT(C1652, ""🏘️ \w+ \w+ (.*) ✅""))))"),"dans le quartier de Forges-Endroits (La Chaux-de-Fonds)")</f>
        <v>dans le quartier de Forges-Endroits (La Chaux-de-Fonds)</v>
      </c>
      <c r="F1652" s="2" t="str">
        <f>IFERROR(__xludf.DUMMYFUNCTION("REGEXEXTRACT(C1652, ""🏘️ (\w+) \w+ .* ✅"")"),"Louer")</f>
        <v>Louer</v>
      </c>
      <c r="G1652" s="2" t="str">
        <f>IFERROR(__xludf.DUMMYFUNCTION("REGEXEXTRACT(C1652, ""🏘️ \w+ (\w+) .* ✅"")"),"maison")</f>
        <v>maison</v>
      </c>
      <c r="H1652" s="4" t="str">
        <f>IFERROR(__xludf.DUMMYFUNCTION("REGEXEXTRACT(A1652, ""/(\w+)-.*?"")"),"quartier")</f>
        <v>quartier</v>
      </c>
      <c r="I1652" s="4" t="str">
        <f>IFERROR(__xludf.DUMMYFUNCTION("if(D1652=""variant"",  substitute(filter(Templates!E:E, Templates!A:A = F1652, Templates!B:B = G1652, Templates!C:C = H1652), ""{{}}"", E1652), B1652)"),"🏘  Vous cherchez une maison à louer dans le quartier de Forges-Endroits (La Chaux-de-Fonds)? ✅ Découvrez nos nombreuses annonces sur ImmoScout24.ch.")</f>
        <v>🏘  Vous cherchez une maison à louer dans le quartier de Forges-Endroits (La Chaux-de-Fonds)? ✅ Découvrez nos nombreuses annonces sur ImmoScout24.ch.</v>
      </c>
      <c r="J1652" s="4" t="s">
        <v>4957</v>
      </c>
    </row>
    <row r="1653">
      <c r="A1653" s="5" t="s">
        <v>4958</v>
      </c>
      <c r="B1653" s="2" t="s">
        <v>4959</v>
      </c>
      <c r="C1653" s="4" t="str">
        <f>IFERROR(__xludf.DUMMYFUNCTION("""🏘️ ""&amp;REGEXEXTRACT(B1653, ""^(.*): "")&amp;"" ✅ "" &amp;REGEXEXTRACT(B1653, ""(Trouvez.*)"")"),"🏘️ Louer appartement Lugano ✅ Trouvez le bien immobilier qui correspond idéalement à vos désirs sur ImmoScout24 - La plateforme de l'immobilier en Suisse.")</f>
        <v>🏘️ Louer appartement Lugano ✅ Trouvez le bien immobilier qui correspond idéalement à vos désirs sur ImmoScout24 - La plateforme de l'immobilier en Suisse.</v>
      </c>
      <c r="D1653" s="4" t="str">
        <f>vlookup(A1653, Sheet2!D:E, 2, 0)</f>
        <v>variant</v>
      </c>
      <c r="E1653" s="4" t="str">
        <f>IFERROR(__xludf.DUMMYFUNCTION("if(H1653=""pays"",vlookup(REGEXEXTRACT(C1653, ""🏘️ \w+ \w+ (.*) ✅""),'Country prepositions'!A:B, 2, 0) &amp; "" "" &amp; REGEXEXTRACT(C1653, ""🏘️ \w+ \w+ (.*) ✅"") ,  if(H1653=""quartier"",vlookup(REGEXEXTRACT(C1653, ""🏘️ \w+ \w+ (.*) ✅""),'Quartier prepositio"&amp;"ns'!A:E, 5, 0) ,  if(H1653=""region"",vlookup(REGEXEXTRACT(C1653, ""🏘️ \w+ \w+ (.*) ✅""),'Region prepositions'!B:F, 5, 0),  REGEXEXTRACT(C1653, ""🏘️ \w+ \w+ (.*) ✅""))))"),"Lugano")</f>
        <v>Lugano</v>
      </c>
      <c r="F1653" s="2" t="str">
        <f>IFERROR(__xludf.DUMMYFUNCTION("REGEXEXTRACT(C1653, ""🏘️ (\w+) \w+ .* ✅"")"),"Louer")</f>
        <v>Louer</v>
      </c>
      <c r="G1653" s="2" t="str">
        <f>IFERROR(__xludf.DUMMYFUNCTION("REGEXEXTRACT(C1653, ""🏘️ \w+ (\w+) .* ✅"")"),"appartement")</f>
        <v>appartement</v>
      </c>
      <c r="H1653" s="4" t="str">
        <f>IFERROR(__xludf.DUMMYFUNCTION("REGEXEXTRACT(A1653, ""/(\w+)-.*?"")"),"lieu")</f>
        <v>lieu</v>
      </c>
      <c r="I1653" s="4" t="str">
        <f>IFERROR(__xludf.DUMMYFUNCTION("if(D1653=""variant"",  substitute(filter(Templates!E:E, Templates!A:A = F1653, Templates!B:B = G1653, Templates!C:C = H1653), ""{{}}"", E1653), B1653)"),"🏘  Vous cherchez un appartement à louer à Lugano? ✅ Les annonces les plus actuelles sont sur ImmoScout24.ch.")</f>
        <v>🏘  Vous cherchez un appartement à louer à Lugano? ✅ Les annonces les plus actuelles sont sur ImmoScout24.ch.</v>
      </c>
      <c r="J1653" s="4" t="s">
        <v>4960</v>
      </c>
    </row>
    <row r="1654">
      <c r="A1654" s="5" t="s">
        <v>4961</v>
      </c>
      <c r="B1654" s="2" t="s">
        <v>4962</v>
      </c>
      <c r="C1654" s="4" t="str">
        <f>IFERROR(__xludf.DUMMYFUNCTION("""🏘️ ""&amp;REGEXEXTRACT(B1654, ""^(.*): "")&amp;"" ✅ "" &amp;REGEXEXTRACT(B1654, ""(Trouvez.*)"")"),"🏘️ Louer appartement Viganello (Lugano) ✅ Trouvez le bien immobilier qui correspond idéalement à vos désirs sur ImmoScout24 - La plateforme de l'immobilier en Suisse.")</f>
        <v>🏘️ Louer appartement Viganello (Lugano) ✅ Trouvez le bien immobilier qui correspond idéalement à vos désirs sur ImmoScout24 - La plateforme de l'immobilier en Suisse.</v>
      </c>
      <c r="D1654" s="4" t="str">
        <f>vlookup(A1654, Sheet2!D:E, 2, 0)</f>
        <v>variant</v>
      </c>
      <c r="E1654" s="4" t="str">
        <f>IFERROR(__xludf.DUMMYFUNCTION("if(H1654=""pays"",vlookup(REGEXEXTRACT(C1654, ""🏘️ \w+ \w+ (.*) ✅""),'Country prepositions'!A:B, 2, 0) &amp; "" "" &amp; REGEXEXTRACT(C1654, ""🏘️ \w+ \w+ (.*) ✅"") ,  if(H1654=""quartier"",vlookup(REGEXEXTRACT(C1654, ""🏘️ \w+ \w+ (.*) ✅""),'Quartier prepositio"&amp;"ns'!A:E, 5, 0) ,  if(H1654=""region"",vlookup(REGEXEXTRACT(C1654, ""🏘️ \w+ \w+ (.*) ✅""),'Region prepositions'!B:F, 5, 0),  REGEXEXTRACT(C1654, ""🏘️ \w+ \w+ (.*) ✅""))))"),"dans le quartier de Viganello (Lugano)")</f>
        <v>dans le quartier de Viganello (Lugano)</v>
      </c>
      <c r="F1654" s="2" t="str">
        <f>IFERROR(__xludf.DUMMYFUNCTION("REGEXEXTRACT(C1654, ""🏘️ (\w+) \w+ .* ✅"")"),"Louer")</f>
        <v>Louer</v>
      </c>
      <c r="G1654" s="2" t="str">
        <f>IFERROR(__xludf.DUMMYFUNCTION("REGEXEXTRACT(C1654, ""🏘️ \w+ (\w+) .* ✅"")"),"appartement")</f>
        <v>appartement</v>
      </c>
      <c r="H1654" s="4" t="str">
        <f>IFERROR(__xludf.DUMMYFUNCTION("REGEXEXTRACT(A1654, ""/(\w+)-.*?"")"),"quartier")</f>
        <v>quartier</v>
      </c>
      <c r="I1654" s="4" t="str">
        <f>IFERROR(__xludf.DUMMYFUNCTION("if(D1654=""variant"",  substitute(filter(Templates!E:E, Templates!A:A = F1654, Templates!B:B = G1654, Templates!C:C = H1654), ""{{}}"", E1654), B1654)"),"🏘  Vous cherchez un appartement à louer dans le quartier de Viganello (Lugano)? ✅ Les annonces les plus actuelles sont sur ImmoScout24.ch.")</f>
        <v>🏘  Vous cherchez un appartement à louer dans le quartier de Viganello (Lugano)? ✅ Les annonces les plus actuelles sont sur ImmoScout24.ch.</v>
      </c>
      <c r="J1654" s="4" t="s">
        <v>4963</v>
      </c>
    </row>
    <row r="1655">
      <c r="A1655" s="5" t="s">
        <v>4964</v>
      </c>
      <c r="B1655" s="2" t="s">
        <v>4965</v>
      </c>
      <c r="C1655" s="4" t="str">
        <f>IFERROR(__xludf.DUMMYFUNCTION("""🏘️ ""&amp;REGEXEXTRACT(B1655, ""^(.*): "")&amp;"" ✅ "" &amp;REGEXEXTRACT(B1655, ""(Trouvez.*)"")"),"🏘️ Louer appartement Pfäffikon SZ ✅ Trouvez le bien immobilier qui correspond idéalement à vos désirs sur ImmoScout24 - La plateforme de l'immobilier en Suisse.")</f>
        <v>🏘️ Louer appartement Pfäffikon SZ ✅ Trouvez le bien immobilier qui correspond idéalement à vos désirs sur ImmoScout24 - La plateforme de l'immobilier en Suisse.</v>
      </c>
      <c r="D1655" s="4" t="str">
        <f>vlookup(A1655, Sheet2!D:E, 2, 0)</f>
        <v>variant</v>
      </c>
      <c r="E1655" s="4" t="str">
        <f>IFERROR(__xludf.DUMMYFUNCTION("if(H1655=""pays"",vlookup(REGEXEXTRACT(C1655, ""🏘️ \w+ \w+ (.*) ✅""),'Country prepositions'!A:B, 2, 0) &amp; "" "" &amp; REGEXEXTRACT(C1655, ""🏘️ \w+ \w+ (.*) ✅"") ,  if(H1655=""quartier"",vlookup(REGEXEXTRACT(C1655, ""🏘️ \w+ \w+ (.*) ✅""),'Quartier prepositio"&amp;"ns'!A:E, 5, 0) ,  if(H1655=""region"",vlookup(REGEXEXTRACT(C1655, ""🏘️ \w+ \w+ (.*) ✅""),'Region prepositions'!B:F, 5, 0),  REGEXEXTRACT(C1655, ""🏘️ \w+ \w+ (.*) ✅""))))"),"Pfäffikon SZ")</f>
        <v>Pfäffikon SZ</v>
      </c>
      <c r="F1655" s="2" t="str">
        <f>IFERROR(__xludf.DUMMYFUNCTION("REGEXEXTRACT(C1655, ""🏘️ (\w+) \w+ .* ✅"")"),"Louer")</f>
        <v>Louer</v>
      </c>
      <c r="G1655" s="2" t="str">
        <f>IFERROR(__xludf.DUMMYFUNCTION("REGEXEXTRACT(C1655, ""🏘️ \w+ (\w+) .* ✅"")"),"appartement")</f>
        <v>appartement</v>
      </c>
      <c r="H1655" s="4" t="str">
        <f>IFERROR(__xludf.DUMMYFUNCTION("REGEXEXTRACT(A1655, ""/(\w+)-.*?"")"),"lieu")</f>
        <v>lieu</v>
      </c>
      <c r="I1655" s="4" t="str">
        <f>IFERROR(__xludf.DUMMYFUNCTION("if(D1655=""variant"",  substitute(filter(Templates!E:E, Templates!A:A = F1655, Templates!B:B = G1655, Templates!C:C = H1655), ""{{}}"", E1655), B1655)"),"🏘  Vous cherchez un appartement à louer à Pfäffikon SZ? ✅ Les annonces les plus actuelles sont sur ImmoScout24.ch.")</f>
        <v>🏘  Vous cherchez un appartement à louer à Pfäffikon SZ? ✅ Les annonces les plus actuelles sont sur ImmoScout24.ch.</v>
      </c>
      <c r="J1655" s="4" t="s">
        <v>4966</v>
      </c>
    </row>
    <row r="1656">
      <c r="A1656" s="5" t="s">
        <v>4967</v>
      </c>
      <c r="B1656" s="2" t="s">
        <v>4968</v>
      </c>
      <c r="C1656" s="4" t="str">
        <f>IFERROR(__xludf.DUMMYFUNCTION("""🏘️ ""&amp;REGEXEXTRACT(B1656, ""^(.*): "")&amp;"" ✅ "" &amp;REGEXEXTRACT(B1656, ""(Trouvez.*)"")"),"🏘️ Vendre maison Bramois ✅ Trouvez le bien immobilier qui correspond idéalement à vos désirs sur ImmoScout24 - La plateforme de l'immobilier en Suisse.")</f>
        <v>🏘️ Vendre maison Bramois ✅ Trouvez le bien immobilier qui correspond idéalement à vos désirs sur ImmoScout24 - La plateforme de l'immobilier en Suisse.</v>
      </c>
      <c r="D1656" s="4" t="str">
        <f>vlookup(A1656, Sheet2!D:E, 2, 0)</f>
        <v>variant</v>
      </c>
      <c r="E1656" s="4" t="str">
        <f>IFERROR(__xludf.DUMMYFUNCTION("if(H1656=""pays"",vlookup(REGEXEXTRACT(C1656, ""🏘️ \w+ \w+ (.*) ✅""),'Country prepositions'!A:B, 2, 0) &amp; "" "" &amp; REGEXEXTRACT(C1656, ""🏘️ \w+ \w+ (.*) ✅"") ,  if(H1656=""quartier"",vlookup(REGEXEXTRACT(C1656, ""🏘️ \w+ \w+ (.*) ✅""),'Quartier prepositio"&amp;"ns'!A:E, 5, 0) ,  if(H1656=""region"",vlookup(REGEXEXTRACT(C1656, ""🏘️ \w+ \w+ (.*) ✅""),'Region prepositions'!B:F, 5, 0),  REGEXEXTRACT(C1656, ""🏘️ \w+ \w+ (.*) ✅""))))"),"Bramois")</f>
        <v>Bramois</v>
      </c>
      <c r="F1656" s="2" t="str">
        <f>IFERROR(__xludf.DUMMYFUNCTION("REGEXEXTRACT(C1656, ""🏘️ (\w+) \w+ .* ✅"")"),"Vendre")</f>
        <v>Vendre</v>
      </c>
      <c r="G1656" s="2" t="str">
        <f>IFERROR(__xludf.DUMMYFUNCTION("REGEXEXTRACT(C1656, ""🏘️ \w+ (\w+) .* ✅"")"),"maison")</f>
        <v>maison</v>
      </c>
      <c r="H1656" s="4" t="str">
        <f>IFERROR(__xludf.DUMMYFUNCTION("REGEXEXTRACT(A1656, ""/(\w+)-.*?"")"),"lieu")</f>
        <v>lieu</v>
      </c>
      <c r="I1656" s="4" t="str">
        <f>IFERROR(__xludf.DUMMYFUNCTION("if(D1656=""variant"",  substitute(filter(Templates!E:E, Templates!A:A = F1656, Templates!B:B = G1656, Templates!C:C = H1656), ""{{}}"", E1656), B1656)"),"🏘  Vous souhaitez acheter une maison à Bramois? ✅ Jetez un œil aux dernières offres sur ImmoScout24.ch.")</f>
        <v>🏘  Vous souhaitez acheter une maison à Bramois? ✅ Jetez un œil aux dernières offres sur ImmoScout24.ch.</v>
      </c>
      <c r="J1656" s="4" t="s">
        <v>4969</v>
      </c>
    </row>
    <row r="1657">
      <c r="A1657" s="5" t="s">
        <v>4970</v>
      </c>
      <c r="B1657" s="2" t="s">
        <v>4971</v>
      </c>
      <c r="C1657" s="4" t="str">
        <f>IFERROR(__xludf.DUMMYFUNCTION("""🏘️ ""&amp;REGEXEXTRACT(B1657, ""^(.*): "")&amp;"" ✅ "" &amp;REGEXEXTRACT(B1657, ""(Trouvez.*)"")"),"🏘️ Louer appartement Sottens ✅ Trouvez le bien immobilier qui correspond idéalement à vos désirs sur ImmoScout24 - La plateforme de l'immobilier en Suisse.")</f>
        <v>🏘️ Louer appartement Sottens ✅ Trouvez le bien immobilier qui correspond idéalement à vos désirs sur ImmoScout24 - La plateforme de l'immobilier en Suisse.</v>
      </c>
      <c r="D1657" s="4" t="str">
        <f>vlookup(A1657, Sheet2!D:E, 2, 0)</f>
        <v>variant</v>
      </c>
      <c r="E1657" s="4" t="str">
        <f>IFERROR(__xludf.DUMMYFUNCTION("if(H1657=""pays"",vlookup(REGEXEXTRACT(C1657, ""🏘️ \w+ \w+ (.*) ✅""),'Country prepositions'!A:B, 2, 0) &amp; "" "" &amp; REGEXEXTRACT(C1657, ""🏘️ \w+ \w+ (.*) ✅"") ,  if(H1657=""quartier"",vlookup(REGEXEXTRACT(C1657, ""🏘️ \w+ \w+ (.*) ✅""),'Quartier prepositio"&amp;"ns'!A:E, 5, 0) ,  if(H1657=""region"",vlookup(REGEXEXTRACT(C1657, ""🏘️ \w+ \w+ (.*) ✅""),'Region prepositions'!B:F, 5, 0),  REGEXEXTRACT(C1657, ""🏘️ \w+ \w+ (.*) ✅""))))"),"Sottens")</f>
        <v>Sottens</v>
      </c>
      <c r="F1657" s="2" t="str">
        <f>IFERROR(__xludf.DUMMYFUNCTION("REGEXEXTRACT(C1657, ""🏘️ (\w+) \w+ .* ✅"")"),"Louer")</f>
        <v>Louer</v>
      </c>
      <c r="G1657" s="2" t="str">
        <f>IFERROR(__xludf.DUMMYFUNCTION("REGEXEXTRACT(C1657, ""🏘️ \w+ (\w+) .* ✅"")"),"appartement")</f>
        <v>appartement</v>
      </c>
      <c r="H1657" s="4" t="str">
        <f>IFERROR(__xludf.DUMMYFUNCTION("REGEXEXTRACT(A1657, ""/(\w+)-.*?"")"),"lieu")</f>
        <v>lieu</v>
      </c>
      <c r="I1657" s="4" t="str">
        <f>IFERROR(__xludf.DUMMYFUNCTION("if(D1657=""variant"",  substitute(filter(Templates!E:E, Templates!A:A = F1657, Templates!B:B = G1657, Templates!C:C = H1657), ""{{}}"", E1657), B1657)"),"🏘  Vous cherchez un appartement à louer à Sottens? ✅ Les annonces les plus actuelles sont sur ImmoScout24.ch.")</f>
        <v>🏘  Vous cherchez un appartement à louer à Sottens? ✅ Les annonces les plus actuelles sont sur ImmoScout24.ch.</v>
      </c>
      <c r="J1657" s="4" t="s">
        <v>4972</v>
      </c>
    </row>
    <row r="1658">
      <c r="A1658" s="5" t="s">
        <v>4973</v>
      </c>
      <c r="B1658" s="2" t="s">
        <v>4974</v>
      </c>
      <c r="C1658" s="4" t="str">
        <f>IFERROR(__xludf.DUMMYFUNCTION("""🏘️ ""&amp;REGEXEXTRACT(B1658, ""^(.*): "")&amp;"" ✅ "" &amp;REGEXEXTRACT(B1658, ""(Trouvez.*)"")"),"🏘️ Vendre maison Le Fuet ✅ Trouvez le bien immobilier qui correspond idéalement à vos désirs sur ImmoScout24 - La plateforme de l'immobilier en Suisse.")</f>
        <v>🏘️ Vendre maison Le Fuet ✅ Trouvez le bien immobilier qui correspond idéalement à vos désirs sur ImmoScout24 - La plateforme de l'immobilier en Suisse.</v>
      </c>
      <c r="D1658" s="4" t="str">
        <f>vlookup(A1658, Sheet2!D:E, 2, 0)</f>
        <v>variant</v>
      </c>
      <c r="E1658" s="4" t="str">
        <f>IFERROR(__xludf.DUMMYFUNCTION("if(H1658=""pays"",vlookup(REGEXEXTRACT(C1658, ""🏘️ \w+ \w+ (.*) ✅""),'Country prepositions'!A:B, 2, 0) &amp; "" "" &amp; REGEXEXTRACT(C1658, ""🏘️ \w+ \w+ (.*) ✅"") ,  if(H1658=""quartier"",vlookup(REGEXEXTRACT(C1658, ""🏘️ \w+ \w+ (.*) ✅""),'Quartier prepositio"&amp;"ns'!A:E, 5, 0) ,  if(H1658=""region"",vlookup(REGEXEXTRACT(C1658, ""🏘️ \w+ \w+ (.*) ✅""),'Region prepositions'!B:F, 5, 0),  REGEXEXTRACT(C1658, ""🏘️ \w+ \w+ (.*) ✅""))))"),"Le Fuet")</f>
        <v>Le Fuet</v>
      </c>
      <c r="F1658" s="2" t="str">
        <f>IFERROR(__xludf.DUMMYFUNCTION("REGEXEXTRACT(C1658, ""🏘️ (\w+) \w+ .* ✅"")"),"Vendre")</f>
        <v>Vendre</v>
      </c>
      <c r="G1658" s="2" t="str">
        <f>IFERROR(__xludf.DUMMYFUNCTION("REGEXEXTRACT(C1658, ""🏘️ \w+ (\w+) .* ✅"")"),"maison")</f>
        <v>maison</v>
      </c>
      <c r="H1658" s="4" t="str">
        <f>IFERROR(__xludf.DUMMYFUNCTION("REGEXEXTRACT(A1658, ""/(\w+)-.*?"")"),"lieu")</f>
        <v>lieu</v>
      </c>
      <c r="I1658" s="4" t="str">
        <f>IFERROR(__xludf.DUMMYFUNCTION("if(D1658=""variant"",  substitute(filter(Templates!E:E, Templates!A:A = F1658, Templates!B:B = G1658, Templates!C:C = H1658), ""{{}}"", E1658), B1658)"),"🏘  Vous souhaitez acheter une maison à Le Fuet? ✅ Jetez un œil aux dernières offres sur ImmoScout24.ch.")</f>
        <v>🏘  Vous souhaitez acheter une maison à Le Fuet? ✅ Jetez un œil aux dernières offres sur ImmoScout24.ch.</v>
      </c>
      <c r="J1658" s="2" t="s">
        <v>4975</v>
      </c>
    </row>
    <row r="1659">
      <c r="A1659" s="5" t="s">
        <v>4976</v>
      </c>
      <c r="B1659" s="2" t="s">
        <v>4977</v>
      </c>
      <c r="C1659" s="4" t="str">
        <f>IFERROR(__xludf.DUMMYFUNCTION("""🏘️ ""&amp;REGEXEXTRACT(B1659, ""^(.*): "")&amp;"" ✅ "" &amp;REGEXEXTRACT(B1659, ""(Trouvez.*)"")"),"🏘️ Louer appartement Le Mouret ✅ Trouvez le bien immobilier qui correspond idéalement à vos désirs sur ImmoScout24 - La plateforme de l'immobilier en Suisse.")</f>
        <v>🏘️ Louer appartement Le Mouret ✅ Trouvez le bien immobilier qui correspond idéalement à vos désirs sur ImmoScout24 - La plateforme de l'immobilier en Suisse.</v>
      </c>
      <c r="D1659" s="4" t="str">
        <f>vlookup(A1659, Sheet2!D:E, 2, 0)</f>
        <v>variant</v>
      </c>
      <c r="E1659" s="4" t="str">
        <f>IFERROR(__xludf.DUMMYFUNCTION("if(H1659=""pays"",vlookup(REGEXEXTRACT(C1659, ""🏘️ \w+ \w+ (.*) ✅""),'Country prepositions'!A:B, 2, 0) &amp; "" "" &amp; REGEXEXTRACT(C1659, ""🏘️ \w+ \w+ (.*) ✅"") ,  if(H1659=""quartier"",vlookup(REGEXEXTRACT(C1659, ""🏘️ \w+ \w+ (.*) ✅""),'Quartier prepositio"&amp;"ns'!A:E, 5, 0) ,  if(H1659=""region"",vlookup(REGEXEXTRACT(C1659, ""🏘️ \w+ \w+ (.*) ✅""),'Region prepositions'!B:F, 5, 0),  REGEXEXTRACT(C1659, ""🏘️ \w+ \w+ (.*) ✅""))))"),"Le Mouret")</f>
        <v>Le Mouret</v>
      </c>
      <c r="F1659" s="2" t="str">
        <f>IFERROR(__xludf.DUMMYFUNCTION("REGEXEXTRACT(C1659, ""🏘️ (\w+) \w+ .* ✅"")"),"Louer")</f>
        <v>Louer</v>
      </c>
      <c r="G1659" s="2" t="str">
        <f>IFERROR(__xludf.DUMMYFUNCTION("REGEXEXTRACT(C1659, ""🏘️ \w+ (\w+) .* ✅"")"),"appartement")</f>
        <v>appartement</v>
      </c>
      <c r="H1659" s="4" t="str">
        <f>IFERROR(__xludf.DUMMYFUNCTION("REGEXEXTRACT(A1659, ""/(\w+)-.*?"")"),"lieu")</f>
        <v>lieu</v>
      </c>
      <c r="I1659" s="4" t="str">
        <f>IFERROR(__xludf.DUMMYFUNCTION("if(D1659=""variant"",  substitute(filter(Templates!E:E, Templates!A:A = F1659, Templates!B:B = G1659, Templates!C:C = H1659), ""{{}}"", E1659), B1659)"),"🏘  Vous cherchez un appartement à louer à Le Mouret? ✅ Les annonces les plus actuelles sont sur ImmoScout24.ch.")</f>
        <v>🏘  Vous cherchez un appartement à louer à Le Mouret? ✅ Les annonces les plus actuelles sont sur ImmoScout24.ch.</v>
      </c>
      <c r="J1659" s="2" t="s">
        <v>4978</v>
      </c>
    </row>
    <row r="1660">
      <c r="A1660" s="5" t="s">
        <v>4979</v>
      </c>
      <c r="B1660" s="2" t="s">
        <v>4980</v>
      </c>
      <c r="C1660" s="4" t="str">
        <f>IFERROR(__xludf.DUMMYFUNCTION("""🏘️ ""&amp;REGEXEXTRACT(B1660, ""^(.*): "")&amp;"" ✅ "" &amp;REGEXEXTRACT(B1660, ""(Trouvez.*)"")"),"🏘️ Vendre appartement Gimel ✅ Trouvez le bien immobilier qui correspond idéalement à vos désirs sur ImmoScout24 - La plateforme de l'immobilier en Suisse.")</f>
        <v>🏘️ Vendre appartement Gimel ✅ Trouvez le bien immobilier qui correspond idéalement à vos désirs sur ImmoScout24 - La plateforme de l'immobilier en Suisse.</v>
      </c>
      <c r="D1660" s="4" t="str">
        <f>vlookup(A1660, Sheet2!D:E, 2, 0)</f>
        <v>variant</v>
      </c>
      <c r="E1660" s="4" t="str">
        <f>IFERROR(__xludf.DUMMYFUNCTION("if(H1660=""pays"",vlookup(REGEXEXTRACT(C1660, ""🏘️ \w+ \w+ (.*) ✅""),'Country prepositions'!A:B, 2, 0) &amp; "" "" &amp; REGEXEXTRACT(C1660, ""🏘️ \w+ \w+ (.*) ✅"") ,  if(H1660=""quartier"",vlookup(REGEXEXTRACT(C1660, ""🏘️ \w+ \w+ (.*) ✅""),'Quartier prepositio"&amp;"ns'!A:E, 5, 0) ,  if(H1660=""region"",vlookup(REGEXEXTRACT(C1660, ""🏘️ \w+ \w+ (.*) ✅""),'Region prepositions'!B:F, 5, 0),  REGEXEXTRACT(C1660, ""🏘️ \w+ \w+ (.*) ✅""))))"),"Gimel")</f>
        <v>Gimel</v>
      </c>
      <c r="F1660" s="2" t="str">
        <f>IFERROR(__xludf.DUMMYFUNCTION("REGEXEXTRACT(C1660, ""🏘️ (\w+) \w+ .* ✅"")"),"Vendre")</f>
        <v>Vendre</v>
      </c>
      <c r="G1660" s="2" t="str">
        <f>IFERROR(__xludf.DUMMYFUNCTION("REGEXEXTRACT(C1660, ""🏘️ \w+ (\w+) .* ✅"")"),"appartement")</f>
        <v>appartement</v>
      </c>
      <c r="H1660" s="4" t="str">
        <f>IFERROR(__xludf.DUMMYFUNCTION("REGEXEXTRACT(A1660, ""/(\w+)-.*?"")"),"lieu")</f>
        <v>lieu</v>
      </c>
      <c r="I1660" s="4" t="str">
        <f>IFERROR(__xludf.DUMMYFUNCTION("if(D1660=""variant"",  substitute(filter(Templates!E:E, Templates!A:A = F1660, Templates!B:B = G1660, Templates!C:C = H1660), ""{{}}"", E1660), B1660)"),"🏘  L’appartement de vos rêves se trouve sur ImmoScout24.ch ✅ Découvrez les dernières annonces de vente à Gimel.")</f>
        <v>🏘  L’appartement de vos rêves se trouve sur ImmoScout24.ch ✅ Découvrez les dernières annonces de vente à Gimel.</v>
      </c>
      <c r="J1660" s="4" t="s">
        <v>4981</v>
      </c>
    </row>
    <row r="1661">
      <c r="A1661" s="5" t="s">
        <v>4982</v>
      </c>
      <c r="B1661" s="2" t="s">
        <v>4983</v>
      </c>
      <c r="C1661" s="4" t="str">
        <f>IFERROR(__xludf.DUMMYFUNCTION("""🏘️ ""&amp;REGEXEXTRACT(B1661, ""^(.*): "")&amp;"" ✅ "" &amp;REGEXEXTRACT(B1661, ""(Trouvez.*)"")"),"🏘️ Louer appartement Villars-sous-Mont ✅ Trouvez le bien immobilier qui correspond idéalement à vos désirs sur ImmoScout24 - La plateforme de l'immobilier en Suisse.")</f>
        <v>🏘️ Louer appartement Villars-sous-Mont ✅ Trouvez le bien immobilier qui correspond idéalement à vos désirs sur ImmoScout24 - La plateforme de l'immobilier en Suisse.</v>
      </c>
      <c r="D1661" s="4" t="str">
        <f>vlookup(A1661, Sheet2!D:E, 2, 0)</f>
        <v>variant</v>
      </c>
      <c r="E1661" s="4" t="str">
        <f>IFERROR(__xludf.DUMMYFUNCTION("if(H1661=""pays"",vlookup(REGEXEXTRACT(C1661, ""🏘️ \w+ \w+ (.*) ✅""),'Country prepositions'!A:B, 2, 0) &amp; "" "" &amp; REGEXEXTRACT(C1661, ""🏘️ \w+ \w+ (.*) ✅"") ,  if(H1661=""quartier"",vlookup(REGEXEXTRACT(C1661, ""🏘️ \w+ \w+ (.*) ✅""),'Quartier prepositio"&amp;"ns'!A:E, 5, 0) ,  if(H1661=""region"",vlookup(REGEXEXTRACT(C1661, ""🏘️ \w+ \w+ (.*) ✅""),'Region prepositions'!B:F, 5, 0),  REGEXEXTRACT(C1661, ""🏘️ \w+ \w+ (.*) ✅""))))"),"Villars-sous-Mont")</f>
        <v>Villars-sous-Mont</v>
      </c>
      <c r="F1661" s="2" t="str">
        <f>IFERROR(__xludf.DUMMYFUNCTION("REGEXEXTRACT(C1661, ""🏘️ (\w+) \w+ .* ✅"")"),"Louer")</f>
        <v>Louer</v>
      </c>
      <c r="G1661" s="2" t="str">
        <f>IFERROR(__xludf.DUMMYFUNCTION("REGEXEXTRACT(C1661, ""🏘️ \w+ (\w+) .* ✅"")"),"appartement")</f>
        <v>appartement</v>
      </c>
      <c r="H1661" s="4" t="str">
        <f>IFERROR(__xludf.DUMMYFUNCTION("REGEXEXTRACT(A1661, ""/(\w+)-.*?"")"),"lieu")</f>
        <v>lieu</v>
      </c>
      <c r="I1661" s="4" t="str">
        <f>IFERROR(__xludf.DUMMYFUNCTION("if(D1661=""variant"",  substitute(filter(Templates!E:E, Templates!A:A = F1661, Templates!B:B = G1661, Templates!C:C = H1661), ""{{}}"", E1661), B1661)"),"🏘  Vous cherchez un appartement à louer à Villars-sous-Mont? ✅ Les annonces les plus actuelles sont sur ImmoScout24.ch.")</f>
        <v>🏘  Vous cherchez un appartement à louer à Villars-sous-Mont? ✅ Les annonces les plus actuelles sont sur ImmoScout24.ch.</v>
      </c>
      <c r="J1661" s="4" t="s">
        <v>4984</v>
      </c>
    </row>
    <row r="1662">
      <c r="A1662" s="5" t="s">
        <v>4985</v>
      </c>
      <c r="B1662" s="2" t="s">
        <v>4986</v>
      </c>
      <c r="C1662" s="4" t="str">
        <f>IFERROR(__xludf.DUMMYFUNCTION("""🏘️ ""&amp;REGEXEXTRACT(B1662, ""^(.*): "")&amp;"" ✅ "" &amp;REGEXEXTRACT(B1662, ""(Trouvez.*)"")"),"🏘️ Vendre maison Bel-Air (La Chaux-de-Fonds) ✅ Trouvez le bien immobilier qui correspond idéalement à vos désirs sur ImmoScout24 - La plateforme de l'immobilier en Suisse.")</f>
        <v>🏘️ Vendre maison Bel-Air (La Chaux-de-Fonds) ✅ Trouvez le bien immobilier qui correspond idéalement à vos désirs sur ImmoScout24 - La plateforme de l'immobilier en Suisse.</v>
      </c>
      <c r="D1662" s="4" t="str">
        <f>vlookup(A1662, Sheet2!D:E, 2, 0)</f>
        <v>variant</v>
      </c>
      <c r="E1662" s="4" t="str">
        <f>IFERROR(__xludf.DUMMYFUNCTION("if(H1662=""pays"",vlookup(REGEXEXTRACT(C1662, ""🏘️ \w+ \w+ (.*) ✅""),'Country prepositions'!A:B, 2, 0) &amp; "" "" &amp; REGEXEXTRACT(C1662, ""🏘️ \w+ \w+ (.*) ✅"") ,  if(H1662=""quartier"",vlookup(REGEXEXTRACT(C1662, ""🏘️ \w+ \w+ (.*) ✅""),'Quartier prepositio"&amp;"ns'!A:E, 5, 0) ,  if(H1662=""region"",vlookup(REGEXEXTRACT(C1662, ""🏘️ \w+ \w+ (.*) ✅""),'Region prepositions'!B:F, 5, 0),  REGEXEXTRACT(C1662, ""🏘️ \w+ \w+ (.*) ✅""))))"),"dans le quartier de Bel-Air (La Chaux-de-Fonds)")</f>
        <v>dans le quartier de Bel-Air (La Chaux-de-Fonds)</v>
      </c>
      <c r="F1662" s="2" t="str">
        <f>IFERROR(__xludf.DUMMYFUNCTION("REGEXEXTRACT(C1662, ""🏘️ (\w+) \w+ .* ✅"")"),"Vendre")</f>
        <v>Vendre</v>
      </c>
      <c r="G1662" s="2" t="str">
        <f>IFERROR(__xludf.DUMMYFUNCTION("REGEXEXTRACT(C1662, ""🏘️ \w+ (\w+) .* ✅"")"),"maison")</f>
        <v>maison</v>
      </c>
      <c r="H1662" s="4" t="str">
        <f>IFERROR(__xludf.DUMMYFUNCTION("REGEXEXTRACT(A1662, ""/(\w+)-.*?"")"),"quartier")</f>
        <v>quartier</v>
      </c>
      <c r="I1662" s="4" t="str">
        <f>IFERROR(__xludf.DUMMYFUNCTION("if(D1662=""variant"",  substitute(filter(Templates!E:E, Templates!A:A = F1662, Templates!B:B = G1662, Templates!C:C = H1662), ""{{}}"", E1662), B1662)"),"🏘  Vous souhaitez acheter une maison dans le quartier de Bel-Air (La Chaux-de-Fonds)? ✅ Jetez un œil aux dernières offres sur ImmoScout24.ch.")</f>
        <v>🏘  Vous souhaitez acheter une maison dans le quartier de Bel-Air (La Chaux-de-Fonds)? ✅ Jetez un œil aux dernières offres sur ImmoScout24.ch.</v>
      </c>
      <c r="J1662" s="4" t="s">
        <v>4987</v>
      </c>
    </row>
    <row r="1663">
      <c r="A1663" s="5" t="s">
        <v>4988</v>
      </c>
      <c r="B1663" s="2" t="s">
        <v>4989</v>
      </c>
      <c r="C1663" s="4" t="str">
        <f>IFERROR(__xludf.DUMMYFUNCTION("""🏘️ ""&amp;REGEXEXTRACT(B1663, ""^(.*): "")&amp;"" ✅ "" &amp;REGEXEXTRACT(B1663, ""(Trouvez.*)"")"),"🏘️ Louer appartement Thürnen ✅ Trouvez le bien immobilier qui correspond idéalement à vos désirs sur ImmoScout24 - La plateforme de l'immobilier en Suisse.")</f>
        <v>🏘️ Louer appartement Thürnen ✅ Trouvez le bien immobilier qui correspond idéalement à vos désirs sur ImmoScout24 - La plateforme de l'immobilier en Suisse.</v>
      </c>
      <c r="D1663" s="4" t="str">
        <f>vlookup(A1663, Sheet2!D:E, 2, 0)</f>
        <v>variant</v>
      </c>
      <c r="E1663" s="4" t="str">
        <f>IFERROR(__xludf.DUMMYFUNCTION("if(H1663=""pays"",vlookup(REGEXEXTRACT(C1663, ""🏘️ \w+ \w+ (.*) ✅""),'Country prepositions'!A:B, 2, 0) &amp; "" "" &amp; REGEXEXTRACT(C1663, ""🏘️ \w+ \w+ (.*) ✅"") ,  if(H1663=""quartier"",vlookup(REGEXEXTRACT(C1663, ""🏘️ \w+ \w+ (.*) ✅""),'Quartier prepositio"&amp;"ns'!A:E, 5, 0) ,  if(H1663=""region"",vlookup(REGEXEXTRACT(C1663, ""🏘️ \w+ \w+ (.*) ✅""),'Region prepositions'!B:F, 5, 0),  REGEXEXTRACT(C1663, ""🏘️ \w+ \w+ (.*) ✅""))))"),"Thürnen")</f>
        <v>Thürnen</v>
      </c>
      <c r="F1663" s="2" t="str">
        <f>IFERROR(__xludf.DUMMYFUNCTION("REGEXEXTRACT(C1663, ""🏘️ (\w+) \w+ .* ✅"")"),"Louer")</f>
        <v>Louer</v>
      </c>
      <c r="G1663" s="2" t="str">
        <f>IFERROR(__xludf.DUMMYFUNCTION("REGEXEXTRACT(C1663, ""🏘️ \w+ (\w+) .* ✅"")"),"appartement")</f>
        <v>appartement</v>
      </c>
      <c r="H1663" s="4" t="str">
        <f>IFERROR(__xludf.DUMMYFUNCTION("REGEXEXTRACT(A1663, ""/(\w+)-.*?"")"),"lieu")</f>
        <v>lieu</v>
      </c>
      <c r="I1663" s="4" t="str">
        <f>IFERROR(__xludf.DUMMYFUNCTION("if(D1663=""variant"",  substitute(filter(Templates!E:E, Templates!A:A = F1663, Templates!B:B = G1663, Templates!C:C = H1663), ""{{}}"", E1663), B1663)"),"🏘  Vous cherchez un appartement à louer à Thürnen? ✅ Les annonces les plus actuelles sont sur ImmoScout24.ch.")</f>
        <v>🏘  Vous cherchez un appartement à louer à Thürnen? ✅ Les annonces les plus actuelles sont sur ImmoScout24.ch.</v>
      </c>
      <c r="J1663" s="4" t="s">
        <v>4990</v>
      </c>
    </row>
    <row r="1664">
      <c r="A1664" s="5" t="s">
        <v>4991</v>
      </c>
      <c r="B1664" s="2" t="s">
        <v>4992</v>
      </c>
      <c r="C1664" s="4" t="str">
        <f>IFERROR(__xludf.DUMMYFUNCTION("""🏘️ ""&amp;REGEXEXTRACT(B1664, ""^(.*): "")&amp;"" ✅ "" &amp;REGEXEXTRACT(B1664, ""(Trouvez.*)"")"),"🏘️ Vendre maison La Fouly VS ✅ Trouvez le bien immobilier qui correspond idéalement à vos désirs sur ImmoScout24 - La plateforme de l'immobilier en Suisse.")</f>
        <v>🏘️ Vendre maison La Fouly VS ✅ Trouvez le bien immobilier qui correspond idéalement à vos désirs sur ImmoScout24 - La plateforme de l'immobilier en Suisse.</v>
      </c>
      <c r="D1664" s="4" t="str">
        <f>vlookup(A1664, Sheet2!D:E, 2, 0)</f>
        <v>variant</v>
      </c>
      <c r="E1664" s="4" t="str">
        <f>IFERROR(__xludf.DUMMYFUNCTION("if(H1664=""pays"",vlookup(REGEXEXTRACT(C1664, ""🏘️ \w+ \w+ (.*) ✅""),'Country prepositions'!A:B, 2, 0) &amp; "" "" &amp; REGEXEXTRACT(C1664, ""🏘️ \w+ \w+ (.*) ✅"") ,  if(H1664=""quartier"",vlookup(REGEXEXTRACT(C1664, ""🏘️ \w+ \w+ (.*) ✅""),'Quartier prepositio"&amp;"ns'!A:E, 5, 0) ,  if(H1664=""region"",vlookup(REGEXEXTRACT(C1664, ""🏘️ \w+ \w+ (.*) ✅""),'Region prepositions'!B:F, 5, 0),  REGEXEXTRACT(C1664, ""🏘️ \w+ \w+ (.*) ✅""))))"),"La Fouly VS")</f>
        <v>La Fouly VS</v>
      </c>
      <c r="F1664" s="2" t="str">
        <f>IFERROR(__xludf.DUMMYFUNCTION("REGEXEXTRACT(C1664, ""🏘️ (\w+) \w+ .* ✅"")"),"Vendre")</f>
        <v>Vendre</v>
      </c>
      <c r="G1664" s="2" t="str">
        <f>IFERROR(__xludf.DUMMYFUNCTION("REGEXEXTRACT(C1664, ""🏘️ \w+ (\w+) .* ✅"")"),"maison")</f>
        <v>maison</v>
      </c>
      <c r="H1664" s="4" t="str">
        <f>IFERROR(__xludf.DUMMYFUNCTION("REGEXEXTRACT(A1664, ""/(\w+)-.*?"")"),"lieu")</f>
        <v>lieu</v>
      </c>
      <c r="I1664" s="4" t="str">
        <f>IFERROR(__xludf.DUMMYFUNCTION("if(D1664=""variant"",  substitute(filter(Templates!E:E, Templates!A:A = F1664, Templates!B:B = G1664, Templates!C:C = H1664), ""{{}}"", E1664), B1664)"),"🏘  Vous souhaitez acheter une maison à La Fouly VS? ✅ Jetez un œil aux dernières offres sur ImmoScout24.ch.")</f>
        <v>🏘  Vous souhaitez acheter une maison à La Fouly VS? ✅ Jetez un œil aux dernières offres sur ImmoScout24.ch.</v>
      </c>
      <c r="J1664" s="4" t="s">
        <v>4993</v>
      </c>
    </row>
    <row r="1665">
      <c r="A1665" s="5" t="s">
        <v>4994</v>
      </c>
      <c r="B1665" s="2" t="s">
        <v>4995</v>
      </c>
      <c r="C1665" s="4" t="str">
        <f>IFERROR(__xludf.DUMMYFUNCTION("""🏘️ ""&amp;REGEXEXTRACT(B1665, ""^(.*): "")&amp;"" ✅ "" &amp;REGEXEXTRACT(B1665, ""(Trouvez.*)"")"),"🏘️ Louer appartement Boulens ✅ Trouvez le bien immobilier qui correspond idéalement à vos désirs sur ImmoScout24 - La plateforme de l'immobilier en Suisse.")</f>
        <v>🏘️ Louer appartement Boulens ✅ Trouvez le bien immobilier qui correspond idéalement à vos désirs sur ImmoScout24 - La plateforme de l'immobilier en Suisse.</v>
      </c>
      <c r="D1665" s="4" t="str">
        <f>vlookup(A1665, Sheet2!D:E, 2, 0)</f>
        <v>variant</v>
      </c>
      <c r="E1665" s="4" t="str">
        <f>IFERROR(__xludf.DUMMYFUNCTION("if(H1665=""pays"",vlookup(REGEXEXTRACT(C1665, ""🏘️ \w+ \w+ (.*) ✅""),'Country prepositions'!A:B, 2, 0) &amp; "" "" &amp; REGEXEXTRACT(C1665, ""🏘️ \w+ \w+ (.*) ✅"") ,  if(H1665=""quartier"",vlookup(REGEXEXTRACT(C1665, ""🏘️ \w+ \w+ (.*) ✅""),'Quartier prepositio"&amp;"ns'!A:E, 5, 0) ,  if(H1665=""region"",vlookup(REGEXEXTRACT(C1665, ""🏘️ \w+ \w+ (.*) ✅""),'Region prepositions'!B:F, 5, 0),  REGEXEXTRACT(C1665, ""🏘️ \w+ \w+ (.*) ✅""))))"),"Boulens")</f>
        <v>Boulens</v>
      </c>
      <c r="F1665" s="2" t="str">
        <f>IFERROR(__xludf.DUMMYFUNCTION("REGEXEXTRACT(C1665, ""🏘️ (\w+) \w+ .* ✅"")"),"Louer")</f>
        <v>Louer</v>
      </c>
      <c r="G1665" s="2" t="str">
        <f>IFERROR(__xludf.DUMMYFUNCTION("REGEXEXTRACT(C1665, ""🏘️ \w+ (\w+) .* ✅"")"),"appartement")</f>
        <v>appartement</v>
      </c>
      <c r="H1665" s="4" t="str">
        <f>IFERROR(__xludf.DUMMYFUNCTION("REGEXEXTRACT(A1665, ""/(\w+)-.*?"")"),"lieu")</f>
        <v>lieu</v>
      </c>
      <c r="I1665" s="4" t="str">
        <f>IFERROR(__xludf.DUMMYFUNCTION("if(D1665=""variant"",  substitute(filter(Templates!E:E, Templates!A:A = F1665, Templates!B:B = G1665, Templates!C:C = H1665), ""{{}}"", E1665), B1665)"),"🏘  Vous cherchez un appartement à louer à Boulens? ✅ Les annonces les plus actuelles sont sur ImmoScout24.ch.")</f>
        <v>🏘  Vous cherchez un appartement à louer à Boulens? ✅ Les annonces les plus actuelles sont sur ImmoScout24.ch.</v>
      </c>
      <c r="J1665" s="4" t="s">
        <v>4996</v>
      </c>
    </row>
    <row r="1666">
      <c r="A1666" s="5" t="s">
        <v>4997</v>
      </c>
      <c r="B1666" s="2" t="s">
        <v>4998</v>
      </c>
      <c r="C1666" s="4" t="str">
        <f>IFERROR(__xludf.DUMMYFUNCTION("""🏘️ ""&amp;REGEXEXTRACT(B1666, ""^(.*): "")&amp;"" ✅ "" &amp;REGEXEXTRACT(B1666, ""(Trouvez.*)"")"),"🏘️ Vendre maison Menziken ✅ Trouvez le bien immobilier qui correspond idéalement à vos désirs sur ImmoScout24 - La plateforme de l'immobilier en Suisse.")</f>
        <v>🏘️ Vendre maison Menziken ✅ Trouvez le bien immobilier qui correspond idéalement à vos désirs sur ImmoScout24 - La plateforme de l'immobilier en Suisse.</v>
      </c>
      <c r="D1666" s="4" t="str">
        <f>vlookup(A1666, Sheet2!D:E, 2, 0)</f>
        <v>variant</v>
      </c>
      <c r="E1666" s="4" t="str">
        <f>IFERROR(__xludf.DUMMYFUNCTION("if(H1666=""pays"",vlookup(REGEXEXTRACT(C1666, ""🏘️ \w+ \w+ (.*) ✅""),'Country prepositions'!A:B, 2, 0) &amp; "" "" &amp; REGEXEXTRACT(C1666, ""🏘️ \w+ \w+ (.*) ✅"") ,  if(H1666=""quartier"",vlookup(REGEXEXTRACT(C1666, ""🏘️ \w+ \w+ (.*) ✅""),'Quartier prepositio"&amp;"ns'!A:E, 5, 0) ,  if(H1666=""region"",vlookup(REGEXEXTRACT(C1666, ""🏘️ \w+ \w+ (.*) ✅""),'Region prepositions'!B:F, 5, 0),  REGEXEXTRACT(C1666, ""🏘️ \w+ \w+ (.*) ✅""))))"),"Menziken")</f>
        <v>Menziken</v>
      </c>
      <c r="F1666" s="2" t="str">
        <f>IFERROR(__xludf.DUMMYFUNCTION("REGEXEXTRACT(C1666, ""🏘️ (\w+) \w+ .* ✅"")"),"Vendre")</f>
        <v>Vendre</v>
      </c>
      <c r="G1666" s="2" t="str">
        <f>IFERROR(__xludf.DUMMYFUNCTION("REGEXEXTRACT(C1666, ""🏘️ \w+ (\w+) .* ✅"")"),"maison")</f>
        <v>maison</v>
      </c>
      <c r="H1666" s="4" t="str">
        <f>IFERROR(__xludf.DUMMYFUNCTION("REGEXEXTRACT(A1666, ""/(\w+)-.*?"")"),"lieu")</f>
        <v>lieu</v>
      </c>
      <c r="I1666" s="4" t="str">
        <f>IFERROR(__xludf.DUMMYFUNCTION("if(D1666=""variant"",  substitute(filter(Templates!E:E, Templates!A:A = F1666, Templates!B:B = G1666, Templates!C:C = H1666), ""{{}}"", E1666), B1666)"),"🏘  Vous souhaitez acheter une maison à Menziken? ✅ Jetez un œil aux dernières offres sur ImmoScout24.ch.")</f>
        <v>🏘  Vous souhaitez acheter une maison à Menziken? ✅ Jetez un œil aux dernières offres sur ImmoScout24.ch.</v>
      </c>
      <c r="J1666" s="4" t="s">
        <v>4999</v>
      </c>
    </row>
    <row r="1667">
      <c r="A1667" s="5" t="s">
        <v>5000</v>
      </c>
      <c r="B1667" s="2" t="s">
        <v>5001</v>
      </c>
      <c r="C1667" s="4" t="str">
        <f>IFERROR(__xludf.DUMMYFUNCTION("""🏘️ ""&amp;REGEXEXTRACT(B1667, ""^(.*): "")&amp;"" ✅ "" &amp;REGEXEXTRACT(B1667, ""(Trouvez.*)"")"),"🏘️ Louer appartement Saanen ✅ Trouvez le bien immobilier qui correspond idéalement à vos désirs sur ImmoScout24 - La plateforme de l'immobilier en Suisse.")</f>
        <v>🏘️ Louer appartement Saanen ✅ Trouvez le bien immobilier qui correspond idéalement à vos désirs sur ImmoScout24 - La plateforme de l'immobilier en Suisse.</v>
      </c>
      <c r="D1667" s="4" t="str">
        <f>vlookup(A1667, Sheet2!D:E, 2, 0)</f>
        <v>variant</v>
      </c>
      <c r="E1667" s="4" t="str">
        <f>IFERROR(__xludf.DUMMYFUNCTION("if(H1667=""pays"",vlookup(REGEXEXTRACT(C1667, ""🏘️ \w+ \w+ (.*) ✅""),'Country prepositions'!A:B, 2, 0) &amp; "" "" &amp; REGEXEXTRACT(C1667, ""🏘️ \w+ \w+ (.*) ✅"") ,  if(H1667=""quartier"",vlookup(REGEXEXTRACT(C1667, ""🏘️ \w+ \w+ (.*) ✅""),'Quartier prepositio"&amp;"ns'!A:E, 5, 0) ,  if(H1667=""region"",vlookup(REGEXEXTRACT(C1667, ""🏘️ \w+ \w+ (.*) ✅""),'Region prepositions'!B:F, 5, 0),  REGEXEXTRACT(C1667, ""🏘️ \w+ \w+ (.*) ✅""))))"),"Saanen")</f>
        <v>Saanen</v>
      </c>
      <c r="F1667" s="2" t="str">
        <f>IFERROR(__xludf.DUMMYFUNCTION("REGEXEXTRACT(C1667, ""🏘️ (\w+) \w+ .* ✅"")"),"Louer")</f>
        <v>Louer</v>
      </c>
      <c r="G1667" s="2" t="str">
        <f>IFERROR(__xludf.DUMMYFUNCTION("REGEXEXTRACT(C1667, ""🏘️ \w+ (\w+) .* ✅"")"),"appartement")</f>
        <v>appartement</v>
      </c>
      <c r="H1667" s="4" t="str">
        <f>IFERROR(__xludf.DUMMYFUNCTION("REGEXEXTRACT(A1667, ""/(\w+)-.*?"")"),"lieu")</f>
        <v>lieu</v>
      </c>
      <c r="I1667" s="4" t="str">
        <f>IFERROR(__xludf.DUMMYFUNCTION("if(D1667=""variant"",  substitute(filter(Templates!E:E, Templates!A:A = F1667, Templates!B:B = G1667, Templates!C:C = H1667), ""{{}}"", E1667), B1667)"),"🏘  Vous cherchez un appartement à louer à Saanen? ✅ Les annonces les plus actuelles sont sur ImmoScout24.ch.")</f>
        <v>🏘  Vous cherchez un appartement à louer à Saanen? ✅ Les annonces les plus actuelles sont sur ImmoScout24.ch.</v>
      </c>
      <c r="J1667" s="4" t="s">
        <v>5002</v>
      </c>
    </row>
    <row r="1668">
      <c r="A1668" s="5" t="s">
        <v>5003</v>
      </c>
      <c r="B1668" s="2" t="s">
        <v>5004</v>
      </c>
      <c r="C1668" s="4" t="str">
        <f>IFERROR(__xludf.DUMMYFUNCTION("""🏘️ ""&amp;REGEXEXTRACT(B1668, ""^(.*): "")&amp;"" ✅ "" &amp;REGEXEXTRACT(B1668, ""(Trouvez.*)"")"),"🏘️ Vendre maison Suchy ✅ Trouvez le bien immobilier qui correspond idéalement à vos désirs sur ImmoScout24 - La plateforme de l'immobilier en Suisse.")</f>
        <v>🏘️ Vendre maison Suchy ✅ Trouvez le bien immobilier qui correspond idéalement à vos désirs sur ImmoScout24 - La plateforme de l'immobilier en Suisse.</v>
      </c>
      <c r="D1668" s="4" t="str">
        <f>vlookup(A1668, Sheet2!D:E, 2, 0)</f>
        <v>variant</v>
      </c>
      <c r="E1668" s="4" t="str">
        <f>IFERROR(__xludf.DUMMYFUNCTION("if(H1668=""pays"",vlookup(REGEXEXTRACT(C1668, ""🏘️ \w+ \w+ (.*) ✅""),'Country prepositions'!A:B, 2, 0) &amp; "" "" &amp; REGEXEXTRACT(C1668, ""🏘️ \w+ \w+ (.*) ✅"") ,  if(H1668=""quartier"",vlookup(REGEXEXTRACT(C1668, ""🏘️ \w+ \w+ (.*) ✅""),'Quartier prepositio"&amp;"ns'!A:E, 5, 0) ,  if(H1668=""region"",vlookup(REGEXEXTRACT(C1668, ""🏘️ \w+ \w+ (.*) ✅""),'Region prepositions'!B:F, 5, 0),  REGEXEXTRACT(C1668, ""🏘️ \w+ \w+ (.*) ✅""))))"),"Suchy")</f>
        <v>Suchy</v>
      </c>
      <c r="F1668" s="2" t="str">
        <f>IFERROR(__xludf.DUMMYFUNCTION("REGEXEXTRACT(C1668, ""🏘️ (\w+) \w+ .* ✅"")"),"Vendre")</f>
        <v>Vendre</v>
      </c>
      <c r="G1668" s="2" t="str">
        <f>IFERROR(__xludf.DUMMYFUNCTION("REGEXEXTRACT(C1668, ""🏘️ \w+ (\w+) .* ✅"")"),"maison")</f>
        <v>maison</v>
      </c>
      <c r="H1668" s="4" t="str">
        <f>IFERROR(__xludf.DUMMYFUNCTION("REGEXEXTRACT(A1668, ""/(\w+)-.*?"")"),"lieu")</f>
        <v>lieu</v>
      </c>
      <c r="I1668" s="4" t="str">
        <f>IFERROR(__xludf.DUMMYFUNCTION("if(D1668=""variant"",  substitute(filter(Templates!E:E, Templates!A:A = F1668, Templates!B:B = G1668, Templates!C:C = H1668), ""{{}}"", E1668), B1668)"),"🏘  Vous souhaitez acheter une maison à Suchy? ✅ Jetez un œil aux dernières offres sur ImmoScout24.ch.")</f>
        <v>🏘  Vous souhaitez acheter une maison à Suchy? ✅ Jetez un œil aux dernières offres sur ImmoScout24.ch.</v>
      </c>
      <c r="J1668" s="4" t="s">
        <v>5005</v>
      </c>
    </row>
    <row r="1669">
      <c r="A1669" s="5" t="s">
        <v>5006</v>
      </c>
      <c r="B1669" s="2" t="s">
        <v>5007</v>
      </c>
      <c r="C1669" s="4" t="str">
        <f>IFERROR(__xludf.DUMMYFUNCTION("""🏘️ ""&amp;REGEXEXTRACT(B1669, ""^(.*): "")&amp;"" ✅ "" &amp;REGEXEXTRACT(B1669, ""(Trouvez.*)"")"),"🏘️ Vendre appartement Saas-Balen ✅ Trouvez le bien immobilier qui correspond idéalement à vos désirs sur ImmoScout24 - La plateforme de l'immobilier en Suisse.")</f>
        <v>🏘️ Vendre appartement Saas-Balen ✅ Trouvez le bien immobilier qui correspond idéalement à vos désirs sur ImmoScout24 - La plateforme de l'immobilier en Suisse.</v>
      </c>
      <c r="D1669" s="4" t="str">
        <f>vlookup(A1669, Sheet2!D:E, 2, 0)</f>
        <v>variant</v>
      </c>
      <c r="E1669" s="4" t="str">
        <f>IFERROR(__xludf.DUMMYFUNCTION("if(H1669=""pays"",vlookup(REGEXEXTRACT(C1669, ""🏘️ \w+ \w+ (.*) ✅""),'Country prepositions'!A:B, 2, 0) &amp; "" "" &amp; REGEXEXTRACT(C1669, ""🏘️ \w+ \w+ (.*) ✅"") ,  if(H1669=""quartier"",vlookup(REGEXEXTRACT(C1669, ""🏘️ \w+ \w+ (.*) ✅""),'Quartier prepositio"&amp;"ns'!A:E, 5, 0) ,  if(H1669=""region"",vlookup(REGEXEXTRACT(C1669, ""🏘️ \w+ \w+ (.*) ✅""),'Region prepositions'!B:F, 5, 0),  REGEXEXTRACT(C1669, ""🏘️ \w+ \w+ (.*) ✅""))))"),"Saas-Balen")</f>
        <v>Saas-Balen</v>
      </c>
      <c r="F1669" s="2" t="str">
        <f>IFERROR(__xludf.DUMMYFUNCTION("REGEXEXTRACT(C1669, ""🏘️ (\w+) \w+ .* ✅"")"),"Vendre")</f>
        <v>Vendre</v>
      </c>
      <c r="G1669" s="2" t="str">
        <f>IFERROR(__xludf.DUMMYFUNCTION("REGEXEXTRACT(C1669, ""🏘️ \w+ (\w+) .* ✅"")"),"appartement")</f>
        <v>appartement</v>
      </c>
      <c r="H1669" s="4" t="str">
        <f>IFERROR(__xludf.DUMMYFUNCTION("REGEXEXTRACT(A1669, ""/(\w+)-.*?"")"),"lieu")</f>
        <v>lieu</v>
      </c>
      <c r="I1669" s="4" t="str">
        <f>IFERROR(__xludf.DUMMYFUNCTION("if(D1669=""variant"",  substitute(filter(Templates!E:E, Templates!A:A = F1669, Templates!B:B = G1669, Templates!C:C = H1669), ""{{}}"", E1669), B1669)"),"🏘  L’appartement de vos rêves se trouve sur ImmoScout24.ch ✅ Découvrez les dernières annonces de vente à Saas-Balen.")</f>
        <v>🏘  L’appartement de vos rêves se trouve sur ImmoScout24.ch ✅ Découvrez les dernières annonces de vente à Saas-Balen.</v>
      </c>
      <c r="J1669" s="4" t="s">
        <v>5008</v>
      </c>
    </row>
    <row r="1670">
      <c r="A1670" s="5" t="s">
        <v>5009</v>
      </c>
      <c r="B1670" s="2" t="s">
        <v>5010</v>
      </c>
      <c r="C1670" s="4" t="str">
        <f>IFERROR(__xludf.DUMMYFUNCTION("""🏘️ ""&amp;REGEXEXTRACT(B1670, ""^(.*): "")&amp;"" ✅ "" &amp;REGEXEXTRACT(B1670, ""(Trouvez.*)"")"),"🏘️ Louer appartement Frenkendorf ✅ Trouvez le bien immobilier qui correspond idéalement à vos désirs sur ImmoScout24 - La plateforme de l'immobilier en Suisse.")</f>
        <v>🏘️ Louer appartement Frenkendorf ✅ Trouvez le bien immobilier qui correspond idéalement à vos désirs sur ImmoScout24 - La plateforme de l'immobilier en Suisse.</v>
      </c>
      <c r="D1670" s="4" t="str">
        <f>vlookup(A1670, Sheet2!D:E, 2, 0)</f>
        <v>variant</v>
      </c>
      <c r="E1670" s="4" t="str">
        <f>IFERROR(__xludf.DUMMYFUNCTION("if(H1670=""pays"",vlookup(REGEXEXTRACT(C1670, ""🏘️ \w+ \w+ (.*) ✅""),'Country prepositions'!A:B, 2, 0) &amp; "" "" &amp; REGEXEXTRACT(C1670, ""🏘️ \w+ \w+ (.*) ✅"") ,  if(H1670=""quartier"",vlookup(REGEXEXTRACT(C1670, ""🏘️ \w+ \w+ (.*) ✅""),'Quartier prepositio"&amp;"ns'!A:E, 5, 0) ,  if(H1670=""region"",vlookup(REGEXEXTRACT(C1670, ""🏘️ \w+ \w+ (.*) ✅""),'Region prepositions'!B:F, 5, 0),  REGEXEXTRACT(C1670, ""🏘️ \w+ \w+ (.*) ✅""))))"),"Frenkendorf")</f>
        <v>Frenkendorf</v>
      </c>
      <c r="F1670" s="2" t="str">
        <f>IFERROR(__xludf.DUMMYFUNCTION("REGEXEXTRACT(C1670, ""🏘️ (\w+) \w+ .* ✅"")"),"Louer")</f>
        <v>Louer</v>
      </c>
      <c r="G1670" s="2" t="str">
        <f>IFERROR(__xludf.DUMMYFUNCTION("REGEXEXTRACT(C1670, ""🏘️ \w+ (\w+) .* ✅"")"),"appartement")</f>
        <v>appartement</v>
      </c>
      <c r="H1670" s="4" t="str">
        <f>IFERROR(__xludf.DUMMYFUNCTION("REGEXEXTRACT(A1670, ""/(\w+)-.*?"")"),"lieu")</f>
        <v>lieu</v>
      </c>
      <c r="I1670" s="4" t="str">
        <f>IFERROR(__xludf.DUMMYFUNCTION("if(D1670=""variant"",  substitute(filter(Templates!E:E, Templates!A:A = F1670, Templates!B:B = G1670, Templates!C:C = H1670), ""{{}}"", E1670), B1670)"),"🏘  Vous cherchez un appartement à louer à Frenkendorf? ✅ Les annonces les plus actuelles sont sur ImmoScout24.ch.")</f>
        <v>🏘  Vous cherchez un appartement à louer à Frenkendorf? ✅ Les annonces les plus actuelles sont sur ImmoScout24.ch.</v>
      </c>
      <c r="J1670" s="4" t="s">
        <v>5011</v>
      </c>
    </row>
    <row r="1671">
      <c r="A1671" s="5" t="s">
        <v>5012</v>
      </c>
      <c r="B1671" s="2" t="s">
        <v>5013</v>
      </c>
      <c r="C1671" s="4" t="str">
        <f>IFERROR(__xludf.DUMMYFUNCTION("""🏘️ ""&amp;REGEXEXTRACT(B1671, ""^(.*): "")&amp;"" ✅ "" &amp;REGEXEXTRACT(B1671, ""(Trouvez.*)"")"),"🏘️ Vendre maison Les Vérines (Chamoson) ✅ Trouvez le bien immobilier qui correspond idéalement à vos désirs sur ImmoScout24 - La plateforme de l'immobilier en Suisse.")</f>
        <v>🏘️ Vendre maison Les Vérines (Chamoson) ✅ Trouvez le bien immobilier qui correspond idéalement à vos désirs sur ImmoScout24 - La plateforme de l'immobilier en Suisse.</v>
      </c>
      <c r="D1671" s="4" t="str">
        <f>vlookup(A1671, Sheet2!D:E, 2, 0)</f>
        <v>variant</v>
      </c>
      <c r="E1671" s="4" t="str">
        <f>IFERROR(__xludf.DUMMYFUNCTION("if(H1671=""pays"",vlookup(REGEXEXTRACT(C1671, ""🏘️ \w+ \w+ (.*) ✅""),'Country prepositions'!A:B, 2, 0) &amp; "" "" &amp; REGEXEXTRACT(C1671, ""🏘️ \w+ \w+ (.*) ✅"") ,  if(H1671=""quartier"",vlookup(REGEXEXTRACT(C1671, ""🏘️ \w+ \w+ (.*) ✅""),'Quartier prepositio"&amp;"ns'!A:E, 5, 0) ,  if(H1671=""region"",vlookup(REGEXEXTRACT(C1671, ""🏘️ \w+ \w+ (.*) ✅""),'Region prepositions'!B:F, 5, 0),  REGEXEXTRACT(C1671, ""🏘️ \w+ \w+ (.*) ✅""))))"),"Les Vérines (Chamoson)")</f>
        <v>Les Vérines (Chamoson)</v>
      </c>
      <c r="F1671" s="2" t="str">
        <f>IFERROR(__xludf.DUMMYFUNCTION("REGEXEXTRACT(C1671, ""🏘️ (\w+) \w+ .* ✅"")"),"Vendre")</f>
        <v>Vendre</v>
      </c>
      <c r="G1671" s="2" t="str">
        <f>IFERROR(__xludf.DUMMYFUNCTION("REGEXEXTRACT(C1671, ""🏘️ \w+ (\w+) .* ✅"")"),"maison")</f>
        <v>maison</v>
      </c>
      <c r="H1671" s="4" t="str">
        <f>IFERROR(__xludf.DUMMYFUNCTION("REGEXEXTRACT(A1671, ""/(\w+)-.*?"")"),"lieu")</f>
        <v>lieu</v>
      </c>
      <c r="I1671" s="4" t="str">
        <f>IFERROR(__xludf.DUMMYFUNCTION("if(D1671=""variant"",  substitute(filter(Templates!E:E, Templates!A:A = F1671, Templates!B:B = G1671, Templates!C:C = H1671), ""{{}}"", E1671), B1671)"),"🏘  Vous souhaitez acheter une maison à Les Vérines (Chamoson)? ✅ Jetez un œil aux dernières offres sur ImmoScout24.ch.")</f>
        <v>🏘  Vous souhaitez acheter une maison à Les Vérines (Chamoson)? ✅ Jetez un œil aux dernières offres sur ImmoScout24.ch.</v>
      </c>
      <c r="J1671" s="2" t="s">
        <v>5014</v>
      </c>
    </row>
    <row r="1672">
      <c r="A1672" s="5" t="s">
        <v>5015</v>
      </c>
      <c r="B1672" s="2" t="s">
        <v>5016</v>
      </c>
      <c r="C1672" s="4" t="str">
        <f>IFERROR(__xludf.DUMMYFUNCTION("""🏘️ ""&amp;REGEXEXTRACT(B1672, ""^(.*): "")&amp;"" ✅ "" &amp;REGEXEXTRACT(B1672, ""(Trouvez.*)"")"),"🏘️ Louer appartement Berneck ✅ Trouvez le bien immobilier qui correspond idéalement à vos désirs sur ImmoScout24 - La plateforme de l'immobilier en Suisse.")</f>
        <v>🏘️ Louer appartement Berneck ✅ Trouvez le bien immobilier qui correspond idéalement à vos désirs sur ImmoScout24 - La plateforme de l'immobilier en Suisse.</v>
      </c>
      <c r="D1672" s="4" t="str">
        <f>vlookup(A1672, Sheet2!D:E, 2, 0)</f>
        <v>variant</v>
      </c>
      <c r="E1672" s="4" t="str">
        <f>IFERROR(__xludf.DUMMYFUNCTION("if(H1672=""pays"",vlookup(REGEXEXTRACT(C1672, ""🏘️ \w+ \w+ (.*) ✅""),'Country prepositions'!A:B, 2, 0) &amp; "" "" &amp; REGEXEXTRACT(C1672, ""🏘️ \w+ \w+ (.*) ✅"") ,  if(H1672=""quartier"",vlookup(REGEXEXTRACT(C1672, ""🏘️ \w+ \w+ (.*) ✅""),'Quartier prepositio"&amp;"ns'!A:E, 5, 0) ,  if(H1672=""region"",vlookup(REGEXEXTRACT(C1672, ""🏘️ \w+ \w+ (.*) ✅""),'Region prepositions'!B:F, 5, 0),  REGEXEXTRACT(C1672, ""🏘️ \w+ \w+ (.*) ✅""))))"),"Berneck")</f>
        <v>Berneck</v>
      </c>
      <c r="F1672" s="2" t="str">
        <f>IFERROR(__xludf.DUMMYFUNCTION("REGEXEXTRACT(C1672, ""🏘️ (\w+) \w+ .* ✅"")"),"Louer")</f>
        <v>Louer</v>
      </c>
      <c r="G1672" s="2" t="str">
        <f>IFERROR(__xludf.DUMMYFUNCTION("REGEXEXTRACT(C1672, ""🏘️ \w+ (\w+) .* ✅"")"),"appartement")</f>
        <v>appartement</v>
      </c>
      <c r="H1672" s="4" t="str">
        <f>IFERROR(__xludf.DUMMYFUNCTION("REGEXEXTRACT(A1672, ""/(\w+)-.*?"")"),"lieu")</f>
        <v>lieu</v>
      </c>
      <c r="I1672" s="4" t="str">
        <f>IFERROR(__xludf.DUMMYFUNCTION("if(D1672=""variant"",  substitute(filter(Templates!E:E, Templates!A:A = F1672, Templates!B:B = G1672, Templates!C:C = H1672), ""{{}}"", E1672), B1672)"),"🏘  Vous cherchez un appartement à louer à Berneck? ✅ Les annonces les plus actuelles sont sur ImmoScout24.ch.")</f>
        <v>🏘  Vous cherchez un appartement à louer à Berneck? ✅ Les annonces les plus actuelles sont sur ImmoScout24.ch.</v>
      </c>
      <c r="J1672" s="4" t="s">
        <v>5017</v>
      </c>
    </row>
    <row r="1673">
      <c r="A1673" s="5" t="s">
        <v>5018</v>
      </c>
      <c r="B1673" s="2" t="s">
        <v>5019</v>
      </c>
      <c r="C1673" s="4" t="str">
        <f>IFERROR(__xludf.DUMMYFUNCTION("""🏘️ ""&amp;REGEXEXTRACT(B1673, ""^(.*): "")&amp;"" ✅ "" &amp;REGEXEXTRACT(B1673, ""(Trouvez.*)"")"),"🏘️ Vendre maison Cassarate (Lugano) ✅ Trouvez le bien immobilier qui correspond idéalement à vos désirs sur ImmoScout24 - La plateforme de l'immobilier en Suisse.")</f>
        <v>🏘️ Vendre maison Cassarate (Lugano) ✅ Trouvez le bien immobilier qui correspond idéalement à vos désirs sur ImmoScout24 - La plateforme de l'immobilier en Suisse.</v>
      </c>
      <c r="D1673" s="4" t="str">
        <f>vlookup(A1673, Sheet2!D:E, 2, 0)</f>
        <v>variant</v>
      </c>
      <c r="E1673" s="4" t="str">
        <f>IFERROR(__xludf.DUMMYFUNCTION("if(H1673=""pays"",vlookup(REGEXEXTRACT(C1673, ""🏘️ \w+ \w+ (.*) ✅""),'Country prepositions'!A:B, 2, 0) &amp; "" "" &amp; REGEXEXTRACT(C1673, ""🏘️ \w+ \w+ (.*) ✅"") ,  if(H1673=""quartier"",vlookup(REGEXEXTRACT(C1673, ""🏘️ \w+ \w+ (.*) ✅""),'Quartier prepositio"&amp;"ns'!A:E, 5, 0) ,  if(H1673=""region"",vlookup(REGEXEXTRACT(C1673, ""🏘️ \w+ \w+ (.*) ✅""),'Region prepositions'!B:F, 5, 0),  REGEXEXTRACT(C1673, ""🏘️ \w+ \w+ (.*) ✅""))))"),"dans le quartier de Cassarate (Lugano)")</f>
        <v>dans le quartier de Cassarate (Lugano)</v>
      </c>
      <c r="F1673" s="2" t="str">
        <f>IFERROR(__xludf.DUMMYFUNCTION("REGEXEXTRACT(C1673, ""🏘️ (\w+) \w+ .* ✅"")"),"Vendre")</f>
        <v>Vendre</v>
      </c>
      <c r="G1673" s="2" t="str">
        <f>IFERROR(__xludf.DUMMYFUNCTION("REGEXEXTRACT(C1673, ""🏘️ \w+ (\w+) .* ✅"")"),"maison")</f>
        <v>maison</v>
      </c>
      <c r="H1673" s="4" t="str">
        <f>IFERROR(__xludf.DUMMYFUNCTION("REGEXEXTRACT(A1673, ""/(\w+)-.*?"")"),"quartier")</f>
        <v>quartier</v>
      </c>
      <c r="I1673" s="4" t="str">
        <f>IFERROR(__xludf.DUMMYFUNCTION("if(D1673=""variant"",  substitute(filter(Templates!E:E, Templates!A:A = F1673, Templates!B:B = G1673, Templates!C:C = H1673), ""{{}}"", E1673), B1673)"),"🏘  Vous souhaitez acheter une maison dans le quartier de Cassarate (Lugano)? ✅ Jetez un œil aux dernières offres sur ImmoScout24.ch.")</f>
        <v>🏘  Vous souhaitez acheter une maison dans le quartier de Cassarate (Lugano)? ✅ Jetez un œil aux dernières offres sur ImmoScout24.ch.</v>
      </c>
      <c r="J1673" s="4" t="s">
        <v>5020</v>
      </c>
    </row>
    <row r="1674">
      <c r="A1674" s="5" t="s">
        <v>5021</v>
      </c>
      <c r="B1674" s="2" t="s">
        <v>5022</v>
      </c>
      <c r="C1674" s="4" t="str">
        <f>IFERROR(__xludf.DUMMYFUNCTION("""🏘️ ""&amp;REGEXEXTRACT(B1674, ""^(.*): "")&amp;"" ✅ "" &amp;REGEXEXTRACT(B1674, ""(Trouvez.*)"")"),"🏘️ Louer appartement Salgesch ✅ Trouvez le bien immobilier qui correspond idéalement à vos désirs sur ImmoScout24 - La plateforme de l'immobilier en Suisse.")</f>
        <v>🏘️ Louer appartement Salgesch ✅ Trouvez le bien immobilier qui correspond idéalement à vos désirs sur ImmoScout24 - La plateforme de l'immobilier en Suisse.</v>
      </c>
      <c r="D1674" s="4" t="str">
        <f>vlookup(A1674, Sheet2!D:E, 2, 0)</f>
        <v>variant</v>
      </c>
      <c r="E1674" s="4" t="str">
        <f>IFERROR(__xludf.DUMMYFUNCTION("if(H1674=""pays"",vlookup(REGEXEXTRACT(C1674, ""🏘️ \w+ \w+ (.*) ✅""),'Country prepositions'!A:B, 2, 0) &amp; "" "" &amp; REGEXEXTRACT(C1674, ""🏘️ \w+ \w+ (.*) ✅"") ,  if(H1674=""quartier"",vlookup(REGEXEXTRACT(C1674, ""🏘️ \w+ \w+ (.*) ✅""),'Quartier prepositio"&amp;"ns'!A:E, 5, 0) ,  if(H1674=""region"",vlookup(REGEXEXTRACT(C1674, ""🏘️ \w+ \w+ (.*) ✅""),'Region prepositions'!B:F, 5, 0),  REGEXEXTRACT(C1674, ""🏘️ \w+ \w+ (.*) ✅""))))"),"Salgesch")</f>
        <v>Salgesch</v>
      </c>
      <c r="F1674" s="2" t="str">
        <f>IFERROR(__xludf.DUMMYFUNCTION("REGEXEXTRACT(C1674, ""🏘️ (\w+) \w+ .* ✅"")"),"Louer")</f>
        <v>Louer</v>
      </c>
      <c r="G1674" s="2" t="str">
        <f>IFERROR(__xludf.DUMMYFUNCTION("REGEXEXTRACT(C1674, ""🏘️ \w+ (\w+) .* ✅"")"),"appartement")</f>
        <v>appartement</v>
      </c>
      <c r="H1674" s="4" t="str">
        <f>IFERROR(__xludf.DUMMYFUNCTION("REGEXEXTRACT(A1674, ""/(\w+)-.*?"")"),"lieu")</f>
        <v>lieu</v>
      </c>
      <c r="I1674" s="4" t="str">
        <f>IFERROR(__xludf.DUMMYFUNCTION("if(D1674=""variant"",  substitute(filter(Templates!E:E, Templates!A:A = F1674, Templates!B:B = G1674, Templates!C:C = H1674), ""{{}}"", E1674), B1674)"),"🏘  Vous cherchez un appartement à louer à Salgesch? ✅ Les annonces les plus actuelles sont sur ImmoScout24.ch.")</f>
        <v>🏘  Vous cherchez un appartement à louer à Salgesch? ✅ Les annonces les plus actuelles sont sur ImmoScout24.ch.</v>
      </c>
      <c r="J1674" s="4" t="s">
        <v>5023</v>
      </c>
    </row>
    <row r="1675">
      <c r="A1675" s="5" t="s">
        <v>5024</v>
      </c>
      <c r="B1675" s="2" t="s">
        <v>5025</v>
      </c>
      <c r="C1675" s="4" t="str">
        <f>IFERROR(__xludf.DUMMYFUNCTION("""🏘️ ""&amp;REGEXEXTRACT(B1675, ""^(.*): "")&amp;"" ✅ "" &amp;REGEXEXTRACT(B1675, ""(Trouvez.*)"")"),"🏘️ Louer appartement Combremont-le-Grand ✅ Trouvez le bien immobilier qui correspond idéalement à vos désirs sur ImmoScout24 - La plateforme de l'immobilier en Suisse.")</f>
        <v>🏘️ Louer appartement Combremont-le-Grand ✅ Trouvez le bien immobilier qui correspond idéalement à vos désirs sur ImmoScout24 - La plateforme de l'immobilier en Suisse.</v>
      </c>
      <c r="D1675" s="4" t="str">
        <f>vlookup(A1675, Sheet2!D:E, 2, 0)</f>
        <v>variant</v>
      </c>
      <c r="E1675" s="4" t="str">
        <f>IFERROR(__xludf.DUMMYFUNCTION("if(H1675=""pays"",vlookup(REGEXEXTRACT(C1675, ""🏘️ \w+ \w+ (.*) ✅""),'Country prepositions'!A:B, 2, 0) &amp; "" "" &amp; REGEXEXTRACT(C1675, ""🏘️ \w+ \w+ (.*) ✅"") ,  if(H1675=""quartier"",vlookup(REGEXEXTRACT(C1675, ""🏘️ \w+ \w+ (.*) ✅""),'Quartier prepositio"&amp;"ns'!A:E, 5, 0) ,  if(H1675=""region"",vlookup(REGEXEXTRACT(C1675, ""🏘️ \w+ \w+ (.*) ✅""),'Region prepositions'!B:F, 5, 0),  REGEXEXTRACT(C1675, ""🏘️ \w+ \w+ (.*) ✅""))))"),"Combremont-le-Grand")</f>
        <v>Combremont-le-Grand</v>
      </c>
      <c r="F1675" s="2" t="str">
        <f>IFERROR(__xludf.DUMMYFUNCTION("REGEXEXTRACT(C1675, ""🏘️ (\w+) \w+ .* ✅"")"),"Louer")</f>
        <v>Louer</v>
      </c>
      <c r="G1675" s="2" t="str">
        <f>IFERROR(__xludf.DUMMYFUNCTION("REGEXEXTRACT(C1675, ""🏘️ \w+ (\w+) .* ✅"")"),"appartement")</f>
        <v>appartement</v>
      </c>
      <c r="H1675" s="4" t="str">
        <f>IFERROR(__xludf.DUMMYFUNCTION("REGEXEXTRACT(A1675, ""/(\w+)-.*?"")"),"lieu")</f>
        <v>lieu</v>
      </c>
      <c r="I1675" s="4" t="str">
        <f>IFERROR(__xludf.DUMMYFUNCTION("if(D1675=""variant"",  substitute(filter(Templates!E:E, Templates!A:A = F1675, Templates!B:B = G1675, Templates!C:C = H1675), ""{{}}"", E1675), B1675)"),"🏘  Vous cherchez un appartement à louer à Combremont-le-Grand? ✅ Les annonces les plus actuelles sont sur ImmoScout24.ch.")</f>
        <v>🏘  Vous cherchez un appartement à louer à Combremont-le-Grand? ✅ Les annonces les plus actuelles sont sur ImmoScout24.ch.</v>
      </c>
      <c r="J1675" s="4" t="s">
        <v>5026</v>
      </c>
    </row>
    <row r="1676">
      <c r="A1676" s="5" t="s">
        <v>5027</v>
      </c>
      <c r="B1676" s="2" t="s">
        <v>5028</v>
      </c>
      <c r="C1676" s="4" t="str">
        <f>IFERROR(__xludf.DUMMYFUNCTION("""🏘️ ""&amp;REGEXEXTRACT(B1676, ""^(.*): "")&amp;"" ✅ "" &amp;REGEXEXTRACT(B1676, ""(Trouvez.*)"")"),"🏘️ Vendre appartement Fenin ✅ Trouvez le bien immobilier qui correspond idéalement à vos désirs sur ImmoScout24 - La plateforme de l'immobilier en Suisse.")</f>
        <v>🏘️ Vendre appartement Fenin ✅ Trouvez le bien immobilier qui correspond idéalement à vos désirs sur ImmoScout24 - La plateforme de l'immobilier en Suisse.</v>
      </c>
      <c r="D1676" s="4" t="str">
        <f>vlookup(A1676, Sheet2!D:E, 2, 0)</f>
        <v>variant</v>
      </c>
      <c r="E1676" s="4" t="str">
        <f>IFERROR(__xludf.DUMMYFUNCTION("if(H1676=""pays"",vlookup(REGEXEXTRACT(C1676, ""🏘️ \w+ \w+ (.*) ✅""),'Country prepositions'!A:B, 2, 0) &amp; "" "" &amp; REGEXEXTRACT(C1676, ""🏘️ \w+ \w+ (.*) ✅"") ,  if(H1676=""quartier"",vlookup(REGEXEXTRACT(C1676, ""🏘️ \w+ \w+ (.*) ✅""),'Quartier prepositio"&amp;"ns'!A:E, 5, 0) ,  if(H1676=""region"",vlookup(REGEXEXTRACT(C1676, ""🏘️ \w+ \w+ (.*) ✅""),'Region prepositions'!B:F, 5, 0),  REGEXEXTRACT(C1676, ""🏘️ \w+ \w+ (.*) ✅""))))"),"Fenin")</f>
        <v>Fenin</v>
      </c>
      <c r="F1676" s="2" t="str">
        <f>IFERROR(__xludf.DUMMYFUNCTION("REGEXEXTRACT(C1676, ""🏘️ (\w+) \w+ .* ✅"")"),"Vendre")</f>
        <v>Vendre</v>
      </c>
      <c r="G1676" s="2" t="str">
        <f>IFERROR(__xludf.DUMMYFUNCTION("REGEXEXTRACT(C1676, ""🏘️ \w+ (\w+) .* ✅"")"),"appartement")</f>
        <v>appartement</v>
      </c>
      <c r="H1676" s="4" t="str">
        <f>IFERROR(__xludf.DUMMYFUNCTION("REGEXEXTRACT(A1676, ""/(\w+)-.*?"")"),"lieu")</f>
        <v>lieu</v>
      </c>
      <c r="I1676" s="4" t="str">
        <f>IFERROR(__xludf.DUMMYFUNCTION("if(D1676=""variant"",  substitute(filter(Templates!E:E, Templates!A:A = F1676, Templates!B:B = G1676, Templates!C:C = H1676), ""{{}}"", E1676), B1676)"),"🏘  L’appartement de vos rêves se trouve sur ImmoScout24.ch ✅ Découvrez les dernières annonces de vente à Fenin.")</f>
        <v>🏘  L’appartement de vos rêves se trouve sur ImmoScout24.ch ✅ Découvrez les dernières annonces de vente à Fenin.</v>
      </c>
      <c r="J1676" s="4" t="s">
        <v>5029</v>
      </c>
    </row>
    <row r="1677">
      <c r="A1677" s="5" t="s">
        <v>5030</v>
      </c>
      <c r="B1677" s="2" t="s">
        <v>5031</v>
      </c>
      <c r="C1677" s="4" t="str">
        <f>IFERROR(__xludf.DUMMYFUNCTION("""🏘️ ""&amp;REGEXEXTRACT(B1677, ""^(.*): "")&amp;"" ✅ "" &amp;REGEXEXTRACT(B1677, ""(Trouvez.*)"")"),"🏘️ Vendre appartement Les Crosets ✅ Trouvez le bien immobilier qui correspond idéalement à vos désirs sur ImmoScout24 - La plateforme de l'immobilier en Suisse.")</f>
        <v>🏘️ Vendre appartement Les Crosets ✅ Trouvez le bien immobilier qui correspond idéalement à vos désirs sur ImmoScout24 - La plateforme de l'immobilier en Suisse.</v>
      </c>
      <c r="D1677" s="4" t="str">
        <f>vlookup(A1677, Sheet2!D:E, 2, 0)</f>
        <v>variant</v>
      </c>
      <c r="E1677" s="4" t="str">
        <f>IFERROR(__xludf.DUMMYFUNCTION("if(H1677=""pays"",vlookup(REGEXEXTRACT(C1677, ""🏘️ \w+ \w+ (.*) ✅""),'Country prepositions'!A:B, 2, 0) &amp; "" "" &amp; REGEXEXTRACT(C1677, ""🏘️ \w+ \w+ (.*) ✅"") ,  if(H1677=""quartier"",vlookup(REGEXEXTRACT(C1677, ""🏘️ \w+ \w+ (.*) ✅""),'Quartier prepositio"&amp;"ns'!A:E, 5, 0) ,  if(H1677=""region"",vlookup(REGEXEXTRACT(C1677, ""🏘️ \w+ \w+ (.*) ✅""),'Region prepositions'!B:F, 5, 0),  REGEXEXTRACT(C1677, ""🏘️ \w+ \w+ (.*) ✅""))))"),"Les Crosets")</f>
        <v>Les Crosets</v>
      </c>
      <c r="F1677" s="2" t="str">
        <f>IFERROR(__xludf.DUMMYFUNCTION("REGEXEXTRACT(C1677, ""🏘️ (\w+) \w+ .* ✅"")"),"Vendre")</f>
        <v>Vendre</v>
      </c>
      <c r="G1677" s="2" t="str">
        <f>IFERROR(__xludf.DUMMYFUNCTION("REGEXEXTRACT(C1677, ""🏘️ \w+ (\w+) .* ✅"")"),"appartement")</f>
        <v>appartement</v>
      </c>
      <c r="H1677" s="4" t="str">
        <f>IFERROR(__xludf.DUMMYFUNCTION("REGEXEXTRACT(A1677, ""/(\w+)-.*?"")"),"lieu")</f>
        <v>lieu</v>
      </c>
      <c r="I1677" s="4" t="str">
        <f>IFERROR(__xludf.DUMMYFUNCTION("if(D1677=""variant"",  substitute(filter(Templates!E:E, Templates!A:A = F1677, Templates!B:B = G1677, Templates!C:C = H1677), ""{{}}"", E1677), B1677)"),"🏘  L’appartement de vos rêves se trouve sur ImmoScout24.ch ✅ Découvrez les dernières annonces de vente à Les Crosets.")</f>
        <v>🏘  L’appartement de vos rêves se trouve sur ImmoScout24.ch ✅ Découvrez les dernières annonces de vente à Les Crosets.</v>
      </c>
      <c r="J1677" s="2" t="s">
        <v>5032</v>
      </c>
    </row>
    <row r="1678">
      <c r="A1678" s="5" t="s">
        <v>5033</v>
      </c>
      <c r="B1678" s="2" t="s">
        <v>5034</v>
      </c>
      <c r="C1678" s="4" t="str">
        <f>IFERROR(__xludf.DUMMYFUNCTION("""🏘️ ""&amp;REGEXEXTRACT(B1678, ""^(.*): "")&amp;"" ✅ "" &amp;REGEXEXTRACT(B1678, ""(Trouvez.*)"")"),"🏘️ Vendre maison Gorgier ✅ Trouvez le bien immobilier qui correspond idéalement à vos désirs sur ImmoScout24 - La plateforme de l'immobilier en Suisse.")</f>
        <v>🏘️ Vendre maison Gorgier ✅ Trouvez le bien immobilier qui correspond idéalement à vos désirs sur ImmoScout24 - La plateforme de l'immobilier en Suisse.</v>
      </c>
      <c r="D1678" s="4" t="str">
        <f>vlookup(A1678, Sheet2!D:E, 2, 0)</f>
        <v>variant</v>
      </c>
      <c r="E1678" s="4" t="str">
        <f>IFERROR(__xludf.DUMMYFUNCTION("if(H1678=""pays"",vlookup(REGEXEXTRACT(C1678, ""🏘️ \w+ \w+ (.*) ✅""),'Country prepositions'!A:B, 2, 0) &amp; "" "" &amp; REGEXEXTRACT(C1678, ""🏘️ \w+ \w+ (.*) ✅"") ,  if(H1678=""quartier"",vlookup(REGEXEXTRACT(C1678, ""🏘️ \w+ \w+ (.*) ✅""),'Quartier prepositio"&amp;"ns'!A:E, 5, 0) ,  if(H1678=""region"",vlookup(REGEXEXTRACT(C1678, ""🏘️ \w+ \w+ (.*) ✅""),'Region prepositions'!B:F, 5, 0),  REGEXEXTRACT(C1678, ""🏘️ \w+ \w+ (.*) ✅""))))"),"Gorgier")</f>
        <v>Gorgier</v>
      </c>
      <c r="F1678" s="2" t="str">
        <f>IFERROR(__xludf.DUMMYFUNCTION("REGEXEXTRACT(C1678, ""🏘️ (\w+) \w+ .* ✅"")"),"Vendre")</f>
        <v>Vendre</v>
      </c>
      <c r="G1678" s="2" t="str">
        <f>IFERROR(__xludf.DUMMYFUNCTION("REGEXEXTRACT(C1678, ""🏘️ \w+ (\w+) .* ✅"")"),"maison")</f>
        <v>maison</v>
      </c>
      <c r="H1678" s="4" t="str">
        <f>IFERROR(__xludf.DUMMYFUNCTION("REGEXEXTRACT(A1678, ""/(\w+)-.*?"")"),"lieu")</f>
        <v>lieu</v>
      </c>
      <c r="I1678" s="4" t="str">
        <f>IFERROR(__xludf.DUMMYFUNCTION("if(D1678=""variant"",  substitute(filter(Templates!E:E, Templates!A:A = F1678, Templates!B:B = G1678, Templates!C:C = H1678), ""{{}}"", E1678), B1678)"),"🏘  Vous souhaitez acheter une maison à Gorgier? ✅ Jetez un œil aux dernières offres sur ImmoScout24.ch.")</f>
        <v>🏘  Vous souhaitez acheter une maison à Gorgier? ✅ Jetez un œil aux dernières offres sur ImmoScout24.ch.</v>
      </c>
      <c r="J1678" s="4" t="s">
        <v>5035</v>
      </c>
    </row>
    <row r="1679">
      <c r="A1679" s="5" t="s">
        <v>5036</v>
      </c>
      <c r="B1679" s="2" t="s">
        <v>5037</v>
      </c>
      <c r="C1679" s="4" t="str">
        <f>IFERROR(__xludf.DUMMYFUNCTION("""🏘️ ""&amp;REGEXEXTRACT(B1679, ""^(.*): "")&amp;"" ✅ "" &amp;REGEXEXTRACT(B1679, ""(Trouvez.*)"")"),"🏘️ Vendre maison Rechthalten ✅ Trouvez le bien immobilier qui correspond idéalement à vos désirs sur ImmoScout24 - La plateforme de l'immobilier en Suisse.")</f>
        <v>🏘️ Vendre maison Rechthalten ✅ Trouvez le bien immobilier qui correspond idéalement à vos désirs sur ImmoScout24 - La plateforme de l'immobilier en Suisse.</v>
      </c>
      <c r="D1679" s="4" t="str">
        <f>vlookup(A1679, Sheet2!D:E, 2, 0)</f>
        <v>variant</v>
      </c>
      <c r="E1679" s="4" t="str">
        <f>IFERROR(__xludf.DUMMYFUNCTION("if(H1679=""pays"",vlookup(REGEXEXTRACT(C1679, ""🏘️ \w+ \w+ (.*) ✅""),'Country prepositions'!A:B, 2, 0) &amp; "" "" &amp; REGEXEXTRACT(C1679, ""🏘️ \w+ \w+ (.*) ✅"") ,  if(H1679=""quartier"",vlookup(REGEXEXTRACT(C1679, ""🏘️ \w+ \w+ (.*) ✅""),'Quartier prepositio"&amp;"ns'!A:E, 5, 0) ,  if(H1679=""region"",vlookup(REGEXEXTRACT(C1679, ""🏘️ \w+ \w+ (.*) ✅""),'Region prepositions'!B:F, 5, 0),  REGEXEXTRACT(C1679, ""🏘️ \w+ \w+ (.*) ✅""))))"),"Rechthalten")</f>
        <v>Rechthalten</v>
      </c>
      <c r="F1679" s="2" t="str">
        <f>IFERROR(__xludf.DUMMYFUNCTION("REGEXEXTRACT(C1679, ""🏘️ (\w+) \w+ .* ✅"")"),"Vendre")</f>
        <v>Vendre</v>
      </c>
      <c r="G1679" s="2" t="str">
        <f>IFERROR(__xludf.DUMMYFUNCTION("REGEXEXTRACT(C1679, ""🏘️ \w+ (\w+) .* ✅"")"),"maison")</f>
        <v>maison</v>
      </c>
      <c r="H1679" s="4" t="str">
        <f>IFERROR(__xludf.DUMMYFUNCTION("REGEXEXTRACT(A1679, ""/(\w+)-.*?"")"),"lieu")</f>
        <v>lieu</v>
      </c>
      <c r="I1679" s="4" t="str">
        <f>IFERROR(__xludf.DUMMYFUNCTION("if(D1679=""variant"",  substitute(filter(Templates!E:E, Templates!A:A = F1679, Templates!B:B = G1679, Templates!C:C = H1679), ""{{}}"", E1679), B1679)"),"🏘  Vous souhaitez acheter une maison à Rechthalten? ✅ Jetez un œil aux dernières offres sur ImmoScout24.ch.")</f>
        <v>🏘  Vous souhaitez acheter une maison à Rechthalten? ✅ Jetez un œil aux dernières offres sur ImmoScout24.ch.</v>
      </c>
      <c r="J1679" s="4" t="s">
        <v>5038</v>
      </c>
    </row>
    <row r="1680">
      <c r="A1680" s="5" t="s">
        <v>5039</v>
      </c>
      <c r="B1680" s="2" t="s">
        <v>5040</v>
      </c>
      <c r="C1680" s="4" t="str">
        <f>IFERROR(__xludf.DUMMYFUNCTION("""🏘️ ""&amp;REGEXEXTRACT(B1680, ""^(.*): "")&amp;"" ✅ "" &amp;REGEXEXTRACT(B1680, ""(Trouvez.*)"")"),"🏘️ Vendre appartement Solothurn ✅ Trouvez le bien immobilier qui correspond idéalement à vos désirs sur ImmoScout24 - La plateforme de l'immobilier en Suisse.")</f>
        <v>🏘️ Vendre appartement Solothurn ✅ Trouvez le bien immobilier qui correspond idéalement à vos désirs sur ImmoScout24 - La plateforme de l'immobilier en Suisse.</v>
      </c>
      <c r="D1680" s="4" t="str">
        <f>vlookup(A1680, Sheet2!D:E, 2, 0)</f>
        <v>variant</v>
      </c>
      <c r="E1680" s="4" t="str">
        <f>IFERROR(__xludf.DUMMYFUNCTION("if(H1680=""pays"",vlookup(REGEXEXTRACT(C1680, ""🏘️ \w+ \w+ (.*) ✅""),'Country prepositions'!A:B, 2, 0) &amp; "" "" &amp; REGEXEXTRACT(C1680, ""🏘️ \w+ \w+ (.*) ✅"") ,  if(H1680=""quartier"",vlookup(REGEXEXTRACT(C1680, ""🏘️ \w+ \w+ (.*) ✅""),'Quartier prepositio"&amp;"ns'!A:E, 5, 0) ,  if(H1680=""region"",vlookup(REGEXEXTRACT(C1680, ""🏘️ \w+ \w+ (.*) ✅""),'Region prepositions'!B:F, 5, 0),  REGEXEXTRACT(C1680, ""🏘️ \w+ \w+ (.*) ✅""))))"),"Solothurn")</f>
        <v>Solothurn</v>
      </c>
      <c r="F1680" s="2" t="str">
        <f>IFERROR(__xludf.DUMMYFUNCTION("REGEXEXTRACT(C1680, ""🏘️ (\w+) \w+ .* ✅"")"),"Vendre")</f>
        <v>Vendre</v>
      </c>
      <c r="G1680" s="2" t="str">
        <f>IFERROR(__xludf.DUMMYFUNCTION("REGEXEXTRACT(C1680, ""🏘️ \w+ (\w+) .* ✅"")"),"appartement")</f>
        <v>appartement</v>
      </c>
      <c r="H1680" s="4" t="str">
        <f>IFERROR(__xludf.DUMMYFUNCTION("REGEXEXTRACT(A1680, ""/(\w+)-.*?"")"),"lieu")</f>
        <v>lieu</v>
      </c>
      <c r="I1680" s="4" t="str">
        <f>IFERROR(__xludf.DUMMYFUNCTION("if(D1680=""variant"",  substitute(filter(Templates!E:E, Templates!A:A = F1680, Templates!B:B = G1680, Templates!C:C = H1680), ""{{}}"", E1680), B1680)"),"🏘  L’appartement de vos rêves se trouve sur ImmoScout24.ch ✅ Découvrez les dernières annonces de vente à Solothurn.")</f>
        <v>🏘  L’appartement de vos rêves se trouve sur ImmoScout24.ch ✅ Découvrez les dernières annonces de vente à Solothurn.</v>
      </c>
      <c r="J1680" s="4" t="s">
        <v>5041</v>
      </c>
    </row>
    <row r="1681">
      <c r="A1681" s="5" t="s">
        <v>5042</v>
      </c>
      <c r="B1681" s="2" t="s">
        <v>5043</v>
      </c>
      <c r="C1681" s="4" t="str">
        <f>IFERROR(__xludf.DUMMYFUNCTION("""🏘️ ""&amp;REGEXEXTRACT(B1681, ""^(.*): "")&amp;"" ✅ "" &amp;REGEXEXTRACT(B1681, ""(Trouvez.*)"")"),"🏘️ Vendre appartement Magnedens ✅ Trouvez le bien immobilier qui correspond idéalement à vos désirs sur ImmoScout24 - La plateforme de l'immobilier en Suisse.")</f>
        <v>🏘️ Vendre appartement Magnedens ✅ Trouvez le bien immobilier qui correspond idéalement à vos désirs sur ImmoScout24 - La plateforme de l'immobilier en Suisse.</v>
      </c>
      <c r="D1681" s="4" t="str">
        <f>vlookup(A1681, Sheet2!D:E, 2, 0)</f>
        <v>variant</v>
      </c>
      <c r="E1681" s="4" t="str">
        <f>IFERROR(__xludf.DUMMYFUNCTION("if(H1681=""pays"",vlookup(REGEXEXTRACT(C1681, ""🏘️ \w+ \w+ (.*) ✅""),'Country prepositions'!A:B, 2, 0) &amp; "" "" &amp; REGEXEXTRACT(C1681, ""🏘️ \w+ \w+ (.*) ✅"") ,  if(H1681=""quartier"",vlookup(REGEXEXTRACT(C1681, ""🏘️ \w+ \w+ (.*) ✅""),'Quartier prepositio"&amp;"ns'!A:E, 5, 0) ,  if(H1681=""region"",vlookup(REGEXEXTRACT(C1681, ""🏘️ \w+ \w+ (.*) ✅""),'Region prepositions'!B:F, 5, 0),  REGEXEXTRACT(C1681, ""🏘️ \w+ \w+ (.*) ✅""))))"),"Magnedens")</f>
        <v>Magnedens</v>
      </c>
      <c r="F1681" s="2" t="str">
        <f>IFERROR(__xludf.DUMMYFUNCTION("REGEXEXTRACT(C1681, ""🏘️ (\w+) \w+ .* ✅"")"),"Vendre")</f>
        <v>Vendre</v>
      </c>
      <c r="G1681" s="2" t="str">
        <f>IFERROR(__xludf.DUMMYFUNCTION("REGEXEXTRACT(C1681, ""🏘️ \w+ (\w+) .* ✅"")"),"appartement")</f>
        <v>appartement</v>
      </c>
      <c r="H1681" s="4" t="str">
        <f>IFERROR(__xludf.DUMMYFUNCTION("REGEXEXTRACT(A1681, ""/(\w+)-.*?"")"),"lieu")</f>
        <v>lieu</v>
      </c>
      <c r="I1681" s="4" t="str">
        <f>IFERROR(__xludf.DUMMYFUNCTION("if(D1681=""variant"",  substitute(filter(Templates!E:E, Templates!A:A = F1681, Templates!B:B = G1681, Templates!C:C = H1681), ""{{}}"", E1681), B1681)"),"🏘  L’appartement de vos rêves se trouve sur ImmoScout24.ch ✅ Découvrez les dernières annonces de vente à Magnedens.")</f>
        <v>🏘  L’appartement de vos rêves se trouve sur ImmoScout24.ch ✅ Découvrez les dernières annonces de vente à Magnedens.</v>
      </c>
      <c r="J1681" s="4" t="s">
        <v>5044</v>
      </c>
    </row>
    <row r="1682">
      <c r="A1682" s="5" t="s">
        <v>5045</v>
      </c>
      <c r="B1682" s="2" t="s">
        <v>5046</v>
      </c>
      <c r="C1682" s="4" t="str">
        <f>IFERROR(__xludf.DUMMYFUNCTION("""🏘️ ""&amp;REGEXEXTRACT(B1682, ""^(.*): "")&amp;"" ✅ "" &amp;REGEXEXTRACT(B1682, ""(Trouvez.*)"")"),"🏘️ Vendre maison St-Luc ✅ Trouvez le bien immobilier qui correspond idéalement à vos désirs sur ImmoScout24 - La plateforme de l'immobilier en Suisse.")</f>
        <v>🏘️ Vendre maison St-Luc ✅ Trouvez le bien immobilier qui correspond idéalement à vos désirs sur ImmoScout24 - La plateforme de l'immobilier en Suisse.</v>
      </c>
      <c r="D1682" s="4" t="str">
        <f>vlookup(A1682, Sheet2!D:E, 2, 0)</f>
        <v>variant</v>
      </c>
      <c r="E1682" s="4" t="str">
        <f>IFERROR(__xludf.DUMMYFUNCTION("if(H1682=""pays"",vlookup(REGEXEXTRACT(C1682, ""🏘️ \w+ \w+ (.*) ✅""),'Country prepositions'!A:B, 2, 0) &amp; "" "" &amp; REGEXEXTRACT(C1682, ""🏘️ \w+ \w+ (.*) ✅"") ,  if(H1682=""quartier"",vlookup(REGEXEXTRACT(C1682, ""🏘️ \w+ \w+ (.*) ✅""),'Quartier prepositio"&amp;"ns'!A:E, 5, 0) ,  if(H1682=""region"",vlookup(REGEXEXTRACT(C1682, ""🏘️ \w+ \w+ (.*) ✅""),'Region prepositions'!B:F, 5, 0),  REGEXEXTRACT(C1682, ""🏘️ \w+ \w+ (.*) ✅""))))"),"St-Luc")</f>
        <v>St-Luc</v>
      </c>
      <c r="F1682" s="2" t="str">
        <f>IFERROR(__xludf.DUMMYFUNCTION("REGEXEXTRACT(C1682, ""🏘️ (\w+) \w+ .* ✅"")"),"Vendre")</f>
        <v>Vendre</v>
      </c>
      <c r="G1682" s="2" t="str">
        <f>IFERROR(__xludf.DUMMYFUNCTION("REGEXEXTRACT(C1682, ""🏘️ \w+ (\w+) .* ✅"")"),"maison")</f>
        <v>maison</v>
      </c>
      <c r="H1682" s="4" t="str">
        <f>IFERROR(__xludf.DUMMYFUNCTION("REGEXEXTRACT(A1682, ""/(\w+)-.*?"")"),"lieu")</f>
        <v>lieu</v>
      </c>
      <c r="I1682" s="4" t="str">
        <f>IFERROR(__xludf.DUMMYFUNCTION("if(D1682=""variant"",  substitute(filter(Templates!E:E, Templates!A:A = F1682, Templates!B:B = G1682, Templates!C:C = H1682), ""{{}}"", E1682), B1682)"),"🏘  Vous souhaitez acheter une maison à St-Luc? ✅ Jetez un œil aux dernières offres sur ImmoScout24.ch.")</f>
        <v>🏘  Vous souhaitez acheter une maison à St-Luc? ✅ Jetez un œil aux dernières offres sur ImmoScout24.ch.</v>
      </c>
      <c r="J1682" s="4" t="s">
        <v>5047</v>
      </c>
    </row>
    <row r="1683">
      <c r="A1683" s="5" t="s">
        <v>5048</v>
      </c>
      <c r="B1683" s="2" t="s">
        <v>5049</v>
      </c>
      <c r="C1683" s="4" t="str">
        <f>IFERROR(__xludf.DUMMYFUNCTION("""🏘️ ""&amp;REGEXEXTRACT(B1683, ""^(.*): "")&amp;"" ✅ "" &amp;REGEXEXTRACT(B1683, ""(Trouvez.*)"")"),"🏘️ Louer appartement St-Gervais - Chantepoulet (Genève) ✅ Trouvez le bien immobilier qui correspond idéalement à vos désirs sur ImmoScout24 - La plateforme de l'immobilier en Suisse.")</f>
        <v>🏘️ Louer appartement St-Gervais - Chantepoulet (Genève) ✅ Trouvez le bien immobilier qui correspond idéalement à vos désirs sur ImmoScout24 - La plateforme de l'immobilier en Suisse.</v>
      </c>
      <c r="D1683" s="4" t="str">
        <f>vlookup(A1683, Sheet2!D:E, 2, 0)</f>
        <v>variant</v>
      </c>
      <c r="E1683" s="4" t="str">
        <f>IFERROR(__xludf.DUMMYFUNCTION("if(H1683=""pays"",vlookup(REGEXEXTRACT(C1683, ""🏘️ \w+ \w+ (.*) ✅""),'Country prepositions'!A:B, 2, 0) &amp; "" "" &amp; REGEXEXTRACT(C1683, ""🏘️ \w+ \w+ (.*) ✅"") ,  if(H1683=""quartier"",vlookup(REGEXEXTRACT(C1683, ""🏘️ \w+ \w+ (.*) ✅""),'Quartier prepositio"&amp;"ns'!A:E, 5, 0) ,  if(H1683=""region"",vlookup(REGEXEXTRACT(C1683, ""🏘️ \w+ \w+ (.*) ✅""),'Region prepositions'!B:F, 5, 0),  REGEXEXTRACT(C1683, ""🏘️ \w+ \w+ (.*) ✅""))))"),"dans le quartier de St-Gervais - Chantepoulet (Genève)")</f>
        <v>dans le quartier de St-Gervais - Chantepoulet (Genève)</v>
      </c>
      <c r="F1683" s="2" t="str">
        <f>IFERROR(__xludf.DUMMYFUNCTION("REGEXEXTRACT(C1683, ""🏘️ (\w+) \w+ .* ✅"")"),"Louer")</f>
        <v>Louer</v>
      </c>
      <c r="G1683" s="2" t="str">
        <f>IFERROR(__xludf.DUMMYFUNCTION("REGEXEXTRACT(C1683, ""🏘️ \w+ (\w+) .* ✅"")"),"appartement")</f>
        <v>appartement</v>
      </c>
      <c r="H1683" s="4" t="str">
        <f>IFERROR(__xludf.DUMMYFUNCTION("REGEXEXTRACT(A1683, ""/(\w+)-.*?"")"),"quartier")</f>
        <v>quartier</v>
      </c>
      <c r="I1683" s="4" t="str">
        <f>IFERROR(__xludf.DUMMYFUNCTION("if(D1683=""variant"",  substitute(filter(Templates!E:E, Templates!A:A = F1683, Templates!B:B = G1683, Templates!C:C = H1683), ""{{}}"", E1683), B1683)"),"🏘  Vous cherchez un appartement à louer dans le quartier de St-Gervais - Chantepoulet (Genève)? ✅ Les annonces les plus actuelles sont sur ImmoScout24.ch.")</f>
        <v>🏘  Vous cherchez un appartement à louer dans le quartier de St-Gervais - Chantepoulet (Genève)? ✅ Les annonces les plus actuelles sont sur ImmoScout24.ch.</v>
      </c>
      <c r="J1683" s="4" t="s">
        <v>5050</v>
      </c>
    </row>
    <row r="1684">
      <c r="A1684" s="5" t="s">
        <v>5051</v>
      </c>
      <c r="B1684" s="2" t="s">
        <v>5052</v>
      </c>
      <c r="C1684" s="4" t="str">
        <f>IFERROR(__xludf.DUMMYFUNCTION("""🏘️ ""&amp;REGEXEXTRACT(B1684, ""^(.*): "")&amp;"" ✅ "" &amp;REGEXEXTRACT(B1684, ""(Trouvez.*)"")"),"🏘️ Louer appartement Kirchlindach ✅ Trouvez le bien immobilier qui correspond idéalement à vos désirs sur ImmoScout24 - La plateforme de l'immobilier en Suisse.")</f>
        <v>🏘️ Louer appartement Kirchlindach ✅ Trouvez le bien immobilier qui correspond idéalement à vos désirs sur ImmoScout24 - La plateforme de l'immobilier en Suisse.</v>
      </c>
      <c r="D1684" s="4" t="str">
        <f>vlookup(A1684, Sheet2!D:E, 2, 0)</f>
        <v>variant</v>
      </c>
      <c r="E1684" s="4" t="str">
        <f>IFERROR(__xludf.DUMMYFUNCTION("if(H1684=""pays"",vlookup(REGEXEXTRACT(C1684, ""🏘️ \w+ \w+ (.*) ✅""),'Country prepositions'!A:B, 2, 0) &amp; "" "" &amp; REGEXEXTRACT(C1684, ""🏘️ \w+ \w+ (.*) ✅"") ,  if(H1684=""quartier"",vlookup(REGEXEXTRACT(C1684, ""🏘️ \w+ \w+ (.*) ✅""),'Quartier prepositio"&amp;"ns'!A:E, 5, 0) ,  if(H1684=""region"",vlookup(REGEXEXTRACT(C1684, ""🏘️ \w+ \w+ (.*) ✅""),'Region prepositions'!B:F, 5, 0),  REGEXEXTRACT(C1684, ""🏘️ \w+ \w+ (.*) ✅""))))"),"Kirchlindach")</f>
        <v>Kirchlindach</v>
      </c>
      <c r="F1684" s="2" t="str">
        <f>IFERROR(__xludf.DUMMYFUNCTION("REGEXEXTRACT(C1684, ""🏘️ (\w+) \w+ .* ✅"")"),"Louer")</f>
        <v>Louer</v>
      </c>
      <c r="G1684" s="2" t="str">
        <f>IFERROR(__xludf.DUMMYFUNCTION("REGEXEXTRACT(C1684, ""🏘️ \w+ (\w+) .* ✅"")"),"appartement")</f>
        <v>appartement</v>
      </c>
      <c r="H1684" s="4" t="str">
        <f>IFERROR(__xludf.DUMMYFUNCTION("REGEXEXTRACT(A1684, ""/(\w+)-.*?"")"),"lieu")</f>
        <v>lieu</v>
      </c>
      <c r="I1684" s="4" t="str">
        <f>IFERROR(__xludf.DUMMYFUNCTION("if(D1684=""variant"",  substitute(filter(Templates!E:E, Templates!A:A = F1684, Templates!B:B = G1684, Templates!C:C = H1684), ""{{}}"", E1684), B1684)"),"🏘  Vous cherchez un appartement à louer à Kirchlindach? ✅ Les annonces les plus actuelles sont sur ImmoScout24.ch.")</f>
        <v>🏘  Vous cherchez un appartement à louer à Kirchlindach? ✅ Les annonces les plus actuelles sont sur ImmoScout24.ch.</v>
      </c>
      <c r="J1684" s="4" t="s">
        <v>5053</v>
      </c>
    </row>
    <row r="1685">
      <c r="A1685" s="5" t="s">
        <v>5054</v>
      </c>
      <c r="B1685" s="2" t="s">
        <v>5055</v>
      </c>
      <c r="C1685" s="4" t="str">
        <f>IFERROR(__xludf.DUMMYFUNCTION("""🏘️ ""&amp;REGEXEXTRACT(B1685, ""^(.*): "")&amp;"" ✅ "" &amp;REGEXEXTRACT(B1685, ""(Trouvez.*)"")"),"🏘️ Louer appartement Liesberg ✅ Trouvez le bien immobilier qui correspond idéalement à vos désirs sur ImmoScout24 - La plateforme de l'immobilier en Suisse.")</f>
        <v>🏘️ Louer appartement Liesberg ✅ Trouvez le bien immobilier qui correspond idéalement à vos désirs sur ImmoScout24 - La plateforme de l'immobilier en Suisse.</v>
      </c>
      <c r="D1685" s="4" t="str">
        <f>vlookup(A1685, Sheet2!D:E, 2, 0)</f>
        <v>variant</v>
      </c>
      <c r="E1685" s="4" t="str">
        <f>IFERROR(__xludf.DUMMYFUNCTION("if(H1685=""pays"",vlookup(REGEXEXTRACT(C1685, ""🏘️ \w+ \w+ (.*) ✅""),'Country prepositions'!A:B, 2, 0) &amp; "" "" &amp; REGEXEXTRACT(C1685, ""🏘️ \w+ \w+ (.*) ✅"") ,  if(H1685=""quartier"",vlookup(REGEXEXTRACT(C1685, ""🏘️ \w+ \w+ (.*) ✅""),'Quartier prepositio"&amp;"ns'!A:E, 5, 0) ,  if(H1685=""region"",vlookup(REGEXEXTRACT(C1685, ""🏘️ \w+ \w+ (.*) ✅""),'Region prepositions'!B:F, 5, 0),  REGEXEXTRACT(C1685, ""🏘️ \w+ \w+ (.*) ✅""))))"),"Liesberg")</f>
        <v>Liesberg</v>
      </c>
      <c r="F1685" s="2" t="str">
        <f>IFERROR(__xludf.DUMMYFUNCTION("REGEXEXTRACT(C1685, ""🏘️ (\w+) \w+ .* ✅"")"),"Louer")</f>
        <v>Louer</v>
      </c>
      <c r="G1685" s="2" t="str">
        <f>IFERROR(__xludf.DUMMYFUNCTION("REGEXEXTRACT(C1685, ""🏘️ \w+ (\w+) .* ✅"")"),"appartement")</f>
        <v>appartement</v>
      </c>
      <c r="H1685" s="4" t="str">
        <f>IFERROR(__xludf.DUMMYFUNCTION("REGEXEXTRACT(A1685, ""/(\w+)-.*?"")"),"lieu")</f>
        <v>lieu</v>
      </c>
      <c r="I1685" s="4" t="str">
        <f>IFERROR(__xludf.DUMMYFUNCTION("if(D1685=""variant"",  substitute(filter(Templates!E:E, Templates!A:A = F1685, Templates!B:B = G1685, Templates!C:C = H1685), ""{{}}"", E1685), B1685)"),"🏘  Vous cherchez un appartement à louer à Liesberg? ✅ Les annonces les plus actuelles sont sur ImmoScout24.ch.")</f>
        <v>🏘  Vous cherchez un appartement à louer à Liesberg? ✅ Les annonces les plus actuelles sont sur ImmoScout24.ch.</v>
      </c>
      <c r="J1685" s="4" t="s">
        <v>5056</v>
      </c>
    </row>
    <row r="1686">
      <c r="A1686" s="5" t="s">
        <v>5057</v>
      </c>
      <c r="B1686" s="2" t="s">
        <v>5058</v>
      </c>
      <c r="C1686" s="4" t="str">
        <f>IFERROR(__xludf.DUMMYFUNCTION("""🏘️ ""&amp;REGEXEXTRACT(B1686, ""^(.*): "")&amp;"" ✅ "" &amp;REGEXEXTRACT(B1686, ""(Trouvez.*)"")"),"🏘️ Louer maison Kerzers ✅ Trouvez le bien immobilier qui correspond idéalement à vos désirs sur ImmoScout24 - La plateforme de l'immobilier en Suisse.")</f>
        <v>🏘️ Louer maison Kerzers ✅ Trouvez le bien immobilier qui correspond idéalement à vos désirs sur ImmoScout24 - La plateforme de l'immobilier en Suisse.</v>
      </c>
      <c r="D1686" s="4" t="str">
        <f>vlookup(A1686, Sheet2!D:E, 2, 0)</f>
        <v>variant</v>
      </c>
      <c r="E1686" s="4" t="str">
        <f>IFERROR(__xludf.DUMMYFUNCTION("if(H1686=""pays"",vlookup(REGEXEXTRACT(C1686, ""🏘️ \w+ \w+ (.*) ✅""),'Country prepositions'!A:B, 2, 0) &amp; "" "" &amp; REGEXEXTRACT(C1686, ""🏘️ \w+ \w+ (.*) ✅"") ,  if(H1686=""quartier"",vlookup(REGEXEXTRACT(C1686, ""🏘️ \w+ \w+ (.*) ✅""),'Quartier prepositio"&amp;"ns'!A:E, 5, 0) ,  if(H1686=""region"",vlookup(REGEXEXTRACT(C1686, ""🏘️ \w+ \w+ (.*) ✅""),'Region prepositions'!B:F, 5, 0),  REGEXEXTRACT(C1686, ""🏘️ \w+ \w+ (.*) ✅""))))"),"Kerzers")</f>
        <v>Kerzers</v>
      </c>
      <c r="F1686" s="2" t="str">
        <f>IFERROR(__xludf.DUMMYFUNCTION("REGEXEXTRACT(C1686, ""🏘️ (\w+) \w+ .* ✅"")"),"Louer")</f>
        <v>Louer</v>
      </c>
      <c r="G1686" s="2" t="str">
        <f>IFERROR(__xludf.DUMMYFUNCTION("REGEXEXTRACT(C1686, ""🏘️ \w+ (\w+) .* ✅"")"),"maison")</f>
        <v>maison</v>
      </c>
      <c r="H1686" s="4" t="str">
        <f>IFERROR(__xludf.DUMMYFUNCTION("REGEXEXTRACT(A1686, ""/(\w+)-.*?"")"),"lieu")</f>
        <v>lieu</v>
      </c>
      <c r="I1686" s="4" t="str">
        <f>IFERROR(__xludf.DUMMYFUNCTION("if(D1686=""variant"",  substitute(filter(Templates!E:E, Templates!A:A = F1686, Templates!B:B = G1686, Templates!C:C = H1686), ""{{}}"", E1686), B1686)"),"🏘  Vous cherchez une maison à louer à Kerzers? ✅ Découvrez nos nombreuses annonces sur ImmoScout24.ch.")</f>
        <v>🏘  Vous cherchez une maison à louer à Kerzers? ✅ Découvrez nos nombreuses annonces sur ImmoScout24.ch.</v>
      </c>
      <c r="J1686" s="4" t="s">
        <v>5059</v>
      </c>
    </row>
    <row r="1687">
      <c r="A1687" s="5" t="s">
        <v>5060</v>
      </c>
      <c r="B1687" s="2" t="s">
        <v>5061</v>
      </c>
      <c r="C1687" s="4" t="str">
        <f>IFERROR(__xludf.DUMMYFUNCTION("""🏘️ ""&amp;REGEXEXTRACT(B1687, ""^(.*): "")&amp;"" ✅ "" &amp;REGEXEXTRACT(B1687, ""(Trouvez.*)"")"),"🏘️ Louer maison Chénens ✅ Trouvez le bien immobilier qui correspond idéalement à vos désirs sur ImmoScout24 - La plateforme de l'immobilier en Suisse.")</f>
        <v>🏘️ Louer maison Chénens ✅ Trouvez le bien immobilier qui correspond idéalement à vos désirs sur ImmoScout24 - La plateforme de l'immobilier en Suisse.</v>
      </c>
      <c r="D1687" s="4" t="str">
        <f>vlookup(A1687, Sheet2!D:E, 2, 0)</f>
        <v>variant</v>
      </c>
      <c r="E1687" s="4" t="str">
        <f>IFERROR(__xludf.DUMMYFUNCTION("if(H1687=""pays"",vlookup(REGEXEXTRACT(C1687, ""🏘️ \w+ \w+ (.*) ✅""),'Country prepositions'!A:B, 2, 0) &amp; "" "" &amp; REGEXEXTRACT(C1687, ""🏘️ \w+ \w+ (.*) ✅"") ,  if(H1687=""quartier"",vlookup(REGEXEXTRACT(C1687, ""🏘️ \w+ \w+ (.*) ✅""),'Quartier prepositio"&amp;"ns'!A:E, 5, 0) ,  if(H1687=""region"",vlookup(REGEXEXTRACT(C1687, ""🏘️ \w+ \w+ (.*) ✅""),'Region prepositions'!B:F, 5, 0),  REGEXEXTRACT(C1687, ""🏘️ \w+ \w+ (.*) ✅""))))"),"Chénens")</f>
        <v>Chénens</v>
      </c>
      <c r="F1687" s="2" t="str">
        <f>IFERROR(__xludf.DUMMYFUNCTION("REGEXEXTRACT(C1687, ""🏘️ (\w+) \w+ .* ✅"")"),"Louer")</f>
        <v>Louer</v>
      </c>
      <c r="G1687" s="2" t="str">
        <f>IFERROR(__xludf.DUMMYFUNCTION("REGEXEXTRACT(C1687, ""🏘️ \w+ (\w+) .* ✅"")"),"maison")</f>
        <v>maison</v>
      </c>
      <c r="H1687" s="4" t="str">
        <f>IFERROR(__xludf.DUMMYFUNCTION("REGEXEXTRACT(A1687, ""/(\w+)-.*?"")"),"lieu")</f>
        <v>lieu</v>
      </c>
      <c r="I1687" s="4" t="str">
        <f>IFERROR(__xludf.DUMMYFUNCTION("if(D1687=""variant"",  substitute(filter(Templates!E:E, Templates!A:A = F1687, Templates!B:B = G1687, Templates!C:C = H1687), ""{{}}"", E1687), B1687)"),"🏘  Vous cherchez une maison à louer à Chénens? ✅ Découvrez nos nombreuses annonces sur ImmoScout24.ch.")</f>
        <v>🏘  Vous cherchez une maison à louer à Chénens? ✅ Découvrez nos nombreuses annonces sur ImmoScout24.ch.</v>
      </c>
      <c r="J1687" s="4" t="s">
        <v>5062</v>
      </c>
    </row>
    <row r="1688">
      <c r="A1688" s="5" t="s">
        <v>5063</v>
      </c>
      <c r="B1688" s="2" t="s">
        <v>5064</v>
      </c>
      <c r="C1688" s="4" t="str">
        <f>IFERROR(__xludf.DUMMYFUNCTION("""🏘️ ""&amp;REGEXEXTRACT(B1688, ""^(.*): "")&amp;"" ✅ "" &amp;REGEXEXTRACT(B1688, ""(Trouvez.*)"")"),"🏘️ Louer appartement Schangnau ✅ Trouvez le bien immobilier qui correspond idéalement à vos désirs sur ImmoScout24 - La plateforme de l'immobilier en Suisse.")</f>
        <v>🏘️ Louer appartement Schangnau ✅ Trouvez le bien immobilier qui correspond idéalement à vos désirs sur ImmoScout24 - La plateforme de l'immobilier en Suisse.</v>
      </c>
      <c r="D1688" s="4" t="str">
        <f>vlookup(A1688, Sheet2!D:E, 2, 0)</f>
        <v>variant</v>
      </c>
      <c r="E1688" s="4" t="str">
        <f>IFERROR(__xludf.DUMMYFUNCTION("if(H1688=""pays"",vlookup(REGEXEXTRACT(C1688, ""🏘️ \w+ \w+ (.*) ✅""),'Country prepositions'!A:B, 2, 0) &amp; "" "" &amp; REGEXEXTRACT(C1688, ""🏘️ \w+ \w+ (.*) ✅"") ,  if(H1688=""quartier"",vlookup(REGEXEXTRACT(C1688, ""🏘️ \w+ \w+ (.*) ✅""),'Quartier prepositio"&amp;"ns'!A:E, 5, 0) ,  if(H1688=""region"",vlookup(REGEXEXTRACT(C1688, ""🏘️ \w+ \w+ (.*) ✅""),'Region prepositions'!B:F, 5, 0),  REGEXEXTRACT(C1688, ""🏘️ \w+ \w+ (.*) ✅""))))"),"Schangnau")</f>
        <v>Schangnau</v>
      </c>
      <c r="F1688" s="2" t="str">
        <f>IFERROR(__xludf.DUMMYFUNCTION("REGEXEXTRACT(C1688, ""🏘️ (\w+) \w+ .* ✅"")"),"Louer")</f>
        <v>Louer</v>
      </c>
      <c r="G1688" s="2" t="str">
        <f>IFERROR(__xludf.DUMMYFUNCTION("REGEXEXTRACT(C1688, ""🏘️ \w+ (\w+) .* ✅"")"),"appartement")</f>
        <v>appartement</v>
      </c>
      <c r="H1688" s="4" t="str">
        <f>IFERROR(__xludf.DUMMYFUNCTION("REGEXEXTRACT(A1688, ""/(\w+)-.*?"")"),"lieu")</f>
        <v>lieu</v>
      </c>
      <c r="I1688" s="4" t="str">
        <f>IFERROR(__xludf.DUMMYFUNCTION("if(D1688=""variant"",  substitute(filter(Templates!E:E, Templates!A:A = F1688, Templates!B:B = G1688, Templates!C:C = H1688), ""{{}}"", E1688), B1688)"),"🏘  Vous cherchez un appartement à louer à Schangnau? ✅ Les annonces les plus actuelles sont sur ImmoScout24.ch.")</f>
        <v>🏘  Vous cherchez un appartement à louer à Schangnau? ✅ Les annonces les plus actuelles sont sur ImmoScout24.ch.</v>
      </c>
      <c r="J1688" s="4" t="s">
        <v>5065</v>
      </c>
    </row>
    <row r="1689">
      <c r="A1689" s="5" t="s">
        <v>5066</v>
      </c>
      <c r="B1689" s="2" t="s">
        <v>5067</v>
      </c>
      <c r="C1689" s="4" t="str">
        <f>IFERROR(__xludf.DUMMYFUNCTION("""🏘️ ""&amp;REGEXEXTRACT(B1689, ""^(.*): "")&amp;"" ✅ "" &amp;REGEXEXTRACT(B1689, ""(Trouvez.*)"")"),"🏘️ Louer appartement Lausanne ✅ Trouvez le bien immobilier qui correspond idéalement à vos désirs sur ImmoScout24 - La plateforme de l'immobilier en Suisse.")</f>
        <v>🏘️ Louer appartement Lausanne ✅ Trouvez le bien immobilier qui correspond idéalement à vos désirs sur ImmoScout24 - La plateforme de l'immobilier en Suisse.</v>
      </c>
      <c r="D1689" s="4" t="str">
        <f>vlookup(A1689, Sheet2!D:E, 2, 0)</f>
        <v>variant</v>
      </c>
      <c r="E1689" s="4" t="str">
        <f>IFERROR(__xludf.DUMMYFUNCTION("if(H1689=""pays"",vlookup(REGEXEXTRACT(C1689, ""🏘️ \w+ \w+ (.*) ✅""),'Country prepositions'!A:B, 2, 0) &amp; "" "" &amp; REGEXEXTRACT(C1689, ""🏘️ \w+ \w+ (.*) ✅"") ,  if(H1689=""quartier"",vlookup(REGEXEXTRACT(C1689, ""🏘️ \w+ \w+ (.*) ✅""),'Quartier prepositio"&amp;"ns'!A:E, 5, 0) ,  if(H1689=""region"",vlookup(REGEXEXTRACT(C1689, ""🏘️ \w+ \w+ (.*) ✅""),'Region prepositions'!B:F, 5, 0),  REGEXEXTRACT(C1689, ""🏘️ \w+ \w+ (.*) ✅""))))"),"Lausanne")</f>
        <v>Lausanne</v>
      </c>
      <c r="F1689" s="2" t="str">
        <f>IFERROR(__xludf.DUMMYFUNCTION("REGEXEXTRACT(C1689, ""🏘️ (\w+) \w+ .* ✅"")"),"Louer")</f>
        <v>Louer</v>
      </c>
      <c r="G1689" s="2" t="str">
        <f>IFERROR(__xludf.DUMMYFUNCTION("REGEXEXTRACT(C1689, ""🏘️ \w+ (\w+) .* ✅"")"),"appartement")</f>
        <v>appartement</v>
      </c>
      <c r="H1689" s="4" t="str">
        <f>IFERROR(__xludf.DUMMYFUNCTION("REGEXEXTRACT(A1689, ""/(\w+)-.*?"")"),"lieu")</f>
        <v>lieu</v>
      </c>
      <c r="I1689" s="4" t="str">
        <f>IFERROR(__xludf.DUMMYFUNCTION("if(D1689=""variant"",  substitute(filter(Templates!E:E, Templates!A:A = F1689, Templates!B:B = G1689, Templates!C:C = H1689), ""{{}}"", E1689), B1689)"),"🏘  Vous cherchez un appartement à louer à Lausanne? ✅ Les annonces les plus actuelles sont sur ImmoScout24.ch.")</f>
        <v>🏘  Vous cherchez un appartement à louer à Lausanne? ✅ Les annonces les plus actuelles sont sur ImmoScout24.ch.</v>
      </c>
      <c r="J1689" s="4" t="s">
        <v>5068</v>
      </c>
    </row>
    <row r="1690">
      <c r="A1690" s="5" t="s">
        <v>5069</v>
      </c>
      <c r="B1690" s="2" t="s">
        <v>5070</v>
      </c>
      <c r="C1690" s="4" t="str">
        <f>IFERROR(__xludf.DUMMYFUNCTION("""🏘️ ""&amp;REGEXEXTRACT(B1690, ""^(.*): "")&amp;"" ✅ "" &amp;REGEXEXTRACT(B1690, ""(Trouvez.*)"")"),"🏘️ Louer appartement Gams ✅ Trouvez le bien immobilier qui correspond idéalement à vos désirs sur ImmoScout24 - La plateforme de l'immobilier en Suisse.")</f>
        <v>🏘️ Louer appartement Gams ✅ Trouvez le bien immobilier qui correspond idéalement à vos désirs sur ImmoScout24 - La plateforme de l'immobilier en Suisse.</v>
      </c>
      <c r="D1690" s="4" t="str">
        <f>vlookup(A1690, Sheet2!D:E, 2, 0)</f>
        <v>variant</v>
      </c>
      <c r="E1690" s="4" t="str">
        <f>IFERROR(__xludf.DUMMYFUNCTION("if(H1690=""pays"",vlookup(REGEXEXTRACT(C1690, ""🏘️ \w+ \w+ (.*) ✅""),'Country prepositions'!A:B, 2, 0) &amp; "" "" &amp; REGEXEXTRACT(C1690, ""🏘️ \w+ \w+ (.*) ✅"") ,  if(H1690=""quartier"",vlookup(REGEXEXTRACT(C1690, ""🏘️ \w+ \w+ (.*) ✅""),'Quartier prepositio"&amp;"ns'!A:E, 5, 0) ,  if(H1690=""region"",vlookup(REGEXEXTRACT(C1690, ""🏘️ \w+ \w+ (.*) ✅""),'Region prepositions'!B:F, 5, 0),  REGEXEXTRACT(C1690, ""🏘️ \w+ \w+ (.*) ✅""))))"),"Gams")</f>
        <v>Gams</v>
      </c>
      <c r="F1690" s="2" t="str">
        <f>IFERROR(__xludf.DUMMYFUNCTION("REGEXEXTRACT(C1690, ""🏘️ (\w+) \w+ .* ✅"")"),"Louer")</f>
        <v>Louer</v>
      </c>
      <c r="G1690" s="2" t="str">
        <f>IFERROR(__xludf.DUMMYFUNCTION("REGEXEXTRACT(C1690, ""🏘️ \w+ (\w+) .* ✅"")"),"appartement")</f>
        <v>appartement</v>
      </c>
      <c r="H1690" s="4" t="str">
        <f>IFERROR(__xludf.DUMMYFUNCTION("REGEXEXTRACT(A1690, ""/(\w+)-.*?"")"),"lieu")</f>
        <v>lieu</v>
      </c>
      <c r="I1690" s="4" t="str">
        <f>IFERROR(__xludf.DUMMYFUNCTION("if(D1690=""variant"",  substitute(filter(Templates!E:E, Templates!A:A = F1690, Templates!B:B = G1690, Templates!C:C = H1690), ""{{}}"", E1690), B1690)"),"🏘  Vous cherchez un appartement à louer à Gams? ✅ Les annonces les plus actuelles sont sur ImmoScout24.ch.")</f>
        <v>🏘  Vous cherchez un appartement à louer à Gams? ✅ Les annonces les plus actuelles sont sur ImmoScout24.ch.</v>
      </c>
      <c r="J1690" s="4" t="s">
        <v>5071</v>
      </c>
    </row>
    <row r="1691">
      <c r="A1691" s="5" t="s">
        <v>5072</v>
      </c>
      <c r="B1691" s="2" t="s">
        <v>5073</v>
      </c>
      <c r="C1691" s="4" t="str">
        <f>IFERROR(__xludf.DUMMYFUNCTION("""🏘️ ""&amp;REGEXEXTRACT(B1691, ""^(.*): "")&amp;"" ✅ "" &amp;REGEXEXTRACT(B1691, ""(Trouvez.*)"")"),"🏘️ Vendre appartement Begnins ✅ Trouvez le bien immobilier qui correspond idéalement à vos désirs sur ImmoScout24 - La plateforme de l'immobilier en Suisse.")</f>
        <v>🏘️ Vendre appartement Begnins ✅ Trouvez le bien immobilier qui correspond idéalement à vos désirs sur ImmoScout24 - La plateforme de l'immobilier en Suisse.</v>
      </c>
      <c r="D1691" s="4" t="str">
        <f>vlookup(A1691, Sheet2!D:E, 2, 0)</f>
        <v>variant</v>
      </c>
      <c r="E1691" s="4" t="str">
        <f>IFERROR(__xludf.DUMMYFUNCTION("if(H1691=""pays"",vlookup(REGEXEXTRACT(C1691, ""🏘️ \w+ \w+ (.*) ✅""),'Country prepositions'!A:B, 2, 0) &amp; "" "" &amp; REGEXEXTRACT(C1691, ""🏘️ \w+ \w+ (.*) ✅"") ,  if(H1691=""quartier"",vlookup(REGEXEXTRACT(C1691, ""🏘️ \w+ \w+ (.*) ✅""),'Quartier prepositio"&amp;"ns'!A:E, 5, 0) ,  if(H1691=""region"",vlookup(REGEXEXTRACT(C1691, ""🏘️ \w+ \w+ (.*) ✅""),'Region prepositions'!B:F, 5, 0),  REGEXEXTRACT(C1691, ""🏘️ \w+ \w+ (.*) ✅""))))"),"Begnins")</f>
        <v>Begnins</v>
      </c>
      <c r="F1691" s="2" t="str">
        <f>IFERROR(__xludf.DUMMYFUNCTION("REGEXEXTRACT(C1691, ""🏘️ (\w+) \w+ .* ✅"")"),"Vendre")</f>
        <v>Vendre</v>
      </c>
      <c r="G1691" s="2" t="str">
        <f>IFERROR(__xludf.DUMMYFUNCTION("REGEXEXTRACT(C1691, ""🏘️ \w+ (\w+) .* ✅"")"),"appartement")</f>
        <v>appartement</v>
      </c>
      <c r="H1691" s="4" t="str">
        <f>IFERROR(__xludf.DUMMYFUNCTION("REGEXEXTRACT(A1691, ""/(\w+)-.*?"")"),"lieu")</f>
        <v>lieu</v>
      </c>
      <c r="I1691" s="4" t="str">
        <f>IFERROR(__xludf.DUMMYFUNCTION("if(D1691=""variant"",  substitute(filter(Templates!E:E, Templates!A:A = F1691, Templates!B:B = G1691, Templates!C:C = H1691), ""{{}}"", E1691), B1691)"),"🏘  L’appartement de vos rêves se trouve sur ImmoScout24.ch ✅ Découvrez les dernières annonces de vente à Begnins.")</f>
        <v>🏘  L’appartement de vos rêves se trouve sur ImmoScout24.ch ✅ Découvrez les dernières annonces de vente à Begnins.</v>
      </c>
      <c r="J1691" s="4" t="s">
        <v>5074</v>
      </c>
    </row>
    <row r="1692">
      <c r="A1692" s="5" t="s">
        <v>5075</v>
      </c>
      <c r="B1692" s="2" t="s">
        <v>5076</v>
      </c>
      <c r="C1692" s="4" t="str">
        <f>IFERROR(__xludf.DUMMYFUNCTION("""🏘️ ""&amp;REGEXEXTRACT(B1692, ""^(.*): "")&amp;"" ✅ "" &amp;REGEXEXTRACT(B1692, ""(Trouvez.*)"")"),"🏘️ Vendre maison Maroc ✅ Trouvez le bien immobilier qui correspond idéalement à vos désirs sur ImmoScout24 - La plateforme de l'immobilier en Suisse.")</f>
        <v>🏘️ Vendre maison Maroc ✅ Trouvez le bien immobilier qui correspond idéalement à vos désirs sur ImmoScout24 - La plateforme de l'immobilier en Suisse.</v>
      </c>
      <c r="D1692" s="4" t="str">
        <f>vlookup(A1692, Sheet2!D:E, 2, 0)</f>
        <v>variant</v>
      </c>
      <c r="E1692" s="4" t="str">
        <f>IFERROR(__xludf.DUMMYFUNCTION("if(H1692=""pays"",vlookup(REGEXEXTRACT(C1692, ""🏘️ \w+ \w+ (.*) ✅""),'Country prepositions'!A:B, 2, 0) &amp; "" "" &amp; REGEXEXTRACT(C1692, ""🏘️ \w+ \w+ (.*) ✅"") ,  if(H1692=""quartier"",vlookup(REGEXEXTRACT(C1692, ""🏘️ \w+ \w+ (.*) ✅""),'Quartier prepositio"&amp;"ns'!A:E, 5, 0) ,  if(H1692=""region"",vlookup(REGEXEXTRACT(C1692, ""🏘️ \w+ \w+ (.*) ✅""),'Region prepositions'!B:F, 5, 0),  REGEXEXTRACT(C1692, ""🏘️ \w+ \w+ (.*) ✅""))))"),"au Maroc")</f>
        <v>au Maroc</v>
      </c>
      <c r="F1692" s="2" t="str">
        <f>IFERROR(__xludf.DUMMYFUNCTION("REGEXEXTRACT(C1692, ""🏘️ (\w+) \w+ .* ✅"")"),"Vendre")</f>
        <v>Vendre</v>
      </c>
      <c r="G1692" s="2" t="str">
        <f>IFERROR(__xludf.DUMMYFUNCTION("REGEXEXTRACT(C1692, ""🏘️ \w+ (\w+) .* ✅"")"),"maison")</f>
        <v>maison</v>
      </c>
      <c r="H1692" s="4" t="str">
        <f>IFERROR(__xludf.DUMMYFUNCTION("REGEXEXTRACT(A1692, ""/(\w+)-.*?"")"),"pays")</f>
        <v>pays</v>
      </c>
      <c r="I1692" s="4" t="str">
        <f>IFERROR(__xludf.DUMMYFUNCTION("if(D1692=""variant"",  substitute(filter(Templates!E:E, Templates!A:A = F1692, Templates!B:B = G1692, Templates!C:C = H1692), ""{{}}"", E1692), B1692)"),"🏘  Vous cherchez un appartement à louer au Maroc? ✅ Les annonces les plus actuelles sont sur ImmoScout24.ch.")</f>
        <v>🏘  Vous cherchez un appartement à louer au Maroc? ✅ Les annonces les plus actuelles sont sur ImmoScout24.ch.</v>
      </c>
      <c r="J1692" s="4" t="s">
        <v>5077</v>
      </c>
    </row>
    <row r="1693">
      <c r="A1693" s="5" t="s">
        <v>5078</v>
      </c>
      <c r="B1693" s="2" t="s">
        <v>5079</v>
      </c>
      <c r="C1693" s="4" t="str">
        <f>IFERROR(__xludf.DUMMYFUNCTION("""🏘️ ""&amp;REGEXEXTRACT(B1693, ""^(.*): "")&amp;"" ✅ "" &amp;REGEXEXTRACT(B1693, ""(Trouvez.*)"")"),"🏘️ Louer appartement Lavigny ✅ Trouvez le bien immobilier qui correspond idéalement à vos désirs sur ImmoScout24 - La plateforme de l'immobilier en Suisse.")</f>
        <v>🏘️ Louer appartement Lavigny ✅ Trouvez le bien immobilier qui correspond idéalement à vos désirs sur ImmoScout24 - La plateforme de l'immobilier en Suisse.</v>
      </c>
      <c r="D1693" s="4" t="str">
        <f>vlookup(A1693, Sheet2!D:E, 2, 0)</f>
        <v>variant</v>
      </c>
      <c r="E1693" s="4" t="str">
        <f>IFERROR(__xludf.DUMMYFUNCTION("if(H1693=""pays"",vlookup(REGEXEXTRACT(C1693, ""🏘️ \w+ \w+ (.*) ✅""),'Country prepositions'!A:B, 2, 0) &amp; "" "" &amp; REGEXEXTRACT(C1693, ""🏘️ \w+ \w+ (.*) ✅"") ,  if(H1693=""quartier"",vlookup(REGEXEXTRACT(C1693, ""🏘️ \w+ \w+ (.*) ✅""),'Quartier prepositio"&amp;"ns'!A:E, 5, 0) ,  if(H1693=""region"",vlookup(REGEXEXTRACT(C1693, ""🏘️ \w+ \w+ (.*) ✅""),'Region prepositions'!B:F, 5, 0),  REGEXEXTRACT(C1693, ""🏘️ \w+ \w+ (.*) ✅""))))"),"Lavigny")</f>
        <v>Lavigny</v>
      </c>
      <c r="F1693" s="2" t="str">
        <f>IFERROR(__xludf.DUMMYFUNCTION("REGEXEXTRACT(C1693, ""🏘️ (\w+) \w+ .* ✅"")"),"Louer")</f>
        <v>Louer</v>
      </c>
      <c r="G1693" s="2" t="str">
        <f>IFERROR(__xludf.DUMMYFUNCTION("REGEXEXTRACT(C1693, ""🏘️ \w+ (\w+) .* ✅"")"),"appartement")</f>
        <v>appartement</v>
      </c>
      <c r="H1693" s="4" t="str">
        <f>IFERROR(__xludf.DUMMYFUNCTION("REGEXEXTRACT(A1693, ""/(\w+)-.*?"")"),"lieu")</f>
        <v>lieu</v>
      </c>
      <c r="I1693" s="4" t="str">
        <f>IFERROR(__xludf.DUMMYFUNCTION("if(D1693=""variant"",  substitute(filter(Templates!E:E, Templates!A:A = F1693, Templates!B:B = G1693, Templates!C:C = H1693), ""{{}}"", E1693), B1693)"),"🏘  Vous cherchez un appartement à louer à Lavigny? ✅ Les annonces les plus actuelles sont sur ImmoScout24.ch.")</f>
        <v>🏘  Vous cherchez un appartement à louer à Lavigny? ✅ Les annonces les plus actuelles sont sur ImmoScout24.ch.</v>
      </c>
      <c r="J1693" s="4" t="s">
        <v>5080</v>
      </c>
    </row>
    <row r="1694">
      <c r="A1694" s="5" t="s">
        <v>5081</v>
      </c>
      <c r="B1694" s="2" t="s">
        <v>5082</v>
      </c>
      <c r="C1694" s="4" t="str">
        <f>IFERROR(__xludf.DUMMYFUNCTION("""🏘️ ""&amp;REGEXEXTRACT(B1694, ""^(.*): "")&amp;"" ✅ "" &amp;REGEXEXTRACT(B1694, ""(Trouvez.*)"")"),"🏘️ Vendre maison Les Haudères ✅ Trouvez le bien immobilier qui correspond idéalement à vos désirs sur ImmoScout24 - La plateforme de l'immobilier en Suisse.")</f>
        <v>🏘️ Vendre maison Les Haudères ✅ Trouvez le bien immobilier qui correspond idéalement à vos désirs sur ImmoScout24 - La plateforme de l'immobilier en Suisse.</v>
      </c>
      <c r="D1694" s="4" t="str">
        <f>vlookup(A1694, Sheet2!D:E, 2, 0)</f>
        <v>variant</v>
      </c>
      <c r="E1694" s="4" t="str">
        <f>IFERROR(__xludf.DUMMYFUNCTION("if(H1694=""pays"",vlookup(REGEXEXTRACT(C1694, ""🏘️ \w+ \w+ (.*) ✅""),'Country prepositions'!A:B, 2, 0) &amp; "" "" &amp; REGEXEXTRACT(C1694, ""🏘️ \w+ \w+ (.*) ✅"") ,  if(H1694=""quartier"",vlookup(REGEXEXTRACT(C1694, ""🏘️ \w+ \w+ (.*) ✅""),'Quartier prepositio"&amp;"ns'!A:E, 5, 0) ,  if(H1694=""region"",vlookup(REGEXEXTRACT(C1694, ""🏘️ \w+ \w+ (.*) ✅""),'Region prepositions'!B:F, 5, 0),  REGEXEXTRACT(C1694, ""🏘️ \w+ \w+ (.*) ✅""))))"),"Les Haudères")</f>
        <v>Les Haudères</v>
      </c>
      <c r="F1694" s="2" t="str">
        <f>IFERROR(__xludf.DUMMYFUNCTION("REGEXEXTRACT(C1694, ""🏘️ (\w+) \w+ .* ✅"")"),"Vendre")</f>
        <v>Vendre</v>
      </c>
      <c r="G1694" s="2" t="str">
        <f>IFERROR(__xludf.DUMMYFUNCTION("REGEXEXTRACT(C1694, ""🏘️ \w+ (\w+) .* ✅"")"),"maison")</f>
        <v>maison</v>
      </c>
      <c r="H1694" s="4" t="str">
        <f>IFERROR(__xludf.DUMMYFUNCTION("REGEXEXTRACT(A1694, ""/(\w+)-.*?"")"),"lieu")</f>
        <v>lieu</v>
      </c>
      <c r="I1694" s="4" t="str">
        <f>IFERROR(__xludf.DUMMYFUNCTION("if(D1694=""variant"",  substitute(filter(Templates!E:E, Templates!A:A = F1694, Templates!B:B = G1694, Templates!C:C = H1694), ""{{}}"", E1694), B1694)"),"🏘  Vous souhaitez acheter une maison à Les Haudères? ✅ Jetez un œil aux dernières offres sur ImmoScout24.ch.")</f>
        <v>🏘  Vous souhaitez acheter une maison à Les Haudères? ✅ Jetez un œil aux dernières offres sur ImmoScout24.ch.</v>
      </c>
      <c r="J1694" s="2" t="s">
        <v>5083</v>
      </c>
    </row>
    <row r="1695">
      <c r="A1695" s="5" t="s">
        <v>5084</v>
      </c>
      <c r="B1695" s="2" t="s">
        <v>5085</v>
      </c>
      <c r="C1695" s="4" t="str">
        <f>IFERROR(__xludf.DUMMYFUNCTION("""🏘️ ""&amp;REGEXEXTRACT(B1695, ""^(.*): "")&amp;"" ✅ "" &amp;REGEXEXTRACT(B1695, ""(Trouvez.*)"")"),"🏘️ Vendre maison Bernex ✅ Trouvez le bien immobilier qui correspond idéalement à vos désirs sur ImmoScout24 - La plateforme de l'immobilier en Suisse.")</f>
        <v>🏘️ Vendre maison Bernex ✅ Trouvez le bien immobilier qui correspond idéalement à vos désirs sur ImmoScout24 - La plateforme de l'immobilier en Suisse.</v>
      </c>
      <c r="D1695" s="4" t="str">
        <f>vlookup(A1695, Sheet2!D:E, 2, 0)</f>
        <v>variant</v>
      </c>
      <c r="E1695" s="4" t="str">
        <f>IFERROR(__xludf.DUMMYFUNCTION("if(H1695=""pays"",vlookup(REGEXEXTRACT(C1695, ""🏘️ \w+ \w+ (.*) ✅""),'Country prepositions'!A:B, 2, 0) &amp; "" "" &amp; REGEXEXTRACT(C1695, ""🏘️ \w+ \w+ (.*) ✅"") ,  if(H1695=""quartier"",vlookup(REGEXEXTRACT(C1695, ""🏘️ \w+ \w+ (.*) ✅""),'Quartier prepositio"&amp;"ns'!A:E, 5, 0) ,  if(H1695=""region"",vlookup(REGEXEXTRACT(C1695, ""🏘️ \w+ \w+ (.*) ✅""),'Region prepositions'!B:F, 5, 0),  REGEXEXTRACT(C1695, ""🏘️ \w+ \w+ (.*) ✅""))))"),"Bernex")</f>
        <v>Bernex</v>
      </c>
      <c r="F1695" s="2" t="str">
        <f>IFERROR(__xludf.DUMMYFUNCTION("REGEXEXTRACT(C1695, ""🏘️ (\w+) \w+ .* ✅"")"),"Vendre")</f>
        <v>Vendre</v>
      </c>
      <c r="G1695" s="2" t="str">
        <f>IFERROR(__xludf.DUMMYFUNCTION("REGEXEXTRACT(C1695, ""🏘️ \w+ (\w+) .* ✅"")"),"maison")</f>
        <v>maison</v>
      </c>
      <c r="H1695" s="4" t="str">
        <f>IFERROR(__xludf.DUMMYFUNCTION("REGEXEXTRACT(A1695, ""/(\w+)-.*?"")"),"lieu")</f>
        <v>lieu</v>
      </c>
      <c r="I1695" s="4" t="str">
        <f>IFERROR(__xludf.DUMMYFUNCTION("if(D1695=""variant"",  substitute(filter(Templates!E:E, Templates!A:A = F1695, Templates!B:B = G1695, Templates!C:C = H1695), ""{{}}"", E1695), B1695)"),"🏘  Vous souhaitez acheter une maison à Bernex? ✅ Jetez un œil aux dernières offres sur ImmoScout24.ch.")</f>
        <v>🏘  Vous souhaitez acheter une maison à Bernex? ✅ Jetez un œil aux dernières offres sur ImmoScout24.ch.</v>
      </c>
      <c r="J1695" s="4" t="s">
        <v>5086</v>
      </c>
    </row>
    <row r="1696">
      <c r="A1696" s="5" t="s">
        <v>5087</v>
      </c>
      <c r="B1696" s="2" t="s">
        <v>5088</v>
      </c>
      <c r="C1696" s="4" t="str">
        <f>IFERROR(__xludf.DUMMYFUNCTION("""🏘️ ""&amp;REGEXEXTRACT(B1696, ""^(.*): "")&amp;"" ✅ "" &amp;REGEXEXTRACT(B1696, ""(Trouvez.*)"")"),"🏘️ Vendre maison Villarsiviriaux ✅ Trouvez le bien immobilier qui correspond idéalement à vos désirs sur ImmoScout24 - La plateforme de l'immobilier en Suisse.")</f>
        <v>🏘️ Vendre maison Villarsiviriaux ✅ Trouvez le bien immobilier qui correspond idéalement à vos désirs sur ImmoScout24 - La plateforme de l'immobilier en Suisse.</v>
      </c>
      <c r="D1696" s="4" t="str">
        <f>vlookup(A1696, Sheet2!D:E, 2, 0)</f>
        <v>variant</v>
      </c>
      <c r="E1696" s="4" t="str">
        <f>IFERROR(__xludf.DUMMYFUNCTION("if(H1696=""pays"",vlookup(REGEXEXTRACT(C1696, ""🏘️ \w+ \w+ (.*) ✅""),'Country prepositions'!A:B, 2, 0) &amp; "" "" &amp; REGEXEXTRACT(C1696, ""🏘️ \w+ \w+ (.*) ✅"") ,  if(H1696=""quartier"",vlookup(REGEXEXTRACT(C1696, ""🏘️ \w+ \w+ (.*) ✅""),'Quartier prepositio"&amp;"ns'!A:E, 5, 0) ,  if(H1696=""region"",vlookup(REGEXEXTRACT(C1696, ""🏘️ \w+ \w+ (.*) ✅""),'Region prepositions'!B:F, 5, 0),  REGEXEXTRACT(C1696, ""🏘️ \w+ \w+ (.*) ✅""))))"),"Villarsiviriaux")</f>
        <v>Villarsiviriaux</v>
      </c>
      <c r="F1696" s="2" t="str">
        <f>IFERROR(__xludf.DUMMYFUNCTION("REGEXEXTRACT(C1696, ""🏘️ (\w+) \w+ .* ✅"")"),"Vendre")</f>
        <v>Vendre</v>
      </c>
      <c r="G1696" s="2" t="str">
        <f>IFERROR(__xludf.DUMMYFUNCTION("REGEXEXTRACT(C1696, ""🏘️ \w+ (\w+) .* ✅"")"),"maison")</f>
        <v>maison</v>
      </c>
      <c r="H1696" s="4" t="str">
        <f>IFERROR(__xludf.DUMMYFUNCTION("REGEXEXTRACT(A1696, ""/(\w+)-.*?"")"),"lieu")</f>
        <v>lieu</v>
      </c>
      <c r="I1696" s="4" t="str">
        <f>IFERROR(__xludf.DUMMYFUNCTION("if(D1696=""variant"",  substitute(filter(Templates!E:E, Templates!A:A = F1696, Templates!B:B = G1696, Templates!C:C = H1696), ""{{}}"", E1696), B1696)"),"🏘  Vous souhaitez acheter une maison à Villarsiviriaux? ✅ Jetez un œil aux dernières offres sur ImmoScout24.ch.")</f>
        <v>🏘  Vous souhaitez acheter une maison à Villarsiviriaux? ✅ Jetez un œil aux dernières offres sur ImmoScout24.ch.</v>
      </c>
      <c r="J1696" s="4" t="s">
        <v>5089</v>
      </c>
    </row>
    <row r="1697">
      <c r="A1697" s="5" t="s">
        <v>5090</v>
      </c>
      <c r="B1697" s="2" t="s">
        <v>5091</v>
      </c>
      <c r="C1697" s="4" t="str">
        <f>IFERROR(__xludf.DUMMYFUNCTION("""🏘️ ""&amp;REGEXEXTRACT(B1697, ""^(.*): "")&amp;"" ✅ "" &amp;REGEXEXTRACT(B1697, ""(Trouvez.*)"")"),"🏘️ Louer maison Choulex ✅ Trouvez le bien immobilier qui correspond idéalement à vos désirs sur ImmoScout24 - La plateforme de l'immobilier en Suisse.")</f>
        <v>🏘️ Louer maison Choulex ✅ Trouvez le bien immobilier qui correspond idéalement à vos désirs sur ImmoScout24 - La plateforme de l'immobilier en Suisse.</v>
      </c>
      <c r="D1697" s="4" t="str">
        <f>vlookup(A1697, Sheet2!D:E, 2, 0)</f>
        <v>variant</v>
      </c>
      <c r="E1697" s="4" t="str">
        <f>IFERROR(__xludf.DUMMYFUNCTION("if(H1697=""pays"",vlookup(REGEXEXTRACT(C1697, ""🏘️ \w+ \w+ (.*) ✅""),'Country prepositions'!A:B, 2, 0) &amp; "" "" &amp; REGEXEXTRACT(C1697, ""🏘️ \w+ \w+ (.*) ✅"") ,  if(H1697=""quartier"",vlookup(REGEXEXTRACT(C1697, ""🏘️ \w+ \w+ (.*) ✅""),'Quartier prepositio"&amp;"ns'!A:E, 5, 0) ,  if(H1697=""region"",vlookup(REGEXEXTRACT(C1697, ""🏘️ \w+ \w+ (.*) ✅""),'Region prepositions'!B:F, 5, 0),  REGEXEXTRACT(C1697, ""🏘️ \w+ \w+ (.*) ✅""))))"),"Choulex")</f>
        <v>Choulex</v>
      </c>
      <c r="F1697" s="2" t="str">
        <f>IFERROR(__xludf.DUMMYFUNCTION("REGEXEXTRACT(C1697, ""🏘️ (\w+) \w+ .* ✅"")"),"Louer")</f>
        <v>Louer</v>
      </c>
      <c r="G1697" s="2" t="str">
        <f>IFERROR(__xludf.DUMMYFUNCTION("REGEXEXTRACT(C1697, ""🏘️ \w+ (\w+) .* ✅"")"),"maison")</f>
        <v>maison</v>
      </c>
      <c r="H1697" s="4" t="str">
        <f>IFERROR(__xludf.DUMMYFUNCTION("REGEXEXTRACT(A1697, ""/(\w+)-.*?"")"),"lieu")</f>
        <v>lieu</v>
      </c>
      <c r="I1697" s="4" t="str">
        <f>IFERROR(__xludf.DUMMYFUNCTION("if(D1697=""variant"",  substitute(filter(Templates!E:E, Templates!A:A = F1697, Templates!B:B = G1697, Templates!C:C = H1697), ""{{}}"", E1697), B1697)"),"🏘  Vous cherchez une maison à louer à Choulex? ✅ Découvrez nos nombreuses annonces sur ImmoScout24.ch.")</f>
        <v>🏘  Vous cherchez une maison à louer à Choulex? ✅ Découvrez nos nombreuses annonces sur ImmoScout24.ch.</v>
      </c>
      <c r="J1697" s="4" t="s">
        <v>5092</v>
      </c>
    </row>
    <row r="1698">
      <c r="A1698" s="5" t="s">
        <v>5093</v>
      </c>
      <c r="B1698" s="2" t="s">
        <v>5094</v>
      </c>
      <c r="C1698" s="4" t="str">
        <f>IFERROR(__xludf.DUMMYFUNCTION("""🏘️ ""&amp;REGEXEXTRACT(B1698, ""^(.*): "")&amp;"" ✅ "" &amp;REGEXEXTRACT(B1698, ""(Trouvez.*)"")"),"🏘️ Vendre maison Savièse ✅ Trouvez le bien immobilier qui correspond idéalement à vos désirs sur ImmoScout24 - La plateforme de l'immobilier en Suisse.")</f>
        <v>🏘️ Vendre maison Savièse ✅ Trouvez le bien immobilier qui correspond idéalement à vos désirs sur ImmoScout24 - La plateforme de l'immobilier en Suisse.</v>
      </c>
      <c r="D1698" s="4" t="str">
        <f>vlookup(A1698, Sheet2!D:E, 2, 0)</f>
        <v>variant</v>
      </c>
      <c r="E1698" s="4" t="str">
        <f>IFERROR(__xludf.DUMMYFUNCTION("if(H1698=""pays"",vlookup(REGEXEXTRACT(C1698, ""🏘️ \w+ \w+ (.*) ✅""),'Country prepositions'!A:B, 2, 0) &amp; "" "" &amp; REGEXEXTRACT(C1698, ""🏘️ \w+ \w+ (.*) ✅"") ,  if(H1698=""quartier"",vlookup(REGEXEXTRACT(C1698, ""🏘️ \w+ \w+ (.*) ✅""),'Quartier prepositio"&amp;"ns'!A:E, 5, 0) ,  if(H1698=""region"",vlookup(REGEXEXTRACT(C1698, ""🏘️ \w+ \w+ (.*) ✅""),'Region prepositions'!B:F, 5, 0),  REGEXEXTRACT(C1698, ""🏘️ \w+ \w+ (.*) ✅""))))"),"Savièse")</f>
        <v>Savièse</v>
      </c>
      <c r="F1698" s="2" t="str">
        <f>IFERROR(__xludf.DUMMYFUNCTION("REGEXEXTRACT(C1698, ""🏘️ (\w+) \w+ .* ✅"")"),"Vendre")</f>
        <v>Vendre</v>
      </c>
      <c r="G1698" s="2" t="str">
        <f>IFERROR(__xludf.DUMMYFUNCTION("REGEXEXTRACT(C1698, ""🏘️ \w+ (\w+) .* ✅"")"),"maison")</f>
        <v>maison</v>
      </c>
      <c r="H1698" s="4" t="str">
        <f>IFERROR(__xludf.DUMMYFUNCTION("REGEXEXTRACT(A1698, ""/(\w+)-.*?"")"),"lieu")</f>
        <v>lieu</v>
      </c>
      <c r="I1698" s="4" t="str">
        <f>IFERROR(__xludf.DUMMYFUNCTION("if(D1698=""variant"",  substitute(filter(Templates!E:E, Templates!A:A = F1698, Templates!B:B = G1698, Templates!C:C = H1698), ""{{}}"", E1698), B1698)"),"🏘  Vous souhaitez acheter une maison à Savièse? ✅ Jetez un œil aux dernières offres sur ImmoScout24.ch.")</f>
        <v>🏘  Vous souhaitez acheter une maison à Savièse? ✅ Jetez un œil aux dernières offres sur ImmoScout24.ch.</v>
      </c>
      <c r="J1698" s="4" t="s">
        <v>5095</v>
      </c>
    </row>
    <row r="1699">
      <c r="A1699" s="5" t="s">
        <v>5096</v>
      </c>
      <c r="B1699" s="2" t="s">
        <v>5097</v>
      </c>
      <c r="C1699" s="4" t="str">
        <f>IFERROR(__xludf.DUMMYFUNCTION("""🏘️ ""&amp;REGEXEXTRACT(B1699, ""^(.*): "")&amp;"" ✅ "" &amp;REGEXEXTRACT(B1699, ""(Trouvez.*)"")"),"🏘️ Vendre maison Montpreveyres ✅ Trouvez le bien immobilier qui correspond idéalement à vos désirs sur ImmoScout24 - La plateforme de l'immobilier en Suisse.")</f>
        <v>🏘️ Vendre maison Montpreveyres ✅ Trouvez le bien immobilier qui correspond idéalement à vos désirs sur ImmoScout24 - La plateforme de l'immobilier en Suisse.</v>
      </c>
      <c r="D1699" s="4" t="str">
        <f>vlookup(A1699, Sheet2!D:E, 2, 0)</f>
        <v>variant</v>
      </c>
      <c r="E1699" s="4" t="str">
        <f>IFERROR(__xludf.DUMMYFUNCTION("if(H1699=""pays"",vlookup(REGEXEXTRACT(C1699, ""🏘️ \w+ \w+ (.*) ✅""),'Country prepositions'!A:B, 2, 0) &amp; "" "" &amp; REGEXEXTRACT(C1699, ""🏘️ \w+ \w+ (.*) ✅"") ,  if(H1699=""quartier"",vlookup(REGEXEXTRACT(C1699, ""🏘️ \w+ \w+ (.*) ✅""),'Quartier prepositio"&amp;"ns'!A:E, 5, 0) ,  if(H1699=""region"",vlookup(REGEXEXTRACT(C1699, ""🏘️ \w+ \w+ (.*) ✅""),'Region prepositions'!B:F, 5, 0),  REGEXEXTRACT(C1699, ""🏘️ \w+ \w+ (.*) ✅""))))"),"Montpreveyres")</f>
        <v>Montpreveyres</v>
      </c>
      <c r="F1699" s="2" t="str">
        <f>IFERROR(__xludf.DUMMYFUNCTION("REGEXEXTRACT(C1699, ""🏘️ (\w+) \w+ .* ✅"")"),"Vendre")</f>
        <v>Vendre</v>
      </c>
      <c r="G1699" s="2" t="str">
        <f>IFERROR(__xludf.DUMMYFUNCTION("REGEXEXTRACT(C1699, ""🏘️ \w+ (\w+) .* ✅"")"),"maison")</f>
        <v>maison</v>
      </c>
      <c r="H1699" s="4" t="str">
        <f>IFERROR(__xludf.DUMMYFUNCTION("REGEXEXTRACT(A1699, ""/(\w+)-.*?"")"),"lieu")</f>
        <v>lieu</v>
      </c>
      <c r="I1699" s="4" t="str">
        <f>IFERROR(__xludf.DUMMYFUNCTION("if(D1699=""variant"",  substitute(filter(Templates!E:E, Templates!A:A = F1699, Templates!B:B = G1699, Templates!C:C = H1699), ""{{}}"", E1699), B1699)"),"🏘  Vous souhaitez acheter une maison à Montpreveyres? ✅ Jetez un œil aux dernières offres sur ImmoScout24.ch.")</f>
        <v>🏘  Vous souhaitez acheter une maison à Montpreveyres? ✅ Jetez un œil aux dernières offres sur ImmoScout24.ch.</v>
      </c>
      <c r="J1699" s="4" t="s">
        <v>5098</v>
      </c>
    </row>
    <row r="1700">
      <c r="A1700" s="5" t="s">
        <v>5099</v>
      </c>
      <c r="B1700" s="2" t="s">
        <v>5100</v>
      </c>
      <c r="C1700" s="4" t="str">
        <f>IFERROR(__xludf.DUMMYFUNCTION("""🏘️ ""&amp;REGEXEXTRACT(B1700, ""^(.*): "")&amp;"" ✅ "" &amp;REGEXEXTRACT(B1700, ""(Trouvez.*)"")"),"🏘️ Vendre appartement Yens ✅ Trouvez le bien immobilier qui correspond idéalement à vos désirs sur ImmoScout24 - La plateforme de l'immobilier en Suisse.")</f>
        <v>🏘️ Vendre appartement Yens ✅ Trouvez le bien immobilier qui correspond idéalement à vos désirs sur ImmoScout24 - La plateforme de l'immobilier en Suisse.</v>
      </c>
      <c r="D1700" s="4" t="str">
        <f>vlookup(A1700, Sheet2!D:E, 2, 0)</f>
        <v>variant</v>
      </c>
      <c r="E1700" s="4" t="str">
        <f>IFERROR(__xludf.DUMMYFUNCTION("if(H1700=""pays"",vlookup(REGEXEXTRACT(C1700, ""🏘️ \w+ \w+ (.*) ✅""),'Country prepositions'!A:B, 2, 0) &amp; "" "" &amp; REGEXEXTRACT(C1700, ""🏘️ \w+ \w+ (.*) ✅"") ,  if(H1700=""quartier"",vlookup(REGEXEXTRACT(C1700, ""🏘️ \w+ \w+ (.*) ✅""),'Quartier prepositio"&amp;"ns'!A:E, 5, 0) ,  if(H1700=""region"",vlookup(REGEXEXTRACT(C1700, ""🏘️ \w+ \w+ (.*) ✅""),'Region prepositions'!B:F, 5, 0),  REGEXEXTRACT(C1700, ""🏘️ \w+ \w+ (.*) ✅""))))"),"Yens")</f>
        <v>Yens</v>
      </c>
      <c r="F1700" s="2" t="str">
        <f>IFERROR(__xludf.DUMMYFUNCTION("REGEXEXTRACT(C1700, ""🏘️ (\w+) \w+ .* ✅"")"),"Vendre")</f>
        <v>Vendre</v>
      </c>
      <c r="G1700" s="2" t="str">
        <f>IFERROR(__xludf.DUMMYFUNCTION("REGEXEXTRACT(C1700, ""🏘️ \w+ (\w+) .* ✅"")"),"appartement")</f>
        <v>appartement</v>
      </c>
      <c r="H1700" s="4" t="str">
        <f>IFERROR(__xludf.DUMMYFUNCTION("REGEXEXTRACT(A1700, ""/(\w+)-.*?"")"),"lieu")</f>
        <v>lieu</v>
      </c>
      <c r="I1700" s="4" t="str">
        <f>IFERROR(__xludf.DUMMYFUNCTION("if(D1700=""variant"",  substitute(filter(Templates!E:E, Templates!A:A = F1700, Templates!B:B = G1700, Templates!C:C = H1700), ""{{}}"", E1700), B1700)"),"🏘  L’appartement de vos rêves se trouve sur ImmoScout24.ch ✅ Découvrez les dernières annonces de vente à Yens.")</f>
        <v>🏘  L’appartement de vos rêves se trouve sur ImmoScout24.ch ✅ Découvrez les dernières annonces de vente à Yens.</v>
      </c>
      <c r="J1700" s="4" t="s">
        <v>5101</v>
      </c>
    </row>
    <row r="1701">
      <c r="A1701" s="5" t="s">
        <v>5102</v>
      </c>
      <c r="B1701" s="2" t="s">
        <v>5103</v>
      </c>
      <c r="C1701" s="4" t="str">
        <f>IFERROR(__xludf.DUMMYFUNCTION("""🏘️ ""&amp;REGEXEXTRACT(B1701, ""^(.*): "")&amp;"" ✅ "" &amp;REGEXEXTRACT(B1701, ""(Trouvez.*)"")"),"🏘️ Louer appartement Morlon ✅ Trouvez le bien immobilier qui correspond idéalement à vos désirs sur ImmoScout24 - La plateforme de l'immobilier en Suisse.")</f>
        <v>🏘️ Louer appartement Morlon ✅ Trouvez le bien immobilier qui correspond idéalement à vos désirs sur ImmoScout24 - La plateforme de l'immobilier en Suisse.</v>
      </c>
      <c r="D1701" s="4" t="str">
        <f>vlookup(A1701, Sheet2!D:E, 2, 0)</f>
        <v>variant</v>
      </c>
      <c r="E1701" s="4" t="str">
        <f>IFERROR(__xludf.DUMMYFUNCTION("if(H1701=""pays"",vlookup(REGEXEXTRACT(C1701, ""🏘️ \w+ \w+ (.*) ✅""),'Country prepositions'!A:B, 2, 0) &amp; "" "" &amp; REGEXEXTRACT(C1701, ""🏘️ \w+ \w+ (.*) ✅"") ,  if(H1701=""quartier"",vlookup(REGEXEXTRACT(C1701, ""🏘️ \w+ \w+ (.*) ✅""),'Quartier prepositio"&amp;"ns'!A:E, 5, 0) ,  if(H1701=""region"",vlookup(REGEXEXTRACT(C1701, ""🏘️ \w+ \w+ (.*) ✅""),'Region prepositions'!B:F, 5, 0),  REGEXEXTRACT(C1701, ""🏘️ \w+ \w+ (.*) ✅""))))"),"Morlon")</f>
        <v>Morlon</v>
      </c>
      <c r="F1701" s="2" t="str">
        <f>IFERROR(__xludf.DUMMYFUNCTION("REGEXEXTRACT(C1701, ""🏘️ (\w+) \w+ .* ✅"")"),"Louer")</f>
        <v>Louer</v>
      </c>
      <c r="G1701" s="2" t="str">
        <f>IFERROR(__xludf.DUMMYFUNCTION("REGEXEXTRACT(C1701, ""🏘️ \w+ (\w+) .* ✅"")"),"appartement")</f>
        <v>appartement</v>
      </c>
      <c r="H1701" s="4" t="str">
        <f>IFERROR(__xludf.DUMMYFUNCTION("REGEXEXTRACT(A1701, ""/(\w+)-.*?"")"),"lieu")</f>
        <v>lieu</v>
      </c>
      <c r="I1701" s="4" t="str">
        <f>IFERROR(__xludf.DUMMYFUNCTION("if(D1701=""variant"",  substitute(filter(Templates!E:E, Templates!A:A = F1701, Templates!B:B = G1701, Templates!C:C = H1701), ""{{}}"", E1701), B1701)"),"🏘  Vous cherchez un appartement à louer à Morlon? ✅ Les annonces les plus actuelles sont sur ImmoScout24.ch.")</f>
        <v>🏘  Vous cherchez un appartement à louer à Morlon? ✅ Les annonces les plus actuelles sont sur ImmoScout24.ch.</v>
      </c>
      <c r="J1701" s="4" t="s">
        <v>5104</v>
      </c>
    </row>
    <row r="1702">
      <c r="A1702" s="5" t="s">
        <v>5105</v>
      </c>
      <c r="B1702" s="2" t="s">
        <v>5106</v>
      </c>
      <c r="C1702" s="4" t="str">
        <f>IFERROR(__xludf.DUMMYFUNCTION("""🏘️ ""&amp;REGEXEXTRACT(B1702, ""^(.*): "")&amp;"" ✅ "" &amp;REGEXEXTRACT(B1702, ""(Trouvez.*)"")"),"🏘️ Vendre maison Morcles ✅ Trouvez le bien immobilier qui correspond idéalement à vos désirs sur ImmoScout24 - La plateforme de l'immobilier en Suisse.")</f>
        <v>🏘️ Vendre maison Morcles ✅ Trouvez le bien immobilier qui correspond idéalement à vos désirs sur ImmoScout24 - La plateforme de l'immobilier en Suisse.</v>
      </c>
      <c r="D1702" s="4" t="str">
        <f>vlookup(A1702, Sheet2!D:E, 2, 0)</f>
        <v>variant</v>
      </c>
      <c r="E1702" s="4" t="str">
        <f>IFERROR(__xludf.DUMMYFUNCTION("if(H1702=""pays"",vlookup(REGEXEXTRACT(C1702, ""🏘️ \w+ \w+ (.*) ✅""),'Country prepositions'!A:B, 2, 0) &amp; "" "" &amp; REGEXEXTRACT(C1702, ""🏘️ \w+ \w+ (.*) ✅"") ,  if(H1702=""quartier"",vlookup(REGEXEXTRACT(C1702, ""🏘️ \w+ \w+ (.*) ✅""),'Quartier prepositio"&amp;"ns'!A:E, 5, 0) ,  if(H1702=""region"",vlookup(REGEXEXTRACT(C1702, ""🏘️ \w+ \w+ (.*) ✅""),'Region prepositions'!B:F, 5, 0),  REGEXEXTRACT(C1702, ""🏘️ \w+ \w+ (.*) ✅""))))"),"Morcles")</f>
        <v>Morcles</v>
      </c>
      <c r="F1702" s="2" t="str">
        <f>IFERROR(__xludf.DUMMYFUNCTION("REGEXEXTRACT(C1702, ""🏘️ (\w+) \w+ .* ✅"")"),"Vendre")</f>
        <v>Vendre</v>
      </c>
      <c r="G1702" s="2" t="str">
        <f>IFERROR(__xludf.DUMMYFUNCTION("REGEXEXTRACT(C1702, ""🏘️ \w+ (\w+) .* ✅"")"),"maison")</f>
        <v>maison</v>
      </c>
      <c r="H1702" s="4" t="str">
        <f>IFERROR(__xludf.DUMMYFUNCTION("REGEXEXTRACT(A1702, ""/(\w+)-.*?"")"),"lieu")</f>
        <v>lieu</v>
      </c>
      <c r="I1702" s="4" t="str">
        <f>IFERROR(__xludf.DUMMYFUNCTION("if(D1702=""variant"",  substitute(filter(Templates!E:E, Templates!A:A = F1702, Templates!B:B = G1702, Templates!C:C = H1702), ""{{}}"", E1702), B1702)"),"🏘  Vous souhaitez acheter une maison à Morcles? ✅ Jetez un œil aux dernières offres sur ImmoScout24.ch.")</f>
        <v>🏘  Vous souhaitez acheter une maison à Morcles? ✅ Jetez un œil aux dernières offres sur ImmoScout24.ch.</v>
      </c>
      <c r="J1702" s="4" t="s">
        <v>5107</v>
      </c>
    </row>
    <row r="1703">
      <c r="A1703" s="5" t="s">
        <v>5108</v>
      </c>
      <c r="B1703" s="2" t="s">
        <v>5109</v>
      </c>
      <c r="C1703" s="4" t="str">
        <f>IFERROR(__xludf.DUMMYFUNCTION("""🏘️ ""&amp;REGEXEXTRACT(B1703, ""^(.*): "")&amp;"" ✅ "" &amp;REGEXEXTRACT(B1703, ""(Trouvez.*)"")"),"🏘️ Louer appartement Bretigny-sur-Morrens ✅ Trouvez le bien immobilier qui correspond idéalement à vos désirs sur ImmoScout24 - La plateforme de l'immobilier en Suisse.")</f>
        <v>🏘️ Louer appartement Bretigny-sur-Morrens ✅ Trouvez le bien immobilier qui correspond idéalement à vos désirs sur ImmoScout24 - La plateforme de l'immobilier en Suisse.</v>
      </c>
      <c r="D1703" s="4" t="str">
        <f>vlookup(A1703, Sheet2!D:E, 2, 0)</f>
        <v>variant</v>
      </c>
      <c r="E1703" s="4" t="str">
        <f>IFERROR(__xludf.DUMMYFUNCTION("if(H1703=""pays"",vlookup(REGEXEXTRACT(C1703, ""🏘️ \w+ \w+ (.*) ✅""),'Country prepositions'!A:B, 2, 0) &amp; "" "" &amp; REGEXEXTRACT(C1703, ""🏘️ \w+ \w+ (.*) ✅"") ,  if(H1703=""quartier"",vlookup(REGEXEXTRACT(C1703, ""🏘️ \w+ \w+ (.*) ✅""),'Quartier prepositio"&amp;"ns'!A:E, 5, 0) ,  if(H1703=""region"",vlookup(REGEXEXTRACT(C1703, ""🏘️ \w+ \w+ (.*) ✅""),'Region prepositions'!B:F, 5, 0),  REGEXEXTRACT(C1703, ""🏘️ \w+ \w+ (.*) ✅""))))"),"Bretigny-sur-Morrens")</f>
        <v>Bretigny-sur-Morrens</v>
      </c>
      <c r="F1703" s="2" t="str">
        <f>IFERROR(__xludf.DUMMYFUNCTION("REGEXEXTRACT(C1703, ""🏘️ (\w+) \w+ .* ✅"")"),"Louer")</f>
        <v>Louer</v>
      </c>
      <c r="G1703" s="2" t="str">
        <f>IFERROR(__xludf.DUMMYFUNCTION("REGEXEXTRACT(C1703, ""🏘️ \w+ (\w+) .* ✅"")"),"appartement")</f>
        <v>appartement</v>
      </c>
      <c r="H1703" s="4" t="str">
        <f>IFERROR(__xludf.DUMMYFUNCTION("REGEXEXTRACT(A1703, ""/(\w+)-.*?"")"),"lieu")</f>
        <v>lieu</v>
      </c>
      <c r="I1703" s="4" t="str">
        <f>IFERROR(__xludf.DUMMYFUNCTION("if(D1703=""variant"",  substitute(filter(Templates!E:E, Templates!A:A = F1703, Templates!B:B = G1703, Templates!C:C = H1703), ""{{}}"", E1703), B1703)"),"🏘  Vous cherchez un appartement à louer à Bretigny-sur-Morrens? ✅ Les annonces les plus actuelles sont sur ImmoScout24.ch.")</f>
        <v>🏘  Vous cherchez un appartement à louer à Bretigny-sur-Morrens? ✅ Les annonces les plus actuelles sont sur ImmoScout24.ch.</v>
      </c>
      <c r="J1703" s="4" t="s">
        <v>5110</v>
      </c>
    </row>
    <row r="1704">
      <c r="A1704" s="5" t="s">
        <v>5111</v>
      </c>
      <c r="B1704" s="2" t="s">
        <v>5112</v>
      </c>
      <c r="C1704" s="4" t="str">
        <f>IFERROR(__xludf.DUMMYFUNCTION("""🏘️ ""&amp;REGEXEXTRACT(B1704, ""^(.*): "")&amp;"" ✅ "" &amp;REGEXEXTRACT(B1704, ""(Trouvez.*)"")"),"🏘️ Vendre appartement Evilard ✅ Trouvez le bien immobilier qui correspond idéalement à vos désirs sur ImmoScout24 - La plateforme de l'immobilier en Suisse.")</f>
        <v>🏘️ Vendre appartement Evilard ✅ Trouvez le bien immobilier qui correspond idéalement à vos désirs sur ImmoScout24 - La plateforme de l'immobilier en Suisse.</v>
      </c>
      <c r="D1704" s="4" t="str">
        <f>vlookup(A1704, Sheet2!D:E, 2, 0)</f>
        <v>variant</v>
      </c>
      <c r="E1704" s="4" t="str">
        <f>IFERROR(__xludf.DUMMYFUNCTION("if(H1704=""pays"",vlookup(REGEXEXTRACT(C1704, ""🏘️ \w+ \w+ (.*) ✅""),'Country prepositions'!A:B, 2, 0) &amp; "" "" &amp; REGEXEXTRACT(C1704, ""🏘️ \w+ \w+ (.*) ✅"") ,  if(H1704=""quartier"",vlookup(REGEXEXTRACT(C1704, ""🏘️ \w+ \w+ (.*) ✅""),'Quartier prepositio"&amp;"ns'!A:E, 5, 0) ,  if(H1704=""region"",vlookup(REGEXEXTRACT(C1704, ""🏘️ \w+ \w+ (.*) ✅""),'Region prepositions'!B:F, 5, 0),  REGEXEXTRACT(C1704, ""🏘️ \w+ \w+ (.*) ✅""))))"),"Evilard")</f>
        <v>Evilard</v>
      </c>
      <c r="F1704" s="2" t="str">
        <f>IFERROR(__xludf.DUMMYFUNCTION("REGEXEXTRACT(C1704, ""🏘️ (\w+) \w+ .* ✅"")"),"Vendre")</f>
        <v>Vendre</v>
      </c>
      <c r="G1704" s="2" t="str">
        <f>IFERROR(__xludf.DUMMYFUNCTION("REGEXEXTRACT(C1704, ""🏘️ \w+ (\w+) .* ✅"")"),"appartement")</f>
        <v>appartement</v>
      </c>
      <c r="H1704" s="4" t="str">
        <f>IFERROR(__xludf.DUMMYFUNCTION("REGEXEXTRACT(A1704, ""/(\w+)-.*?"")"),"lieu")</f>
        <v>lieu</v>
      </c>
      <c r="I1704" s="4" t="str">
        <f>IFERROR(__xludf.DUMMYFUNCTION("if(D1704=""variant"",  substitute(filter(Templates!E:E, Templates!A:A = F1704, Templates!B:B = G1704, Templates!C:C = H1704), ""{{}}"", E1704), B1704)"),"🏘  L’appartement de vos rêves se trouve sur ImmoScout24.ch ✅ Découvrez les dernières annonces de vente à Evilard.")</f>
        <v>🏘  L’appartement de vos rêves se trouve sur ImmoScout24.ch ✅ Découvrez les dernières annonces de vente à Evilard.</v>
      </c>
      <c r="J1704" s="4" t="s">
        <v>5113</v>
      </c>
    </row>
    <row r="1705">
      <c r="A1705" s="5" t="s">
        <v>5114</v>
      </c>
      <c r="B1705" s="2" t="s">
        <v>5115</v>
      </c>
      <c r="C1705" s="4" t="str">
        <f>IFERROR(__xludf.DUMMYFUNCTION("""🏘️ ""&amp;REGEXEXTRACT(B1705, ""^(.*): "")&amp;"" ✅ "" &amp;REGEXEXTRACT(B1705, ""(Trouvez.*)"")"),"🏘️ Vendre maison Aproz (Nendaz) ✅ Trouvez le bien immobilier qui correspond idéalement à vos désirs sur ImmoScout24 - La plateforme de l'immobilier en Suisse.")</f>
        <v>🏘️ Vendre maison Aproz (Nendaz) ✅ Trouvez le bien immobilier qui correspond idéalement à vos désirs sur ImmoScout24 - La plateforme de l'immobilier en Suisse.</v>
      </c>
      <c r="D1705" s="4" t="str">
        <f>vlookup(A1705, Sheet2!D:E, 2, 0)</f>
        <v>variant</v>
      </c>
      <c r="E1705" s="4" t="str">
        <f>IFERROR(__xludf.DUMMYFUNCTION("if(H1705=""pays"",vlookup(REGEXEXTRACT(C1705, ""🏘️ \w+ \w+ (.*) ✅""),'Country prepositions'!A:B, 2, 0) &amp; "" "" &amp; REGEXEXTRACT(C1705, ""🏘️ \w+ \w+ (.*) ✅"") ,  if(H1705=""quartier"",vlookup(REGEXEXTRACT(C1705, ""🏘️ \w+ \w+ (.*) ✅""),'Quartier prepositio"&amp;"ns'!A:E, 5, 0) ,  if(H1705=""region"",vlookup(REGEXEXTRACT(C1705, ""🏘️ \w+ \w+ (.*) ✅""),'Region prepositions'!B:F, 5, 0),  REGEXEXTRACT(C1705, ""🏘️ \w+ \w+ (.*) ✅""))))"),"Aproz (Nendaz)")</f>
        <v>Aproz (Nendaz)</v>
      </c>
      <c r="F1705" s="2" t="str">
        <f>IFERROR(__xludf.DUMMYFUNCTION("REGEXEXTRACT(C1705, ""🏘️ (\w+) \w+ .* ✅"")"),"Vendre")</f>
        <v>Vendre</v>
      </c>
      <c r="G1705" s="2" t="str">
        <f>IFERROR(__xludf.DUMMYFUNCTION("REGEXEXTRACT(C1705, ""🏘️ \w+ (\w+) .* ✅"")"),"maison")</f>
        <v>maison</v>
      </c>
      <c r="H1705" s="4" t="str">
        <f>IFERROR(__xludf.DUMMYFUNCTION("REGEXEXTRACT(A1705, ""/(\w+)-.*?"")"),"lieu")</f>
        <v>lieu</v>
      </c>
      <c r="I1705" s="4" t="str">
        <f>IFERROR(__xludf.DUMMYFUNCTION("if(D1705=""variant"",  substitute(filter(Templates!E:E, Templates!A:A = F1705, Templates!B:B = G1705, Templates!C:C = H1705), ""{{}}"", E1705), B1705)"),"🏘  Vous souhaitez acheter une maison à Aproz (Nendaz)? ✅ Jetez un œil aux dernières offres sur ImmoScout24.ch.")</f>
        <v>🏘  Vous souhaitez acheter une maison à Aproz (Nendaz)? ✅ Jetez un œil aux dernières offres sur ImmoScout24.ch.</v>
      </c>
      <c r="J1705" s="4" t="s">
        <v>5116</v>
      </c>
    </row>
    <row r="1706">
      <c r="A1706" s="5" t="s">
        <v>5117</v>
      </c>
      <c r="B1706" s="2" t="s">
        <v>5118</v>
      </c>
      <c r="C1706" s="4" t="str">
        <f>IFERROR(__xludf.DUMMYFUNCTION("""🏘️ ""&amp;REGEXEXTRACT(B1706, ""^(.*): "")&amp;"" ✅ "" &amp;REGEXEXTRACT(B1706, ""(Trouvez.*)"")"),"🏘️ Louer appartement Lüscherz ✅ Trouvez le bien immobilier qui correspond idéalement à vos désirs sur ImmoScout24 - La plateforme de l'immobilier en Suisse.")</f>
        <v>🏘️ Louer appartement Lüscherz ✅ Trouvez le bien immobilier qui correspond idéalement à vos désirs sur ImmoScout24 - La plateforme de l'immobilier en Suisse.</v>
      </c>
      <c r="D1706" s="4" t="str">
        <f>vlookup(A1706, Sheet2!D:E, 2, 0)</f>
        <v>variant</v>
      </c>
      <c r="E1706" s="4" t="str">
        <f>IFERROR(__xludf.DUMMYFUNCTION("if(H1706=""pays"",vlookup(REGEXEXTRACT(C1706, ""🏘️ \w+ \w+ (.*) ✅""),'Country prepositions'!A:B, 2, 0) &amp; "" "" &amp; REGEXEXTRACT(C1706, ""🏘️ \w+ \w+ (.*) ✅"") ,  if(H1706=""quartier"",vlookup(REGEXEXTRACT(C1706, ""🏘️ \w+ \w+ (.*) ✅""),'Quartier prepositio"&amp;"ns'!A:E, 5, 0) ,  if(H1706=""region"",vlookup(REGEXEXTRACT(C1706, ""🏘️ \w+ \w+ (.*) ✅""),'Region prepositions'!B:F, 5, 0),  REGEXEXTRACT(C1706, ""🏘️ \w+ \w+ (.*) ✅""))))"),"Lüscherz")</f>
        <v>Lüscherz</v>
      </c>
      <c r="F1706" s="2" t="str">
        <f>IFERROR(__xludf.DUMMYFUNCTION("REGEXEXTRACT(C1706, ""🏘️ (\w+) \w+ .* ✅"")"),"Louer")</f>
        <v>Louer</v>
      </c>
      <c r="G1706" s="2" t="str">
        <f>IFERROR(__xludf.DUMMYFUNCTION("REGEXEXTRACT(C1706, ""🏘️ \w+ (\w+) .* ✅"")"),"appartement")</f>
        <v>appartement</v>
      </c>
      <c r="H1706" s="4" t="str">
        <f>IFERROR(__xludf.DUMMYFUNCTION("REGEXEXTRACT(A1706, ""/(\w+)-.*?"")"),"lieu")</f>
        <v>lieu</v>
      </c>
      <c r="I1706" s="4" t="str">
        <f>IFERROR(__xludf.DUMMYFUNCTION("if(D1706=""variant"",  substitute(filter(Templates!E:E, Templates!A:A = F1706, Templates!B:B = G1706, Templates!C:C = H1706), ""{{}}"", E1706), B1706)"),"🏘  Vous cherchez un appartement à louer à Lüscherz? ✅ Les annonces les plus actuelles sont sur ImmoScout24.ch.")</f>
        <v>🏘  Vous cherchez un appartement à louer à Lüscherz? ✅ Les annonces les plus actuelles sont sur ImmoScout24.ch.</v>
      </c>
      <c r="J1706" s="4" t="s">
        <v>5119</v>
      </c>
    </row>
    <row r="1707">
      <c r="A1707" s="5" t="s">
        <v>5120</v>
      </c>
      <c r="B1707" s="2" t="s">
        <v>5121</v>
      </c>
      <c r="C1707" s="4" t="str">
        <f>IFERROR(__xludf.DUMMYFUNCTION("""🏘️ ""&amp;REGEXEXTRACT(B1707, ""^(.*): "")&amp;"" ✅ "" &amp;REGEXEXTRACT(B1707, ""(Trouvez.*)"")"),"🏘️ Louer appartement Grandcour ✅ Trouvez le bien immobilier qui correspond idéalement à vos désirs sur ImmoScout24 - La plateforme de l'immobilier en Suisse.")</f>
        <v>🏘️ Louer appartement Grandcour ✅ Trouvez le bien immobilier qui correspond idéalement à vos désirs sur ImmoScout24 - La plateforme de l'immobilier en Suisse.</v>
      </c>
      <c r="D1707" s="4" t="str">
        <f>vlookup(A1707, Sheet2!D:E, 2, 0)</f>
        <v>variant</v>
      </c>
      <c r="E1707" s="4" t="str">
        <f>IFERROR(__xludf.DUMMYFUNCTION("if(H1707=""pays"",vlookup(REGEXEXTRACT(C1707, ""🏘️ \w+ \w+ (.*) ✅""),'Country prepositions'!A:B, 2, 0) &amp; "" "" &amp; REGEXEXTRACT(C1707, ""🏘️ \w+ \w+ (.*) ✅"") ,  if(H1707=""quartier"",vlookup(REGEXEXTRACT(C1707, ""🏘️ \w+ \w+ (.*) ✅""),'Quartier prepositio"&amp;"ns'!A:E, 5, 0) ,  if(H1707=""region"",vlookup(REGEXEXTRACT(C1707, ""🏘️ \w+ \w+ (.*) ✅""),'Region prepositions'!B:F, 5, 0),  REGEXEXTRACT(C1707, ""🏘️ \w+ \w+ (.*) ✅""))))"),"Grandcour")</f>
        <v>Grandcour</v>
      </c>
      <c r="F1707" s="2" t="str">
        <f>IFERROR(__xludf.DUMMYFUNCTION("REGEXEXTRACT(C1707, ""🏘️ (\w+) \w+ .* ✅"")"),"Louer")</f>
        <v>Louer</v>
      </c>
      <c r="G1707" s="2" t="str">
        <f>IFERROR(__xludf.DUMMYFUNCTION("REGEXEXTRACT(C1707, ""🏘️ \w+ (\w+) .* ✅"")"),"appartement")</f>
        <v>appartement</v>
      </c>
      <c r="H1707" s="4" t="str">
        <f>IFERROR(__xludf.DUMMYFUNCTION("REGEXEXTRACT(A1707, ""/(\w+)-.*?"")"),"lieu")</f>
        <v>lieu</v>
      </c>
      <c r="I1707" s="4" t="str">
        <f>IFERROR(__xludf.DUMMYFUNCTION("if(D1707=""variant"",  substitute(filter(Templates!E:E, Templates!A:A = F1707, Templates!B:B = G1707, Templates!C:C = H1707), ""{{}}"", E1707), B1707)"),"🏘  Vous cherchez un appartement à louer à Grandcour? ✅ Les annonces les plus actuelles sont sur ImmoScout24.ch.")</f>
        <v>🏘  Vous cherchez un appartement à louer à Grandcour? ✅ Les annonces les plus actuelles sont sur ImmoScout24.ch.</v>
      </c>
      <c r="J1707" s="4" t="s">
        <v>5122</v>
      </c>
    </row>
    <row r="1708">
      <c r="A1708" s="5" t="s">
        <v>5123</v>
      </c>
      <c r="B1708" s="2" t="s">
        <v>5124</v>
      </c>
      <c r="C1708" s="4" t="str">
        <f>IFERROR(__xludf.DUMMYFUNCTION("""🏘️ ""&amp;REGEXEXTRACT(B1708, ""^(.*): "")&amp;"" ✅ "" &amp;REGEXEXTRACT(B1708, ""(Trouvez.*)"")"),"🏘️ Vendre appartement Lully FR ✅ Trouvez le bien immobilier qui correspond idéalement à vos désirs sur ImmoScout24 - La plateforme de l'immobilier en Suisse.")</f>
        <v>🏘️ Vendre appartement Lully FR ✅ Trouvez le bien immobilier qui correspond idéalement à vos désirs sur ImmoScout24 - La plateforme de l'immobilier en Suisse.</v>
      </c>
      <c r="D1708" s="4" t="str">
        <f>vlookup(A1708, Sheet2!D:E, 2, 0)</f>
        <v>variant</v>
      </c>
      <c r="E1708" s="4" t="str">
        <f>IFERROR(__xludf.DUMMYFUNCTION("if(H1708=""pays"",vlookup(REGEXEXTRACT(C1708, ""🏘️ \w+ \w+ (.*) ✅""),'Country prepositions'!A:B, 2, 0) &amp; "" "" &amp; REGEXEXTRACT(C1708, ""🏘️ \w+ \w+ (.*) ✅"") ,  if(H1708=""quartier"",vlookup(REGEXEXTRACT(C1708, ""🏘️ \w+ \w+ (.*) ✅""),'Quartier prepositio"&amp;"ns'!A:E, 5, 0) ,  if(H1708=""region"",vlookup(REGEXEXTRACT(C1708, ""🏘️ \w+ \w+ (.*) ✅""),'Region prepositions'!B:F, 5, 0),  REGEXEXTRACT(C1708, ""🏘️ \w+ \w+ (.*) ✅""))))"),"Lully FR")</f>
        <v>Lully FR</v>
      </c>
      <c r="F1708" s="2" t="str">
        <f>IFERROR(__xludf.DUMMYFUNCTION("REGEXEXTRACT(C1708, ""🏘️ (\w+) \w+ .* ✅"")"),"Vendre")</f>
        <v>Vendre</v>
      </c>
      <c r="G1708" s="2" t="str">
        <f>IFERROR(__xludf.DUMMYFUNCTION("REGEXEXTRACT(C1708, ""🏘️ \w+ (\w+) .* ✅"")"),"appartement")</f>
        <v>appartement</v>
      </c>
      <c r="H1708" s="4" t="str">
        <f>IFERROR(__xludf.DUMMYFUNCTION("REGEXEXTRACT(A1708, ""/(\w+)-.*?"")"),"lieu")</f>
        <v>lieu</v>
      </c>
      <c r="I1708" s="4" t="str">
        <f>IFERROR(__xludf.DUMMYFUNCTION("if(D1708=""variant"",  substitute(filter(Templates!E:E, Templates!A:A = F1708, Templates!B:B = G1708, Templates!C:C = H1708), ""{{}}"", E1708), B1708)"),"🏘  L’appartement de vos rêves se trouve sur ImmoScout24.ch ✅ Découvrez les dernières annonces de vente à Lully FR.")</f>
        <v>🏘  L’appartement de vos rêves se trouve sur ImmoScout24.ch ✅ Découvrez les dernières annonces de vente à Lully FR.</v>
      </c>
      <c r="J1708" s="4" t="s">
        <v>5125</v>
      </c>
    </row>
    <row r="1709">
      <c r="A1709" s="5" t="s">
        <v>5126</v>
      </c>
      <c r="B1709" s="2" t="s">
        <v>5127</v>
      </c>
      <c r="C1709" s="4" t="str">
        <f>IFERROR(__xludf.DUMMYFUNCTION("""🏘️ ""&amp;REGEXEXTRACT(B1709, ""^(.*): "")&amp;"" ✅ "" &amp;REGEXEXTRACT(B1709, ""(Trouvez.*)"")"),"🏘️ Louer appartement Brot-Dessous ✅ Trouvez le bien immobilier qui correspond idéalement à vos désirs sur ImmoScout24 - La plateforme de l'immobilier en Suisse.")</f>
        <v>🏘️ Louer appartement Brot-Dessous ✅ Trouvez le bien immobilier qui correspond idéalement à vos désirs sur ImmoScout24 - La plateforme de l'immobilier en Suisse.</v>
      </c>
      <c r="D1709" s="4" t="str">
        <f>vlookup(A1709, Sheet2!D:E, 2, 0)</f>
        <v>variant</v>
      </c>
      <c r="E1709" s="4" t="str">
        <f>IFERROR(__xludf.DUMMYFUNCTION("if(H1709=""pays"",vlookup(REGEXEXTRACT(C1709, ""🏘️ \w+ \w+ (.*) ✅""),'Country prepositions'!A:B, 2, 0) &amp; "" "" &amp; REGEXEXTRACT(C1709, ""🏘️ \w+ \w+ (.*) ✅"") ,  if(H1709=""quartier"",vlookup(REGEXEXTRACT(C1709, ""🏘️ \w+ \w+ (.*) ✅""),'Quartier prepositio"&amp;"ns'!A:E, 5, 0) ,  if(H1709=""region"",vlookup(REGEXEXTRACT(C1709, ""🏘️ \w+ \w+ (.*) ✅""),'Region prepositions'!B:F, 5, 0),  REGEXEXTRACT(C1709, ""🏘️ \w+ \w+ (.*) ✅""))))"),"Brot-Dessous")</f>
        <v>Brot-Dessous</v>
      </c>
      <c r="F1709" s="2" t="str">
        <f>IFERROR(__xludf.DUMMYFUNCTION("REGEXEXTRACT(C1709, ""🏘️ (\w+) \w+ .* ✅"")"),"Louer")</f>
        <v>Louer</v>
      </c>
      <c r="G1709" s="2" t="str">
        <f>IFERROR(__xludf.DUMMYFUNCTION("REGEXEXTRACT(C1709, ""🏘️ \w+ (\w+) .* ✅"")"),"appartement")</f>
        <v>appartement</v>
      </c>
      <c r="H1709" s="4" t="str">
        <f>IFERROR(__xludf.DUMMYFUNCTION("REGEXEXTRACT(A1709, ""/(\w+)-.*?"")"),"lieu")</f>
        <v>lieu</v>
      </c>
      <c r="I1709" s="4" t="str">
        <f>IFERROR(__xludf.DUMMYFUNCTION("if(D1709=""variant"",  substitute(filter(Templates!E:E, Templates!A:A = F1709, Templates!B:B = G1709, Templates!C:C = H1709), ""{{}}"", E1709), B1709)"),"🏘  Vous cherchez un appartement à louer à Brot-Dessous? ✅ Les annonces les plus actuelles sont sur ImmoScout24.ch.")</f>
        <v>🏘  Vous cherchez un appartement à louer à Brot-Dessous? ✅ Les annonces les plus actuelles sont sur ImmoScout24.ch.</v>
      </c>
      <c r="J1709" s="4" t="s">
        <v>5128</v>
      </c>
    </row>
    <row r="1710">
      <c r="A1710" s="5" t="s">
        <v>5129</v>
      </c>
      <c r="B1710" s="2" t="s">
        <v>5130</v>
      </c>
      <c r="C1710" s="4" t="str">
        <f>IFERROR(__xludf.DUMMYFUNCTION("""🏘️ ""&amp;REGEXEXTRACT(B1710, ""^(.*): "")&amp;"" ✅ "" &amp;REGEXEXTRACT(B1710, ""(Trouvez.*)"")"),"🏘️ Louer appartement Sédeilles ✅ Trouvez le bien immobilier qui correspond idéalement à vos désirs sur ImmoScout24 - La plateforme de l'immobilier en Suisse.")</f>
        <v>🏘️ Louer appartement Sédeilles ✅ Trouvez le bien immobilier qui correspond idéalement à vos désirs sur ImmoScout24 - La plateforme de l'immobilier en Suisse.</v>
      </c>
      <c r="D1710" s="4" t="str">
        <f>vlookup(A1710, Sheet2!D:E, 2, 0)</f>
        <v>variant</v>
      </c>
      <c r="E1710" s="4" t="str">
        <f>IFERROR(__xludf.DUMMYFUNCTION("if(H1710=""pays"",vlookup(REGEXEXTRACT(C1710, ""🏘️ \w+ \w+ (.*) ✅""),'Country prepositions'!A:B, 2, 0) &amp; "" "" &amp; REGEXEXTRACT(C1710, ""🏘️ \w+ \w+ (.*) ✅"") ,  if(H1710=""quartier"",vlookup(REGEXEXTRACT(C1710, ""🏘️ \w+ \w+ (.*) ✅""),'Quartier prepositio"&amp;"ns'!A:E, 5, 0) ,  if(H1710=""region"",vlookup(REGEXEXTRACT(C1710, ""🏘️ \w+ \w+ (.*) ✅""),'Region prepositions'!B:F, 5, 0),  REGEXEXTRACT(C1710, ""🏘️ \w+ \w+ (.*) ✅""))))"),"Sédeilles")</f>
        <v>Sédeilles</v>
      </c>
      <c r="F1710" s="2" t="str">
        <f>IFERROR(__xludf.DUMMYFUNCTION("REGEXEXTRACT(C1710, ""🏘️ (\w+) \w+ .* ✅"")"),"Louer")</f>
        <v>Louer</v>
      </c>
      <c r="G1710" s="2" t="str">
        <f>IFERROR(__xludf.DUMMYFUNCTION("REGEXEXTRACT(C1710, ""🏘️ \w+ (\w+) .* ✅"")"),"appartement")</f>
        <v>appartement</v>
      </c>
      <c r="H1710" s="4" t="str">
        <f>IFERROR(__xludf.DUMMYFUNCTION("REGEXEXTRACT(A1710, ""/(\w+)-.*?"")"),"lieu")</f>
        <v>lieu</v>
      </c>
      <c r="I1710" s="4" t="str">
        <f>IFERROR(__xludf.DUMMYFUNCTION("if(D1710=""variant"",  substitute(filter(Templates!E:E, Templates!A:A = F1710, Templates!B:B = G1710, Templates!C:C = H1710), ""{{}}"", E1710), B1710)"),"🏘  Vous cherchez un appartement à louer à Sédeilles? ✅ Les annonces les plus actuelles sont sur ImmoScout24.ch.")</f>
        <v>🏘  Vous cherchez un appartement à louer à Sédeilles? ✅ Les annonces les plus actuelles sont sur ImmoScout24.ch.</v>
      </c>
      <c r="J1710" s="4" t="s">
        <v>5131</v>
      </c>
    </row>
    <row r="1711">
      <c r="A1711" s="5" t="s">
        <v>5132</v>
      </c>
      <c r="B1711" s="2" t="s">
        <v>5133</v>
      </c>
      <c r="C1711" s="4" t="str">
        <f>IFERROR(__xludf.DUMMYFUNCTION("""🏘️ ""&amp;REGEXEXTRACT(B1711, ""^(.*): "")&amp;"" ✅ "" &amp;REGEXEXTRACT(B1711, ""(Trouvez.*)"")"),"🏘️ Louer appartement Les Reussilles ✅ Trouvez le bien immobilier qui correspond idéalement à vos désirs sur ImmoScout24 - La plateforme de l'immobilier en Suisse.")</f>
        <v>🏘️ Louer appartement Les Reussilles ✅ Trouvez le bien immobilier qui correspond idéalement à vos désirs sur ImmoScout24 - La plateforme de l'immobilier en Suisse.</v>
      </c>
      <c r="D1711" s="4" t="str">
        <f>vlookup(A1711, Sheet2!D:E, 2, 0)</f>
        <v>variant</v>
      </c>
      <c r="E1711" s="4" t="str">
        <f>IFERROR(__xludf.DUMMYFUNCTION("if(H1711=""pays"",vlookup(REGEXEXTRACT(C1711, ""🏘️ \w+ \w+ (.*) ✅""),'Country prepositions'!A:B, 2, 0) &amp; "" "" &amp; REGEXEXTRACT(C1711, ""🏘️ \w+ \w+ (.*) ✅"") ,  if(H1711=""quartier"",vlookup(REGEXEXTRACT(C1711, ""🏘️ \w+ \w+ (.*) ✅""),'Quartier prepositio"&amp;"ns'!A:E, 5, 0) ,  if(H1711=""region"",vlookup(REGEXEXTRACT(C1711, ""🏘️ \w+ \w+ (.*) ✅""),'Region prepositions'!B:F, 5, 0),  REGEXEXTRACT(C1711, ""🏘️ \w+ \w+ (.*) ✅""))))"),"Les Reussilles")</f>
        <v>Les Reussilles</v>
      </c>
      <c r="F1711" s="2" t="str">
        <f>IFERROR(__xludf.DUMMYFUNCTION("REGEXEXTRACT(C1711, ""🏘️ (\w+) \w+ .* ✅"")"),"Louer")</f>
        <v>Louer</v>
      </c>
      <c r="G1711" s="2" t="str">
        <f>IFERROR(__xludf.DUMMYFUNCTION("REGEXEXTRACT(C1711, ""🏘️ \w+ (\w+) .* ✅"")"),"appartement")</f>
        <v>appartement</v>
      </c>
      <c r="H1711" s="4" t="str">
        <f>IFERROR(__xludf.DUMMYFUNCTION("REGEXEXTRACT(A1711, ""/(\w+)-.*?"")"),"lieu")</f>
        <v>lieu</v>
      </c>
      <c r="I1711" s="4" t="str">
        <f>IFERROR(__xludf.DUMMYFUNCTION("if(D1711=""variant"",  substitute(filter(Templates!E:E, Templates!A:A = F1711, Templates!B:B = G1711, Templates!C:C = H1711), ""{{}}"", E1711), B1711)"),"🏘  Vous cherchez un appartement à louer à Les Reussilles? ✅ Les annonces les plus actuelles sont sur ImmoScout24.ch.")</f>
        <v>🏘  Vous cherchez un appartement à louer à Les Reussilles? ✅ Les annonces les plus actuelles sont sur ImmoScout24.ch.</v>
      </c>
      <c r="J1711" s="2" t="s">
        <v>5134</v>
      </c>
    </row>
    <row r="1712">
      <c r="A1712" s="5" t="s">
        <v>5135</v>
      </c>
      <c r="B1712" s="2" t="s">
        <v>5136</v>
      </c>
      <c r="C1712" s="4" t="str">
        <f>IFERROR(__xludf.DUMMYFUNCTION("""🏘️ ""&amp;REGEXEXTRACT(B1712, ""^(.*): "")&amp;"" ✅ "" &amp;REGEXEXTRACT(B1712, ""(Trouvez.*)"")"),"🏘️ Vendre maison Romainmôtier ✅ Trouvez le bien immobilier qui correspond idéalement à vos désirs sur ImmoScout24 - La plateforme de l'immobilier en Suisse.")</f>
        <v>🏘️ Vendre maison Romainmôtier ✅ Trouvez le bien immobilier qui correspond idéalement à vos désirs sur ImmoScout24 - La plateforme de l'immobilier en Suisse.</v>
      </c>
      <c r="D1712" s="4" t="str">
        <f>vlookup(A1712, Sheet2!D:E, 2, 0)</f>
        <v>variant</v>
      </c>
      <c r="E1712" s="4" t="str">
        <f>IFERROR(__xludf.DUMMYFUNCTION("if(H1712=""pays"",vlookup(REGEXEXTRACT(C1712, ""🏘️ \w+ \w+ (.*) ✅""),'Country prepositions'!A:B, 2, 0) &amp; "" "" &amp; REGEXEXTRACT(C1712, ""🏘️ \w+ \w+ (.*) ✅"") ,  if(H1712=""quartier"",vlookup(REGEXEXTRACT(C1712, ""🏘️ \w+ \w+ (.*) ✅""),'Quartier prepositio"&amp;"ns'!A:E, 5, 0) ,  if(H1712=""region"",vlookup(REGEXEXTRACT(C1712, ""🏘️ \w+ \w+ (.*) ✅""),'Region prepositions'!B:F, 5, 0),  REGEXEXTRACT(C1712, ""🏘️ \w+ \w+ (.*) ✅""))))"),"Romainmôtier")</f>
        <v>Romainmôtier</v>
      </c>
      <c r="F1712" s="2" t="str">
        <f>IFERROR(__xludf.DUMMYFUNCTION("REGEXEXTRACT(C1712, ""🏘️ (\w+) \w+ .* ✅"")"),"Vendre")</f>
        <v>Vendre</v>
      </c>
      <c r="G1712" s="2" t="str">
        <f>IFERROR(__xludf.DUMMYFUNCTION("REGEXEXTRACT(C1712, ""🏘️ \w+ (\w+) .* ✅"")"),"maison")</f>
        <v>maison</v>
      </c>
      <c r="H1712" s="4" t="str">
        <f>IFERROR(__xludf.DUMMYFUNCTION("REGEXEXTRACT(A1712, ""/(\w+)-.*?"")"),"lieu")</f>
        <v>lieu</v>
      </c>
      <c r="I1712" s="4" t="str">
        <f>IFERROR(__xludf.DUMMYFUNCTION("if(D1712=""variant"",  substitute(filter(Templates!E:E, Templates!A:A = F1712, Templates!B:B = G1712, Templates!C:C = H1712), ""{{}}"", E1712), B1712)"),"🏘  Vous souhaitez acheter une maison à Romainmôtier? ✅ Jetez un œil aux dernières offres sur ImmoScout24.ch.")</f>
        <v>🏘  Vous souhaitez acheter une maison à Romainmôtier? ✅ Jetez un œil aux dernières offres sur ImmoScout24.ch.</v>
      </c>
      <c r="J1712" s="4" t="s">
        <v>5137</v>
      </c>
    </row>
    <row r="1713">
      <c r="A1713" s="5" t="s">
        <v>5138</v>
      </c>
      <c r="B1713" s="2" t="s">
        <v>5139</v>
      </c>
      <c r="C1713" s="4" t="str">
        <f>IFERROR(__xludf.DUMMYFUNCTION("""🏘️ ""&amp;REGEXEXTRACT(B1713, ""^(.*): "")&amp;"" ✅ "" &amp;REGEXEXTRACT(B1713, ""(Trouvez.*)"")"),"🏘️ Vendre appartement Soyhières ✅ Trouvez le bien immobilier qui correspond idéalement à vos désirs sur ImmoScout24 - La plateforme de l'immobilier en Suisse.")</f>
        <v>🏘️ Vendre appartement Soyhières ✅ Trouvez le bien immobilier qui correspond idéalement à vos désirs sur ImmoScout24 - La plateforme de l'immobilier en Suisse.</v>
      </c>
      <c r="D1713" s="4" t="str">
        <f>vlookup(A1713, Sheet2!D:E, 2, 0)</f>
        <v>variant</v>
      </c>
      <c r="E1713" s="4" t="str">
        <f>IFERROR(__xludf.DUMMYFUNCTION("if(H1713=""pays"",vlookup(REGEXEXTRACT(C1713, ""🏘️ \w+ \w+ (.*) ✅""),'Country prepositions'!A:B, 2, 0) &amp; "" "" &amp; REGEXEXTRACT(C1713, ""🏘️ \w+ \w+ (.*) ✅"") ,  if(H1713=""quartier"",vlookup(REGEXEXTRACT(C1713, ""🏘️ \w+ \w+ (.*) ✅""),'Quartier prepositio"&amp;"ns'!A:E, 5, 0) ,  if(H1713=""region"",vlookup(REGEXEXTRACT(C1713, ""🏘️ \w+ \w+ (.*) ✅""),'Region prepositions'!B:F, 5, 0),  REGEXEXTRACT(C1713, ""🏘️ \w+ \w+ (.*) ✅""))))"),"Soyhières")</f>
        <v>Soyhières</v>
      </c>
      <c r="F1713" s="2" t="str">
        <f>IFERROR(__xludf.DUMMYFUNCTION("REGEXEXTRACT(C1713, ""🏘️ (\w+) \w+ .* ✅"")"),"Vendre")</f>
        <v>Vendre</v>
      </c>
      <c r="G1713" s="2" t="str">
        <f>IFERROR(__xludf.DUMMYFUNCTION("REGEXEXTRACT(C1713, ""🏘️ \w+ (\w+) .* ✅"")"),"appartement")</f>
        <v>appartement</v>
      </c>
      <c r="H1713" s="4" t="str">
        <f>IFERROR(__xludf.DUMMYFUNCTION("REGEXEXTRACT(A1713, ""/(\w+)-.*?"")"),"lieu")</f>
        <v>lieu</v>
      </c>
      <c r="I1713" s="4" t="str">
        <f>IFERROR(__xludf.DUMMYFUNCTION("if(D1713=""variant"",  substitute(filter(Templates!E:E, Templates!A:A = F1713, Templates!B:B = G1713, Templates!C:C = H1713), ""{{}}"", E1713), B1713)"),"🏘  L’appartement de vos rêves se trouve sur ImmoScout24.ch ✅ Découvrez les dernières annonces de vente à Soyhières.")</f>
        <v>🏘  L’appartement de vos rêves se trouve sur ImmoScout24.ch ✅ Découvrez les dernières annonces de vente à Soyhières.</v>
      </c>
      <c r="J1713" s="4" t="s">
        <v>5140</v>
      </c>
    </row>
    <row r="1714">
      <c r="A1714" s="5" t="s">
        <v>5141</v>
      </c>
      <c r="B1714" s="2" t="s">
        <v>5142</v>
      </c>
      <c r="C1714" s="4" t="str">
        <f>IFERROR(__xludf.DUMMYFUNCTION("""🏘️ ""&amp;REGEXEXTRACT(B1714, ""^(.*): "")&amp;"" ✅ "" &amp;REGEXEXTRACT(B1714, ""(Trouvez.*)"")"),"🏘️ Louer appartement Lucens ✅ Trouvez le bien immobilier qui correspond idéalement à vos désirs sur ImmoScout24 - La plateforme de l'immobilier en Suisse.")</f>
        <v>🏘️ Louer appartement Lucens ✅ Trouvez le bien immobilier qui correspond idéalement à vos désirs sur ImmoScout24 - La plateforme de l'immobilier en Suisse.</v>
      </c>
      <c r="D1714" s="4" t="str">
        <f>vlookup(A1714, Sheet2!D:E, 2, 0)</f>
        <v>variant</v>
      </c>
      <c r="E1714" s="4" t="str">
        <f>IFERROR(__xludf.DUMMYFUNCTION("if(H1714=""pays"",vlookup(REGEXEXTRACT(C1714, ""🏘️ \w+ \w+ (.*) ✅""),'Country prepositions'!A:B, 2, 0) &amp; "" "" &amp; REGEXEXTRACT(C1714, ""🏘️ \w+ \w+ (.*) ✅"") ,  if(H1714=""quartier"",vlookup(REGEXEXTRACT(C1714, ""🏘️ \w+ \w+ (.*) ✅""),'Quartier prepositio"&amp;"ns'!A:E, 5, 0) ,  if(H1714=""region"",vlookup(REGEXEXTRACT(C1714, ""🏘️ \w+ \w+ (.*) ✅""),'Region prepositions'!B:F, 5, 0),  REGEXEXTRACT(C1714, ""🏘️ \w+ \w+ (.*) ✅""))))"),"Lucens")</f>
        <v>Lucens</v>
      </c>
      <c r="F1714" s="2" t="str">
        <f>IFERROR(__xludf.DUMMYFUNCTION("REGEXEXTRACT(C1714, ""🏘️ (\w+) \w+ .* ✅"")"),"Louer")</f>
        <v>Louer</v>
      </c>
      <c r="G1714" s="2" t="str">
        <f>IFERROR(__xludf.DUMMYFUNCTION("REGEXEXTRACT(C1714, ""🏘️ \w+ (\w+) .* ✅"")"),"appartement")</f>
        <v>appartement</v>
      </c>
      <c r="H1714" s="4" t="str">
        <f>IFERROR(__xludf.DUMMYFUNCTION("REGEXEXTRACT(A1714, ""/(\w+)-.*?"")"),"lieu")</f>
        <v>lieu</v>
      </c>
      <c r="I1714" s="4" t="str">
        <f>IFERROR(__xludf.DUMMYFUNCTION("if(D1714=""variant"",  substitute(filter(Templates!E:E, Templates!A:A = F1714, Templates!B:B = G1714, Templates!C:C = H1714), ""{{}}"", E1714), B1714)"),"🏘  Vous cherchez un appartement à louer à Lucens? ✅ Les annonces les plus actuelles sont sur ImmoScout24.ch.")</f>
        <v>🏘  Vous cherchez un appartement à louer à Lucens? ✅ Les annonces les plus actuelles sont sur ImmoScout24.ch.</v>
      </c>
      <c r="J1714" s="4" t="s">
        <v>5143</v>
      </c>
    </row>
    <row r="1715">
      <c r="A1715" s="5" t="s">
        <v>5144</v>
      </c>
      <c r="B1715" s="2" t="s">
        <v>5145</v>
      </c>
      <c r="C1715" s="4" t="str">
        <f>IFERROR(__xludf.DUMMYFUNCTION("""🏘️ ""&amp;REGEXEXTRACT(B1715, ""^(.*): "")&amp;"" ✅ "" &amp;REGEXEXTRACT(B1715, ""(Trouvez.*)"")"),"🏘️ Louer appartement Feuerthalen ✅ Trouvez le bien immobilier qui correspond idéalement à vos désirs sur ImmoScout24 - La plateforme de l'immobilier en Suisse.")</f>
        <v>🏘️ Louer appartement Feuerthalen ✅ Trouvez le bien immobilier qui correspond idéalement à vos désirs sur ImmoScout24 - La plateforme de l'immobilier en Suisse.</v>
      </c>
      <c r="D1715" s="4" t="str">
        <f>vlookup(A1715, Sheet2!D:E, 2, 0)</f>
        <v>variant</v>
      </c>
      <c r="E1715" s="4" t="str">
        <f>IFERROR(__xludf.DUMMYFUNCTION("if(H1715=""pays"",vlookup(REGEXEXTRACT(C1715, ""🏘️ \w+ \w+ (.*) ✅""),'Country prepositions'!A:B, 2, 0) &amp; "" "" &amp; REGEXEXTRACT(C1715, ""🏘️ \w+ \w+ (.*) ✅"") ,  if(H1715=""quartier"",vlookup(REGEXEXTRACT(C1715, ""🏘️ \w+ \w+ (.*) ✅""),'Quartier prepositio"&amp;"ns'!A:E, 5, 0) ,  if(H1715=""region"",vlookup(REGEXEXTRACT(C1715, ""🏘️ \w+ \w+ (.*) ✅""),'Region prepositions'!B:F, 5, 0),  REGEXEXTRACT(C1715, ""🏘️ \w+ \w+ (.*) ✅""))))"),"Feuerthalen")</f>
        <v>Feuerthalen</v>
      </c>
      <c r="F1715" s="2" t="str">
        <f>IFERROR(__xludf.DUMMYFUNCTION("REGEXEXTRACT(C1715, ""🏘️ (\w+) \w+ .* ✅"")"),"Louer")</f>
        <v>Louer</v>
      </c>
      <c r="G1715" s="2" t="str">
        <f>IFERROR(__xludf.DUMMYFUNCTION("REGEXEXTRACT(C1715, ""🏘️ \w+ (\w+) .* ✅"")"),"appartement")</f>
        <v>appartement</v>
      </c>
      <c r="H1715" s="4" t="str">
        <f>IFERROR(__xludf.DUMMYFUNCTION("REGEXEXTRACT(A1715, ""/(\w+)-.*?"")"),"lieu")</f>
        <v>lieu</v>
      </c>
      <c r="I1715" s="4" t="str">
        <f>IFERROR(__xludf.DUMMYFUNCTION("if(D1715=""variant"",  substitute(filter(Templates!E:E, Templates!A:A = F1715, Templates!B:B = G1715, Templates!C:C = H1715), ""{{}}"", E1715), B1715)"),"🏘  Vous cherchez un appartement à louer à Feuerthalen? ✅ Les annonces les plus actuelles sont sur ImmoScout24.ch.")</f>
        <v>🏘  Vous cherchez un appartement à louer à Feuerthalen? ✅ Les annonces les plus actuelles sont sur ImmoScout24.ch.</v>
      </c>
      <c r="J1715" s="4" t="s">
        <v>5146</v>
      </c>
    </row>
    <row r="1716">
      <c r="A1716" s="5" t="s">
        <v>5147</v>
      </c>
      <c r="B1716" s="2" t="s">
        <v>5148</v>
      </c>
      <c r="C1716" s="4" t="str">
        <f>IFERROR(__xludf.DUMMYFUNCTION("""🏘️ ""&amp;REGEXEXTRACT(B1716, ""^(.*): "")&amp;"" ✅ "" &amp;REGEXEXTRACT(B1716, ""(Trouvez.*)"")"),"🏘️ Vendre appartement Bivio ✅ Trouvez le bien immobilier qui correspond idéalement à vos désirs sur ImmoScout24 - La plateforme de l'immobilier en Suisse.")</f>
        <v>🏘️ Vendre appartement Bivio ✅ Trouvez le bien immobilier qui correspond idéalement à vos désirs sur ImmoScout24 - La plateforme de l'immobilier en Suisse.</v>
      </c>
      <c r="D1716" s="4" t="str">
        <f>vlookup(A1716, Sheet2!D:E, 2, 0)</f>
        <v>variant</v>
      </c>
      <c r="E1716" s="4" t="str">
        <f>IFERROR(__xludf.DUMMYFUNCTION("if(H1716=""pays"",vlookup(REGEXEXTRACT(C1716, ""🏘️ \w+ \w+ (.*) ✅""),'Country prepositions'!A:B, 2, 0) &amp; "" "" &amp; REGEXEXTRACT(C1716, ""🏘️ \w+ \w+ (.*) ✅"") ,  if(H1716=""quartier"",vlookup(REGEXEXTRACT(C1716, ""🏘️ \w+ \w+ (.*) ✅""),'Quartier prepositio"&amp;"ns'!A:E, 5, 0) ,  if(H1716=""region"",vlookup(REGEXEXTRACT(C1716, ""🏘️ \w+ \w+ (.*) ✅""),'Region prepositions'!B:F, 5, 0),  REGEXEXTRACT(C1716, ""🏘️ \w+ \w+ (.*) ✅""))))"),"Bivio")</f>
        <v>Bivio</v>
      </c>
      <c r="F1716" s="2" t="str">
        <f>IFERROR(__xludf.DUMMYFUNCTION("REGEXEXTRACT(C1716, ""🏘️ (\w+) \w+ .* ✅"")"),"Vendre")</f>
        <v>Vendre</v>
      </c>
      <c r="G1716" s="2" t="str">
        <f>IFERROR(__xludf.DUMMYFUNCTION("REGEXEXTRACT(C1716, ""🏘️ \w+ (\w+) .* ✅"")"),"appartement")</f>
        <v>appartement</v>
      </c>
      <c r="H1716" s="4" t="str">
        <f>IFERROR(__xludf.DUMMYFUNCTION("REGEXEXTRACT(A1716, ""/(\w+)-.*?"")"),"lieu")</f>
        <v>lieu</v>
      </c>
      <c r="I1716" s="4" t="str">
        <f>IFERROR(__xludf.DUMMYFUNCTION("if(D1716=""variant"",  substitute(filter(Templates!E:E, Templates!A:A = F1716, Templates!B:B = G1716, Templates!C:C = H1716), ""{{}}"", E1716), B1716)"),"🏘  L’appartement de vos rêves se trouve sur ImmoScout24.ch ✅ Découvrez les dernières annonces de vente à Bivio.")</f>
        <v>🏘  L’appartement de vos rêves se trouve sur ImmoScout24.ch ✅ Découvrez les dernières annonces de vente à Bivio.</v>
      </c>
      <c r="J1716" s="4" t="s">
        <v>5149</v>
      </c>
    </row>
    <row r="1717">
      <c r="A1717" s="5" t="s">
        <v>5150</v>
      </c>
      <c r="B1717" s="2" t="s">
        <v>5151</v>
      </c>
      <c r="C1717" s="4" t="str">
        <f>IFERROR(__xludf.DUMMYFUNCTION("""🏘️ ""&amp;REGEXEXTRACT(B1717, ""^(.*): "")&amp;"" ✅ "" &amp;REGEXEXTRACT(B1717, ""(Trouvez.*)"")"),"🏘️ Vendre maison Sala Capriasca ✅ Trouvez le bien immobilier qui correspond idéalement à vos désirs sur ImmoScout24 - La plateforme de l'immobilier en Suisse.")</f>
        <v>🏘️ Vendre maison Sala Capriasca ✅ Trouvez le bien immobilier qui correspond idéalement à vos désirs sur ImmoScout24 - La plateforme de l'immobilier en Suisse.</v>
      </c>
      <c r="D1717" s="4" t="str">
        <f>vlookup(A1717, Sheet2!D:E, 2, 0)</f>
        <v>variant</v>
      </c>
      <c r="E1717" s="4" t="str">
        <f>IFERROR(__xludf.DUMMYFUNCTION("if(H1717=""pays"",vlookup(REGEXEXTRACT(C1717, ""🏘️ \w+ \w+ (.*) ✅""),'Country prepositions'!A:B, 2, 0) &amp; "" "" &amp; REGEXEXTRACT(C1717, ""🏘️ \w+ \w+ (.*) ✅"") ,  if(H1717=""quartier"",vlookup(REGEXEXTRACT(C1717, ""🏘️ \w+ \w+ (.*) ✅""),'Quartier prepositio"&amp;"ns'!A:E, 5, 0) ,  if(H1717=""region"",vlookup(REGEXEXTRACT(C1717, ""🏘️ \w+ \w+ (.*) ✅""),'Region prepositions'!B:F, 5, 0),  REGEXEXTRACT(C1717, ""🏘️ \w+ \w+ (.*) ✅""))))"),"Sala Capriasca")</f>
        <v>Sala Capriasca</v>
      </c>
      <c r="F1717" s="2" t="str">
        <f>IFERROR(__xludf.DUMMYFUNCTION("REGEXEXTRACT(C1717, ""🏘️ (\w+) \w+ .* ✅"")"),"Vendre")</f>
        <v>Vendre</v>
      </c>
      <c r="G1717" s="2" t="str">
        <f>IFERROR(__xludf.DUMMYFUNCTION("REGEXEXTRACT(C1717, ""🏘️ \w+ (\w+) .* ✅"")"),"maison")</f>
        <v>maison</v>
      </c>
      <c r="H1717" s="4" t="str">
        <f>IFERROR(__xludf.DUMMYFUNCTION("REGEXEXTRACT(A1717, ""/(\w+)-.*?"")"),"lieu")</f>
        <v>lieu</v>
      </c>
      <c r="I1717" s="4" t="str">
        <f>IFERROR(__xludf.DUMMYFUNCTION("if(D1717=""variant"",  substitute(filter(Templates!E:E, Templates!A:A = F1717, Templates!B:B = G1717, Templates!C:C = H1717), ""{{}}"", E1717), B1717)"),"🏘  Vous souhaitez acheter une maison à Sala Capriasca? ✅ Jetez un œil aux dernières offres sur ImmoScout24.ch.")</f>
        <v>🏘  Vous souhaitez acheter une maison à Sala Capriasca? ✅ Jetez un œil aux dernières offres sur ImmoScout24.ch.</v>
      </c>
      <c r="J1717" s="4" t="s">
        <v>5152</v>
      </c>
    </row>
    <row r="1718">
      <c r="A1718" s="5" t="s">
        <v>5153</v>
      </c>
      <c r="B1718" s="2" t="s">
        <v>5154</v>
      </c>
      <c r="C1718" s="4" t="str">
        <f>IFERROR(__xludf.DUMMYFUNCTION("""🏘️ ""&amp;REGEXEXTRACT(B1718, ""^(.*): "")&amp;"" ✅ "" &amp;REGEXEXTRACT(B1718, ""(Trouvez.*)"")"),"🏘️ Louer appartement Crêtets (La Chaux-de-Fonds) ✅ Trouvez le bien immobilier qui correspond idéalement à vos désirs sur ImmoScout24 - La plateforme de l'immobilier en Suisse.")</f>
        <v>🏘️ Louer appartement Crêtets (La Chaux-de-Fonds) ✅ Trouvez le bien immobilier qui correspond idéalement à vos désirs sur ImmoScout24 - La plateforme de l'immobilier en Suisse.</v>
      </c>
      <c r="D1718" s="4" t="str">
        <f>vlookup(A1718, Sheet2!D:E, 2, 0)</f>
        <v>variant</v>
      </c>
      <c r="E1718" s="4" t="str">
        <f>IFERROR(__xludf.DUMMYFUNCTION("if(H1718=""pays"",vlookup(REGEXEXTRACT(C1718, ""🏘️ \w+ \w+ (.*) ✅""),'Country prepositions'!A:B, 2, 0) &amp; "" "" &amp; REGEXEXTRACT(C1718, ""🏘️ \w+ \w+ (.*) ✅"") ,  if(H1718=""quartier"",vlookup(REGEXEXTRACT(C1718, ""🏘️ \w+ \w+ (.*) ✅""),'Quartier prepositio"&amp;"ns'!A:E, 5, 0) ,  if(H1718=""region"",vlookup(REGEXEXTRACT(C1718, ""🏘️ \w+ \w+ (.*) ✅""),'Region prepositions'!B:F, 5, 0),  REGEXEXTRACT(C1718, ""🏘️ \w+ \w+ (.*) ✅""))))"),"dans le quartier des Crêtets (La Chaux-de-Fonds)")</f>
        <v>dans le quartier des Crêtets (La Chaux-de-Fonds)</v>
      </c>
      <c r="F1718" s="2" t="str">
        <f>IFERROR(__xludf.DUMMYFUNCTION("REGEXEXTRACT(C1718, ""🏘️ (\w+) \w+ .* ✅"")"),"Louer")</f>
        <v>Louer</v>
      </c>
      <c r="G1718" s="2" t="str">
        <f>IFERROR(__xludf.DUMMYFUNCTION("REGEXEXTRACT(C1718, ""🏘️ \w+ (\w+) .* ✅"")"),"appartement")</f>
        <v>appartement</v>
      </c>
      <c r="H1718" s="4" t="str">
        <f>IFERROR(__xludf.DUMMYFUNCTION("REGEXEXTRACT(A1718, ""/(\w+)-.*?"")"),"quartier")</f>
        <v>quartier</v>
      </c>
      <c r="I1718" s="4" t="str">
        <f>IFERROR(__xludf.DUMMYFUNCTION("if(D1718=""variant"",  substitute(filter(Templates!E:E, Templates!A:A = F1718, Templates!B:B = G1718, Templates!C:C = H1718), ""{{}}"", E1718), B1718)"),"🏘  Vous cherchez un appartement à louer dans le quartier des Crêtets (La Chaux-de-Fonds)? ✅ Les annonces les plus actuelles sont sur ImmoScout24.ch.")</f>
        <v>🏘  Vous cherchez un appartement à louer dans le quartier des Crêtets (La Chaux-de-Fonds)? ✅ Les annonces les plus actuelles sont sur ImmoScout24.ch.</v>
      </c>
      <c r="J1718" s="4" t="s">
        <v>5155</v>
      </c>
    </row>
    <row r="1719">
      <c r="A1719" s="5" t="s">
        <v>5156</v>
      </c>
      <c r="B1719" s="2" t="s">
        <v>5157</v>
      </c>
      <c r="C1719" s="4" t="str">
        <f>IFERROR(__xludf.DUMMYFUNCTION("""🏘️ ""&amp;REGEXEXTRACT(B1719, ""^(.*): "")&amp;"" ✅ "" &amp;REGEXEXTRACT(B1719, ""(Trouvez.*)"")"),"🏘️ Louer appartement Anzère ✅ Trouvez le bien immobilier qui correspond idéalement à vos désirs sur ImmoScout24 - La plateforme de l'immobilier en Suisse.")</f>
        <v>🏘️ Louer appartement Anzère ✅ Trouvez le bien immobilier qui correspond idéalement à vos désirs sur ImmoScout24 - La plateforme de l'immobilier en Suisse.</v>
      </c>
      <c r="D1719" s="4" t="str">
        <f>vlookup(A1719, Sheet2!D:E, 2, 0)</f>
        <v>variant</v>
      </c>
      <c r="E1719" s="4" t="str">
        <f>IFERROR(__xludf.DUMMYFUNCTION("if(H1719=""pays"",vlookup(REGEXEXTRACT(C1719, ""🏘️ \w+ \w+ (.*) ✅""),'Country prepositions'!A:B, 2, 0) &amp; "" "" &amp; REGEXEXTRACT(C1719, ""🏘️ \w+ \w+ (.*) ✅"") ,  if(H1719=""quartier"",vlookup(REGEXEXTRACT(C1719, ""🏘️ \w+ \w+ (.*) ✅""),'Quartier prepositio"&amp;"ns'!A:E, 5, 0) ,  if(H1719=""region"",vlookup(REGEXEXTRACT(C1719, ""🏘️ \w+ \w+ (.*) ✅""),'Region prepositions'!B:F, 5, 0),  REGEXEXTRACT(C1719, ""🏘️ \w+ \w+ (.*) ✅""))))"),"Anzère")</f>
        <v>Anzère</v>
      </c>
      <c r="F1719" s="2" t="str">
        <f>IFERROR(__xludf.DUMMYFUNCTION("REGEXEXTRACT(C1719, ""🏘️ (\w+) \w+ .* ✅"")"),"Louer")</f>
        <v>Louer</v>
      </c>
      <c r="G1719" s="2" t="str">
        <f>IFERROR(__xludf.DUMMYFUNCTION("REGEXEXTRACT(C1719, ""🏘️ \w+ (\w+) .* ✅"")"),"appartement")</f>
        <v>appartement</v>
      </c>
      <c r="H1719" s="4" t="str">
        <f>IFERROR(__xludf.DUMMYFUNCTION("REGEXEXTRACT(A1719, ""/(\w+)-.*?"")"),"lieu")</f>
        <v>lieu</v>
      </c>
      <c r="I1719" s="4" t="str">
        <f>IFERROR(__xludf.DUMMYFUNCTION("if(D1719=""variant"",  substitute(filter(Templates!E:E, Templates!A:A = F1719, Templates!B:B = G1719, Templates!C:C = H1719), ""{{}}"", E1719), B1719)"),"🏘  Vous cherchez un appartement à louer à Anzère? ✅ Les annonces les plus actuelles sont sur ImmoScout24.ch.")</f>
        <v>🏘  Vous cherchez un appartement à louer à Anzère? ✅ Les annonces les plus actuelles sont sur ImmoScout24.ch.</v>
      </c>
      <c r="J1719" s="4" t="s">
        <v>5158</v>
      </c>
    </row>
    <row r="1720">
      <c r="A1720" s="5" t="s">
        <v>5159</v>
      </c>
      <c r="B1720" s="2" t="s">
        <v>5160</v>
      </c>
      <c r="C1720" s="4" t="str">
        <f>IFERROR(__xludf.DUMMYFUNCTION("""🏘️ ""&amp;REGEXEXTRACT(B1720, ""^(.*): "")&amp;"" ✅ "" &amp;REGEXEXTRACT(B1720, ""(Trouvez.*)"")"),"🏘️ Louer appartement Eschenbach SG ✅ Trouvez le bien immobilier qui correspond idéalement à vos désirs sur ImmoScout24 - La plateforme de l'immobilier en Suisse.")</f>
        <v>🏘️ Louer appartement Eschenbach SG ✅ Trouvez le bien immobilier qui correspond idéalement à vos désirs sur ImmoScout24 - La plateforme de l'immobilier en Suisse.</v>
      </c>
      <c r="D1720" s="4" t="str">
        <f>vlookup(A1720, Sheet2!D:E, 2, 0)</f>
        <v>variant</v>
      </c>
      <c r="E1720" s="4" t="str">
        <f>IFERROR(__xludf.DUMMYFUNCTION("if(H1720=""pays"",vlookup(REGEXEXTRACT(C1720, ""🏘️ \w+ \w+ (.*) ✅""),'Country prepositions'!A:B, 2, 0) &amp; "" "" &amp; REGEXEXTRACT(C1720, ""🏘️ \w+ \w+ (.*) ✅"") ,  if(H1720=""quartier"",vlookup(REGEXEXTRACT(C1720, ""🏘️ \w+ \w+ (.*) ✅""),'Quartier prepositio"&amp;"ns'!A:E, 5, 0) ,  if(H1720=""region"",vlookup(REGEXEXTRACT(C1720, ""🏘️ \w+ \w+ (.*) ✅""),'Region prepositions'!B:F, 5, 0),  REGEXEXTRACT(C1720, ""🏘️ \w+ \w+ (.*) ✅""))))"),"Eschenbach SG")</f>
        <v>Eschenbach SG</v>
      </c>
      <c r="F1720" s="2" t="str">
        <f>IFERROR(__xludf.DUMMYFUNCTION("REGEXEXTRACT(C1720, ""🏘️ (\w+) \w+ .* ✅"")"),"Louer")</f>
        <v>Louer</v>
      </c>
      <c r="G1720" s="2" t="str">
        <f>IFERROR(__xludf.DUMMYFUNCTION("REGEXEXTRACT(C1720, ""🏘️ \w+ (\w+) .* ✅"")"),"appartement")</f>
        <v>appartement</v>
      </c>
      <c r="H1720" s="4" t="str">
        <f>IFERROR(__xludf.DUMMYFUNCTION("REGEXEXTRACT(A1720, ""/(\w+)-.*?"")"),"lieu")</f>
        <v>lieu</v>
      </c>
      <c r="I1720" s="4" t="str">
        <f>IFERROR(__xludf.DUMMYFUNCTION("if(D1720=""variant"",  substitute(filter(Templates!E:E, Templates!A:A = F1720, Templates!B:B = G1720, Templates!C:C = H1720), ""{{}}"", E1720), B1720)"),"🏘  Vous cherchez un appartement à louer à Eschenbach SG? ✅ Les annonces les plus actuelles sont sur ImmoScout24.ch.")</f>
        <v>🏘  Vous cherchez un appartement à louer à Eschenbach SG? ✅ Les annonces les plus actuelles sont sur ImmoScout24.ch.</v>
      </c>
      <c r="J1720" s="4" t="s">
        <v>5161</v>
      </c>
    </row>
    <row r="1721">
      <c r="A1721" s="5" t="s">
        <v>5162</v>
      </c>
      <c r="B1721" s="2" t="s">
        <v>5163</v>
      </c>
      <c r="C1721" s="4" t="str">
        <f>IFERROR(__xludf.DUMMYFUNCTION("""🏘️ ""&amp;REGEXEXTRACT(B1721, ""^(.*): "")&amp;"" ✅ "" &amp;REGEXEXTRACT(B1721, ""(Trouvez.*)"")"),"🏘️ Louer appartement Mühlau ✅ Trouvez le bien immobilier qui correspond idéalement à vos désirs sur ImmoScout24 - La plateforme de l'immobilier en Suisse.")</f>
        <v>🏘️ Louer appartement Mühlau ✅ Trouvez le bien immobilier qui correspond idéalement à vos désirs sur ImmoScout24 - La plateforme de l'immobilier en Suisse.</v>
      </c>
      <c r="D1721" s="4" t="str">
        <f>vlookup(A1721, Sheet2!D:E, 2, 0)</f>
        <v>variant</v>
      </c>
      <c r="E1721" s="4" t="str">
        <f>IFERROR(__xludf.DUMMYFUNCTION("if(H1721=""pays"",vlookup(REGEXEXTRACT(C1721, ""🏘️ \w+ \w+ (.*) ✅""),'Country prepositions'!A:B, 2, 0) &amp; "" "" &amp; REGEXEXTRACT(C1721, ""🏘️ \w+ \w+ (.*) ✅"") ,  if(H1721=""quartier"",vlookup(REGEXEXTRACT(C1721, ""🏘️ \w+ \w+ (.*) ✅""),'Quartier prepositio"&amp;"ns'!A:E, 5, 0) ,  if(H1721=""region"",vlookup(REGEXEXTRACT(C1721, ""🏘️ \w+ \w+ (.*) ✅""),'Region prepositions'!B:F, 5, 0),  REGEXEXTRACT(C1721, ""🏘️ \w+ \w+ (.*) ✅""))))"),"Mühlau")</f>
        <v>Mühlau</v>
      </c>
      <c r="F1721" s="2" t="str">
        <f>IFERROR(__xludf.DUMMYFUNCTION("REGEXEXTRACT(C1721, ""🏘️ (\w+) \w+ .* ✅"")"),"Louer")</f>
        <v>Louer</v>
      </c>
      <c r="G1721" s="2" t="str">
        <f>IFERROR(__xludf.DUMMYFUNCTION("REGEXEXTRACT(C1721, ""🏘️ \w+ (\w+) .* ✅"")"),"appartement")</f>
        <v>appartement</v>
      </c>
      <c r="H1721" s="4" t="str">
        <f>IFERROR(__xludf.DUMMYFUNCTION("REGEXEXTRACT(A1721, ""/(\w+)-.*?"")"),"lieu")</f>
        <v>lieu</v>
      </c>
      <c r="I1721" s="4" t="str">
        <f>IFERROR(__xludf.DUMMYFUNCTION("if(D1721=""variant"",  substitute(filter(Templates!E:E, Templates!A:A = F1721, Templates!B:B = G1721, Templates!C:C = H1721), ""{{}}"", E1721), B1721)"),"🏘  Vous cherchez un appartement à louer à Mühlau? ✅ Les annonces les plus actuelles sont sur ImmoScout24.ch.")</f>
        <v>🏘  Vous cherchez un appartement à louer à Mühlau? ✅ Les annonces les plus actuelles sont sur ImmoScout24.ch.</v>
      </c>
      <c r="J1721" s="4" t="s">
        <v>5164</v>
      </c>
    </row>
    <row r="1722">
      <c r="A1722" s="5" t="s">
        <v>5165</v>
      </c>
      <c r="B1722" s="2" t="s">
        <v>5166</v>
      </c>
      <c r="C1722" s="4" t="str">
        <f>IFERROR(__xludf.DUMMYFUNCTION("""🏘️ ""&amp;REGEXEXTRACT(B1722, ""^(.*): "")&amp;"" ✅ "" &amp;REGEXEXTRACT(B1722, ""(Trouvez.*)"")"),"🏘️ Louer appartement Schwyz ✅ Trouvez le bien immobilier qui correspond idéalement à vos désirs sur ImmoScout24 - La plateforme de l'immobilier en Suisse.")</f>
        <v>🏘️ Louer appartement Schwyz ✅ Trouvez le bien immobilier qui correspond idéalement à vos désirs sur ImmoScout24 - La plateforme de l'immobilier en Suisse.</v>
      </c>
      <c r="D1722" s="4" t="str">
        <f>vlookup(A1722, Sheet2!D:E, 2, 0)</f>
        <v>variant</v>
      </c>
      <c r="E1722" s="4" t="str">
        <f>IFERROR(__xludf.DUMMYFUNCTION("if(H1722=""pays"",vlookup(REGEXEXTRACT(C1722, ""🏘️ \w+ \w+ (.*) ✅""),'Country prepositions'!A:B, 2, 0) &amp; "" "" &amp; REGEXEXTRACT(C1722, ""🏘️ \w+ \w+ (.*) ✅"") ,  if(H1722=""quartier"",vlookup(REGEXEXTRACT(C1722, ""🏘️ \w+ \w+ (.*) ✅""),'Quartier prepositio"&amp;"ns'!A:E, 5, 0) ,  if(H1722=""region"",vlookup(REGEXEXTRACT(C1722, ""🏘️ \w+ \w+ (.*) ✅""),'Region prepositions'!B:F, 5, 0),  REGEXEXTRACT(C1722, ""🏘️ \w+ \w+ (.*) ✅""))))"),"Schwyz")</f>
        <v>Schwyz</v>
      </c>
      <c r="F1722" s="2" t="str">
        <f>IFERROR(__xludf.DUMMYFUNCTION("REGEXEXTRACT(C1722, ""🏘️ (\w+) \w+ .* ✅"")"),"Louer")</f>
        <v>Louer</v>
      </c>
      <c r="G1722" s="2" t="str">
        <f>IFERROR(__xludf.DUMMYFUNCTION("REGEXEXTRACT(C1722, ""🏘️ \w+ (\w+) .* ✅"")"),"appartement")</f>
        <v>appartement</v>
      </c>
      <c r="H1722" s="4" t="str">
        <f>IFERROR(__xludf.DUMMYFUNCTION("REGEXEXTRACT(A1722, ""/(\w+)-.*?"")"),"lieu")</f>
        <v>lieu</v>
      </c>
      <c r="I1722" s="4" t="str">
        <f>IFERROR(__xludf.DUMMYFUNCTION("if(D1722=""variant"",  substitute(filter(Templates!E:E, Templates!A:A = F1722, Templates!B:B = G1722, Templates!C:C = H1722), ""{{}}"", E1722), B1722)"),"🏘  Vous cherchez un appartement à louer à Schwyz? ✅ Les annonces les plus actuelles sont sur ImmoScout24.ch.")</f>
        <v>🏘  Vous cherchez un appartement à louer à Schwyz? ✅ Les annonces les plus actuelles sont sur ImmoScout24.ch.</v>
      </c>
      <c r="J1722" s="4" t="s">
        <v>5167</v>
      </c>
    </row>
    <row r="1723">
      <c r="A1723" s="5" t="s">
        <v>5168</v>
      </c>
      <c r="B1723" s="2" t="s">
        <v>5169</v>
      </c>
      <c r="C1723" s="4" t="str">
        <f>IFERROR(__xludf.DUMMYFUNCTION("""🏘️ ""&amp;REGEXEXTRACT(B1723, ""^(.*): "")&amp;"" ✅ "" &amp;REGEXEXTRACT(B1723, ""(Trouvez.*)"")"),"🏘️ Louer appartement Schosshalde (Berne) ✅ Trouvez le bien immobilier qui correspond idéalement à vos désirs sur ImmoScout24 - La plateforme de l'immobilier en Suisse.")</f>
        <v>🏘️ Louer appartement Schosshalde (Berne) ✅ Trouvez le bien immobilier qui correspond idéalement à vos désirs sur ImmoScout24 - La plateforme de l'immobilier en Suisse.</v>
      </c>
      <c r="D1723" s="4" t="str">
        <f>vlookup(A1723, Sheet2!D:E, 2, 0)</f>
        <v>variant</v>
      </c>
      <c r="E1723" s="4" t="str">
        <f>IFERROR(__xludf.DUMMYFUNCTION("if(H1723=""pays"",vlookup(REGEXEXTRACT(C1723, ""🏘️ \w+ \w+ (.*) ✅""),'Country prepositions'!A:B, 2, 0) &amp; "" "" &amp; REGEXEXTRACT(C1723, ""🏘️ \w+ \w+ (.*) ✅"") ,  if(H1723=""quartier"",vlookup(REGEXEXTRACT(C1723, ""🏘️ \w+ \w+ (.*) ✅""),'Quartier prepositio"&amp;"ns'!A:E, 5, 0) ,  if(H1723=""region"",vlookup(REGEXEXTRACT(C1723, ""🏘️ \w+ \w+ (.*) ✅""),'Region prepositions'!B:F, 5, 0),  REGEXEXTRACT(C1723, ""🏘️ \w+ \w+ (.*) ✅""))))"),"dans le quartier de Schosshalde (Berne)")</f>
        <v>dans le quartier de Schosshalde (Berne)</v>
      </c>
      <c r="F1723" s="2" t="str">
        <f>IFERROR(__xludf.DUMMYFUNCTION("REGEXEXTRACT(C1723, ""🏘️ (\w+) \w+ .* ✅"")"),"Louer")</f>
        <v>Louer</v>
      </c>
      <c r="G1723" s="2" t="str">
        <f>IFERROR(__xludf.DUMMYFUNCTION("REGEXEXTRACT(C1723, ""🏘️ \w+ (\w+) .* ✅"")"),"appartement")</f>
        <v>appartement</v>
      </c>
      <c r="H1723" s="4" t="str">
        <f>IFERROR(__xludf.DUMMYFUNCTION("REGEXEXTRACT(A1723, ""/(\w+)-.*?"")"),"quartier")</f>
        <v>quartier</v>
      </c>
      <c r="I1723" s="4" t="str">
        <f>IFERROR(__xludf.DUMMYFUNCTION("if(D1723=""variant"",  substitute(filter(Templates!E:E, Templates!A:A = F1723, Templates!B:B = G1723, Templates!C:C = H1723), ""{{}}"", E1723), B1723)"),"🏘  Vous cherchez un appartement à louer dans le quartier de Schosshalde (Berne)? ✅ Les annonces les plus actuelles sont sur ImmoScout24.ch.")</f>
        <v>🏘  Vous cherchez un appartement à louer dans le quartier de Schosshalde (Berne)? ✅ Les annonces les plus actuelles sont sur ImmoScout24.ch.</v>
      </c>
      <c r="J1723" s="4" t="s">
        <v>5170</v>
      </c>
    </row>
    <row r="1724">
      <c r="A1724" s="5" t="s">
        <v>5171</v>
      </c>
      <c r="B1724" s="2" t="s">
        <v>5172</v>
      </c>
      <c r="C1724" s="4" t="str">
        <f>IFERROR(__xludf.DUMMYFUNCTION("""🏘️ ""&amp;REGEXEXTRACT(B1724, ""^(.*): "")&amp;"" ✅ "" &amp;REGEXEXTRACT(B1724, ""(Trouvez.*)"")"),"🏘️ Louer maison Rolle ✅ Trouvez le bien immobilier qui correspond idéalement à vos désirs sur ImmoScout24 - La plateforme de l'immobilier en Suisse.")</f>
        <v>🏘️ Louer maison Rolle ✅ Trouvez le bien immobilier qui correspond idéalement à vos désirs sur ImmoScout24 - La plateforme de l'immobilier en Suisse.</v>
      </c>
      <c r="D1724" s="4" t="str">
        <f>vlookup(A1724, Sheet2!D:E, 2, 0)</f>
        <v>variant</v>
      </c>
      <c r="E1724" s="4" t="str">
        <f>IFERROR(__xludf.DUMMYFUNCTION("if(H1724=""pays"",vlookup(REGEXEXTRACT(C1724, ""🏘️ \w+ \w+ (.*) ✅""),'Country prepositions'!A:B, 2, 0) &amp; "" "" &amp; REGEXEXTRACT(C1724, ""🏘️ \w+ \w+ (.*) ✅"") ,  if(H1724=""quartier"",vlookup(REGEXEXTRACT(C1724, ""🏘️ \w+ \w+ (.*) ✅""),'Quartier prepositio"&amp;"ns'!A:E, 5, 0) ,  if(H1724=""region"",vlookup(REGEXEXTRACT(C1724, ""🏘️ \w+ \w+ (.*) ✅""),'Region prepositions'!B:F, 5, 0),  REGEXEXTRACT(C1724, ""🏘️ \w+ \w+ (.*) ✅""))))"),"Rolle")</f>
        <v>Rolle</v>
      </c>
      <c r="F1724" s="2" t="str">
        <f>IFERROR(__xludf.DUMMYFUNCTION("REGEXEXTRACT(C1724, ""🏘️ (\w+) \w+ .* ✅"")"),"Louer")</f>
        <v>Louer</v>
      </c>
      <c r="G1724" s="2" t="str">
        <f>IFERROR(__xludf.DUMMYFUNCTION("REGEXEXTRACT(C1724, ""🏘️ \w+ (\w+) .* ✅"")"),"maison")</f>
        <v>maison</v>
      </c>
      <c r="H1724" s="4" t="str">
        <f>IFERROR(__xludf.DUMMYFUNCTION("REGEXEXTRACT(A1724, ""/(\w+)-.*?"")"),"lieu")</f>
        <v>lieu</v>
      </c>
      <c r="I1724" s="4" t="str">
        <f>IFERROR(__xludf.DUMMYFUNCTION("if(D1724=""variant"",  substitute(filter(Templates!E:E, Templates!A:A = F1724, Templates!B:B = G1724, Templates!C:C = H1724), ""{{}}"", E1724), B1724)"),"🏘  Vous cherchez une maison à louer à Rolle? ✅ Découvrez nos nombreuses annonces sur ImmoScout24.ch.")</f>
        <v>🏘  Vous cherchez une maison à louer à Rolle? ✅ Découvrez nos nombreuses annonces sur ImmoScout24.ch.</v>
      </c>
      <c r="J1724" s="4" t="s">
        <v>5173</v>
      </c>
    </row>
    <row r="1725">
      <c r="A1725" s="5" t="s">
        <v>5174</v>
      </c>
      <c r="B1725" s="2" t="s">
        <v>5175</v>
      </c>
      <c r="C1725" s="4" t="str">
        <f>IFERROR(__xludf.DUMMYFUNCTION("""🏘️ ""&amp;REGEXEXTRACT(B1725, ""^(.*): "")&amp;"" ✅ "" &amp;REGEXEXTRACT(B1725, ""(Trouvez.*)"")"),"🏘️ Vendre appartement Arnex-sur-Orbe ✅ Trouvez le bien immobilier qui correspond idéalement à vos désirs sur ImmoScout24 - La plateforme de l'immobilier en Suisse.")</f>
        <v>🏘️ Vendre appartement Arnex-sur-Orbe ✅ Trouvez le bien immobilier qui correspond idéalement à vos désirs sur ImmoScout24 - La plateforme de l'immobilier en Suisse.</v>
      </c>
      <c r="D1725" s="4" t="str">
        <f>vlookup(A1725, Sheet2!D:E, 2, 0)</f>
        <v>variant</v>
      </c>
      <c r="E1725" s="4" t="str">
        <f>IFERROR(__xludf.DUMMYFUNCTION("if(H1725=""pays"",vlookup(REGEXEXTRACT(C1725, ""🏘️ \w+ \w+ (.*) ✅""),'Country prepositions'!A:B, 2, 0) &amp; "" "" &amp; REGEXEXTRACT(C1725, ""🏘️ \w+ \w+ (.*) ✅"") ,  if(H1725=""quartier"",vlookup(REGEXEXTRACT(C1725, ""🏘️ \w+ \w+ (.*) ✅""),'Quartier prepositio"&amp;"ns'!A:E, 5, 0) ,  if(H1725=""region"",vlookup(REGEXEXTRACT(C1725, ""🏘️ \w+ \w+ (.*) ✅""),'Region prepositions'!B:F, 5, 0),  REGEXEXTRACT(C1725, ""🏘️ \w+ \w+ (.*) ✅""))))"),"Arnex-sur-Orbe")</f>
        <v>Arnex-sur-Orbe</v>
      </c>
      <c r="F1725" s="2" t="str">
        <f>IFERROR(__xludf.DUMMYFUNCTION("REGEXEXTRACT(C1725, ""🏘️ (\w+) \w+ .* ✅"")"),"Vendre")</f>
        <v>Vendre</v>
      </c>
      <c r="G1725" s="2" t="str">
        <f>IFERROR(__xludf.DUMMYFUNCTION("REGEXEXTRACT(C1725, ""🏘️ \w+ (\w+) .* ✅"")"),"appartement")</f>
        <v>appartement</v>
      </c>
      <c r="H1725" s="4" t="str">
        <f>IFERROR(__xludf.DUMMYFUNCTION("REGEXEXTRACT(A1725, ""/(\w+)-.*?"")"),"lieu")</f>
        <v>lieu</v>
      </c>
      <c r="I1725" s="4" t="str">
        <f>IFERROR(__xludf.DUMMYFUNCTION("if(D1725=""variant"",  substitute(filter(Templates!E:E, Templates!A:A = F1725, Templates!B:B = G1725, Templates!C:C = H1725), ""{{}}"", E1725), B1725)"),"🏘  L’appartement de vos rêves se trouve sur ImmoScout24.ch ✅ Découvrez les dernières annonces de vente à Arnex-sur-Orbe.")</f>
        <v>🏘  L’appartement de vos rêves se trouve sur ImmoScout24.ch ✅ Découvrez les dernières annonces de vente à Arnex-sur-Orbe.</v>
      </c>
      <c r="J1725" s="4" t="s">
        <v>5176</v>
      </c>
    </row>
    <row r="1726">
      <c r="A1726" s="5" t="s">
        <v>5177</v>
      </c>
      <c r="B1726" s="2" t="s">
        <v>5178</v>
      </c>
      <c r="C1726" s="4" t="str">
        <f>IFERROR(__xludf.DUMMYFUNCTION("""🏘️ ""&amp;REGEXEXTRACT(B1726, ""^(.*): "")&amp;"" ✅ "" &amp;REGEXEXTRACT(B1726, ""(Trouvez.*)"")"),"🏘️ Vendre maison Salorino ✅ Trouvez le bien immobilier qui correspond idéalement à vos désirs sur ImmoScout24 - La plateforme de l'immobilier en Suisse.")</f>
        <v>🏘️ Vendre maison Salorino ✅ Trouvez le bien immobilier qui correspond idéalement à vos désirs sur ImmoScout24 - La plateforme de l'immobilier en Suisse.</v>
      </c>
      <c r="D1726" s="4" t="str">
        <f>vlookup(A1726, Sheet2!D:E, 2, 0)</f>
        <v>variant</v>
      </c>
      <c r="E1726" s="4" t="str">
        <f>IFERROR(__xludf.DUMMYFUNCTION("if(H1726=""pays"",vlookup(REGEXEXTRACT(C1726, ""🏘️ \w+ \w+ (.*) ✅""),'Country prepositions'!A:B, 2, 0) &amp; "" "" &amp; REGEXEXTRACT(C1726, ""🏘️ \w+ \w+ (.*) ✅"") ,  if(H1726=""quartier"",vlookup(REGEXEXTRACT(C1726, ""🏘️ \w+ \w+ (.*) ✅""),'Quartier prepositio"&amp;"ns'!A:E, 5, 0) ,  if(H1726=""region"",vlookup(REGEXEXTRACT(C1726, ""🏘️ \w+ \w+ (.*) ✅""),'Region prepositions'!B:F, 5, 0),  REGEXEXTRACT(C1726, ""🏘️ \w+ \w+ (.*) ✅""))))"),"Salorino")</f>
        <v>Salorino</v>
      </c>
      <c r="F1726" s="2" t="str">
        <f>IFERROR(__xludf.DUMMYFUNCTION("REGEXEXTRACT(C1726, ""🏘️ (\w+) \w+ .* ✅"")"),"Vendre")</f>
        <v>Vendre</v>
      </c>
      <c r="G1726" s="2" t="str">
        <f>IFERROR(__xludf.DUMMYFUNCTION("REGEXEXTRACT(C1726, ""🏘️ \w+ (\w+) .* ✅"")"),"maison")</f>
        <v>maison</v>
      </c>
      <c r="H1726" s="4" t="str">
        <f>IFERROR(__xludf.DUMMYFUNCTION("REGEXEXTRACT(A1726, ""/(\w+)-.*?"")"),"lieu")</f>
        <v>lieu</v>
      </c>
      <c r="I1726" s="4" t="str">
        <f>IFERROR(__xludf.DUMMYFUNCTION("if(D1726=""variant"",  substitute(filter(Templates!E:E, Templates!A:A = F1726, Templates!B:B = G1726, Templates!C:C = H1726), ""{{}}"", E1726), B1726)"),"🏘  Vous souhaitez acheter une maison à Salorino? ✅ Jetez un œil aux dernières offres sur ImmoScout24.ch.")</f>
        <v>🏘  Vous souhaitez acheter une maison à Salorino? ✅ Jetez un œil aux dernières offres sur ImmoScout24.ch.</v>
      </c>
      <c r="J1726" s="4" t="s">
        <v>5179</v>
      </c>
    </row>
    <row r="1727">
      <c r="A1727" s="5" t="s">
        <v>5180</v>
      </c>
      <c r="B1727" s="2" t="s">
        <v>5181</v>
      </c>
      <c r="C1727" s="4" t="str">
        <f>IFERROR(__xludf.DUMMYFUNCTION("""🏘️ ""&amp;REGEXEXTRACT(B1727, ""^(.*): "")&amp;"" ✅ "" &amp;REGEXEXTRACT(B1727, ""(Trouvez.*)"")"),"🏘️ Vendre maison Rheineck ✅ Trouvez le bien immobilier qui correspond idéalement à vos désirs sur ImmoScout24 - La plateforme de l'immobilier en Suisse.")</f>
        <v>🏘️ Vendre maison Rheineck ✅ Trouvez le bien immobilier qui correspond idéalement à vos désirs sur ImmoScout24 - La plateforme de l'immobilier en Suisse.</v>
      </c>
      <c r="D1727" s="4" t="str">
        <f>vlookup(A1727, Sheet2!D:E, 2, 0)</f>
        <v>variant</v>
      </c>
      <c r="E1727" s="4" t="str">
        <f>IFERROR(__xludf.DUMMYFUNCTION("if(H1727=""pays"",vlookup(REGEXEXTRACT(C1727, ""🏘️ \w+ \w+ (.*) ✅""),'Country prepositions'!A:B, 2, 0) &amp; "" "" &amp; REGEXEXTRACT(C1727, ""🏘️ \w+ \w+ (.*) ✅"") ,  if(H1727=""quartier"",vlookup(REGEXEXTRACT(C1727, ""🏘️ \w+ \w+ (.*) ✅""),'Quartier prepositio"&amp;"ns'!A:E, 5, 0) ,  if(H1727=""region"",vlookup(REGEXEXTRACT(C1727, ""🏘️ \w+ \w+ (.*) ✅""),'Region prepositions'!B:F, 5, 0),  REGEXEXTRACT(C1727, ""🏘️ \w+ \w+ (.*) ✅""))))"),"Rheineck")</f>
        <v>Rheineck</v>
      </c>
      <c r="F1727" s="2" t="str">
        <f>IFERROR(__xludf.DUMMYFUNCTION("REGEXEXTRACT(C1727, ""🏘️ (\w+) \w+ .* ✅"")"),"Vendre")</f>
        <v>Vendre</v>
      </c>
      <c r="G1727" s="2" t="str">
        <f>IFERROR(__xludf.DUMMYFUNCTION("REGEXEXTRACT(C1727, ""🏘️ \w+ (\w+) .* ✅"")"),"maison")</f>
        <v>maison</v>
      </c>
      <c r="H1727" s="4" t="str">
        <f>IFERROR(__xludf.DUMMYFUNCTION("REGEXEXTRACT(A1727, ""/(\w+)-.*?"")"),"lieu")</f>
        <v>lieu</v>
      </c>
      <c r="I1727" s="4" t="str">
        <f>IFERROR(__xludf.DUMMYFUNCTION("if(D1727=""variant"",  substitute(filter(Templates!E:E, Templates!A:A = F1727, Templates!B:B = G1727, Templates!C:C = H1727), ""{{}}"", E1727), B1727)"),"🏘  Vous souhaitez acheter une maison à Rheineck? ✅ Jetez un œil aux dernières offres sur ImmoScout24.ch.")</f>
        <v>🏘  Vous souhaitez acheter une maison à Rheineck? ✅ Jetez un œil aux dernières offres sur ImmoScout24.ch.</v>
      </c>
      <c r="J1727" s="4" t="s">
        <v>5182</v>
      </c>
    </row>
    <row r="1728">
      <c r="A1728" s="5" t="s">
        <v>5183</v>
      </c>
      <c r="B1728" s="2" t="s">
        <v>5184</v>
      </c>
      <c r="C1728" s="4" t="str">
        <f>IFERROR(__xludf.DUMMYFUNCTION("""🏘️ ""&amp;REGEXEXTRACT(B1728, ""^(.*): "")&amp;"" ✅ "" &amp;REGEXEXTRACT(B1728, ""(Trouvez.*)"")"),"🏘️ Vendre maison Visp ✅ Trouvez le bien immobilier qui correspond idéalement à vos désirs sur ImmoScout24 - La plateforme de l'immobilier en Suisse.")</f>
        <v>🏘️ Vendre maison Visp ✅ Trouvez le bien immobilier qui correspond idéalement à vos désirs sur ImmoScout24 - La plateforme de l'immobilier en Suisse.</v>
      </c>
      <c r="D1728" s="4" t="str">
        <f>vlookup(A1728, Sheet2!D:E, 2, 0)</f>
        <v>variant</v>
      </c>
      <c r="E1728" s="4" t="str">
        <f>IFERROR(__xludf.DUMMYFUNCTION("if(H1728=""pays"",vlookup(REGEXEXTRACT(C1728, ""🏘️ \w+ \w+ (.*) ✅""),'Country prepositions'!A:B, 2, 0) &amp; "" "" &amp; REGEXEXTRACT(C1728, ""🏘️ \w+ \w+ (.*) ✅"") ,  if(H1728=""quartier"",vlookup(REGEXEXTRACT(C1728, ""🏘️ \w+ \w+ (.*) ✅""),'Quartier prepositio"&amp;"ns'!A:E, 5, 0) ,  if(H1728=""region"",vlookup(REGEXEXTRACT(C1728, ""🏘️ \w+ \w+ (.*) ✅""),'Region prepositions'!B:F, 5, 0),  REGEXEXTRACT(C1728, ""🏘️ \w+ \w+ (.*) ✅""))))"),"Visp")</f>
        <v>Visp</v>
      </c>
      <c r="F1728" s="2" t="str">
        <f>IFERROR(__xludf.DUMMYFUNCTION("REGEXEXTRACT(C1728, ""🏘️ (\w+) \w+ .* ✅"")"),"Vendre")</f>
        <v>Vendre</v>
      </c>
      <c r="G1728" s="2" t="str">
        <f>IFERROR(__xludf.DUMMYFUNCTION("REGEXEXTRACT(C1728, ""🏘️ \w+ (\w+) .* ✅"")"),"maison")</f>
        <v>maison</v>
      </c>
      <c r="H1728" s="4" t="str">
        <f>IFERROR(__xludf.DUMMYFUNCTION("REGEXEXTRACT(A1728, ""/(\w+)-.*?"")"),"lieu")</f>
        <v>lieu</v>
      </c>
      <c r="I1728" s="4" t="str">
        <f>IFERROR(__xludf.DUMMYFUNCTION("if(D1728=""variant"",  substitute(filter(Templates!E:E, Templates!A:A = F1728, Templates!B:B = G1728, Templates!C:C = H1728), ""{{}}"", E1728), B1728)"),"🏘  Vous souhaitez acheter une maison à Visp? ✅ Jetez un œil aux dernières offres sur ImmoScout24.ch.")</f>
        <v>🏘  Vous souhaitez acheter une maison à Visp? ✅ Jetez un œil aux dernières offres sur ImmoScout24.ch.</v>
      </c>
      <c r="J1728" s="4" t="s">
        <v>5185</v>
      </c>
    </row>
    <row r="1729">
      <c r="A1729" s="5" t="s">
        <v>5186</v>
      </c>
      <c r="B1729" s="2" t="s">
        <v>5187</v>
      </c>
      <c r="C1729" s="4" t="str">
        <f>IFERROR(__xludf.DUMMYFUNCTION("""🏘️ ""&amp;REGEXEXTRACT(B1729, ""^(.*): "")&amp;"" ✅ "" &amp;REGEXEXTRACT(B1729, ""(Trouvez.*)"")"),"🏘️ Vendre appartement Marchissy ✅ Trouvez le bien immobilier qui correspond idéalement à vos désirs sur ImmoScout24 - La plateforme de l'immobilier en Suisse.")</f>
        <v>🏘️ Vendre appartement Marchissy ✅ Trouvez le bien immobilier qui correspond idéalement à vos désirs sur ImmoScout24 - La plateforme de l'immobilier en Suisse.</v>
      </c>
      <c r="D1729" s="4" t="str">
        <f>vlookup(A1729, Sheet2!D:E, 2, 0)</f>
        <v>variant</v>
      </c>
      <c r="E1729" s="4" t="str">
        <f>IFERROR(__xludf.DUMMYFUNCTION("if(H1729=""pays"",vlookup(REGEXEXTRACT(C1729, ""🏘️ \w+ \w+ (.*) ✅""),'Country prepositions'!A:B, 2, 0) &amp; "" "" &amp; REGEXEXTRACT(C1729, ""🏘️ \w+ \w+ (.*) ✅"") ,  if(H1729=""quartier"",vlookup(REGEXEXTRACT(C1729, ""🏘️ \w+ \w+ (.*) ✅""),'Quartier prepositio"&amp;"ns'!A:E, 5, 0) ,  if(H1729=""region"",vlookup(REGEXEXTRACT(C1729, ""🏘️ \w+ \w+ (.*) ✅""),'Region prepositions'!B:F, 5, 0),  REGEXEXTRACT(C1729, ""🏘️ \w+ \w+ (.*) ✅""))))"),"Marchissy")</f>
        <v>Marchissy</v>
      </c>
      <c r="F1729" s="2" t="str">
        <f>IFERROR(__xludf.DUMMYFUNCTION("REGEXEXTRACT(C1729, ""🏘️ (\w+) \w+ .* ✅"")"),"Vendre")</f>
        <v>Vendre</v>
      </c>
      <c r="G1729" s="2" t="str">
        <f>IFERROR(__xludf.DUMMYFUNCTION("REGEXEXTRACT(C1729, ""🏘️ \w+ (\w+) .* ✅"")"),"appartement")</f>
        <v>appartement</v>
      </c>
      <c r="H1729" s="4" t="str">
        <f>IFERROR(__xludf.DUMMYFUNCTION("REGEXEXTRACT(A1729, ""/(\w+)-.*?"")"),"lieu")</f>
        <v>lieu</v>
      </c>
      <c r="I1729" s="4" t="str">
        <f>IFERROR(__xludf.DUMMYFUNCTION("if(D1729=""variant"",  substitute(filter(Templates!E:E, Templates!A:A = F1729, Templates!B:B = G1729, Templates!C:C = H1729), ""{{}}"", E1729), B1729)"),"🏘  L’appartement de vos rêves se trouve sur ImmoScout24.ch ✅ Découvrez les dernières annonces de vente à Marchissy.")</f>
        <v>🏘  L’appartement de vos rêves se trouve sur ImmoScout24.ch ✅ Découvrez les dernières annonces de vente à Marchissy.</v>
      </c>
      <c r="J1729" s="4" t="s">
        <v>5188</v>
      </c>
    </row>
    <row r="1730">
      <c r="A1730" s="5" t="s">
        <v>5189</v>
      </c>
      <c r="B1730" s="2" t="s">
        <v>5190</v>
      </c>
      <c r="C1730" s="4" t="str">
        <f>IFERROR(__xludf.DUMMYFUNCTION("""🏘️ ""&amp;REGEXEXTRACT(B1730, ""^(.*): "")&amp;"" ✅ "" &amp;REGEXEXTRACT(B1730, ""(Trouvez.*)"")"),"🏘️ Louer appartement Chavannes-près-Renens ✅ Trouvez le bien immobilier qui correspond idéalement à vos désirs sur ImmoScout24 - La plateforme de l'immobilier en Suisse.")</f>
        <v>🏘️ Louer appartement Chavannes-près-Renens ✅ Trouvez le bien immobilier qui correspond idéalement à vos désirs sur ImmoScout24 - La plateforme de l'immobilier en Suisse.</v>
      </c>
      <c r="D1730" s="4" t="str">
        <f>vlookup(A1730, Sheet2!D:E, 2, 0)</f>
        <v>variant</v>
      </c>
      <c r="E1730" s="4" t="str">
        <f>IFERROR(__xludf.DUMMYFUNCTION("if(H1730=""pays"",vlookup(REGEXEXTRACT(C1730, ""🏘️ \w+ \w+ (.*) ✅""),'Country prepositions'!A:B, 2, 0) &amp; "" "" &amp; REGEXEXTRACT(C1730, ""🏘️ \w+ \w+ (.*) ✅"") ,  if(H1730=""quartier"",vlookup(REGEXEXTRACT(C1730, ""🏘️ \w+ \w+ (.*) ✅""),'Quartier prepositio"&amp;"ns'!A:E, 5, 0) ,  if(H1730=""region"",vlookup(REGEXEXTRACT(C1730, ""🏘️ \w+ \w+ (.*) ✅""),'Region prepositions'!B:F, 5, 0),  REGEXEXTRACT(C1730, ""🏘️ \w+ \w+ (.*) ✅""))))"),"Chavannes-près-Renens")</f>
        <v>Chavannes-près-Renens</v>
      </c>
      <c r="F1730" s="2" t="str">
        <f>IFERROR(__xludf.DUMMYFUNCTION("REGEXEXTRACT(C1730, ""🏘️ (\w+) \w+ .* ✅"")"),"Louer")</f>
        <v>Louer</v>
      </c>
      <c r="G1730" s="2" t="str">
        <f>IFERROR(__xludf.DUMMYFUNCTION("REGEXEXTRACT(C1730, ""🏘️ \w+ (\w+) .* ✅"")"),"appartement")</f>
        <v>appartement</v>
      </c>
      <c r="H1730" s="4" t="str">
        <f>IFERROR(__xludf.DUMMYFUNCTION("REGEXEXTRACT(A1730, ""/(\w+)-.*?"")"),"lieu")</f>
        <v>lieu</v>
      </c>
      <c r="I1730" s="4" t="str">
        <f>IFERROR(__xludf.DUMMYFUNCTION("if(D1730=""variant"",  substitute(filter(Templates!E:E, Templates!A:A = F1730, Templates!B:B = G1730, Templates!C:C = H1730), ""{{}}"", E1730), B1730)"),"🏘  Vous cherchez un appartement à louer à Chavannes-près-Renens? ✅ Les annonces les plus actuelles sont sur ImmoScout24.ch.")</f>
        <v>🏘  Vous cherchez un appartement à louer à Chavannes-près-Renens? ✅ Les annonces les plus actuelles sont sur ImmoScout24.ch.</v>
      </c>
      <c r="J1730" s="4" t="s">
        <v>5191</v>
      </c>
    </row>
    <row r="1731">
      <c r="A1731" s="5" t="s">
        <v>5192</v>
      </c>
      <c r="B1731" s="2" t="s">
        <v>5193</v>
      </c>
      <c r="C1731" s="4" t="str">
        <f>IFERROR(__xludf.DUMMYFUNCTION("""🏘️ ""&amp;REGEXEXTRACT(B1731, ""^(.*): "")&amp;"" ✅ "" &amp;REGEXEXTRACT(B1731, ""(Trouvez.*)"")"),"🏘️ Louer appartement Croy ✅ Trouvez le bien immobilier qui correspond idéalement à vos désirs sur ImmoScout24 - La plateforme de l'immobilier en Suisse.")</f>
        <v>🏘️ Louer appartement Croy ✅ Trouvez le bien immobilier qui correspond idéalement à vos désirs sur ImmoScout24 - La plateforme de l'immobilier en Suisse.</v>
      </c>
      <c r="D1731" s="4" t="str">
        <f>vlookup(A1731, Sheet2!D:E, 2, 0)</f>
        <v>variant</v>
      </c>
      <c r="E1731" s="4" t="str">
        <f>IFERROR(__xludf.DUMMYFUNCTION("if(H1731=""pays"",vlookup(REGEXEXTRACT(C1731, ""🏘️ \w+ \w+ (.*) ✅""),'Country prepositions'!A:B, 2, 0) &amp; "" "" &amp; REGEXEXTRACT(C1731, ""🏘️ \w+ \w+ (.*) ✅"") ,  if(H1731=""quartier"",vlookup(REGEXEXTRACT(C1731, ""🏘️ \w+ \w+ (.*) ✅""),'Quartier prepositio"&amp;"ns'!A:E, 5, 0) ,  if(H1731=""region"",vlookup(REGEXEXTRACT(C1731, ""🏘️ \w+ \w+ (.*) ✅""),'Region prepositions'!B:F, 5, 0),  REGEXEXTRACT(C1731, ""🏘️ \w+ \w+ (.*) ✅""))))"),"Croy")</f>
        <v>Croy</v>
      </c>
      <c r="F1731" s="2" t="str">
        <f>IFERROR(__xludf.DUMMYFUNCTION("REGEXEXTRACT(C1731, ""🏘️ (\w+) \w+ .* ✅"")"),"Louer")</f>
        <v>Louer</v>
      </c>
      <c r="G1731" s="2" t="str">
        <f>IFERROR(__xludf.DUMMYFUNCTION("REGEXEXTRACT(C1731, ""🏘️ \w+ (\w+) .* ✅"")"),"appartement")</f>
        <v>appartement</v>
      </c>
      <c r="H1731" s="4" t="str">
        <f>IFERROR(__xludf.DUMMYFUNCTION("REGEXEXTRACT(A1731, ""/(\w+)-.*?"")"),"lieu")</f>
        <v>lieu</v>
      </c>
      <c r="I1731" s="4" t="str">
        <f>IFERROR(__xludf.DUMMYFUNCTION("if(D1731=""variant"",  substitute(filter(Templates!E:E, Templates!A:A = F1731, Templates!B:B = G1731, Templates!C:C = H1731), ""{{}}"", E1731), B1731)"),"🏘  Vous cherchez un appartement à louer à Croy? ✅ Les annonces les plus actuelles sont sur ImmoScout24.ch.")</f>
        <v>🏘  Vous cherchez un appartement à louer à Croy? ✅ Les annonces les plus actuelles sont sur ImmoScout24.ch.</v>
      </c>
      <c r="J1731" s="4" t="s">
        <v>5194</v>
      </c>
    </row>
    <row r="1732">
      <c r="A1732" s="5" t="s">
        <v>5195</v>
      </c>
      <c r="B1732" s="2" t="s">
        <v>5196</v>
      </c>
      <c r="C1732" s="4" t="str">
        <f>IFERROR(__xludf.DUMMYFUNCTION("""🏘️ ""&amp;REGEXEXTRACT(B1732, ""^(.*): "")&amp;"" ✅ "" &amp;REGEXEXTRACT(B1732, ""(Trouvez.*)"")"),"🏘️ Vendre appartement Lungern ✅ Trouvez le bien immobilier qui correspond idéalement à vos désirs sur ImmoScout24 - La plateforme de l'immobilier en Suisse.")</f>
        <v>🏘️ Vendre appartement Lungern ✅ Trouvez le bien immobilier qui correspond idéalement à vos désirs sur ImmoScout24 - La plateforme de l'immobilier en Suisse.</v>
      </c>
      <c r="D1732" s="4" t="str">
        <f>vlookup(A1732, Sheet2!D:E, 2, 0)</f>
        <v>variant</v>
      </c>
      <c r="E1732" s="4" t="str">
        <f>IFERROR(__xludf.DUMMYFUNCTION("if(H1732=""pays"",vlookup(REGEXEXTRACT(C1732, ""🏘️ \w+ \w+ (.*) ✅""),'Country prepositions'!A:B, 2, 0) &amp; "" "" &amp; REGEXEXTRACT(C1732, ""🏘️ \w+ \w+ (.*) ✅"") ,  if(H1732=""quartier"",vlookup(REGEXEXTRACT(C1732, ""🏘️ \w+ \w+ (.*) ✅""),'Quartier prepositio"&amp;"ns'!A:E, 5, 0) ,  if(H1732=""region"",vlookup(REGEXEXTRACT(C1732, ""🏘️ \w+ \w+ (.*) ✅""),'Region prepositions'!B:F, 5, 0),  REGEXEXTRACT(C1732, ""🏘️ \w+ \w+ (.*) ✅""))))"),"Lungern")</f>
        <v>Lungern</v>
      </c>
      <c r="F1732" s="2" t="str">
        <f>IFERROR(__xludf.DUMMYFUNCTION("REGEXEXTRACT(C1732, ""🏘️ (\w+) \w+ .* ✅"")"),"Vendre")</f>
        <v>Vendre</v>
      </c>
      <c r="G1732" s="2" t="str">
        <f>IFERROR(__xludf.DUMMYFUNCTION("REGEXEXTRACT(C1732, ""🏘️ \w+ (\w+) .* ✅"")"),"appartement")</f>
        <v>appartement</v>
      </c>
      <c r="H1732" s="4" t="str">
        <f>IFERROR(__xludf.DUMMYFUNCTION("REGEXEXTRACT(A1732, ""/(\w+)-.*?"")"),"lieu")</f>
        <v>lieu</v>
      </c>
      <c r="I1732" s="4" t="str">
        <f>IFERROR(__xludf.DUMMYFUNCTION("if(D1732=""variant"",  substitute(filter(Templates!E:E, Templates!A:A = F1732, Templates!B:B = G1732, Templates!C:C = H1732), ""{{}}"", E1732), B1732)"),"🏘  L’appartement de vos rêves se trouve sur ImmoScout24.ch ✅ Découvrez les dernières annonces de vente à Lungern.")</f>
        <v>🏘  L’appartement de vos rêves se trouve sur ImmoScout24.ch ✅ Découvrez les dernières annonces de vente à Lungern.</v>
      </c>
      <c r="J1732" s="4" t="s">
        <v>5197</v>
      </c>
    </row>
    <row r="1733">
      <c r="A1733" s="5" t="s">
        <v>5198</v>
      </c>
      <c r="B1733" s="2" t="s">
        <v>5199</v>
      </c>
      <c r="C1733" s="4" t="str">
        <f>IFERROR(__xludf.DUMMYFUNCTION("""🏘️ ""&amp;REGEXEXTRACT(B1733, ""^(.*): "")&amp;"" ✅ "" &amp;REGEXEXTRACT(B1733, ""(Trouvez.*)"")"),"🏘️ Louer appartement Chavannes-des-Bois ✅ Trouvez le bien immobilier qui correspond idéalement à vos désirs sur ImmoScout24 - La plateforme de l'immobilier en Suisse.")</f>
        <v>🏘️ Louer appartement Chavannes-des-Bois ✅ Trouvez le bien immobilier qui correspond idéalement à vos désirs sur ImmoScout24 - La plateforme de l'immobilier en Suisse.</v>
      </c>
      <c r="D1733" s="4" t="str">
        <f>vlookup(A1733, Sheet2!D:E, 2, 0)</f>
        <v>variant</v>
      </c>
      <c r="E1733" s="4" t="str">
        <f>IFERROR(__xludf.DUMMYFUNCTION("if(H1733=""pays"",vlookup(REGEXEXTRACT(C1733, ""🏘️ \w+ \w+ (.*) ✅""),'Country prepositions'!A:B, 2, 0) &amp; "" "" &amp; REGEXEXTRACT(C1733, ""🏘️ \w+ \w+ (.*) ✅"") ,  if(H1733=""quartier"",vlookup(REGEXEXTRACT(C1733, ""🏘️ \w+ \w+ (.*) ✅""),'Quartier prepositio"&amp;"ns'!A:E, 5, 0) ,  if(H1733=""region"",vlookup(REGEXEXTRACT(C1733, ""🏘️ \w+ \w+ (.*) ✅""),'Region prepositions'!B:F, 5, 0),  REGEXEXTRACT(C1733, ""🏘️ \w+ \w+ (.*) ✅""))))"),"Chavannes-des-Bois")</f>
        <v>Chavannes-des-Bois</v>
      </c>
      <c r="F1733" s="2" t="str">
        <f>IFERROR(__xludf.DUMMYFUNCTION("REGEXEXTRACT(C1733, ""🏘️ (\w+) \w+ .* ✅"")"),"Louer")</f>
        <v>Louer</v>
      </c>
      <c r="G1733" s="2" t="str">
        <f>IFERROR(__xludf.DUMMYFUNCTION("REGEXEXTRACT(C1733, ""🏘️ \w+ (\w+) .* ✅"")"),"appartement")</f>
        <v>appartement</v>
      </c>
      <c r="H1733" s="4" t="str">
        <f>IFERROR(__xludf.DUMMYFUNCTION("REGEXEXTRACT(A1733, ""/(\w+)-.*?"")"),"lieu")</f>
        <v>lieu</v>
      </c>
      <c r="I1733" s="4" t="str">
        <f>IFERROR(__xludf.DUMMYFUNCTION("if(D1733=""variant"",  substitute(filter(Templates!E:E, Templates!A:A = F1733, Templates!B:B = G1733, Templates!C:C = H1733), ""{{}}"", E1733), B1733)"),"🏘  Vous cherchez un appartement à louer à Chavannes-des-Bois? ✅ Les annonces les plus actuelles sont sur ImmoScout24.ch.")</f>
        <v>🏘  Vous cherchez un appartement à louer à Chavannes-des-Bois? ✅ Les annonces les plus actuelles sont sur ImmoScout24.ch.</v>
      </c>
      <c r="J1733" s="4" t="s">
        <v>5200</v>
      </c>
    </row>
    <row r="1734">
      <c r="A1734" s="5" t="s">
        <v>5201</v>
      </c>
      <c r="B1734" s="2" t="s">
        <v>5202</v>
      </c>
      <c r="C1734" s="4" t="str">
        <f>IFERROR(__xludf.DUMMYFUNCTION("""🏘️ ""&amp;REGEXEXTRACT(B1734, ""^(.*): "")&amp;"" ✅ "" &amp;REGEXEXTRACT(B1734, ""(Trouvez.*)"")"),"🏘️ Vendre appartement Luins ✅ Trouvez le bien immobilier qui correspond idéalement à vos désirs sur ImmoScout24 - La plateforme de l'immobilier en Suisse.")</f>
        <v>🏘️ Vendre appartement Luins ✅ Trouvez le bien immobilier qui correspond idéalement à vos désirs sur ImmoScout24 - La plateforme de l'immobilier en Suisse.</v>
      </c>
      <c r="D1734" s="4" t="str">
        <f>vlookup(A1734, Sheet2!D:E, 2, 0)</f>
        <v>variant</v>
      </c>
      <c r="E1734" s="4" t="str">
        <f>IFERROR(__xludf.DUMMYFUNCTION("if(H1734=""pays"",vlookup(REGEXEXTRACT(C1734, ""🏘️ \w+ \w+ (.*) ✅""),'Country prepositions'!A:B, 2, 0) &amp; "" "" &amp; REGEXEXTRACT(C1734, ""🏘️ \w+ \w+ (.*) ✅"") ,  if(H1734=""quartier"",vlookup(REGEXEXTRACT(C1734, ""🏘️ \w+ \w+ (.*) ✅""),'Quartier prepositio"&amp;"ns'!A:E, 5, 0) ,  if(H1734=""region"",vlookup(REGEXEXTRACT(C1734, ""🏘️ \w+ \w+ (.*) ✅""),'Region prepositions'!B:F, 5, 0),  REGEXEXTRACT(C1734, ""🏘️ \w+ \w+ (.*) ✅""))))"),"Luins")</f>
        <v>Luins</v>
      </c>
      <c r="F1734" s="2" t="str">
        <f>IFERROR(__xludf.DUMMYFUNCTION("REGEXEXTRACT(C1734, ""🏘️ (\w+) \w+ .* ✅"")"),"Vendre")</f>
        <v>Vendre</v>
      </c>
      <c r="G1734" s="2" t="str">
        <f>IFERROR(__xludf.DUMMYFUNCTION("REGEXEXTRACT(C1734, ""🏘️ \w+ (\w+) .* ✅"")"),"appartement")</f>
        <v>appartement</v>
      </c>
      <c r="H1734" s="4" t="str">
        <f>IFERROR(__xludf.DUMMYFUNCTION("REGEXEXTRACT(A1734, ""/(\w+)-.*?"")"),"lieu")</f>
        <v>lieu</v>
      </c>
      <c r="I1734" s="4" t="str">
        <f>IFERROR(__xludf.DUMMYFUNCTION("if(D1734=""variant"",  substitute(filter(Templates!E:E, Templates!A:A = F1734, Templates!B:B = G1734, Templates!C:C = H1734), ""{{}}"", E1734), B1734)"),"🏘  L’appartement de vos rêves se trouve sur ImmoScout24.ch ✅ Découvrez les dernières annonces de vente à Luins.")</f>
        <v>🏘  L’appartement de vos rêves se trouve sur ImmoScout24.ch ✅ Découvrez les dernières annonces de vente à Luins.</v>
      </c>
      <c r="J1734" s="4" t="s">
        <v>5203</v>
      </c>
    </row>
    <row r="1735">
      <c r="A1735" s="5" t="s">
        <v>5204</v>
      </c>
      <c r="B1735" s="2" t="s">
        <v>5205</v>
      </c>
      <c r="C1735" s="4" t="str">
        <f>IFERROR(__xludf.DUMMYFUNCTION("""🏘️ ""&amp;REGEXEXTRACT(B1735, ""^(.*): "")&amp;"" ✅ "" &amp;REGEXEXTRACT(B1735, ""(Trouvez.*)"")"),"🏘️ Louer appartement Recherswil ✅ Trouvez le bien immobilier qui correspond idéalement à vos désirs sur ImmoScout24 - La plateforme de l'immobilier en Suisse.")</f>
        <v>🏘️ Louer appartement Recherswil ✅ Trouvez le bien immobilier qui correspond idéalement à vos désirs sur ImmoScout24 - La plateforme de l'immobilier en Suisse.</v>
      </c>
      <c r="D1735" s="4" t="str">
        <f>vlookup(A1735, Sheet2!D:E, 2, 0)</f>
        <v>variant</v>
      </c>
      <c r="E1735" s="4" t="str">
        <f>IFERROR(__xludf.DUMMYFUNCTION("if(H1735=""pays"",vlookup(REGEXEXTRACT(C1735, ""🏘️ \w+ \w+ (.*) ✅""),'Country prepositions'!A:B, 2, 0) &amp; "" "" &amp; REGEXEXTRACT(C1735, ""🏘️ \w+ \w+ (.*) ✅"") ,  if(H1735=""quartier"",vlookup(REGEXEXTRACT(C1735, ""🏘️ \w+ \w+ (.*) ✅""),'Quartier prepositio"&amp;"ns'!A:E, 5, 0) ,  if(H1735=""region"",vlookup(REGEXEXTRACT(C1735, ""🏘️ \w+ \w+ (.*) ✅""),'Region prepositions'!B:F, 5, 0),  REGEXEXTRACT(C1735, ""🏘️ \w+ \w+ (.*) ✅""))))"),"Recherswil")</f>
        <v>Recherswil</v>
      </c>
      <c r="F1735" s="2" t="str">
        <f>IFERROR(__xludf.DUMMYFUNCTION("REGEXEXTRACT(C1735, ""🏘️ (\w+) \w+ .* ✅"")"),"Louer")</f>
        <v>Louer</v>
      </c>
      <c r="G1735" s="2" t="str">
        <f>IFERROR(__xludf.DUMMYFUNCTION("REGEXEXTRACT(C1735, ""🏘️ \w+ (\w+) .* ✅"")"),"appartement")</f>
        <v>appartement</v>
      </c>
      <c r="H1735" s="4" t="str">
        <f>IFERROR(__xludf.DUMMYFUNCTION("REGEXEXTRACT(A1735, ""/(\w+)-.*?"")"),"lieu")</f>
        <v>lieu</v>
      </c>
      <c r="I1735" s="4" t="str">
        <f>IFERROR(__xludf.DUMMYFUNCTION("if(D1735=""variant"",  substitute(filter(Templates!E:E, Templates!A:A = F1735, Templates!B:B = G1735, Templates!C:C = H1735), ""{{}}"", E1735), B1735)"),"🏘  Vous cherchez un appartement à louer à Recherswil? ✅ Les annonces les plus actuelles sont sur ImmoScout24.ch.")</f>
        <v>🏘  Vous cherchez un appartement à louer à Recherswil? ✅ Les annonces les plus actuelles sont sur ImmoScout24.ch.</v>
      </c>
      <c r="J1735" s="4" t="s">
        <v>5206</v>
      </c>
    </row>
    <row r="1736">
      <c r="A1736" s="5" t="s">
        <v>5207</v>
      </c>
      <c r="B1736" s="2" t="s">
        <v>5208</v>
      </c>
      <c r="C1736" s="4" t="str">
        <f>IFERROR(__xludf.DUMMYFUNCTION("""🏘️ ""&amp;REGEXEXTRACT(B1736, ""^(.*): "")&amp;"" ✅ "" &amp;REGEXEXTRACT(B1736, ""(Trouvez.*)"")"),"🏘️ Louer appartement St-Martin FR ✅ Trouvez le bien immobilier qui correspond idéalement à vos désirs sur ImmoScout24 - La plateforme de l'immobilier en Suisse.")</f>
        <v>🏘️ Louer appartement St-Martin FR ✅ Trouvez le bien immobilier qui correspond idéalement à vos désirs sur ImmoScout24 - La plateforme de l'immobilier en Suisse.</v>
      </c>
      <c r="D1736" s="4" t="str">
        <f>vlookup(A1736, Sheet2!D:E, 2, 0)</f>
        <v>variant</v>
      </c>
      <c r="E1736" s="4" t="str">
        <f>IFERROR(__xludf.DUMMYFUNCTION("if(H1736=""pays"",vlookup(REGEXEXTRACT(C1736, ""🏘️ \w+ \w+ (.*) ✅""),'Country prepositions'!A:B, 2, 0) &amp; "" "" &amp; REGEXEXTRACT(C1736, ""🏘️ \w+ \w+ (.*) ✅"") ,  if(H1736=""quartier"",vlookup(REGEXEXTRACT(C1736, ""🏘️ \w+ \w+ (.*) ✅""),'Quartier prepositio"&amp;"ns'!A:E, 5, 0) ,  if(H1736=""region"",vlookup(REGEXEXTRACT(C1736, ""🏘️ \w+ \w+ (.*) ✅""),'Region prepositions'!B:F, 5, 0),  REGEXEXTRACT(C1736, ""🏘️ \w+ \w+ (.*) ✅""))))"),"St-Martin FR")</f>
        <v>St-Martin FR</v>
      </c>
      <c r="F1736" s="2" t="str">
        <f>IFERROR(__xludf.DUMMYFUNCTION("REGEXEXTRACT(C1736, ""🏘️ (\w+) \w+ .* ✅"")"),"Louer")</f>
        <v>Louer</v>
      </c>
      <c r="G1736" s="2" t="str">
        <f>IFERROR(__xludf.DUMMYFUNCTION("REGEXEXTRACT(C1736, ""🏘️ \w+ (\w+) .* ✅"")"),"appartement")</f>
        <v>appartement</v>
      </c>
      <c r="H1736" s="4" t="str">
        <f>IFERROR(__xludf.DUMMYFUNCTION("REGEXEXTRACT(A1736, ""/(\w+)-.*?"")"),"lieu")</f>
        <v>lieu</v>
      </c>
      <c r="I1736" s="4" t="str">
        <f>IFERROR(__xludf.DUMMYFUNCTION("if(D1736=""variant"",  substitute(filter(Templates!E:E, Templates!A:A = F1736, Templates!B:B = G1736, Templates!C:C = H1736), ""{{}}"", E1736), B1736)"),"🏘  Vous cherchez un appartement à louer à St-Martin FR? ✅ Les annonces les plus actuelles sont sur ImmoScout24.ch.")</f>
        <v>🏘  Vous cherchez un appartement à louer à St-Martin FR? ✅ Les annonces les plus actuelles sont sur ImmoScout24.ch.</v>
      </c>
      <c r="J1736" s="4" t="s">
        <v>5209</v>
      </c>
    </row>
    <row r="1737">
      <c r="A1737" s="5" t="s">
        <v>5210</v>
      </c>
      <c r="B1737" s="2" t="s">
        <v>5211</v>
      </c>
      <c r="C1737" s="4" t="str">
        <f>IFERROR(__xludf.DUMMYFUNCTION("""🏘️ ""&amp;REGEXEXTRACT(B1737, ""^(.*): "")&amp;"" ✅ "" &amp;REGEXEXTRACT(B1737, ""(Trouvez.*)"")"),"🏘️ Louer appartement Vollèges ✅ Trouvez le bien immobilier qui correspond idéalement à vos désirs sur ImmoScout24 - La plateforme de l'immobilier en Suisse.")</f>
        <v>🏘️ Louer appartement Vollèges ✅ Trouvez le bien immobilier qui correspond idéalement à vos désirs sur ImmoScout24 - La plateforme de l'immobilier en Suisse.</v>
      </c>
      <c r="D1737" s="4" t="str">
        <f>vlookup(A1737, Sheet2!D:E, 2, 0)</f>
        <v>variant</v>
      </c>
      <c r="E1737" s="4" t="str">
        <f>IFERROR(__xludf.DUMMYFUNCTION("if(H1737=""pays"",vlookup(REGEXEXTRACT(C1737, ""🏘️ \w+ \w+ (.*) ✅""),'Country prepositions'!A:B, 2, 0) &amp; "" "" &amp; REGEXEXTRACT(C1737, ""🏘️ \w+ \w+ (.*) ✅"") ,  if(H1737=""quartier"",vlookup(REGEXEXTRACT(C1737, ""🏘️ \w+ \w+ (.*) ✅""),'Quartier prepositio"&amp;"ns'!A:E, 5, 0) ,  if(H1737=""region"",vlookup(REGEXEXTRACT(C1737, ""🏘️ \w+ \w+ (.*) ✅""),'Region prepositions'!B:F, 5, 0),  REGEXEXTRACT(C1737, ""🏘️ \w+ \w+ (.*) ✅""))))"),"Vollèges")</f>
        <v>Vollèges</v>
      </c>
      <c r="F1737" s="2" t="str">
        <f>IFERROR(__xludf.DUMMYFUNCTION("REGEXEXTRACT(C1737, ""🏘️ (\w+) \w+ .* ✅"")"),"Louer")</f>
        <v>Louer</v>
      </c>
      <c r="G1737" s="2" t="str">
        <f>IFERROR(__xludf.DUMMYFUNCTION("REGEXEXTRACT(C1737, ""🏘️ \w+ (\w+) .* ✅"")"),"appartement")</f>
        <v>appartement</v>
      </c>
      <c r="H1737" s="4" t="str">
        <f>IFERROR(__xludf.DUMMYFUNCTION("REGEXEXTRACT(A1737, ""/(\w+)-.*?"")"),"lieu")</f>
        <v>lieu</v>
      </c>
      <c r="I1737" s="4" t="str">
        <f>IFERROR(__xludf.DUMMYFUNCTION("if(D1737=""variant"",  substitute(filter(Templates!E:E, Templates!A:A = F1737, Templates!B:B = G1737, Templates!C:C = H1737), ""{{}}"", E1737), B1737)"),"🏘  Vous cherchez un appartement à louer à Vollèges? ✅ Les annonces les plus actuelles sont sur ImmoScout24.ch.")</f>
        <v>🏘  Vous cherchez un appartement à louer à Vollèges? ✅ Les annonces les plus actuelles sont sur ImmoScout24.ch.</v>
      </c>
      <c r="J1737" s="4" t="s">
        <v>5212</v>
      </c>
    </row>
    <row r="1738">
      <c r="A1738" s="5" t="s">
        <v>5213</v>
      </c>
      <c r="B1738" s="2" t="s">
        <v>5214</v>
      </c>
      <c r="C1738" s="4" t="str">
        <f>IFERROR(__xludf.DUMMYFUNCTION("""🏘️ ""&amp;REGEXEXTRACT(B1738, ""^(.*): "")&amp;"" ✅ "" &amp;REGEXEXTRACT(B1738, ""(Trouvez.*)"")"),"🏘️ Louer appartement Délices - Grottes (Genève) ✅ Trouvez le bien immobilier qui correspond idéalement à vos désirs sur ImmoScout24 - La plateforme de l'immobilier en Suisse.")</f>
        <v>🏘️ Louer appartement Délices - Grottes (Genève) ✅ Trouvez le bien immobilier qui correspond idéalement à vos désirs sur ImmoScout24 - La plateforme de l'immobilier en Suisse.</v>
      </c>
      <c r="D1738" s="4" t="str">
        <f>vlookup(A1738, Sheet2!D:E, 2, 0)</f>
        <v>variant</v>
      </c>
      <c r="E1738" s="4" t="str">
        <f>IFERROR(__xludf.DUMMYFUNCTION("if(H1738=""pays"",vlookup(REGEXEXTRACT(C1738, ""🏘️ \w+ \w+ (.*) ✅""),'Country prepositions'!A:B, 2, 0) &amp; "" "" &amp; REGEXEXTRACT(C1738, ""🏘️ \w+ \w+ (.*) ✅"") ,  if(H1738=""quartier"",vlookup(REGEXEXTRACT(C1738, ""🏘️ \w+ \w+ (.*) ✅""),'Quartier prepositio"&amp;"ns'!A:E, 5, 0) ,  if(H1738=""region"",vlookup(REGEXEXTRACT(C1738, ""🏘️ \w+ \w+ (.*) ✅""),'Region prepositions'!B:F, 5, 0),  REGEXEXTRACT(C1738, ""🏘️ \w+ \w+ (.*) ✅""))))"),"dans le quartier des Délices - Grottes (Genève)")</f>
        <v>dans le quartier des Délices - Grottes (Genève)</v>
      </c>
      <c r="F1738" s="2" t="str">
        <f>IFERROR(__xludf.DUMMYFUNCTION("REGEXEXTRACT(C1738, ""🏘️ (\w+) \w+ .* ✅"")"),"Louer")</f>
        <v>Louer</v>
      </c>
      <c r="G1738" s="2" t="str">
        <f>IFERROR(__xludf.DUMMYFUNCTION("REGEXEXTRACT(C1738, ""🏘️ \w+ (\w+) .* ✅"")"),"appartement")</f>
        <v>appartement</v>
      </c>
      <c r="H1738" s="4" t="str">
        <f>IFERROR(__xludf.DUMMYFUNCTION("REGEXEXTRACT(A1738, ""/(\w+)-.*?"")"),"quartier")</f>
        <v>quartier</v>
      </c>
      <c r="I1738" s="4" t="str">
        <f>IFERROR(__xludf.DUMMYFUNCTION("if(D1738=""variant"",  substitute(filter(Templates!E:E, Templates!A:A = F1738, Templates!B:B = G1738, Templates!C:C = H1738), ""{{}}"", E1738), B1738)"),"🏘  Vous cherchez un appartement à louer dans le quartier des Délices - Grottes (Genève)? ✅ Les annonces les plus actuelles sont sur ImmoScout24.ch.")</f>
        <v>🏘  Vous cherchez un appartement à louer dans le quartier des Délices - Grottes (Genève)? ✅ Les annonces les plus actuelles sont sur ImmoScout24.ch.</v>
      </c>
      <c r="J1738" s="4" t="s">
        <v>5215</v>
      </c>
    </row>
    <row r="1739">
      <c r="A1739" s="5" t="s">
        <v>5216</v>
      </c>
      <c r="B1739" s="2" t="s">
        <v>5217</v>
      </c>
      <c r="C1739" s="4" t="str">
        <f>IFERROR(__xludf.DUMMYFUNCTION("""🏘️ ""&amp;REGEXEXTRACT(B1739, ""^(.*): "")&amp;"" ✅ "" &amp;REGEXEXTRACT(B1739, ""(Trouvez.*)"")"),"🏘️ Louer appartement Mossel ✅ Trouvez le bien immobilier qui correspond idéalement à vos désirs sur ImmoScout24 - La plateforme de l'immobilier en Suisse.")</f>
        <v>🏘️ Louer appartement Mossel ✅ Trouvez le bien immobilier qui correspond idéalement à vos désirs sur ImmoScout24 - La plateforme de l'immobilier en Suisse.</v>
      </c>
      <c r="D1739" s="4" t="str">
        <f>vlookup(A1739, Sheet2!D:E, 2, 0)</f>
        <v>variant</v>
      </c>
      <c r="E1739" s="4" t="str">
        <f>IFERROR(__xludf.DUMMYFUNCTION("if(H1739=""pays"",vlookup(REGEXEXTRACT(C1739, ""🏘️ \w+ \w+ (.*) ✅""),'Country prepositions'!A:B, 2, 0) &amp; "" "" &amp; REGEXEXTRACT(C1739, ""🏘️ \w+ \w+ (.*) ✅"") ,  if(H1739=""quartier"",vlookup(REGEXEXTRACT(C1739, ""🏘️ \w+ \w+ (.*) ✅""),'Quartier prepositio"&amp;"ns'!A:E, 5, 0) ,  if(H1739=""region"",vlookup(REGEXEXTRACT(C1739, ""🏘️ \w+ \w+ (.*) ✅""),'Region prepositions'!B:F, 5, 0),  REGEXEXTRACT(C1739, ""🏘️ \w+ \w+ (.*) ✅""))))"),"Mossel")</f>
        <v>Mossel</v>
      </c>
      <c r="F1739" s="2" t="str">
        <f>IFERROR(__xludf.DUMMYFUNCTION("REGEXEXTRACT(C1739, ""🏘️ (\w+) \w+ .* ✅"")"),"Louer")</f>
        <v>Louer</v>
      </c>
      <c r="G1739" s="2" t="str">
        <f>IFERROR(__xludf.DUMMYFUNCTION("REGEXEXTRACT(C1739, ""🏘️ \w+ (\w+) .* ✅"")"),"appartement")</f>
        <v>appartement</v>
      </c>
      <c r="H1739" s="4" t="str">
        <f>IFERROR(__xludf.DUMMYFUNCTION("REGEXEXTRACT(A1739, ""/(\w+)-.*?"")"),"lieu")</f>
        <v>lieu</v>
      </c>
      <c r="I1739" s="4" t="str">
        <f>IFERROR(__xludf.DUMMYFUNCTION("if(D1739=""variant"",  substitute(filter(Templates!E:E, Templates!A:A = F1739, Templates!B:B = G1739, Templates!C:C = H1739), ""{{}}"", E1739), B1739)"),"🏘  Vous cherchez un appartement à louer à Mossel? ✅ Les annonces les plus actuelles sont sur ImmoScout24.ch.")</f>
        <v>🏘  Vous cherchez un appartement à louer à Mossel? ✅ Les annonces les plus actuelles sont sur ImmoScout24.ch.</v>
      </c>
      <c r="J1739" s="4" t="s">
        <v>5218</v>
      </c>
    </row>
    <row r="1740">
      <c r="A1740" s="5" t="s">
        <v>5219</v>
      </c>
      <c r="B1740" s="2" t="s">
        <v>5220</v>
      </c>
      <c r="C1740" s="4" t="str">
        <f>IFERROR(__xludf.DUMMYFUNCTION("""🏘️ ""&amp;REGEXEXTRACT(B1740, ""^(.*): "")&amp;"" ✅ "" &amp;REGEXEXTRACT(B1740, ""(Trouvez.*)"")"),"🏘️ Louer appartement Montsevelier ✅ Trouvez le bien immobilier qui correspond idéalement à vos désirs sur ImmoScout24 - La plateforme de l'immobilier en Suisse.")</f>
        <v>🏘️ Louer appartement Montsevelier ✅ Trouvez le bien immobilier qui correspond idéalement à vos désirs sur ImmoScout24 - La plateforme de l'immobilier en Suisse.</v>
      </c>
      <c r="D1740" s="4" t="str">
        <f>vlookup(A1740, Sheet2!D:E, 2, 0)</f>
        <v>variant</v>
      </c>
      <c r="E1740" s="4" t="str">
        <f>IFERROR(__xludf.DUMMYFUNCTION("if(H1740=""pays"",vlookup(REGEXEXTRACT(C1740, ""🏘️ \w+ \w+ (.*) ✅""),'Country prepositions'!A:B, 2, 0) &amp; "" "" &amp; REGEXEXTRACT(C1740, ""🏘️ \w+ \w+ (.*) ✅"") ,  if(H1740=""quartier"",vlookup(REGEXEXTRACT(C1740, ""🏘️ \w+ \w+ (.*) ✅""),'Quartier prepositio"&amp;"ns'!A:E, 5, 0) ,  if(H1740=""region"",vlookup(REGEXEXTRACT(C1740, ""🏘️ \w+ \w+ (.*) ✅""),'Region prepositions'!B:F, 5, 0),  REGEXEXTRACT(C1740, ""🏘️ \w+ \w+ (.*) ✅""))))"),"Montsevelier")</f>
        <v>Montsevelier</v>
      </c>
      <c r="F1740" s="2" t="str">
        <f>IFERROR(__xludf.DUMMYFUNCTION("REGEXEXTRACT(C1740, ""🏘️ (\w+) \w+ .* ✅"")"),"Louer")</f>
        <v>Louer</v>
      </c>
      <c r="G1740" s="2" t="str">
        <f>IFERROR(__xludf.DUMMYFUNCTION("REGEXEXTRACT(C1740, ""🏘️ \w+ (\w+) .* ✅"")"),"appartement")</f>
        <v>appartement</v>
      </c>
      <c r="H1740" s="4" t="str">
        <f>IFERROR(__xludf.DUMMYFUNCTION("REGEXEXTRACT(A1740, ""/(\w+)-.*?"")"),"lieu")</f>
        <v>lieu</v>
      </c>
      <c r="I1740" s="4" t="str">
        <f>IFERROR(__xludf.DUMMYFUNCTION("if(D1740=""variant"",  substitute(filter(Templates!E:E, Templates!A:A = F1740, Templates!B:B = G1740, Templates!C:C = H1740), ""{{}}"", E1740), B1740)"),"🏘  Vous cherchez un appartement à louer à Montsevelier? ✅ Les annonces les plus actuelles sont sur ImmoScout24.ch.")</f>
        <v>🏘  Vous cherchez un appartement à louer à Montsevelier? ✅ Les annonces les plus actuelles sont sur ImmoScout24.ch.</v>
      </c>
      <c r="J1740" s="4" t="s">
        <v>5221</v>
      </c>
    </row>
    <row r="1741">
      <c r="A1741" s="5" t="s">
        <v>5222</v>
      </c>
      <c r="B1741" s="2" t="s">
        <v>5223</v>
      </c>
      <c r="C1741" s="4" t="str">
        <f>IFERROR(__xludf.DUMMYFUNCTION("""🏘️ ""&amp;REGEXEXTRACT(B1741, ""^(.*): "")&amp;"" ✅ "" &amp;REGEXEXTRACT(B1741, ""(Trouvez.*)"")"),"🏘️ Louer appartement Novaggio ✅ Trouvez le bien immobilier qui correspond idéalement à vos désirs sur ImmoScout24 - La plateforme de l'immobilier en Suisse.")</f>
        <v>🏘️ Louer appartement Novaggio ✅ Trouvez le bien immobilier qui correspond idéalement à vos désirs sur ImmoScout24 - La plateforme de l'immobilier en Suisse.</v>
      </c>
      <c r="D1741" s="4" t="str">
        <f>vlookup(A1741, Sheet2!D:E, 2, 0)</f>
        <v>variant</v>
      </c>
      <c r="E1741" s="4" t="str">
        <f>IFERROR(__xludf.DUMMYFUNCTION("if(H1741=""pays"",vlookup(REGEXEXTRACT(C1741, ""🏘️ \w+ \w+ (.*) ✅""),'Country prepositions'!A:B, 2, 0) &amp; "" "" &amp; REGEXEXTRACT(C1741, ""🏘️ \w+ \w+ (.*) ✅"") ,  if(H1741=""quartier"",vlookup(REGEXEXTRACT(C1741, ""🏘️ \w+ \w+ (.*) ✅""),'Quartier prepositio"&amp;"ns'!A:E, 5, 0) ,  if(H1741=""region"",vlookup(REGEXEXTRACT(C1741, ""🏘️ \w+ \w+ (.*) ✅""),'Region prepositions'!B:F, 5, 0),  REGEXEXTRACT(C1741, ""🏘️ \w+ \w+ (.*) ✅""))))"),"Novaggio")</f>
        <v>Novaggio</v>
      </c>
      <c r="F1741" s="2" t="str">
        <f>IFERROR(__xludf.DUMMYFUNCTION("REGEXEXTRACT(C1741, ""🏘️ (\w+) \w+ .* ✅"")"),"Louer")</f>
        <v>Louer</v>
      </c>
      <c r="G1741" s="2" t="str">
        <f>IFERROR(__xludf.DUMMYFUNCTION("REGEXEXTRACT(C1741, ""🏘️ \w+ (\w+) .* ✅"")"),"appartement")</f>
        <v>appartement</v>
      </c>
      <c r="H1741" s="4" t="str">
        <f>IFERROR(__xludf.DUMMYFUNCTION("REGEXEXTRACT(A1741, ""/(\w+)-.*?"")"),"lieu")</f>
        <v>lieu</v>
      </c>
      <c r="I1741" s="4" t="str">
        <f>IFERROR(__xludf.DUMMYFUNCTION("if(D1741=""variant"",  substitute(filter(Templates!E:E, Templates!A:A = F1741, Templates!B:B = G1741, Templates!C:C = H1741), ""{{}}"", E1741), B1741)"),"🏘  Vous cherchez un appartement à louer à Novaggio? ✅ Les annonces les plus actuelles sont sur ImmoScout24.ch.")</f>
        <v>🏘  Vous cherchez un appartement à louer à Novaggio? ✅ Les annonces les plus actuelles sont sur ImmoScout24.ch.</v>
      </c>
      <c r="J1741" s="4" t="s">
        <v>5224</v>
      </c>
    </row>
    <row r="1742">
      <c r="A1742" s="5" t="s">
        <v>5225</v>
      </c>
      <c r="B1742" s="2" t="s">
        <v>5226</v>
      </c>
      <c r="C1742" s="4" t="str">
        <f>IFERROR(__xludf.DUMMYFUNCTION("""🏘️ ""&amp;REGEXEXTRACT(B1742, ""^(.*): "")&amp;"" ✅ "" &amp;REGEXEXTRACT(B1742, ""(Trouvez.*)"")"),"🏘️ Louer appartement Agra ✅ Trouvez le bien immobilier qui correspond idéalement à vos désirs sur ImmoScout24 - La plateforme de l'immobilier en Suisse.")</f>
        <v>🏘️ Louer appartement Agra ✅ Trouvez le bien immobilier qui correspond idéalement à vos désirs sur ImmoScout24 - La plateforme de l'immobilier en Suisse.</v>
      </c>
      <c r="D1742" s="4" t="str">
        <f>vlookup(A1742, Sheet2!D:E, 2, 0)</f>
        <v>variant</v>
      </c>
      <c r="E1742" s="4" t="str">
        <f>IFERROR(__xludf.DUMMYFUNCTION("if(H1742=""pays"",vlookup(REGEXEXTRACT(C1742, ""🏘️ \w+ \w+ (.*) ✅""),'Country prepositions'!A:B, 2, 0) &amp; "" "" &amp; REGEXEXTRACT(C1742, ""🏘️ \w+ \w+ (.*) ✅"") ,  if(H1742=""quartier"",vlookup(REGEXEXTRACT(C1742, ""🏘️ \w+ \w+ (.*) ✅""),'Quartier prepositio"&amp;"ns'!A:E, 5, 0) ,  if(H1742=""region"",vlookup(REGEXEXTRACT(C1742, ""🏘️ \w+ \w+ (.*) ✅""),'Region prepositions'!B:F, 5, 0),  REGEXEXTRACT(C1742, ""🏘️ \w+ \w+ (.*) ✅""))))"),"Agra")</f>
        <v>Agra</v>
      </c>
      <c r="F1742" s="2" t="str">
        <f>IFERROR(__xludf.DUMMYFUNCTION("REGEXEXTRACT(C1742, ""🏘️ (\w+) \w+ .* ✅"")"),"Louer")</f>
        <v>Louer</v>
      </c>
      <c r="G1742" s="2" t="str">
        <f>IFERROR(__xludf.DUMMYFUNCTION("REGEXEXTRACT(C1742, ""🏘️ \w+ (\w+) .* ✅"")"),"appartement")</f>
        <v>appartement</v>
      </c>
      <c r="H1742" s="4" t="str">
        <f>IFERROR(__xludf.DUMMYFUNCTION("REGEXEXTRACT(A1742, ""/(\w+)-.*?"")"),"lieu")</f>
        <v>lieu</v>
      </c>
      <c r="I1742" s="4" t="str">
        <f>IFERROR(__xludf.DUMMYFUNCTION("if(D1742=""variant"",  substitute(filter(Templates!E:E, Templates!A:A = F1742, Templates!B:B = G1742, Templates!C:C = H1742), ""{{}}"", E1742), B1742)"),"🏘  Vous cherchez un appartement à louer à Agra? ✅ Les annonces les plus actuelles sont sur ImmoScout24.ch.")</f>
        <v>🏘  Vous cherchez un appartement à louer à Agra? ✅ Les annonces les plus actuelles sont sur ImmoScout24.ch.</v>
      </c>
      <c r="J1742" s="4" t="s">
        <v>5227</v>
      </c>
    </row>
    <row r="1743">
      <c r="A1743" s="5" t="s">
        <v>5228</v>
      </c>
      <c r="B1743" s="2" t="s">
        <v>5229</v>
      </c>
      <c r="C1743" s="4" t="str">
        <f>IFERROR(__xludf.DUMMYFUNCTION("""🏘️ ""&amp;REGEXEXTRACT(B1743, ""^(.*): "")&amp;"" ✅ "" &amp;REGEXEXTRACT(B1743, ""(Trouvez.*)"")"),"🏘️ Vendre appartement Morgins ✅ Trouvez le bien immobilier qui correspond idéalement à vos désirs sur ImmoScout24 - La plateforme de l'immobilier en Suisse.")</f>
        <v>🏘️ Vendre appartement Morgins ✅ Trouvez le bien immobilier qui correspond idéalement à vos désirs sur ImmoScout24 - La plateforme de l'immobilier en Suisse.</v>
      </c>
      <c r="D1743" s="4" t="str">
        <f>vlookup(A1743, Sheet2!D:E, 2, 0)</f>
        <v>variant</v>
      </c>
      <c r="E1743" s="4" t="str">
        <f>IFERROR(__xludf.DUMMYFUNCTION("if(H1743=""pays"",vlookup(REGEXEXTRACT(C1743, ""🏘️ \w+ \w+ (.*) ✅""),'Country prepositions'!A:B, 2, 0) &amp; "" "" &amp; REGEXEXTRACT(C1743, ""🏘️ \w+ \w+ (.*) ✅"") ,  if(H1743=""quartier"",vlookup(REGEXEXTRACT(C1743, ""🏘️ \w+ \w+ (.*) ✅""),'Quartier prepositio"&amp;"ns'!A:E, 5, 0) ,  if(H1743=""region"",vlookup(REGEXEXTRACT(C1743, ""🏘️ \w+ \w+ (.*) ✅""),'Region prepositions'!B:F, 5, 0),  REGEXEXTRACT(C1743, ""🏘️ \w+ \w+ (.*) ✅""))))"),"Morgins")</f>
        <v>Morgins</v>
      </c>
      <c r="F1743" s="2" t="str">
        <f>IFERROR(__xludf.DUMMYFUNCTION("REGEXEXTRACT(C1743, ""🏘️ (\w+) \w+ .* ✅"")"),"Vendre")</f>
        <v>Vendre</v>
      </c>
      <c r="G1743" s="2" t="str">
        <f>IFERROR(__xludf.DUMMYFUNCTION("REGEXEXTRACT(C1743, ""🏘️ \w+ (\w+) .* ✅"")"),"appartement")</f>
        <v>appartement</v>
      </c>
      <c r="H1743" s="4" t="str">
        <f>IFERROR(__xludf.DUMMYFUNCTION("REGEXEXTRACT(A1743, ""/(\w+)-.*?"")"),"lieu")</f>
        <v>lieu</v>
      </c>
      <c r="I1743" s="4" t="str">
        <f>IFERROR(__xludf.DUMMYFUNCTION("if(D1743=""variant"",  substitute(filter(Templates!E:E, Templates!A:A = F1743, Templates!B:B = G1743, Templates!C:C = H1743), ""{{}}"", E1743), B1743)"),"🏘  L’appartement de vos rêves se trouve sur ImmoScout24.ch ✅ Découvrez les dernières annonces de vente à Morgins.")</f>
        <v>🏘  L’appartement de vos rêves se trouve sur ImmoScout24.ch ✅ Découvrez les dernières annonces de vente à Morgins.</v>
      </c>
      <c r="J1743" s="4" t="s">
        <v>5230</v>
      </c>
    </row>
    <row r="1744">
      <c r="A1744" s="5" t="s">
        <v>5231</v>
      </c>
      <c r="B1744" s="2" t="s">
        <v>5232</v>
      </c>
      <c r="C1744" s="4" t="str">
        <f>IFERROR(__xludf.DUMMYFUNCTION("""🏘️ ""&amp;REGEXEXTRACT(B1744, ""^(.*): "")&amp;"" ✅ "" &amp;REGEXEXTRACT(B1744, ""(Trouvez.*)"")"),"🏘️ Louer appartement March - Höfe ✅ Trouvez le bien immobilier qui correspond idéalement à vos désirs sur ImmoScout24 - La plateforme de l'immobilier en Suisse.")</f>
        <v>🏘️ Louer appartement March - Höfe ✅ Trouvez le bien immobilier qui correspond idéalement à vos désirs sur ImmoScout24 - La plateforme de l'immobilier en Suisse.</v>
      </c>
      <c r="D1744" s="4" t="str">
        <f>vlookup(A1744, Sheet2!D:E, 2, 0)</f>
        <v>variant</v>
      </c>
      <c r="E1744" s="4" t="str">
        <f>IFERROR(__xludf.DUMMYFUNCTION("if(H1744=""pays"",vlookup(REGEXEXTRACT(C1744, ""🏘️ \w+ \w+ (.*) ✅""),'Country prepositions'!A:B, 2, 0) &amp; "" "" &amp; REGEXEXTRACT(C1744, ""🏘️ \w+ \w+ (.*) ✅"") ,  if(H1744=""quartier"",vlookup(REGEXEXTRACT(C1744, ""🏘️ \w+ \w+ (.*) ✅""),'Quartier prepositio"&amp;"ns'!A:E, 5, 0) ,  if(H1744=""region"",vlookup(REGEXEXTRACT(C1744, ""🏘️ \w+ \w+ (.*) ✅""),'Region prepositions'!B:F, 5, 0),  REGEXEXTRACT(C1744, ""🏘️ \w+ \w+ (.*) ✅""))))"),"dans les districts de March - Höfe")</f>
        <v>dans les districts de March - Höfe</v>
      </c>
      <c r="F1744" s="2" t="str">
        <f>IFERROR(__xludf.DUMMYFUNCTION("REGEXEXTRACT(C1744, ""🏘️ (\w+) \w+ .* ✅"")"),"Louer")</f>
        <v>Louer</v>
      </c>
      <c r="G1744" s="2" t="str">
        <f>IFERROR(__xludf.DUMMYFUNCTION("REGEXEXTRACT(C1744, ""🏘️ \w+ (\w+) .* ✅"")"),"appartement")</f>
        <v>appartement</v>
      </c>
      <c r="H1744" s="4" t="str">
        <f>IFERROR(__xludf.DUMMYFUNCTION("REGEXEXTRACT(A1744, ""/(\w+)-.*?"")"),"region")</f>
        <v>region</v>
      </c>
      <c r="I1744" s="4" t="str">
        <f>IFERROR(__xludf.DUMMYFUNCTION("if(D1744=""variant"",  substitute(filter(Templates!E:E, Templates!A:A = F1744, Templates!B:B = G1744, Templates!C:C = H1744), ""{{}}"", E1744), B1744)"),"🏘  Vous cherchez un appartement à louer dans les districts de March - Höfe? ✅ Les annonces les plus actuelles sont sur ImmoScout24.ch.")</f>
        <v>🏘  Vous cherchez un appartement à louer dans les districts de March - Höfe? ✅ Les annonces les plus actuelles sont sur ImmoScout24.ch.</v>
      </c>
      <c r="J1744" s="4" t="s">
        <v>5233</v>
      </c>
    </row>
    <row r="1745">
      <c r="A1745" s="5" t="s">
        <v>5234</v>
      </c>
      <c r="B1745" s="2" t="s">
        <v>5235</v>
      </c>
      <c r="C1745" s="4" t="str">
        <f>IFERROR(__xludf.DUMMYFUNCTION("""🏘️ ""&amp;REGEXEXTRACT(B1745, ""^(.*): "")&amp;"" ✅ "" &amp;REGEXEXTRACT(B1745, ""(Trouvez.*)"")"),"🏘️ Vendre appartement Albisrieden (Zurich) ✅ Trouvez le bien immobilier qui correspond idéalement à vos désirs sur ImmoScout24 - La plateforme de l'immobilier en Suisse.")</f>
        <v>🏘️ Vendre appartement Albisrieden (Zurich) ✅ Trouvez le bien immobilier qui correspond idéalement à vos désirs sur ImmoScout24 - La plateforme de l'immobilier en Suisse.</v>
      </c>
      <c r="D1745" s="4" t="str">
        <f>vlookup(A1745, Sheet2!D:E, 2, 0)</f>
        <v>variant</v>
      </c>
      <c r="E1745" s="4" t="str">
        <f>IFERROR(__xludf.DUMMYFUNCTION("if(H1745=""pays"",vlookup(REGEXEXTRACT(C1745, ""🏘️ \w+ \w+ (.*) ✅""),'Country prepositions'!A:B, 2, 0) &amp; "" "" &amp; REGEXEXTRACT(C1745, ""🏘️ \w+ \w+ (.*) ✅"") ,  if(H1745=""quartier"",vlookup(REGEXEXTRACT(C1745, ""🏘️ \w+ \w+ (.*) ✅""),'Quartier prepositio"&amp;"ns'!A:E, 5, 0) ,  if(H1745=""region"",vlookup(REGEXEXTRACT(C1745, ""🏘️ \w+ \w+ (.*) ✅""),'Region prepositions'!B:F, 5, 0),  REGEXEXTRACT(C1745, ""🏘️ \w+ \w+ (.*) ✅""))))"),"dans le quartier d'Albisrieden (Zurich)")</f>
        <v>dans le quartier d'Albisrieden (Zurich)</v>
      </c>
      <c r="F1745" s="2" t="str">
        <f>IFERROR(__xludf.DUMMYFUNCTION("REGEXEXTRACT(C1745, ""🏘️ (\w+) \w+ .* ✅"")"),"Vendre")</f>
        <v>Vendre</v>
      </c>
      <c r="G1745" s="2" t="str">
        <f>IFERROR(__xludf.DUMMYFUNCTION("REGEXEXTRACT(C1745, ""🏘️ \w+ (\w+) .* ✅"")"),"appartement")</f>
        <v>appartement</v>
      </c>
      <c r="H1745" s="4" t="str">
        <f>IFERROR(__xludf.DUMMYFUNCTION("REGEXEXTRACT(A1745, ""/(\w+)-.*?"")"),"quartier")</f>
        <v>quartier</v>
      </c>
      <c r="I1745" s="4" t="str">
        <f>IFERROR(__xludf.DUMMYFUNCTION("if(D1745=""variant"",  substitute(filter(Templates!E:E, Templates!A:A = F1745, Templates!B:B = G1745, Templates!C:C = H1745), ""{{}}"", E1745), B1745)"),"🏘  L’appartement de vos rêves se trouve sur ImmoScout24.ch ✅ Découvrez les dernières annonces de vente dans le quartier d'Albisrieden (Zurich).")</f>
        <v>🏘  L’appartement de vos rêves se trouve sur ImmoScout24.ch ✅ Découvrez les dernières annonces de vente dans le quartier d'Albisrieden (Zurich).</v>
      </c>
      <c r="J1745" s="4" t="s">
        <v>5236</v>
      </c>
    </row>
    <row r="1746">
      <c r="A1746" s="5" t="s">
        <v>5237</v>
      </c>
      <c r="B1746" s="2" t="s">
        <v>5238</v>
      </c>
      <c r="C1746" s="4" t="str">
        <f>IFERROR(__xludf.DUMMYFUNCTION("""🏘️ ""&amp;REGEXEXTRACT(B1746, ""^(.*): "")&amp;"" ✅ "" &amp;REGEXEXTRACT(B1746, ""(Trouvez.*)"")"),"🏘️ Louer appartement Lausanne 25 ✅ Trouvez le bien immobilier qui correspond idéalement à vos désirs sur ImmoScout24 - La plateforme de l'immobilier en Suisse.")</f>
        <v>🏘️ Louer appartement Lausanne 25 ✅ Trouvez le bien immobilier qui correspond idéalement à vos désirs sur ImmoScout24 - La plateforme de l'immobilier en Suisse.</v>
      </c>
      <c r="D1746" s="4" t="str">
        <f>vlookup(A1746, Sheet2!D:E, 2, 0)</f>
        <v>variant</v>
      </c>
      <c r="E1746" s="4" t="str">
        <f>IFERROR(__xludf.DUMMYFUNCTION("if(H1746=""pays"",vlookup(REGEXEXTRACT(C1746, ""🏘️ \w+ \w+ (.*) ✅""),'Country prepositions'!A:B, 2, 0) &amp; "" "" &amp; REGEXEXTRACT(C1746, ""🏘️ \w+ \w+ (.*) ✅"") ,  if(H1746=""quartier"",vlookup(REGEXEXTRACT(C1746, ""🏘️ \w+ \w+ (.*) ✅""),'Quartier prepositio"&amp;"ns'!A:E, 5, 0) ,  if(H1746=""region"",vlookup(REGEXEXTRACT(C1746, ""🏘️ \w+ \w+ (.*) ✅""),'Region prepositions'!B:F, 5, 0),  REGEXEXTRACT(C1746, ""🏘️ \w+ \w+ (.*) ✅""))))"),"Lausanne 25")</f>
        <v>Lausanne 25</v>
      </c>
      <c r="F1746" s="2" t="str">
        <f>IFERROR(__xludf.DUMMYFUNCTION("REGEXEXTRACT(C1746, ""🏘️ (\w+) \w+ .* ✅"")"),"Louer")</f>
        <v>Louer</v>
      </c>
      <c r="G1746" s="2" t="str">
        <f>IFERROR(__xludf.DUMMYFUNCTION("REGEXEXTRACT(C1746, ""🏘️ \w+ (\w+) .* ✅"")"),"appartement")</f>
        <v>appartement</v>
      </c>
      <c r="H1746" s="4" t="str">
        <f>IFERROR(__xludf.DUMMYFUNCTION("REGEXEXTRACT(A1746, ""/(\w+)-.*?"")"),"lieu")</f>
        <v>lieu</v>
      </c>
      <c r="I1746" s="4" t="str">
        <f>IFERROR(__xludf.DUMMYFUNCTION("if(D1746=""variant"",  substitute(filter(Templates!E:E, Templates!A:A = F1746, Templates!B:B = G1746, Templates!C:C = H1746), ""{{}}"", E1746), B1746)"),"🏘  Vous cherchez un appartement à louer à Lausanne 25? ✅ Les annonces les plus actuelles sont sur ImmoScout24.ch.")</f>
        <v>🏘  Vous cherchez un appartement à louer à Lausanne 25? ✅ Les annonces les plus actuelles sont sur ImmoScout24.ch.</v>
      </c>
      <c r="J1746" s="4" t="s">
        <v>5239</v>
      </c>
    </row>
    <row r="1747">
      <c r="A1747" s="5" t="s">
        <v>5240</v>
      </c>
      <c r="B1747" s="2" t="s">
        <v>5241</v>
      </c>
      <c r="C1747" s="4" t="str">
        <f>IFERROR(__xludf.DUMMYFUNCTION("""🏘️ ""&amp;REGEXEXTRACT(B1747, ""^(.*): "")&amp;"" ✅ "" &amp;REGEXEXTRACT(B1747, ""(Trouvez.*)"")"),"🏘️ Louer maison St-Maurice ✅ Trouvez le bien immobilier qui correspond idéalement à vos désirs sur ImmoScout24 - La plateforme de l'immobilier en Suisse.")</f>
        <v>🏘️ Louer maison St-Maurice ✅ Trouvez le bien immobilier qui correspond idéalement à vos désirs sur ImmoScout24 - La plateforme de l'immobilier en Suisse.</v>
      </c>
      <c r="D1747" s="4" t="str">
        <f>vlookup(A1747, Sheet2!D:E, 2, 0)</f>
        <v>variant</v>
      </c>
      <c r="E1747" s="4" t="str">
        <f>IFERROR(__xludf.DUMMYFUNCTION("if(H1747=""pays"",vlookup(REGEXEXTRACT(C1747, ""🏘️ \w+ \w+ (.*) ✅""),'Country prepositions'!A:B, 2, 0) &amp; "" "" &amp; REGEXEXTRACT(C1747, ""🏘️ \w+ \w+ (.*) ✅"") ,  if(H1747=""quartier"",vlookup(REGEXEXTRACT(C1747, ""🏘️ \w+ \w+ (.*) ✅""),'Quartier prepositio"&amp;"ns'!A:E, 5, 0) ,  if(H1747=""region"",vlookup(REGEXEXTRACT(C1747, ""🏘️ \w+ \w+ (.*) ✅""),'Region prepositions'!B:F, 5, 0),  REGEXEXTRACT(C1747, ""🏘️ \w+ \w+ (.*) ✅""))))"),"St-Maurice")</f>
        <v>St-Maurice</v>
      </c>
      <c r="F1747" s="2" t="str">
        <f>IFERROR(__xludf.DUMMYFUNCTION("REGEXEXTRACT(C1747, ""🏘️ (\w+) \w+ .* ✅"")"),"Louer")</f>
        <v>Louer</v>
      </c>
      <c r="G1747" s="2" t="str">
        <f>IFERROR(__xludf.DUMMYFUNCTION("REGEXEXTRACT(C1747, ""🏘️ \w+ (\w+) .* ✅"")"),"maison")</f>
        <v>maison</v>
      </c>
      <c r="H1747" s="4" t="str">
        <f>IFERROR(__xludf.DUMMYFUNCTION("REGEXEXTRACT(A1747, ""/(\w+)-.*?"")"),"lieu")</f>
        <v>lieu</v>
      </c>
      <c r="I1747" s="4" t="str">
        <f>IFERROR(__xludf.DUMMYFUNCTION("if(D1747=""variant"",  substitute(filter(Templates!E:E, Templates!A:A = F1747, Templates!B:B = G1747, Templates!C:C = H1747), ""{{}}"", E1747), B1747)"),"🏘  Vous cherchez une maison à louer à St-Maurice? ✅ Découvrez nos nombreuses annonces sur ImmoScout24.ch.")</f>
        <v>🏘  Vous cherchez une maison à louer à St-Maurice? ✅ Découvrez nos nombreuses annonces sur ImmoScout24.ch.</v>
      </c>
      <c r="J1747" s="4" t="s">
        <v>5242</v>
      </c>
    </row>
    <row r="1748">
      <c r="A1748" s="5" t="s">
        <v>5243</v>
      </c>
      <c r="B1748" s="2" t="s">
        <v>5244</v>
      </c>
      <c r="C1748" s="4" t="str">
        <f>IFERROR(__xludf.DUMMYFUNCTION("""🏘️ ""&amp;REGEXEXTRACT(B1748, ""^(.*): "")&amp;"" ✅ "" &amp;REGEXEXTRACT(B1748, ""(Trouvez.*)"")"),"🏘️ Louer maison Plasselb ✅ Trouvez le bien immobilier qui correspond idéalement à vos désirs sur ImmoScout24 - La plateforme de l'immobilier en Suisse.")</f>
        <v>🏘️ Louer maison Plasselb ✅ Trouvez le bien immobilier qui correspond idéalement à vos désirs sur ImmoScout24 - La plateforme de l'immobilier en Suisse.</v>
      </c>
      <c r="D1748" s="4" t="str">
        <f>vlookup(A1748, Sheet2!D:E, 2, 0)</f>
        <v>variant</v>
      </c>
      <c r="E1748" s="4" t="str">
        <f>IFERROR(__xludf.DUMMYFUNCTION("if(H1748=""pays"",vlookup(REGEXEXTRACT(C1748, ""🏘️ \w+ \w+ (.*) ✅""),'Country prepositions'!A:B, 2, 0) &amp; "" "" &amp; REGEXEXTRACT(C1748, ""🏘️ \w+ \w+ (.*) ✅"") ,  if(H1748=""quartier"",vlookup(REGEXEXTRACT(C1748, ""🏘️ \w+ \w+ (.*) ✅""),'Quartier prepositio"&amp;"ns'!A:E, 5, 0) ,  if(H1748=""region"",vlookup(REGEXEXTRACT(C1748, ""🏘️ \w+ \w+ (.*) ✅""),'Region prepositions'!B:F, 5, 0),  REGEXEXTRACT(C1748, ""🏘️ \w+ \w+ (.*) ✅""))))"),"Plasselb")</f>
        <v>Plasselb</v>
      </c>
      <c r="F1748" s="2" t="str">
        <f>IFERROR(__xludf.DUMMYFUNCTION("REGEXEXTRACT(C1748, ""🏘️ (\w+) \w+ .* ✅"")"),"Louer")</f>
        <v>Louer</v>
      </c>
      <c r="G1748" s="2" t="str">
        <f>IFERROR(__xludf.DUMMYFUNCTION("REGEXEXTRACT(C1748, ""🏘️ \w+ (\w+) .* ✅"")"),"maison")</f>
        <v>maison</v>
      </c>
      <c r="H1748" s="4" t="str">
        <f>IFERROR(__xludf.DUMMYFUNCTION("REGEXEXTRACT(A1748, ""/(\w+)-.*?"")"),"lieu")</f>
        <v>lieu</v>
      </c>
      <c r="I1748" s="4" t="str">
        <f>IFERROR(__xludf.DUMMYFUNCTION("if(D1748=""variant"",  substitute(filter(Templates!E:E, Templates!A:A = F1748, Templates!B:B = G1748, Templates!C:C = H1748), ""{{}}"", E1748), B1748)"),"🏘  Vous cherchez une maison à louer à Plasselb? ✅ Découvrez nos nombreuses annonces sur ImmoScout24.ch.")</f>
        <v>🏘  Vous cherchez une maison à louer à Plasselb? ✅ Découvrez nos nombreuses annonces sur ImmoScout24.ch.</v>
      </c>
      <c r="J1748" s="4" t="s">
        <v>5245</v>
      </c>
    </row>
    <row r="1749">
      <c r="A1749" s="5" t="s">
        <v>5246</v>
      </c>
      <c r="B1749" s="2" t="s">
        <v>5247</v>
      </c>
      <c r="C1749" s="4" t="str">
        <f>IFERROR(__xludf.DUMMYFUNCTION("""🏘️ ""&amp;REGEXEXTRACT(B1749, ""^(.*): "")&amp;"" ✅ "" &amp;REGEXEXTRACT(B1749, ""(Trouvez.*)"")"),"🏘️ Vendre appartement Münchenbuchsee ✅ Trouvez le bien immobilier qui correspond idéalement à vos désirs sur ImmoScout24 - La plateforme de l'immobilier en Suisse.")</f>
        <v>🏘️ Vendre appartement Münchenbuchsee ✅ Trouvez le bien immobilier qui correspond idéalement à vos désirs sur ImmoScout24 - La plateforme de l'immobilier en Suisse.</v>
      </c>
      <c r="D1749" s="4" t="str">
        <f>vlookup(A1749, Sheet2!D:E, 2, 0)</f>
        <v>variant</v>
      </c>
      <c r="E1749" s="4" t="str">
        <f>IFERROR(__xludf.DUMMYFUNCTION("if(H1749=""pays"",vlookup(REGEXEXTRACT(C1749, ""🏘️ \w+ \w+ (.*) ✅""),'Country prepositions'!A:B, 2, 0) &amp; "" "" &amp; REGEXEXTRACT(C1749, ""🏘️ \w+ \w+ (.*) ✅"") ,  if(H1749=""quartier"",vlookup(REGEXEXTRACT(C1749, ""🏘️ \w+ \w+ (.*) ✅""),'Quartier prepositio"&amp;"ns'!A:E, 5, 0) ,  if(H1749=""region"",vlookup(REGEXEXTRACT(C1749, ""🏘️ \w+ \w+ (.*) ✅""),'Region prepositions'!B:F, 5, 0),  REGEXEXTRACT(C1749, ""🏘️ \w+ \w+ (.*) ✅""))))"),"Münchenbuchsee")</f>
        <v>Münchenbuchsee</v>
      </c>
      <c r="F1749" s="2" t="str">
        <f>IFERROR(__xludf.DUMMYFUNCTION("REGEXEXTRACT(C1749, ""🏘️ (\w+) \w+ .* ✅"")"),"Vendre")</f>
        <v>Vendre</v>
      </c>
      <c r="G1749" s="2" t="str">
        <f>IFERROR(__xludf.DUMMYFUNCTION("REGEXEXTRACT(C1749, ""🏘️ \w+ (\w+) .* ✅"")"),"appartement")</f>
        <v>appartement</v>
      </c>
      <c r="H1749" s="4" t="str">
        <f>IFERROR(__xludf.DUMMYFUNCTION("REGEXEXTRACT(A1749, ""/(\w+)-.*?"")"),"lieu")</f>
        <v>lieu</v>
      </c>
      <c r="I1749" s="4" t="str">
        <f>IFERROR(__xludf.DUMMYFUNCTION("if(D1749=""variant"",  substitute(filter(Templates!E:E, Templates!A:A = F1749, Templates!B:B = G1749, Templates!C:C = H1749), ""{{}}"", E1749), B1749)"),"🏘  L’appartement de vos rêves se trouve sur ImmoScout24.ch ✅ Découvrez les dernières annonces de vente à Münchenbuchsee.")</f>
        <v>🏘  L’appartement de vos rêves se trouve sur ImmoScout24.ch ✅ Découvrez les dernières annonces de vente à Münchenbuchsee.</v>
      </c>
      <c r="J1749" s="4" t="s">
        <v>5248</v>
      </c>
    </row>
    <row r="1750">
      <c r="A1750" s="5" t="s">
        <v>5249</v>
      </c>
      <c r="B1750" s="2" t="s">
        <v>5250</v>
      </c>
      <c r="C1750" s="4" t="str">
        <f>IFERROR(__xludf.DUMMYFUNCTION("""🏘️ ""&amp;REGEXEXTRACT(B1750, ""^(.*): "")&amp;"" ✅ "" &amp;REGEXEXTRACT(B1750, ""(Trouvez.*)"")"),"🏘️ Vendre appartement Leukerbad ✅ Trouvez le bien immobilier qui correspond idéalement à vos désirs sur ImmoScout24 - La plateforme de l'immobilier en Suisse.")</f>
        <v>🏘️ Vendre appartement Leukerbad ✅ Trouvez le bien immobilier qui correspond idéalement à vos désirs sur ImmoScout24 - La plateforme de l'immobilier en Suisse.</v>
      </c>
      <c r="D1750" s="4" t="str">
        <f>vlookup(A1750, Sheet2!D:E, 2, 0)</f>
        <v>variant</v>
      </c>
      <c r="E1750" s="4" t="str">
        <f>IFERROR(__xludf.DUMMYFUNCTION("if(H1750=""pays"",vlookup(REGEXEXTRACT(C1750, ""🏘️ \w+ \w+ (.*) ✅""),'Country prepositions'!A:B, 2, 0) &amp; "" "" &amp; REGEXEXTRACT(C1750, ""🏘️ \w+ \w+ (.*) ✅"") ,  if(H1750=""quartier"",vlookup(REGEXEXTRACT(C1750, ""🏘️ \w+ \w+ (.*) ✅""),'Quartier prepositio"&amp;"ns'!A:E, 5, 0) ,  if(H1750=""region"",vlookup(REGEXEXTRACT(C1750, ""🏘️ \w+ \w+ (.*) ✅""),'Region prepositions'!B:F, 5, 0),  REGEXEXTRACT(C1750, ""🏘️ \w+ \w+ (.*) ✅""))))"),"Leukerbad")</f>
        <v>Leukerbad</v>
      </c>
      <c r="F1750" s="2" t="str">
        <f>IFERROR(__xludf.DUMMYFUNCTION("REGEXEXTRACT(C1750, ""🏘️ (\w+) \w+ .* ✅"")"),"Vendre")</f>
        <v>Vendre</v>
      </c>
      <c r="G1750" s="2" t="str">
        <f>IFERROR(__xludf.DUMMYFUNCTION("REGEXEXTRACT(C1750, ""🏘️ \w+ (\w+) .* ✅"")"),"appartement")</f>
        <v>appartement</v>
      </c>
      <c r="H1750" s="4" t="str">
        <f>IFERROR(__xludf.DUMMYFUNCTION("REGEXEXTRACT(A1750, ""/(\w+)-.*?"")"),"lieu")</f>
        <v>lieu</v>
      </c>
      <c r="I1750" s="4" t="str">
        <f>IFERROR(__xludf.DUMMYFUNCTION("if(D1750=""variant"",  substitute(filter(Templates!E:E, Templates!A:A = F1750, Templates!B:B = G1750, Templates!C:C = H1750), ""{{}}"", E1750), B1750)"),"🏘  L’appartement de vos rêves se trouve sur ImmoScout24.ch ✅ Découvrez les dernières annonces de vente à Leukerbad.")</f>
        <v>🏘  L’appartement de vos rêves se trouve sur ImmoScout24.ch ✅ Découvrez les dernières annonces de vente à Leukerbad.</v>
      </c>
      <c r="J1750" s="2" t="s">
        <v>5251</v>
      </c>
    </row>
    <row r="1751">
      <c r="A1751" s="5" t="s">
        <v>5252</v>
      </c>
      <c r="B1751" s="2" t="s">
        <v>5253</v>
      </c>
      <c r="C1751" s="4" t="str">
        <f>IFERROR(__xludf.DUMMYFUNCTION("""🏘️ ""&amp;REGEXEXTRACT(B1751, ""^(.*): "")&amp;"" ✅ "" &amp;REGEXEXTRACT(B1751, ""(Trouvez.*)"")"),"🏘️ Louer maison Eschlikon TG ✅ Trouvez le bien immobilier qui correspond idéalement à vos désirs sur ImmoScout24 - La plateforme de l'immobilier en Suisse.")</f>
        <v>🏘️ Louer maison Eschlikon TG ✅ Trouvez le bien immobilier qui correspond idéalement à vos désirs sur ImmoScout24 - La plateforme de l'immobilier en Suisse.</v>
      </c>
      <c r="D1751" s="4" t="str">
        <f>vlookup(A1751, Sheet2!D:E, 2, 0)</f>
        <v>variant</v>
      </c>
      <c r="E1751" s="4" t="str">
        <f>IFERROR(__xludf.DUMMYFUNCTION("if(H1751=""pays"",vlookup(REGEXEXTRACT(C1751, ""🏘️ \w+ \w+ (.*) ✅""),'Country prepositions'!A:B, 2, 0) &amp; "" "" &amp; REGEXEXTRACT(C1751, ""🏘️ \w+ \w+ (.*) ✅"") ,  if(H1751=""quartier"",vlookup(REGEXEXTRACT(C1751, ""🏘️ \w+ \w+ (.*) ✅""),'Quartier prepositio"&amp;"ns'!A:E, 5, 0) ,  if(H1751=""region"",vlookup(REGEXEXTRACT(C1751, ""🏘️ \w+ \w+ (.*) ✅""),'Region prepositions'!B:F, 5, 0),  REGEXEXTRACT(C1751, ""🏘️ \w+ \w+ (.*) ✅""))))"),"Eschlikon TG")</f>
        <v>Eschlikon TG</v>
      </c>
      <c r="F1751" s="2" t="str">
        <f>IFERROR(__xludf.DUMMYFUNCTION("REGEXEXTRACT(C1751, ""🏘️ (\w+) \w+ .* ✅"")"),"Louer")</f>
        <v>Louer</v>
      </c>
      <c r="G1751" s="2" t="str">
        <f>IFERROR(__xludf.DUMMYFUNCTION("REGEXEXTRACT(C1751, ""🏘️ \w+ (\w+) .* ✅"")"),"maison")</f>
        <v>maison</v>
      </c>
      <c r="H1751" s="4" t="str">
        <f>IFERROR(__xludf.DUMMYFUNCTION("REGEXEXTRACT(A1751, ""/(\w+)-.*?"")"),"lieu")</f>
        <v>lieu</v>
      </c>
      <c r="I1751" s="4" t="str">
        <f>IFERROR(__xludf.DUMMYFUNCTION("if(D1751=""variant"",  substitute(filter(Templates!E:E, Templates!A:A = F1751, Templates!B:B = G1751, Templates!C:C = H1751), ""{{}}"", E1751), B1751)"),"🏘  Vous cherchez une maison à louer à Eschlikon TG? ✅ Découvrez nos nombreuses annonces sur ImmoScout24.ch.")</f>
        <v>🏘  Vous cherchez une maison à louer à Eschlikon TG? ✅ Découvrez nos nombreuses annonces sur ImmoScout24.ch.</v>
      </c>
      <c r="J1751" s="4" t="s">
        <v>5254</v>
      </c>
    </row>
    <row r="1752">
      <c r="A1752" s="5" t="s">
        <v>5255</v>
      </c>
      <c r="B1752" s="2" t="s">
        <v>5256</v>
      </c>
      <c r="C1752" s="4" t="str">
        <f>IFERROR(__xludf.DUMMYFUNCTION("""🏘️ ""&amp;REGEXEXTRACT(B1752, ""^(.*): "")&amp;"" ✅ "" &amp;REGEXEXTRACT(B1752, ""(Trouvez.*)"")"),"🏘️ Vendre maison Täuffelen ✅ Trouvez le bien immobilier qui correspond idéalement à vos désirs sur ImmoScout24 - La plateforme de l'immobilier en Suisse.")</f>
        <v>🏘️ Vendre maison Täuffelen ✅ Trouvez le bien immobilier qui correspond idéalement à vos désirs sur ImmoScout24 - La plateforme de l'immobilier en Suisse.</v>
      </c>
      <c r="D1752" s="4" t="str">
        <f>vlookup(A1752, Sheet2!D:E, 2, 0)</f>
        <v>variant</v>
      </c>
      <c r="E1752" s="4" t="str">
        <f>IFERROR(__xludf.DUMMYFUNCTION("if(H1752=""pays"",vlookup(REGEXEXTRACT(C1752, ""🏘️ \w+ \w+ (.*) ✅""),'Country prepositions'!A:B, 2, 0) &amp; "" "" &amp; REGEXEXTRACT(C1752, ""🏘️ \w+ \w+ (.*) ✅"") ,  if(H1752=""quartier"",vlookup(REGEXEXTRACT(C1752, ""🏘️ \w+ \w+ (.*) ✅""),'Quartier prepositio"&amp;"ns'!A:E, 5, 0) ,  if(H1752=""region"",vlookup(REGEXEXTRACT(C1752, ""🏘️ \w+ \w+ (.*) ✅""),'Region prepositions'!B:F, 5, 0),  REGEXEXTRACT(C1752, ""🏘️ \w+ \w+ (.*) ✅""))))"),"Täuffelen")</f>
        <v>Täuffelen</v>
      </c>
      <c r="F1752" s="2" t="str">
        <f>IFERROR(__xludf.DUMMYFUNCTION("REGEXEXTRACT(C1752, ""🏘️ (\w+) \w+ .* ✅"")"),"Vendre")</f>
        <v>Vendre</v>
      </c>
      <c r="G1752" s="2" t="str">
        <f>IFERROR(__xludf.DUMMYFUNCTION("REGEXEXTRACT(C1752, ""🏘️ \w+ (\w+) .* ✅"")"),"maison")</f>
        <v>maison</v>
      </c>
      <c r="H1752" s="4" t="str">
        <f>IFERROR(__xludf.DUMMYFUNCTION("REGEXEXTRACT(A1752, ""/(\w+)-.*?"")"),"lieu")</f>
        <v>lieu</v>
      </c>
      <c r="I1752" s="4" t="str">
        <f>IFERROR(__xludf.DUMMYFUNCTION("if(D1752=""variant"",  substitute(filter(Templates!E:E, Templates!A:A = F1752, Templates!B:B = G1752, Templates!C:C = H1752), ""{{}}"", E1752), B1752)"),"🏘  Vous souhaitez acheter une maison à Täuffelen? ✅ Jetez un œil aux dernières offres sur ImmoScout24.ch.")</f>
        <v>🏘  Vous souhaitez acheter une maison à Täuffelen? ✅ Jetez un œil aux dernières offres sur ImmoScout24.ch.</v>
      </c>
      <c r="J1752" s="4" t="s">
        <v>5257</v>
      </c>
    </row>
    <row r="1753">
      <c r="A1753" s="5" t="s">
        <v>5258</v>
      </c>
      <c r="B1753" s="2" t="s">
        <v>5259</v>
      </c>
      <c r="C1753" s="4" t="str">
        <f>IFERROR(__xludf.DUMMYFUNCTION("""🏘️ ""&amp;REGEXEXTRACT(B1753, ""^(.*): "")&amp;"" ✅ "" &amp;REGEXEXTRACT(B1753, ""(Trouvez.*)"")"),"🏘️ Vendre maison Mettembert ✅ Trouvez le bien immobilier qui correspond idéalement à vos désirs sur ImmoScout24 - La plateforme de l'immobilier en Suisse.")</f>
        <v>🏘️ Vendre maison Mettembert ✅ Trouvez le bien immobilier qui correspond idéalement à vos désirs sur ImmoScout24 - La plateforme de l'immobilier en Suisse.</v>
      </c>
      <c r="D1753" s="4" t="str">
        <f>vlookup(A1753, Sheet2!D:E, 2, 0)</f>
        <v>variant</v>
      </c>
      <c r="E1753" s="4" t="str">
        <f>IFERROR(__xludf.DUMMYFUNCTION("if(H1753=""pays"",vlookup(REGEXEXTRACT(C1753, ""🏘️ \w+ \w+ (.*) ✅""),'Country prepositions'!A:B, 2, 0) &amp; "" "" &amp; REGEXEXTRACT(C1753, ""🏘️ \w+ \w+ (.*) ✅"") ,  if(H1753=""quartier"",vlookup(REGEXEXTRACT(C1753, ""🏘️ \w+ \w+ (.*) ✅""),'Quartier prepositio"&amp;"ns'!A:E, 5, 0) ,  if(H1753=""region"",vlookup(REGEXEXTRACT(C1753, ""🏘️ \w+ \w+ (.*) ✅""),'Region prepositions'!B:F, 5, 0),  REGEXEXTRACT(C1753, ""🏘️ \w+ \w+ (.*) ✅""))))"),"Mettembert")</f>
        <v>Mettembert</v>
      </c>
      <c r="F1753" s="2" t="str">
        <f>IFERROR(__xludf.DUMMYFUNCTION("REGEXEXTRACT(C1753, ""🏘️ (\w+) \w+ .* ✅"")"),"Vendre")</f>
        <v>Vendre</v>
      </c>
      <c r="G1753" s="2" t="str">
        <f>IFERROR(__xludf.DUMMYFUNCTION("REGEXEXTRACT(C1753, ""🏘️ \w+ (\w+) .* ✅"")"),"maison")</f>
        <v>maison</v>
      </c>
      <c r="H1753" s="4" t="str">
        <f>IFERROR(__xludf.DUMMYFUNCTION("REGEXEXTRACT(A1753, ""/(\w+)-.*?"")"),"lieu")</f>
        <v>lieu</v>
      </c>
      <c r="I1753" s="4" t="str">
        <f>IFERROR(__xludf.DUMMYFUNCTION("if(D1753=""variant"",  substitute(filter(Templates!E:E, Templates!A:A = F1753, Templates!B:B = G1753, Templates!C:C = H1753), ""{{}}"", E1753), B1753)"),"🏘  Vous souhaitez acheter une maison à Mettembert? ✅ Jetez un œil aux dernières offres sur ImmoScout24.ch.")</f>
        <v>🏘  Vous souhaitez acheter une maison à Mettembert? ✅ Jetez un œil aux dernières offres sur ImmoScout24.ch.</v>
      </c>
      <c r="J1753" s="4" t="s">
        <v>5260</v>
      </c>
    </row>
    <row r="1754">
      <c r="A1754" s="5" t="s">
        <v>5261</v>
      </c>
      <c r="B1754" s="2" t="s">
        <v>5262</v>
      </c>
      <c r="C1754" s="4" t="str">
        <f>IFERROR(__xludf.DUMMYFUNCTION("""🏘️ ""&amp;REGEXEXTRACT(B1754, ""^(.*): "")&amp;"" ✅ "" &amp;REGEXEXTRACT(B1754, ""(Trouvez.*)"")"),"🏘️ Louer appartement Steinmaur ✅ Trouvez le bien immobilier qui correspond idéalement à vos désirs sur ImmoScout24 - La plateforme de l'immobilier en Suisse.")</f>
        <v>🏘️ Louer appartement Steinmaur ✅ Trouvez le bien immobilier qui correspond idéalement à vos désirs sur ImmoScout24 - La plateforme de l'immobilier en Suisse.</v>
      </c>
      <c r="D1754" s="4" t="str">
        <f>vlookup(A1754, Sheet2!D:E, 2, 0)</f>
        <v>variant</v>
      </c>
      <c r="E1754" s="4" t="str">
        <f>IFERROR(__xludf.DUMMYFUNCTION("if(H1754=""pays"",vlookup(REGEXEXTRACT(C1754, ""🏘️ \w+ \w+ (.*) ✅""),'Country prepositions'!A:B, 2, 0) &amp; "" "" &amp; REGEXEXTRACT(C1754, ""🏘️ \w+ \w+ (.*) ✅"") ,  if(H1754=""quartier"",vlookup(REGEXEXTRACT(C1754, ""🏘️ \w+ \w+ (.*) ✅""),'Quartier prepositio"&amp;"ns'!A:E, 5, 0) ,  if(H1754=""region"",vlookup(REGEXEXTRACT(C1754, ""🏘️ \w+ \w+ (.*) ✅""),'Region prepositions'!B:F, 5, 0),  REGEXEXTRACT(C1754, ""🏘️ \w+ \w+ (.*) ✅""))))"),"Steinmaur")</f>
        <v>Steinmaur</v>
      </c>
      <c r="F1754" s="2" t="str">
        <f>IFERROR(__xludf.DUMMYFUNCTION("REGEXEXTRACT(C1754, ""🏘️ (\w+) \w+ .* ✅"")"),"Louer")</f>
        <v>Louer</v>
      </c>
      <c r="G1754" s="2" t="str">
        <f>IFERROR(__xludf.DUMMYFUNCTION("REGEXEXTRACT(C1754, ""🏘️ \w+ (\w+) .* ✅"")"),"appartement")</f>
        <v>appartement</v>
      </c>
      <c r="H1754" s="4" t="str">
        <f>IFERROR(__xludf.DUMMYFUNCTION("REGEXEXTRACT(A1754, ""/(\w+)-.*?"")"),"lieu")</f>
        <v>lieu</v>
      </c>
      <c r="I1754" s="4" t="str">
        <f>IFERROR(__xludf.DUMMYFUNCTION("if(D1754=""variant"",  substitute(filter(Templates!E:E, Templates!A:A = F1754, Templates!B:B = G1754, Templates!C:C = H1754), ""{{}}"", E1754), B1754)"),"🏘  Vous cherchez un appartement à louer à Steinmaur? ✅ Les annonces les plus actuelles sont sur ImmoScout24.ch.")</f>
        <v>🏘  Vous cherchez un appartement à louer à Steinmaur? ✅ Les annonces les plus actuelles sont sur ImmoScout24.ch.</v>
      </c>
      <c r="J1754" s="4" t="s">
        <v>5263</v>
      </c>
    </row>
    <row r="1755">
      <c r="A1755" s="5" t="s">
        <v>5264</v>
      </c>
      <c r="B1755" s="2" t="s">
        <v>5265</v>
      </c>
      <c r="C1755" s="4" t="str">
        <f>IFERROR(__xludf.DUMMYFUNCTION("""🏘️ ""&amp;REGEXEXTRACT(B1755, ""^(.*): "")&amp;"" ✅ "" &amp;REGEXEXTRACT(B1755, ""(Trouvez.*)"")"),"🏘️ Vendre appartement Magadino ✅ Trouvez le bien immobilier qui correspond idéalement à vos désirs sur ImmoScout24 - La plateforme de l'immobilier en Suisse.")</f>
        <v>🏘️ Vendre appartement Magadino ✅ Trouvez le bien immobilier qui correspond idéalement à vos désirs sur ImmoScout24 - La plateforme de l'immobilier en Suisse.</v>
      </c>
      <c r="D1755" s="4" t="str">
        <f>vlookup(A1755, Sheet2!D:E, 2, 0)</f>
        <v>variant</v>
      </c>
      <c r="E1755" s="4" t="str">
        <f>IFERROR(__xludf.DUMMYFUNCTION("if(H1755=""pays"",vlookup(REGEXEXTRACT(C1755, ""🏘️ \w+ \w+ (.*) ✅""),'Country prepositions'!A:B, 2, 0) &amp; "" "" &amp; REGEXEXTRACT(C1755, ""🏘️ \w+ \w+ (.*) ✅"") ,  if(H1755=""quartier"",vlookup(REGEXEXTRACT(C1755, ""🏘️ \w+ \w+ (.*) ✅""),'Quartier prepositio"&amp;"ns'!A:E, 5, 0) ,  if(H1755=""region"",vlookup(REGEXEXTRACT(C1755, ""🏘️ \w+ \w+ (.*) ✅""),'Region prepositions'!B:F, 5, 0),  REGEXEXTRACT(C1755, ""🏘️ \w+ \w+ (.*) ✅""))))"),"Magadino")</f>
        <v>Magadino</v>
      </c>
      <c r="F1755" s="2" t="str">
        <f>IFERROR(__xludf.DUMMYFUNCTION("REGEXEXTRACT(C1755, ""🏘️ (\w+) \w+ .* ✅"")"),"Vendre")</f>
        <v>Vendre</v>
      </c>
      <c r="G1755" s="2" t="str">
        <f>IFERROR(__xludf.DUMMYFUNCTION("REGEXEXTRACT(C1755, ""🏘️ \w+ (\w+) .* ✅"")"),"appartement")</f>
        <v>appartement</v>
      </c>
      <c r="H1755" s="4" t="str">
        <f>IFERROR(__xludf.DUMMYFUNCTION("REGEXEXTRACT(A1755, ""/(\w+)-.*?"")"),"lieu")</f>
        <v>lieu</v>
      </c>
      <c r="I1755" s="4" t="str">
        <f>IFERROR(__xludf.DUMMYFUNCTION("if(D1755=""variant"",  substitute(filter(Templates!E:E, Templates!A:A = F1755, Templates!B:B = G1755, Templates!C:C = H1755), ""{{}}"", E1755), B1755)"),"🏘  L’appartement de vos rêves se trouve sur ImmoScout24.ch ✅ Découvrez les dernières annonces de vente à Magadino.")</f>
        <v>🏘  L’appartement de vos rêves se trouve sur ImmoScout24.ch ✅ Découvrez les dernières annonces de vente à Magadino.</v>
      </c>
      <c r="J1755" s="4" t="s">
        <v>5266</v>
      </c>
    </row>
    <row r="1756">
      <c r="A1756" s="5" t="s">
        <v>5267</v>
      </c>
      <c r="B1756" s="2" t="s">
        <v>5268</v>
      </c>
      <c r="C1756" s="4" t="str">
        <f>IFERROR(__xludf.DUMMYFUNCTION("""🏘️ ""&amp;REGEXEXTRACT(B1756, ""^(.*): "")&amp;"" ✅ "" &amp;REGEXEXTRACT(B1756, ""(Trouvez.*)"")"),"🏘️ Louer appartement Farvagny-le-Petit ✅ Trouvez le bien immobilier qui correspond idéalement à vos désirs sur ImmoScout24 - La plateforme de l'immobilier en Suisse.")</f>
        <v>🏘️ Louer appartement Farvagny-le-Petit ✅ Trouvez le bien immobilier qui correspond idéalement à vos désirs sur ImmoScout24 - La plateforme de l'immobilier en Suisse.</v>
      </c>
      <c r="D1756" s="4" t="str">
        <f>vlookup(A1756, Sheet2!D:E, 2, 0)</f>
        <v>variant</v>
      </c>
      <c r="E1756" s="4" t="str">
        <f>IFERROR(__xludf.DUMMYFUNCTION("if(H1756=""pays"",vlookup(REGEXEXTRACT(C1756, ""🏘️ \w+ \w+ (.*) ✅""),'Country prepositions'!A:B, 2, 0) &amp; "" "" &amp; REGEXEXTRACT(C1756, ""🏘️ \w+ \w+ (.*) ✅"") ,  if(H1756=""quartier"",vlookup(REGEXEXTRACT(C1756, ""🏘️ \w+ \w+ (.*) ✅""),'Quartier prepositio"&amp;"ns'!A:E, 5, 0) ,  if(H1756=""region"",vlookup(REGEXEXTRACT(C1756, ""🏘️ \w+ \w+ (.*) ✅""),'Region prepositions'!B:F, 5, 0),  REGEXEXTRACT(C1756, ""🏘️ \w+ \w+ (.*) ✅""))))"),"Farvagny-le-Petit")</f>
        <v>Farvagny-le-Petit</v>
      </c>
      <c r="F1756" s="2" t="str">
        <f>IFERROR(__xludf.DUMMYFUNCTION("REGEXEXTRACT(C1756, ""🏘️ (\w+) \w+ .* ✅"")"),"Louer")</f>
        <v>Louer</v>
      </c>
      <c r="G1756" s="2" t="str">
        <f>IFERROR(__xludf.DUMMYFUNCTION("REGEXEXTRACT(C1756, ""🏘️ \w+ (\w+) .* ✅"")"),"appartement")</f>
        <v>appartement</v>
      </c>
      <c r="H1756" s="4" t="str">
        <f>IFERROR(__xludf.DUMMYFUNCTION("REGEXEXTRACT(A1756, ""/(\w+)-.*?"")"),"lieu")</f>
        <v>lieu</v>
      </c>
      <c r="I1756" s="4" t="str">
        <f>IFERROR(__xludf.DUMMYFUNCTION("if(D1756=""variant"",  substitute(filter(Templates!E:E, Templates!A:A = F1756, Templates!B:B = G1756, Templates!C:C = H1756), ""{{}}"", E1756), B1756)"),"🏘  Vous cherchez un appartement à louer à Farvagny-le-Petit? ✅ Les annonces les plus actuelles sont sur ImmoScout24.ch.")</f>
        <v>🏘  Vous cherchez un appartement à louer à Farvagny-le-Petit? ✅ Les annonces les plus actuelles sont sur ImmoScout24.ch.</v>
      </c>
      <c r="J1756" s="4" t="s">
        <v>5269</v>
      </c>
    </row>
    <row r="1757">
      <c r="A1757" s="5" t="s">
        <v>5270</v>
      </c>
      <c r="B1757" s="2" t="s">
        <v>5271</v>
      </c>
      <c r="C1757" s="4" t="str">
        <f>IFERROR(__xludf.DUMMYFUNCTION("""🏘️ ""&amp;REGEXEXTRACT(B1757, ""^(.*): "")&amp;"" ✅ "" &amp;REGEXEXTRACT(B1757, ""(Trouvez.*)"")"),"🏘️ Louer appartement Ulrichen ✅ Trouvez le bien immobilier qui correspond idéalement à vos désirs sur ImmoScout24 - La plateforme de l'immobilier en Suisse.")</f>
        <v>🏘️ Louer appartement Ulrichen ✅ Trouvez le bien immobilier qui correspond idéalement à vos désirs sur ImmoScout24 - La plateforme de l'immobilier en Suisse.</v>
      </c>
      <c r="D1757" s="4" t="str">
        <f>vlookup(A1757, Sheet2!D:E, 2, 0)</f>
        <v>variant</v>
      </c>
      <c r="E1757" s="4" t="str">
        <f>IFERROR(__xludf.DUMMYFUNCTION("if(H1757=""pays"",vlookup(REGEXEXTRACT(C1757, ""🏘️ \w+ \w+ (.*) ✅""),'Country prepositions'!A:B, 2, 0) &amp; "" "" &amp; REGEXEXTRACT(C1757, ""🏘️ \w+ \w+ (.*) ✅"") ,  if(H1757=""quartier"",vlookup(REGEXEXTRACT(C1757, ""🏘️ \w+ \w+ (.*) ✅""),'Quartier prepositio"&amp;"ns'!A:E, 5, 0) ,  if(H1757=""region"",vlookup(REGEXEXTRACT(C1757, ""🏘️ \w+ \w+ (.*) ✅""),'Region prepositions'!B:F, 5, 0),  REGEXEXTRACT(C1757, ""🏘️ \w+ \w+ (.*) ✅""))))"),"Ulrichen")</f>
        <v>Ulrichen</v>
      </c>
      <c r="F1757" s="2" t="str">
        <f>IFERROR(__xludf.DUMMYFUNCTION("REGEXEXTRACT(C1757, ""🏘️ (\w+) \w+ .* ✅"")"),"Louer")</f>
        <v>Louer</v>
      </c>
      <c r="G1757" s="2" t="str">
        <f>IFERROR(__xludf.DUMMYFUNCTION("REGEXEXTRACT(C1757, ""🏘️ \w+ (\w+) .* ✅"")"),"appartement")</f>
        <v>appartement</v>
      </c>
      <c r="H1757" s="4" t="str">
        <f>IFERROR(__xludf.DUMMYFUNCTION("REGEXEXTRACT(A1757, ""/(\w+)-.*?"")"),"lieu")</f>
        <v>lieu</v>
      </c>
      <c r="I1757" s="4" t="str">
        <f>IFERROR(__xludf.DUMMYFUNCTION("if(D1757=""variant"",  substitute(filter(Templates!E:E, Templates!A:A = F1757, Templates!B:B = G1757, Templates!C:C = H1757), ""{{}}"", E1757), B1757)"),"🏘  Vous cherchez un appartement à louer à Ulrichen? ✅ Les annonces les plus actuelles sont sur ImmoScout24.ch.")</f>
        <v>🏘  Vous cherchez un appartement à louer à Ulrichen? ✅ Les annonces les plus actuelles sont sur ImmoScout24.ch.</v>
      </c>
      <c r="J1757" s="4" t="s">
        <v>5272</v>
      </c>
    </row>
    <row r="1758">
      <c r="A1758" s="5" t="s">
        <v>5273</v>
      </c>
      <c r="B1758" s="2" t="s">
        <v>5274</v>
      </c>
      <c r="C1758" s="4" t="str">
        <f>IFERROR(__xludf.DUMMYFUNCTION("""🏘️ ""&amp;REGEXEXTRACT(B1758, ""^(.*): "")&amp;"" ✅ "" &amp;REGEXEXTRACT(B1758, ""(Trouvez.*)"")"),"🏘️ Vendre maison Worblaufen ✅ Trouvez le bien immobilier qui correspond idéalement à vos désirs sur ImmoScout24 - La plateforme de l'immobilier en Suisse.")</f>
        <v>🏘️ Vendre maison Worblaufen ✅ Trouvez le bien immobilier qui correspond idéalement à vos désirs sur ImmoScout24 - La plateforme de l'immobilier en Suisse.</v>
      </c>
      <c r="D1758" s="4" t="str">
        <f>vlookup(A1758, Sheet2!D:E, 2, 0)</f>
        <v>variant</v>
      </c>
      <c r="E1758" s="4" t="str">
        <f>IFERROR(__xludf.DUMMYFUNCTION("if(H1758=""pays"",vlookup(REGEXEXTRACT(C1758, ""🏘️ \w+ \w+ (.*) ✅""),'Country prepositions'!A:B, 2, 0) &amp; "" "" &amp; REGEXEXTRACT(C1758, ""🏘️ \w+ \w+ (.*) ✅"") ,  if(H1758=""quartier"",vlookup(REGEXEXTRACT(C1758, ""🏘️ \w+ \w+ (.*) ✅""),'Quartier prepositio"&amp;"ns'!A:E, 5, 0) ,  if(H1758=""region"",vlookup(REGEXEXTRACT(C1758, ""🏘️ \w+ \w+ (.*) ✅""),'Region prepositions'!B:F, 5, 0),  REGEXEXTRACT(C1758, ""🏘️ \w+ \w+ (.*) ✅""))))"),"Worblaufen")</f>
        <v>Worblaufen</v>
      </c>
      <c r="F1758" s="2" t="str">
        <f>IFERROR(__xludf.DUMMYFUNCTION("REGEXEXTRACT(C1758, ""🏘️ (\w+) \w+ .* ✅"")"),"Vendre")</f>
        <v>Vendre</v>
      </c>
      <c r="G1758" s="2" t="str">
        <f>IFERROR(__xludf.DUMMYFUNCTION("REGEXEXTRACT(C1758, ""🏘️ \w+ (\w+) .* ✅"")"),"maison")</f>
        <v>maison</v>
      </c>
      <c r="H1758" s="4" t="str">
        <f>IFERROR(__xludf.DUMMYFUNCTION("REGEXEXTRACT(A1758, ""/(\w+)-.*?"")"),"lieu")</f>
        <v>lieu</v>
      </c>
      <c r="I1758" s="4" t="str">
        <f>IFERROR(__xludf.DUMMYFUNCTION("if(D1758=""variant"",  substitute(filter(Templates!E:E, Templates!A:A = F1758, Templates!B:B = G1758, Templates!C:C = H1758), ""{{}}"", E1758), B1758)"),"🏘  Vous souhaitez acheter une maison à Worblaufen? ✅ Jetez un œil aux dernières offres sur ImmoScout24.ch.")</f>
        <v>🏘  Vous souhaitez acheter une maison à Worblaufen? ✅ Jetez un œil aux dernières offres sur ImmoScout24.ch.</v>
      </c>
      <c r="J1758" s="4" t="s">
        <v>5275</v>
      </c>
    </row>
    <row r="1759">
      <c r="A1759" s="5" t="s">
        <v>5276</v>
      </c>
      <c r="B1759" s="2" t="s">
        <v>5277</v>
      </c>
      <c r="C1759" s="4" t="str">
        <f>IFERROR(__xludf.DUMMYFUNCTION("""🏘️ ""&amp;REGEXEXTRACT(B1759, ""^(.*): "")&amp;"" ✅ "" &amp;REGEXEXTRACT(B1759, ""(Trouvez.*)"")"),"🏘️ Louer appartement Avry-sur-Matran ✅ Trouvez le bien immobilier qui correspond idéalement à vos désirs sur ImmoScout24 - La plateforme de l'immobilier en Suisse.")</f>
        <v>🏘️ Louer appartement Avry-sur-Matran ✅ Trouvez le bien immobilier qui correspond idéalement à vos désirs sur ImmoScout24 - La plateforme de l'immobilier en Suisse.</v>
      </c>
      <c r="D1759" s="4" t="str">
        <f>vlookup(A1759, Sheet2!D:E, 2, 0)</f>
        <v>variant</v>
      </c>
      <c r="E1759" s="4" t="str">
        <f>IFERROR(__xludf.DUMMYFUNCTION("if(H1759=""pays"",vlookup(REGEXEXTRACT(C1759, ""🏘️ \w+ \w+ (.*) ✅""),'Country prepositions'!A:B, 2, 0) &amp; "" "" &amp; REGEXEXTRACT(C1759, ""🏘️ \w+ \w+ (.*) ✅"") ,  if(H1759=""quartier"",vlookup(REGEXEXTRACT(C1759, ""🏘️ \w+ \w+ (.*) ✅""),'Quartier prepositio"&amp;"ns'!A:E, 5, 0) ,  if(H1759=""region"",vlookup(REGEXEXTRACT(C1759, ""🏘️ \w+ \w+ (.*) ✅""),'Region prepositions'!B:F, 5, 0),  REGEXEXTRACT(C1759, ""🏘️ \w+ \w+ (.*) ✅""))))"),"Avry-sur-Matran")</f>
        <v>Avry-sur-Matran</v>
      </c>
      <c r="F1759" s="2" t="str">
        <f>IFERROR(__xludf.DUMMYFUNCTION("REGEXEXTRACT(C1759, ""🏘️ (\w+) \w+ .* ✅"")"),"Louer")</f>
        <v>Louer</v>
      </c>
      <c r="G1759" s="2" t="str">
        <f>IFERROR(__xludf.DUMMYFUNCTION("REGEXEXTRACT(C1759, ""🏘️ \w+ (\w+) .* ✅"")"),"appartement")</f>
        <v>appartement</v>
      </c>
      <c r="H1759" s="4" t="str">
        <f>IFERROR(__xludf.DUMMYFUNCTION("REGEXEXTRACT(A1759, ""/(\w+)-.*?"")"),"lieu")</f>
        <v>lieu</v>
      </c>
      <c r="I1759" s="4" t="str">
        <f>IFERROR(__xludf.DUMMYFUNCTION("if(D1759=""variant"",  substitute(filter(Templates!E:E, Templates!A:A = F1759, Templates!B:B = G1759, Templates!C:C = H1759), ""{{}}"", E1759), B1759)"),"🏘  Vous cherchez un appartement à louer à Avry-sur-Matran? ✅ Les annonces les plus actuelles sont sur ImmoScout24.ch.")</f>
        <v>🏘  Vous cherchez un appartement à louer à Avry-sur-Matran? ✅ Les annonces les plus actuelles sont sur ImmoScout24.ch.</v>
      </c>
      <c r="J1759" s="4" t="s">
        <v>5278</v>
      </c>
    </row>
    <row r="1760">
      <c r="A1760" s="5" t="s">
        <v>5279</v>
      </c>
      <c r="B1760" s="2" t="s">
        <v>5280</v>
      </c>
      <c r="C1760" s="4" t="str">
        <f>IFERROR(__xludf.DUMMYFUNCTION("""🏘️ ""&amp;REGEXEXTRACT(B1760, ""^(.*): "")&amp;"" ✅ "" &amp;REGEXEXTRACT(B1760, ""(Trouvez.*)"")"),"🏘️ Louer appartement Berikon ✅ Trouvez le bien immobilier qui correspond idéalement à vos désirs sur ImmoScout24 - La plateforme de l'immobilier en Suisse.")</f>
        <v>🏘️ Louer appartement Berikon ✅ Trouvez le bien immobilier qui correspond idéalement à vos désirs sur ImmoScout24 - La plateforme de l'immobilier en Suisse.</v>
      </c>
      <c r="D1760" s="4" t="str">
        <f>vlookup(A1760, Sheet2!D:E, 2, 0)</f>
        <v>variant</v>
      </c>
      <c r="E1760" s="4" t="str">
        <f>IFERROR(__xludf.DUMMYFUNCTION("if(H1760=""pays"",vlookup(REGEXEXTRACT(C1760, ""🏘️ \w+ \w+ (.*) ✅""),'Country prepositions'!A:B, 2, 0) &amp; "" "" &amp; REGEXEXTRACT(C1760, ""🏘️ \w+ \w+ (.*) ✅"") ,  if(H1760=""quartier"",vlookup(REGEXEXTRACT(C1760, ""🏘️ \w+ \w+ (.*) ✅""),'Quartier prepositio"&amp;"ns'!A:E, 5, 0) ,  if(H1760=""region"",vlookup(REGEXEXTRACT(C1760, ""🏘️ \w+ \w+ (.*) ✅""),'Region prepositions'!B:F, 5, 0),  REGEXEXTRACT(C1760, ""🏘️ \w+ \w+ (.*) ✅""))))"),"Berikon")</f>
        <v>Berikon</v>
      </c>
      <c r="F1760" s="2" t="str">
        <f>IFERROR(__xludf.DUMMYFUNCTION("REGEXEXTRACT(C1760, ""🏘️ (\w+) \w+ .* ✅"")"),"Louer")</f>
        <v>Louer</v>
      </c>
      <c r="G1760" s="2" t="str">
        <f>IFERROR(__xludf.DUMMYFUNCTION("REGEXEXTRACT(C1760, ""🏘️ \w+ (\w+) .* ✅"")"),"appartement")</f>
        <v>appartement</v>
      </c>
      <c r="H1760" s="4" t="str">
        <f>IFERROR(__xludf.DUMMYFUNCTION("REGEXEXTRACT(A1760, ""/(\w+)-.*?"")"),"lieu")</f>
        <v>lieu</v>
      </c>
      <c r="I1760" s="4" t="str">
        <f>IFERROR(__xludf.DUMMYFUNCTION("if(D1760=""variant"",  substitute(filter(Templates!E:E, Templates!A:A = F1760, Templates!B:B = G1760, Templates!C:C = H1760), ""{{}}"", E1760), B1760)"),"🏘  Vous cherchez un appartement à louer à Berikon? ✅ Les annonces les plus actuelles sont sur ImmoScout24.ch.")</f>
        <v>🏘  Vous cherchez un appartement à louer à Berikon? ✅ Les annonces les plus actuelles sont sur ImmoScout24.ch.</v>
      </c>
      <c r="J1760" s="4" t="s">
        <v>5281</v>
      </c>
    </row>
    <row r="1761">
      <c r="A1761" s="5" t="s">
        <v>5282</v>
      </c>
      <c r="B1761" s="2" t="s">
        <v>5283</v>
      </c>
      <c r="C1761" s="4" t="str">
        <f>IFERROR(__xludf.DUMMYFUNCTION("""🏘️ ""&amp;REGEXEXTRACT(B1761, ""^(.*): "")&amp;"" ✅ "" &amp;REGEXEXTRACT(B1761, ""(Trouvez.*)"")"),"🏘️ Vendre maison Seebach (Zurich) ✅ Trouvez le bien immobilier qui correspond idéalement à vos désirs sur ImmoScout24 - La plateforme de l'immobilier en Suisse.")</f>
        <v>🏘️ Vendre maison Seebach (Zurich) ✅ Trouvez le bien immobilier qui correspond idéalement à vos désirs sur ImmoScout24 - La plateforme de l'immobilier en Suisse.</v>
      </c>
      <c r="D1761" s="4" t="str">
        <f>vlookup(A1761, Sheet2!D:E, 2, 0)</f>
        <v>variant</v>
      </c>
      <c r="E1761" s="4" t="str">
        <f>IFERROR(__xludf.DUMMYFUNCTION("if(H1761=""pays"",vlookup(REGEXEXTRACT(C1761, ""🏘️ \w+ \w+ (.*) ✅""),'Country prepositions'!A:B, 2, 0) &amp; "" "" &amp; REGEXEXTRACT(C1761, ""🏘️ \w+ \w+ (.*) ✅"") ,  if(H1761=""quartier"",vlookup(REGEXEXTRACT(C1761, ""🏘️ \w+ \w+ (.*) ✅""),'Quartier prepositio"&amp;"ns'!A:E, 5, 0) ,  if(H1761=""region"",vlookup(REGEXEXTRACT(C1761, ""🏘️ \w+ \w+ (.*) ✅""),'Region prepositions'!B:F, 5, 0),  REGEXEXTRACT(C1761, ""🏘️ \w+ \w+ (.*) ✅""))))"),"dans le quartier de Seebach (Zurich)")</f>
        <v>dans le quartier de Seebach (Zurich)</v>
      </c>
      <c r="F1761" s="2" t="str">
        <f>IFERROR(__xludf.DUMMYFUNCTION("REGEXEXTRACT(C1761, ""🏘️ (\w+) \w+ .* ✅"")"),"Vendre")</f>
        <v>Vendre</v>
      </c>
      <c r="G1761" s="2" t="str">
        <f>IFERROR(__xludf.DUMMYFUNCTION("REGEXEXTRACT(C1761, ""🏘️ \w+ (\w+) .* ✅"")"),"maison")</f>
        <v>maison</v>
      </c>
      <c r="H1761" s="4" t="str">
        <f>IFERROR(__xludf.DUMMYFUNCTION("REGEXEXTRACT(A1761, ""/(\w+)-.*?"")"),"quartier")</f>
        <v>quartier</v>
      </c>
      <c r="I1761" s="4" t="str">
        <f>IFERROR(__xludf.DUMMYFUNCTION("if(D1761=""variant"",  substitute(filter(Templates!E:E, Templates!A:A = F1761, Templates!B:B = G1761, Templates!C:C = H1761), ""{{}}"", E1761), B1761)"),"🏘  Vous souhaitez acheter une maison dans le quartier de Seebach (Zurich)? ✅ Jetez un œil aux dernières offres sur ImmoScout24.ch.")</f>
        <v>🏘  Vous souhaitez acheter une maison dans le quartier de Seebach (Zurich)? ✅ Jetez un œil aux dernières offres sur ImmoScout24.ch.</v>
      </c>
      <c r="J1761" s="4" t="s">
        <v>5284</v>
      </c>
    </row>
    <row r="1762">
      <c r="A1762" s="5" t="s">
        <v>5285</v>
      </c>
      <c r="B1762" s="2" t="s">
        <v>5286</v>
      </c>
      <c r="C1762" s="4" t="str">
        <f>IFERROR(__xludf.DUMMYFUNCTION("""🏘️ ""&amp;REGEXEXTRACT(B1762, ""^(.*): "")&amp;"" ✅ "" &amp;REGEXEXTRACT(B1762, ""(Trouvez.*)"")"),"🏘️ Vendre appartement Canton de Neuchâtel ✅ Trouvez le bien immobilier qui correspond idéalement à vos désirs sur ImmoScout24 - La plateforme de l'immobilier en Suisse.")</f>
        <v>🏘️ Vendre appartement Canton de Neuchâtel ✅ Trouvez le bien immobilier qui correspond idéalement à vos désirs sur ImmoScout24 - La plateforme de l'immobilier en Suisse.</v>
      </c>
      <c r="D1762" s="4" t="str">
        <f>vlookup(A1762, Sheet2!D:E, 2, 0)</f>
        <v>variant</v>
      </c>
      <c r="E1762" s="4" t="str">
        <f>IFERROR(__xludf.DUMMYFUNCTION("if(H1762=""pays"",vlookup(REGEXEXTRACT(C1762, ""🏘️ \w+ \w+ (.*) ✅""),'Country prepositions'!A:B, 2, 0) &amp; "" "" &amp; REGEXEXTRACT(C1762, ""🏘️ \w+ \w+ (.*) ✅"") ,  if(H1762=""quartier"",vlookup(REGEXEXTRACT(C1762, ""🏘️ \w+ \w+ (.*) ✅""),'Quartier prepositio"&amp;"ns'!A:E, 5, 0) ,  if(H1762=""region"",vlookup(REGEXEXTRACT(C1762, ""🏘️ \w+ \w+ (.*) ✅""),'Region prepositions'!B:F, 5, 0),  REGEXEXTRACT(C1762, ""🏘️ \w+ \w+ (.*) ✅""))))"),"Canton de Neuchâtel")</f>
        <v>Canton de Neuchâtel</v>
      </c>
      <c r="F1762" s="2" t="str">
        <f>IFERROR(__xludf.DUMMYFUNCTION("REGEXEXTRACT(C1762, ""🏘️ (\w+) \w+ .* ✅"")"),"Vendre")</f>
        <v>Vendre</v>
      </c>
      <c r="G1762" s="2" t="str">
        <f>IFERROR(__xludf.DUMMYFUNCTION("REGEXEXTRACT(C1762, ""🏘️ \w+ (\w+) .* ✅"")"),"appartement")</f>
        <v>appartement</v>
      </c>
      <c r="H1762" s="4" t="str">
        <f>IFERROR(__xludf.DUMMYFUNCTION("REGEXEXTRACT(A1762, ""/(\w+)-.*?"")"),"canton")</f>
        <v>canton</v>
      </c>
      <c r="I1762" s="4" t="str">
        <f>IFERROR(__xludf.DUMMYFUNCTION("if(D1762=""variant"",  substitute(filter(Templates!E:E, Templates!A:A = F1762, Templates!B:B = G1762, Templates!C:C = H1762), ""{{}}"", E1762), B1762)"),"#N/A")</f>
        <v>#N/A</v>
      </c>
      <c r="J1762" s="4" t="s">
        <v>5287</v>
      </c>
    </row>
    <row r="1763">
      <c r="A1763" s="5" t="s">
        <v>5288</v>
      </c>
      <c r="B1763" s="2" t="s">
        <v>5289</v>
      </c>
      <c r="C1763" s="4" t="str">
        <f>IFERROR(__xludf.DUMMYFUNCTION("""🏘️ ""&amp;REGEXEXTRACT(B1763, ""^(.*): "")&amp;"" ✅ "" &amp;REGEXEXTRACT(B1763, ""(Trouvez.*)"")"),"🏘️ Louer appartement St. Urban ✅ Trouvez le bien immobilier qui correspond idéalement à vos désirs sur ImmoScout24 - La plateforme de l'immobilier en Suisse.")</f>
        <v>🏘️ Louer appartement St. Urban ✅ Trouvez le bien immobilier qui correspond idéalement à vos désirs sur ImmoScout24 - La plateforme de l'immobilier en Suisse.</v>
      </c>
      <c r="D1763" s="4" t="str">
        <f>vlookup(A1763, Sheet2!D:E, 2, 0)</f>
        <v>variant</v>
      </c>
      <c r="E1763" s="4" t="str">
        <f>IFERROR(__xludf.DUMMYFUNCTION("if(H1763=""pays"",vlookup(REGEXEXTRACT(C1763, ""🏘️ \w+ \w+ (.*) ✅""),'Country prepositions'!A:B, 2, 0) &amp; "" "" &amp; REGEXEXTRACT(C1763, ""🏘️ \w+ \w+ (.*) ✅"") ,  if(H1763=""quartier"",vlookup(REGEXEXTRACT(C1763, ""🏘️ \w+ \w+ (.*) ✅""),'Quartier prepositio"&amp;"ns'!A:E, 5, 0) ,  if(H1763=""region"",vlookup(REGEXEXTRACT(C1763, ""🏘️ \w+ \w+ (.*) ✅""),'Region prepositions'!B:F, 5, 0),  REGEXEXTRACT(C1763, ""🏘️ \w+ \w+ (.*) ✅""))))"),"St. Urban")</f>
        <v>St. Urban</v>
      </c>
      <c r="F1763" s="2" t="str">
        <f>IFERROR(__xludf.DUMMYFUNCTION("REGEXEXTRACT(C1763, ""🏘️ (\w+) \w+ .* ✅"")"),"Louer")</f>
        <v>Louer</v>
      </c>
      <c r="G1763" s="2" t="str">
        <f>IFERROR(__xludf.DUMMYFUNCTION("REGEXEXTRACT(C1763, ""🏘️ \w+ (\w+) .* ✅"")"),"appartement")</f>
        <v>appartement</v>
      </c>
      <c r="H1763" s="4" t="str">
        <f>IFERROR(__xludf.DUMMYFUNCTION("REGEXEXTRACT(A1763, ""/(\w+)-.*?"")"),"lieu")</f>
        <v>lieu</v>
      </c>
      <c r="I1763" s="4" t="str">
        <f>IFERROR(__xludf.DUMMYFUNCTION("if(D1763=""variant"",  substitute(filter(Templates!E:E, Templates!A:A = F1763, Templates!B:B = G1763, Templates!C:C = H1763), ""{{}}"", E1763), B1763)"),"🏘  Vous cherchez un appartement à louer à St. Urban? ✅ Les annonces les plus actuelles sont sur ImmoScout24.ch.")</f>
        <v>🏘  Vous cherchez un appartement à louer à St. Urban? ✅ Les annonces les plus actuelles sont sur ImmoScout24.ch.</v>
      </c>
      <c r="J1763" s="4" t="s">
        <v>5290</v>
      </c>
    </row>
    <row r="1764">
      <c r="A1764" s="5" t="s">
        <v>5291</v>
      </c>
      <c r="B1764" s="2" t="s">
        <v>5292</v>
      </c>
      <c r="C1764" s="4" t="str">
        <f>IFERROR(__xludf.DUMMYFUNCTION("""🏘️ ""&amp;REGEXEXTRACT(B1764, ""^(.*): "")&amp;"" ✅ "" &amp;REGEXEXTRACT(B1764, ""(Trouvez.*)"")"),"🏘️ Vendre appartement Schötz ✅ Trouvez le bien immobilier qui correspond idéalement à vos désirs sur ImmoScout24 - La plateforme de l'immobilier en Suisse.")</f>
        <v>🏘️ Vendre appartement Schötz ✅ Trouvez le bien immobilier qui correspond idéalement à vos désirs sur ImmoScout24 - La plateforme de l'immobilier en Suisse.</v>
      </c>
      <c r="D1764" s="4" t="str">
        <f>vlookup(A1764, Sheet2!D:E, 2, 0)</f>
        <v>variant</v>
      </c>
      <c r="E1764" s="4" t="str">
        <f>IFERROR(__xludf.DUMMYFUNCTION("if(H1764=""pays"",vlookup(REGEXEXTRACT(C1764, ""🏘️ \w+ \w+ (.*) ✅""),'Country prepositions'!A:B, 2, 0) &amp; "" "" &amp; REGEXEXTRACT(C1764, ""🏘️ \w+ \w+ (.*) ✅"") ,  if(H1764=""quartier"",vlookup(REGEXEXTRACT(C1764, ""🏘️ \w+ \w+ (.*) ✅""),'Quartier prepositio"&amp;"ns'!A:E, 5, 0) ,  if(H1764=""region"",vlookup(REGEXEXTRACT(C1764, ""🏘️ \w+ \w+ (.*) ✅""),'Region prepositions'!B:F, 5, 0),  REGEXEXTRACT(C1764, ""🏘️ \w+ \w+ (.*) ✅""))))"),"Schötz")</f>
        <v>Schötz</v>
      </c>
      <c r="F1764" s="2" t="str">
        <f>IFERROR(__xludf.DUMMYFUNCTION("REGEXEXTRACT(C1764, ""🏘️ (\w+) \w+ .* ✅"")"),"Vendre")</f>
        <v>Vendre</v>
      </c>
      <c r="G1764" s="2" t="str">
        <f>IFERROR(__xludf.DUMMYFUNCTION("REGEXEXTRACT(C1764, ""🏘️ \w+ (\w+) .* ✅"")"),"appartement")</f>
        <v>appartement</v>
      </c>
      <c r="H1764" s="4" t="str">
        <f>IFERROR(__xludf.DUMMYFUNCTION("REGEXEXTRACT(A1764, ""/(\w+)-.*?"")"),"lieu")</f>
        <v>lieu</v>
      </c>
      <c r="I1764" s="4" t="str">
        <f>IFERROR(__xludf.DUMMYFUNCTION("if(D1764=""variant"",  substitute(filter(Templates!E:E, Templates!A:A = F1764, Templates!B:B = G1764, Templates!C:C = H1764), ""{{}}"", E1764), B1764)"),"🏘  L’appartement de vos rêves se trouve sur ImmoScout24.ch ✅ Découvrez les dernières annonces de vente à Schötz.")</f>
        <v>🏘  L’appartement de vos rêves se trouve sur ImmoScout24.ch ✅ Découvrez les dernières annonces de vente à Schötz.</v>
      </c>
      <c r="J1764" s="4" t="s">
        <v>5293</v>
      </c>
    </row>
    <row r="1765">
      <c r="A1765" s="5" t="s">
        <v>5294</v>
      </c>
      <c r="B1765" s="2" t="s">
        <v>5295</v>
      </c>
      <c r="C1765" s="4" t="str">
        <f>IFERROR(__xludf.DUMMYFUNCTION("""🏘️ ""&amp;REGEXEXTRACT(B1765, ""^(.*): "")&amp;"" ✅ "" &amp;REGEXEXTRACT(B1765, ""(Trouvez.*)"")"),"🏘️ Vendre appartement Montreux ✅ Trouvez le bien immobilier qui correspond idéalement à vos désirs sur ImmoScout24 - La plateforme de l'immobilier en Suisse.")</f>
        <v>🏘️ Vendre appartement Montreux ✅ Trouvez le bien immobilier qui correspond idéalement à vos désirs sur ImmoScout24 - La plateforme de l'immobilier en Suisse.</v>
      </c>
      <c r="D1765" s="4" t="str">
        <f>vlookup(A1765, Sheet2!D:E, 2, 0)</f>
        <v>variant</v>
      </c>
      <c r="E1765" s="4" t="str">
        <f>IFERROR(__xludf.DUMMYFUNCTION("if(H1765=""pays"",vlookup(REGEXEXTRACT(C1765, ""🏘️ \w+ \w+ (.*) ✅""),'Country prepositions'!A:B, 2, 0) &amp; "" "" &amp; REGEXEXTRACT(C1765, ""🏘️ \w+ \w+ (.*) ✅"") ,  if(H1765=""quartier"",vlookup(REGEXEXTRACT(C1765, ""🏘️ \w+ \w+ (.*) ✅""),'Quartier prepositio"&amp;"ns'!A:E, 5, 0) ,  if(H1765=""region"",vlookup(REGEXEXTRACT(C1765, ""🏘️ \w+ \w+ (.*) ✅""),'Region prepositions'!B:F, 5, 0),  REGEXEXTRACT(C1765, ""🏘️ \w+ \w+ (.*) ✅""))))"),"Montreux")</f>
        <v>Montreux</v>
      </c>
      <c r="F1765" s="2" t="str">
        <f>IFERROR(__xludf.DUMMYFUNCTION("REGEXEXTRACT(C1765, ""🏘️ (\w+) \w+ .* ✅"")"),"Vendre")</f>
        <v>Vendre</v>
      </c>
      <c r="G1765" s="2" t="str">
        <f>IFERROR(__xludf.DUMMYFUNCTION("REGEXEXTRACT(C1765, ""🏘️ \w+ (\w+) .* ✅"")"),"appartement")</f>
        <v>appartement</v>
      </c>
      <c r="H1765" s="4" t="str">
        <f>IFERROR(__xludf.DUMMYFUNCTION("REGEXEXTRACT(A1765, ""/(\w+)-.*?"")"),"lieu")</f>
        <v>lieu</v>
      </c>
      <c r="I1765" s="4" t="str">
        <f>IFERROR(__xludf.DUMMYFUNCTION("if(D1765=""variant"",  substitute(filter(Templates!E:E, Templates!A:A = F1765, Templates!B:B = G1765, Templates!C:C = H1765), ""{{}}"", E1765), B1765)"),"🏘  L’appartement de vos rêves se trouve sur ImmoScout24.ch ✅ Découvrez les dernières annonces de vente à Montreux.")</f>
        <v>🏘  L’appartement de vos rêves se trouve sur ImmoScout24.ch ✅ Découvrez les dernières annonces de vente à Montreux.</v>
      </c>
      <c r="J1765" s="4" t="s">
        <v>5296</v>
      </c>
    </row>
    <row r="1766">
      <c r="A1766" s="5" t="s">
        <v>5297</v>
      </c>
      <c r="B1766" s="2" t="s">
        <v>5298</v>
      </c>
      <c r="C1766" s="4" t="str">
        <f>IFERROR(__xludf.DUMMYFUNCTION("""🏘️ ""&amp;REGEXEXTRACT(B1766, ""^(.*): "")&amp;"" ✅ "" &amp;REGEXEXTRACT(B1766, ""(Trouvez.*)"")"),"🏘️ Louer appartement Ecoteaux ✅ Trouvez le bien immobilier qui correspond idéalement à vos désirs sur ImmoScout24 - La plateforme de l'immobilier en Suisse.")</f>
        <v>🏘️ Louer appartement Ecoteaux ✅ Trouvez le bien immobilier qui correspond idéalement à vos désirs sur ImmoScout24 - La plateforme de l'immobilier en Suisse.</v>
      </c>
      <c r="D1766" s="4" t="str">
        <f>vlookup(A1766, Sheet2!D:E, 2, 0)</f>
        <v>variant</v>
      </c>
      <c r="E1766" s="4" t="str">
        <f>IFERROR(__xludf.DUMMYFUNCTION("if(H1766=""pays"",vlookup(REGEXEXTRACT(C1766, ""🏘️ \w+ \w+ (.*) ✅""),'Country prepositions'!A:B, 2, 0) &amp; "" "" &amp; REGEXEXTRACT(C1766, ""🏘️ \w+ \w+ (.*) ✅"") ,  if(H1766=""quartier"",vlookup(REGEXEXTRACT(C1766, ""🏘️ \w+ \w+ (.*) ✅""),'Quartier prepositio"&amp;"ns'!A:E, 5, 0) ,  if(H1766=""region"",vlookup(REGEXEXTRACT(C1766, ""🏘️ \w+ \w+ (.*) ✅""),'Region prepositions'!B:F, 5, 0),  REGEXEXTRACT(C1766, ""🏘️ \w+ \w+ (.*) ✅""))))"),"Ecoteaux")</f>
        <v>Ecoteaux</v>
      </c>
      <c r="F1766" s="2" t="str">
        <f>IFERROR(__xludf.DUMMYFUNCTION("REGEXEXTRACT(C1766, ""🏘️ (\w+) \w+ .* ✅"")"),"Louer")</f>
        <v>Louer</v>
      </c>
      <c r="G1766" s="2" t="str">
        <f>IFERROR(__xludf.DUMMYFUNCTION("REGEXEXTRACT(C1766, ""🏘️ \w+ (\w+) .* ✅"")"),"appartement")</f>
        <v>appartement</v>
      </c>
      <c r="H1766" s="4" t="str">
        <f>IFERROR(__xludf.DUMMYFUNCTION("REGEXEXTRACT(A1766, ""/(\w+)-.*?"")"),"lieu")</f>
        <v>lieu</v>
      </c>
      <c r="I1766" s="4" t="str">
        <f>IFERROR(__xludf.DUMMYFUNCTION("if(D1766=""variant"",  substitute(filter(Templates!E:E, Templates!A:A = F1766, Templates!B:B = G1766, Templates!C:C = H1766), ""{{}}"", E1766), B1766)"),"🏘  Vous cherchez un appartement à louer à Ecoteaux? ✅ Les annonces les plus actuelles sont sur ImmoScout24.ch.")</f>
        <v>🏘  Vous cherchez un appartement à louer à Ecoteaux? ✅ Les annonces les plus actuelles sont sur ImmoScout24.ch.</v>
      </c>
      <c r="J1766" s="4" t="s">
        <v>5299</v>
      </c>
    </row>
    <row r="1767">
      <c r="A1767" s="5" t="s">
        <v>5300</v>
      </c>
      <c r="B1767" s="2" t="s">
        <v>5301</v>
      </c>
      <c r="C1767" s="4" t="str">
        <f>IFERROR(__xludf.DUMMYFUNCTION("""🏘️ ""&amp;REGEXEXTRACT(B1767, ""^(.*): "")&amp;"" ✅ "" &amp;REGEXEXTRACT(B1767, ""(Trouvez.*)"")"),"🏘️ Louer appartement Démoret ✅ Trouvez le bien immobilier qui correspond idéalement à vos désirs sur ImmoScout24 - La plateforme de l'immobilier en Suisse.")</f>
        <v>🏘️ Louer appartement Démoret ✅ Trouvez le bien immobilier qui correspond idéalement à vos désirs sur ImmoScout24 - La plateforme de l'immobilier en Suisse.</v>
      </c>
      <c r="D1767" s="4" t="str">
        <f>vlookup(A1767, Sheet2!D:E, 2, 0)</f>
        <v>variant</v>
      </c>
      <c r="E1767" s="4" t="str">
        <f>IFERROR(__xludf.DUMMYFUNCTION("if(H1767=""pays"",vlookup(REGEXEXTRACT(C1767, ""🏘️ \w+ \w+ (.*) ✅""),'Country prepositions'!A:B, 2, 0) &amp; "" "" &amp; REGEXEXTRACT(C1767, ""🏘️ \w+ \w+ (.*) ✅"") ,  if(H1767=""quartier"",vlookup(REGEXEXTRACT(C1767, ""🏘️ \w+ \w+ (.*) ✅""),'Quartier prepositio"&amp;"ns'!A:E, 5, 0) ,  if(H1767=""region"",vlookup(REGEXEXTRACT(C1767, ""🏘️ \w+ \w+ (.*) ✅""),'Region prepositions'!B:F, 5, 0),  REGEXEXTRACT(C1767, ""🏘️ \w+ \w+ (.*) ✅""))))"),"Démoret")</f>
        <v>Démoret</v>
      </c>
      <c r="F1767" s="2" t="str">
        <f>IFERROR(__xludf.DUMMYFUNCTION("REGEXEXTRACT(C1767, ""🏘️ (\w+) \w+ .* ✅"")"),"Louer")</f>
        <v>Louer</v>
      </c>
      <c r="G1767" s="2" t="str">
        <f>IFERROR(__xludf.DUMMYFUNCTION("REGEXEXTRACT(C1767, ""🏘️ \w+ (\w+) .* ✅"")"),"appartement")</f>
        <v>appartement</v>
      </c>
      <c r="H1767" s="4" t="str">
        <f>IFERROR(__xludf.DUMMYFUNCTION("REGEXEXTRACT(A1767, ""/(\w+)-.*?"")"),"lieu")</f>
        <v>lieu</v>
      </c>
      <c r="I1767" s="4" t="str">
        <f>IFERROR(__xludf.DUMMYFUNCTION("if(D1767=""variant"",  substitute(filter(Templates!E:E, Templates!A:A = F1767, Templates!B:B = G1767, Templates!C:C = H1767), ""{{}}"", E1767), B1767)"),"🏘  Vous cherchez un appartement à louer à Démoret? ✅ Les annonces les plus actuelles sont sur ImmoScout24.ch.")</f>
        <v>🏘  Vous cherchez un appartement à louer à Démoret? ✅ Les annonces les plus actuelles sont sur ImmoScout24.ch.</v>
      </c>
      <c r="J1767" s="4" t="s">
        <v>5302</v>
      </c>
    </row>
    <row r="1768">
      <c r="A1768" s="5" t="s">
        <v>5303</v>
      </c>
      <c r="B1768" s="2" t="s">
        <v>5304</v>
      </c>
      <c r="C1768" s="4" t="str">
        <f>IFERROR(__xludf.DUMMYFUNCTION("""🏘️ ""&amp;REGEXEXTRACT(B1768, ""^(.*): "")&amp;"" ✅ "" &amp;REGEXEXTRACT(B1768, ""(Trouvez.*)"")"),"🏘️ Vendre maison Mission ✅ Trouvez le bien immobilier qui correspond idéalement à vos désirs sur ImmoScout24 - La plateforme de l'immobilier en Suisse.")</f>
        <v>🏘️ Vendre maison Mission ✅ Trouvez le bien immobilier qui correspond idéalement à vos désirs sur ImmoScout24 - La plateforme de l'immobilier en Suisse.</v>
      </c>
      <c r="D1768" s="4" t="str">
        <f>vlookup(A1768, Sheet2!D:E, 2, 0)</f>
        <v>variant</v>
      </c>
      <c r="E1768" s="4" t="str">
        <f>IFERROR(__xludf.DUMMYFUNCTION("if(H1768=""pays"",vlookup(REGEXEXTRACT(C1768, ""🏘️ \w+ \w+ (.*) ✅""),'Country prepositions'!A:B, 2, 0) &amp; "" "" &amp; REGEXEXTRACT(C1768, ""🏘️ \w+ \w+ (.*) ✅"") ,  if(H1768=""quartier"",vlookup(REGEXEXTRACT(C1768, ""🏘️ \w+ \w+ (.*) ✅""),'Quartier prepositio"&amp;"ns'!A:E, 5, 0) ,  if(H1768=""region"",vlookup(REGEXEXTRACT(C1768, ""🏘️ \w+ \w+ (.*) ✅""),'Region prepositions'!B:F, 5, 0),  REGEXEXTRACT(C1768, ""🏘️ \w+ \w+ (.*) ✅""))))"),"Mission")</f>
        <v>Mission</v>
      </c>
      <c r="F1768" s="2" t="str">
        <f>IFERROR(__xludf.DUMMYFUNCTION("REGEXEXTRACT(C1768, ""🏘️ (\w+) \w+ .* ✅"")"),"Vendre")</f>
        <v>Vendre</v>
      </c>
      <c r="G1768" s="2" t="str">
        <f>IFERROR(__xludf.DUMMYFUNCTION("REGEXEXTRACT(C1768, ""🏘️ \w+ (\w+) .* ✅"")"),"maison")</f>
        <v>maison</v>
      </c>
      <c r="H1768" s="4" t="str">
        <f>IFERROR(__xludf.DUMMYFUNCTION("REGEXEXTRACT(A1768, ""/(\w+)-.*?"")"),"lieu")</f>
        <v>lieu</v>
      </c>
      <c r="I1768" s="4" t="str">
        <f>IFERROR(__xludf.DUMMYFUNCTION("if(D1768=""variant"",  substitute(filter(Templates!E:E, Templates!A:A = F1768, Templates!B:B = G1768, Templates!C:C = H1768), ""{{}}"", E1768), B1768)"),"🏘  Vous souhaitez acheter une maison à Mission? ✅ Jetez un œil aux dernières offres sur ImmoScout24.ch.")</f>
        <v>🏘  Vous souhaitez acheter une maison à Mission? ✅ Jetez un œil aux dernières offres sur ImmoScout24.ch.</v>
      </c>
      <c r="J1768" s="4" t="s">
        <v>5305</v>
      </c>
    </row>
    <row r="1769">
      <c r="A1769" s="5" t="s">
        <v>5306</v>
      </c>
      <c r="B1769" s="2" t="s">
        <v>5307</v>
      </c>
      <c r="C1769" s="4" t="str">
        <f>IFERROR(__xludf.DUMMYFUNCTION("""🏘️ ""&amp;REGEXEXTRACT(B1769, ""^(.*): "")&amp;"" ✅ "" &amp;REGEXEXTRACT(B1769, ""(Trouvez.*)"")"),"🏘️ Louer maison Vevey ✅ Trouvez le bien immobilier qui correspond idéalement à vos désirs sur ImmoScout24 - La plateforme de l'immobilier en Suisse.")</f>
        <v>🏘️ Louer maison Vevey ✅ Trouvez le bien immobilier qui correspond idéalement à vos désirs sur ImmoScout24 - La plateforme de l'immobilier en Suisse.</v>
      </c>
      <c r="D1769" s="4" t="str">
        <f>vlookup(A1769, Sheet2!D:E, 2, 0)</f>
        <v>variant</v>
      </c>
      <c r="E1769" s="4" t="str">
        <f>IFERROR(__xludf.DUMMYFUNCTION("if(H1769=""pays"",vlookup(REGEXEXTRACT(C1769, ""🏘️ \w+ \w+ (.*) ✅""),'Country prepositions'!A:B, 2, 0) &amp; "" "" &amp; REGEXEXTRACT(C1769, ""🏘️ \w+ \w+ (.*) ✅"") ,  if(H1769=""quartier"",vlookup(REGEXEXTRACT(C1769, ""🏘️ \w+ \w+ (.*) ✅""),'Quartier prepositio"&amp;"ns'!A:E, 5, 0) ,  if(H1769=""region"",vlookup(REGEXEXTRACT(C1769, ""🏘️ \w+ \w+ (.*) ✅""),'Region prepositions'!B:F, 5, 0),  REGEXEXTRACT(C1769, ""🏘️ \w+ \w+ (.*) ✅""))))"),"Vevey")</f>
        <v>Vevey</v>
      </c>
      <c r="F1769" s="2" t="str">
        <f>IFERROR(__xludf.DUMMYFUNCTION("REGEXEXTRACT(C1769, ""🏘️ (\w+) \w+ .* ✅"")"),"Louer")</f>
        <v>Louer</v>
      </c>
      <c r="G1769" s="2" t="str">
        <f>IFERROR(__xludf.DUMMYFUNCTION("REGEXEXTRACT(C1769, ""🏘️ \w+ (\w+) .* ✅"")"),"maison")</f>
        <v>maison</v>
      </c>
      <c r="H1769" s="4" t="str">
        <f>IFERROR(__xludf.DUMMYFUNCTION("REGEXEXTRACT(A1769, ""/(\w+)-.*?"")"),"lieu")</f>
        <v>lieu</v>
      </c>
      <c r="I1769" s="4" t="str">
        <f>IFERROR(__xludf.DUMMYFUNCTION("if(D1769=""variant"",  substitute(filter(Templates!E:E, Templates!A:A = F1769, Templates!B:B = G1769, Templates!C:C = H1769), ""{{}}"", E1769), B1769)"),"🏘  Vous cherchez une maison à louer à Vevey? ✅ Découvrez nos nombreuses annonces sur ImmoScout24.ch.")</f>
        <v>🏘  Vous cherchez une maison à louer à Vevey? ✅ Découvrez nos nombreuses annonces sur ImmoScout24.ch.</v>
      </c>
      <c r="J1769" s="4" t="s">
        <v>5308</v>
      </c>
    </row>
    <row r="1770">
      <c r="A1770" s="5" t="s">
        <v>5309</v>
      </c>
      <c r="B1770" s="2" t="s">
        <v>5310</v>
      </c>
      <c r="C1770" s="4" t="str">
        <f>IFERROR(__xludf.DUMMYFUNCTION("""🏘️ ""&amp;REGEXEXTRACT(B1770, ""^(.*): "")&amp;"" ✅ "" &amp;REGEXEXTRACT(B1770, ""(Trouvez.*)"")"),"🏘️ Vendre maison Castel San Pietro ✅ Trouvez le bien immobilier qui correspond idéalement à vos désirs sur ImmoScout24 - La plateforme de l'immobilier en Suisse.")</f>
        <v>🏘️ Vendre maison Castel San Pietro ✅ Trouvez le bien immobilier qui correspond idéalement à vos désirs sur ImmoScout24 - La plateforme de l'immobilier en Suisse.</v>
      </c>
      <c r="D1770" s="4" t="str">
        <f>vlookup(A1770, Sheet2!D:E, 2, 0)</f>
        <v>variant</v>
      </c>
      <c r="E1770" s="4" t="str">
        <f>IFERROR(__xludf.DUMMYFUNCTION("if(H1770=""pays"",vlookup(REGEXEXTRACT(C1770, ""🏘️ \w+ \w+ (.*) ✅""),'Country prepositions'!A:B, 2, 0) &amp; "" "" &amp; REGEXEXTRACT(C1770, ""🏘️ \w+ \w+ (.*) ✅"") ,  if(H1770=""quartier"",vlookup(REGEXEXTRACT(C1770, ""🏘️ \w+ \w+ (.*) ✅""),'Quartier prepositio"&amp;"ns'!A:E, 5, 0) ,  if(H1770=""region"",vlookup(REGEXEXTRACT(C1770, ""🏘️ \w+ \w+ (.*) ✅""),'Region prepositions'!B:F, 5, 0),  REGEXEXTRACT(C1770, ""🏘️ \w+ \w+ (.*) ✅""))))"),"Castel San Pietro")</f>
        <v>Castel San Pietro</v>
      </c>
      <c r="F1770" s="2" t="str">
        <f>IFERROR(__xludf.DUMMYFUNCTION("REGEXEXTRACT(C1770, ""🏘️ (\w+) \w+ .* ✅"")"),"Vendre")</f>
        <v>Vendre</v>
      </c>
      <c r="G1770" s="2" t="str">
        <f>IFERROR(__xludf.DUMMYFUNCTION("REGEXEXTRACT(C1770, ""🏘️ \w+ (\w+) .* ✅"")"),"maison")</f>
        <v>maison</v>
      </c>
      <c r="H1770" s="4" t="str">
        <f>IFERROR(__xludf.DUMMYFUNCTION("REGEXEXTRACT(A1770, ""/(\w+)-.*?"")"),"lieu")</f>
        <v>lieu</v>
      </c>
      <c r="I1770" s="4" t="str">
        <f>IFERROR(__xludf.DUMMYFUNCTION("if(D1770=""variant"",  substitute(filter(Templates!E:E, Templates!A:A = F1770, Templates!B:B = G1770, Templates!C:C = H1770), ""{{}}"", E1770), B1770)"),"🏘  Vous souhaitez acheter une maison à Castel San Pietro? ✅ Jetez un œil aux dernières offres sur ImmoScout24.ch.")</f>
        <v>🏘  Vous souhaitez acheter une maison à Castel San Pietro? ✅ Jetez un œil aux dernières offres sur ImmoScout24.ch.</v>
      </c>
      <c r="J1770" s="4" t="s">
        <v>5311</v>
      </c>
    </row>
    <row r="1771">
      <c r="A1771" s="5" t="s">
        <v>5312</v>
      </c>
      <c r="B1771" s="2" t="s">
        <v>5313</v>
      </c>
      <c r="C1771" s="4" t="str">
        <f>IFERROR(__xludf.DUMMYFUNCTION("""🏘️ ""&amp;REGEXEXTRACT(B1771, ""^(.*): "")&amp;"" ✅ "" &amp;REGEXEXTRACT(B1771, ""(Trouvez.*)"")"),"🏘️ Vendre maison Walperswil ✅ Trouvez le bien immobilier qui correspond idéalement à vos désirs sur ImmoScout24 - La plateforme de l'immobilier en Suisse.")</f>
        <v>🏘️ Vendre maison Walperswil ✅ Trouvez le bien immobilier qui correspond idéalement à vos désirs sur ImmoScout24 - La plateforme de l'immobilier en Suisse.</v>
      </c>
      <c r="D1771" s="4" t="str">
        <f>vlookup(A1771, Sheet2!D:E, 2, 0)</f>
        <v>variant</v>
      </c>
      <c r="E1771" s="4" t="str">
        <f>IFERROR(__xludf.DUMMYFUNCTION("if(H1771=""pays"",vlookup(REGEXEXTRACT(C1771, ""🏘️ \w+ \w+ (.*) ✅""),'Country prepositions'!A:B, 2, 0) &amp; "" "" &amp; REGEXEXTRACT(C1771, ""🏘️ \w+ \w+ (.*) ✅"") ,  if(H1771=""quartier"",vlookup(REGEXEXTRACT(C1771, ""🏘️ \w+ \w+ (.*) ✅""),'Quartier prepositio"&amp;"ns'!A:E, 5, 0) ,  if(H1771=""region"",vlookup(REGEXEXTRACT(C1771, ""🏘️ \w+ \w+ (.*) ✅""),'Region prepositions'!B:F, 5, 0),  REGEXEXTRACT(C1771, ""🏘️ \w+ \w+ (.*) ✅""))))"),"Walperswil")</f>
        <v>Walperswil</v>
      </c>
      <c r="F1771" s="2" t="str">
        <f>IFERROR(__xludf.DUMMYFUNCTION("REGEXEXTRACT(C1771, ""🏘️ (\w+) \w+ .* ✅"")"),"Vendre")</f>
        <v>Vendre</v>
      </c>
      <c r="G1771" s="2" t="str">
        <f>IFERROR(__xludf.DUMMYFUNCTION("REGEXEXTRACT(C1771, ""🏘️ \w+ (\w+) .* ✅"")"),"maison")</f>
        <v>maison</v>
      </c>
      <c r="H1771" s="4" t="str">
        <f>IFERROR(__xludf.DUMMYFUNCTION("REGEXEXTRACT(A1771, ""/(\w+)-.*?"")"),"lieu")</f>
        <v>lieu</v>
      </c>
      <c r="I1771" s="4" t="str">
        <f>IFERROR(__xludf.DUMMYFUNCTION("if(D1771=""variant"",  substitute(filter(Templates!E:E, Templates!A:A = F1771, Templates!B:B = G1771, Templates!C:C = H1771), ""{{}}"", E1771), B1771)"),"🏘  Vous souhaitez acheter une maison à Walperswil? ✅ Jetez un œil aux dernières offres sur ImmoScout24.ch.")</f>
        <v>🏘  Vous souhaitez acheter une maison à Walperswil? ✅ Jetez un œil aux dernières offres sur ImmoScout24.ch.</v>
      </c>
      <c r="J1771" s="4" t="s">
        <v>5314</v>
      </c>
    </row>
    <row r="1772">
      <c r="A1772" s="5" t="s">
        <v>5315</v>
      </c>
      <c r="B1772" s="2" t="s">
        <v>5316</v>
      </c>
      <c r="C1772" s="4" t="str">
        <f>IFERROR(__xludf.DUMMYFUNCTION("""🏘️ ""&amp;REGEXEXTRACT(B1772, ""^(.*): "")&amp;"" ✅ "" &amp;REGEXEXTRACT(B1772, ""(Trouvez.*)"")"),"🏘️ Vendre maison Basel ✅ Trouvez le bien immobilier qui correspond idéalement à vos désirs sur ImmoScout24 - La plateforme de l'immobilier en Suisse.")</f>
        <v>🏘️ Vendre maison Basel ✅ Trouvez le bien immobilier qui correspond idéalement à vos désirs sur ImmoScout24 - La plateforme de l'immobilier en Suisse.</v>
      </c>
      <c r="D1772" s="4" t="str">
        <f>vlookup(A1772, Sheet2!D:E, 2, 0)</f>
        <v>variant</v>
      </c>
      <c r="E1772" s="4" t="str">
        <f>IFERROR(__xludf.DUMMYFUNCTION("if(H1772=""pays"",vlookup(REGEXEXTRACT(C1772, ""🏘️ \w+ \w+ (.*) ✅""),'Country prepositions'!A:B, 2, 0) &amp; "" "" &amp; REGEXEXTRACT(C1772, ""🏘️ \w+ \w+ (.*) ✅"") ,  if(H1772=""quartier"",vlookup(REGEXEXTRACT(C1772, ""🏘️ \w+ \w+ (.*) ✅""),'Quartier prepositio"&amp;"ns'!A:E, 5, 0) ,  if(H1772=""region"",vlookup(REGEXEXTRACT(C1772, ""🏘️ \w+ \w+ (.*) ✅""),'Region prepositions'!B:F, 5, 0),  REGEXEXTRACT(C1772, ""🏘️ \w+ \w+ (.*) ✅""))))"),"Basel")</f>
        <v>Basel</v>
      </c>
      <c r="F1772" s="2" t="str">
        <f>IFERROR(__xludf.DUMMYFUNCTION("REGEXEXTRACT(C1772, ""🏘️ (\w+) \w+ .* ✅"")"),"Vendre")</f>
        <v>Vendre</v>
      </c>
      <c r="G1772" s="2" t="str">
        <f>IFERROR(__xludf.DUMMYFUNCTION("REGEXEXTRACT(C1772, ""🏘️ \w+ (\w+) .* ✅"")"),"maison")</f>
        <v>maison</v>
      </c>
      <c r="H1772" s="4" t="str">
        <f>IFERROR(__xludf.DUMMYFUNCTION("REGEXEXTRACT(A1772, ""/(\w+)-.*?"")"),"lieu")</f>
        <v>lieu</v>
      </c>
      <c r="I1772" s="4" t="str">
        <f>IFERROR(__xludf.DUMMYFUNCTION("if(D1772=""variant"",  substitute(filter(Templates!E:E, Templates!A:A = F1772, Templates!B:B = G1772, Templates!C:C = H1772), ""{{}}"", E1772), B1772)"),"🏘  Vous souhaitez acheter une maison à Basel? ✅ Jetez un œil aux dernières offres sur ImmoScout24.ch.")</f>
        <v>🏘  Vous souhaitez acheter une maison à Basel? ✅ Jetez un œil aux dernières offres sur ImmoScout24.ch.</v>
      </c>
      <c r="J1772" s="4" t="s">
        <v>5317</v>
      </c>
    </row>
    <row r="1773">
      <c r="A1773" s="5" t="s">
        <v>5318</v>
      </c>
      <c r="B1773" s="2" t="s">
        <v>5319</v>
      </c>
      <c r="C1773" s="4" t="str">
        <f>IFERROR(__xludf.DUMMYFUNCTION("""🏘️ ""&amp;REGEXEXTRACT(B1773, ""^(.*): "")&amp;"" ✅ "" &amp;REGEXEXTRACT(B1773, ""(Trouvez.*)"")"),"🏘️ Vendre maison Habkern ✅ Trouvez le bien immobilier qui correspond idéalement à vos désirs sur ImmoScout24 - La plateforme de l'immobilier en Suisse.")</f>
        <v>🏘️ Vendre maison Habkern ✅ Trouvez le bien immobilier qui correspond idéalement à vos désirs sur ImmoScout24 - La plateforme de l'immobilier en Suisse.</v>
      </c>
      <c r="D1773" s="4" t="str">
        <f>vlookup(A1773, Sheet2!D:E, 2, 0)</f>
        <v>variant</v>
      </c>
      <c r="E1773" s="4" t="str">
        <f>IFERROR(__xludf.DUMMYFUNCTION("if(H1773=""pays"",vlookup(REGEXEXTRACT(C1773, ""🏘️ \w+ \w+ (.*) ✅""),'Country prepositions'!A:B, 2, 0) &amp; "" "" &amp; REGEXEXTRACT(C1773, ""🏘️ \w+ \w+ (.*) ✅"") ,  if(H1773=""quartier"",vlookup(REGEXEXTRACT(C1773, ""🏘️ \w+ \w+ (.*) ✅""),'Quartier prepositio"&amp;"ns'!A:E, 5, 0) ,  if(H1773=""region"",vlookup(REGEXEXTRACT(C1773, ""🏘️ \w+ \w+ (.*) ✅""),'Region prepositions'!B:F, 5, 0),  REGEXEXTRACT(C1773, ""🏘️ \w+ \w+ (.*) ✅""))))"),"Habkern")</f>
        <v>Habkern</v>
      </c>
      <c r="F1773" s="2" t="str">
        <f>IFERROR(__xludf.DUMMYFUNCTION("REGEXEXTRACT(C1773, ""🏘️ (\w+) \w+ .* ✅"")"),"Vendre")</f>
        <v>Vendre</v>
      </c>
      <c r="G1773" s="2" t="str">
        <f>IFERROR(__xludf.DUMMYFUNCTION("REGEXEXTRACT(C1773, ""🏘️ \w+ (\w+) .* ✅"")"),"maison")</f>
        <v>maison</v>
      </c>
      <c r="H1773" s="4" t="str">
        <f>IFERROR(__xludf.DUMMYFUNCTION("REGEXEXTRACT(A1773, ""/(\w+)-.*?"")"),"lieu")</f>
        <v>lieu</v>
      </c>
      <c r="I1773" s="4" t="str">
        <f>IFERROR(__xludf.DUMMYFUNCTION("if(D1773=""variant"",  substitute(filter(Templates!E:E, Templates!A:A = F1773, Templates!B:B = G1773, Templates!C:C = H1773), ""{{}}"", E1773), B1773)"),"🏘  Vous souhaitez acheter une maison à Habkern? ✅ Jetez un œil aux dernières offres sur ImmoScout24.ch.")</f>
        <v>🏘  Vous souhaitez acheter une maison à Habkern? ✅ Jetez un œil aux dernières offres sur ImmoScout24.ch.</v>
      </c>
      <c r="J1773" s="4" t="s">
        <v>5320</v>
      </c>
    </row>
    <row r="1774">
      <c r="A1774" s="5" t="s">
        <v>5321</v>
      </c>
      <c r="B1774" s="2" t="s">
        <v>5322</v>
      </c>
      <c r="C1774" s="4" t="str">
        <f>IFERROR(__xludf.DUMMYFUNCTION("""🏘️ ""&amp;REGEXEXTRACT(B1774, ""^(.*): "")&amp;"" ✅ "" &amp;REGEXEXTRACT(B1774, ""(Trouvez.*)"")"),"🏘️ Vendre maison Horw ✅ Trouvez le bien immobilier qui correspond idéalement à vos désirs sur ImmoScout24 - La plateforme de l'immobilier en Suisse.")</f>
        <v>🏘️ Vendre maison Horw ✅ Trouvez le bien immobilier qui correspond idéalement à vos désirs sur ImmoScout24 - La plateforme de l'immobilier en Suisse.</v>
      </c>
      <c r="D1774" s="4" t="str">
        <f>vlookup(A1774, Sheet2!D:E, 2, 0)</f>
        <v>variant</v>
      </c>
      <c r="E1774" s="4" t="str">
        <f>IFERROR(__xludf.DUMMYFUNCTION("if(H1774=""pays"",vlookup(REGEXEXTRACT(C1774, ""🏘️ \w+ \w+ (.*) ✅""),'Country prepositions'!A:B, 2, 0) &amp; "" "" &amp; REGEXEXTRACT(C1774, ""🏘️ \w+ \w+ (.*) ✅"") ,  if(H1774=""quartier"",vlookup(REGEXEXTRACT(C1774, ""🏘️ \w+ \w+ (.*) ✅""),'Quartier prepositio"&amp;"ns'!A:E, 5, 0) ,  if(H1774=""region"",vlookup(REGEXEXTRACT(C1774, ""🏘️ \w+ \w+ (.*) ✅""),'Region prepositions'!B:F, 5, 0),  REGEXEXTRACT(C1774, ""🏘️ \w+ \w+ (.*) ✅""))))"),"Horw")</f>
        <v>Horw</v>
      </c>
      <c r="F1774" s="2" t="str">
        <f>IFERROR(__xludf.DUMMYFUNCTION("REGEXEXTRACT(C1774, ""🏘️ (\w+) \w+ .* ✅"")"),"Vendre")</f>
        <v>Vendre</v>
      </c>
      <c r="G1774" s="2" t="str">
        <f>IFERROR(__xludf.DUMMYFUNCTION("REGEXEXTRACT(C1774, ""🏘️ \w+ (\w+) .* ✅"")"),"maison")</f>
        <v>maison</v>
      </c>
      <c r="H1774" s="4" t="str">
        <f>IFERROR(__xludf.DUMMYFUNCTION("REGEXEXTRACT(A1774, ""/(\w+)-.*?"")"),"lieu")</f>
        <v>lieu</v>
      </c>
      <c r="I1774" s="4" t="str">
        <f>IFERROR(__xludf.DUMMYFUNCTION("if(D1774=""variant"",  substitute(filter(Templates!E:E, Templates!A:A = F1774, Templates!B:B = G1774, Templates!C:C = H1774), ""{{}}"", E1774), B1774)"),"🏘  Vous souhaitez acheter une maison à Horw? ✅ Jetez un œil aux dernières offres sur ImmoScout24.ch.")</f>
        <v>🏘  Vous souhaitez acheter une maison à Horw? ✅ Jetez un œil aux dernières offres sur ImmoScout24.ch.</v>
      </c>
      <c r="J1774" s="4" t="s">
        <v>5323</v>
      </c>
    </row>
    <row r="1775">
      <c r="A1775" s="5" t="s">
        <v>5324</v>
      </c>
      <c r="B1775" s="2" t="s">
        <v>5325</v>
      </c>
      <c r="C1775" s="4" t="str">
        <f>IFERROR(__xludf.DUMMYFUNCTION("""🏘️ ""&amp;REGEXEXTRACT(B1775, ""^(.*): "")&amp;"" ✅ "" &amp;REGEXEXTRACT(B1775, ""(Trouvez.*)"")"),"🏘️ Vendre appartement Röschenz ✅ Trouvez le bien immobilier qui correspond idéalement à vos désirs sur ImmoScout24 - La plateforme de l'immobilier en Suisse.")</f>
        <v>🏘️ Vendre appartement Röschenz ✅ Trouvez le bien immobilier qui correspond idéalement à vos désirs sur ImmoScout24 - La plateforme de l'immobilier en Suisse.</v>
      </c>
      <c r="D1775" s="4" t="str">
        <f>vlookup(A1775, Sheet2!D:E, 2, 0)</f>
        <v>variant</v>
      </c>
      <c r="E1775" s="4" t="str">
        <f>IFERROR(__xludf.DUMMYFUNCTION("if(H1775=""pays"",vlookup(REGEXEXTRACT(C1775, ""🏘️ \w+ \w+ (.*) ✅""),'Country prepositions'!A:B, 2, 0) &amp; "" "" &amp; REGEXEXTRACT(C1775, ""🏘️ \w+ \w+ (.*) ✅"") ,  if(H1775=""quartier"",vlookup(REGEXEXTRACT(C1775, ""🏘️ \w+ \w+ (.*) ✅""),'Quartier prepositio"&amp;"ns'!A:E, 5, 0) ,  if(H1775=""region"",vlookup(REGEXEXTRACT(C1775, ""🏘️ \w+ \w+ (.*) ✅""),'Region prepositions'!B:F, 5, 0),  REGEXEXTRACT(C1775, ""🏘️ \w+ \w+ (.*) ✅""))))"),"Röschenz")</f>
        <v>Röschenz</v>
      </c>
      <c r="F1775" s="2" t="str">
        <f>IFERROR(__xludf.DUMMYFUNCTION("REGEXEXTRACT(C1775, ""🏘️ (\w+) \w+ .* ✅"")"),"Vendre")</f>
        <v>Vendre</v>
      </c>
      <c r="G1775" s="2" t="str">
        <f>IFERROR(__xludf.DUMMYFUNCTION("REGEXEXTRACT(C1775, ""🏘️ \w+ (\w+) .* ✅"")"),"appartement")</f>
        <v>appartement</v>
      </c>
      <c r="H1775" s="4" t="str">
        <f>IFERROR(__xludf.DUMMYFUNCTION("REGEXEXTRACT(A1775, ""/(\w+)-.*?"")"),"lieu")</f>
        <v>lieu</v>
      </c>
      <c r="I1775" s="4" t="str">
        <f>IFERROR(__xludf.DUMMYFUNCTION("if(D1775=""variant"",  substitute(filter(Templates!E:E, Templates!A:A = F1775, Templates!B:B = G1775, Templates!C:C = H1775), ""{{}}"", E1775), B1775)"),"🏘  L’appartement de vos rêves se trouve sur ImmoScout24.ch ✅ Découvrez les dernières annonces de vente à Röschenz.")</f>
        <v>🏘  L’appartement de vos rêves se trouve sur ImmoScout24.ch ✅ Découvrez les dernières annonces de vente à Röschenz.</v>
      </c>
      <c r="J1775" s="4" t="s">
        <v>5326</v>
      </c>
    </row>
    <row r="1776">
      <c r="A1776" s="5" t="s">
        <v>5327</v>
      </c>
      <c r="B1776" s="2" t="s">
        <v>5328</v>
      </c>
      <c r="C1776" s="4" t="str">
        <f>IFERROR(__xludf.DUMMYFUNCTION("""🏘️ ""&amp;REGEXEXTRACT(B1776, ""^(.*): "")&amp;"" ✅ "" &amp;REGEXEXTRACT(B1776, ""(Trouvez.*)"")"),"🏘️ Vendre maison Gempenach ✅ Trouvez le bien immobilier qui correspond idéalement à vos désirs sur ImmoScout24 - La plateforme de l'immobilier en Suisse.")</f>
        <v>🏘️ Vendre maison Gempenach ✅ Trouvez le bien immobilier qui correspond idéalement à vos désirs sur ImmoScout24 - La plateforme de l'immobilier en Suisse.</v>
      </c>
      <c r="D1776" s="4" t="str">
        <f>vlookup(A1776, Sheet2!D:E, 2, 0)</f>
        <v>variant</v>
      </c>
      <c r="E1776" s="4" t="str">
        <f>IFERROR(__xludf.DUMMYFUNCTION("if(H1776=""pays"",vlookup(REGEXEXTRACT(C1776, ""🏘️ \w+ \w+ (.*) ✅""),'Country prepositions'!A:B, 2, 0) &amp; "" "" &amp; REGEXEXTRACT(C1776, ""🏘️ \w+ \w+ (.*) ✅"") ,  if(H1776=""quartier"",vlookup(REGEXEXTRACT(C1776, ""🏘️ \w+ \w+ (.*) ✅""),'Quartier prepositio"&amp;"ns'!A:E, 5, 0) ,  if(H1776=""region"",vlookup(REGEXEXTRACT(C1776, ""🏘️ \w+ \w+ (.*) ✅""),'Region prepositions'!B:F, 5, 0),  REGEXEXTRACT(C1776, ""🏘️ \w+ \w+ (.*) ✅""))))"),"Gempenach")</f>
        <v>Gempenach</v>
      </c>
      <c r="F1776" s="2" t="str">
        <f>IFERROR(__xludf.DUMMYFUNCTION("REGEXEXTRACT(C1776, ""🏘️ (\w+) \w+ .* ✅"")"),"Vendre")</f>
        <v>Vendre</v>
      </c>
      <c r="G1776" s="2" t="str">
        <f>IFERROR(__xludf.DUMMYFUNCTION("REGEXEXTRACT(C1776, ""🏘️ \w+ (\w+) .* ✅"")"),"maison")</f>
        <v>maison</v>
      </c>
      <c r="H1776" s="4" t="str">
        <f>IFERROR(__xludf.DUMMYFUNCTION("REGEXEXTRACT(A1776, ""/(\w+)-.*?"")"),"lieu")</f>
        <v>lieu</v>
      </c>
      <c r="I1776" s="4" t="str">
        <f>IFERROR(__xludf.DUMMYFUNCTION("if(D1776=""variant"",  substitute(filter(Templates!E:E, Templates!A:A = F1776, Templates!B:B = G1776, Templates!C:C = H1776), ""{{}}"", E1776), B1776)"),"🏘  Vous souhaitez acheter une maison à Gempenach? ✅ Jetez un œil aux dernières offres sur ImmoScout24.ch.")</f>
        <v>🏘  Vous souhaitez acheter une maison à Gempenach? ✅ Jetez un œil aux dernières offres sur ImmoScout24.ch.</v>
      </c>
      <c r="J1776" s="4" t="s">
        <v>5329</v>
      </c>
    </row>
    <row r="1777">
      <c r="A1777" s="5" t="s">
        <v>5330</v>
      </c>
      <c r="B1777" s="2" t="s">
        <v>5331</v>
      </c>
      <c r="C1777" s="4" t="str">
        <f>IFERROR(__xludf.DUMMYFUNCTION("""🏘️ ""&amp;REGEXEXTRACT(B1777, ""^(.*): "")&amp;"" ✅ "" &amp;REGEXEXTRACT(B1777, ""(Trouvez.*)"")"),"🏘️ Louer appartement Toffen ✅ Trouvez le bien immobilier qui correspond idéalement à vos désirs sur ImmoScout24 - La plateforme de l'immobilier en Suisse.")</f>
        <v>🏘️ Louer appartement Toffen ✅ Trouvez le bien immobilier qui correspond idéalement à vos désirs sur ImmoScout24 - La plateforme de l'immobilier en Suisse.</v>
      </c>
      <c r="D1777" s="4" t="str">
        <f>vlookup(A1777, Sheet2!D:E, 2, 0)</f>
        <v>variant</v>
      </c>
      <c r="E1777" s="4" t="str">
        <f>IFERROR(__xludf.DUMMYFUNCTION("if(H1777=""pays"",vlookup(REGEXEXTRACT(C1777, ""🏘️ \w+ \w+ (.*) ✅""),'Country prepositions'!A:B, 2, 0) &amp; "" "" &amp; REGEXEXTRACT(C1777, ""🏘️ \w+ \w+ (.*) ✅"") ,  if(H1777=""quartier"",vlookup(REGEXEXTRACT(C1777, ""🏘️ \w+ \w+ (.*) ✅""),'Quartier prepositio"&amp;"ns'!A:E, 5, 0) ,  if(H1777=""region"",vlookup(REGEXEXTRACT(C1777, ""🏘️ \w+ \w+ (.*) ✅""),'Region prepositions'!B:F, 5, 0),  REGEXEXTRACT(C1777, ""🏘️ \w+ \w+ (.*) ✅""))))"),"Toffen")</f>
        <v>Toffen</v>
      </c>
      <c r="F1777" s="2" t="str">
        <f>IFERROR(__xludf.DUMMYFUNCTION("REGEXEXTRACT(C1777, ""🏘️ (\w+) \w+ .* ✅"")"),"Louer")</f>
        <v>Louer</v>
      </c>
      <c r="G1777" s="2" t="str">
        <f>IFERROR(__xludf.DUMMYFUNCTION("REGEXEXTRACT(C1777, ""🏘️ \w+ (\w+) .* ✅"")"),"appartement")</f>
        <v>appartement</v>
      </c>
      <c r="H1777" s="4" t="str">
        <f>IFERROR(__xludf.DUMMYFUNCTION("REGEXEXTRACT(A1777, ""/(\w+)-.*?"")"),"lieu")</f>
        <v>lieu</v>
      </c>
      <c r="I1777" s="4" t="str">
        <f>IFERROR(__xludf.DUMMYFUNCTION("if(D1777=""variant"",  substitute(filter(Templates!E:E, Templates!A:A = F1777, Templates!B:B = G1777, Templates!C:C = H1777), ""{{}}"", E1777), B1777)"),"🏘  Vous cherchez un appartement à louer à Toffen? ✅ Les annonces les plus actuelles sont sur ImmoScout24.ch.")</f>
        <v>🏘  Vous cherchez un appartement à louer à Toffen? ✅ Les annonces les plus actuelles sont sur ImmoScout24.ch.</v>
      </c>
      <c r="J1777" s="4" t="s">
        <v>5332</v>
      </c>
    </row>
    <row r="1778">
      <c r="A1778" s="5" t="s">
        <v>5333</v>
      </c>
      <c r="B1778" s="2" t="s">
        <v>5334</v>
      </c>
      <c r="C1778" s="4" t="str">
        <f>IFERROR(__xludf.DUMMYFUNCTION("""🏘️ ""&amp;REGEXEXTRACT(B1778, ""^(.*): "")&amp;"" ✅ "" &amp;REGEXEXTRACT(B1778, ""(Trouvez.*)"")"),"🏘️ Vendre maison Cornaux NE ✅ Trouvez le bien immobilier qui correspond idéalement à vos désirs sur ImmoScout24 - La plateforme de l'immobilier en Suisse.")</f>
        <v>🏘️ Vendre maison Cornaux NE ✅ Trouvez le bien immobilier qui correspond idéalement à vos désirs sur ImmoScout24 - La plateforme de l'immobilier en Suisse.</v>
      </c>
      <c r="D1778" s="4" t="str">
        <f>vlookup(A1778, Sheet2!D:E, 2, 0)</f>
        <v>variant</v>
      </c>
      <c r="E1778" s="4" t="str">
        <f>IFERROR(__xludf.DUMMYFUNCTION("if(H1778=""pays"",vlookup(REGEXEXTRACT(C1778, ""🏘️ \w+ \w+ (.*) ✅""),'Country prepositions'!A:B, 2, 0) &amp; "" "" &amp; REGEXEXTRACT(C1778, ""🏘️ \w+ \w+ (.*) ✅"") ,  if(H1778=""quartier"",vlookup(REGEXEXTRACT(C1778, ""🏘️ \w+ \w+ (.*) ✅""),'Quartier prepositio"&amp;"ns'!A:E, 5, 0) ,  if(H1778=""region"",vlookup(REGEXEXTRACT(C1778, ""🏘️ \w+ \w+ (.*) ✅""),'Region prepositions'!B:F, 5, 0),  REGEXEXTRACT(C1778, ""🏘️ \w+ \w+ (.*) ✅""))))"),"Cornaux NE")</f>
        <v>Cornaux NE</v>
      </c>
      <c r="F1778" s="2" t="str">
        <f>IFERROR(__xludf.DUMMYFUNCTION("REGEXEXTRACT(C1778, ""🏘️ (\w+) \w+ .* ✅"")"),"Vendre")</f>
        <v>Vendre</v>
      </c>
      <c r="G1778" s="2" t="str">
        <f>IFERROR(__xludf.DUMMYFUNCTION("REGEXEXTRACT(C1778, ""🏘️ \w+ (\w+) .* ✅"")"),"maison")</f>
        <v>maison</v>
      </c>
      <c r="H1778" s="4" t="str">
        <f>IFERROR(__xludf.DUMMYFUNCTION("REGEXEXTRACT(A1778, ""/(\w+)-.*?"")"),"lieu")</f>
        <v>lieu</v>
      </c>
      <c r="I1778" s="4" t="str">
        <f>IFERROR(__xludf.DUMMYFUNCTION("if(D1778=""variant"",  substitute(filter(Templates!E:E, Templates!A:A = F1778, Templates!B:B = G1778, Templates!C:C = H1778), ""{{}}"", E1778), B1778)"),"🏘  Vous souhaitez acheter une maison à Cornaux NE? ✅ Jetez un œil aux dernières offres sur ImmoScout24.ch.")</f>
        <v>🏘  Vous souhaitez acheter une maison à Cornaux NE? ✅ Jetez un œil aux dernières offres sur ImmoScout24.ch.</v>
      </c>
      <c r="J1778" s="4" t="s">
        <v>5335</v>
      </c>
    </row>
    <row r="1779">
      <c r="A1779" s="5" t="s">
        <v>5336</v>
      </c>
      <c r="B1779" s="2" t="s">
        <v>5337</v>
      </c>
      <c r="C1779" s="4" t="str">
        <f>IFERROR(__xludf.DUMMYFUNCTION("""🏘️ ""&amp;REGEXEXTRACT(B1779, ""^(.*): "")&amp;"" ✅ "" &amp;REGEXEXTRACT(B1779, ""(Trouvez.*)"")"),"🏘️ Louer maison St-Imier ✅ Trouvez le bien immobilier qui correspond idéalement à vos désirs sur ImmoScout24 - La plateforme de l'immobilier en Suisse.")</f>
        <v>🏘️ Louer maison St-Imier ✅ Trouvez le bien immobilier qui correspond idéalement à vos désirs sur ImmoScout24 - La plateforme de l'immobilier en Suisse.</v>
      </c>
      <c r="D1779" s="4" t="str">
        <f>vlookup(A1779, Sheet2!D:E, 2, 0)</f>
        <v>variant</v>
      </c>
      <c r="E1779" s="4" t="str">
        <f>IFERROR(__xludf.DUMMYFUNCTION("if(H1779=""pays"",vlookup(REGEXEXTRACT(C1779, ""🏘️ \w+ \w+ (.*) ✅""),'Country prepositions'!A:B, 2, 0) &amp; "" "" &amp; REGEXEXTRACT(C1779, ""🏘️ \w+ \w+ (.*) ✅"") ,  if(H1779=""quartier"",vlookup(REGEXEXTRACT(C1779, ""🏘️ \w+ \w+ (.*) ✅""),'Quartier prepositio"&amp;"ns'!A:E, 5, 0) ,  if(H1779=""region"",vlookup(REGEXEXTRACT(C1779, ""🏘️ \w+ \w+ (.*) ✅""),'Region prepositions'!B:F, 5, 0),  REGEXEXTRACT(C1779, ""🏘️ \w+ \w+ (.*) ✅""))))"),"St-Imier")</f>
        <v>St-Imier</v>
      </c>
      <c r="F1779" s="2" t="str">
        <f>IFERROR(__xludf.DUMMYFUNCTION("REGEXEXTRACT(C1779, ""🏘️ (\w+) \w+ .* ✅"")"),"Louer")</f>
        <v>Louer</v>
      </c>
      <c r="G1779" s="2" t="str">
        <f>IFERROR(__xludf.DUMMYFUNCTION("REGEXEXTRACT(C1779, ""🏘️ \w+ (\w+) .* ✅"")"),"maison")</f>
        <v>maison</v>
      </c>
      <c r="H1779" s="4" t="str">
        <f>IFERROR(__xludf.DUMMYFUNCTION("REGEXEXTRACT(A1779, ""/(\w+)-.*?"")"),"lieu")</f>
        <v>lieu</v>
      </c>
      <c r="I1779" s="4" t="str">
        <f>IFERROR(__xludf.DUMMYFUNCTION("if(D1779=""variant"",  substitute(filter(Templates!E:E, Templates!A:A = F1779, Templates!B:B = G1779, Templates!C:C = H1779), ""{{}}"", E1779), B1779)"),"🏘  Vous cherchez une maison à louer à St-Imier? ✅ Découvrez nos nombreuses annonces sur ImmoScout24.ch.")</f>
        <v>🏘  Vous cherchez une maison à louer à St-Imier? ✅ Découvrez nos nombreuses annonces sur ImmoScout24.ch.</v>
      </c>
      <c r="J1779" s="4" t="s">
        <v>5338</v>
      </c>
    </row>
    <row r="1780">
      <c r="A1780" s="5" t="s">
        <v>5339</v>
      </c>
      <c r="B1780" s="2" t="s">
        <v>5340</v>
      </c>
      <c r="C1780" s="4" t="str">
        <f>IFERROR(__xludf.DUMMYFUNCTION("""🏘️ ""&amp;REGEXEXTRACT(B1780, ""^(.*): "")&amp;"" ✅ "" &amp;REGEXEXTRACT(B1780, ""(Trouvez.*)"")"),"🏘️ Vendre maison Chézard-St-Martin ✅ Trouvez le bien immobilier qui correspond idéalement à vos désirs sur ImmoScout24 - La plateforme de l'immobilier en Suisse.")</f>
        <v>🏘️ Vendre maison Chézard-St-Martin ✅ Trouvez le bien immobilier qui correspond idéalement à vos désirs sur ImmoScout24 - La plateforme de l'immobilier en Suisse.</v>
      </c>
      <c r="D1780" s="4" t="str">
        <f>vlookup(A1780, Sheet2!D:E, 2, 0)</f>
        <v>variant</v>
      </c>
      <c r="E1780" s="4" t="str">
        <f>IFERROR(__xludf.DUMMYFUNCTION("if(H1780=""pays"",vlookup(REGEXEXTRACT(C1780, ""🏘️ \w+ \w+ (.*) ✅""),'Country prepositions'!A:B, 2, 0) &amp; "" "" &amp; REGEXEXTRACT(C1780, ""🏘️ \w+ \w+ (.*) ✅"") ,  if(H1780=""quartier"",vlookup(REGEXEXTRACT(C1780, ""🏘️ \w+ \w+ (.*) ✅""),'Quartier prepositio"&amp;"ns'!A:E, 5, 0) ,  if(H1780=""region"",vlookup(REGEXEXTRACT(C1780, ""🏘️ \w+ \w+ (.*) ✅""),'Region prepositions'!B:F, 5, 0),  REGEXEXTRACT(C1780, ""🏘️ \w+ \w+ (.*) ✅""))))"),"Chézard-St-Martin")</f>
        <v>Chézard-St-Martin</v>
      </c>
      <c r="F1780" s="2" t="str">
        <f>IFERROR(__xludf.DUMMYFUNCTION("REGEXEXTRACT(C1780, ""🏘️ (\w+) \w+ .* ✅"")"),"Vendre")</f>
        <v>Vendre</v>
      </c>
      <c r="G1780" s="2" t="str">
        <f>IFERROR(__xludf.DUMMYFUNCTION("REGEXEXTRACT(C1780, ""🏘️ \w+ (\w+) .* ✅"")"),"maison")</f>
        <v>maison</v>
      </c>
      <c r="H1780" s="4" t="str">
        <f>IFERROR(__xludf.DUMMYFUNCTION("REGEXEXTRACT(A1780, ""/(\w+)-.*?"")"),"lieu")</f>
        <v>lieu</v>
      </c>
      <c r="I1780" s="4" t="str">
        <f>IFERROR(__xludf.DUMMYFUNCTION("if(D1780=""variant"",  substitute(filter(Templates!E:E, Templates!A:A = F1780, Templates!B:B = G1780, Templates!C:C = H1780), ""{{}}"", E1780), B1780)"),"🏘  Vous souhaitez acheter une maison à Chézard-St-Martin? ✅ Jetez un œil aux dernières offres sur ImmoScout24.ch.")</f>
        <v>🏘  Vous souhaitez acheter une maison à Chézard-St-Martin? ✅ Jetez un œil aux dernières offres sur ImmoScout24.ch.</v>
      </c>
      <c r="J1780" s="4" t="s">
        <v>5341</v>
      </c>
    </row>
    <row r="1781">
      <c r="A1781" s="5" t="s">
        <v>5342</v>
      </c>
      <c r="B1781" s="2" t="s">
        <v>5343</v>
      </c>
      <c r="C1781" s="4" t="str">
        <f>IFERROR(__xludf.DUMMYFUNCTION("""🏘️ ""&amp;REGEXEXTRACT(B1781, ""^(.*): "")&amp;"" ✅ "" &amp;REGEXEXTRACT(B1781, ""(Trouvez.*)"")"),"🏘️ Vendre appartement Champoussin ✅ Trouvez le bien immobilier qui correspond idéalement à vos désirs sur ImmoScout24 - La plateforme de l'immobilier en Suisse.")</f>
        <v>🏘️ Vendre appartement Champoussin ✅ Trouvez le bien immobilier qui correspond idéalement à vos désirs sur ImmoScout24 - La plateforme de l'immobilier en Suisse.</v>
      </c>
      <c r="D1781" s="4" t="str">
        <f>vlookup(A1781, Sheet2!D:E, 2, 0)</f>
        <v>variant</v>
      </c>
      <c r="E1781" s="4" t="str">
        <f>IFERROR(__xludf.DUMMYFUNCTION("if(H1781=""pays"",vlookup(REGEXEXTRACT(C1781, ""🏘️ \w+ \w+ (.*) ✅""),'Country prepositions'!A:B, 2, 0) &amp; "" "" &amp; REGEXEXTRACT(C1781, ""🏘️ \w+ \w+ (.*) ✅"") ,  if(H1781=""quartier"",vlookup(REGEXEXTRACT(C1781, ""🏘️ \w+ \w+ (.*) ✅""),'Quartier prepositio"&amp;"ns'!A:E, 5, 0) ,  if(H1781=""region"",vlookup(REGEXEXTRACT(C1781, ""🏘️ \w+ \w+ (.*) ✅""),'Region prepositions'!B:F, 5, 0),  REGEXEXTRACT(C1781, ""🏘️ \w+ \w+ (.*) ✅""))))"),"Champoussin")</f>
        <v>Champoussin</v>
      </c>
      <c r="F1781" s="2" t="str">
        <f>IFERROR(__xludf.DUMMYFUNCTION("REGEXEXTRACT(C1781, ""🏘️ (\w+) \w+ .* ✅"")"),"Vendre")</f>
        <v>Vendre</v>
      </c>
      <c r="G1781" s="2" t="str">
        <f>IFERROR(__xludf.DUMMYFUNCTION("REGEXEXTRACT(C1781, ""🏘️ \w+ (\w+) .* ✅"")"),"appartement")</f>
        <v>appartement</v>
      </c>
      <c r="H1781" s="4" t="str">
        <f>IFERROR(__xludf.DUMMYFUNCTION("REGEXEXTRACT(A1781, ""/(\w+)-.*?"")"),"lieu")</f>
        <v>lieu</v>
      </c>
      <c r="I1781" s="4" t="str">
        <f>IFERROR(__xludf.DUMMYFUNCTION("if(D1781=""variant"",  substitute(filter(Templates!E:E, Templates!A:A = F1781, Templates!B:B = G1781, Templates!C:C = H1781), ""{{}}"", E1781), B1781)"),"🏘  L’appartement de vos rêves se trouve sur ImmoScout24.ch ✅ Découvrez les dernières annonces de vente à Champoussin.")</f>
        <v>🏘  L’appartement de vos rêves se trouve sur ImmoScout24.ch ✅ Découvrez les dernières annonces de vente à Champoussin.</v>
      </c>
      <c r="J1781" s="4" t="s">
        <v>5344</v>
      </c>
    </row>
    <row r="1782">
      <c r="A1782" s="5" t="s">
        <v>5345</v>
      </c>
      <c r="B1782" s="2" t="s">
        <v>5346</v>
      </c>
      <c r="C1782" s="4" t="str">
        <f>IFERROR(__xludf.DUMMYFUNCTION("""🏘️ ""&amp;REGEXEXTRACT(B1782, ""^(.*): "")&amp;"" ✅ "" &amp;REGEXEXTRACT(B1782, ""(Trouvez.*)"")"),"🏘️ Vendre maison Lully FR ✅ Trouvez le bien immobilier qui correspond idéalement à vos désirs sur ImmoScout24 - La plateforme de l'immobilier en Suisse.")</f>
        <v>🏘️ Vendre maison Lully FR ✅ Trouvez le bien immobilier qui correspond idéalement à vos désirs sur ImmoScout24 - La plateforme de l'immobilier en Suisse.</v>
      </c>
      <c r="D1782" s="4" t="str">
        <f>vlookup(A1782, Sheet2!D:E, 2, 0)</f>
        <v>variant</v>
      </c>
      <c r="E1782" s="4" t="str">
        <f>IFERROR(__xludf.DUMMYFUNCTION("if(H1782=""pays"",vlookup(REGEXEXTRACT(C1782, ""🏘️ \w+ \w+ (.*) ✅""),'Country prepositions'!A:B, 2, 0) &amp; "" "" &amp; REGEXEXTRACT(C1782, ""🏘️ \w+ \w+ (.*) ✅"") ,  if(H1782=""quartier"",vlookup(REGEXEXTRACT(C1782, ""🏘️ \w+ \w+ (.*) ✅""),'Quartier prepositio"&amp;"ns'!A:E, 5, 0) ,  if(H1782=""region"",vlookup(REGEXEXTRACT(C1782, ""🏘️ \w+ \w+ (.*) ✅""),'Region prepositions'!B:F, 5, 0),  REGEXEXTRACT(C1782, ""🏘️ \w+ \w+ (.*) ✅""))))"),"Lully FR")</f>
        <v>Lully FR</v>
      </c>
      <c r="F1782" s="2" t="str">
        <f>IFERROR(__xludf.DUMMYFUNCTION("REGEXEXTRACT(C1782, ""🏘️ (\w+) \w+ .* ✅"")"),"Vendre")</f>
        <v>Vendre</v>
      </c>
      <c r="G1782" s="2" t="str">
        <f>IFERROR(__xludf.DUMMYFUNCTION("REGEXEXTRACT(C1782, ""🏘️ \w+ (\w+) .* ✅"")"),"maison")</f>
        <v>maison</v>
      </c>
      <c r="H1782" s="4" t="str">
        <f>IFERROR(__xludf.DUMMYFUNCTION("REGEXEXTRACT(A1782, ""/(\w+)-.*?"")"),"lieu")</f>
        <v>lieu</v>
      </c>
      <c r="I1782" s="4" t="str">
        <f>IFERROR(__xludf.DUMMYFUNCTION("if(D1782=""variant"",  substitute(filter(Templates!E:E, Templates!A:A = F1782, Templates!B:B = G1782, Templates!C:C = H1782), ""{{}}"", E1782), B1782)"),"🏘  Vous souhaitez acheter une maison à Lully FR? ✅ Jetez un œil aux dernières offres sur ImmoScout24.ch.")</f>
        <v>🏘  Vous souhaitez acheter une maison à Lully FR? ✅ Jetez un œil aux dernières offres sur ImmoScout24.ch.</v>
      </c>
      <c r="J1782" s="4" t="s">
        <v>5347</v>
      </c>
    </row>
    <row r="1783">
      <c r="A1783" s="5" t="s">
        <v>5348</v>
      </c>
      <c r="B1783" s="2" t="s">
        <v>5349</v>
      </c>
      <c r="C1783" s="4" t="str">
        <f>IFERROR(__xludf.DUMMYFUNCTION("""🏘️ ""&amp;REGEXEXTRACT(B1783, ""^(.*): "")&amp;"" ✅ "" &amp;REGEXEXTRACT(B1783, ""(Trouvez.*)"")"),"🏘️ Louer appartement Vinet - Pontaise (Lausanne) ✅ Trouvez le bien immobilier qui correspond idéalement à vos désirs sur ImmoScout24 - La plateforme de l'immobilier en Suisse.")</f>
        <v>🏘️ Louer appartement Vinet - Pontaise (Lausanne) ✅ Trouvez le bien immobilier qui correspond idéalement à vos désirs sur ImmoScout24 - La plateforme de l'immobilier en Suisse.</v>
      </c>
      <c r="D1783" s="4" t="str">
        <f>vlookup(A1783, Sheet2!D:E, 2, 0)</f>
        <v>variant</v>
      </c>
      <c r="E1783" s="4" t="str">
        <f>IFERROR(__xludf.DUMMYFUNCTION("if(H1783=""pays"",vlookup(REGEXEXTRACT(C1783, ""🏘️ \w+ \w+ (.*) ✅""),'Country prepositions'!A:B, 2, 0) &amp; "" "" &amp; REGEXEXTRACT(C1783, ""🏘️ \w+ \w+ (.*) ✅"") ,  if(H1783=""quartier"",vlookup(REGEXEXTRACT(C1783, ""🏘️ \w+ \w+ (.*) ✅""),'Quartier prepositio"&amp;"ns'!A:E, 5, 0) ,  if(H1783=""region"",vlookup(REGEXEXTRACT(C1783, ""🏘️ \w+ \w+ (.*) ✅""),'Region prepositions'!B:F, 5, 0),  REGEXEXTRACT(C1783, ""🏘️ \w+ \w+ (.*) ✅""))))"),"dans le quartier de Vinet - Pontaise (Lausanne)")</f>
        <v>dans le quartier de Vinet - Pontaise (Lausanne)</v>
      </c>
      <c r="F1783" s="2" t="str">
        <f>IFERROR(__xludf.DUMMYFUNCTION("REGEXEXTRACT(C1783, ""🏘️ (\w+) \w+ .* ✅"")"),"Louer")</f>
        <v>Louer</v>
      </c>
      <c r="G1783" s="2" t="str">
        <f>IFERROR(__xludf.DUMMYFUNCTION("REGEXEXTRACT(C1783, ""🏘️ \w+ (\w+) .* ✅"")"),"appartement")</f>
        <v>appartement</v>
      </c>
      <c r="H1783" s="4" t="str">
        <f>IFERROR(__xludf.DUMMYFUNCTION("REGEXEXTRACT(A1783, ""/(\w+)-.*?"")"),"quartier")</f>
        <v>quartier</v>
      </c>
      <c r="I1783" s="4" t="str">
        <f>IFERROR(__xludf.DUMMYFUNCTION("if(D1783=""variant"",  substitute(filter(Templates!E:E, Templates!A:A = F1783, Templates!B:B = G1783, Templates!C:C = H1783), ""{{}}"", E1783), B1783)"),"🏘  Vous cherchez un appartement à louer dans le quartier de Vinet - Pontaise (Lausanne)? ✅ Les annonces les plus actuelles sont sur ImmoScout24.ch.")</f>
        <v>🏘  Vous cherchez un appartement à louer dans le quartier de Vinet - Pontaise (Lausanne)? ✅ Les annonces les plus actuelles sont sur ImmoScout24.ch.</v>
      </c>
      <c r="J1783" s="4" t="s">
        <v>5350</v>
      </c>
    </row>
    <row r="1784">
      <c r="A1784" s="5" t="s">
        <v>5351</v>
      </c>
      <c r="B1784" s="2" t="s">
        <v>5352</v>
      </c>
      <c r="C1784" s="4" t="str">
        <f>IFERROR(__xludf.DUMMYFUNCTION("""🏘️ ""&amp;REGEXEXTRACT(B1784, ""^(.*): "")&amp;"" ✅ "" &amp;REGEXEXTRACT(B1784, ""(Trouvez.*)"")"),"🏘️ Vendre appartement Cronay ✅ Trouvez le bien immobilier qui correspond idéalement à vos désirs sur ImmoScout24 - La plateforme de l'immobilier en Suisse.")</f>
        <v>🏘️ Vendre appartement Cronay ✅ Trouvez le bien immobilier qui correspond idéalement à vos désirs sur ImmoScout24 - La plateforme de l'immobilier en Suisse.</v>
      </c>
      <c r="D1784" s="4" t="str">
        <f>vlookup(A1784, Sheet2!D:E, 2, 0)</f>
        <v>variant</v>
      </c>
      <c r="E1784" s="4" t="str">
        <f>IFERROR(__xludf.DUMMYFUNCTION("if(H1784=""pays"",vlookup(REGEXEXTRACT(C1784, ""🏘️ \w+ \w+ (.*) ✅""),'Country prepositions'!A:B, 2, 0) &amp; "" "" &amp; REGEXEXTRACT(C1784, ""🏘️ \w+ \w+ (.*) ✅"") ,  if(H1784=""quartier"",vlookup(REGEXEXTRACT(C1784, ""🏘️ \w+ \w+ (.*) ✅""),'Quartier prepositio"&amp;"ns'!A:E, 5, 0) ,  if(H1784=""region"",vlookup(REGEXEXTRACT(C1784, ""🏘️ \w+ \w+ (.*) ✅""),'Region prepositions'!B:F, 5, 0),  REGEXEXTRACT(C1784, ""🏘️ \w+ \w+ (.*) ✅""))))"),"Cronay")</f>
        <v>Cronay</v>
      </c>
      <c r="F1784" s="2" t="str">
        <f>IFERROR(__xludf.DUMMYFUNCTION("REGEXEXTRACT(C1784, ""🏘️ (\w+) \w+ .* ✅"")"),"Vendre")</f>
        <v>Vendre</v>
      </c>
      <c r="G1784" s="2" t="str">
        <f>IFERROR(__xludf.DUMMYFUNCTION("REGEXEXTRACT(C1784, ""🏘️ \w+ (\w+) .* ✅"")"),"appartement")</f>
        <v>appartement</v>
      </c>
      <c r="H1784" s="4" t="str">
        <f>IFERROR(__xludf.DUMMYFUNCTION("REGEXEXTRACT(A1784, ""/(\w+)-.*?"")"),"lieu")</f>
        <v>lieu</v>
      </c>
      <c r="I1784" s="4" t="str">
        <f>IFERROR(__xludf.DUMMYFUNCTION("if(D1784=""variant"",  substitute(filter(Templates!E:E, Templates!A:A = F1784, Templates!B:B = G1784, Templates!C:C = H1784), ""{{}}"", E1784), B1784)"),"🏘  L’appartement de vos rêves se trouve sur ImmoScout24.ch ✅ Découvrez les dernières annonces de vente à Cronay.")</f>
        <v>🏘  L’appartement de vos rêves se trouve sur ImmoScout24.ch ✅ Découvrez les dernières annonces de vente à Cronay.</v>
      </c>
      <c r="J1784" s="4" t="s">
        <v>5353</v>
      </c>
    </row>
    <row r="1785">
      <c r="A1785" s="5" t="s">
        <v>5354</v>
      </c>
      <c r="B1785" s="2" t="s">
        <v>5355</v>
      </c>
      <c r="C1785" s="4" t="str">
        <f>IFERROR(__xludf.DUMMYFUNCTION("""🏘️ ""&amp;REGEXEXTRACT(B1785, ""^(.*): "")&amp;"" ✅ "" &amp;REGEXEXTRACT(B1785, ""(Trouvez.*)"")"),"🏘️ Vendre appartement Malleray ✅ Trouvez le bien immobilier qui correspond idéalement à vos désirs sur ImmoScout24 - La plateforme de l'immobilier en Suisse.")</f>
        <v>🏘️ Vendre appartement Malleray ✅ Trouvez le bien immobilier qui correspond idéalement à vos désirs sur ImmoScout24 - La plateforme de l'immobilier en Suisse.</v>
      </c>
      <c r="D1785" s="4" t="str">
        <f>vlookup(A1785, Sheet2!D:E, 2, 0)</f>
        <v>variant</v>
      </c>
      <c r="E1785" s="4" t="str">
        <f>IFERROR(__xludf.DUMMYFUNCTION("if(H1785=""pays"",vlookup(REGEXEXTRACT(C1785, ""🏘️ \w+ \w+ (.*) ✅""),'Country prepositions'!A:B, 2, 0) &amp; "" "" &amp; REGEXEXTRACT(C1785, ""🏘️ \w+ \w+ (.*) ✅"") ,  if(H1785=""quartier"",vlookup(REGEXEXTRACT(C1785, ""🏘️ \w+ \w+ (.*) ✅""),'Quartier prepositio"&amp;"ns'!A:E, 5, 0) ,  if(H1785=""region"",vlookup(REGEXEXTRACT(C1785, ""🏘️ \w+ \w+ (.*) ✅""),'Region prepositions'!B:F, 5, 0),  REGEXEXTRACT(C1785, ""🏘️ \w+ \w+ (.*) ✅""))))"),"Malleray")</f>
        <v>Malleray</v>
      </c>
      <c r="F1785" s="2" t="str">
        <f>IFERROR(__xludf.DUMMYFUNCTION("REGEXEXTRACT(C1785, ""🏘️ (\w+) \w+ .* ✅"")"),"Vendre")</f>
        <v>Vendre</v>
      </c>
      <c r="G1785" s="2" t="str">
        <f>IFERROR(__xludf.DUMMYFUNCTION("REGEXEXTRACT(C1785, ""🏘️ \w+ (\w+) .* ✅"")"),"appartement")</f>
        <v>appartement</v>
      </c>
      <c r="H1785" s="4" t="str">
        <f>IFERROR(__xludf.DUMMYFUNCTION("REGEXEXTRACT(A1785, ""/(\w+)-.*?"")"),"lieu")</f>
        <v>lieu</v>
      </c>
      <c r="I1785" s="4" t="str">
        <f>IFERROR(__xludf.DUMMYFUNCTION("if(D1785=""variant"",  substitute(filter(Templates!E:E, Templates!A:A = F1785, Templates!B:B = G1785, Templates!C:C = H1785), ""{{}}"", E1785), B1785)"),"🏘  L’appartement de vos rêves se trouve sur ImmoScout24.ch ✅ Découvrez les dernières annonces de vente à Malleray.")</f>
        <v>🏘  L’appartement de vos rêves se trouve sur ImmoScout24.ch ✅ Découvrez les dernières annonces de vente à Malleray.</v>
      </c>
      <c r="J1785" s="4" t="s">
        <v>5356</v>
      </c>
    </row>
    <row r="1786">
      <c r="A1786" s="5" t="s">
        <v>5357</v>
      </c>
      <c r="B1786" s="2" t="s">
        <v>5358</v>
      </c>
      <c r="C1786" s="4" t="str">
        <f>IFERROR(__xludf.DUMMYFUNCTION("""🏘️ ""&amp;REGEXEXTRACT(B1786, ""^(.*): "")&amp;"" ✅ "" &amp;REGEXEXTRACT(B1786, ""(Trouvez.*)"")"),"🏘️ Vendre appartement Hallwil ✅ Trouvez le bien immobilier qui correspond idéalement à vos désirs sur ImmoScout24 - La plateforme de l'immobilier en Suisse.")</f>
        <v>🏘️ Vendre appartement Hallwil ✅ Trouvez le bien immobilier qui correspond idéalement à vos désirs sur ImmoScout24 - La plateforme de l'immobilier en Suisse.</v>
      </c>
      <c r="D1786" s="4" t="str">
        <f>vlookup(A1786, Sheet2!D:E, 2, 0)</f>
        <v>variant</v>
      </c>
      <c r="E1786" s="4" t="str">
        <f>IFERROR(__xludf.DUMMYFUNCTION("if(H1786=""pays"",vlookup(REGEXEXTRACT(C1786, ""🏘️ \w+ \w+ (.*) ✅""),'Country prepositions'!A:B, 2, 0) &amp; "" "" &amp; REGEXEXTRACT(C1786, ""🏘️ \w+ \w+ (.*) ✅"") ,  if(H1786=""quartier"",vlookup(REGEXEXTRACT(C1786, ""🏘️ \w+ \w+ (.*) ✅""),'Quartier prepositio"&amp;"ns'!A:E, 5, 0) ,  if(H1786=""region"",vlookup(REGEXEXTRACT(C1786, ""🏘️ \w+ \w+ (.*) ✅""),'Region prepositions'!B:F, 5, 0),  REGEXEXTRACT(C1786, ""🏘️ \w+ \w+ (.*) ✅""))))"),"Hallwil")</f>
        <v>Hallwil</v>
      </c>
      <c r="F1786" s="2" t="str">
        <f>IFERROR(__xludf.DUMMYFUNCTION("REGEXEXTRACT(C1786, ""🏘️ (\w+) \w+ .* ✅"")"),"Vendre")</f>
        <v>Vendre</v>
      </c>
      <c r="G1786" s="2" t="str">
        <f>IFERROR(__xludf.DUMMYFUNCTION("REGEXEXTRACT(C1786, ""🏘️ \w+ (\w+) .* ✅"")"),"appartement")</f>
        <v>appartement</v>
      </c>
      <c r="H1786" s="4" t="str">
        <f>IFERROR(__xludf.DUMMYFUNCTION("REGEXEXTRACT(A1786, ""/(\w+)-.*?"")"),"lieu")</f>
        <v>lieu</v>
      </c>
      <c r="I1786" s="4" t="str">
        <f>IFERROR(__xludf.DUMMYFUNCTION("if(D1786=""variant"",  substitute(filter(Templates!E:E, Templates!A:A = F1786, Templates!B:B = G1786, Templates!C:C = H1786), ""{{}}"", E1786), B1786)"),"🏘  L’appartement de vos rêves se trouve sur ImmoScout24.ch ✅ Découvrez les dernières annonces de vente à Hallwil.")</f>
        <v>🏘  L’appartement de vos rêves se trouve sur ImmoScout24.ch ✅ Découvrez les dernières annonces de vente à Hallwil.</v>
      </c>
      <c r="J1786" s="4" t="s">
        <v>5359</v>
      </c>
    </row>
    <row r="1787">
      <c r="A1787" s="5" t="s">
        <v>5360</v>
      </c>
      <c r="B1787" s="2" t="s">
        <v>5361</v>
      </c>
      <c r="C1787" s="4" t="str">
        <f>IFERROR(__xludf.DUMMYFUNCTION("""🏘️ ""&amp;REGEXEXTRACT(B1787, ""^(.*): "")&amp;"" ✅ "" &amp;REGEXEXTRACT(B1787, ""(Trouvez.*)"")"),"🏘️ Vendre appartement Beauregard (Fribourg) ✅ Trouvez le bien immobilier qui correspond idéalement à vos désirs sur ImmoScout24 - La plateforme de l'immobilier en Suisse.")</f>
        <v>🏘️ Vendre appartement Beauregard (Fribourg) ✅ Trouvez le bien immobilier qui correspond idéalement à vos désirs sur ImmoScout24 - La plateforme de l'immobilier en Suisse.</v>
      </c>
      <c r="D1787" s="4" t="str">
        <f>vlookup(A1787, Sheet2!D:E, 2, 0)</f>
        <v>variant</v>
      </c>
      <c r="E1787" s="4" t="str">
        <f>IFERROR(__xludf.DUMMYFUNCTION("if(H1787=""pays"",vlookup(REGEXEXTRACT(C1787, ""🏘️ \w+ \w+ (.*) ✅""),'Country prepositions'!A:B, 2, 0) &amp; "" "" &amp; REGEXEXTRACT(C1787, ""🏘️ \w+ \w+ (.*) ✅"") ,  if(H1787=""quartier"",vlookup(REGEXEXTRACT(C1787, ""🏘️ \w+ \w+ (.*) ✅""),'Quartier prepositio"&amp;"ns'!A:E, 5, 0) ,  if(H1787=""region"",vlookup(REGEXEXTRACT(C1787, ""🏘️ \w+ \w+ (.*) ✅""),'Region prepositions'!B:F, 5, 0),  REGEXEXTRACT(C1787, ""🏘️ \w+ \w+ (.*) ✅""))))"),"dans le quartier de Beauregard (Fribourg)")</f>
        <v>dans le quartier de Beauregard (Fribourg)</v>
      </c>
      <c r="F1787" s="2" t="str">
        <f>IFERROR(__xludf.DUMMYFUNCTION("REGEXEXTRACT(C1787, ""🏘️ (\w+) \w+ .* ✅"")"),"Vendre")</f>
        <v>Vendre</v>
      </c>
      <c r="G1787" s="2" t="str">
        <f>IFERROR(__xludf.DUMMYFUNCTION("REGEXEXTRACT(C1787, ""🏘️ \w+ (\w+) .* ✅"")"),"appartement")</f>
        <v>appartement</v>
      </c>
      <c r="H1787" s="4" t="str">
        <f>IFERROR(__xludf.DUMMYFUNCTION("REGEXEXTRACT(A1787, ""/(\w+)-.*?"")"),"quartier")</f>
        <v>quartier</v>
      </c>
      <c r="I1787" s="4" t="str">
        <f>IFERROR(__xludf.DUMMYFUNCTION("if(D1787=""variant"",  substitute(filter(Templates!E:E, Templates!A:A = F1787, Templates!B:B = G1787, Templates!C:C = H1787), ""{{}}"", E1787), B1787)"),"🏘  L’appartement de vos rêves se trouve sur ImmoScout24.ch ✅ Découvrez les dernières annonces de vente dans le quartier de Beauregard (Fribourg).")</f>
        <v>🏘  L’appartement de vos rêves se trouve sur ImmoScout24.ch ✅ Découvrez les dernières annonces de vente dans le quartier de Beauregard (Fribourg).</v>
      </c>
      <c r="J1787" s="4" t="s">
        <v>5362</v>
      </c>
    </row>
    <row r="1788">
      <c r="A1788" s="5" t="s">
        <v>5363</v>
      </c>
      <c r="B1788" s="2" t="s">
        <v>5364</v>
      </c>
      <c r="C1788" s="4" t="str">
        <f>IFERROR(__xludf.DUMMYFUNCTION("""🏘️ ""&amp;REGEXEXTRACT(B1788, ""^(.*): "")&amp;"" ✅ "" &amp;REGEXEXTRACT(B1788, ""(Trouvez.*)"")"),"🏘️ Louer maison Thoune - Lac de Thoune nord ✅ Trouvez le bien immobilier qui correspond idéalement à vos désirs sur ImmoScout24 - La plateforme de l'immobilier en Suisse.")</f>
        <v>🏘️ Louer maison Thoune - Lac de Thoune nord ✅ Trouvez le bien immobilier qui correspond idéalement à vos désirs sur ImmoScout24 - La plateforme de l'immobilier en Suisse.</v>
      </c>
      <c r="D1788" s="4" t="str">
        <f>vlookup(A1788, Sheet2!D:E, 2, 0)</f>
        <v>variant</v>
      </c>
      <c r="E1788" s="4" t="str">
        <f>IFERROR(__xludf.DUMMYFUNCTION("if(H1788=""pays"",vlookup(REGEXEXTRACT(C1788, ""🏘️ \w+ \w+ (.*) ✅""),'Country prepositions'!A:B, 2, 0) &amp; "" "" &amp; REGEXEXTRACT(C1788, ""🏘️ \w+ \w+ (.*) ✅"") ,  if(H1788=""quartier"",vlookup(REGEXEXTRACT(C1788, ""🏘️ \w+ \w+ (.*) ✅""),'Quartier prepositio"&amp;"ns'!A:E, 5, 0) ,  if(H1788=""region"",vlookup(REGEXEXTRACT(C1788, ""🏘️ \w+ \w+ (.*) ✅""),'Region prepositions'!B:F, 5, 0),  REGEXEXTRACT(C1788, ""🏘️ \w+ \w+ (.*) ✅""))))"),"près de Thoune - Lac de Thoune nord")</f>
        <v>près de Thoune - Lac de Thoune nord</v>
      </c>
      <c r="F1788" s="2" t="str">
        <f>IFERROR(__xludf.DUMMYFUNCTION("REGEXEXTRACT(C1788, ""🏘️ (\w+) \w+ .* ✅"")"),"Louer")</f>
        <v>Louer</v>
      </c>
      <c r="G1788" s="2" t="str">
        <f>IFERROR(__xludf.DUMMYFUNCTION("REGEXEXTRACT(C1788, ""🏘️ \w+ (\w+) .* ✅"")"),"maison")</f>
        <v>maison</v>
      </c>
      <c r="H1788" s="4" t="str">
        <f>IFERROR(__xludf.DUMMYFUNCTION("REGEXEXTRACT(A1788, ""/(\w+)-.*?"")"),"region")</f>
        <v>region</v>
      </c>
      <c r="I1788" s="4" t="str">
        <f>IFERROR(__xludf.DUMMYFUNCTION("if(D1788=""variant"",  substitute(filter(Templates!E:E, Templates!A:A = F1788, Templates!B:B = G1788, Templates!C:C = H1788), ""{{}}"", E1788), B1788)"),"🏘  Vous cherchez une maison à louer près de Thoune - Lac de Thoune nord? ✅ Découvrez nos nombreuses annonces sur ImmoScout24.ch.")</f>
        <v>🏘  Vous cherchez une maison à louer près de Thoune - Lac de Thoune nord? ✅ Découvrez nos nombreuses annonces sur ImmoScout24.ch.</v>
      </c>
      <c r="J1788" s="4" t="s">
        <v>5365</v>
      </c>
    </row>
    <row r="1789">
      <c r="A1789" s="5" t="s">
        <v>5366</v>
      </c>
      <c r="B1789" s="2" t="s">
        <v>5367</v>
      </c>
      <c r="C1789" s="4" t="str">
        <f>IFERROR(__xludf.DUMMYFUNCTION("""🏘️ ""&amp;REGEXEXTRACT(B1789, ""^(.*): "")&amp;"" ✅ "" &amp;REGEXEXTRACT(B1789, ""(Trouvez.*)"")"),"🏘️ Louer appartement Gross ✅ Trouvez le bien immobilier qui correspond idéalement à vos désirs sur ImmoScout24 - La plateforme de l'immobilier en Suisse.")</f>
        <v>🏘️ Louer appartement Gross ✅ Trouvez le bien immobilier qui correspond idéalement à vos désirs sur ImmoScout24 - La plateforme de l'immobilier en Suisse.</v>
      </c>
      <c r="D1789" s="4" t="str">
        <f>vlookup(A1789, Sheet2!D:E, 2, 0)</f>
        <v>variant</v>
      </c>
      <c r="E1789" s="4" t="str">
        <f>IFERROR(__xludf.DUMMYFUNCTION("if(H1789=""pays"",vlookup(REGEXEXTRACT(C1789, ""🏘️ \w+ \w+ (.*) ✅""),'Country prepositions'!A:B, 2, 0) &amp; "" "" &amp; REGEXEXTRACT(C1789, ""🏘️ \w+ \w+ (.*) ✅"") ,  if(H1789=""quartier"",vlookup(REGEXEXTRACT(C1789, ""🏘️ \w+ \w+ (.*) ✅""),'Quartier prepositio"&amp;"ns'!A:E, 5, 0) ,  if(H1789=""region"",vlookup(REGEXEXTRACT(C1789, ""🏘️ \w+ \w+ (.*) ✅""),'Region prepositions'!B:F, 5, 0),  REGEXEXTRACT(C1789, ""🏘️ \w+ \w+ (.*) ✅""))))"),"Gross")</f>
        <v>Gross</v>
      </c>
      <c r="F1789" s="2" t="str">
        <f>IFERROR(__xludf.DUMMYFUNCTION("REGEXEXTRACT(C1789, ""🏘️ (\w+) \w+ .* ✅"")"),"Louer")</f>
        <v>Louer</v>
      </c>
      <c r="G1789" s="2" t="str">
        <f>IFERROR(__xludf.DUMMYFUNCTION("REGEXEXTRACT(C1789, ""🏘️ \w+ (\w+) .* ✅"")"),"appartement")</f>
        <v>appartement</v>
      </c>
      <c r="H1789" s="4" t="str">
        <f>IFERROR(__xludf.DUMMYFUNCTION("REGEXEXTRACT(A1789, ""/(\w+)-.*?"")"),"lieu")</f>
        <v>lieu</v>
      </c>
      <c r="I1789" s="4" t="str">
        <f>IFERROR(__xludf.DUMMYFUNCTION("if(D1789=""variant"",  substitute(filter(Templates!E:E, Templates!A:A = F1789, Templates!B:B = G1789, Templates!C:C = H1789), ""{{}}"", E1789), B1789)"),"🏘  Vous cherchez un appartement à louer à Gross? ✅ Les annonces les plus actuelles sont sur ImmoScout24.ch.")</f>
        <v>🏘  Vous cherchez un appartement à louer à Gross? ✅ Les annonces les plus actuelles sont sur ImmoScout24.ch.</v>
      </c>
      <c r="J1789" s="4" t="s">
        <v>5368</v>
      </c>
    </row>
    <row r="1790">
      <c r="A1790" s="5" t="s">
        <v>5369</v>
      </c>
      <c r="B1790" s="2" t="s">
        <v>5370</v>
      </c>
      <c r="C1790" s="4" t="str">
        <f>IFERROR(__xludf.DUMMYFUNCTION("""🏘️ ""&amp;REGEXEXTRACT(B1790, ""^(.*): "")&amp;"" ✅ "" &amp;REGEXEXTRACT(B1790, ""(Trouvez.*)"")"),"🏘️ Vendre maison Vaumarcus ✅ Trouvez le bien immobilier qui correspond idéalement à vos désirs sur ImmoScout24 - La plateforme de l'immobilier en Suisse.")</f>
        <v>🏘️ Vendre maison Vaumarcus ✅ Trouvez le bien immobilier qui correspond idéalement à vos désirs sur ImmoScout24 - La plateforme de l'immobilier en Suisse.</v>
      </c>
      <c r="D1790" s="4" t="str">
        <f>vlookup(A1790, Sheet2!D:E, 2, 0)</f>
        <v>variant</v>
      </c>
      <c r="E1790" s="4" t="str">
        <f>IFERROR(__xludf.DUMMYFUNCTION("if(H1790=""pays"",vlookup(REGEXEXTRACT(C1790, ""🏘️ \w+ \w+ (.*) ✅""),'Country prepositions'!A:B, 2, 0) &amp; "" "" &amp; REGEXEXTRACT(C1790, ""🏘️ \w+ \w+ (.*) ✅"") ,  if(H1790=""quartier"",vlookup(REGEXEXTRACT(C1790, ""🏘️ \w+ \w+ (.*) ✅""),'Quartier prepositio"&amp;"ns'!A:E, 5, 0) ,  if(H1790=""region"",vlookup(REGEXEXTRACT(C1790, ""🏘️ \w+ \w+ (.*) ✅""),'Region prepositions'!B:F, 5, 0),  REGEXEXTRACT(C1790, ""🏘️ \w+ \w+ (.*) ✅""))))"),"Vaumarcus")</f>
        <v>Vaumarcus</v>
      </c>
      <c r="F1790" s="2" t="str">
        <f>IFERROR(__xludf.DUMMYFUNCTION("REGEXEXTRACT(C1790, ""🏘️ (\w+) \w+ .* ✅"")"),"Vendre")</f>
        <v>Vendre</v>
      </c>
      <c r="G1790" s="2" t="str">
        <f>IFERROR(__xludf.DUMMYFUNCTION("REGEXEXTRACT(C1790, ""🏘️ \w+ (\w+) .* ✅"")"),"maison")</f>
        <v>maison</v>
      </c>
      <c r="H1790" s="4" t="str">
        <f>IFERROR(__xludf.DUMMYFUNCTION("REGEXEXTRACT(A1790, ""/(\w+)-.*?"")"),"lieu")</f>
        <v>lieu</v>
      </c>
      <c r="I1790" s="4" t="str">
        <f>IFERROR(__xludf.DUMMYFUNCTION("if(D1790=""variant"",  substitute(filter(Templates!E:E, Templates!A:A = F1790, Templates!B:B = G1790, Templates!C:C = H1790), ""{{}}"", E1790), B1790)"),"🏘  Vous souhaitez acheter une maison à Vaumarcus? ✅ Jetez un œil aux dernières offres sur ImmoScout24.ch.")</f>
        <v>🏘  Vous souhaitez acheter une maison à Vaumarcus? ✅ Jetez un œil aux dernières offres sur ImmoScout24.ch.</v>
      </c>
      <c r="J1790" s="4" t="s">
        <v>5371</v>
      </c>
    </row>
    <row r="1791">
      <c r="A1791" s="5" t="s">
        <v>5372</v>
      </c>
      <c r="B1791" s="2" t="s">
        <v>5373</v>
      </c>
      <c r="C1791" s="4" t="str">
        <f>IFERROR(__xludf.DUMMYFUNCTION("""🏘️ ""&amp;REGEXEXTRACT(B1791, ""^(.*): "")&amp;"" ✅ "" &amp;REGEXEXTRACT(B1791, ""(Trouvez.*)"")"),"🏘️ Louer maison Noiraigue ✅ Trouvez le bien immobilier qui correspond idéalement à vos désirs sur ImmoScout24 - La plateforme de l'immobilier en Suisse.")</f>
        <v>🏘️ Louer maison Noiraigue ✅ Trouvez le bien immobilier qui correspond idéalement à vos désirs sur ImmoScout24 - La plateforme de l'immobilier en Suisse.</v>
      </c>
      <c r="D1791" s="4" t="str">
        <f>vlookup(A1791, Sheet2!D:E, 2, 0)</f>
        <v>variant</v>
      </c>
      <c r="E1791" s="4" t="str">
        <f>IFERROR(__xludf.DUMMYFUNCTION("if(H1791=""pays"",vlookup(REGEXEXTRACT(C1791, ""🏘️ \w+ \w+ (.*) ✅""),'Country prepositions'!A:B, 2, 0) &amp; "" "" &amp; REGEXEXTRACT(C1791, ""🏘️ \w+ \w+ (.*) ✅"") ,  if(H1791=""quartier"",vlookup(REGEXEXTRACT(C1791, ""🏘️ \w+ \w+ (.*) ✅""),'Quartier prepositio"&amp;"ns'!A:E, 5, 0) ,  if(H1791=""region"",vlookup(REGEXEXTRACT(C1791, ""🏘️ \w+ \w+ (.*) ✅""),'Region prepositions'!B:F, 5, 0),  REGEXEXTRACT(C1791, ""🏘️ \w+ \w+ (.*) ✅""))))"),"Noiraigue")</f>
        <v>Noiraigue</v>
      </c>
      <c r="F1791" s="2" t="str">
        <f>IFERROR(__xludf.DUMMYFUNCTION("REGEXEXTRACT(C1791, ""🏘️ (\w+) \w+ .* ✅"")"),"Louer")</f>
        <v>Louer</v>
      </c>
      <c r="G1791" s="2" t="str">
        <f>IFERROR(__xludf.DUMMYFUNCTION("REGEXEXTRACT(C1791, ""🏘️ \w+ (\w+) .* ✅"")"),"maison")</f>
        <v>maison</v>
      </c>
      <c r="H1791" s="4" t="str">
        <f>IFERROR(__xludf.DUMMYFUNCTION("REGEXEXTRACT(A1791, ""/(\w+)-.*?"")"),"lieu")</f>
        <v>lieu</v>
      </c>
      <c r="I1791" s="4" t="str">
        <f>IFERROR(__xludf.DUMMYFUNCTION("if(D1791=""variant"",  substitute(filter(Templates!E:E, Templates!A:A = F1791, Templates!B:B = G1791, Templates!C:C = H1791), ""{{}}"", E1791), B1791)"),"🏘  Vous cherchez une maison à louer à Noiraigue? ✅ Découvrez nos nombreuses annonces sur ImmoScout24.ch.")</f>
        <v>🏘  Vous cherchez une maison à louer à Noiraigue? ✅ Découvrez nos nombreuses annonces sur ImmoScout24.ch.</v>
      </c>
      <c r="J1791" s="4" t="s">
        <v>5374</v>
      </c>
    </row>
    <row r="1792">
      <c r="A1792" s="5" t="s">
        <v>5375</v>
      </c>
      <c r="B1792" s="2" t="s">
        <v>5376</v>
      </c>
      <c r="C1792" s="4" t="str">
        <f>IFERROR(__xludf.DUMMYFUNCTION("""🏘️ ""&amp;REGEXEXTRACT(B1792, ""^(.*): "")&amp;"" ✅ "" &amp;REGEXEXTRACT(B1792, ""(Trouvez.*)"")"),"🏘️ Louer appartement Le Vaud ✅ Trouvez le bien immobilier qui correspond idéalement à vos désirs sur ImmoScout24 - La plateforme de l'immobilier en Suisse.")</f>
        <v>🏘️ Louer appartement Le Vaud ✅ Trouvez le bien immobilier qui correspond idéalement à vos désirs sur ImmoScout24 - La plateforme de l'immobilier en Suisse.</v>
      </c>
      <c r="D1792" s="4" t="str">
        <f>vlookup(A1792, Sheet2!D:E, 2, 0)</f>
        <v>variant</v>
      </c>
      <c r="E1792" s="4" t="str">
        <f>IFERROR(__xludf.DUMMYFUNCTION("if(H1792=""pays"",vlookup(REGEXEXTRACT(C1792, ""🏘️ \w+ \w+ (.*) ✅""),'Country prepositions'!A:B, 2, 0) &amp; "" "" &amp; REGEXEXTRACT(C1792, ""🏘️ \w+ \w+ (.*) ✅"") ,  if(H1792=""quartier"",vlookup(REGEXEXTRACT(C1792, ""🏘️ \w+ \w+ (.*) ✅""),'Quartier prepositio"&amp;"ns'!A:E, 5, 0) ,  if(H1792=""region"",vlookup(REGEXEXTRACT(C1792, ""🏘️ \w+ \w+ (.*) ✅""),'Region prepositions'!B:F, 5, 0),  REGEXEXTRACT(C1792, ""🏘️ \w+ \w+ (.*) ✅""))))"),"Le Vaud")</f>
        <v>Le Vaud</v>
      </c>
      <c r="F1792" s="2" t="str">
        <f>IFERROR(__xludf.DUMMYFUNCTION("REGEXEXTRACT(C1792, ""🏘️ (\w+) \w+ .* ✅"")"),"Louer")</f>
        <v>Louer</v>
      </c>
      <c r="G1792" s="2" t="str">
        <f>IFERROR(__xludf.DUMMYFUNCTION("REGEXEXTRACT(C1792, ""🏘️ \w+ (\w+) .* ✅"")"),"appartement")</f>
        <v>appartement</v>
      </c>
      <c r="H1792" s="4" t="str">
        <f>IFERROR(__xludf.DUMMYFUNCTION("REGEXEXTRACT(A1792, ""/(\w+)-.*?"")"),"lieu")</f>
        <v>lieu</v>
      </c>
      <c r="I1792" s="4" t="str">
        <f>IFERROR(__xludf.DUMMYFUNCTION("if(D1792=""variant"",  substitute(filter(Templates!E:E, Templates!A:A = F1792, Templates!B:B = G1792, Templates!C:C = H1792), ""{{}}"", E1792), B1792)"),"🏘  Vous cherchez un appartement à louer à Le Vaud? ✅ Les annonces les plus actuelles sont sur ImmoScout24.ch.")</f>
        <v>🏘  Vous cherchez un appartement à louer à Le Vaud? ✅ Les annonces les plus actuelles sont sur ImmoScout24.ch.</v>
      </c>
      <c r="J1792" s="2" t="s">
        <v>5377</v>
      </c>
    </row>
    <row r="1793">
      <c r="A1793" s="5" t="s">
        <v>5378</v>
      </c>
      <c r="B1793" s="2" t="s">
        <v>5379</v>
      </c>
      <c r="C1793" s="4" t="str">
        <f>IFERROR(__xludf.DUMMYFUNCTION("""🏘️ ""&amp;REGEXEXTRACT(B1793, ""^(.*): "")&amp;"" ✅ "" &amp;REGEXEXTRACT(B1793, ""(Trouvez.*)"")"),"🏘️ Louer appartement Val de Ruz ✅ Trouvez le bien immobilier qui correspond idéalement à vos désirs sur ImmoScout24 - La plateforme de l'immobilier en Suisse.")</f>
        <v>🏘️ Louer appartement Val de Ruz ✅ Trouvez le bien immobilier qui correspond idéalement à vos désirs sur ImmoScout24 - La plateforme de l'immobilier en Suisse.</v>
      </c>
      <c r="D1793" s="4" t="str">
        <f>vlookup(A1793, Sheet2!D:E, 2, 0)</f>
        <v>variant</v>
      </c>
      <c r="E1793" s="4" t="str">
        <f>IFERROR(__xludf.DUMMYFUNCTION("if(H1793=""pays"",vlookup(REGEXEXTRACT(C1793, ""🏘️ \w+ \w+ (.*) ✅""),'Country prepositions'!A:B, 2, 0) &amp; "" "" &amp; REGEXEXTRACT(C1793, ""🏘️ \w+ \w+ (.*) ✅"") ,  if(H1793=""quartier"",vlookup(REGEXEXTRACT(C1793, ""🏘️ \w+ \w+ (.*) ✅""),'Quartier prepositio"&amp;"ns'!A:E, 5, 0) ,  if(H1793=""region"",vlookup(REGEXEXTRACT(C1793, ""🏘️ \w+ \w+ (.*) ✅""),'Region prepositions'!B:F, 5, 0),  REGEXEXTRACT(C1793, ""🏘️ \w+ \w+ (.*) ✅""))))"),"dans le Val-de-Ruz")</f>
        <v>dans le Val-de-Ruz</v>
      </c>
      <c r="F1793" s="2" t="str">
        <f>IFERROR(__xludf.DUMMYFUNCTION("REGEXEXTRACT(C1793, ""🏘️ (\w+) \w+ .* ✅"")"),"Louer")</f>
        <v>Louer</v>
      </c>
      <c r="G1793" s="2" t="str">
        <f>IFERROR(__xludf.DUMMYFUNCTION("REGEXEXTRACT(C1793, ""🏘️ \w+ (\w+) .* ✅"")"),"appartement")</f>
        <v>appartement</v>
      </c>
      <c r="H1793" s="4" t="str">
        <f>IFERROR(__xludf.DUMMYFUNCTION("REGEXEXTRACT(A1793, ""/(\w+)-.*?"")"),"region")</f>
        <v>region</v>
      </c>
      <c r="I1793" s="4" t="str">
        <f>IFERROR(__xludf.DUMMYFUNCTION("if(D1793=""variant"",  substitute(filter(Templates!E:E, Templates!A:A = F1793, Templates!B:B = G1793, Templates!C:C = H1793), ""{{}}"", E1793), B1793)"),"🏘  Vous cherchez un appartement à louer dans le Val-de-Ruz? ✅ Les annonces les plus actuelles sont sur ImmoScout24.ch.")</f>
        <v>🏘  Vous cherchez un appartement à louer dans le Val-de-Ruz? ✅ Les annonces les plus actuelles sont sur ImmoScout24.ch.</v>
      </c>
      <c r="J1793" s="4" t="s">
        <v>5380</v>
      </c>
    </row>
    <row r="1794">
      <c r="A1794" s="5" t="s">
        <v>5381</v>
      </c>
      <c r="B1794" s="2" t="s">
        <v>5382</v>
      </c>
      <c r="C1794" s="4" t="str">
        <f>IFERROR(__xludf.DUMMYFUNCTION("""🏘️ ""&amp;REGEXEXTRACT(B1794, ""^(.*): "")&amp;"" ✅ "" &amp;REGEXEXTRACT(B1794, ""(Trouvez.*)"")"),"🏘️ Vendre appartement Jongny ✅ Trouvez le bien immobilier qui correspond idéalement à vos désirs sur ImmoScout24 - La plateforme de l'immobilier en Suisse.")</f>
        <v>🏘️ Vendre appartement Jongny ✅ Trouvez le bien immobilier qui correspond idéalement à vos désirs sur ImmoScout24 - La plateforme de l'immobilier en Suisse.</v>
      </c>
      <c r="D1794" s="4" t="str">
        <f>vlookup(A1794, Sheet2!D:E, 2, 0)</f>
        <v>variant</v>
      </c>
      <c r="E1794" s="4" t="str">
        <f>IFERROR(__xludf.DUMMYFUNCTION("if(H1794=""pays"",vlookup(REGEXEXTRACT(C1794, ""🏘️ \w+ \w+ (.*) ✅""),'Country prepositions'!A:B, 2, 0) &amp; "" "" &amp; REGEXEXTRACT(C1794, ""🏘️ \w+ \w+ (.*) ✅"") ,  if(H1794=""quartier"",vlookup(REGEXEXTRACT(C1794, ""🏘️ \w+ \w+ (.*) ✅""),'Quartier prepositio"&amp;"ns'!A:E, 5, 0) ,  if(H1794=""region"",vlookup(REGEXEXTRACT(C1794, ""🏘️ \w+ \w+ (.*) ✅""),'Region prepositions'!B:F, 5, 0),  REGEXEXTRACT(C1794, ""🏘️ \w+ \w+ (.*) ✅""))))"),"Jongny")</f>
        <v>Jongny</v>
      </c>
      <c r="F1794" s="2" t="str">
        <f>IFERROR(__xludf.DUMMYFUNCTION("REGEXEXTRACT(C1794, ""🏘️ (\w+) \w+ .* ✅"")"),"Vendre")</f>
        <v>Vendre</v>
      </c>
      <c r="G1794" s="2" t="str">
        <f>IFERROR(__xludf.DUMMYFUNCTION("REGEXEXTRACT(C1794, ""🏘️ \w+ (\w+) .* ✅"")"),"appartement")</f>
        <v>appartement</v>
      </c>
      <c r="H1794" s="4" t="str">
        <f>IFERROR(__xludf.DUMMYFUNCTION("REGEXEXTRACT(A1794, ""/(\w+)-.*?"")"),"lieu")</f>
        <v>lieu</v>
      </c>
      <c r="I1794" s="4" t="str">
        <f>IFERROR(__xludf.DUMMYFUNCTION("if(D1794=""variant"",  substitute(filter(Templates!E:E, Templates!A:A = F1794, Templates!B:B = G1794, Templates!C:C = H1794), ""{{}}"", E1794), B1794)"),"🏘  L’appartement de vos rêves se trouve sur ImmoScout24.ch ✅ Découvrez les dernières annonces de vente à Jongny.")</f>
        <v>🏘  L’appartement de vos rêves se trouve sur ImmoScout24.ch ✅ Découvrez les dernières annonces de vente à Jongny.</v>
      </c>
      <c r="J1794" s="4" t="s">
        <v>5383</v>
      </c>
    </row>
    <row r="1795">
      <c r="A1795" s="5" t="s">
        <v>5384</v>
      </c>
      <c r="B1795" s="2" t="s">
        <v>5385</v>
      </c>
      <c r="C1795" s="4" t="str">
        <f>IFERROR(__xludf.DUMMYFUNCTION("""🏘️ ""&amp;REGEXEXTRACT(B1795, ""^(.*): "")&amp;"" ✅ "" &amp;REGEXEXTRACT(B1795, ""(Trouvez.*)"")"),"🏘️ Vendre appartement Camignolo ✅ Trouvez le bien immobilier qui correspond idéalement à vos désirs sur ImmoScout24 - La plateforme de l'immobilier en Suisse.")</f>
        <v>🏘️ Vendre appartement Camignolo ✅ Trouvez le bien immobilier qui correspond idéalement à vos désirs sur ImmoScout24 - La plateforme de l'immobilier en Suisse.</v>
      </c>
      <c r="D1795" s="4" t="str">
        <f>vlookup(A1795, Sheet2!D:E, 2, 0)</f>
        <v>variant</v>
      </c>
      <c r="E1795" s="4" t="str">
        <f>IFERROR(__xludf.DUMMYFUNCTION("if(H1795=""pays"",vlookup(REGEXEXTRACT(C1795, ""🏘️ \w+ \w+ (.*) ✅""),'Country prepositions'!A:B, 2, 0) &amp; "" "" &amp; REGEXEXTRACT(C1795, ""🏘️ \w+ \w+ (.*) ✅"") ,  if(H1795=""quartier"",vlookup(REGEXEXTRACT(C1795, ""🏘️ \w+ \w+ (.*) ✅""),'Quartier prepositio"&amp;"ns'!A:E, 5, 0) ,  if(H1795=""region"",vlookup(REGEXEXTRACT(C1795, ""🏘️ \w+ \w+ (.*) ✅""),'Region prepositions'!B:F, 5, 0),  REGEXEXTRACT(C1795, ""🏘️ \w+ \w+ (.*) ✅""))))"),"Camignolo")</f>
        <v>Camignolo</v>
      </c>
      <c r="F1795" s="2" t="str">
        <f>IFERROR(__xludf.DUMMYFUNCTION("REGEXEXTRACT(C1795, ""🏘️ (\w+) \w+ .* ✅"")"),"Vendre")</f>
        <v>Vendre</v>
      </c>
      <c r="G1795" s="2" t="str">
        <f>IFERROR(__xludf.DUMMYFUNCTION("REGEXEXTRACT(C1795, ""🏘️ \w+ (\w+) .* ✅"")"),"appartement")</f>
        <v>appartement</v>
      </c>
      <c r="H1795" s="4" t="str">
        <f>IFERROR(__xludf.DUMMYFUNCTION("REGEXEXTRACT(A1795, ""/(\w+)-.*?"")"),"lieu")</f>
        <v>lieu</v>
      </c>
      <c r="I1795" s="4" t="str">
        <f>IFERROR(__xludf.DUMMYFUNCTION("if(D1795=""variant"",  substitute(filter(Templates!E:E, Templates!A:A = F1795, Templates!B:B = G1795, Templates!C:C = H1795), ""{{}}"", E1795), B1795)"),"🏘  L’appartement de vos rêves se trouve sur ImmoScout24.ch ✅ Découvrez les dernières annonces de vente à Camignolo.")</f>
        <v>🏘  L’appartement de vos rêves se trouve sur ImmoScout24.ch ✅ Découvrez les dernières annonces de vente à Camignolo.</v>
      </c>
      <c r="J1795" s="4" t="s">
        <v>5386</v>
      </c>
    </row>
    <row r="1796">
      <c r="A1796" s="5" t="s">
        <v>5387</v>
      </c>
      <c r="B1796" s="2" t="s">
        <v>5388</v>
      </c>
      <c r="C1796" s="4" t="str">
        <f>IFERROR(__xludf.DUMMYFUNCTION("""🏘️ ""&amp;REGEXEXTRACT(B1796, ""^(.*): "")&amp;"" ✅ "" &amp;REGEXEXTRACT(B1796, ""(Trouvez.*)"")"),"🏘️ Louer appartement Uttwil ✅ Trouvez le bien immobilier qui correspond idéalement à vos désirs sur ImmoScout24 - La plateforme de l'immobilier en Suisse.")</f>
        <v>🏘️ Louer appartement Uttwil ✅ Trouvez le bien immobilier qui correspond idéalement à vos désirs sur ImmoScout24 - La plateforme de l'immobilier en Suisse.</v>
      </c>
      <c r="D1796" s="4" t="str">
        <f>vlookup(A1796, Sheet2!D:E, 2, 0)</f>
        <v>variant</v>
      </c>
      <c r="E1796" s="4" t="str">
        <f>IFERROR(__xludf.DUMMYFUNCTION("if(H1796=""pays"",vlookup(REGEXEXTRACT(C1796, ""🏘️ \w+ \w+ (.*) ✅""),'Country prepositions'!A:B, 2, 0) &amp; "" "" &amp; REGEXEXTRACT(C1796, ""🏘️ \w+ \w+ (.*) ✅"") ,  if(H1796=""quartier"",vlookup(REGEXEXTRACT(C1796, ""🏘️ \w+ \w+ (.*) ✅""),'Quartier prepositio"&amp;"ns'!A:E, 5, 0) ,  if(H1796=""region"",vlookup(REGEXEXTRACT(C1796, ""🏘️ \w+ \w+ (.*) ✅""),'Region prepositions'!B:F, 5, 0),  REGEXEXTRACT(C1796, ""🏘️ \w+ \w+ (.*) ✅""))))"),"Uttwil")</f>
        <v>Uttwil</v>
      </c>
      <c r="F1796" s="2" t="str">
        <f>IFERROR(__xludf.DUMMYFUNCTION("REGEXEXTRACT(C1796, ""🏘️ (\w+) \w+ .* ✅"")"),"Louer")</f>
        <v>Louer</v>
      </c>
      <c r="G1796" s="2" t="str">
        <f>IFERROR(__xludf.DUMMYFUNCTION("REGEXEXTRACT(C1796, ""🏘️ \w+ (\w+) .* ✅"")"),"appartement")</f>
        <v>appartement</v>
      </c>
      <c r="H1796" s="4" t="str">
        <f>IFERROR(__xludf.DUMMYFUNCTION("REGEXEXTRACT(A1796, ""/(\w+)-.*?"")"),"lieu")</f>
        <v>lieu</v>
      </c>
      <c r="I1796" s="4" t="str">
        <f>IFERROR(__xludf.DUMMYFUNCTION("if(D1796=""variant"",  substitute(filter(Templates!E:E, Templates!A:A = F1796, Templates!B:B = G1796, Templates!C:C = H1796), ""{{}}"", E1796), B1796)"),"🏘  Vous cherchez un appartement à louer à Uttwil? ✅ Les annonces les plus actuelles sont sur ImmoScout24.ch.")</f>
        <v>🏘  Vous cherchez un appartement à louer à Uttwil? ✅ Les annonces les plus actuelles sont sur ImmoScout24.ch.</v>
      </c>
      <c r="J1796" s="4" t="s">
        <v>5389</v>
      </c>
    </row>
    <row r="1797">
      <c r="A1797" s="5" t="s">
        <v>5390</v>
      </c>
      <c r="B1797" s="2" t="s">
        <v>5391</v>
      </c>
      <c r="C1797" s="4" t="str">
        <f>IFERROR(__xludf.DUMMYFUNCTION("""🏘️ ""&amp;REGEXEXTRACT(B1797, ""^(.*): "")&amp;"" ✅ "" &amp;REGEXEXTRACT(B1797, ""(Trouvez.*)"")"),"🏘️ Vendre maison Genolier ✅ Trouvez le bien immobilier qui correspond idéalement à vos désirs sur ImmoScout24 - La plateforme de l'immobilier en Suisse.")</f>
        <v>🏘️ Vendre maison Genolier ✅ Trouvez le bien immobilier qui correspond idéalement à vos désirs sur ImmoScout24 - La plateforme de l'immobilier en Suisse.</v>
      </c>
      <c r="D1797" s="4" t="str">
        <f>vlookup(A1797, Sheet2!D:E, 2, 0)</f>
        <v>variant</v>
      </c>
      <c r="E1797" s="4" t="str">
        <f>IFERROR(__xludf.DUMMYFUNCTION("if(H1797=""pays"",vlookup(REGEXEXTRACT(C1797, ""🏘️ \w+ \w+ (.*) ✅""),'Country prepositions'!A:B, 2, 0) &amp; "" "" &amp; REGEXEXTRACT(C1797, ""🏘️ \w+ \w+ (.*) ✅"") ,  if(H1797=""quartier"",vlookup(REGEXEXTRACT(C1797, ""🏘️ \w+ \w+ (.*) ✅""),'Quartier prepositio"&amp;"ns'!A:E, 5, 0) ,  if(H1797=""region"",vlookup(REGEXEXTRACT(C1797, ""🏘️ \w+ \w+ (.*) ✅""),'Region prepositions'!B:F, 5, 0),  REGEXEXTRACT(C1797, ""🏘️ \w+ \w+ (.*) ✅""))))"),"Genolier")</f>
        <v>Genolier</v>
      </c>
      <c r="F1797" s="2" t="str">
        <f>IFERROR(__xludf.DUMMYFUNCTION("REGEXEXTRACT(C1797, ""🏘️ (\w+) \w+ .* ✅"")"),"Vendre")</f>
        <v>Vendre</v>
      </c>
      <c r="G1797" s="2" t="str">
        <f>IFERROR(__xludf.DUMMYFUNCTION("REGEXEXTRACT(C1797, ""🏘️ \w+ (\w+) .* ✅"")"),"maison")</f>
        <v>maison</v>
      </c>
      <c r="H1797" s="4" t="str">
        <f>IFERROR(__xludf.DUMMYFUNCTION("REGEXEXTRACT(A1797, ""/(\w+)-.*?"")"),"lieu")</f>
        <v>lieu</v>
      </c>
      <c r="I1797" s="4" t="str">
        <f>IFERROR(__xludf.DUMMYFUNCTION("if(D1797=""variant"",  substitute(filter(Templates!E:E, Templates!A:A = F1797, Templates!B:B = G1797, Templates!C:C = H1797), ""{{}}"", E1797), B1797)"),"🏘  Vous souhaitez acheter une maison à Genolier? ✅ Jetez un œil aux dernières offres sur ImmoScout24.ch.")</f>
        <v>🏘  Vous souhaitez acheter une maison à Genolier? ✅ Jetez un œil aux dernières offres sur ImmoScout24.ch.</v>
      </c>
      <c r="J1797" s="4" t="s">
        <v>5392</v>
      </c>
    </row>
    <row r="1798">
      <c r="A1798" s="5" t="s">
        <v>5393</v>
      </c>
      <c r="B1798" s="2" t="s">
        <v>5394</v>
      </c>
      <c r="C1798" s="4" t="str">
        <f>IFERROR(__xludf.DUMMYFUNCTION("""🏘️ ""&amp;REGEXEXTRACT(B1798, ""^(.*): "")&amp;"" ✅ "" &amp;REGEXEXTRACT(B1798, ""(Trouvez.*)"")"),"🏘️ Vendre appartement Vicosoprano ✅ Trouvez le bien immobilier qui correspond idéalement à vos désirs sur ImmoScout24 - La plateforme de l'immobilier en Suisse.")</f>
        <v>🏘️ Vendre appartement Vicosoprano ✅ Trouvez le bien immobilier qui correspond idéalement à vos désirs sur ImmoScout24 - La plateforme de l'immobilier en Suisse.</v>
      </c>
      <c r="D1798" s="4" t="str">
        <f>vlookup(A1798, Sheet2!D:E, 2, 0)</f>
        <v>variant</v>
      </c>
      <c r="E1798" s="4" t="str">
        <f>IFERROR(__xludf.DUMMYFUNCTION("if(H1798=""pays"",vlookup(REGEXEXTRACT(C1798, ""🏘️ \w+ \w+ (.*) ✅""),'Country prepositions'!A:B, 2, 0) &amp; "" "" &amp; REGEXEXTRACT(C1798, ""🏘️ \w+ \w+ (.*) ✅"") ,  if(H1798=""quartier"",vlookup(REGEXEXTRACT(C1798, ""🏘️ \w+ \w+ (.*) ✅""),'Quartier prepositio"&amp;"ns'!A:E, 5, 0) ,  if(H1798=""region"",vlookup(REGEXEXTRACT(C1798, ""🏘️ \w+ \w+ (.*) ✅""),'Region prepositions'!B:F, 5, 0),  REGEXEXTRACT(C1798, ""🏘️ \w+ \w+ (.*) ✅""))))"),"Vicosoprano")</f>
        <v>Vicosoprano</v>
      </c>
      <c r="F1798" s="2" t="str">
        <f>IFERROR(__xludf.DUMMYFUNCTION("REGEXEXTRACT(C1798, ""🏘️ (\w+) \w+ .* ✅"")"),"Vendre")</f>
        <v>Vendre</v>
      </c>
      <c r="G1798" s="2" t="str">
        <f>IFERROR(__xludf.DUMMYFUNCTION("REGEXEXTRACT(C1798, ""🏘️ \w+ (\w+) .* ✅"")"),"appartement")</f>
        <v>appartement</v>
      </c>
      <c r="H1798" s="4" t="str">
        <f>IFERROR(__xludf.DUMMYFUNCTION("REGEXEXTRACT(A1798, ""/(\w+)-.*?"")"),"lieu")</f>
        <v>lieu</v>
      </c>
      <c r="I1798" s="4" t="str">
        <f>IFERROR(__xludf.DUMMYFUNCTION("if(D1798=""variant"",  substitute(filter(Templates!E:E, Templates!A:A = F1798, Templates!B:B = G1798, Templates!C:C = H1798), ""{{}}"", E1798), B1798)"),"🏘  L’appartement de vos rêves se trouve sur ImmoScout24.ch ✅ Découvrez les dernières annonces de vente à Vicosoprano.")</f>
        <v>🏘  L’appartement de vos rêves se trouve sur ImmoScout24.ch ✅ Découvrez les dernières annonces de vente à Vicosoprano.</v>
      </c>
      <c r="J1798" s="4" t="s">
        <v>5395</v>
      </c>
    </row>
    <row r="1799">
      <c r="A1799" s="5" t="s">
        <v>5396</v>
      </c>
      <c r="B1799" s="2" t="s">
        <v>5397</v>
      </c>
      <c r="C1799" s="4" t="str">
        <f>IFERROR(__xludf.DUMMYFUNCTION("""🏘️ ""&amp;REGEXEXTRACT(B1799, ""^(.*): "")&amp;"" ✅ "" &amp;REGEXEXTRACT(B1799, ""(Trouvez.*)"")"),"🏘️ Louer appartement Etagnières ✅ Trouvez le bien immobilier qui correspond idéalement à vos désirs sur ImmoScout24 - La plateforme de l'immobilier en Suisse.")</f>
        <v>🏘️ Louer appartement Etagnières ✅ Trouvez le bien immobilier qui correspond idéalement à vos désirs sur ImmoScout24 - La plateforme de l'immobilier en Suisse.</v>
      </c>
      <c r="D1799" s="4" t="str">
        <f>vlookup(A1799, Sheet2!D:E, 2, 0)</f>
        <v>variant</v>
      </c>
      <c r="E1799" s="4" t="str">
        <f>IFERROR(__xludf.DUMMYFUNCTION("if(H1799=""pays"",vlookup(REGEXEXTRACT(C1799, ""🏘️ \w+ \w+ (.*) ✅""),'Country prepositions'!A:B, 2, 0) &amp; "" "" &amp; REGEXEXTRACT(C1799, ""🏘️ \w+ \w+ (.*) ✅"") ,  if(H1799=""quartier"",vlookup(REGEXEXTRACT(C1799, ""🏘️ \w+ \w+ (.*) ✅""),'Quartier prepositio"&amp;"ns'!A:E, 5, 0) ,  if(H1799=""region"",vlookup(REGEXEXTRACT(C1799, ""🏘️ \w+ \w+ (.*) ✅""),'Region prepositions'!B:F, 5, 0),  REGEXEXTRACT(C1799, ""🏘️ \w+ \w+ (.*) ✅""))))"),"Etagnières")</f>
        <v>Etagnières</v>
      </c>
      <c r="F1799" s="2" t="str">
        <f>IFERROR(__xludf.DUMMYFUNCTION("REGEXEXTRACT(C1799, ""🏘️ (\w+) \w+ .* ✅"")"),"Louer")</f>
        <v>Louer</v>
      </c>
      <c r="G1799" s="2" t="str">
        <f>IFERROR(__xludf.DUMMYFUNCTION("REGEXEXTRACT(C1799, ""🏘️ \w+ (\w+) .* ✅"")"),"appartement")</f>
        <v>appartement</v>
      </c>
      <c r="H1799" s="4" t="str">
        <f>IFERROR(__xludf.DUMMYFUNCTION("REGEXEXTRACT(A1799, ""/(\w+)-.*?"")"),"lieu")</f>
        <v>lieu</v>
      </c>
      <c r="I1799" s="4" t="str">
        <f>IFERROR(__xludf.DUMMYFUNCTION("if(D1799=""variant"",  substitute(filter(Templates!E:E, Templates!A:A = F1799, Templates!B:B = G1799, Templates!C:C = H1799), ""{{}}"", E1799), B1799)"),"🏘  Vous cherchez un appartement à louer à Etagnières? ✅ Les annonces les plus actuelles sont sur ImmoScout24.ch.")</f>
        <v>🏘  Vous cherchez un appartement à louer à Etagnières? ✅ Les annonces les plus actuelles sont sur ImmoScout24.ch.</v>
      </c>
      <c r="J1799" s="4" t="s">
        <v>5398</v>
      </c>
    </row>
    <row r="1800">
      <c r="A1800" s="5" t="s">
        <v>5399</v>
      </c>
      <c r="B1800" s="2" t="s">
        <v>5400</v>
      </c>
      <c r="C1800" s="4" t="str">
        <f>IFERROR(__xludf.DUMMYFUNCTION("""🏘️ ""&amp;REGEXEXTRACT(B1800, ""^(.*): "")&amp;"" ✅ "" &amp;REGEXEXTRACT(B1800, ""(Trouvez.*)"")"),"🏘️ Louer maison Cugy FR ✅ Trouvez le bien immobilier qui correspond idéalement à vos désirs sur ImmoScout24 - La plateforme de l'immobilier en Suisse.")</f>
        <v>🏘️ Louer maison Cugy FR ✅ Trouvez le bien immobilier qui correspond idéalement à vos désirs sur ImmoScout24 - La plateforme de l'immobilier en Suisse.</v>
      </c>
      <c r="D1800" s="4" t="str">
        <f>vlookup(A1800, Sheet2!D:E, 2, 0)</f>
        <v>variant</v>
      </c>
      <c r="E1800" s="4" t="str">
        <f>IFERROR(__xludf.DUMMYFUNCTION("if(H1800=""pays"",vlookup(REGEXEXTRACT(C1800, ""🏘️ \w+ \w+ (.*) ✅""),'Country prepositions'!A:B, 2, 0) &amp; "" "" &amp; REGEXEXTRACT(C1800, ""🏘️ \w+ \w+ (.*) ✅"") ,  if(H1800=""quartier"",vlookup(REGEXEXTRACT(C1800, ""🏘️ \w+ \w+ (.*) ✅""),'Quartier prepositio"&amp;"ns'!A:E, 5, 0) ,  if(H1800=""region"",vlookup(REGEXEXTRACT(C1800, ""🏘️ \w+ \w+ (.*) ✅""),'Region prepositions'!B:F, 5, 0),  REGEXEXTRACT(C1800, ""🏘️ \w+ \w+ (.*) ✅""))))"),"Cugy FR")</f>
        <v>Cugy FR</v>
      </c>
      <c r="F1800" s="2" t="str">
        <f>IFERROR(__xludf.DUMMYFUNCTION("REGEXEXTRACT(C1800, ""🏘️ (\w+) \w+ .* ✅"")"),"Louer")</f>
        <v>Louer</v>
      </c>
      <c r="G1800" s="2" t="str">
        <f>IFERROR(__xludf.DUMMYFUNCTION("REGEXEXTRACT(C1800, ""🏘️ \w+ (\w+) .* ✅"")"),"maison")</f>
        <v>maison</v>
      </c>
      <c r="H1800" s="4" t="str">
        <f>IFERROR(__xludf.DUMMYFUNCTION("REGEXEXTRACT(A1800, ""/(\w+)-.*?"")"),"lieu")</f>
        <v>lieu</v>
      </c>
      <c r="I1800" s="4" t="str">
        <f>IFERROR(__xludf.DUMMYFUNCTION("if(D1800=""variant"",  substitute(filter(Templates!E:E, Templates!A:A = F1800, Templates!B:B = G1800, Templates!C:C = H1800), ""{{}}"", E1800), B1800)"),"🏘  Vous cherchez une maison à louer à Cugy FR? ✅ Découvrez nos nombreuses annonces sur ImmoScout24.ch.")</f>
        <v>🏘  Vous cherchez une maison à louer à Cugy FR? ✅ Découvrez nos nombreuses annonces sur ImmoScout24.ch.</v>
      </c>
      <c r="J1800" s="4" t="s">
        <v>5401</v>
      </c>
    </row>
    <row r="1801">
      <c r="A1801" s="5" t="s">
        <v>5402</v>
      </c>
      <c r="B1801" s="2" t="s">
        <v>5403</v>
      </c>
      <c r="C1801" s="4" t="str">
        <f>IFERROR(__xludf.DUMMYFUNCTION("""🏘️ ""&amp;REGEXEXTRACT(B1801, ""^(.*): "")&amp;"" ✅ "" &amp;REGEXEXTRACT(B1801, ""(Trouvez.*)"")"),"🏘️ Louer appartement Bäriswil BE ✅ Trouvez le bien immobilier qui correspond idéalement à vos désirs sur ImmoScout24 - La plateforme de l'immobilier en Suisse.")</f>
        <v>🏘️ Louer appartement Bäriswil BE ✅ Trouvez le bien immobilier qui correspond idéalement à vos désirs sur ImmoScout24 - La plateforme de l'immobilier en Suisse.</v>
      </c>
      <c r="D1801" s="4" t="str">
        <f>vlookup(A1801, Sheet2!D:E, 2, 0)</f>
        <v>variant</v>
      </c>
      <c r="E1801" s="4" t="str">
        <f>IFERROR(__xludf.DUMMYFUNCTION("if(H1801=""pays"",vlookup(REGEXEXTRACT(C1801, ""🏘️ \w+ \w+ (.*) ✅""),'Country prepositions'!A:B, 2, 0) &amp; "" "" &amp; REGEXEXTRACT(C1801, ""🏘️ \w+ \w+ (.*) ✅"") ,  if(H1801=""quartier"",vlookup(REGEXEXTRACT(C1801, ""🏘️ \w+ \w+ (.*) ✅""),'Quartier prepositio"&amp;"ns'!A:E, 5, 0) ,  if(H1801=""region"",vlookup(REGEXEXTRACT(C1801, ""🏘️ \w+ \w+ (.*) ✅""),'Region prepositions'!B:F, 5, 0),  REGEXEXTRACT(C1801, ""🏘️ \w+ \w+ (.*) ✅""))))"),"Bäriswil BE")</f>
        <v>Bäriswil BE</v>
      </c>
      <c r="F1801" s="2" t="str">
        <f>IFERROR(__xludf.DUMMYFUNCTION("REGEXEXTRACT(C1801, ""🏘️ (\w+) \w+ .* ✅"")"),"Louer")</f>
        <v>Louer</v>
      </c>
      <c r="G1801" s="2" t="str">
        <f>IFERROR(__xludf.DUMMYFUNCTION("REGEXEXTRACT(C1801, ""🏘️ \w+ (\w+) .* ✅"")"),"appartement")</f>
        <v>appartement</v>
      </c>
      <c r="H1801" s="4" t="str">
        <f>IFERROR(__xludf.DUMMYFUNCTION("REGEXEXTRACT(A1801, ""/(\w+)-.*?"")"),"lieu")</f>
        <v>lieu</v>
      </c>
      <c r="I1801" s="4" t="str">
        <f>IFERROR(__xludf.DUMMYFUNCTION("if(D1801=""variant"",  substitute(filter(Templates!E:E, Templates!A:A = F1801, Templates!B:B = G1801, Templates!C:C = H1801), ""{{}}"", E1801), B1801)"),"🏘  Vous cherchez un appartement à louer à Bäriswil BE? ✅ Les annonces les plus actuelles sont sur ImmoScout24.ch.")</f>
        <v>🏘  Vous cherchez un appartement à louer à Bäriswil BE? ✅ Les annonces les plus actuelles sont sur ImmoScout24.ch.</v>
      </c>
      <c r="J1801" s="4" t="s">
        <v>5404</v>
      </c>
    </row>
    <row r="1802">
      <c r="A1802" s="5" t="s">
        <v>5405</v>
      </c>
      <c r="B1802" s="2" t="s">
        <v>5406</v>
      </c>
      <c r="C1802" s="4" t="str">
        <f>IFERROR(__xludf.DUMMYFUNCTION("""🏘️ ""&amp;REGEXEXTRACT(B1802, ""^(.*): "")&amp;"" ✅ "" &amp;REGEXEXTRACT(B1802, ""(Trouvez.*)"")"),"🏘️ Vendre appartement Porrentruy ✅ Trouvez le bien immobilier qui correspond idéalement à vos désirs sur ImmoScout24 - La plateforme de l'immobilier en Suisse.")</f>
        <v>🏘️ Vendre appartement Porrentruy ✅ Trouvez le bien immobilier qui correspond idéalement à vos désirs sur ImmoScout24 - La plateforme de l'immobilier en Suisse.</v>
      </c>
      <c r="D1802" s="4" t="str">
        <f>vlookup(A1802, Sheet2!D:E, 2, 0)</f>
        <v>variant</v>
      </c>
      <c r="E1802" s="4" t="str">
        <f>IFERROR(__xludf.DUMMYFUNCTION("if(H1802=""pays"",vlookup(REGEXEXTRACT(C1802, ""🏘️ \w+ \w+ (.*) ✅""),'Country prepositions'!A:B, 2, 0) &amp; "" "" &amp; REGEXEXTRACT(C1802, ""🏘️ \w+ \w+ (.*) ✅"") ,  if(H1802=""quartier"",vlookup(REGEXEXTRACT(C1802, ""🏘️ \w+ \w+ (.*) ✅""),'Quartier prepositio"&amp;"ns'!A:E, 5, 0) ,  if(H1802=""region"",vlookup(REGEXEXTRACT(C1802, ""🏘️ \w+ \w+ (.*) ✅""),'Region prepositions'!B:F, 5, 0),  REGEXEXTRACT(C1802, ""🏘️ \w+ \w+ (.*) ✅""))))"),"Porrentruy")</f>
        <v>Porrentruy</v>
      </c>
      <c r="F1802" s="2" t="str">
        <f>IFERROR(__xludf.DUMMYFUNCTION("REGEXEXTRACT(C1802, ""🏘️ (\w+) \w+ .* ✅"")"),"Vendre")</f>
        <v>Vendre</v>
      </c>
      <c r="G1802" s="2" t="str">
        <f>IFERROR(__xludf.DUMMYFUNCTION("REGEXEXTRACT(C1802, ""🏘️ \w+ (\w+) .* ✅"")"),"appartement")</f>
        <v>appartement</v>
      </c>
      <c r="H1802" s="4" t="str">
        <f>IFERROR(__xludf.DUMMYFUNCTION("REGEXEXTRACT(A1802, ""/(\w+)-.*?"")"),"lieu")</f>
        <v>lieu</v>
      </c>
      <c r="I1802" s="4" t="str">
        <f>IFERROR(__xludf.DUMMYFUNCTION("if(D1802=""variant"",  substitute(filter(Templates!E:E, Templates!A:A = F1802, Templates!B:B = G1802, Templates!C:C = H1802), ""{{}}"", E1802), B1802)"),"🏘  L’appartement de vos rêves se trouve sur ImmoScout24.ch ✅ Découvrez les dernières annonces de vente à Porrentruy.")</f>
        <v>🏘  L’appartement de vos rêves se trouve sur ImmoScout24.ch ✅ Découvrez les dernières annonces de vente à Porrentruy.</v>
      </c>
      <c r="J1802" s="4" t="s">
        <v>5407</v>
      </c>
    </row>
    <row r="1803">
      <c r="A1803" s="5" t="s">
        <v>5408</v>
      </c>
      <c r="B1803" s="2" t="s">
        <v>5409</v>
      </c>
      <c r="C1803" s="4" t="str">
        <f>IFERROR(__xludf.DUMMYFUNCTION("""🏘️ ""&amp;REGEXEXTRACT(B1803, ""^(.*): "")&amp;"" ✅ "" &amp;REGEXEXTRACT(B1803, ""(Trouvez.*)"")"),"🏘️ Louer maison Riddes ✅ Trouvez le bien immobilier qui correspond idéalement à vos désirs sur ImmoScout24 - La plateforme de l'immobilier en Suisse.")</f>
        <v>🏘️ Louer maison Riddes ✅ Trouvez le bien immobilier qui correspond idéalement à vos désirs sur ImmoScout24 - La plateforme de l'immobilier en Suisse.</v>
      </c>
      <c r="D1803" s="4" t="str">
        <f>vlookup(A1803, Sheet2!D:E, 2, 0)</f>
        <v>variant</v>
      </c>
      <c r="E1803" s="4" t="str">
        <f>IFERROR(__xludf.DUMMYFUNCTION("if(H1803=""pays"",vlookup(REGEXEXTRACT(C1803, ""🏘️ \w+ \w+ (.*) ✅""),'Country prepositions'!A:B, 2, 0) &amp; "" "" &amp; REGEXEXTRACT(C1803, ""🏘️ \w+ \w+ (.*) ✅"") ,  if(H1803=""quartier"",vlookup(REGEXEXTRACT(C1803, ""🏘️ \w+ \w+ (.*) ✅""),'Quartier prepositio"&amp;"ns'!A:E, 5, 0) ,  if(H1803=""region"",vlookup(REGEXEXTRACT(C1803, ""🏘️ \w+ \w+ (.*) ✅""),'Region prepositions'!B:F, 5, 0),  REGEXEXTRACT(C1803, ""🏘️ \w+ \w+ (.*) ✅""))))"),"Riddes")</f>
        <v>Riddes</v>
      </c>
      <c r="F1803" s="2" t="str">
        <f>IFERROR(__xludf.DUMMYFUNCTION("REGEXEXTRACT(C1803, ""🏘️ (\w+) \w+ .* ✅"")"),"Louer")</f>
        <v>Louer</v>
      </c>
      <c r="G1803" s="2" t="str">
        <f>IFERROR(__xludf.DUMMYFUNCTION("REGEXEXTRACT(C1803, ""🏘️ \w+ (\w+) .* ✅"")"),"maison")</f>
        <v>maison</v>
      </c>
      <c r="H1803" s="4" t="str">
        <f>IFERROR(__xludf.DUMMYFUNCTION("REGEXEXTRACT(A1803, ""/(\w+)-.*?"")"),"lieu")</f>
        <v>lieu</v>
      </c>
      <c r="I1803" s="4" t="str">
        <f>IFERROR(__xludf.DUMMYFUNCTION("if(D1803=""variant"",  substitute(filter(Templates!E:E, Templates!A:A = F1803, Templates!B:B = G1803, Templates!C:C = H1803), ""{{}}"", E1803), B1803)"),"🏘  Vous cherchez une maison à louer à Riddes? ✅ Découvrez nos nombreuses annonces sur ImmoScout24.ch.")</f>
        <v>🏘  Vous cherchez une maison à louer à Riddes? ✅ Découvrez nos nombreuses annonces sur ImmoScout24.ch.</v>
      </c>
      <c r="J1803" s="4" t="s">
        <v>5410</v>
      </c>
    </row>
    <row r="1804">
      <c r="A1804" s="5" t="s">
        <v>5411</v>
      </c>
      <c r="B1804" s="2" t="s">
        <v>5412</v>
      </c>
      <c r="C1804" s="4" t="str">
        <f>IFERROR(__xludf.DUMMYFUNCTION("""🏘️ ""&amp;REGEXEXTRACT(B1804, ""^(.*): "")&amp;"" ✅ "" &amp;REGEXEXTRACT(B1804, ""(Trouvez.*)"")"),"🏘️ Vendre maison St. Moritz ✅ Trouvez le bien immobilier qui correspond idéalement à vos désirs sur ImmoScout24 - La plateforme de l'immobilier en Suisse.")</f>
        <v>🏘️ Vendre maison St. Moritz ✅ Trouvez le bien immobilier qui correspond idéalement à vos désirs sur ImmoScout24 - La plateforme de l'immobilier en Suisse.</v>
      </c>
      <c r="D1804" s="4" t="str">
        <f>vlookup(A1804, Sheet2!D:E, 2, 0)</f>
        <v>variant</v>
      </c>
      <c r="E1804" s="4" t="str">
        <f>IFERROR(__xludf.DUMMYFUNCTION("if(H1804=""pays"",vlookup(REGEXEXTRACT(C1804, ""🏘️ \w+ \w+ (.*) ✅""),'Country prepositions'!A:B, 2, 0) &amp; "" "" &amp; REGEXEXTRACT(C1804, ""🏘️ \w+ \w+ (.*) ✅"") ,  if(H1804=""quartier"",vlookup(REGEXEXTRACT(C1804, ""🏘️ \w+ \w+ (.*) ✅""),'Quartier prepositio"&amp;"ns'!A:E, 5, 0) ,  if(H1804=""region"",vlookup(REGEXEXTRACT(C1804, ""🏘️ \w+ \w+ (.*) ✅""),'Region prepositions'!B:F, 5, 0),  REGEXEXTRACT(C1804, ""🏘️ \w+ \w+ (.*) ✅""))))"),"St. Moritz")</f>
        <v>St. Moritz</v>
      </c>
      <c r="F1804" s="2" t="str">
        <f>IFERROR(__xludf.DUMMYFUNCTION("REGEXEXTRACT(C1804, ""🏘️ (\w+) \w+ .* ✅"")"),"Vendre")</f>
        <v>Vendre</v>
      </c>
      <c r="G1804" s="2" t="str">
        <f>IFERROR(__xludf.DUMMYFUNCTION("REGEXEXTRACT(C1804, ""🏘️ \w+ (\w+) .* ✅"")"),"maison")</f>
        <v>maison</v>
      </c>
      <c r="H1804" s="4" t="str">
        <f>IFERROR(__xludf.DUMMYFUNCTION("REGEXEXTRACT(A1804, ""/(\w+)-.*?"")"),"lieu")</f>
        <v>lieu</v>
      </c>
      <c r="I1804" s="4" t="str">
        <f>IFERROR(__xludf.DUMMYFUNCTION("if(D1804=""variant"",  substitute(filter(Templates!E:E, Templates!A:A = F1804, Templates!B:B = G1804, Templates!C:C = H1804), ""{{}}"", E1804), B1804)"),"🏘  Vous souhaitez acheter une maison à St. Moritz? ✅ Jetez un œil aux dernières offres sur ImmoScout24.ch.")</f>
        <v>🏘  Vous souhaitez acheter une maison à St. Moritz? ✅ Jetez un œil aux dernières offres sur ImmoScout24.ch.</v>
      </c>
      <c r="J1804" s="4" t="s">
        <v>5413</v>
      </c>
    </row>
    <row r="1805">
      <c r="A1805" s="5" t="s">
        <v>5414</v>
      </c>
      <c r="B1805" s="2" t="s">
        <v>5415</v>
      </c>
      <c r="C1805" s="4" t="str">
        <f>IFERROR(__xludf.DUMMYFUNCTION("""🏘️ ""&amp;REGEXEXTRACT(B1805, ""^(.*): "")&amp;"" ✅ "" &amp;REGEXEXTRACT(B1805, ""(Trouvez.*)"")"),"🏘️ Vendre maison Places (Fribourg) ✅ Trouvez le bien immobilier qui correspond idéalement à vos désirs sur ImmoScout24 - La plateforme de l'immobilier en Suisse.")</f>
        <v>🏘️ Vendre maison Places (Fribourg) ✅ Trouvez le bien immobilier qui correspond idéalement à vos désirs sur ImmoScout24 - La plateforme de l'immobilier en Suisse.</v>
      </c>
      <c r="D1805" s="4" t="str">
        <f>vlookup(A1805, Sheet2!D:E, 2, 0)</f>
        <v>variant</v>
      </c>
      <c r="E1805" s="4" t="str">
        <f>IFERROR(__xludf.DUMMYFUNCTION("if(H1805=""pays"",vlookup(REGEXEXTRACT(C1805, ""🏘️ \w+ \w+ (.*) ✅""),'Country prepositions'!A:B, 2, 0) &amp; "" "" &amp; REGEXEXTRACT(C1805, ""🏘️ \w+ \w+ (.*) ✅"") ,  if(H1805=""quartier"",vlookup(REGEXEXTRACT(C1805, ""🏘️ \w+ \w+ (.*) ✅""),'Quartier prepositio"&amp;"ns'!A:E, 5, 0) ,  if(H1805=""region"",vlookup(REGEXEXTRACT(C1805, ""🏘️ \w+ \w+ (.*) ✅""),'Region prepositions'!B:F, 5, 0),  REGEXEXTRACT(C1805, ""🏘️ \w+ \w+ (.*) ✅""))))"),"dans le quartier des Places (Fribourg)")</f>
        <v>dans le quartier des Places (Fribourg)</v>
      </c>
      <c r="F1805" s="2" t="str">
        <f>IFERROR(__xludf.DUMMYFUNCTION("REGEXEXTRACT(C1805, ""🏘️ (\w+) \w+ .* ✅"")"),"Vendre")</f>
        <v>Vendre</v>
      </c>
      <c r="G1805" s="2" t="str">
        <f>IFERROR(__xludf.DUMMYFUNCTION("REGEXEXTRACT(C1805, ""🏘️ \w+ (\w+) .* ✅"")"),"maison")</f>
        <v>maison</v>
      </c>
      <c r="H1805" s="4" t="str">
        <f>IFERROR(__xludf.DUMMYFUNCTION("REGEXEXTRACT(A1805, ""/(\w+)-.*?"")"),"quartier")</f>
        <v>quartier</v>
      </c>
      <c r="I1805" s="4" t="str">
        <f>IFERROR(__xludf.DUMMYFUNCTION("if(D1805=""variant"",  substitute(filter(Templates!E:E, Templates!A:A = F1805, Templates!B:B = G1805, Templates!C:C = H1805), ""{{}}"", E1805), B1805)"),"🏘  Vous souhaitez acheter une maison dans le quartier des Places (Fribourg)? ✅ Jetez un œil aux dernières offres sur ImmoScout24.ch.")</f>
        <v>🏘  Vous souhaitez acheter une maison dans le quartier des Places (Fribourg)? ✅ Jetez un œil aux dernières offres sur ImmoScout24.ch.</v>
      </c>
      <c r="J1805" s="4" t="s">
        <v>5416</v>
      </c>
    </row>
    <row r="1806">
      <c r="A1806" s="5" t="s">
        <v>5417</v>
      </c>
      <c r="B1806" s="2" t="s">
        <v>5418</v>
      </c>
      <c r="C1806" s="4" t="str">
        <f>IFERROR(__xludf.DUMMYFUNCTION("""🏘️ ""&amp;REGEXEXTRACT(B1806, ""^(.*): "")&amp;"" ✅ "" &amp;REGEXEXTRACT(B1806, ""(Trouvez.*)"")"),"🏘️ Vendre maison Valeyres-sous-Montagny ✅ Trouvez le bien immobilier qui correspond idéalement à vos désirs sur ImmoScout24 - La plateforme de l'immobilier en Suisse.")</f>
        <v>🏘️ Vendre maison Valeyres-sous-Montagny ✅ Trouvez le bien immobilier qui correspond idéalement à vos désirs sur ImmoScout24 - La plateforme de l'immobilier en Suisse.</v>
      </c>
      <c r="D1806" s="4" t="str">
        <f>vlookup(A1806, Sheet2!D:E, 2, 0)</f>
        <v>variant</v>
      </c>
      <c r="E1806" s="4" t="str">
        <f>IFERROR(__xludf.DUMMYFUNCTION("if(H1806=""pays"",vlookup(REGEXEXTRACT(C1806, ""🏘️ \w+ \w+ (.*) ✅""),'Country prepositions'!A:B, 2, 0) &amp; "" "" &amp; REGEXEXTRACT(C1806, ""🏘️ \w+ \w+ (.*) ✅"") ,  if(H1806=""quartier"",vlookup(REGEXEXTRACT(C1806, ""🏘️ \w+ \w+ (.*) ✅""),'Quartier prepositio"&amp;"ns'!A:E, 5, 0) ,  if(H1806=""region"",vlookup(REGEXEXTRACT(C1806, ""🏘️ \w+ \w+ (.*) ✅""),'Region prepositions'!B:F, 5, 0),  REGEXEXTRACT(C1806, ""🏘️ \w+ \w+ (.*) ✅""))))"),"Valeyres-sous-Montagny")</f>
        <v>Valeyres-sous-Montagny</v>
      </c>
      <c r="F1806" s="2" t="str">
        <f>IFERROR(__xludf.DUMMYFUNCTION("REGEXEXTRACT(C1806, ""🏘️ (\w+) \w+ .* ✅"")"),"Vendre")</f>
        <v>Vendre</v>
      </c>
      <c r="G1806" s="2" t="str">
        <f>IFERROR(__xludf.DUMMYFUNCTION("REGEXEXTRACT(C1806, ""🏘️ \w+ (\w+) .* ✅"")"),"maison")</f>
        <v>maison</v>
      </c>
      <c r="H1806" s="4" t="str">
        <f>IFERROR(__xludf.DUMMYFUNCTION("REGEXEXTRACT(A1806, ""/(\w+)-.*?"")"),"lieu")</f>
        <v>lieu</v>
      </c>
      <c r="I1806" s="4" t="str">
        <f>IFERROR(__xludf.DUMMYFUNCTION("if(D1806=""variant"",  substitute(filter(Templates!E:E, Templates!A:A = F1806, Templates!B:B = G1806, Templates!C:C = H1806), ""{{}}"", E1806), B1806)"),"🏘  Vous souhaitez acheter une maison à Valeyres-sous-Montagny? ✅ Jetez un œil aux dernières offres sur ImmoScout24.ch.")</f>
        <v>🏘  Vous souhaitez acheter une maison à Valeyres-sous-Montagny? ✅ Jetez un œil aux dernières offres sur ImmoScout24.ch.</v>
      </c>
      <c r="J1806" s="4" t="s">
        <v>5419</v>
      </c>
    </row>
    <row r="1807">
      <c r="A1807" s="5" t="s">
        <v>5420</v>
      </c>
      <c r="B1807" s="2" t="s">
        <v>5421</v>
      </c>
      <c r="C1807" s="4" t="str">
        <f>IFERROR(__xludf.DUMMYFUNCTION("""🏘️ ""&amp;REGEXEXTRACT(B1807, ""^(.*): "")&amp;"" ✅ "" &amp;REGEXEXTRACT(B1807, ""(Trouvez.*)"")"),"🏘️ Vendre maison Orvin ✅ Trouvez le bien immobilier qui correspond idéalement à vos désirs sur ImmoScout24 - La plateforme de l'immobilier en Suisse.")</f>
        <v>🏘️ Vendre maison Orvin ✅ Trouvez le bien immobilier qui correspond idéalement à vos désirs sur ImmoScout24 - La plateforme de l'immobilier en Suisse.</v>
      </c>
      <c r="D1807" s="4" t="str">
        <f>vlookup(A1807, Sheet2!D:E, 2, 0)</f>
        <v>variant</v>
      </c>
      <c r="E1807" s="4" t="str">
        <f>IFERROR(__xludf.DUMMYFUNCTION("if(H1807=""pays"",vlookup(REGEXEXTRACT(C1807, ""🏘️ \w+ \w+ (.*) ✅""),'Country prepositions'!A:B, 2, 0) &amp; "" "" &amp; REGEXEXTRACT(C1807, ""🏘️ \w+ \w+ (.*) ✅"") ,  if(H1807=""quartier"",vlookup(REGEXEXTRACT(C1807, ""🏘️ \w+ \w+ (.*) ✅""),'Quartier prepositio"&amp;"ns'!A:E, 5, 0) ,  if(H1807=""region"",vlookup(REGEXEXTRACT(C1807, ""🏘️ \w+ \w+ (.*) ✅""),'Region prepositions'!B:F, 5, 0),  REGEXEXTRACT(C1807, ""🏘️ \w+ \w+ (.*) ✅""))))"),"Orvin")</f>
        <v>Orvin</v>
      </c>
      <c r="F1807" s="2" t="str">
        <f>IFERROR(__xludf.DUMMYFUNCTION("REGEXEXTRACT(C1807, ""🏘️ (\w+) \w+ .* ✅"")"),"Vendre")</f>
        <v>Vendre</v>
      </c>
      <c r="G1807" s="2" t="str">
        <f>IFERROR(__xludf.DUMMYFUNCTION("REGEXEXTRACT(C1807, ""🏘️ \w+ (\w+) .* ✅"")"),"maison")</f>
        <v>maison</v>
      </c>
      <c r="H1807" s="4" t="str">
        <f>IFERROR(__xludf.DUMMYFUNCTION("REGEXEXTRACT(A1807, ""/(\w+)-.*?"")"),"lieu")</f>
        <v>lieu</v>
      </c>
      <c r="I1807" s="4" t="str">
        <f>IFERROR(__xludf.DUMMYFUNCTION("if(D1807=""variant"",  substitute(filter(Templates!E:E, Templates!A:A = F1807, Templates!B:B = G1807, Templates!C:C = H1807), ""{{}}"", E1807), B1807)"),"🏘  Vous souhaitez acheter une maison à Orvin? ✅ Jetez un œil aux dernières offres sur ImmoScout24.ch.")</f>
        <v>🏘  Vous souhaitez acheter une maison à Orvin? ✅ Jetez un œil aux dernières offres sur ImmoScout24.ch.</v>
      </c>
      <c r="J1807" s="4" t="s">
        <v>5422</v>
      </c>
    </row>
    <row r="1808">
      <c r="A1808" s="5" t="s">
        <v>5423</v>
      </c>
      <c r="B1808" s="2" t="s">
        <v>5424</v>
      </c>
      <c r="C1808" s="4" t="str">
        <f>IFERROR(__xludf.DUMMYFUNCTION("""🏘️ ""&amp;REGEXEXTRACT(B1808, ""^(.*): "")&amp;"" ✅ "" &amp;REGEXEXTRACT(B1808, ""(Trouvez.*)"")"),"🏘️ Vendre maison Mase ✅ Trouvez le bien immobilier qui correspond idéalement à vos désirs sur ImmoScout24 - La plateforme de l'immobilier en Suisse.")</f>
        <v>🏘️ Vendre maison Mase ✅ Trouvez le bien immobilier qui correspond idéalement à vos désirs sur ImmoScout24 - La plateforme de l'immobilier en Suisse.</v>
      </c>
      <c r="D1808" s="4" t="str">
        <f>vlookup(A1808, Sheet2!D:E, 2, 0)</f>
        <v>variant</v>
      </c>
      <c r="E1808" s="4" t="str">
        <f>IFERROR(__xludf.DUMMYFUNCTION("if(H1808=""pays"",vlookup(REGEXEXTRACT(C1808, ""🏘️ \w+ \w+ (.*) ✅""),'Country prepositions'!A:B, 2, 0) &amp; "" "" &amp; REGEXEXTRACT(C1808, ""🏘️ \w+ \w+ (.*) ✅"") ,  if(H1808=""quartier"",vlookup(REGEXEXTRACT(C1808, ""🏘️ \w+ \w+ (.*) ✅""),'Quartier prepositio"&amp;"ns'!A:E, 5, 0) ,  if(H1808=""region"",vlookup(REGEXEXTRACT(C1808, ""🏘️ \w+ \w+ (.*) ✅""),'Region prepositions'!B:F, 5, 0),  REGEXEXTRACT(C1808, ""🏘️ \w+ \w+ (.*) ✅""))))"),"Mase")</f>
        <v>Mase</v>
      </c>
      <c r="F1808" s="2" t="str">
        <f>IFERROR(__xludf.DUMMYFUNCTION("REGEXEXTRACT(C1808, ""🏘️ (\w+) \w+ .* ✅"")"),"Vendre")</f>
        <v>Vendre</v>
      </c>
      <c r="G1808" s="2" t="str">
        <f>IFERROR(__xludf.DUMMYFUNCTION("REGEXEXTRACT(C1808, ""🏘️ \w+ (\w+) .* ✅"")"),"maison")</f>
        <v>maison</v>
      </c>
      <c r="H1808" s="4" t="str">
        <f>IFERROR(__xludf.DUMMYFUNCTION("REGEXEXTRACT(A1808, ""/(\w+)-.*?"")"),"lieu")</f>
        <v>lieu</v>
      </c>
      <c r="I1808" s="4" t="str">
        <f>IFERROR(__xludf.DUMMYFUNCTION("if(D1808=""variant"",  substitute(filter(Templates!E:E, Templates!A:A = F1808, Templates!B:B = G1808, Templates!C:C = H1808), ""{{}}"", E1808), B1808)"),"🏘  Vous souhaitez acheter une maison à Mase? ✅ Jetez un œil aux dernières offres sur ImmoScout24.ch.")</f>
        <v>🏘  Vous souhaitez acheter une maison à Mase? ✅ Jetez un œil aux dernières offres sur ImmoScout24.ch.</v>
      </c>
      <c r="J1808" s="4" t="s">
        <v>5425</v>
      </c>
    </row>
    <row r="1809">
      <c r="A1809" s="5" t="s">
        <v>5426</v>
      </c>
      <c r="B1809" s="2" t="s">
        <v>5427</v>
      </c>
      <c r="C1809" s="4" t="str">
        <f>IFERROR(__xludf.DUMMYFUNCTION("""🏘️ ""&amp;REGEXEXTRACT(B1809, ""^(.*): "")&amp;"" ✅ "" &amp;REGEXEXTRACT(B1809, ""(Trouvez.*)"")"),"🏘️ Louer appartement Confignon ✅ Trouvez le bien immobilier qui correspond idéalement à vos désirs sur ImmoScout24 - La plateforme de l'immobilier en Suisse.")</f>
        <v>🏘️ Louer appartement Confignon ✅ Trouvez le bien immobilier qui correspond idéalement à vos désirs sur ImmoScout24 - La plateforme de l'immobilier en Suisse.</v>
      </c>
      <c r="D1809" s="4" t="str">
        <f>vlookup(A1809, Sheet2!D:E, 2, 0)</f>
        <v>variant</v>
      </c>
      <c r="E1809" s="4" t="str">
        <f>IFERROR(__xludf.DUMMYFUNCTION("if(H1809=""pays"",vlookup(REGEXEXTRACT(C1809, ""🏘️ \w+ \w+ (.*) ✅""),'Country prepositions'!A:B, 2, 0) &amp; "" "" &amp; REGEXEXTRACT(C1809, ""🏘️ \w+ \w+ (.*) ✅"") ,  if(H1809=""quartier"",vlookup(REGEXEXTRACT(C1809, ""🏘️ \w+ \w+ (.*) ✅""),'Quartier prepositio"&amp;"ns'!A:E, 5, 0) ,  if(H1809=""region"",vlookup(REGEXEXTRACT(C1809, ""🏘️ \w+ \w+ (.*) ✅""),'Region prepositions'!B:F, 5, 0),  REGEXEXTRACT(C1809, ""🏘️ \w+ \w+ (.*) ✅""))))"),"Confignon")</f>
        <v>Confignon</v>
      </c>
      <c r="F1809" s="2" t="str">
        <f>IFERROR(__xludf.DUMMYFUNCTION("REGEXEXTRACT(C1809, ""🏘️ (\w+) \w+ .* ✅"")"),"Louer")</f>
        <v>Louer</v>
      </c>
      <c r="G1809" s="2" t="str">
        <f>IFERROR(__xludf.DUMMYFUNCTION("REGEXEXTRACT(C1809, ""🏘️ \w+ (\w+) .* ✅"")"),"appartement")</f>
        <v>appartement</v>
      </c>
      <c r="H1809" s="4" t="str">
        <f>IFERROR(__xludf.DUMMYFUNCTION("REGEXEXTRACT(A1809, ""/(\w+)-.*?"")"),"lieu")</f>
        <v>lieu</v>
      </c>
      <c r="I1809" s="4" t="str">
        <f>IFERROR(__xludf.DUMMYFUNCTION("if(D1809=""variant"",  substitute(filter(Templates!E:E, Templates!A:A = F1809, Templates!B:B = G1809, Templates!C:C = H1809), ""{{}}"", E1809), B1809)"),"🏘  Vous cherchez un appartement à louer à Confignon? ✅ Les annonces les plus actuelles sont sur ImmoScout24.ch.")</f>
        <v>🏘  Vous cherchez un appartement à louer à Confignon? ✅ Les annonces les plus actuelles sont sur ImmoScout24.ch.</v>
      </c>
      <c r="J1809" s="4" t="s">
        <v>5428</v>
      </c>
    </row>
    <row r="1810">
      <c r="A1810" s="5" t="s">
        <v>5429</v>
      </c>
      <c r="B1810" s="2" t="s">
        <v>5430</v>
      </c>
      <c r="C1810" s="4" t="str">
        <f>IFERROR(__xludf.DUMMYFUNCTION("""🏘️ ""&amp;REGEXEXTRACT(B1810, ""^(.*): "")&amp;"" ✅ "" &amp;REGEXEXTRACT(B1810, ""(Trouvez.*)"")"),"🏘️ Louer appartement Schwaderloch ✅ Trouvez le bien immobilier qui correspond idéalement à vos désirs sur ImmoScout24 - La plateforme de l'immobilier en Suisse.")</f>
        <v>🏘️ Louer appartement Schwaderloch ✅ Trouvez le bien immobilier qui correspond idéalement à vos désirs sur ImmoScout24 - La plateforme de l'immobilier en Suisse.</v>
      </c>
      <c r="D1810" s="4" t="str">
        <f>vlookup(A1810, Sheet2!D:E, 2, 0)</f>
        <v>variant</v>
      </c>
      <c r="E1810" s="4" t="str">
        <f>IFERROR(__xludf.DUMMYFUNCTION("if(H1810=""pays"",vlookup(REGEXEXTRACT(C1810, ""🏘️ \w+ \w+ (.*) ✅""),'Country prepositions'!A:B, 2, 0) &amp; "" "" &amp; REGEXEXTRACT(C1810, ""🏘️ \w+ \w+ (.*) ✅"") ,  if(H1810=""quartier"",vlookup(REGEXEXTRACT(C1810, ""🏘️ \w+ \w+ (.*) ✅""),'Quartier prepositio"&amp;"ns'!A:E, 5, 0) ,  if(H1810=""region"",vlookup(REGEXEXTRACT(C1810, ""🏘️ \w+ \w+ (.*) ✅""),'Region prepositions'!B:F, 5, 0),  REGEXEXTRACT(C1810, ""🏘️ \w+ \w+ (.*) ✅""))))"),"Schwaderloch")</f>
        <v>Schwaderloch</v>
      </c>
      <c r="F1810" s="2" t="str">
        <f>IFERROR(__xludf.DUMMYFUNCTION("REGEXEXTRACT(C1810, ""🏘️ (\w+) \w+ .* ✅"")"),"Louer")</f>
        <v>Louer</v>
      </c>
      <c r="G1810" s="2" t="str">
        <f>IFERROR(__xludf.DUMMYFUNCTION("REGEXEXTRACT(C1810, ""🏘️ \w+ (\w+) .* ✅"")"),"appartement")</f>
        <v>appartement</v>
      </c>
      <c r="H1810" s="4" t="str">
        <f>IFERROR(__xludf.DUMMYFUNCTION("REGEXEXTRACT(A1810, ""/(\w+)-.*?"")"),"lieu")</f>
        <v>lieu</v>
      </c>
      <c r="I1810" s="4" t="str">
        <f>IFERROR(__xludf.DUMMYFUNCTION("if(D1810=""variant"",  substitute(filter(Templates!E:E, Templates!A:A = F1810, Templates!B:B = G1810, Templates!C:C = H1810), ""{{}}"", E1810), B1810)"),"🏘  Vous cherchez un appartement à louer à Schwaderloch? ✅ Les annonces les plus actuelles sont sur ImmoScout24.ch.")</f>
        <v>🏘  Vous cherchez un appartement à louer à Schwaderloch? ✅ Les annonces les plus actuelles sont sur ImmoScout24.ch.</v>
      </c>
      <c r="J1810" s="4" t="s">
        <v>5431</v>
      </c>
    </row>
    <row r="1811">
      <c r="A1811" s="5" t="s">
        <v>5432</v>
      </c>
      <c r="B1811" s="2" t="s">
        <v>5433</v>
      </c>
      <c r="C1811" s="4" t="str">
        <f>IFERROR(__xludf.DUMMYFUNCTION("""🏘️ ""&amp;REGEXEXTRACT(B1811, ""^(.*): "")&amp;"" ✅ "" &amp;REGEXEXTRACT(B1811, ""(Trouvez.*)"")"),"🏘️ Vendre maison Canton du Jura ✅ Trouvez le bien immobilier qui correspond idéalement à vos désirs sur ImmoScout24 - La plateforme de l'immobilier en Suisse.")</f>
        <v>🏘️ Vendre maison Canton du Jura ✅ Trouvez le bien immobilier qui correspond idéalement à vos désirs sur ImmoScout24 - La plateforme de l'immobilier en Suisse.</v>
      </c>
      <c r="D1811" s="4" t="str">
        <f>vlookup(A1811, Sheet2!D:E, 2, 0)</f>
        <v>variant</v>
      </c>
      <c r="E1811" s="4" t="str">
        <f>IFERROR(__xludf.DUMMYFUNCTION("if(H1811=""pays"",vlookup(REGEXEXTRACT(C1811, ""🏘️ \w+ \w+ (.*) ✅""),'Country prepositions'!A:B, 2, 0) &amp; "" "" &amp; REGEXEXTRACT(C1811, ""🏘️ \w+ \w+ (.*) ✅"") ,  if(H1811=""quartier"",vlookup(REGEXEXTRACT(C1811, ""🏘️ \w+ \w+ (.*) ✅""),'Quartier prepositio"&amp;"ns'!A:E, 5, 0) ,  if(H1811=""region"",vlookup(REGEXEXTRACT(C1811, ""🏘️ \w+ \w+ (.*) ✅""),'Region prepositions'!B:F, 5, 0),  REGEXEXTRACT(C1811, ""🏘️ \w+ \w+ (.*) ✅""))))"),"Canton du Jura")</f>
        <v>Canton du Jura</v>
      </c>
      <c r="F1811" s="2" t="str">
        <f>IFERROR(__xludf.DUMMYFUNCTION("REGEXEXTRACT(C1811, ""🏘️ (\w+) \w+ .* ✅"")"),"Vendre")</f>
        <v>Vendre</v>
      </c>
      <c r="G1811" s="2" t="str">
        <f>IFERROR(__xludf.DUMMYFUNCTION("REGEXEXTRACT(C1811, ""🏘️ \w+ (\w+) .* ✅"")"),"maison")</f>
        <v>maison</v>
      </c>
      <c r="H1811" s="4" t="str">
        <f>IFERROR(__xludf.DUMMYFUNCTION("REGEXEXTRACT(A1811, ""/(\w+)-.*?"")"),"canton")</f>
        <v>canton</v>
      </c>
      <c r="I1811" s="4" t="str">
        <f>IFERROR(__xludf.DUMMYFUNCTION("if(D1811=""variant"",  substitute(filter(Templates!E:E, Templates!A:A = F1811, Templates!B:B = G1811, Templates!C:C = H1811), ""{{}}"", E1811), B1811)"),"🏘  Vous souhaitez acheter une maison dans le Canton du Jura? ✅ Jetez un œil aux dernières offres sur ImmoScout24.ch.")</f>
        <v>🏘  Vous souhaitez acheter une maison dans le Canton du Jura? ✅ Jetez un œil aux dernières offres sur ImmoScout24.ch.</v>
      </c>
      <c r="J1811" s="4" t="s">
        <v>5434</v>
      </c>
    </row>
    <row r="1812">
      <c r="A1812" s="5" t="s">
        <v>5435</v>
      </c>
      <c r="B1812" s="2" t="s">
        <v>5436</v>
      </c>
      <c r="C1812" s="4" t="str">
        <f>IFERROR(__xludf.DUMMYFUNCTION("""🏘️ ""&amp;REGEXEXTRACT(B1812, ""^(.*): "")&amp;"" ✅ "" &amp;REGEXEXTRACT(B1812, ""(Trouvez.*)"")"),"🏘️ Vendre maison Belprahon ✅ Trouvez le bien immobilier qui correspond idéalement à vos désirs sur ImmoScout24 - La plateforme de l'immobilier en Suisse.")</f>
        <v>🏘️ Vendre maison Belprahon ✅ Trouvez le bien immobilier qui correspond idéalement à vos désirs sur ImmoScout24 - La plateforme de l'immobilier en Suisse.</v>
      </c>
      <c r="D1812" s="4" t="str">
        <f>vlookup(A1812, Sheet2!D:E, 2, 0)</f>
        <v>variant</v>
      </c>
      <c r="E1812" s="4" t="str">
        <f>IFERROR(__xludf.DUMMYFUNCTION("if(H1812=""pays"",vlookup(REGEXEXTRACT(C1812, ""🏘️ \w+ \w+ (.*) ✅""),'Country prepositions'!A:B, 2, 0) &amp; "" "" &amp; REGEXEXTRACT(C1812, ""🏘️ \w+ \w+ (.*) ✅"") ,  if(H1812=""quartier"",vlookup(REGEXEXTRACT(C1812, ""🏘️ \w+ \w+ (.*) ✅""),'Quartier prepositio"&amp;"ns'!A:E, 5, 0) ,  if(H1812=""region"",vlookup(REGEXEXTRACT(C1812, ""🏘️ \w+ \w+ (.*) ✅""),'Region prepositions'!B:F, 5, 0),  REGEXEXTRACT(C1812, ""🏘️ \w+ \w+ (.*) ✅""))))"),"Belprahon")</f>
        <v>Belprahon</v>
      </c>
      <c r="F1812" s="2" t="str">
        <f>IFERROR(__xludf.DUMMYFUNCTION("REGEXEXTRACT(C1812, ""🏘️ (\w+) \w+ .* ✅"")"),"Vendre")</f>
        <v>Vendre</v>
      </c>
      <c r="G1812" s="2" t="str">
        <f>IFERROR(__xludf.DUMMYFUNCTION("REGEXEXTRACT(C1812, ""🏘️ \w+ (\w+) .* ✅"")"),"maison")</f>
        <v>maison</v>
      </c>
      <c r="H1812" s="4" t="str">
        <f>IFERROR(__xludf.DUMMYFUNCTION("REGEXEXTRACT(A1812, ""/(\w+)-.*?"")"),"lieu")</f>
        <v>lieu</v>
      </c>
      <c r="I1812" s="4" t="str">
        <f>IFERROR(__xludf.DUMMYFUNCTION("if(D1812=""variant"",  substitute(filter(Templates!E:E, Templates!A:A = F1812, Templates!B:B = G1812, Templates!C:C = H1812), ""{{}}"", E1812), B1812)"),"🏘  Vous souhaitez acheter une maison à Belprahon? ✅ Jetez un œil aux dernières offres sur ImmoScout24.ch.")</f>
        <v>🏘  Vous souhaitez acheter une maison à Belprahon? ✅ Jetez un œil aux dernières offres sur ImmoScout24.ch.</v>
      </c>
      <c r="J1812" s="4" t="s">
        <v>5437</v>
      </c>
    </row>
    <row r="1813">
      <c r="A1813" s="5" t="s">
        <v>5438</v>
      </c>
      <c r="B1813" s="2" t="s">
        <v>5439</v>
      </c>
      <c r="C1813" s="4" t="str">
        <f>IFERROR(__xludf.DUMMYFUNCTION("""🏘️ ""&amp;REGEXEXTRACT(B1813, ""^(.*): "")&amp;"" ✅ "" &amp;REGEXEXTRACT(B1813, ""(Trouvez.*)"")"),"🏘️ Louer maison Iseltwald ✅ Trouvez le bien immobilier qui correspond idéalement à vos désirs sur ImmoScout24 - La plateforme de l'immobilier en Suisse.")</f>
        <v>🏘️ Louer maison Iseltwald ✅ Trouvez le bien immobilier qui correspond idéalement à vos désirs sur ImmoScout24 - La plateforme de l'immobilier en Suisse.</v>
      </c>
      <c r="D1813" s="4" t="str">
        <f>vlookup(A1813, Sheet2!D:E, 2, 0)</f>
        <v>variant</v>
      </c>
      <c r="E1813" s="4" t="str">
        <f>IFERROR(__xludf.DUMMYFUNCTION("if(H1813=""pays"",vlookup(REGEXEXTRACT(C1813, ""🏘️ \w+ \w+ (.*) ✅""),'Country prepositions'!A:B, 2, 0) &amp; "" "" &amp; REGEXEXTRACT(C1813, ""🏘️ \w+ \w+ (.*) ✅"") ,  if(H1813=""quartier"",vlookup(REGEXEXTRACT(C1813, ""🏘️ \w+ \w+ (.*) ✅""),'Quartier prepositio"&amp;"ns'!A:E, 5, 0) ,  if(H1813=""region"",vlookup(REGEXEXTRACT(C1813, ""🏘️ \w+ \w+ (.*) ✅""),'Region prepositions'!B:F, 5, 0),  REGEXEXTRACT(C1813, ""🏘️ \w+ \w+ (.*) ✅""))))"),"Iseltwald")</f>
        <v>Iseltwald</v>
      </c>
      <c r="F1813" s="2" t="str">
        <f>IFERROR(__xludf.DUMMYFUNCTION("REGEXEXTRACT(C1813, ""🏘️ (\w+) \w+ .* ✅"")"),"Louer")</f>
        <v>Louer</v>
      </c>
      <c r="G1813" s="2" t="str">
        <f>IFERROR(__xludf.DUMMYFUNCTION("REGEXEXTRACT(C1813, ""🏘️ \w+ (\w+) .* ✅"")"),"maison")</f>
        <v>maison</v>
      </c>
      <c r="H1813" s="4" t="str">
        <f>IFERROR(__xludf.DUMMYFUNCTION("REGEXEXTRACT(A1813, ""/(\w+)-.*?"")"),"lieu")</f>
        <v>lieu</v>
      </c>
      <c r="I1813" s="4" t="str">
        <f>IFERROR(__xludf.DUMMYFUNCTION("if(D1813=""variant"",  substitute(filter(Templates!E:E, Templates!A:A = F1813, Templates!B:B = G1813, Templates!C:C = H1813), ""{{}}"", E1813), B1813)"),"🏘  Vous cherchez une maison à louer à Iseltwald? ✅ Découvrez nos nombreuses annonces sur ImmoScout24.ch.")</f>
        <v>🏘  Vous cherchez une maison à louer à Iseltwald? ✅ Découvrez nos nombreuses annonces sur ImmoScout24.ch.</v>
      </c>
      <c r="J1813" s="4" t="s">
        <v>5440</v>
      </c>
    </row>
    <row r="1814">
      <c r="A1814" s="5" t="s">
        <v>5441</v>
      </c>
      <c r="B1814" s="2" t="s">
        <v>5442</v>
      </c>
      <c r="C1814" s="4" t="str">
        <f>IFERROR(__xludf.DUMMYFUNCTION("""🏘️ ""&amp;REGEXEXTRACT(B1814, ""^(.*): "")&amp;"" ✅ "" &amp;REGEXEXTRACT(B1814, ""(Trouvez.*)"")"),"🏘️ Vendre maison Middes ✅ Trouvez le bien immobilier qui correspond idéalement à vos désirs sur ImmoScout24 - La plateforme de l'immobilier en Suisse.")</f>
        <v>🏘️ Vendre maison Middes ✅ Trouvez le bien immobilier qui correspond idéalement à vos désirs sur ImmoScout24 - La plateforme de l'immobilier en Suisse.</v>
      </c>
      <c r="D1814" s="4" t="str">
        <f>vlookup(A1814, Sheet2!D:E, 2, 0)</f>
        <v>variant</v>
      </c>
      <c r="E1814" s="4" t="str">
        <f>IFERROR(__xludf.DUMMYFUNCTION("if(H1814=""pays"",vlookup(REGEXEXTRACT(C1814, ""🏘️ \w+ \w+ (.*) ✅""),'Country prepositions'!A:B, 2, 0) &amp; "" "" &amp; REGEXEXTRACT(C1814, ""🏘️ \w+ \w+ (.*) ✅"") ,  if(H1814=""quartier"",vlookup(REGEXEXTRACT(C1814, ""🏘️ \w+ \w+ (.*) ✅""),'Quartier prepositio"&amp;"ns'!A:E, 5, 0) ,  if(H1814=""region"",vlookup(REGEXEXTRACT(C1814, ""🏘️ \w+ \w+ (.*) ✅""),'Region prepositions'!B:F, 5, 0),  REGEXEXTRACT(C1814, ""🏘️ \w+ \w+ (.*) ✅""))))"),"Middes")</f>
        <v>Middes</v>
      </c>
      <c r="F1814" s="2" t="str">
        <f>IFERROR(__xludf.DUMMYFUNCTION("REGEXEXTRACT(C1814, ""🏘️ (\w+) \w+ .* ✅"")"),"Vendre")</f>
        <v>Vendre</v>
      </c>
      <c r="G1814" s="2" t="str">
        <f>IFERROR(__xludf.DUMMYFUNCTION("REGEXEXTRACT(C1814, ""🏘️ \w+ (\w+) .* ✅"")"),"maison")</f>
        <v>maison</v>
      </c>
      <c r="H1814" s="4" t="str">
        <f>IFERROR(__xludf.DUMMYFUNCTION("REGEXEXTRACT(A1814, ""/(\w+)-.*?"")"),"lieu")</f>
        <v>lieu</v>
      </c>
      <c r="I1814" s="4" t="str">
        <f>IFERROR(__xludf.DUMMYFUNCTION("if(D1814=""variant"",  substitute(filter(Templates!E:E, Templates!A:A = F1814, Templates!B:B = G1814, Templates!C:C = H1814), ""{{}}"", E1814), B1814)"),"🏘  Vous souhaitez acheter une maison à Middes? ✅ Jetez un œil aux dernières offres sur ImmoScout24.ch.")</f>
        <v>🏘  Vous souhaitez acheter une maison à Middes? ✅ Jetez un œil aux dernières offres sur ImmoScout24.ch.</v>
      </c>
      <c r="J1814" s="4" t="s">
        <v>5443</v>
      </c>
    </row>
    <row r="1815">
      <c r="A1815" s="5" t="s">
        <v>5444</v>
      </c>
      <c r="B1815" s="2" t="s">
        <v>5445</v>
      </c>
      <c r="C1815" s="4" t="str">
        <f>IFERROR(__xludf.DUMMYFUNCTION("""🏘️ ""&amp;REGEXEXTRACT(B1815, ""^(.*): "")&amp;"" ✅ "" &amp;REGEXEXTRACT(B1815, ""(Trouvez.*)"")"),"🏘️ Louer maison Lausanne et environs ✅ Trouvez le bien immobilier qui correspond idéalement à vos désirs sur ImmoScout24 - La plateforme de l'immobilier en Suisse.")</f>
        <v>🏘️ Louer maison Lausanne et environs ✅ Trouvez le bien immobilier qui correspond idéalement à vos désirs sur ImmoScout24 - La plateforme de l'immobilier en Suisse.</v>
      </c>
      <c r="D1815" s="4" t="str">
        <f>vlookup(A1815, Sheet2!D:E, 2, 0)</f>
        <v>variant</v>
      </c>
      <c r="E1815" s="4" t="str">
        <f>IFERROR(__xludf.DUMMYFUNCTION("if(H1815=""pays"",vlookup(REGEXEXTRACT(C1815, ""🏘️ \w+ \w+ (.*) ✅""),'Country prepositions'!A:B, 2, 0) &amp; "" "" &amp; REGEXEXTRACT(C1815, ""🏘️ \w+ \w+ (.*) ✅"") ,  if(H1815=""quartier"",vlookup(REGEXEXTRACT(C1815, ""🏘️ \w+ \w+ (.*) ✅""),'Quartier prepositio"&amp;"ns'!A:E, 5, 0) ,  if(H1815=""region"",vlookup(REGEXEXTRACT(C1815, ""🏘️ \w+ \w+ (.*) ✅""),'Region prepositions'!B:F, 5, 0),  REGEXEXTRACT(C1815, ""🏘️ \w+ \w+ (.*) ✅""))))"),"à Lausanne et environs")</f>
        <v>à Lausanne et environs</v>
      </c>
      <c r="F1815" s="2" t="str">
        <f>IFERROR(__xludf.DUMMYFUNCTION("REGEXEXTRACT(C1815, ""🏘️ (\w+) \w+ .* ✅"")"),"Louer")</f>
        <v>Louer</v>
      </c>
      <c r="G1815" s="2" t="str">
        <f>IFERROR(__xludf.DUMMYFUNCTION("REGEXEXTRACT(C1815, ""🏘️ \w+ (\w+) .* ✅"")"),"maison")</f>
        <v>maison</v>
      </c>
      <c r="H1815" s="4" t="str">
        <f>IFERROR(__xludf.DUMMYFUNCTION("REGEXEXTRACT(A1815, ""/(\w+)-.*?"")"),"region")</f>
        <v>region</v>
      </c>
      <c r="I1815" s="4" t="str">
        <f>IFERROR(__xludf.DUMMYFUNCTION("if(D1815=""variant"",  substitute(filter(Templates!E:E, Templates!A:A = F1815, Templates!B:B = G1815, Templates!C:C = H1815), ""{{}}"", E1815), B1815)"),"🏘  Vous cherchez une maison à louer à Lausanne et environs? ✅ Découvrez nos nombreuses annonces sur ImmoScout24.ch.")</f>
        <v>🏘  Vous cherchez une maison à louer à Lausanne et environs? ✅ Découvrez nos nombreuses annonces sur ImmoScout24.ch.</v>
      </c>
      <c r="J1815" s="4" t="s">
        <v>5446</v>
      </c>
    </row>
    <row r="1816">
      <c r="A1816" s="5" t="s">
        <v>5447</v>
      </c>
      <c r="B1816" s="2" t="s">
        <v>5448</v>
      </c>
      <c r="C1816" s="4" t="str">
        <f>IFERROR(__xludf.DUMMYFUNCTION("""🏘️ ""&amp;REGEXEXTRACT(B1816, ""^(.*): "")&amp;"" ✅ "" &amp;REGEXEXTRACT(B1816, ""(Trouvez.*)"")"),"🏘️ Vendre maison Andeer ✅ Trouvez le bien immobilier qui correspond idéalement à vos désirs sur ImmoScout24 - La plateforme de l'immobilier en Suisse.")</f>
        <v>🏘️ Vendre maison Andeer ✅ Trouvez le bien immobilier qui correspond idéalement à vos désirs sur ImmoScout24 - La plateforme de l'immobilier en Suisse.</v>
      </c>
      <c r="D1816" s="4" t="str">
        <f>vlookup(A1816, Sheet2!D:E, 2, 0)</f>
        <v>variant</v>
      </c>
      <c r="E1816" s="4" t="str">
        <f>IFERROR(__xludf.DUMMYFUNCTION("if(H1816=""pays"",vlookup(REGEXEXTRACT(C1816, ""🏘️ \w+ \w+ (.*) ✅""),'Country prepositions'!A:B, 2, 0) &amp; "" "" &amp; REGEXEXTRACT(C1816, ""🏘️ \w+ \w+ (.*) ✅"") ,  if(H1816=""quartier"",vlookup(REGEXEXTRACT(C1816, ""🏘️ \w+ \w+ (.*) ✅""),'Quartier prepositio"&amp;"ns'!A:E, 5, 0) ,  if(H1816=""region"",vlookup(REGEXEXTRACT(C1816, ""🏘️ \w+ \w+ (.*) ✅""),'Region prepositions'!B:F, 5, 0),  REGEXEXTRACT(C1816, ""🏘️ \w+ \w+ (.*) ✅""))))"),"Andeer")</f>
        <v>Andeer</v>
      </c>
      <c r="F1816" s="2" t="str">
        <f>IFERROR(__xludf.DUMMYFUNCTION("REGEXEXTRACT(C1816, ""🏘️ (\w+) \w+ .* ✅"")"),"Vendre")</f>
        <v>Vendre</v>
      </c>
      <c r="G1816" s="2" t="str">
        <f>IFERROR(__xludf.DUMMYFUNCTION("REGEXEXTRACT(C1816, ""🏘️ \w+ (\w+) .* ✅"")"),"maison")</f>
        <v>maison</v>
      </c>
      <c r="H1816" s="4" t="str">
        <f>IFERROR(__xludf.DUMMYFUNCTION("REGEXEXTRACT(A1816, ""/(\w+)-.*?"")"),"lieu")</f>
        <v>lieu</v>
      </c>
      <c r="I1816" s="4" t="str">
        <f>IFERROR(__xludf.DUMMYFUNCTION("if(D1816=""variant"",  substitute(filter(Templates!E:E, Templates!A:A = F1816, Templates!B:B = G1816, Templates!C:C = H1816), ""{{}}"", E1816), B1816)"),"🏘  Vous souhaitez acheter une maison à Andeer? ✅ Jetez un œil aux dernières offres sur ImmoScout24.ch.")</f>
        <v>🏘  Vous souhaitez acheter une maison à Andeer? ✅ Jetez un œil aux dernières offres sur ImmoScout24.ch.</v>
      </c>
      <c r="J1816" s="4" t="s">
        <v>5449</v>
      </c>
    </row>
    <row r="1817">
      <c r="A1817" s="5" t="s">
        <v>5450</v>
      </c>
      <c r="B1817" s="2" t="s">
        <v>5451</v>
      </c>
      <c r="C1817" s="4" t="str">
        <f>IFERROR(__xludf.DUMMYFUNCTION("""🏘️ ""&amp;REGEXEXTRACT(B1817, ""^(.*): "")&amp;"" ✅ "" &amp;REGEXEXTRACT(B1817, ""(Trouvez.*)"")"),"🏘️ Vendre maison Burtigny ✅ Trouvez le bien immobilier qui correspond idéalement à vos désirs sur ImmoScout24 - La plateforme de l'immobilier en Suisse.")</f>
        <v>🏘️ Vendre maison Burtigny ✅ Trouvez le bien immobilier qui correspond idéalement à vos désirs sur ImmoScout24 - La plateforme de l'immobilier en Suisse.</v>
      </c>
      <c r="D1817" s="4" t="str">
        <f>vlookup(A1817, Sheet2!D:E, 2, 0)</f>
        <v>variant</v>
      </c>
      <c r="E1817" s="4" t="str">
        <f>IFERROR(__xludf.DUMMYFUNCTION("if(H1817=""pays"",vlookup(REGEXEXTRACT(C1817, ""🏘️ \w+ \w+ (.*) ✅""),'Country prepositions'!A:B, 2, 0) &amp; "" "" &amp; REGEXEXTRACT(C1817, ""🏘️ \w+ \w+ (.*) ✅"") ,  if(H1817=""quartier"",vlookup(REGEXEXTRACT(C1817, ""🏘️ \w+ \w+ (.*) ✅""),'Quartier prepositio"&amp;"ns'!A:E, 5, 0) ,  if(H1817=""region"",vlookup(REGEXEXTRACT(C1817, ""🏘️ \w+ \w+ (.*) ✅""),'Region prepositions'!B:F, 5, 0),  REGEXEXTRACT(C1817, ""🏘️ \w+ \w+ (.*) ✅""))))"),"Burtigny")</f>
        <v>Burtigny</v>
      </c>
      <c r="F1817" s="2" t="str">
        <f>IFERROR(__xludf.DUMMYFUNCTION("REGEXEXTRACT(C1817, ""🏘️ (\w+) \w+ .* ✅"")"),"Vendre")</f>
        <v>Vendre</v>
      </c>
      <c r="G1817" s="2" t="str">
        <f>IFERROR(__xludf.DUMMYFUNCTION("REGEXEXTRACT(C1817, ""🏘️ \w+ (\w+) .* ✅"")"),"maison")</f>
        <v>maison</v>
      </c>
      <c r="H1817" s="4" t="str">
        <f>IFERROR(__xludf.DUMMYFUNCTION("REGEXEXTRACT(A1817, ""/(\w+)-.*?"")"),"lieu")</f>
        <v>lieu</v>
      </c>
      <c r="I1817" s="4" t="str">
        <f>IFERROR(__xludf.DUMMYFUNCTION("if(D1817=""variant"",  substitute(filter(Templates!E:E, Templates!A:A = F1817, Templates!B:B = G1817, Templates!C:C = H1817), ""{{}}"", E1817), B1817)"),"🏘  Vous souhaitez acheter une maison à Burtigny? ✅ Jetez un œil aux dernières offres sur ImmoScout24.ch.")</f>
        <v>🏘  Vous souhaitez acheter une maison à Burtigny? ✅ Jetez un œil aux dernières offres sur ImmoScout24.ch.</v>
      </c>
      <c r="J1817" s="4" t="s">
        <v>5452</v>
      </c>
    </row>
    <row r="1818">
      <c r="A1818" s="5" t="s">
        <v>5453</v>
      </c>
      <c r="B1818" s="2" t="s">
        <v>5454</v>
      </c>
      <c r="C1818" s="4" t="str">
        <f>IFERROR(__xludf.DUMMYFUNCTION("""🏘️ ""&amp;REGEXEXTRACT(B1818, ""^(.*): "")&amp;"" ✅ "" &amp;REGEXEXTRACT(B1818, ""(Trouvez.*)"")"),"🏘️ Vendre appartement Grône ✅ Trouvez le bien immobilier qui correspond idéalement à vos désirs sur ImmoScout24 - La plateforme de l'immobilier en Suisse.")</f>
        <v>🏘️ Vendre appartement Grône ✅ Trouvez le bien immobilier qui correspond idéalement à vos désirs sur ImmoScout24 - La plateforme de l'immobilier en Suisse.</v>
      </c>
      <c r="D1818" s="4" t="str">
        <f>vlookup(A1818, Sheet2!D:E, 2, 0)</f>
        <v>variant</v>
      </c>
      <c r="E1818" s="4" t="str">
        <f>IFERROR(__xludf.DUMMYFUNCTION("if(H1818=""pays"",vlookup(REGEXEXTRACT(C1818, ""🏘️ \w+ \w+ (.*) ✅""),'Country prepositions'!A:B, 2, 0) &amp; "" "" &amp; REGEXEXTRACT(C1818, ""🏘️ \w+ \w+ (.*) ✅"") ,  if(H1818=""quartier"",vlookup(REGEXEXTRACT(C1818, ""🏘️ \w+ \w+ (.*) ✅""),'Quartier prepositio"&amp;"ns'!A:E, 5, 0) ,  if(H1818=""region"",vlookup(REGEXEXTRACT(C1818, ""🏘️ \w+ \w+ (.*) ✅""),'Region prepositions'!B:F, 5, 0),  REGEXEXTRACT(C1818, ""🏘️ \w+ \w+ (.*) ✅""))))"),"Grône")</f>
        <v>Grône</v>
      </c>
      <c r="F1818" s="2" t="str">
        <f>IFERROR(__xludf.DUMMYFUNCTION("REGEXEXTRACT(C1818, ""🏘️ (\w+) \w+ .* ✅"")"),"Vendre")</f>
        <v>Vendre</v>
      </c>
      <c r="G1818" s="2" t="str">
        <f>IFERROR(__xludf.DUMMYFUNCTION("REGEXEXTRACT(C1818, ""🏘️ \w+ (\w+) .* ✅"")"),"appartement")</f>
        <v>appartement</v>
      </c>
      <c r="H1818" s="4" t="str">
        <f>IFERROR(__xludf.DUMMYFUNCTION("REGEXEXTRACT(A1818, ""/(\w+)-.*?"")"),"lieu")</f>
        <v>lieu</v>
      </c>
      <c r="I1818" s="4" t="str">
        <f>IFERROR(__xludf.DUMMYFUNCTION("if(D1818=""variant"",  substitute(filter(Templates!E:E, Templates!A:A = F1818, Templates!B:B = G1818, Templates!C:C = H1818), ""{{}}"", E1818), B1818)"),"🏘  L’appartement de vos rêves se trouve sur ImmoScout24.ch ✅ Découvrez les dernières annonces de vente à Grône.")</f>
        <v>🏘  L’appartement de vos rêves se trouve sur ImmoScout24.ch ✅ Découvrez les dernières annonces de vente à Grône.</v>
      </c>
      <c r="J1818" s="4" t="s">
        <v>5455</v>
      </c>
    </row>
    <row r="1819">
      <c r="A1819" s="5" t="s">
        <v>5456</v>
      </c>
      <c r="B1819" s="2" t="s">
        <v>5457</v>
      </c>
      <c r="C1819" s="4" t="str">
        <f>IFERROR(__xludf.DUMMYFUNCTION("""🏘️ ""&amp;REGEXEXTRACT(B1819, ""^(.*): "")&amp;"" ✅ "" &amp;REGEXEXTRACT(B1819, ""(Trouvez.*)"")"),"🏘️ Louer appartement Constantine ✅ Trouvez le bien immobilier qui correspond idéalement à vos désirs sur ImmoScout24 - La plateforme de l'immobilier en Suisse.")</f>
        <v>🏘️ Louer appartement Constantine ✅ Trouvez le bien immobilier qui correspond idéalement à vos désirs sur ImmoScout24 - La plateforme de l'immobilier en Suisse.</v>
      </c>
      <c r="D1819" s="4" t="str">
        <f>vlookup(A1819, Sheet2!D:E, 2, 0)</f>
        <v>variant</v>
      </c>
      <c r="E1819" s="4" t="str">
        <f>IFERROR(__xludf.DUMMYFUNCTION("if(H1819=""pays"",vlookup(REGEXEXTRACT(C1819, ""🏘️ \w+ \w+ (.*) ✅""),'Country prepositions'!A:B, 2, 0) &amp; "" "" &amp; REGEXEXTRACT(C1819, ""🏘️ \w+ \w+ (.*) ✅"") ,  if(H1819=""quartier"",vlookup(REGEXEXTRACT(C1819, ""🏘️ \w+ \w+ (.*) ✅""),'Quartier prepositio"&amp;"ns'!A:E, 5, 0) ,  if(H1819=""region"",vlookup(REGEXEXTRACT(C1819, ""🏘️ \w+ \w+ (.*) ✅""),'Region prepositions'!B:F, 5, 0),  REGEXEXTRACT(C1819, ""🏘️ \w+ \w+ (.*) ✅""))))"),"Constantine")</f>
        <v>Constantine</v>
      </c>
      <c r="F1819" s="2" t="str">
        <f>IFERROR(__xludf.DUMMYFUNCTION("REGEXEXTRACT(C1819, ""🏘️ (\w+) \w+ .* ✅"")"),"Louer")</f>
        <v>Louer</v>
      </c>
      <c r="G1819" s="2" t="str">
        <f>IFERROR(__xludf.DUMMYFUNCTION("REGEXEXTRACT(C1819, ""🏘️ \w+ (\w+) .* ✅"")"),"appartement")</f>
        <v>appartement</v>
      </c>
      <c r="H1819" s="4" t="str">
        <f>IFERROR(__xludf.DUMMYFUNCTION("REGEXEXTRACT(A1819, ""/(\w+)-.*?"")"),"lieu")</f>
        <v>lieu</v>
      </c>
      <c r="I1819" s="4" t="str">
        <f>IFERROR(__xludf.DUMMYFUNCTION("if(D1819=""variant"",  substitute(filter(Templates!E:E, Templates!A:A = F1819, Templates!B:B = G1819, Templates!C:C = H1819), ""{{}}"", E1819), B1819)"),"🏘  Vous cherchez un appartement à louer à Constantine? ✅ Les annonces les plus actuelles sont sur ImmoScout24.ch.")</f>
        <v>🏘  Vous cherchez un appartement à louer à Constantine? ✅ Les annonces les plus actuelles sont sur ImmoScout24.ch.</v>
      </c>
      <c r="J1819" s="4" t="s">
        <v>5458</v>
      </c>
    </row>
    <row r="1820">
      <c r="A1820" s="5" t="s">
        <v>5459</v>
      </c>
      <c r="B1820" s="2" t="s">
        <v>5460</v>
      </c>
      <c r="C1820" s="4" t="str">
        <f>IFERROR(__xludf.DUMMYFUNCTION("""🏘️ ""&amp;REGEXEXTRACT(B1820, ""^(.*): "")&amp;"" ✅ "" &amp;REGEXEXTRACT(B1820, ""(Trouvez.*)"")"),"🏘️ Louer appartement Aigle - Alpes Vaudoises ✅ Trouvez le bien immobilier qui correspond idéalement à vos désirs sur ImmoScout24 - La plateforme de l'immobilier en Suisse.")</f>
        <v>🏘️ Louer appartement Aigle - Alpes Vaudoises ✅ Trouvez le bien immobilier qui correspond idéalement à vos désirs sur ImmoScout24 - La plateforme de l'immobilier en Suisse.</v>
      </c>
      <c r="D1820" s="4" t="str">
        <f>vlookup(A1820, Sheet2!D:E, 2, 0)</f>
        <v>variant</v>
      </c>
      <c r="E1820" s="4" t="str">
        <f>IFERROR(__xludf.DUMMYFUNCTION("if(H1820=""pays"",vlookup(REGEXEXTRACT(C1820, ""🏘️ \w+ \w+ (.*) ✅""),'Country prepositions'!A:B, 2, 0) &amp; "" "" &amp; REGEXEXTRACT(C1820, ""🏘️ \w+ \w+ (.*) ✅"") ,  if(H1820=""quartier"",vlookup(REGEXEXTRACT(C1820, ""🏘️ \w+ \w+ (.*) ✅""),'Quartier prepositio"&amp;"ns'!A:E, 5, 0) ,  if(H1820=""region"",vlookup(REGEXEXTRACT(C1820, ""🏘️ \w+ \w+ (.*) ✅""),'Region prepositions'!B:F, 5, 0),  REGEXEXTRACT(C1820, ""🏘️ \w+ \w+ (.*) ✅""))))"),"dans la région d'Aigle - Alpes vaudoises")</f>
        <v>dans la région d'Aigle - Alpes vaudoises</v>
      </c>
      <c r="F1820" s="2" t="str">
        <f>IFERROR(__xludf.DUMMYFUNCTION("REGEXEXTRACT(C1820, ""🏘️ (\w+) \w+ .* ✅"")"),"Louer")</f>
        <v>Louer</v>
      </c>
      <c r="G1820" s="2" t="str">
        <f>IFERROR(__xludf.DUMMYFUNCTION("REGEXEXTRACT(C1820, ""🏘️ \w+ (\w+) .* ✅"")"),"appartement")</f>
        <v>appartement</v>
      </c>
      <c r="H1820" s="4" t="str">
        <f>IFERROR(__xludf.DUMMYFUNCTION("REGEXEXTRACT(A1820, ""/(\w+)-.*?"")"),"region")</f>
        <v>region</v>
      </c>
      <c r="I1820" s="4" t="str">
        <f>IFERROR(__xludf.DUMMYFUNCTION("if(D1820=""variant"",  substitute(filter(Templates!E:E, Templates!A:A = F1820, Templates!B:B = G1820, Templates!C:C = H1820), ""{{}}"", E1820), B1820)"),"🏘  Vous cherchez un appartement à louer dans la région d'Aigle - Alpes vaudoises? ✅ Les annonces les plus actuelles sont sur ImmoScout24.ch.")</f>
        <v>🏘  Vous cherchez un appartement à louer dans la région d'Aigle - Alpes vaudoises? ✅ Les annonces les plus actuelles sont sur ImmoScout24.ch.</v>
      </c>
      <c r="J1820" s="4" t="s">
        <v>5461</v>
      </c>
    </row>
    <row r="1821">
      <c r="A1821" s="5" t="s">
        <v>5462</v>
      </c>
      <c r="B1821" s="2" t="s">
        <v>5463</v>
      </c>
      <c r="C1821" s="4" t="str">
        <f>IFERROR(__xludf.DUMMYFUNCTION("""🏘️ ""&amp;REGEXEXTRACT(B1821, ""^(.*): "")&amp;"" ✅ "" &amp;REGEXEXTRACT(B1821, ""(Trouvez.*)"")"),"🏘️ Vendre maison Espagne ✅ Trouvez le bien immobilier qui correspond idéalement à vos désirs sur ImmoScout24 - La plateforme de l'immobilier en Suisse.")</f>
        <v>🏘️ Vendre maison Espagne ✅ Trouvez le bien immobilier qui correspond idéalement à vos désirs sur ImmoScout24 - La plateforme de l'immobilier en Suisse.</v>
      </c>
      <c r="D1821" s="4" t="str">
        <f>vlookup(A1821, Sheet2!D:E, 2, 0)</f>
        <v>variant</v>
      </c>
      <c r="E1821" s="4" t="str">
        <f>IFERROR(__xludf.DUMMYFUNCTION("if(H1821=""pays"",vlookup(REGEXEXTRACT(C1821, ""🏘️ \w+ \w+ (.*) ✅""),'Country prepositions'!A:B, 2, 0) &amp; "" "" &amp; REGEXEXTRACT(C1821, ""🏘️ \w+ \w+ (.*) ✅"") ,  if(H1821=""quartier"",vlookup(REGEXEXTRACT(C1821, ""🏘️ \w+ \w+ (.*) ✅""),'Quartier prepositio"&amp;"ns'!A:E, 5, 0) ,  if(H1821=""region"",vlookup(REGEXEXTRACT(C1821, ""🏘️ \w+ \w+ (.*) ✅""),'Region prepositions'!B:F, 5, 0),  REGEXEXTRACT(C1821, ""🏘️ \w+ \w+ (.*) ✅""))))"),"en Espagne")</f>
        <v>en Espagne</v>
      </c>
      <c r="F1821" s="2" t="str">
        <f>IFERROR(__xludf.DUMMYFUNCTION("REGEXEXTRACT(C1821, ""🏘️ (\w+) \w+ .* ✅"")"),"Vendre")</f>
        <v>Vendre</v>
      </c>
      <c r="G1821" s="2" t="str">
        <f>IFERROR(__xludf.DUMMYFUNCTION("REGEXEXTRACT(C1821, ""🏘️ \w+ (\w+) .* ✅"")"),"maison")</f>
        <v>maison</v>
      </c>
      <c r="H1821" s="4" t="str">
        <f>IFERROR(__xludf.DUMMYFUNCTION("REGEXEXTRACT(A1821, ""/(\w+)-.*?"")"),"pays")</f>
        <v>pays</v>
      </c>
      <c r="I1821" s="4" t="str">
        <f>IFERROR(__xludf.DUMMYFUNCTION("if(D1821=""variant"",  substitute(filter(Templates!E:E, Templates!A:A = F1821, Templates!B:B = G1821, Templates!C:C = H1821), ""{{}}"", E1821), B1821)"),"🏘  Vous cherchez un appartement à louer en Espagne? ✅ Les annonces les plus actuelles sont sur ImmoScout24.ch.")</f>
        <v>🏘  Vous cherchez un appartement à louer en Espagne? ✅ Les annonces les plus actuelles sont sur ImmoScout24.ch.</v>
      </c>
      <c r="J1821" s="4" t="s">
        <v>237</v>
      </c>
    </row>
    <row r="1822">
      <c r="A1822" s="5" t="s">
        <v>5464</v>
      </c>
      <c r="B1822" s="2" t="s">
        <v>5465</v>
      </c>
      <c r="C1822" s="4" t="str">
        <f>IFERROR(__xludf.DUMMYFUNCTION("""🏘️ ""&amp;REGEXEXTRACT(B1822, ""^(.*): "")&amp;"" ✅ "" &amp;REGEXEXTRACT(B1822, ""(Trouvez.*)"")"),"🏘️ Louer appartement Ranzo ✅ Trouvez le bien immobilier qui correspond idéalement à vos désirs sur ImmoScout24 - La plateforme de l'immobilier en Suisse.")</f>
        <v>🏘️ Louer appartement Ranzo ✅ Trouvez le bien immobilier qui correspond idéalement à vos désirs sur ImmoScout24 - La plateforme de l'immobilier en Suisse.</v>
      </c>
      <c r="D1822" s="4" t="str">
        <f>vlookup(A1822, Sheet2!D:E, 2, 0)</f>
        <v>variant</v>
      </c>
      <c r="E1822" s="4" t="str">
        <f>IFERROR(__xludf.DUMMYFUNCTION("if(H1822=""pays"",vlookup(REGEXEXTRACT(C1822, ""🏘️ \w+ \w+ (.*) ✅""),'Country prepositions'!A:B, 2, 0) &amp; "" "" &amp; REGEXEXTRACT(C1822, ""🏘️ \w+ \w+ (.*) ✅"") ,  if(H1822=""quartier"",vlookup(REGEXEXTRACT(C1822, ""🏘️ \w+ \w+ (.*) ✅""),'Quartier prepositio"&amp;"ns'!A:E, 5, 0) ,  if(H1822=""region"",vlookup(REGEXEXTRACT(C1822, ""🏘️ \w+ \w+ (.*) ✅""),'Region prepositions'!B:F, 5, 0),  REGEXEXTRACT(C1822, ""🏘️ \w+ \w+ (.*) ✅""))))"),"Ranzo")</f>
        <v>Ranzo</v>
      </c>
      <c r="F1822" s="2" t="str">
        <f>IFERROR(__xludf.DUMMYFUNCTION("REGEXEXTRACT(C1822, ""🏘️ (\w+) \w+ .* ✅"")"),"Louer")</f>
        <v>Louer</v>
      </c>
      <c r="G1822" s="2" t="str">
        <f>IFERROR(__xludf.DUMMYFUNCTION("REGEXEXTRACT(C1822, ""🏘️ \w+ (\w+) .* ✅"")"),"appartement")</f>
        <v>appartement</v>
      </c>
      <c r="H1822" s="4" t="str">
        <f>IFERROR(__xludf.DUMMYFUNCTION("REGEXEXTRACT(A1822, ""/(\w+)-.*?"")"),"lieu")</f>
        <v>lieu</v>
      </c>
      <c r="I1822" s="4" t="str">
        <f>IFERROR(__xludf.DUMMYFUNCTION("if(D1822=""variant"",  substitute(filter(Templates!E:E, Templates!A:A = F1822, Templates!B:B = G1822, Templates!C:C = H1822), ""{{}}"", E1822), B1822)"),"🏘  Vous cherchez un appartement à louer à Ranzo? ✅ Les annonces les plus actuelles sont sur ImmoScout24.ch.")</f>
        <v>🏘  Vous cherchez un appartement à louer à Ranzo? ✅ Les annonces les plus actuelles sont sur ImmoScout24.ch.</v>
      </c>
      <c r="J1822" s="4" t="s">
        <v>5466</v>
      </c>
    </row>
    <row r="1823">
      <c r="A1823" s="5" t="s">
        <v>5467</v>
      </c>
      <c r="B1823" s="2" t="s">
        <v>5468</v>
      </c>
      <c r="C1823" s="4" t="str">
        <f>IFERROR(__xludf.DUMMYFUNCTION("""🏘️ ""&amp;REGEXEXTRACT(B1823, ""^(.*): "")&amp;"" ✅ "" &amp;REGEXEXTRACT(B1823, ""(Trouvez.*)"")"),"🏘️ Louer appartement Estavayer-le-Gibloux ✅ Trouvez le bien immobilier qui correspond idéalement à vos désirs sur ImmoScout24 - La plateforme de l'immobilier en Suisse.")</f>
        <v>🏘️ Louer appartement Estavayer-le-Gibloux ✅ Trouvez le bien immobilier qui correspond idéalement à vos désirs sur ImmoScout24 - La plateforme de l'immobilier en Suisse.</v>
      </c>
      <c r="D1823" s="4" t="str">
        <f>vlookup(A1823, Sheet2!D:E, 2, 0)</f>
        <v>variant</v>
      </c>
      <c r="E1823" s="4" t="str">
        <f>IFERROR(__xludf.DUMMYFUNCTION("if(H1823=""pays"",vlookup(REGEXEXTRACT(C1823, ""🏘️ \w+ \w+ (.*) ✅""),'Country prepositions'!A:B, 2, 0) &amp; "" "" &amp; REGEXEXTRACT(C1823, ""🏘️ \w+ \w+ (.*) ✅"") ,  if(H1823=""quartier"",vlookup(REGEXEXTRACT(C1823, ""🏘️ \w+ \w+ (.*) ✅""),'Quartier prepositio"&amp;"ns'!A:E, 5, 0) ,  if(H1823=""region"",vlookup(REGEXEXTRACT(C1823, ""🏘️ \w+ \w+ (.*) ✅""),'Region prepositions'!B:F, 5, 0),  REGEXEXTRACT(C1823, ""🏘️ \w+ \w+ (.*) ✅""))))"),"Estavayer-le-Gibloux")</f>
        <v>Estavayer-le-Gibloux</v>
      </c>
      <c r="F1823" s="2" t="str">
        <f>IFERROR(__xludf.DUMMYFUNCTION("REGEXEXTRACT(C1823, ""🏘️ (\w+) \w+ .* ✅"")"),"Louer")</f>
        <v>Louer</v>
      </c>
      <c r="G1823" s="2" t="str">
        <f>IFERROR(__xludf.DUMMYFUNCTION("REGEXEXTRACT(C1823, ""🏘️ \w+ (\w+) .* ✅"")"),"appartement")</f>
        <v>appartement</v>
      </c>
      <c r="H1823" s="4" t="str">
        <f>IFERROR(__xludf.DUMMYFUNCTION("REGEXEXTRACT(A1823, ""/(\w+)-.*?"")"),"lieu")</f>
        <v>lieu</v>
      </c>
      <c r="I1823" s="4" t="str">
        <f>IFERROR(__xludf.DUMMYFUNCTION("if(D1823=""variant"",  substitute(filter(Templates!E:E, Templates!A:A = F1823, Templates!B:B = G1823, Templates!C:C = H1823), ""{{}}"", E1823), B1823)"),"🏘  Vous cherchez un appartement à louer à Estavayer-le-Gibloux? ✅ Les annonces les plus actuelles sont sur ImmoScout24.ch.")</f>
        <v>🏘  Vous cherchez un appartement à louer à Estavayer-le-Gibloux? ✅ Les annonces les plus actuelles sont sur ImmoScout24.ch.</v>
      </c>
      <c r="J1823" s="4" t="s">
        <v>5469</v>
      </c>
    </row>
    <row r="1824">
      <c r="A1824" s="5" t="s">
        <v>5470</v>
      </c>
      <c r="B1824" s="2" t="s">
        <v>5471</v>
      </c>
      <c r="C1824" s="4" t="str">
        <f>IFERROR(__xludf.DUMMYFUNCTION("""🏘️ ""&amp;REGEXEXTRACT(B1824, ""^(.*): "")&amp;"" ✅ "" &amp;REGEXEXTRACT(B1824, ""(Trouvez.*)"")"),"🏘️ Louer appartement Piotta ✅ Trouvez le bien immobilier qui correspond idéalement à vos désirs sur ImmoScout24 - La plateforme de l'immobilier en Suisse.")</f>
        <v>🏘️ Louer appartement Piotta ✅ Trouvez le bien immobilier qui correspond idéalement à vos désirs sur ImmoScout24 - La plateforme de l'immobilier en Suisse.</v>
      </c>
      <c r="D1824" s="4" t="str">
        <f>vlookup(A1824, Sheet2!D:E, 2, 0)</f>
        <v>variant</v>
      </c>
      <c r="E1824" s="4" t="str">
        <f>IFERROR(__xludf.DUMMYFUNCTION("if(H1824=""pays"",vlookup(REGEXEXTRACT(C1824, ""🏘️ \w+ \w+ (.*) ✅""),'Country prepositions'!A:B, 2, 0) &amp; "" "" &amp; REGEXEXTRACT(C1824, ""🏘️ \w+ \w+ (.*) ✅"") ,  if(H1824=""quartier"",vlookup(REGEXEXTRACT(C1824, ""🏘️ \w+ \w+ (.*) ✅""),'Quartier prepositio"&amp;"ns'!A:E, 5, 0) ,  if(H1824=""region"",vlookup(REGEXEXTRACT(C1824, ""🏘️ \w+ \w+ (.*) ✅""),'Region prepositions'!B:F, 5, 0),  REGEXEXTRACT(C1824, ""🏘️ \w+ \w+ (.*) ✅""))))"),"Piotta")</f>
        <v>Piotta</v>
      </c>
      <c r="F1824" s="2" t="str">
        <f>IFERROR(__xludf.DUMMYFUNCTION("REGEXEXTRACT(C1824, ""🏘️ (\w+) \w+ .* ✅"")"),"Louer")</f>
        <v>Louer</v>
      </c>
      <c r="G1824" s="2" t="str">
        <f>IFERROR(__xludf.DUMMYFUNCTION("REGEXEXTRACT(C1824, ""🏘️ \w+ (\w+) .* ✅"")"),"appartement")</f>
        <v>appartement</v>
      </c>
      <c r="H1824" s="4" t="str">
        <f>IFERROR(__xludf.DUMMYFUNCTION("REGEXEXTRACT(A1824, ""/(\w+)-.*?"")"),"lieu")</f>
        <v>lieu</v>
      </c>
      <c r="I1824" s="4" t="str">
        <f>IFERROR(__xludf.DUMMYFUNCTION("if(D1824=""variant"",  substitute(filter(Templates!E:E, Templates!A:A = F1824, Templates!B:B = G1824, Templates!C:C = H1824), ""{{}}"", E1824), B1824)"),"🏘  Vous cherchez un appartement à louer à Piotta? ✅ Les annonces les plus actuelles sont sur ImmoScout24.ch.")</f>
        <v>🏘  Vous cherchez un appartement à louer à Piotta? ✅ Les annonces les plus actuelles sont sur ImmoScout24.ch.</v>
      </c>
      <c r="J1824" s="4" t="s">
        <v>5472</v>
      </c>
    </row>
    <row r="1825">
      <c r="A1825" s="5" t="s">
        <v>5473</v>
      </c>
      <c r="B1825" s="2" t="s">
        <v>5474</v>
      </c>
      <c r="C1825" s="4" t="str">
        <f>IFERROR(__xludf.DUMMYFUNCTION("""🏘️ ""&amp;REGEXEXTRACT(B1825, ""^(.*): "")&amp;"" ✅ "" &amp;REGEXEXTRACT(B1825, ""(Trouvez.*)"")"),"🏘️ Louer appartement Grabs ✅ Trouvez le bien immobilier qui correspond idéalement à vos désirs sur ImmoScout24 - La plateforme de l'immobilier en Suisse.")</f>
        <v>🏘️ Louer appartement Grabs ✅ Trouvez le bien immobilier qui correspond idéalement à vos désirs sur ImmoScout24 - La plateforme de l'immobilier en Suisse.</v>
      </c>
      <c r="D1825" s="4" t="str">
        <f>vlookup(A1825, Sheet2!D:E, 2, 0)</f>
        <v>variant</v>
      </c>
      <c r="E1825" s="4" t="str">
        <f>IFERROR(__xludf.DUMMYFUNCTION("if(H1825=""pays"",vlookup(REGEXEXTRACT(C1825, ""🏘️ \w+ \w+ (.*) ✅""),'Country prepositions'!A:B, 2, 0) &amp; "" "" &amp; REGEXEXTRACT(C1825, ""🏘️ \w+ \w+ (.*) ✅"") ,  if(H1825=""quartier"",vlookup(REGEXEXTRACT(C1825, ""🏘️ \w+ \w+ (.*) ✅""),'Quartier prepositio"&amp;"ns'!A:E, 5, 0) ,  if(H1825=""region"",vlookup(REGEXEXTRACT(C1825, ""🏘️ \w+ \w+ (.*) ✅""),'Region prepositions'!B:F, 5, 0),  REGEXEXTRACT(C1825, ""🏘️ \w+ \w+ (.*) ✅""))))"),"Grabs")</f>
        <v>Grabs</v>
      </c>
      <c r="F1825" s="2" t="str">
        <f>IFERROR(__xludf.DUMMYFUNCTION("REGEXEXTRACT(C1825, ""🏘️ (\w+) \w+ .* ✅"")"),"Louer")</f>
        <v>Louer</v>
      </c>
      <c r="G1825" s="2" t="str">
        <f>IFERROR(__xludf.DUMMYFUNCTION("REGEXEXTRACT(C1825, ""🏘️ \w+ (\w+) .* ✅"")"),"appartement")</f>
        <v>appartement</v>
      </c>
      <c r="H1825" s="4" t="str">
        <f>IFERROR(__xludf.DUMMYFUNCTION("REGEXEXTRACT(A1825, ""/(\w+)-.*?"")"),"lieu")</f>
        <v>lieu</v>
      </c>
      <c r="I1825" s="4" t="str">
        <f>IFERROR(__xludf.DUMMYFUNCTION("if(D1825=""variant"",  substitute(filter(Templates!E:E, Templates!A:A = F1825, Templates!B:B = G1825, Templates!C:C = H1825), ""{{}}"", E1825), B1825)"),"🏘  Vous cherchez un appartement à louer à Grabs? ✅ Les annonces les plus actuelles sont sur ImmoScout24.ch.")</f>
        <v>🏘  Vous cherchez un appartement à louer à Grabs? ✅ Les annonces les plus actuelles sont sur ImmoScout24.ch.</v>
      </c>
      <c r="J1825" s="4" t="s">
        <v>5475</v>
      </c>
    </row>
    <row r="1826">
      <c r="A1826" s="5" t="s">
        <v>5476</v>
      </c>
      <c r="B1826" s="2" t="s">
        <v>5477</v>
      </c>
      <c r="C1826" s="4" t="str">
        <f>IFERROR(__xludf.DUMMYFUNCTION("""🏘️ ""&amp;REGEXEXTRACT(B1826, ""^(.*): "")&amp;"" ✅ "" &amp;REGEXEXTRACT(B1826, ""(Trouvez.*)"")"),"🏘️ Vendre maison Bieudron (Nendaz) ✅ Trouvez le bien immobilier qui correspond idéalement à vos désirs sur ImmoScout24 - La plateforme de l'immobilier en Suisse.")</f>
        <v>🏘️ Vendre maison Bieudron (Nendaz) ✅ Trouvez le bien immobilier qui correspond idéalement à vos désirs sur ImmoScout24 - La plateforme de l'immobilier en Suisse.</v>
      </c>
      <c r="D1826" s="4" t="str">
        <f>vlookup(A1826, Sheet2!D:E, 2, 0)</f>
        <v>variant</v>
      </c>
      <c r="E1826" s="4" t="str">
        <f>IFERROR(__xludf.DUMMYFUNCTION("if(H1826=""pays"",vlookup(REGEXEXTRACT(C1826, ""🏘️ \w+ \w+ (.*) ✅""),'Country prepositions'!A:B, 2, 0) &amp; "" "" &amp; REGEXEXTRACT(C1826, ""🏘️ \w+ \w+ (.*) ✅"") ,  if(H1826=""quartier"",vlookup(REGEXEXTRACT(C1826, ""🏘️ \w+ \w+ (.*) ✅""),'Quartier prepositio"&amp;"ns'!A:E, 5, 0) ,  if(H1826=""region"",vlookup(REGEXEXTRACT(C1826, ""🏘️ \w+ \w+ (.*) ✅""),'Region prepositions'!B:F, 5, 0),  REGEXEXTRACT(C1826, ""🏘️ \w+ \w+ (.*) ✅""))))"),"Bieudron (Nendaz)")</f>
        <v>Bieudron (Nendaz)</v>
      </c>
      <c r="F1826" s="2" t="str">
        <f>IFERROR(__xludf.DUMMYFUNCTION("REGEXEXTRACT(C1826, ""🏘️ (\w+) \w+ .* ✅"")"),"Vendre")</f>
        <v>Vendre</v>
      </c>
      <c r="G1826" s="2" t="str">
        <f>IFERROR(__xludf.DUMMYFUNCTION("REGEXEXTRACT(C1826, ""🏘️ \w+ (\w+) .* ✅"")"),"maison")</f>
        <v>maison</v>
      </c>
      <c r="H1826" s="4" t="str">
        <f>IFERROR(__xludf.DUMMYFUNCTION("REGEXEXTRACT(A1826, ""/(\w+)-.*?"")"),"lieu")</f>
        <v>lieu</v>
      </c>
      <c r="I1826" s="4" t="str">
        <f>IFERROR(__xludf.DUMMYFUNCTION("if(D1826=""variant"",  substitute(filter(Templates!E:E, Templates!A:A = F1826, Templates!B:B = G1826, Templates!C:C = H1826), ""{{}}"", E1826), B1826)"),"🏘  Vous souhaitez acheter une maison à Bieudron (Nendaz)? ✅ Jetez un œil aux dernières offres sur ImmoScout24.ch.")</f>
        <v>🏘  Vous souhaitez acheter une maison à Bieudron (Nendaz)? ✅ Jetez un œil aux dernières offres sur ImmoScout24.ch.</v>
      </c>
      <c r="J1826" s="4" t="s">
        <v>5478</v>
      </c>
    </row>
    <row r="1827">
      <c r="A1827" s="5" t="s">
        <v>5479</v>
      </c>
      <c r="B1827" s="2" t="s">
        <v>5480</v>
      </c>
      <c r="C1827" s="4" t="str">
        <f>IFERROR(__xludf.DUMMYFUNCTION("""🏘️ ""&amp;REGEXEXTRACT(B1827, ""^(.*): "")&amp;"" ✅ "" &amp;REGEXEXTRACT(B1827, ""(Trouvez.*)"")"),"🏘️ Louer appartement Le Mont-Pèlerin ✅ Trouvez le bien immobilier qui correspond idéalement à vos désirs sur ImmoScout24 - La plateforme de l'immobilier en Suisse.")</f>
        <v>🏘️ Louer appartement Le Mont-Pèlerin ✅ Trouvez le bien immobilier qui correspond idéalement à vos désirs sur ImmoScout24 - La plateforme de l'immobilier en Suisse.</v>
      </c>
      <c r="D1827" s="4" t="str">
        <f>vlookup(A1827, Sheet2!D:E, 2, 0)</f>
        <v>variant</v>
      </c>
      <c r="E1827" s="4" t="str">
        <f>IFERROR(__xludf.DUMMYFUNCTION("if(H1827=""pays"",vlookup(REGEXEXTRACT(C1827, ""🏘️ \w+ \w+ (.*) ✅""),'Country prepositions'!A:B, 2, 0) &amp; "" "" &amp; REGEXEXTRACT(C1827, ""🏘️ \w+ \w+ (.*) ✅"") ,  if(H1827=""quartier"",vlookup(REGEXEXTRACT(C1827, ""🏘️ \w+ \w+ (.*) ✅""),'Quartier prepositio"&amp;"ns'!A:E, 5, 0) ,  if(H1827=""region"",vlookup(REGEXEXTRACT(C1827, ""🏘️ \w+ \w+ (.*) ✅""),'Region prepositions'!B:F, 5, 0),  REGEXEXTRACT(C1827, ""🏘️ \w+ \w+ (.*) ✅""))))"),"Le Mont-Pèlerin")</f>
        <v>Le Mont-Pèlerin</v>
      </c>
      <c r="F1827" s="2" t="str">
        <f>IFERROR(__xludf.DUMMYFUNCTION("REGEXEXTRACT(C1827, ""🏘️ (\w+) \w+ .* ✅"")"),"Louer")</f>
        <v>Louer</v>
      </c>
      <c r="G1827" s="2" t="str">
        <f>IFERROR(__xludf.DUMMYFUNCTION("REGEXEXTRACT(C1827, ""🏘️ \w+ (\w+) .* ✅"")"),"appartement")</f>
        <v>appartement</v>
      </c>
      <c r="H1827" s="4" t="str">
        <f>IFERROR(__xludf.DUMMYFUNCTION("REGEXEXTRACT(A1827, ""/(\w+)-.*?"")"),"lieu")</f>
        <v>lieu</v>
      </c>
      <c r="I1827" s="4" t="str">
        <f>IFERROR(__xludf.DUMMYFUNCTION("if(D1827=""variant"",  substitute(filter(Templates!E:E, Templates!A:A = F1827, Templates!B:B = G1827, Templates!C:C = H1827), ""{{}}"", E1827), B1827)"),"🏘  Vous cherchez un appartement à louer à Le Mont-Pèlerin? ✅ Les annonces les plus actuelles sont sur ImmoScout24.ch.")</f>
        <v>🏘  Vous cherchez un appartement à louer à Le Mont-Pèlerin? ✅ Les annonces les plus actuelles sont sur ImmoScout24.ch.</v>
      </c>
      <c r="J1827" s="2" t="s">
        <v>5481</v>
      </c>
    </row>
    <row r="1828">
      <c r="A1828" s="5" t="s">
        <v>5482</v>
      </c>
      <c r="B1828" s="2" t="s">
        <v>5483</v>
      </c>
      <c r="C1828" s="4" t="str">
        <f>IFERROR(__xludf.DUMMYFUNCTION("""🏘️ ""&amp;REGEXEXTRACT(B1828, ""^(.*): "")&amp;"" ✅ "" &amp;REGEXEXTRACT(B1828, ""(Trouvez.*)"")"),"🏘️ Vendre maison St-Livres ✅ Trouvez le bien immobilier qui correspond idéalement à vos désirs sur ImmoScout24 - La plateforme de l'immobilier en Suisse.")</f>
        <v>🏘️ Vendre maison St-Livres ✅ Trouvez le bien immobilier qui correspond idéalement à vos désirs sur ImmoScout24 - La plateforme de l'immobilier en Suisse.</v>
      </c>
      <c r="D1828" s="4" t="str">
        <f>vlookup(A1828, Sheet2!D:E, 2, 0)</f>
        <v>variant</v>
      </c>
      <c r="E1828" s="4" t="str">
        <f>IFERROR(__xludf.DUMMYFUNCTION("if(H1828=""pays"",vlookup(REGEXEXTRACT(C1828, ""🏘️ \w+ \w+ (.*) ✅""),'Country prepositions'!A:B, 2, 0) &amp; "" "" &amp; REGEXEXTRACT(C1828, ""🏘️ \w+ \w+ (.*) ✅"") ,  if(H1828=""quartier"",vlookup(REGEXEXTRACT(C1828, ""🏘️ \w+ \w+ (.*) ✅""),'Quartier prepositio"&amp;"ns'!A:E, 5, 0) ,  if(H1828=""region"",vlookup(REGEXEXTRACT(C1828, ""🏘️ \w+ \w+ (.*) ✅""),'Region prepositions'!B:F, 5, 0),  REGEXEXTRACT(C1828, ""🏘️ \w+ \w+ (.*) ✅""))))"),"St-Livres")</f>
        <v>St-Livres</v>
      </c>
      <c r="F1828" s="2" t="str">
        <f>IFERROR(__xludf.DUMMYFUNCTION("REGEXEXTRACT(C1828, ""🏘️ (\w+) \w+ .* ✅"")"),"Vendre")</f>
        <v>Vendre</v>
      </c>
      <c r="G1828" s="2" t="str">
        <f>IFERROR(__xludf.DUMMYFUNCTION("REGEXEXTRACT(C1828, ""🏘️ \w+ (\w+) .* ✅"")"),"maison")</f>
        <v>maison</v>
      </c>
      <c r="H1828" s="4" t="str">
        <f>IFERROR(__xludf.DUMMYFUNCTION("REGEXEXTRACT(A1828, ""/(\w+)-.*?"")"),"lieu")</f>
        <v>lieu</v>
      </c>
      <c r="I1828" s="4" t="str">
        <f>IFERROR(__xludf.DUMMYFUNCTION("if(D1828=""variant"",  substitute(filter(Templates!E:E, Templates!A:A = F1828, Templates!B:B = G1828, Templates!C:C = H1828), ""{{}}"", E1828), B1828)"),"🏘  Vous souhaitez acheter une maison à St-Livres? ✅ Jetez un œil aux dernières offres sur ImmoScout24.ch.")</f>
        <v>🏘  Vous souhaitez acheter une maison à St-Livres? ✅ Jetez un œil aux dernières offres sur ImmoScout24.ch.</v>
      </c>
      <c r="J1828" s="4" t="s">
        <v>5484</v>
      </c>
    </row>
    <row r="1829">
      <c r="A1829" s="5" t="s">
        <v>5485</v>
      </c>
      <c r="B1829" s="2" t="s">
        <v>5486</v>
      </c>
      <c r="C1829" s="4" t="str">
        <f>IFERROR(__xludf.DUMMYFUNCTION("""🏘️ ""&amp;REGEXEXTRACT(B1829, ""^(.*): "")&amp;"" ✅ "" &amp;REGEXEXTRACT(B1829, ""(Trouvez.*)"")"),"🏘️ Louer appartement Vallorbe ✅ Trouvez le bien immobilier qui correspond idéalement à vos désirs sur ImmoScout24 - La plateforme de l'immobilier en Suisse.")</f>
        <v>🏘️ Louer appartement Vallorbe ✅ Trouvez le bien immobilier qui correspond idéalement à vos désirs sur ImmoScout24 - La plateforme de l'immobilier en Suisse.</v>
      </c>
      <c r="D1829" s="4" t="str">
        <f>vlookup(A1829, Sheet2!D:E, 2, 0)</f>
        <v>variant</v>
      </c>
      <c r="E1829" s="4" t="str">
        <f>IFERROR(__xludf.DUMMYFUNCTION("if(H1829=""pays"",vlookup(REGEXEXTRACT(C1829, ""🏘️ \w+ \w+ (.*) ✅""),'Country prepositions'!A:B, 2, 0) &amp; "" "" &amp; REGEXEXTRACT(C1829, ""🏘️ \w+ \w+ (.*) ✅"") ,  if(H1829=""quartier"",vlookup(REGEXEXTRACT(C1829, ""🏘️ \w+ \w+ (.*) ✅""),'Quartier prepositio"&amp;"ns'!A:E, 5, 0) ,  if(H1829=""region"",vlookup(REGEXEXTRACT(C1829, ""🏘️ \w+ \w+ (.*) ✅""),'Region prepositions'!B:F, 5, 0),  REGEXEXTRACT(C1829, ""🏘️ \w+ \w+ (.*) ✅""))))"),"Vallorbe")</f>
        <v>Vallorbe</v>
      </c>
      <c r="F1829" s="2" t="str">
        <f>IFERROR(__xludf.DUMMYFUNCTION("REGEXEXTRACT(C1829, ""🏘️ (\w+) \w+ .* ✅"")"),"Louer")</f>
        <v>Louer</v>
      </c>
      <c r="G1829" s="2" t="str">
        <f>IFERROR(__xludf.DUMMYFUNCTION("REGEXEXTRACT(C1829, ""🏘️ \w+ (\w+) .* ✅"")"),"appartement")</f>
        <v>appartement</v>
      </c>
      <c r="H1829" s="4" t="str">
        <f>IFERROR(__xludf.DUMMYFUNCTION("REGEXEXTRACT(A1829, ""/(\w+)-.*?"")"),"lieu")</f>
        <v>lieu</v>
      </c>
      <c r="I1829" s="4" t="str">
        <f>IFERROR(__xludf.DUMMYFUNCTION("if(D1829=""variant"",  substitute(filter(Templates!E:E, Templates!A:A = F1829, Templates!B:B = G1829, Templates!C:C = H1829), ""{{}}"", E1829), B1829)"),"🏘  Vous cherchez un appartement à louer à Vallorbe? ✅ Les annonces les plus actuelles sont sur ImmoScout24.ch.")</f>
        <v>🏘  Vous cherchez un appartement à louer à Vallorbe? ✅ Les annonces les plus actuelles sont sur ImmoScout24.ch.</v>
      </c>
      <c r="J1829" s="4" t="s">
        <v>5487</v>
      </c>
    </row>
    <row r="1830">
      <c r="A1830" s="5" t="s">
        <v>5488</v>
      </c>
      <c r="B1830" s="2" t="s">
        <v>5489</v>
      </c>
      <c r="C1830" s="4" t="str">
        <f>IFERROR(__xludf.DUMMYFUNCTION("""🏘️ ""&amp;REGEXEXTRACT(B1830, ""^(.*): "")&amp;"" ✅ "" &amp;REGEXEXTRACT(B1830, ""(Trouvez.*)"")"),"🏘️ Vendre appartement Melano ✅ Trouvez le bien immobilier qui correspond idéalement à vos désirs sur ImmoScout24 - La plateforme de l'immobilier en Suisse.")</f>
        <v>🏘️ Vendre appartement Melano ✅ Trouvez le bien immobilier qui correspond idéalement à vos désirs sur ImmoScout24 - La plateforme de l'immobilier en Suisse.</v>
      </c>
      <c r="D1830" s="4" t="str">
        <f>vlookup(A1830, Sheet2!D:E, 2, 0)</f>
        <v>variant</v>
      </c>
      <c r="E1830" s="4" t="str">
        <f>IFERROR(__xludf.DUMMYFUNCTION("if(H1830=""pays"",vlookup(REGEXEXTRACT(C1830, ""🏘️ \w+ \w+ (.*) ✅""),'Country prepositions'!A:B, 2, 0) &amp; "" "" &amp; REGEXEXTRACT(C1830, ""🏘️ \w+ \w+ (.*) ✅"") ,  if(H1830=""quartier"",vlookup(REGEXEXTRACT(C1830, ""🏘️ \w+ \w+ (.*) ✅""),'Quartier prepositio"&amp;"ns'!A:E, 5, 0) ,  if(H1830=""region"",vlookup(REGEXEXTRACT(C1830, ""🏘️ \w+ \w+ (.*) ✅""),'Region prepositions'!B:F, 5, 0),  REGEXEXTRACT(C1830, ""🏘️ \w+ \w+ (.*) ✅""))))"),"Melano")</f>
        <v>Melano</v>
      </c>
      <c r="F1830" s="2" t="str">
        <f>IFERROR(__xludf.DUMMYFUNCTION("REGEXEXTRACT(C1830, ""🏘️ (\w+) \w+ .* ✅"")"),"Vendre")</f>
        <v>Vendre</v>
      </c>
      <c r="G1830" s="2" t="str">
        <f>IFERROR(__xludf.DUMMYFUNCTION("REGEXEXTRACT(C1830, ""🏘️ \w+ (\w+) .* ✅"")"),"appartement")</f>
        <v>appartement</v>
      </c>
      <c r="H1830" s="4" t="str">
        <f>IFERROR(__xludf.DUMMYFUNCTION("REGEXEXTRACT(A1830, ""/(\w+)-.*?"")"),"lieu")</f>
        <v>lieu</v>
      </c>
      <c r="I1830" s="4" t="str">
        <f>IFERROR(__xludf.DUMMYFUNCTION("if(D1830=""variant"",  substitute(filter(Templates!E:E, Templates!A:A = F1830, Templates!B:B = G1830, Templates!C:C = H1830), ""{{}}"", E1830), B1830)"),"🏘  L’appartement de vos rêves se trouve sur ImmoScout24.ch ✅ Découvrez les dernières annonces de vente à Melano.")</f>
        <v>🏘  L’appartement de vos rêves se trouve sur ImmoScout24.ch ✅ Découvrez les dernières annonces de vente à Melano.</v>
      </c>
      <c r="J1830" s="4" t="s">
        <v>5490</v>
      </c>
    </row>
    <row r="1831">
      <c r="A1831" s="5" t="s">
        <v>5491</v>
      </c>
      <c r="B1831" s="2" t="s">
        <v>5492</v>
      </c>
      <c r="C1831" s="4" t="str">
        <f>IFERROR(__xludf.DUMMYFUNCTION("""🏘️ ""&amp;REGEXEXTRACT(B1831, ""^(.*): "")&amp;"" ✅ "" &amp;REGEXEXTRACT(B1831, ""(Trouvez.*)"")"),"🏘️ Louer appartement Donneloye ✅ Trouvez le bien immobilier qui correspond idéalement à vos désirs sur ImmoScout24 - La plateforme de l'immobilier en Suisse.")</f>
        <v>🏘️ Louer appartement Donneloye ✅ Trouvez le bien immobilier qui correspond idéalement à vos désirs sur ImmoScout24 - La plateforme de l'immobilier en Suisse.</v>
      </c>
      <c r="D1831" s="4" t="str">
        <f>vlookup(A1831, Sheet2!D:E, 2, 0)</f>
        <v>variant</v>
      </c>
      <c r="E1831" s="4" t="str">
        <f>IFERROR(__xludf.DUMMYFUNCTION("if(H1831=""pays"",vlookup(REGEXEXTRACT(C1831, ""🏘️ \w+ \w+ (.*) ✅""),'Country prepositions'!A:B, 2, 0) &amp; "" "" &amp; REGEXEXTRACT(C1831, ""🏘️ \w+ \w+ (.*) ✅"") ,  if(H1831=""quartier"",vlookup(REGEXEXTRACT(C1831, ""🏘️ \w+ \w+ (.*) ✅""),'Quartier prepositio"&amp;"ns'!A:E, 5, 0) ,  if(H1831=""region"",vlookup(REGEXEXTRACT(C1831, ""🏘️ \w+ \w+ (.*) ✅""),'Region prepositions'!B:F, 5, 0),  REGEXEXTRACT(C1831, ""🏘️ \w+ \w+ (.*) ✅""))))"),"Donneloye")</f>
        <v>Donneloye</v>
      </c>
      <c r="F1831" s="2" t="str">
        <f>IFERROR(__xludf.DUMMYFUNCTION("REGEXEXTRACT(C1831, ""🏘️ (\w+) \w+ .* ✅"")"),"Louer")</f>
        <v>Louer</v>
      </c>
      <c r="G1831" s="2" t="str">
        <f>IFERROR(__xludf.DUMMYFUNCTION("REGEXEXTRACT(C1831, ""🏘️ \w+ (\w+) .* ✅"")"),"appartement")</f>
        <v>appartement</v>
      </c>
      <c r="H1831" s="4" t="str">
        <f>IFERROR(__xludf.DUMMYFUNCTION("REGEXEXTRACT(A1831, ""/(\w+)-.*?"")"),"lieu")</f>
        <v>lieu</v>
      </c>
      <c r="I1831" s="4" t="str">
        <f>IFERROR(__xludf.DUMMYFUNCTION("if(D1831=""variant"",  substitute(filter(Templates!E:E, Templates!A:A = F1831, Templates!B:B = G1831, Templates!C:C = H1831), ""{{}}"", E1831), B1831)"),"🏘  Vous cherchez un appartement à louer à Donneloye? ✅ Les annonces les plus actuelles sont sur ImmoScout24.ch.")</f>
        <v>🏘  Vous cherchez un appartement à louer à Donneloye? ✅ Les annonces les plus actuelles sont sur ImmoScout24.ch.</v>
      </c>
      <c r="J1831" s="4" t="s">
        <v>5493</v>
      </c>
    </row>
    <row r="1832">
      <c r="A1832" s="5" t="s">
        <v>5494</v>
      </c>
      <c r="B1832" s="2" t="s">
        <v>5495</v>
      </c>
      <c r="C1832" s="4" t="str">
        <f>IFERROR(__xludf.DUMMYFUNCTION("""🏘️ ""&amp;REGEXEXTRACT(B1832, ""^(.*): "")&amp;"" ✅ "" &amp;REGEXEXTRACT(B1832, ""(Trouvez.*)"")"),"🏘️ Louer maison Etoy ✅ Trouvez le bien immobilier qui correspond idéalement à vos désirs sur ImmoScout24 - La plateforme de l'immobilier en Suisse.")</f>
        <v>🏘️ Louer maison Etoy ✅ Trouvez le bien immobilier qui correspond idéalement à vos désirs sur ImmoScout24 - La plateforme de l'immobilier en Suisse.</v>
      </c>
      <c r="D1832" s="4" t="str">
        <f>vlookup(A1832, Sheet2!D:E, 2, 0)</f>
        <v>variant</v>
      </c>
      <c r="E1832" s="4" t="str">
        <f>IFERROR(__xludf.DUMMYFUNCTION("if(H1832=""pays"",vlookup(REGEXEXTRACT(C1832, ""🏘️ \w+ \w+ (.*) ✅""),'Country prepositions'!A:B, 2, 0) &amp; "" "" &amp; REGEXEXTRACT(C1832, ""🏘️ \w+ \w+ (.*) ✅"") ,  if(H1832=""quartier"",vlookup(REGEXEXTRACT(C1832, ""🏘️ \w+ \w+ (.*) ✅""),'Quartier prepositio"&amp;"ns'!A:E, 5, 0) ,  if(H1832=""region"",vlookup(REGEXEXTRACT(C1832, ""🏘️ \w+ \w+ (.*) ✅""),'Region prepositions'!B:F, 5, 0),  REGEXEXTRACT(C1832, ""🏘️ \w+ \w+ (.*) ✅""))))"),"Etoy")</f>
        <v>Etoy</v>
      </c>
      <c r="F1832" s="2" t="str">
        <f>IFERROR(__xludf.DUMMYFUNCTION("REGEXEXTRACT(C1832, ""🏘️ (\w+) \w+ .* ✅"")"),"Louer")</f>
        <v>Louer</v>
      </c>
      <c r="G1832" s="2" t="str">
        <f>IFERROR(__xludf.DUMMYFUNCTION("REGEXEXTRACT(C1832, ""🏘️ \w+ (\w+) .* ✅"")"),"maison")</f>
        <v>maison</v>
      </c>
      <c r="H1832" s="4" t="str">
        <f>IFERROR(__xludf.DUMMYFUNCTION("REGEXEXTRACT(A1832, ""/(\w+)-.*?"")"),"lieu")</f>
        <v>lieu</v>
      </c>
      <c r="I1832" s="4" t="str">
        <f>IFERROR(__xludf.DUMMYFUNCTION("if(D1832=""variant"",  substitute(filter(Templates!E:E, Templates!A:A = F1832, Templates!B:B = G1832, Templates!C:C = H1832), ""{{}}"", E1832), B1832)"),"🏘  Vous cherchez une maison à louer à Etoy? ✅ Découvrez nos nombreuses annonces sur ImmoScout24.ch.")</f>
        <v>🏘  Vous cherchez une maison à louer à Etoy? ✅ Découvrez nos nombreuses annonces sur ImmoScout24.ch.</v>
      </c>
      <c r="J1832" s="4" t="s">
        <v>5496</v>
      </c>
    </row>
    <row r="1833">
      <c r="A1833" s="5" t="s">
        <v>5497</v>
      </c>
      <c r="B1833" s="2" t="s">
        <v>5498</v>
      </c>
      <c r="C1833" s="4" t="str">
        <f>IFERROR(__xludf.DUMMYFUNCTION("""🏘️ ""&amp;REGEXEXTRACT(B1833, ""^(.*): "")&amp;"" ✅ "" &amp;REGEXEXTRACT(B1833, ""(Trouvez.*)"")"),"🏘️ Louer appartement Mollis ✅ Trouvez le bien immobilier qui correspond idéalement à vos désirs sur ImmoScout24 - La plateforme de l'immobilier en Suisse.")</f>
        <v>🏘️ Louer appartement Mollis ✅ Trouvez le bien immobilier qui correspond idéalement à vos désirs sur ImmoScout24 - La plateforme de l'immobilier en Suisse.</v>
      </c>
      <c r="D1833" s="4" t="str">
        <f>vlookup(A1833, Sheet2!D:E, 2, 0)</f>
        <v>variant</v>
      </c>
      <c r="E1833" s="4" t="str">
        <f>IFERROR(__xludf.DUMMYFUNCTION("if(H1833=""pays"",vlookup(REGEXEXTRACT(C1833, ""🏘️ \w+ \w+ (.*) ✅""),'Country prepositions'!A:B, 2, 0) &amp; "" "" &amp; REGEXEXTRACT(C1833, ""🏘️ \w+ \w+ (.*) ✅"") ,  if(H1833=""quartier"",vlookup(REGEXEXTRACT(C1833, ""🏘️ \w+ \w+ (.*) ✅""),'Quartier prepositio"&amp;"ns'!A:E, 5, 0) ,  if(H1833=""region"",vlookup(REGEXEXTRACT(C1833, ""🏘️ \w+ \w+ (.*) ✅""),'Region prepositions'!B:F, 5, 0),  REGEXEXTRACT(C1833, ""🏘️ \w+ \w+ (.*) ✅""))))"),"Mollis")</f>
        <v>Mollis</v>
      </c>
      <c r="F1833" s="2" t="str">
        <f>IFERROR(__xludf.DUMMYFUNCTION("REGEXEXTRACT(C1833, ""🏘️ (\w+) \w+ .* ✅"")"),"Louer")</f>
        <v>Louer</v>
      </c>
      <c r="G1833" s="2" t="str">
        <f>IFERROR(__xludf.DUMMYFUNCTION("REGEXEXTRACT(C1833, ""🏘️ \w+ (\w+) .* ✅"")"),"appartement")</f>
        <v>appartement</v>
      </c>
      <c r="H1833" s="4" t="str">
        <f>IFERROR(__xludf.DUMMYFUNCTION("REGEXEXTRACT(A1833, ""/(\w+)-.*?"")"),"lieu")</f>
        <v>lieu</v>
      </c>
      <c r="I1833" s="4" t="str">
        <f>IFERROR(__xludf.DUMMYFUNCTION("if(D1833=""variant"",  substitute(filter(Templates!E:E, Templates!A:A = F1833, Templates!B:B = G1833, Templates!C:C = H1833), ""{{}}"", E1833), B1833)"),"🏘  Vous cherchez un appartement à louer à Mollis? ✅ Les annonces les plus actuelles sont sur ImmoScout24.ch.")</f>
        <v>🏘  Vous cherchez un appartement à louer à Mollis? ✅ Les annonces les plus actuelles sont sur ImmoScout24.ch.</v>
      </c>
      <c r="J1833" s="4" t="s">
        <v>5499</v>
      </c>
    </row>
    <row r="1834">
      <c r="A1834" s="5" t="s">
        <v>5500</v>
      </c>
      <c r="B1834" s="2" t="s">
        <v>5501</v>
      </c>
      <c r="C1834" s="4" t="str">
        <f>IFERROR(__xludf.DUMMYFUNCTION("""🏘️ ""&amp;REGEXEXTRACT(B1834, ""^(.*): "")&amp;"" ✅ "" &amp;REGEXEXTRACT(B1834, ""(Trouvez.*)"")"),"🏘️ Louer appartement Montcherand ✅ Trouvez le bien immobilier qui correspond idéalement à vos désirs sur ImmoScout24 - La plateforme de l'immobilier en Suisse.")</f>
        <v>🏘️ Louer appartement Montcherand ✅ Trouvez le bien immobilier qui correspond idéalement à vos désirs sur ImmoScout24 - La plateforme de l'immobilier en Suisse.</v>
      </c>
      <c r="D1834" s="4" t="str">
        <f>vlookup(A1834, Sheet2!D:E, 2, 0)</f>
        <v>variant</v>
      </c>
      <c r="E1834" s="4" t="str">
        <f>IFERROR(__xludf.DUMMYFUNCTION("if(H1834=""pays"",vlookup(REGEXEXTRACT(C1834, ""🏘️ \w+ \w+ (.*) ✅""),'Country prepositions'!A:B, 2, 0) &amp; "" "" &amp; REGEXEXTRACT(C1834, ""🏘️ \w+ \w+ (.*) ✅"") ,  if(H1834=""quartier"",vlookup(REGEXEXTRACT(C1834, ""🏘️ \w+ \w+ (.*) ✅""),'Quartier prepositio"&amp;"ns'!A:E, 5, 0) ,  if(H1834=""region"",vlookup(REGEXEXTRACT(C1834, ""🏘️ \w+ \w+ (.*) ✅""),'Region prepositions'!B:F, 5, 0),  REGEXEXTRACT(C1834, ""🏘️ \w+ \w+ (.*) ✅""))))"),"Montcherand")</f>
        <v>Montcherand</v>
      </c>
      <c r="F1834" s="2" t="str">
        <f>IFERROR(__xludf.DUMMYFUNCTION("REGEXEXTRACT(C1834, ""🏘️ (\w+) \w+ .* ✅"")"),"Louer")</f>
        <v>Louer</v>
      </c>
      <c r="G1834" s="2" t="str">
        <f>IFERROR(__xludf.DUMMYFUNCTION("REGEXEXTRACT(C1834, ""🏘️ \w+ (\w+) .* ✅"")"),"appartement")</f>
        <v>appartement</v>
      </c>
      <c r="H1834" s="4" t="str">
        <f>IFERROR(__xludf.DUMMYFUNCTION("REGEXEXTRACT(A1834, ""/(\w+)-.*?"")"),"lieu")</f>
        <v>lieu</v>
      </c>
      <c r="I1834" s="4" t="str">
        <f>IFERROR(__xludf.DUMMYFUNCTION("if(D1834=""variant"",  substitute(filter(Templates!E:E, Templates!A:A = F1834, Templates!B:B = G1834, Templates!C:C = H1834), ""{{}}"", E1834), B1834)"),"🏘  Vous cherchez un appartement à louer à Montcherand? ✅ Les annonces les plus actuelles sont sur ImmoScout24.ch.")</f>
        <v>🏘  Vous cherchez un appartement à louer à Montcherand? ✅ Les annonces les plus actuelles sont sur ImmoScout24.ch.</v>
      </c>
      <c r="J1834" s="4" t="s">
        <v>5502</v>
      </c>
    </row>
    <row r="1835">
      <c r="A1835" s="5" t="s">
        <v>5503</v>
      </c>
      <c r="B1835" s="2" t="s">
        <v>5504</v>
      </c>
      <c r="C1835" s="4" t="str">
        <f>IFERROR(__xludf.DUMMYFUNCTION("""🏘️ ""&amp;REGEXEXTRACT(B1835, ""^(.*): "")&amp;"" ✅ "" &amp;REGEXEXTRACT(B1835, ""(Trouvez.*)"")"),"🏘️ Vendre appartement Koppigen ✅ Trouvez le bien immobilier qui correspond idéalement à vos désirs sur ImmoScout24 - La plateforme de l'immobilier en Suisse.")</f>
        <v>🏘️ Vendre appartement Koppigen ✅ Trouvez le bien immobilier qui correspond idéalement à vos désirs sur ImmoScout24 - La plateforme de l'immobilier en Suisse.</v>
      </c>
      <c r="D1835" s="4" t="str">
        <f>vlookup(A1835, Sheet2!D:E, 2, 0)</f>
        <v>variant</v>
      </c>
      <c r="E1835" s="4" t="str">
        <f>IFERROR(__xludf.DUMMYFUNCTION("if(H1835=""pays"",vlookup(REGEXEXTRACT(C1835, ""🏘️ \w+ \w+ (.*) ✅""),'Country prepositions'!A:B, 2, 0) &amp; "" "" &amp; REGEXEXTRACT(C1835, ""🏘️ \w+ \w+ (.*) ✅"") ,  if(H1835=""quartier"",vlookup(REGEXEXTRACT(C1835, ""🏘️ \w+ \w+ (.*) ✅""),'Quartier prepositio"&amp;"ns'!A:E, 5, 0) ,  if(H1835=""region"",vlookup(REGEXEXTRACT(C1835, ""🏘️ \w+ \w+ (.*) ✅""),'Region prepositions'!B:F, 5, 0),  REGEXEXTRACT(C1835, ""🏘️ \w+ \w+ (.*) ✅""))))"),"Koppigen")</f>
        <v>Koppigen</v>
      </c>
      <c r="F1835" s="2" t="str">
        <f>IFERROR(__xludf.DUMMYFUNCTION("REGEXEXTRACT(C1835, ""🏘️ (\w+) \w+ .* ✅"")"),"Vendre")</f>
        <v>Vendre</v>
      </c>
      <c r="G1835" s="2" t="str">
        <f>IFERROR(__xludf.DUMMYFUNCTION("REGEXEXTRACT(C1835, ""🏘️ \w+ (\w+) .* ✅"")"),"appartement")</f>
        <v>appartement</v>
      </c>
      <c r="H1835" s="4" t="str">
        <f>IFERROR(__xludf.DUMMYFUNCTION("REGEXEXTRACT(A1835, ""/(\w+)-.*?"")"),"lieu")</f>
        <v>lieu</v>
      </c>
      <c r="I1835" s="4" t="str">
        <f>IFERROR(__xludf.DUMMYFUNCTION("if(D1835=""variant"",  substitute(filter(Templates!E:E, Templates!A:A = F1835, Templates!B:B = G1835, Templates!C:C = H1835), ""{{}}"", E1835), B1835)"),"🏘  L’appartement de vos rêves se trouve sur ImmoScout24.ch ✅ Découvrez les dernières annonces de vente à Koppigen.")</f>
        <v>🏘  L’appartement de vos rêves se trouve sur ImmoScout24.ch ✅ Découvrez les dernières annonces de vente à Koppigen.</v>
      </c>
      <c r="J1835" s="4" t="s">
        <v>5505</v>
      </c>
    </row>
    <row r="1836">
      <c r="A1836" s="5" t="s">
        <v>5506</v>
      </c>
      <c r="B1836" s="2" t="s">
        <v>5507</v>
      </c>
      <c r="C1836" s="4" t="str">
        <f>IFERROR(__xludf.DUMMYFUNCTION("""🏘️ ""&amp;REGEXEXTRACT(B1836, ""^(.*): "")&amp;"" ✅ "" &amp;REGEXEXTRACT(B1836, ""(Trouvez.*)"")"),"🏘️ Louer appartement Linsebühl - Dreilinden (St-Gall) ✅ Trouvez le bien immobilier qui correspond idéalement à vos désirs sur ImmoScout24 - La plateforme de l'immobilier en Suisse.")</f>
        <v>🏘️ Louer appartement Linsebühl - Dreilinden (St-Gall) ✅ Trouvez le bien immobilier qui correspond idéalement à vos désirs sur ImmoScout24 - La plateforme de l'immobilier en Suisse.</v>
      </c>
      <c r="D1836" s="4" t="str">
        <f>vlookup(A1836, Sheet2!D:E, 2, 0)</f>
        <v>variant</v>
      </c>
      <c r="E1836" s="4" t="str">
        <f>IFERROR(__xludf.DUMMYFUNCTION("if(H1836=""pays"",vlookup(REGEXEXTRACT(C1836, ""🏘️ \w+ \w+ (.*) ✅""),'Country prepositions'!A:B, 2, 0) &amp; "" "" &amp; REGEXEXTRACT(C1836, ""🏘️ \w+ \w+ (.*) ✅"") ,  if(H1836=""quartier"",vlookup(REGEXEXTRACT(C1836, ""🏘️ \w+ \w+ (.*) ✅""),'Quartier prepositio"&amp;"ns'!A:E, 5, 0) ,  if(H1836=""region"",vlookup(REGEXEXTRACT(C1836, ""🏘️ \w+ \w+ (.*) ✅""),'Region prepositions'!B:F, 5, 0),  REGEXEXTRACT(C1836, ""🏘️ \w+ \w+ (.*) ✅""))))"),"dans le quartier de Linsebühl - Dreilinden (St-Gall)")</f>
        <v>dans le quartier de Linsebühl - Dreilinden (St-Gall)</v>
      </c>
      <c r="F1836" s="2" t="str">
        <f>IFERROR(__xludf.DUMMYFUNCTION("REGEXEXTRACT(C1836, ""🏘️ (\w+) \w+ .* ✅"")"),"Louer")</f>
        <v>Louer</v>
      </c>
      <c r="G1836" s="2" t="str">
        <f>IFERROR(__xludf.DUMMYFUNCTION("REGEXEXTRACT(C1836, ""🏘️ \w+ (\w+) .* ✅"")"),"appartement")</f>
        <v>appartement</v>
      </c>
      <c r="H1836" s="4" t="str">
        <f>IFERROR(__xludf.DUMMYFUNCTION("REGEXEXTRACT(A1836, ""/(\w+)-.*?"")"),"quartier")</f>
        <v>quartier</v>
      </c>
      <c r="I1836" s="4" t="str">
        <f>IFERROR(__xludf.DUMMYFUNCTION("if(D1836=""variant"",  substitute(filter(Templates!E:E, Templates!A:A = F1836, Templates!B:B = G1836, Templates!C:C = H1836), ""{{}}"", E1836), B1836)"),"🏘  Vous cherchez un appartement à louer dans le quartier de Linsebühl - Dreilinden (St-Gall)? ✅ Les annonces les plus actuelles sont sur ImmoScout24.ch.")</f>
        <v>🏘  Vous cherchez un appartement à louer dans le quartier de Linsebühl - Dreilinden (St-Gall)? ✅ Les annonces les plus actuelles sont sur ImmoScout24.ch.</v>
      </c>
      <c r="J1836" s="4" t="s">
        <v>5508</v>
      </c>
    </row>
    <row r="1837">
      <c r="A1837" s="5" t="s">
        <v>5509</v>
      </c>
      <c r="B1837" s="2" t="s">
        <v>5510</v>
      </c>
      <c r="C1837" s="4" t="str">
        <f>IFERROR(__xludf.DUMMYFUNCTION("""🏘️ ""&amp;REGEXEXTRACT(B1837, ""^(.*): "")&amp;"" ✅ "" &amp;REGEXEXTRACT(B1837, ""(Trouvez.*)"")"),"🏘️ Louer appartement L'Auberson ✅ Trouvez le bien immobilier qui correspond idéalement à vos désirs sur ImmoScout24 - La plateforme de l'immobilier en Suisse.")</f>
        <v>🏘️ Louer appartement L'Auberson ✅ Trouvez le bien immobilier qui correspond idéalement à vos désirs sur ImmoScout24 - La plateforme de l'immobilier en Suisse.</v>
      </c>
      <c r="D1837" s="4" t="str">
        <f>vlookup(A1837, Sheet2!D:E, 2, 0)</f>
        <v>variant</v>
      </c>
      <c r="E1837" s="4" t="str">
        <f>IFERROR(__xludf.DUMMYFUNCTION("if(H1837=""pays"",vlookup(REGEXEXTRACT(C1837, ""🏘️ \w+ \w+ (.*) ✅""),'Country prepositions'!A:B, 2, 0) &amp; "" "" &amp; REGEXEXTRACT(C1837, ""🏘️ \w+ \w+ (.*) ✅"") ,  if(H1837=""quartier"",vlookup(REGEXEXTRACT(C1837, ""🏘️ \w+ \w+ (.*) ✅""),'Quartier prepositio"&amp;"ns'!A:E, 5, 0) ,  if(H1837=""region"",vlookup(REGEXEXTRACT(C1837, ""🏘️ \w+ \w+ (.*) ✅""),'Region prepositions'!B:F, 5, 0),  REGEXEXTRACT(C1837, ""🏘️ \w+ \w+ (.*) ✅""))))"),"L'Auberson")</f>
        <v>L'Auberson</v>
      </c>
      <c r="F1837" s="2" t="str">
        <f>IFERROR(__xludf.DUMMYFUNCTION("REGEXEXTRACT(C1837, ""🏘️ (\w+) \w+ .* ✅"")"),"Louer")</f>
        <v>Louer</v>
      </c>
      <c r="G1837" s="2" t="str">
        <f>IFERROR(__xludf.DUMMYFUNCTION("REGEXEXTRACT(C1837, ""🏘️ \w+ (\w+) .* ✅"")"),"appartement")</f>
        <v>appartement</v>
      </c>
      <c r="H1837" s="4" t="str">
        <f>IFERROR(__xludf.DUMMYFUNCTION("REGEXEXTRACT(A1837, ""/(\w+)-.*?"")"),"lieu")</f>
        <v>lieu</v>
      </c>
      <c r="I1837" s="4" t="str">
        <f>IFERROR(__xludf.DUMMYFUNCTION("if(D1837=""variant"",  substitute(filter(Templates!E:E, Templates!A:A = F1837, Templates!B:B = G1837, Templates!C:C = H1837), ""{{}}"", E1837), B1837)"),"🏘  Vous cherchez un appartement à louer à L'Auberson? ✅ Les annonces les plus actuelles sont sur ImmoScout24.ch.")</f>
        <v>🏘  Vous cherchez un appartement à louer à L'Auberson? ✅ Les annonces les plus actuelles sont sur ImmoScout24.ch.</v>
      </c>
      <c r="J1837" s="4" t="s">
        <v>5511</v>
      </c>
    </row>
    <row r="1838">
      <c r="A1838" s="5" t="s">
        <v>5512</v>
      </c>
      <c r="B1838" s="2" t="s">
        <v>5513</v>
      </c>
      <c r="C1838" s="4" t="str">
        <f>IFERROR(__xludf.DUMMYFUNCTION("""🏘️ ""&amp;REGEXEXTRACT(B1838, ""^(.*): "")&amp;"" ✅ "" &amp;REGEXEXTRACT(B1838, ""(Trouvez.*)"")"),"🏘️ Vendre maison Caslano ✅ Trouvez le bien immobilier qui correspond idéalement à vos désirs sur ImmoScout24 - La plateforme de l'immobilier en Suisse.")</f>
        <v>🏘️ Vendre maison Caslano ✅ Trouvez le bien immobilier qui correspond idéalement à vos désirs sur ImmoScout24 - La plateforme de l'immobilier en Suisse.</v>
      </c>
      <c r="D1838" s="4" t="str">
        <f>vlookup(A1838, Sheet2!D:E, 2, 0)</f>
        <v>variant</v>
      </c>
      <c r="E1838" s="4" t="str">
        <f>IFERROR(__xludf.DUMMYFUNCTION("if(H1838=""pays"",vlookup(REGEXEXTRACT(C1838, ""🏘️ \w+ \w+ (.*) ✅""),'Country prepositions'!A:B, 2, 0) &amp; "" "" &amp; REGEXEXTRACT(C1838, ""🏘️ \w+ \w+ (.*) ✅"") ,  if(H1838=""quartier"",vlookup(REGEXEXTRACT(C1838, ""🏘️ \w+ \w+ (.*) ✅""),'Quartier prepositio"&amp;"ns'!A:E, 5, 0) ,  if(H1838=""region"",vlookup(REGEXEXTRACT(C1838, ""🏘️ \w+ \w+ (.*) ✅""),'Region prepositions'!B:F, 5, 0),  REGEXEXTRACT(C1838, ""🏘️ \w+ \w+ (.*) ✅""))))"),"Caslano")</f>
        <v>Caslano</v>
      </c>
      <c r="F1838" s="2" t="str">
        <f>IFERROR(__xludf.DUMMYFUNCTION("REGEXEXTRACT(C1838, ""🏘️ (\w+) \w+ .* ✅"")"),"Vendre")</f>
        <v>Vendre</v>
      </c>
      <c r="G1838" s="2" t="str">
        <f>IFERROR(__xludf.DUMMYFUNCTION("REGEXEXTRACT(C1838, ""🏘️ \w+ (\w+) .* ✅"")"),"maison")</f>
        <v>maison</v>
      </c>
      <c r="H1838" s="4" t="str">
        <f>IFERROR(__xludf.DUMMYFUNCTION("REGEXEXTRACT(A1838, ""/(\w+)-.*?"")"),"lieu")</f>
        <v>lieu</v>
      </c>
      <c r="I1838" s="4" t="str">
        <f>IFERROR(__xludf.DUMMYFUNCTION("if(D1838=""variant"",  substitute(filter(Templates!E:E, Templates!A:A = F1838, Templates!B:B = G1838, Templates!C:C = H1838), ""{{}}"", E1838), B1838)"),"🏘  Vous souhaitez acheter une maison à Caslano? ✅ Jetez un œil aux dernières offres sur ImmoScout24.ch.")</f>
        <v>🏘  Vous souhaitez acheter une maison à Caslano? ✅ Jetez un œil aux dernières offres sur ImmoScout24.ch.</v>
      </c>
      <c r="J1838" s="4" t="s">
        <v>5514</v>
      </c>
    </row>
    <row r="1839">
      <c r="A1839" s="5" t="s">
        <v>5515</v>
      </c>
      <c r="B1839" s="2" t="s">
        <v>5516</v>
      </c>
      <c r="C1839" s="4" t="str">
        <f>IFERROR(__xludf.DUMMYFUNCTION("""🏘️ ""&amp;REGEXEXTRACT(B1839, ""^(.*): "")&amp;"" ✅ "" &amp;REGEXEXTRACT(B1839, ""(Trouvez.*)"")"),"🏘️ Vendre appartement Lostorf ✅ Trouvez le bien immobilier qui correspond idéalement à vos désirs sur ImmoScout24 - La plateforme de l'immobilier en Suisse.")</f>
        <v>🏘️ Vendre appartement Lostorf ✅ Trouvez le bien immobilier qui correspond idéalement à vos désirs sur ImmoScout24 - La plateforme de l'immobilier en Suisse.</v>
      </c>
      <c r="D1839" s="4" t="str">
        <f>vlookup(A1839, Sheet2!D:E, 2, 0)</f>
        <v>variant</v>
      </c>
      <c r="E1839" s="4" t="str">
        <f>IFERROR(__xludf.DUMMYFUNCTION("if(H1839=""pays"",vlookup(REGEXEXTRACT(C1839, ""🏘️ \w+ \w+ (.*) ✅""),'Country prepositions'!A:B, 2, 0) &amp; "" "" &amp; REGEXEXTRACT(C1839, ""🏘️ \w+ \w+ (.*) ✅"") ,  if(H1839=""quartier"",vlookup(REGEXEXTRACT(C1839, ""🏘️ \w+ \w+ (.*) ✅""),'Quartier prepositio"&amp;"ns'!A:E, 5, 0) ,  if(H1839=""region"",vlookup(REGEXEXTRACT(C1839, ""🏘️ \w+ \w+ (.*) ✅""),'Region prepositions'!B:F, 5, 0),  REGEXEXTRACT(C1839, ""🏘️ \w+ \w+ (.*) ✅""))))"),"Lostorf")</f>
        <v>Lostorf</v>
      </c>
      <c r="F1839" s="2" t="str">
        <f>IFERROR(__xludf.DUMMYFUNCTION("REGEXEXTRACT(C1839, ""🏘️ (\w+) \w+ .* ✅"")"),"Vendre")</f>
        <v>Vendre</v>
      </c>
      <c r="G1839" s="2" t="str">
        <f>IFERROR(__xludf.DUMMYFUNCTION("REGEXEXTRACT(C1839, ""🏘️ \w+ (\w+) .* ✅"")"),"appartement")</f>
        <v>appartement</v>
      </c>
      <c r="H1839" s="4" t="str">
        <f>IFERROR(__xludf.DUMMYFUNCTION("REGEXEXTRACT(A1839, ""/(\w+)-.*?"")"),"lieu")</f>
        <v>lieu</v>
      </c>
      <c r="I1839" s="4" t="str">
        <f>IFERROR(__xludf.DUMMYFUNCTION("if(D1839=""variant"",  substitute(filter(Templates!E:E, Templates!A:A = F1839, Templates!B:B = G1839, Templates!C:C = H1839), ""{{}}"", E1839), B1839)"),"🏘  L’appartement de vos rêves se trouve sur ImmoScout24.ch ✅ Découvrez les dernières annonces de vente à Lostorf.")</f>
        <v>🏘  L’appartement de vos rêves se trouve sur ImmoScout24.ch ✅ Découvrez les dernières annonces de vente à Lostorf.</v>
      </c>
      <c r="J1839" s="4" t="s">
        <v>5517</v>
      </c>
    </row>
    <row r="1840">
      <c r="A1840" s="5" t="s">
        <v>5518</v>
      </c>
      <c r="B1840" s="2" t="s">
        <v>5519</v>
      </c>
      <c r="C1840" s="4" t="str">
        <f>IFERROR(__xludf.DUMMYFUNCTION("""🏘️ ""&amp;REGEXEXTRACT(B1840, ""^(.*): "")&amp;"" ✅ "" &amp;REGEXEXTRACT(B1840, ""(Trouvez.*)"")"),"🏘️ Louer appartement Les Charbonnières ✅ Trouvez le bien immobilier qui correspond idéalement à vos désirs sur ImmoScout24 - La plateforme de l'immobilier en Suisse.")</f>
        <v>🏘️ Louer appartement Les Charbonnières ✅ Trouvez le bien immobilier qui correspond idéalement à vos désirs sur ImmoScout24 - La plateforme de l'immobilier en Suisse.</v>
      </c>
      <c r="D1840" s="4" t="str">
        <f>vlookup(A1840, Sheet2!D:E, 2, 0)</f>
        <v>variant</v>
      </c>
      <c r="E1840" s="4" t="str">
        <f>IFERROR(__xludf.DUMMYFUNCTION("if(H1840=""pays"",vlookup(REGEXEXTRACT(C1840, ""🏘️ \w+ \w+ (.*) ✅""),'Country prepositions'!A:B, 2, 0) &amp; "" "" &amp; REGEXEXTRACT(C1840, ""🏘️ \w+ \w+ (.*) ✅"") ,  if(H1840=""quartier"",vlookup(REGEXEXTRACT(C1840, ""🏘️ \w+ \w+ (.*) ✅""),'Quartier prepositio"&amp;"ns'!A:E, 5, 0) ,  if(H1840=""region"",vlookup(REGEXEXTRACT(C1840, ""🏘️ \w+ \w+ (.*) ✅""),'Region prepositions'!B:F, 5, 0),  REGEXEXTRACT(C1840, ""🏘️ \w+ \w+ (.*) ✅""))))"),"Les Charbonnières")</f>
        <v>Les Charbonnières</v>
      </c>
      <c r="F1840" s="2" t="str">
        <f>IFERROR(__xludf.DUMMYFUNCTION("REGEXEXTRACT(C1840, ""🏘️ (\w+) \w+ .* ✅"")"),"Louer")</f>
        <v>Louer</v>
      </c>
      <c r="G1840" s="2" t="str">
        <f>IFERROR(__xludf.DUMMYFUNCTION("REGEXEXTRACT(C1840, ""🏘️ \w+ (\w+) .* ✅"")"),"appartement")</f>
        <v>appartement</v>
      </c>
      <c r="H1840" s="4" t="str">
        <f>IFERROR(__xludf.DUMMYFUNCTION("REGEXEXTRACT(A1840, ""/(\w+)-.*?"")"),"lieu")</f>
        <v>lieu</v>
      </c>
      <c r="I1840" s="4" t="str">
        <f>IFERROR(__xludf.DUMMYFUNCTION("if(D1840=""variant"",  substitute(filter(Templates!E:E, Templates!A:A = F1840, Templates!B:B = G1840, Templates!C:C = H1840), ""{{}}"", E1840), B1840)"),"🏘  Vous cherchez un appartement à louer à Les Charbonnières? ✅ Les annonces les plus actuelles sont sur ImmoScout24.ch.")</f>
        <v>🏘  Vous cherchez un appartement à louer à Les Charbonnières? ✅ Les annonces les plus actuelles sont sur ImmoScout24.ch.</v>
      </c>
      <c r="J1840" s="2" t="s">
        <v>5520</v>
      </c>
    </row>
    <row r="1841">
      <c r="A1841" s="5" t="s">
        <v>5521</v>
      </c>
      <c r="B1841" s="2" t="s">
        <v>5522</v>
      </c>
      <c r="C1841" s="4" t="str">
        <f>IFERROR(__xludf.DUMMYFUNCTION("""🏘️ ""&amp;REGEXEXTRACT(B1841, ""^(.*): "")&amp;"" ✅ "" &amp;REGEXEXTRACT(B1841, ""(Trouvez.*)"")"),"🏘️ Louer appartement Enney ✅ Trouvez le bien immobilier qui correspond idéalement à vos désirs sur ImmoScout24 - La plateforme de l'immobilier en Suisse.")</f>
        <v>🏘️ Louer appartement Enney ✅ Trouvez le bien immobilier qui correspond idéalement à vos désirs sur ImmoScout24 - La plateforme de l'immobilier en Suisse.</v>
      </c>
      <c r="D1841" s="4" t="str">
        <f>vlookup(A1841, Sheet2!D:E, 2, 0)</f>
        <v>variant</v>
      </c>
      <c r="E1841" s="4" t="str">
        <f>IFERROR(__xludf.DUMMYFUNCTION("if(H1841=""pays"",vlookup(REGEXEXTRACT(C1841, ""🏘️ \w+ \w+ (.*) ✅""),'Country prepositions'!A:B, 2, 0) &amp; "" "" &amp; REGEXEXTRACT(C1841, ""🏘️ \w+ \w+ (.*) ✅"") ,  if(H1841=""quartier"",vlookup(REGEXEXTRACT(C1841, ""🏘️ \w+ \w+ (.*) ✅""),'Quartier prepositio"&amp;"ns'!A:E, 5, 0) ,  if(H1841=""region"",vlookup(REGEXEXTRACT(C1841, ""🏘️ \w+ \w+ (.*) ✅""),'Region prepositions'!B:F, 5, 0),  REGEXEXTRACT(C1841, ""🏘️ \w+ \w+ (.*) ✅""))))"),"Enney")</f>
        <v>Enney</v>
      </c>
      <c r="F1841" s="2" t="str">
        <f>IFERROR(__xludf.DUMMYFUNCTION("REGEXEXTRACT(C1841, ""🏘️ (\w+) \w+ .* ✅"")"),"Louer")</f>
        <v>Louer</v>
      </c>
      <c r="G1841" s="2" t="str">
        <f>IFERROR(__xludf.DUMMYFUNCTION("REGEXEXTRACT(C1841, ""🏘️ \w+ (\w+) .* ✅"")"),"appartement")</f>
        <v>appartement</v>
      </c>
      <c r="H1841" s="4" t="str">
        <f>IFERROR(__xludf.DUMMYFUNCTION("REGEXEXTRACT(A1841, ""/(\w+)-.*?"")"),"lieu")</f>
        <v>lieu</v>
      </c>
      <c r="I1841" s="4" t="str">
        <f>IFERROR(__xludf.DUMMYFUNCTION("if(D1841=""variant"",  substitute(filter(Templates!E:E, Templates!A:A = F1841, Templates!B:B = G1841, Templates!C:C = H1841), ""{{}}"", E1841), B1841)"),"🏘  Vous cherchez un appartement à louer à Enney? ✅ Les annonces les plus actuelles sont sur ImmoScout24.ch.")</f>
        <v>🏘  Vous cherchez un appartement à louer à Enney? ✅ Les annonces les plus actuelles sont sur ImmoScout24.ch.</v>
      </c>
      <c r="J1841" s="4" t="s">
        <v>5523</v>
      </c>
    </row>
    <row r="1842">
      <c r="A1842" s="5" t="s">
        <v>5524</v>
      </c>
      <c r="B1842" s="2" t="s">
        <v>5525</v>
      </c>
      <c r="C1842" s="4" t="str">
        <f>IFERROR(__xludf.DUMMYFUNCTION("""🏘️ ""&amp;REGEXEXTRACT(B1842, ""^(.*): "")&amp;"" ✅ "" &amp;REGEXEXTRACT(B1842, ""(Trouvez.*)"")"),"🏘️ Louer appartement Lyss ✅ Trouvez le bien immobilier qui correspond idéalement à vos désirs sur ImmoScout24 - La plateforme de l'immobilier en Suisse.")</f>
        <v>🏘️ Louer appartement Lyss ✅ Trouvez le bien immobilier qui correspond idéalement à vos désirs sur ImmoScout24 - La plateforme de l'immobilier en Suisse.</v>
      </c>
      <c r="D1842" s="4" t="str">
        <f>vlookup(A1842, Sheet2!D:E, 2, 0)</f>
        <v>variant</v>
      </c>
      <c r="E1842" s="4" t="str">
        <f>IFERROR(__xludf.DUMMYFUNCTION("if(H1842=""pays"",vlookup(REGEXEXTRACT(C1842, ""🏘️ \w+ \w+ (.*) ✅""),'Country prepositions'!A:B, 2, 0) &amp; "" "" &amp; REGEXEXTRACT(C1842, ""🏘️ \w+ \w+ (.*) ✅"") ,  if(H1842=""quartier"",vlookup(REGEXEXTRACT(C1842, ""🏘️ \w+ \w+ (.*) ✅""),'Quartier prepositio"&amp;"ns'!A:E, 5, 0) ,  if(H1842=""region"",vlookup(REGEXEXTRACT(C1842, ""🏘️ \w+ \w+ (.*) ✅""),'Region prepositions'!B:F, 5, 0),  REGEXEXTRACT(C1842, ""🏘️ \w+ \w+ (.*) ✅""))))"),"Lyss")</f>
        <v>Lyss</v>
      </c>
      <c r="F1842" s="2" t="str">
        <f>IFERROR(__xludf.DUMMYFUNCTION("REGEXEXTRACT(C1842, ""🏘️ (\w+) \w+ .* ✅"")"),"Louer")</f>
        <v>Louer</v>
      </c>
      <c r="G1842" s="2" t="str">
        <f>IFERROR(__xludf.DUMMYFUNCTION("REGEXEXTRACT(C1842, ""🏘️ \w+ (\w+) .* ✅"")"),"appartement")</f>
        <v>appartement</v>
      </c>
      <c r="H1842" s="4" t="str">
        <f>IFERROR(__xludf.DUMMYFUNCTION("REGEXEXTRACT(A1842, ""/(\w+)-.*?"")"),"lieu")</f>
        <v>lieu</v>
      </c>
      <c r="I1842" s="4" t="str">
        <f>IFERROR(__xludf.DUMMYFUNCTION("if(D1842=""variant"",  substitute(filter(Templates!E:E, Templates!A:A = F1842, Templates!B:B = G1842, Templates!C:C = H1842), ""{{}}"", E1842), B1842)"),"🏘  Vous cherchez un appartement à louer à Lyss? ✅ Les annonces les plus actuelles sont sur ImmoScout24.ch.")</f>
        <v>🏘  Vous cherchez un appartement à louer à Lyss? ✅ Les annonces les plus actuelles sont sur ImmoScout24.ch.</v>
      </c>
      <c r="J1842" s="4" t="s">
        <v>5526</v>
      </c>
    </row>
    <row r="1843">
      <c r="A1843" s="5" t="s">
        <v>5527</v>
      </c>
      <c r="B1843" s="2" t="s">
        <v>5528</v>
      </c>
      <c r="C1843" s="4" t="str">
        <f>IFERROR(__xludf.DUMMYFUNCTION("""🏘️ ""&amp;REGEXEXTRACT(B1843, ""^(.*): "")&amp;"" ✅ "" &amp;REGEXEXTRACT(B1843, ""(Trouvez.*)"")"),"🏘️ Louer appartement La Vernaz (Les Agettes) ✅ Trouvez le bien immobilier qui correspond idéalement à vos désirs sur ImmoScout24 - La plateforme de l'immobilier en Suisse.")</f>
        <v>🏘️ Louer appartement La Vernaz (Les Agettes) ✅ Trouvez le bien immobilier qui correspond idéalement à vos désirs sur ImmoScout24 - La plateforme de l'immobilier en Suisse.</v>
      </c>
      <c r="D1843" s="4" t="str">
        <f>vlookup(A1843, Sheet2!D:E, 2, 0)</f>
        <v>variant</v>
      </c>
      <c r="E1843" s="4" t="str">
        <f>IFERROR(__xludf.DUMMYFUNCTION("if(H1843=""pays"",vlookup(REGEXEXTRACT(C1843, ""🏘️ \w+ \w+ (.*) ✅""),'Country prepositions'!A:B, 2, 0) &amp; "" "" &amp; REGEXEXTRACT(C1843, ""🏘️ \w+ \w+ (.*) ✅"") ,  if(H1843=""quartier"",vlookup(REGEXEXTRACT(C1843, ""🏘️ \w+ \w+ (.*) ✅""),'Quartier prepositio"&amp;"ns'!A:E, 5, 0) ,  if(H1843=""region"",vlookup(REGEXEXTRACT(C1843, ""🏘️ \w+ \w+ (.*) ✅""),'Region prepositions'!B:F, 5, 0),  REGEXEXTRACT(C1843, ""🏘️ \w+ \w+ (.*) ✅""))))"),"La Vernaz (Les Agettes)")</f>
        <v>La Vernaz (Les Agettes)</v>
      </c>
      <c r="F1843" s="2" t="str">
        <f>IFERROR(__xludf.DUMMYFUNCTION("REGEXEXTRACT(C1843, ""🏘️ (\w+) \w+ .* ✅"")"),"Louer")</f>
        <v>Louer</v>
      </c>
      <c r="G1843" s="2" t="str">
        <f>IFERROR(__xludf.DUMMYFUNCTION("REGEXEXTRACT(C1843, ""🏘️ \w+ (\w+) .* ✅"")"),"appartement")</f>
        <v>appartement</v>
      </c>
      <c r="H1843" s="4" t="str">
        <f>IFERROR(__xludf.DUMMYFUNCTION("REGEXEXTRACT(A1843, ""/(\w+)-.*?"")"),"lieu")</f>
        <v>lieu</v>
      </c>
      <c r="I1843" s="4" t="str">
        <f>IFERROR(__xludf.DUMMYFUNCTION("if(D1843=""variant"",  substitute(filter(Templates!E:E, Templates!A:A = F1843, Templates!B:B = G1843, Templates!C:C = H1843), ""{{}}"", E1843), B1843)"),"🏘  Vous cherchez un appartement à louer à La Vernaz (Les Agettes)? ✅ Les annonces les plus actuelles sont sur ImmoScout24.ch.")</f>
        <v>🏘  Vous cherchez un appartement à louer à La Vernaz (Les Agettes)? ✅ Les annonces les plus actuelles sont sur ImmoScout24.ch.</v>
      </c>
      <c r="J1843" s="4" t="s">
        <v>5529</v>
      </c>
    </row>
    <row r="1844">
      <c r="A1844" s="5" t="s">
        <v>5530</v>
      </c>
      <c r="B1844" s="2" t="s">
        <v>5531</v>
      </c>
      <c r="C1844" s="4" t="str">
        <f>IFERROR(__xludf.DUMMYFUNCTION("""🏘️ ""&amp;REGEXEXTRACT(B1844, ""^(.*): "")&amp;"" ✅ "" &amp;REGEXEXTRACT(B1844, ""(Trouvez.*)"")"),"🏘️ Vendre appartement Perroy ✅ Trouvez le bien immobilier qui correspond idéalement à vos désirs sur ImmoScout24 - La plateforme de l'immobilier en Suisse.")</f>
        <v>🏘️ Vendre appartement Perroy ✅ Trouvez le bien immobilier qui correspond idéalement à vos désirs sur ImmoScout24 - La plateforme de l'immobilier en Suisse.</v>
      </c>
      <c r="D1844" s="4" t="str">
        <f>vlookup(A1844, Sheet2!D:E, 2, 0)</f>
        <v>variant</v>
      </c>
      <c r="E1844" s="4" t="str">
        <f>IFERROR(__xludf.DUMMYFUNCTION("if(H1844=""pays"",vlookup(REGEXEXTRACT(C1844, ""🏘️ \w+ \w+ (.*) ✅""),'Country prepositions'!A:B, 2, 0) &amp; "" "" &amp; REGEXEXTRACT(C1844, ""🏘️ \w+ \w+ (.*) ✅"") ,  if(H1844=""quartier"",vlookup(REGEXEXTRACT(C1844, ""🏘️ \w+ \w+ (.*) ✅""),'Quartier prepositio"&amp;"ns'!A:E, 5, 0) ,  if(H1844=""region"",vlookup(REGEXEXTRACT(C1844, ""🏘️ \w+ \w+ (.*) ✅""),'Region prepositions'!B:F, 5, 0),  REGEXEXTRACT(C1844, ""🏘️ \w+ \w+ (.*) ✅""))))"),"Perroy")</f>
        <v>Perroy</v>
      </c>
      <c r="F1844" s="2" t="str">
        <f>IFERROR(__xludf.DUMMYFUNCTION("REGEXEXTRACT(C1844, ""🏘️ (\w+) \w+ .* ✅"")"),"Vendre")</f>
        <v>Vendre</v>
      </c>
      <c r="G1844" s="2" t="str">
        <f>IFERROR(__xludf.DUMMYFUNCTION("REGEXEXTRACT(C1844, ""🏘️ \w+ (\w+) .* ✅"")"),"appartement")</f>
        <v>appartement</v>
      </c>
      <c r="H1844" s="4" t="str">
        <f>IFERROR(__xludf.DUMMYFUNCTION("REGEXEXTRACT(A1844, ""/(\w+)-.*?"")"),"lieu")</f>
        <v>lieu</v>
      </c>
      <c r="I1844" s="4" t="str">
        <f>IFERROR(__xludf.DUMMYFUNCTION("if(D1844=""variant"",  substitute(filter(Templates!E:E, Templates!A:A = F1844, Templates!B:B = G1844, Templates!C:C = H1844), ""{{}}"", E1844), B1844)"),"🏘  L’appartement de vos rêves se trouve sur ImmoScout24.ch ✅ Découvrez les dernières annonces de vente à Perroy.")</f>
        <v>🏘  L’appartement de vos rêves se trouve sur ImmoScout24.ch ✅ Découvrez les dernières annonces de vente à Perroy.</v>
      </c>
      <c r="J1844" s="4" t="s">
        <v>5532</v>
      </c>
    </row>
    <row r="1845">
      <c r="A1845" s="5" t="s">
        <v>5533</v>
      </c>
      <c r="B1845" s="2" t="s">
        <v>5534</v>
      </c>
      <c r="C1845" s="4" t="str">
        <f>IFERROR(__xludf.DUMMYFUNCTION("""🏘️ ""&amp;REGEXEXTRACT(B1845, ""^(.*): "")&amp;"" ✅ "" &amp;REGEXEXTRACT(B1845, ""(Trouvez.*)"")"),"🏘️ Vendre appartement Canton de Nidwald ✅ Trouvez le bien immobilier qui correspond idéalement à vos désirs sur ImmoScout24 - La plateforme de l'immobilier en Suisse.")</f>
        <v>🏘️ Vendre appartement Canton de Nidwald ✅ Trouvez le bien immobilier qui correspond idéalement à vos désirs sur ImmoScout24 - La plateforme de l'immobilier en Suisse.</v>
      </c>
      <c r="D1845" s="4" t="str">
        <f>vlookup(A1845, Sheet2!D:E, 2, 0)</f>
        <v>variant</v>
      </c>
      <c r="E1845" s="4" t="str">
        <f>IFERROR(__xludf.DUMMYFUNCTION("if(H1845=""pays"",vlookup(REGEXEXTRACT(C1845, ""🏘️ \w+ \w+ (.*) ✅""),'Country prepositions'!A:B, 2, 0) &amp; "" "" &amp; REGEXEXTRACT(C1845, ""🏘️ \w+ \w+ (.*) ✅"") ,  if(H1845=""quartier"",vlookup(REGEXEXTRACT(C1845, ""🏘️ \w+ \w+ (.*) ✅""),'Quartier prepositio"&amp;"ns'!A:E, 5, 0) ,  if(H1845=""region"",vlookup(REGEXEXTRACT(C1845, ""🏘️ \w+ \w+ (.*) ✅""),'Region prepositions'!B:F, 5, 0),  REGEXEXTRACT(C1845, ""🏘️ \w+ \w+ (.*) ✅""))))"),"Canton de Nidwald")</f>
        <v>Canton de Nidwald</v>
      </c>
      <c r="F1845" s="2" t="str">
        <f>IFERROR(__xludf.DUMMYFUNCTION("REGEXEXTRACT(C1845, ""🏘️ (\w+) \w+ .* ✅"")"),"Vendre")</f>
        <v>Vendre</v>
      </c>
      <c r="G1845" s="2" t="str">
        <f>IFERROR(__xludf.DUMMYFUNCTION("REGEXEXTRACT(C1845, ""🏘️ \w+ (\w+) .* ✅"")"),"appartement")</f>
        <v>appartement</v>
      </c>
      <c r="H1845" s="4" t="str">
        <f>IFERROR(__xludf.DUMMYFUNCTION("REGEXEXTRACT(A1845, ""/(\w+)-.*?"")"),"canton")</f>
        <v>canton</v>
      </c>
      <c r="I1845" s="4" t="str">
        <f>IFERROR(__xludf.DUMMYFUNCTION("if(D1845=""variant"",  substitute(filter(Templates!E:E, Templates!A:A = F1845, Templates!B:B = G1845, Templates!C:C = H1845), ""{{}}"", E1845), B1845)"),"#N/A")</f>
        <v>#N/A</v>
      </c>
      <c r="J1845" s="9" t="s">
        <v>5535</v>
      </c>
    </row>
    <row r="1846">
      <c r="A1846" s="5" t="s">
        <v>5536</v>
      </c>
      <c r="B1846" s="2" t="s">
        <v>5537</v>
      </c>
      <c r="C1846" s="4" t="str">
        <f>IFERROR(__xludf.DUMMYFUNCTION("""🏘️ ""&amp;REGEXEXTRACT(B1846, ""^(.*): "")&amp;"" ✅ "" &amp;REGEXEXTRACT(B1846, ""(Trouvez.*)"")"),"🏘️ Vendre maison Einsiedeln ✅ Trouvez le bien immobilier qui correspond idéalement à vos désirs sur ImmoScout24 - La plateforme de l'immobilier en Suisse.")</f>
        <v>🏘️ Vendre maison Einsiedeln ✅ Trouvez le bien immobilier qui correspond idéalement à vos désirs sur ImmoScout24 - La plateforme de l'immobilier en Suisse.</v>
      </c>
      <c r="D1846" s="4" t="str">
        <f>vlookup(A1846, Sheet2!D:E, 2, 0)</f>
        <v>variant</v>
      </c>
      <c r="E1846" s="4" t="str">
        <f>IFERROR(__xludf.DUMMYFUNCTION("if(H1846=""pays"",vlookup(REGEXEXTRACT(C1846, ""🏘️ \w+ \w+ (.*) ✅""),'Country prepositions'!A:B, 2, 0) &amp; "" "" &amp; REGEXEXTRACT(C1846, ""🏘️ \w+ \w+ (.*) ✅"") ,  if(H1846=""quartier"",vlookup(REGEXEXTRACT(C1846, ""🏘️ \w+ \w+ (.*) ✅""),'Quartier prepositio"&amp;"ns'!A:E, 5, 0) ,  if(H1846=""region"",vlookup(REGEXEXTRACT(C1846, ""🏘️ \w+ \w+ (.*) ✅""),'Region prepositions'!B:F, 5, 0),  REGEXEXTRACT(C1846, ""🏘️ \w+ \w+ (.*) ✅""))))"),"à Einsiedeln")</f>
        <v>à Einsiedeln</v>
      </c>
      <c r="F1846" s="2" t="str">
        <f>IFERROR(__xludf.DUMMYFUNCTION("REGEXEXTRACT(C1846, ""🏘️ (\w+) \w+ .* ✅"")"),"Vendre")</f>
        <v>Vendre</v>
      </c>
      <c r="G1846" s="2" t="str">
        <f>IFERROR(__xludf.DUMMYFUNCTION("REGEXEXTRACT(C1846, ""🏘️ \w+ (\w+) .* ✅"")"),"maison")</f>
        <v>maison</v>
      </c>
      <c r="H1846" s="10" t="str">
        <f>IFERROR(__xludf.DUMMYFUNCTION("REGEXEXTRACT(A1846, ""/(\w+)-.*?"")"),"region")</f>
        <v>region</v>
      </c>
      <c r="I1846" s="4" t="str">
        <f>IFERROR(__xludf.DUMMYFUNCTION("if(D1846=""variant"",  substitute(filter(Templates!E:E, Templates!A:A = F1846, Templates!B:B = G1846, Templates!C:C = H1846), ""{{}}"", E1846), B1846)"),"🏘  Vous souhaitez acheter une maison à Einsiedeln? ✅ Jetez un œil aux dernières offres sur ImmoScout24.ch.")</f>
        <v>🏘  Vous souhaitez acheter une maison à Einsiedeln? ✅ Jetez un œil aux dernières offres sur ImmoScout24.ch.</v>
      </c>
      <c r="J1846" s="4" t="s">
        <v>5538</v>
      </c>
    </row>
    <row r="1847">
      <c r="A1847" s="5" t="s">
        <v>5539</v>
      </c>
      <c r="B1847" s="2" t="s">
        <v>5540</v>
      </c>
      <c r="C1847" s="4" t="str">
        <f>IFERROR(__xludf.DUMMYFUNCTION("""🏘️ ""&amp;REGEXEXTRACT(B1847, ""^(.*): "")&amp;"" ✅ "" &amp;REGEXEXTRACT(B1847, ""(Trouvez.*)"")"),"🏘️ Vendre maison Mathod ✅ Trouvez le bien immobilier qui correspond idéalement à vos désirs sur ImmoScout24 - La plateforme de l'immobilier en Suisse.")</f>
        <v>🏘️ Vendre maison Mathod ✅ Trouvez le bien immobilier qui correspond idéalement à vos désirs sur ImmoScout24 - La plateforme de l'immobilier en Suisse.</v>
      </c>
      <c r="D1847" s="4" t="str">
        <f>vlookup(A1847, Sheet2!D:E, 2, 0)</f>
        <v>variant</v>
      </c>
      <c r="E1847" s="4" t="str">
        <f>IFERROR(__xludf.DUMMYFUNCTION("if(H1847=""pays"",vlookup(REGEXEXTRACT(C1847, ""🏘️ \w+ \w+ (.*) ✅""),'Country prepositions'!A:B, 2, 0) &amp; "" "" &amp; REGEXEXTRACT(C1847, ""🏘️ \w+ \w+ (.*) ✅"") ,  if(H1847=""quartier"",vlookup(REGEXEXTRACT(C1847, ""🏘️ \w+ \w+ (.*) ✅""),'Quartier prepositio"&amp;"ns'!A:E, 5, 0) ,  if(H1847=""region"",vlookup(REGEXEXTRACT(C1847, ""🏘️ \w+ \w+ (.*) ✅""),'Region prepositions'!B:F, 5, 0),  REGEXEXTRACT(C1847, ""🏘️ \w+ \w+ (.*) ✅""))))"),"Mathod")</f>
        <v>Mathod</v>
      </c>
      <c r="F1847" s="2" t="str">
        <f>IFERROR(__xludf.DUMMYFUNCTION("REGEXEXTRACT(C1847, ""🏘️ (\w+) \w+ .* ✅"")"),"Vendre")</f>
        <v>Vendre</v>
      </c>
      <c r="G1847" s="2" t="str">
        <f>IFERROR(__xludf.DUMMYFUNCTION("REGEXEXTRACT(C1847, ""🏘️ \w+ (\w+) .* ✅"")"),"maison")</f>
        <v>maison</v>
      </c>
      <c r="H1847" s="4" t="str">
        <f>IFERROR(__xludf.DUMMYFUNCTION("REGEXEXTRACT(A1847, ""/(\w+)-.*?"")"),"lieu")</f>
        <v>lieu</v>
      </c>
      <c r="I1847" s="4" t="str">
        <f>IFERROR(__xludf.DUMMYFUNCTION("if(D1847=""variant"",  substitute(filter(Templates!E:E, Templates!A:A = F1847, Templates!B:B = G1847, Templates!C:C = H1847), ""{{}}"", E1847), B1847)"),"🏘  Vous souhaitez acheter une maison à Mathod? ✅ Jetez un œil aux dernières offres sur ImmoScout24.ch.")</f>
        <v>🏘  Vous souhaitez acheter une maison à Mathod? ✅ Jetez un œil aux dernières offres sur ImmoScout24.ch.</v>
      </c>
      <c r="J1847" s="4" t="s">
        <v>5541</v>
      </c>
    </row>
    <row r="1848">
      <c r="A1848" s="5" t="s">
        <v>5542</v>
      </c>
      <c r="B1848" s="2" t="s">
        <v>5543</v>
      </c>
      <c r="C1848" s="4" t="str">
        <f>IFERROR(__xludf.DUMMYFUNCTION("""🏘️ ""&amp;REGEXEXTRACT(B1848, ""^(.*): "")&amp;"" ✅ "" &amp;REGEXEXTRACT(B1848, ""(Trouvez.*)"")"),"🏘️ Vendre maison Linthal ✅ Trouvez le bien immobilier qui correspond idéalement à vos désirs sur ImmoScout24 - La plateforme de l'immobilier en Suisse.")</f>
        <v>🏘️ Vendre maison Linthal ✅ Trouvez le bien immobilier qui correspond idéalement à vos désirs sur ImmoScout24 - La plateforme de l'immobilier en Suisse.</v>
      </c>
      <c r="D1848" s="4" t="str">
        <f>vlookup(A1848, Sheet2!D:E, 2, 0)</f>
        <v>variant</v>
      </c>
      <c r="E1848" s="4" t="str">
        <f>IFERROR(__xludf.DUMMYFUNCTION("if(H1848=""pays"",vlookup(REGEXEXTRACT(C1848, ""🏘️ \w+ \w+ (.*) ✅""),'Country prepositions'!A:B, 2, 0) &amp; "" "" &amp; REGEXEXTRACT(C1848, ""🏘️ \w+ \w+ (.*) ✅"") ,  if(H1848=""quartier"",vlookup(REGEXEXTRACT(C1848, ""🏘️ \w+ \w+ (.*) ✅""),'Quartier prepositio"&amp;"ns'!A:E, 5, 0) ,  if(H1848=""region"",vlookup(REGEXEXTRACT(C1848, ""🏘️ \w+ \w+ (.*) ✅""),'Region prepositions'!B:F, 5, 0),  REGEXEXTRACT(C1848, ""🏘️ \w+ \w+ (.*) ✅""))))"),"Linthal")</f>
        <v>Linthal</v>
      </c>
      <c r="F1848" s="2" t="str">
        <f>IFERROR(__xludf.DUMMYFUNCTION("REGEXEXTRACT(C1848, ""🏘️ (\w+) \w+ .* ✅"")"),"Vendre")</f>
        <v>Vendre</v>
      </c>
      <c r="G1848" s="2" t="str">
        <f>IFERROR(__xludf.DUMMYFUNCTION("REGEXEXTRACT(C1848, ""🏘️ \w+ (\w+) .* ✅"")"),"maison")</f>
        <v>maison</v>
      </c>
      <c r="H1848" s="4" t="str">
        <f>IFERROR(__xludf.DUMMYFUNCTION("REGEXEXTRACT(A1848, ""/(\w+)-.*?"")"),"lieu")</f>
        <v>lieu</v>
      </c>
      <c r="I1848" s="4" t="str">
        <f>IFERROR(__xludf.DUMMYFUNCTION("if(D1848=""variant"",  substitute(filter(Templates!E:E, Templates!A:A = F1848, Templates!B:B = G1848, Templates!C:C = H1848), ""{{}}"", E1848), B1848)"),"🏘  Vous souhaitez acheter une maison à Linthal? ✅ Jetez un œil aux dernières offres sur ImmoScout24.ch.")</f>
        <v>🏘  Vous souhaitez acheter une maison à Linthal? ✅ Jetez un œil aux dernières offres sur ImmoScout24.ch.</v>
      </c>
      <c r="J1848" s="4" t="s">
        <v>5544</v>
      </c>
    </row>
    <row r="1849">
      <c r="A1849" s="5" t="s">
        <v>5545</v>
      </c>
      <c r="B1849" s="2" t="s">
        <v>5546</v>
      </c>
      <c r="C1849" s="4" t="str">
        <f>IFERROR(__xludf.DUMMYFUNCTION("""🏘️ ""&amp;REGEXEXTRACT(B1849, ""^(.*): "")&amp;"" ✅ "" &amp;REGEXEXTRACT(B1849, ""(Trouvez.*)"")"),"🏘️ Vendre maison Brügg BE ✅ Trouvez le bien immobilier qui correspond idéalement à vos désirs sur ImmoScout24 - La plateforme de l'immobilier en Suisse.")</f>
        <v>🏘️ Vendre maison Brügg BE ✅ Trouvez le bien immobilier qui correspond idéalement à vos désirs sur ImmoScout24 - La plateforme de l'immobilier en Suisse.</v>
      </c>
      <c r="D1849" s="4" t="str">
        <f>vlookup(A1849, Sheet2!D:E, 2, 0)</f>
        <v>variant</v>
      </c>
      <c r="E1849" s="4" t="str">
        <f>IFERROR(__xludf.DUMMYFUNCTION("if(H1849=""pays"",vlookup(REGEXEXTRACT(C1849, ""🏘️ \w+ \w+ (.*) ✅""),'Country prepositions'!A:B, 2, 0) &amp; "" "" &amp; REGEXEXTRACT(C1849, ""🏘️ \w+ \w+ (.*) ✅"") ,  if(H1849=""quartier"",vlookup(REGEXEXTRACT(C1849, ""🏘️ \w+ \w+ (.*) ✅""),'Quartier prepositio"&amp;"ns'!A:E, 5, 0) ,  if(H1849=""region"",vlookup(REGEXEXTRACT(C1849, ""🏘️ \w+ \w+ (.*) ✅""),'Region prepositions'!B:F, 5, 0),  REGEXEXTRACT(C1849, ""🏘️ \w+ \w+ (.*) ✅""))))"),"Brügg BE")</f>
        <v>Brügg BE</v>
      </c>
      <c r="F1849" s="2" t="str">
        <f>IFERROR(__xludf.DUMMYFUNCTION("REGEXEXTRACT(C1849, ""🏘️ (\w+) \w+ .* ✅"")"),"Vendre")</f>
        <v>Vendre</v>
      </c>
      <c r="G1849" s="2" t="str">
        <f>IFERROR(__xludf.DUMMYFUNCTION("REGEXEXTRACT(C1849, ""🏘️ \w+ (\w+) .* ✅"")"),"maison")</f>
        <v>maison</v>
      </c>
      <c r="H1849" s="4" t="str">
        <f>IFERROR(__xludf.DUMMYFUNCTION("REGEXEXTRACT(A1849, ""/(\w+)-.*?"")"),"lieu")</f>
        <v>lieu</v>
      </c>
      <c r="I1849" s="4" t="str">
        <f>IFERROR(__xludf.DUMMYFUNCTION("if(D1849=""variant"",  substitute(filter(Templates!E:E, Templates!A:A = F1849, Templates!B:B = G1849, Templates!C:C = H1849), ""{{}}"", E1849), B1849)"),"🏘  Vous souhaitez acheter une maison à Brügg BE? ✅ Jetez un œil aux dernières offres sur ImmoScout24.ch.")</f>
        <v>🏘  Vous souhaitez acheter une maison à Brügg BE? ✅ Jetez un œil aux dernières offres sur ImmoScout24.ch.</v>
      </c>
      <c r="J1849" s="4" t="s">
        <v>5547</v>
      </c>
    </row>
    <row r="1850">
      <c r="A1850" s="5" t="s">
        <v>5548</v>
      </c>
      <c r="B1850" s="2" t="s">
        <v>5549</v>
      </c>
      <c r="C1850" s="4" t="str">
        <f>IFERROR(__xludf.DUMMYFUNCTION("""🏘️ ""&amp;REGEXEXTRACT(B1850, ""^(.*): "")&amp;"" ✅ "" &amp;REGEXEXTRACT(B1850, ""(Trouvez.*)"")"),"🏘️ Louer maison Arnex-sur-Orbe ✅ Trouvez le bien immobilier qui correspond idéalement à vos désirs sur ImmoScout24 - La plateforme de l'immobilier en Suisse.")</f>
        <v>🏘️ Louer maison Arnex-sur-Orbe ✅ Trouvez le bien immobilier qui correspond idéalement à vos désirs sur ImmoScout24 - La plateforme de l'immobilier en Suisse.</v>
      </c>
      <c r="D1850" s="4" t="str">
        <f>vlookup(A1850, Sheet2!D:E, 2, 0)</f>
        <v>variant</v>
      </c>
      <c r="E1850" s="4" t="str">
        <f>IFERROR(__xludf.DUMMYFUNCTION("if(H1850=""pays"",vlookup(REGEXEXTRACT(C1850, ""🏘️ \w+ \w+ (.*) ✅""),'Country prepositions'!A:B, 2, 0) &amp; "" "" &amp; REGEXEXTRACT(C1850, ""🏘️ \w+ \w+ (.*) ✅"") ,  if(H1850=""quartier"",vlookup(REGEXEXTRACT(C1850, ""🏘️ \w+ \w+ (.*) ✅""),'Quartier prepositio"&amp;"ns'!A:E, 5, 0) ,  if(H1850=""region"",vlookup(REGEXEXTRACT(C1850, ""🏘️ \w+ \w+ (.*) ✅""),'Region prepositions'!B:F, 5, 0),  REGEXEXTRACT(C1850, ""🏘️ \w+ \w+ (.*) ✅""))))"),"Arnex-sur-Orbe")</f>
        <v>Arnex-sur-Orbe</v>
      </c>
      <c r="F1850" s="2" t="str">
        <f>IFERROR(__xludf.DUMMYFUNCTION("REGEXEXTRACT(C1850, ""🏘️ (\w+) \w+ .* ✅"")"),"Louer")</f>
        <v>Louer</v>
      </c>
      <c r="G1850" s="2" t="str">
        <f>IFERROR(__xludf.DUMMYFUNCTION("REGEXEXTRACT(C1850, ""🏘️ \w+ (\w+) .* ✅"")"),"maison")</f>
        <v>maison</v>
      </c>
      <c r="H1850" s="4" t="str">
        <f>IFERROR(__xludf.DUMMYFUNCTION("REGEXEXTRACT(A1850, ""/(\w+)-.*?"")"),"lieu")</f>
        <v>lieu</v>
      </c>
      <c r="I1850" s="4" t="str">
        <f>IFERROR(__xludf.DUMMYFUNCTION("if(D1850=""variant"",  substitute(filter(Templates!E:E, Templates!A:A = F1850, Templates!B:B = G1850, Templates!C:C = H1850), ""{{}}"", E1850), B1850)"),"🏘  Vous cherchez une maison à louer à Arnex-sur-Orbe? ✅ Découvrez nos nombreuses annonces sur ImmoScout24.ch.")</f>
        <v>🏘  Vous cherchez une maison à louer à Arnex-sur-Orbe? ✅ Découvrez nos nombreuses annonces sur ImmoScout24.ch.</v>
      </c>
      <c r="J1850" s="4" t="s">
        <v>5550</v>
      </c>
    </row>
    <row r="1851">
      <c r="A1851" s="5" t="s">
        <v>5551</v>
      </c>
      <c r="B1851" s="2" t="s">
        <v>5552</v>
      </c>
      <c r="C1851" s="4" t="str">
        <f>IFERROR(__xludf.DUMMYFUNCTION("""🏘️ ""&amp;REGEXEXTRACT(B1851, ""^(.*): "")&amp;"" ✅ "" &amp;REGEXEXTRACT(B1851, ""(Trouvez.*)"")"),"🏘️ Vendre maison Goldingen ✅ Trouvez le bien immobilier qui correspond idéalement à vos désirs sur ImmoScout24 - La plateforme de l'immobilier en Suisse.")</f>
        <v>🏘️ Vendre maison Goldingen ✅ Trouvez le bien immobilier qui correspond idéalement à vos désirs sur ImmoScout24 - La plateforme de l'immobilier en Suisse.</v>
      </c>
      <c r="D1851" s="4" t="str">
        <f>vlookup(A1851, Sheet2!D:E, 2, 0)</f>
        <v>variant</v>
      </c>
      <c r="E1851" s="4" t="str">
        <f>IFERROR(__xludf.DUMMYFUNCTION("if(H1851=""pays"",vlookup(REGEXEXTRACT(C1851, ""🏘️ \w+ \w+ (.*) ✅""),'Country prepositions'!A:B, 2, 0) &amp; "" "" &amp; REGEXEXTRACT(C1851, ""🏘️ \w+ \w+ (.*) ✅"") ,  if(H1851=""quartier"",vlookup(REGEXEXTRACT(C1851, ""🏘️ \w+ \w+ (.*) ✅""),'Quartier prepositio"&amp;"ns'!A:E, 5, 0) ,  if(H1851=""region"",vlookup(REGEXEXTRACT(C1851, ""🏘️ \w+ \w+ (.*) ✅""),'Region prepositions'!B:F, 5, 0),  REGEXEXTRACT(C1851, ""🏘️ \w+ \w+ (.*) ✅""))))"),"Goldingen")</f>
        <v>Goldingen</v>
      </c>
      <c r="F1851" s="2" t="str">
        <f>IFERROR(__xludf.DUMMYFUNCTION("REGEXEXTRACT(C1851, ""🏘️ (\w+) \w+ .* ✅"")"),"Vendre")</f>
        <v>Vendre</v>
      </c>
      <c r="G1851" s="2" t="str">
        <f>IFERROR(__xludf.DUMMYFUNCTION("REGEXEXTRACT(C1851, ""🏘️ \w+ (\w+) .* ✅"")"),"maison")</f>
        <v>maison</v>
      </c>
      <c r="H1851" s="4" t="str">
        <f>IFERROR(__xludf.DUMMYFUNCTION("REGEXEXTRACT(A1851, ""/(\w+)-.*?"")"),"lieu")</f>
        <v>lieu</v>
      </c>
      <c r="I1851" s="4" t="str">
        <f>IFERROR(__xludf.DUMMYFUNCTION("if(D1851=""variant"",  substitute(filter(Templates!E:E, Templates!A:A = F1851, Templates!B:B = G1851, Templates!C:C = H1851), ""{{}}"", E1851), B1851)"),"🏘  Vous souhaitez acheter une maison à Goldingen? ✅ Jetez un œil aux dernières offres sur ImmoScout24.ch.")</f>
        <v>🏘  Vous souhaitez acheter une maison à Goldingen? ✅ Jetez un œil aux dernières offres sur ImmoScout24.ch.</v>
      </c>
      <c r="J1851" s="4" t="s">
        <v>5553</v>
      </c>
    </row>
    <row r="1852">
      <c r="A1852" s="5" t="s">
        <v>5554</v>
      </c>
      <c r="B1852" s="2" t="s">
        <v>5555</v>
      </c>
      <c r="C1852" s="4" t="str">
        <f>IFERROR(__xludf.DUMMYFUNCTION("""🏘️ ""&amp;REGEXEXTRACT(B1852, ""^(.*): "")&amp;"" ✅ "" &amp;REGEXEXTRACT(B1852, ""(Trouvez.*)"")"),"🏘️ Vendre maison Bosnie-Herzégovine ✅ Trouvez le bien immobilier qui correspond idéalement à vos désirs sur ImmoScout24 - La plateforme de l'immobilier en Suisse.")</f>
        <v>🏘️ Vendre maison Bosnie-Herzégovine ✅ Trouvez le bien immobilier qui correspond idéalement à vos désirs sur ImmoScout24 - La plateforme de l'immobilier en Suisse.</v>
      </c>
      <c r="D1852" s="4" t="str">
        <f>vlookup(A1852, Sheet2!D:E, 2, 0)</f>
        <v>variant</v>
      </c>
      <c r="E1852" s="4" t="str">
        <f>IFERROR(__xludf.DUMMYFUNCTION("if(H1852=""pays"",vlookup(REGEXEXTRACT(C1852, ""🏘️ \w+ \w+ (.*) ✅""),'Country prepositions'!A:B, 2, 0) &amp; "" "" &amp; REGEXEXTRACT(C1852, ""🏘️ \w+ \w+ (.*) ✅"") ,  if(H1852=""quartier"",vlookup(REGEXEXTRACT(C1852, ""🏘️ \w+ \w+ (.*) ✅""),'Quartier prepositio"&amp;"ns'!A:E, 5, 0) ,  if(H1852=""region"",vlookup(REGEXEXTRACT(C1852, ""🏘️ \w+ \w+ (.*) ✅""),'Region prepositions'!B:F, 5, 0),  REGEXEXTRACT(C1852, ""🏘️ \w+ \w+ (.*) ✅""))))"),"en Bosnie-Herzégovine")</f>
        <v>en Bosnie-Herzégovine</v>
      </c>
      <c r="F1852" s="2" t="str">
        <f>IFERROR(__xludf.DUMMYFUNCTION("REGEXEXTRACT(C1852, ""🏘️ (\w+) \w+ .* ✅"")"),"Vendre")</f>
        <v>Vendre</v>
      </c>
      <c r="G1852" s="2" t="str">
        <f>IFERROR(__xludf.DUMMYFUNCTION("REGEXEXTRACT(C1852, ""🏘️ \w+ (\w+) .* ✅"")"),"maison")</f>
        <v>maison</v>
      </c>
      <c r="H1852" s="4" t="str">
        <f>IFERROR(__xludf.DUMMYFUNCTION("REGEXEXTRACT(A1852, ""/(\w+)-.*?"")"),"pays")</f>
        <v>pays</v>
      </c>
      <c r="I1852" s="4" t="str">
        <f>IFERROR(__xludf.DUMMYFUNCTION("if(D1852=""variant"",  substitute(filter(Templates!E:E, Templates!A:A = F1852, Templates!B:B = G1852, Templates!C:C = H1852), ""{{}}"", E1852), B1852)"),"🏘  Vous cherchez un appartement à louer en Bosnie-Herzégovine? ✅ Les annonces les plus actuelles sont sur ImmoScout24.ch.")</f>
        <v>🏘  Vous cherchez un appartement à louer en Bosnie-Herzégovine? ✅ Les annonces les plus actuelles sont sur ImmoScout24.ch.</v>
      </c>
      <c r="J1852" s="4" t="s">
        <v>5556</v>
      </c>
    </row>
    <row r="1853">
      <c r="A1853" s="6" t="s">
        <v>5557</v>
      </c>
      <c r="B1853" s="7" t="s">
        <v>5558</v>
      </c>
      <c r="C1853" s="8" t="str">
        <f>IFERROR(__xludf.DUMMYFUNCTION("""🏘️ ""&amp;REGEXEXTRACT(B1853, ""^(.*): "")&amp;"" ✅ "" &amp;REGEXEXTRACT(B1853, ""(Trouvez.*)"")"),"🏘️ Louer appartement Les Agettes ✅ Trouvez le bien immobilier qui correspond idéalement à vos désirs sur ImmoScout24 - La plateforme de l'immobilier en Suisse.")</f>
        <v>🏘️ Louer appartement Les Agettes ✅ Trouvez le bien immobilier qui correspond idéalement à vos désirs sur ImmoScout24 - La plateforme de l'immobilier en Suisse.</v>
      </c>
      <c r="D1853" s="8" t="str">
        <f>vlookup(A1853, Sheet2!D:E, 2, 0)</f>
        <v>variant</v>
      </c>
      <c r="E1853" s="8" t="str">
        <f>IFERROR(__xludf.DUMMYFUNCTION("if(H1853=""pays"",vlookup(REGEXEXTRACT(C1853, ""🏘️ \w+ \w+ (.*) ✅""),'Country prepositions'!A:B, 2, 0) &amp; "" "" &amp; REGEXEXTRACT(C1853, ""🏘️ \w+ \w+ (.*) ✅"") ,  if(H1853=""quartier"",vlookup(REGEXEXTRACT(C1853, ""🏘️ \w+ \w+ (.*) ✅""),'Quartier prepositio"&amp;"ns'!A:E, 5, 0) ,  if(H1853=""region"",vlookup(REGEXEXTRACT(C1853, ""🏘️ \w+ \w+ (.*) ✅""),'Region prepositions'!B:F, 5, 0),  REGEXEXTRACT(C1853, ""🏘️ \w+ \w+ (.*) ✅""))))"),"Les Agettes")</f>
        <v>Les Agettes</v>
      </c>
      <c r="F1853" s="7" t="str">
        <f>IFERROR(__xludf.DUMMYFUNCTION("REGEXEXTRACT(C1853, ""🏘️ (\w+) \w+ .* ✅"")"),"Louer")</f>
        <v>Louer</v>
      </c>
      <c r="G1853" s="7" t="str">
        <f>IFERROR(__xludf.DUMMYFUNCTION("REGEXEXTRACT(C1853, ""🏘️ \w+ (\w+) .* ✅"")"),"appartement")</f>
        <v>appartement</v>
      </c>
      <c r="H1853" s="8" t="str">
        <f>IFERROR(__xludf.DUMMYFUNCTION("REGEXEXTRACT(A1853, ""/(\w+)-.*?"")"),"lieu")</f>
        <v>lieu</v>
      </c>
      <c r="I1853" s="8" t="str">
        <f>IFERROR(__xludf.DUMMYFUNCTION("if(D1853=""variant"",  substitute(filter(Templates!E:E, Templates!A:A = F1853, Templates!B:B = G1853, Templates!C:C = H1853), ""{{}}"", E1853), B1853)"),"🏘  Vous cherchez un appartement à louer à Les Agettes? ✅ Les annonces les plus actuelles sont sur ImmoScout24.ch.")</f>
        <v>🏘  Vous cherchez un appartement à louer à Les Agettes? ✅ Les annonces les plus actuelles sont sur ImmoScout24.ch.</v>
      </c>
      <c r="J1853" s="7" t="s">
        <v>5559</v>
      </c>
      <c r="K1853" s="8"/>
      <c r="L1853" s="8"/>
      <c r="M1853" s="8"/>
      <c r="N1853" s="8"/>
      <c r="O1853" s="8"/>
      <c r="P1853" s="8"/>
      <c r="Q1853" s="8"/>
      <c r="R1853" s="8"/>
      <c r="S1853" s="8"/>
      <c r="T1853" s="8"/>
    </row>
    <row r="1854">
      <c r="A1854" s="5" t="s">
        <v>5560</v>
      </c>
      <c r="B1854" s="2" t="s">
        <v>5561</v>
      </c>
      <c r="C1854" s="4" t="str">
        <f>IFERROR(__xludf.DUMMYFUNCTION("""🏘️ ""&amp;REGEXEXTRACT(B1854, ""^(.*): "")&amp;"" ✅ "" &amp;REGEXEXTRACT(B1854, ""(Trouvez.*)"")"),"🏘️ Vendre appartement Canton de Genève ✅ Trouvez le bien immobilier qui correspond idéalement à vos désirs sur ImmoScout24 - La plateforme de l'immobilier en Suisse.")</f>
        <v>🏘️ Vendre appartement Canton de Genève ✅ Trouvez le bien immobilier qui correspond idéalement à vos désirs sur ImmoScout24 - La plateforme de l'immobilier en Suisse.</v>
      </c>
      <c r="D1854" s="4" t="str">
        <f>vlookup(A1854, Sheet2!D:E, 2, 0)</f>
        <v>variant</v>
      </c>
      <c r="E1854" s="4" t="str">
        <f>IFERROR(__xludf.DUMMYFUNCTION("if(H1854=""pays"",vlookup(REGEXEXTRACT(C1854, ""🏘️ \w+ \w+ (.*) ✅""),'Country prepositions'!A:B, 2, 0) &amp; "" "" &amp; REGEXEXTRACT(C1854, ""🏘️ \w+ \w+ (.*) ✅"") ,  if(H1854=""quartier"",vlookup(REGEXEXTRACT(C1854, ""🏘️ \w+ \w+ (.*) ✅""),'Quartier prepositio"&amp;"ns'!A:E, 5, 0) ,  if(H1854=""region"",vlookup(REGEXEXTRACT(C1854, ""🏘️ \w+ \w+ (.*) ✅""),'Region prepositions'!B:F, 5, 0),  REGEXEXTRACT(C1854, ""🏘️ \w+ \w+ (.*) ✅""))))"),"Canton de Genève")</f>
        <v>Canton de Genève</v>
      </c>
      <c r="F1854" s="2" t="str">
        <f>IFERROR(__xludf.DUMMYFUNCTION("REGEXEXTRACT(C1854, ""🏘️ (\w+) \w+ .* ✅"")"),"Vendre")</f>
        <v>Vendre</v>
      </c>
      <c r="G1854" s="2" t="str">
        <f>IFERROR(__xludf.DUMMYFUNCTION("REGEXEXTRACT(C1854, ""🏘️ \w+ (\w+) .* ✅"")"),"appartement")</f>
        <v>appartement</v>
      </c>
      <c r="H1854" s="4" t="str">
        <f>IFERROR(__xludf.DUMMYFUNCTION("REGEXEXTRACT(A1854, ""/(\w+)-.*?"")"),"canton")</f>
        <v>canton</v>
      </c>
      <c r="I1854" s="4" t="str">
        <f>IFERROR(__xludf.DUMMYFUNCTION("if(D1854=""variant"",  substitute(filter(Templates!E:E, Templates!A:A = F1854, Templates!B:B = G1854, Templates!C:C = H1854), ""{{}}"", E1854), B1854)"),"#N/A")</f>
        <v>#N/A</v>
      </c>
      <c r="J1854" s="4" t="s">
        <v>5562</v>
      </c>
    </row>
    <row r="1855">
      <c r="A1855" s="5" t="s">
        <v>5563</v>
      </c>
      <c r="B1855" s="2" t="s">
        <v>5564</v>
      </c>
      <c r="C1855" s="4" t="str">
        <f>IFERROR(__xludf.DUMMYFUNCTION("""🏘️ ""&amp;REGEXEXTRACT(B1855, ""^(.*): "")&amp;"" ✅ "" &amp;REGEXEXTRACT(B1855, ""(Trouvez.*)"")"),"🏘️ Louer appartement Balerna ✅ Trouvez le bien immobilier qui correspond idéalement à vos désirs sur ImmoScout24 - La plateforme de l'immobilier en Suisse.")</f>
        <v>🏘️ Louer appartement Balerna ✅ Trouvez le bien immobilier qui correspond idéalement à vos désirs sur ImmoScout24 - La plateforme de l'immobilier en Suisse.</v>
      </c>
      <c r="D1855" s="4" t="str">
        <f>vlookup(A1855, Sheet2!D:E, 2, 0)</f>
        <v>variant</v>
      </c>
      <c r="E1855" s="4" t="str">
        <f>IFERROR(__xludf.DUMMYFUNCTION("if(H1855=""pays"",vlookup(REGEXEXTRACT(C1855, ""🏘️ \w+ \w+ (.*) ✅""),'Country prepositions'!A:B, 2, 0) &amp; "" "" &amp; REGEXEXTRACT(C1855, ""🏘️ \w+ \w+ (.*) ✅"") ,  if(H1855=""quartier"",vlookup(REGEXEXTRACT(C1855, ""🏘️ \w+ \w+ (.*) ✅""),'Quartier prepositio"&amp;"ns'!A:E, 5, 0) ,  if(H1855=""region"",vlookup(REGEXEXTRACT(C1855, ""🏘️ \w+ \w+ (.*) ✅""),'Region prepositions'!B:F, 5, 0),  REGEXEXTRACT(C1855, ""🏘️ \w+ \w+ (.*) ✅""))))"),"Balerna")</f>
        <v>Balerna</v>
      </c>
      <c r="F1855" s="2" t="str">
        <f>IFERROR(__xludf.DUMMYFUNCTION("REGEXEXTRACT(C1855, ""🏘️ (\w+) \w+ .* ✅"")"),"Louer")</f>
        <v>Louer</v>
      </c>
      <c r="G1855" s="2" t="str">
        <f>IFERROR(__xludf.DUMMYFUNCTION("REGEXEXTRACT(C1855, ""🏘️ \w+ (\w+) .* ✅"")"),"appartement")</f>
        <v>appartement</v>
      </c>
      <c r="H1855" s="4" t="str">
        <f>IFERROR(__xludf.DUMMYFUNCTION("REGEXEXTRACT(A1855, ""/(\w+)-.*?"")"),"lieu")</f>
        <v>lieu</v>
      </c>
      <c r="I1855" s="4" t="str">
        <f>IFERROR(__xludf.DUMMYFUNCTION("if(D1855=""variant"",  substitute(filter(Templates!E:E, Templates!A:A = F1855, Templates!B:B = G1855, Templates!C:C = H1855), ""{{}}"", E1855), B1855)"),"🏘  Vous cherchez un appartement à louer à Balerna? ✅ Les annonces les plus actuelles sont sur ImmoScout24.ch.")</f>
        <v>🏘  Vous cherchez un appartement à louer à Balerna? ✅ Les annonces les plus actuelles sont sur ImmoScout24.ch.</v>
      </c>
      <c r="J1855" s="4" t="s">
        <v>5565</v>
      </c>
    </row>
    <row r="1856">
      <c r="A1856" s="5" t="s">
        <v>5566</v>
      </c>
      <c r="B1856" s="2" t="s">
        <v>5567</v>
      </c>
      <c r="C1856" s="4" t="str">
        <f>IFERROR(__xludf.DUMMYFUNCTION("""🏘️ ""&amp;REGEXEXTRACT(B1856, ""^(.*): "")&amp;"" ✅ "" &amp;REGEXEXTRACT(B1856, ""(Trouvez.*)"")"),"🏘️ Vendre maison Naters ✅ Trouvez le bien immobilier qui correspond idéalement à vos désirs sur ImmoScout24 - La plateforme de l'immobilier en Suisse.")</f>
        <v>🏘️ Vendre maison Naters ✅ Trouvez le bien immobilier qui correspond idéalement à vos désirs sur ImmoScout24 - La plateforme de l'immobilier en Suisse.</v>
      </c>
      <c r="D1856" s="4" t="str">
        <f>vlookup(A1856, Sheet2!D:E, 2, 0)</f>
        <v>variant</v>
      </c>
      <c r="E1856" s="4" t="str">
        <f>IFERROR(__xludf.DUMMYFUNCTION("if(H1856=""pays"",vlookup(REGEXEXTRACT(C1856, ""🏘️ \w+ \w+ (.*) ✅""),'Country prepositions'!A:B, 2, 0) &amp; "" "" &amp; REGEXEXTRACT(C1856, ""🏘️ \w+ \w+ (.*) ✅"") ,  if(H1856=""quartier"",vlookup(REGEXEXTRACT(C1856, ""🏘️ \w+ \w+ (.*) ✅""),'Quartier prepositio"&amp;"ns'!A:E, 5, 0) ,  if(H1856=""region"",vlookup(REGEXEXTRACT(C1856, ""🏘️ \w+ \w+ (.*) ✅""),'Region prepositions'!B:F, 5, 0),  REGEXEXTRACT(C1856, ""🏘️ \w+ \w+ (.*) ✅""))))"),"Naters")</f>
        <v>Naters</v>
      </c>
      <c r="F1856" s="2" t="str">
        <f>IFERROR(__xludf.DUMMYFUNCTION("REGEXEXTRACT(C1856, ""🏘️ (\w+) \w+ .* ✅"")"),"Vendre")</f>
        <v>Vendre</v>
      </c>
      <c r="G1856" s="2" t="str">
        <f>IFERROR(__xludf.DUMMYFUNCTION("REGEXEXTRACT(C1856, ""🏘️ \w+ (\w+) .* ✅"")"),"maison")</f>
        <v>maison</v>
      </c>
      <c r="H1856" s="4" t="str">
        <f>IFERROR(__xludf.DUMMYFUNCTION("REGEXEXTRACT(A1856, ""/(\w+)-.*?"")"),"lieu")</f>
        <v>lieu</v>
      </c>
      <c r="I1856" s="4" t="str">
        <f>IFERROR(__xludf.DUMMYFUNCTION("if(D1856=""variant"",  substitute(filter(Templates!E:E, Templates!A:A = F1856, Templates!B:B = G1856, Templates!C:C = H1856), ""{{}}"", E1856), B1856)"),"🏘  Vous souhaitez acheter une maison à Naters? ✅ Jetez un œil aux dernières offres sur ImmoScout24.ch.")</f>
        <v>🏘  Vous souhaitez acheter une maison à Naters? ✅ Jetez un œil aux dernières offres sur ImmoScout24.ch.</v>
      </c>
      <c r="J1856" s="4" t="s">
        <v>5568</v>
      </c>
    </row>
    <row r="1857">
      <c r="A1857" s="5" t="s">
        <v>5569</v>
      </c>
      <c r="B1857" s="2" t="s">
        <v>5570</v>
      </c>
      <c r="C1857" s="4" t="str">
        <f>IFERROR(__xludf.DUMMYFUNCTION("""🏘️ ""&amp;REGEXEXTRACT(B1857, ""^(.*): "")&amp;"" ✅ "" &amp;REGEXEXTRACT(B1857, ""(Trouvez.*)"")"),"🏘️ Vendre maison Spreitenbach ✅ Trouvez le bien immobilier qui correspond idéalement à vos désirs sur ImmoScout24 - La plateforme de l'immobilier en Suisse.")</f>
        <v>🏘️ Vendre maison Spreitenbach ✅ Trouvez le bien immobilier qui correspond idéalement à vos désirs sur ImmoScout24 - La plateforme de l'immobilier en Suisse.</v>
      </c>
      <c r="D1857" s="4" t="str">
        <f>vlookup(A1857, Sheet2!D:E, 2, 0)</f>
        <v>variant</v>
      </c>
      <c r="E1857" s="4" t="str">
        <f>IFERROR(__xludf.DUMMYFUNCTION("if(H1857=""pays"",vlookup(REGEXEXTRACT(C1857, ""🏘️ \w+ \w+ (.*) ✅""),'Country prepositions'!A:B, 2, 0) &amp; "" "" &amp; REGEXEXTRACT(C1857, ""🏘️ \w+ \w+ (.*) ✅"") ,  if(H1857=""quartier"",vlookup(REGEXEXTRACT(C1857, ""🏘️ \w+ \w+ (.*) ✅""),'Quartier prepositio"&amp;"ns'!A:E, 5, 0) ,  if(H1857=""region"",vlookup(REGEXEXTRACT(C1857, ""🏘️ \w+ \w+ (.*) ✅""),'Region prepositions'!B:F, 5, 0),  REGEXEXTRACT(C1857, ""🏘️ \w+ \w+ (.*) ✅""))))"),"Spreitenbach")</f>
        <v>Spreitenbach</v>
      </c>
      <c r="F1857" s="2" t="str">
        <f>IFERROR(__xludf.DUMMYFUNCTION("REGEXEXTRACT(C1857, ""🏘️ (\w+) \w+ .* ✅"")"),"Vendre")</f>
        <v>Vendre</v>
      </c>
      <c r="G1857" s="2" t="str">
        <f>IFERROR(__xludf.DUMMYFUNCTION("REGEXEXTRACT(C1857, ""🏘️ \w+ (\w+) .* ✅"")"),"maison")</f>
        <v>maison</v>
      </c>
      <c r="H1857" s="4" t="str">
        <f>IFERROR(__xludf.DUMMYFUNCTION("REGEXEXTRACT(A1857, ""/(\w+)-.*?"")"),"lieu")</f>
        <v>lieu</v>
      </c>
      <c r="I1857" s="4" t="str">
        <f>IFERROR(__xludf.DUMMYFUNCTION("if(D1857=""variant"",  substitute(filter(Templates!E:E, Templates!A:A = F1857, Templates!B:B = G1857, Templates!C:C = H1857), ""{{}}"", E1857), B1857)"),"🏘  Vous souhaitez acheter une maison à Spreitenbach? ✅ Jetez un œil aux dernières offres sur ImmoScout24.ch.")</f>
        <v>🏘  Vous souhaitez acheter une maison à Spreitenbach? ✅ Jetez un œil aux dernières offres sur ImmoScout24.ch.</v>
      </c>
      <c r="J1857" s="4" t="s">
        <v>5571</v>
      </c>
    </row>
    <row r="1858">
      <c r="A1858" s="5" t="s">
        <v>5572</v>
      </c>
      <c r="B1858" s="2" t="s">
        <v>5573</v>
      </c>
      <c r="C1858" s="4" t="str">
        <f>IFERROR(__xludf.DUMMYFUNCTION("""🏘️ ""&amp;REGEXEXTRACT(B1858, ""^(.*): "")&amp;"" ✅ "" &amp;REGEXEXTRACT(B1858, ""(Trouvez.*)"")"),"🏘️ Vendre maison Les Valettes (Bovernier) ✅ Trouvez le bien immobilier qui correspond idéalement à vos désirs sur ImmoScout24 - La plateforme de l'immobilier en Suisse.")</f>
        <v>🏘️ Vendre maison Les Valettes (Bovernier) ✅ Trouvez le bien immobilier qui correspond idéalement à vos désirs sur ImmoScout24 - La plateforme de l'immobilier en Suisse.</v>
      </c>
      <c r="D1858" s="4" t="str">
        <f>vlookup(A1858, Sheet2!D:E, 2, 0)</f>
        <v>variant</v>
      </c>
      <c r="E1858" s="4" t="str">
        <f>IFERROR(__xludf.DUMMYFUNCTION("if(H1858=""pays"",vlookup(REGEXEXTRACT(C1858, ""🏘️ \w+ \w+ (.*) ✅""),'Country prepositions'!A:B, 2, 0) &amp; "" "" &amp; REGEXEXTRACT(C1858, ""🏘️ \w+ \w+ (.*) ✅"") ,  if(H1858=""quartier"",vlookup(REGEXEXTRACT(C1858, ""🏘️ \w+ \w+ (.*) ✅""),'Quartier prepositio"&amp;"ns'!A:E, 5, 0) ,  if(H1858=""region"",vlookup(REGEXEXTRACT(C1858, ""🏘️ \w+ \w+ (.*) ✅""),'Region prepositions'!B:F, 5, 0),  REGEXEXTRACT(C1858, ""🏘️ \w+ \w+ (.*) ✅""))))"),"Les Valettes (Bovernier)")</f>
        <v>Les Valettes (Bovernier)</v>
      </c>
      <c r="F1858" s="2" t="str">
        <f>IFERROR(__xludf.DUMMYFUNCTION("REGEXEXTRACT(C1858, ""🏘️ (\w+) \w+ .* ✅"")"),"Vendre")</f>
        <v>Vendre</v>
      </c>
      <c r="G1858" s="2" t="str">
        <f>IFERROR(__xludf.DUMMYFUNCTION("REGEXEXTRACT(C1858, ""🏘️ \w+ (\w+) .* ✅"")"),"maison")</f>
        <v>maison</v>
      </c>
      <c r="H1858" s="4" t="str">
        <f>IFERROR(__xludf.DUMMYFUNCTION("REGEXEXTRACT(A1858, ""/(\w+)-.*?"")"),"lieu")</f>
        <v>lieu</v>
      </c>
      <c r="I1858" s="4" t="str">
        <f>IFERROR(__xludf.DUMMYFUNCTION("if(D1858=""variant"",  substitute(filter(Templates!E:E, Templates!A:A = F1858, Templates!B:B = G1858, Templates!C:C = H1858), ""{{}}"", E1858), B1858)"),"🏘  Vous souhaitez acheter une maison à Les Valettes (Bovernier)? ✅ Jetez un œil aux dernières offres sur ImmoScout24.ch.")</f>
        <v>🏘  Vous souhaitez acheter une maison à Les Valettes (Bovernier)? ✅ Jetez un œil aux dernières offres sur ImmoScout24.ch.</v>
      </c>
      <c r="J1858" s="2" t="s">
        <v>5574</v>
      </c>
    </row>
    <row r="1859">
      <c r="A1859" s="5" t="s">
        <v>5575</v>
      </c>
      <c r="B1859" s="2" t="s">
        <v>5576</v>
      </c>
      <c r="C1859" s="4" t="str">
        <f>IFERROR(__xludf.DUMMYFUNCTION("""🏘️ ""&amp;REGEXEXTRACT(B1859, ""^(.*): "")&amp;"" ✅ "" &amp;REGEXEXTRACT(B1859, ""(Trouvez.*)"")"),"🏘️ Vendre appartement Vernamiège ✅ Trouvez le bien immobilier qui correspond idéalement à vos désirs sur ImmoScout24 - La plateforme de l'immobilier en Suisse.")</f>
        <v>🏘️ Vendre appartement Vernamiège ✅ Trouvez le bien immobilier qui correspond idéalement à vos désirs sur ImmoScout24 - La plateforme de l'immobilier en Suisse.</v>
      </c>
      <c r="D1859" s="4" t="str">
        <f>vlookup(A1859, Sheet2!D:E, 2, 0)</f>
        <v>variant</v>
      </c>
      <c r="E1859" s="4" t="str">
        <f>IFERROR(__xludf.DUMMYFUNCTION("if(H1859=""pays"",vlookup(REGEXEXTRACT(C1859, ""🏘️ \w+ \w+ (.*) ✅""),'Country prepositions'!A:B, 2, 0) &amp; "" "" &amp; REGEXEXTRACT(C1859, ""🏘️ \w+ \w+ (.*) ✅"") ,  if(H1859=""quartier"",vlookup(REGEXEXTRACT(C1859, ""🏘️ \w+ \w+ (.*) ✅""),'Quartier prepositio"&amp;"ns'!A:E, 5, 0) ,  if(H1859=""region"",vlookup(REGEXEXTRACT(C1859, ""🏘️ \w+ \w+ (.*) ✅""),'Region prepositions'!B:F, 5, 0),  REGEXEXTRACT(C1859, ""🏘️ \w+ \w+ (.*) ✅""))))"),"Vernamiège")</f>
        <v>Vernamiège</v>
      </c>
      <c r="F1859" s="2" t="str">
        <f>IFERROR(__xludf.DUMMYFUNCTION("REGEXEXTRACT(C1859, ""🏘️ (\w+) \w+ .* ✅"")"),"Vendre")</f>
        <v>Vendre</v>
      </c>
      <c r="G1859" s="2" t="str">
        <f>IFERROR(__xludf.DUMMYFUNCTION("REGEXEXTRACT(C1859, ""🏘️ \w+ (\w+) .* ✅"")"),"appartement")</f>
        <v>appartement</v>
      </c>
      <c r="H1859" s="4" t="str">
        <f>IFERROR(__xludf.DUMMYFUNCTION("REGEXEXTRACT(A1859, ""/(\w+)-.*?"")"),"lieu")</f>
        <v>lieu</v>
      </c>
      <c r="I1859" s="4" t="str">
        <f>IFERROR(__xludf.DUMMYFUNCTION("if(D1859=""variant"",  substitute(filter(Templates!E:E, Templates!A:A = F1859, Templates!B:B = G1859, Templates!C:C = H1859), ""{{}}"", E1859), B1859)"),"🏘  L’appartement de vos rêves se trouve sur ImmoScout24.ch ✅ Découvrez les dernières annonces de vente à Vernamiège.")</f>
        <v>🏘  L’appartement de vos rêves se trouve sur ImmoScout24.ch ✅ Découvrez les dernières annonces de vente à Vernamiège.</v>
      </c>
      <c r="J1859" s="4" t="s">
        <v>5577</v>
      </c>
    </row>
    <row r="1860">
      <c r="A1860" s="5" t="s">
        <v>5578</v>
      </c>
      <c r="B1860" s="2" t="s">
        <v>5579</v>
      </c>
      <c r="C1860" s="4" t="str">
        <f>IFERROR(__xludf.DUMMYFUNCTION("""🏘️ ""&amp;REGEXEXTRACT(B1860, ""^(.*): "")&amp;"" ✅ "" &amp;REGEXEXTRACT(B1860, ""(Trouvez.*)"")"),"🏘️ Louer appartement Canton de Turgovie ✅ Trouvez le bien immobilier qui correspond idéalement à vos désirs sur ImmoScout24 - La plateforme de l'immobilier en Suisse.")</f>
        <v>🏘️ Louer appartement Canton de Turgovie ✅ Trouvez le bien immobilier qui correspond idéalement à vos désirs sur ImmoScout24 - La plateforme de l'immobilier en Suisse.</v>
      </c>
      <c r="D1860" s="4" t="str">
        <f>vlookup(A1860, Sheet2!D:E, 2, 0)</f>
        <v>variant</v>
      </c>
      <c r="E1860" s="4" t="str">
        <f>IFERROR(__xludf.DUMMYFUNCTION("if(H1860=""pays"",vlookup(REGEXEXTRACT(C1860, ""🏘️ \w+ \w+ (.*) ✅""),'Country prepositions'!A:B, 2, 0) &amp; "" "" &amp; REGEXEXTRACT(C1860, ""🏘️ \w+ \w+ (.*) ✅"") ,  if(H1860=""quartier"",vlookup(REGEXEXTRACT(C1860, ""🏘️ \w+ \w+ (.*) ✅""),'Quartier prepositio"&amp;"ns'!A:E, 5, 0) ,  if(H1860=""region"",vlookup(REGEXEXTRACT(C1860, ""🏘️ \w+ \w+ (.*) ✅""),'Region prepositions'!B:F, 5, 0),  REGEXEXTRACT(C1860, ""🏘️ \w+ \w+ (.*) ✅""))))"),"Canton de Turgovie")</f>
        <v>Canton de Turgovie</v>
      </c>
      <c r="F1860" s="2" t="str">
        <f>IFERROR(__xludf.DUMMYFUNCTION("REGEXEXTRACT(C1860, ""🏘️ (\w+) \w+ .* ✅"")"),"Louer")</f>
        <v>Louer</v>
      </c>
      <c r="G1860" s="2" t="str">
        <f>IFERROR(__xludf.DUMMYFUNCTION("REGEXEXTRACT(C1860, ""🏘️ \w+ (\w+) .* ✅"")"),"appartement")</f>
        <v>appartement</v>
      </c>
      <c r="H1860" s="4" t="str">
        <f>IFERROR(__xludf.DUMMYFUNCTION("REGEXEXTRACT(A1860, ""/(\w+)-.*?"")"),"canton")</f>
        <v>canton</v>
      </c>
      <c r="I1860" s="4" t="str">
        <f>IFERROR(__xludf.DUMMYFUNCTION("if(D1860=""variant"",  substitute(filter(Templates!E:E, Templates!A:A = F1860, Templates!B:B = G1860, Templates!C:C = H1860), ""{{}}"", E1860), B1860)"),"🏘  Vous cherchez un appartement à louer dans le Canton de Turgovie? ✅ Les annonces les plus actuelles sont sur ImmoScout24.ch.")</f>
        <v>🏘  Vous cherchez un appartement à louer dans le Canton de Turgovie? ✅ Les annonces les plus actuelles sont sur ImmoScout24.ch.</v>
      </c>
      <c r="J1860" s="4" t="s">
        <v>5580</v>
      </c>
    </row>
    <row r="1861">
      <c r="A1861" s="5" t="s">
        <v>5581</v>
      </c>
      <c r="B1861" s="2" t="s">
        <v>5582</v>
      </c>
      <c r="C1861" s="4" t="str">
        <f>IFERROR(__xludf.DUMMYFUNCTION("""🏘️ ""&amp;REGEXEXTRACT(B1861, ""^(.*): "")&amp;"" ✅ "" &amp;REGEXEXTRACT(B1861, ""(Trouvez.*)"")"),"🏘️ Vendre appartement Evionnaz ✅ Trouvez le bien immobilier qui correspond idéalement à vos désirs sur ImmoScout24 - La plateforme de l'immobilier en Suisse.")</f>
        <v>🏘️ Vendre appartement Evionnaz ✅ Trouvez le bien immobilier qui correspond idéalement à vos désirs sur ImmoScout24 - La plateforme de l'immobilier en Suisse.</v>
      </c>
      <c r="D1861" s="4" t="str">
        <f>vlookup(A1861, Sheet2!D:E, 2, 0)</f>
        <v>variant</v>
      </c>
      <c r="E1861" s="4" t="str">
        <f>IFERROR(__xludf.DUMMYFUNCTION("if(H1861=""pays"",vlookup(REGEXEXTRACT(C1861, ""🏘️ \w+ \w+ (.*) ✅""),'Country prepositions'!A:B, 2, 0) &amp; "" "" &amp; REGEXEXTRACT(C1861, ""🏘️ \w+ \w+ (.*) ✅"") ,  if(H1861=""quartier"",vlookup(REGEXEXTRACT(C1861, ""🏘️ \w+ \w+ (.*) ✅""),'Quartier prepositio"&amp;"ns'!A:E, 5, 0) ,  if(H1861=""region"",vlookup(REGEXEXTRACT(C1861, ""🏘️ \w+ \w+ (.*) ✅""),'Region prepositions'!B:F, 5, 0),  REGEXEXTRACT(C1861, ""🏘️ \w+ \w+ (.*) ✅""))))"),"Evionnaz")</f>
        <v>Evionnaz</v>
      </c>
      <c r="F1861" s="2" t="str">
        <f>IFERROR(__xludf.DUMMYFUNCTION("REGEXEXTRACT(C1861, ""🏘️ (\w+) \w+ .* ✅"")"),"Vendre")</f>
        <v>Vendre</v>
      </c>
      <c r="G1861" s="2" t="str">
        <f>IFERROR(__xludf.DUMMYFUNCTION("REGEXEXTRACT(C1861, ""🏘️ \w+ (\w+) .* ✅"")"),"appartement")</f>
        <v>appartement</v>
      </c>
      <c r="H1861" s="4" t="str">
        <f>IFERROR(__xludf.DUMMYFUNCTION("REGEXEXTRACT(A1861, ""/(\w+)-.*?"")"),"lieu")</f>
        <v>lieu</v>
      </c>
      <c r="I1861" s="4" t="str">
        <f>IFERROR(__xludf.DUMMYFUNCTION("if(D1861=""variant"",  substitute(filter(Templates!E:E, Templates!A:A = F1861, Templates!B:B = G1861, Templates!C:C = H1861), ""{{}}"", E1861), B1861)"),"🏘  L’appartement de vos rêves se trouve sur ImmoScout24.ch ✅ Découvrez les dernières annonces de vente à Evionnaz.")</f>
        <v>🏘  L’appartement de vos rêves se trouve sur ImmoScout24.ch ✅ Découvrez les dernières annonces de vente à Evionnaz.</v>
      </c>
      <c r="J1861" s="4" t="s">
        <v>5583</v>
      </c>
    </row>
    <row r="1862">
      <c r="A1862" s="5" t="s">
        <v>5584</v>
      </c>
      <c r="B1862" s="2" t="s">
        <v>5585</v>
      </c>
      <c r="C1862" s="4" t="str">
        <f>IFERROR(__xludf.DUMMYFUNCTION("""🏘️ ""&amp;REGEXEXTRACT(B1862, ""^(.*): "")&amp;"" ✅ "" &amp;REGEXEXTRACT(B1862, ""(Trouvez.*)"")"),"🏘️ Vendre maison Secteur forain est (La Chaux-de-Fonds) ✅ Trouvez le bien immobilier qui correspond idéalement à vos désirs sur ImmoScout24 - La plateforme de l'immobilier en Suisse.")</f>
        <v>🏘️ Vendre maison Secteur forain est (La Chaux-de-Fonds) ✅ Trouvez le bien immobilier qui correspond idéalement à vos désirs sur ImmoScout24 - La plateforme de l'immobilier en Suisse.</v>
      </c>
      <c r="D1862" s="4" t="str">
        <f>vlookup(A1862, Sheet2!D:E, 2, 0)</f>
        <v>variant</v>
      </c>
      <c r="E1862" s="4" t="str">
        <f>IFERROR(__xludf.DUMMYFUNCTION("if(H1862=""pays"",vlookup(REGEXEXTRACT(C1862, ""🏘️ \w+ \w+ (.*) ✅""),'Country prepositions'!A:B, 2, 0) &amp; "" "" &amp; REGEXEXTRACT(C1862, ""🏘️ \w+ \w+ (.*) ✅"") ,  if(H1862=""quartier"",vlookup(REGEXEXTRACT(C1862, ""🏘️ \w+ \w+ (.*) ✅""),'Quartier prepositio"&amp;"ns'!A:E, 5, 0) ,  if(H1862=""region"",vlookup(REGEXEXTRACT(C1862, ""🏘️ \w+ \w+ (.*) ✅""),'Region prepositions'!B:F, 5, 0),  REGEXEXTRACT(C1862, ""🏘️ \w+ \w+ (.*) ✅""))))"),"dans le Secteur forain est (La Chaux-de-Fonds)")</f>
        <v>dans le Secteur forain est (La Chaux-de-Fonds)</v>
      </c>
      <c r="F1862" s="2" t="str">
        <f>IFERROR(__xludf.DUMMYFUNCTION("REGEXEXTRACT(C1862, ""🏘️ (\w+) \w+ .* ✅"")"),"Vendre")</f>
        <v>Vendre</v>
      </c>
      <c r="G1862" s="2" t="str">
        <f>IFERROR(__xludf.DUMMYFUNCTION("REGEXEXTRACT(C1862, ""🏘️ \w+ (\w+) .* ✅"")"),"maison")</f>
        <v>maison</v>
      </c>
      <c r="H1862" s="4" t="str">
        <f>IFERROR(__xludf.DUMMYFUNCTION("REGEXEXTRACT(A1862, ""/(\w+)-.*?"")"),"quartier")</f>
        <v>quartier</v>
      </c>
      <c r="I1862" s="4" t="str">
        <f>IFERROR(__xludf.DUMMYFUNCTION("if(D1862=""variant"",  substitute(filter(Templates!E:E, Templates!A:A = F1862, Templates!B:B = G1862, Templates!C:C = H1862), ""{{}}"", E1862), B1862)"),"🏘  Vous souhaitez acheter une maison dans le Secteur forain est (La Chaux-de-Fonds)? ✅ Jetez un œil aux dernières offres sur ImmoScout24.ch.")</f>
        <v>🏘  Vous souhaitez acheter une maison dans le Secteur forain est (La Chaux-de-Fonds)? ✅ Jetez un œil aux dernières offres sur ImmoScout24.ch.</v>
      </c>
      <c r="J1862" s="4" t="s">
        <v>5586</v>
      </c>
    </row>
    <row r="1863">
      <c r="A1863" s="5" t="s">
        <v>5587</v>
      </c>
      <c r="B1863" s="2" t="s">
        <v>5588</v>
      </c>
      <c r="C1863" s="4" t="str">
        <f>IFERROR(__xludf.DUMMYFUNCTION("""🏘️ ""&amp;REGEXEXTRACT(B1863, ""^(.*): "")&amp;"" ✅ "" &amp;REGEXEXTRACT(B1863, ""(Trouvez.*)"")"),"🏘️ Louer appartement Maur ✅ Trouvez le bien immobilier qui correspond idéalement à vos désirs sur ImmoScout24 - La plateforme de l'immobilier en Suisse.")</f>
        <v>🏘️ Louer appartement Maur ✅ Trouvez le bien immobilier qui correspond idéalement à vos désirs sur ImmoScout24 - La plateforme de l'immobilier en Suisse.</v>
      </c>
      <c r="D1863" s="4" t="str">
        <f>vlookup(A1863, Sheet2!D:E, 2, 0)</f>
        <v>variant</v>
      </c>
      <c r="E1863" s="4" t="str">
        <f>IFERROR(__xludf.DUMMYFUNCTION("if(H1863=""pays"",vlookup(REGEXEXTRACT(C1863, ""🏘️ \w+ \w+ (.*) ✅""),'Country prepositions'!A:B, 2, 0) &amp; "" "" &amp; REGEXEXTRACT(C1863, ""🏘️ \w+ \w+ (.*) ✅"") ,  if(H1863=""quartier"",vlookup(REGEXEXTRACT(C1863, ""🏘️ \w+ \w+ (.*) ✅""),'Quartier prepositio"&amp;"ns'!A:E, 5, 0) ,  if(H1863=""region"",vlookup(REGEXEXTRACT(C1863, ""🏘️ \w+ \w+ (.*) ✅""),'Region prepositions'!B:F, 5, 0),  REGEXEXTRACT(C1863, ""🏘️ \w+ \w+ (.*) ✅""))))"),"Maur")</f>
        <v>Maur</v>
      </c>
      <c r="F1863" s="2" t="str">
        <f>IFERROR(__xludf.DUMMYFUNCTION("REGEXEXTRACT(C1863, ""🏘️ (\w+) \w+ .* ✅"")"),"Louer")</f>
        <v>Louer</v>
      </c>
      <c r="G1863" s="2" t="str">
        <f>IFERROR(__xludf.DUMMYFUNCTION("REGEXEXTRACT(C1863, ""🏘️ \w+ (\w+) .* ✅"")"),"appartement")</f>
        <v>appartement</v>
      </c>
      <c r="H1863" s="4" t="str">
        <f>IFERROR(__xludf.DUMMYFUNCTION("REGEXEXTRACT(A1863, ""/(\w+)-.*?"")"),"lieu")</f>
        <v>lieu</v>
      </c>
      <c r="I1863" s="4" t="str">
        <f>IFERROR(__xludf.DUMMYFUNCTION("if(D1863=""variant"",  substitute(filter(Templates!E:E, Templates!A:A = F1863, Templates!B:B = G1863, Templates!C:C = H1863), ""{{}}"", E1863), B1863)"),"🏘  Vous cherchez un appartement à louer à Maur? ✅ Les annonces les plus actuelles sont sur ImmoScout24.ch.")</f>
        <v>🏘  Vous cherchez un appartement à louer à Maur? ✅ Les annonces les plus actuelles sont sur ImmoScout24.ch.</v>
      </c>
      <c r="J1863" s="4" t="s">
        <v>5589</v>
      </c>
    </row>
    <row r="1864">
      <c r="A1864" s="5" t="s">
        <v>5590</v>
      </c>
      <c r="B1864" s="2" t="s">
        <v>5591</v>
      </c>
      <c r="C1864" s="4" t="str">
        <f>IFERROR(__xludf.DUMMYFUNCTION("""🏘️ ""&amp;REGEXEXTRACT(B1864, ""^(.*): "")&amp;"" ✅ "" &amp;REGEXEXTRACT(B1864, ""(Trouvez.*)"")"),"🏘️ Vendre appartement Lugano ✅ Trouvez le bien immobilier qui correspond idéalement à vos désirs sur ImmoScout24 - La plateforme de l'immobilier en Suisse.")</f>
        <v>🏘️ Vendre appartement Lugano ✅ Trouvez le bien immobilier qui correspond idéalement à vos désirs sur ImmoScout24 - La plateforme de l'immobilier en Suisse.</v>
      </c>
      <c r="D1864" s="4" t="str">
        <f>vlookup(A1864, Sheet2!D:E, 2, 0)</f>
        <v>variant</v>
      </c>
      <c r="E1864" s="4" t="str">
        <f>IFERROR(__xludf.DUMMYFUNCTION("if(H1864=""pays"",vlookup(REGEXEXTRACT(C1864, ""🏘️ \w+ \w+ (.*) ✅""),'Country prepositions'!A:B, 2, 0) &amp; "" "" &amp; REGEXEXTRACT(C1864, ""🏘️ \w+ \w+ (.*) ✅"") ,  if(H1864=""quartier"",vlookup(REGEXEXTRACT(C1864, ""🏘️ \w+ \w+ (.*) ✅""),'Quartier prepositio"&amp;"ns'!A:E, 5, 0) ,  if(H1864=""region"",vlookup(REGEXEXTRACT(C1864, ""🏘️ \w+ \w+ (.*) ✅""),'Region prepositions'!B:F, 5, 0),  REGEXEXTRACT(C1864, ""🏘️ \w+ \w+ (.*) ✅""))))"),"Lugano")</f>
        <v>Lugano</v>
      </c>
      <c r="F1864" s="2" t="str">
        <f>IFERROR(__xludf.DUMMYFUNCTION("REGEXEXTRACT(C1864, ""🏘️ (\w+) \w+ .* ✅"")"),"Vendre")</f>
        <v>Vendre</v>
      </c>
      <c r="G1864" s="2" t="str">
        <f>IFERROR(__xludf.DUMMYFUNCTION("REGEXEXTRACT(C1864, ""🏘️ \w+ (\w+) .* ✅"")"),"appartement")</f>
        <v>appartement</v>
      </c>
      <c r="H1864" s="4" t="str">
        <f>IFERROR(__xludf.DUMMYFUNCTION("REGEXEXTRACT(A1864, ""/(\w+)-.*?"")"),"lieu")</f>
        <v>lieu</v>
      </c>
      <c r="I1864" s="4" t="str">
        <f>IFERROR(__xludf.DUMMYFUNCTION("if(D1864=""variant"",  substitute(filter(Templates!E:E, Templates!A:A = F1864, Templates!B:B = G1864, Templates!C:C = H1864), ""{{}}"", E1864), B1864)"),"🏘  L’appartement de vos rêves se trouve sur ImmoScout24.ch ✅ Découvrez les dernières annonces de vente à Lugano.")</f>
        <v>🏘  L’appartement de vos rêves se trouve sur ImmoScout24.ch ✅ Découvrez les dernières annonces de vente à Lugano.</v>
      </c>
      <c r="J1864" s="4" t="s">
        <v>5592</v>
      </c>
    </row>
    <row r="1865">
      <c r="A1865" s="5" t="s">
        <v>5593</v>
      </c>
      <c r="B1865" s="2" t="s">
        <v>5594</v>
      </c>
      <c r="C1865" s="4" t="str">
        <f>IFERROR(__xludf.DUMMYFUNCTION("""🏘️ ""&amp;REGEXEXTRACT(B1865, ""^(.*): "")&amp;"" ✅ "" &amp;REGEXEXTRACT(B1865, ""(Trouvez.*)"")"),"🏘️ Louer appartement Koppigen ✅ Trouvez le bien immobilier qui correspond idéalement à vos désirs sur ImmoScout24 - La plateforme de l'immobilier en Suisse.")</f>
        <v>🏘️ Louer appartement Koppigen ✅ Trouvez le bien immobilier qui correspond idéalement à vos désirs sur ImmoScout24 - La plateforme de l'immobilier en Suisse.</v>
      </c>
      <c r="D1865" s="4" t="str">
        <f>vlookup(A1865, Sheet2!D:E, 2, 0)</f>
        <v>variant</v>
      </c>
      <c r="E1865" s="4" t="str">
        <f>IFERROR(__xludf.DUMMYFUNCTION("if(H1865=""pays"",vlookup(REGEXEXTRACT(C1865, ""🏘️ \w+ \w+ (.*) ✅""),'Country prepositions'!A:B, 2, 0) &amp; "" "" &amp; REGEXEXTRACT(C1865, ""🏘️ \w+ \w+ (.*) ✅"") ,  if(H1865=""quartier"",vlookup(REGEXEXTRACT(C1865, ""🏘️ \w+ \w+ (.*) ✅""),'Quartier prepositio"&amp;"ns'!A:E, 5, 0) ,  if(H1865=""region"",vlookup(REGEXEXTRACT(C1865, ""🏘️ \w+ \w+ (.*) ✅""),'Region prepositions'!B:F, 5, 0),  REGEXEXTRACT(C1865, ""🏘️ \w+ \w+ (.*) ✅""))))"),"Koppigen")</f>
        <v>Koppigen</v>
      </c>
      <c r="F1865" s="2" t="str">
        <f>IFERROR(__xludf.DUMMYFUNCTION("REGEXEXTRACT(C1865, ""🏘️ (\w+) \w+ .* ✅"")"),"Louer")</f>
        <v>Louer</v>
      </c>
      <c r="G1865" s="2" t="str">
        <f>IFERROR(__xludf.DUMMYFUNCTION("REGEXEXTRACT(C1865, ""🏘️ \w+ (\w+) .* ✅"")"),"appartement")</f>
        <v>appartement</v>
      </c>
      <c r="H1865" s="4" t="str">
        <f>IFERROR(__xludf.DUMMYFUNCTION("REGEXEXTRACT(A1865, ""/(\w+)-.*?"")"),"lieu")</f>
        <v>lieu</v>
      </c>
      <c r="I1865" s="4" t="str">
        <f>IFERROR(__xludf.DUMMYFUNCTION("if(D1865=""variant"",  substitute(filter(Templates!E:E, Templates!A:A = F1865, Templates!B:B = G1865, Templates!C:C = H1865), ""{{}}"", E1865), B1865)"),"🏘  Vous cherchez un appartement à louer à Koppigen? ✅ Les annonces les plus actuelles sont sur ImmoScout24.ch.")</f>
        <v>🏘  Vous cherchez un appartement à louer à Koppigen? ✅ Les annonces les plus actuelles sont sur ImmoScout24.ch.</v>
      </c>
      <c r="J1865" s="4" t="s">
        <v>5595</v>
      </c>
    </row>
    <row r="1866">
      <c r="A1866" s="5" t="s">
        <v>5596</v>
      </c>
      <c r="B1866" s="2" t="s">
        <v>5597</v>
      </c>
      <c r="C1866" s="4" t="str">
        <f>IFERROR(__xludf.DUMMYFUNCTION("""🏘️ ""&amp;REGEXEXTRACT(B1866, ""^(.*): "")&amp;"" ✅ "" &amp;REGEXEXTRACT(B1866, ""(Trouvez.*)"")"),"🏘️ Vendre appartement Vira (Gambarogno) ✅ Trouvez le bien immobilier qui correspond idéalement à vos désirs sur ImmoScout24 - La plateforme de l'immobilier en Suisse.")</f>
        <v>🏘️ Vendre appartement Vira (Gambarogno) ✅ Trouvez le bien immobilier qui correspond idéalement à vos désirs sur ImmoScout24 - La plateforme de l'immobilier en Suisse.</v>
      </c>
      <c r="D1866" s="4" t="str">
        <f>vlookup(A1866, Sheet2!D:E, 2, 0)</f>
        <v>variant</v>
      </c>
      <c r="E1866" s="4" t="str">
        <f>IFERROR(__xludf.DUMMYFUNCTION("if(H1866=""pays"",vlookup(REGEXEXTRACT(C1866, ""🏘️ \w+ \w+ (.*) ✅""),'Country prepositions'!A:B, 2, 0) &amp; "" "" &amp; REGEXEXTRACT(C1866, ""🏘️ \w+ \w+ (.*) ✅"") ,  if(H1866=""quartier"",vlookup(REGEXEXTRACT(C1866, ""🏘️ \w+ \w+ (.*) ✅""),'Quartier prepositio"&amp;"ns'!A:E, 5, 0) ,  if(H1866=""region"",vlookup(REGEXEXTRACT(C1866, ""🏘️ \w+ \w+ (.*) ✅""),'Region prepositions'!B:F, 5, 0),  REGEXEXTRACT(C1866, ""🏘️ \w+ \w+ (.*) ✅""))))"),"Vira (Gambarogno)")</f>
        <v>Vira (Gambarogno)</v>
      </c>
      <c r="F1866" s="2" t="str">
        <f>IFERROR(__xludf.DUMMYFUNCTION("REGEXEXTRACT(C1866, ""🏘️ (\w+) \w+ .* ✅"")"),"Vendre")</f>
        <v>Vendre</v>
      </c>
      <c r="G1866" s="2" t="str">
        <f>IFERROR(__xludf.DUMMYFUNCTION("REGEXEXTRACT(C1866, ""🏘️ \w+ (\w+) .* ✅"")"),"appartement")</f>
        <v>appartement</v>
      </c>
      <c r="H1866" s="4" t="str">
        <f>IFERROR(__xludf.DUMMYFUNCTION("REGEXEXTRACT(A1866, ""/(\w+)-.*?"")"),"lieu")</f>
        <v>lieu</v>
      </c>
      <c r="I1866" s="4" t="str">
        <f>IFERROR(__xludf.DUMMYFUNCTION("if(D1866=""variant"",  substitute(filter(Templates!E:E, Templates!A:A = F1866, Templates!B:B = G1866, Templates!C:C = H1866), ""{{}}"", E1866), B1866)"),"🏘  L’appartement de vos rêves se trouve sur ImmoScout24.ch ✅ Découvrez les dernières annonces de vente à Vira (Gambarogno).")</f>
        <v>🏘  L’appartement de vos rêves se trouve sur ImmoScout24.ch ✅ Découvrez les dernières annonces de vente à Vira (Gambarogno).</v>
      </c>
      <c r="J1866" s="4" t="s">
        <v>5598</v>
      </c>
    </row>
    <row r="1867">
      <c r="A1867" s="5" t="s">
        <v>5599</v>
      </c>
      <c r="B1867" s="2" t="s">
        <v>5600</v>
      </c>
      <c r="C1867" s="4" t="str">
        <f>IFERROR(__xludf.DUMMYFUNCTION("""🏘️ ""&amp;REGEXEXTRACT(B1867, ""^(.*): "")&amp;"" ✅ "" &amp;REGEXEXTRACT(B1867, ""(Trouvez.*)"")"),"🏘️ Vendre appartement Beuson (Nendaz) ✅ Trouvez le bien immobilier qui correspond idéalement à vos désirs sur ImmoScout24 - La plateforme de l'immobilier en Suisse.")</f>
        <v>🏘️ Vendre appartement Beuson (Nendaz) ✅ Trouvez le bien immobilier qui correspond idéalement à vos désirs sur ImmoScout24 - La plateforme de l'immobilier en Suisse.</v>
      </c>
      <c r="D1867" s="4" t="str">
        <f>vlookup(A1867, Sheet2!D:E, 2, 0)</f>
        <v>variant</v>
      </c>
      <c r="E1867" s="4" t="str">
        <f>IFERROR(__xludf.DUMMYFUNCTION("if(H1867=""pays"",vlookup(REGEXEXTRACT(C1867, ""🏘️ \w+ \w+ (.*) ✅""),'Country prepositions'!A:B, 2, 0) &amp; "" "" &amp; REGEXEXTRACT(C1867, ""🏘️ \w+ \w+ (.*) ✅"") ,  if(H1867=""quartier"",vlookup(REGEXEXTRACT(C1867, ""🏘️ \w+ \w+ (.*) ✅""),'Quartier prepositio"&amp;"ns'!A:E, 5, 0) ,  if(H1867=""region"",vlookup(REGEXEXTRACT(C1867, ""🏘️ \w+ \w+ (.*) ✅""),'Region prepositions'!B:F, 5, 0),  REGEXEXTRACT(C1867, ""🏘️ \w+ \w+ (.*) ✅""))))"),"Beuson (Nendaz)")</f>
        <v>Beuson (Nendaz)</v>
      </c>
      <c r="F1867" s="2" t="str">
        <f>IFERROR(__xludf.DUMMYFUNCTION("REGEXEXTRACT(C1867, ""🏘️ (\w+) \w+ .* ✅"")"),"Vendre")</f>
        <v>Vendre</v>
      </c>
      <c r="G1867" s="2" t="str">
        <f>IFERROR(__xludf.DUMMYFUNCTION("REGEXEXTRACT(C1867, ""🏘️ \w+ (\w+) .* ✅"")"),"appartement")</f>
        <v>appartement</v>
      </c>
      <c r="H1867" s="4" t="str">
        <f>IFERROR(__xludf.DUMMYFUNCTION("REGEXEXTRACT(A1867, ""/(\w+)-.*?"")"),"lieu")</f>
        <v>lieu</v>
      </c>
      <c r="I1867" s="4" t="str">
        <f>IFERROR(__xludf.DUMMYFUNCTION("if(D1867=""variant"",  substitute(filter(Templates!E:E, Templates!A:A = F1867, Templates!B:B = G1867, Templates!C:C = H1867), ""{{}}"", E1867), B1867)"),"🏘  L’appartement de vos rêves se trouve sur ImmoScout24.ch ✅ Découvrez les dernières annonces de vente à Beuson (Nendaz).")</f>
        <v>🏘  L’appartement de vos rêves se trouve sur ImmoScout24.ch ✅ Découvrez les dernières annonces de vente à Beuson (Nendaz).</v>
      </c>
      <c r="J1867" s="4" t="s">
        <v>5601</v>
      </c>
    </row>
    <row r="1868">
      <c r="A1868" s="5" t="s">
        <v>5602</v>
      </c>
      <c r="B1868" s="2" t="s">
        <v>5603</v>
      </c>
      <c r="C1868" s="4" t="str">
        <f>IFERROR(__xludf.DUMMYFUNCTION("""🏘️ ""&amp;REGEXEXTRACT(B1868, ""^(.*): "")&amp;"" ✅ "" &amp;REGEXEXTRACT(B1868, ""(Trouvez.*)"")"),"🏘️ Vendre maison Plasselb ✅ Trouvez le bien immobilier qui correspond idéalement à vos désirs sur ImmoScout24 - La plateforme de l'immobilier en Suisse.")</f>
        <v>🏘️ Vendre maison Plasselb ✅ Trouvez le bien immobilier qui correspond idéalement à vos désirs sur ImmoScout24 - La plateforme de l'immobilier en Suisse.</v>
      </c>
      <c r="D1868" s="4" t="str">
        <f>vlookup(A1868, Sheet2!D:E, 2, 0)</f>
        <v>variant</v>
      </c>
      <c r="E1868" s="4" t="str">
        <f>IFERROR(__xludf.DUMMYFUNCTION("if(H1868=""pays"",vlookup(REGEXEXTRACT(C1868, ""🏘️ \w+ \w+ (.*) ✅""),'Country prepositions'!A:B, 2, 0) &amp; "" "" &amp; REGEXEXTRACT(C1868, ""🏘️ \w+ \w+ (.*) ✅"") ,  if(H1868=""quartier"",vlookup(REGEXEXTRACT(C1868, ""🏘️ \w+ \w+ (.*) ✅""),'Quartier prepositio"&amp;"ns'!A:E, 5, 0) ,  if(H1868=""region"",vlookup(REGEXEXTRACT(C1868, ""🏘️ \w+ \w+ (.*) ✅""),'Region prepositions'!B:F, 5, 0),  REGEXEXTRACT(C1868, ""🏘️ \w+ \w+ (.*) ✅""))))"),"Plasselb")</f>
        <v>Plasselb</v>
      </c>
      <c r="F1868" s="2" t="str">
        <f>IFERROR(__xludf.DUMMYFUNCTION("REGEXEXTRACT(C1868, ""🏘️ (\w+) \w+ .* ✅"")"),"Vendre")</f>
        <v>Vendre</v>
      </c>
      <c r="G1868" s="2" t="str">
        <f>IFERROR(__xludf.DUMMYFUNCTION("REGEXEXTRACT(C1868, ""🏘️ \w+ (\w+) .* ✅"")"),"maison")</f>
        <v>maison</v>
      </c>
      <c r="H1868" s="4" t="str">
        <f>IFERROR(__xludf.DUMMYFUNCTION("REGEXEXTRACT(A1868, ""/(\w+)-.*?"")"),"lieu")</f>
        <v>lieu</v>
      </c>
      <c r="I1868" s="4" t="str">
        <f>IFERROR(__xludf.DUMMYFUNCTION("if(D1868=""variant"",  substitute(filter(Templates!E:E, Templates!A:A = F1868, Templates!B:B = G1868, Templates!C:C = H1868), ""{{}}"", E1868), B1868)"),"🏘  Vous souhaitez acheter une maison à Plasselb? ✅ Jetez un œil aux dernières offres sur ImmoScout24.ch.")</f>
        <v>🏘  Vous souhaitez acheter une maison à Plasselb? ✅ Jetez un œil aux dernières offres sur ImmoScout24.ch.</v>
      </c>
      <c r="J1868" s="4" t="s">
        <v>5604</v>
      </c>
    </row>
    <row r="1869">
      <c r="A1869" s="5" t="s">
        <v>5605</v>
      </c>
      <c r="B1869" s="2" t="s">
        <v>5606</v>
      </c>
      <c r="C1869" s="4" t="str">
        <f>IFERROR(__xludf.DUMMYFUNCTION("""🏘️ ""&amp;REGEXEXTRACT(B1869, ""^(.*): "")&amp;"" ✅ "" &amp;REGEXEXTRACT(B1869, ""(Trouvez.*)"")"),"🏘️ Vendre maison La Lécherette ✅ Trouvez le bien immobilier qui correspond idéalement à vos désirs sur ImmoScout24 - La plateforme de l'immobilier en Suisse.")</f>
        <v>🏘️ Vendre maison La Lécherette ✅ Trouvez le bien immobilier qui correspond idéalement à vos désirs sur ImmoScout24 - La plateforme de l'immobilier en Suisse.</v>
      </c>
      <c r="D1869" s="4" t="str">
        <f>vlookup(A1869, Sheet2!D:E, 2, 0)</f>
        <v>variant</v>
      </c>
      <c r="E1869" s="4" t="str">
        <f>IFERROR(__xludf.DUMMYFUNCTION("if(H1869=""pays"",vlookup(REGEXEXTRACT(C1869, ""🏘️ \w+ \w+ (.*) ✅""),'Country prepositions'!A:B, 2, 0) &amp; "" "" &amp; REGEXEXTRACT(C1869, ""🏘️ \w+ \w+ (.*) ✅"") ,  if(H1869=""quartier"",vlookup(REGEXEXTRACT(C1869, ""🏘️ \w+ \w+ (.*) ✅""),'Quartier prepositio"&amp;"ns'!A:E, 5, 0) ,  if(H1869=""region"",vlookup(REGEXEXTRACT(C1869, ""🏘️ \w+ \w+ (.*) ✅""),'Region prepositions'!B:F, 5, 0),  REGEXEXTRACT(C1869, ""🏘️ \w+ \w+ (.*) ✅""))))"),"La Lécherette")</f>
        <v>La Lécherette</v>
      </c>
      <c r="F1869" s="2" t="str">
        <f>IFERROR(__xludf.DUMMYFUNCTION("REGEXEXTRACT(C1869, ""🏘️ (\w+) \w+ .* ✅"")"),"Vendre")</f>
        <v>Vendre</v>
      </c>
      <c r="G1869" s="2" t="str">
        <f>IFERROR(__xludf.DUMMYFUNCTION("REGEXEXTRACT(C1869, ""🏘️ \w+ (\w+) .* ✅"")"),"maison")</f>
        <v>maison</v>
      </c>
      <c r="H1869" s="4" t="str">
        <f>IFERROR(__xludf.DUMMYFUNCTION("REGEXEXTRACT(A1869, ""/(\w+)-.*?"")"),"lieu")</f>
        <v>lieu</v>
      </c>
      <c r="I1869" s="4" t="str">
        <f>IFERROR(__xludf.DUMMYFUNCTION("if(D1869=""variant"",  substitute(filter(Templates!E:E, Templates!A:A = F1869, Templates!B:B = G1869, Templates!C:C = H1869), ""{{}}"", E1869), B1869)"),"🏘  Vous souhaitez acheter une maison à La Lécherette? ✅ Jetez un œil aux dernières offres sur ImmoScout24.ch.")</f>
        <v>🏘  Vous souhaitez acheter une maison à La Lécherette? ✅ Jetez un œil aux dernières offres sur ImmoScout24.ch.</v>
      </c>
      <c r="J1869" s="4" t="s">
        <v>5607</v>
      </c>
    </row>
    <row r="1870">
      <c r="A1870" s="5" t="s">
        <v>5608</v>
      </c>
      <c r="B1870" s="2" t="s">
        <v>5609</v>
      </c>
      <c r="C1870" s="4" t="str">
        <f>IFERROR(__xludf.DUMMYFUNCTION("""🏘️ ""&amp;REGEXEXTRACT(B1870, ""^(.*): "")&amp;"" ✅ "" &amp;REGEXEXTRACT(B1870, ""(Trouvez.*)"")"),"🏘️ Louer appartement Grand-Pré - Vermont (Genève) ✅ Trouvez le bien immobilier qui correspond idéalement à vos désirs sur ImmoScout24 - La plateforme de l'immobilier en Suisse.")</f>
        <v>🏘️ Louer appartement Grand-Pré - Vermont (Genève) ✅ Trouvez le bien immobilier qui correspond idéalement à vos désirs sur ImmoScout24 - La plateforme de l'immobilier en Suisse.</v>
      </c>
      <c r="D1870" s="4" t="str">
        <f>vlookup(A1870, Sheet2!D:E, 2, 0)</f>
        <v>variant</v>
      </c>
      <c r="E1870" s="4" t="str">
        <f>IFERROR(__xludf.DUMMYFUNCTION("if(H1870=""pays"",vlookup(REGEXEXTRACT(C1870, ""🏘️ \w+ \w+ (.*) ✅""),'Country prepositions'!A:B, 2, 0) &amp; "" "" &amp; REGEXEXTRACT(C1870, ""🏘️ \w+ \w+ (.*) ✅"") ,  if(H1870=""quartier"",vlookup(REGEXEXTRACT(C1870, ""🏘️ \w+ \w+ (.*) ✅""),'Quartier prepositio"&amp;"ns'!A:E, 5, 0) ,  if(H1870=""region"",vlookup(REGEXEXTRACT(C1870, ""🏘️ \w+ \w+ (.*) ✅""),'Region prepositions'!B:F, 5, 0),  REGEXEXTRACT(C1870, ""🏘️ \w+ \w+ (.*) ✅""))))"),"dans le quartier de Grand-Pré - Vermont (Genève)")</f>
        <v>dans le quartier de Grand-Pré - Vermont (Genève)</v>
      </c>
      <c r="F1870" s="2" t="str">
        <f>IFERROR(__xludf.DUMMYFUNCTION("REGEXEXTRACT(C1870, ""🏘️ (\w+) \w+ .* ✅"")"),"Louer")</f>
        <v>Louer</v>
      </c>
      <c r="G1870" s="2" t="str">
        <f>IFERROR(__xludf.DUMMYFUNCTION("REGEXEXTRACT(C1870, ""🏘️ \w+ (\w+) .* ✅"")"),"appartement")</f>
        <v>appartement</v>
      </c>
      <c r="H1870" s="4" t="str">
        <f>IFERROR(__xludf.DUMMYFUNCTION("REGEXEXTRACT(A1870, ""/(\w+)-.*?"")"),"quartier")</f>
        <v>quartier</v>
      </c>
      <c r="I1870" s="4" t="str">
        <f>IFERROR(__xludf.DUMMYFUNCTION("if(D1870=""variant"",  substitute(filter(Templates!E:E, Templates!A:A = F1870, Templates!B:B = G1870, Templates!C:C = H1870), ""{{}}"", E1870), B1870)"),"🏘  Vous cherchez un appartement à louer dans le quartier de Grand-Pré - Vermont (Genève)? ✅ Les annonces les plus actuelles sont sur ImmoScout24.ch.")</f>
        <v>🏘  Vous cherchez un appartement à louer dans le quartier de Grand-Pré - Vermont (Genève)? ✅ Les annonces les plus actuelles sont sur ImmoScout24.ch.</v>
      </c>
      <c r="J1870" s="4" t="s">
        <v>5610</v>
      </c>
    </row>
    <row r="1871">
      <c r="A1871" s="5" t="s">
        <v>5611</v>
      </c>
      <c r="B1871" s="2" t="s">
        <v>5612</v>
      </c>
      <c r="C1871" s="4" t="str">
        <f>IFERROR(__xludf.DUMMYFUNCTION("""🏘️ ""&amp;REGEXEXTRACT(B1871, ""^(.*): "")&amp;"" ✅ "" &amp;REGEXEXTRACT(B1871, ""(Trouvez.*)"")"),"🏘️ Vendre maison Le Prédame ✅ Trouvez le bien immobilier qui correspond idéalement à vos désirs sur ImmoScout24 - La plateforme de l'immobilier en Suisse.")</f>
        <v>🏘️ Vendre maison Le Prédame ✅ Trouvez le bien immobilier qui correspond idéalement à vos désirs sur ImmoScout24 - La plateforme de l'immobilier en Suisse.</v>
      </c>
      <c r="D1871" s="4" t="str">
        <f>vlookup(A1871, Sheet2!D:E, 2, 0)</f>
        <v>variant</v>
      </c>
      <c r="E1871" s="4" t="str">
        <f>IFERROR(__xludf.DUMMYFUNCTION("if(H1871=""pays"",vlookup(REGEXEXTRACT(C1871, ""🏘️ \w+ \w+ (.*) ✅""),'Country prepositions'!A:B, 2, 0) &amp; "" "" &amp; REGEXEXTRACT(C1871, ""🏘️ \w+ \w+ (.*) ✅"") ,  if(H1871=""quartier"",vlookup(REGEXEXTRACT(C1871, ""🏘️ \w+ \w+ (.*) ✅""),'Quartier prepositio"&amp;"ns'!A:E, 5, 0) ,  if(H1871=""region"",vlookup(REGEXEXTRACT(C1871, ""🏘️ \w+ \w+ (.*) ✅""),'Region prepositions'!B:F, 5, 0),  REGEXEXTRACT(C1871, ""🏘️ \w+ \w+ (.*) ✅""))))"),"Le Prédame")</f>
        <v>Le Prédame</v>
      </c>
      <c r="F1871" s="2" t="str">
        <f>IFERROR(__xludf.DUMMYFUNCTION("REGEXEXTRACT(C1871, ""🏘️ (\w+) \w+ .* ✅"")"),"Vendre")</f>
        <v>Vendre</v>
      </c>
      <c r="G1871" s="2" t="str">
        <f>IFERROR(__xludf.DUMMYFUNCTION("REGEXEXTRACT(C1871, ""🏘️ \w+ (\w+) .* ✅"")"),"maison")</f>
        <v>maison</v>
      </c>
      <c r="H1871" s="4" t="str">
        <f>IFERROR(__xludf.DUMMYFUNCTION("REGEXEXTRACT(A1871, ""/(\w+)-.*?"")"),"lieu")</f>
        <v>lieu</v>
      </c>
      <c r="I1871" s="4" t="str">
        <f>IFERROR(__xludf.DUMMYFUNCTION("if(D1871=""variant"",  substitute(filter(Templates!E:E, Templates!A:A = F1871, Templates!B:B = G1871, Templates!C:C = H1871), ""{{}}"", E1871), B1871)"),"🏘  Vous souhaitez acheter une maison à Le Prédame? ✅ Jetez un œil aux dernières offres sur ImmoScout24.ch.")</f>
        <v>🏘  Vous souhaitez acheter une maison à Le Prédame? ✅ Jetez un œil aux dernières offres sur ImmoScout24.ch.</v>
      </c>
      <c r="J1871" s="2" t="s">
        <v>5613</v>
      </c>
    </row>
    <row r="1872">
      <c r="A1872" s="5" t="s">
        <v>5614</v>
      </c>
      <c r="B1872" s="2" t="s">
        <v>5615</v>
      </c>
      <c r="C1872" s="4" t="str">
        <f>IFERROR(__xludf.DUMMYFUNCTION("""🏘️ ""&amp;REGEXEXTRACT(B1872, ""^(.*): "")&amp;"" ✅ "" &amp;REGEXEXTRACT(B1872, ""(Trouvez.*)"")"),"🏘️ Louer appartement Thierrens ✅ Trouvez le bien immobilier qui correspond idéalement à vos désirs sur ImmoScout24 - La plateforme de l'immobilier en Suisse.")</f>
        <v>🏘️ Louer appartement Thierrens ✅ Trouvez le bien immobilier qui correspond idéalement à vos désirs sur ImmoScout24 - La plateforme de l'immobilier en Suisse.</v>
      </c>
      <c r="D1872" s="4" t="str">
        <f>vlookup(A1872, Sheet2!D:E, 2, 0)</f>
        <v>variant</v>
      </c>
      <c r="E1872" s="4" t="str">
        <f>IFERROR(__xludf.DUMMYFUNCTION("if(H1872=""pays"",vlookup(REGEXEXTRACT(C1872, ""🏘️ \w+ \w+ (.*) ✅""),'Country prepositions'!A:B, 2, 0) &amp; "" "" &amp; REGEXEXTRACT(C1872, ""🏘️ \w+ \w+ (.*) ✅"") ,  if(H1872=""quartier"",vlookup(REGEXEXTRACT(C1872, ""🏘️ \w+ \w+ (.*) ✅""),'Quartier prepositio"&amp;"ns'!A:E, 5, 0) ,  if(H1872=""region"",vlookup(REGEXEXTRACT(C1872, ""🏘️ \w+ \w+ (.*) ✅""),'Region prepositions'!B:F, 5, 0),  REGEXEXTRACT(C1872, ""🏘️ \w+ \w+ (.*) ✅""))))"),"Thierrens")</f>
        <v>Thierrens</v>
      </c>
      <c r="F1872" s="2" t="str">
        <f>IFERROR(__xludf.DUMMYFUNCTION("REGEXEXTRACT(C1872, ""🏘️ (\w+) \w+ .* ✅"")"),"Louer")</f>
        <v>Louer</v>
      </c>
      <c r="G1872" s="2" t="str">
        <f>IFERROR(__xludf.DUMMYFUNCTION("REGEXEXTRACT(C1872, ""🏘️ \w+ (\w+) .* ✅"")"),"appartement")</f>
        <v>appartement</v>
      </c>
      <c r="H1872" s="4" t="str">
        <f>IFERROR(__xludf.DUMMYFUNCTION("REGEXEXTRACT(A1872, ""/(\w+)-.*?"")"),"lieu")</f>
        <v>lieu</v>
      </c>
      <c r="I1872" s="4" t="str">
        <f>IFERROR(__xludf.DUMMYFUNCTION("if(D1872=""variant"",  substitute(filter(Templates!E:E, Templates!A:A = F1872, Templates!B:B = G1872, Templates!C:C = H1872), ""{{}}"", E1872), B1872)"),"🏘  Vous cherchez un appartement à louer à Thierrens? ✅ Les annonces les plus actuelles sont sur ImmoScout24.ch.")</f>
        <v>🏘  Vous cherchez un appartement à louer à Thierrens? ✅ Les annonces les plus actuelles sont sur ImmoScout24.ch.</v>
      </c>
      <c r="J1872" s="4" t="s">
        <v>5616</v>
      </c>
    </row>
    <row r="1873">
      <c r="A1873" s="5" t="s">
        <v>5617</v>
      </c>
      <c r="B1873" s="2" t="s">
        <v>5618</v>
      </c>
      <c r="C1873" s="4" t="str">
        <f>IFERROR(__xludf.DUMMYFUNCTION("""🏘️ ""&amp;REGEXEXTRACT(B1873, ""^(.*): "")&amp;"" ✅ "" &amp;REGEXEXTRACT(B1873, ""(Trouvez.*)"")"),"🏘️ Louer appartement Canton de St. Gall ✅ Trouvez le bien immobilier qui correspond idéalement à vos désirs sur ImmoScout24 - La plateforme de l'immobilier en Suisse.")</f>
        <v>🏘️ Louer appartement Canton de St. Gall ✅ Trouvez le bien immobilier qui correspond idéalement à vos désirs sur ImmoScout24 - La plateforme de l'immobilier en Suisse.</v>
      </c>
      <c r="D1873" s="4" t="str">
        <f>vlookup(A1873, Sheet2!D:E, 2, 0)</f>
        <v>variant</v>
      </c>
      <c r="E1873" s="4" t="str">
        <f>IFERROR(__xludf.DUMMYFUNCTION("if(H1873=""pays"",vlookup(REGEXEXTRACT(C1873, ""🏘️ \w+ \w+ (.*) ✅""),'Country prepositions'!A:B, 2, 0) &amp; "" "" &amp; REGEXEXTRACT(C1873, ""🏘️ \w+ \w+ (.*) ✅"") ,  if(H1873=""quartier"",vlookup(REGEXEXTRACT(C1873, ""🏘️ \w+ \w+ (.*) ✅""),'Quartier prepositio"&amp;"ns'!A:E, 5, 0) ,  if(H1873=""region"",vlookup(REGEXEXTRACT(C1873, ""🏘️ \w+ \w+ (.*) ✅""),'Region prepositions'!B:F, 5, 0),  REGEXEXTRACT(C1873, ""🏘️ \w+ \w+ (.*) ✅""))))"),"Canton de St. Gall")</f>
        <v>Canton de St. Gall</v>
      </c>
      <c r="F1873" s="2" t="str">
        <f>IFERROR(__xludf.DUMMYFUNCTION("REGEXEXTRACT(C1873, ""🏘️ (\w+) \w+ .* ✅"")"),"Louer")</f>
        <v>Louer</v>
      </c>
      <c r="G1873" s="2" t="str">
        <f>IFERROR(__xludf.DUMMYFUNCTION("REGEXEXTRACT(C1873, ""🏘️ \w+ (\w+) .* ✅"")"),"appartement")</f>
        <v>appartement</v>
      </c>
      <c r="H1873" s="4" t="str">
        <f>IFERROR(__xludf.DUMMYFUNCTION("REGEXEXTRACT(A1873, ""/(\w+)-.*?"")"),"canton")</f>
        <v>canton</v>
      </c>
      <c r="I1873" s="4" t="str">
        <f>IFERROR(__xludf.DUMMYFUNCTION("if(D1873=""variant"",  substitute(filter(Templates!E:E, Templates!A:A = F1873, Templates!B:B = G1873, Templates!C:C = H1873), ""{{}}"", E1873), B1873)"),"🏘  Vous cherchez un appartement à louer dans le Canton de St. Gall? ✅ Les annonces les plus actuelles sont sur ImmoScout24.ch.")</f>
        <v>🏘  Vous cherchez un appartement à louer dans le Canton de St. Gall? ✅ Les annonces les plus actuelles sont sur ImmoScout24.ch.</v>
      </c>
      <c r="J1873" s="4" t="s">
        <v>5619</v>
      </c>
    </row>
    <row r="1874">
      <c r="A1874" s="5" t="s">
        <v>5620</v>
      </c>
      <c r="B1874" s="2" t="s">
        <v>5621</v>
      </c>
      <c r="C1874" s="4" t="str">
        <f>IFERROR(__xludf.DUMMYFUNCTION("""🏘️ ""&amp;REGEXEXTRACT(B1874, ""^(.*): "")&amp;"" ✅ "" &amp;REGEXEXTRACT(B1874, ""(Trouvez.*)"")"),"🏘️ Louer appartement Botterens ✅ Trouvez le bien immobilier qui correspond idéalement à vos désirs sur ImmoScout24 - La plateforme de l'immobilier en Suisse.")</f>
        <v>🏘️ Louer appartement Botterens ✅ Trouvez le bien immobilier qui correspond idéalement à vos désirs sur ImmoScout24 - La plateforme de l'immobilier en Suisse.</v>
      </c>
      <c r="D1874" s="4" t="str">
        <f>vlookup(A1874, Sheet2!D:E, 2, 0)</f>
        <v>variant</v>
      </c>
      <c r="E1874" s="4" t="str">
        <f>IFERROR(__xludf.DUMMYFUNCTION("if(H1874=""pays"",vlookup(REGEXEXTRACT(C1874, ""🏘️ \w+ \w+ (.*) ✅""),'Country prepositions'!A:B, 2, 0) &amp; "" "" &amp; REGEXEXTRACT(C1874, ""🏘️ \w+ \w+ (.*) ✅"") ,  if(H1874=""quartier"",vlookup(REGEXEXTRACT(C1874, ""🏘️ \w+ \w+ (.*) ✅""),'Quartier prepositio"&amp;"ns'!A:E, 5, 0) ,  if(H1874=""region"",vlookup(REGEXEXTRACT(C1874, ""🏘️ \w+ \w+ (.*) ✅""),'Region prepositions'!B:F, 5, 0),  REGEXEXTRACT(C1874, ""🏘️ \w+ \w+ (.*) ✅""))))"),"Botterens")</f>
        <v>Botterens</v>
      </c>
      <c r="F1874" s="2" t="str">
        <f>IFERROR(__xludf.DUMMYFUNCTION("REGEXEXTRACT(C1874, ""🏘️ (\w+) \w+ .* ✅"")"),"Louer")</f>
        <v>Louer</v>
      </c>
      <c r="G1874" s="2" t="str">
        <f>IFERROR(__xludf.DUMMYFUNCTION("REGEXEXTRACT(C1874, ""🏘️ \w+ (\w+) .* ✅"")"),"appartement")</f>
        <v>appartement</v>
      </c>
      <c r="H1874" s="4" t="str">
        <f>IFERROR(__xludf.DUMMYFUNCTION("REGEXEXTRACT(A1874, ""/(\w+)-.*?"")"),"lieu")</f>
        <v>lieu</v>
      </c>
      <c r="I1874" s="4" t="str">
        <f>IFERROR(__xludf.DUMMYFUNCTION("if(D1874=""variant"",  substitute(filter(Templates!E:E, Templates!A:A = F1874, Templates!B:B = G1874, Templates!C:C = H1874), ""{{}}"", E1874), B1874)"),"🏘  Vous cherchez un appartement à louer à Botterens? ✅ Les annonces les plus actuelles sont sur ImmoScout24.ch.")</f>
        <v>🏘  Vous cherchez un appartement à louer à Botterens? ✅ Les annonces les plus actuelles sont sur ImmoScout24.ch.</v>
      </c>
      <c r="J1874" s="4" t="s">
        <v>5622</v>
      </c>
    </row>
    <row r="1875">
      <c r="A1875" s="5" t="s">
        <v>5623</v>
      </c>
      <c r="B1875" s="2" t="s">
        <v>5624</v>
      </c>
      <c r="C1875" s="4" t="str">
        <f>IFERROR(__xludf.DUMMYFUNCTION("""🏘️ ""&amp;REGEXEXTRACT(B1875, ""^(.*): "")&amp;"" ✅ "" &amp;REGEXEXTRACT(B1875, ""(Trouvez.*)"")"),"🏘️ Vendre maison Aigle ✅ Trouvez le bien immobilier qui correspond idéalement à vos désirs sur ImmoScout24 - La plateforme de l'immobilier en Suisse.")</f>
        <v>🏘️ Vendre maison Aigle ✅ Trouvez le bien immobilier qui correspond idéalement à vos désirs sur ImmoScout24 - La plateforme de l'immobilier en Suisse.</v>
      </c>
      <c r="D1875" s="4" t="str">
        <f>vlookup(A1875, Sheet2!D:E, 2, 0)</f>
        <v>variant</v>
      </c>
      <c r="E1875" s="4" t="str">
        <f>IFERROR(__xludf.DUMMYFUNCTION("if(H1875=""pays"",vlookup(REGEXEXTRACT(C1875, ""🏘️ \w+ \w+ (.*) ✅""),'Country prepositions'!A:B, 2, 0) &amp; "" "" &amp; REGEXEXTRACT(C1875, ""🏘️ \w+ \w+ (.*) ✅"") ,  if(H1875=""quartier"",vlookup(REGEXEXTRACT(C1875, ""🏘️ \w+ \w+ (.*) ✅""),'Quartier prepositio"&amp;"ns'!A:E, 5, 0) ,  if(H1875=""region"",vlookup(REGEXEXTRACT(C1875, ""🏘️ \w+ \w+ (.*) ✅""),'Region prepositions'!B:F, 5, 0),  REGEXEXTRACT(C1875, ""🏘️ \w+ \w+ (.*) ✅""))))"),"Aigle")</f>
        <v>Aigle</v>
      </c>
      <c r="F1875" s="2" t="str">
        <f>IFERROR(__xludf.DUMMYFUNCTION("REGEXEXTRACT(C1875, ""🏘️ (\w+) \w+ .* ✅"")"),"Vendre")</f>
        <v>Vendre</v>
      </c>
      <c r="G1875" s="2" t="str">
        <f>IFERROR(__xludf.DUMMYFUNCTION("REGEXEXTRACT(C1875, ""🏘️ \w+ (\w+) .* ✅"")"),"maison")</f>
        <v>maison</v>
      </c>
      <c r="H1875" s="4" t="str">
        <f>IFERROR(__xludf.DUMMYFUNCTION("REGEXEXTRACT(A1875, ""/(\w+)-.*?"")"),"lieu")</f>
        <v>lieu</v>
      </c>
      <c r="I1875" s="4" t="str">
        <f>IFERROR(__xludf.DUMMYFUNCTION("if(D1875=""variant"",  substitute(filter(Templates!E:E, Templates!A:A = F1875, Templates!B:B = G1875, Templates!C:C = H1875), ""{{}}"", E1875), B1875)"),"🏘  Vous souhaitez acheter une maison à Aigle? ✅ Jetez un œil aux dernières offres sur ImmoScout24.ch.")</f>
        <v>🏘  Vous souhaitez acheter une maison à Aigle? ✅ Jetez un œil aux dernières offres sur ImmoScout24.ch.</v>
      </c>
      <c r="J1875" s="4" t="s">
        <v>5625</v>
      </c>
    </row>
    <row r="1876">
      <c r="A1876" s="5" t="s">
        <v>5626</v>
      </c>
      <c r="B1876" s="2" t="s">
        <v>5627</v>
      </c>
      <c r="C1876" s="4" t="str">
        <f>IFERROR(__xludf.DUMMYFUNCTION("""🏘️ ""&amp;REGEXEXTRACT(B1876, ""^(.*): "")&amp;"" ✅ "" &amp;REGEXEXTRACT(B1876, ""(Trouvez.*)"")"),"🏘️ Vendre appartement Aldesago ✅ Trouvez le bien immobilier qui correspond idéalement à vos désirs sur ImmoScout24 - La plateforme de l'immobilier en Suisse.")</f>
        <v>🏘️ Vendre appartement Aldesago ✅ Trouvez le bien immobilier qui correspond idéalement à vos désirs sur ImmoScout24 - La plateforme de l'immobilier en Suisse.</v>
      </c>
      <c r="D1876" s="4" t="str">
        <f>vlookup(A1876, Sheet2!D:E, 2, 0)</f>
        <v>variant</v>
      </c>
      <c r="E1876" s="4" t="str">
        <f>IFERROR(__xludf.DUMMYFUNCTION("if(H1876=""pays"",vlookup(REGEXEXTRACT(C1876, ""🏘️ \w+ \w+ (.*) ✅""),'Country prepositions'!A:B, 2, 0) &amp; "" "" &amp; REGEXEXTRACT(C1876, ""🏘️ \w+ \w+ (.*) ✅"") ,  if(H1876=""quartier"",vlookup(REGEXEXTRACT(C1876, ""🏘️ \w+ \w+ (.*) ✅""),'Quartier prepositio"&amp;"ns'!A:E, 5, 0) ,  if(H1876=""region"",vlookup(REGEXEXTRACT(C1876, ""🏘️ \w+ \w+ (.*) ✅""),'Region prepositions'!B:F, 5, 0),  REGEXEXTRACT(C1876, ""🏘️ \w+ \w+ (.*) ✅""))))"),"Aldesago")</f>
        <v>Aldesago</v>
      </c>
      <c r="F1876" s="2" t="str">
        <f>IFERROR(__xludf.DUMMYFUNCTION("REGEXEXTRACT(C1876, ""🏘️ (\w+) \w+ .* ✅"")"),"Vendre")</f>
        <v>Vendre</v>
      </c>
      <c r="G1876" s="2" t="str">
        <f>IFERROR(__xludf.DUMMYFUNCTION("REGEXEXTRACT(C1876, ""🏘️ \w+ (\w+) .* ✅"")"),"appartement")</f>
        <v>appartement</v>
      </c>
      <c r="H1876" s="4" t="str">
        <f>IFERROR(__xludf.DUMMYFUNCTION("REGEXEXTRACT(A1876, ""/(\w+)-.*?"")"),"lieu")</f>
        <v>lieu</v>
      </c>
      <c r="I1876" s="4" t="str">
        <f>IFERROR(__xludf.DUMMYFUNCTION("if(D1876=""variant"",  substitute(filter(Templates!E:E, Templates!A:A = F1876, Templates!B:B = G1876, Templates!C:C = H1876), ""{{}}"", E1876), B1876)"),"🏘  L’appartement de vos rêves se trouve sur ImmoScout24.ch ✅ Découvrez les dernières annonces de vente à Aldesago.")</f>
        <v>🏘  L’appartement de vos rêves se trouve sur ImmoScout24.ch ✅ Découvrez les dernières annonces de vente à Aldesago.</v>
      </c>
      <c r="J1876" s="4" t="s">
        <v>5628</v>
      </c>
    </row>
    <row r="1877">
      <c r="A1877" s="5" t="s">
        <v>5629</v>
      </c>
      <c r="B1877" s="2" t="s">
        <v>5630</v>
      </c>
      <c r="C1877" s="4" t="str">
        <f>IFERROR(__xludf.DUMMYFUNCTION("""🏘️ ""&amp;REGEXEXTRACT(B1877, ""^(.*): "")&amp;"" ✅ "" &amp;REGEXEXTRACT(B1877, ""(Trouvez.*)"")"),"🏘️ Louer appartement Vésenaz ✅ Trouvez le bien immobilier qui correspond idéalement à vos désirs sur ImmoScout24 - La plateforme de l'immobilier en Suisse.")</f>
        <v>🏘️ Louer appartement Vésenaz ✅ Trouvez le bien immobilier qui correspond idéalement à vos désirs sur ImmoScout24 - La plateforme de l'immobilier en Suisse.</v>
      </c>
      <c r="D1877" s="4" t="str">
        <f>vlookup(A1877, Sheet2!D:E, 2, 0)</f>
        <v>variant</v>
      </c>
      <c r="E1877" s="4" t="str">
        <f>IFERROR(__xludf.DUMMYFUNCTION("if(H1877=""pays"",vlookup(REGEXEXTRACT(C1877, ""🏘️ \w+ \w+ (.*) ✅""),'Country prepositions'!A:B, 2, 0) &amp; "" "" &amp; REGEXEXTRACT(C1877, ""🏘️ \w+ \w+ (.*) ✅"") ,  if(H1877=""quartier"",vlookup(REGEXEXTRACT(C1877, ""🏘️ \w+ \w+ (.*) ✅""),'Quartier prepositio"&amp;"ns'!A:E, 5, 0) ,  if(H1877=""region"",vlookup(REGEXEXTRACT(C1877, ""🏘️ \w+ \w+ (.*) ✅""),'Region prepositions'!B:F, 5, 0),  REGEXEXTRACT(C1877, ""🏘️ \w+ \w+ (.*) ✅""))))"),"Vésenaz")</f>
        <v>Vésenaz</v>
      </c>
      <c r="F1877" s="2" t="str">
        <f>IFERROR(__xludf.DUMMYFUNCTION("REGEXEXTRACT(C1877, ""🏘️ (\w+) \w+ .* ✅"")"),"Louer")</f>
        <v>Louer</v>
      </c>
      <c r="G1877" s="2" t="str">
        <f>IFERROR(__xludf.DUMMYFUNCTION("REGEXEXTRACT(C1877, ""🏘️ \w+ (\w+) .* ✅"")"),"appartement")</f>
        <v>appartement</v>
      </c>
      <c r="H1877" s="4" t="str">
        <f>IFERROR(__xludf.DUMMYFUNCTION("REGEXEXTRACT(A1877, ""/(\w+)-.*?"")"),"lieu")</f>
        <v>lieu</v>
      </c>
      <c r="I1877" s="4" t="str">
        <f>IFERROR(__xludf.DUMMYFUNCTION("if(D1877=""variant"",  substitute(filter(Templates!E:E, Templates!A:A = F1877, Templates!B:B = G1877, Templates!C:C = H1877), ""{{}}"", E1877), B1877)"),"🏘  Vous cherchez un appartement à louer à Vésenaz? ✅ Les annonces les plus actuelles sont sur ImmoScout24.ch.")</f>
        <v>🏘  Vous cherchez un appartement à louer à Vésenaz? ✅ Les annonces les plus actuelles sont sur ImmoScout24.ch.</v>
      </c>
      <c r="J1877" s="4" t="s">
        <v>5631</v>
      </c>
    </row>
    <row r="1878">
      <c r="A1878" s="5" t="s">
        <v>5632</v>
      </c>
      <c r="B1878" s="2" t="s">
        <v>5633</v>
      </c>
      <c r="C1878" s="4" t="str">
        <f>IFERROR(__xludf.DUMMYFUNCTION("""🏘️ ""&amp;REGEXEXTRACT(B1878, ""^(.*): "")&amp;"" ✅ "" &amp;REGEXEXTRACT(B1878, ""(Trouvez.*)"")"),"🏘️ Vendre appartement Lussery-Villars ✅ Trouvez le bien immobilier qui correspond idéalement à vos désirs sur ImmoScout24 - La plateforme de l'immobilier en Suisse.")</f>
        <v>🏘️ Vendre appartement Lussery-Villars ✅ Trouvez le bien immobilier qui correspond idéalement à vos désirs sur ImmoScout24 - La plateforme de l'immobilier en Suisse.</v>
      </c>
      <c r="D1878" s="4" t="str">
        <f>vlookup(A1878, Sheet2!D:E, 2, 0)</f>
        <v>variant</v>
      </c>
      <c r="E1878" s="4" t="str">
        <f>IFERROR(__xludf.DUMMYFUNCTION("if(H1878=""pays"",vlookup(REGEXEXTRACT(C1878, ""🏘️ \w+ \w+ (.*) ✅""),'Country prepositions'!A:B, 2, 0) &amp; "" "" &amp; REGEXEXTRACT(C1878, ""🏘️ \w+ \w+ (.*) ✅"") ,  if(H1878=""quartier"",vlookup(REGEXEXTRACT(C1878, ""🏘️ \w+ \w+ (.*) ✅""),'Quartier prepositio"&amp;"ns'!A:E, 5, 0) ,  if(H1878=""region"",vlookup(REGEXEXTRACT(C1878, ""🏘️ \w+ \w+ (.*) ✅""),'Region prepositions'!B:F, 5, 0),  REGEXEXTRACT(C1878, ""🏘️ \w+ \w+ (.*) ✅""))))"),"Lussery-Villars")</f>
        <v>Lussery-Villars</v>
      </c>
      <c r="F1878" s="2" t="str">
        <f>IFERROR(__xludf.DUMMYFUNCTION("REGEXEXTRACT(C1878, ""🏘️ (\w+) \w+ .* ✅"")"),"Vendre")</f>
        <v>Vendre</v>
      </c>
      <c r="G1878" s="2" t="str">
        <f>IFERROR(__xludf.DUMMYFUNCTION("REGEXEXTRACT(C1878, ""🏘️ \w+ (\w+) .* ✅"")"),"appartement")</f>
        <v>appartement</v>
      </c>
      <c r="H1878" s="4" t="str">
        <f>IFERROR(__xludf.DUMMYFUNCTION("REGEXEXTRACT(A1878, ""/(\w+)-.*?"")"),"lieu")</f>
        <v>lieu</v>
      </c>
      <c r="I1878" s="4" t="str">
        <f>IFERROR(__xludf.DUMMYFUNCTION("if(D1878=""variant"",  substitute(filter(Templates!E:E, Templates!A:A = F1878, Templates!B:B = G1878, Templates!C:C = H1878), ""{{}}"", E1878), B1878)"),"🏘  L’appartement de vos rêves se trouve sur ImmoScout24.ch ✅ Découvrez les dernières annonces de vente à Lussery-Villars.")</f>
        <v>🏘  L’appartement de vos rêves se trouve sur ImmoScout24.ch ✅ Découvrez les dernières annonces de vente à Lussery-Villars.</v>
      </c>
      <c r="J1878" s="4" t="s">
        <v>5634</v>
      </c>
    </row>
    <row r="1879">
      <c r="A1879" s="5" t="s">
        <v>5635</v>
      </c>
      <c r="B1879" s="2" t="s">
        <v>5636</v>
      </c>
      <c r="C1879" s="4" t="str">
        <f>IFERROR(__xludf.DUMMYFUNCTION("""🏘️ ""&amp;REGEXEXTRACT(B1879, ""^(.*): "")&amp;"" ✅ "" &amp;REGEXEXTRACT(B1879, ""(Trouvez.*)"")"),"🏘️ Vendre maison St-Gervais - Chantepoulet (Genève) ✅ Trouvez le bien immobilier qui correspond idéalement à vos désirs sur ImmoScout24 - La plateforme de l'immobilier en Suisse.")</f>
        <v>🏘️ Vendre maison St-Gervais - Chantepoulet (Genève) ✅ Trouvez le bien immobilier qui correspond idéalement à vos désirs sur ImmoScout24 - La plateforme de l'immobilier en Suisse.</v>
      </c>
      <c r="D1879" s="4" t="str">
        <f>vlookup(A1879, Sheet2!D:E, 2, 0)</f>
        <v>variant</v>
      </c>
      <c r="E1879" s="4" t="str">
        <f>IFERROR(__xludf.DUMMYFUNCTION("if(H1879=""pays"",vlookup(REGEXEXTRACT(C1879, ""🏘️ \w+ \w+ (.*) ✅""),'Country prepositions'!A:B, 2, 0) &amp; "" "" &amp; REGEXEXTRACT(C1879, ""🏘️ \w+ \w+ (.*) ✅"") ,  if(H1879=""quartier"",vlookup(REGEXEXTRACT(C1879, ""🏘️ \w+ \w+ (.*) ✅""),'Quartier prepositio"&amp;"ns'!A:E, 5, 0) ,  if(H1879=""region"",vlookup(REGEXEXTRACT(C1879, ""🏘️ \w+ \w+ (.*) ✅""),'Region prepositions'!B:F, 5, 0),  REGEXEXTRACT(C1879, ""🏘️ \w+ \w+ (.*) ✅""))))"),"dans le quartier de St-Gervais - Chantepoulet (Genève)")</f>
        <v>dans le quartier de St-Gervais - Chantepoulet (Genève)</v>
      </c>
      <c r="F1879" s="2" t="str">
        <f>IFERROR(__xludf.DUMMYFUNCTION("REGEXEXTRACT(C1879, ""🏘️ (\w+) \w+ .* ✅"")"),"Vendre")</f>
        <v>Vendre</v>
      </c>
      <c r="G1879" s="2" t="str">
        <f>IFERROR(__xludf.DUMMYFUNCTION("REGEXEXTRACT(C1879, ""🏘️ \w+ (\w+) .* ✅"")"),"maison")</f>
        <v>maison</v>
      </c>
      <c r="H1879" s="4" t="str">
        <f>IFERROR(__xludf.DUMMYFUNCTION("REGEXEXTRACT(A1879, ""/(\w+)-.*?"")"),"quartier")</f>
        <v>quartier</v>
      </c>
      <c r="I1879" s="4" t="str">
        <f>IFERROR(__xludf.DUMMYFUNCTION("if(D1879=""variant"",  substitute(filter(Templates!E:E, Templates!A:A = F1879, Templates!B:B = G1879, Templates!C:C = H1879), ""{{}}"", E1879), B1879)"),"🏘  Vous souhaitez acheter une maison dans le quartier de St-Gervais - Chantepoulet (Genève)? ✅ Jetez un œil aux dernières offres sur ImmoScout24.ch.")</f>
        <v>🏘  Vous souhaitez acheter une maison dans le quartier de St-Gervais - Chantepoulet (Genève)? ✅ Jetez un œil aux dernières offres sur ImmoScout24.ch.</v>
      </c>
      <c r="J1879" s="4" t="s">
        <v>5637</v>
      </c>
    </row>
    <row r="1880">
      <c r="A1880" s="5" t="s">
        <v>5638</v>
      </c>
      <c r="B1880" s="2" t="s">
        <v>5639</v>
      </c>
      <c r="C1880" s="4" t="str">
        <f>IFERROR(__xludf.DUMMYFUNCTION("""🏘️ ""&amp;REGEXEXTRACT(B1880, ""^(.*): "")&amp;"" ✅ "" &amp;REGEXEXTRACT(B1880, ""(Trouvez.*)"")"),"🏘️ Louer appartement Saubraz ✅ Trouvez le bien immobilier qui correspond idéalement à vos désirs sur ImmoScout24 - La plateforme de l'immobilier en Suisse.")</f>
        <v>🏘️ Louer appartement Saubraz ✅ Trouvez le bien immobilier qui correspond idéalement à vos désirs sur ImmoScout24 - La plateforme de l'immobilier en Suisse.</v>
      </c>
      <c r="D1880" s="4" t="str">
        <f>vlookup(A1880, Sheet2!D:E, 2, 0)</f>
        <v>variant</v>
      </c>
      <c r="E1880" s="4" t="str">
        <f>IFERROR(__xludf.DUMMYFUNCTION("if(H1880=""pays"",vlookup(REGEXEXTRACT(C1880, ""🏘️ \w+ \w+ (.*) ✅""),'Country prepositions'!A:B, 2, 0) &amp; "" "" &amp; REGEXEXTRACT(C1880, ""🏘️ \w+ \w+ (.*) ✅"") ,  if(H1880=""quartier"",vlookup(REGEXEXTRACT(C1880, ""🏘️ \w+ \w+ (.*) ✅""),'Quartier prepositio"&amp;"ns'!A:E, 5, 0) ,  if(H1880=""region"",vlookup(REGEXEXTRACT(C1880, ""🏘️ \w+ \w+ (.*) ✅""),'Region prepositions'!B:F, 5, 0),  REGEXEXTRACT(C1880, ""🏘️ \w+ \w+ (.*) ✅""))))"),"Saubraz")</f>
        <v>Saubraz</v>
      </c>
      <c r="F1880" s="2" t="str">
        <f>IFERROR(__xludf.DUMMYFUNCTION("REGEXEXTRACT(C1880, ""🏘️ (\w+) \w+ .* ✅"")"),"Louer")</f>
        <v>Louer</v>
      </c>
      <c r="G1880" s="2" t="str">
        <f>IFERROR(__xludf.DUMMYFUNCTION("REGEXEXTRACT(C1880, ""🏘️ \w+ (\w+) .* ✅"")"),"appartement")</f>
        <v>appartement</v>
      </c>
      <c r="H1880" s="4" t="str">
        <f>IFERROR(__xludf.DUMMYFUNCTION("REGEXEXTRACT(A1880, ""/(\w+)-.*?"")"),"lieu")</f>
        <v>lieu</v>
      </c>
      <c r="I1880" s="4" t="str">
        <f>IFERROR(__xludf.DUMMYFUNCTION("if(D1880=""variant"",  substitute(filter(Templates!E:E, Templates!A:A = F1880, Templates!B:B = G1880, Templates!C:C = H1880), ""{{}}"", E1880), B1880)"),"🏘  Vous cherchez un appartement à louer à Saubraz? ✅ Les annonces les plus actuelles sont sur ImmoScout24.ch.")</f>
        <v>🏘  Vous cherchez un appartement à louer à Saubraz? ✅ Les annonces les plus actuelles sont sur ImmoScout24.ch.</v>
      </c>
      <c r="J1880" s="4" t="s">
        <v>5640</v>
      </c>
    </row>
    <row r="1881">
      <c r="A1881" s="5" t="s">
        <v>5641</v>
      </c>
      <c r="B1881" s="2" t="s">
        <v>5642</v>
      </c>
      <c r="C1881" s="4" t="str">
        <f>IFERROR(__xludf.DUMMYFUNCTION("""🏘️ ""&amp;REGEXEXTRACT(B1881, ""^(.*): "")&amp;"" ✅ "" &amp;REGEXEXTRACT(B1881, ""(Trouvez.*)"")"),"🏘️ Vendre maison Romanel-sur-Lausanne ✅ Trouvez le bien immobilier qui correspond idéalement à vos désirs sur ImmoScout24 - La plateforme de l'immobilier en Suisse.")</f>
        <v>🏘️ Vendre maison Romanel-sur-Lausanne ✅ Trouvez le bien immobilier qui correspond idéalement à vos désirs sur ImmoScout24 - La plateforme de l'immobilier en Suisse.</v>
      </c>
      <c r="D1881" s="4" t="str">
        <f>vlookup(A1881, Sheet2!D:E, 2, 0)</f>
        <v>variant</v>
      </c>
      <c r="E1881" s="4" t="str">
        <f>IFERROR(__xludf.DUMMYFUNCTION("if(H1881=""pays"",vlookup(REGEXEXTRACT(C1881, ""🏘️ \w+ \w+ (.*) ✅""),'Country prepositions'!A:B, 2, 0) &amp; "" "" &amp; REGEXEXTRACT(C1881, ""🏘️ \w+ \w+ (.*) ✅"") ,  if(H1881=""quartier"",vlookup(REGEXEXTRACT(C1881, ""🏘️ \w+ \w+ (.*) ✅""),'Quartier prepositio"&amp;"ns'!A:E, 5, 0) ,  if(H1881=""region"",vlookup(REGEXEXTRACT(C1881, ""🏘️ \w+ \w+ (.*) ✅""),'Region prepositions'!B:F, 5, 0),  REGEXEXTRACT(C1881, ""🏘️ \w+ \w+ (.*) ✅""))))"),"Romanel-sur-Lausanne")</f>
        <v>Romanel-sur-Lausanne</v>
      </c>
      <c r="F1881" s="2" t="str">
        <f>IFERROR(__xludf.DUMMYFUNCTION("REGEXEXTRACT(C1881, ""🏘️ (\w+) \w+ .* ✅"")"),"Vendre")</f>
        <v>Vendre</v>
      </c>
      <c r="G1881" s="2" t="str">
        <f>IFERROR(__xludf.DUMMYFUNCTION("REGEXEXTRACT(C1881, ""🏘️ \w+ (\w+) .* ✅"")"),"maison")</f>
        <v>maison</v>
      </c>
      <c r="H1881" s="4" t="str">
        <f>IFERROR(__xludf.DUMMYFUNCTION("REGEXEXTRACT(A1881, ""/(\w+)-.*?"")"),"lieu")</f>
        <v>lieu</v>
      </c>
      <c r="I1881" s="4" t="str">
        <f>IFERROR(__xludf.DUMMYFUNCTION("if(D1881=""variant"",  substitute(filter(Templates!E:E, Templates!A:A = F1881, Templates!B:B = G1881, Templates!C:C = H1881), ""{{}}"", E1881), B1881)"),"🏘  Vous souhaitez acheter une maison à Romanel-sur-Lausanne? ✅ Jetez un œil aux dernières offres sur ImmoScout24.ch.")</f>
        <v>🏘  Vous souhaitez acheter une maison à Romanel-sur-Lausanne? ✅ Jetez un œil aux dernières offres sur ImmoScout24.ch.</v>
      </c>
      <c r="J1881" s="4" t="s">
        <v>5643</v>
      </c>
    </row>
    <row r="1882">
      <c r="A1882" s="5" t="s">
        <v>5644</v>
      </c>
      <c r="B1882" s="2" t="s">
        <v>5645</v>
      </c>
      <c r="C1882" s="4" t="str">
        <f>IFERROR(__xludf.DUMMYFUNCTION("""🏘️ ""&amp;REGEXEXTRACT(B1882, ""^(.*): "")&amp;"" ✅ "" &amp;REGEXEXTRACT(B1882, ""(Trouvez.*)"")"),"🏘️ Louer appartement Villeneuve VD ✅ Trouvez le bien immobilier qui correspond idéalement à vos désirs sur ImmoScout24 - La plateforme de l'immobilier en Suisse.")</f>
        <v>🏘️ Louer appartement Villeneuve VD ✅ Trouvez le bien immobilier qui correspond idéalement à vos désirs sur ImmoScout24 - La plateforme de l'immobilier en Suisse.</v>
      </c>
      <c r="D1882" s="4" t="str">
        <f>vlookup(A1882, Sheet2!D:E, 2, 0)</f>
        <v>variant</v>
      </c>
      <c r="E1882" s="4" t="str">
        <f>IFERROR(__xludf.DUMMYFUNCTION("if(H1882=""pays"",vlookup(REGEXEXTRACT(C1882, ""🏘️ \w+ \w+ (.*) ✅""),'Country prepositions'!A:B, 2, 0) &amp; "" "" &amp; REGEXEXTRACT(C1882, ""🏘️ \w+ \w+ (.*) ✅"") ,  if(H1882=""quartier"",vlookup(REGEXEXTRACT(C1882, ""🏘️ \w+ \w+ (.*) ✅""),'Quartier prepositio"&amp;"ns'!A:E, 5, 0) ,  if(H1882=""region"",vlookup(REGEXEXTRACT(C1882, ""🏘️ \w+ \w+ (.*) ✅""),'Region prepositions'!B:F, 5, 0),  REGEXEXTRACT(C1882, ""🏘️ \w+ \w+ (.*) ✅""))))"),"Villeneuve VD")</f>
        <v>Villeneuve VD</v>
      </c>
      <c r="F1882" s="2" t="str">
        <f>IFERROR(__xludf.DUMMYFUNCTION("REGEXEXTRACT(C1882, ""🏘️ (\w+) \w+ .* ✅"")"),"Louer")</f>
        <v>Louer</v>
      </c>
      <c r="G1882" s="2" t="str">
        <f>IFERROR(__xludf.DUMMYFUNCTION("REGEXEXTRACT(C1882, ""🏘️ \w+ (\w+) .* ✅"")"),"appartement")</f>
        <v>appartement</v>
      </c>
      <c r="H1882" s="4" t="str">
        <f>IFERROR(__xludf.DUMMYFUNCTION("REGEXEXTRACT(A1882, ""/(\w+)-.*?"")"),"lieu")</f>
        <v>lieu</v>
      </c>
      <c r="I1882" s="4" t="str">
        <f>IFERROR(__xludf.DUMMYFUNCTION("if(D1882=""variant"",  substitute(filter(Templates!E:E, Templates!A:A = F1882, Templates!B:B = G1882, Templates!C:C = H1882), ""{{}}"", E1882), B1882)"),"🏘  Vous cherchez un appartement à louer à Villeneuve VD? ✅ Les annonces les plus actuelles sont sur ImmoScout24.ch.")</f>
        <v>🏘  Vous cherchez un appartement à louer à Villeneuve VD? ✅ Les annonces les plus actuelles sont sur ImmoScout24.ch.</v>
      </c>
      <c r="J1882" s="4" t="s">
        <v>5646</v>
      </c>
    </row>
    <row r="1883">
      <c r="A1883" s="5" t="s">
        <v>5647</v>
      </c>
      <c r="B1883" s="2" t="s">
        <v>5648</v>
      </c>
      <c r="C1883" s="4" t="str">
        <f>IFERROR(__xludf.DUMMYFUNCTION("""🏘️ ""&amp;REGEXEXTRACT(B1883, ""^(.*): "")&amp;"" ✅ "" &amp;REGEXEXTRACT(B1883, ""(Trouvez.*)"")"),"🏘️ Louer appartement Wildegg ✅ Trouvez le bien immobilier qui correspond idéalement à vos désirs sur ImmoScout24 - La plateforme de l'immobilier en Suisse.")</f>
        <v>🏘️ Louer appartement Wildegg ✅ Trouvez le bien immobilier qui correspond idéalement à vos désirs sur ImmoScout24 - La plateforme de l'immobilier en Suisse.</v>
      </c>
      <c r="D1883" s="4" t="str">
        <f>vlookup(A1883, Sheet2!D:E, 2, 0)</f>
        <v>variant</v>
      </c>
      <c r="E1883" s="4" t="str">
        <f>IFERROR(__xludf.DUMMYFUNCTION("if(H1883=""pays"",vlookup(REGEXEXTRACT(C1883, ""🏘️ \w+ \w+ (.*) ✅""),'Country prepositions'!A:B, 2, 0) &amp; "" "" &amp; REGEXEXTRACT(C1883, ""🏘️ \w+ \w+ (.*) ✅"") ,  if(H1883=""quartier"",vlookup(REGEXEXTRACT(C1883, ""🏘️ \w+ \w+ (.*) ✅""),'Quartier prepositio"&amp;"ns'!A:E, 5, 0) ,  if(H1883=""region"",vlookup(REGEXEXTRACT(C1883, ""🏘️ \w+ \w+ (.*) ✅""),'Region prepositions'!B:F, 5, 0),  REGEXEXTRACT(C1883, ""🏘️ \w+ \w+ (.*) ✅""))))"),"Wildegg")</f>
        <v>Wildegg</v>
      </c>
      <c r="F1883" s="2" t="str">
        <f>IFERROR(__xludf.DUMMYFUNCTION("REGEXEXTRACT(C1883, ""🏘️ (\w+) \w+ .* ✅"")"),"Louer")</f>
        <v>Louer</v>
      </c>
      <c r="G1883" s="2" t="str">
        <f>IFERROR(__xludf.DUMMYFUNCTION("REGEXEXTRACT(C1883, ""🏘️ \w+ (\w+) .* ✅"")"),"appartement")</f>
        <v>appartement</v>
      </c>
      <c r="H1883" s="4" t="str">
        <f>IFERROR(__xludf.DUMMYFUNCTION("REGEXEXTRACT(A1883, ""/(\w+)-.*?"")"),"lieu")</f>
        <v>lieu</v>
      </c>
      <c r="I1883" s="4" t="str">
        <f>IFERROR(__xludf.DUMMYFUNCTION("if(D1883=""variant"",  substitute(filter(Templates!E:E, Templates!A:A = F1883, Templates!B:B = G1883, Templates!C:C = H1883), ""{{}}"", E1883), B1883)"),"🏘  Vous cherchez un appartement à louer à Wildegg? ✅ Les annonces les plus actuelles sont sur ImmoScout24.ch.")</f>
        <v>🏘  Vous cherchez un appartement à louer à Wildegg? ✅ Les annonces les plus actuelles sont sur ImmoScout24.ch.</v>
      </c>
      <c r="J1883" s="4" t="s">
        <v>5649</v>
      </c>
    </row>
    <row r="1884">
      <c r="A1884" s="5" t="s">
        <v>5650</v>
      </c>
      <c r="B1884" s="2" t="s">
        <v>5651</v>
      </c>
      <c r="C1884" s="4" t="str">
        <f>IFERROR(__xludf.DUMMYFUNCTION("""🏘️ ""&amp;REGEXEXTRACT(B1884, ""^(.*): "")&amp;"" ✅ "" &amp;REGEXEXTRACT(B1884, ""(Trouvez.*)"")"),"🏘️ Vendre maison Aarau et environs ✅ Trouvez le bien immobilier qui correspond idéalement à vos désirs sur ImmoScout24 - La plateforme de l'immobilier en Suisse.")</f>
        <v>🏘️ Vendre maison Aarau et environs ✅ Trouvez le bien immobilier qui correspond idéalement à vos désirs sur ImmoScout24 - La plateforme de l'immobilier en Suisse.</v>
      </c>
      <c r="D1884" s="4" t="str">
        <f>vlookup(A1884, Sheet2!D:E, 2, 0)</f>
        <v>variant</v>
      </c>
      <c r="E1884" s="4" t="str">
        <f>IFERROR(__xludf.DUMMYFUNCTION("if(H1884=""pays"",vlookup(REGEXEXTRACT(C1884, ""🏘️ \w+ \w+ (.*) ✅""),'Country prepositions'!A:B, 2, 0) &amp; "" "" &amp; REGEXEXTRACT(C1884, ""🏘️ \w+ \w+ (.*) ✅"") ,  if(H1884=""quartier"",vlookup(REGEXEXTRACT(C1884, ""🏘️ \w+ \w+ (.*) ✅""),'Quartier prepositio"&amp;"ns'!A:E, 5, 0) ,  if(H1884=""region"",vlookup(REGEXEXTRACT(C1884, ""🏘️ \w+ \w+ (.*) ✅""),'Region prepositions'!B:F, 5, 0),  REGEXEXTRACT(C1884, ""🏘️ \w+ \w+ (.*) ✅""))))"),"à Aarau et environs")</f>
        <v>à Aarau et environs</v>
      </c>
      <c r="F1884" s="2" t="str">
        <f>IFERROR(__xludf.DUMMYFUNCTION("REGEXEXTRACT(C1884, ""🏘️ (\w+) \w+ .* ✅"")"),"Vendre")</f>
        <v>Vendre</v>
      </c>
      <c r="G1884" s="2" t="str">
        <f>IFERROR(__xludf.DUMMYFUNCTION("REGEXEXTRACT(C1884, ""🏘️ \w+ (\w+) .* ✅"")"),"maison")</f>
        <v>maison</v>
      </c>
      <c r="H1884" s="4" t="str">
        <f>IFERROR(__xludf.DUMMYFUNCTION("REGEXEXTRACT(A1884, ""/(\w+)-.*?"")"),"region")</f>
        <v>region</v>
      </c>
      <c r="I1884" s="4" t="str">
        <f>IFERROR(__xludf.DUMMYFUNCTION("if(D1884=""variant"",  substitute(filter(Templates!E:E, Templates!A:A = F1884, Templates!B:B = G1884, Templates!C:C = H1884), ""{{}}"", E1884), B1884)"),"🏘  Vous souhaitez acheter une maison à Aarau et environs? ✅ Jetez un œil aux dernières offres sur ImmoScout24.ch.")</f>
        <v>🏘  Vous souhaitez acheter une maison à Aarau et environs? ✅ Jetez un œil aux dernières offres sur ImmoScout24.ch.</v>
      </c>
      <c r="J1884" s="4" t="s">
        <v>5652</v>
      </c>
    </row>
    <row r="1885">
      <c r="A1885" s="5" t="s">
        <v>5653</v>
      </c>
      <c r="B1885" s="2" t="s">
        <v>5654</v>
      </c>
      <c r="C1885" s="4" t="str">
        <f>IFERROR(__xludf.DUMMYFUNCTION("""🏘️ ""&amp;REGEXEXTRACT(B1885, ""^(.*): "")&amp;"" ✅ "" &amp;REGEXEXTRACT(B1885, ""(Trouvez.*)"")"),"🏘️ Vendre appartement Coldrerio ✅ Trouvez le bien immobilier qui correspond idéalement à vos désirs sur ImmoScout24 - La plateforme de l'immobilier en Suisse.")</f>
        <v>🏘️ Vendre appartement Coldrerio ✅ Trouvez le bien immobilier qui correspond idéalement à vos désirs sur ImmoScout24 - La plateforme de l'immobilier en Suisse.</v>
      </c>
      <c r="D1885" s="4" t="str">
        <f>vlookup(A1885, Sheet2!D:E, 2, 0)</f>
        <v>variant</v>
      </c>
      <c r="E1885" s="4" t="str">
        <f>IFERROR(__xludf.DUMMYFUNCTION("if(H1885=""pays"",vlookup(REGEXEXTRACT(C1885, ""🏘️ \w+ \w+ (.*) ✅""),'Country prepositions'!A:B, 2, 0) &amp; "" "" &amp; REGEXEXTRACT(C1885, ""🏘️ \w+ \w+ (.*) ✅"") ,  if(H1885=""quartier"",vlookup(REGEXEXTRACT(C1885, ""🏘️ \w+ \w+ (.*) ✅""),'Quartier prepositio"&amp;"ns'!A:E, 5, 0) ,  if(H1885=""region"",vlookup(REGEXEXTRACT(C1885, ""🏘️ \w+ \w+ (.*) ✅""),'Region prepositions'!B:F, 5, 0),  REGEXEXTRACT(C1885, ""🏘️ \w+ \w+ (.*) ✅""))))"),"Coldrerio")</f>
        <v>Coldrerio</v>
      </c>
      <c r="F1885" s="2" t="str">
        <f>IFERROR(__xludf.DUMMYFUNCTION("REGEXEXTRACT(C1885, ""🏘️ (\w+) \w+ .* ✅"")"),"Vendre")</f>
        <v>Vendre</v>
      </c>
      <c r="G1885" s="2" t="str">
        <f>IFERROR(__xludf.DUMMYFUNCTION("REGEXEXTRACT(C1885, ""🏘️ \w+ (\w+) .* ✅"")"),"appartement")</f>
        <v>appartement</v>
      </c>
      <c r="H1885" s="4" t="str">
        <f>IFERROR(__xludf.DUMMYFUNCTION("REGEXEXTRACT(A1885, ""/(\w+)-.*?"")"),"lieu")</f>
        <v>lieu</v>
      </c>
      <c r="I1885" s="4" t="str">
        <f>IFERROR(__xludf.DUMMYFUNCTION("if(D1885=""variant"",  substitute(filter(Templates!E:E, Templates!A:A = F1885, Templates!B:B = G1885, Templates!C:C = H1885), ""{{}}"", E1885), B1885)"),"🏘  L’appartement de vos rêves se trouve sur ImmoScout24.ch ✅ Découvrez les dernières annonces de vente à Coldrerio.")</f>
        <v>🏘  L’appartement de vos rêves se trouve sur ImmoScout24.ch ✅ Découvrez les dernières annonces de vente à Coldrerio.</v>
      </c>
      <c r="J1885" s="4" t="s">
        <v>5655</v>
      </c>
    </row>
    <row r="1886">
      <c r="A1886" s="5" t="s">
        <v>5656</v>
      </c>
      <c r="B1886" s="2" t="s">
        <v>5657</v>
      </c>
      <c r="C1886" s="4" t="str">
        <f>IFERROR(__xludf.DUMMYFUNCTION("""🏘️ ""&amp;REGEXEXTRACT(B1886, ""^(.*): "")&amp;"" ✅ "" &amp;REGEXEXTRACT(B1886, ""(Trouvez.*)"")"),"🏘️ Louer appartement Schönenwerd ✅ Trouvez le bien immobilier qui correspond idéalement à vos désirs sur ImmoScout24 - La plateforme de l'immobilier en Suisse.")</f>
        <v>🏘️ Louer appartement Schönenwerd ✅ Trouvez le bien immobilier qui correspond idéalement à vos désirs sur ImmoScout24 - La plateforme de l'immobilier en Suisse.</v>
      </c>
      <c r="D1886" s="4" t="str">
        <f>vlookup(A1886, Sheet2!D:E, 2, 0)</f>
        <v>variant</v>
      </c>
      <c r="E1886" s="4" t="str">
        <f>IFERROR(__xludf.DUMMYFUNCTION("if(H1886=""pays"",vlookup(REGEXEXTRACT(C1886, ""🏘️ \w+ \w+ (.*) ✅""),'Country prepositions'!A:B, 2, 0) &amp; "" "" &amp; REGEXEXTRACT(C1886, ""🏘️ \w+ \w+ (.*) ✅"") ,  if(H1886=""quartier"",vlookup(REGEXEXTRACT(C1886, ""🏘️ \w+ \w+ (.*) ✅""),'Quartier prepositio"&amp;"ns'!A:E, 5, 0) ,  if(H1886=""region"",vlookup(REGEXEXTRACT(C1886, ""🏘️ \w+ \w+ (.*) ✅""),'Region prepositions'!B:F, 5, 0),  REGEXEXTRACT(C1886, ""🏘️ \w+ \w+ (.*) ✅""))))"),"Schönenwerd")</f>
        <v>Schönenwerd</v>
      </c>
      <c r="F1886" s="2" t="str">
        <f>IFERROR(__xludf.DUMMYFUNCTION("REGEXEXTRACT(C1886, ""🏘️ (\w+) \w+ .* ✅"")"),"Louer")</f>
        <v>Louer</v>
      </c>
      <c r="G1886" s="2" t="str">
        <f>IFERROR(__xludf.DUMMYFUNCTION("REGEXEXTRACT(C1886, ""🏘️ \w+ (\w+) .* ✅"")"),"appartement")</f>
        <v>appartement</v>
      </c>
      <c r="H1886" s="4" t="str">
        <f>IFERROR(__xludf.DUMMYFUNCTION("REGEXEXTRACT(A1886, ""/(\w+)-.*?"")"),"lieu")</f>
        <v>lieu</v>
      </c>
      <c r="I1886" s="4" t="str">
        <f>IFERROR(__xludf.DUMMYFUNCTION("if(D1886=""variant"",  substitute(filter(Templates!E:E, Templates!A:A = F1886, Templates!B:B = G1886, Templates!C:C = H1886), ""{{}}"", E1886), B1886)"),"🏘  Vous cherchez un appartement à louer à Schönenwerd? ✅ Les annonces les plus actuelles sont sur ImmoScout24.ch.")</f>
        <v>🏘  Vous cherchez un appartement à louer à Schönenwerd? ✅ Les annonces les plus actuelles sont sur ImmoScout24.ch.</v>
      </c>
      <c r="J1886" s="4" t="s">
        <v>5658</v>
      </c>
    </row>
    <row r="1887">
      <c r="A1887" s="5" t="s">
        <v>5659</v>
      </c>
      <c r="B1887" s="2" t="s">
        <v>5660</v>
      </c>
      <c r="C1887" s="4" t="str">
        <f>IFERROR(__xludf.DUMMYFUNCTION("""🏘️ ""&amp;REGEXEXTRACT(B1887, ""^(.*): "")&amp;"" ✅ "" &amp;REGEXEXTRACT(B1887, ""(Trouvez.*)"")"),"🏘️ Louer appartement Chamby ✅ Trouvez le bien immobilier qui correspond idéalement à vos désirs sur ImmoScout24 - La plateforme de l'immobilier en Suisse.")</f>
        <v>🏘️ Louer appartement Chamby ✅ Trouvez le bien immobilier qui correspond idéalement à vos désirs sur ImmoScout24 - La plateforme de l'immobilier en Suisse.</v>
      </c>
      <c r="D1887" s="4" t="str">
        <f>vlookup(A1887, Sheet2!D:E, 2, 0)</f>
        <v>variant</v>
      </c>
      <c r="E1887" s="4" t="str">
        <f>IFERROR(__xludf.DUMMYFUNCTION("if(H1887=""pays"",vlookup(REGEXEXTRACT(C1887, ""🏘️ \w+ \w+ (.*) ✅""),'Country prepositions'!A:B, 2, 0) &amp; "" "" &amp; REGEXEXTRACT(C1887, ""🏘️ \w+ \w+ (.*) ✅"") ,  if(H1887=""quartier"",vlookup(REGEXEXTRACT(C1887, ""🏘️ \w+ \w+ (.*) ✅""),'Quartier prepositio"&amp;"ns'!A:E, 5, 0) ,  if(H1887=""region"",vlookup(REGEXEXTRACT(C1887, ""🏘️ \w+ \w+ (.*) ✅""),'Region prepositions'!B:F, 5, 0),  REGEXEXTRACT(C1887, ""🏘️ \w+ \w+ (.*) ✅""))))"),"Chamby")</f>
        <v>Chamby</v>
      </c>
      <c r="F1887" s="2" t="str">
        <f>IFERROR(__xludf.DUMMYFUNCTION("REGEXEXTRACT(C1887, ""🏘️ (\w+) \w+ .* ✅"")"),"Louer")</f>
        <v>Louer</v>
      </c>
      <c r="G1887" s="2" t="str">
        <f>IFERROR(__xludf.DUMMYFUNCTION("REGEXEXTRACT(C1887, ""🏘️ \w+ (\w+) .* ✅"")"),"appartement")</f>
        <v>appartement</v>
      </c>
      <c r="H1887" s="4" t="str">
        <f>IFERROR(__xludf.DUMMYFUNCTION("REGEXEXTRACT(A1887, ""/(\w+)-.*?"")"),"lieu")</f>
        <v>lieu</v>
      </c>
      <c r="I1887" s="4" t="str">
        <f>IFERROR(__xludf.DUMMYFUNCTION("if(D1887=""variant"",  substitute(filter(Templates!E:E, Templates!A:A = F1887, Templates!B:B = G1887, Templates!C:C = H1887), ""{{}}"", E1887), B1887)"),"🏘  Vous cherchez un appartement à louer à Chamby? ✅ Les annonces les plus actuelles sont sur ImmoScout24.ch.")</f>
        <v>🏘  Vous cherchez un appartement à louer à Chamby? ✅ Les annonces les plus actuelles sont sur ImmoScout24.ch.</v>
      </c>
      <c r="J1887" s="4" t="s">
        <v>5661</v>
      </c>
    </row>
    <row r="1888">
      <c r="A1888" s="5" t="s">
        <v>5662</v>
      </c>
      <c r="B1888" s="2" t="s">
        <v>5663</v>
      </c>
      <c r="C1888" s="4" t="str">
        <f>IFERROR(__xludf.DUMMYFUNCTION("""🏘️ ""&amp;REGEXEXTRACT(B1888, ""^(.*): "")&amp;"" ✅ "" &amp;REGEXEXTRACT(B1888, ""(Trouvez.*)"")"),"🏘️ Vendre maison Villarsel-le-Gibloux ✅ Trouvez le bien immobilier qui correspond idéalement à vos désirs sur ImmoScout24 - La plateforme de l'immobilier en Suisse.")</f>
        <v>🏘️ Vendre maison Villarsel-le-Gibloux ✅ Trouvez le bien immobilier qui correspond idéalement à vos désirs sur ImmoScout24 - La plateforme de l'immobilier en Suisse.</v>
      </c>
      <c r="D1888" s="4" t="str">
        <f>vlookup(A1888, Sheet2!D:E, 2, 0)</f>
        <v>variant</v>
      </c>
      <c r="E1888" s="4" t="str">
        <f>IFERROR(__xludf.DUMMYFUNCTION("if(H1888=""pays"",vlookup(REGEXEXTRACT(C1888, ""🏘️ \w+ \w+ (.*) ✅""),'Country prepositions'!A:B, 2, 0) &amp; "" "" &amp; REGEXEXTRACT(C1888, ""🏘️ \w+ \w+ (.*) ✅"") ,  if(H1888=""quartier"",vlookup(REGEXEXTRACT(C1888, ""🏘️ \w+ \w+ (.*) ✅""),'Quartier prepositio"&amp;"ns'!A:E, 5, 0) ,  if(H1888=""region"",vlookup(REGEXEXTRACT(C1888, ""🏘️ \w+ \w+ (.*) ✅""),'Region prepositions'!B:F, 5, 0),  REGEXEXTRACT(C1888, ""🏘️ \w+ \w+ (.*) ✅""))))"),"Villarsel-le-Gibloux")</f>
        <v>Villarsel-le-Gibloux</v>
      </c>
      <c r="F1888" s="2" t="str">
        <f>IFERROR(__xludf.DUMMYFUNCTION("REGEXEXTRACT(C1888, ""🏘️ (\w+) \w+ .* ✅"")"),"Vendre")</f>
        <v>Vendre</v>
      </c>
      <c r="G1888" s="2" t="str">
        <f>IFERROR(__xludf.DUMMYFUNCTION("REGEXEXTRACT(C1888, ""🏘️ \w+ (\w+) .* ✅"")"),"maison")</f>
        <v>maison</v>
      </c>
      <c r="H1888" s="4" t="str">
        <f>IFERROR(__xludf.DUMMYFUNCTION("REGEXEXTRACT(A1888, ""/(\w+)-.*?"")"),"lieu")</f>
        <v>lieu</v>
      </c>
      <c r="I1888" s="4" t="str">
        <f>IFERROR(__xludf.DUMMYFUNCTION("if(D1888=""variant"",  substitute(filter(Templates!E:E, Templates!A:A = F1888, Templates!B:B = G1888, Templates!C:C = H1888), ""{{}}"", E1888), B1888)"),"🏘  Vous souhaitez acheter une maison à Villarsel-le-Gibloux? ✅ Jetez un œil aux dernières offres sur ImmoScout24.ch.")</f>
        <v>🏘  Vous souhaitez acheter une maison à Villarsel-le-Gibloux? ✅ Jetez un œil aux dernières offres sur ImmoScout24.ch.</v>
      </c>
      <c r="J1888" s="4" t="s">
        <v>5664</v>
      </c>
    </row>
    <row r="1889">
      <c r="A1889" s="5" t="s">
        <v>5665</v>
      </c>
      <c r="B1889" s="2" t="s">
        <v>5666</v>
      </c>
      <c r="C1889" s="4" t="str">
        <f>IFERROR(__xludf.DUMMYFUNCTION("""🏘️ ""&amp;REGEXEXTRACT(B1889, ""^(.*): "")&amp;"" ✅ "" &amp;REGEXEXTRACT(B1889, ""(Trouvez.*)"")"),"🏘️ Vendre maison Grengiols ✅ Trouvez le bien immobilier qui correspond idéalement à vos désirs sur ImmoScout24 - La plateforme de l'immobilier en Suisse.")</f>
        <v>🏘️ Vendre maison Grengiols ✅ Trouvez le bien immobilier qui correspond idéalement à vos désirs sur ImmoScout24 - La plateforme de l'immobilier en Suisse.</v>
      </c>
      <c r="D1889" s="4" t="str">
        <f>vlookup(A1889, Sheet2!D:E, 2, 0)</f>
        <v>variant</v>
      </c>
      <c r="E1889" s="4" t="str">
        <f>IFERROR(__xludf.DUMMYFUNCTION("if(H1889=""pays"",vlookup(REGEXEXTRACT(C1889, ""🏘️ \w+ \w+ (.*) ✅""),'Country prepositions'!A:B, 2, 0) &amp; "" "" &amp; REGEXEXTRACT(C1889, ""🏘️ \w+ \w+ (.*) ✅"") ,  if(H1889=""quartier"",vlookup(REGEXEXTRACT(C1889, ""🏘️ \w+ \w+ (.*) ✅""),'Quartier prepositio"&amp;"ns'!A:E, 5, 0) ,  if(H1889=""region"",vlookup(REGEXEXTRACT(C1889, ""🏘️ \w+ \w+ (.*) ✅""),'Region prepositions'!B:F, 5, 0),  REGEXEXTRACT(C1889, ""🏘️ \w+ \w+ (.*) ✅""))))"),"Grengiols")</f>
        <v>Grengiols</v>
      </c>
      <c r="F1889" s="2" t="str">
        <f>IFERROR(__xludf.DUMMYFUNCTION("REGEXEXTRACT(C1889, ""🏘️ (\w+) \w+ .* ✅"")"),"Vendre")</f>
        <v>Vendre</v>
      </c>
      <c r="G1889" s="2" t="str">
        <f>IFERROR(__xludf.DUMMYFUNCTION("REGEXEXTRACT(C1889, ""🏘️ \w+ (\w+) .* ✅"")"),"maison")</f>
        <v>maison</v>
      </c>
      <c r="H1889" s="4" t="str">
        <f>IFERROR(__xludf.DUMMYFUNCTION("REGEXEXTRACT(A1889, ""/(\w+)-.*?"")"),"lieu")</f>
        <v>lieu</v>
      </c>
      <c r="I1889" s="4" t="str">
        <f>IFERROR(__xludf.DUMMYFUNCTION("if(D1889=""variant"",  substitute(filter(Templates!E:E, Templates!A:A = F1889, Templates!B:B = G1889, Templates!C:C = H1889), ""{{}}"", E1889), B1889)"),"🏘  Vous souhaitez acheter une maison à Grengiols? ✅ Jetez un œil aux dernières offres sur ImmoScout24.ch.")</f>
        <v>🏘  Vous souhaitez acheter une maison à Grengiols? ✅ Jetez un œil aux dernières offres sur ImmoScout24.ch.</v>
      </c>
      <c r="J1889" s="4" t="s">
        <v>5667</v>
      </c>
    </row>
    <row r="1890">
      <c r="A1890" s="5" t="s">
        <v>5668</v>
      </c>
      <c r="B1890" s="2" t="s">
        <v>5669</v>
      </c>
      <c r="C1890" s="4" t="str">
        <f>IFERROR(__xludf.DUMMYFUNCTION("""🏘️ ""&amp;REGEXEXTRACT(B1890, ""^(.*): "")&amp;"" ✅ "" &amp;REGEXEXTRACT(B1890, ""(Trouvez.*)"")"),"🏘️ Vendre maison Lossy ✅ Trouvez le bien immobilier qui correspond idéalement à vos désirs sur ImmoScout24 - La plateforme de l'immobilier en Suisse.")</f>
        <v>🏘️ Vendre maison Lossy ✅ Trouvez le bien immobilier qui correspond idéalement à vos désirs sur ImmoScout24 - La plateforme de l'immobilier en Suisse.</v>
      </c>
      <c r="D1890" s="4" t="str">
        <f>vlookup(A1890, Sheet2!D:E, 2, 0)</f>
        <v>variant</v>
      </c>
      <c r="E1890" s="4" t="str">
        <f>IFERROR(__xludf.DUMMYFUNCTION("if(H1890=""pays"",vlookup(REGEXEXTRACT(C1890, ""🏘️ \w+ \w+ (.*) ✅""),'Country prepositions'!A:B, 2, 0) &amp; "" "" &amp; REGEXEXTRACT(C1890, ""🏘️ \w+ \w+ (.*) ✅"") ,  if(H1890=""quartier"",vlookup(REGEXEXTRACT(C1890, ""🏘️ \w+ \w+ (.*) ✅""),'Quartier prepositio"&amp;"ns'!A:E, 5, 0) ,  if(H1890=""region"",vlookup(REGEXEXTRACT(C1890, ""🏘️ \w+ \w+ (.*) ✅""),'Region prepositions'!B:F, 5, 0),  REGEXEXTRACT(C1890, ""🏘️ \w+ \w+ (.*) ✅""))))"),"Lossy")</f>
        <v>Lossy</v>
      </c>
      <c r="F1890" s="2" t="str">
        <f>IFERROR(__xludf.DUMMYFUNCTION("REGEXEXTRACT(C1890, ""🏘️ (\w+) \w+ .* ✅"")"),"Vendre")</f>
        <v>Vendre</v>
      </c>
      <c r="G1890" s="2" t="str">
        <f>IFERROR(__xludf.DUMMYFUNCTION("REGEXEXTRACT(C1890, ""🏘️ \w+ (\w+) .* ✅"")"),"maison")</f>
        <v>maison</v>
      </c>
      <c r="H1890" s="4" t="str">
        <f>IFERROR(__xludf.DUMMYFUNCTION("REGEXEXTRACT(A1890, ""/(\w+)-.*?"")"),"lieu")</f>
        <v>lieu</v>
      </c>
      <c r="I1890" s="4" t="str">
        <f>IFERROR(__xludf.DUMMYFUNCTION("if(D1890=""variant"",  substitute(filter(Templates!E:E, Templates!A:A = F1890, Templates!B:B = G1890, Templates!C:C = H1890), ""{{}}"", E1890), B1890)"),"🏘  Vous souhaitez acheter une maison à Lossy? ✅ Jetez un œil aux dernières offres sur ImmoScout24.ch.")</f>
        <v>🏘  Vous souhaitez acheter une maison à Lossy? ✅ Jetez un œil aux dernières offres sur ImmoScout24.ch.</v>
      </c>
      <c r="J1890" s="4" t="s">
        <v>5670</v>
      </c>
    </row>
    <row r="1891">
      <c r="A1891" s="5" t="s">
        <v>5671</v>
      </c>
      <c r="B1891" s="2" t="s">
        <v>5672</v>
      </c>
      <c r="C1891" s="4" t="str">
        <f>IFERROR(__xludf.DUMMYFUNCTION("""🏘️ ""&amp;REGEXEXTRACT(B1891, ""^(.*): "")&amp;"" ✅ "" &amp;REGEXEXTRACT(B1891, ""(Trouvez.*)"")"),"🏘️ Louer appartement Chippis ✅ Trouvez le bien immobilier qui correspond idéalement à vos désirs sur ImmoScout24 - La plateforme de l'immobilier en Suisse.")</f>
        <v>🏘️ Louer appartement Chippis ✅ Trouvez le bien immobilier qui correspond idéalement à vos désirs sur ImmoScout24 - La plateforme de l'immobilier en Suisse.</v>
      </c>
      <c r="D1891" s="4" t="str">
        <f>vlookup(A1891, Sheet2!D:E, 2, 0)</f>
        <v>variant</v>
      </c>
      <c r="E1891" s="4" t="str">
        <f>IFERROR(__xludf.DUMMYFUNCTION("if(H1891=""pays"",vlookup(REGEXEXTRACT(C1891, ""🏘️ \w+ \w+ (.*) ✅""),'Country prepositions'!A:B, 2, 0) &amp; "" "" &amp; REGEXEXTRACT(C1891, ""🏘️ \w+ \w+ (.*) ✅"") ,  if(H1891=""quartier"",vlookup(REGEXEXTRACT(C1891, ""🏘️ \w+ \w+ (.*) ✅""),'Quartier prepositio"&amp;"ns'!A:E, 5, 0) ,  if(H1891=""region"",vlookup(REGEXEXTRACT(C1891, ""🏘️ \w+ \w+ (.*) ✅""),'Region prepositions'!B:F, 5, 0),  REGEXEXTRACT(C1891, ""🏘️ \w+ \w+ (.*) ✅""))))"),"Chippis")</f>
        <v>Chippis</v>
      </c>
      <c r="F1891" s="2" t="str">
        <f>IFERROR(__xludf.DUMMYFUNCTION("REGEXEXTRACT(C1891, ""🏘️ (\w+) \w+ .* ✅"")"),"Louer")</f>
        <v>Louer</v>
      </c>
      <c r="G1891" s="2" t="str">
        <f>IFERROR(__xludf.DUMMYFUNCTION("REGEXEXTRACT(C1891, ""🏘️ \w+ (\w+) .* ✅"")"),"appartement")</f>
        <v>appartement</v>
      </c>
      <c r="H1891" s="4" t="str">
        <f>IFERROR(__xludf.DUMMYFUNCTION("REGEXEXTRACT(A1891, ""/(\w+)-.*?"")"),"lieu")</f>
        <v>lieu</v>
      </c>
      <c r="I1891" s="4" t="str">
        <f>IFERROR(__xludf.DUMMYFUNCTION("if(D1891=""variant"",  substitute(filter(Templates!E:E, Templates!A:A = F1891, Templates!B:B = G1891, Templates!C:C = H1891), ""{{}}"", E1891), B1891)"),"🏘  Vous cherchez un appartement à louer à Chippis? ✅ Les annonces les plus actuelles sont sur ImmoScout24.ch.")</f>
        <v>🏘  Vous cherchez un appartement à louer à Chippis? ✅ Les annonces les plus actuelles sont sur ImmoScout24.ch.</v>
      </c>
      <c r="J1891" s="4" t="s">
        <v>5673</v>
      </c>
    </row>
    <row r="1892">
      <c r="A1892" s="5" t="s">
        <v>5674</v>
      </c>
      <c r="B1892" s="2" t="s">
        <v>5675</v>
      </c>
      <c r="C1892" s="4" t="str">
        <f>IFERROR(__xludf.DUMMYFUNCTION("""🏘️ ""&amp;REGEXEXTRACT(B1892, ""^(.*): "")&amp;"" ✅ "" &amp;REGEXEXTRACT(B1892, ""(Trouvez.*)"")"),"🏘️ Louer appartement Les Enfers ✅ Trouvez le bien immobilier qui correspond idéalement à vos désirs sur ImmoScout24 - La plateforme de l'immobilier en Suisse.")</f>
        <v>🏘️ Louer appartement Les Enfers ✅ Trouvez le bien immobilier qui correspond idéalement à vos désirs sur ImmoScout24 - La plateforme de l'immobilier en Suisse.</v>
      </c>
      <c r="D1892" s="4" t="str">
        <f>vlookup(A1892, Sheet2!D:E, 2, 0)</f>
        <v>variant</v>
      </c>
      <c r="E1892" s="4" t="str">
        <f>IFERROR(__xludf.DUMMYFUNCTION("if(H1892=""pays"",vlookup(REGEXEXTRACT(C1892, ""🏘️ \w+ \w+ (.*) ✅""),'Country prepositions'!A:B, 2, 0) &amp; "" "" &amp; REGEXEXTRACT(C1892, ""🏘️ \w+ \w+ (.*) ✅"") ,  if(H1892=""quartier"",vlookup(REGEXEXTRACT(C1892, ""🏘️ \w+ \w+ (.*) ✅""),'Quartier prepositio"&amp;"ns'!A:E, 5, 0) ,  if(H1892=""region"",vlookup(REGEXEXTRACT(C1892, ""🏘️ \w+ \w+ (.*) ✅""),'Region prepositions'!B:F, 5, 0),  REGEXEXTRACT(C1892, ""🏘️ \w+ \w+ (.*) ✅""))))"),"Les Enfers")</f>
        <v>Les Enfers</v>
      </c>
      <c r="F1892" s="2" t="str">
        <f>IFERROR(__xludf.DUMMYFUNCTION("REGEXEXTRACT(C1892, ""🏘️ (\w+) \w+ .* ✅"")"),"Louer")</f>
        <v>Louer</v>
      </c>
      <c r="G1892" s="2" t="str">
        <f>IFERROR(__xludf.DUMMYFUNCTION("REGEXEXTRACT(C1892, ""🏘️ \w+ (\w+) .* ✅"")"),"appartement")</f>
        <v>appartement</v>
      </c>
      <c r="H1892" s="4" t="str">
        <f>IFERROR(__xludf.DUMMYFUNCTION("REGEXEXTRACT(A1892, ""/(\w+)-.*?"")"),"lieu")</f>
        <v>lieu</v>
      </c>
      <c r="I1892" s="4" t="str">
        <f>IFERROR(__xludf.DUMMYFUNCTION("if(D1892=""variant"",  substitute(filter(Templates!E:E, Templates!A:A = F1892, Templates!B:B = G1892, Templates!C:C = H1892), ""{{}}"", E1892), B1892)"),"🏘  Vous cherchez un appartement à louer à Les Enfers? ✅ Les annonces les plus actuelles sont sur ImmoScout24.ch.")</f>
        <v>🏘  Vous cherchez un appartement à louer à Les Enfers? ✅ Les annonces les plus actuelles sont sur ImmoScout24.ch.</v>
      </c>
      <c r="J1892" s="2" t="s">
        <v>5676</v>
      </c>
    </row>
    <row r="1893">
      <c r="A1893" s="5" t="s">
        <v>5677</v>
      </c>
      <c r="B1893" s="2" t="s">
        <v>5678</v>
      </c>
      <c r="C1893" s="4" t="str">
        <f>IFERROR(__xludf.DUMMYFUNCTION("""🏘️ ""&amp;REGEXEXTRACT(B1893, ""^(.*): "")&amp;"" ✅ "" &amp;REGEXEXTRACT(B1893, ""(Trouvez.*)"")"),"🏘️ Louer appartement Aegerten ✅ Trouvez le bien immobilier qui correspond idéalement à vos désirs sur ImmoScout24 - La plateforme de l'immobilier en Suisse.")</f>
        <v>🏘️ Louer appartement Aegerten ✅ Trouvez le bien immobilier qui correspond idéalement à vos désirs sur ImmoScout24 - La plateforme de l'immobilier en Suisse.</v>
      </c>
      <c r="D1893" s="4" t="str">
        <f>vlookup(A1893, Sheet2!D:E, 2, 0)</f>
        <v>variant</v>
      </c>
      <c r="E1893" s="4" t="str">
        <f>IFERROR(__xludf.DUMMYFUNCTION("if(H1893=""pays"",vlookup(REGEXEXTRACT(C1893, ""🏘️ \w+ \w+ (.*) ✅""),'Country prepositions'!A:B, 2, 0) &amp; "" "" &amp; REGEXEXTRACT(C1893, ""🏘️ \w+ \w+ (.*) ✅"") ,  if(H1893=""quartier"",vlookup(REGEXEXTRACT(C1893, ""🏘️ \w+ \w+ (.*) ✅""),'Quartier prepositio"&amp;"ns'!A:E, 5, 0) ,  if(H1893=""region"",vlookup(REGEXEXTRACT(C1893, ""🏘️ \w+ \w+ (.*) ✅""),'Region prepositions'!B:F, 5, 0),  REGEXEXTRACT(C1893, ""🏘️ \w+ \w+ (.*) ✅""))))"),"Aegerten")</f>
        <v>Aegerten</v>
      </c>
      <c r="F1893" s="2" t="str">
        <f>IFERROR(__xludf.DUMMYFUNCTION("REGEXEXTRACT(C1893, ""🏘️ (\w+) \w+ .* ✅"")"),"Louer")</f>
        <v>Louer</v>
      </c>
      <c r="G1893" s="2" t="str">
        <f>IFERROR(__xludf.DUMMYFUNCTION("REGEXEXTRACT(C1893, ""🏘️ \w+ (\w+) .* ✅"")"),"appartement")</f>
        <v>appartement</v>
      </c>
      <c r="H1893" s="4" t="str">
        <f>IFERROR(__xludf.DUMMYFUNCTION("REGEXEXTRACT(A1893, ""/(\w+)-.*?"")"),"lieu")</f>
        <v>lieu</v>
      </c>
      <c r="I1893" s="4" t="str">
        <f>IFERROR(__xludf.DUMMYFUNCTION("if(D1893=""variant"",  substitute(filter(Templates!E:E, Templates!A:A = F1893, Templates!B:B = G1893, Templates!C:C = H1893), ""{{}}"", E1893), B1893)"),"🏘  Vous cherchez un appartement à louer à Aegerten? ✅ Les annonces les plus actuelles sont sur ImmoScout24.ch.")</f>
        <v>🏘  Vous cherchez un appartement à louer à Aegerten? ✅ Les annonces les plus actuelles sont sur ImmoScout24.ch.</v>
      </c>
      <c r="J1893" s="4" t="s">
        <v>5679</v>
      </c>
    </row>
    <row r="1894">
      <c r="A1894" s="5" t="s">
        <v>5680</v>
      </c>
      <c r="B1894" s="2" t="s">
        <v>5681</v>
      </c>
      <c r="C1894" s="4" t="str">
        <f>IFERROR(__xludf.DUMMYFUNCTION("""🏘️ ""&amp;REGEXEXTRACT(B1894, ""^(.*): "")&amp;"" ✅ "" &amp;REGEXEXTRACT(B1894, ""(Trouvez.*)"")"),"🏘️ Louer appartement Gilly ✅ Trouvez le bien immobilier qui correspond idéalement à vos désirs sur ImmoScout24 - La plateforme de l'immobilier en Suisse.")</f>
        <v>🏘️ Louer appartement Gilly ✅ Trouvez le bien immobilier qui correspond idéalement à vos désirs sur ImmoScout24 - La plateforme de l'immobilier en Suisse.</v>
      </c>
      <c r="D1894" s="4" t="str">
        <f>vlookup(A1894, Sheet2!D:E, 2, 0)</f>
        <v>variant</v>
      </c>
      <c r="E1894" s="4" t="str">
        <f>IFERROR(__xludf.DUMMYFUNCTION("if(H1894=""pays"",vlookup(REGEXEXTRACT(C1894, ""🏘️ \w+ \w+ (.*) ✅""),'Country prepositions'!A:B, 2, 0) &amp; "" "" &amp; REGEXEXTRACT(C1894, ""🏘️ \w+ \w+ (.*) ✅"") ,  if(H1894=""quartier"",vlookup(REGEXEXTRACT(C1894, ""🏘️ \w+ \w+ (.*) ✅""),'Quartier prepositio"&amp;"ns'!A:E, 5, 0) ,  if(H1894=""region"",vlookup(REGEXEXTRACT(C1894, ""🏘️ \w+ \w+ (.*) ✅""),'Region prepositions'!B:F, 5, 0),  REGEXEXTRACT(C1894, ""🏘️ \w+ \w+ (.*) ✅""))))"),"Gilly")</f>
        <v>Gilly</v>
      </c>
      <c r="F1894" s="2" t="str">
        <f>IFERROR(__xludf.DUMMYFUNCTION("REGEXEXTRACT(C1894, ""🏘️ (\w+) \w+ .* ✅"")"),"Louer")</f>
        <v>Louer</v>
      </c>
      <c r="G1894" s="2" t="str">
        <f>IFERROR(__xludf.DUMMYFUNCTION("REGEXEXTRACT(C1894, ""🏘️ \w+ (\w+) .* ✅"")"),"appartement")</f>
        <v>appartement</v>
      </c>
      <c r="H1894" s="4" t="str">
        <f>IFERROR(__xludf.DUMMYFUNCTION("REGEXEXTRACT(A1894, ""/(\w+)-.*?"")"),"lieu")</f>
        <v>lieu</v>
      </c>
      <c r="I1894" s="4" t="str">
        <f>IFERROR(__xludf.DUMMYFUNCTION("if(D1894=""variant"",  substitute(filter(Templates!E:E, Templates!A:A = F1894, Templates!B:B = G1894, Templates!C:C = H1894), ""{{}}"", E1894), B1894)"),"🏘  Vous cherchez un appartement à louer à Gilly? ✅ Les annonces les plus actuelles sont sur ImmoScout24.ch.")</f>
        <v>🏘  Vous cherchez un appartement à louer à Gilly? ✅ Les annonces les plus actuelles sont sur ImmoScout24.ch.</v>
      </c>
      <c r="J1894" s="4" t="s">
        <v>5682</v>
      </c>
    </row>
    <row r="1895">
      <c r="A1895" s="6" t="s">
        <v>5683</v>
      </c>
      <c r="B1895" s="7" t="s">
        <v>5684</v>
      </c>
      <c r="C1895" s="8" t="str">
        <f>IFERROR(__xludf.DUMMYFUNCTION("""🏘️ ""&amp;REGEXEXTRACT(B1895, ""^(.*): "")&amp;"" ✅ "" &amp;REGEXEXTRACT(B1895, ""(Trouvez.*)"")"),"🏘️ Louer appartement Les Hauts-Geneveys ✅ Trouvez le bien immobilier qui correspond idéalement à vos désirs sur ImmoScout24 - La plateforme de l'immobilier en Suisse.")</f>
        <v>🏘️ Louer appartement Les Hauts-Geneveys ✅ Trouvez le bien immobilier qui correspond idéalement à vos désirs sur ImmoScout24 - La plateforme de l'immobilier en Suisse.</v>
      </c>
      <c r="D1895" s="8" t="str">
        <f>vlookup(A1895, Sheet2!D:E, 2, 0)</f>
        <v>variant</v>
      </c>
      <c r="E1895" s="8" t="str">
        <f>IFERROR(__xludf.DUMMYFUNCTION("if(H1895=""pays"",vlookup(REGEXEXTRACT(C1895, ""🏘️ \w+ \w+ (.*) ✅""),'Country prepositions'!A:B, 2, 0) &amp; "" "" &amp; REGEXEXTRACT(C1895, ""🏘️ \w+ \w+ (.*) ✅"") ,  if(H1895=""quartier"",vlookup(REGEXEXTRACT(C1895, ""🏘️ \w+ \w+ (.*) ✅""),'Quartier prepositio"&amp;"ns'!A:E, 5, 0) ,  if(H1895=""region"",vlookup(REGEXEXTRACT(C1895, ""🏘️ \w+ \w+ (.*) ✅""),'Region prepositions'!B:F, 5, 0),  REGEXEXTRACT(C1895, ""🏘️ \w+ \w+ (.*) ✅""))))"),"Les Hauts-Geneveys")</f>
        <v>Les Hauts-Geneveys</v>
      </c>
      <c r="F1895" s="7" t="str">
        <f>IFERROR(__xludf.DUMMYFUNCTION("REGEXEXTRACT(C1895, ""🏘️ (\w+) \w+ .* ✅"")"),"Louer")</f>
        <v>Louer</v>
      </c>
      <c r="G1895" s="7" t="str">
        <f>IFERROR(__xludf.DUMMYFUNCTION("REGEXEXTRACT(C1895, ""🏘️ \w+ (\w+) .* ✅"")"),"appartement")</f>
        <v>appartement</v>
      </c>
      <c r="H1895" s="8" t="str">
        <f>IFERROR(__xludf.DUMMYFUNCTION("REGEXEXTRACT(A1895, ""/(\w+)-.*?"")"),"lieu")</f>
        <v>lieu</v>
      </c>
      <c r="I1895" s="8" t="str">
        <f>IFERROR(__xludf.DUMMYFUNCTION("if(D1895=""variant"",  substitute(filter(Templates!E:E, Templates!A:A = F1895, Templates!B:B = G1895, Templates!C:C = H1895), ""{{}}"", E1895), B1895)"),"🏘  Vous cherchez un appartement à louer à Les Hauts-Geneveys? ✅ Les annonces les plus actuelles sont sur ImmoScout24.ch.")</f>
        <v>🏘  Vous cherchez un appartement à louer à Les Hauts-Geneveys? ✅ Les annonces les plus actuelles sont sur ImmoScout24.ch.</v>
      </c>
      <c r="J1895" s="7" t="s">
        <v>5685</v>
      </c>
      <c r="K1895" s="8"/>
      <c r="L1895" s="8"/>
      <c r="M1895" s="8"/>
      <c r="N1895" s="8"/>
      <c r="O1895" s="8"/>
      <c r="P1895" s="8"/>
      <c r="Q1895" s="8"/>
      <c r="R1895" s="8"/>
      <c r="S1895" s="8"/>
      <c r="T1895" s="8"/>
    </row>
    <row r="1896">
      <c r="A1896" s="5" t="s">
        <v>5686</v>
      </c>
      <c r="B1896" s="2" t="s">
        <v>5687</v>
      </c>
      <c r="C1896" s="4" t="str">
        <f>IFERROR(__xludf.DUMMYFUNCTION("""🏘️ ""&amp;REGEXEXTRACT(B1896, ""^(.*): "")&amp;"" ✅ "" &amp;REGEXEXTRACT(B1896, ""(Trouvez.*)"")"),"🏘️ Vendre appartement Middes ✅ Trouvez le bien immobilier qui correspond idéalement à vos désirs sur ImmoScout24 - La plateforme de l'immobilier en Suisse.")</f>
        <v>🏘️ Vendre appartement Middes ✅ Trouvez le bien immobilier qui correspond idéalement à vos désirs sur ImmoScout24 - La plateforme de l'immobilier en Suisse.</v>
      </c>
      <c r="D1896" s="4" t="str">
        <f>vlookup(A1896, Sheet2!D:E, 2, 0)</f>
        <v>variant</v>
      </c>
      <c r="E1896" s="4" t="str">
        <f>IFERROR(__xludf.DUMMYFUNCTION("if(H1896=""pays"",vlookup(REGEXEXTRACT(C1896, ""🏘️ \w+ \w+ (.*) ✅""),'Country prepositions'!A:B, 2, 0) &amp; "" "" &amp; REGEXEXTRACT(C1896, ""🏘️ \w+ \w+ (.*) ✅"") ,  if(H1896=""quartier"",vlookup(REGEXEXTRACT(C1896, ""🏘️ \w+ \w+ (.*) ✅""),'Quartier prepositio"&amp;"ns'!A:E, 5, 0) ,  if(H1896=""region"",vlookup(REGEXEXTRACT(C1896, ""🏘️ \w+ \w+ (.*) ✅""),'Region prepositions'!B:F, 5, 0),  REGEXEXTRACT(C1896, ""🏘️ \w+ \w+ (.*) ✅""))))"),"Middes")</f>
        <v>Middes</v>
      </c>
      <c r="F1896" s="2" t="str">
        <f>IFERROR(__xludf.DUMMYFUNCTION("REGEXEXTRACT(C1896, ""🏘️ (\w+) \w+ .* ✅"")"),"Vendre")</f>
        <v>Vendre</v>
      </c>
      <c r="G1896" s="2" t="str">
        <f>IFERROR(__xludf.DUMMYFUNCTION("REGEXEXTRACT(C1896, ""🏘️ \w+ (\w+) .* ✅"")"),"appartement")</f>
        <v>appartement</v>
      </c>
      <c r="H1896" s="4" t="str">
        <f>IFERROR(__xludf.DUMMYFUNCTION("REGEXEXTRACT(A1896, ""/(\w+)-.*?"")"),"lieu")</f>
        <v>lieu</v>
      </c>
      <c r="I1896" s="4" t="str">
        <f>IFERROR(__xludf.DUMMYFUNCTION("if(D1896=""variant"",  substitute(filter(Templates!E:E, Templates!A:A = F1896, Templates!B:B = G1896, Templates!C:C = H1896), ""{{}}"", E1896), B1896)"),"🏘  L’appartement de vos rêves se trouve sur ImmoScout24.ch ✅ Découvrez les dernières annonces de vente à Middes.")</f>
        <v>🏘  L’appartement de vos rêves se trouve sur ImmoScout24.ch ✅ Découvrez les dernières annonces de vente à Middes.</v>
      </c>
      <c r="J1896" s="4" t="s">
        <v>5688</v>
      </c>
    </row>
    <row r="1897">
      <c r="A1897" s="5" t="s">
        <v>5689</v>
      </c>
      <c r="B1897" s="2" t="s">
        <v>5690</v>
      </c>
      <c r="C1897" s="4" t="str">
        <f>IFERROR(__xludf.DUMMYFUNCTION("""🏘️ ""&amp;REGEXEXTRACT(B1897, ""^(.*): "")&amp;"" ✅ "" &amp;REGEXEXTRACT(B1897, ""(Trouvez.*)"")"),"🏘️ Vendre appartement Courtételle ✅ Trouvez le bien immobilier qui correspond idéalement à vos désirs sur ImmoScout24 - La plateforme de l'immobilier en Suisse.")</f>
        <v>🏘️ Vendre appartement Courtételle ✅ Trouvez le bien immobilier qui correspond idéalement à vos désirs sur ImmoScout24 - La plateforme de l'immobilier en Suisse.</v>
      </c>
      <c r="D1897" s="4" t="str">
        <f>vlookup(A1897, Sheet2!D:E, 2, 0)</f>
        <v>variant</v>
      </c>
      <c r="E1897" s="4" t="str">
        <f>IFERROR(__xludf.DUMMYFUNCTION("if(H1897=""pays"",vlookup(REGEXEXTRACT(C1897, ""🏘️ \w+ \w+ (.*) ✅""),'Country prepositions'!A:B, 2, 0) &amp; "" "" &amp; REGEXEXTRACT(C1897, ""🏘️ \w+ \w+ (.*) ✅"") ,  if(H1897=""quartier"",vlookup(REGEXEXTRACT(C1897, ""🏘️ \w+ \w+ (.*) ✅""),'Quartier prepositio"&amp;"ns'!A:E, 5, 0) ,  if(H1897=""region"",vlookup(REGEXEXTRACT(C1897, ""🏘️ \w+ \w+ (.*) ✅""),'Region prepositions'!B:F, 5, 0),  REGEXEXTRACT(C1897, ""🏘️ \w+ \w+ (.*) ✅""))))"),"Courtételle")</f>
        <v>Courtételle</v>
      </c>
      <c r="F1897" s="2" t="str">
        <f>IFERROR(__xludf.DUMMYFUNCTION("REGEXEXTRACT(C1897, ""🏘️ (\w+) \w+ .* ✅"")"),"Vendre")</f>
        <v>Vendre</v>
      </c>
      <c r="G1897" s="2" t="str">
        <f>IFERROR(__xludf.DUMMYFUNCTION("REGEXEXTRACT(C1897, ""🏘️ \w+ (\w+) .* ✅"")"),"appartement")</f>
        <v>appartement</v>
      </c>
      <c r="H1897" s="4" t="str">
        <f>IFERROR(__xludf.DUMMYFUNCTION("REGEXEXTRACT(A1897, ""/(\w+)-.*?"")"),"lieu")</f>
        <v>lieu</v>
      </c>
      <c r="I1897" s="4" t="str">
        <f>IFERROR(__xludf.DUMMYFUNCTION("if(D1897=""variant"",  substitute(filter(Templates!E:E, Templates!A:A = F1897, Templates!B:B = G1897, Templates!C:C = H1897), ""{{}}"", E1897), B1897)"),"🏘  L’appartement de vos rêves se trouve sur ImmoScout24.ch ✅ Découvrez les dernières annonces de vente à Courtételle.")</f>
        <v>🏘  L’appartement de vos rêves se trouve sur ImmoScout24.ch ✅ Découvrez les dernières annonces de vente à Courtételle.</v>
      </c>
      <c r="J1897" s="4" t="s">
        <v>5691</v>
      </c>
    </row>
    <row r="1898">
      <c r="A1898" s="5" t="s">
        <v>5692</v>
      </c>
      <c r="B1898" s="2" t="s">
        <v>5693</v>
      </c>
      <c r="C1898" s="4" t="str">
        <f>IFERROR(__xludf.DUMMYFUNCTION("""🏘️ ""&amp;REGEXEXTRACT(B1898, ""^(.*): "")&amp;"" ✅ "" &amp;REGEXEXTRACT(B1898, ""(Trouvez.*)"")"),"🏘️ Vendre appartement Pompaples ✅ Trouvez le bien immobilier qui correspond idéalement à vos désirs sur ImmoScout24 - La plateforme de l'immobilier en Suisse.")</f>
        <v>🏘️ Vendre appartement Pompaples ✅ Trouvez le bien immobilier qui correspond idéalement à vos désirs sur ImmoScout24 - La plateforme de l'immobilier en Suisse.</v>
      </c>
      <c r="D1898" s="4" t="str">
        <f>vlookup(A1898, Sheet2!D:E, 2, 0)</f>
        <v>variant</v>
      </c>
      <c r="E1898" s="4" t="str">
        <f>IFERROR(__xludf.DUMMYFUNCTION("if(H1898=""pays"",vlookup(REGEXEXTRACT(C1898, ""🏘️ \w+ \w+ (.*) ✅""),'Country prepositions'!A:B, 2, 0) &amp; "" "" &amp; REGEXEXTRACT(C1898, ""🏘️ \w+ \w+ (.*) ✅"") ,  if(H1898=""quartier"",vlookup(REGEXEXTRACT(C1898, ""🏘️ \w+ \w+ (.*) ✅""),'Quartier prepositio"&amp;"ns'!A:E, 5, 0) ,  if(H1898=""region"",vlookup(REGEXEXTRACT(C1898, ""🏘️ \w+ \w+ (.*) ✅""),'Region prepositions'!B:F, 5, 0),  REGEXEXTRACT(C1898, ""🏘️ \w+ \w+ (.*) ✅""))))"),"Pompaples")</f>
        <v>Pompaples</v>
      </c>
      <c r="F1898" s="2" t="str">
        <f>IFERROR(__xludf.DUMMYFUNCTION("REGEXEXTRACT(C1898, ""🏘️ (\w+) \w+ .* ✅"")"),"Vendre")</f>
        <v>Vendre</v>
      </c>
      <c r="G1898" s="2" t="str">
        <f>IFERROR(__xludf.DUMMYFUNCTION("REGEXEXTRACT(C1898, ""🏘️ \w+ (\w+) .* ✅"")"),"appartement")</f>
        <v>appartement</v>
      </c>
      <c r="H1898" s="4" t="str">
        <f>IFERROR(__xludf.DUMMYFUNCTION("REGEXEXTRACT(A1898, ""/(\w+)-.*?"")"),"lieu")</f>
        <v>lieu</v>
      </c>
      <c r="I1898" s="4" t="str">
        <f>IFERROR(__xludf.DUMMYFUNCTION("if(D1898=""variant"",  substitute(filter(Templates!E:E, Templates!A:A = F1898, Templates!B:B = G1898, Templates!C:C = H1898), ""{{}}"", E1898), B1898)"),"🏘  L’appartement de vos rêves se trouve sur ImmoScout24.ch ✅ Découvrez les dernières annonces de vente à Pompaples.")</f>
        <v>🏘  L’appartement de vos rêves se trouve sur ImmoScout24.ch ✅ Découvrez les dernières annonces de vente à Pompaples.</v>
      </c>
      <c r="J1898" s="4" t="s">
        <v>5694</v>
      </c>
    </row>
    <row r="1899">
      <c r="A1899" s="5" t="s">
        <v>5695</v>
      </c>
      <c r="B1899" s="2" t="s">
        <v>5696</v>
      </c>
      <c r="C1899" s="4" t="str">
        <f>IFERROR(__xludf.DUMMYFUNCTION("""🏘️ ""&amp;REGEXEXTRACT(B1899, ""^(.*): "")&amp;"" ✅ "" &amp;REGEXEXTRACT(B1899, ""(Trouvez.*)"")"),"🏘️ Louer maison Enney ✅ Trouvez le bien immobilier qui correspond idéalement à vos désirs sur ImmoScout24 - La plateforme de l'immobilier en Suisse.")</f>
        <v>🏘️ Louer maison Enney ✅ Trouvez le bien immobilier qui correspond idéalement à vos désirs sur ImmoScout24 - La plateforme de l'immobilier en Suisse.</v>
      </c>
      <c r="D1899" s="4" t="str">
        <f>vlookup(A1899, Sheet2!D:E, 2, 0)</f>
        <v>variant</v>
      </c>
      <c r="E1899" s="4" t="str">
        <f>IFERROR(__xludf.DUMMYFUNCTION("if(H1899=""pays"",vlookup(REGEXEXTRACT(C1899, ""🏘️ \w+ \w+ (.*) ✅""),'Country prepositions'!A:B, 2, 0) &amp; "" "" &amp; REGEXEXTRACT(C1899, ""🏘️ \w+ \w+ (.*) ✅"") ,  if(H1899=""quartier"",vlookup(REGEXEXTRACT(C1899, ""🏘️ \w+ \w+ (.*) ✅""),'Quartier prepositio"&amp;"ns'!A:E, 5, 0) ,  if(H1899=""region"",vlookup(REGEXEXTRACT(C1899, ""🏘️ \w+ \w+ (.*) ✅""),'Region prepositions'!B:F, 5, 0),  REGEXEXTRACT(C1899, ""🏘️ \w+ \w+ (.*) ✅""))))"),"Enney")</f>
        <v>Enney</v>
      </c>
      <c r="F1899" s="2" t="str">
        <f>IFERROR(__xludf.DUMMYFUNCTION("REGEXEXTRACT(C1899, ""🏘️ (\w+) \w+ .* ✅"")"),"Louer")</f>
        <v>Louer</v>
      </c>
      <c r="G1899" s="2" t="str">
        <f>IFERROR(__xludf.DUMMYFUNCTION("REGEXEXTRACT(C1899, ""🏘️ \w+ (\w+) .* ✅"")"),"maison")</f>
        <v>maison</v>
      </c>
      <c r="H1899" s="4" t="str">
        <f>IFERROR(__xludf.DUMMYFUNCTION("REGEXEXTRACT(A1899, ""/(\w+)-.*?"")"),"lieu")</f>
        <v>lieu</v>
      </c>
      <c r="I1899" s="4" t="str">
        <f>IFERROR(__xludf.DUMMYFUNCTION("if(D1899=""variant"",  substitute(filter(Templates!E:E, Templates!A:A = F1899, Templates!B:B = G1899, Templates!C:C = H1899), ""{{}}"", E1899), B1899)"),"🏘  Vous cherchez une maison à louer à Enney? ✅ Découvrez nos nombreuses annonces sur ImmoScout24.ch.")</f>
        <v>🏘  Vous cherchez une maison à louer à Enney? ✅ Découvrez nos nombreuses annonces sur ImmoScout24.ch.</v>
      </c>
      <c r="J1899" s="4" t="s">
        <v>5697</v>
      </c>
    </row>
    <row r="1900">
      <c r="A1900" s="5" t="s">
        <v>5698</v>
      </c>
      <c r="B1900" s="2" t="s">
        <v>5699</v>
      </c>
      <c r="C1900" s="4" t="str">
        <f>IFERROR(__xludf.DUMMYFUNCTION("""🏘️ ""&amp;REGEXEXTRACT(B1900, ""^(.*): "")&amp;"" ✅ "" &amp;REGEXEXTRACT(B1900, ""(Trouvez.*)"")"),"🏘️ Louer appartement Canton de Zurich ✅ Trouvez le bien immobilier qui correspond idéalement à vos désirs sur ImmoScout24 - La plateforme de l'immobilier en Suisse.")</f>
        <v>🏘️ Louer appartement Canton de Zurich ✅ Trouvez le bien immobilier qui correspond idéalement à vos désirs sur ImmoScout24 - La plateforme de l'immobilier en Suisse.</v>
      </c>
      <c r="D1900" s="4" t="str">
        <f>vlookup(A1900, Sheet2!D:E, 2, 0)</f>
        <v>variant</v>
      </c>
      <c r="E1900" s="4" t="str">
        <f>IFERROR(__xludf.DUMMYFUNCTION("if(H1900=""pays"",vlookup(REGEXEXTRACT(C1900, ""🏘️ \w+ \w+ (.*) ✅""),'Country prepositions'!A:B, 2, 0) &amp; "" "" &amp; REGEXEXTRACT(C1900, ""🏘️ \w+ \w+ (.*) ✅"") ,  if(H1900=""quartier"",vlookup(REGEXEXTRACT(C1900, ""🏘️ \w+ \w+ (.*) ✅""),'Quartier prepositio"&amp;"ns'!A:E, 5, 0) ,  if(H1900=""region"",vlookup(REGEXEXTRACT(C1900, ""🏘️ \w+ \w+ (.*) ✅""),'Region prepositions'!B:F, 5, 0),  REGEXEXTRACT(C1900, ""🏘️ \w+ \w+ (.*) ✅""))))"),"Canton de Zurich")</f>
        <v>Canton de Zurich</v>
      </c>
      <c r="F1900" s="2" t="str">
        <f>IFERROR(__xludf.DUMMYFUNCTION("REGEXEXTRACT(C1900, ""🏘️ (\w+) \w+ .* ✅"")"),"Louer")</f>
        <v>Louer</v>
      </c>
      <c r="G1900" s="2" t="str">
        <f>IFERROR(__xludf.DUMMYFUNCTION("REGEXEXTRACT(C1900, ""🏘️ \w+ (\w+) .* ✅"")"),"appartement")</f>
        <v>appartement</v>
      </c>
      <c r="H1900" s="4" t="str">
        <f>IFERROR(__xludf.DUMMYFUNCTION("REGEXEXTRACT(A1900, ""/(\w+)-.*?"")"),"canton")</f>
        <v>canton</v>
      </c>
      <c r="I1900" s="4" t="str">
        <f>IFERROR(__xludf.DUMMYFUNCTION("if(D1900=""variant"",  substitute(filter(Templates!E:E, Templates!A:A = F1900, Templates!B:B = G1900, Templates!C:C = H1900), ""{{}}"", E1900), B1900)"),"🏘  Vous cherchez un appartement à louer dans le Canton de Zurich? ✅ Les annonces les plus actuelles sont sur ImmoScout24.ch.")</f>
        <v>🏘  Vous cherchez un appartement à louer dans le Canton de Zurich? ✅ Les annonces les plus actuelles sont sur ImmoScout24.ch.</v>
      </c>
      <c r="J1900" s="4" t="s">
        <v>5700</v>
      </c>
    </row>
    <row r="1901">
      <c r="A1901" s="5" t="s">
        <v>5701</v>
      </c>
      <c r="B1901" s="2" t="s">
        <v>5702</v>
      </c>
      <c r="C1901" s="4" t="str">
        <f>IFERROR(__xludf.DUMMYFUNCTION("""🏘️ ""&amp;REGEXEXTRACT(B1901, ""^(.*): "")&amp;"" ✅ "" &amp;REGEXEXTRACT(B1901, ""(Trouvez.*)"")"),"🏘️ Vendre appartement Randogne ✅ Trouvez le bien immobilier qui correspond idéalement à vos désirs sur ImmoScout24 - La plateforme de l'immobilier en Suisse.")</f>
        <v>🏘️ Vendre appartement Randogne ✅ Trouvez le bien immobilier qui correspond idéalement à vos désirs sur ImmoScout24 - La plateforme de l'immobilier en Suisse.</v>
      </c>
      <c r="D1901" s="4" t="str">
        <f>vlookup(A1901, Sheet2!D:E, 2, 0)</f>
        <v>variant</v>
      </c>
      <c r="E1901" s="4" t="str">
        <f>IFERROR(__xludf.DUMMYFUNCTION("if(H1901=""pays"",vlookup(REGEXEXTRACT(C1901, ""🏘️ \w+ \w+ (.*) ✅""),'Country prepositions'!A:B, 2, 0) &amp; "" "" &amp; REGEXEXTRACT(C1901, ""🏘️ \w+ \w+ (.*) ✅"") ,  if(H1901=""quartier"",vlookup(REGEXEXTRACT(C1901, ""🏘️ \w+ \w+ (.*) ✅""),'Quartier prepositio"&amp;"ns'!A:E, 5, 0) ,  if(H1901=""region"",vlookup(REGEXEXTRACT(C1901, ""🏘️ \w+ \w+ (.*) ✅""),'Region prepositions'!B:F, 5, 0),  REGEXEXTRACT(C1901, ""🏘️ \w+ \w+ (.*) ✅""))))"),"Randogne")</f>
        <v>Randogne</v>
      </c>
      <c r="F1901" s="2" t="str">
        <f>IFERROR(__xludf.DUMMYFUNCTION("REGEXEXTRACT(C1901, ""🏘️ (\w+) \w+ .* ✅"")"),"Vendre")</f>
        <v>Vendre</v>
      </c>
      <c r="G1901" s="2" t="str">
        <f>IFERROR(__xludf.DUMMYFUNCTION("REGEXEXTRACT(C1901, ""🏘️ \w+ (\w+) .* ✅"")"),"appartement")</f>
        <v>appartement</v>
      </c>
      <c r="H1901" s="4" t="str">
        <f>IFERROR(__xludf.DUMMYFUNCTION("REGEXEXTRACT(A1901, ""/(\w+)-.*?"")"),"lieu")</f>
        <v>lieu</v>
      </c>
      <c r="I1901" s="4" t="str">
        <f>IFERROR(__xludf.DUMMYFUNCTION("if(D1901=""variant"",  substitute(filter(Templates!E:E, Templates!A:A = F1901, Templates!B:B = G1901, Templates!C:C = H1901), ""{{}}"", E1901), B1901)"),"🏘  L’appartement de vos rêves se trouve sur ImmoScout24.ch ✅ Découvrez les dernières annonces de vente à Randogne.")</f>
        <v>🏘  L’appartement de vos rêves se trouve sur ImmoScout24.ch ✅ Découvrez les dernières annonces de vente à Randogne.</v>
      </c>
      <c r="J1901" s="4" t="s">
        <v>5703</v>
      </c>
    </row>
    <row r="1902">
      <c r="A1902" s="5" t="s">
        <v>5704</v>
      </c>
      <c r="B1902" s="2" t="s">
        <v>5705</v>
      </c>
      <c r="C1902" s="4" t="str">
        <f>IFERROR(__xludf.DUMMYFUNCTION("""🏘️ ""&amp;REGEXEXTRACT(B1902, ""^(.*): "")&amp;"" ✅ "" &amp;REGEXEXTRACT(B1902, ""(Trouvez.*)"")"),"🏘️ Louer appartement Spiegel b. Bern ✅ Trouvez le bien immobilier qui correspond idéalement à vos désirs sur ImmoScout24 - La plateforme de l'immobilier en Suisse.")</f>
        <v>🏘️ Louer appartement Spiegel b. Bern ✅ Trouvez le bien immobilier qui correspond idéalement à vos désirs sur ImmoScout24 - La plateforme de l'immobilier en Suisse.</v>
      </c>
      <c r="D1902" s="4" t="str">
        <f>vlookup(A1902, Sheet2!D:E, 2, 0)</f>
        <v>variant</v>
      </c>
      <c r="E1902" s="4" t="str">
        <f>IFERROR(__xludf.DUMMYFUNCTION("if(H1902=""pays"",vlookup(REGEXEXTRACT(C1902, ""🏘️ \w+ \w+ (.*) ✅""),'Country prepositions'!A:B, 2, 0) &amp; "" "" &amp; REGEXEXTRACT(C1902, ""🏘️ \w+ \w+ (.*) ✅"") ,  if(H1902=""quartier"",vlookup(REGEXEXTRACT(C1902, ""🏘️ \w+ \w+ (.*) ✅""),'Quartier prepositio"&amp;"ns'!A:E, 5, 0) ,  if(H1902=""region"",vlookup(REGEXEXTRACT(C1902, ""🏘️ \w+ \w+ (.*) ✅""),'Region prepositions'!B:F, 5, 0),  REGEXEXTRACT(C1902, ""🏘️ \w+ \w+ (.*) ✅""))))"),"Spiegel b. Bern")</f>
        <v>Spiegel b. Bern</v>
      </c>
      <c r="F1902" s="2" t="str">
        <f>IFERROR(__xludf.DUMMYFUNCTION("REGEXEXTRACT(C1902, ""🏘️ (\w+) \w+ .* ✅"")"),"Louer")</f>
        <v>Louer</v>
      </c>
      <c r="G1902" s="2" t="str">
        <f>IFERROR(__xludf.DUMMYFUNCTION("REGEXEXTRACT(C1902, ""🏘️ \w+ (\w+) .* ✅"")"),"appartement")</f>
        <v>appartement</v>
      </c>
      <c r="H1902" s="4" t="str">
        <f>IFERROR(__xludf.DUMMYFUNCTION("REGEXEXTRACT(A1902, ""/(\w+)-.*?"")"),"lieu")</f>
        <v>lieu</v>
      </c>
      <c r="I1902" s="4" t="str">
        <f>IFERROR(__xludf.DUMMYFUNCTION("if(D1902=""variant"",  substitute(filter(Templates!E:E, Templates!A:A = F1902, Templates!B:B = G1902, Templates!C:C = H1902), ""{{}}"", E1902), B1902)"),"🏘  Vous cherchez un appartement à louer à Spiegel b. Bern? ✅ Les annonces les plus actuelles sont sur ImmoScout24.ch.")</f>
        <v>🏘  Vous cherchez un appartement à louer à Spiegel b. Bern? ✅ Les annonces les plus actuelles sont sur ImmoScout24.ch.</v>
      </c>
      <c r="J1902" s="4" t="s">
        <v>5706</v>
      </c>
    </row>
    <row r="1903">
      <c r="A1903" s="5" t="s">
        <v>5707</v>
      </c>
      <c r="B1903" s="2" t="s">
        <v>5708</v>
      </c>
      <c r="C1903" s="4" t="str">
        <f>IFERROR(__xludf.DUMMYFUNCTION("""🏘️ ""&amp;REGEXEXTRACT(B1903, ""^(.*): "")&amp;"" ✅ "" &amp;REGEXEXTRACT(B1903, ""(Trouvez.*)"")"),"🏘️ Vendre maison Eschert ✅ Trouvez le bien immobilier qui correspond idéalement à vos désirs sur ImmoScout24 - La plateforme de l'immobilier en Suisse.")</f>
        <v>🏘️ Vendre maison Eschert ✅ Trouvez le bien immobilier qui correspond idéalement à vos désirs sur ImmoScout24 - La plateforme de l'immobilier en Suisse.</v>
      </c>
      <c r="D1903" s="4" t="str">
        <f>vlookup(A1903, Sheet2!D:E, 2, 0)</f>
        <v>variant</v>
      </c>
      <c r="E1903" s="4" t="str">
        <f>IFERROR(__xludf.DUMMYFUNCTION("if(H1903=""pays"",vlookup(REGEXEXTRACT(C1903, ""🏘️ \w+ \w+ (.*) ✅""),'Country prepositions'!A:B, 2, 0) &amp; "" "" &amp; REGEXEXTRACT(C1903, ""🏘️ \w+ \w+ (.*) ✅"") ,  if(H1903=""quartier"",vlookup(REGEXEXTRACT(C1903, ""🏘️ \w+ \w+ (.*) ✅""),'Quartier prepositio"&amp;"ns'!A:E, 5, 0) ,  if(H1903=""region"",vlookup(REGEXEXTRACT(C1903, ""🏘️ \w+ \w+ (.*) ✅""),'Region prepositions'!B:F, 5, 0),  REGEXEXTRACT(C1903, ""🏘️ \w+ \w+ (.*) ✅""))))"),"Eschert")</f>
        <v>Eschert</v>
      </c>
      <c r="F1903" s="2" t="str">
        <f>IFERROR(__xludf.DUMMYFUNCTION("REGEXEXTRACT(C1903, ""🏘️ (\w+) \w+ .* ✅"")"),"Vendre")</f>
        <v>Vendre</v>
      </c>
      <c r="G1903" s="2" t="str">
        <f>IFERROR(__xludf.DUMMYFUNCTION("REGEXEXTRACT(C1903, ""🏘️ \w+ (\w+) .* ✅"")"),"maison")</f>
        <v>maison</v>
      </c>
      <c r="H1903" s="4" t="str">
        <f>IFERROR(__xludf.DUMMYFUNCTION("REGEXEXTRACT(A1903, ""/(\w+)-.*?"")"),"lieu")</f>
        <v>lieu</v>
      </c>
      <c r="I1903" s="4" t="str">
        <f>IFERROR(__xludf.DUMMYFUNCTION("if(D1903=""variant"",  substitute(filter(Templates!E:E, Templates!A:A = F1903, Templates!B:B = G1903, Templates!C:C = H1903), ""{{}}"", E1903), B1903)"),"🏘  Vous souhaitez acheter une maison à Eschert? ✅ Jetez un œil aux dernières offres sur ImmoScout24.ch.")</f>
        <v>🏘  Vous souhaitez acheter une maison à Eschert? ✅ Jetez un œil aux dernières offres sur ImmoScout24.ch.</v>
      </c>
      <c r="J1903" s="4" t="s">
        <v>5709</v>
      </c>
    </row>
    <row r="1904">
      <c r="A1904" s="5" t="s">
        <v>5710</v>
      </c>
      <c r="B1904" s="2" t="s">
        <v>5711</v>
      </c>
      <c r="C1904" s="4" t="str">
        <f>IFERROR(__xludf.DUMMYFUNCTION("""🏘️ ""&amp;REGEXEXTRACT(B1904, ""^(.*): "")&amp;"" ✅ "" &amp;REGEXEXTRACT(B1904, ""(Trouvez.*)"")"),"🏘️ Louer appartement Chesières ✅ Trouvez le bien immobilier qui correspond idéalement à vos désirs sur ImmoScout24 - La plateforme de l'immobilier en Suisse.")</f>
        <v>🏘️ Louer appartement Chesières ✅ Trouvez le bien immobilier qui correspond idéalement à vos désirs sur ImmoScout24 - La plateforme de l'immobilier en Suisse.</v>
      </c>
      <c r="D1904" s="4" t="str">
        <f>vlookup(A1904, Sheet2!D:E, 2, 0)</f>
        <v>variant</v>
      </c>
      <c r="E1904" s="4" t="str">
        <f>IFERROR(__xludf.DUMMYFUNCTION("if(H1904=""pays"",vlookup(REGEXEXTRACT(C1904, ""🏘️ \w+ \w+ (.*) ✅""),'Country prepositions'!A:B, 2, 0) &amp; "" "" &amp; REGEXEXTRACT(C1904, ""🏘️ \w+ \w+ (.*) ✅"") ,  if(H1904=""quartier"",vlookup(REGEXEXTRACT(C1904, ""🏘️ \w+ \w+ (.*) ✅""),'Quartier prepositio"&amp;"ns'!A:E, 5, 0) ,  if(H1904=""region"",vlookup(REGEXEXTRACT(C1904, ""🏘️ \w+ \w+ (.*) ✅""),'Region prepositions'!B:F, 5, 0),  REGEXEXTRACT(C1904, ""🏘️ \w+ \w+ (.*) ✅""))))"),"Chesières")</f>
        <v>Chesières</v>
      </c>
      <c r="F1904" s="2" t="str">
        <f>IFERROR(__xludf.DUMMYFUNCTION("REGEXEXTRACT(C1904, ""🏘️ (\w+) \w+ .* ✅"")"),"Louer")</f>
        <v>Louer</v>
      </c>
      <c r="G1904" s="2" t="str">
        <f>IFERROR(__xludf.DUMMYFUNCTION("REGEXEXTRACT(C1904, ""🏘️ \w+ (\w+) .* ✅"")"),"appartement")</f>
        <v>appartement</v>
      </c>
      <c r="H1904" s="4" t="str">
        <f>IFERROR(__xludf.DUMMYFUNCTION("REGEXEXTRACT(A1904, ""/(\w+)-.*?"")"),"lieu")</f>
        <v>lieu</v>
      </c>
      <c r="I1904" s="4" t="str">
        <f>IFERROR(__xludf.DUMMYFUNCTION("if(D1904=""variant"",  substitute(filter(Templates!E:E, Templates!A:A = F1904, Templates!B:B = G1904, Templates!C:C = H1904), ""{{}}"", E1904), B1904)"),"🏘  Vous cherchez un appartement à louer à Chesières? ✅ Les annonces les plus actuelles sont sur ImmoScout24.ch.")</f>
        <v>🏘  Vous cherchez un appartement à louer à Chesières? ✅ Les annonces les plus actuelles sont sur ImmoScout24.ch.</v>
      </c>
      <c r="J1904" s="4" t="s">
        <v>5712</v>
      </c>
    </row>
    <row r="1905">
      <c r="A1905" s="5" t="s">
        <v>5713</v>
      </c>
      <c r="B1905" s="2" t="s">
        <v>5714</v>
      </c>
      <c r="C1905" s="4" t="str">
        <f>IFERROR(__xludf.DUMMYFUNCTION("""🏘️ ""&amp;REGEXEXTRACT(B1905, ""^(.*): "")&amp;"" ✅ "" &amp;REGEXEXTRACT(B1905, ""(Trouvez.*)"")"),"🏘️ Vendre maison La Sagne (Ste-Croix) ✅ Trouvez le bien immobilier qui correspond idéalement à vos désirs sur ImmoScout24 - La plateforme de l'immobilier en Suisse.")</f>
        <v>🏘️ Vendre maison La Sagne (Ste-Croix) ✅ Trouvez le bien immobilier qui correspond idéalement à vos désirs sur ImmoScout24 - La plateforme de l'immobilier en Suisse.</v>
      </c>
      <c r="D1905" s="4" t="str">
        <f>vlookup(A1905, Sheet2!D:E, 2, 0)</f>
        <v>variant</v>
      </c>
      <c r="E1905" s="4" t="str">
        <f>IFERROR(__xludf.DUMMYFUNCTION("if(H1905=""pays"",vlookup(REGEXEXTRACT(C1905, ""🏘️ \w+ \w+ (.*) ✅""),'Country prepositions'!A:B, 2, 0) &amp; "" "" &amp; REGEXEXTRACT(C1905, ""🏘️ \w+ \w+ (.*) ✅"") ,  if(H1905=""quartier"",vlookup(REGEXEXTRACT(C1905, ""🏘️ \w+ \w+ (.*) ✅""),'Quartier prepositio"&amp;"ns'!A:E, 5, 0) ,  if(H1905=""region"",vlookup(REGEXEXTRACT(C1905, ""🏘️ \w+ \w+ (.*) ✅""),'Region prepositions'!B:F, 5, 0),  REGEXEXTRACT(C1905, ""🏘️ \w+ \w+ (.*) ✅""))))"),"La Sagne (Ste-Croix)")</f>
        <v>La Sagne (Ste-Croix)</v>
      </c>
      <c r="F1905" s="2" t="str">
        <f>IFERROR(__xludf.DUMMYFUNCTION("REGEXEXTRACT(C1905, ""🏘️ (\w+) \w+ .* ✅"")"),"Vendre")</f>
        <v>Vendre</v>
      </c>
      <c r="G1905" s="2" t="str">
        <f>IFERROR(__xludf.DUMMYFUNCTION("REGEXEXTRACT(C1905, ""🏘️ \w+ (\w+) .* ✅"")"),"maison")</f>
        <v>maison</v>
      </c>
      <c r="H1905" s="4" t="str">
        <f>IFERROR(__xludf.DUMMYFUNCTION("REGEXEXTRACT(A1905, ""/(\w+)-.*?"")"),"lieu")</f>
        <v>lieu</v>
      </c>
      <c r="I1905" s="4" t="str">
        <f>IFERROR(__xludf.DUMMYFUNCTION("if(D1905=""variant"",  substitute(filter(Templates!E:E, Templates!A:A = F1905, Templates!B:B = G1905, Templates!C:C = H1905), ""{{}}"", E1905), B1905)"),"🏘  Vous souhaitez acheter une maison à La Sagne (Ste-Croix)? ✅ Jetez un œil aux dernières offres sur ImmoScout24.ch.")</f>
        <v>🏘  Vous souhaitez acheter une maison à La Sagne (Ste-Croix)? ✅ Jetez un œil aux dernières offres sur ImmoScout24.ch.</v>
      </c>
      <c r="J1905" s="4" t="s">
        <v>5715</v>
      </c>
    </row>
    <row r="1906">
      <c r="A1906" s="5" t="s">
        <v>5716</v>
      </c>
      <c r="B1906" s="2" t="s">
        <v>5717</v>
      </c>
      <c r="C1906" s="4" t="str">
        <f>IFERROR(__xludf.DUMMYFUNCTION("""🏘️ ""&amp;REGEXEXTRACT(B1906, ""^(.*): "")&amp;"" ✅ "" &amp;REGEXEXTRACT(B1906, ""(Trouvez.*)"")"),"🏘️ Vendre appartement Brig ✅ Trouvez le bien immobilier qui correspond idéalement à vos désirs sur ImmoScout24 - La plateforme de l'immobilier en Suisse.")</f>
        <v>🏘️ Vendre appartement Brig ✅ Trouvez le bien immobilier qui correspond idéalement à vos désirs sur ImmoScout24 - La plateforme de l'immobilier en Suisse.</v>
      </c>
      <c r="D1906" s="4" t="str">
        <f>vlookup(A1906, Sheet2!D:E, 2, 0)</f>
        <v>variant</v>
      </c>
      <c r="E1906" s="4" t="str">
        <f>IFERROR(__xludf.DUMMYFUNCTION("if(H1906=""pays"",vlookup(REGEXEXTRACT(C1906, ""🏘️ \w+ \w+ (.*) ✅""),'Country prepositions'!A:B, 2, 0) &amp; "" "" &amp; REGEXEXTRACT(C1906, ""🏘️ \w+ \w+ (.*) ✅"") ,  if(H1906=""quartier"",vlookup(REGEXEXTRACT(C1906, ""🏘️ \w+ \w+ (.*) ✅""),'Quartier prepositio"&amp;"ns'!A:E, 5, 0) ,  if(H1906=""region"",vlookup(REGEXEXTRACT(C1906, ""🏘️ \w+ \w+ (.*) ✅""),'Region prepositions'!B:F, 5, 0),  REGEXEXTRACT(C1906, ""🏘️ \w+ \w+ (.*) ✅""))))"),"Brig")</f>
        <v>Brig</v>
      </c>
      <c r="F1906" s="2" t="str">
        <f>IFERROR(__xludf.DUMMYFUNCTION("REGEXEXTRACT(C1906, ""🏘️ (\w+) \w+ .* ✅"")"),"Vendre")</f>
        <v>Vendre</v>
      </c>
      <c r="G1906" s="2" t="str">
        <f>IFERROR(__xludf.DUMMYFUNCTION("REGEXEXTRACT(C1906, ""🏘️ \w+ (\w+) .* ✅"")"),"appartement")</f>
        <v>appartement</v>
      </c>
      <c r="H1906" s="4" t="str">
        <f>IFERROR(__xludf.DUMMYFUNCTION("REGEXEXTRACT(A1906, ""/(\w+)-.*?"")"),"lieu")</f>
        <v>lieu</v>
      </c>
      <c r="I1906" s="4" t="str">
        <f>IFERROR(__xludf.DUMMYFUNCTION("if(D1906=""variant"",  substitute(filter(Templates!E:E, Templates!A:A = F1906, Templates!B:B = G1906, Templates!C:C = H1906), ""{{}}"", E1906), B1906)"),"🏘  L’appartement de vos rêves se trouve sur ImmoScout24.ch ✅ Découvrez les dernières annonces de vente à Brig.")</f>
        <v>🏘  L’appartement de vos rêves se trouve sur ImmoScout24.ch ✅ Découvrez les dernières annonces de vente à Brig.</v>
      </c>
      <c r="J1906" s="4" t="s">
        <v>5718</v>
      </c>
    </row>
    <row r="1907">
      <c r="A1907" s="5" t="s">
        <v>5719</v>
      </c>
      <c r="B1907" s="2" t="s">
        <v>5720</v>
      </c>
      <c r="C1907" s="4" t="str">
        <f>IFERROR(__xludf.DUMMYFUNCTION("""🏘️ ""&amp;REGEXEXTRACT(B1907, ""^(.*): "")&amp;"" ✅ "" &amp;REGEXEXTRACT(B1907, ""(Trouvez.*)"")"),"🏘️ Vendre maison Mendrisio ✅ Trouvez le bien immobilier qui correspond idéalement à vos désirs sur ImmoScout24 - La plateforme de l'immobilier en Suisse.")</f>
        <v>🏘️ Vendre maison Mendrisio ✅ Trouvez le bien immobilier qui correspond idéalement à vos désirs sur ImmoScout24 - La plateforme de l'immobilier en Suisse.</v>
      </c>
      <c r="D1907" s="4" t="str">
        <f>vlookup(A1907, Sheet2!D:E, 2, 0)</f>
        <v>variant</v>
      </c>
      <c r="E1907" s="4" t="str">
        <f>IFERROR(__xludf.DUMMYFUNCTION("if(H1907=""pays"",vlookup(REGEXEXTRACT(C1907, ""🏘️ \w+ \w+ (.*) ✅""),'Country prepositions'!A:B, 2, 0) &amp; "" "" &amp; REGEXEXTRACT(C1907, ""🏘️ \w+ \w+ (.*) ✅"") ,  if(H1907=""quartier"",vlookup(REGEXEXTRACT(C1907, ""🏘️ \w+ \w+ (.*) ✅""),'Quartier prepositio"&amp;"ns'!A:E, 5, 0) ,  if(H1907=""region"",vlookup(REGEXEXTRACT(C1907, ""🏘️ \w+ \w+ (.*) ✅""),'Region prepositions'!B:F, 5, 0),  REGEXEXTRACT(C1907, ""🏘️ \w+ \w+ (.*) ✅""))))"),"Mendrisio")</f>
        <v>Mendrisio</v>
      </c>
      <c r="F1907" s="2" t="str">
        <f>IFERROR(__xludf.DUMMYFUNCTION("REGEXEXTRACT(C1907, ""🏘️ (\w+) \w+ .* ✅"")"),"Vendre")</f>
        <v>Vendre</v>
      </c>
      <c r="G1907" s="2" t="str">
        <f>IFERROR(__xludf.DUMMYFUNCTION("REGEXEXTRACT(C1907, ""🏘️ \w+ (\w+) .* ✅"")"),"maison")</f>
        <v>maison</v>
      </c>
      <c r="H1907" s="4" t="str">
        <f>IFERROR(__xludf.DUMMYFUNCTION("REGEXEXTRACT(A1907, ""/(\w+)-.*?"")"),"lieu")</f>
        <v>lieu</v>
      </c>
      <c r="I1907" s="4" t="str">
        <f>IFERROR(__xludf.DUMMYFUNCTION("if(D1907=""variant"",  substitute(filter(Templates!E:E, Templates!A:A = F1907, Templates!B:B = G1907, Templates!C:C = H1907), ""{{}}"", E1907), B1907)"),"🏘  Vous souhaitez acheter une maison à Mendrisio? ✅ Jetez un œil aux dernières offres sur ImmoScout24.ch.")</f>
        <v>🏘  Vous souhaitez acheter une maison à Mendrisio? ✅ Jetez un œil aux dernières offres sur ImmoScout24.ch.</v>
      </c>
      <c r="J1907" s="4" t="s">
        <v>5721</v>
      </c>
    </row>
    <row r="1908">
      <c r="A1908" s="5" t="s">
        <v>5722</v>
      </c>
      <c r="B1908" s="2" t="s">
        <v>5723</v>
      </c>
      <c r="C1908" s="4" t="str">
        <f>IFERROR(__xludf.DUMMYFUNCTION("""🏘️ ""&amp;REGEXEXTRACT(B1908, ""^(.*): "")&amp;"" ✅ "" &amp;REGEXEXTRACT(B1908, ""(Trouvez.*)"")"),"🏘️ Vendre maison Vers-chez-Perrin ✅ Trouvez le bien immobilier qui correspond idéalement à vos désirs sur ImmoScout24 - La plateforme de l'immobilier en Suisse.")</f>
        <v>🏘️ Vendre maison Vers-chez-Perrin ✅ Trouvez le bien immobilier qui correspond idéalement à vos désirs sur ImmoScout24 - La plateforme de l'immobilier en Suisse.</v>
      </c>
      <c r="D1908" s="4" t="str">
        <f>vlookup(A1908, Sheet2!D:E, 2, 0)</f>
        <v>variant</v>
      </c>
      <c r="E1908" s="4" t="str">
        <f>IFERROR(__xludf.DUMMYFUNCTION("if(H1908=""pays"",vlookup(REGEXEXTRACT(C1908, ""🏘️ \w+ \w+ (.*) ✅""),'Country prepositions'!A:B, 2, 0) &amp; "" "" &amp; REGEXEXTRACT(C1908, ""🏘️ \w+ \w+ (.*) ✅"") ,  if(H1908=""quartier"",vlookup(REGEXEXTRACT(C1908, ""🏘️ \w+ \w+ (.*) ✅""),'Quartier prepositio"&amp;"ns'!A:E, 5, 0) ,  if(H1908=""region"",vlookup(REGEXEXTRACT(C1908, ""🏘️ \w+ \w+ (.*) ✅""),'Region prepositions'!B:F, 5, 0),  REGEXEXTRACT(C1908, ""🏘️ \w+ \w+ (.*) ✅""))))"),"Vers-chez-Perrin")</f>
        <v>Vers-chez-Perrin</v>
      </c>
      <c r="F1908" s="2" t="str">
        <f>IFERROR(__xludf.DUMMYFUNCTION("REGEXEXTRACT(C1908, ""🏘️ (\w+) \w+ .* ✅"")"),"Vendre")</f>
        <v>Vendre</v>
      </c>
      <c r="G1908" s="2" t="str">
        <f>IFERROR(__xludf.DUMMYFUNCTION("REGEXEXTRACT(C1908, ""🏘️ \w+ (\w+) .* ✅"")"),"maison")</f>
        <v>maison</v>
      </c>
      <c r="H1908" s="4" t="str">
        <f>IFERROR(__xludf.DUMMYFUNCTION("REGEXEXTRACT(A1908, ""/(\w+)-.*?"")"),"lieu")</f>
        <v>lieu</v>
      </c>
      <c r="I1908" s="4" t="str">
        <f>IFERROR(__xludf.DUMMYFUNCTION("if(D1908=""variant"",  substitute(filter(Templates!E:E, Templates!A:A = F1908, Templates!B:B = G1908, Templates!C:C = H1908), ""{{}}"", E1908), B1908)"),"🏘  Vous souhaitez acheter une maison à Vers-chez-Perrin? ✅ Jetez un œil aux dernières offres sur ImmoScout24.ch.")</f>
        <v>🏘  Vous souhaitez acheter une maison à Vers-chez-Perrin? ✅ Jetez un œil aux dernières offres sur ImmoScout24.ch.</v>
      </c>
      <c r="J1908" s="4" t="s">
        <v>5724</v>
      </c>
    </row>
    <row r="1909">
      <c r="A1909" s="5" t="s">
        <v>5725</v>
      </c>
      <c r="B1909" s="2" t="s">
        <v>5726</v>
      </c>
      <c r="C1909" s="4" t="str">
        <f>IFERROR(__xludf.DUMMYFUNCTION("""🏘️ ""&amp;REGEXEXTRACT(B1909, ""^(.*): "")&amp;"" ✅ "" &amp;REGEXEXTRACT(B1909, ""(Trouvez.*)"")"),"🏘️ Louer appartement Wiesendangen ✅ Trouvez le bien immobilier qui correspond idéalement à vos désirs sur ImmoScout24 - La plateforme de l'immobilier en Suisse.")</f>
        <v>🏘️ Louer appartement Wiesendangen ✅ Trouvez le bien immobilier qui correspond idéalement à vos désirs sur ImmoScout24 - La plateforme de l'immobilier en Suisse.</v>
      </c>
      <c r="D1909" s="4" t="str">
        <f>vlookup(A1909, Sheet2!D:E, 2, 0)</f>
        <v>variant</v>
      </c>
      <c r="E1909" s="4" t="str">
        <f>IFERROR(__xludf.DUMMYFUNCTION("if(H1909=""pays"",vlookup(REGEXEXTRACT(C1909, ""🏘️ \w+ \w+ (.*) ✅""),'Country prepositions'!A:B, 2, 0) &amp; "" "" &amp; REGEXEXTRACT(C1909, ""🏘️ \w+ \w+ (.*) ✅"") ,  if(H1909=""quartier"",vlookup(REGEXEXTRACT(C1909, ""🏘️ \w+ \w+ (.*) ✅""),'Quartier prepositio"&amp;"ns'!A:E, 5, 0) ,  if(H1909=""region"",vlookup(REGEXEXTRACT(C1909, ""🏘️ \w+ \w+ (.*) ✅""),'Region prepositions'!B:F, 5, 0),  REGEXEXTRACT(C1909, ""🏘️ \w+ \w+ (.*) ✅""))))"),"Wiesendangen")</f>
        <v>Wiesendangen</v>
      </c>
      <c r="F1909" s="2" t="str">
        <f>IFERROR(__xludf.DUMMYFUNCTION("REGEXEXTRACT(C1909, ""🏘️ (\w+) \w+ .* ✅"")"),"Louer")</f>
        <v>Louer</v>
      </c>
      <c r="G1909" s="2" t="str">
        <f>IFERROR(__xludf.DUMMYFUNCTION("REGEXEXTRACT(C1909, ""🏘️ \w+ (\w+) .* ✅"")"),"appartement")</f>
        <v>appartement</v>
      </c>
      <c r="H1909" s="4" t="str">
        <f>IFERROR(__xludf.DUMMYFUNCTION("REGEXEXTRACT(A1909, ""/(\w+)-.*?"")"),"lieu")</f>
        <v>lieu</v>
      </c>
      <c r="I1909" s="4" t="str">
        <f>IFERROR(__xludf.DUMMYFUNCTION("if(D1909=""variant"",  substitute(filter(Templates!E:E, Templates!A:A = F1909, Templates!B:B = G1909, Templates!C:C = H1909), ""{{}}"", E1909), B1909)"),"🏘  Vous cherchez un appartement à louer à Wiesendangen? ✅ Les annonces les plus actuelles sont sur ImmoScout24.ch.")</f>
        <v>🏘  Vous cherchez un appartement à louer à Wiesendangen? ✅ Les annonces les plus actuelles sont sur ImmoScout24.ch.</v>
      </c>
      <c r="J1909" s="4" t="s">
        <v>5727</v>
      </c>
    </row>
    <row r="1910">
      <c r="A1910" s="5" t="s">
        <v>5728</v>
      </c>
      <c r="B1910" s="2" t="s">
        <v>5729</v>
      </c>
      <c r="C1910" s="4" t="str">
        <f>IFERROR(__xludf.DUMMYFUNCTION("""🏘️ ""&amp;REGEXEXTRACT(B1910, ""^(.*): "")&amp;"" ✅ "" &amp;REGEXEXTRACT(B1910, ""(Trouvez.*)"")"),"🏘️ Vendre maison Liesberg Dorf ✅ Trouvez le bien immobilier qui correspond idéalement à vos désirs sur ImmoScout24 - La plateforme de l'immobilier en Suisse.")</f>
        <v>🏘️ Vendre maison Liesberg Dorf ✅ Trouvez le bien immobilier qui correspond idéalement à vos désirs sur ImmoScout24 - La plateforme de l'immobilier en Suisse.</v>
      </c>
      <c r="D1910" s="4" t="str">
        <f>vlookup(A1910, Sheet2!D:E, 2, 0)</f>
        <v>variant</v>
      </c>
      <c r="E1910" s="4" t="str">
        <f>IFERROR(__xludf.DUMMYFUNCTION("if(H1910=""pays"",vlookup(REGEXEXTRACT(C1910, ""🏘️ \w+ \w+ (.*) ✅""),'Country prepositions'!A:B, 2, 0) &amp; "" "" &amp; REGEXEXTRACT(C1910, ""🏘️ \w+ \w+ (.*) ✅"") ,  if(H1910=""quartier"",vlookup(REGEXEXTRACT(C1910, ""🏘️ \w+ \w+ (.*) ✅""),'Quartier prepositio"&amp;"ns'!A:E, 5, 0) ,  if(H1910=""region"",vlookup(REGEXEXTRACT(C1910, ""🏘️ \w+ \w+ (.*) ✅""),'Region prepositions'!B:F, 5, 0),  REGEXEXTRACT(C1910, ""🏘️ \w+ \w+ (.*) ✅""))))"),"Liesberg Dorf")</f>
        <v>Liesberg Dorf</v>
      </c>
      <c r="F1910" s="2" t="str">
        <f>IFERROR(__xludf.DUMMYFUNCTION("REGEXEXTRACT(C1910, ""🏘️ (\w+) \w+ .* ✅"")"),"Vendre")</f>
        <v>Vendre</v>
      </c>
      <c r="G1910" s="2" t="str">
        <f>IFERROR(__xludf.DUMMYFUNCTION("REGEXEXTRACT(C1910, ""🏘️ \w+ (\w+) .* ✅"")"),"maison")</f>
        <v>maison</v>
      </c>
      <c r="H1910" s="4" t="str">
        <f>IFERROR(__xludf.DUMMYFUNCTION("REGEXEXTRACT(A1910, ""/(\w+)-.*?"")"),"lieu")</f>
        <v>lieu</v>
      </c>
      <c r="I1910" s="4" t="str">
        <f>IFERROR(__xludf.DUMMYFUNCTION("if(D1910=""variant"",  substitute(filter(Templates!E:E, Templates!A:A = F1910, Templates!B:B = G1910, Templates!C:C = H1910), ""{{}}"", E1910), B1910)"),"🏘  Vous souhaitez acheter une maison à Liesberg Dorf? ✅ Jetez un œil aux dernières offres sur ImmoScout24.ch.")</f>
        <v>🏘  Vous souhaitez acheter une maison à Liesberg Dorf? ✅ Jetez un œil aux dernières offres sur ImmoScout24.ch.</v>
      </c>
      <c r="J1910" s="4" t="s">
        <v>5730</v>
      </c>
    </row>
    <row r="1911">
      <c r="A1911" s="5" t="s">
        <v>5731</v>
      </c>
      <c r="B1911" s="2" t="s">
        <v>5732</v>
      </c>
      <c r="C1911" s="4" t="str">
        <f>IFERROR(__xludf.DUMMYFUNCTION("""🏘️ ""&amp;REGEXEXTRACT(B1911, ""^(.*): "")&amp;"" ✅ "" &amp;REGEXEXTRACT(B1911, ""(Trouvez.*)"")"),"🏘️ Louer appartement Erde ✅ Trouvez le bien immobilier qui correspond idéalement à vos désirs sur ImmoScout24 - La plateforme de l'immobilier en Suisse.")</f>
        <v>🏘️ Louer appartement Erde ✅ Trouvez le bien immobilier qui correspond idéalement à vos désirs sur ImmoScout24 - La plateforme de l'immobilier en Suisse.</v>
      </c>
      <c r="D1911" s="4" t="str">
        <f>vlookup(A1911, Sheet2!D:E, 2, 0)</f>
        <v>variant</v>
      </c>
      <c r="E1911" s="4" t="str">
        <f>IFERROR(__xludf.DUMMYFUNCTION("if(H1911=""pays"",vlookup(REGEXEXTRACT(C1911, ""🏘️ \w+ \w+ (.*) ✅""),'Country prepositions'!A:B, 2, 0) &amp; "" "" &amp; REGEXEXTRACT(C1911, ""🏘️ \w+ \w+ (.*) ✅"") ,  if(H1911=""quartier"",vlookup(REGEXEXTRACT(C1911, ""🏘️ \w+ \w+ (.*) ✅""),'Quartier prepositio"&amp;"ns'!A:E, 5, 0) ,  if(H1911=""region"",vlookup(REGEXEXTRACT(C1911, ""🏘️ \w+ \w+ (.*) ✅""),'Region prepositions'!B:F, 5, 0),  REGEXEXTRACT(C1911, ""🏘️ \w+ \w+ (.*) ✅""))))"),"Erde")</f>
        <v>Erde</v>
      </c>
      <c r="F1911" s="2" t="str">
        <f>IFERROR(__xludf.DUMMYFUNCTION("REGEXEXTRACT(C1911, ""🏘️ (\w+) \w+ .* ✅"")"),"Louer")</f>
        <v>Louer</v>
      </c>
      <c r="G1911" s="2" t="str">
        <f>IFERROR(__xludf.DUMMYFUNCTION("REGEXEXTRACT(C1911, ""🏘️ \w+ (\w+) .* ✅"")"),"appartement")</f>
        <v>appartement</v>
      </c>
      <c r="H1911" s="4" t="str">
        <f>IFERROR(__xludf.DUMMYFUNCTION("REGEXEXTRACT(A1911, ""/(\w+)-.*?"")"),"lieu")</f>
        <v>lieu</v>
      </c>
      <c r="I1911" s="4" t="str">
        <f>IFERROR(__xludf.DUMMYFUNCTION("if(D1911=""variant"",  substitute(filter(Templates!E:E, Templates!A:A = F1911, Templates!B:B = G1911, Templates!C:C = H1911), ""{{}}"", E1911), B1911)"),"🏘  Vous cherchez un appartement à louer à Erde? ✅ Les annonces les plus actuelles sont sur ImmoScout24.ch.")</f>
        <v>🏘  Vous cherchez un appartement à louer à Erde? ✅ Les annonces les plus actuelles sont sur ImmoScout24.ch.</v>
      </c>
      <c r="J1911" s="4" t="s">
        <v>5733</v>
      </c>
    </row>
    <row r="1912">
      <c r="A1912" s="5" t="s">
        <v>5734</v>
      </c>
      <c r="B1912" s="2" t="s">
        <v>5735</v>
      </c>
      <c r="C1912" s="4" t="str">
        <f>IFERROR(__xludf.DUMMYFUNCTION("""🏘️ ""&amp;REGEXEXTRACT(B1912, ""^(.*): "")&amp;"" ✅ "" &amp;REGEXEXTRACT(B1912, ""(Trouvez.*)"")"),"🏘️ Vendre maison La Corbaz ✅ Trouvez le bien immobilier qui correspond idéalement à vos désirs sur ImmoScout24 - La plateforme de l'immobilier en Suisse.")</f>
        <v>🏘️ Vendre maison La Corbaz ✅ Trouvez le bien immobilier qui correspond idéalement à vos désirs sur ImmoScout24 - La plateforme de l'immobilier en Suisse.</v>
      </c>
      <c r="D1912" s="4" t="str">
        <f>vlookup(A1912, Sheet2!D:E, 2, 0)</f>
        <v>variant</v>
      </c>
      <c r="E1912" s="4" t="str">
        <f>IFERROR(__xludf.DUMMYFUNCTION("if(H1912=""pays"",vlookup(REGEXEXTRACT(C1912, ""🏘️ \w+ \w+ (.*) ✅""),'Country prepositions'!A:B, 2, 0) &amp; "" "" &amp; REGEXEXTRACT(C1912, ""🏘️ \w+ \w+ (.*) ✅"") ,  if(H1912=""quartier"",vlookup(REGEXEXTRACT(C1912, ""🏘️ \w+ \w+ (.*) ✅""),'Quartier prepositio"&amp;"ns'!A:E, 5, 0) ,  if(H1912=""region"",vlookup(REGEXEXTRACT(C1912, ""🏘️ \w+ \w+ (.*) ✅""),'Region prepositions'!B:F, 5, 0),  REGEXEXTRACT(C1912, ""🏘️ \w+ \w+ (.*) ✅""))))"),"La Corbaz")</f>
        <v>La Corbaz</v>
      </c>
      <c r="F1912" s="2" t="str">
        <f>IFERROR(__xludf.DUMMYFUNCTION("REGEXEXTRACT(C1912, ""🏘️ (\w+) \w+ .* ✅"")"),"Vendre")</f>
        <v>Vendre</v>
      </c>
      <c r="G1912" s="2" t="str">
        <f>IFERROR(__xludf.DUMMYFUNCTION("REGEXEXTRACT(C1912, ""🏘️ \w+ (\w+) .* ✅"")"),"maison")</f>
        <v>maison</v>
      </c>
      <c r="H1912" s="4" t="str">
        <f>IFERROR(__xludf.DUMMYFUNCTION("REGEXEXTRACT(A1912, ""/(\w+)-.*?"")"),"lieu")</f>
        <v>lieu</v>
      </c>
      <c r="I1912" s="4" t="str">
        <f>IFERROR(__xludf.DUMMYFUNCTION("if(D1912=""variant"",  substitute(filter(Templates!E:E, Templates!A:A = F1912, Templates!B:B = G1912, Templates!C:C = H1912), ""{{}}"", E1912), B1912)"),"🏘  Vous souhaitez acheter une maison à La Corbaz? ✅ Jetez un œil aux dernières offres sur ImmoScout24.ch.")</f>
        <v>🏘  Vous souhaitez acheter une maison à La Corbaz? ✅ Jetez un œil aux dernières offres sur ImmoScout24.ch.</v>
      </c>
      <c r="J1912" s="4" t="s">
        <v>5736</v>
      </c>
    </row>
    <row r="1913">
      <c r="A1913" s="5" t="s">
        <v>5737</v>
      </c>
      <c r="B1913" s="2" t="s">
        <v>5738</v>
      </c>
      <c r="C1913" s="4" t="str">
        <f>IFERROR(__xludf.DUMMYFUNCTION("""🏘️ ""&amp;REGEXEXTRACT(B1913, ""^(.*): "")&amp;"" ✅ "" &amp;REGEXEXTRACT(B1913, ""(Trouvez.*)"")"),"🏘️ Louer appartement Puplinge ✅ Trouvez le bien immobilier qui correspond idéalement à vos désirs sur ImmoScout24 - La plateforme de l'immobilier en Suisse.")</f>
        <v>🏘️ Louer appartement Puplinge ✅ Trouvez le bien immobilier qui correspond idéalement à vos désirs sur ImmoScout24 - La plateforme de l'immobilier en Suisse.</v>
      </c>
      <c r="D1913" s="4" t="str">
        <f>vlookup(A1913, Sheet2!D:E, 2, 0)</f>
        <v>variant</v>
      </c>
      <c r="E1913" s="4" t="str">
        <f>IFERROR(__xludf.DUMMYFUNCTION("if(H1913=""pays"",vlookup(REGEXEXTRACT(C1913, ""🏘️ \w+ \w+ (.*) ✅""),'Country prepositions'!A:B, 2, 0) &amp; "" "" &amp; REGEXEXTRACT(C1913, ""🏘️ \w+ \w+ (.*) ✅"") ,  if(H1913=""quartier"",vlookup(REGEXEXTRACT(C1913, ""🏘️ \w+ \w+ (.*) ✅""),'Quartier prepositio"&amp;"ns'!A:E, 5, 0) ,  if(H1913=""region"",vlookup(REGEXEXTRACT(C1913, ""🏘️ \w+ \w+ (.*) ✅""),'Region prepositions'!B:F, 5, 0),  REGEXEXTRACT(C1913, ""🏘️ \w+ \w+ (.*) ✅""))))"),"Puplinge")</f>
        <v>Puplinge</v>
      </c>
      <c r="F1913" s="2" t="str">
        <f>IFERROR(__xludf.DUMMYFUNCTION("REGEXEXTRACT(C1913, ""🏘️ (\w+) \w+ .* ✅"")"),"Louer")</f>
        <v>Louer</v>
      </c>
      <c r="G1913" s="2" t="str">
        <f>IFERROR(__xludf.DUMMYFUNCTION("REGEXEXTRACT(C1913, ""🏘️ \w+ (\w+) .* ✅"")"),"appartement")</f>
        <v>appartement</v>
      </c>
      <c r="H1913" s="4" t="str">
        <f>IFERROR(__xludf.DUMMYFUNCTION("REGEXEXTRACT(A1913, ""/(\w+)-.*?"")"),"lieu")</f>
        <v>lieu</v>
      </c>
      <c r="I1913" s="4" t="str">
        <f>IFERROR(__xludf.DUMMYFUNCTION("if(D1913=""variant"",  substitute(filter(Templates!E:E, Templates!A:A = F1913, Templates!B:B = G1913, Templates!C:C = H1913), ""{{}}"", E1913), B1913)"),"🏘  Vous cherchez un appartement à louer à Puplinge? ✅ Les annonces les plus actuelles sont sur ImmoScout24.ch.")</f>
        <v>🏘  Vous cherchez un appartement à louer à Puplinge? ✅ Les annonces les plus actuelles sont sur ImmoScout24.ch.</v>
      </c>
      <c r="J1913" s="4" t="s">
        <v>5739</v>
      </c>
    </row>
    <row r="1914">
      <c r="A1914" s="5" t="s">
        <v>5740</v>
      </c>
      <c r="B1914" s="2" t="s">
        <v>5741</v>
      </c>
      <c r="C1914" s="4" t="str">
        <f>IFERROR(__xludf.DUMMYFUNCTION("""🏘️ ""&amp;REGEXEXTRACT(B1914, ""^(.*): "")&amp;"" ✅ "" &amp;REGEXEXTRACT(B1914, ""(Trouvez.*)"")"),"🏘️ Vendre maison Perroy ✅ Trouvez le bien immobilier qui correspond idéalement à vos désirs sur ImmoScout24 - La plateforme de l'immobilier en Suisse.")</f>
        <v>🏘️ Vendre maison Perroy ✅ Trouvez le bien immobilier qui correspond idéalement à vos désirs sur ImmoScout24 - La plateforme de l'immobilier en Suisse.</v>
      </c>
      <c r="D1914" s="4" t="str">
        <f>vlookup(A1914, Sheet2!D:E, 2, 0)</f>
        <v>variant</v>
      </c>
      <c r="E1914" s="4" t="str">
        <f>IFERROR(__xludf.DUMMYFUNCTION("if(H1914=""pays"",vlookup(REGEXEXTRACT(C1914, ""🏘️ \w+ \w+ (.*) ✅""),'Country prepositions'!A:B, 2, 0) &amp; "" "" &amp; REGEXEXTRACT(C1914, ""🏘️ \w+ \w+ (.*) ✅"") ,  if(H1914=""quartier"",vlookup(REGEXEXTRACT(C1914, ""🏘️ \w+ \w+ (.*) ✅""),'Quartier prepositio"&amp;"ns'!A:E, 5, 0) ,  if(H1914=""region"",vlookup(REGEXEXTRACT(C1914, ""🏘️ \w+ \w+ (.*) ✅""),'Region prepositions'!B:F, 5, 0),  REGEXEXTRACT(C1914, ""🏘️ \w+ \w+ (.*) ✅""))))"),"Perroy")</f>
        <v>Perroy</v>
      </c>
      <c r="F1914" s="2" t="str">
        <f>IFERROR(__xludf.DUMMYFUNCTION("REGEXEXTRACT(C1914, ""🏘️ (\w+) \w+ .* ✅"")"),"Vendre")</f>
        <v>Vendre</v>
      </c>
      <c r="G1914" s="2" t="str">
        <f>IFERROR(__xludf.DUMMYFUNCTION("REGEXEXTRACT(C1914, ""🏘️ \w+ (\w+) .* ✅"")"),"maison")</f>
        <v>maison</v>
      </c>
      <c r="H1914" s="4" t="str">
        <f>IFERROR(__xludf.DUMMYFUNCTION("REGEXEXTRACT(A1914, ""/(\w+)-.*?"")"),"lieu")</f>
        <v>lieu</v>
      </c>
      <c r="I1914" s="4" t="str">
        <f>IFERROR(__xludf.DUMMYFUNCTION("if(D1914=""variant"",  substitute(filter(Templates!E:E, Templates!A:A = F1914, Templates!B:B = G1914, Templates!C:C = H1914), ""{{}}"", E1914), B1914)"),"🏘  Vous souhaitez acheter une maison à Perroy? ✅ Jetez un œil aux dernières offres sur ImmoScout24.ch.")</f>
        <v>🏘  Vous souhaitez acheter une maison à Perroy? ✅ Jetez un œil aux dernières offres sur ImmoScout24.ch.</v>
      </c>
      <c r="J1914" s="4" t="s">
        <v>5742</v>
      </c>
    </row>
    <row r="1915">
      <c r="A1915" s="5" t="s">
        <v>5743</v>
      </c>
      <c r="B1915" s="2" t="s">
        <v>5744</v>
      </c>
      <c r="C1915" s="4" t="str">
        <f>IFERROR(__xludf.DUMMYFUNCTION("""🏘️ ""&amp;REGEXEXTRACT(B1915, ""^(.*): "")&amp;"" ✅ "" &amp;REGEXEXTRACT(B1915, ""(Trouvez.*)"")"),"🏘️ Vendre maison Miécourt ✅ Trouvez le bien immobilier qui correspond idéalement à vos désirs sur ImmoScout24 - La plateforme de l'immobilier en Suisse.")</f>
        <v>🏘️ Vendre maison Miécourt ✅ Trouvez le bien immobilier qui correspond idéalement à vos désirs sur ImmoScout24 - La plateforme de l'immobilier en Suisse.</v>
      </c>
      <c r="D1915" s="4" t="str">
        <f>vlookup(A1915, Sheet2!D:E, 2, 0)</f>
        <v>variant</v>
      </c>
      <c r="E1915" s="4" t="str">
        <f>IFERROR(__xludf.DUMMYFUNCTION("if(H1915=""pays"",vlookup(REGEXEXTRACT(C1915, ""🏘️ \w+ \w+ (.*) ✅""),'Country prepositions'!A:B, 2, 0) &amp; "" "" &amp; REGEXEXTRACT(C1915, ""🏘️ \w+ \w+ (.*) ✅"") ,  if(H1915=""quartier"",vlookup(REGEXEXTRACT(C1915, ""🏘️ \w+ \w+ (.*) ✅""),'Quartier prepositio"&amp;"ns'!A:E, 5, 0) ,  if(H1915=""region"",vlookup(REGEXEXTRACT(C1915, ""🏘️ \w+ \w+ (.*) ✅""),'Region prepositions'!B:F, 5, 0),  REGEXEXTRACT(C1915, ""🏘️ \w+ \w+ (.*) ✅""))))"),"Miécourt")</f>
        <v>Miécourt</v>
      </c>
      <c r="F1915" s="2" t="str">
        <f>IFERROR(__xludf.DUMMYFUNCTION("REGEXEXTRACT(C1915, ""🏘️ (\w+) \w+ .* ✅"")"),"Vendre")</f>
        <v>Vendre</v>
      </c>
      <c r="G1915" s="2" t="str">
        <f>IFERROR(__xludf.DUMMYFUNCTION("REGEXEXTRACT(C1915, ""🏘️ \w+ (\w+) .* ✅"")"),"maison")</f>
        <v>maison</v>
      </c>
      <c r="H1915" s="4" t="str">
        <f>IFERROR(__xludf.DUMMYFUNCTION("REGEXEXTRACT(A1915, ""/(\w+)-.*?"")"),"lieu")</f>
        <v>lieu</v>
      </c>
      <c r="I1915" s="4" t="str">
        <f>IFERROR(__xludf.DUMMYFUNCTION("if(D1915=""variant"",  substitute(filter(Templates!E:E, Templates!A:A = F1915, Templates!B:B = G1915, Templates!C:C = H1915), ""{{}}"", E1915), B1915)"),"🏘  Vous souhaitez acheter une maison à Miécourt? ✅ Jetez un œil aux dernières offres sur ImmoScout24.ch.")</f>
        <v>🏘  Vous souhaitez acheter une maison à Miécourt? ✅ Jetez un œil aux dernières offres sur ImmoScout24.ch.</v>
      </c>
      <c r="J1915" s="4" t="s">
        <v>5745</v>
      </c>
    </row>
    <row r="1916">
      <c r="A1916" s="5" t="s">
        <v>5746</v>
      </c>
      <c r="B1916" s="2" t="s">
        <v>5747</v>
      </c>
      <c r="C1916" s="4" t="str">
        <f>IFERROR(__xludf.DUMMYFUNCTION("""🏘️ ""&amp;REGEXEXTRACT(B1916, ""^(.*): "")&amp;"" ✅ "" &amp;REGEXEXTRACT(B1916, ""(Trouvez.*)"")"),"🏘️ Louer maison Maracon ✅ Trouvez le bien immobilier qui correspond idéalement à vos désirs sur ImmoScout24 - La plateforme de l'immobilier en Suisse.")</f>
        <v>🏘️ Louer maison Maracon ✅ Trouvez le bien immobilier qui correspond idéalement à vos désirs sur ImmoScout24 - La plateforme de l'immobilier en Suisse.</v>
      </c>
      <c r="D1916" s="4" t="str">
        <f>vlookup(A1916, Sheet2!D:E, 2, 0)</f>
        <v>variant</v>
      </c>
      <c r="E1916" s="4" t="str">
        <f>IFERROR(__xludf.DUMMYFUNCTION("if(H1916=""pays"",vlookup(REGEXEXTRACT(C1916, ""🏘️ \w+ \w+ (.*) ✅""),'Country prepositions'!A:B, 2, 0) &amp; "" "" &amp; REGEXEXTRACT(C1916, ""🏘️ \w+ \w+ (.*) ✅"") ,  if(H1916=""quartier"",vlookup(REGEXEXTRACT(C1916, ""🏘️ \w+ \w+ (.*) ✅""),'Quartier prepositio"&amp;"ns'!A:E, 5, 0) ,  if(H1916=""region"",vlookup(REGEXEXTRACT(C1916, ""🏘️ \w+ \w+ (.*) ✅""),'Region prepositions'!B:F, 5, 0),  REGEXEXTRACT(C1916, ""🏘️ \w+ \w+ (.*) ✅""))))"),"Maracon")</f>
        <v>Maracon</v>
      </c>
      <c r="F1916" s="2" t="str">
        <f>IFERROR(__xludf.DUMMYFUNCTION("REGEXEXTRACT(C1916, ""🏘️ (\w+) \w+ .* ✅"")"),"Louer")</f>
        <v>Louer</v>
      </c>
      <c r="G1916" s="2" t="str">
        <f>IFERROR(__xludf.DUMMYFUNCTION("REGEXEXTRACT(C1916, ""🏘️ \w+ (\w+) .* ✅"")"),"maison")</f>
        <v>maison</v>
      </c>
      <c r="H1916" s="4" t="str">
        <f>IFERROR(__xludf.DUMMYFUNCTION("REGEXEXTRACT(A1916, ""/(\w+)-.*?"")"),"lieu")</f>
        <v>lieu</v>
      </c>
      <c r="I1916" s="4" t="str">
        <f>IFERROR(__xludf.DUMMYFUNCTION("if(D1916=""variant"",  substitute(filter(Templates!E:E, Templates!A:A = F1916, Templates!B:B = G1916, Templates!C:C = H1916), ""{{}}"", E1916), B1916)"),"🏘  Vous cherchez une maison à louer à Maracon? ✅ Découvrez nos nombreuses annonces sur ImmoScout24.ch.")</f>
        <v>🏘  Vous cherchez une maison à louer à Maracon? ✅ Découvrez nos nombreuses annonces sur ImmoScout24.ch.</v>
      </c>
      <c r="J1916" s="4" t="s">
        <v>5748</v>
      </c>
    </row>
    <row r="1917">
      <c r="A1917" s="5" t="s">
        <v>5749</v>
      </c>
      <c r="B1917" s="2" t="s">
        <v>5750</v>
      </c>
      <c r="C1917" s="4" t="str">
        <f>IFERROR(__xludf.DUMMYFUNCTION("""🏘️ ""&amp;REGEXEXTRACT(B1917, ""^(.*): "")&amp;"" ✅ "" &amp;REGEXEXTRACT(B1917, ""(Trouvez.*)"")"),"🏘️ Vendre maison Corcelles-près-Payerne ✅ Trouvez le bien immobilier qui correspond idéalement à vos désirs sur ImmoScout24 - La plateforme de l'immobilier en Suisse.")</f>
        <v>🏘️ Vendre maison Corcelles-près-Payerne ✅ Trouvez le bien immobilier qui correspond idéalement à vos désirs sur ImmoScout24 - La plateforme de l'immobilier en Suisse.</v>
      </c>
      <c r="D1917" s="4" t="str">
        <f>vlookup(A1917, Sheet2!D:E, 2, 0)</f>
        <v>variant</v>
      </c>
      <c r="E1917" s="4" t="str">
        <f>IFERROR(__xludf.DUMMYFUNCTION("if(H1917=""pays"",vlookup(REGEXEXTRACT(C1917, ""🏘️ \w+ \w+ (.*) ✅""),'Country prepositions'!A:B, 2, 0) &amp; "" "" &amp; REGEXEXTRACT(C1917, ""🏘️ \w+ \w+ (.*) ✅"") ,  if(H1917=""quartier"",vlookup(REGEXEXTRACT(C1917, ""🏘️ \w+ \w+ (.*) ✅""),'Quartier prepositio"&amp;"ns'!A:E, 5, 0) ,  if(H1917=""region"",vlookup(REGEXEXTRACT(C1917, ""🏘️ \w+ \w+ (.*) ✅""),'Region prepositions'!B:F, 5, 0),  REGEXEXTRACT(C1917, ""🏘️ \w+ \w+ (.*) ✅""))))"),"Corcelles-près-Payerne")</f>
        <v>Corcelles-près-Payerne</v>
      </c>
      <c r="F1917" s="2" t="str">
        <f>IFERROR(__xludf.DUMMYFUNCTION("REGEXEXTRACT(C1917, ""🏘️ (\w+) \w+ .* ✅"")"),"Vendre")</f>
        <v>Vendre</v>
      </c>
      <c r="G1917" s="2" t="str">
        <f>IFERROR(__xludf.DUMMYFUNCTION("REGEXEXTRACT(C1917, ""🏘️ \w+ (\w+) .* ✅"")"),"maison")</f>
        <v>maison</v>
      </c>
      <c r="H1917" s="4" t="str">
        <f>IFERROR(__xludf.DUMMYFUNCTION("REGEXEXTRACT(A1917, ""/(\w+)-.*?"")"),"lieu")</f>
        <v>lieu</v>
      </c>
      <c r="I1917" s="4" t="str">
        <f>IFERROR(__xludf.DUMMYFUNCTION("if(D1917=""variant"",  substitute(filter(Templates!E:E, Templates!A:A = F1917, Templates!B:B = G1917, Templates!C:C = H1917), ""{{}}"", E1917), B1917)"),"🏘  Vous souhaitez acheter une maison à Corcelles-près-Payerne? ✅ Jetez un œil aux dernières offres sur ImmoScout24.ch.")</f>
        <v>🏘  Vous souhaitez acheter une maison à Corcelles-près-Payerne? ✅ Jetez un œil aux dernières offres sur ImmoScout24.ch.</v>
      </c>
      <c r="J1917" s="4" t="s">
        <v>5751</v>
      </c>
    </row>
    <row r="1918">
      <c r="A1918" s="5" t="s">
        <v>5752</v>
      </c>
      <c r="B1918" s="2" t="s">
        <v>5753</v>
      </c>
      <c r="C1918" s="4" t="str">
        <f>IFERROR(__xludf.DUMMYFUNCTION("""🏘️ ""&amp;REGEXEXTRACT(B1918, ""^(.*): "")&amp;"" ✅ "" &amp;REGEXEXTRACT(B1918, ""(Trouvez.*)"")"),"🏘️ Louer appartement Sissach ✅ Trouvez le bien immobilier qui correspond idéalement à vos désirs sur ImmoScout24 - La plateforme de l'immobilier en Suisse.")</f>
        <v>🏘️ Louer appartement Sissach ✅ Trouvez le bien immobilier qui correspond idéalement à vos désirs sur ImmoScout24 - La plateforme de l'immobilier en Suisse.</v>
      </c>
      <c r="D1918" s="4" t="str">
        <f>vlookup(A1918, Sheet2!D:E, 2, 0)</f>
        <v>variant</v>
      </c>
      <c r="E1918" s="4" t="str">
        <f>IFERROR(__xludf.DUMMYFUNCTION("if(H1918=""pays"",vlookup(REGEXEXTRACT(C1918, ""🏘️ \w+ \w+ (.*) ✅""),'Country prepositions'!A:B, 2, 0) &amp; "" "" &amp; REGEXEXTRACT(C1918, ""🏘️ \w+ \w+ (.*) ✅"") ,  if(H1918=""quartier"",vlookup(REGEXEXTRACT(C1918, ""🏘️ \w+ \w+ (.*) ✅""),'Quartier prepositio"&amp;"ns'!A:E, 5, 0) ,  if(H1918=""region"",vlookup(REGEXEXTRACT(C1918, ""🏘️ \w+ \w+ (.*) ✅""),'Region prepositions'!B:F, 5, 0),  REGEXEXTRACT(C1918, ""🏘️ \w+ \w+ (.*) ✅""))))"),"Sissach")</f>
        <v>Sissach</v>
      </c>
      <c r="F1918" s="2" t="str">
        <f>IFERROR(__xludf.DUMMYFUNCTION("REGEXEXTRACT(C1918, ""🏘️ (\w+) \w+ .* ✅"")"),"Louer")</f>
        <v>Louer</v>
      </c>
      <c r="G1918" s="2" t="str">
        <f>IFERROR(__xludf.DUMMYFUNCTION("REGEXEXTRACT(C1918, ""🏘️ \w+ (\w+) .* ✅"")"),"appartement")</f>
        <v>appartement</v>
      </c>
      <c r="H1918" s="4" t="str">
        <f>IFERROR(__xludf.DUMMYFUNCTION("REGEXEXTRACT(A1918, ""/(\w+)-.*?"")"),"lieu")</f>
        <v>lieu</v>
      </c>
      <c r="I1918" s="4" t="str">
        <f>IFERROR(__xludf.DUMMYFUNCTION("if(D1918=""variant"",  substitute(filter(Templates!E:E, Templates!A:A = F1918, Templates!B:B = G1918, Templates!C:C = H1918), ""{{}}"", E1918), B1918)"),"🏘  Vous cherchez un appartement à louer à Sissach? ✅ Les annonces les plus actuelles sont sur ImmoScout24.ch.")</f>
        <v>🏘  Vous cherchez un appartement à louer à Sissach? ✅ Les annonces les plus actuelles sont sur ImmoScout24.ch.</v>
      </c>
      <c r="J1918" s="4" t="s">
        <v>5754</v>
      </c>
    </row>
    <row r="1919">
      <c r="A1919" s="5" t="s">
        <v>5755</v>
      </c>
      <c r="B1919" s="2" t="s">
        <v>5756</v>
      </c>
      <c r="C1919" s="4" t="str">
        <f>IFERROR(__xludf.DUMMYFUNCTION("""🏘️ ""&amp;REGEXEXTRACT(B1919, ""^(.*): "")&amp;"" ✅ "" &amp;REGEXEXTRACT(B1919, ""(Trouvez.*)"")"),"🏘️ Vendre appartement Rochefort ✅ Trouvez le bien immobilier qui correspond idéalement à vos désirs sur ImmoScout24 - La plateforme de l'immobilier en Suisse.")</f>
        <v>🏘️ Vendre appartement Rochefort ✅ Trouvez le bien immobilier qui correspond idéalement à vos désirs sur ImmoScout24 - La plateforme de l'immobilier en Suisse.</v>
      </c>
      <c r="D1919" s="4" t="str">
        <f>vlookup(A1919, Sheet2!D:E, 2, 0)</f>
        <v>variant</v>
      </c>
      <c r="E1919" s="4" t="str">
        <f>IFERROR(__xludf.DUMMYFUNCTION("if(H1919=""pays"",vlookup(REGEXEXTRACT(C1919, ""🏘️ \w+ \w+ (.*) ✅""),'Country prepositions'!A:B, 2, 0) &amp; "" "" &amp; REGEXEXTRACT(C1919, ""🏘️ \w+ \w+ (.*) ✅"") ,  if(H1919=""quartier"",vlookup(REGEXEXTRACT(C1919, ""🏘️ \w+ \w+ (.*) ✅""),'Quartier prepositio"&amp;"ns'!A:E, 5, 0) ,  if(H1919=""region"",vlookup(REGEXEXTRACT(C1919, ""🏘️ \w+ \w+ (.*) ✅""),'Region prepositions'!B:F, 5, 0),  REGEXEXTRACT(C1919, ""🏘️ \w+ \w+ (.*) ✅""))))"),"Rochefort")</f>
        <v>Rochefort</v>
      </c>
      <c r="F1919" s="2" t="str">
        <f>IFERROR(__xludf.DUMMYFUNCTION("REGEXEXTRACT(C1919, ""🏘️ (\w+) \w+ .* ✅"")"),"Vendre")</f>
        <v>Vendre</v>
      </c>
      <c r="G1919" s="2" t="str">
        <f>IFERROR(__xludf.DUMMYFUNCTION("REGEXEXTRACT(C1919, ""🏘️ \w+ (\w+) .* ✅"")"),"appartement")</f>
        <v>appartement</v>
      </c>
      <c r="H1919" s="4" t="str">
        <f>IFERROR(__xludf.DUMMYFUNCTION("REGEXEXTRACT(A1919, ""/(\w+)-.*?"")"),"lieu")</f>
        <v>lieu</v>
      </c>
      <c r="I1919" s="4" t="str">
        <f>IFERROR(__xludf.DUMMYFUNCTION("if(D1919=""variant"",  substitute(filter(Templates!E:E, Templates!A:A = F1919, Templates!B:B = G1919, Templates!C:C = H1919), ""{{}}"", E1919), B1919)"),"🏘  L’appartement de vos rêves se trouve sur ImmoScout24.ch ✅ Découvrez les dernières annonces de vente à Rochefort.")</f>
        <v>🏘  L’appartement de vos rêves se trouve sur ImmoScout24.ch ✅ Découvrez les dernières annonces de vente à Rochefort.</v>
      </c>
      <c r="J1919" s="4" t="s">
        <v>5757</v>
      </c>
    </row>
    <row r="1920">
      <c r="A1920" s="5" t="s">
        <v>5758</v>
      </c>
      <c r="B1920" s="2" t="s">
        <v>5759</v>
      </c>
      <c r="C1920" s="4" t="str">
        <f>IFERROR(__xludf.DUMMYFUNCTION("""🏘️ ""&amp;REGEXEXTRACT(B1920, ""^(.*): "")&amp;"" ✅ "" &amp;REGEXEXTRACT(B1920, ""(Trouvez.*)"")"),"🏘️ Louer appartement Ägerisee ✅ Trouvez le bien immobilier qui correspond idéalement à vos désirs sur ImmoScout24 - La plateforme de l'immobilier en Suisse.")</f>
        <v>🏘️ Louer appartement Ägerisee ✅ Trouvez le bien immobilier qui correspond idéalement à vos désirs sur ImmoScout24 - La plateforme de l'immobilier en Suisse.</v>
      </c>
      <c r="D1920" s="4" t="str">
        <f>vlookup(A1920, Sheet2!D:E, 2, 0)</f>
        <v>variant</v>
      </c>
      <c r="E1920" s="4" t="str">
        <f>IFERROR(__xludf.DUMMYFUNCTION("if(H1920=""pays"",vlookup(REGEXEXTRACT(C1920, ""🏘️ \w+ \w+ (.*) ✅""),'Country prepositions'!A:B, 2, 0) &amp; "" "" &amp; REGEXEXTRACT(C1920, ""🏘️ \w+ \w+ (.*) ✅"") ,  if(H1920=""quartier"",vlookup(REGEXEXTRACT(C1920, ""🏘️ \w+ \w+ (.*) ✅""),'Quartier prepositio"&amp;"ns'!A:E, 5, 0) ,  if(H1920=""region"",vlookup(REGEXEXTRACT(C1920, ""🏘️ \w+ \w+ (.*) ✅""),'Region prepositions'!B:F, 5, 0),  REGEXEXTRACT(C1920, ""🏘️ \w+ \w+ (.*) ✅""))))"),"près du lac d'Ägeri")</f>
        <v>près du lac d'Ägeri</v>
      </c>
      <c r="F1920" s="2" t="str">
        <f>IFERROR(__xludf.DUMMYFUNCTION("REGEXEXTRACT(C1920, ""🏘️ (\w+) \w+ .* ✅"")"),"Louer")</f>
        <v>Louer</v>
      </c>
      <c r="G1920" s="2" t="str">
        <f>IFERROR(__xludf.DUMMYFUNCTION("REGEXEXTRACT(C1920, ""🏘️ \w+ (\w+) .* ✅"")"),"appartement")</f>
        <v>appartement</v>
      </c>
      <c r="H1920" s="4" t="str">
        <f>IFERROR(__xludf.DUMMYFUNCTION("REGEXEXTRACT(A1920, ""/(\w+)-.*?"")"),"region")</f>
        <v>region</v>
      </c>
      <c r="I1920" s="4" t="str">
        <f>IFERROR(__xludf.DUMMYFUNCTION("if(D1920=""variant"",  substitute(filter(Templates!E:E, Templates!A:A = F1920, Templates!B:B = G1920, Templates!C:C = H1920), ""{{}}"", E1920), B1920)"),"🏘  Vous cherchez un appartement à louer près du lac d'Ägeri? ✅ Les annonces les plus actuelles sont sur ImmoScout24.ch.")</f>
        <v>🏘  Vous cherchez un appartement à louer près du lac d'Ägeri? ✅ Les annonces les plus actuelles sont sur ImmoScout24.ch.</v>
      </c>
      <c r="J1920" s="4" t="s">
        <v>5760</v>
      </c>
    </row>
    <row r="1921">
      <c r="A1921" s="5" t="s">
        <v>5761</v>
      </c>
      <c r="B1921" s="2" t="s">
        <v>5762</v>
      </c>
      <c r="C1921" s="4" t="str">
        <f>IFERROR(__xludf.DUMMYFUNCTION("""🏘️ ""&amp;REGEXEXTRACT(B1921, ""^(.*): "")&amp;"" ✅ "" &amp;REGEXEXTRACT(B1921, ""(Trouvez.*)"")"),"🏘️ Vendre maison Koblenz ✅ Trouvez le bien immobilier qui correspond idéalement à vos désirs sur ImmoScout24 - La plateforme de l'immobilier en Suisse.")</f>
        <v>🏘️ Vendre maison Koblenz ✅ Trouvez le bien immobilier qui correspond idéalement à vos désirs sur ImmoScout24 - La plateforme de l'immobilier en Suisse.</v>
      </c>
      <c r="D1921" s="4" t="str">
        <f>vlookup(A1921, Sheet2!D:E, 2, 0)</f>
        <v>variant</v>
      </c>
      <c r="E1921" s="4" t="str">
        <f>IFERROR(__xludf.DUMMYFUNCTION("if(H1921=""pays"",vlookup(REGEXEXTRACT(C1921, ""🏘️ \w+ \w+ (.*) ✅""),'Country prepositions'!A:B, 2, 0) &amp; "" "" &amp; REGEXEXTRACT(C1921, ""🏘️ \w+ \w+ (.*) ✅"") ,  if(H1921=""quartier"",vlookup(REGEXEXTRACT(C1921, ""🏘️ \w+ \w+ (.*) ✅""),'Quartier prepositio"&amp;"ns'!A:E, 5, 0) ,  if(H1921=""region"",vlookup(REGEXEXTRACT(C1921, ""🏘️ \w+ \w+ (.*) ✅""),'Region prepositions'!B:F, 5, 0),  REGEXEXTRACT(C1921, ""🏘️ \w+ \w+ (.*) ✅""))))"),"Koblenz")</f>
        <v>Koblenz</v>
      </c>
      <c r="F1921" s="2" t="str">
        <f>IFERROR(__xludf.DUMMYFUNCTION("REGEXEXTRACT(C1921, ""🏘️ (\w+) \w+ .* ✅"")"),"Vendre")</f>
        <v>Vendre</v>
      </c>
      <c r="G1921" s="2" t="str">
        <f>IFERROR(__xludf.DUMMYFUNCTION("REGEXEXTRACT(C1921, ""🏘️ \w+ (\w+) .* ✅"")"),"maison")</f>
        <v>maison</v>
      </c>
      <c r="H1921" s="4" t="str">
        <f>IFERROR(__xludf.DUMMYFUNCTION("REGEXEXTRACT(A1921, ""/(\w+)-.*?"")"),"lieu")</f>
        <v>lieu</v>
      </c>
      <c r="I1921" s="4" t="str">
        <f>IFERROR(__xludf.DUMMYFUNCTION("if(D1921=""variant"",  substitute(filter(Templates!E:E, Templates!A:A = F1921, Templates!B:B = G1921, Templates!C:C = H1921), ""{{}}"", E1921), B1921)"),"🏘  Vous souhaitez acheter une maison à Koblenz? ✅ Jetez un œil aux dernières offres sur ImmoScout24.ch.")</f>
        <v>🏘  Vous souhaitez acheter une maison à Koblenz? ✅ Jetez un œil aux dernières offres sur ImmoScout24.ch.</v>
      </c>
      <c r="J1921" s="4" t="s">
        <v>5763</v>
      </c>
    </row>
    <row r="1922">
      <c r="A1922" s="5" t="s">
        <v>5764</v>
      </c>
      <c r="B1922" s="2" t="s">
        <v>5765</v>
      </c>
      <c r="C1922" s="4" t="str">
        <f>IFERROR(__xludf.DUMMYFUNCTION("""🏘️ ""&amp;REGEXEXTRACT(B1922, ""^(.*): "")&amp;"" ✅ "" &amp;REGEXEXTRACT(B1922, ""(Trouvez.*)"")"),"🏘️ Louer appartement Engelberg ✅ Trouvez le bien immobilier qui correspond idéalement à vos désirs sur ImmoScout24 - La plateforme de l'immobilier en Suisse.")</f>
        <v>🏘️ Louer appartement Engelberg ✅ Trouvez le bien immobilier qui correspond idéalement à vos désirs sur ImmoScout24 - La plateforme de l'immobilier en Suisse.</v>
      </c>
      <c r="D1922" s="4" t="str">
        <f>vlookup(A1922, Sheet2!D:E, 2, 0)</f>
        <v>variant</v>
      </c>
      <c r="E1922" s="4" t="str">
        <f>IFERROR(__xludf.DUMMYFUNCTION("if(H1922=""pays"",vlookup(REGEXEXTRACT(C1922, ""🏘️ \w+ \w+ (.*) ✅""),'Country prepositions'!A:B, 2, 0) &amp; "" "" &amp; REGEXEXTRACT(C1922, ""🏘️ \w+ \w+ (.*) ✅"") ,  if(H1922=""quartier"",vlookup(REGEXEXTRACT(C1922, ""🏘️ \w+ \w+ (.*) ✅""),'Quartier prepositio"&amp;"ns'!A:E, 5, 0) ,  if(H1922=""region"",vlookup(REGEXEXTRACT(C1922, ""🏘️ \w+ \w+ (.*) ✅""),'Region prepositions'!B:F, 5, 0),  REGEXEXTRACT(C1922, ""🏘️ \w+ \w+ (.*) ✅""))))"),"Engelberg")</f>
        <v>Engelberg</v>
      </c>
      <c r="F1922" s="2" t="str">
        <f>IFERROR(__xludf.DUMMYFUNCTION("REGEXEXTRACT(C1922, ""🏘️ (\w+) \w+ .* ✅"")"),"Louer")</f>
        <v>Louer</v>
      </c>
      <c r="G1922" s="2" t="str">
        <f>IFERROR(__xludf.DUMMYFUNCTION("REGEXEXTRACT(C1922, ""🏘️ \w+ (\w+) .* ✅"")"),"appartement")</f>
        <v>appartement</v>
      </c>
      <c r="H1922" s="4" t="str">
        <f>IFERROR(__xludf.DUMMYFUNCTION("REGEXEXTRACT(A1922, ""/(\w+)-.*?"")"),"lieu")</f>
        <v>lieu</v>
      </c>
      <c r="I1922" s="4" t="str">
        <f>IFERROR(__xludf.DUMMYFUNCTION("if(D1922=""variant"",  substitute(filter(Templates!E:E, Templates!A:A = F1922, Templates!B:B = G1922, Templates!C:C = H1922), ""{{}}"", E1922), B1922)"),"🏘  Vous cherchez un appartement à louer à Engelberg? ✅ Les annonces les plus actuelles sont sur ImmoScout24.ch.")</f>
        <v>🏘  Vous cherchez un appartement à louer à Engelberg? ✅ Les annonces les plus actuelles sont sur ImmoScout24.ch.</v>
      </c>
      <c r="J1922" s="4" t="s">
        <v>5766</v>
      </c>
    </row>
    <row r="1923">
      <c r="A1923" s="5" t="s">
        <v>5767</v>
      </c>
      <c r="B1923" s="2" t="s">
        <v>5768</v>
      </c>
      <c r="C1923" s="4" t="str">
        <f>IFERROR(__xludf.DUMMYFUNCTION("""🏘️ ""&amp;REGEXEXTRACT(B1923, ""^(.*): "")&amp;"" ✅ "" &amp;REGEXEXTRACT(B1923, ""(Trouvez.*)"")"),"🏘️ Louer appartement Vignoble (Biel/Bienne) ✅ Trouvez le bien immobilier qui correspond idéalement à vos désirs sur ImmoScout24 - La plateforme de l'immobilier en Suisse.")</f>
        <v>🏘️ Louer appartement Vignoble (Biel/Bienne) ✅ Trouvez le bien immobilier qui correspond idéalement à vos désirs sur ImmoScout24 - La plateforme de l'immobilier en Suisse.</v>
      </c>
      <c r="D1923" s="4" t="str">
        <f>vlookup(A1923, Sheet2!D:E, 2, 0)</f>
        <v>variant</v>
      </c>
      <c r="E1923" s="4" t="str">
        <f>IFERROR(__xludf.DUMMYFUNCTION("if(H1923=""pays"",vlookup(REGEXEXTRACT(C1923, ""🏘️ \w+ \w+ (.*) ✅""),'Country prepositions'!A:B, 2, 0) &amp; "" "" &amp; REGEXEXTRACT(C1923, ""🏘️ \w+ \w+ (.*) ✅"") ,  if(H1923=""quartier"",vlookup(REGEXEXTRACT(C1923, ""🏘️ \w+ \w+ (.*) ✅""),'Quartier prepositio"&amp;"ns'!A:E, 5, 0) ,  if(H1923=""region"",vlookup(REGEXEXTRACT(C1923, ""🏘️ \w+ \w+ (.*) ✅""),'Region prepositions'!B:F, 5, 0),  REGEXEXTRACT(C1923, ""🏘️ \w+ \w+ (.*) ✅""))))"),"dans le quartier du Vignoble (Biel/Bienne)")</f>
        <v>dans le quartier du Vignoble (Biel/Bienne)</v>
      </c>
      <c r="F1923" s="2" t="str">
        <f>IFERROR(__xludf.DUMMYFUNCTION("REGEXEXTRACT(C1923, ""🏘️ (\w+) \w+ .* ✅"")"),"Louer")</f>
        <v>Louer</v>
      </c>
      <c r="G1923" s="2" t="str">
        <f>IFERROR(__xludf.DUMMYFUNCTION("REGEXEXTRACT(C1923, ""🏘️ \w+ (\w+) .* ✅"")"),"appartement")</f>
        <v>appartement</v>
      </c>
      <c r="H1923" s="4" t="str">
        <f>IFERROR(__xludf.DUMMYFUNCTION("REGEXEXTRACT(A1923, ""/(\w+)-.*?"")"),"quartier")</f>
        <v>quartier</v>
      </c>
      <c r="I1923" s="4" t="str">
        <f>IFERROR(__xludf.DUMMYFUNCTION("if(D1923=""variant"",  substitute(filter(Templates!E:E, Templates!A:A = F1923, Templates!B:B = G1923, Templates!C:C = H1923), ""{{}}"", E1923), B1923)"),"🏘  Vous cherchez un appartement à louer dans le quartier du Vignoble (Biel/Bienne)? ✅ Les annonces les plus actuelles sont sur ImmoScout24.ch.")</f>
        <v>🏘  Vous cherchez un appartement à louer dans le quartier du Vignoble (Biel/Bienne)? ✅ Les annonces les plus actuelles sont sur ImmoScout24.ch.</v>
      </c>
      <c r="J1923" s="4" t="s">
        <v>5769</v>
      </c>
    </row>
    <row r="1924">
      <c r="A1924" s="5" t="s">
        <v>5770</v>
      </c>
      <c r="B1924" s="2" t="s">
        <v>5771</v>
      </c>
      <c r="C1924" s="4" t="str">
        <f>IFERROR(__xludf.DUMMYFUNCTION("""🏘️ ""&amp;REGEXEXTRACT(B1924, ""^(.*): "")&amp;"" ✅ "" &amp;REGEXEXTRACT(B1924, ""(Trouvez.*)"")"),"🏘️ Louer appartement Vuarrens ✅ Trouvez le bien immobilier qui correspond idéalement à vos désirs sur ImmoScout24 - La plateforme de l'immobilier en Suisse.")</f>
        <v>🏘️ Louer appartement Vuarrens ✅ Trouvez le bien immobilier qui correspond idéalement à vos désirs sur ImmoScout24 - La plateforme de l'immobilier en Suisse.</v>
      </c>
      <c r="D1924" s="4" t="str">
        <f>vlookup(A1924, Sheet2!D:E, 2, 0)</f>
        <v>variant</v>
      </c>
      <c r="E1924" s="4" t="str">
        <f>IFERROR(__xludf.DUMMYFUNCTION("if(H1924=""pays"",vlookup(REGEXEXTRACT(C1924, ""🏘️ \w+ \w+ (.*) ✅""),'Country prepositions'!A:B, 2, 0) &amp; "" "" &amp; REGEXEXTRACT(C1924, ""🏘️ \w+ \w+ (.*) ✅"") ,  if(H1924=""quartier"",vlookup(REGEXEXTRACT(C1924, ""🏘️ \w+ \w+ (.*) ✅""),'Quartier prepositio"&amp;"ns'!A:E, 5, 0) ,  if(H1924=""region"",vlookup(REGEXEXTRACT(C1924, ""🏘️ \w+ \w+ (.*) ✅""),'Region prepositions'!B:F, 5, 0),  REGEXEXTRACT(C1924, ""🏘️ \w+ \w+ (.*) ✅""))))"),"Vuarrens")</f>
        <v>Vuarrens</v>
      </c>
      <c r="F1924" s="2" t="str">
        <f>IFERROR(__xludf.DUMMYFUNCTION("REGEXEXTRACT(C1924, ""🏘️ (\w+) \w+ .* ✅"")"),"Louer")</f>
        <v>Louer</v>
      </c>
      <c r="G1924" s="2" t="str">
        <f>IFERROR(__xludf.DUMMYFUNCTION("REGEXEXTRACT(C1924, ""🏘️ \w+ (\w+) .* ✅"")"),"appartement")</f>
        <v>appartement</v>
      </c>
      <c r="H1924" s="4" t="str">
        <f>IFERROR(__xludf.DUMMYFUNCTION("REGEXEXTRACT(A1924, ""/(\w+)-.*?"")"),"lieu")</f>
        <v>lieu</v>
      </c>
      <c r="I1924" s="4" t="str">
        <f>IFERROR(__xludf.DUMMYFUNCTION("if(D1924=""variant"",  substitute(filter(Templates!E:E, Templates!A:A = F1924, Templates!B:B = G1924, Templates!C:C = H1924), ""{{}}"", E1924), B1924)"),"🏘  Vous cherchez un appartement à louer à Vuarrens? ✅ Les annonces les plus actuelles sont sur ImmoScout24.ch.")</f>
        <v>🏘  Vous cherchez un appartement à louer à Vuarrens? ✅ Les annonces les plus actuelles sont sur ImmoScout24.ch.</v>
      </c>
      <c r="J1924" s="4" t="s">
        <v>5772</v>
      </c>
    </row>
    <row r="1925">
      <c r="A1925" s="5" t="s">
        <v>5773</v>
      </c>
      <c r="B1925" s="2" t="s">
        <v>5774</v>
      </c>
      <c r="C1925" s="4" t="str">
        <f>IFERROR(__xludf.DUMMYFUNCTION("""🏘️ ""&amp;REGEXEXTRACT(B1925, ""^(.*): "")&amp;"" ✅ "" &amp;REGEXEXTRACT(B1925, ""(Trouvez.*)"")"),"🏘️ Vendre maison Loveresse ✅ Trouvez le bien immobilier qui correspond idéalement à vos désirs sur ImmoScout24 - La plateforme de l'immobilier en Suisse.")</f>
        <v>🏘️ Vendre maison Loveresse ✅ Trouvez le bien immobilier qui correspond idéalement à vos désirs sur ImmoScout24 - La plateforme de l'immobilier en Suisse.</v>
      </c>
      <c r="D1925" s="4" t="str">
        <f>vlookup(A1925, Sheet2!D:E, 2, 0)</f>
        <v>variant</v>
      </c>
      <c r="E1925" s="4" t="str">
        <f>IFERROR(__xludf.DUMMYFUNCTION("if(H1925=""pays"",vlookup(REGEXEXTRACT(C1925, ""🏘️ \w+ \w+ (.*) ✅""),'Country prepositions'!A:B, 2, 0) &amp; "" "" &amp; REGEXEXTRACT(C1925, ""🏘️ \w+ \w+ (.*) ✅"") ,  if(H1925=""quartier"",vlookup(REGEXEXTRACT(C1925, ""🏘️ \w+ \w+ (.*) ✅""),'Quartier prepositio"&amp;"ns'!A:E, 5, 0) ,  if(H1925=""region"",vlookup(REGEXEXTRACT(C1925, ""🏘️ \w+ \w+ (.*) ✅""),'Region prepositions'!B:F, 5, 0),  REGEXEXTRACT(C1925, ""🏘️ \w+ \w+ (.*) ✅""))))"),"Loveresse")</f>
        <v>Loveresse</v>
      </c>
      <c r="F1925" s="2" t="str">
        <f>IFERROR(__xludf.DUMMYFUNCTION("REGEXEXTRACT(C1925, ""🏘️ (\w+) \w+ .* ✅"")"),"Vendre")</f>
        <v>Vendre</v>
      </c>
      <c r="G1925" s="2" t="str">
        <f>IFERROR(__xludf.DUMMYFUNCTION("REGEXEXTRACT(C1925, ""🏘️ \w+ (\w+) .* ✅"")"),"maison")</f>
        <v>maison</v>
      </c>
      <c r="H1925" s="4" t="str">
        <f>IFERROR(__xludf.DUMMYFUNCTION("REGEXEXTRACT(A1925, ""/(\w+)-.*?"")"),"lieu")</f>
        <v>lieu</v>
      </c>
      <c r="I1925" s="4" t="str">
        <f>IFERROR(__xludf.DUMMYFUNCTION("if(D1925=""variant"",  substitute(filter(Templates!E:E, Templates!A:A = F1925, Templates!B:B = G1925, Templates!C:C = H1925), ""{{}}"", E1925), B1925)"),"🏘  Vous souhaitez acheter une maison à Loveresse? ✅ Jetez un œil aux dernières offres sur ImmoScout24.ch.")</f>
        <v>🏘  Vous souhaitez acheter une maison à Loveresse? ✅ Jetez un œil aux dernières offres sur ImmoScout24.ch.</v>
      </c>
      <c r="J1925" s="4" t="s">
        <v>5775</v>
      </c>
    </row>
    <row r="1926">
      <c r="A1926" s="5" t="s">
        <v>5776</v>
      </c>
      <c r="B1926" s="2" t="s">
        <v>5777</v>
      </c>
      <c r="C1926" s="4" t="str">
        <f>IFERROR(__xludf.DUMMYFUNCTION("""🏘️ ""&amp;REGEXEXTRACT(B1926, ""^(.*): "")&amp;"" ✅ "" &amp;REGEXEXTRACT(B1926, ""(Trouvez.*)"")"),"🏘️ Louer appartement Villarimboud ✅ Trouvez le bien immobilier qui correspond idéalement à vos désirs sur ImmoScout24 - La plateforme de l'immobilier en Suisse.")</f>
        <v>🏘️ Louer appartement Villarimboud ✅ Trouvez le bien immobilier qui correspond idéalement à vos désirs sur ImmoScout24 - La plateforme de l'immobilier en Suisse.</v>
      </c>
      <c r="D1926" s="4" t="str">
        <f>vlookup(A1926, Sheet2!D:E, 2, 0)</f>
        <v>variant</v>
      </c>
      <c r="E1926" s="4" t="str">
        <f>IFERROR(__xludf.DUMMYFUNCTION("if(H1926=""pays"",vlookup(REGEXEXTRACT(C1926, ""🏘️ \w+ \w+ (.*) ✅""),'Country prepositions'!A:B, 2, 0) &amp; "" "" &amp; REGEXEXTRACT(C1926, ""🏘️ \w+ \w+ (.*) ✅"") ,  if(H1926=""quartier"",vlookup(REGEXEXTRACT(C1926, ""🏘️ \w+ \w+ (.*) ✅""),'Quartier prepositio"&amp;"ns'!A:E, 5, 0) ,  if(H1926=""region"",vlookup(REGEXEXTRACT(C1926, ""🏘️ \w+ \w+ (.*) ✅""),'Region prepositions'!B:F, 5, 0),  REGEXEXTRACT(C1926, ""🏘️ \w+ \w+ (.*) ✅""))))"),"Villarimboud")</f>
        <v>Villarimboud</v>
      </c>
      <c r="F1926" s="2" t="str">
        <f>IFERROR(__xludf.DUMMYFUNCTION("REGEXEXTRACT(C1926, ""🏘️ (\w+) \w+ .* ✅"")"),"Louer")</f>
        <v>Louer</v>
      </c>
      <c r="G1926" s="2" t="str">
        <f>IFERROR(__xludf.DUMMYFUNCTION("REGEXEXTRACT(C1926, ""🏘️ \w+ (\w+) .* ✅"")"),"appartement")</f>
        <v>appartement</v>
      </c>
      <c r="H1926" s="4" t="str">
        <f>IFERROR(__xludf.DUMMYFUNCTION("REGEXEXTRACT(A1926, ""/(\w+)-.*?"")"),"lieu")</f>
        <v>lieu</v>
      </c>
      <c r="I1926" s="4" t="str">
        <f>IFERROR(__xludf.DUMMYFUNCTION("if(D1926=""variant"",  substitute(filter(Templates!E:E, Templates!A:A = F1926, Templates!B:B = G1926, Templates!C:C = H1926), ""{{}}"", E1926), B1926)"),"🏘  Vous cherchez un appartement à louer à Villarimboud? ✅ Les annonces les plus actuelles sont sur ImmoScout24.ch.")</f>
        <v>🏘  Vous cherchez un appartement à louer à Villarimboud? ✅ Les annonces les plus actuelles sont sur ImmoScout24.ch.</v>
      </c>
      <c r="J1926" s="4" t="s">
        <v>5778</v>
      </c>
    </row>
    <row r="1927">
      <c r="A1927" s="5" t="s">
        <v>5779</v>
      </c>
      <c r="B1927" s="2" t="s">
        <v>5780</v>
      </c>
      <c r="C1927" s="4" t="str">
        <f>IFERROR(__xludf.DUMMYFUNCTION("""🏘️ ""&amp;REGEXEXTRACT(B1927, ""^(.*): "")&amp;"" ✅ "" &amp;REGEXEXTRACT(B1927, ""(Trouvez.*)"")"),"🏘️ Louer appartement Bad Zurzach ✅ Trouvez le bien immobilier qui correspond idéalement à vos désirs sur ImmoScout24 - La plateforme de l'immobilier en Suisse.")</f>
        <v>🏘️ Louer appartement Bad Zurzach ✅ Trouvez le bien immobilier qui correspond idéalement à vos désirs sur ImmoScout24 - La plateforme de l'immobilier en Suisse.</v>
      </c>
      <c r="D1927" s="4" t="str">
        <f>vlookup(A1927, Sheet2!D:E, 2, 0)</f>
        <v>variant</v>
      </c>
      <c r="E1927" s="4" t="str">
        <f>IFERROR(__xludf.DUMMYFUNCTION("if(H1927=""pays"",vlookup(REGEXEXTRACT(C1927, ""🏘️ \w+ \w+ (.*) ✅""),'Country prepositions'!A:B, 2, 0) &amp; "" "" &amp; REGEXEXTRACT(C1927, ""🏘️ \w+ \w+ (.*) ✅"") ,  if(H1927=""quartier"",vlookup(REGEXEXTRACT(C1927, ""🏘️ \w+ \w+ (.*) ✅""),'Quartier prepositio"&amp;"ns'!A:E, 5, 0) ,  if(H1927=""region"",vlookup(REGEXEXTRACT(C1927, ""🏘️ \w+ \w+ (.*) ✅""),'Region prepositions'!B:F, 5, 0),  REGEXEXTRACT(C1927, ""🏘️ \w+ \w+ (.*) ✅""))))"),"Bad Zurzach")</f>
        <v>Bad Zurzach</v>
      </c>
      <c r="F1927" s="2" t="str">
        <f>IFERROR(__xludf.DUMMYFUNCTION("REGEXEXTRACT(C1927, ""🏘️ (\w+) \w+ .* ✅"")"),"Louer")</f>
        <v>Louer</v>
      </c>
      <c r="G1927" s="2" t="str">
        <f>IFERROR(__xludf.DUMMYFUNCTION("REGEXEXTRACT(C1927, ""🏘️ \w+ (\w+) .* ✅"")"),"appartement")</f>
        <v>appartement</v>
      </c>
      <c r="H1927" s="4" t="str">
        <f>IFERROR(__xludf.DUMMYFUNCTION("REGEXEXTRACT(A1927, ""/(\w+)-.*?"")"),"lieu")</f>
        <v>lieu</v>
      </c>
      <c r="I1927" s="4" t="str">
        <f>IFERROR(__xludf.DUMMYFUNCTION("if(D1927=""variant"",  substitute(filter(Templates!E:E, Templates!A:A = F1927, Templates!B:B = G1927, Templates!C:C = H1927), ""{{}}"", E1927), B1927)"),"🏘  Vous cherchez un appartement à louer à Bad Zurzach? ✅ Les annonces les plus actuelles sont sur ImmoScout24.ch.")</f>
        <v>🏘  Vous cherchez un appartement à louer à Bad Zurzach? ✅ Les annonces les plus actuelles sont sur ImmoScout24.ch.</v>
      </c>
      <c r="J1927" s="4" t="s">
        <v>5781</v>
      </c>
    </row>
    <row r="1928">
      <c r="A1928" s="5" t="s">
        <v>5782</v>
      </c>
      <c r="B1928" s="2" t="s">
        <v>5783</v>
      </c>
      <c r="C1928" s="4" t="str">
        <f>IFERROR(__xludf.DUMMYFUNCTION("""🏘️ ""&amp;REGEXEXTRACT(B1928, ""^(.*): "")&amp;"" ✅ "" &amp;REGEXEXTRACT(B1928, ""(Trouvez.*)"")"),"🏘️ Vendre maison Axalp ✅ Trouvez le bien immobilier qui correspond idéalement à vos désirs sur ImmoScout24 - La plateforme de l'immobilier en Suisse.")</f>
        <v>🏘️ Vendre maison Axalp ✅ Trouvez le bien immobilier qui correspond idéalement à vos désirs sur ImmoScout24 - La plateforme de l'immobilier en Suisse.</v>
      </c>
      <c r="D1928" s="4" t="str">
        <f>vlookup(A1928, Sheet2!D:E, 2, 0)</f>
        <v>variant</v>
      </c>
      <c r="E1928" s="4" t="str">
        <f>IFERROR(__xludf.DUMMYFUNCTION("if(H1928=""pays"",vlookup(REGEXEXTRACT(C1928, ""🏘️ \w+ \w+ (.*) ✅""),'Country prepositions'!A:B, 2, 0) &amp; "" "" &amp; REGEXEXTRACT(C1928, ""🏘️ \w+ \w+ (.*) ✅"") ,  if(H1928=""quartier"",vlookup(REGEXEXTRACT(C1928, ""🏘️ \w+ \w+ (.*) ✅""),'Quartier prepositio"&amp;"ns'!A:E, 5, 0) ,  if(H1928=""region"",vlookup(REGEXEXTRACT(C1928, ""🏘️ \w+ \w+ (.*) ✅""),'Region prepositions'!B:F, 5, 0),  REGEXEXTRACT(C1928, ""🏘️ \w+ \w+ (.*) ✅""))))"),"Axalp")</f>
        <v>Axalp</v>
      </c>
      <c r="F1928" s="2" t="str">
        <f>IFERROR(__xludf.DUMMYFUNCTION("REGEXEXTRACT(C1928, ""🏘️ (\w+) \w+ .* ✅"")"),"Vendre")</f>
        <v>Vendre</v>
      </c>
      <c r="G1928" s="2" t="str">
        <f>IFERROR(__xludf.DUMMYFUNCTION("REGEXEXTRACT(C1928, ""🏘️ \w+ (\w+) .* ✅"")"),"maison")</f>
        <v>maison</v>
      </c>
      <c r="H1928" s="4" t="str">
        <f>IFERROR(__xludf.DUMMYFUNCTION("REGEXEXTRACT(A1928, ""/(\w+)-.*?"")"),"lieu")</f>
        <v>lieu</v>
      </c>
      <c r="I1928" s="4" t="str">
        <f>IFERROR(__xludf.DUMMYFUNCTION("if(D1928=""variant"",  substitute(filter(Templates!E:E, Templates!A:A = F1928, Templates!B:B = G1928, Templates!C:C = H1928), ""{{}}"", E1928), B1928)"),"🏘  Vous souhaitez acheter une maison à Axalp? ✅ Jetez un œil aux dernières offres sur ImmoScout24.ch.")</f>
        <v>🏘  Vous souhaitez acheter une maison à Axalp? ✅ Jetez un œil aux dernières offres sur ImmoScout24.ch.</v>
      </c>
      <c r="J1928" s="4" t="s">
        <v>5784</v>
      </c>
    </row>
    <row r="1929">
      <c r="A1929" s="5" t="s">
        <v>5785</v>
      </c>
      <c r="B1929" s="2" t="s">
        <v>5786</v>
      </c>
      <c r="C1929" s="4" t="str">
        <f>IFERROR(__xludf.DUMMYFUNCTION("""🏘️ ""&amp;REGEXEXTRACT(B1929, ""^(.*): "")&amp;"" ✅ "" &amp;REGEXEXTRACT(B1929, ""(Trouvez.*)"")"),"🏘️ Louer appartement Canton de Berne ✅ Trouvez le bien immobilier qui correspond idéalement à vos désirs sur ImmoScout24 - La plateforme de l'immobilier en Suisse.")</f>
        <v>🏘️ Louer appartement Canton de Berne ✅ Trouvez le bien immobilier qui correspond idéalement à vos désirs sur ImmoScout24 - La plateforme de l'immobilier en Suisse.</v>
      </c>
      <c r="D1929" s="4" t="str">
        <f>vlookup(A1929, Sheet2!D:E, 2, 0)</f>
        <v>variant</v>
      </c>
      <c r="E1929" s="4" t="str">
        <f>IFERROR(__xludf.DUMMYFUNCTION("if(H1929=""pays"",vlookup(REGEXEXTRACT(C1929, ""🏘️ \w+ \w+ (.*) ✅""),'Country prepositions'!A:B, 2, 0) &amp; "" "" &amp; REGEXEXTRACT(C1929, ""🏘️ \w+ \w+ (.*) ✅"") ,  if(H1929=""quartier"",vlookup(REGEXEXTRACT(C1929, ""🏘️ \w+ \w+ (.*) ✅""),'Quartier prepositio"&amp;"ns'!A:E, 5, 0) ,  if(H1929=""region"",vlookup(REGEXEXTRACT(C1929, ""🏘️ \w+ \w+ (.*) ✅""),'Region prepositions'!B:F, 5, 0),  REGEXEXTRACT(C1929, ""🏘️ \w+ \w+ (.*) ✅""))))"),"Canton de Berne")</f>
        <v>Canton de Berne</v>
      </c>
      <c r="F1929" s="2" t="str">
        <f>IFERROR(__xludf.DUMMYFUNCTION("REGEXEXTRACT(C1929, ""🏘️ (\w+) \w+ .* ✅"")"),"Louer")</f>
        <v>Louer</v>
      </c>
      <c r="G1929" s="2" t="str">
        <f>IFERROR(__xludf.DUMMYFUNCTION("REGEXEXTRACT(C1929, ""🏘️ \w+ (\w+) .* ✅"")"),"appartement")</f>
        <v>appartement</v>
      </c>
      <c r="H1929" s="4" t="str">
        <f>IFERROR(__xludf.DUMMYFUNCTION("REGEXEXTRACT(A1929, ""/(\w+)-.*?"")"),"canton")</f>
        <v>canton</v>
      </c>
      <c r="I1929" s="4" t="str">
        <f>IFERROR(__xludf.DUMMYFUNCTION("if(D1929=""variant"",  substitute(filter(Templates!E:E, Templates!A:A = F1929, Templates!B:B = G1929, Templates!C:C = H1929), ""{{}}"", E1929), B1929)"),"🏘  Vous cherchez un appartement à louer dans le Canton de Berne? ✅ Les annonces les plus actuelles sont sur ImmoScout24.ch.")</f>
        <v>🏘  Vous cherchez un appartement à louer dans le Canton de Berne? ✅ Les annonces les plus actuelles sont sur ImmoScout24.ch.</v>
      </c>
      <c r="J1929" s="4" t="s">
        <v>5787</v>
      </c>
    </row>
    <row r="1930">
      <c r="A1930" s="5" t="s">
        <v>5788</v>
      </c>
      <c r="B1930" s="2" t="s">
        <v>5789</v>
      </c>
      <c r="C1930" s="4" t="str">
        <f>IFERROR(__xludf.DUMMYFUNCTION("""🏘️ ""&amp;REGEXEXTRACT(B1930, ""^(.*): "")&amp;"" ✅ "" &amp;REGEXEXTRACT(B1930, ""(Trouvez.*)"")"),"🏘️ Vendre appartement Oberdorf SO ✅ Trouvez le bien immobilier qui correspond idéalement à vos désirs sur ImmoScout24 - La plateforme de l'immobilier en Suisse.")</f>
        <v>🏘️ Vendre appartement Oberdorf SO ✅ Trouvez le bien immobilier qui correspond idéalement à vos désirs sur ImmoScout24 - La plateforme de l'immobilier en Suisse.</v>
      </c>
      <c r="D1930" s="4" t="str">
        <f>vlookup(A1930, Sheet2!D:E, 2, 0)</f>
        <v>variant</v>
      </c>
      <c r="E1930" s="4" t="str">
        <f>IFERROR(__xludf.DUMMYFUNCTION("if(H1930=""pays"",vlookup(REGEXEXTRACT(C1930, ""🏘️ \w+ \w+ (.*) ✅""),'Country prepositions'!A:B, 2, 0) &amp; "" "" &amp; REGEXEXTRACT(C1930, ""🏘️ \w+ \w+ (.*) ✅"") ,  if(H1930=""quartier"",vlookup(REGEXEXTRACT(C1930, ""🏘️ \w+ \w+ (.*) ✅""),'Quartier prepositio"&amp;"ns'!A:E, 5, 0) ,  if(H1930=""region"",vlookup(REGEXEXTRACT(C1930, ""🏘️ \w+ \w+ (.*) ✅""),'Region prepositions'!B:F, 5, 0),  REGEXEXTRACT(C1930, ""🏘️ \w+ \w+ (.*) ✅""))))"),"Oberdorf SO")</f>
        <v>Oberdorf SO</v>
      </c>
      <c r="F1930" s="2" t="str">
        <f>IFERROR(__xludf.DUMMYFUNCTION("REGEXEXTRACT(C1930, ""🏘️ (\w+) \w+ .* ✅"")"),"Vendre")</f>
        <v>Vendre</v>
      </c>
      <c r="G1930" s="2" t="str">
        <f>IFERROR(__xludf.DUMMYFUNCTION("REGEXEXTRACT(C1930, ""🏘️ \w+ (\w+) .* ✅"")"),"appartement")</f>
        <v>appartement</v>
      </c>
      <c r="H1930" s="4" t="str">
        <f>IFERROR(__xludf.DUMMYFUNCTION("REGEXEXTRACT(A1930, ""/(\w+)-.*?"")"),"lieu")</f>
        <v>lieu</v>
      </c>
      <c r="I1930" s="4" t="str">
        <f>IFERROR(__xludf.DUMMYFUNCTION("if(D1930=""variant"",  substitute(filter(Templates!E:E, Templates!A:A = F1930, Templates!B:B = G1930, Templates!C:C = H1930), ""{{}}"", E1930), B1930)"),"🏘  L’appartement de vos rêves se trouve sur ImmoScout24.ch ✅ Découvrez les dernières annonces de vente à Oberdorf SO.")</f>
        <v>🏘  L’appartement de vos rêves se trouve sur ImmoScout24.ch ✅ Découvrez les dernières annonces de vente à Oberdorf SO.</v>
      </c>
      <c r="J1930" s="4" t="s">
        <v>5790</v>
      </c>
    </row>
    <row r="1931">
      <c r="A1931" s="5" t="s">
        <v>5791</v>
      </c>
      <c r="B1931" s="2" t="s">
        <v>5792</v>
      </c>
      <c r="C1931" s="4" t="str">
        <f>IFERROR(__xludf.DUMMYFUNCTION("""🏘️ ""&amp;REGEXEXTRACT(B1931, ""^(.*): "")&amp;"" ✅ "" &amp;REGEXEXTRACT(B1931, ""(Trouvez.*)"")"),"🏘️ Vendre appartement Bramois ✅ Trouvez le bien immobilier qui correspond idéalement à vos désirs sur ImmoScout24 - La plateforme de l'immobilier en Suisse.")</f>
        <v>🏘️ Vendre appartement Bramois ✅ Trouvez le bien immobilier qui correspond idéalement à vos désirs sur ImmoScout24 - La plateforme de l'immobilier en Suisse.</v>
      </c>
      <c r="D1931" s="4" t="str">
        <f>vlookup(A1931, Sheet2!D:E, 2, 0)</f>
        <v>variant</v>
      </c>
      <c r="E1931" s="4" t="str">
        <f>IFERROR(__xludf.DUMMYFUNCTION("if(H1931=""pays"",vlookup(REGEXEXTRACT(C1931, ""🏘️ \w+ \w+ (.*) ✅""),'Country prepositions'!A:B, 2, 0) &amp; "" "" &amp; REGEXEXTRACT(C1931, ""🏘️ \w+ \w+ (.*) ✅"") ,  if(H1931=""quartier"",vlookup(REGEXEXTRACT(C1931, ""🏘️ \w+ \w+ (.*) ✅""),'Quartier prepositio"&amp;"ns'!A:E, 5, 0) ,  if(H1931=""region"",vlookup(REGEXEXTRACT(C1931, ""🏘️ \w+ \w+ (.*) ✅""),'Region prepositions'!B:F, 5, 0),  REGEXEXTRACT(C1931, ""🏘️ \w+ \w+ (.*) ✅""))))"),"Bramois")</f>
        <v>Bramois</v>
      </c>
      <c r="F1931" s="2" t="str">
        <f>IFERROR(__xludf.DUMMYFUNCTION("REGEXEXTRACT(C1931, ""🏘️ (\w+) \w+ .* ✅"")"),"Vendre")</f>
        <v>Vendre</v>
      </c>
      <c r="G1931" s="2" t="str">
        <f>IFERROR(__xludf.DUMMYFUNCTION("REGEXEXTRACT(C1931, ""🏘️ \w+ (\w+) .* ✅"")"),"appartement")</f>
        <v>appartement</v>
      </c>
      <c r="H1931" s="4" t="str">
        <f>IFERROR(__xludf.DUMMYFUNCTION("REGEXEXTRACT(A1931, ""/(\w+)-.*?"")"),"lieu")</f>
        <v>lieu</v>
      </c>
      <c r="I1931" s="4" t="str">
        <f>IFERROR(__xludf.DUMMYFUNCTION("if(D1931=""variant"",  substitute(filter(Templates!E:E, Templates!A:A = F1931, Templates!B:B = G1931, Templates!C:C = H1931), ""{{}}"", E1931), B1931)"),"🏘  L’appartement de vos rêves se trouve sur ImmoScout24.ch ✅ Découvrez les dernières annonces de vente à Bramois.")</f>
        <v>🏘  L’appartement de vos rêves se trouve sur ImmoScout24.ch ✅ Découvrez les dernières annonces de vente à Bramois.</v>
      </c>
      <c r="J1931" s="4" t="s">
        <v>5793</v>
      </c>
    </row>
    <row r="1932">
      <c r="A1932" s="5" t="s">
        <v>5794</v>
      </c>
      <c r="B1932" s="2" t="s">
        <v>5795</v>
      </c>
      <c r="C1932" s="4" t="str">
        <f>IFERROR(__xludf.DUMMYFUNCTION("""🏘️ ""&amp;REGEXEXTRACT(B1932, ""^(.*): "")&amp;"" ✅ "" &amp;REGEXEXTRACT(B1932, ""(Trouvez.*)"")"),"🏘️ Vendre maison Les Crosets ✅ Trouvez le bien immobilier qui correspond idéalement à vos désirs sur ImmoScout24 - La plateforme de l'immobilier en Suisse.")</f>
        <v>🏘️ Vendre maison Les Crosets ✅ Trouvez le bien immobilier qui correspond idéalement à vos désirs sur ImmoScout24 - La plateforme de l'immobilier en Suisse.</v>
      </c>
      <c r="D1932" s="4" t="str">
        <f>vlookup(A1932, Sheet2!D:E, 2, 0)</f>
        <v>variant</v>
      </c>
      <c r="E1932" s="4" t="str">
        <f>IFERROR(__xludf.DUMMYFUNCTION("if(H1932=""pays"",vlookup(REGEXEXTRACT(C1932, ""🏘️ \w+ \w+ (.*) ✅""),'Country prepositions'!A:B, 2, 0) &amp; "" "" &amp; REGEXEXTRACT(C1932, ""🏘️ \w+ \w+ (.*) ✅"") ,  if(H1932=""quartier"",vlookup(REGEXEXTRACT(C1932, ""🏘️ \w+ \w+ (.*) ✅""),'Quartier prepositio"&amp;"ns'!A:E, 5, 0) ,  if(H1932=""region"",vlookup(REGEXEXTRACT(C1932, ""🏘️ \w+ \w+ (.*) ✅""),'Region prepositions'!B:F, 5, 0),  REGEXEXTRACT(C1932, ""🏘️ \w+ \w+ (.*) ✅""))))"),"Les Crosets")</f>
        <v>Les Crosets</v>
      </c>
      <c r="F1932" s="2" t="str">
        <f>IFERROR(__xludf.DUMMYFUNCTION("REGEXEXTRACT(C1932, ""🏘️ (\w+) \w+ .* ✅"")"),"Vendre")</f>
        <v>Vendre</v>
      </c>
      <c r="G1932" s="2" t="str">
        <f>IFERROR(__xludf.DUMMYFUNCTION("REGEXEXTRACT(C1932, ""🏘️ \w+ (\w+) .* ✅"")"),"maison")</f>
        <v>maison</v>
      </c>
      <c r="H1932" s="4" t="str">
        <f>IFERROR(__xludf.DUMMYFUNCTION("REGEXEXTRACT(A1932, ""/(\w+)-.*?"")"),"lieu")</f>
        <v>lieu</v>
      </c>
      <c r="I1932" s="4" t="str">
        <f>IFERROR(__xludf.DUMMYFUNCTION("if(D1932=""variant"",  substitute(filter(Templates!E:E, Templates!A:A = F1932, Templates!B:B = G1932, Templates!C:C = H1932), ""{{}}"", E1932), B1932)"),"🏘  Vous souhaitez acheter une maison à Les Crosets? ✅ Jetez un œil aux dernières offres sur ImmoScout24.ch.")</f>
        <v>🏘  Vous souhaitez acheter une maison à Les Crosets? ✅ Jetez un œil aux dernières offres sur ImmoScout24.ch.</v>
      </c>
      <c r="J1932" s="2" t="s">
        <v>5796</v>
      </c>
    </row>
    <row r="1933">
      <c r="A1933" s="5" t="s">
        <v>5797</v>
      </c>
      <c r="B1933" s="2" t="s">
        <v>5798</v>
      </c>
      <c r="C1933" s="4" t="str">
        <f>IFERROR(__xludf.DUMMYFUNCTION("""🏘️ ""&amp;REGEXEXTRACT(B1933, ""^(.*): "")&amp;"" ✅ "" &amp;REGEXEXTRACT(B1933, ""(Trouvez.*)"")"),"🏘️ Louer appartement La Brévine ✅ Trouvez le bien immobilier qui correspond idéalement à vos désirs sur ImmoScout24 - La plateforme de l'immobilier en Suisse.")</f>
        <v>🏘️ Louer appartement La Brévine ✅ Trouvez le bien immobilier qui correspond idéalement à vos désirs sur ImmoScout24 - La plateforme de l'immobilier en Suisse.</v>
      </c>
      <c r="D1933" s="4" t="str">
        <f>vlookup(A1933, Sheet2!D:E, 2, 0)</f>
        <v>variant</v>
      </c>
      <c r="E1933" s="4" t="str">
        <f>IFERROR(__xludf.DUMMYFUNCTION("if(H1933=""pays"",vlookup(REGEXEXTRACT(C1933, ""🏘️ \w+ \w+ (.*) ✅""),'Country prepositions'!A:B, 2, 0) &amp; "" "" &amp; REGEXEXTRACT(C1933, ""🏘️ \w+ \w+ (.*) ✅"") ,  if(H1933=""quartier"",vlookup(REGEXEXTRACT(C1933, ""🏘️ \w+ \w+ (.*) ✅""),'Quartier prepositio"&amp;"ns'!A:E, 5, 0) ,  if(H1933=""region"",vlookup(REGEXEXTRACT(C1933, ""🏘️ \w+ \w+ (.*) ✅""),'Region prepositions'!B:F, 5, 0),  REGEXEXTRACT(C1933, ""🏘️ \w+ \w+ (.*) ✅""))))"),"La Brévine")</f>
        <v>La Brévine</v>
      </c>
      <c r="F1933" s="2" t="str">
        <f>IFERROR(__xludf.DUMMYFUNCTION("REGEXEXTRACT(C1933, ""🏘️ (\w+) \w+ .* ✅"")"),"Louer")</f>
        <v>Louer</v>
      </c>
      <c r="G1933" s="2" t="str">
        <f>IFERROR(__xludf.DUMMYFUNCTION("REGEXEXTRACT(C1933, ""🏘️ \w+ (\w+) .* ✅"")"),"appartement")</f>
        <v>appartement</v>
      </c>
      <c r="H1933" s="4" t="str">
        <f>IFERROR(__xludf.DUMMYFUNCTION("REGEXEXTRACT(A1933, ""/(\w+)-.*?"")"),"lieu")</f>
        <v>lieu</v>
      </c>
      <c r="I1933" s="4" t="str">
        <f>IFERROR(__xludf.DUMMYFUNCTION("if(D1933=""variant"",  substitute(filter(Templates!E:E, Templates!A:A = F1933, Templates!B:B = G1933, Templates!C:C = H1933), ""{{}}"", E1933), B1933)"),"🏘  Vous cherchez un appartement à louer à La Brévine? ✅ Les annonces les plus actuelles sont sur ImmoScout24.ch.")</f>
        <v>🏘  Vous cherchez un appartement à louer à La Brévine? ✅ Les annonces les plus actuelles sont sur ImmoScout24.ch.</v>
      </c>
      <c r="J1933" s="4" t="s">
        <v>5799</v>
      </c>
    </row>
    <row r="1934">
      <c r="A1934" s="5" t="s">
        <v>5800</v>
      </c>
      <c r="B1934" s="2" t="s">
        <v>5801</v>
      </c>
      <c r="C1934" s="4" t="str">
        <f>IFERROR(__xludf.DUMMYFUNCTION("""🏘️ ""&amp;REGEXEXTRACT(B1934, ""^(.*): "")&amp;"" ✅ "" &amp;REGEXEXTRACT(B1934, ""(Trouvez.*)"")"),"🏘️ Louer maison Thônex ✅ Trouvez le bien immobilier qui correspond idéalement à vos désirs sur ImmoScout24 - La plateforme de l'immobilier en Suisse.")</f>
        <v>🏘️ Louer maison Thônex ✅ Trouvez le bien immobilier qui correspond idéalement à vos désirs sur ImmoScout24 - La plateforme de l'immobilier en Suisse.</v>
      </c>
      <c r="D1934" s="4" t="str">
        <f>vlookup(A1934, Sheet2!D:E, 2, 0)</f>
        <v>variant</v>
      </c>
      <c r="E1934" s="4" t="str">
        <f>IFERROR(__xludf.DUMMYFUNCTION("if(H1934=""pays"",vlookup(REGEXEXTRACT(C1934, ""🏘️ \w+ \w+ (.*) ✅""),'Country prepositions'!A:B, 2, 0) &amp; "" "" &amp; REGEXEXTRACT(C1934, ""🏘️ \w+ \w+ (.*) ✅"") ,  if(H1934=""quartier"",vlookup(REGEXEXTRACT(C1934, ""🏘️ \w+ \w+ (.*) ✅""),'Quartier prepositio"&amp;"ns'!A:E, 5, 0) ,  if(H1934=""region"",vlookup(REGEXEXTRACT(C1934, ""🏘️ \w+ \w+ (.*) ✅""),'Region prepositions'!B:F, 5, 0),  REGEXEXTRACT(C1934, ""🏘️ \w+ \w+ (.*) ✅""))))"),"Thônex")</f>
        <v>Thônex</v>
      </c>
      <c r="F1934" s="2" t="str">
        <f>IFERROR(__xludf.DUMMYFUNCTION("REGEXEXTRACT(C1934, ""🏘️ (\w+) \w+ .* ✅"")"),"Louer")</f>
        <v>Louer</v>
      </c>
      <c r="G1934" s="2" t="str">
        <f>IFERROR(__xludf.DUMMYFUNCTION("REGEXEXTRACT(C1934, ""🏘️ \w+ (\w+) .* ✅"")"),"maison")</f>
        <v>maison</v>
      </c>
      <c r="H1934" s="4" t="str">
        <f>IFERROR(__xludf.DUMMYFUNCTION("REGEXEXTRACT(A1934, ""/(\w+)-.*?"")"),"lieu")</f>
        <v>lieu</v>
      </c>
      <c r="I1934" s="4" t="str">
        <f>IFERROR(__xludf.DUMMYFUNCTION("if(D1934=""variant"",  substitute(filter(Templates!E:E, Templates!A:A = F1934, Templates!B:B = G1934, Templates!C:C = H1934), ""{{}}"", E1934), B1934)"),"🏘  Vous cherchez une maison à louer à Thônex? ✅ Découvrez nos nombreuses annonces sur ImmoScout24.ch.")</f>
        <v>🏘  Vous cherchez une maison à louer à Thônex? ✅ Découvrez nos nombreuses annonces sur ImmoScout24.ch.</v>
      </c>
      <c r="J1934" s="4" t="s">
        <v>5802</v>
      </c>
    </row>
    <row r="1935">
      <c r="A1935" s="5" t="s">
        <v>5803</v>
      </c>
      <c r="B1935" s="2" t="s">
        <v>5804</v>
      </c>
      <c r="C1935" s="4" t="str">
        <f>IFERROR(__xludf.DUMMYFUNCTION("""🏘️ ""&amp;REGEXEXTRACT(B1935, ""^(.*): "")&amp;"" ✅ "" &amp;REGEXEXTRACT(B1935, ""(Trouvez.*)"")"),"🏘️ Vendre maison Merzligen ✅ Trouvez le bien immobilier qui correspond idéalement à vos désirs sur ImmoScout24 - La plateforme de l'immobilier en Suisse.")</f>
        <v>🏘️ Vendre maison Merzligen ✅ Trouvez le bien immobilier qui correspond idéalement à vos désirs sur ImmoScout24 - La plateforme de l'immobilier en Suisse.</v>
      </c>
      <c r="D1935" s="4" t="str">
        <f>vlookup(A1935, Sheet2!D:E, 2, 0)</f>
        <v>variant</v>
      </c>
      <c r="E1935" s="4" t="str">
        <f>IFERROR(__xludf.DUMMYFUNCTION("if(H1935=""pays"",vlookup(REGEXEXTRACT(C1935, ""🏘️ \w+ \w+ (.*) ✅""),'Country prepositions'!A:B, 2, 0) &amp; "" "" &amp; REGEXEXTRACT(C1935, ""🏘️ \w+ \w+ (.*) ✅"") ,  if(H1935=""quartier"",vlookup(REGEXEXTRACT(C1935, ""🏘️ \w+ \w+ (.*) ✅""),'Quartier prepositio"&amp;"ns'!A:E, 5, 0) ,  if(H1935=""region"",vlookup(REGEXEXTRACT(C1935, ""🏘️ \w+ \w+ (.*) ✅""),'Region prepositions'!B:F, 5, 0),  REGEXEXTRACT(C1935, ""🏘️ \w+ \w+ (.*) ✅""))))"),"Merzligen")</f>
        <v>Merzligen</v>
      </c>
      <c r="F1935" s="2" t="str">
        <f>IFERROR(__xludf.DUMMYFUNCTION("REGEXEXTRACT(C1935, ""🏘️ (\w+) \w+ .* ✅"")"),"Vendre")</f>
        <v>Vendre</v>
      </c>
      <c r="G1935" s="2" t="str">
        <f>IFERROR(__xludf.DUMMYFUNCTION("REGEXEXTRACT(C1935, ""🏘️ \w+ (\w+) .* ✅"")"),"maison")</f>
        <v>maison</v>
      </c>
      <c r="H1935" s="4" t="str">
        <f>IFERROR(__xludf.DUMMYFUNCTION("REGEXEXTRACT(A1935, ""/(\w+)-.*?"")"),"lieu")</f>
        <v>lieu</v>
      </c>
      <c r="I1935" s="4" t="str">
        <f>IFERROR(__xludf.DUMMYFUNCTION("if(D1935=""variant"",  substitute(filter(Templates!E:E, Templates!A:A = F1935, Templates!B:B = G1935, Templates!C:C = H1935), ""{{}}"", E1935), B1935)"),"🏘  Vous souhaitez acheter une maison à Merzligen? ✅ Jetez un œil aux dernières offres sur ImmoScout24.ch.")</f>
        <v>🏘  Vous souhaitez acheter une maison à Merzligen? ✅ Jetez un œil aux dernières offres sur ImmoScout24.ch.</v>
      </c>
      <c r="J1935" s="4" t="s">
        <v>5805</v>
      </c>
    </row>
    <row r="1936">
      <c r="A1936" s="5" t="s">
        <v>5806</v>
      </c>
      <c r="B1936" s="2" t="s">
        <v>5807</v>
      </c>
      <c r="C1936" s="4" t="str">
        <f>IFERROR(__xludf.DUMMYFUNCTION("""🏘️ ""&amp;REGEXEXTRACT(B1936, ""^(.*): "")&amp;"" ✅ "" &amp;REGEXEXTRACT(B1936, ""(Trouvez.*)"")"),"🏘️ Vendre maison Mendrisiotto ✅ Trouvez le bien immobilier qui correspond idéalement à vos désirs sur ImmoScout24 - La plateforme de l'immobilier en Suisse.")</f>
        <v>🏘️ Vendre maison Mendrisiotto ✅ Trouvez le bien immobilier qui correspond idéalement à vos désirs sur ImmoScout24 - La plateforme de l'immobilier en Suisse.</v>
      </c>
      <c r="D1936" s="4" t="str">
        <f>vlookup(A1936, Sheet2!D:E, 2, 0)</f>
        <v>variant</v>
      </c>
      <c r="E1936" s="4" t="str">
        <f>IFERROR(__xludf.DUMMYFUNCTION("if(H1936=""pays"",vlookup(REGEXEXTRACT(C1936, ""🏘️ \w+ \w+ (.*) ✅""),'Country prepositions'!A:B, 2, 0) &amp; "" "" &amp; REGEXEXTRACT(C1936, ""🏘️ \w+ \w+ (.*) ✅"") ,  if(H1936=""quartier"",vlookup(REGEXEXTRACT(C1936, ""🏘️ \w+ \w+ (.*) ✅""),'Quartier prepositio"&amp;"ns'!A:E, 5, 0) ,  if(H1936=""region"",vlookup(REGEXEXTRACT(C1936, ""🏘️ \w+ \w+ (.*) ✅""),'Region prepositions'!B:F, 5, 0),  REGEXEXTRACT(C1936, ""🏘️ \w+ \w+ (.*) ✅""))))"),"dans le Mendrisiotto")</f>
        <v>dans le Mendrisiotto</v>
      </c>
      <c r="F1936" s="2" t="str">
        <f>IFERROR(__xludf.DUMMYFUNCTION("REGEXEXTRACT(C1936, ""🏘️ (\w+) \w+ .* ✅"")"),"Vendre")</f>
        <v>Vendre</v>
      </c>
      <c r="G1936" s="2" t="str">
        <f>IFERROR(__xludf.DUMMYFUNCTION("REGEXEXTRACT(C1936, ""🏘️ \w+ (\w+) .* ✅"")"),"maison")</f>
        <v>maison</v>
      </c>
      <c r="H1936" s="4" t="str">
        <f>IFERROR(__xludf.DUMMYFUNCTION("REGEXEXTRACT(A1936, ""/(\w+)-.*?"")"),"region")</f>
        <v>region</v>
      </c>
      <c r="I1936" s="4" t="str">
        <f>IFERROR(__xludf.DUMMYFUNCTION("if(D1936=""variant"",  substitute(filter(Templates!E:E, Templates!A:A = F1936, Templates!B:B = G1936, Templates!C:C = H1936), ""{{}}"", E1936), B1936)"),"🏘  Vous souhaitez acheter une maison dans le Mendrisiotto? ✅ Jetez un œil aux dernières offres sur ImmoScout24.ch.")</f>
        <v>🏘  Vous souhaitez acheter une maison dans le Mendrisiotto? ✅ Jetez un œil aux dernières offres sur ImmoScout24.ch.</v>
      </c>
      <c r="J1936" s="4" t="s">
        <v>5808</v>
      </c>
    </row>
    <row r="1937">
      <c r="A1937" s="5" t="s">
        <v>5809</v>
      </c>
      <c r="B1937" s="2" t="s">
        <v>5810</v>
      </c>
      <c r="C1937" s="4" t="str">
        <f>IFERROR(__xludf.DUMMYFUNCTION("""🏘️ ""&amp;REGEXEXTRACT(B1937, ""^(.*): "")&amp;"" ✅ "" &amp;REGEXEXTRACT(B1937, ""(Trouvez.*)"")"),"🏘️ Vendre maison Colla ✅ Trouvez le bien immobilier qui correspond idéalement à vos désirs sur ImmoScout24 - La plateforme de l'immobilier en Suisse.")</f>
        <v>🏘️ Vendre maison Colla ✅ Trouvez le bien immobilier qui correspond idéalement à vos désirs sur ImmoScout24 - La plateforme de l'immobilier en Suisse.</v>
      </c>
      <c r="D1937" s="4" t="str">
        <f>vlookup(A1937, Sheet2!D:E, 2, 0)</f>
        <v>variant</v>
      </c>
      <c r="E1937" s="4" t="str">
        <f>IFERROR(__xludf.DUMMYFUNCTION("if(H1937=""pays"",vlookup(REGEXEXTRACT(C1937, ""🏘️ \w+ \w+ (.*) ✅""),'Country prepositions'!A:B, 2, 0) &amp; "" "" &amp; REGEXEXTRACT(C1937, ""🏘️ \w+ \w+ (.*) ✅"") ,  if(H1937=""quartier"",vlookup(REGEXEXTRACT(C1937, ""🏘️ \w+ \w+ (.*) ✅""),'Quartier prepositio"&amp;"ns'!A:E, 5, 0) ,  if(H1937=""region"",vlookup(REGEXEXTRACT(C1937, ""🏘️ \w+ \w+ (.*) ✅""),'Region prepositions'!B:F, 5, 0),  REGEXEXTRACT(C1937, ""🏘️ \w+ \w+ (.*) ✅""))))"),"Colla")</f>
        <v>Colla</v>
      </c>
      <c r="F1937" s="2" t="str">
        <f>IFERROR(__xludf.DUMMYFUNCTION("REGEXEXTRACT(C1937, ""🏘️ (\w+) \w+ .* ✅"")"),"Vendre")</f>
        <v>Vendre</v>
      </c>
      <c r="G1937" s="2" t="str">
        <f>IFERROR(__xludf.DUMMYFUNCTION("REGEXEXTRACT(C1937, ""🏘️ \w+ (\w+) .* ✅"")"),"maison")</f>
        <v>maison</v>
      </c>
      <c r="H1937" s="4" t="str">
        <f>IFERROR(__xludf.DUMMYFUNCTION("REGEXEXTRACT(A1937, ""/(\w+)-.*?"")"),"lieu")</f>
        <v>lieu</v>
      </c>
      <c r="I1937" s="4" t="str">
        <f>IFERROR(__xludf.DUMMYFUNCTION("if(D1937=""variant"",  substitute(filter(Templates!E:E, Templates!A:A = F1937, Templates!B:B = G1937, Templates!C:C = H1937), ""{{}}"", E1937), B1937)"),"🏘  Vous souhaitez acheter une maison à Colla? ✅ Jetez un œil aux dernières offres sur ImmoScout24.ch.")</f>
        <v>🏘  Vous souhaitez acheter une maison à Colla? ✅ Jetez un œil aux dernières offres sur ImmoScout24.ch.</v>
      </c>
      <c r="J1937" s="4" t="s">
        <v>5811</v>
      </c>
    </row>
    <row r="1938">
      <c r="A1938" s="5" t="s">
        <v>5812</v>
      </c>
      <c r="B1938" s="2" t="s">
        <v>5813</v>
      </c>
      <c r="C1938" s="4" t="str">
        <f>IFERROR(__xludf.DUMMYFUNCTION("""🏘️ ""&amp;REGEXEXTRACT(B1938, ""^(.*): "")&amp;"" ✅ "" &amp;REGEXEXTRACT(B1938, ""(Trouvez.*)"")"),"🏘️ Louer appartement Sevelen ✅ Trouvez le bien immobilier qui correspond idéalement à vos désirs sur ImmoScout24 - La plateforme de l'immobilier en Suisse.")</f>
        <v>🏘️ Louer appartement Sevelen ✅ Trouvez le bien immobilier qui correspond idéalement à vos désirs sur ImmoScout24 - La plateforme de l'immobilier en Suisse.</v>
      </c>
      <c r="D1938" s="4" t="str">
        <f>vlookup(A1938, Sheet2!D:E, 2, 0)</f>
        <v>variant</v>
      </c>
      <c r="E1938" s="4" t="str">
        <f>IFERROR(__xludf.DUMMYFUNCTION("if(H1938=""pays"",vlookup(REGEXEXTRACT(C1938, ""🏘️ \w+ \w+ (.*) ✅""),'Country prepositions'!A:B, 2, 0) &amp; "" "" &amp; REGEXEXTRACT(C1938, ""🏘️ \w+ \w+ (.*) ✅"") ,  if(H1938=""quartier"",vlookup(REGEXEXTRACT(C1938, ""🏘️ \w+ \w+ (.*) ✅""),'Quartier prepositio"&amp;"ns'!A:E, 5, 0) ,  if(H1938=""region"",vlookup(REGEXEXTRACT(C1938, ""🏘️ \w+ \w+ (.*) ✅""),'Region prepositions'!B:F, 5, 0),  REGEXEXTRACT(C1938, ""🏘️ \w+ \w+ (.*) ✅""))))"),"Sevelen")</f>
        <v>Sevelen</v>
      </c>
      <c r="F1938" s="2" t="str">
        <f>IFERROR(__xludf.DUMMYFUNCTION("REGEXEXTRACT(C1938, ""🏘️ (\w+) \w+ .* ✅"")"),"Louer")</f>
        <v>Louer</v>
      </c>
      <c r="G1938" s="2" t="str">
        <f>IFERROR(__xludf.DUMMYFUNCTION("REGEXEXTRACT(C1938, ""🏘️ \w+ (\w+) .* ✅"")"),"appartement")</f>
        <v>appartement</v>
      </c>
      <c r="H1938" s="4" t="str">
        <f>IFERROR(__xludf.DUMMYFUNCTION("REGEXEXTRACT(A1938, ""/(\w+)-.*?"")"),"lieu")</f>
        <v>lieu</v>
      </c>
      <c r="I1938" s="4" t="str">
        <f>IFERROR(__xludf.DUMMYFUNCTION("if(D1938=""variant"",  substitute(filter(Templates!E:E, Templates!A:A = F1938, Templates!B:B = G1938, Templates!C:C = H1938), ""{{}}"", E1938), B1938)"),"🏘  Vous cherchez un appartement à louer à Sevelen? ✅ Les annonces les plus actuelles sont sur ImmoScout24.ch.")</f>
        <v>🏘  Vous cherchez un appartement à louer à Sevelen? ✅ Les annonces les plus actuelles sont sur ImmoScout24.ch.</v>
      </c>
      <c r="J1938" s="4" t="s">
        <v>5814</v>
      </c>
    </row>
    <row r="1939">
      <c r="A1939" s="5" t="s">
        <v>5815</v>
      </c>
      <c r="B1939" s="2" t="s">
        <v>5816</v>
      </c>
      <c r="C1939" s="4" t="str">
        <f>IFERROR(__xludf.DUMMYFUNCTION("""🏘️ ""&amp;REGEXEXTRACT(B1939, ""^(.*): "")&amp;"" ✅ "" &amp;REGEXEXTRACT(B1939, ""(Trouvez.*)"")"),"🏘️ Louer appartement Corban ✅ Trouvez le bien immobilier qui correspond idéalement à vos désirs sur ImmoScout24 - La plateforme de l'immobilier en Suisse.")</f>
        <v>🏘️ Louer appartement Corban ✅ Trouvez le bien immobilier qui correspond idéalement à vos désirs sur ImmoScout24 - La plateforme de l'immobilier en Suisse.</v>
      </c>
      <c r="D1939" s="4" t="str">
        <f>vlookup(A1939, Sheet2!D:E, 2, 0)</f>
        <v>variant</v>
      </c>
      <c r="E1939" s="4" t="str">
        <f>IFERROR(__xludf.DUMMYFUNCTION("if(H1939=""pays"",vlookup(REGEXEXTRACT(C1939, ""🏘️ \w+ \w+ (.*) ✅""),'Country prepositions'!A:B, 2, 0) &amp; "" "" &amp; REGEXEXTRACT(C1939, ""🏘️ \w+ \w+ (.*) ✅"") ,  if(H1939=""quartier"",vlookup(REGEXEXTRACT(C1939, ""🏘️ \w+ \w+ (.*) ✅""),'Quartier prepositio"&amp;"ns'!A:E, 5, 0) ,  if(H1939=""region"",vlookup(REGEXEXTRACT(C1939, ""🏘️ \w+ \w+ (.*) ✅""),'Region prepositions'!B:F, 5, 0),  REGEXEXTRACT(C1939, ""🏘️ \w+ \w+ (.*) ✅""))))"),"Corban")</f>
        <v>Corban</v>
      </c>
      <c r="F1939" s="2" t="str">
        <f>IFERROR(__xludf.DUMMYFUNCTION("REGEXEXTRACT(C1939, ""🏘️ (\w+) \w+ .* ✅"")"),"Louer")</f>
        <v>Louer</v>
      </c>
      <c r="G1939" s="2" t="str">
        <f>IFERROR(__xludf.DUMMYFUNCTION("REGEXEXTRACT(C1939, ""🏘️ \w+ (\w+) .* ✅"")"),"appartement")</f>
        <v>appartement</v>
      </c>
      <c r="H1939" s="4" t="str">
        <f>IFERROR(__xludf.DUMMYFUNCTION("REGEXEXTRACT(A1939, ""/(\w+)-.*?"")"),"lieu")</f>
        <v>lieu</v>
      </c>
      <c r="I1939" s="4" t="str">
        <f>IFERROR(__xludf.DUMMYFUNCTION("if(D1939=""variant"",  substitute(filter(Templates!E:E, Templates!A:A = F1939, Templates!B:B = G1939, Templates!C:C = H1939), ""{{}}"", E1939), B1939)"),"🏘  Vous cherchez un appartement à louer à Corban? ✅ Les annonces les plus actuelles sont sur ImmoScout24.ch.")</f>
        <v>🏘  Vous cherchez un appartement à louer à Corban? ✅ Les annonces les plus actuelles sont sur ImmoScout24.ch.</v>
      </c>
      <c r="J1939" s="4" t="s">
        <v>5817</v>
      </c>
    </row>
    <row r="1940">
      <c r="A1940" s="5" t="s">
        <v>5818</v>
      </c>
      <c r="B1940" s="2" t="s">
        <v>5819</v>
      </c>
      <c r="C1940" s="4" t="str">
        <f>IFERROR(__xludf.DUMMYFUNCTION("""🏘️ ""&amp;REGEXEXTRACT(B1940, ""^(.*): "")&amp;"" ✅ "" &amp;REGEXEXTRACT(B1940, ""(Trouvez.*)"")"),"🏘️ Vendre maison Lamboing ✅ Trouvez le bien immobilier qui correspond idéalement à vos désirs sur ImmoScout24 - La plateforme de l'immobilier en Suisse.")</f>
        <v>🏘️ Vendre maison Lamboing ✅ Trouvez le bien immobilier qui correspond idéalement à vos désirs sur ImmoScout24 - La plateforme de l'immobilier en Suisse.</v>
      </c>
      <c r="D1940" s="4" t="str">
        <f>vlookup(A1940, Sheet2!D:E, 2, 0)</f>
        <v>variant</v>
      </c>
      <c r="E1940" s="4" t="str">
        <f>IFERROR(__xludf.DUMMYFUNCTION("if(H1940=""pays"",vlookup(REGEXEXTRACT(C1940, ""🏘️ \w+ \w+ (.*) ✅""),'Country prepositions'!A:B, 2, 0) &amp; "" "" &amp; REGEXEXTRACT(C1940, ""🏘️ \w+ \w+ (.*) ✅"") ,  if(H1940=""quartier"",vlookup(REGEXEXTRACT(C1940, ""🏘️ \w+ \w+ (.*) ✅""),'Quartier prepositio"&amp;"ns'!A:E, 5, 0) ,  if(H1940=""region"",vlookup(REGEXEXTRACT(C1940, ""🏘️ \w+ \w+ (.*) ✅""),'Region prepositions'!B:F, 5, 0),  REGEXEXTRACT(C1940, ""🏘️ \w+ \w+ (.*) ✅""))))"),"Lamboing")</f>
        <v>Lamboing</v>
      </c>
      <c r="F1940" s="2" t="str">
        <f>IFERROR(__xludf.DUMMYFUNCTION("REGEXEXTRACT(C1940, ""🏘️ (\w+) \w+ .* ✅"")"),"Vendre")</f>
        <v>Vendre</v>
      </c>
      <c r="G1940" s="2" t="str">
        <f>IFERROR(__xludf.DUMMYFUNCTION("REGEXEXTRACT(C1940, ""🏘️ \w+ (\w+) .* ✅"")"),"maison")</f>
        <v>maison</v>
      </c>
      <c r="H1940" s="4" t="str">
        <f>IFERROR(__xludf.DUMMYFUNCTION("REGEXEXTRACT(A1940, ""/(\w+)-.*?"")"),"lieu")</f>
        <v>lieu</v>
      </c>
      <c r="I1940" s="4" t="str">
        <f>IFERROR(__xludf.DUMMYFUNCTION("if(D1940=""variant"",  substitute(filter(Templates!E:E, Templates!A:A = F1940, Templates!B:B = G1940, Templates!C:C = H1940), ""{{}}"", E1940), B1940)"),"🏘  Vous souhaitez acheter une maison à Lamboing? ✅ Jetez un œil aux dernières offres sur ImmoScout24.ch.")</f>
        <v>🏘  Vous souhaitez acheter une maison à Lamboing? ✅ Jetez un œil aux dernières offres sur ImmoScout24.ch.</v>
      </c>
      <c r="J1940" s="4" t="s">
        <v>5820</v>
      </c>
    </row>
    <row r="1941">
      <c r="A1941" s="5" t="s">
        <v>5821</v>
      </c>
      <c r="B1941" s="2" t="s">
        <v>5822</v>
      </c>
      <c r="C1941" s="4" t="str">
        <f>IFERROR(__xludf.DUMMYFUNCTION("""🏘️ ""&amp;REGEXEXTRACT(B1941, ""^(.*): "")&amp;"" ✅ "" &amp;REGEXEXTRACT(B1941, ""(Trouvez.*)"")"),"🏘️ Vendre appartement Sous-Gare - Ouchy (Lausanne) ✅ Trouvez le bien immobilier qui correspond idéalement à vos désirs sur ImmoScout24 - La plateforme de l'immobilier en Suisse.")</f>
        <v>🏘️ Vendre appartement Sous-Gare - Ouchy (Lausanne) ✅ Trouvez le bien immobilier qui correspond idéalement à vos désirs sur ImmoScout24 - La plateforme de l'immobilier en Suisse.</v>
      </c>
      <c r="D1941" s="4" t="str">
        <f>vlookup(A1941, Sheet2!D:E, 2, 0)</f>
        <v>variant</v>
      </c>
      <c r="E1941" s="4" t="str">
        <f>IFERROR(__xludf.DUMMYFUNCTION("if(H1941=""pays"",vlookup(REGEXEXTRACT(C1941, ""🏘️ \w+ \w+ (.*) ✅""),'Country prepositions'!A:B, 2, 0) &amp; "" "" &amp; REGEXEXTRACT(C1941, ""🏘️ \w+ \w+ (.*) ✅"") ,  if(H1941=""quartier"",vlookup(REGEXEXTRACT(C1941, ""🏘️ \w+ \w+ (.*) ✅""),'Quartier prepositio"&amp;"ns'!A:E, 5, 0) ,  if(H1941=""region"",vlookup(REGEXEXTRACT(C1941, ""🏘️ \w+ \w+ (.*) ✅""),'Region prepositions'!B:F, 5, 0),  REGEXEXTRACT(C1941, ""🏘️ \w+ \w+ (.*) ✅""))))"),"dans le quartier de Sous-Gare - Ouchy (Lausanne)")</f>
        <v>dans le quartier de Sous-Gare - Ouchy (Lausanne)</v>
      </c>
      <c r="F1941" s="2" t="str">
        <f>IFERROR(__xludf.DUMMYFUNCTION("REGEXEXTRACT(C1941, ""🏘️ (\w+) \w+ .* ✅"")"),"Vendre")</f>
        <v>Vendre</v>
      </c>
      <c r="G1941" s="2" t="str">
        <f>IFERROR(__xludf.DUMMYFUNCTION("REGEXEXTRACT(C1941, ""🏘️ \w+ (\w+) .* ✅"")"),"appartement")</f>
        <v>appartement</v>
      </c>
      <c r="H1941" s="4" t="str">
        <f>IFERROR(__xludf.DUMMYFUNCTION("REGEXEXTRACT(A1941, ""/(\w+)-.*?"")"),"quartier")</f>
        <v>quartier</v>
      </c>
      <c r="I1941" s="4" t="str">
        <f>IFERROR(__xludf.DUMMYFUNCTION("if(D1941=""variant"",  substitute(filter(Templates!E:E, Templates!A:A = F1941, Templates!B:B = G1941, Templates!C:C = H1941), ""{{}}"", E1941), B1941)"),"🏘  L’appartement de vos rêves se trouve sur ImmoScout24.ch ✅ Découvrez les dernières annonces de vente dans le quartier de Sous-Gare - Ouchy (Lausanne).")</f>
        <v>🏘  L’appartement de vos rêves se trouve sur ImmoScout24.ch ✅ Découvrez les dernières annonces de vente dans le quartier de Sous-Gare - Ouchy (Lausanne).</v>
      </c>
      <c r="J1941" s="4" t="s">
        <v>5823</v>
      </c>
    </row>
    <row r="1942">
      <c r="A1942" s="5" t="s">
        <v>5824</v>
      </c>
      <c r="B1942" s="2" t="s">
        <v>5825</v>
      </c>
      <c r="C1942" s="4" t="str">
        <f>IFERROR(__xludf.DUMMYFUNCTION("""🏘️ ""&amp;REGEXEXTRACT(B1942, ""^(.*): "")&amp;"" ✅ "" &amp;REGEXEXTRACT(B1942, ""(Trouvez.*)"")"),"🏘️ Louer appartement Rüti ZH ✅ Trouvez le bien immobilier qui correspond idéalement à vos désirs sur ImmoScout24 - La plateforme de l'immobilier en Suisse.")</f>
        <v>🏘️ Louer appartement Rüti ZH ✅ Trouvez le bien immobilier qui correspond idéalement à vos désirs sur ImmoScout24 - La plateforme de l'immobilier en Suisse.</v>
      </c>
      <c r="D1942" s="4" t="str">
        <f>vlookup(A1942, Sheet2!D:E, 2, 0)</f>
        <v>variant</v>
      </c>
      <c r="E1942" s="4" t="str">
        <f>IFERROR(__xludf.DUMMYFUNCTION("if(H1942=""pays"",vlookup(REGEXEXTRACT(C1942, ""🏘️ \w+ \w+ (.*) ✅""),'Country prepositions'!A:B, 2, 0) &amp; "" "" &amp; REGEXEXTRACT(C1942, ""🏘️ \w+ \w+ (.*) ✅"") ,  if(H1942=""quartier"",vlookup(REGEXEXTRACT(C1942, ""🏘️ \w+ \w+ (.*) ✅""),'Quartier prepositio"&amp;"ns'!A:E, 5, 0) ,  if(H1942=""region"",vlookup(REGEXEXTRACT(C1942, ""🏘️ \w+ \w+ (.*) ✅""),'Region prepositions'!B:F, 5, 0),  REGEXEXTRACT(C1942, ""🏘️ \w+ \w+ (.*) ✅""))))"),"Rüti ZH")</f>
        <v>Rüti ZH</v>
      </c>
      <c r="F1942" s="2" t="str">
        <f>IFERROR(__xludf.DUMMYFUNCTION("REGEXEXTRACT(C1942, ""🏘️ (\w+) \w+ .* ✅"")"),"Louer")</f>
        <v>Louer</v>
      </c>
      <c r="G1942" s="2" t="str">
        <f>IFERROR(__xludf.DUMMYFUNCTION("REGEXEXTRACT(C1942, ""🏘️ \w+ (\w+) .* ✅"")"),"appartement")</f>
        <v>appartement</v>
      </c>
      <c r="H1942" s="4" t="str">
        <f>IFERROR(__xludf.DUMMYFUNCTION("REGEXEXTRACT(A1942, ""/(\w+)-.*?"")"),"lieu")</f>
        <v>lieu</v>
      </c>
      <c r="I1942" s="4" t="str">
        <f>IFERROR(__xludf.DUMMYFUNCTION("if(D1942=""variant"",  substitute(filter(Templates!E:E, Templates!A:A = F1942, Templates!B:B = G1942, Templates!C:C = H1942), ""{{}}"", E1942), B1942)"),"🏘  Vous cherchez un appartement à louer à Rüti ZH? ✅ Les annonces les plus actuelles sont sur ImmoScout24.ch.")</f>
        <v>🏘  Vous cherchez un appartement à louer à Rüti ZH? ✅ Les annonces les plus actuelles sont sur ImmoScout24.ch.</v>
      </c>
      <c r="J1942" s="4" t="s">
        <v>5826</v>
      </c>
    </row>
    <row r="1943">
      <c r="A1943" s="5" t="s">
        <v>5827</v>
      </c>
      <c r="B1943" s="2" t="s">
        <v>5828</v>
      </c>
      <c r="C1943" s="4" t="str">
        <f>IFERROR(__xludf.DUMMYFUNCTION("""🏘️ ""&amp;REGEXEXTRACT(B1943, ""^(.*): "")&amp;"" ✅ "" &amp;REGEXEXTRACT(B1943, ""(Trouvez.*)"")"),"🏘️ Louer appartement Niederlenz ✅ Trouvez le bien immobilier qui correspond idéalement à vos désirs sur ImmoScout24 - La plateforme de l'immobilier en Suisse.")</f>
        <v>🏘️ Louer appartement Niederlenz ✅ Trouvez le bien immobilier qui correspond idéalement à vos désirs sur ImmoScout24 - La plateforme de l'immobilier en Suisse.</v>
      </c>
      <c r="D1943" s="4" t="str">
        <f>vlookup(A1943, Sheet2!D:E, 2, 0)</f>
        <v>variant</v>
      </c>
      <c r="E1943" s="4" t="str">
        <f>IFERROR(__xludf.DUMMYFUNCTION("if(H1943=""pays"",vlookup(REGEXEXTRACT(C1943, ""🏘️ \w+ \w+ (.*) ✅""),'Country prepositions'!A:B, 2, 0) &amp; "" "" &amp; REGEXEXTRACT(C1943, ""🏘️ \w+ \w+ (.*) ✅"") ,  if(H1943=""quartier"",vlookup(REGEXEXTRACT(C1943, ""🏘️ \w+ \w+ (.*) ✅""),'Quartier prepositio"&amp;"ns'!A:E, 5, 0) ,  if(H1943=""region"",vlookup(REGEXEXTRACT(C1943, ""🏘️ \w+ \w+ (.*) ✅""),'Region prepositions'!B:F, 5, 0),  REGEXEXTRACT(C1943, ""🏘️ \w+ \w+ (.*) ✅""))))"),"Niederlenz")</f>
        <v>Niederlenz</v>
      </c>
      <c r="F1943" s="2" t="str">
        <f>IFERROR(__xludf.DUMMYFUNCTION("REGEXEXTRACT(C1943, ""🏘️ (\w+) \w+ .* ✅"")"),"Louer")</f>
        <v>Louer</v>
      </c>
      <c r="G1943" s="2" t="str">
        <f>IFERROR(__xludf.DUMMYFUNCTION("REGEXEXTRACT(C1943, ""🏘️ \w+ (\w+) .* ✅"")"),"appartement")</f>
        <v>appartement</v>
      </c>
      <c r="H1943" s="4" t="str">
        <f>IFERROR(__xludf.DUMMYFUNCTION("REGEXEXTRACT(A1943, ""/(\w+)-.*?"")"),"lieu")</f>
        <v>lieu</v>
      </c>
      <c r="I1943" s="4" t="str">
        <f>IFERROR(__xludf.DUMMYFUNCTION("if(D1943=""variant"",  substitute(filter(Templates!E:E, Templates!A:A = F1943, Templates!B:B = G1943, Templates!C:C = H1943), ""{{}}"", E1943), B1943)"),"🏘  Vous cherchez un appartement à louer à Niederlenz? ✅ Les annonces les plus actuelles sont sur ImmoScout24.ch.")</f>
        <v>🏘  Vous cherchez un appartement à louer à Niederlenz? ✅ Les annonces les plus actuelles sont sur ImmoScout24.ch.</v>
      </c>
      <c r="J1943" s="4" t="s">
        <v>5829</v>
      </c>
    </row>
    <row r="1944">
      <c r="A1944" s="5" t="s">
        <v>5830</v>
      </c>
      <c r="B1944" s="2" t="s">
        <v>5831</v>
      </c>
      <c r="C1944" s="4" t="str">
        <f>IFERROR(__xludf.DUMMYFUNCTION("""🏘️ ""&amp;REGEXEXTRACT(B1944, ""^(.*): "")&amp;"" ✅ "" &amp;REGEXEXTRACT(B1944, ""(Trouvez.*)"")"),"🏘️ Vendre appartement Oberrohrdorf ✅ Trouvez le bien immobilier qui correspond idéalement à vos désirs sur ImmoScout24 - La plateforme de l'immobilier en Suisse.")</f>
        <v>🏘️ Vendre appartement Oberrohrdorf ✅ Trouvez le bien immobilier qui correspond idéalement à vos désirs sur ImmoScout24 - La plateforme de l'immobilier en Suisse.</v>
      </c>
      <c r="D1944" s="4" t="str">
        <f>vlookup(A1944, Sheet2!D:E, 2, 0)</f>
        <v>variant</v>
      </c>
      <c r="E1944" s="4" t="str">
        <f>IFERROR(__xludf.DUMMYFUNCTION("if(H1944=""pays"",vlookup(REGEXEXTRACT(C1944, ""🏘️ \w+ \w+ (.*) ✅""),'Country prepositions'!A:B, 2, 0) &amp; "" "" &amp; REGEXEXTRACT(C1944, ""🏘️ \w+ \w+ (.*) ✅"") ,  if(H1944=""quartier"",vlookup(REGEXEXTRACT(C1944, ""🏘️ \w+ \w+ (.*) ✅""),'Quartier prepositio"&amp;"ns'!A:E, 5, 0) ,  if(H1944=""region"",vlookup(REGEXEXTRACT(C1944, ""🏘️ \w+ \w+ (.*) ✅""),'Region prepositions'!B:F, 5, 0),  REGEXEXTRACT(C1944, ""🏘️ \w+ \w+ (.*) ✅""))))"),"Oberrohrdorf")</f>
        <v>Oberrohrdorf</v>
      </c>
      <c r="F1944" s="2" t="str">
        <f>IFERROR(__xludf.DUMMYFUNCTION("REGEXEXTRACT(C1944, ""🏘️ (\w+) \w+ .* ✅"")"),"Vendre")</f>
        <v>Vendre</v>
      </c>
      <c r="G1944" s="2" t="str">
        <f>IFERROR(__xludf.DUMMYFUNCTION("REGEXEXTRACT(C1944, ""🏘️ \w+ (\w+) .* ✅"")"),"appartement")</f>
        <v>appartement</v>
      </c>
      <c r="H1944" s="4" t="str">
        <f>IFERROR(__xludf.DUMMYFUNCTION("REGEXEXTRACT(A1944, ""/(\w+)-.*?"")"),"lieu")</f>
        <v>lieu</v>
      </c>
      <c r="I1944" s="4" t="str">
        <f>IFERROR(__xludf.DUMMYFUNCTION("if(D1944=""variant"",  substitute(filter(Templates!E:E, Templates!A:A = F1944, Templates!B:B = G1944, Templates!C:C = H1944), ""{{}}"", E1944), B1944)"),"🏘  L’appartement de vos rêves se trouve sur ImmoScout24.ch ✅ Découvrez les dernières annonces de vente à Oberrohrdorf.")</f>
        <v>🏘  L’appartement de vos rêves se trouve sur ImmoScout24.ch ✅ Découvrez les dernières annonces de vente à Oberrohrdorf.</v>
      </c>
      <c r="J1944" s="4" t="s">
        <v>5832</v>
      </c>
    </row>
    <row r="1945">
      <c r="A1945" s="5" t="s">
        <v>5833</v>
      </c>
      <c r="B1945" s="2" t="s">
        <v>5834</v>
      </c>
      <c r="C1945" s="4" t="str">
        <f>IFERROR(__xludf.DUMMYFUNCTION("""🏘️ ""&amp;REGEXEXTRACT(B1945, ""^(.*): "")&amp;"" ✅ "" &amp;REGEXEXTRACT(B1945, ""(Trouvez.*)"")"),"🏘️ Vendre maison St-Aubin FR ✅ Trouvez le bien immobilier qui correspond idéalement à vos désirs sur ImmoScout24 - La plateforme de l'immobilier en Suisse.")</f>
        <v>🏘️ Vendre maison St-Aubin FR ✅ Trouvez le bien immobilier qui correspond idéalement à vos désirs sur ImmoScout24 - La plateforme de l'immobilier en Suisse.</v>
      </c>
      <c r="D1945" s="4" t="str">
        <f>vlookup(A1945, Sheet2!D:E, 2, 0)</f>
        <v>variant</v>
      </c>
      <c r="E1945" s="4" t="str">
        <f>IFERROR(__xludf.DUMMYFUNCTION("if(H1945=""pays"",vlookup(REGEXEXTRACT(C1945, ""🏘️ \w+ \w+ (.*) ✅""),'Country prepositions'!A:B, 2, 0) &amp; "" "" &amp; REGEXEXTRACT(C1945, ""🏘️ \w+ \w+ (.*) ✅"") ,  if(H1945=""quartier"",vlookup(REGEXEXTRACT(C1945, ""🏘️ \w+ \w+ (.*) ✅""),'Quartier prepositio"&amp;"ns'!A:E, 5, 0) ,  if(H1945=""region"",vlookup(REGEXEXTRACT(C1945, ""🏘️ \w+ \w+ (.*) ✅""),'Region prepositions'!B:F, 5, 0),  REGEXEXTRACT(C1945, ""🏘️ \w+ \w+ (.*) ✅""))))"),"St-Aubin FR")</f>
        <v>St-Aubin FR</v>
      </c>
      <c r="F1945" s="2" t="str">
        <f>IFERROR(__xludf.DUMMYFUNCTION("REGEXEXTRACT(C1945, ""🏘️ (\w+) \w+ .* ✅"")"),"Vendre")</f>
        <v>Vendre</v>
      </c>
      <c r="G1945" s="2" t="str">
        <f>IFERROR(__xludf.DUMMYFUNCTION("REGEXEXTRACT(C1945, ""🏘️ \w+ (\w+) .* ✅"")"),"maison")</f>
        <v>maison</v>
      </c>
      <c r="H1945" s="4" t="str">
        <f>IFERROR(__xludf.DUMMYFUNCTION("REGEXEXTRACT(A1945, ""/(\w+)-.*?"")"),"lieu")</f>
        <v>lieu</v>
      </c>
      <c r="I1945" s="4" t="str">
        <f>IFERROR(__xludf.DUMMYFUNCTION("if(D1945=""variant"",  substitute(filter(Templates!E:E, Templates!A:A = F1945, Templates!B:B = G1945, Templates!C:C = H1945), ""{{}}"", E1945), B1945)"),"🏘  Vous souhaitez acheter une maison à St-Aubin FR? ✅ Jetez un œil aux dernières offres sur ImmoScout24.ch.")</f>
        <v>🏘  Vous souhaitez acheter une maison à St-Aubin FR? ✅ Jetez un œil aux dernières offres sur ImmoScout24.ch.</v>
      </c>
      <c r="J1945" s="4" t="s">
        <v>5835</v>
      </c>
    </row>
    <row r="1946">
      <c r="A1946" s="5" t="s">
        <v>5836</v>
      </c>
      <c r="B1946" s="2" t="s">
        <v>5837</v>
      </c>
      <c r="C1946" s="4" t="str">
        <f>IFERROR(__xludf.DUMMYFUNCTION("""🏘️ ""&amp;REGEXEXTRACT(B1946, ""^(.*): "")&amp;"" ✅ "" &amp;REGEXEXTRACT(B1946, ""(Trouvez.*)"")"),"🏘️ Louer maison Münchenbuchsee ✅ Trouvez le bien immobilier qui correspond idéalement à vos désirs sur ImmoScout24 - La plateforme de l'immobilier en Suisse.")</f>
        <v>🏘️ Louer maison Münchenbuchsee ✅ Trouvez le bien immobilier qui correspond idéalement à vos désirs sur ImmoScout24 - La plateforme de l'immobilier en Suisse.</v>
      </c>
      <c r="D1946" s="4" t="str">
        <f>vlookup(A1946, Sheet2!D:E, 2, 0)</f>
        <v>variant</v>
      </c>
      <c r="E1946" s="4" t="str">
        <f>IFERROR(__xludf.DUMMYFUNCTION("if(H1946=""pays"",vlookup(REGEXEXTRACT(C1946, ""🏘️ \w+ \w+ (.*) ✅""),'Country prepositions'!A:B, 2, 0) &amp; "" "" &amp; REGEXEXTRACT(C1946, ""🏘️ \w+ \w+ (.*) ✅"") ,  if(H1946=""quartier"",vlookup(REGEXEXTRACT(C1946, ""🏘️ \w+ \w+ (.*) ✅""),'Quartier prepositio"&amp;"ns'!A:E, 5, 0) ,  if(H1946=""region"",vlookup(REGEXEXTRACT(C1946, ""🏘️ \w+ \w+ (.*) ✅""),'Region prepositions'!B:F, 5, 0),  REGEXEXTRACT(C1946, ""🏘️ \w+ \w+ (.*) ✅""))))"),"Münchenbuchsee")</f>
        <v>Münchenbuchsee</v>
      </c>
      <c r="F1946" s="2" t="str">
        <f>IFERROR(__xludf.DUMMYFUNCTION("REGEXEXTRACT(C1946, ""🏘️ (\w+) \w+ .* ✅"")"),"Louer")</f>
        <v>Louer</v>
      </c>
      <c r="G1946" s="2" t="str">
        <f>IFERROR(__xludf.DUMMYFUNCTION("REGEXEXTRACT(C1946, ""🏘️ \w+ (\w+) .* ✅"")"),"maison")</f>
        <v>maison</v>
      </c>
      <c r="H1946" s="4" t="str">
        <f>IFERROR(__xludf.DUMMYFUNCTION("REGEXEXTRACT(A1946, ""/(\w+)-.*?"")"),"lieu")</f>
        <v>lieu</v>
      </c>
      <c r="I1946" s="4" t="str">
        <f>IFERROR(__xludf.DUMMYFUNCTION("if(D1946=""variant"",  substitute(filter(Templates!E:E, Templates!A:A = F1946, Templates!B:B = G1946, Templates!C:C = H1946), ""{{}}"", E1946), B1946)"),"🏘  Vous cherchez une maison à louer à Münchenbuchsee? ✅ Découvrez nos nombreuses annonces sur ImmoScout24.ch.")</f>
        <v>🏘  Vous cherchez une maison à louer à Münchenbuchsee? ✅ Découvrez nos nombreuses annonces sur ImmoScout24.ch.</v>
      </c>
      <c r="J1946" s="4" t="s">
        <v>5838</v>
      </c>
    </row>
    <row r="1947">
      <c r="A1947" s="5" t="s">
        <v>5839</v>
      </c>
      <c r="B1947" s="2" t="s">
        <v>5840</v>
      </c>
      <c r="C1947" s="4" t="str">
        <f>IFERROR(__xludf.DUMMYFUNCTION("""🏘️ ""&amp;REGEXEXTRACT(B1947, ""^(.*): "")&amp;"" ✅ "" &amp;REGEXEXTRACT(B1947, ""(Trouvez.*)"")"),"🏘️ Louer maison Wohlen AG ✅ Trouvez le bien immobilier qui correspond idéalement à vos désirs sur ImmoScout24 - La plateforme de l'immobilier en Suisse.")</f>
        <v>🏘️ Louer maison Wohlen AG ✅ Trouvez le bien immobilier qui correspond idéalement à vos désirs sur ImmoScout24 - La plateforme de l'immobilier en Suisse.</v>
      </c>
      <c r="D1947" s="4" t="str">
        <f>vlookup(A1947, Sheet2!D:E, 2, 0)</f>
        <v>variant</v>
      </c>
      <c r="E1947" s="4" t="str">
        <f>IFERROR(__xludf.DUMMYFUNCTION("if(H1947=""pays"",vlookup(REGEXEXTRACT(C1947, ""🏘️ \w+ \w+ (.*) ✅""),'Country prepositions'!A:B, 2, 0) &amp; "" "" &amp; REGEXEXTRACT(C1947, ""🏘️ \w+ \w+ (.*) ✅"") ,  if(H1947=""quartier"",vlookup(REGEXEXTRACT(C1947, ""🏘️ \w+ \w+ (.*) ✅""),'Quartier prepositio"&amp;"ns'!A:E, 5, 0) ,  if(H1947=""region"",vlookup(REGEXEXTRACT(C1947, ""🏘️ \w+ \w+ (.*) ✅""),'Region prepositions'!B:F, 5, 0),  REGEXEXTRACT(C1947, ""🏘️ \w+ \w+ (.*) ✅""))))"),"Wohlen AG")</f>
        <v>Wohlen AG</v>
      </c>
      <c r="F1947" s="2" t="str">
        <f>IFERROR(__xludf.DUMMYFUNCTION("REGEXEXTRACT(C1947, ""🏘️ (\w+) \w+ .* ✅"")"),"Louer")</f>
        <v>Louer</v>
      </c>
      <c r="G1947" s="2" t="str">
        <f>IFERROR(__xludf.DUMMYFUNCTION("REGEXEXTRACT(C1947, ""🏘️ \w+ (\w+) .* ✅"")"),"maison")</f>
        <v>maison</v>
      </c>
      <c r="H1947" s="4" t="str">
        <f>IFERROR(__xludf.DUMMYFUNCTION("REGEXEXTRACT(A1947, ""/(\w+)-.*?"")"),"lieu")</f>
        <v>lieu</v>
      </c>
      <c r="I1947" s="4" t="str">
        <f>IFERROR(__xludf.DUMMYFUNCTION("if(D1947=""variant"",  substitute(filter(Templates!E:E, Templates!A:A = F1947, Templates!B:B = G1947, Templates!C:C = H1947), ""{{}}"", E1947), B1947)"),"🏘  Vous cherchez une maison à louer à Wohlen AG? ✅ Découvrez nos nombreuses annonces sur ImmoScout24.ch.")</f>
        <v>🏘  Vous cherchez une maison à louer à Wohlen AG? ✅ Découvrez nos nombreuses annonces sur ImmoScout24.ch.</v>
      </c>
      <c r="J1947" s="4" t="s">
        <v>5841</v>
      </c>
    </row>
    <row r="1948">
      <c r="A1948" s="5" t="s">
        <v>5842</v>
      </c>
      <c r="B1948" s="2" t="s">
        <v>5843</v>
      </c>
      <c r="C1948" s="4" t="str">
        <f>IFERROR(__xludf.DUMMYFUNCTION("""🏘️ ""&amp;REGEXEXTRACT(B1948, ""^(.*): "")&amp;"" ✅ "" &amp;REGEXEXTRACT(B1948, ""(Trouvez.*)"")"),"🏘️ Vendre appartement Les Breuleux ✅ Trouvez le bien immobilier qui correspond idéalement à vos désirs sur ImmoScout24 - La plateforme de l'immobilier en Suisse.")</f>
        <v>🏘️ Vendre appartement Les Breuleux ✅ Trouvez le bien immobilier qui correspond idéalement à vos désirs sur ImmoScout24 - La plateforme de l'immobilier en Suisse.</v>
      </c>
      <c r="D1948" s="4" t="str">
        <f>vlookup(A1948, Sheet2!D:E, 2, 0)</f>
        <v>variant</v>
      </c>
      <c r="E1948" s="4" t="str">
        <f>IFERROR(__xludf.DUMMYFUNCTION("if(H1948=""pays"",vlookup(REGEXEXTRACT(C1948, ""🏘️ \w+ \w+ (.*) ✅""),'Country prepositions'!A:B, 2, 0) &amp; "" "" &amp; REGEXEXTRACT(C1948, ""🏘️ \w+ \w+ (.*) ✅"") ,  if(H1948=""quartier"",vlookup(REGEXEXTRACT(C1948, ""🏘️ \w+ \w+ (.*) ✅""),'Quartier prepositio"&amp;"ns'!A:E, 5, 0) ,  if(H1948=""region"",vlookup(REGEXEXTRACT(C1948, ""🏘️ \w+ \w+ (.*) ✅""),'Region prepositions'!B:F, 5, 0),  REGEXEXTRACT(C1948, ""🏘️ \w+ \w+ (.*) ✅""))))"),"Les Breuleux")</f>
        <v>Les Breuleux</v>
      </c>
      <c r="F1948" s="2" t="str">
        <f>IFERROR(__xludf.DUMMYFUNCTION("REGEXEXTRACT(C1948, ""🏘️ (\w+) \w+ .* ✅"")"),"Vendre")</f>
        <v>Vendre</v>
      </c>
      <c r="G1948" s="2" t="str">
        <f>IFERROR(__xludf.DUMMYFUNCTION("REGEXEXTRACT(C1948, ""🏘️ \w+ (\w+) .* ✅"")"),"appartement")</f>
        <v>appartement</v>
      </c>
      <c r="H1948" s="4" t="str">
        <f>IFERROR(__xludf.DUMMYFUNCTION("REGEXEXTRACT(A1948, ""/(\w+)-.*?"")"),"lieu")</f>
        <v>lieu</v>
      </c>
      <c r="I1948" s="4" t="str">
        <f>IFERROR(__xludf.DUMMYFUNCTION("if(D1948=""variant"",  substitute(filter(Templates!E:E, Templates!A:A = F1948, Templates!B:B = G1948, Templates!C:C = H1948), ""{{}}"", E1948), B1948)"),"🏘  L’appartement de vos rêves se trouve sur ImmoScout24.ch ✅ Découvrez les dernières annonces de vente à Les Breuleux.")</f>
        <v>🏘  L’appartement de vos rêves se trouve sur ImmoScout24.ch ✅ Découvrez les dernières annonces de vente à Les Breuleux.</v>
      </c>
      <c r="J1948" s="2" t="s">
        <v>5844</v>
      </c>
    </row>
    <row r="1949">
      <c r="A1949" s="5" t="s">
        <v>5845</v>
      </c>
      <c r="B1949" s="2" t="s">
        <v>5846</v>
      </c>
      <c r="C1949" s="4" t="str">
        <f>IFERROR(__xludf.DUMMYFUNCTION("""🏘️ ""&amp;REGEXEXTRACT(B1949, ""^(.*): "")&amp;"" ✅ "" &amp;REGEXEXTRACT(B1949, ""(Trouvez.*)"")"),"🏘️ Vendre appartement Bioggio ✅ Trouvez le bien immobilier qui correspond idéalement à vos désirs sur ImmoScout24 - La plateforme de l'immobilier en Suisse.")</f>
        <v>🏘️ Vendre appartement Bioggio ✅ Trouvez le bien immobilier qui correspond idéalement à vos désirs sur ImmoScout24 - La plateforme de l'immobilier en Suisse.</v>
      </c>
      <c r="D1949" s="4" t="str">
        <f>vlookup(A1949, Sheet2!D:E, 2, 0)</f>
        <v>variant</v>
      </c>
      <c r="E1949" s="4" t="str">
        <f>IFERROR(__xludf.DUMMYFUNCTION("if(H1949=""pays"",vlookup(REGEXEXTRACT(C1949, ""🏘️ \w+ \w+ (.*) ✅""),'Country prepositions'!A:B, 2, 0) &amp; "" "" &amp; REGEXEXTRACT(C1949, ""🏘️ \w+ \w+ (.*) ✅"") ,  if(H1949=""quartier"",vlookup(REGEXEXTRACT(C1949, ""🏘️ \w+ \w+ (.*) ✅""),'Quartier prepositio"&amp;"ns'!A:E, 5, 0) ,  if(H1949=""region"",vlookup(REGEXEXTRACT(C1949, ""🏘️ \w+ \w+ (.*) ✅""),'Region prepositions'!B:F, 5, 0),  REGEXEXTRACT(C1949, ""🏘️ \w+ \w+ (.*) ✅""))))"),"Bioggio")</f>
        <v>Bioggio</v>
      </c>
      <c r="F1949" s="2" t="str">
        <f>IFERROR(__xludf.DUMMYFUNCTION("REGEXEXTRACT(C1949, ""🏘️ (\w+) \w+ .* ✅"")"),"Vendre")</f>
        <v>Vendre</v>
      </c>
      <c r="G1949" s="2" t="str">
        <f>IFERROR(__xludf.DUMMYFUNCTION("REGEXEXTRACT(C1949, ""🏘️ \w+ (\w+) .* ✅"")"),"appartement")</f>
        <v>appartement</v>
      </c>
      <c r="H1949" s="4" t="str">
        <f>IFERROR(__xludf.DUMMYFUNCTION("REGEXEXTRACT(A1949, ""/(\w+)-.*?"")"),"lieu")</f>
        <v>lieu</v>
      </c>
      <c r="I1949" s="4" t="str">
        <f>IFERROR(__xludf.DUMMYFUNCTION("if(D1949=""variant"",  substitute(filter(Templates!E:E, Templates!A:A = F1949, Templates!B:B = G1949, Templates!C:C = H1949), ""{{}}"", E1949), B1949)"),"🏘  L’appartement de vos rêves se trouve sur ImmoScout24.ch ✅ Découvrez les dernières annonces de vente à Bioggio.")</f>
        <v>🏘  L’appartement de vos rêves se trouve sur ImmoScout24.ch ✅ Découvrez les dernières annonces de vente à Bioggio.</v>
      </c>
      <c r="J1949" s="4" t="s">
        <v>5847</v>
      </c>
    </row>
    <row r="1950">
      <c r="A1950" s="5" t="s">
        <v>5848</v>
      </c>
      <c r="B1950" s="2" t="s">
        <v>5849</v>
      </c>
      <c r="C1950" s="4" t="str">
        <f>IFERROR(__xludf.DUMMYFUNCTION("""🏘️ ""&amp;REGEXEXTRACT(B1950, ""^(.*): "")&amp;"" ✅ "" &amp;REGEXEXTRACT(B1950, ""(Trouvez.*)"")"),"🏘️ Vendre appartement Morges ✅ Trouvez le bien immobilier qui correspond idéalement à vos désirs sur ImmoScout24 - La plateforme de l'immobilier en Suisse.")</f>
        <v>🏘️ Vendre appartement Morges ✅ Trouvez le bien immobilier qui correspond idéalement à vos désirs sur ImmoScout24 - La plateforme de l'immobilier en Suisse.</v>
      </c>
      <c r="D1950" s="4" t="str">
        <f>vlookup(A1950, Sheet2!D:E, 2, 0)</f>
        <v>variant</v>
      </c>
      <c r="E1950" s="4" t="str">
        <f>IFERROR(__xludf.DUMMYFUNCTION("if(H1950=""pays"",vlookup(REGEXEXTRACT(C1950, ""🏘️ \w+ \w+ (.*) ✅""),'Country prepositions'!A:B, 2, 0) &amp; "" "" &amp; REGEXEXTRACT(C1950, ""🏘️ \w+ \w+ (.*) ✅"") ,  if(H1950=""quartier"",vlookup(REGEXEXTRACT(C1950, ""🏘️ \w+ \w+ (.*) ✅""),'Quartier prepositio"&amp;"ns'!A:E, 5, 0) ,  if(H1950=""region"",vlookup(REGEXEXTRACT(C1950, ""🏘️ \w+ \w+ (.*) ✅""),'Region prepositions'!B:F, 5, 0),  REGEXEXTRACT(C1950, ""🏘️ \w+ \w+ (.*) ✅""))))"),"Morges")</f>
        <v>Morges</v>
      </c>
      <c r="F1950" s="2" t="str">
        <f>IFERROR(__xludf.DUMMYFUNCTION("REGEXEXTRACT(C1950, ""🏘️ (\w+) \w+ .* ✅"")"),"Vendre")</f>
        <v>Vendre</v>
      </c>
      <c r="G1950" s="2" t="str">
        <f>IFERROR(__xludf.DUMMYFUNCTION("REGEXEXTRACT(C1950, ""🏘️ \w+ (\w+) .* ✅"")"),"appartement")</f>
        <v>appartement</v>
      </c>
      <c r="H1950" s="4" t="str">
        <f>IFERROR(__xludf.DUMMYFUNCTION("REGEXEXTRACT(A1950, ""/(\w+)-.*?"")"),"lieu")</f>
        <v>lieu</v>
      </c>
      <c r="I1950" s="4" t="str">
        <f>IFERROR(__xludf.DUMMYFUNCTION("if(D1950=""variant"",  substitute(filter(Templates!E:E, Templates!A:A = F1950, Templates!B:B = G1950, Templates!C:C = H1950), ""{{}}"", E1950), B1950)"),"🏘  L’appartement de vos rêves se trouve sur ImmoScout24.ch ✅ Découvrez les dernières annonces de vente à Morges.")</f>
        <v>🏘  L’appartement de vos rêves se trouve sur ImmoScout24.ch ✅ Découvrez les dernières annonces de vente à Morges.</v>
      </c>
      <c r="J1950" s="4" t="s">
        <v>5850</v>
      </c>
    </row>
    <row r="1951">
      <c r="A1951" s="5" t="s">
        <v>5851</v>
      </c>
      <c r="B1951" s="2" t="s">
        <v>5852</v>
      </c>
      <c r="C1951" s="4" t="str">
        <f>IFERROR(__xludf.DUMMYFUNCTION("""🏘️ ""&amp;REGEXEXTRACT(B1951, ""^(.*): "")&amp;"" ✅ "" &amp;REGEXEXTRACT(B1951, ""(Trouvez.*)"")"),"🏘️ Louer appartement Büren an der Aare ✅ Trouvez le bien immobilier qui correspond idéalement à vos désirs sur ImmoScout24 - La plateforme de l'immobilier en Suisse.")</f>
        <v>🏘️ Louer appartement Büren an der Aare ✅ Trouvez le bien immobilier qui correspond idéalement à vos désirs sur ImmoScout24 - La plateforme de l'immobilier en Suisse.</v>
      </c>
      <c r="D1951" s="4" t="str">
        <f>vlookup(A1951, Sheet2!D:E, 2, 0)</f>
        <v>variant</v>
      </c>
      <c r="E1951" s="4" t="str">
        <f>IFERROR(__xludf.DUMMYFUNCTION("if(H1951=""pays"",vlookup(REGEXEXTRACT(C1951, ""🏘️ \w+ \w+ (.*) ✅""),'Country prepositions'!A:B, 2, 0) &amp; "" "" &amp; REGEXEXTRACT(C1951, ""🏘️ \w+ \w+ (.*) ✅"") ,  if(H1951=""quartier"",vlookup(REGEXEXTRACT(C1951, ""🏘️ \w+ \w+ (.*) ✅""),'Quartier prepositio"&amp;"ns'!A:E, 5, 0) ,  if(H1951=""region"",vlookup(REGEXEXTRACT(C1951, ""🏘️ \w+ \w+ (.*) ✅""),'Region prepositions'!B:F, 5, 0),  REGEXEXTRACT(C1951, ""🏘️ \w+ \w+ (.*) ✅""))))"),"Büren an der Aare")</f>
        <v>Büren an der Aare</v>
      </c>
      <c r="F1951" s="2" t="str">
        <f>IFERROR(__xludf.DUMMYFUNCTION("REGEXEXTRACT(C1951, ""🏘️ (\w+) \w+ .* ✅"")"),"Louer")</f>
        <v>Louer</v>
      </c>
      <c r="G1951" s="2" t="str">
        <f>IFERROR(__xludf.DUMMYFUNCTION("REGEXEXTRACT(C1951, ""🏘️ \w+ (\w+) .* ✅"")"),"appartement")</f>
        <v>appartement</v>
      </c>
      <c r="H1951" s="4" t="str">
        <f>IFERROR(__xludf.DUMMYFUNCTION("REGEXEXTRACT(A1951, ""/(\w+)-.*?"")"),"lieu")</f>
        <v>lieu</v>
      </c>
      <c r="I1951" s="4" t="str">
        <f>IFERROR(__xludf.DUMMYFUNCTION("if(D1951=""variant"",  substitute(filter(Templates!E:E, Templates!A:A = F1951, Templates!B:B = G1951, Templates!C:C = H1951), ""{{}}"", E1951), B1951)"),"🏘  Vous cherchez un appartement à louer à Büren an der Aare? ✅ Les annonces les plus actuelles sont sur ImmoScout24.ch.")</f>
        <v>🏘  Vous cherchez un appartement à louer à Büren an der Aare? ✅ Les annonces les plus actuelles sont sur ImmoScout24.ch.</v>
      </c>
      <c r="J1951" s="4" t="s">
        <v>5853</v>
      </c>
    </row>
    <row r="1952">
      <c r="A1952" s="5" t="s">
        <v>5854</v>
      </c>
      <c r="B1952" s="2" t="s">
        <v>5855</v>
      </c>
      <c r="C1952" s="4" t="str">
        <f>IFERROR(__xludf.DUMMYFUNCTION("""🏘️ ""&amp;REGEXEXTRACT(B1952, ""^(.*): "")&amp;"" ✅ "" &amp;REGEXEXTRACT(B1952, ""(Trouvez.*)"")"),"🏘️ Louer appartement Uebeschi ✅ Trouvez le bien immobilier qui correspond idéalement à vos désirs sur ImmoScout24 - La plateforme de l'immobilier en Suisse.")</f>
        <v>🏘️ Louer appartement Uebeschi ✅ Trouvez le bien immobilier qui correspond idéalement à vos désirs sur ImmoScout24 - La plateforme de l'immobilier en Suisse.</v>
      </c>
      <c r="D1952" s="4" t="str">
        <f>vlookup(A1952, Sheet2!D:E, 2, 0)</f>
        <v>variant</v>
      </c>
      <c r="E1952" s="4" t="str">
        <f>IFERROR(__xludf.DUMMYFUNCTION("if(H1952=""pays"",vlookup(REGEXEXTRACT(C1952, ""🏘️ \w+ \w+ (.*) ✅""),'Country prepositions'!A:B, 2, 0) &amp; "" "" &amp; REGEXEXTRACT(C1952, ""🏘️ \w+ \w+ (.*) ✅"") ,  if(H1952=""quartier"",vlookup(REGEXEXTRACT(C1952, ""🏘️ \w+ \w+ (.*) ✅""),'Quartier prepositio"&amp;"ns'!A:E, 5, 0) ,  if(H1952=""region"",vlookup(REGEXEXTRACT(C1952, ""🏘️ \w+ \w+ (.*) ✅""),'Region prepositions'!B:F, 5, 0),  REGEXEXTRACT(C1952, ""🏘️ \w+ \w+ (.*) ✅""))))"),"Uebeschi")</f>
        <v>Uebeschi</v>
      </c>
      <c r="F1952" s="2" t="str">
        <f>IFERROR(__xludf.DUMMYFUNCTION("REGEXEXTRACT(C1952, ""🏘️ (\w+) \w+ .* ✅"")"),"Louer")</f>
        <v>Louer</v>
      </c>
      <c r="G1952" s="2" t="str">
        <f>IFERROR(__xludf.DUMMYFUNCTION("REGEXEXTRACT(C1952, ""🏘️ \w+ (\w+) .* ✅"")"),"appartement")</f>
        <v>appartement</v>
      </c>
      <c r="H1952" s="4" t="str">
        <f>IFERROR(__xludf.DUMMYFUNCTION("REGEXEXTRACT(A1952, ""/(\w+)-.*?"")"),"lieu")</f>
        <v>lieu</v>
      </c>
      <c r="I1952" s="4" t="str">
        <f>IFERROR(__xludf.DUMMYFUNCTION("if(D1952=""variant"",  substitute(filter(Templates!E:E, Templates!A:A = F1952, Templates!B:B = G1952, Templates!C:C = H1952), ""{{}}"", E1952), B1952)"),"🏘  Vous cherchez un appartement à louer à Uebeschi? ✅ Les annonces les plus actuelles sont sur ImmoScout24.ch.")</f>
        <v>🏘  Vous cherchez un appartement à louer à Uebeschi? ✅ Les annonces les plus actuelles sont sur ImmoScout24.ch.</v>
      </c>
      <c r="J1952" s="4" t="s">
        <v>5856</v>
      </c>
    </row>
    <row r="1953">
      <c r="A1953" s="5" t="s">
        <v>5857</v>
      </c>
      <c r="B1953" s="2" t="s">
        <v>5858</v>
      </c>
      <c r="C1953" s="4" t="str">
        <f>IFERROR(__xludf.DUMMYFUNCTION("""🏘️ ""&amp;REGEXEXTRACT(B1953, ""^(.*): "")&amp;"" ✅ "" &amp;REGEXEXTRACT(B1953, ""(Trouvez.*)"")"),"🏘️ Louer appartement Bâtie - Acacias (Genève) ✅ Trouvez le bien immobilier qui correspond idéalement à vos désirs sur ImmoScout24 - La plateforme de l'immobilier en Suisse.")</f>
        <v>🏘️ Louer appartement Bâtie - Acacias (Genève) ✅ Trouvez le bien immobilier qui correspond idéalement à vos désirs sur ImmoScout24 - La plateforme de l'immobilier en Suisse.</v>
      </c>
      <c r="D1953" s="4" t="str">
        <f>vlookup(A1953, Sheet2!D:E, 2, 0)</f>
        <v>variant</v>
      </c>
      <c r="E1953" s="4" t="str">
        <f>IFERROR(__xludf.DUMMYFUNCTION("if(H1953=""pays"",vlookup(REGEXEXTRACT(C1953, ""🏘️ \w+ \w+ (.*) ✅""),'Country prepositions'!A:B, 2, 0) &amp; "" "" &amp; REGEXEXTRACT(C1953, ""🏘️ \w+ \w+ (.*) ✅"") ,  if(H1953=""quartier"",vlookup(REGEXEXTRACT(C1953, ""🏘️ \w+ \w+ (.*) ✅""),'Quartier prepositio"&amp;"ns'!A:E, 5, 0) ,  if(H1953=""region"",vlookup(REGEXEXTRACT(C1953, ""🏘️ \w+ \w+ (.*) ✅""),'Region prepositions'!B:F, 5, 0),  REGEXEXTRACT(C1953, ""🏘️ \w+ \w+ (.*) ✅""))))"),"dans le quartier de Bâtie - Acacias (Genève)")</f>
        <v>dans le quartier de Bâtie - Acacias (Genève)</v>
      </c>
      <c r="F1953" s="2" t="str">
        <f>IFERROR(__xludf.DUMMYFUNCTION("REGEXEXTRACT(C1953, ""🏘️ (\w+) \w+ .* ✅"")"),"Louer")</f>
        <v>Louer</v>
      </c>
      <c r="G1953" s="2" t="str">
        <f>IFERROR(__xludf.DUMMYFUNCTION("REGEXEXTRACT(C1953, ""🏘️ \w+ (\w+) .* ✅"")"),"appartement")</f>
        <v>appartement</v>
      </c>
      <c r="H1953" s="4" t="str">
        <f>IFERROR(__xludf.DUMMYFUNCTION("REGEXEXTRACT(A1953, ""/(\w+)-.*?"")"),"quartier")</f>
        <v>quartier</v>
      </c>
      <c r="I1953" s="4" t="str">
        <f>IFERROR(__xludf.DUMMYFUNCTION("if(D1953=""variant"",  substitute(filter(Templates!E:E, Templates!A:A = F1953, Templates!B:B = G1953, Templates!C:C = H1953), ""{{}}"", E1953), B1953)"),"🏘  Vous cherchez un appartement à louer dans le quartier de Bâtie - Acacias (Genève)? ✅ Les annonces les plus actuelles sont sur ImmoScout24.ch.")</f>
        <v>🏘  Vous cherchez un appartement à louer dans le quartier de Bâtie - Acacias (Genève)? ✅ Les annonces les plus actuelles sont sur ImmoScout24.ch.</v>
      </c>
      <c r="J1953" s="4" t="s">
        <v>5859</v>
      </c>
    </row>
    <row r="1954">
      <c r="A1954" s="5" t="s">
        <v>5860</v>
      </c>
      <c r="B1954" s="2" t="s">
        <v>5861</v>
      </c>
      <c r="C1954" s="4" t="str">
        <f>IFERROR(__xludf.DUMMYFUNCTION("""🏘️ ""&amp;REGEXEXTRACT(B1954, ""^(.*): "")&amp;"" ✅ "" &amp;REGEXEXTRACT(B1954, ""(Trouvez.*)"")"),"🏘️ Louer appartement Epalinges ✅ Trouvez le bien immobilier qui correspond idéalement à vos désirs sur ImmoScout24 - La plateforme de l'immobilier en Suisse.")</f>
        <v>🏘️ Louer appartement Epalinges ✅ Trouvez le bien immobilier qui correspond idéalement à vos désirs sur ImmoScout24 - La plateforme de l'immobilier en Suisse.</v>
      </c>
      <c r="D1954" s="4" t="str">
        <f>vlookup(A1954, Sheet2!D:E, 2, 0)</f>
        <v>variant</v>
      </c>
      <c r="E1954" s="4" t="str">
        <f>IFERROR(__xludf.DUMMYFUNCTION("if(H1954=""pays"",vlookup(REGEXEXTRACT(C1954, ""🏘️ \w+ \w+ (.*) ✅""),'Country prepositions'!A:B, 2, 0) &amp; "" "" &amp; REGEXEXTRACT(C1954, ""🏘️ \w+ \w+ (.*) ✅"") ,  if(H1954=""quartier"",vlookup(REGEXEXTRACT(C1954, ""🏘️ \w+ \w+ (.*) ✅""),'Quartier prepositio"&amp;"ns'!A:E, 5, 0) ,  if(H1954=""region"",vlookup(REGEXEXTRACT(C1954, ""🏘️ \w+ \w+ (.*) ✅""),'Region prepositions'!B:F, 5, 0),  REGEXEXTRACT(C1954, ""🏘️ \w+ \w+ (.*) ✅""))))"),"Epalinges")</f>
        <v>Epalinges</v>
      </c>
      <c r="F1954" s="2" t="str">
        <f>IFERROR(__xludf.DUMMYFUNCTION("REGEXEXTRACT(C1954, ""🏘️ (\w+) \w+ .* ✅"")"),"Louer")</f>
        <v>Louer</v>
      </c>
      <c r="G1954" s="2" t="str">
        <f>IFERROR(__xludf.DUMMYFUNCTION("REGEXEXTRACT(C1954, ""🏘️ \w+ (\w+) .* ✅"")"),"appartement")</f>
        <v>appartement</v>
      </c>
      <c r="H1954" s="4" t="str">
        <f>IFERROR(__xludf.DUMMYFUNCTION("REGEXEXTRACT(A1954, ""/(\w+)-.*?"")"),"lieu")</f>
        <v>lieu</v>
      </c>
      <c r="I1954" s="4" t="str">
        <f>IFERROR(__xludf.DUMMYFUNCTION("if(D1954=""variant"",  substitute(filter(Templates!E:E, Templates!A:A = F1954, Templates!B:B = G1954, Templates!C:C = H1954), ""{{}}"", E1954), B1954)"),"🏘  Vous cherchez un appartement à louer à Epalinges? ✅ Les annonces les plus actuelles sont sur ImmoScout24.ch.")</f>
        <v>🏘  Vous cherchez un appartement à louer à Epalinges? ✅ Les annonces les plus actuelles sont sur ImmoScout24.ch.</v>
      </c>
      <c r="J1954" s="4" t="s">
        <v>5862</v>
      </c>
    </row>
    <row r="1955">
      <c r="A1955" s="5" t="s">
        <v>5863</v>
      </c>
      <c r="B1955" s="2" t="s">
        <v>5864</v>
      </c>
      <c r="C1955" s="4" t="str">
        <f>IFERROR(__xludf.DUMMYFUNCTION("""🏘️ ""&amp;REGEXEXTRACT(B1955, ""^(.*): "")&amp;"" ✅ "" &amp;REGEXEXTRACT(B1955, ""(Trouvez.*)"")"),"🏘️ Louer maison St-Aubin FR ✅ Trouvez le bien immobilier qui correspond idéalement à vos désirs sur ImmoScout24 - La plateforme de l'immobilier en Suisse.")</f>
        <v>🏘️ Louer maison St-Aubin FR ✅ Trouvez le bien immobilier qui correspond idéalement à vos désirs sur ImmoScout24 - La plateforme de l'immobilier en Suisse.</v>
      </c>
      <c r="D1955" s="4" t="str">
        <f>vlookup(A1955, Sheet2!D:E, 2, 0)</f>
        <v>variant</v>
      </c>
      <c r="E1955" s="4" t="str">
        <f>IFERROR(__xludf.DUMMYFUNCTION("if(H1955=""pays"",vlookup(REGEXEXTRACT(C1955, ""🏘️ \w+ \w+ (.*) ✅""),'Country prepositions'!A:B, 2, 0) &amp; "" "" &amp; REGEXEXTRACT(C1955, ""🏘️ \w+ \w+ (.*) ✅"") ,  if(H1955=""quartier"",vlookup(REGEXEXTRACT(C1955, ""🏘️ \w+ \w+ (.*) ✅""),'Quartier prepositio"&amp;"ns'!A:E, 5, 0) ,  if(H1955=""region"",vlookup(REGEXEXTRACT(C1955, ""🏘️ \w+ \w+ (.*) ✅""),'Region prepositions'!B:F, 5, 0),  REGEXEXTRACT(C1955, ""🏘️ \w+ \w+ (.*) ✅""))))"),"St-Aubin FR")</f>
        <v>St-Aubin FR</v>
      </c>
      <c r="F1955" s="2" t="str">
        <f>IFERROR(__xludf.DUMMYFUNCTION("REGEXEXTRACT(C1955, ""🏘️ (\w+) \w+ .* ✅"")"),"Louer")</f>
        <v>Louer</v>
      </c>
      <c r="G1955" s="2" t="str">
        <f>IFERROR(__xludf.DUMMYFUNCTION("REGEXEXTRACT(C1955, ""🏘️ \w+ (\w+) .* ✅"")"),"maison")</f>
        <v>maison</v>
      </c>
      <c r="H1955" s="4" t="str">
        <f>IFERROR(__xludf.DUMMYFUNCTION("REGEXEXTRACT(A1955, ""/(\w+)-.*?"")"),"lieu")</f>
        <v>lieu</v>
      </c>
      <c r="I1955" s="4" t="str">
        <f>IFERROR(__xludf.DUMMYFUNCTION("if(D1955=""variant"",  substitute(filter(Templates!E:E, Templates!A:A = F1955, Templates!B:B = G1955, Templates!C:C = H1955), ""{{}}"", E1955), B1955)"),"🏘  Vous cherchez une maison à louer à St-Aubin FR? ✅ Découvrez nos nombreuses annonces sur ImmoScout24.ch.")</f>
        <v>🏘  Vous cherchez une maison à louer à St-Aubin FR? ✅ Découvrez nos nombreuses annonces sur ImmoScout24.ch.</v>
      </c>
      <c r="J1955" s="4" t="s">
        <v>5865</v>
      </c>
    </row>
    <row r="1956">
      <c r="A1956" s="5" t="s">
        <v>5866</v>
      </c>
      <c r="B1956" s="2" t="s">
        <v>5867</v>
      </c>
      <c r="C1956" s="4" t="str">
        <f>IFERROR(__xludf.DUMMYFUNCTION("""🏘️ ""&amp;REGEXEXTRACT(B1956, ""^(.*): "")&amp;"" ✅ "" &amp;REGEXEXTRACT(B1956, ""(Trouvez.*)"")"),"🏘️ Louer appartement Morcote ✅ Trouvez le bien immobilier qui correspond idéalement à vos désirs sur ImmoScout24 - La plateforme de l'immobilier en Suisse.")</f>
        <v>🏘️ Louer appartement Morcote ✅ Trouvez le bien immobilier qui correspond idéalement à vos désirs sur ImmoScout24 - La plateforme de l'immobilier en Suisse.</v>
      </c>
      <c r="D1956" s="4" t="str">
        <f>vlookup(A1956, Sheet2!D:E, 2, 0)</f>
        <v>variant</v>
      </c>
      <c r="E1956" s="4" t="str">
        <f>IFERROR(__xludf.DUMMYFUNCTION("if(H1956=""pays"",vlookup(REGEXEXTRACT(C1956, ""🏘️ \w+ \w+ (.*) ✅""),'Country prepositions'!A:B, 2, 0) &amp; "" "" &amp; REGEXEXTRACT(C1956, ""🏘️ \w+ \w+ (.*) ✅"") ,  if(H1956=""quartier"",vlookup(REGEXEXTRACT(C1956, ""🏘️ \w+ \w+ (.*) ✅""),'Quartier prepositio"&amp;"ns'!A:E, 5, 0) ,  if(H1956=""region"",vlookup(REGEXEXTRACT(C1956, ""🏘️ \w+ \w+ (.*) ✅""),'Region prepositions'!B:F, 5, 0),  REGEXEXTRACT(C1956, ""🏘️ \w+ \w+ (.*) ✅""))))"),"Morcote")</f>
        <v>Morcote</v>
      </c>
      <c r="F1956" s="2" t="str">
        <f>IFERROR(__xludf.DUMMYFUNCTION("REGEXEXTRACT(C1956, ""🏘️ (\w+) \w+ .* ✅"")"),"Louer")</f>
        <v>Louer</v>
      </c>
      <c r="G1956" s="2" t="str">
        <f>IFERROR(__xludf.DUMMYFUNCTION("REGEXEXTRACT(C1956, ""🏘️ \w+ (\w+) .* ✅"")"),"appartement")</f>
        <v>appartement</v>
      </c>
      <c r="H1956" s="4" t="str">
        <f>IFERROR(__xludf.DUMMYFUNCTION("REGEXEXTRACT(A1956, ""/(\w+)-.*?"")"),"lieu")</f>
        <v>lieu</v>
      </c>
      <c r="I1956" s="4" t="str">
        <f>IFERROR(__xludf.DUMMYFUNCTION("if(D1956=""variant"",  substitute(filter(Templates!E:E, Templates!A:A = F1956, Templates!B:B = G1956, Templates!C:C = H1956), ""{{}}"", E1956), B1956)"),"🏘  Vous cherchez un appartement à louer à Morcote? ✅ Les annonces les plus actuelles sont sur ImmoScout24.ch.")</f>
        <v>🏘  Vous cherchez un appartement à louer à Morcote? ✅ Les annonces les plus actuelles sont sur ImmoScout24.ch.</v>
      </c>
      <c r="J1956" s="4" t="s">
        <v>5868</v>
      </c>
    </row>
    <row r="1957">
      <c r="A1957" s="5" t="s">
        <v>5869</v>
      </c>
      <c r="B1957" s="2" t="s">
        <v>5870</v>
      </c>
      <c r="C1957" s="4" t="str">
        <f>IFERROR(__xludf.DUMMYFUNCTION("""🏘️ ""&amp;REGEXEXTRACT(B1957, ""^(.*): "")&amp;"" ✅ "" &amp;REGEXEXTRACT(B1957, ""(Trouvez.*)"")"),"🏘️ Louer maison Vissoie ✅ Trouvez le bien immobilier qui correspond idéalement à vos désirs sur ImmoScout24 - La plateforme de l'immobilier en Suisse.")</f>
        <v>🏘️ Louer maison Vissoie ✅ Trouvez le bien immobilier qui correspond idéalement à vos désirs sur ImmoScout24 - La plateforme de l'immobilier en Suisse.</v>
      </c>
      <c r="D1957" s="4" t="str">
        <f>vlookup(A1957, Sheet2!D:E, 2, 0)</f>
        <v>variant</v>
      </c>
      <c r="E1957" s="4" t="str">
        <f>IFERROR(__xludf.DUMMYFUNCTION("if(H1957=""pays"",vlookup(REGEXEXTRACT(C1957, ""🏘️ \w+ \w+ (.*) ✅""),'Country prepositions'!A:B, 2, 0) &amp; "" "" &amp; REGEXEXTRACT(C1957, ""🏘️ \w+ \w+ (.*) ✅"") ,  if(H1957=""quartier"",vlookup(REGEXEXTRACT(C1957, ""🏘️ \w+ \w+ (.*) ✅""),'Quartier prepositio"&amp;"ns'!A:E, 5, 0) ,  if(H1957=""region"",vlookup(REGEXEXTRACT(C1957, ""🏘️ \w+ \w+ (.*) ✅""),'Region prepositions'!B:F, 5, 0),  REGEXEXTRACT(C1957, ""🏘️ \w+ \w+ (.*) ✅""))))"),"Vissoie")</f>
        <v>Vissoie</v>
      </c>
      <c r="F1957" s="2" t="str">
        <f>IFERROR(__xludf.DUMMYFUNCTION("REGEXEXTRACT(C1957, ""🏘️ (\w+) \w+ .* ✅"")"),"Louer")</f>
        <v>Louer</v>
      </c>
      <c r="G1957" s="2" t="str">
        <f>IFERROR(__xludf.DUMMYFUNCTION("REGEXEXTRACT(C1957, ""🏘️ \w+ (\w+) .* ✅"")"),"maison")</f>
        <v>maison</v>
      </c>
      <c r="H1957" s="4" t="str">
        <f>IFERROR(__xludf.DUMMYFUNCTION("REGEXEXTRACT(A1957, ""/(\w+)-.*?"")"),"lieu")</f>
        <v>lieu</v>
      </c>
      <c r="I1957" s="4" t="str">
        <f>IFERROR(__xludf.DUMMYFUNCTION("if(D1957=""variant"",  substitute(filter(Templates!E:E, Templates!A:A = F1957, Templates!B:B = G1957, Templates!C:C = H1957), ""{{}}"", E1957), B1957)"),"🏘  Vous cherchez une maison à louer à Vissoie? ✅ Découvrez nos nombreuses annonces sur ImmoScout24.ch.")</f>
        <v>🏘  Vous cherchez une maison à louer à Vissoie? ✅ Découvrez nos nombreuses annonces sur ImmoScout24.ch.</v>
      </c>
      <c r="J1957" s="4" t="s">
        <v>5871</v>
      </c>
    </row>
    <row r="1958">
      <c r="A1958" s="5" t="s">
        <v>5872</v>
      </c>
      <c r="B1958" s="2" t="s">
        <v>5873</v>
      </c>
      <c r="C1958" s="4" t="str">
        <f>IFERROR(__xludf.DUMMYFUNCTION("""🏘️ ""&amp;REGEXEXTRACT(B1958, ""^(.*): "")&amp;"" ✅ "" &amp;REGEXEXTRACT(B1958, ""(Trouvez.*)"")"),"🏘️ Vendre appartement Monte Brè sopra Locarno ✅ Trouvez le bien immobilier qui correspond idéalement à vos désirs sur ImmoScout24 - La plateforme de l'immobilier en Suisse.")</f>
        <v>🏘️ Vendre appartement Monte Brè sopra Locarno ✅ Trouvez le bien immobilier qui correspond idéalement à vos désirs sur ImmoScout24 - La plateforme de l'immobilier en Suisse.</v>
      </c>
      <c r="D1958" s="4" t="str">
        <f>vlookup(A1958, Sheet2!D:E, 2, 0)</f>
        <v>variant</v>
      </c>
      <c r="E1958" s="4" t="str">
        <f>IFERROR(__xludf.DUMMYFUNCTION("if(H1958=""pays"",vlookup(REGEXEXTRACT(C1958, ""🏘️ \w+ \w+ (.*) ✅""),'Country prepositions'!A:B, 2, 0) &amp; "" "" &amp; REGEXEXTRACT(C1958, ""🏘️ \w+ \w+ (.*) ✅"") ,  if(H1958=""quartier"",vlookup(REGEXEXTRACT(C1958, ""🏘️ \w+ \w+ (.*) ✅""),'Quartier prepositio"&amp;"ns'!A:E, 5, 0) ,  if(H1958=""region"",vlookup(REGEXEXTRACT(C1958, ""🏘️ \w+ \w+ (.*) ✅""),'Region prepositions'!B:F, 5, 0),  REGEXEXTRACT(C1958, ""🏘️ \w+ \w+ (.*) ✅""))))"),"Monte Brè sopra Locarno")</f>
        <v>Monte Brè sopra Locarno</v>
      </c>
      <c r="F1958" s="2" t="str">
        <f>IFERROR(__xludf.DUMMYFUNCTION("REGEXEXTRACT(C1958, ""🏘️ (\w+) \w+ .* ✅"")"),"Vendre")</f>
        <v>Vendre</v>
      </c>
      <c r="G1958" s="2" t="str">
        <f>IFERROR(__xludf.DUMMYFUNCTION("REGEXEXTRACT(C1958, ""🏘️ \w+ (\w+) .* ✅"")"),"appartement")</f>
        <v>appartement</v>
      </c>
      <c r="H1958" s="4" t="str">
        <f>IFERROR(__xludf.DUMMYFUNCTION("REGEXEXTRACT(A1958, ""/(\w+)-.*?"")"),"lieu")</f>
        <v>lieu</v>
      </c>
      <c r="I1958" s="4" t="str">
        <f>IFERROR(__xludf.DUMMYFUNCTION("if(D1958=""variant"",  substitute(filter(Templates!E:E, Templates!A:A = F1958, Templates!B:B = G1958, Templates!C:C = H1958), ""{{}}"", E1958), B1958)"),"🏘  L’appartement de vos rêves se trouve sur ImmoScout24.ch ✅ Découvrez les dernières annonces de vente à Monte Brè sopra Locarno.")</f>
        <v>🏘  L’appartement de vos rêves se trouve sur ImmoScout24.ch ✅ Découvrez les dernières annonces de vente à Monte Brè sopra Locarno.</v>
      </c>
      <c r="J1958" s="4" t="s">
        <v>5874</v>
      </c>
    </row>
    <row r="1959">
      <c r="A1959" s="5" t="s">
        <v>5875</v>
      </c>
      <c r="B1959" s="2" t="s">
        <v>5876</v>
      </c>
      <c r="C1959" s="4" t="str">
        <f>IFERROR(__xludf.DUMMYFUNCTION("""🏘️ ""&amp;REGEXEXTRACT(B1959, ""^(.*): "")&amp;"" ✅ "" &amp;REGEXEXTRACT(B1959, ""(Trouvez.*)"")"),"🏘️ Louer maison Corminboeuf ✅ Trouvez le bien immobilier qui correspond idéalement à vos désirs sur ImmoScout24 - La plateforme de l'immobilier en Suisse.")</f>
        <v>🏘️ Louer maison Corminboeuf ✅ Trouvez le bien immobilier qui correspond idéalement à vos désirs sur ImmoScout24 - La plateforme de l'immobilier en Suisse.</v>
      </c>
      <c r="D1959" s="4" t="str">
        <f>vlookup(A1959, Sheet2!D:E, 2, 0)</f>
        <v>variant</v>
      </c>
      <c r="E1959" s="4" t="str">
        <f>IFERROR(__xludf.DUMMYFUNCTION("if(H1959=""pays"",vlookup(REGEXEXTRACT(C1959, ""🏘️ \w+ \w+ (.*) ✅""),'Country prepositions'!A:B, 2, 0) &amp; "" "" &amp; REGEXEXTRACT(C1959, ""🏘️ \w+ \w+ (.*) ✅"") ,  if(H1959=""quartier"",vlookup(REGEXEXTRACT(C1959, ""🏘️ \w+ \w+ (.*) ✅""),'Quartier prepositio"&amp;"ns'!A:E, 5, 0) ,  if(H1959=""region"",vlookup(REGEXEXTRACT(C1959, ""🏘️ \w+ \w+ (.*) ✅""),'Region prepositions'!B:F, 5, 0),  REGEXEXTRACT(C1959, ""🏘️ \w+ \w+ (.*) ✅""))))"),"Corminboeuf")</f>
        <v>Corminboeuf</v>
      </c>
      <c r="F1959" s="2" t="str">
        <f>IFERROR(__xludf.DUMMYFUNCTION("REGEXEXTRACT(C1959, ""🏘️ (\w+) \w+ .* ✅"")"),"Louer")</f>
        <v>Louer</v>
      </c>
      <c r="G1959" s="2" t="str">
        <f>IFERROR(__xludf.DUMMYFUNCTION("REGEXEXTRACT(C1959, ""🏘️ \w+ (\w+) .* ✅"")"),"maison")</f>
        <v>maison</v>
      </c>
      <c r="H1959" s="4" t="str">
        <f>IFERROR(__xludf.DUMMYFUNCTION("REGEXEXTRACT(A1959, ""/(\w+)-.*?"")"),"lieu")</f>
        <v>lieu</v>
      </c>
      <c r="I1959" s="4" t="str">
        <f>IFERROR(__xludf.DUMMYFUNCTION("if(D1959=""variant"",  substitute(filter(Templates!E:E, Templates!A:A = F1959, Templates!B:B = G1959, Templates!C:C = H1959), ""{{}}"", E1959), B1959)"),"🏘  Vous cherchez une maison à louer à Corminboeuf? ✅ Découvrez nos nombreuses annonces sur ImmoScout24.ch.")</f>
        <v>🏘  Vous cherchez une maison à louer à Corminboeuf? ✅ Découvrez nos nombreuses annonces sur ImmoScout24.ch.</v>
      </c>
      <c r="J1959" s="4" t="s">
        <v>5877</v>
      </c>
    </row>
    <row r="1960">
      <c r="A1960" s="5" t="s">
        <v>5878</v>
      </c>
      <c r="B1960" s="2" t="s">
        <v>5879</v>
      </c>
      <c r="C1960" s="4" t="str">
        <f>IFERROR(__xludf.DUMMYFUNCTION("""🏘️ ""&amp;REGEXEXTRACT(B1960, ""^(.*): "")&amp;"" ✅ "" &amp;REGEXEXTRACT(B1960, ""(Trouvez.*)"")"),"🏘️ Vendre maison Vallon ✅ Trouvez le bien immobilier qui correspond idéalement à vos désirs sur ImmoScout24 - La plateforme de l'immobilier en Suisse.")</f>
        <v>🏘️ Vendre maison Vallon ✅ Trouvez le bien immobilier qui correspond idéalement à vos désirs sur ImmoScout24 - La plateforme de l'immobilier en Suisse.</v>
      </c>
      <c r="D1960" s="4" t="str">
        <f>vlookup(A1960, Sheet2!D:E, 2, 0)</f>
        <v>variant</v>
      </c>
      <c r="E1960" s="4" t="str">
        <f>IFERROR(__xludf.DUMMYFUNCTION("if(H1960=""pays"",vlookup(REGEXEXTRACT(C1960, ""🏘️ \w+ \w+ (.*) ✅""),'Country prepositions'!A:B, 2, 0) &amp; "" "" &amp; REGEXEXTRACT(C1960, ""🏘️ \w+ \w+ (.*) ✅"") ,  if(H1960=""quartier"",vlookup(REGEXEXTRACT(C1960, ""🏘️ \w+ \w+ (.*) ✅""),'Quartier prepositio"&amp;"ns'!A:E, 5, 0) ,  if(H1960=""region"",vlookup(REGEXEXTRACT(C1960, ""🏘️ \w+ \w+ (.*) ✅""),'Region prepositions'!B:F, 5, 0),  REGEXEXTRACT(C1960, ""🏘️ \w+ \w+ (.*) ✅""))))"),"Vallon")</f>
        <v>Vallon</v>
      </c>
      <c r="F1960" s="2" t="str">
        <f>IFERROR(__xludf.DUMMYFUNCTION("REGEXEXTRACT(C1960, ""🏘️ (\w+) \w+ .* ✅"")"),"Vendre")</f>
        <v>Vendre</v>
      </c>
      <c r="G1960" s="2" t="str">
        <f>IFERROR(__xludf.DUMMYFUNCTION("REGEXEXTRACT(C1960, ""🏘️ \w+ (\w+) .* ✅"")"),"maison")</f>
        <v>maison</v>
      </c>
      <c r="H1960" s="4" t="str">
        <f>IFERROR(__xludf.DUMMYFUNCTION("REGEXEXTRACT(A1960, ""/(\w+)-.*?"")"),"lieu")</f>
        <v>lieu</v>
      </c>
      <c r="I1960" s="4" t="str">
        <f>IFERROR(__xludf.DUMMYFUNCTION("if(D1960=""variant"",  substitute(filter(Templates!E:E, Templates!A:A = F1960, Templates!B:B = G1960, Templates!C:C = H1960), ""{{}}"", E1960), B1960)"),"🏘  Vous souhaitez acheter une maison à Vallon? ✅ Jetez un œil aux dernières offres sur ImmoScout24.ch.")</f>
        <v>🏘  Vous souhaitez acheter une maison à Vallon? ✅ Jetez un œil aux dernières offres sur ImmoScout24.ch.</v>
      </c>
      <c r="J1960" s="4" t="s">
        <v>5880</v>
      </c>
    </row>
    <row r="1961">
      <c r="A1961" s="5" t="s">
        <v>5881</v>
      </c>
      <c r="B1961" s="2" t="s">
        <v>5882</v>
      </c>
      <c r="C1961" s="4" t="str">
        <f>IFERROR(__xludf.DUMMYFUNCTION("""🏘️ ""&amp;REGEXEXTRACT(B1961, ""^(.*): "")&amp;"" ✅ "" &amp;REGEXEXTRACT(B1961, ""(Trouvez.*)"")"),"🏘️ Vendre appartement Belfaux ✅ Trouvez le bien immobilier qui correspond idéalement à vos désirs sur ImmoScout24 - La plateforme de l'immobilier en Suisse.")</f>
        <v>🏘️ Vendre appartement Belfaux ✅ Trouvez le bien immobilier qui correspond idéalement à vos désirs sur ImmoScout24 - La plateforme de l'immobilier en Suisse.</v>
      </c>
      <c r="D1961" s="4" t="str">
        <f>vlookup(A1961, Sheet2!D:E, 2, 0)</f>
        <v>variant</v>
      </c>
      <c r="E1961" s="4" t="str">
        <f>IFERROR(__xludf.DUMMYFUNCTION("if(H1961=""pays"",vlookup(REGEXEXTRACT(C1961, ""🏘️ \w+ \w+ (.*) ✅""),'Country prepositions'!A:B, 2, 0) &amp; "" "" &amp; REGEXEXTRACT(C1961, ""🏘️ \w+ \w+ (.*) ✅"") ,  if(H1961=""quartier"",vlookup(REGEXEXTRACT(C1961, ""🏘️ \w+ \w+ (.*) ✅""),'Quartier prepositio"&amp;"ns'!A:E, 5, 0) ,  if(H1961=""region"",vlookup(REGEXEXTRACT(C1961, ""🏘️ \w+ \w+ (.*) ✅""),'Region prepositions'!B:F, 5, 0),  REGEXEXTRACT(C1961, ""🏘️ \w+ \w+ (.*) ✅""))))"),"Belfaux")</f>
        <v>Belfaux</v>
      </c>
      <c r="F1961" s="2" t="str">
        <f>IFERROR(__xludf.DUMMYFUNCTION("REGEXEXTRACT(C1961, ""🏘️ (\w+) \w+ .* ✅"")"),"Vendre")</f>
        <v>Vendre</v>
      </c>
      <c r="G1961" s="2" t="str">
        <f>IFERROR(__xludf.DUMMYFUNCTION("REGEXEXTRACT(C1961, ""🏘️ \w+ (\w+) .* ✅"")"),"appartement")</f>
        <v>appartement</v>
      </c>
      <c r="H1961" s="4" t="str">
        <f>IFERROR(__xludf.DUMMYFUNCTION("REGEXEXTRACT(A1961, ""/(\w+)-.*?"")"),"lieu")</f>
        <v>lieu</v>
      </c>
      <c r="I1961" s="4" t="str">
        <f>IFERROR(__xludf.DUMMYFUNCTION("if(D1961=""variant"",  substitute(filter(Templates!E:E, Templates!A:A = F1961, Templates!B:B = G1961, Templates!C:C = H1961), ""{{}}"", E1961), B1961)"),"🏘  L’appartement de vos rêves se trouve sur ImmoScout24.ch ✅ Découvrez les dernières annonces de vente à Belfaux.")</f>
        <v>🏘  L’appartement de vos rêves se trouve sur ImmoScout24.ch ✅ Découvrez les dernières annonces de vente à Belfaux.</v>
      </c>
      <c r="J1961" s="4" t="s">
        <v>5883</v>
      </c>
    </row>
    <row r="1962">
      <c r="A1962" s="5" t="s">
        <v>5884</v>
      </c>
      <c r="B1962" s="2" t="s">
        <v>5885</v>
      </c>
      <c r="C1962" s="4" t="str">
        <f>IFERROR(__xludf.DUMMYFUNCTION("""🏘️ ""&amp;REGEXEXTRACT(B1962, ""^(.*): "")&amp;"" ✅ "" &amp;REGEXEXTRACT(B1962, ""(Trouvez.*)"")"),"🏘️ Louer appartement Kirchenfeld (Berne) ✅ Trouvez le bien immobilier qui correspond idéalement à vos désirs sur ImmoScout24 - La plateforme de l'immobilier en Suisse.")</f>
        <v>🏘️ Louer appartement Kirchenfeld (Berne) ✅ Trouvez le bien immobilier qui correspond idéalement à vos désirs sur ImmoScout24 - La plateforme de l'immobilier en Suisse.</v>
      </c>
      <c r="D1962" s="4" t="str">
        <f>vlookup(A1962, Sheet2!D:E, 2, 0)</f>
        <v>variant</v>
      </c>
      <c r="E1962" s="4" t="str">
        <f>IFERROR(__xludf.DUMMYFUNCTION("if(H1962=""pays"",vlookup(REGEXEXTRACT(C1962, ""🏘️ \w+ \w+ (.*) ✅""),'Country prepositions'!A:B, 2, 0) &amp; "" "" &amp; REGEXEXTRACT(C1962, ""🏘️ \w+ \w+ (.*) ✅"") ,  if(H1962=""quartier"",vlookup(REGEXEXTRACT(C1962, ""🏘️ \w+ \w+ (.*) ✅""),'Quartier prepositio"&amp;"ns'!A:E, 5, 0) ,  if(H1962=""region"",vlookup(REGEXEXTRACT(C1962, ""🏘️ \w+ \w+ (.*) ✅""),'Region prepositions'!B:F, 5, 0),  REGEXEXTRACT(C1962, ""🏘️ \w+ \w+ (.*) ✅""))))"),"dans le quartier de Kirchenfeld (Berne)")</f>
        <v>dans le quartier de Kirchenfeld (Berne)</v>
      </c>
      <c r="F1962" s="2" t="str">
        <f>IFERROR(__xludf.DUMMYFUNCTION("REGEXEXTRACT(C1962, ""🏘️ (\w+) \w+ .* ✅"")"),"Louer")</f>
        <v>Louer</v>
      </c>
      <c r="G1962" s="2" t="str">
        <f>IFERROR(__xludf.DUMMYFUNCTION("REGEXEXTRACT(C1962, ""🏘️ \w+ (\w+) .* ✅"")"),"appartement")</f>
        <v>appartement</v>
      </c>
      <c r="H1962" s="4" t="str">
        <f>IFERROR(__xludf.DUMMYFUNCTION("REGEXEXTRACT(A1962, ""/(\w+)-.*?"")"),"quartier")</f>
        <v>quartier</v>
      </c>
      <c r="I1962" s="4" t="str">
        <f>IFERROR(__xludf.DUMMYFUNCTION("if(D1962=""variant"",  substitute(filter(Templates!E:E, Templates!A:A = F1962, Templates!B:B = G1962, Templates!C:C = H1962), ""{{}}"", E1962), B1962)"),"🏘  Vous cherchez un appartement à louer dans le quartier de Kirchenfeld (Berne)? ✅ Les annonces les plus actuelles sont sur ImmoScout24.ch.")</f>
        <v>🏘  Vous cherchez un appartement à louer dans le quartier de Kirchenfeld (Berne)? ✅ Les annonces les plus actuelles sont sur ImmoScout24.ch.</v>
      </c>
      <c r="J1962" s="4" t="s">
        <v>5886</v>
      </c>
    </row>
    <row r="1963">
      <c r="A1963" s="5" t="s">
        <v>5887</v>
      </c>
      <c r="B1963" s="2" t="s">
        <v>5888</v>
      </c>
      <c r="C1963" s="4" t="str">
        <f>IFERROR(__xludf.DUMMYFUNCTION("""🏘️ ""&amp;REGEXEXTRACT(B1963, ""^(.*): "")&amp;"" ✅ "" &amp;REGEXEXTRACT(B1963, ""(Trouvez.*)"")"),"🏘️ Vendre appartement Benken ZH ✅ Trouvez le bien immobilier qui correspond idéalement à vos désirs sur ImmoScout24 - La plateforme de l'immobilier en Suisse.")</f>
        <v>🏘️ Vendre appartement Benken ZH ✅ Trouvez le bien immobilier qui correspond idéalement à vos désirs sur ImmoScout24 - La plateforme de l'immobilier en Suisse.</v>
      </c>
      <c r="D1963" s="4" t="str">
        <f>vlookup(A1963, Sheet2!D:E, 2, 0)</f>
        <v>variant</v>
      </c>
      <c r="E1963" s="4" t="str">
        <f>IFERROR(__xludf.DUMMYFUNCTION("if(H1963=""pays"",vlookup(REGEXEXTRACT(C1963, ""🏘️ \w+ \w+ (.*) ✅""),'Country prepositions'!A:B, 2, 0) &amp; "" "" &amp; REGEXEXTRACT(C1963, ""🏘️ \w+ \w+ (.*) ✅"") ,  if(H1963=""quartier"",vlookup(REGEXEXTRACT(C1963, ""🏘️ \w+ \w+ (.*) ✅""),'Quartier prepositio"&amp;"ns'!A:E, 5, 0) ,  if(H1963=""region"",vlookup(REGEXEXTRACT(C1963, ""🏘️ \w+ \w+ (.*) ✅""),'Region prepositions'!B:F, 5, 0),  REGEXEXTRACT(C1963, ""🏘️ \w+ \w+ (.*) ✅""))))"),"Benken ZH")</f>
        <v>Benken ZH</v>
      </c>
      <c r="F1963" s="2" t="str">
        <f>IFERROR(__xludf.DUMMYFUNCTION("REGEXEXTRACT(C1963, ""🏘️ (\w+) \w+ .* ✅"")"),"Vendre")</f>
        <v>Vendre</v>
      </c>
      <c r="G1963" s="2" t="str">
        <f>IFERROR(__xludf.DUMMYFUNCTION("REGEXEXTRACT(C1963, ""🏘️ \w+ (\w+) .* ✅"")"),"appartement")</f>
        <v>appartement</v>
      </c>
      <c r="H1963" s="4" t="str">
        <f>IFERROR(__xludf.DUMMYFUNCTION("REGEXEXTRACT(A1963, ""/(\w+)-.*?"")"),"lieu")</f>
        <v>lieu</v>
      </c>
      <c r="I1963" s="4" t="str">
        <f>IFERROR(__xludf.DUMMYFUNCTION("if(D1963=""variant"",  substitute(filter(Templates!E:E, Templates!A:A = F1963, Templates!B:B = G1963, Templates!C:C = H1963), ""{{}}"", E1963), B1963)"),"🏘  L’appartement de vos rêves se trouve sur ImmoScout24.ch ✅ Découvrez les dernières annonces de vente à Benken ZH.")</f>
        <v>🏘  L’appartement de vos rêves se trouve sur ImmoScout24.ch ✅ Découvrez les dernières annonces de vente à Benken ZH.</v>
      </c>
      <c r="J1963" s="4" t="s">
        <v>5889</v>
      </c>
    </row>
    <row r="1964">
      <c r="A1964" s="5" t="s">
        <v>5890</v>
      </c>
      <c r="B1964" s="2" t="s">
        <v>5891</v>
      </c>
      <c r="C1964" s="4" t="str">
        <f>IFERROR(__xludf.DUMMYFUNCTION("""🏘️ ""&amp;REGEXEXTRACT(B1964, ""^(.*): "")&amp;"" ✅ "" &amp;REGEXEXTRACT(B1964, ""(Trouvez.*)"")"),"🏘️ Louer appartement Schötz ✅ Trouvez le bien immobilier qui correspond idéalement à vos désirs sur ImmoScout24 - La plateforme de l'immobilier en Suisse.")</f>
        <v>🏘️ Louer appartement Schötz ✅ Trouvez le bien immobilier qui correspond idéalement à vos désirs sur ImmoScout24 - La plateforme de l'immobilier en Suisse.</v>
      </c>
      <c r="D1964" s="4" t="str">
        <f>vlookup(A1964, Sheet2!D:E, 2, 0)</f>
        <v>variant</v>
      </c>
      <c r="E1964" s="4" t="str">
        <f>IFERROR(__xludf.DUMMYFUNCTION("if(H1964=""pays"",vlookup(REGEXEXTRACT(C1964, ""🏘️ \w+ \w+ (.*) ✅""),'Country prepositions'!A:B, 2, 0) &amp; "" "" &amp; REGEXEXTRACT(C1964, ""🏘️ \w+ \w+ (.*) ✅"") ,  if(H1964=""quartier"",vlookup(REGEXEXTRACT(C1964, ""🏘️ \w+ \w+ (.*) ✅""),'Quartier prepositio"&amp;"ns'!A:E, 5, 0) ,  if(H1964=""region"",vlookup(REGEXEXTRACT(C1964, ""🏘️ \w+ \w+ (.*) ✅""),'Region prepositions'!B:F, 5, 0),  REGEXEXTRACT(C1964, ""🏘️ \w+ \w+ (.*) ✅""))))"),"Schötz")</f>
        <v>Schötz</v>
      </c>
      <c r="F1964" s="2" t="str">
        <f>IFERROR(__xludf.DUMMYFUNCTION("REGEXEXTRACT(C1964, ""🏘️ (\w+) \w+ .* ✅"")"),"Louer")</f>
        <v>Louer</v>
      </c>
      <c r="G1964" s="2" t="str">
        <f>IFERROR(__xludf.DUMMYFUNCTION("REGEXEXTRACT(C1964, ""🏘️ \w+ (\w+) .* ✅"")"),"appartement")</f>
        <v>appartement</v>
      </c>
      <c r="H1964" s="4" t="str">
        <f>IFERROR(__xludf.DUMMYFUNCTION("REGEXEXTRACT(A1964, ""/(\w+)-.*?"")"),"lieu")</f>
        <v>lieu</v>
      </c>
      <c r="I1964" s="4" t="str">
        <f>IFERROR(__xludf.DUMMYFUNCTION("if(D1964=""variant"",  substitute(filter(Templates!E:E, Templates!A:A = F1964, Templates!B:B = G1964, Templates!C:C = H1964), ""{{}}"", E1964), B1964)"),"🏘  Vous cherchez un appartement à louer à Schötz? ✅ Les annonces les plus actuelles sont sur ImmoScout24.ch.")</f>
        <v>🏘  Vous cherchez un appartement à louer à Schötz? ✅ Les annonces les plus actuelles sont sur ImmoScout24.ch.</v>
      </c>
      <c r="J1964" s="4" t="s">
        <v>5892</v>
      </c>
    </row>
    <row r="1965">
      <c r="A1965" s="5" t="s">
        <v>5893</v>
      </c>
      <c r="B1965" s="2" t="s">
        <v>5894</v>
      </c>
      <c r="C1965" s="4" t="str">
        <f>IFERROR(__xludf.DUMMYFUNCTION("""🏘️ ""&amp;REGEXEXTRACT(B1965, ""^(.*): "")&amp;"" ✅ "" &amp;REGEXEXTRACT(B1965, ""(Trouvez.*)"")"),"🏘️ Vendre appartement La Croix (Lutry) ✅ Trouvez le bien immobilier qui correspond idéalement à vos désirs sur ImmoScout24 - La plateforme de l'immobilier en Suisse.")</f>
        <v>🏘️ Vendre appartement La Croix (Lutry) ✅ Trouvez le bien immobilier qui correspond idéalement à vos désirs sur ImmoScout24 - La plateforme de l'immobilier en Suisse.</v>
      </c>
      <c r="D1965" s="4" t="str">
        <f>vlookup(A1965, Sheet2!D:E, 2, 0)</f>
        <v>variant</v>
      </c>
      <c r="E1965" s="4" t="str">
        <f>IFERROR(__xludf.DUMMYFUNCTION("if(H1965=""pays"",vlookup(REGEXEXTRACT(C1965, ""🏘️ \w+ \w+ (.*) ✅""),'Country prepositions'!A:B, 2, 0) &amp; "" "" &amp; REGEXEXTRACT(C1965, ""🏘️ \w+ \w+ (.*) ✅"") ,  if(H1965=""quartier"",vlookup(REGEXEXTRACT(C1965, ""🏘️ \w+ \w+ (.*) ✅""),'Quartier prepositio"&amp;"ns'!A:E, 5, 0) ,  if(H1965=""region"",vlookup(REGEXEXTRACT(C1965, ""🏘️ \w+ \w+ (.*) ✅""),'Region prepositions'!B:F, 5, 0),  REGEXEXTRACT(C1965, ""🏘️ \w+ \w+ (.*) ✅""))))"),"La Croix (Lutry)")</f>
        <v>La Croix (Lutry)</v>
      </c>
      <c r="F1965" s="2" t="str">
        <f>IFERROR(__xludf.DUMMYFUNCTION("REGEXEXTRACT(C1965, ""🏘️ (\w+) \w+ .* ✅"")"),"Vendre")</f>
        <v>Vendre</v>
      </c>
      <c r="G1965" s="2" t="str">
        <f>IFERROR(__xludf.DUMMYFUNCTION("REGEXEXTRACT(C1965, ""🏘️ \w+ (\w+) .* ✅"")"),"appartement")</f>
        <v>appartement</v>
      </c>
      <c r="H1965" s="4" t="str">
        <f>IFERROR(__xludf.DUMMYFUNCTION("REGEXEXTRACT(A1965, ""/(\w+)-.*?"")"),"lieu")</f>
        <v>lieu</v>
      </c>
      <c r="I1965" s="4" t="str">
        <f>IFERROR(__xludf.DUMMYFUNCTION("if(D1965=""variant"",  substitute(filter(Templates!E:E, Templates!A:A = F1965, Templates!B:B = G1965, Templates!C:C = H1965), ""{{}}"", E1965), B1965)"),"🏘  L’appartement de vos rêves se trouve sur ImmoScout24.ch ✅ Découvrez les dernières annonces de vente à La Croix (Lutry).")</f>
        <v>🏘  L’appartement de vos rêves se trouve sur ImmoScout24.ch ✅ Découvrez les dernières annonces de vente à La Croix (Lutry).</v>
      </c>
      <c r="J1965" s="4" t="s">
        <v>5895</v>
      </c>
    </row>
    <row r="1966">
      <c r="A1966" s="5" t="s">
        <v>5896</v>
      </c>
      <c r="B1966" s="2" t="s">
        <v>5897</v>
      </c>
      <c r="C1966" s="4" t="str">
        <f>IFERROR(__xludf.DUMMYFUNCTION("""🏘️ ""&amp;REGEXEXTRACT(B1966, ""^(.*): "")&amp;"" ✅ "" &amp;REGEXEXTRACT(B1966, ""(Trouvez.*)"")"),"🏘️ Louer maison Hinwil ✅ Trouvez le bien immobilier qui correspond idéalement à vos désirs sur ImmoScout24 - La plateforme de l'immobilier en Suisse.")</f>
        <v>🏘️ Louer maison Hinwil ✅ Trouvez le bien immobilier qui correspond idéalement à vos désirs sur ImmoScout24 - La plateforme de l'immobilier en Suisse.</v>
      </c>
      <c r="D1966" s="4" t="str">
        <f>vlookup(A1966, Sheet2!D:E, 2, 0)</f>
        <v>variant</v>
      </c>
      <c r="E1966" s="4" t="str">
        <f>IFERROR(__xludf.DUMMYFUNCTION("if(H1966=""pays"",vlookup(REGEXEXTRACT(C1966, ""🏘️ \w+ \w+ (.*) ✅""),'Country prepositions'!A:B, 2, 0) &amp; "" "" &amp; REGEXEXTRACT(C1966, ""🏘️ \w+ \w+ (.*) ✅"") ,  if(H1966=""quartier"",vlookup(REGEXEXTRACT(C1966, ""🏘️ \w+ \w+ (.*) ✅""),'Quartier prepositio"&amp;"ns'!A:E, 5, 0) ,  if(H1966=""region"",vlookup(REGEXEXTRACT(C1966, ""🏘️ \w+ \w+ (.*) ✅""),'Region prepositions'!B:F, 5, 0),  REGEXEXTRACT(C1966, ""🏘️ \w+ \w+ (.*) ✅""))))"),"Hinwil")</f>
        <v>Hinwil</v>
      </c>
      <c r="F1966" s="2" t="str">
        <f>IFERROR(__xludf.DUMMYFUNCTION("REGEXEXTRACT(C1966, ""🏘️ (\w+) \w+ .* ✅"")"),"Louer")</f>
        <v>Louer</v>
      </c>
      <c r="G1966" s="2" t="str">
        <f>IFERROR(__xludf.DUMMYFUNCTION("REGEXEXTRACT(C1966, ""🏘️ \w+ (\w+) .* ✅"")"),"maison")</f>
        <v>maison</v>
      </c>
      <c r="H1966" s="4" t="str">
        <f>IFERROR(__xludf.DUMMYFUNCTION("REGEXEXTRACT(A1966, ""/(\w+)-.*?"")"),"lieu")</f>
        <v>lieu</v>
      </c>
      <c r="I1966" s="4" t="str">
        <f>IFERROR(__xludf.DUMMYFUNCTION("if(D1966=""variant"",  substitute(filter(Templates!E:E, Templates!A:A = F1966, Templates!B:B = G1966, Templates!C:C = H1966), ""{{}}"", E1966), B1966)"),"🏘  Vous cherchez une maison à louer à Hinwil? ✅ Découvrez nos nombreuses annonces sur ImmoScout24.ch.")</f>
        <v>🏘  Vous cherchez une maison à louer à Hinwil? ✅ Découvrez nos nombreuses annonces sur ImmoScout24.ch.</v>
      </c>
      <c r="J1966" s="4" t="s">
        <v>5898</v>
      </c>
    </row>
    <row r="1967">
      <c r="A1967" s="5" t="s">
        <v>5899</v>
      </c>
      <c r="B1967" s="2" t="s">
        <v>5900</v>
      </c>
      <c r="C1967" s="4" t="str">
        <f>IFERROR(__xludf.DUMMYFUNCTION("""🏘️ ""&amp;REGEXEXTRACT(B1967, ""^(.*): "")&amp;"" ✅ "" &amp;REGEXEXTRACT(B1967, ""(Trouvez.*)"")"),"🏘️ Louer maison Gampelen ✅ Trouvez le bien immobilier qui correspond idéalement à vos désirs sur ImmoScout24 - La plateforme de l'immobilier en Suisse.")</f>
        <v>🏘️ Louer maison Gampelen ✅ Trouvez le bien immobilier qui correspond idéalement à vos désirs sur ImmoScout24 - La plateforme de l'immobilier en Suisse.</v>
      </c>
      <c r="D1967" s="4" t="str">
        <f>vlookup(A1967, Sheet2!D:E, 2, 0)</f>
        <v>variant</v>
      </c>
      <c r="E1967" s="4" t="str">
        <f>IFERROR(__xludf.DUMMYFUNCTION("if(H1967=""pays"",vlookup(REGEXEXTRACT(C1967, ""🏘️ \w+ \w+ (.*) ✅""),'Country prepositions'!A:B, 2, 0) &amp; "" "" &amp; REGEXEXTRACT(C1967, ""🏘️ \w+ \w+ (.*) ✅"") ,  if(H1967=""quartier"",vlookup(REGEXEXTRACT(C1967, ""🏘️ \w+ \w+ (.*) ✅""),'Quartier prepositio"&amp;"ns'!A:E, 5, 0) ,  if(H1967=""region"",vlookup(REGEXEXTRACT(C1967, ""🏘️ \w+ \w+ (.*) ✅""),'Region prepositions'!B:F, 5, 0),  REGEXEXTRACT(C1967, ""🏘️ \w+ \w+ (.*) ✅""))))"),"Gampelen")</f>
        <v>Gampelen</v>
      </c>
      <c r="F1967" s="2" t="str">
        <f>IFERROR(__xludf.DUMMYFUNCTION("REGEXEXTRACT(C1967, ""🏘️ (\w+) \w+ .* ✅"")"),"Louer")</f>
        <v>Louer</v>
      </c>
      <c r="G1967" s="2" t="str">
        <f>IFERROR(__xludf.DUMMYFUNCTION("REGEXEXTRACT(C1967, ""🏘️ \w+ (\w+) .* ✅"")"),"maison")</f>
        <v>maison</v>
      </c>
      <c r="H1967" s="4" t="str">
        <f>IFERROR(__xludf.DUMMYFUNCTION("REGEXEXTRACT(A1967, ""/(\w+)-.*?"")"),"lieu")</f>
        <v>lieu</v>
      </c>
      <c r="I1967" s="4" t="str">
        <f>IFERROR(__xludf.DUMMYFUNCTION("if(D1967=""variant"",  substitute(filter(Templates!E:E, Templates!A:A = F1967, Templates!B:B = G1967, Templates!C:C = H1967), ""{{}}"", E1967), B1967)"),"🏘  Vous cherchez une maison à louer à Gampelen? ✅ Découvrez nos nombreuses annonces sur ImmoScout24.ch.")</f>
        <v>🏘  Vous cherchez une maison à louer à Gampelen? ✅ Découvrez nos nombreuses annonces sur ImmoScout24.ch.</v>
      </c>
      <c r="J1967" s="4" t="s">
        <v>5901</v>
      </c>
    </row>
    <row r="1968">
      <c r="A1968" s="5" t="s">
        <v>5902</v>
      </c>
      <c r="B1968" s="2" t="s">
        <v>5903</v>
      </c>
      <c r="C1968" s="4" t="str">
        <f>IFERROR(__xludf.DUMMYFUNCTION("""🏘️ ""&amp;REGEXEXTRACT(B1968, ""^(.*): "")&amp;"" ✅ "" &amp;REGEXEXTRACT(B1968, ""(Trouvez.*)"")"),"🏘️ Louer maison Villars-sur-Ollon ✅ Trouvez le bien immobilier qui correspond idéalement à vos désirs sur ImmoScout24 - La plateforme de l'immobilier en Suisse.")</f>
        <v>🏘️ Louer maison Villars-sur-Ollon ✅ Trouvez le bien immobilier qui correspond idéalement à vos désirs sur ImmoScout24 - La plateforme de l'immobilier en Suisse.</v>
      </c>
      <c r="D1968" s="4" t="str">
        <f>vlookup(A1968, Sheet2!D:E, 2, 0)</f>
        <v>variant</v>
      </c>
      <c r="E1968" s="4" t="str">
        <f>IFERROR(__xludf.DUMMYFUNCTION("if(H1968=""pays"",vlookup(REGEXEXTRACT(C1968, ""🏘️ \w+ \w+ (.*) ✅""),'Country prepositions'!A:B, 2, 0) &amp; "" "" &amp; REGEXEXTRACT(C1968, ""🏘️ \w+ \w+ (.*) ✅"") ,  if(H1968=""quartier"",vlookup(REGEXEXTRACT(C1968, ""🏘️ \w+ \w+ (.*) ✅""),'Quartier prepositio"&amp;"ns'!A:E, 5, 0) ,  if(H1968=""region"",vlookup(REGEXEXTRACT(C1968, ""🏘️ \w+ \w+ (.*) ✅""),'Region prepositions'!B:F, 5, 0),  REGEXEXTRACT(C1968, ""🏘️ \w+ \w+ (.*) ✅""))))"),"Villars-sur-Ollon")</f>
        <v>Villars-sur-Ollon</v>
      </c>
      <c r="F1968" s="2" t="str">
        <f>IFERROR(__xludf.DUMMYFUNCTION("REGEXEXTRACT(C1968, ""🏘️ (\w+) \w+ .* ✅"")"),"Louer")</f>
        <v>Louer</v>
      </c>
      <c r="G1968" s="2" t="str">
        <f>IFERROR(__xludf.DUMMYFUNCTION("REGEXEXTRACT(C1968, ""🏘️ \w+ (\w+) .* ✅"")"),"maison")</f>
        <v>maison</v>
      </c>
      <c r="H1968" s="4" t="str">
        <f>IFERROR(__xludf.DUMMYFUNCTION("REGEXEXTRACT(A1968, ""/(\w+)-.*?"")"),"lieu")</f>
        <v>lieu</v>
      </c>
      <c r="I1968" s="4" t="str">
        <f>IFERROR(__xludf.DUMMYFUNCTION("if(D1968=""variant"",  substitute(filter(Templates!E:E, Templates!A:A = F1968, Templates!B:B = G1968, Templates!C:C = H1968), ""{{}}"", E1968), B1968)"),"🏘  Vous cherchez une maison à louer à Villars-sur-Ollon? ✅ Découvrez nos nombreuses annonces sur ImmoScout24.ch.")</f>
        <v>🏘  Vous cherchez une maison à louer à Villars-sur-Ollon? ✅ Découvrez nos nombreuses annonces sur ImmoScout24.ch.</v>
      </c>
      <c r="J1968" s="4" t="s">
        <v>5904</v>
      </c>
    </row>
    <row r="1969">
      <c r="A1969" s="5" t="s">
        <v>5905</v>
      </c>
      <c r="B1969" s="2" t="s">
        <v>5906</v>
      </c>
      <c r="C1969" s="4" t="str">
        <f>IFERROR(__xludf.DUMMYFUNCTION("""🏘️ ""&amp;REGEXEXTRACT(B1969, ""^(.*): "")&amp;"" ✅ "" &amp;REGEXEXTRACT(B1969, ""(Trouvez.*)"")"),"🏘️ Louer appartement Arconciel ✅ Trouvez le bien immobilier qui correspond idéalement à vos désirs sur ImmoScout24 - La plateforme de l'immobilier en Suisse.")</f>
        <v>🏘️ Louer appartement Arconciel ✅ Trouvez le bien immobilier qui correspond idéalement à vos désirs sur ImmoScout24 - La plateforme de l'immobilier en Suisse.</v>
      </c>
      <c r="D1969" s="4" t="str">
        <f>vlookup(A1969, Sheet2!D:E, 2, 0)</f>
        <v>variant</v>
      </c>
      <c r="E1969" s="4" t="str">
        <f>IFERROR(__xludf.DUMMYFUNCTION("if(H1969=""pays"",vlookup(REGEXEXTRACT(C1969, ""🏘️ \w+ \w+ (.*) ✅""),'Country prepositions'!A:B, 2, 0) &amp; "" "" &amp; REGEXEXTRACT(C1969, ""🏘️ \w+ \w+ (.*) ✅"") ,  if(H1969=""quartier"",vlookup(REGEXEXTRACT(C1969, ""🏘️ \w+ \w+ (.*) ✅""),'Quartier prepositio"&amp;"ns'!A:E, 5, 0) ,  if(H1969=""region"",vlookup(REGEXEXTRACT(C1969, ""🏘️ \w+ \w+ (.*) ✅""),'Region prepositions'!B:F, 5, 0),  REGEXEXTRACT(C1969, ""🏘️ \w+ \w+ (.*) ✅""))))"),"Arconciel")</f>
        <v>Arconciel</v>
      </c>
      <c r="F1969" s="2" t="str">
        <f>IFERROR(__xludf.DUMMYFUNCTION("REGEXEXTRACT(C1969, ""🏘️ (\w+) \w+ .* ✅"")"),"Louer")</f>
        <v>Louer</v>
      </c>
      <c r="G1969" s="2" t="str">
        <f>IFERROR(__xludf.DUMMYFUNCTION("REGEXEXTRACT(C1969, ""🏘️ \w+ (\w+) .* ✅"")"),"appartement")</f>
        <v>appartement</v>
      </c>
      <c r="H1969" s="4" t="str">
        <f>IFERROR(__xludf.DUMMYFUNCTION("REGEXEXTRACT(A1969, ""/(\w+)-.*?"")"),"lieu")</f>
        <v>lieu</v>
      </c>
      <c r="I1969" s="4" t="str">
        <f>IFERROR(__xludf.DUMMYFUNCTION("if(D1969=""variant"",  substitute(filter(Templates!E:E, Templates!A:A = F1969, Templates!B:B = G1969, Templates!C:C = H1969), ""{{}}"", E1969), B1969)"),"🏘  Vous cherchez un appartement à louer à Arconciel? ✅ Les annonces les plus actuelles sont sur ImmoScout24.ch.")</f>
        <v>🏘  Vous cherchez un appartement à louer à Arconciel? ✅ Les annonces les plus actuelles sont sur ImmoScout24.ch.</v>
      </c>
      <c r="J1969" s="4" t="s">
        <v>5907</v>
      </c>
    </row>
    <row r="1970">
      <c r="A1970" s="5" t="s">
        <v>5908</v>
      </c>
      <c r="B1970" s="2" t="s">
        <v>5909</v>
      </c>
      <c r="C1970" s="4" t="str">
        <f>IFERROR(__xludf.DUMMYFUNCTION("""🏘️ ""&amp;REGEXEXTRACT(B1970, ""^(.*): "")&amp;"" ✅ "" &amp;REGEXEXTRACT(B1970, ""(Trouvez.*)"")"),"🏘️ Vendre maison Adelboden ✅ Trouvez le bien immobilier qui correspond idéalement à vos désirs sur ImmoScout24 - La plateforme de l'immobilier en Suisse.")</f>
        <v>🏘️ Vendre maison Adelboden ✅ Trouvez le bien immobilier qui correspond idéalement à vos désirs sur ImmoScout24 - La plateforme de l'immobilier en Suisse.</v>
      </c>
      <c r="D1970" s="4" t="str">
        <f>vlookup(A1970, Sheet2!D:E, 2, 0)</f>
        <v>variant</v>
      </c>
      <c r="E1970" s="4" t="str">
        <f>IFERROR(__xludf.DUMMYFUNCTION("if(H1970=""pays"",vlookup(REGEXEXTRACT(C1970, ""🏘️ \w+ \w+ (.*) ✅""),'Country prepositions'!A:B, 2, 0) &amp; "" "" &amp; REGEXEXTRACT(C1970, ""🏘️ \w+ \w+ (.*) ✅"") ,  if(H1970=""quartier"",vlookup(REGEXEXTRACT(C1970, ""🏘️ \w+ \w+ (.*) ✅""),'Quartier prepositio"&amp;"ns'!A:E, 5, 0) ,  if(H1970=""region"",vlookup(REGEXEXTRACT(C1970, ""🏘️ \w+ \w+ (.*) ✅""),'Region prepositions'!B:F, 5, 0),  REGEXEXTRACT(C1970, ""🏘️ \w+ \w+ (.*) ✅""))))"),"Adelboden")</f>
        <v>Adelboden</v>
      </c>
      <c r="F1970" s="2" t="str">
        <f>IFERROR(__xludf.DUMMYFUNCTION("REGEXEXTRACT(C1970, ""🏘️ (\w+) \w+ .* ✅"")"),"Vendre")</f>
        <v>Vendre</v>
      </c>
      <c r="G1970" s="2" t="str">
        <f>IFERROR(__xludf.DUMMYFUNCTION("REGEXEXTRACT(C1970, ""🏘️ \w+ (\w+) .* ✅"")"),"maison")</f>
        <v>maison</v>
      </c>
      <c r="H1970" s="4" t="str">
        <f>IFERROR(__xludf.DUMMYFUNCTION("REGEXEXTRACT(A1970, ""/(\w+)-.*?"")"),"lieu")</f>
        <v>lieu</v>
      </c>
      <c r="I1970" s="4" t="str">
        <f>IFERROR(__xludf.DUMMYFUNCTION("if(D1970=""variant"",  substitute(filter(Templates!E:E, Templates!A:A = F1970, Templates!B:B = G1970, Templates!C:C = H1970), ""{{}}"", E1970), B1970)"),"🏘  Vous souhaitez acheter une maison à Adelboden? ✅ Jetez un œil aux dernières offres sur ImmoScout24.ch.")</f>
        <v>🏘  Vous souhaitez acheter une maison à Adelboden? ✅ Jetez un œil aux dernières offres sur ImmoScout24.ch.</v>
      </c>
      <c r="J1970" s="4" t="s">
        <v>5910</v>
      </c>
    </row>
    <row r="1971">
      <c r="A1971" s="5" t="s">
        <v>5911</v>
      </c>
      <c r="B1971" s="2" t="s">
        <v>5912</v>
      </c>
      <c r="C1971" s="4" t="str">
        <f>IFERROR(__xludf.DUMMYFUNCTION("""🏘️ ""&amp;REGEXEXTRACT(B1971, ""^(.*): "")&amp;"" ✅ "" &amp;REGEXEXTRACT(B1971, ""(Trouvez.*)"")"),"🏘️ Louer appartement Steckborn ✅ Trouvez le bien immobilier qui correspond idéalement à vos désirs sur ImmoScout24 - La plateforme de l'immobilier en Suisse.")</f>
        <v>🏘️ Louer appartement Steckborn ✅ Trouvez le bien immobilier qui correspond idéalement à vos désirs sur ImmoScout24 - La plateforme de l'immobilier en Suisse.</v>
      </c>
      <c r="D1971" s="4" t="str">
        <f>vlookup(A1971, Sheet2!D:E, 2, 0)</f>
        <v>variant</v>
      </c>
      <c r="E1971" s="4" t="str">
        <f>IFERROR(__xludf.DUMMYFUNCTION("if(H1971=""pays"",vlookup(REGEXEXTRACT(C1971, ""🏘️ \w+ \w+ (.*) ✅""),'Country prepositions'!A:B, 2, 0) &amp; "" "" &amp; REGEXEXTRACT(C1971, ""🏘️ \w+ \w+ (.*) ✅"") ,  if(H1971=""quartier"",vlookup(REGEXEXTRACT(C1971, ""🏘️ \w+ \w+ (.*) ✅""),'Quartier prepositio"&amp;"ns'!A:E, 5, 0) ,  if(H1971=""region"",vlookup(REGEXEXTRACT(C1971, ""🏘️ \w+ \w+ (.*) ✅""),'Region prepositions'!B:F, 5, 0),  REGEXEXTRACT(C1971, ""🏘️ \w+ \w+ (.*) ✅""))))"),"Steckborn")</f>
        <v>Steckborn</v>
      </c>
      <c r="F1971" s="2" t="str">
        <f>IFERROR(__xludf.DUMMYFUNCTION("REGEXEXTRACT(C1971, ""🏘️ (\w+) \w+ .* ✅"")"),"Louer")</f>
        <v>Louer</v>
      </c>
      <c r="G1971" s="2" t="str">
        <f>IFERROR(__xludf.DUMMYFUNCTION("REGEXEXTRACT(C1971, ""🏘️ \w+ (\w+) .* ✅"")"),"appartement")</f>
        <v>appartement</v>
      </c>
      <c r="H1971" s="4" t="str">
        <f>IFERROR(__xludf.DUMMYFUNCTION("REGEXEXTRACT(A1971, ""/(\w+)-.*?"")"),"lieu")</f>
        <v>lieu</v>
      </c>
      <c r="I1971" s="4" t="str">
        <f>IFERROR(__xludf.DUMMYFUNCTION("if(D1971=""variant"",  substitute(filter(Templates!E:E, Templates!A:A = F1971, Templates!B:B = G1971, Templates!C:C = H1971), ""{{}}"", E1971), B1971)"),"🏘  Vous cherchez un appartement à louer à Steckborn? ✅ Les annonces les plus actuelles sont sur ImmoScout24.ch.")</f>
        <v>🏘  Vous cherchez un appartement à louer à Steckborn? ✅ Les annonces les plus actuelles sont sur ImmoScout24.ch.</v>
      </c>
      <c r="J1971" s="4" t="s">
        <v>5913</v>
      </c>
    </row>
    <row r="1972">
      <c r="A1972" s="5" t="s">
        <v>5914</v>
      </c>
      <c r="B1972" s="2" t="s">
        <v>5915</v>
      </c>
      <c r="C1972" s="4" t="str">
        <f>IFERROR(__xludf.DUMMYFUNCTION("""🏘️ ""&amp;REGEXEXTRACT(B1972, ""^(.*): "")&amp;"" ✅ "" &amp;REGEXEXTRACT(B1972, ""(Trouvez.*)"")"),"🏘️ Louer appartement Thalwil ✅ Trouvez le bien immobilier qui correspond idéalement à vos désirs sur ImmoScout24 - La plateforme de l'immobilier en Suisse.")</f>
        <v>🏘️ Louer appartement Thalwil ✅ Trouvez le bien immobilier qui correspond idéalement à vos désirs sur ImmoScout24 - La plateforme de l'immobilier en Suisse.</v>
      </c>
      <c r="D1972" s="4" t="str">
        <f>vlookup(A1972, Sheet2!D:E, 2, 0)</f>
        <v>variant</v>
      </c>
      <c r="E1972" s="4" t="str">
        <f>IFERROR(__xludf.DUMMYFUNCTION("if(H1972=""pays"",vlookup(REGEXEXTRACT(C1972, ""🏘️ \w+ \w+ (.*) ✅""),'Country prepositions'!A:B, 2, 0) &amp; "" "" &amp; REGEXEXTRACT(C1972, ""🏘️ \w+ \w+ (.*) ✅"") ,  if(H1972=""quartier"",vlookup(REGEXEXTRACT(C1972, ""🏘️ \w+ \w+ (.*) ✅""),'Quartier prepositio"&amp;"ns'!A:E, 5, 0) ,  if(H1972=""region"",vlookup(REGEXEXTRACT(C1972, ""🏘️ \w+ \w+ (.*) ✅""),'Region prepositions'!B:F, 5, 0),  REGEXEXTRACT(C1972, ""🏘️ \w+ \w+ (.*) ✅""))))"),"Thalwil")</f>
        <v>Thalwil</v>
      </c>
      <c r="F1972" s="2" t="str">
        <f>IFERROR(__xludf.DUMMYFUNCTION("REGEXEXTRACT(C1972, ""🏘️ (\w+) \w+ .* ✅"")"),"Louer")</f>
        <v>Louer</v>
      </c>
      <c r="G1972" s="2" t="str">
        <f>IFERROR(__xludf.DUMMYFUNCTION("REGEXEXTRACT(C1972, ""🏘️ \w+ (\w+) .* ✅"")"),"appartement")</f>
        <v>appartement</v>
      </c>
      <c r="H1972" s="4" t="str">
        <f>IFERROR(__xludf.DUMMYFUNCTION("REGEXEXTRACT(A1972, ""/(\w+)-.*?"")"),"lieu")</f>
        <v>lieu</v>
      </c>
      <c r="I1972" s="4" t="str">
        <f>IFERROR(__xludf.DUMMYFUNCTION("if(D1972=""variant"",  substitute(filter(Templates!E:E, Templates!A:A = F1972, Templates!B:B = G1972, Templates!C:C = H1972), ""{{}}"", E1972), B1972)"),"🏘  Vous cherchez un appartement à louer à Thalwil? ✅ Les annonces les plus actuelles sont sur ImmoScout24.ch.")</f>
        <v>🏘  Vous cherchez un appartement à louer à Thalwil? ✅ Les annonces les plus actuelles sont sur ImmoScout24.ch.</v>
      </c>
      <c r="J1972" s="4" t="s">
        <v>5916</v>
      </c>
    </row>
    <row r="1973">
      <c r="A1973" s="5" t="s">
        <v>5917</v>
      </c>
      <c r="B1973" s="2" t="s">
        <v>5918</v>
      </c>
      <c r="C1973" s="4" t="str">
        <f>IFERROR(__xludf.DUMMYFUNCTION("""🏘️ ""&amp;REGEXEXTRACT(B1973, ""^(.*): "")&amp;"" ✅ "" &amp;REGEXEXTRACT(B1973, ""(Trouvez.*)"")"),"🏘️ Louer maison Pieterlen ✅ Trouvez le bien immobilier qui correspond idéalement à vos désirs sur ImmoScout24 - La plateforme de l'immobilier en Suisse.")</f>
        <v>🏘️ Louer maison Pieterlen ✅ Trouvez le bien immobilier qui correspond idéalement à vos désirs sur ImmoScout24 - La plateforme de l'immobilier en Suisse.</v>
      </c>
      <c r="D1973" s="4" t="str">
        <f>vlookup(A1973, Sheet2!D:E, 2, 0)</f>
        <v>variant</v>
      </c>
      <c r="E1973" s="4" t="str">
        <f>IFERROR(__xludf.DUMMYFUNCTION("if(H1973=""pays"",vlookup(REGEXEXTRACT(C1973, ""🏘️ \w+ \w+ (.*) ✅""),'Country prepositions'!A:B, 2, 0) &amp; "" "" &amp; REGEXEXTRACT(C1973, ""🏘️ \w+ \w+ (.*) ✅"") ,  if(H1973=""quartier"",vlookup(REGEXEXTRACT(C1973, ""🏘️ \w+ \w+ (.*) ✅""),'Quartier prepositio"&amp;"ns'!A:E, 5, 0) ,  if(H1973=""region"",vlookup(REGEXEXTRACT(C1973, ""🏘️ \w+ \w+ (.*) ✅""),'Region prepositions'!B:F, 5, 0),  REGEXEXTRACT(C1973, ""🏘️ \w+ \w+ (.*) ✅""))))"),"Pieterlen")</f>
        <v>Pieterlen</v>
      </c>
      <c r="F1973" s="2" t="str">
        <f>IFERROR(__xludf.DUMMYFUNCTION("REGEXEXTRACT(C1973, ""🏘️ (\w+) \w+ .* ✅"")"),"Louer")</f>
        <v>Louer</v>
      </c>
      <c r="G1973" s="2" t="str">
        <f>IFERROR(__xludf.DUMMYFUNCTION("REGEXEXTRACT(C1973, ""🏘️ \w+ (\w+) .* ✅"")"),"maison")</f>
        <v>maison</v>
      </c>
      <c r="H1973" s="4" t="str">
        <f>IFERROR(__xludf.DUMMYFUNCTION("REGEXEXTRACT(A1973, ""/(\w+)-.*?"")"),"lieu")</f>
        <v>lieu</v>
      </c>
      <c r="I1973" s="4" t="str">
        <f>IFERROR(__xludf.DUMMYFUNCTION("if(D1973=""variant"",  substitute(filter(Templates!E:E, Templates!A:A = F1973, Templates!B:B = G1973, Templates!C:C = H1973), ""{{}}"", E1973), B1973)"),"🏘  Vous cherchez une maison à louer à Pieterlen? ✅ Découvrez nos nombreuses annonces sur ImmoScout24.ch.")</f>
        <v>🏘  Vous cherchez une maison à louer à Pieterlen? ✅ Découvrez nos nombreuses annonces sur ImmoScout24.ch.</v>
      </c>
      <c r="J1973" s="4" t="s">
        <v>5919</v>
      </c>
    </row>
    <row r="1974">
      <c r="A1974" s="5" t="s">
        <v>5920</v>
      </c>
      <c r="B1974" s="2" t="s">
        <v>5921</v>
      </c>
      <c r="C1974" s="4" t="str">
        <f>IFERROR(__xludf.DUMMYFUNCTION("""🏘️ ""&amp;REGEXEXTRACT(B1974, ""^(.*): "")&amp;"" ✅ "" &amp;REGEXEXTRACT(B1974, ""(Trouvez.*)"")"),"🏘️ Vendre appartement Binningen ✅ Trouvez le bien immobilier qui correspond idéalement à vos désirs sur ImmoScout24 - La plateforme de l'immobilier en Suisse.")</f>
        <v>🏘️ Vendre appartement Binningen ✅ Trouvez le bien immobilier qui correspond idéalement à vos désirs sur ImmoScout24 - La plateforme de l'immobilier en Suisse.</v>
      </c>
      <c r="D1974" s="4" t="str">
        <f>vlookup(A1974, Sheet2!D:E, 2, 0)</f>
        <v>variant</v>
      </c>
      <c r="E1974" s="4" t="str">
        <f>IFERROR(__xludf.DUMMYFUNCTION("if(H1974=""pays"",vlookup(REGEXEXTRACT(C1974, ""🏘️ \w+ \w+ (.*) ✅""),'Country prepositions'!A:B, 2, 0) &amp; "" "" &amp; REGEXEXTRACT(C1974, ""🏘️ \w+ \w+ (.*) ✅"") ,  if(H1974=""quartier"",vlookup(REGEXEXTRACT(C1974, ""🏘️ \w+ \w+ (.*) ✅""),'Quartier prepositio"&amp;"ns'!A:E, 5, 0) ,  if(H1974=""region"",vlookup(REGEXEXTRACT(C1974, ""🏘️ \w+ \w+ (.*) ✅""),'Region prepositions'!B:F, 5, 0),  REGEXEXTRACT(C1974, ""🏘️ \w+ \w+ (.*) ✅""))))"),"Binningen")</f>
        <v>Binningen</v>
      </c>
      <c r="F1974" s="2" t="str">
        <f>IFERROR(__xludf.DUMMYFUNCTION("REGEXEXTRACT(C1974, ""🏘️ (\w+) \w+ .* ✅"")"),"Vendre")</f>
        <v>Vendre</v>
      </c>
      <c r="G1974" s="2" t="str">
        <f>IFERROR(__xludf.DUMMYFUNCTION("REGEXEXTRACT(C1974, ""🏘️ \w+ (\w+) .* ✅"")"),"appartement")</f>
        <v>appartement</v>
      </c>
      <c r="H1974" s="4" t="str">
        <f>IFERROR(__xludf.DUMMYFUNCTION("REGEXEXTRACT(A1974, ""/(\w+)-.*?"")"),"lieu")</f>
        <v>lieu</v>
      </c>
      <c r="I1974" s="4" t="str">
        <f>IFERROR(__xludf.DUMMYFUNCTION("if(D1974=""variant"",  substitute(filter(Templates!E:E, Templates!A:A = F1974, Templates!B:B = G1974, Templates!C:C = H1974), ""{{}}"", E1974), B1974)"),"🏘  L’appartement de vos rêves se trouve sur ImmoScout24.ch ✅ Découvrez les dernières annonces de vente à Binningen.")</f>
        <v>🏘  L’appartement de vos rêves se trouve sur ImmoScout24.ch ✅ Découvrez les dernières annonces de vente à Binningen.</v>
      </c>
      <c r="J1974" s="4" t="s">
        <v>5922</v>
      </c>
    </row>
    <row r="1975">
      <c r="A1975" s="5" t="s">
        <v>5923</v>
      </c>
      <c r="B1975" s="2" t="s">
        <v>5924</v>
      </c>
      <c r="C1975" s="4" t="str">
        <f>IFERROR(__xludf.DUMMYFUNCTION("""🏘️ ""&amp;REGEXEXTRACT(B1975, ""^(.*): "")&amp;"" ✅ "" &amp;REGEXEXTRACT(B1975, ""(Trouvez.*)"")"),"🏘️ Vendre maison Arbaz ✅ Trouvez le bien immobilier qui correspond idéalement à vos désirs sur ImmoScout24 - La plateforme de l'immobilier en Suisse.")</f>
        <v>🏘️ Vendre maison Arbaz ✅ Trouvez le bien immobilier qui correspond idéalement à vos désirs sur ImmoScout24 - La plateforme de l'immobilier en Suisse.</v>
      </c>
      <c r="D1975" s="4" t="str">
        <f>vlookup(A1975, Sheet2!D:E, 2, 0)</f>
        <v>variant</v>
      </c>
      <c r="E1975" s="4" t="str">
        <f>IFERROR(__xludf.DUMMYFUNCTION("if(H1975=""pays"",vlookup(REGEXEXTRACT(C1975, ""🏘️ \w+ \w+ (.*) ✅""),'Country prepositions'!A:B, 2, 0) &amp; "" "" &amp; REGEXEXTRACT(C1975, ""🏘️ \w+ \w+ (.*) ✅"") ,  if(H1975=""quartier"",vlookup(REGEXEXTRACT(C1975, ""🏘️ \w+ \w+ (.*) ✅""),'Quartier prepositio"&amp;"ns'!A:E, 5, 0) ,  if(H1975=""region"",vlookup(REGEXEXTRACT(C1975, ""🏘️ \w+ \w+ (.*) ✅""),'Region prepositions'!B:F, 5, 0),  REGEXEXTRACT(C1975, ""🏘️ \w+ \w+ (.*) ✅""))))"),"Arbaz")</f>
        <v>Arbaz</v>
      </c>
      <c r="F1975" s="2" t="str">
        <f>IFERROR(__xludf.DUMMYFUNCTION("REGEXEXTRACT(C1975, ""🏘️ (\w+) \w+ .* ✅"")"),"Vendre")</f>
        <v>Vendre</v>
      </c>
      <c r="G1975" s="2" t="str">
        <f>IFERROR(__xludf.DUMMYFUNCTION("REGEXEXTRACT(C1975, ""🏘️ \w+ (\w+) .* ✅"")"),"maison")</f>
        <v>maison</v>
      </c>
      <c r="H1975" s="4" t="str">
        <f>IFERROR(__xludf.DUMMYFUNCTION("REGEXEXTRACT(A1975, ""/(\w+)-.*?"")"),"lieu")</f>
        <v>lieu</v>
      </c>
      <c r="I1975" s="4" t="str">
        <f>IFERROR(__xludf.DUMMYFUNCTION("if(D1975=""variant"",  substitute(filter(Templates!E:E, Templates!A:A = F1975, Templates!B:B = G1975, Templates!C:C = H1975), ""{{}}"", E1975), B1975)"),"🏘  Vous souhaitez acheter une maison à Arbaz? ✅ Jetez un œil aux dernières offres sur ImmoScout24.ch.")</f>
        <v>🏘  Vous souhaitez acheter une maison à Arbaz? ✅ Jetez un œil aux dernières offres sur ImmoScout24.ch.</v>
      </c>
      <c r="J1975" s="4" t="s">
        <v>5925</v>
      </c>
    </row>
    <row r="1976">
      <c r="A1976" s="5" t="s">
        <v>5926</v>
      </c>
      <c r="B1976" s="2" t="s">
        <v>5927</v>
      </c>
      <c r="C1976" s="4" t="str">
        <f>IFERROR(__xludf.DUMMYFUNCTION("""🏘️ ""&amp;REGEXEXTRACT(B1976, ""^(.*): "")&amp;"" ✅ "" &amp;REGEXEXTRACT(B1976, ""(Trouvez.*)"")"),"🏘️ Vendre appartement Corsier-sur-Vevey ✅ Trouvez le bien immobilier qui correspond idéalement à vos désirs sur ImmoScout24 - La plateforme de l'immobilier en Suisse.")</f>
        <v>🏘️ Vendre appartement Corsier-sur-Vevey ✅ Trouvez le bien immobilier qui correspond idéalement à vos désirs sur ImmoScout24 - La plateforme de l'immobilier en Suisse.</v>
      </c>
      <c r="D1976" s="4" t="str">
        <f>vlookup(A1976, Sheet2!D:E, 2, 0)</f>
        <v>variant</v>
      </c>
      <c r="E1976" s="4" t="str">
        <f>IFERROR(__xludf.DUMMYFUNCTION("if(H1976=""pays"",vlookup(REGEXEXTRACT(C1976, ""🏘️ \w+ \w+ (.*) ✅""),'Country prepositions'!A:B, 2, 0) &amp; "" "" &amp; REGEXEXTRACT(C1976, ""🏘️ \w+ \w+ (.*) ✅"") ,  if(H1976=""quartier"",vlookup(REGEXEXTRACT(C1976, ""🏘️ \w+ \w+ (.*) ✅""),'Quartier prepositio"&amp;"ns'!A:E, 5, 0) ,  if(H1976=""region"",vlookup(REGEXEXTRACT(C1976, ""🏘️ \w+ \w+ (.*) ✅""),'Region prepositions'!B:F, 5, 0),  REGEXEXTRACT(C1976, ""🏘️ \w+ \w+ (.*) ✅""))))"),"Corsier-sur-Vevey")</f>
        <v>Corsier-sur-Vevey</v>
      </c>
      <c r="F1976" s="2" t="str">
        <f>IFERROR(__xludf.DUMMYFUNCTION("REGEXEXTRACT(C1976, ""🏘️ (\w+) \w+ .* ✅"")"),"Vendre")</f>
        <v>Vendre</v>
      </c>
      <c r="G1976" s="2" t="str">
        <f>IFERROR(__xludf.DUMMYFUNCTION("REGEXEXTRACT(C1976, ""🏘️ \w+ (\w+) .* ✅"")"),"appartement")</f>
        <v>appartement</v>
      </c>
      <c r="H1976" s="4" t="str">
        <f>IFERROR(__xludf.DUMMYFUNCTION("REGEXEXTRACT(A1976, ""/(\w+)-.*?"")"),"lieu")</f>
        <v>lieu</v>
      </c>
      <c r="I1976" s="4" t="str">
        <f>IFERROR(__xludf.DUMMYFUNCTION("if(D1976=""variant"",  substitute(filter(Templates!E:E, Templates!A:A = F1976, Templates!B:B = G1976, Templates!C:C = H1976), ""{{}}"", E1976), B1976)"),"🏘  L’appartement de vos rêves se trouve sur ImmoScout24.ch ✅ Découvrez les dernières annonces de vente à Corsier-sur-Vevey.")</f>
        <v>🏘  L’appartement de vos rêves se trouve sur ImmoScout24.ch ✅ Découvrez les dernières annonces de vente à Corsier-sur-Vevey.</v>
      </c>
      <c r="J1976" s="4" t="s">
        <v>5928</v>
      </c>
    </row>
    <row r="1977">
      <c r="A1977" s="5" t="s">
        <v>5929</v>
      </c>
      <c r="B1977" s="2" t="s">
        <v>5930</v>
      </c>
      <c r="C1977" s="4" t="str">
        <f>IFERROR(__xludf.DUMMYFUNCTION("""🏘️ ""&amp;REGEXEXTRACT(B1977, ""^(.*): "")&amp;"" ✅ "" &amp;REGEXEXTRACT(B1977, ""(Trouvez.*)"")"),"🏘️ Vendre appartement Cossonay-Ville ✅ Trouvez le bien immobilier qui correspond idéalement à vos désirs sur ImmoScout24 - La plateforme de l'immobilier en Suisse.")</f>
        <v>🏘️ Vendre appartement Cossonay-Ville ✅ Trouvez le bien immobilier qui correspond idéalement à vos désirs sur ImmoScout24 - La plateforme de l'immobilier en Suisse.</v>
      </c>
      <c r="D1977" s="4" t="str">
        <f>vlookup(A1977, Sheet2!D:E, 2, 0)</f>
        <v>variant</v>
      </c>
      <c r="E1977" s="4" t="str">
        <f>IFERROR(__xludf.DUMMYFUNCTION("if(H1977=""pays"",vlookup(REGEXEXTRACT(C1977, ""🏘️ \w+ \w+ (.*) ✅""),'Country prepositions'!A:B, 2, 0) &amp; "" "" &amp; REGEXEXTRACT(C1977, ""🏘️ \w+ \w+ (.*) ✅"") ,  if(H1977=""quartier"",vlookup(REGEXEXTRACT(C1977, ""🏘️ \w+ \w+ (.*) ✅""),'Quartier prepositio"&amp;"ns'!A:E, 5, 0) ,  if(H1977=""region"",vlookup(REGEXEXTRACT(C1977, ""🏘️ \w+ \w+ (.*) ✅""),'Region prepositions'!B:F, 5, 0),  REGEXEXTRACT(C1977, ""🏘️ \w+ \w+ (.*) ✅""))))"),"Cossonay-Ville")</f>
        <v>Cossonay-Ville</v>
      </c>
      <c r="F1977" s="2" t="str">
        <f>IFERROR(__xludf.DUMMYFUNCTION("REGEXEXTRACT(C1977, ""🏘️ (\w+) \w+ .* ✅"")"),"Vendre")</f>
        <v>Vendre</v>
      </c>
      <c r="G1977" s="2" t="str">
        <f>IFERROR(__xludf.DUMMYFUNCTION("REGEXEXTRACT(C1977, ""🏘️ \w+ (\w+) .* ✅"")"),"appartement")</f>
        <v>appartement</v>
      </c>
      <c r="H1977" s="4" t="str">
        <f>IFERROR(__xludf.DUMMYFUNCTION("REGEXEXTRACT(A1977, ""/(\w+)-.*?"")"),"lieu")</f>
        <v>lieu</v>
      </c>
      <c r="I1977" s="4" t="str">
        <f>IFERROR(__xludf.DUMMYFUNCTION("if(D1977=""variant"",  substitute(filter(Templates!E:E, Templates!A:A = F1977, Templates!B:B = G1977, Templates!C:C = H1977), ""{{}}"", E1977), B1977)"),"🏘  L’appartement de vos rêves se trouve sur ImmoScout24.ch ✅ Découvrez les dernières annonces de vente à Cossonay-Ville.")</f>
        <v>🏘  L’appartement de vos rêves se trouve sur ImmoScout24.ch ✅ Découvrez les dernières annonces de vente à Cossonay-Ville.</v>
      </c>
      <c r="J1977" s="4" t="s">
        <v>5931</v>
      </c>
    </row>
    <row r="1978">
      <c r="A1978" s="5" t="s">
        <v>5932</v>
      </c>
      <c r="B1978" s="2" t="s">
        <v>5933</v>
      </c>
      <c r="C1978" s="4" t="str">
        <f>IFERROR(__xludf.DUMMYFUNCTION("""🏘️ ""&amp;REGEXEXTRACT(B1978, ""^(.*): "")&amp;"" ✅ "" &amp;REGEXEXTRACT(B1978, ""(Trouvez.*)"")"),"🏘️ Louer appartement Moudon ✅ Trouvez le bien immobilier qui correspond idéalement à vos désirs sur ImmoScout24 - La plateforme de l'immobilier en Suisse.")</f>
        <v>🏘️ Louer appartement Moudon ✅ Trouvez le bien immobilier qui correspond idéalement à vos désirs sur ImmoScout24 - La plateforme de l'immobilier en Suisse.</v>
      </c>
      <c r="D1978" s="4" t="str">
        <f>vlookup(A1978, Sheet2!D:E, 2, 0)</f>
        <v>variant</v>
      </c>
      <c r="E1978" s="4" t="str">
        <f>IFERROR(__xludf.DUMMYFUNCTION("if(H1978=""pays"",vlookup(REGEXEXTRACT(C1978, ""🏘️ \w+ \w+ (.*) ✅""),'Country prepositions'!A:B, 2, 0) &amp; "" "" &amp; REGEXEXTRACT(C1978, ""🏘️ \w+ \w+ (.*) ✅"") ,  if(H1978=""quartier"",vlookup(REGEXEXTRACT(C1978, ""🏘️ \w+ \w+ (.*) ✅""),'Quartier prepositio"&amp;"ns'!A:E, 5, 0) ,  if(H1978=""region"",vlookup(REGEXEXTRACT(C1978, ""🏘️ \w+ \w+ (.*) ✅""),'Region prepositions'!B:F, 5, 0),  REGEXEXTRACT(C1978, ""🏘️ \w+ \w+ (.*) ✅""))))"),"Moudon")</f>
        <v>Moudon</v>
      </c>
      <c r="F1978" s="2" t="str">
        <f>IFERROR(__xludf.DUMMYFUNCTION("REGEXEXTRACT(C1978, ""🏘️ (\w+) \w+ .* ✅"")"),"Louer")</f>
        <v>Louer</v>
      </c>
      <c r="G1978" s="2" t="str">
        <f>IFERROR(__xludf.DUMMYFUNCTION("REGEXEXTRACT(C1978, ""🏘️ \w+ (\w+) .* ✅"")"),"appartement")</f>
        <v>appartement</v>
      </c>
      <c r="H1978" s="4" t="str">
        <f>IFERROR(__xludf.DUMMYFUNCTION("REGEXEXTRACT(A1978, ""/(\w+)-.*?"")"),"lieu")</f>
        <v>lieu</v>
      </c>
      <c r="I1978" s="4" t="str">
        <f>IFERROR(__xludf.DUMMYFUNCTION("if(D1978=""variant"",  substitute(filter(Templates!E:E, Templates!A:A = F1978, Templates!B:B = G1978, Templates!C:C = H1978), ""{{}}"", E1978), B1978)"),"🏘  Vous cherchez un appartement à louer à Moudon? ✅ Les annonces les plus actuelles sont sur ImmoScout24.ch.")</f>
        <v>🏘  Vous cherchez un appartement à louer à Moudon? ✅ Les annonces les plus actuelles sont sur ImmoScout24.ch.</v>
      </c>
      <c r="J1978" s="4" t="s">
        <v>5934</v>
      </c>
    </row>
    <row r="1979">
      <c r="A1979" s="5" t="s">
        <v>5935</v>
      </c>
      <c r="B1979" s="2" t="s">
        <v>5936</v>
      </c>
      <c r="C1979" s="4" t="str">
        <f>IFERROR(__xludf.DUMMYFUNCTION("""🏘️ ""&amp;REGEXEXTRACT(B1979, ""^(.*): "")&amp;"" ✅ "" &amp;REGEXEXTRACT(B1979, ""(Trouvez.*)"")"),"🏘️ Louer appartement Bazenheid ✅ Trouvez le bien immobilier qui correspond idéalement à vos désirs sur ImmoScout24 - La plateforme de l'immobilier en Suisse.")</f>
        <v>🏘️ Louer appartement Bazenheid ✅ Trouvez le bien immobilier qui correspond idéalement à vos désirs sur ImmoScout24 - La plateforme de l'immobilier en Suisse.</v>
      </c>
      <c r="D1979" s="4" t="str">
        <f>vlookup(A1979, Sheet2!D:E, 2, 0)</f>
        <v>variant</v>
      </c>
      <c r="E1979" s="4" t="str">
        <f>IFERROR(__xludf.DUMMYFUNCTION("if(H1979=""pays"",vlookup(REGEXEXTRACT(C1979, ""🏘️ \w+ \w+ (.*) ✅""),'Country prepositions'!A:B, 2, 0) &amp; "" "" &amp; REGEXEXTRACT(C1979, ""🏘️ \w+ \w+ (.*) ✅"") ,  if(H1979=""quartier"",vlookup(REGEXEXTRACT(C1979, ""🏘️ \w+ \w+ (.*) ✅""),'Quartier prepositio"&amp;"ns'!A:E, 5, 0) ,  if(H1979=""region"",vlookup(REGEXEXTRACT(C1979, ""🏘️ \w+ \w+ (.*) ✅""),'Region prepositions'!B:F, 5, 0),  REGEXEXTRACT(C1979, ""🏘️ \w+ \w+ (.*) ✅""))))"),"Bazenheid")</f>
        <v>Bazenheid</v>
      </c>
      <c r="F1979" s="2" t="str">
        <f>IFERROR(__xludf.DUMMYFUNCTION("REGEXEXTRACT(C1979, ""🏘️ (\w+) \w+ .* ✅"")"),"Louer")</f>
        <v>Louer</v>
      </c>
      <c r="G1979" s="2" t="str">
        <f>IFERROR(__xludf.DUMMYFUNCTION("REGEXEXTRACT(C1979, ""🏘️ \w+ (\w+) .* ✅"")"),"appartement")</f>
        <v>appartement</v>
      </c>
      <c r="H1979" s="4" t="str">
        <f>IFERROR(__xludf.DUMMYFUNCTION("REGEXEXTRACT(A1979, ""/(\w+)-.*?"")"),"lieu")</f>
        <v>lieu</v>
      </c>
      <c r="I1979" s="4" t="str">
        <f>IFERROR(__xludf.DUMMYFUNCTION("if(D1979=""variant"",  substitute(filter(Templates!E:E, Templates!A:A = F1979, Templates!B:B = G1979, Templates!C:C = H1979), ""{{}}"", E1979), B1979)"),"🏘  Vous cherchez un appartement à louer à Bazenheid? ✅ Les annonces les plus actuelles sont sur ImmoScout24.ch.")</f>
        <v>🏘  Vous cherchez un appartement à louer à Bazenheid? ✅ Les annonces les plus actuelles sont sur ImmoScout24.ch.</v>
      </c>
      <c r="J1979" s="4" t="s">
        <v>5937</v>
      </c>
    </row>
    <row r="1980">
      <c r="A1980" s="5" t="s">
        <v>5938</v>
      </c>
      <c r="B1980" s="2" t="s">
        <v>5939</v>
      </c>
      <c r="C1980" s="4" t="str">
        <f>IFERROR(__xludf.DUMMYFUNCTION("""🏘️ ""&amp;REGEXEXTRACT(B1980, ""^(.*): "")&amp;"" ✅ "" &amp;REGEXEXTRACT(B1980, ""(Trouvez.*)"")"),"🏘️ Vendre maison Valais Central ✅ Trouvez le bien immobilier qui correspond idéalement à vos désirs sur ImmoScout24 - La plateforme de l'immobilier en Suisse.")</f>
        <v>🏘️ Vendre maison Valais Central ✅ Trouvez le bien immobilier qui correspond idéalement à vos désirs sur ImmoScout24 - La plateforme de l'immobilier en Suisse.</v>
      </c>
      <c r="D1980" s="4" t="str">
        <f>vlookup(A1980, Sheet2!D:E, 2, 0)</f>
        <v>variant</v>
      </c>
      <c r="E1980" s="4" t="str">
        <f>IFERROR(__xludf.DUMMYFUNCTION("if(H1980=""pays"",vlookup(REGEXEXTRACT(C1980, ""🏘️ \w+ \w+ (.*) ✅""),'Country prepositions'!A:B, 2, 0) &amp; "" "" &amp; REGEXEXTRACT(C1980, ""🏘️ \w+ \w+ (.*) ✅"") ,  if(H1980=""quartier"",vlookup(REGEXEXTRACT(C1980, ""🏘️ \w+ \w+ (.*) ✅""),'Quartier prepositio"&amp;"ns'!A:E, 5, 0) ,  if(H1980=""region"",vlookup(REGEXEXTRACT(C1980, ""🏘️ \w+ \w+ (.*) ✅""),'Region prepositions'!B:F, 5, 0),  REGEXEXTRACT(C1980, ""🏘️ \w+ \w+ (.*) ✅""))))"),"en  Valais central")</f>
        <v>en  Valais central</v>
      </c>
      <c r="F1980" s="2" t="str">
        <f>IFERROR(__xludf.DUMMYFUNCTION("REGEXEXTRACT(C1980, ""🏘️ (\w+) \w+ .* ✅"")"),"Vendre")</f>
        <v>Vendre</v>
      </c>
      <c r="G1980" s="2" t="str">
        <f>IFERROR(__xludf.DUMMYFUNCTION("REGEXEXTRACT(C1980, ""🏘️ \w+ (\w+) .* ✅"")"),"maison")</f>
        <v>maison</v>
      </c>
      <c r="H1980" s="4" t="str">
        <f>IFERROR(__xludf.DUMMYFUNCTION("REGEXEXTRACT(A1980, ""/(\w+)-.*?"")"),"region")</f>
        <v>region</v>
      </c>
      <c r="I1980" s="4" t="str">
        <f>IFERROR(__xludf.DUMMYFUNCTION("if(D1980=""variant"",  substitute(filter(Templates!E:E, Templates!A:A = F1980, Templates!B:B = G1980, Templates!C:C = H1980), ""{{}}"", E1980), B1980)"),"🏘  Vous souhaitez acheter une maison en  Valais central? ✅ Jetez un œil aux dernières offres sur ImmoScout24.ch.")</f>
        <v>🏘  Vous souhaitez acheter une maison en  Valais central? ✅ Jetez un œil aux dernières offres sur ImmoScout24.ch.</v>
      </c>
      <c r="J1980" s="4" t="s">
        <v>5940</v>
      </c>
    </row>
    <row r="1981">
      <c r="A1981" s="5" t="s">
        <v>5941</v>
      </c>
      <c r="B1981" s="2" t="s">
        <v>5942</v>
      </c>
      <c r="C1981" s="4" t="str">
        <f>IFERROR(__xludf.DUMMYFUNCTION("""🏘️ ""&amp;REGEXEXTRACT(B1981, ""^(.*): "")&amp;"" ✅ "" &amp;REGEXEXTRACT(B1981, ""(Trouvez.*)"")"),"🏘️ Louer appartement La Neuveville ✅ Trouvez le bien immobilier qui correspond idéalement à vos désirs sur ImmoScout24 - La plateforme de l'immobilier en Suisse.")</f>
        <v>🏘️ Louer appartement La Neuveville ✅ Trouvez le bien immobilier qui correspond idéalement à vos désirs sur ImmoScout24 - La plateforme de l'immobilier en Suisse.</v>
      </c>
      <c r="D1981" s="4" t="str">
        <f>vlookup(A1981, Sheet2!D:E, 2, 0)</f>
        <v>variant</v>
      </c>
      <c r="E1981" s="4" t="str">
        <f>IFERROR(__xludf.DUMMYFUNCTION("if(H1981=""pays"",vlookup(REGEXEXTRACT(C1981, ""🏘️ \w+ \w+ (.*) ✅""),'Country prepositions'!A:B, 2, 0) &amp; "" "" &amp; REGEXEXTRACT(C1981, ""🏘️ \w+ \w+ (.*) ✅"") ,  if(H1981=""quartier"",vlookup(REGEXEXTRACT(C1981, ""🏘️ \w+ \w+ (.*) ✅""),'Quartier prepositio"&amp;"ns'!A:E, 5, 0) ,  if(H1981=""region"",vlookup(REGEXEXTRACT(C1981, ""🏘️ \w+ \w+ (.*) ✅""),'Region prepositions'!B:F, 5, 0),  REGEXEXTRACT(C1981, ""🏘️ \w+ \w+ (.*) ✅""))))"),"La Neuveville")</f>
        <v>La Neuveville</v>
      </c>
      <c r="F1981" s="2" t="str">
        <f>IFERROR(__xludf.DUMMYFUNCTION("REGEXEXTRACT(C1981, ""🏘️ (\w+) \w+ .* ✅"")"),"Louer")</f>
        <v>Louer</v>
      </c>
      <c r="G1981" s="2" t="str">
        <f>IFERROR(__xludf.DUMMYFUNCTION("REGEXEXTRACT(C1981, ""🏘️ \w+ (\w+) .* ✅"")"),"appartement")</f>
        <v>appartement</v>
      </c>
      <c r="H1981" s="4" t="str">
        <f>IFERROR(__xludf.DUMMYFUNCTION("REGEXEXTRACT(A1981, ""/(\w+)-.*?"")"),"lieu")</f>
        <v>lieu</v>
      </c>
      <c r="I1981" s="4" t="str">
        <f>IFERROR(__xludf.DUMMYFUNCTION("if(D1981=""variant"",  substitute(filter(Templates!E:E, Templates!A:A = F1981, Templates!B:B = G1981, Templates!C:C = H1981), ""{{}}"", E1981), B1981)"),"🏘  Vous cherchez un appartement à louer à La Neuveville? ✅ Les annonces les plus actuelles sont sur ImmoScout24.ch.")</f>
        <v>🏘  Vous cherchez un appartement à louer à La Neuveville? ✅ Les annonces les plus actuelles sont sur ImmoScout24.ch.</v>
      </c>
      <c r="J1981" s="4" t="s">
        <v>5943</v>
      </c>
    </row>
    <row r="1982">
      <c r="A1982" s="5" t="s">
        <v>5944</v>
      </c>
      <c r="B1982" s="2" t="s">
        <v>5945</v>
      </c>
      <c r="C1982" s="4" t="str">
        <f>IFERROR(__xludf.DUMMYFUNCTION("""🏘️ ""&amp;REGEXEXTRACT(B1982, ""^(.*): "")&amp;"" ✅ "" &amp;REGEXEXTRACT(B1982, ""(Trouvez.*)"")"),"🏘️ Vendre appartement Vaulruz ✅ Trouvez le bien immobilier qui correspond idéalement à vos désirs sur ImmoScout24 - La plateforme de l'immobilier en Suisse.")</f>
        <v>🏘️ Vendre appartement Vaulruz ✅ Trouvez le bien immobilier qui correspond idéalement à vos désirs sur ImmoScout24 - La plateforme de l'immobilier en Suisse.</v>
      </c>
      <c r="D1982" s="4" t="str">
        <f>vlookup(A1982, Sheet2!D:E, 2, 0)</f>
        <v>variant</v>
      </c>
      <c r="E1982" s="4" t="str">
        <f>IFERROR(__xludf.DUMMYFUNCTION("if(H1982=""pays"",vlookup(REGEXEXTRACT(C1982, ""🏘️ \w+ \w+ (.*) ✅""),'Country prepositions'!A:B, 2, 0) &amp; "" "" &amp; REGEXEXTRACT(C1982, ""🏘️ \w+ \w+ (.*) ✅"") ,  if(H1982=""quartier"",vlookup(REGEXEXTRACT(C1982, ""🏘️ \w+ \w+ (.*) ✅""),'Quartier prepositio"&amp;"ns'!A:E, 5, 0) ,  if(H1982=""region"",vlookup(REGEXEXTRACT(C1982, ""🏘️ \w+ \w+ (.*) ✅""),'Region prepositions'!B:F, 5, 0),  REGEXEXTRACT(C1982, ""🏘️ \w+ \w+ (.*) ✅""))))"),"Vaulruz")</f>
        <v>Vaulruz</v>
      </c>
      <c r="F1982" s="2" t="str">
        <f>IFERROR(__xludf.DUMMYFUNCTION("REGEXEXTRACT(C1982, ""🏘️ (\w+) \w+ .* ✅"")"),"Vendre")</f>
        <v>Vendre</v>
      </c>
      <c r="G1982" s="2" t="str">
        <f>IFERROR(__xludf.DUMMYFUNCTION("REGEXEXTRACT(C1982, ""🏘️ \w+ (\w+) .* ✅"")"),"appartement")</f>
        <v>appartement</v>
      </c>
      <c r="H1982" s="4" t="str">
        <f>IFERROR(__xludf.DUMMYFUNCTION("REGEXEXTRACT(A1982, ""/(\w+)-.*?"")"),"lieu")</f>
        <v>lieu</v>
      </c>
      <c r="I1982" s="4" t="str">
        <f>IFERROR(__xludf.DUMMYFUNCTION("if(D1982=""variant"",  substitute(filter(Templates!E:E, Templates!A:A = F1982, Templates!B:B = G1982, Templates!C:C = H1982), ""{{}}"", E1982), B1982)"),"🏘  L’appartement de vos rêves se trouve sur ImmoScout24.ch ✅ Découvrez les dernières annonces de vente à Vaulruz.")</f>
        <v>🏘  L’appartement de vos rêves se trouve sur ImmoScout24.ch ✅ Découvrez les dernières annonces de vente à Vaulruz.</v>
      </c>
      <c r="J1982" s="4" t="s">
        <v>5946</v>
      </c>
    </row>
    <row r="1983">
      <c r="A1983" s="5" t="s">
        <v>5947</v>
      </c>
      <c r="B1983" s="2" t="s">
        <v>5948</v>
      </c>
      <c r="C1983" s="4" t="str">
        <f>IFERROR(__xludf.DUMMYFUNCTION("""🏘️ ""&amp;REGEXEXTRACT(B1983, ""^(.*): "")&amp;"" ✅ "" &amp;REGEXEXTRACT(B1983, ""(Trouvez.*)"")"),"🏘️ Louer appartement Ins ✅ Trouvez le bien immobilier qui correspond idéalement à vos désirs sur ImmoScout24 - La plateforme de l'immobilier en Suisse.")</f>
        <v>🏘️ Louer appartement Ins ✅ Trouvez le bien immobilier qui correspond idéalement à vos désirs sur ImmoScout24 - La plateforme de l'immobilier en Suisse.</v>
      </c>
      <c r="D1983" s="4" t="str">
        <f>vlookup(A1983, Sheet2!D:E, 2, 0)</f>
        <v>variant</v>
      </c>
      <c r="E1983" s="4" t="str">
        <f>IFERROR(__xludf.DUMMYFUNCTION("if(H1983=""pays"",vlookup(REGEXEXTRACT(C1983, ""🏘️ \w+ \w+ (.*) ✅""),'Country prepositions'!A:B, 2, 0) &amp; "" "" &amp; REGEXEXTRACT(C1983, ""🏘️ \w+ \w+ (.*) ✅"") ,  if(H1983=""quartier"",vlookup(REGEXEXTRACT(C1983, ""🏘️ \w+ \w+ (.*) ✅""),'Quartier prepositio"&amp;"ns'!A:E, 5, 0) ,  if(H1983=""region"",vlookup(REGEXEXTRACT(C1983, ""🏘️ \w+ \w+ (.*) ✅""),'Region prepositions'!B:F, 5, 0),  REGEXEXTRACT(C1983, ""🏘️ \w+ \w+ (.*) ✅""))))"),"Ins")</f>
        <v>Ins</v>
      </c>
      <c r="F1983" s="2" t="str">
        <f>IFERROR(__xludf.DUMMYFUNCTION("REGEXEXTRACT(C1983, ""🏘️ (\w+) \w+ .* ✅"")"),"Louer")</f>
        <v>Louer</v>
      </c>
      <c r="G1983" s="2" t="str">
        <f>IFERROR(__xludf.DUMMYFUNCTION("REGEXEXTRACT(C1983, ""🏘️ \w+ (\w+) .* ✅"")"),"appartement")</f>
        <v>appartement</v>
      </c>
      <c r="H1983" s="4" t="str">
        <f>IFERROR(__xludf.DUMMYFUNCTION("REGEXEXTRACT(A1983, ""/(\w+)-.*?"")"),"lieu")</f>
        <v>lieu</v>
      </c>
      <c r="I1983" s="4" t="str">
        <f>IFERROR(__xludf.DUMMYFUNCTION("if(D1983=""variant"",  substitute(filter(Templates!E:E, Templates!A:A = F1983, Templates!B:B = G1983, Templates!C:C = H1983), ""{{}}"", E1983), B1983)"),"🏘  Vous cherchez un appartement à louer à Ins? ✅ Les annonces les plus actuelles sont sur ImmoScout24.ch.")</f>
        <v>🏘  Vous cherchez un appartement à louer à Ins? ✅ Les annonces les plus actuelles sont sur ImmoScout24.ch.</v>
      </c>
      <c r="J1983" s="4" t="s">
        <v>5949</v>
      </c>
    </row>
    <row r="1984">
      <c r="A1984" s="5" t="s">
        <v>5950</v>
      </c>
      <c r="B1984" s="2" t="s">
        <v>5951</v>
      </c>
      <c r="C1984" s="4" t="str">
        <f>IFERROR(__xludf.DUMMYFUNCTION("""🏘️ ""&amp;REGEXEXTRACT(B1984, ""^(.*): "")&amp;"" ✅ "" &amp;REGEXEXTRACT(B1984, ""(Trouvez.*)"")"),"🏘️ Louer appartement Münchenwiler ✅ Trouvez le bien immobilier qui correspond idéalement à vos désirs sur ImmoScout24 - La plateforme de l'immobilier en Suisse.")</f>
        <v>🏘️ Louer appartement Münchenwiler ✅ Trouvez le bien immobilier qui correspond idéalement à vos désirs sur ImmoScout24 - La plateforme de l'immobilier en Suisse.</v>
      </c>
      <c r="D1984" s="4" t="str">
        <f>vlookup(A1984, Sheet2!D:E, 2, 0)</f>
        <v>variant</v>
      </c>
      <c r="E1984" s="4" t="str">
        <f>IFERROR(__xludf.DUMMYFUNCTION("if(H1984=""pays"",vlookup(REGEXEXTRACT(C1984, ""🏘️ \w+ \w+ (.*) ✅""),'Country prepositions'!A:B, 2, 0) &amp; "" "" &amp; REGEXEXTRACT(C1984, ""🏘️ \w+ \w+ (.*) ✅"") ,  if(H1984=""quartier"",vlookup(REGEXEXTRACT(C1984, ""🏘️ \w+ \w+ (.*) ✅""),'Quartier prepositio"&amp;"ns'!A:E, 5, 0) ,  if(H1984=""region"",vlookup(REGEXEXTRACT(C1984, ""🏘️ \w+ \w+ (.*) ✅""),'Region prepositions'!B:F, 5, 0),  REGEXEXTRACT(C1984, ""🏘️ \w+ \w+ (.*) ✅""))))"),"Münchenwiler")</f>
        <v>Münchenwiler</v>
      </c>
      <c r="F1984" s="2" t="str">
        <f>IFERROR(__xludf.DUMMYFUNCTION("REGEXEXTRACT(C1984, ""🏘️ (\w+) \w+ .* ✅"")"),"Louer")</f>
        <v>Louer</v>
      </c>
      <c r="G1984" s="2" t="str">
        <f>IFERROR(__xludf.DUMMYFUNCTION("REGEXEXTRACT(C1984, ""🏘️ \w+ (\w+) .* ✅"")"),"appartement")</f>
        <v>appartement</v>
      </c>
      <c r="H1984" s="4" t="str">
        <f>IFERROR(__xludf.DUMMYFUNCTION("REGEXEXTRACT(A1984, ""/(\w+)-.*?"")"),"lieu")</f>
        <v>lieu</v>
      </c>
      <c r="I1984" s="4" t="str">
        <f>IFERROR(__xludf.DUMMYFUNCTION("if(D1984=""variant"",  substitute(filter(Templates!E:E, Templates!A:A = F1984, Templates!B:B = G1984, Templates!C:C = H1984), ""{{}}"", E1984), B1984)"),"🏘  Vous cherchez un appartement à louer à Münchenwiler? ✅ Les annonces les plus actuelles sont sur ImmoScout24.ch.")</f>
        <v>🏘  Vous cherchez un appartement à louer à Münchenwiler? ✅ Les annonces les plus actuelles sont sur ImmoScout24.ch.</v>
      </c>
      <c r="J1984" s="4" t="s">
        <v>5952</v>
      </c>
    </row>
    <row r="1985">
      <c r="A1985" s="5" t="s">
        <v>5953</v>
      </c>
      <c r="B1985" s="2" t="s">
        <v>5954</v>
      </c>
      <c r="C1985" s="4" t="str">
        <f>IFERROR(__xludf.DUMMYFUNCTION("""🏘️ ""&amp;REGEXEXTRACT(B1985, ""^(.*): "")&amp;"" ✅ "" &amp;REGEXEXTRACT(B1985, ""(Trouvez.*)"")"),"🏘️ Vendre maison Safenwil ✅ Trouvez le bien immobilier qui correspond idéalement à vos désirs sur ImmoScout24 - La plateforme de l'immobilier en Suisse.")</f>
        <v>🏘️ Vendre maison Safenwil ✅ Trouvez le bien immobilier qui correspond idéalement à vos désirs sur ImmoScout24 - La plateforme de l'immobilier en Suisse.</v>
      </c>
      <c r="D1985" s="4" t="str">
        <f>vlookup(A1985, Sheet2!D:E, 2, 0)</f>
        <v>variant</v>
      </c>
      <c r="E1985" s="4" t="str">
        <f>IFERROR(__xludf.DUMMYFUNCTION("if(H1985=""pays"",vlookup(REGEXEXTRACT(C1985, ""🏘️ \w+ \w+ (.*) ✅""),'Country prepositions'!A:B, 2, 0) &amp; "" "" &amp; REGEXEXTRACT(C1985, ""🏘️ \w+ \w+ (.*) ✅"") ,  if(H1985=""quartier"",vlookup(REGEXEXTRACT(C1985, ""🏘️ \w+ \w+ (.*) ✅""),'Quartier prepositio"&amp;"ns'!A:E, 5, 0) ,  if(H1985=""region"",vlookup(REGEXEXTRACT(C1985, ""🏘️ \w+ \w+ (.*) ✅""),'Region prepositions'!B:F, 5, 0),  REGEXEXTRACT(C1985, ""🏘️ \w+ \w+ (.*) ✅""))))"),"Safenwil")</f>
        <v>Safenwil</v>
      </c>
      <c r="F1985" s="2" t="str">
        <f>IFERROR(__xludf.DUMMYFUNCTION("REGEXEXTRACT(C1985, ""🏘️ (\w+) \w+ .* ✅"")"),"Vendre")</f>
        <v>Vendre</v>
      </c>
      <c r="G1985" s="2" t="str">
        <f>IFERROR(__xludf.DUMMYFUNCTION("REGEXEXTRACT(C1985, ""🏘️ \w+ (\w+) .* ✅"")"),"maison")</f>
        <v>maison</v>
      </c>
      <c r="H1985" s="4" t="str">
        <f>IFERROR(__xludf.DUMMYFUNCTION("REGEXEXTRACT(A1985, ""/(\w+)-.*?"")"),"lieu")</f>
        <v>lieu</v>
      </c>
      <c r="I1985" s="4" t="str">
        <f>IFERROR(__xludf.DUMMYFUNCTION("if(D1985=""variant"",  substitute(filter(Templates!E:E, Templates!A:A = F1985, Templates!B:B = G1985, Templates!C:C = H1985), ""{{}}"", E1985), B1985)"),"🏘  Vous souhaitez acheter une maison à Safenwil? ✅ Jetez un œil aux dernières offres sur ImmoScout24.ch.")</f>
        <v>🏘  Vous souhaitez acheter une maison à Safenwil? ✅ Jetez un œil aux dernières offres sur ImmoScout24.ch.</v>
      </c>
      <c r="J1985" s="4" t="s">
        <v>5955</v>
      </c>
    </row>
    <row r="1986">
      <c r="A1986" s="5" t="s">
        <v>5956</v>
      </c>
      <c r="B1986" s="2" t="s">
        <v>5957</v>
      </c>
      <c r="C1986" s="4" t="str">
        <f>IFERROR(__xludf.DUMMYFUNCTION("""🏘️ ""&amp;REGEXEXTRACT(B1986, ""^(.*): "")&amp;"" ✅ "" &amp;REGEXEXTRACT(B1986, ""(Trouvez.*)"")"),"🏘️ Vendre appartement Sachseln ✅ Trouvez le bien immobilier qui correspond idéalement à vos désirs sur ImmoScout24 - La plateforme de l'immobilier en Suisse.")</f>
        <v>🏘️ Vendre appartement Sachseln ✅ Trouvez le bien immobilier qui correspond idéalement à vos désirs sur ImmoScout24 - La plateforme de l'immobilier en Suisse.</v>
      </c>
      <c r="D1986" s="4" t="str">
        <f>vlookup(A1986, Sheet2!D:E, 2, 0)</f>
        <v>variant</v>
      </c>
      <c r="E1986" s="4" t="str">
        <f>IFERROR(__xludf.DUMMYFUNCTION("if(H1986=""pays"",vlookup(REGEXEXTRACT(C1986, ""🏘️ \w+ \w+ (.*) ✅""),'Country prepositions'!A:B, 2, 0) &amp; "" "" &amp; REGEXEXTRACT(C1986, ""🏘️ \w+ \w+ (.*) ✅"") ,  if(H1986=""quartier"",vlookup(REGEXEXTRACT(C1986, ""🏘️ \w+ \w+ (.*) ✅""),'Quartier prepositio"&amp;"ns'!A:E, 5, 0) ,  if(H1986=""region"",vlookup(REGEXEXTRACT(C1986, ""🏘️ \w+ \w+ (.*) ✅""),'Region prepositions'!B:F, 5, 0),  REGEXEXTRACT(C1986, ""🏘️ \w+ \w+ (.*) ✅""))))"),"Sachseln")</f>
        <v>Sachseln</v>
      </c>
      <c r="F1986" s="2" t="str">
        <f>IFERROR(__xludf.DUMMYFUNCTION("REGEXEXTRACT(C1986, ""🏘️ (\w+) \w+ .* ✅"")"),"Vendre")</f>
        <v>Vendre</v>
      </c>
      <c r="G1986" s="2" t="str">
        <f>IFERROR(__xludf.DUMMYFUNCTION("REGEXEXTRACT(C1986, ""🏘️ \w+ (\w+) .* ✅"")"),"appartement")</f>
        <v>appartement</v>
      </c>
      <c r="H1986" s="4" t="str">
        <f>IFERROR(__xludf.DUMMYFUNCTION("REGEXEXTRACT(A1986, ""/(\w+)-.*?"")"),"lieu")</f>
        <v>lieu</v>
      </c>
      <c r="I1986" s="4" t="str">
        <f>IFERROR(__xludf.DUMMYFUNCTION("if(D1986=""variant"",  substitute(filter(Templates!E:E, Templates!A:A = F1986, Templates!B:B = G1986, Templates!C:C = H1986), ""{{}}"", E1986), B1986)"),"🏘  L’appartement de vos rêves se trouve sur ImmoScout24.ch ✅ Découvrez les dernières annonces de vente à Sachseln.")</f>
        <v>🏘  L’appartement de vos rêves se trouve sur ImmoScout24.ch ✅ Découvrez les dernières annonces de vente à Sachseln.</v>
      </c>
      <c r="J1986" s="4" t="s">
        <v>5958</v>
      </c>
    </row>
    <row r="1987">
      <c r="A1987" s="5" t="s">
        <v>5959</v>
      </c>
      <c r="B1987" s="2" t="s">
        <v>5960</v>
      </c>
      <c r="C1987" s="4" t="str">
        <f>IFERROR(__xludf.DUMMYFUNCTION("""🏘️ ""&amp;REGEXEXTRACT(B1987, ""^(.*): "")&amp;"" ✅ "" &amp;REGEXEXTRACT(B1987, ""(Trouvez.*)"")"),"🏘️ Louer appartement Lully VD ✅ Trouvez le bien immobilier qui correspond idéalement à vos désirs sur ImmoScout24 - La plateforme de l'immobilier en Suisse.")</f>
        <v>🏘️ Louer appartement Lully VD ✅ Trouvez le bien immobilier qui correspond idéalement à vos désirs sur ImmoScout24 - La plateforme de l'immobilier en Suisse.</v>
      </c>
      <c r="D1987" s="4" t="str">
        <f>vlookup(A1987, Sheet2!D:E, 2, 0)</f>
        <v>variant</v>
      </c>
      <c r="E1987" s="4" t="str">
        <f>IFERROR(__xludf.DUMMYFUNCTION("if(H1987=""pays"",vlookup(REGEXEXTRACT(C1987, ""🏘️ \w+ \w+ (.*) ✅""),'Country prepositions'!A:B, 2, 0) &amp; "" "" &amp; REGEXEXTRACT(C1987, ""🏘️ \w+ \w+ (.*) ✅"") ,  if(H1987=""quartier"",vlookup(REGEXEXTRACT(C1987, ""🏘️ \w+ \w+ (.*) ✅""),'Quartier prepositio"&amp;"ns'!A:E, 5, 0) ,  if(H1987=""region"",vlookup(REGEXEXTRACT(C1987, ""🏘️ \w+ \w+ (.*) ✅""),'Region prepositions'!B:F, 5, 0),  REGEXEXTRACT(C1987, ""🏘️ \w+ \w+ (.*) ✅""))))"),"Lully VD")</f>
        <v>Lully VD</v>
      </c>
      <c r="F1987" s="2" t="str">
        <f>IFERROR(__xludf.DUMMYFUNCTION("REGEXEXTRACT(C1987, ""🏘️ (\w+) \w+ .* ✅"")"),"Louer")</f>
        <v>Louer</v>
      </c>
      <c r="G1987" s="2" t="str">
        <f>IFERROR(__xludf.DUMMYFUNCTION("REGEXEXTRACT(C1987, ""🏘️ \w+ (\w+) .* ✅"")"),"appartement")</f>
        <v>appartement</v>
      </c>
      <c r="H1987" s="4" t="str">
        <f>IFERROR(__xludf.DUMMYFUNCTION("REGEXEXTRACT(A1987, ""/(\w+)-.*?"")"),"lieu")</f>
        <v>lieu</v>
      </c>
      <c r="I1987" s="4" t="str">
        <f>IFERROR(__xludf.DUMMYFUNCTION("if(D1987=""variant"",  substitute(filter(Templates!E:E, Templates!A:A = F1987, Templates!B:B = G1987, Templates!C:C = H1987), ""{{}}"", E1987), B1987)"),"🏘  Vous cherchez un appartement à louer à Lully VD? ✅ Les annonces les plus actuelles sont sur ImmoScout24.ch.")</f>
        <v>🏘  Vous cherchez un appartement à louer à Lully VD? ✅ Les annonces les plus actuelles sont sur ImmoScout24.ch.</v>
      </c>
      <c r="J1987" s="4" t="s">
        <v>5961</v>
      </c>
    </row>
    <row r="1988">
      <c r="A1988" s="5" t="s">
        <v>5962</v>
      </c>
      <c r="B1988" s="2" t="s">
        <v>5963</v>
      </c>
      <c r="C1988" s="4" t="str">
        <f>IFERROR(__xludf.DUMMYFUNCTION("""🏘️ ""&amp;REGEXEXTRACT(B1988, ""^(.*): "")&amp;"" ✅ "" &amp;REGEXEXTRACT(B1988, ""(Trouvez.*)"")"),"🏘️ Vendre maison Mezzovico ✅ Trouvez le bien immobilier qui correspond idéalement à vos désirs sur ImmoScout24 - La plateforme de l'immobilier en Suisse.")</f>
        <v>🏘️ Vendre maison Mezzovico ✅ Trouvez le bien immobilier qui correspond idéalement à vos désirs sur ImmoScout24 - La plateforme de l'immobilier en Suisse.</v>
      </c>
      <c r="D1988" s="4" t="str">
        <f>vlookup(A1988, Sheet2!D:E, 2, 0)</f>
        <v>variant</v>
      </c>
      <c r="E1988" s="4" t="str">
        <f>IFERROR(__xludf.DUMMYFUNCTION("if(H1988=""pays"",vlookup(REGEXEXTRACT(C1988, ""🏘️ \w+ \w+ (.*) ✅""),'Country prepositions'!A:B, 2, 0) &amp; "" "" &amp; REGEXEXTRACT(C1988, ""🏘️ \w+ \w+ (.*) ✅"") ,  if(H1988=""quartier"",vlookup(REGEXEXTRACT(C1988, ""🏘️ \w+ \w+ (.*) ✅""),'Quartier prepositio"&amp;"ns'!A:E, 5, 0) ,  if(H1988=""region"",vlookup(REGEXEXTRACT(C1988, ""🏘️ \w+ \w+ (.*) ✅""),'Region prepositions'!B:F, 5, 0),  REGEXEXTRACT(C1988, ""🏘️ \w+ \w+ (.*) ✅""))))"),"Mezzovico")</f>
        <v>Mezzovico</v>
      </c>
      <c r="F1988" s="2" t="str">
        <f>IFERROR(__xludf.DUMMYFUNCTION("REGEXEXTRACT(C1988, ""🏘️ (\w+) \w+ .* ✅"")"),"Vendre")</f>
        <v>Vendre</v>
      </c>
      <c r="G1988" s="2" t="str">
        <f>IFERROR(__xludf.DUMMYFUNCTION("REGEXEXTRACT(C1988, ""🏘️ \w+ (\w+) .* ✅"")"),"maison")</f>
        <v>maison</v>
      </c>
      <c r="H1988" s="4" t="str">
        <f>IFERROR(__xludf.DUMMYFUNCTION("REGEXEXTRACT(A1988, ""/(\w+)-.*?"")"),"lieu")</f>
        <v>lieu</v>
      </c>
      <c r="I1988" s="4" t="str">
        <f>IFERROR(__xludf.DUMMYFUNCTION("if(D1988=""variant"",  substitute(filter(Templates!E:E, Templates!A:A = F1988, Templates!B:B = G1988, Templates!C:C = H1988), ""{{}}"", E1988), B1988)"),"🏘  Vous souhaitez acheter une maison à Mezzovico? ✅ Jetez un œil aux dernières offres sur ImmoScout24.ch.")</f>
        <v>🏘  Vous souhaitez acheter une maison à Mezzovico? ✅ Jetez un œil aux dernières offres sur ImmoScout24.ch.</v>
      </c>
      <c r="J1988" s="4" t="s">
        <v>5964</v>
      </c>
    </row>
    <row r="1989">
      <c r="A1989" s="5" t="s">
        <v>5965</v>
      </c>
      <c r="B1989" s="2" t="s">
        <v>5966</v>
      </c>
      <c r="C1989" s="4" t="str">
        <f>IFERROR(__xludf.DUMMYFUNCTION("""🏘️ ""&amp;REGEXEXTRACT(B1989, ""^(.*): "")&amp;"" ✅ "" &amp;REGEXEXTRACT(B1989, ""(Trouvez.*)"")"),"🏘️ Louer appartement Lac Majeur ✅ Trouvez le bien immobilier qui correspond idéalement à vos désirs sur ImmoScout24 - La plateforme de l'immobilier en Suisse.")</f>
        <v>🏘️ Louer appartement Lac Majeur ✅ Trouvez le bien immobilier qui correspond idéalement à vos désirs sur ImmoScout24 - La plateforme de l'immobilier en Suisse.</v>
      </c>
      <c r="D1989" s="4" t="str">
        <f>vlookup(A1989, Sheet2!D:E, 2, 0)</f>
        <v>variant</v>
      </c>
      <c r="E1989" s="4" t="str">
        <f>IFERROR(__xludf.DUMMYFUNCTION("if(H1989=""pays"",vlookup(REGEXEXTRACT(C1989, ""🏘️ \w+ \w+ (.*) ✅""),'Country prepositions'!A:B, 2, 0) &amp; "" "" &amp; REGEXEXTRACT(C1989, ""🏘️ \w+ \w+ (.*) ✅"") ,  if(H1989=""quartier"",vlookup(REGEXEXTRACT(C1989, ""🏘️ \w+ \w+ (.*) ✅""),'Quartier prepositio"&amp;"ns'!A:E, 5, 0) ,  if(H1989=""region"",vlookup(REGEXEXTRACT(C1989, ""🏘️ \w+ \w+ (.*) ✅""),'Region prepositions'!B:F, 5, 0),  REGEXEXTRACT(C1989, ""🏘️ \w+ \w+ (.*) ✅""))))"),"près du Lac Majeur")</f>
        <v>près du Lac Majeur</v>
      </c>
      <c r="F1989" s="2" t="str">
        <f>IFERROR(__xludf.DUMMYFUNCTION("REGEXEXTRACT(C1989, ""🏘️ (\w+) \w+ .* ✅"")"),"Louer")</f>
        <v>Louer</v>
      </c>
      <c r="G1989" s="2" t="str">
        <f>IFERROR(__xludf.DUMMYFUNCTION("REGEXEXTRACT(C1989, ""🏘️ \w+ (\w+) .* ✅"")"),"appartement")</f>
        <v>appartement</v>
      </c>
      <c r="H1989" s="4" t="str">
        <f>IFERROR(__xludf.DUMMYFUNCTION("REGEXEXTRACT(A1989, ""/(\w+)-.*?"")"),"region")</f>
        <v>region</v>
      </c>
      <c r="I1989" s="4" t="str">
        <f>IFERROR(__xludf.DUMMYFUNCTION("if(D1989=""variant"",  substitute(filter(Templates!E:E, Templates!A:A = F1989, Templates!B:B = G1989, Templates!C:C = H1989), ""{{}}"", E1989), B1989)"),"🏘  Vous cherchez un appartement à louer près du Lac Majeur? ✅ Les annonces les plus actuelles sont sur ImmoScout24.ch.")</f>
        <v>🏘  Vous cherchez un appartement à louer près du Lac Majeur? ✅ Les annonces les plus actuelles sont sur ImmoScout24.ch.</v>
      </c>
      <c r="J1989" s="4" t="s">
        <v>5967</v>
      </c>
    </row>
    <row r="1990">
      <c r="A1990" s="5" t="s">
        <v>5968</v>
      </c>
      <c r="B1990" s="2" t="s">
        <v>5969</v>
      </c>
      <c r="C1990" s="4" t="str">
        <f>IFERROR(__xludf.DUMMYFUNCTION("""🏘️ ""&amp;REGEXEXTRACT(B1990, ""^(.*): "")&amp;"" ✅ "" &amp;REGEXEXTRACT(B1990, ""(Trouvez.*)"")"),"🏘️ Vendre maison Dardagny ✅ Trouvez le bien immobilier qui correspond idéalement à vos désirs sur ImmoScout24 - La plateforme de l'immobilier en Suisse.")</f>
        <v>🏘️ Vendre maison Dardagny ✅ Trouvez le bien immobilier qui correspond idéalement à vos désirs sur ImmoScout24 - La plateforme de l'immobilier en Suisse.</v>
      </c>
      <c r="D1990" s="4" t="str">
        <f>vlookup(A1990, Sheet2!D:E, 2, 0)</f>
        <v>variant</v>
      </c>
      <c r="E1990" s="4" t="str">
        <f>IFERROR(__xludf.DUMMYFUNCTION("if(H1990=""pays"",vlookup(REGEXEXTRACT(C1990, ""🏘️ \w+ \w+ (.*) ✅""),'Country prepositions'!A:B, 2, 0) &amp; "" "" &amp; REGEXEXTRACT(C1990, ""🏘️ \w+ \w+ (.*) ✅"") ,  if(H1990=""quartier"",vlookup(REGEXEXTRACT(C1990, ""🏘️ \w+ \w+ (.*) ✅""),'Quartier prepositio"&amp;"ns'!A:E, 5, 0) ,  if(H1990=""region"",vlookup(REGEXEXTRACT(C1990, ""🏘️ \w+ \w+ (.*) ✅""),'Region prepositions'!B:F, 5, 0),  REGEXEXTRACT(C1990, ""🏘️ \w+ \w+ (.*) ✅""))))"),"Dardagny")</f>
        <v>Dardagny</v>
      </c>
      <c r="F1990" s="2" t="str">
        <f>IFERROR(__xludf.DUMMYFUNCTION("REGEXEXTRACT(C1990, ""🏘️ (\w+) \w+ .* ✅"")"),"Vendre")</f>
        <v>Vendre</v>
      </c>
      <c r="G1990" s="2" t="str">
        <f>IFERROR(__xludf.DUMMYFUNCTION("REGEXEXTRACT(C1990, ""🏘️ \w+ (\w+) .* ✅"")"),"maison")</f>
        <v>maison</v>
      </c>
      <c r="H1990" s="4" t="str">
        <f>IFERROR(__xludf.DUMMYFUNCTION("REGEXEXTRACT(A1990, ""/(\w+)-.*?"")"),"lieu")</f>
        <v>lieu</v>
      </c>
      <c r="I1990" s="4" t="str">
        <f>IFERROR(__xludf.DUMMYFUNCTION("if(D1990=""variant"",  substitute(filter(Templates!E:E, Templates!A:A = F1990, Templates!B:B = G1990, Templates!C:C = H1990), ""{{}}"", E1990), B1990)"),"🏘  Vous souhaitez acheter une maison à Dardagny? ✅ Jetez un œil aux dernières offres sur ImmoScout24.ch.")</f>
        <v>🏘  Vous souhaitez acheter une maison à Dardagny? ✅ Jetez un œil aux dernières offres sur ImmoScout24.ch.</v>
      </c>
      <c r="J1990" s="4" t="s">
        <v>5970</v>
      </c>
    </row>
    <row r="1991">
      <c r="A1991" s="5" t="s">
        <v>5971</v>
      </c>
      <c r="B1991" s="2" t="s">
        <v>5972</v>
      </c>
      <c r="C1991" s="4" t="str">
        <f>IFERROR(__xludf.DUMMYFUNCTION("""🏘️ ""&amp;REGEXEXTRACT(B1991, ""^(.*): "")&amp;"" ✅ "" &amp;REGEXEXTRACT(B1991, ""(Trouvez.*)"")"),"🏘️ Vendre maison Jura Bernois ✅ Trouvez le bien immobilier qui correspond idéalement à vos désirs sur ImmoScout24 - La plateforme de l'immobilier en Suisse.")</f>
        <v>🏘️ Vendre maison Jura Bernois ✅ Trouvez le bien immobilier qui correspond idéalement à vos désirs sur ImmoScout24 - La plateforme de l'immobilier en Suisse.</v>
      </c>
      <c r="D1991" s="4" t="str">
        <f>vlookup(A1991, Sheet2!D:E, 2, 0)</f>
        <v>variant</v>
      </c>
      <c r="E1991" s="4" t="str">
        <f>IFERROR(__xludf.DUMMYFUNCTION("if(H1991=""pays"",vlookup(REGEXEXTRACT(C1991, ""🏘️ \w+ \w+ (.*) ✅""),'Country prepositions'!A:B, 2, 0) &amp; "" "" &amp; REGEXEXTRACT(C1991, ""🏘️ \w+ \w+ (.*) ✅"") ,  if(H1991=""quartier"",vlookup(REGEXEXTRACT(C1991, ""🏘️ \w+ \w+ (.*) ✅""),'Quartier prepositio"&amp;"ns'!A:E, 5, 0) ,  if(H1991=""region"",vlookup(REGEXEXTRACT(C1991, ""🏘️ \w+ \w+ (.*) ✅""),'Region prepositions'!B:F, 5, 0),  REGEXEXTRACT(C1991, ""🏘️ \w+ \w+ (.*) ✅""))))"),"dans le Jura bernois")</f>
        <v>dans le Jura bernois</v>
      </c>
      <c r="F1991" s="2" t="str">
        <f>IFERROR(__xludf.DUMMYFUNCTION("REGEXEXTRACT(C1991, ""🏘️ (\w+) \w+ .* ✅"")"),"Vendre")</f>
        <v>Vendre</v>
      </c>
      <c r="G1991" s="2" t="str">
        <f>IFERROR(__xludf.DUMMYFUNCTION("REGEXEXTRACT(C1991, ""🏘️ \w+ (\w+) .* ✅"")"),"maison")</f>
        <v>maison</v>
      </c>
      <c r="H1991" s="4" t="str">
        <f>IFERROR(__xludf.DUMMYFUNCTION("REGEXEXTRACT(A1991, ""/(\w+)-.*?"")"),"region")</f>
        <v>region</v>
      </c>
      <c r="I1991" s="4" t="str">
        <f>IFERROR(__xludf.DUMMYFUNCTION("if(D1991=""variant"",  substitute(filter(Templates!E:E, Templates!A:A = F1991, Templates!B:B = G1991, Templates!C:C = H1991), ""{{}}"", E1991), B1991)"),"🏘  Vous souhaitez acheter une maison dans le Jura bernois? ✅ Jetez un œil aux dernières offres sur ImmoScout24.ch.")</f>
        <v>🏘  Vous souhaitez acheter une maison dans le Jura bernois? ✅ Jetez un œil aux dernières offres sur ImmoScout24.ch.</v>
      </c>
      <c r="J1991" s="4" t="s">
        <v>5973</v>
      </c>
    </row>
    <row r="1992">
      <c r="A1992" s="5" t="s">
        <v>5974</v>
      </c>
      <c r="B1992" s="2" t="s">
        <v>5975</v>
      </c>
      <c r="C1992" s="4" t="str">
        <f>IFERROR(__xludf.DUMMYFUNCTION("""🏘️ ""&amp;REGEXEXTRACT(B1992, ""^(.*): "")&amp;"" ✅ "" &amp;REGEXEXTRACT(B1992, ""(Trouvez.*)"")"),"🏘️ Vendre maison Bougy-Villars ✅ Trouvez le bien immobilier qui correspond idéalement à vos désirs sur ImmoScout24 - La plateforme de l'immobilier en Suisse.")</f>
        <v>🏘️ Vendre maison Bougy-Villars ✅ Trouvez le bien immobilier qui correspond idéalement à vos désirs sur ImmoScout24 - La plateforme de l'immobilier en Suisse.</v>
      </c>
      <c r="D1992" s="4" t="str">
        <f>vlookup(A1992, Sheet2!D:E, 2, 0)</f>
        <v>variant</v>
      </c>
      <c r="E1992" s="4" t="str">
        <f>IFERROR(__xludf.DUMMYFUNCTION("if(H1992=""pays"",vlookup(REGEXEXTRACT(C1992, ""🏘️ \w+ \w+ (.*) ✅""),'Country prepositions'!A:B, 2, 0) &amp; "" "" &amp; REGEXEXTRACT(C1992, ""🏘️ \w+ \w+ (.*) ✅"") ,  if(H1992=""quartier"",vlookup(REGEXEXTRACT(C1992, ""🏘️ \w+ \w+ (.*) ✅""),'Quartier prepositio"&amp;"ns'!A:E, 5, 0) ,  if(H1992=""region"",vlookup(REGEXEXTRACT(C1992, ""🏘️ \w+ \w+ (.*) ✅""),'Region prepositions'!B:F, 5, 0),  REGEXEXTRACT(C1992, ""🏘️ \w+ \w+ (.*) ✅""))))"),"Bougy-Villars")</f>
        <v>Bougy-Villars</v>
      </c>
      <c r="F1992" s="2" t="str">
        <f>IFERROR(__xludf.DUMMYFUNCTION("REGEXEXTRACT(C1992, ""🏘️ (\w+) \w+ .* ✅"")"),"Vendre")</f>
        <v>Vendre</v>
      </c>
      <c r="G1992" s="2" t="str">
        <f>IFERROR(__xludf.DUMMYFUNCTION("REGEXEXTRACT(C1992, ""🏘️ \w+ (\w+) .* ✅"")"),"maison")</f>
        <v>maison</v>
      </c>
      <c r="H1992" s="4" t="str">
        <f>IFERROR(__xludf.DUMMYFUNCTION("REGEXEXTRACT(A1992, ""/(\w+)-.*?"")"),"lieu")</f>
        <v>lieu</v>
      </c>
      <c r="I1992" s="4" t="str">
        <f>IFERROR(__xludf.DUMMYFUNCTION("if(D1992=""variant"",  substitute(filter(Templates!E:E, Templates!A:A = F1992, Templates!B:B = G1992, Templates!C:C = H1992), ""{{}}"", E1992), B1992)"),"🏘  Vous souhaitez acheter une maison à Bougy-Villars? ✅ Jetez un œil aux dernières offres sur ImmoScout24.ch.")</f>
        <v>🏘  Vous souhaitez acheter une maison à Bougy-Villars? ✅ Jetez un œil aux dernières offres sur ImmoScout24.ch.</v>
      </c>
      <c r="J1992" s="4" t="s">
        <v>5976</v>
      </c>
    </row>
    <row r="1993">
      <c r="A1993" s="5" t="s">
        <v>5977</v>
      </c>
      <c r="B1993" s="2" t="s">
        <v>5978</v>
      </c>
      <c r="C1993" s="4" t="str">
        <f>IFERROR(__xludf.DUMMYFUNCTION("""🏘️ ""&amp;REGEXEXTRACT(B1993, ""^(.*): "")&amp;"" ✅ "" &amp;REGEXEXTRACT(B1993, ""(Trouvez.*)"")"),"🏘️ Louer appartement Root ✅ Trouvez le bien immobilier qui correspond idéalement à vos désirs sur ImmoScout24 - La plateforme de l'immobilier en Suisse.")</f>
        <v>🏘️ Louer appartement Root ✅ Trouvez le bien immobilier qui correspond idéalement à vos désirs sur ImmoScout24 - La plateforme de l'immobilier en Suisse.</v>
      </c>
      <c r="D1993" s="4" t="str">
        <f>vlookup(A1993, Sheet2!D:E, 2, 0)</f>
        <v>variant</v>
      </c>
      <c r="E1993" s="4" t="str">
        <f>IFERROR(__xludf.DUMMYFUNCTION("if(H1993=""pays"",vlookup(REGEXEXTRACT(C1993, ""🏘️ \w+ \w+ (.*) ✅""),'Country prepositions'!A:B, 2, 0) &amp; "" "" &amp; REGEXEXTRACT(C1993, ""🏘️ \w+ \w+ (.*) ✅"") ,  if(H1993=""quartier"",vlookup(REGEXEXTRACT(C1993, ""🏘️ \w+ \w+ (.*) ✅""),'Quartier prepositio"&amp;"ns'!A:E, 5, 0) ,  if(H1993=""region"",vlookup(REGEXEXTRACT(C1993, ""🏘️ \w+ \w+ (.*) ✅""),'Region prepositions'!B:F, 5, 0),  REGEXEXTRACT(C1993, ""🏘️ \w+ \w+ (.*) ✅""))))"),"Root")</f>
        <v>Root</v>
      </c>
      <c r="F1993" s="2" t="str">
        <f>IFERROR(__xludf.DUMMYFUNCTION("REGEXEXTRACT(C1993, ""🏘️ (\w+) \w+ .* ✅"")"),"Louer")</f>
        <v>Louer</v>
      </c>
      <c r="G1993" s="2" t="str">
        <f>IFERROR(__xludf.DUMMYFUNCTION("REGEXEXTRACT(C1993, ""🏘️ \w+ (\w+) .* ✅"")"),"appartement")</f>
        <v>appartement</v>
      </c>
      <c r="H1993" s="4" t="str">
        <f>IFERROR(__xludf.DUMMYFUNCTION("REGEXEXTRACT(A1993, ""/(\w+)-.*?"")"),"lieu")</f>
        <v>lieu</v>
      </c>
      <c r="I1993" s="4" t="str">
        <f>IFERROR(__xludf.DUMMYFUNCTION("if(D1993=""variant"",  substitute(filter(Templates!E:E, Templates!A:A = F1993, Templates!B:B = G1993, Templates!C:C = H1993), ""{{}}"", E1993), B1993)"),"🏘  Vous cherchez un appartement à louer à Root? ✅ Les annonces les plus actuelles sont sur ImmoScout24.ch.")</f>
        <v>🏘  Vous cherchez un appartement à louer à Root? ✅ Les annonces les plus actuelles sont sur ImmoScout24.ch.</v>
      </c>
      <c r="J1993" s="4" t="s">
        <v>5979</v>
      </c>
    </row>
    <row r="1994">
      <c r="A1994" s="5" t="s">
        <v>5980</v>
      </c>
      <c r="B1994" s="2" t="s">
        <v>5981</v>
      </c>
      <c r="C1994" s="4" t="str">
        <f>IFERROR(__xludf.DUMMYFUNCTION("""🏘️ ""&amp;REGEXEXTRACT(B1994, ""^(.*): "")&amp;"" ✅ "" &amp;REGEXEXTRACT(B1994, ""(Trouvez.*)"")"),"🏘️ Vendre maison Pont-la-Ville ✅ Trouvez le bien immobilier qui correspond idéalement à vos désirs sur ImmoScout24 - La plateforme de l'immobilier en Suisse.")</f>
        <v>🏘️ Vendre maison Pont-la-Ville ✅ Trouvez le bien immobilier qui correspond idéalement à vos désirs sur ImmoScout24 - La plateforme de l'immobilier en Suisse.</v>
      </c>
      <c r="D1994" s="4" t="str">
        <f>vlookup(A1994, Sheet2!D:E, 2, 0)</f>
        <v>variant</v>
      </c>
      <c r="E1994" s="4" t="str">
        <f>IFERROR(__xludf.DUMMYFUNCTION("if(H1994=""pays"",vlookup(REGEXEXTRACT(C1994, ""🏘️ \w+ \w+ (.*) ✅""),'Country prepositions'!A:B, 2, 0) &amp; "" "" &amp; REGEXEXTRACT(C1994, ""🏘️ \w+ \w+ (.*) ✅"") ,  if(H1994=""quartier"",vlookup(REGEXEXTRACT(C1994, ""🏘️ \w+ \w+ (.*) ✅""),'Quartier prepositio"&amp;"ns'!A:E, 5, 0) ,  if(H1994=""region"",vlookup(REGEXEXTRACT(C1994, ""🏘️ \w+ \w+ (.*) ✅""),'Region prepositions'!B:F, 5, 0),  REGEXEXTRACT(C1994, ""🏘️ \w+ \w+ (.*) ✅""))))"),"Pont-la-Ville")</f>
        <v>Pont-la-Ville</v>
      </c>
      <c r="F1994" s="2" t="str">
        <f>IFERROR(__xludf.DUMMYFUNCTION("REGEXEXTRACT(C1994, ""🏘️ (\w+) \w+ .* ✅"")"),"Vendre")</f>
        <v>Vendre</v>
      </c>
      <c r="G1994" s="2" t="str">
        <f>IFERROR(__xludf.DUMMYFUNCTION("REGEXEXTRACT(C1994, ""🏘️ \w+ (\w+) .* ✅"")"),"maison")</f>
        <v>maison</v>
      </c>
      <c r="H1994" s="4" t="str">
        <f>IFERROR(__xludf.DUMMYFUNCTION("REGEXEXTRACT(A1994, ""/(\w+)-.*?"")"),"lieu")</f>
        <v>lieu</v>
      </c>
      <c r="I1994" s="4" t="str">
        <f>IFERROR(__xludf.DUMMYFUNCTION("if(D1994=""variant"",  substitute(filter(Templates!E:E, Templates!A:A = F1994, Templates!B:B = G1994, Templates!C:C = H1994), ""{{}}"", E1994), B1994)"),"🏘  Vous souhaitez acheter une maison à Pont-la-Ville? ✅ Jetez un œil aux dernières offres sur ImmoScout24.ch.")</f>
        <v>🏘  Vous souhaitez acheter une maison à Pont-la-Ville? ✅ Jetez un œil aux dernières offres sur ImmoScout24.ch.</v>
      </c>
      <c r="J1994" s="4" t="s">
        <v>5982</v>
      </c>
    </row>
    <row r="1995">
      <c r="A1995" s="5" t="s">
        <v>5983</v>
      </c>
      <c r="B1995" s="2" t="s">
        <v>5984</v>
      </c>
      <c r="C1995" s="4" t="str">
        <f>IFERROR(__xludf.DUMMYFUNCTION("""🏘️ ""&amp;REGEXEXTRACT(B1995, ""^(.*): "")&amp;"" ✅ "" &amp;REGEXEXTRACT(B1995, ""(Trouvez.*)"")"),"🏘️ Louer appartement Güttingen ✅ Trouvez le bien immobilier qui correspond idéalement à vos désirs sur ImmoScout24 - La plateforme de l'immobilier en Suisse.")</f>
        <v>🏘️ Louer appartement Güttingen ✅ Trouvez le bien immobilier qui correspond idéalement à vos désirs sur ImmoScout24 - La plateforme de l'immobilier en Suisse.</v>
      </c>
      <c r="D1995" s="4" t="str">
        <f>vlookup(A1995, Sheet2!D:E, 2, 0)</f>
        <v>variant</v>
      </c>
      <c r="E1995" s="4" t="str">
        <f>IFERROR(__xludf.DUMMYFUNCTION("if(H1995=""pays"",vlookup(REGEXEXTRACT(C1995, ""🏘️ \w+ \w+ (.*) ✅""),'Country prepositions'!A:B, 2, 0) &amp; "" "" &amp; REGEXEXTRACT(C1995, ""🏘️ \w+ \w+ (.*) ✅"") ,  if(H1995=""quartier"",vlookup(REGEXEXTRACT(C1995, ""🏘️ \w+ \w+ (.*) ✅""),'Quartier prepositio"&amp;"ns'!A:E, 5, 0) ,  if(H1995=""region"",vlookup(REGEXEXTRACT(C1995, ""🏘️ \w+ \w+ (.*) ✅""),'Region prepositions'!B:F, 5, 0),  REGEXEXTRACT(C1995, ""🏘️ \w+ \w+ (.*) ✅""))))"),"Güttingen")</f>
        <v>Güttingen</v>
      </c>
      <c r="F1995" s="2" t="str">
        <f>IFERROR(__xludf.DUMMYFUNCTION("REGEXEXTRACT(C1995, ""🏘️ (\w+) \w+ .* ✅"")"),"Louer")</f>
        <v>Louer</v>
      </c>
      <c r="G1995" s="2" t="str">
        <f>IFERROR(__xludf.DUMMYFUNCTION("REGEXEXTRACT(C1995, ""🏘️ \w+ (\w+) .* ✅"")"),"appartement")</f>
        <v>appartement</v>
      </c>
      <c r="H1995" s="4" t="str">
        <f>IFERROR(__xludf.DUMMYFUNCTION("REGEXEXTRACT(A1995, ""/(\w+)-.*?"")"),"lieu")</f>
        <v>lieu</v>
      </c>
      <c r="I1995" s="4" t="str">
        <f>IFERROR(__xludf.DUMMYFUNCTION("if(D1995=""variant"",  substitute(filter(Templates!E:E, Templates!A:A = F1995, Templates!B:B = G1995, Templates!C:C = H1995), ""{{}}"", E1995), B1995)"),"🏘  Vous cherchez un appartement à louer à Güttingen? ✅ Les annonces les plus actuelles sont sur ImmoScout24.ch.")</f>
        <v>🏘  Vous cherchez un appartement à louer à Güttingen? ✅ Les annonces les plus actuelles sont sur ImmoScout24.ch.</v>
      </c>
      <c r="J1995" s="4" t="s">
        <v>5985</v>
      </c>
    </row>
    <row r="1996">
      <c r="A1996" s="5" t="s">
        <v>5986</v>
      </c>
      <c r="B1996" s="2" t="s">
        <v>5987</v>
      </c>
      <c r="C1996" s="4" t="str">
        <f>IFERROR(__xludf.DUMMYFUNCTION("""🏘️ ""&amp;REGEXEXTRACT(B1996, ""^(.*): "")&amp;"" ✅ "" &amp;REGEXEXTRACT(B1996, ""(Trouvez.*)"")"),"🏘️ Louer appartement Levron ✅ Trouvez le bien immobilier qui correspond idéalement à vos désirs sur ImmoScout24 - La plateforme de l'immobilier en Suisse.")</f>
        <v>🏘️ Louer appartement Levron ✅ Trouvez le bien immobilier qui correspond idéalement à vos désirs sur ImmoScout24 - La plateforme de l'immobilier en Suisse.</v>
      </c>
      <c r="D1996" s="4" t="str">
        <f>vlookup(A1996, Sheet2!D:E, 2, 0)</f>
        <v>variant</v>
      </c>
      <c r="E1996" s="4" t="str">
        <f>IFERROR(__xludf.DUMMYFUNCTION("if(H1996=""pays"",vlookup(REGEXEXTRACT(C1996, ""🏘️ \w+ \w+ (.*) ✅""),'Country prepositions'!A:B, 2, 0) &amp; "" "" &amp; REGEXEXTRACT(C1996, ""🏘️ \w+ \w+ (.*) ✅"") ,  if(H1996=""quartier"",vlookup(REGEXEXTRACT(C1996, ""🏘️ \w+ \w+ (.*) ✅""),'Quartier prepositio"&amp;"ns'!A:E, 5, 0) ,  if(H1996=""region"",vlookup(REGEXEXTRACT(C1996, ""🏘️ \w+ \w+ (.*) ✅""),'Region prepositions'!B:F, 5, 0),  REGEXEXTRACT(C1996, ""🏘️ \w+ \w+ (.*) ✅""))))"),"Levron")</f>
        <v>Levron</v>
      </c>
      <c r="F1996" s="2" t="str">
        <f>IFERROR(__xludf.DUMMYFUNCTION("REGEXEXTRACT(C1996, ""🏘️ (\w+) \w+ .* ✅"")"),"Louer")</f>
        <v>Louer</v>
      </c>
      <c r="G1996" s="2" t="str">
        <f>IFERROR(__xludf.DUMMYFUNCTION("REGEXEXTRACT(C1996, ""🏘️ \w+ (\w+) .* ✅"")"),"appartement")</f>
        <v>appartement</v>
      </c>
      <c r="H1996" s="4" t="str">
        <f>IFERROR(__xludf.DUMMYFUNCTION("REGEXEXTRACT(A1996, ""/(\w+)-.*?"")"),"lieu")</f>
        <v>lieu</v>
      </c>
      <c r="I1996" s="4" t="str">
        <f>IFERROR(__xludf.DUMMYFUNCTION("if(D1996=""variant"",  substitute(filter(Templates!E:E, Templates!A:A = F1996, Templates!B:B = G1996, Templates!C:C = H1996), ""{{}}"", E1996), B1996)"),"🏘  Vous cherchez un appartement à louer à Levron? ✅ Les annonces les plus actuelles sont sur ImmoScout24.ch.")</f>
        <v>🏘  Vous cherchez un appartement à louer à Levron? ✅ Les annonces les plus actuelles sont sur ImmoScout24.ch.</v>
      </c>
      <c r="J1996" s="2" t="s">
        <v>5988</v>
      </c>
    </row>
    <row r="1997">
      <c r="A1997" s="5" t="s">
        <v>5989</v>
      </c>
      <c r="B1997" s="2" t="s">
        <v>5990</v>
      </c>
      <c r="C1997" s="4" t="str">
        <f>IFERROR(__xludf.DUMMYFUNCTION("""🏘️ ""&amp;REGEXEXTRACT(B1997, ""^(.*): "")&amp;"" ✅ "" &amp;REGEXEXTRACT(B1997, ""(Trouvez.*)"")"),"🏘️ Vendre maison Chailly - Rovéréaz (Lausanne) ✅ Trouvez le bien immobilier qui correspond idéalement à vos désirs sur ImmoScout24 - La plateforme de l'immobilier en Suisse.")</f>
        <v>🏘️ Vendre maison Chailly - Rovéréaz (Lausanne) ✅ Trouvez le bien immobilier qui correspond idéalement à vos désirs sur ImmoScout24 - La plateforme de l'immobilier en Suisse.</v>
      </c>
      <c r="D1997" s="4" t="str">
        <f>vlookup(A1997, Sheet2!D:E, 2, 0)</f>
        <v>variant</v>
      </c>
      <c r="E1997" s="4" t="str">
        <f>IFERROR(__xludf.DUMMYFUNCTION("if(H1997=""pays"",vlookup(REGEXEXTRACT(C1997, ""🏘️ \w+ \w+ (.*) ✅""),'Country prepositions'!A:B, 2, 0) &amp; "" "" &amp; REGEXEXTRACT(C1997, ""🏘️ \w+ \w+ (.*) ✅"") ,  if(H1997=""quartier"",vlookup(REGEXEXTRACT(C1997, ""🏘️ \w+ \w+ (.*) ✅""),'Quartier prepositio"&amp;"ns'!A:E, 5, 0) ,  if(H1997=""region"",vlookup(REGEXEXTRACT(C1997, ""🏘️ \w+ \w+ (.*) ✅""),'Region prepositions'!B:F, 5, 0),  REGEXEXTRACT(C1997, ""🏘️ \w+ \w+ (.*) ✅""))))"),"dans le quartier de Chailly - Rovéréaz (Lausanne)")</f>
        <v>dans le quartier de Chailly - Rovéréaz (Lausanne)</v>
      </c>
      <c r="F1997" s="2" t="str">
        <f>IFERROR(__xludf.DUMMYFUNCTION("REGEXEXTRACT(C1997, ""🏘️ (\w+) \w+ .* ✅"")"),"Vendre")</f>
        <v>Vendre</v>
      </c>
      <c r="G1997" s="2" t="str">
        <f>IFERROR(__xludf.DUMMYFUNCTION("REGEXEXTRACT(C1997, ""🏘️ \w+ (\w+) .* ✅"")"),"maison")</f>
        <v>maison</v>
      </c>
      <c r="H1997" s="4" t="str">
        <f>IFERROR(__xludf.DUMMYFUNCTION("REGEXEXTRACT(A1997, ""/(\w+)-.*?"")"),"quartier")</f>
        <v>quartier</v>
      </c>
      <c r="I1997" s="4" t="str">
        <f>IFERROR(__xludf.DUMMYFUNCTION("if(D1997=""variant"",  substitute(filter(Templates!E:E, Templates!A:A = F1997, Templates!B:B = G1997, Templates!C:C = H1997), ""{{}}"", E1997), B1997)"),"🏘  Vous souhaitez acheter une maison dans le quartier de Chailly - Rovéréaz (Lausanne)? ✅ Jetez un œil aux dernières offres sur ImmoScout24.ch.")</f>
        <v>🏘  Vous souhaitez acheter une maison dans le quartier de Chailly - Rovéréaz (Lausanne)? ✅ Jetez un œil aux dernières offres sur ImmoScout24.ch.</v>
      </c>
      <c r="J1997" s="4" t="s">
        <v>5991</v>
      </c>
    </row>
    <row r="1998">
      <c r="A1998" s="5" t="s">
        <v>5992</v>
      </c>
      <c r="B1998" s="2" t="s">
        <v>5993</v>
      </c>
      <c r="C1998" s="4" t="str">
        <f>IFERROR(__xludf.DUMMYFUNCTION("""🏘️ ""&amp;REGEXEXTRACT(B1998, ""^(.*): "")&amp;"" ✅ "" &amp;REGEXEXTRACT(B1998, ""(Trouvez.*)"")"),"🏘️ Vendre maison Pringy ✅ Trouvez le bien immobilier qui correspond idéalement à vos désirs sur ImmoScout24 - La plateforme de l'immobilier en Suisse.")</f>
        <v>🏘️ Vendre maison Pringy ✅ Trouvez le bien immobilier qui correspond idéalement à vos désirs sur ImmoScout24 - La plateforme de l'immobilier en Suisse.</v>
      </c>
      <c r="D1998" s="4" t="str">
        <f>vlookup(A1998, Sheet2!D:E, 2, 0)</f>
        <v>variant</v>
      </c>
      <c r="E1998" s="4" t="str">
        <f>IFERROR(__xludf.DUMMYFUNCTION("if(H1998=""pays"",vlookup(REGEXEXTRACT(C1998, ""🏘️ \w+ \w+ (.*) ✅""),'Country prepositions'!A:B, 2, 0) &amp; "" "" &amp; REGEXEXTRACT(C1998, ""🏘️ \w+ \w+ (.*) ✅"") ,  if(H1998=""quartier"",vlookup(REGEXEXTRACT(C1998, ""🏘️ \w+ \w+ (.*) ✅""),'Quartier prepositio"&amp;"ns'!A:E, 5, 0) ,  if(H1998=""region"",vlookup(REGEXEXTRACT(C1998, ""🏘️ \w+ \w+ (.*) ✅""),'Region prepositions'!B:F, 5, 0),  REGEXEXTRACT(C1998, ""🏘️ \w+ \w+ (.*) ✅""))))"),"Pringy")</f>
        <v>Pringy</v>
      </c>
      <c r="F1998" s="2" t="str">
        <f>IFERROR(__xludf.DUMMYFUNCTION("REGEXEXTRACT(C1998, ""🏘️ (\w+) \w+ .* ✅"")"),"Vendre")</f>
        <v>Vendre</v>
      </c>
      <c r="G1998" s="2" t="str">
        <f>IFERROR(__xludf.DUMMYFUNCTION("REGEXEXTRACT(C1998, ""🏘️ \w+ (\w+) .* ✅"")"),"maison")</f>
        <v>maison</v>
      </c>
      <c r="H1998" s="4" t="str">
        <f>IFERROR(__xludf.DUMMYFUNCTION("REGEXEXTRACT(A1998, ""/(\w+)-.*?"")"),"lieu")</f>
        <v>lieu</v>
      </c>
      <c r="I1998" s="4" t="str">
        <f>IFERROR(__xludf.DUMMYFUNCTION("if(D1998=""variant"",  substitute(filter(Templates!E:E, Templates!A:A = F1998, Templates!B:B = G1998, Templates!C:C = H1998), ""{{}}"", E1998), B1998)"),"🏘  Vous souhaitez acheter une maison à Pringy? ✅ Jetez un œil aux dernières offres sur ImmoScout24.ch.")</f>
        <v>🏘  Vous souhaitez acheter une maison à Pringy? ✅ Jetez un œil aux dernières offres sur ImmoScout24.ch.</v>
      </c>
      <c r="J1998" s="4" t="s">
        <v>5994</v>
      </c>
    </row>
    <row r="1999">
      <c r="A1999" s="5" t="s">
        <v>5995</v>
      </c>
      <c r="B1999" s="2" t="s">
        <v>5996</v>
      </c>
      <c r="C1999" s="4" t="str">
        <f>IFERROR(__xludf.DUMMYFUNCTION("""🏘️ ""&amp;REGEXEXTRACT(B1999, ""^(.*): "")&amp;"" ✅ "" &amp;REGEXEXTRACT(B1999, ""(Trouvez.*)"")"),"🏘️ Vendre maison Valcolla (Lugano) ✅ Trouvez le bien immobilier qui correspond idéalement à vos désirs sur ImmoScout24 - La plateforme de l'immobilier en Suisse.")</f>
        <v>🏘️ Vendre maison Valcolla (Lugano) ✅ Trouvez le bien immobilier qui correspond idéalement à vos désirs sur ImmoScout24 - La plateforme de l'immobilier en Suisse.</v>
      </c>
      <c r="D1999" s="4" t="str">
        <f>vlookup(A1999, Sheet2!D:E, 2, 0)</f>
        <v>variant</v>
      </c>
      <c r="E1999" s="4" t="str">
        <f>IFERROR(__xludf.DUMMYFUNCTION("if(H1999=""pays"",vlookup(REGEXEXTRACT(C1999, ""🏘️ \w+ \w+ (.*) ✅""),'Country prepositions'!A:B, 2, 0) &amp; "" "" &amp; REGEXEXTRACT(C1999, ""🏘️ \w+ \w+ (.*) ✅"") ,  if(H1999=""quartier"",vlookup(REGEXEXTRACT(C1999, ""🏘️ \w+ \w+ (.*) ✅""),'Quartier prepositio"&amp;"ns'!A:E, 5, 0) ,  if(H1999=""region"",vlookup(REGEXEXTRACT(C1999, ""🏘️ \w+ \w+ (.*) ✅""),'Region prepositions'!B:F, 5, 0),  REGEXEXTRACT(C1999, ""🏘️ \w+ \w+ (.*) ✅""))))"),"dans le quartier de Valcolla (Lugano)")</f>
        <v>dans le quartier de Valcolla (Lugano)</v>
      </c>
      <c r="F1999" s="2" t="str">
        <f>IFERROR(__xludf.DUMMYFUNCTION("REGEXEXTRACT(C1999, ""🏘️ (\w+) \w+ .* ✅"")"),"Vendre")</f>
        <v>Vendre</v>
      </c>
      <c r="G1999" s="2" t="str">
        <f>IFERROR(__xludf.DUMMYFUNCTION("REGEXEXTRACT(C1999, ""🏘️ \w+ (\w+) .* ✅"")"),"maison")</f>
        <v>maison</v>
      </c>
      <c r="H1999" s="4" t="str">
        <f>IFERROR(__xludf.DUMMYFUNCTION("REGEXEXTRACT(A1999, ""/(\w+)-.*?"")"),"quartier")</f>
        <v>quartier</v>
      </c>
      <c r="I1999" s="4" t="str">
        <f>IFERROR(__xludf.DUMMYFUNCTION("if(D1999=""variant"",  substitute(filter(Templates!E:E, Templates!A:A = F1999, Templates!B:B = G1999, Templates!C:C = H1999), ""{{}}"", E1999), B1999)"),"🏘  Vous souhaitez acheter une maison dans le quartier de Valcolla (Lugano)? ✅ Jetez un œil aux dernières offres sur ImmoScout24.ch.")</f>
        <v>🏘  Vous souhaitez acheter une maison dans le quartier de Valcolla (Lugano)? ✅ Jetez un œil aux dernières offres sur ImmoScout24.ch.</v>
      </c>
      <c r="J1999" s="4" t="s">
        <v>5997</v>
      </c>
    </row>
    <row r="2000">
      <c r="A2000" s="5" t="s">
        <v>5998</v>
      </c>
      <c r="B2000" s="2" t="s">
        <v>5999</v>
      </c>
      <c r="C2000" s="4" t="str">
        <f>IFERROR(__xludf.DUMMYFUNCTION("""🏘️ ""&amp;REGEXEXTRACT(B2000, ""^(.*): "")&amp;"" ✅ "" &amp;REGEXEXTRACT(B2000, ""(Trouvez.*)"")"),"🏘️ Louer maison Lussery-Villars ✅ Trouvez le bien immobilier qui correspond idéalement à vos désirs sur ImmoScout24 - La plateforme de l'immobilier en Suisse.")</f>
        <v>🏘️ Louer maison Lussery-Villars ✅ Trouvez le bien immobilier qui correspond idéalement à vos désirs sur ImmoScout24 - La plateforme de l'immobilier en Suisse.</v>
      </c>
      <c r="D2000" s="4" t="str">
        <f>vlookup(A2000, Sheet2!D:E, 2, 0)</f>
        <v>variant</v>
      </c>
      <c r="E2000" s="4" t="str">
        <f>IFERROR(__xludf.DUMMYFUNCTION("if(H2000=""pays"",vlookup(REGEXEXTRACT(C2000, ""🏘️ \w+ \w+ (.*) ✅""),'Country prepositions'!A:B, 2, 0) &amp; "" "" &amp; REGEXEXTRACT(C2000, ""🏘️ \w+ \w+ (.*) ✅"") ,  if(H2000=""quartier"",vlookup(REGEXEXTRACT(C2000, ""🏘️ \w+ \w+ (.*) ✅""),'Quartier prepositio"&amp;"ns'!A:E, 5, 0) ,  if(H2000=""region"",vlookup(REGEXEXTRACT(C2000, ""🏘️ \w+ \w+ (.*) ✅""),'Region prepositions'!B:F, 5, 0),  REGEXEXTRACT(C2000, ""🏘️ \w+ \w+ (.*) ✅""))))"),"Lussery-Villars")</f>
        <v>Lussery-Villars</v>
      </c>
      <c r="F2000" s="2" t="str">
        <f>IFERROR(__xludf.DUMMYFUNCTION("REGEXEXTRACT(C2000, ""🏘️ (\w+) \w+ .* ✅"")"),"Louer")</f>
        <v>Louer</v>
      </c>
      <c r="G2000" s="2" t="str">
        <f>IFERROR(__xludf.DUMMYFUNCTION("REGEXEXTRACT(C2000, ""🏘️ \w+ (\w+) .* ✅"")"),"maison")</f>
        <v>maison</v>
      </c>
      <c r="H2000" s="4" t="str">
        <f>IFERROR(__xludf.DUMMYFUNCTION("REGEXEXTRACT(A2000, ""/(\w+)-.*?"")"),"lieu")</f>
        <v>lieu</v>
      </c>
      <c r="I2000" s="4" t="str">
        <f>IFERROR(__xludf.DUMMYFUNCTION("if(D2000=""variant"",  substitute(filter(Templates!E:E, Templates!A:A = F2000, Templates!B:B = G2000, Templates!C:C = H2000), ""{{}}"", E2000), B2000)"),"🏘  Vous cherchez une maison à louer à Lussery-Villars? ✅ Découvrez nos nombreuses annonces sur ImmoScout24.ch.")</f>
        <v>🏘  Vous cherchez une maison à louer à Lussery-Villars? ✅ Découvrez nos nombreuses annonces sur ImmoScout24.ch.</v>
      </c>
      <c r="J2000" s="4" t="s">
        <v>6000</v>
      </c>
    </row>
    <row r="2001">
      <c r="A2001" s="5" t="s">
        <v>6001</v>
      </c>
      <c r="B2001" s="2" t="s">
        <v>6002</v>
      </c>
      <c r="C2001" s="4" t="str">
        <f>IFERROR(__xludf.DUMMYFUNCTION("""🏘️ ""&amp;REGEXEXTRACT(B2001, ""^(.*): "")&amp;"" ✅ "" &amp;REGEXEXTRACT(B2001, ""(Trouvez.*)"")"),"🏘️ Louer maison Tavannes ✅ Trouvez le bien immobilier qui correspond idéalement à vos désirs sur ImmoScout24 - La plateforme de l'immobilier en Suisse.")</f>
        <v>🏘️ Louer maison Tavannes ✅ Trouvez le bien immobilier qui correspond idéalement à vos désirs sur ImmoScout24 - La plateforme de l'immobilier en Suisse.</v>
      </c>
      <c r="D2001" s="4" t="str">
        <f>vlookup(A2001, Sheet2!D:E, 2, 0)</f>
        <v>variant</v>
      </c>
      <c r="E2001" s="4" t="str">
        <f>IFERROR(__xludf.DUMMYFUNCTION("if(H2001=""pays"",vlookup(REGEXEXTRACT(C2001, ""🏘️ \w+ \w+ (.*) ✅""),'Country prepositions'!A:B, 2, 0) &amp; "" "" &amp; REGEXEXTRACT(C2001, ""🏘️ \w+ \w+ (.*) ✅"") ,  if(H2001=""quartier"",vlookup(REGEXEXTRACT(C2001, ""🏘️ \w+ \w+ (.*) ✅""),'Quartier prepositio"&amp;"ns'!A:E, 5, 0) ,  if(H2001=""region"",vlookup(REGEXEXTRACT(C2001, ""🏘️ \w+ \w+ (.*) ✅""),'Region prepositions'!B:F, 5, 0),  REGEXEXTRACT(C2001, ""🏘️ \w+ \w+ (.*) ✅""))))"),"Tavannes")</f>
        <v>Tavannes</v>
      </c>
      <c r="F2001" s="2" t="str">
        <f>IFERROR(__xludf.DUMMYFUNCTION("REGEXEXTRACT(C2001, ""🏘️ (\w+) \w+ .* ✅"")"),"Louer")</f>
        <v>Louer</v>
      </c>
      <c r="G2001" s="2" t="str">
        <f>IFERROR(__xludf.DUMMYFUNCTION("REGEXEXTRACT(C2001, ""🏘️ \w+ (\w+) .* ✅"")"),"maison")</f>
        <v>maison</v>
      </c>
      <c r="H2001" s="4" t="str">
        <f>IFERROR(__xludf.DUMMYFUNCTION("REGEXEXTRACT(A2001, ""/(\w+)-.*?"")"),"lieu")</f>
        <v>lieu</v>
      </c>
      <c r="I2001" s="4" t="str">
        <f>IFERROR(__xludf.DUMMYFUNCTION("if(D2001=""variant"",  substitute(filter(Templates!E:E, Templates!A:A = F2001, Templates!B:B = G2001, Templates!C:C = H2001), ""{{}}"", E2001), B2001)"),"🏘  Vous cherchez une maison à louer à Tavannes? ✅ Découvrez nos nombreuses annonces sur ImmoScout24.ch.")</f>
        <v>🏘  Vous cherchez une maison à louer à Tavannes? ✅ Découvrez nos nombreuses annonces sur ImmoScout24.ch.</v>
      </c>
      <c r="J2001" s="4" t="s">
        <v>6003</v>
      </c>
    </row>
    <row r="2002">
      <c r="A2002" s="5" t="s">
        <v>6004</v>
      </c>
      <c r="B2002" s="2" t="s">
        <v>6005</v>
      </c>
      <c r="C2002" s="4" t="str">
        <f>IFERROR(__xludf.DUMMYFUNCTION("""🏘️ ""&amp;REGEXEXTRACT(B2002, ""^(.*): "")&amp;"" ✅ "" &amp;REGEXEXTRACT(B2002, ""(Trouvez.*)"")"),"🏘️ Louer appartement Autriche ✅ Trouvez le bien immobilier qui correspond idéalement à vos désirs sur ImmoScout24 - La plateforme de l'immobilier en Suisse.")</f>
        <v>🏘️ Louer appartement Autriche ✅ Trouvez le bien immobilier qui correspond idéalement à vos désirs sur ImmoScout24 - La plateforme de l'immobilier en Suisse.</v>
      </c>
      <c r="D2002" s="4" t="str">
        <f>vlookup(A2002, Sheet2!D:E, 2, 0)</f>
        <v>variant</v>
      </c>
      <c r="E2002" s="4" t="str">
        <f>IFERROR(__xludf.DUMMYFUNCTION("if(H2002=""pays"",vlookup(REGEXEXTRACT(C2002, ""🏘️ \w+ \w+ (.*) ✅""),'Country prepositions'!A:B, 2, 0) &amp; "" "" &amp; REGEXEXTRACT(C2002, ""🏘️ \w+ \w+ (.*) ✅"") ,  if(H2002=""quartier"",vlookup(REGEXEXTRACT(C2002, ""🏘️ \w+ \w+ (.*) ✅""),'Quartier prepositio"&amp;"ns'!A:E, 5, 0) ,  if(H2002=""region"",vlookup(REGEXEXTRACT(C2002, ""🏘️ \w+ \w+ (.*) ✅""),'Region prepositions'!B:F, 5, 0),  REGEXEXTRACT(C2002, ""🏘️ \w+ \w+ (.*) ✅""))))"),"en Autriche")</f>
        <v>en Autriche</v>
      </c>
      <c r="F2002" s="2" t="str">
        <f>IFERROR(__xludf.DUMMYFUNCTION("REGEXEXTRACT(C2002, ""🏘️ (\w+) \w+ .* ✅"")"),"Louer")</f>
        <v>Louer</v>
      </c>
      <c r="G2002" s="2" t="str">
        <f>IFERROR(__xludf.DUMMYFUNCTION("REGEXEXTRACT(C2002, ""🏘️ \w+ (\w+) .* ✅"")"),"appartement")</f>
        <v>appartement</v>
      </c>
      <c r="H2002" s="4" t="str">
        <f>IFERROR(__xludf.DUMMYFUNCTION("REGEXEXTRACT(A2002, ""/(\w+)-.*?"")"),"pays")</f>
        <v>pays</v>
      </c>
      <c r="I2002" s="4" t="str">
        <f>IFERROR(__xludf.DUMMYFUNCTION("if(D2002=""variant"",  substitute(filter(Templates!E:E, Templates!A:A = F2002, Templates!B:B = G2002, Templates!C:C = H2002), ""{{}}"", E2002), B2002)"),"🏘  Vous cherchez un appartement à louer en Autriche? ✅ Les annonces les plus actuelles sont sur ImmoScout24.ch.")</f>
        <v>🏘  Vous cherchez un appartement à louer en Autriche? ✅ Les annonces les plus actuelles sont sur ImmoScout24.ch.</v>
      </c>
      <c r="J2002" s="4" t="s">
        <v>6006</v>
      </c>
    </row>
    <row r="2003">
      <c r="A2003" s="5" t="s">
        <v>6007</v>
      </c>
      <c r="B2003" s="2" t="s">
        <v>6008</v>
      </c>
      <c r="C2003" s="4" t="str">
        <f>IFERROR(__xludf.DUMMYFUNCTION("""🏘️ ""&amp;REGEXEXTRACT(B2003, ""^(.*): "")&amp;"" ✅ "" &amp;REGEXEXTRACT(B2003, ""(Trouvez.*)"")"),"🏘️ Louer appartement Brenles ✅ Trouvez le bien immobilier qui correspond idéalement à vos désirs sur ImmoScout24 - La plateforme de l'immobilier en Suisse.")</f>
        <v>🏘️ Louer appartement Brenles ✅ Trouvez le bien immobilier qui correspond idéalement à vos désirs sur ImmoScout24 - La plateforme de l'immobilier en Suisse.</v>
      </c>
      <c r="D2003" s="4" t="str">
        <f>vlookup(A2003, Sheet2!D:E, 2, 0)</f>
        <v>variant</v>
      </c>
      <c r="E2003" s="4" t="str">
        <f>IFERROR(__xludf.DUMMYFUNCTION("if(H2003=""pays"",vlookup(REGEXEXTRACT(C2003, ""🏘️ \w+ \w+ (.*) ✅""),'Country prepositions'!A:B, 2, 0) &amp; "" "" &amp; REGEXEXTRACT(C2003, ""🏘️ \w+ \w+ (.*) ✅"") ,  if(H2003=""quartier"",vlookup(REGEXEXTRACT(C2003, ""🏘️ \w+ \w+ (.*) ✅""),'Quartier prepositio"&amp;"ns'!A:E, 5, 0) ,  if(H2003=""region"",vlookup(REGEXEXTRACT(C2003, ""🏘️ \w+ \w+ (.*) ✅""),'Region prepositions'!B:F, 5, 0),  REGEXEXTRACT(C2003, ""🏘️ \w+ \w+ (.*) ✅""))))"),"Brenles")</f>
        <v>Brenles</v>
      </c>
      <c r="F2003" s="2" t="str">
        <f>IFERROR(__xludf.DUMMYFUNCTION("REGEXEXTRACT(C2003, ""🏘️ (\w+) \w+ .* ✅"")"),"Louer")</f>
        <v>Louer</v>
      </c>
      <c r="G2003" s="2" t="str">
        <f>IFERROR(__xludf.DUMMYFUNCTION("REGEXEXTRACT(C2003, ""🏘️ \w+ (\w+) .* ✅"")"),"appartement")</f>
        <v>appartement</v>
      </c>
      <c r="H2003" s="4" t="str">
        <f>IFERROR(__xludf.DUMMYFUNCTION("REGEXEXTRACT(A2003, ""/(\w+)-.*?"")"),"lieu")</f>
        <v>lieu</v>
      </c>
      <c r="I2003" s="4" t="str">
        <f>IFERROR(__xludf.DUMMYFUNCTION("if(D2003=""variant"",  substitute(filter(Templates!E:E, Templates!A:A = F2003, Templates!B:B = G2003, Templates!C:C = H2003), ""{{}}"", E2003), B2003)"),"🏘  Vous cherchez un appartement à louer à Brenles? ✅ Les annonces les plus actuelles sont sur ImmoScout24.ch.")</f>
        <v>🏘  Vous cherchez un appartement à louer à Brenles? ✅ Les annonces les plus actuelles sont sur ImmoScout24.ch.</v>
      </c>
      <c r="J2003" s="4" t="s">
        <v>6009</v>
      </c>
    </row>
    <row r="2004">
      <c r="A2004" s="5" t="s">
        <v>6010</v>
      </c>
      <c r="B2004" s="2" t="s">
        <v>6011</v>
      </c>
      <c r="C2004" s="4" t="str">
        <f>IFERROR(__xludf.DUMMYFUNCTION("""🏘️ ""&amp;REGEXEXTRACT(B2004, ""^(.*): "")&amp;"" ✅ "" &amp;REGEXEXTRACT(B2004, ""(Trouvez.*)"")"),"🏘️ Vendre maison Marin-Epagnier ✅ Trouvez le bien immobilier qui correspond idéalement à vos désirs sur ImmoScout24 - La plateforme de l'immobilier en Suisse.")</f>
        <v>🏘️ Vendre maison Marin-Epagnier ✅ Trouvez le bien immobilier qui correspond idéalement à vos désirs sur ImmoScout24 - La plateforme de l'immobilier en Suisse.</v>
      </c>
      <c r="D2004" s="4" t="str">
        <f>vlookup(A2004, Sheet2!D:E, 2, 0)</f>
        <v>variant</v>
      </c>
      <c r="E2004" s="4" t="str">
        <f>IFERROR(__xludf.DUMMYFUNCTION("if(H2004=""pays"",vlookup(REGEXEXTRACT(C2004, ""🏘️ \w+ \w+ (.*) ✅""),'Country prepositions'!A:B, 2, 0) &amp; "" "" &amp; REGEXEXTRACT(C2004, ""🏘️ \w+ \w+ (.*) ✅"") ,  if(H2004=""quartier"",vlookup(REGEXEXTRACT(C2004, ""🏘️ \w+ \w+ (.*) ✅""),'Quartier prepositio"&amp;"ns'!A:E, 5, 0) ,  if(H2004=""region"",vlookup(REGEXEXTRACT(C2004, ""🏘️ \w+ \w+ (.*) ✅""),'Region prepositions'!B:F, 5, 0),  REGEXEXTRACT(C2004, ""🏘️ \w+ \w+ (.*) ✅""))))"),"Marin-Epagnier")</f>
        <v>Marin-Epagnier</v>
      </c>
      <c r="F2004" s="2" t="str">
        <f>IFERROR(__xludf.DUMMYFUNCTION("REGEXEXTRACT(C2004, ""🏘️ (\w+) \w+ .* ✅"")"),"Vendre")</f>
        <v>Vendre</v>
      </c>
      <c r="G2004" s="2" t="str">
        <f>IFERROR(__xludf.DUMMYFUNCTION("REGEXEXTRACT(C2004, ""🏘️ \w+ (\w+) .* ✅"")"),"maison")</f>
        <v>maison</v>
      </c>
      <c r="H2004" s="4" t="str">
        <f>IFERROR(__xludf.DUMMYFUNCTION("REGEXEXTRACT(A2004, ""/(\w+)-.*?"")"),"lieu")</f>
        <v>lieu</v>
      </c>
      <c r="I2004" s="4" t="str">
        <f>IFERROR(__xludf.DUMMYFUNCTION("if(D2004=""variant"",  substitute(filter(Templates!E:E, Templates!A:A = F2004, Templates!B:B = G2004, Templates!C:C = H2004), ""{{}}"", E2004), B2004)"),"🏘  Vous souhaitez acheter une maison à Marin-Epagnier? ✅ Jetez un œil aux dernières offres sur ImmoScout24.ch.")</f>
        <v>🏘  Vous souhaitez acheter une maison à Marin-Epagnier? ✅ Jetez un œil aux dernières offres sur ImmoScout24.ch.</v>
      </c>
      <c r="J2004" s="4" t="s">
        <v>6012</v>
      </c>
    </row>
    <row r="2005">
      <c r="A2005" s="5" t="s">
        <v>6013</v>
      </c>
      <c r="B2005" s="2" t="s">
        <v>6014</v>
      </c>
      <c r="C2005" s="4" t="str">
        <f>IFERROR(__xludf.DUMMYFUNCTION("""🏘️ ""&amp;REGEXEXTRACT(B2005, ""^(.*): "")&amp;"" ✅ "" &amp;REGEXEXTRACT(B2005, ""(Trouvez.*)"")"),"🏘️ Louer appartement Boécourt ✅ Trouvez le bien immobilier qui correspond idéalement à vos désirs sur ImmoScout24 - La plateforme de l'immobilier en Suisse.")</f>
        <v>🏘️ Louer appartement Boécourt ✅ Trouvez le bien immobilier qui correspond idéalement à vos désirs sur ImmoScout24 - La plateforme de l'immobilier en Suisse.</v>
      </c>
      <c r="D2005" s="4" t="str">
        <f>vlookup(A2005, Sheet2!D:E, 2, 0)</f>
        <v>variant</v>
      </c>
      <c r="E2005" s="4" t="str">
        <f>IFERROR(__xludf.DUMMYFUNCTION("if(H2005=""pays"",vlookup(REGEXEXTRACT(C2005, ""🏘️ \w+ \w+ (.*) ✅""),'Country prepositions'!A:B, 2, 0) &amp; "" "" &amp; REGEXEXTRACT(C2005, ""🏘️ \w+ \w+ (.*) ✅"") ,  if(H2005=""quartier"",vlookup(REGEXEXTRACT(C2005, ""🏘️ \w+ \w+ (.*) ✅""),'Quartier prepositio"&amp;"ns'!A:E, 5, 0) ,  if(H2005=""region"",vlookup(REGEXEXTRACT(C2005, ""🏘️ \w+ \w+ (.*) ✅""),'Region prepositions'!B:F, 5, 0),  REGEXEXTRACT(C2005, ""🏘️ \w+ \w+ (.*) ✅""))))"),"Boécourt")</f>
        <v>Boécourt</v>
      </c>
      <c r="F2005" s="2" t="str">
        <f>IFERROR(__xludf.DUMMYFUNCTION("REGEXEXTRACT(C2005, ""🏘️ (\w+) \w+ .* ✅"")"),"Louer")</f>
        <v>Louer</v>
      </c>
      <c r="G2005" s="2" t="str">
        <f>IFERROR(__xludf.DUMMYFUNCTION("REGEXEXTRACT(C2005, ""🏘️ \w+ (\w+) .* ✅"")"),"appartement")</f>
        <v>appartement</v>
      </c>
      <c r="H2005" s="4" t="str">
        <f>IFERROR(__xludf.DUMMYFUNCTION("REGEXEXTRACT(A2005, ""/(\w+)-.*?"")"),"lieu")</f>
        <v>lieu</v>
      </c>
      <c r="I2005" s="4" t="str">
        <f>IFERROR(__xludf.DUMMYFUNCTION("if(D2005=""variant"",  substitute(filter(Templates!E:E, Templates!A:A = F2005, Templates!B:B = G2005, Templates!C:C = H2005), ""{{}}"", E2005), B2005)"),"🏘  Vous cherchez un appartement à louer à Boécourt? ✅ Les annonces les plus actuelles sont sur ImmoScout24.ch.")</f>
        <v>🏘  Vous cherchez un appartement à louer à Boécourt? ✅ Les annonces les plus actuelles sont sur ImmoScout24.ch.</v>
      </c>
      <c r="J2005" s="4" t="s">
        <v>6015</v>
      </c>
    </row>
    <row r="2006">
      <c r="A2006" s="5" t="s">
        <v>6016</v>
      </c>
      <c r="B2006" s="2" t="s">
        <v>6017</v>
      </c>
      <c r="C2006" s="4" t="str">
        <f>IFERROR(__xludf.DUMMYFUNCTION("""🏘️ ""&amp;REGEXEXTRACT(B2006, ""^(.*): "")&amp;"" ✅ "" &amp;REGEXEXTRACT(B2006, ""(Trouvez.*)"")"),"🏘️ Vendre maison Dozwil ✅ Trouvez le bien immobilier qui correspond idéalement à vos désirs sur ImmoScout24 - La plateforme de l'immobilier en Suisse.")</f>
        <v>🏘️ Vendre maison Dozwil ✅ Trouvez le bien immobilier qui correspond idéalement à vos désirs sur ImmoScout24 - La plateforme de l'immobilier en Suisse.</v>
      </c>
      <c r="D2006" s="4" t="str">
        <f>vlookup(A2006, Sheet2!D:E, 2, 0)</f>
        <v>variant</v>
      </c>
      <c r="E2006" s="4" t="str">
        <f>IFERROR(__xludf.DUMMYFUNCTION("if(H2006=""pays"",vlookup(REGEXEXTRACT(C2006, ""🏘️ \w+ \w+ (.*) ✅""),'Country prepositions'!A:B, 2, 0) &amp; "" "" &amp; REGEXEXTRACT(C2006, ""🏘️ \w+ \w+ (.*) ✅"") ,  if(H2006=""quartier"",vlookup(REGEXEXTRACT(C2006, ""🏘️ \w+ \w+ (.*) ✅""),'Quartier prepositio"&amp;"ns'!A:E, 5, 0) ,  if(H2006=""region"",vlookup(REGEXEXTRACT(C2006, ""🏘️ \w+ \w+ (.*) ✅""),'Region prepositions'!B:F, 5, 0),  REGEXEXTRACT(C2006, ""🏘️ \w+ \w+ (.*) ✅""))))"),"Dozwil")</f>
        <v>Dozwil</v>
      </c>
      <c r="F2006" s="2" t="str">
        <f>IFERROR(__xludf.DUMMYFUNCTION("REGEXEXTRACT(C2006, ""🏘️ (\w+) \w+ .* ✅"")"),"Vendre")</f>
        <v>Vendre</v>
      </c>
      <c r="G2006" s="2" t="str">
        <f>IFERROR(__xludf.DUMMYFUNCTION("REGEXEXTRACT(C2006, ""🏘️ \w+ (\w+) .* ✅"")"),"maison")</f>
        <v>maison</v>
      </c>
      <c r="H2006" s="4" t="str">
        <f>IFERROR(__xludf.DUMMYFUNCTION("REGEXEXTRACT(A2006, ""/(\w+)-.*?"")"),"lieu")</f>
        <v>lieu</v>
      </c>
      <c r="I2006" s="4" t="str">
        <f>IFERROR(__xludf.DUMMYFUNCTION("if(D2006=""variant"",  substitute(filter(Templates!E:E, Templates!A:A = F2006, Templates!B:B = G2006, Templates!C:C = H2006), ""{{}}"", E2006), B2006)"),"🏘  Vous souhaitez acheter une maison à Dozwil? ✅ Jetez un œil aux dernières offres sur ImmoScout24.ch.")</f>
        <v>🏘  Vous souhaitez acheter une maison à Dozwil? ✅ Jetez un œil aux dernières offres sur ImmoScout24.ch.</v>
      </c>
      <c r="J2006" s="4" t="s">
        <v>6018</v>
      </c>
    </row>
    <row r="2007">
      <c r="A2007" s="5" t="s">
        <v>6019</v>
      </c>
      <c r="B2007" s="2" t="s">
        <v>6020</v>
      </c>
      <c r="C2007" s="4" t="str">
        <f>IFERROR(__xludf.DUMMYFUNCTION("""🏘️ ""&amp;REGEXEXTRACT(B2007, ""^(.*): "")&amp;"" ✅ "" &amp;REGEXEXTRACT(B2007, ""(Trouvez.*)"")"),"🏘️ Vendre maison Sutz ✅ Trouvez le bien immobilier qui correspond idéalement à vos désirs sur ImmoScout24 - La plateforme de l'immobilier en Suisse.")</f>
        <v>🏘️ Vendre maison Sutz ✅ Trouvez le bien immobilier qui correspond idéalement à vos désirs sur ImmoScout24 - La plateforme de l'immobilier en Suisse.</v>
      </c>
      <c r="D2007" s="4" t="str">
        <f>vlookup(A2007, Sheet2!D:E, 2, 0)</f>
        <v>variant</v>
      </c>
      <c r="E2007" s="4" t="str">
        <f>IFERROR(__xludf.DUMMYFUNCTION("if(H2007=""pays"",vlookup(REGEXEXTRACT(C2007, ""🏘️ \w+ \w+ (.*) ✅""),'Country prepositions'!A:B, 2, 0) &amp; "" "" &amp; REGEXEXTRACT(C2007, ""🏘️ \w+ \w+ (.*) ✅"") ,  if(H2007=""quartier"",vlookup(REGEXEXTRACT(C2007, ""🏘️ \w+ \w+ (.*) ✅""),'Quartier prepositio"&amp;"ns'!A:E, 5, 0) ,  if(H2007=""region"",vlookup(REGEXEXTRACT(C2007, ""🏘️ \w+ \w+ (.*) ✅""),'Region prepositions'!B:F, 5, 0),  REGEXEXTRACT(C2007, ""🏘️ \w+ \w+ (.*) ✅""))))"),"Sutz")</f>
        <v>Sutz</v>
      </c>
      <c r="F2007" s="2" t="str">
        <f>IFERROR(__xludf.DUMMYFUNCTION("REGEXEXTRACT(C2007, ""🏘️ (\w+) \w+ .* ✅"")"),"Vendre")</f>
        <v>Vendre</v>
      </c>
      <c r="G2007" s="2" t="str">
        <f>IFERROR(__xludf.DUMMYFUNCTION("REGEXEXTRACT(C2007, ""🏘️ \w+ (\w+) .* ✅"")"),"maison")</f>
        <v>maison</v>
      </c>
      <c r="H2007" s="4" t="str">
        <f>IFERROR(__xludf.DUMMYFUNCTION("REGEXEXTRACT(A2007, ""/(\w+)-.*?"")"),"lieu")</f>
        <v>lieu</v>
      </c>
      <c r="I2007" s="4" t="str">
        <f>IFERROR(__xludf.DUMMYFUNCTION("if(D2007=""variant"",  substitute(filter(Templates!E:E, Templates!A:A = F2007, Templates!B:B = G2007, Templates!C:C = H2007), ""{{}}"", E2007), B2007)"),"🏘  Vous souhaitez acheter une maison à Sutz? ✅ Jetez un œil aux dernières offres sur ImmoScout24.ch.")</f>
        <v>🏘  Vous souhaitez acheter une maison à Sutz? ✅ Jetez un œil aux dernières offres sur ImmoScout24.ch.</v>
      </c>
      <c r="J2007" s="4" t="s">
        <v>6021</v>
      </c>
    </row>
    <row r="2008">
      <c r="A2008" s="5" t="s">
        <v>6022</v>
      </c>
      <c r="B2008" s="2" t="s">
        <v>6023</v>
      </c>
      <c r="C2008" s="4" t="str">
        <f>IFERROR(__xludf.DUMMYFUNCTION("""🏘️ ""&amp;REGEXEXTRACT(B2008, ""^(.*): "")&amp;"" ✅ "" &amp;REGEXEXTRACT(B2008, ""(Trouvez.*)"")"),"🏘️ Louer appartement Rueyres ✅ Trouvez le bien immobilier qui correspond idéalement à vos désirs sur ImmoScout24 - La plateforme de l'immobilier en Suisse.")</f>
        <v>🏘️ Louer appartement Rueyres ✅ Trouvez le bien immobilier qui correspond idéalement à vos désirs sur ImmoScout24 - La plateforme de l'immobilier en Suisse.</v>
      </c>
      <c r="D2008" s="4" t="str">
        <f>vlookup(A2008, Sheet2!D:E, 2, 0)</f>
        <v>variant</v>
      </c>
      <c r="E2008" s="4" t="str">
        <f>IFERROR(__xludf.DUMMYFUNCTION("if(H2008=""pays"",vlookup(REGEXEXTRACT(C2008, ""🏘️ \w+ \w+ (.*) ✅""),'Country prepositions'!A:B, 2, 0) &amp; "" "" &amp; REGEXEXTRACT(C2008, ""🏘️ \w+ \w+ (.*) ✅"") ,  if(H2008=""quartier"",vlookup(REGEXEXTRACT(C2008, ""🏘️ \w+ \w+ (.*) ✅""),'Quartier prepositio"&amp;"ns'!A:E, 5, 0) ,  if(H2008=""region"",vlookup(REGEXEXTRACT(C2008, ""🏘️ \w+ \w+ (.*) ✅""),'Region prepositions'!B:F, 5, 0),  REGEXEXTRACT(C2008, ""🏘️ \w+ \w+ (.*) ✅""))))"),"Rueyres")</f>
        <v>Rueyres</v>
      </c>
      <c r="F2008" s="2" t="str">
        <f>IFERROR(__xludf.DUMMYFUNCTION("REGEXEXTRACT(C2008, ""🏘️ (\w+) \w+ .* ✅"")"),"Louer")</f>
        <v>Louer</v>
      </c>
      <c r="G2008" s="2" t="str">
        <f>IFERROR(__xludf.DUMMYFUNCTION("REGEXEXTRACT(C2008, ""🏘️ \w+ (\w+) .* ✅"")"),"appartement")</f>
        <v>appartement</v>
      </c>
      <c r="H2008" s="4" t="str">
        <f>IFERROR(__xludf.DUMMYFUNCTION("REGEXEXTRACT(A2008, ""/(\w+)-.*?"")"),"lieu")</f>
        <v>lieu</v>
      </c>
      <c r="I2008" s="4" t="str">
        <f>IFERROR(__xludf.DUMMYFUNCTION("if(D2008=""variant"",  substitute(filter(Templates!E:E, Templates!A:A = F2008, Templates!B:B = G2008, Templates!C:C = H2008), ""{{}}"", E2008), B2008)"),"🏘  Vous cherchez un appartement à louer à Rueyres? ✅ Les annonces les plus actuelles sont sur ImmoScout24.ch.")</f>
        <v>🏘  Vous cherchez un appartement à louer à Rueyres? ✅ Les annonces les plus actuelles sont sur ImmoScout24.ch.</v>
      </c>
      <c r="J2008" s="4" t="s">
        <v>6024</v>
      </c>
    </row>
    <row r="2009">
      <c r="A2009" s="5" t="s">
        <v>6025</v>
      </c>
      <c r="B2009" s="2" t="s">
        <v>6026</v>
      </c>
      <c r="C2009" s="4" t="str">
        <f>IFERROR(__xludf.DUMMYFUNCTION("""🏘️ ""&amp;REGEXEXTRACT(B2009, ""^(.*): "")&amp;"" ✅ "" &amp;REGEXEXTRACT(B2009, ""(Trouvez.*)"")"),"🏘️ Vendre maison Fenin ✅ Trouvez le bien immobilier qui correspond idéalement à vos désirs sur ImmoScout24 - La plateforme de l'immobilier en Suisse.")</f>
        <v>🏘️ Vendre maison Fenin ✅ Trouvez le bien immobilier qui correspond idéalement à vos désirs sur ImmoScout24 - La plateforme de l'immobilier en Suisse.</v>
      </c>
      <c r="D2009" s="4" t="str">
        <f>vlookup(A2009, Sheet2!D:E, 2, 0)</f>
        <v>variant</v>
      </c>
      <c r="E2009" s="4" t="str">
        <f>IFERROR(__xludf.DUMMYFUNCTION("if(H2009=""pays"",vlookup(REGEXEXTRACT(C2009, ""🏘️ \w+ \w+ (.*) ✅""),'Country prepositions'!A:B, 2, 0) &amp; "" "" &amp; REGEXEXTRACT(C2009, ""🏘️ \w+ \w+ (.*) ✅"") ,  if(H2009=""quartier"",vlookup(REGEXEXTRACT(C2009, ""🏘️ \w+ \w+ (.*) ✅""),'Quartier prepositio"&amp;"ns'!A:E, 5, 0) ,  if(H2009=""region"",vlookup(REGEXEXTRACT(C2009, ""🏘️ \w+ \w+ (.*) ✅""),'Region prepositions'!B:F, 5, 0),  REGEXEXTRACT(C2009, ""🏘️ \w+ \w+ (.*) ✅""))))"),"Fenin")</f>
        <v>Fenin</v>
      </c>
      <c r="F2009" s="2" t="str">
        <f>IFERROR(__xludf.DUMMYFUNCTION("REGEXEXTRACT(C2009, ""🏘️ (\w+) \w+ .* ✅"")"),"Vendre")</f>
        <v>Vendre</v>
      </c>
      <c r="G2009" s="2" t="str">
        <f>IFERROR(__xludf.DUMMYFUNCTION("REGEXEXTRACT(C2009, ""🏘️ \w+ (\w+) .* ✅"")"),"maison")</f>
        <v>maison</v>
      </c>
      <c r="H2009" s="4" t="str">
        <f>IFERROR(__xludf.DUMMYFUNCTION("REGEXEXTRACT(A2009, ""/(\w+)-.*?"")"),"lieu")</f>
        <v>lieu</v>
      </c>
      <c r="I2009" s="4" t="str">
        <f>IFERROR(__xludf.DUMMYFUNCTION("if(D2009=""variant"",  substitute(filter(Templates!E:E, Templates!A:A = F2009, Templates!B:B = G2009, Templates!C:C = H2009), ""{{}}"", E2009), B2009)"),"🏘  Vous souhaitez acheter une maison à Fenin? ✅ Jetez un œil aux dernières offres sur ImmoScout24.ch.")</f>
        <v>🏘  Vous souhaitez acheter une maison à Fenin? ✅ Jetez un œil aux dernières offres sur ImmoScout24.ch.</v>
      </c>
      <c r="J2009" s="4" t="s">
        <v>6027</v>
      </c>
    </row>
    <row r="2010">
      <c r="A2010" s="5" t="s">
        <v>6028</v>
      </c>
      <c r="B2010" s="2" t="s">
        <v>6029</v>
      </c>
      <c r="C2010" s="4" t="str">
        <f>IFERROR(__xludf.DUMMYFUNCTION("""🏘️ ""&amp;REGEXEXTRACT(B2010, ""^(.*): "")&amp;"" ✅ "" &amp;REGEXEXTRACT(B2010, ""(Trouvez.*)"")"),"🏘️ Vendre appartement Arzier-Le Muids ✅ Trouvez le bien immobilier qui correspond idéalement à vos désirs sur ImmoScout24 - La plateforme de l'immobilier en Suisse.")</f>
        <v>🏘️ Vendre appartement Arzier-Le Muids ✅ Trouvez le bien immobilier qui correspond idéalement à vos désirs sur ImmoScout24 - La plateforme de l'immobilier en Suisse.</v>
      </c>
      <c r="D2010" s="4" t="str">
        <f>vlookup(A2010, Sheet2!D:E, 2, 0)</f>
        <v>variant</v>
      </c>
      <c r="E2010" s="4" t="str">
        <f>IFERROR(__xludf.DUMMYFUNCTION("if(H2010=""pays"",vlookup(REGEXEXTRACT(C2010, ""🏘️ \w+ \w+ (.*) ✅""),'Country prepositions'!A:B, 2, 0) &amp; "" "" &amp; REGEXEXTRACT(C2010, ""🏘️ \w+ \w+ (.*) ✅"") ,  if(H2010=""quartier"",vlookup(REGEXEXTRACT(C2010, ""🏘️ \w+ \w+ (.*) ✅""),'Quartier prepositio"&amp;"ns'!A:E, 5, 0) ,  if(H2010=""region"",vlookup(REGEXEXTRACT(C2010, ""🏘️ \w+ \w+ (.*) ✅""),'Region prepositions'!B:F, 5, 0),  REGEXEXTRACT(C2010, ""🏘️ \w+ \w+ (.*) ✅""))))"),"Arzier-Le Muids")</f>
        <v>Arzier-Le Muids</v>
      </c>
      <c r="F2010" s="2" t="str">
        <f>IFERROR(__xludf.DUMMYFUNCTION("REGEXEXTRACT(C2010, ""🏘️ (\w+) \w+ .* ✅"")"),"Vendre")</f>
        <v>Vendre</v>
      </c>
      <c r="G2010" s="2" t="str">
        <f>IFERROR(__xludf.DUMMYFUNCTION("REGEXEXTRACT(C2010, ""🏘️ \w+ (\w+) .* ✅"")"),"appartement")</f>
        <v>appartement</v>
      </c>
      <c r="H2010" s="4" t="str">
        <f>IFERROR(__xludf.DUMMYFUNCTION("REGEXEXTRACT(A2010, ""/(\w+)-.*?"")"),"lieu")</f>
        <v>lieu</v>
      </c>
      <c r="I2010" s="4" t="str">
        <f>IFERROR(__xludf.DUMMYFUNCTION("if(D2010=""variant"",  substitute(filter(Templates!E:E, Templates!A:A = F2010, Templates!B:B = G2010, Templates!C:C = H2010), ""{{}}"", E2010), B2010)"),"🏘  L’appartement de vos rêves se trouve sur ImmoScout24.ch ✅ Découvrez les dernières annonces de vente à Arzier-Le Muids.")</f>
        <v>🏘  L’appartement de vos rêves se trouve sur ImmoScout24.ch ✅ Découvrez les dernières annonces de vente à Arzier-Le Muids.</v>
      </c>
      <c r="J2010" s="4" t="s">
        <v>6030</v>
      </c>
    </row>
    <row r="2011">
      <c r="A2011" s="5" t="s">
        <v>6031</v>
      </c>
      <c r="B2011" s="2" t="s">
        <v>6032</v>
      </c>
      <c r="C2011" s="4" t="str">
        <f>IFERROR(__xludf.DUMMYFUNCTION("""🏘️ ""&amp;REGEXEXTRACT(B2011, ""^(.*): "")&amp;"" ✅ "" &amp;REGEXEXTRACT(B2011, ""(Trouvez.*)"")"),"🏘️ Louer appartement Bremgarten b. Bern ✅ Trouvez le bien immobilier qui correspond idéalement à vos désirs sur ImmoScout24 - La plateforme de l'immobilier en Suisse.")</f>
        <v>🏘️ Louer appartement Bremgarten b. Bern ✅ Trouvez le bien immobilier qui correspond idéalement à vos désirs sur ImmoScout24 - La plateforme de l'immobilier en Suisse.</v>
      </c>
      <c r="D2011" s="4" t="str">
        <f>vlookup(A2011, Sheet2!D:E, 2, 0)</f>
        <v>variant</v>
      </c>
      <c r="E2011" s="4" t="str">
        <f>IFERROR(__xludf.DUMMYFUNCTION("if(H2011=""pays"",vlookup(REGEXEXTRACT(C2011, ""🏘️ \w+ \w+ (.*) ✅""),'Country prepositions'!A:B, 2, 0) &amp; "" "" &amp; REGEXEXTRACT(C2011, ""🏘️ \w+ \w+ (.*) ✅"") ,  if(H2011=""quartier"",vlookup(REGEXEXTRACT(C2011, ""🏘️ \w+ \w+ (.*) ✅""),'Quartier prepositio"&amp;"ns'!A:E, 5, 0) ,  if(H2011=""region"",vlookup(REGEXEXTRACT(C2011, ""🏘️ \w+ \w+ (.*) ✅""),'Region prepositions'!B:F, 5, 0),  REGEXEXTRACT(C2011, ""🏘️ \w+ \w+ (.*) ✅""))))"),"Bremgarten b. Bern")</f>
        <v>Bremgarten b. Bern</v>
      </c>
      <c r="F2011" s="2" t="str">
        <f>IFERROR(__xludf.DUMMYFUNCTION("REGEXEXTRACT(C2011, ""🏘️ (\w+) \w+ .* ✅"")"),"Louer")</f>
        <v>Louer</v>
      </c>
      <c r="G2011" s="2" t="str">
        <f>IFERROR(__xludf.DUMMYFUNCTION("REGEXEXTRACT(C2011, ""🏘️ \w+ (\w+) .* ✅"")"),"appartement")</f>
        <v>appartement</v>
      </c>
      <c r="H2011" s="4" t="str">
        <f>IFERROR(__xludf.DUMMYFUNCTION("REGEXEXTRACT(A2011, ""/(\w+)-.*?"")"),"lieu")</f>
        <v>lieu</v>
      </c>
      <c r="I2011" s="4" t="str">
        <f>IFERROR(__xludf.DUMMYFUNCTION("if(D2011=""variant"",  substitute(filter(Templates!E:E, Templates!A:A = F2011, Templates!B:B = G2011, Templates!C:C = H2011), ""{{}}"", E2011), B2011)"),"🏘  Vous cherchez un appartement à louer à Bremgarten b. Bern? ✅ Les annonces les plus actuelles sont sur ImmoScout24.ch.")</f>
        <v>🏘  Vous cherchez un appartement à louer à Bremgarten b. Bern? ✅ Les annonces les plus actuelles sont sur ImmoScout24.ch.</v>
      </c>
      <c r="J2011" s="4" t="s">
        <v>6033</v>
      </c>
    </row>
    <row r="2012">
      <c r="A2012" s="5" t="s">
        <v>6034</v>
      </c>
      <c r="B2012" s="2" t="s">
        <v>6035</v>
      </c>
      <c r="C2012" s="4" t="str">
        <f>IFERROR(__xludf.DUMMYFUNCTION("""🏘️ ""&amp;REGEXEXTRACT(B2012, ""^(.*): "")&amp;"" ✅ "" &amp;REGEXEXTRACT(B2012, ""(Trouvez.*)"")"),"🏘️ Vendre maison Attiswil ✅ Trouvez le bien immobilier qui correspond idéalement à vos désirs sur ImmoScout24 - La plateforme de l'immobilier en Suisse.")</f>
        <v>🏘️ Vendre maison Attiswil ✅ Trouvez le bien immobilier qui correspond idéalement à vos désirs sur ImmoScout24 - La plateforme de l'immobilier en Suisse.</v>
      </c>
      <c r="D2012" s="4" t="str">
        <f>vlookup(A2012, Sheet2!D:E, 2, 0)</f>
        <v>variant</v>
      </c>
      <c r="E2012" s="4" t="str">
        <f>IFERROR(__xludf.DUMMYFUNCTION("if(H2012=""pays"",vlookup(REGEXEXTRACT(C2012, ""🏘️ \w+ \w+ (.*) ✅""),'Country prepositions'!A:B, 2, 0) &amp; "" "" &amp; REGEXEXTRACT(C2012, ""🏘️ \w+ \w+ (.*) ✅"") ,  if(H2012=""quartier"",vlookup(REGEXEXTRACT(C2012, ""🏘️ \w+ \w+ (.*) ✅""),'Quartier prepositio"&amp;"ns'!A:E, 5, 0) ,  if(H2012=""region"",vlookup(REGEXEXTRACT(C2012, ""🏘️ \w+ \w+ (.*) ✅""),'Region prepositions'!B:F, 5, 0),  REGEXEXTRACT(C2012, ""🏘️ \w+ \w+ (.*) ✅""))))"),"Attiswil")</f>
        <v>Attiswil</v>
      </c>
      <c r="F2012" s="2" t="str">
        <f>IFERROR(__xludf.DUMMYFUNCTION("REGEXEXTRACT(C2012, ""🏘️ (\w+) \w+ .* ✅"")"),"Vendre")</f>
        <v>Vendre</v>
      </c>
      <c r="G2012" s="2" t="str">
        <f>IFERROR(__xludf.DUMMYFUNCTION("REGEXEXTRACT(C2012, ""🏘️ \w+ (\w+) .* ✅"")"),"maison")</f>
        <v>maison</v>
      </c>
      <c r="H2012" s="4" t="str">
        <f>IFERROR(__xludf.DUMMYFUNCTION("REGEXEXTRACT(A2012, ""/(\w+)-.*?"")"),"lieu")</f>
        <v>lieu</v>
      </c>
      <c r="I2012" s="4" t="str">
        <f>IFERROR(__xludf.DUMMYFUNCTION("if(D2012=""variant"",  substitute(filter(Templates!E:E, Templates!A:A = F2012, Templates!B:B = G2012, Templates!C:C = H2012), ""{{}}"", E2012), B2012)"),"🏘  Vous souhaitez acheter une maison à Attiswil? ✅ Jetez un œil aux dernières offres sur ImmoScout24.ch.")</f>
        <v>🏘  Vous souhaitez acheter une maison à Attiswil? ✅ Jetez un œil aux dernières offres sur ImmoScout24.ch.</v>
      </c>
      <c r="J2012" s="4" t="s">
        <v>6036</v>
      </c>
    </row>
    <row r="2013">
      <c r="A2013" s="5" t="s">
        <v>6037</v>
      </c>
      <c r="B2013" s="2" t="s">
        <v>6038</v>
      </c>
      <c r="C2013" s="4" t="str">
        <f>IFERROR(__xludf.DUMMYFUNCTION("""🏘️ ""&amp;REGEXEXTRACT(B2013, ""^(.*): "")&amp;"" ✅ "" &amp;REGEXEXTRACT(B2013, ""(Trouvez.*)"")"),"🏘️ Vendre appartement Maupas - Valency (Lausanne) ✅ Trouvez le bien immobilier qui correspond idéalement à vos désirs sur ImmoScout24 - La plateforme de l'immobilier en Suisse.")</f>
        <v>🏘️ Vendre appartement Maupas - Valency (Lausanne) ✅ Trouvez le bien immobilier qui correspond idéalement à vos désirs sur ImmoScout24 - La plateforme de l'immobilier en Suisse.</v>
      </c>
      <c r="D2013" s="4" t="str">
        <f>vlookup(A2013, Sheet2!D:E, 2, 0)</f>
        <v>variant</v>
      </c>
      <c r="E2013" s="4" t="str">
        <f>IFERROR(__xludf.DUMMYFUNCTION("if(H2013=""pays"",vlookup(REGEXEXTRACT(C2013, ""🏘️ \w+ \w+ (.*) ✅""),'Country prepositions'!A:B, 2, 0) &amp; "" "" &amp; REGEXEXTRACT(C2013, ""🏘️ \w+ \w+ (.*) ✅"") ,  if(H2013=""quartier"",vlookup(REGEXEXTRACT(C2013, ""🏘️ \w+ \w+ (.*) ✅""),'Quartier prepositio"&amp;"ns'!A:E, 5, 0) ,  if(H2013=""region"",vlookup(REGEXEXTRACT(C2013, ""🏘️ \w+ \w+ (.*) ✅""),'Region prepositions'!B:F, 5, 0),  REGEXEXTRACT(C2013, ""🏘️ \w+ \w+ (.*) ✅""))))"),"dans le quartier de Maupas - Valency (Lausanne)")</f>
        <v>dans le quartier de Maupas - Valency (Lausanne)</v>
      </c>
      <c r="F2013" s="2" t="str">
        <f>IFERROR(__xludf.DUMMYFUNCTION("REGEXEXTRACT(C2013, ""🏘️ (\w+) \w+ .* ✅"")"),"Vendre")</f>
        <v>Vendre</v>
      </c>
      <c r="G2013" s="2" t="str">
        <f>IFERROR(__xludf.DUMMYFUNCTION("REGEXEXTRACT(C2013, ""🏘️ \w+ (\w+) .* ✅"")"),"appartement")</f>
        <v>appartement</v>
      </c>
      <c r="H2013" s="4" t="str">
        <f>IFERROR(__xludf.DUMMYFUNCTION("REGEXEXTRACT(A2013, ""/(\w+)-.*?"")"),"quartier")</f>
        <v>quartier</v>
      </c>
      <c r="I2013" s="4" t="str">
        <f>IFERROR(__xludf.DUMMYFUNCTION("if(D2013=""variant"",  substitute(filter(Templates!E:E, Templates!A:A = F2013, Templates!B:B = G2013, Templates!C:C = H2013), ""{{}}"", E2013), B2013)"),"🏘  L’appartement de vos rêves se trouve sur ImmoScout24.ch ✅ Découvrez les dernières annonces de vente dans le quartier de Maupas - Valency (Lausanne).")</f>
        <v>🏘  L’appartement de vos rêves se trouve sur ImmoScout24.ch ✅ Découvrez les dernières annonces de vente dans le quartier de Maupas - Valency (Lausanne).</v>
      </c>
      <c r="J2013" s="4" t="s">
        <v>6039</v>
      </c>
    </row>
    <row r="2014">
      <c r="A2014" s="5" t="s">
        <v>6040</v>
      </c>
      <c r="B2014" s="2" t="s">
        <v>6041</v>
      </c>
      <c r="C2014" s="4" t="str">
        <f>IFERROR(__xludf.DUMMYFUNCTION("""🏘️ ""&amp;REGEXEXTRACT(B2014, ""^(.*): "")&amp;"" ✅ "" &amp;REGEXEXTRACT(B2014, ""(Trouvez.*)"")"),"🏘️ Vendre maison Jura Vaudois ✅ Trouvez le bien immobilier qui correspond idéalement à vos désirs sur ImmoScout24 - La plateforme de l'immobilier en Suisse.")</f>
        <v>🏘️ Vendre maison Jura Vaudois ✅ Trouvez le bien immobilier qui correspond idéalement à vos désirs sur ImmoScout24 - La plateforme de l'immobilier en Suisse.</v>
      </c>
      <c r="D2014" s="4" t="str">
        <f>vlookup(A2014, Sheet2!D:E, 2, 0)</f>
        <v>variant</v>
      </c>
      <c r="E2014" s="4" t="str">
        <f>IFERROR(__xludf.DUMMYFUNCTION("if(H2014=""pays"",vlookup(REGEXEXTRACT(C2014, ""🏘️ \w+ \w+ (.*) ✅""),'Country prepositions'!A:B, 2, 0) &amp; "" "" &amp; REGEXEXTRACT(C2014, ""🏘️ \w+ \w+ (.*) ✅"") ,  if(H2014=""quartier"",vlookup(REGEXEXTRACT(C2014, ""🏘️ \w+ \w+ (.*) ✅""),'Quartier prepositio"&amp;"ns'!A:E, 5, 0) ,  if(H2014=""region"",vlookup(REGEXEXTRACT(C2014, ""🏘️ \w+ \w+ (.*) ✅""),'Region prepositions'!B:F, 5, 0),  REGEXEXTRACT(C2014, ""🏘️ \w+ \w+ (.*) ✅""))))"),"dans le Jura vaudois")</f>
        <v>dans le Jura vaudois</v>
      </c>
      <c r="F2014" s="2" t="str">
        <f>IFERROR(__xludf.DUMMYFUNCTION("REGEXEXTRACT(C2014, ""🏘️ (\w+) \w+ .* ✅"")"),"Vendre")</f>
        <v>Vendre</v>
      </c>
      <c r="G2014" s="2" t="str">
        <f>IFERROR(__xludf.DUMMYFUNCTION("REGEXEXTRACT(C2014, ""🏘️ \w+ (\w+) .* ✅"")"),"maison")</f>
        <v>maison</v>
      </c>
      <c r="H2014" s="4" t="str">
        <f>IFERROR(__xludf.DUMMYFUNCTION("REGEXEXTRACT(A2014, ""/(\w+)-.*?"")"),"region")</f>
        <v>region</v>
      </c>
      <c r="I2014" s="4" t="str">
        <f>IFERROR(__xludf.DUMMYFUNCTION("if(D2014=""variant"",  substitute(filter(Templates!E:E, Templates!A:A = F2014, Templates!B:B = G2014, Templates!C:C = H2014), ""{{}}"", E2014), B2014)"),"🏘  Vous souhaitez acheter une maison dans le Jura vaudois? ✅ Jetez un œil aux dernières offres sur ImmoScout24.ch.")</f>
        <v>🏘  Vous souhaitez acheter une maison dans le Jura vaudois? ✅ Jetez un œil aux dernières offres sur ImmoScout24.ch.</v>
      </c>
      <c r="J2014" s="4" t="s">
        <v>6042</v>
      </c>
    </row>
    <row r="2015">
      <c r="A2015" s="5" t="s">
        <v>6043</v>
      </c>
      <c r="B2015" s="2" t="s">
        <v>6044</v>
      </c>
      <c r="C2015" s="4" t="str">
        <f>IFERROR(__xludf.DUMMYFUNCTION("""🏘️ ""&amp;REGEXEXTRACT(B2015, ""^(.*): "")&amp;"" ✅ "" &amp;REGEXEXTRACT(B2015, ""(Trouvez.*)"")"),"🏘️ Vendre maison Corpataux ✅ Trouvez le bien immobilier qui correspond idéalement à vos désirs sur ImmoScout24 - La plateforme de l'immobilier en Suisse.")</f>
        <v>🏘️ Vendre maison Corpataux ✅ Trouvez le bien immobilier qui correspond idéalement à vos désirs sur ImmoScout24 - La plateforme de l'immobilier en Suisse.</v>
      </c>
      <c r="D2015" s="4" t="str">
        <f>vlookup(A2015, Sheet2!D:E, 2, 0)</f>
        <v>variant</v>
      </c>
      <c r="E2015" s="4" t="str">
        <f>IFERROR(__xludf.DUMMYFUNCTION("if(H2015=""pays"",vlookup(REGEXEXTRACT(C2015, ""🏘️ \w+ \w+ (.*) ✅""),'Country prepositions'!A:B, 2, 0) &amp; "" "" &amp; REGEXEXTRACT(C2015, ""🏘️ \w+ \w+ (.*) ✅"") ,  if(H2015=""quartier"",vlookup(REGEXEXTRACT(C2015, ""🏘️ \w+ \w+ (.*) ✅""),'Quartier prepositio"&amp;"ns'!A:E, 5, 0) ,  if(H2015=""region"",vlookup(REGEXEXTRACT(C2015, ""🏘️ \w+ \w+ (.*) ✅""),'Region prepositions'!B:F, 5, 0),  REGEXEXTRACT(C2015, ""🏘️ \w+ \w+ (.*) ✅""))))"),"Corpataux")</f>
        <v>Corpataux</v>
      </c>
      <c r="F2015" s="2" t="str">
        <f>IFERROR(__xludf.DUMMYFUNCTION("REGEXEXTRACT(C2015, ""🏘️ (\w+) \w+ .* ✅"")"),"Vendre")</f>
        <v>Vendre</v>
      </c>
      <c r="G2015" s="2" t="str">
        <f>IFERROR(__xludf.DUMMYFUNCTION("REGEXEXTRACT(C2015, ""🏘️ \w+ (\w+) .* ✅"")"),"maison")</f>
        <v>maison</v>
      </c>
      <c r="H2015" s="4" t="str">
        <f>IFERROR(__xludf.DUMMYFUNCTION("REGEXEXTRACT(A2015, ""/(\w+)-.*?"")"),"lieu")</f>
        <v>lieu</v>
      </c>
      <c r="I2015" s="4" t="str">
        <f>IFERROR(__xludf.DUMMYFUNCTION("if(D2015=""variant"",  substitute(filter(Templates!E:E, Templates!A:A = F2015, Templates!B:B = G2015, Templates!C:C = H2015), ""{{}}"", E2015), B2015)"),"🏘  Vous souhaitez acheter une maison à Corpataux? ✅ Jetez un œil aux dernières offres sur ImmoScout24.ch.")</f>
        <v>🏘  Vous souhaitez acheter une maison à Corpataux? ✅ Jetez un œil aux dernières offres sur ImmoScout24.ch.</v>
      </c>
      <c r="J2015" s="4" t="s">
        <v>6045</v>
      </c>
    </row>
    <row r="2016">
      <c r="A2016" s="5" t="s">
        <v>6046</v>
      </c>
      <c r="B2016" s="2" t="s">
        <v>6047</v>
      </c>
      <c r="C2016" s="4" t="str">
        <f>IFERROR(__xludf.DUMMYFUNCTION("""🏘️ ""&amp;REGEXEXTRACT(B2016, ""^(.*): "")&amp;"" ✅ "" &amp;REGEXEXTRACT(B2016, ""(Trouvez.*)"")"),"🏘️ Vendre maison Bellinzone ✅ Trouvez le bien immobilier qui correspond idéalement à vos désirs sur ImmoScout24 - La plateforme de l'immobilier en Suisse.")</f>
        <v>🏘️ Vendre maison Bellinzone ✅ Trouvez le bien immobilier qui correspond idéalement à vos désirs sur ImmoScout24 - La plateforme de l'immobilier en Suisse.</v>
      </c>
      <c r="D2016" s="4" t="str">
        <f>vlookup(A2016, Sheet2!D:E, 2, 0)</f>
        <v>variant</v>
      </c>
      <c r="E2016" s="4" t="str">
        <f>IFERROR(__xludf.DUMMYFUNCTION("if(H2016=""pays"",vlookup(REGEXEXTRACT(C2016, ""🏘️ \w+ \w+ (.*) ✅""),'Country prepositions'!A:B, 2, 0) &amp; "" "" &amp; REGEXEXTRACT(C2016, ""🏘️ \w+ \w+ (.*) ✅"") ,  if(H2016=""quartier"",vlookup(REGEXEXTRACT(C2016, ""🏘️ \w+ \w+ (.*) ✅""),'Quartier prepositio"&amp;"ns'!A:E, 5, 0) ,  if(H2016=""region"",vlookup(REGEXEXTRACT(C2016, ""🏘️ \w+ \w+ (.*) ✅""),'Region prepositions'!B:F, 5, 0),  REGEXEXTRACT(C2016, ""🏘️ \w+ \w+ (.*) ✅""))))"),"à Bellinzone")</f>
        <v>à Bellinzone</v>
      </c>
      <c r="F2016" s="2" t="str">
        <f>IFERROR(__xludf.DUMMYFUNCTION("REGEXEXTRACT(C2016, ""🏘️ (\w+) \w+ .* ✅"")"),"Vendre")</f>
        <v>Vendre</v>
      </c>
      <c r="G2016" s="2" t="str">
        <f>IFERROR(__xludf.DUMMYFUNCTION("REGEXEXTRACT(C2016, ""🏘️ \w+ (\w+) .* ✅"")"),"maison")</f>
        <v>maison</v>
      </c>
      <c r="H2016" s="4" t="str">
        <f>IFERROR(__xludf.DUMMYFUNCTION("REGEXEXTRACT(A2016, ""/(\w+)-.*?"")"),"region")</f>
        <v>region</v>
      </c>
      <c r="I2016" s="4" t="str">
        <f>IFERROR(__xludf.DUMMYFUNCTION("if(D2016=""variant"",  substitute(filter(Templates!E:E, Templates!A:A = F2016, Templates!B:B = G2016, Templates!C:C = H2016), ""{{}}"", E2016), B2016)"),"🏘  Vous souhaitez acheter une maison à Bellinzone? ✅ Jetez un œil aux dernières offres sur ImmoScout24.ch.")</f>
        <v>🏘  Vous souhaitez acheter une maison à Bellinzone? ✅ Jetez un œil aux dernières offres sur ImmoScout24.ch.</v>
      </c>
      <c r="J2016" s="4" t="s">
        <v>6048</v>
      </c>
    </row>
    <row r="2017">
      <c r="A2017" s="5" t="s">
        <v>6049</v>
      </c>
      <c r="B2017" s="2" t="s">
        <v>6050</v>
      </c>
      <c r="C2017" s="4" t="str">
        <f>IFERROR(__xludf.DUMMYFUNCTION("""🏘️ ""&amp;REGEXEXTRACT(B2017, ""^(.*): "")&amp;"" ✅ "" &amp;REGEXEXTRACT(B2017, ""(Trouvez.*)"")"),"🏘️ Vendre appartement Savigny ✅ Trouvez le bien immobilier qui correspond idéalement à vos désirs sur ImmoScout24 - La plateforme de l'immobilier en Suisse.")</f>
        <v>🏘️ Vendre appartement Savigny ✅ Trouvez le bien immobilier qui correspond idéalement à vos désirs sur ImmoScout24 - La plateforme de l'immobilier en Suisse.</v>
      </c>
      <c r="D2017" s="4" t="str">
        <f>vlookup(A2017, Sheet2!D:E, 2, 0)</f>
        <v>variant</v>
      </c>
      <c r="E2017" s="4" t="str">
        <f>IFERROR(__xludf.DUMMYFUNCTION("if(H2017=""pays"",vlookup(REGEXEXTRACT(C2017, ""🏘️ \w+ \w+ (.*) ✅""),'Country prepositions'!A:B, 2, 0) &amp; "" "" &amp; REGEXEXTRACT(C2017, ""🏘️ \w+ \w+ (.*) ✅"") ,  if(H2017=""quartier"",vlookup(REGEXEXTRACT(C2017, ""🏘️ \w+ \w+ (.*) ✅""),'Quartier prepositio"&amp;"ns'!A:E, 5, 0) ,  if(H2017=""region"",vlookup(REGEXEXTRACT(C2017, ""🏘️ \w+ \w+ (.*) ✅""),'Region prepositions'!B:F, 5, 0),  REGEXEXTRACT(C2017, ""🏘️ \w+ \w+ (.*) ✅""))))"),"Savigny")</f>
        <v>Savigny</v>
      </c>
      <c r="F2017" s="2" t="str">
        <f>IFERROR(__xludf.DUMMYFUNCTION("REGEXEXTRACT(C2017, ""🏘️ (\w+) \w+ .* ✅"")"),"Vendre")</f>
        <v>Vendre</v>
      </c>
      <c r="G2017" s="2" t="str">
        <f>IFERROR(__xludf.DUMMYFUNCTION("REGEXEXTRACT(C2017, ""🏘️ \w+ (\w+) .* ✅"")"),"appartement")</f>
        <v>appartement</v>
      </c>
      <c r="H2017" s="4" t="str">
        <f>IFERROR(__xludf.DUMMYFUNCTION("REGEXEXTRACT(A2017, ""/(\w+)-.*?"")"),"lieu")</f>
        <v>lieu</v>
      </c>
      <c r="I2017" s="4" t="str">
        <f>IFERROR(__xludf.DUMMYFUNCTION("if(D2017=""variant"",  substitute(filter(Templates!E:E, Templates!A:A = F2017, Templates!B:B = G2017, Templates!C:C = H2017), ""{{}}"", E2017), B2017)"),"🏘  L’appartement de vos rêves se trouve sur ImmoScout24.ch ✅ Découvrez les dernières annonces de vente à Savigny.")</f>
        <v>🏘  L’appartement de vos rêves se trouve sur ImmoScout24.ch ✅ Découvrez les dernières annonces de vente à Savigny.</v>
      </c>
      <c r="J2017" s="4" t="s">
        <v>6051</v>
      </c>
    </row>
    <row r="2018">
      <c r="A2018" s="5" t="s">
        <v>6052</v>
      </c>
      <c r="B2018" s="2" t="s">
        <v>6053</v>
      </c>
      <c r="C2018" s="4" t="str">
        <f>IFERROR(__xludf.DUMMYFUNCTION("""🏘️ ""&amp;REGEXEXTRACT(B2018, ""^(.*): "")&amp;"" ✅ "" &amp;REGEXEXTRACT(B2018, ""(Trouvez.*)"")"),"🏘️ Louer maison Tentlingen ✅ Trouvez le bien immobilier qui correspond idéalement à vos désirs sur ImmoScout24 - La plateforme de l'immobilier en Suisse.")</f>
        <v>🏘️ Louer maison Tentlingen ✅ Trouvez le bien immobilier qui correspond idéalement à vos désirs sur ImmoScout24 - La plateforme de l'immobilier en Suisse.</v>
      </c>
      <c r="D2018" s="4" t="str">
        <f>vlookup(A2018, Sheet2!D:E, 2, 0)</f>
        <v>variant</v>
      </c>
      <c r="E2018" s="4" t="str">
        <f>IFERROR(__xludf.DUMMYFUNCTION("if(H2018=""pays"",vlookup(REGEXEXTRACT(C2018, ""🏘️ \w+ \w+ (.*) ✅""),'Country prepositions'!A:B, 2, 0) &amp; "" "" &amp; REGEXEXTRACT(C2018, ""🏘️ \w+ \w+ (.*) ✅"") ,  if(H2018=""quartier"",vlookup(REGEXEXTRACT(C2018, ""🏘️ \w+ \w+ (.*) ✅""),'Quartier prepositio"&amp;"ns'!A:E, 5, 0) ,  if(H2018=""region"",vlookup(REGEXEXTRACT(C2018, ""🏘️ \w+ \w+ (.*) ✅""),'Region prepositions'!B:F, 5, 0),  REGEXEXTRACT(C2018, ""🏘️ \w+ \w+ (.*) ✅""))))"),"Tentlingen")</f>
        <v>Tentlingen</v>
      </c>
      <c r="F2018" s="2" t="str">
        <f>IFERROR(__xludf.DUMMYFUNCTION("REGEXEXTRACT(C2018, ""🏘️ (\w+) \w+ .* ✅"")"),"Louer")</f>
        <v>Louer</v>
      </c>
      <c r="G2018" s="2" t="str">
        <f>IFERROR(__xludf.DUMMYFUNCTION("REGEXEXTRACT(C2018, ""🏘️ \w+ (\w+) .* ✅"")"),"maison")</f>
        <v>maison</v>
      </c>
      <c r="H2018" s="4" t="str">
        <f>IFERROR(__xludf.DUMMYFUNCTION("REGEXEXTRACT(A2018, ""/(\w+)-.*?"")"),"lieu")</f>
        <v>lieu</v>
      </c>
      <c r="I2018" s="4" t="str">
        <f>IFERROR(__xludf.DUMMYFUNCTION("if(D2018=""variant"",  substitute(filter(Templates!E:E, Templates!A:A = F2018, Templates!B:B = G2018, Templates!C:C = H2018), ""{{}}"", E2018), B2018)"),"🏘  Vous cherchez une maison à louer à Tentlingen? ✅ Découvrez nos nombreuses annonces sur ImmoScout24.ch.")</f>
        <v>🏘  Vous cherchez une maison à louer à Tentlingen? ✅ Découvrez nos nombreuses annonces sur ImmoScout24.ch.</v>
      </c>
      <c r="J2018" s="4" t="s">
        <v>6054</v>
      </c>
    </row>
    <row r="2019">
      <c r="A2019" s="5" t="s">
        <v>6055</v>
      </c>
      <c r="B2019" s="2" t="s">
        <v>6056</v>
      </c>
      <c r="C2019" s="4" t="str">
        <f>IFERROR(__xludf.DUMMYFUNCTION("""🏘️ ""&amp;REGEXEXTRACT(B2019, ""^(.*): "")&amp;"" ✅ "" &amp;REGEXEXTRACT(B2019, ""(Trouvez.*)"")"),"🏘️ Vendre maison Oberwald ✅ Trouvez le bien immobilier qui correspond idéalement à vos désirs sur ImmoScout24 - La plateforme de l'immobilier en Suisse.")</f>
        <v>🏘️ Vendre maison Oberwald ✅ Trouvez le bien immobilier qui correspond idéalement à vos désirs sur ImmoScout24 - La plateforme de l'immobilier en Suisse.</v>
      </c>
      <c r="D2019" s="4" t="str">
        <f>vlookup(A2019, Sheet2!D:E, 2, 0)</f>
        <v>variant</v>
      </c>
      <c r="E2019" s="4" t="str">
        <f>IFERROR(__xludf.DUMMYFUNCTION("if(H2019=""pays"",vlookup(REGEXEXTRACT(C2019, ""🏘️ \w+ \w+ (.*) ✅""),'Country prepositions'!A:B, 2, 0) &amp; "" "" &amp; REGEXEXTRACT(C2019, ""🏘️ \w+ \w+ (.*) ✅"") ,  if(H2019=""quartier"",vlookup(REGEXEXTRACT(C2019, ""🏘️ \w+ \w+ (.*) ✅""),'Quartier prepositio"&amp;"ns'!A:E, 5, 0) ,  if(H2019=""region"",vlookup(REGEXEXTRACT(C2019, ""🏘️ \w+ \w+ (.*) ✅""),'Region prepositions'!B:F, 5, 0),  REGEXEXTRACT(C2019, ""🏘️ \w+ \w+ (.*) ✅""))))"),"Oberwald")</f>
        <v>Oberwald</v>
      </c>
      <c r="F2019" s="2" t="str">
        <f>IFERROR(__xludf.DUMMYFUNCTION("REGEXEXTRACT(C2019, ""🏘️ (\w+) \w+ .* ✅"")"),"Vendre")</f>
        <v>Vendre</v>
      </c>
      <c r="G2019" s="2" t="str">
        <f>IFERROR(__xludf.DUMMYFUNCTION("REGEXEXTRACT(C2019, ""🏘️ \w+ (\w+) .* ✅"")"),"maison")</f>
        <v>maison</v>
      </c>
      <c r="H2019" s="4" t="str">
        <f>IFERROR(__xludf.DUMMYFUNCTION("REGEXEXTRACT(A2019, ""/(\w+)-.*?"")"),"lieu")</f>
        <v>lieu</v>
      </c>
      <c r="I2019" s="4" t="str">
        <f>IFERROR(__xludf.DUMMYFUNCTION("if(D2019=""variant"",  substitute(filter(Templates!E:E, Templates!A:A = F2019, Templates!B:B = G2019, Templates!C:C = H2019), ""{{}}"", E2019), B2019)"),"🏘  Vous souhaitez acheter une maison à Oberwald? ✅ Jetez un œil aux dernières offres sur ImmoScout24.ch.")</f>
        <v>🏘  Vous souhaitez acheter une maison à Oberwald? ✅ Jetez un œil aux dernières offres sur ImmoScout24.ch.</v>
      </c>
      <c r="J2019" s="4" t="s">
        <v>6057</v>
      </c>
    </row>
    <row r="2020">
      <c r="A2020" s="5" t="s">
        <v>6058</v>
      </c>
      <c r="B2020" s="2" t="s">
        <v>6059</v>
      </c>
      <c r="C2020" s="4" t="str">
        <f>IFERROR(__xludf.DUMMYFUNCTION("""🏘️ ""&amp;REGEXEXTRACT(B2020, ""^(.*): "")&amp;"" ✅ "" &amp;REGEXEXTRACT(B2020, ""(Trouvez.*)"")"),"🏘️ Vendre maison Servion ✅ Trouvez le bien immobilier qui correspond idéalement à vos désirs sur ImmoScout24 - La plateforme de l'immobilier en Suisse.")</f>
        <v>🏘️ Vendre maison Servion ✅ Trouvez le bien immobilier qui correspond idéalement à vos désirs sur ImmoScout24 - La plateforme de l'immobilier en Suisse.</v>
      </c>
      <c r="D2020" s="4" t="str">
        <f>vlookup(A2020, Sheet2!D:E, 2, 0)</f>
        <v>variant</v>
      </c>
      <c r="E2020" s="4" t="str">
        <f>IFERROR(__xludf.DUMMYFUNCTION("if(H2020=""pays"",vlookup(REGEXEXTRACT(C2020, ""🏘️ \w+ \w+ (.*) ✅""),'Country prepositions'!A:B, 2, 0) &amp; "" "" &amp; REGEXEXTRACT(C2020, ""🏘️ \w+ \w+ (.*) ✅"") ,  if(H2020=""quartier"",vlookup(REGEXEXTRACT(C2020, ""🏘️ \w+ \w+ (.*) ✅""),'Quartier prepositio"&amp;"ns'!A:E, 5, 0) ,  if(H2020=""region"",vlookup(REGEXEXTRACT(C2020, ""🏘️ \w+ \w+ (.*) ✅""),'Region prepositions'!B:F, 5, 0),  REGEXEXTRACT(C2020, ""🏘️ \w+ \w+ (.*) ✅""))))"),"Servion")</f>
        <v>Servion</v>
      </c>
      <c r="F2020" s="2" t="str">
        <f>IFERROR(__xludf.DUMMYFUNCTION("REGEXEXTRACT(C2020, ""🏘️ (\w+) \w+ .* ✅"")"),"Vendre")</f>
        <v>Vendre</v>
      </c>
      <c r="G2020" s="2" t="str">
        <f>IFERROR(__xludf.DUMMYFUNCTION("REGEXEXTRACT(C2020, ""🏘️ \w+ (\w+) .* ✅"")"),"maison")</f>
        <v>maison</v>
      </c>
      <c r="H2020" s="4" t="str">
        <f>IFERROR(__xludf.DUMMYFUNCTION("REGEXEXTRACT(A2020, ""/(\w+)-.*?"")"),"lieu")</f>
        <v>lieu</v>
      </c>
      <c r="I2020" s="4" t="str">
        <f>IFERROR(__xludf.DUMMYFUNCTION("if(D2020=""variant"",  substitute(filter(Templates!E:E, Templates!A:A = F2020, Templates!B:B = G2020, Templates!C:C = H2020), ""{{}}"", E2020), B2020)"),"🏘  Vous souhaitez acheter une maison à Servion? ✅ Jetez un œil aux dernières offres sur ImmoScout24.ch.")</f>
        <v>🏘  Vous souhaitez acheter une maison à Servion? ✅ Jetez un œil aux dernières offres sur ImmoScout24.ch.</v>
      </c>
      <c r="J2020" s="4" t="s">
        <v>6060</v>
      </c>
    </row>
    <row r="2021">
      <c r="A2021" s="5" t="s">
        <v>6061</v>
      </c>
      <c r="B2021" s="2" t="s">
        <v>6062</v>
      </c>
      <c r="C2021" s="4" t="str">
        <f>IFERROR(__xludf.DUMMYFUNCTION("""🏘️ ""&amp;REGEXEXTRACT(B2021, ""^(.*): "")&amp;"" ✅ "" &amp;REGEXEXTRACT(B2021, ""(Trouvez.*)"")"),"🏘️ Louer appartement Locarno ✅ Trouvez le bien immobilier qui correspond idéalement à vos désirs sur ImmoScout24 - La plateforme de l'immobilier en Suisse.")</f>
        <v>🏘️ Louer appartement Locarno ✅ Trouvez le bien immobilier qui correspond idéalement à vos désirs sur ImmoScout24 - La plateforme de l'immobilier en Suisse.</v>
      </c>
      <c r="D2021" s="4" t="str">
        <f>vlookup(A2021, Sheet2!D:E, 2, 0)</f>
        <v>variant</v>
      </c>
      <c r="E2021" s="4" t="str">
        <f>IFERROR(__xludf.DUMMYFUNCTION("if(H2021=""pays"",vlookup(REGEXEXTRACT(C2021, ""🏘️ \w+ \w+ (.*) ✅""),'Country prepositions'!A:B, 2, 0) &amp; "" "" &amp; REGEXEXTRACT(C2021, ""🏘️ \w+ \w+ (.*) ✅"") ,  if(H2021=""quartier"",vlookup(REGEXEXTRACT(C2021, ""🏘️ \w+ \w+ (.*) ✅""),'Quartier prepositio"&amp;"ns'!A:E, 5, 0) ,  if(H2021=""region"",vlookup(REGEXEXTRACT(C2021, ""🏘️ \w+ \w+ (.*) ✅""),'Region prepositions'!B:F, 5, 0),  REGEXEXTRACT(C2021, ""🏘️ \w+ \w+ (.*) ✅""))))"),"Locarno")</f>
        <v>Locarno</v>
      </c>
      <c r="F2021" s="2" t="str">
        <f>IFERROR(__xludf.DUMMYFUNCTION("REGEXEXTRACT(C2021, ""🏘️ (\w+) \w+ .* ✅"")"),"Louer")</f>
        <v>Louer</v>
      </c>
      <c r="G2021" s="2" t="str">
        <f>IFERROR(__xludf.DUMMYFUNCTION("REGEXEXTRACT(C2021, ""🏘️ \w+ (\w+) .* ✅"")"),"appartement")</f>
        <v>appartement</v>
      </c>
      <c r="H2021" s="4" t="str">
        <f>IFERROR(__xludf.DUMMYFUNCTION("REGEXEXTRACT(A2021, ""/(\w+)-.*?"")"),"lieu")</f>
        <v>lieu</v>
      </c>
      <c r="I2021" s="4" t="str">
        <f>IFERROR(__xludf.DUMMYFUNCTION("if(D2021=""variant"",  substitute(filter(Templates!E:E, Templates!A:A = F2021, Templates!B:B = G2021, Templates!C:C = H2021), ""{{}}"", E2021), B2021)"),"🏘  Vous cherchez un appartement à louer à Locarno? ✅ Les annonces les plus actuelles sont sur ImmoScout24.ch.")</f>
        <v>🏘  Vous cherchez un appartement à louer à Locarno? ✅ Les annonces les plus actuelles sont sur ImmoScout24.ch.</v>
      </c>
      <c r="J2021" s="4" t="s">
        <v>6063</v>
      </c>
    </row>
    <row r="2022">
      <c r="A2022" s="5" t="s">
        <v>6064</v>
      </c>
      <c r="B2022" s="2" t="s">
        <v>6065</v>
      </c>
      <c r="C2022" s="4" t="str">
        <f>IFERROR(__xludf.DUMMYFUNCTION("""🏘️ ""&amp;REGEXEXTRACT(B2022, ""^(.*): "")&amp;"" ✅ "" &amp;REGEXEXTRACT(B2022, ""(Trouvez.*)"")"),"🏘️ Louer maison La Croix (Lutry) ✅ Trouvez le bien immobilier qui correspond idéalement à vos désirs sur ImmoScout24 - La plateforme de l'immobilier en Suisse.")</f>
        <v>🏘️ Louer maison La Croix (Lutry) ✅ Trouvez le bien immobilier qui correspond idéalement à vos désirs sur ImmoScout24 - La plateforme de l'immobilier en Suisse.</v>
      </c>
      <c r="D2022" s="4" t="str">
        <f>vlookup(A2022, Sheet2!D:E, 2, 0)</f>
        <v>variant</v>
      </c>
      <c r="E2022" s="4" t="str">
        <f>IFERROR(__xludf.DUMMYFUNCTION("if(H2022=""pays"",vlookup(REGEXEXTRACT(C2022, ""🏘️ \w+ \w+ (.*) ✅""),'Country prepositions'!A:B, 2, 0) &amp; "" "" &amp; REGEXEXTRACT(C2022, ""🏘️ \w+ \w+ (.*) ✅"") ,  if(H2022=""quartier"",vlookup(REGEXEXTRACT(C2022, ""🏘️ \w+ \w+ (.*) ✅""),'Quartier prepositio"&amp;"ns'!A:E, 5, 0) ,  if(H2022=""region"",vlookup(REGEXEXTRACT(C2022, ""🏘️ \w+ \w+ (.*) ✅""),'Region prepositions'!B:F, 5, 0),  REGEXEXTRACT(C2022, ""🏘️ \w+ \w+ (.*) ✅""))))"),"La Croix (Lutry)")</f>
        <v>La Croix (Lutry)</v>
      </c>
      <c r="F2022" s="2" t="str">
        <f>IFERROR(__xludf.DUMMYFUNCTION("REGEXEXTRACT(C2022, ""🏘️ (\w+) \w+ .* ✅"")"),"Louer")</f>
        <v>Louer</v>
      </c>
      <c r="G2022" s="2" t="str">
        <f>IFERROR(__xludf.DUMMYFUNCTION("REGEXEXTRACT(C2022, ""🏘️ \w+ (\w+) .* ✅"")"),"maison")</f>
        <v>maison</v>
      </c>
      <c r="H2022" s="4" t="str">
        <f>IFERROR(__xludf.DUMMYFUNCTION("REGEXEXTRACT(A2022, ""/(\w+)-.*?"")"),"lieu")</f>
        <v>lieu</v>
      </c>
      <c r="I2022" s="4" t="str">
        <f>IFERROR(__xludf.DUMMYFUNCTION("if(D2022=""variant"",  substitute(filter(Templates!E:E, Templates!A:A = F2022, Templates!B:B = G2022, Templates!C:C = H2022), ""{{}}"", E2022), B2022)"),"🏘  Vous cherchez une maison à louer à La Croix (Lutry)? ✅ Découvrez nos nombreuses annonces sur ImmoScout24.ch.")</f>
        <v>🏘  Vous cherchez une maison à louer à La Croix (Lutry)? ✅ Découvrez nos nombreuses annonces sur ImmoScout24.ch.</v>
      </c>
      <c r="J2022" s="4" t="s">
        <v>6066</v>
      </c>
    </row>
    <row r="2023">
      <c r="A2023" s="5" t="s">
        <v>6067</v>
      </c>
      <c r="B2023" s="2" t="s">
        <v>6068</v>
      </c>
      <c r="C2023" s="4" t="str">
        <f>IFERROR(__xludf.DUMMYFUNCTION("""🏘️ ""&amp;REGEXEXTRACT(B2023, ""^(.*): "")&amp;"" ✅ "" &amp;REGEXEXTRACT(B2023, ""(Trouvez.*)"")"),"🏘️ Vendre maison Romairon ✅ Trouvez le bien immobilier qui correspond idéalement à vos désirs sur ImmoScout24 - La plateforme de l'immobilier en Suisse.")</f>
        <v>🏘️ Vendre maison Romairon ✅ Trouvez le bien immobilier qui correspond idéalement à vos désirs sur ImmoScout24 - La plateforme de l'immobilier en Suisse.</v>
      </c>
      <c r="D2023" s="4" t="str">
        <f>vlookup(A2023, Sheet2!D:E, 2, 0)</f>
        <v>variant</v>
      </c>
      <c r="E2023" s="4" t="str">
        <f>IFERROR(__xludf.DUMMYFUNCTION("if(H2023=""pays"",vlookup(REGEXEXTRACT(C2023, ""🏘️ \w+ \w+ (.*) ✅""),'Country prepositions'!A:B, 2, 0) &amp; "" "" &amp; REGEXEXTRACT(C2023, ""🏘️ \w+ \w+ (.*) ✅"") ,  if(H2023=""quartier"",vlookup(REGEXEXTRACT(C2023, ""🏘️ \w+ \w+ (.*) ✅""),'Quartier prepositio"&amp;"ns'!A:E, 5, 0) ,  if(H2023=""region"",vlookup(REGEXEXTRACT(C2023, ""🏘️ \w+ \w+ (.*) ✅""),'Region prepositions'!B:F, 5, 0),  REGEXEXTRACT(C2023, ""🏘️ \w+ \w+ (.*) ✅""))))"),"Romairon")</f>
        <v>Romairon</v>
      </c>
      <c r="F2023" s="2" t="str">
        <f>IFERROR(__xludf.DUMMYFUNCTION("REGEXEXTRACT(C2023, ""🏘️ (\w+) \w+ .* ✅"")"),"Vendre")</f>
        <v>Vendre</v>
      </c>
      <c r="G2023" s="2" t="str">
        <f>IFERROR(__xludf.DUMMYFUNCTION("REGEXEXTRACT(C2023, ""🏘️ \w+ (\w+) .* ✅"")"),"maison")</f>
        <v>maison</v>
      </c>
      <c r="H2023" s="4" t="str">
        <f>IFERROR(__xludf.DUMMYFUNCTION("REGEXEXTRACT(A2023, ""/(\w+)-.*?"")"),"lieu")</f>
        <v>lieu</v>
      </c>
      <c r="I2023" s="4" t="str">
        <f>IFERROR(__xludf.DUMMYFUNCTION("if(D2023=""variant"",  substitute(filter(Templates!E:E, Templates!A:A = F2023, Templates!B:B = G2023, Templates!C:C = H2023), ""{{}}"", E2023), B2023)"),"🏘  Vous souhaitez acheter une maison à Romairon? ✅ Jetez un œil aux dernières offres sur ImmoScout24.ch.")</f>
        <v>🏘  Vous souhaitez acheter une maison à Romairon? ✅ Jetez un œil aux dernières offres sur ImmoScout24.ch.</v>
      </c>
      <c r="J2023" s="4" t="s">
        <v>6069</v>
      </c>
    </row>
    <row r="2024">
      <c r="A2024" s="5" t="s">
        <v>6070</v>
      </c>
      <c r="B2024" s="2" t="s">
        <v>6071</v>
      </c>
      <c r="C2024" s="4" t="str">
        <f>IFERROR(__xludf.DUMMYFUNCTION("""🏘️ ""&amp;REGEXEXTRACT(B2024, ""^(.*): "")&amp;"" ✅ "" &amp;REGEXEXTRACT(B2024, ""(Trouvez.*)"")"),"🏘️ Vendre appartement Biglen ✅ Trouvez le bien immobilier qui correspond idéalement à vos désirs sur ImmoScout24 - La plateforme de l'immobilier en Suisse.")</f>
        <v>🏘️ Vendre appartement Biglen ✅ Trouvez le bien immobilier qui correspond idéalement à vos désirs sur ImmoScout24 - La plateforme de l'immobilier en Suisse.</v>
      </c>
      <c r="D2024" s="4" t="str">
        <f>vlookup(A2024, Sheet2!D:E, 2, 0)</f>
        <v>variant</v>
      </c>
      <c r="E2024" s="4" t="str">
        <f>IFERROR(__xludf.DUMMYFUNCTION("if(H2024=""pays"",vlookup(REGEXEXTRACT(C2024, ""🏘️ \w+ \w+ (.*) ✅""),'Country prepositions'!A:B, 2, 0) &amp; "" "" &amp; REGEXEXTRACT(C2024, ""🏘️ \w+ \w+ (.*) ✅"") ,  if(H2024=""quartier"",vlookup(REGEXEXTRACT(C2024, ""🏘️ \w+ \w+ (.*) ✅""),'Quartier prepositio"&amp;"ns'!A:E, 5, 0) ,  if(H2024=""region"",vlookup(REGEXEXTRACT(C2024, ""🏘️ \w+ \w+ (.*) ✅""),'Region prepositions'!B:F, 5, 0),  REGEXEXTRACT(C2024, ""🏘️ \w+ \w+ (.*) ✅""))))"),"Biglen")</f>
        <v>Biglen</v>
      </c>
      <c r="F2024" s="2" t="str">
        <f>IFERROR(__xludf.DUMMYFUNCTION("REGEXEXTRACT(C2024, ""🏘️ (\w+) \w+ .* ✅"")"),"Vendre")</f>
        <v>Vendre</v>
      </c>
      <c r="G2024" s="2" t="str">
        <f>IFERROR(__xludf.DUMMYFUNCTION("REGEXEXTRACT(C2024, ""🏘️ \w+ (\w+) .* ✅"")"),"appartement")</f>
        <v>appartement</v>
      </c>
      <c r="H2024" s="4" t="str">
        <f>IFERROR(__xludf.DUMMYFUNCTION("REGEXEXTRACT(A2024, ""/(\w+)-.*?"")"),"lieu")</f>
        <v>lieu</v>
      </c>
      <c r="I2024" s="4" t="str">
        <f>IFERROR(__xludf.DUMMYFUNCTION("if(D2024=""variant"",  substitute(filter(Templates!E:E, Templates!A:A = F2024, Templates!B:B = G2024, Templates!C:C = H2024), ""{{}}"", E2024), B2024)"),"🏘  L’appartement de vos rêves se trouve sur ImmoScout24.ch ✅ Découvrez les dernières annonces de vente à Biglen.")</f>
        <v>🏘  L’appartement de vos rêves se trouve sur ImmoScout24.ch ✅ Découvrez les dernières annonces de vente à Biglen.</v>
      </c>
      <c r="J2024" s="4" t="s">
        <v>6072</v>
      </c>
    </row>
    <row r="2025">
      <c r="A2025" s="5" t="s">
        <v>6073</v>
      </c>
      <c r="B2025" s="2" t="s">
        <v>6074</v>
      </c>
      <c r="C2025" s="4" t="str">
        <f>IFERROR(__xludf.DUMMYFUNCTION("""🏘️ ""&amp;REGEXEXTRACT(B2025, ""^(.*): "")&amp;"" ✅ "" &amp;REGEXEXTRACT(B2025, ""(Trouvez.*)"")"),"🏘️ Vendre appartement Ollon VD ✅ Trouvez le bien immobilier qui correspond idéalement à vos désirs sur ImmoScout24 - La plateforme de l'immobilier en Suisse.")</f>
        <v>🏘️ Vendre appartement Ollon VD ✅ Trouvez le bien immobilier qui correspond idéalement à vos désirs sur ImmoScout24 - La plateforme de l'immobilier en Suisse.</v>
      </c>
      <c r="D2025" s="4" t="str">
        <f>vlookup(A2025, Sheet2!D:E, 2, 0)</f>
        <v>variant</v>
      </c>
      <c r="E2025" s="4" t="str">
        <f>IFERROR(__xludf.DUMMYFUNCTION("if(H2025=""pays"",vlookup(REGEXEXTRACT(C2025, ""🏘️ \w+ \w+ (.*) ✅""),'Country prepositions'!A:B, 2, 0) &amp; "" "" &amp; REGEXEXTRACT(C2025, ""🏘️ \w+ \w+ (.*) ✅"") ,  if(H2025=""quartier"",vlookup(REGEXEXTRACT(C2025, ""🏘️ \w+ \w+ (.*) ✅""),'Quartier prepositio"&amp;"ns'!A:E, 5, 0) ,  if(H2025=""region"",vlookup(REGEXEXTRACT(C2025, ""🏘️ \w+ \w+ (.*) ✅""),'Region prepositions'!B:F, 5, 0),  REGEXEXTRACT(C2025, ""🏘️ \w+ \w+ (.*) ✅""))))"),"Ollon VD")</f>
        <v>Ollon VD</v>
      </c>
      <c r="F2025" s="2" t="str">
        <f>IFERROR(__xludf.DUMMYFUNCTION("REGEXEXTRACT(C2025, ""🏘️ (\w+) \w+ .* ✅"")"),"Vendre")</f>
        <v>Vendre</v>
      </c>
      <c r="G2025" s="2" t="str">
        <f>IFERROR(__xludf.DUMMYFUNCTION("REGEXEXTRACT(C2025, ""🏘️ \w+ (\w+) .* ✅"")"),"appartement")</f>
        <v>appartement</v>
      </c>
      <c r="H2025" s="4" t="str">
        <f>IFERROR(__xludf.DUMMYFUNCTION("REGEXEXTRACT(A2025, ""/(\w+)-.*?"")"),"lieu")</f>
        <v>lieu</v>
      </c>
      <c r="I2025" s="4" t="str">
        <f>IFERROR(__xludf.DUMMYFUNCTION("if(D2025=""variant"",  substitute(filter(Templates!E:E, Templates!A:A = F2025, Templates!B:B = G2025, Templates!C:C = H2025), ""{{}}"", E2025), B2025)"),"🏘  L’appartement de vos rêves se trouve sur ImmoScout24.ch ✅ Découvrez les dernières annonces de vente à Ollon VD.")</f>
        <v>🏘  L’appartement de vos rêves se trouve sur ImmoScout24.ch ✅ Découvrez les dernières annonces de vente à Ollon VD.</v>
      </c>
      <c r="J2025" s="4" t="s">
        <v>6075</v>
      </c>
    </row>
    <row r="2026">
      <c r="A2026" s="5" t="s">
        <v>6076</v>
      </c>
      <c r="B2026" s="2" t="s">
        <v>6077</v>
      </c>
      <c r="C2026" s="4" t="str">
        <f>IFERROR(__xludf.DUMMYFUNCTION("""🏘️ ""&amp;REGEXEXTRACT(B2026, ""^(.*): "")&amp;"" ✅ "" &amp;REGEXEXTRACT(B2026, ""(Trouvez.*)"")"),"🏘️ Vendre maison Treytorrens (Payerne) ✅ Trouvez le bien immobilier qui correspond idéalement à vos désirs sur ImmoScout24 - La plateforme de l'immobilier en Suisse.")</f>
        <v>🏘️ Vendre maison Treytorrens (Payerne) ✅ Trouvez le bien immobilier qui correspond idéalement à vos désirs sur ImmoScout24 - La plateforme de l'immobilier en Suisse.</v>
      </c>
      <c r="D2026" s="4" t="str">
        <f>vlookup(A2026, Sheet2!D:E, 2, 0)</f>
        <v>variant</v>
      </c>
      <c r="E2026" s="4" t="str">
        <f>IFERROR(__xludf.DUMMYFUNCTION("if(H2026=""pays"",vlookup(REGEXEXTRACT(C2026, ""🏘️ \w+ \w+ (.*) ✅""),'Country prepositions'!A:B, 2, 0) &amp; "" "" &amp; REGEXEXTRACT(C2026, ""🏘️ \w+ \w+ (.*) ✅"") ,  if(H2026=""quartier"",vlookup(REGEXEXTRACT(C2026, ""🏘️ \w+ \w+ (.*) ✅""),'Quartier prepositio"&amp;"ns'!A:E, 5, 0) ,  if(H2026=""region"",vlookup(REGEXEXTRACT(C2026, ""🏘️ \w+ \w+ (.*) ✅""),'Region prepositions'!B:F, 5, 0),  REGEXEXTRACT(C2026, ""🏘️ \w+ \w+ (.*) ✅""))))"),"Treytorrens (Payerne)")</f>
        <v>Treytorrens (Payerne)</v>
      </c>
      <c r="F2026" s="2" t="str">
        <f>IFERROR(__xludf.DUMMYFUNCTION("REGEXEXTRACT(C2026, ""🏘️ (\w+) \w+ .* ✅"")"),"Vendre")</f>
        <v>Vendre</v>
      </c>
      <c r="G2026" s="2" t="str">
        <f>IFERROR(__xludf.DUMMYFUNCTION("REGEXEXTRACT(C2026, ""🏘️ \w+ (\w+) .* ✅"")"),"maison")</f>
        <v>maison</v>
      </c>
      <c r="H2026" s="4" t="str">
        <f>IFERROR(__xludf.DUMMYFUNCTION("REGEXEXTRACT(A2026, ""/(\w+)-.*?"")"),"lieu")</f>
        <v>lieu</v>
      </c>
      <c r="I2026" s="4" t="str">
        <f>IFERROR(__xludf.DUMMYFUNCTION("if(D2026=""variant"",  substitute(filter(Templates!E:E, Templates!A:A = F2026, Templates!B:B = G2026, Templates!C:C = H2026), ""{{}}"", E2026), B2026)"),"🏘  Vous souhaitez acheter une maison à Treytorrens (Payerne)? ✅ Jetez un œil aux dernières offres sur ImmoScout24.ch.")</f>
        <v>🏘  Vous souhaitez acheter une maison à Treytorrens (Payerne)? ✅ Jetez un œil aux dernières offres sur ImmoScout24.ch.</v>
      </c>
      <c r="J2026" s="4" t="s">
        <v>6078</v>
      </c>
    </row>
    <row r="2027">
      <c r="A2027" s="5" t="s">
        <v>6079</v>
      </c>
      <c r="B2027" s="2" t="s">
        <v>6080</v>
      </c>
      <c r="C2027" s="4" t="str">
        <f>IFERROR(__xludf.DUMMYFUNCTION("""🏘️ ""&amp;REGEXEXTRACT(B2027, ""^(.*): "")&amp;"" ✅ "" &amp;REGEXEXTRACT(B2027, ""(Trouvez.*)"")"),"🏘️ Vendre appartement Visperterminen ✅ Trouvez le bien immobilier qui correspond idéalement à vos désirs sur ImmoScout24 - La plateforme de l'immobilier en Suisse.")</f>
        <v>🏘️ Vendre appartement Visperterminen ✅ Trouvez le bien immobilier qui correspond idéalement à vos désirs sur ImmoScout24 - La plateforme de l'immobilier en Suisse.</v>
      </c>
      <c r="D2027" s="4" t="str">
        <f>vlookup(A2027, Sheet2!D:E, 2, 0)</f>
        <v>variant</v>
      </c>
      <c r="E2027" s="4" t="str">
        <f>IFERROR(__xludf.DUMMYFUNCTION("if(H2027=""pays"",vlookup(REGEXEXTRACT(C2027, ""🏘️ \w+ \w+ (.*) ✅""),'Country prepositions'!A:B, 2, 0) &amp; "" "" &amp; REGEXEXTRACT(C2027, ""🏘️ \w+ \w+ (.*) ✅"") ,  if(H2027=""quartier"",vlookup(REGEXEXTRACT(C2027, ""🏘️ \w+ \w+ (.*) ✅""),'Quartier prepositio"&amp;"ns'!A:E, 5, 0) ,  if(H2027=""region"",vlookup(REGEXEXTRACT(C2027, ""🏘️ \w+ \w+ (.*) ✅""),'Region prepositions'!B:F, 5, 0),  REGEXEXTRACT(C2027, ""🏘️ \w+ \w+ (.*) ✅""))))"),"Visperterminen")</f>
        <v>Visperterminen</v>
      </c>
      <c r="F2027" s="2" t="str">
        <f>IFERROR(__xludf.DUMMYFUNCTION("REGEXEXTRACT(C2027, ""🏘️ (\w+) \w+ .* ✅"")"),"Vendre")</f>
        <v>Vendre</v>
      </c>
      <c r="G2027" s="2" t="str">
        <f>IFERROR(__xludf.DUMMYFUNCTION("REGEXEXTRACT(C2027, ""🏘️ \w+ (\w+) .* ✅"")"),"appartement")</f>
        <v>appartement</v>
      </c>
      <c r="H2027" s="4" t="str">
        <f>IFERROR(__xludf.DUMMYFUNCTION("REGEXEXTRACT(A2027, ""/(\w+)-.*?"")"),"lieu")</f>
        <v>lieu</v>
      </c>
      <c r="I2027" s="4" t="str">
        <f>IFERROR(__xludf.DUMMYFUNCTION("if(D2027=""variant"",  substitute(filter(Templates!E:E, Templates!A:A = F2027, Templates!B:B = G2027, Templates!C:C = H2027), ""{{}}"", E2027), B2027)"),"🏘  L’appartement de vos rêves se trouve sur ImmoScout24.ch ✅ Découvrez les dernières annonces de vente à Visperterminen.")</f>
        <v>🏘  L’appartement de vos rêves se trouve sur ImmoScout24.ch ✅ Découvrez les dernières annonces de vente à Visperterminen.</v>
      </c>
      <c r="J2027" s="4" t="s">
        <v>6081</v>
      </c>
    </row>
    <row r="2028">
      <c r="A2028" s="5" t="s">
        <v>6082</v>
      </c>
      <c r="B2028" s="2" t="s">
        <v>6083</v>
      </c>
      <c r="C2028" s="4" t="str">
        <f>IFERROR(__xludf.DUMMYFUNCTION("""🏘️ ""&amp;REGEXEXTRACT(B2028, ""^(.*): "")&amp;"" ✅ "" &amp;REGEXEXTRACT(B2028, ""(Trouvez.*)"")"),"🏘️ Vendre maison Höri ✅ Trouvez le bien immobilier qui correspond idéalement à vos désirs sur ImmoScout24 - La plateforme de l'immobilier en Suisse.")</f>
        <v>🏘️ Vendre maison Höri ✅ Trouvez le bien immobilier qui correspond idéalement à vos désirs sur ImmoScout24 - La plateforme de l'immobilier en Suisse.</v>
      </c>
      <c r="D2028" s="4" t="str">
        <f>vlookup(A2028, Sheet2!D:E, 2, 0)</f>
        <v>variant</v>
      </c>
      <c r="E2028" s="4" t="str">
        <f>IFERROR(__xludf.DUMMYFUNCTION("if(H2028=""pays"",vlookup(REGEXEXTRACT(C2028, ""🏘️ \w+ \w+ (.*) ✅""),'Country prepositions'!A:B, 2, 0) &amp; "" "" &amp; REGEXEXTRACT(C2028, ""🏘️ \w+ \w+ (.*) ✅"") ,  if(H2028=""quartier"",vlookup(REGEXEXTRACT(C2028, ""🏘️ \w+ \w+ (.*) ✅""),'Quartier prepositio"&amp;"ns'!A:E, 5, 0) ,  if(H2028=""region"",vlookup(REGEXEXTRACT(C2028, ""🏘️ \w+ \w+ (.*) ✅""),'Region prepositions'!B:F, 5, 0),  REGEXEXTRACT(C2028, ""🏘️ \w+ \w+ (.*) ✅""))))"),"Höri")</f>
        <v>Höri</v>
      </c>
      <c r="F2028" s="2" t="str">
        <f>IFERROR(__xludf.DUMMYFUNCTION("REGEXEXTRACT(C2028, ""🏘️ (\w+) \w+ .* ✅"")"),"Vendre")</f>
        <v>Vendre</v>
      </c>
      <c r="G2028" s="2" t="str">
        <f>IFERROR(__xludf.DUMMYFUNCTION("REGEXEXTRACT(C2028, ""🏘️ \w+ (\w+) .* ✅"")"),"maison")</f>
        <v>maison</v>
      </c>
      <c r="H2028" s="4" t="str">
        <f>IFERROR(__xludf.DUMMYFUNCTION("REGEXEXTRACT(A2028, ""/(\w+)-.*?"")"),"lieu")</f>
        <v>lieu</v>
      </c>
      <c r="I2028" s="4" t="str">
        <f>IFERROR(__xludf.DUMMYFUNCTION("if(D2028=""variant"",  substitute(filter(Templates!E:E, Templates!A:A = F2028, Templates!B:B = G2028, Templates!C:C = H2028), ""{{}}"", E2028), B2028)"),"🏘  Vous souhaitez acheter une maison à Höri? ✅ Jetez un œil aux dernières offres sur ImmoScout24.ch.")</f>
        <v>🏘  Vous souhaitez acheter une maison à Höri? ✅ Jetez un œil aux dernières offres sur ImmoScout24.ch.</v>
      </c>
      <c r="J2028" s="4" t="s">
        <v>6084</v>
      </c>
    </row>
    <row r="2029">
      <c r="A2029" s="5" t="s">
        <v>6085</v>
      </c>
      <c r="B2029" s="2" t="s">
        <v>6086</v>
      </c>
      <c r="C2029" s="4" t="str">
        <f>IFERROR(__xludf.DUMMYFUNCTION("""🏘️ ""&amp;REGEXEXTRACT(B2029, ""^(.*): "")&amp;"" ✅ "" &amp;REGEXEXTRACT(B2029, ""(Trouvez.*)"")"),"🏘️ Louer appartement Maroc ✅ Trouvez le bien immobilier qui correspond idéalement à vos désirs sur ImmoScout24 - La plateforme de l'immobilier en Suisse.")</f>
        <v>🏘️ Louer appartement Maroc ✅ Trouvez le bien immobilier qui correspond idéalement à vos désirs sur ImmoScout24 - La plateforme de l'immobilier en Suisse.</v>
      </c>
      <c r="D2029" s="4" t="str">
        <f>vlookup(A2029, Sheet2!D:E, 2, 0)</f>
        <v>variant</v>
      </c>
      <c r="E2029" s="4" t="str">
        <f>IFERROR(__xludf.DUMMYFUNCTION("if(H2029=""pays"",vlookup(REGEXEXTRACT(C2029, ""🏘️ \w+ \w+ (.*) ✅""),'Country prepositions'!A:B, 2, 0) &amp; "" "" &amp; REGEXEXTRACT(C2029, ""🏘️ \w+ \w+ (.*) ✅"") ,  if(H2029=""quartier"",vlookup(REGEXEXTRACT(C2029, ""🏘️ \w+ \w+ (.*) ✅""),'Quartier prepositio"&amp;"ns'!A:E, 5, 0) ,  if(H2029=""region"",vlookup(REGEXEXTRACT(C2029, ""🏘️ \w+ \w+ (.*) ✅""),'Region prepositions'!B:F, 5, 0),  REGEXEXTRACT(C2029, ""🏘️ \w+ \w+ (.*) ✅""))))"),"au Maroc")</f>
        <v>au Maroc</v>
      </c>
      <c r="F2029" s="2" t="str">
        <f>IFERROR(__xludf.DUMMYFUNCTION("REGEXEXTRACT(C2029, ""🏘️ (\w+) \w+ .* ✅"")"),"Louer")</f>
        <v>Louer</v>
      </c>
      <c r="G2029" s="2" t="str">
        <f>IFERROR(__xludf.DUMMYFUNCTION("REGEXEXTRACT(C2029, ""🏘️ \w+ (\w+) .* ✅"")"),"appartement")</f>
        <v>appartement</v>
      </c>
      <c r="H2029" s="4" t="str">
        <f>IFERROR(__xludf.DUMMYFUNCTION("REGEXEXTRACT(A2029, ""/(\w+)-.*?"")"),"pays")</f>
        <v>pays</v>
      </c>
      <c r="I2029" s="4" t="str">
        <f>IFERROR(__xludf.DUMMYFUNCTION("if(D2029=""variant"",  substitute(filter(Templates!E:E, Templates!A:A = F2029, Templates!B:B = G2029, Templates!C:C = H2029), ""{{}}"", E2029), B2029)"),"🏘  Vous cherchez un appartement à louer au Maroc? ✅ Les annonces les plus actuelles sont sur ImmoScout24.ch.")</f>
        <v>🏘  Vous cherchez un appartement à louer au Maroc? ✅ Les annonces les plus actuelles sont sur ImmoScout24.ch.</v>
      </c>
      <c r="J2029" s="4" t="s">
        <v>5077</v>
      </c>
    </row>
    <row r="2030">
      <c r="A2030" s="5" t="s">
        <v>6087</v>
      </c>
      <c r="B2030" s="2" t="s">
        <v>6088</v>
      </c>
      <c r="C2030" s="4" t="str">
        <f>IFERROR(__xludf.DUMMYFUNCTION("""🏘️ ""&amp;REGEXEXTRACT(B2030, ""^(.*): "")&amp;"" ✅ "" &amp;REGEXEXTRACT(B2030, ""(Trouvez.*)"")"),"🏘️ Louer appartement St-Séverin ✅ Trouvez le bien immobilier qui correspond idéalement à vos désirs sur ImmoScout24 - La plateforme de l'immobilier en Suisse.")</f>
        <v>🏘️ Louer appartement St-Séverin ✅ Trouvez le bien immobilier qui correspond idéalement à vos désirs sur ImmoScout24 - La plateforme de l'immobilier en Suisse.</v>
      </c>
      <c r="D2030" s="4" t="str">
        <f>vlookup(A2030, Sheet2!D:E, 2, 0)</f>
        <v>variant</v>
      </c>
      <c r="E2030" s="4" t="str">
        <f>IFERROR(__xludf.DUMMYFUNCTION("if(H2030=""pays"",vlookup(REGEXEXTRACT(C2030, ""🏘️ \w+ \w+ (.*) ✅""),'Country prepositions'!A:B, 2, 0) &amp; "" "" &amp; REGEXEXTRACT(C2030, ""🏘️ \w+ \w+ (.*) ✅"") ,  if(H2030=""quartier"",vlookup(REGEXEXTRACT(C2030, ""🏘️ \w+ \w+ (.*) ✅""),'Quartier prepositio"&amp;"ns'!A:E, 5, 0) ,  if(H2030=""region"",vlookup(REGEXEXTRACT(C2030, ""🏘️ \w+ \w+ (.*) ✅""),'Region prepositions'!B:F, 5, 0),  REGEXEXTRACT(C2030, ""🏘️ \w+ \w+ (.*) ✅""))))"),"St-Séverin")</f>
        <v>St-Séverin</v>
      </c>
      <c r="F2030" s="2" t="str">
        <f>IFERROR(__xludf.DUMMYFUNCTION("REGEXEXTRACT(C2030, ""🏘️ (\w+) \w+ .* ✅"")"),"Louer")</f>
        <v>Louer</v>
      </c>
      <c r="G2030" s="2" t="str">
        <f>IFERROR(__xludf.DUMMYFUNCTION("REGEXEXTRACT(C2030, ""🏘️ \w+ (\w+) .* ✅"")"),"appartement")</f>
        <v>appartement</v>
      </c>
      <c r="H2030" s="4" t="str">
        <f>IFERROR(__xludf.DUMMYFUNCTION("REGEXEXTRACT(A2030, ""/(\w+)-.*?"")"),"lieu")</f>
        <v>lieu</v>
      </c>
      <c r="I2030" s="4" t="str">
        <f>IFERROR(__xludf.DUMMYFUNCTION("if(D2030=""variant"",  substitute(filter(Templates!E:E, Templates!A:A = F2030, Templates!B:B = G2030, Templates!C:C = H2030), ""{{}}"", E2030), B2030)"),"🏘  Vous cherchez un appartement à louer à St-Séverin? ✅ Les annonces les plus actuelles sont sur ImmoScout24.ch.")</f>
        <v>🏘  Vous cherchez un appartement à louer à St-Séverin? ✅ Les annonces les plus actuelles sont sur ImmoScout24.ch.</v>
      </c>
      <c r="J2030" s="4" t="s">
        <v>6089</v>
      </c>
    </row>
    <row r="2031">
      <c r="A2031" s="5" t="s">
        <v>6090</v>
      </c>
      <c r="B2031" s="2" t="s">
        <v>6091</v>
      </c>
      <c r="C2031" s="4" t="str">
        <f>IFERROR(__xludf.DUMMYFUNCTION("""🏘️ ""&amp;REGEXEXTRACT(B2031, ""^(.*): "")&amp;"" ✅ "" &amp;REGEXEXTRACT(B2031, ""(Trouvez.*)"")"),"🏘️ Vendre maison Courgenay ✅ Trouvez le bien immobilier qui correspond idéalement à vos désirs sur ImmoScout24 - La plateforme de l'immobilier en Suisse.")</f>
        <v>🏘️ Vendre maison Courgenay ✅ Trouvez le bien immobilier qui correspond idéalement à vos désirs sur ImmoScout24 - La plateforme de l'immobilier en Suisse.</v>
      </c>
      <c r="D2031" s="4" t="str">
        <f>vlookup(A2031, Sheet2!D:E, 2, 0)</f>
        <v>variant</v>
      </c>
      <c r="E2031" s="4" t="str">
        <f>IFERROR(__xludf.DUMMYFUNCTION("if(H2031=""pays"",vlookup(REGEXEXTRACT(C2031, ""🏘️ \w+ \w+ (.*) ✅""),'Country prepositions'!A:B, 2, 0) &amp; "" "" &amp; REGEXEXTRACT(C2031, ""🏘️ \w+ \w+ (.*) ✅"") ,  if(H2031=""quartier"",vlookup(REGEXEXTRACT(C2031, ""🏘️ \w+ \w+ (.*) ✅""),'Quartier prepositio"&amp;"ns'!A:E, 5, 0) ,  if(H2031=""region"",vlookup(REGEXEXTRACT(C2031, ""🏘️ \w+ \w+ (.*) ✅""),'Region prepositions'!B:F, 5, 0),  REGEXEXTRACT(C2031, ""🏘️ \w+ \w+ (.*) ✅""))))"),"Courgenay")</f>
        <v>Courgenay</v>
      </c>
      <c r="F2031" s="2" t="str">
        <f>IFERROR(__xludf.DUMMYFUNCTION("REGEXEXTRACT(C2031, ""🏘️ (\w+) \w+ .* ✅"")"),"Vendre")</f>
        <v>Vendre</v>
      </c>
      <c r="G2031" s="2" t="str">
        <f>IFERROR(__xludf.DUMMYFUNCTION("REGEXEXTRACT(C2031, ""🏘️ \w+ (\w+) .* ✅"")"),"maison")</f>
        <v>maison</v>
      </c>
      <c r="H2031" s="4" t="str">
        <f>IFERROR(__xludf.DUMMYFUNCTION("REGEXEXTRACT(A2031, ""/(\w+)-.*?"")"),"lieu")</f>
        <v>lieu</v>
      </c>
      <c r="I2031" s="4" t="str">
        <f>IFERROR(__xludf.DUMMYFUNCTION("if(D2031=""variant"",  substitute(filter(Templates!E:E, Templates!A:A = F2031, Templates!B:B = G2031, Templates!C:C = H2031), ""{{}}"", E2031), B2031)"),"🏘  Vous souhaitez acheter une maison à Courgenay? ✅ Jetez un œil aux dernières offres sur ImmoScout24.ch.")</f>
        <v>🏘  Vous souhaitez acheter une maison à Courgenay? ✅ Jetez un œil aux dernières offres sur ImmoScout24.ch.</v>
      </c>
      <c r="J2031" s="4" t="s">
        <v>6092</v>
      </c>
    </row>
    <row r="2032">
      <c r="A2032" s="5" t="s">
        <v>6093</v>
      </c>
      <c r="B2032" s="2" t="s">
        <v>6094</v>
      </c>
      <c r="C2032" s="4" t="str">
        <f>IFERROR(__xludf.DUMMYFUNCTION("""🏘️ ""&amp;REGEXEXTRACT(B2032, ""^(.*): "")&amp;"" ✅ "" &amp;REGEXEXTRACT(B2032, ""(Trouvez.*)"")"),"🏘️ Vendre appartement Fétigny ✅ Trouvez le bien immobilier qui correspond idéalement à vos désirs sur ImmoScout24 - La plateforme de l'immobilier en Suisse.")</f>
        <v>🏘️ Vendre appartement Fétigny ✅ Trouvez le bien immobilier qui correspond idéalement à vos désirs sur ImmoScout24 - La plateforme de l'immobilier en Suisse.</v>
      </c>
      <c r="D2032" s="4" t="str">
        <f>vlookup(A2032, Sheet2!D:E, 2, 0)</f>
        <v>variant</v>
      </c>
      <c r="E2032" s="4" t="str">
        <f>IFERROR(__xludf.DUMMYFUNCTION("if(H2032=""pays"",vlookup(REGEXEXTRACT(C2032, ""🏘️ \w+ \w+ (.*) ✅""),'Country prepositions'!A:B, 2, 0) &amp; "" "" &amp; REGEXEXTRACT(C2032, ""🏘️ \w+ \w+ (.*) ✅"") ,  if(H2032=""quartier"",vlookup(REGEXEXTRACT(C2032, ""🏘️ \w+ \w+ (.*) ✅""),'Quartier prepositio"&amp;"ns'!A:E, 5, 0) ,  if(H2032=""region"",vlookup(REGEXEXTRACT(C2032, ""🏘️ \w+ \w+ (.*) ✅""),'Region prepositions'!B:F, 5, 0),  REGEXEXTRACT(C2032, ""🏘️ \w+ \w+ (.*) ✅""))))"),"Fétigny")</f>
        <v>Fétigny</v>
      </c>
      <c r="F2032" s="2" t="str">
        <f>IFERROR(__xludf.DUMMYFUNCTION("REGEXEXTRACT(C2032, ""🏘️ (\w+) \w+ .* ✅"")"),"Vendre")</f>
        <v>Vendre</v>
      </c>
      <c r="G2032" s="2" t="str">
        <f>IFERROR(__xludf.DUMMYFUNCTION("REGEXEXTRACT(C2032, ""🏘️ \w+ (\w+) .* ✅"")"),"appartement")</f>
        <v>appartement</v>
      </c>
      <c r="H2032" s="4" t="str">
        <f>IFERROR(__xludf.DUMMYFUNCTION("REGEXEXTRACT(A2032, ""/(\w+)-.*?"")"),"lieu")</f>
        <v>lieu</v>
      </c>
      <c r="I2032" s="4" t="str">
        <f>IFERROR(__xludf.DUMMYFUNCTION("if(D2032=""variant"",  substitute(filter(Templates!E:E, Templates!A:A = F2032, Templates!B:B = G2032, Templates!C:C = H2032), ""{{}}"", E2032), B2032)"),"🏘  L’appartement de vos rêves se trouve sur ImmoScout24.ch ✅ Découvrez les dernières annonces de vente à Fétigny.")</f>
        <v>🏘  L’appartement de vos rêves se trouve sur ImmoScout24.ch ✅ Découvrez les dernières annonces de vente à Fétigny.</v>
      </c>
      <c r="J2032" s="4" t="s">
        <v>6095</v>
      </c>
    </row>
    <row r="2033">
      <c r="A2033" s="5" t="s">
        <v>6096</v>
      </c>
      <c r="B2033" s="2" t="s">
        <v>6097</v>
      </c>
      <c r="C2033" s="4" t="str">
        <f>IFERROR(__xludf.DUMMYFUNCTION("""🏘️ ""&amp;REGEXEXTRACT(B2033, ""^(.*): "")&amp;"" ✅ "" &amp;REGEXEXTRACT(B2033, ""(Trouvez.*)"")"),"🏘️ Louer appartement Fischbach-Göslikon ✅ Trouvez le bien immobilier qui correspond idéalement à vos désirs sur ImmoScout24 - La plateforme de l'immobilier en Suisse.")</f>
        <v>🏘️ Louer appartement Fischbach-Göslikon ✅ Trouvez le bien immobilier qui correspond idéalement à vos désirs sur ImmoScout24 - La plateforme de l'immobilier en Suisse.</v>
      </c>
      <c r="D2033" s="4" t="str">
        <f>vlookup(A2033, Sheet2!D:E, 2, 0)</f>
        <v>variant</v>
      </c>
      <c r="E2033" s="4" t="str">
        <f>IFERROR(__xludf.DUMMYFUNCTION("if(H2033=""pays"",vlookup(REGEXEXTRACT(C2033, ""🏘️ \w+ \w+ (.*) ✅""),'Country prepositions'!A:B, 2, 0) &amp; "" "" &amp; REGEXEXTRACT(C2033, ""🏘️ \w+ \w+ (.*) ✅"") ,  if(H2033=""quartier"",vlookup(REGEXEXTRACT(C2033, ""🏘️ \w+ \w+ (.*) ✅""),'Quartier prepositio"&amp;"ns'!A:E, 5, 0) ,  if(H2033=""region"",vlookup(REGEXEXTRACT(C2033, ""🏘️ \w+ \w+ (.*) ✅""),'Region prepositions'!B:F, 5, 0),  REGEXEXTRACT(C2033, ""🏘️ \w+ \w+ (.*) ✅""))))"),"Fischbach-Göslikon")</f>
        <v>Fischbach-Göslikon</v>
      </c>
      <c r="F2033" s="2" t="str">
        <f>IFERROR(__xludf.DUMMYFUNCTION("REGEXEXTRACT(C2033, ""🏘️ (\w+) \w+ .* ✅"")"),"Louer")</f>
        <v>Louer</v>
      </c>
      <c r="G2033" s="2" t="str">
        <f>IFERROR(__xludf.DUMMYFUNCTION("REGEXEXTRACT(C2033, ""🏘️ \w+ (\w+) .* ✅"")"),"appartement")</f>
        <v>appartement</v>
      </c>
      <c r="H2033" s="4" t="str">
        <f>IFERROR(__xludf.DUMMYFUNCTION("REGEXEXTRACT(A2033, ""/(\w+)-.*?"")"),"lieu")</f>
        <v>lieu</v>
      </c>
      <c r="I2033" s="4" t="str">
        <f>IFERROR(__xludf.DUMMYFUNCTION("if(D2033=""variant"",  substitute(filter(Templates!E:E, Templates!A:A = F2033, Templates!B:B = G2033, Templates!C:C = H2033), ""{{}}"", E2033), B2033)"),"🏘  Vous cherchez un appartement à louer à Fischbach-Göslikon? ✅ Les annonces les plus actuelles sont sur ImmoScout24.ch.")</f>
        <v>🏘  Vous cherchez un appartement à louer à Fischbach-Göslikon? ✅ Les annonces les plus actuelles sont sur ImmoScout24.ch.</v>
      </c>
      <c r="J2033" s="4" t="s">
        <v>6098</v>
      </c>
    </row>
    <row r="2034">
      <c r="A2034" s="5" t="s">
        <v>6099</v>
      </c>
      <c r="B2034" s="2" t="s">
        <v>6100</v>
      </c>
      <c r="C2034" s="4" t="str">
        <f>IFERROR(__xludf.DUMMYFUNCTION("""🏘️ ""&amp;REGEXEXTRACT(B2034, ""^(.*): "")&amp;"" ✅ "" &amp;REGEXEXTRACT(B2034, ""(Trouvez.*)"")"),"🏘️ Louer maison Cottens VD ✅ Trouvez le bien immobilier qui correspond idéalement à vos désirs sur ImmoScout24 - La plateforme de l'immobilier en Suisse.")</f>
        <v>🏘️ Louer maison Cottens VD ✅ Trouvez le bien immobilier qui correspond idéalement à vos désirs sur ImmoScout24 - La plateforme de l'immobilier en Suisse.</v>
      </c>
      <c r="D2034" s="4" t="str">
        <f>vlookup(A2034, Sheet2!D:E, 2, 0)</f>
        <v>variant</v>
      </c>
      <c r="E2034" s="4" t="str">
        <f>IFERROR(__xludf.DUMMYFUNCTION("if(H2034=""pays"",vlookup(REGEXEXTRACT(C2034, ""🏘️ \w+ \w+ (.*) ✅""),'Country prepositions'!A:B, 2, 0) &amp; "" "" &amp; REGEXEXTRACT(C2034, ""🏘️ \w+ \w+ (.*) ✅"") ,  if(H2034=""quartier"",vlookup(REGEXEXTRACT(C2034, ""🏘️ \w+ \w+ (.*) ✅""),'Quartier prepositio"&amp;"ns'!A:E, 5, 0) ,  if(H2034=""region"",vlookup(REGEXEXTRACT(C2034, ""🏘️ \w+ \w+ (.*) ✅""),'Region prepositions'!B:F, 5, 0),  REGEXEXTRACT(C2034, ""🏘️ \w+ \w+ (.*) ✅""))))"),"Cottens VD")</f>
        <v>Cottens VD</v>
      </c>
      <c r="F2034" s="2" t="str">
        <f>IFERROR(__xludf.DUMMYFUNCTION("REGEXEXTRACT(C2034, ""🏘️ (\w+) \w+ .* ✅"")"),"Louer")</f>
        <v>Louer</v>
      </c>
      <c r="G2034" s="2" t="str">
        <f>IFERROR(__xludf.DUMMYFUNCTION("REGEXEXTRACT(C2034, ""🏘️ \w+ (\w+) .* ✅"")"),"maison")</f>
        <v>maison</v>
      </c>
      <c r="H2034" s="4" t="str">
        <f>IFERROR(__xludf.DUMMYFUNCTION("REGEXEXTRACT(A2034, ""/(\w+)-.*?"")"),"lieu")</f>
        <v>lieu</v>
      </c>
      <c r="I2034" s="4" t="str">
        <f>IFERROR(__xludf.DUMMYFUNCTION("if(D2034=""variant"",  substitute(filter(Templates!E:E, Templates!A:A = F2034, Templates!B:B = G2034, Templates!C:C = H2034), ""{{}}"", E2034), B2034)"),"🏘  Vous cherchez une maison à louer à Cottens VD? ✅ Découvrez nos nombreuses annonces sur ImmoScout24.ch.")</f>
        <v>🏘  Vous cherchez une maison à louer à Cottens VD? ✅ Découvrez nos nombreuses annonces sur ImmoScout24.ch.</v>
      </c>
      <c r="J2034" s="4" t="s">
        <v>6101</v>
      </c>
    </row>
    <row r="2035">
      <c r="A2035" s="5" t="s">
        <v>6102</v>
      </c>
      <c r="B2035" s="2" t="s">
        <v>6103</v>
      </c>
      <c r="C2035" s="4" t="str">
        <f>IFERROR(__xludf.DUMMYFUNCTION("""🏘️ ""&amp;REGEXEXTRACT(B2035, ""^(.*): "")&amp;"" ✅ "" &amp;REGEXEXTRACT(B2035, ""(Trouvez.*)"")"),"🏘️ Louer maison St-Romain (Ayent) ✅ Trouvez le bien immobilier qui correspond idéalement à vos désirs sur ImmoScout24 - La plateforme de l'immobilier en Suisse.")</f>
        <v>🏘️ Louer maison St-Romain (Ayent) ✅ Trouvez le bien immobilier qui correspond idéalement à vos désirs sur ImmoScout24 - La plateforme de l'immobilier en Suisse.</v>
      </c>
      <c r="D2035" s="4" t="str">
        <f>vlookup(A2035, Sheet2!D:E, 2, 0)</f>
        <v>variant</v>
      </c>
      <c r="E2035" s="4" t="str">
        <f>IFERROR(__xludf.DUMMYFUNCTION("if(H2035=""pays"",vlookup(REGEXEXTRACT(C2035, ""🏘️ \w+ \w+ (.*) ✅""),'Country prepositions'!A:B, 2, 0) &amp; "" "" &amp; REGEXEXTRACT(C2035, ""🏘️ \w+ \w+ (.*) ✅"") ,  if(H2035=""quartier"",vlookup(REGEXEXTRACT(C2035, ""🏘️ \w+ \w+ (.*) ✅""),'Quartier prepositio"&amp;"ns'!A:E, 5, 0) ,  if(H2035=""region"",vlookup(REGEXEXTRACT(C2035, ""🏘️ \w+ \w+ (.*) ✅""),'Region prepositions'!B:F, 5, 0),  REGEXEXTRACT(C2035, ""🏘️ \w+ \w+ (.*) ✅""))))"),"St-Romain (Ayent)")</f>
        <v>St-Romain (Ayent)</v>
      </c>
      <c r="F2035" s="2" t="str">
        <f>IFERROR(__xludf.DUMMYFUNCTION("REGEXEXTRACT(C2035, ""🏘️ (\w+) \w+ .* ✅"")"),"Louer")</f>
        <v>Louer</v>
      </c>
      <c r="G2035" s="2" t="str">
        <f>IFERROR(__xludf.DUMMYFUNCTION("REGEXEXTRACT(C2035, ""🏘️ \w+ (\w+) .* ✅"")"),"maison")</f>
        <v>maison</v>
      </c>
      <c r="H2035" s="4" t="str">
        <f>IFERROR(__xludf.DUMMYFUNCTION("REGEXEXTRACT(A2035, ""/(\w+)-.*?"")"),"lieu")</f>
        <v>lieu</v>
      </c>
      <c r="I2035" s="4" t="str">
        <f>IFERROR(__xludf.DUMMYFUNCTION("if(D2035=""variant"",  substitute(filter(Templates!E:E, Templates!A:A = F2035, Templates!B:B = G2035, Templates!C:C = H2035), ""{{}}"", E2035), B2035)"),"🏘  Vous cherchez une maison à louer à St-Romain (Ayent)? ✅ Découvrez nos nombreuses annonces sur ImmoScout24.ch.")</f>
        <v>🏘  Vous cherchez une maison à louer à St-Romain (Ayent)? ✅ Découvrez nos nombreuses annonces sur ImmoScout24.ch.</v>
      </c>
      <c r="J2035" s="4" t="s">
        <v>6104</v>
      </c>
    </row>
    <row r="2036">
      <c r="A2036" s="5" t="s">
        <v>6105</v>
      </c>
      <c r="B2036" s="2" t="s">
        <v>6106</v>
      </c>
      <c r="C2036" s="4" t="str">
        <f>IFERROR(__xludf.DUMMYFUNCTION("""🏘️ ""&amp;REGEXEXTRACT(B2036, ""^(.*): "")&amp;"" ✅ "" &amp;REGEXEXTRACT(B2036, ""(Trouvez.*)"")"),"🏘️ Louer appartement Vinzel ✅ Trouvez le bien immobilier qui correspond idéalement à vos désirs sur ImmoScout24 - La plateforme de l'immobilier en Suisse.")</f>
        <v>🏘️ Louer appartement Vinzel ✅ Trouvez le bien immobilier qui correspond idéalement à vos désirs sur ImmoScout24 - La plateforme de l'immobilier en Suisse.</v>
      </c>
      <c r="D2036" s="4" t="str">
        <f>vlookup(A2036, Sheet2!D:E, 2, 0)</f>
        <v>variant</v>
      </c>
      <c r="E2036" s="4" t="str">
        <f>IFERROR(__xludf.DUMMYFUNCTION("if(H2036=""pays"",vlookup(REGEXEXTRACT(C2036, ""🏘️ \w+ \w+ (.*) ✅""),'Country prepositions'!A:B, 2, 0) &amp; "" "" &amp; REGEXEXTRACT(C2036, ""🏘️ \w+ \w+ (.*) ✅"") ,  if(H2036=""quartier"",vlookup(REGEXEXTRACT(C2036, ""🏘️ \w+ \w+ (.*) ✅""),'Quartier prepositio"&amp;"ns'!A:E, 5, 0) ,  if(H2036=""region"",vlookup(REGEXEXTRACT(C2036, ""🏘️ \w+ \w+ (.*) ✅""),'Region prepositions'!B:F, 5, 0),  REGEXEXTRACT(C2036, ""🏘️ \w+ \w+ (.*) ✅""))))"),"Vinzel")</f>
        <v>Vinzel</v>
      </c>
      <c r="F2036" s="2" t="str">
        <f>IFERROR(__xludf.DUMMYFUNCTION("REGEXEXTRACT(C2036, ""🏘️ (\w+) \w+ .* ✅"")"),"Louer")</f>
        <v>Louer</v>
      </c>
      <c r="G2036" s="2" t="str">
        <f>IFERROR(__xludf.DUMMYFUNCTION("REGEXEXTRACT(C2036, ""🏘️ \w+ (\w+) .* ✅"")"),"appartement")</f>
        <v>appartement</v>
      </c>
      <c r="H2036" s="4" t="str">
        <f>IFERROR(__xludf.DUMMYFUNCTION("REGEXEXTRACT(A2036, ""/(\w+)-.*?"")"),"lieu")</f>
        <v>lieu</v>
      </c>
      <c r="I2036" s="4" t="str">
        <f>IFERROR(__xludf.DUMMYFUNCTION("if(D2036=""variant"",  substitute(filter(Templates!E:E, Templates!A:A = F2036, Templates!B:B = G2036, Templates!C:C = H2036), ""{{}}"", E2036), B2036)"),"🏘  Vous cherchez un appartement à louer à Vinzel? ✅ Les annonces les plus actuelles sont sur ImmoScout24.ch.")</f>
        <v>🏘  Vous cherchez un appartement à louer à Vinzel? ✅ Les annonces les plus actuelles sont sur ImmoScout24.ch.</v>
      </c>
      <c r="J2036" s="4" t="s">
        <v>6107</v>
      </c>
    </row>
    <row r="2037">
      <c r="A2037" s="5" t="s">
        <v>6108</v>
      </c>
      <c r="B2037" s="2" t="s">
        <v>6109</v>
      </c>
      <c r="C2037" s="4" t="str">
        <f>IFERROR(__xludf.DUMMYFUNCTION("""🏘️ ""&amp;REGEXEXTRACT(B2037, ""^(.*): "")&amp;"" ✅ "" &amp;REGEXEXTRACT(B2037, ""(Trouvez.*)"")"),"🏘️ Louer appartement Cham ✅ Trouvez le bien immobilier qui correspond idéalement à vos désirs sur ImmoScout24 - La plateforme de l'immobilier en Suisse.")</f>
        <v>🏘️ Louer appartement Cham ✅ Trouvez le bien immobilier qui correspond idéalement à vos désirs sur ImmoScout24 - La plateforme de l'immobilier en Suisse.</v>
      </c>
      <c r="D2037" s="4" t="str">
        <f>vlookup(A2037, Sheet2!D:E, 2, 0)</f>
        <v>variant</v>
      </c>
      <c r="E2037" s="4" t="str">
        <f>IFERROR(__xludf.DUMMYFUNCTION("if(H2037=""pays"",vlookup(REGEXEXTRACT(C2037, ""🏘️ \w+ \w+ (.*) ✅""),'Country prepositions'!A:B, 2, 0) &amp; "" "" &amp; REGEXEXTRACT(C2037, ""🏘️ \w+ \w+ (.*) ✅"") ,  if(H2037=""quartier"",vlookup(REGEXEXTRACT(C2037, ""🏘️ \w+ \w+ (.*) ✅""),'Quartier prepositio"&amp;"ns'!A:E, 5, 0) ,  if(H2037=""region"",vlookup(REGEXEXTRACT(C2037, ""🏘️ \w+ \w+ (.*) ✅""),'Region prepositions'!B:F, 5, 0),  REGEXEXTRACT(C2037, ""🏘️ \w+ \w+ (.*) ✅""))))"),"Cham")</f>
        <v>Cham</v>
      </c>
      <c r="F2037" s="2" t="str">
        <f>IFERROR(__xludf.DUMMYFUNCTION("REGEXEXTRACT(C2037, ""🏘️ (\w+) \w+ .* ✅"")"),"Louer")</f>
        <v>Louer</v>
      </c>
      <c r="G2037" s="2" t="str">
        <f>IFERROR(__xludf.DUMMYFUNCTION("REGEXEXTRACT(C2037, ""🏘️ \w+ (\w+) .* ✅"")"),"appartement")</f>
        <v>appartement</v>
      </c>
      <c r="H2037" s="4" t="str">
        <f>IFERROR(__xludf.DUMMYFUNCTION("REGEXEXTRACT(A2037, ""/(\w+)-.*?"")"),"lieu")</f>
        <v>lieu</v>
      </c>
      <c r="I2037" s="4" t="str">
        <f>IFERROR(__xludf.DUMMYFUNCTION("if(D2037=""variant"",  substitute(filter(Templates!E:E, Templates!A:A = F2037, Templates!B:B = G2037, Templates!C:C = H2037), ""{{}}"", E2037), B2037)"),"🏘  Vous cherchez un appartement à louer à Cham? ✅ Les annonces les plus actuelles sont sur ImmoScout24.ch.")</f>
        <v>🏘  Vous cherchez un appartement à louer à Cham? ✅ Les annonces les plus actuelles sont sur ImmoScout24.ch.</v>
      </c>
      <c r="J2037" s="4" t="s">
        <v>6110</v>
      </c>
    </row>
    <row r="2038">
      <c r="A2038" s="5" t="s">
        <v>6111</v>
      </c>
      <c r="B2038" s="2" t="s">
        <v>6112</v>
      </c>
      <c r="C2038" s="4" t="str">
        <f>IFERROR(__xludf.DUMMYFUNCTION("""🏘️ ""&amp;REGEXEXTRACT(B2038, ""^(.*): "")&amp;"" ✅ "" &amp;REGEXEXTRACT(B2038, ""(Trouvez.*)"")"),"🏘️ Vendre maison Montagne-de-Courtelary ✅ Trouvez le bien immobilier qui correspond idéalement à vos désirs sur ImmoScout24 - La plateforme de l'immobilier en Suisse.")</f>
        <v>🏘️ Vendre maison Montagne-de-Courtelary ✅ Trouvez le bien immobilier qui correspond idéalement à vos désirs sur ImmoScout24 - La plateforme de l'immobilier en Suisse.</v>
      </c>
      <c r="D2038" s="4" t="str">
        <f>vlookup(A2038, Sheet2!D:E, 2, 0)</f>
        <v>variant</v>
      </c>
      <c r="E2038" s="4" t="str">
        <f>IFERROR(__xludf.DUMMYFUNCTION("if(H2038=""pays"",vlookup(REGEXEXTRACT(C2038, ""🏘️ \w+ \w+ (.*) ✅""),'Country prepositions'!A:B, 2, 0) &amp; "" "" &amp; REGEXEXTRACT(C2038, ""🏘️ \w+ \w+ (.*) ✅"") ,  if(H2038=""quartier"",vlookup(REGEXEXTRACT(C2038, ""🏘️ \w+ \w+ (.*) ✅""),'Quartier prepositio"&amp;"ns'!A:E, 5, 0) ,  if(H2038=""region"",vlookup(REGEXEXTRACT(C2038, ""🏘️ \w+ \w+ (.*) ✅""),'Region prepositions'!B:F, 5, 0),  REGEXEXTRACT(C2038, ""🏘️ \w+ \w+ (.*) ✅""))))"),"Montagne-de-Courtelary")</f>
        <v>Montagne-de-Courtelary</v>
      </c>
      <c r="F2038" s="2" t="str">
        <f>IFERROR(__xludf.DUMMYFUNCTION("REGEXEXTRACT(C2038, ""🏘️ (\w+) \w+ .* ✅"")"),"Vendre")</f>
        <v>Vendre</v>
      </c>
      <c r="G2038" s="2" t="str">
        <f>IFERROR(__xludf.DUMMYFUNCTION("REGEXEXTRACT(C2038, ""🏘️ \w+ (\w+) .* ✅"")"),"maison")</f>
        <v>maison</v>
      </c>
      <c r="H2038" s="4" t="str">
        <f>IFERROR(__xludf.DUMMYFUNCTION("REGEXEXTRACT(A2038, ""/(\w+)-.*?"")"),"lieu")</f>
        <v>lieu</v>
      </c>
      <c r="I2038" s="4" t="str">
        <f>IFERROR(__xludf.DUMMYFUNCTION("if(D2038=""variant"",  substitute(filter(Templates!E:E, Templates!A:A = F2038, Templates!B:B = G2038, Templates!C:C = H2038), ""{{}}"", E2038), B2038)"),"🏘  Vous souhaitez acheter une maison à Montagne-de-Courtelary? ✅ Jetez un œil aux dernières offres sur ImmoScout24.ch.")</f>
        <v>🏘  Vous souhaitez acheter une maison à Montagne-de-Courtelary? ✅ Jetez un œil aux dernières offres sur ImmoScout24.ch.</v>
      </c>
      <c r="J2038" s="4" t="s">
        <v>6113</v>
      </c>
    </row>
    <row r="2039">
      <c r="A2039" s="5" t="s">
        <v>6114</v>
      </c>
      <c r="B2039" s="2" t="s">
        <v>6115</v>
      </c>
      <c r="C2039" s="4" t="str">
        <f>IFERROR(__xludf.DUMMYFUNCTION("""🏘️ ""&amp;REGEXEXTRACT(B2039, ""^(.*): "")&amp;"" ✅ "" &amp;REGEXEXTRACT(B2039, ""(Trouvez.*)"")"),"🏘️ Vendre maison Carona (Lugano) ✅ Trouvez le bien immobilier qui correspond idéalement à vos désirs sur ImmoScout24 - La plateforme de l'immobilier en Suisse.")</f>
        <v>🏘️ Vendre maison Carona (Lugano) ✅ Trouvez le bien immobilier qui correspond idéalement à vos désirs sur ImmoScout24 - La plateforme de l'immobilier en Suisse.</v>
      </c>
      <c r="D2039" s="4" t="str">
        <f>vlookup(A2039, Sheet2!D:E, 2, 0)</f>
        <v>variant</v>
      </c>
      <c r="E2039" s="4" t="str">
        <f>IFERROR(__xludf.DUMMYFUNCTION("if(H2039=""pays"",vlookup(REGEXEXTRACT(C2039, ""🏘️ \w+ \w+ (.*) ✅""),'Country prepositions'!A:B, 2, 0) &amp; "" "" &amp; REGEXEXTRACT(C2039, ""🏘️ \w+ \w+ (.*) ✅"") ,  if(H2039=""quartier"",vlookup(REGEXEXTRACT(C2039, ""🏘️ \w+ \w+ (.*) ✅""),'Quartier prepositio"&amp;"ns'!A:E, 5, 0) ,  if(H2039=""region"",vlookup(REGEXEXTRACT(C2039, ""🏘️ \w+ \w+ (.*) ✅""),'Region prepositions'!B:F, 5, 0),  REGEXEXTRACT(C2039, ""🏘️ \w+ \w+ (.*) ✅""))))"),"dans le quartier de Carona (Lugano)")</f>
        <v>dans le quartier de Carona (Lugano)</v>
      </c>
      <c r="F2039" s="2" t="str">
        <f>IFERROR(__xludf.DUMMYFUNCTION("REGEXEXTRACT(C2039, ""🏘️ (\w+) \w+ .* ✅"")"),"Vendre")</f>
        <v>Vendre</v>
      </c>
      <c r="G2039" s="2" t="str">
        <f>IFERROR(__xludf.DUMMYFUNCTION("REGEXEXTRACT(C2039, ""🏘️ \w+ (\w+) .* ✅"")"),"maison")</f>
        <v>maison</v>
      </c>
      <c r="H2039" s="4" t="str">
        <f>IFERROR(__xludf.DUMMYFUNCTION("REGEXEXTRACT(A2039, ""/(\w+)-.*?"")"),"quartier")</f>
        <v>quartier</v>
      </c>
      <c r="I2039" s="4" t="str">
        <f>IFERROR(__xludf.DUMMYFUNCTION("if(D2039=""variant"",  substitute(filter(Templates!E:E, Templates!A:A = F2039, Templates!B:B = G2039, Templates!C:C = H2039), ""{{}}"", E2039), B2039)"),"🏘  Vous souhaitez acheter une maison dans le quartier de Carona (Lugano)? ✅ Jetez un œil aux dernières offres sur ImmoScout24.ch.")</f>
        <v>🏘  Vous souhaitez acheter une maison dans le quartier de Carona (Lugano)? ✅ Jetez un œil aux dernières offres sur ImmoScout24.ch.</v>
      </c>
      <c r="J2039" s="4" t="s">
        <v>6116</v>
      </c>
    </row>
    <row r="2040">
      <c r="A2040" s="5" t="s">
        <v>6117</v>
      </c>
      <c r="B2040" s="2" t="s">
        <v>6118</v>
      </c>
      <c r="C2040" s="4" t="str">
        <f>IFERROR(__xludf.DUMMYFUNCTION("""🏘️ ""&amp;REGEXEXTRACT(B2040, ""^(.*): "")&amp;"" ✅ "" &amp;REGEXEXTRACT(B2040, ""(Trouvez.*)"")"),"🏘️ Vendre appartement St. Gallen ✅ Trouvez le bien immobilier qui correspond idéalement à vos désirs sur ImmoScout24 - La plateforme de l'immobilier en Suisse.")</f>
        <v>🏘️ Vendre appartement St. Gallen ✅ Trouvez le bien immobilier qui correspond idéalement à vos désirs sur ImmoScout24 - La plateforme de l'immobilier en Suisse.</v>
      </c>
      <c r="D2040" s="4" t="str">
        <f>vlookup(A2040, Sheet2!D:E, 2, 0)</f>
        <v>variant</v>
      </c>
      <c r="E2040" s="4" t="str">
        <f>IFERROR(__xludf.DUMMYFUNCTION("if(H2040=""pays"",vlookup(REGEXEXTRACT(C2040, ""🏘️ \w+ \w+ (.*) ✅""),'Country prepositions'!A:B, 2, 0) &amp; "" "" &amp; REGEXEXTRACT(C2040, ""🏘️ \w+ \w+ (.*) ✅"") ,  if(H2040=""quartier"",vlookup(REGEXEXTRACT(C2040, ""🏘️ \w+ \w+ (.*) ✅""),'Quartier prepositio"&amp;"ns'!A:E, 5, 0) ,  if(H2040=""region"",vlookup(REGEXEXTRACT(C2040, ""🏘️ \w+ \w+ (.*) ✅""),'Region prepositions'!B:F, 5, 0),  REGEXEXTRACT(C2040, ""🏘️ \w+ \w+ (.*) ✅""))))"),"St. Gallen")</f>
        <v>St. Gallen</v>
      </c>
      <c r="F2040" s="2" t="str">
        <f>IFERROR(__xludf.DUMMYFUNCTION("REGEXEXTRACT(C2040, ""🏘️ (\w+) \w+ .* ✅"")"),"Vendre")</f>
        <v>Vendre</v>
      </c>
      <c r="G2040" s="2" t="str">
        <f>IFERROR(__xludf.DUMMYFUNCTION("REGEXEXTRACT(C2040, ""🏘️ \w+ (\w+) .* ✅"")"),"appartement")</f>
        <v>appartement</v>
      </c>
      <c r="H2040" s="4" t="str">
        <f>IFERROR(__xludf.DUMMYFUNCTION("REGEXEXTRACT(A2040, ""/(\w+)-.*?"")"),"lieu")</f>
        <v>lieu</v>
      </c>
      <c r="I2040" s="4" t="str">
        <f>IFERROR(__xludf.DUMMYFUNCTION("if(D2040=""variant"",  substitute(filter(Templates!E:E, Templates!A:A = F2040, Templates!B:B = G2040, Templates!C:C = H2040), ""{{}}"", E2040), B2040)"),"🏘  L’appartement de vos rêves se trouve sur ImmoScout24.ch ✅ Découvrez les dernières annonces de vente à St. Gallen.")</f>
        <v>🏘  L’appartement de vos rêves se trouve sur ImmoScout24.ch ✅ Découvrez les dernières annonces de vente à St. Gallen.</v>
      </c>
      <c r="J2040" s="4" t="s">
        <v>6119</v>
      </c>
    </row>
    <row r="2041">
      <c r="A2041" s="5" t="s">
        <v>6120</v>
      </c>
      <c r="B2041" s="2" t="s">
        <v>6121</v>
      </c>
      <c r="C2041" s="4" t="str">
        <f>IFERROR(__xludf.DUMMYFUNCTION("""🏘️ ""&amp;REGEXEXTRACT(B2041, ""^(.*): "")&amp;"" ✅ "" &amp;REGEXEXTRACT(B2041, ""(Trouvez.*)"")"),"🏘️ Vendre maison Seuzach ✅ Trouvez le bien immobilier qui correspond idéalement à vos désirs sur ImmoScout24 - La plateforme de l'immobilier en Suisse.")</f>
        <v>🏘️ Vendre maison Seuzach ✅ Trouvez le bien immobilier qui correspond idéalement à vos désirs sur ImmoScout24 - La plateforme de l'immobilier en Suisse.</v>
      </c>
      <c r="D2041" s="4" t="str">
        <f>vlookup(A2041, Sheet2!D:E, 2, 0)</f>
        <v>variant</v>
      </c>
      <c r="E2041" s="4" t="str">
        <f>IFERROR(__xludf.DUMMYFUNCTION("if(H2041=""pays"",vlookup(REGEXEXTRACT(C2041, ""🏘️ \w+ \w+ (.*) ✅""),'Country prepositions'!A:B, 2, 0) &amp; "" "" &amp; REGEXEXTRACT(C2041, ""🏘️ \w+ \w+ (.*) ✅"") ,  if(H2041=""quartier"",vlookup(REGEXEXTRACT(C2041, ""🏘️ \w+ \w+ (.*) ✅""),'Quartier prepositio"&amp;"ns'!A:E, 5, 0) ,  if(H2041=""region"",vlookup(REGEXEXTRACT(C2041, ""🏘️ \w+ \w+ (.*) ✅""),'Region prepositions'!B:F, 5, 0),  REGEXEXTRACT(C2041, ""🏘️ \w+ \w+ (.*) ✅""))))"),"Seuzach")</f>
        <v>Seuzach</v>
      </c>
      <c r="F2041" s="2" t="str">
        <f>IFERROR(__xludf.DUMMYFUNCTION("REGEXEXTRACT(C2041, ""🏘️ (\w+) \w+ .* ✅"")"),"Vendre")</f>
        <v>Vendre</v>
      </c>
      <c r="G2041" s="2" t="str">
        <f>IFERROR(__xludf.DUMMYFUNCTION("REGEXEXTRACT(C2041, ""🏘️ \w+ (\w+) .* ✅"")"),"maison")</f>
        <v>maison</v>
      </c>
      <c r="H2041" s="4" t="str">
        <f>IFERROR(__xludf.DUMMYFUNCTION("REGEXEXTRACT(A2041, ""/(\w+)-.*?"")"),"lieu")</f>
        <v>lieu</v>
      </c>
      <c r="I2041" s="4" t="str">
        <f>IFERROR(__xludf.DUMMYFUNCTION("if(D2041=""variant"",  substitute(filter(Templates!E:E, Templates!A:A = F2041, Templates!B:B = G2041, Templates!C:C = H2041), ""{{}}"", E2041), B2041)"),"🏘  Vous souhaitez acheter une maison à Seuzach? ✅ Jetez un œil aux dernières offres sur ImmoScout24.ch.")</f>
        <v>🏘  Vous souhaitez acheter une maison à Seuzach? ✅ Jetez un œil aux dernières offres sur ImmoScout24.ch.</v>
      </c>
      <c r="J2041" s="4" t="s">
        <v>6122</v>
      </c>
    </row>
    <row r="2042">
      <c r="A2042" s="5" t="s">
        <v>6123</v>
      </c>
      <c r="B2042" s="2" t="s">
        <v>6124</v>
      </c>
      <c r="C2042" s="4" t="str">
        <f>IFERROR(__xludf.DUMMYFUNCTION("""🏘️ ""&amp;REGEXEXTRACT(B2042, ""^(.*): "")&amp;"" ✅ "" &amp;REGEXEXTRACT(B2042, ""(Trouvez.*)"")"),"🏘️ Louer appartement Faulensee ✅ Trouvez le bien immobilier qui correspond idéalement à vos désirs sur ImmoScout24 - La plateforme de l'immobilier en Suisse.")</f>
        <v>🏘️ Louer appartement Faulensee ✅ Trouvez le bien immobilier qui correspond idéalement à vos désirs sur ImmoScout24 - La plateforme de l'immobilier en Suisse.</v>
      </c>
      <c r="D2042" s="4" t="str">
        <f>vlookup(A2042, Sheet2!D:E, 2, 0)</f>
        <v>variant</v>
      </c>
      <c r="E2042" s="4" t="str">
        <f>IFERROR(__xludf.DUMMYFUNCTION("if(H2042=""pays"",vlookup(REGEXEXTRACT(C2042, ""🏘️ \w+ \w+ (.*) ✅""),'Country prepositions'!A:B, 2, 0) &amp; "" "" &amp; REGEXEXTRACT(C2042, ""🏘️ \w+ \w+ (.*) ✅"") ,  if(H2042=""quartier"",vlookup(REGEXEXTRACT(C2042, ""🏘️ \w+ \w+ (.*) ✅""),'Quartier prepositio"&amp;"ns'!A:E, 5, 0) ,  if(H2042=""region"",vlookup(REGEXEXTRACT(C2042, ""🏘️ \w+ \w+ (.*) ✅""),'Region prepositions'!B:F, 5, 0),  REGEXEXTRACT(C2042, ""🏘️ \w+ \w+ (.*) ✅""))))"),"Faulensee")</f>
        <v>Faulensee</v>
      </c>
      <c r="F2042" s="2" t="str">
        <f>IFERROR(__xludf.DUMMYFUNCTION("REGEXEXTRACT(C2042, ""🏘️ (\w+) \w+ .* ✅"")"),"Louer")</f>
        <v>Louer</v>
      </c>
      <c r="G2042" s="2" t="str">
        <f>IFERROR(__xludf.DUMMYFUNCTION("REGEXEXTRACT(C2042, ""🏘️ \w+ (\w+) .* ✅"")"),"appartement")</f>
        <v>appartement</v>
      </c>
      <c r="H2042" s="4" t="str">
        <f>IFERROR(__xludf.DUMMYFUNCTION("REGEXEXTRACT(A2042, ""/(\w+)-.*?"")"),"lieu")</f>
        <v>lieu</v>
      </c>
      <c r="I2042" s="4" t="str">
        <f>IFERROR(__xludf.DUMMYFUNCTION("if(D2042=""variant"",  substitute(filter(Templates!E:E, Templates!A:A = F2042, Templates!B:B = G2042, Templates!C:C = H2042), ""{{}}"", E2042), B2042)"),"🏘  Vous cherchez un appartement à louer à Faulensee? ✅ Les annonces les plus actuelles sont sur ImmoScout24.ch.")</f>
        <v>🏘  Vous cherchez un appartement à louer à Faulensee? ✅ Les annonces les plus actuelles sont sur ImmoScout24.ch.</v>
      </c>
      <c r="J2042" s="4" t="s">
        <v>6125</v>
      </c>
    </row>
    <row r="2043">
      <c r="A2043" s="5" t="s">
        <v>6126</v>
      </c>
      <c r="B2043" s="2" t="s">
        <v>6127</v>
      </c>
      <c r="C2043" s="4" t="str">
        <f>IFERROR(__xludf.DUMMYFUNCTION("""🏘️ ""&amp;REGEXEXTRACT(B2043, ""^(.*): "")&amp;"" ✅ "" &amp;REGEXEXTRACT(B2043, ""(Trouvez.*)"")"),"🏘️ Vendre maison Roumanie ✅ Trouvez le bien immobilier qui correspond idéalement à vos désirs sur ImmoScout24 - La plateforme de l'immobilier en Suisse.")</f>
        <v>🏘️ Vendre maison Roumanie ✅ Trouvez le bien immobilier qui correspond idéalement à vos désirs sur ImmoScout24 - La plateforme de l'immobilier en Suisse.</v>
      </c>
      <c r="D2043" s="4" t="str">
        <f>vlookup(A2043, Sheet2!D:E, 2, 0)</f>
        <v>variant</v>
      </c>
      <c r="E2043" s="4" t="str">
        <f>IFERROR(__xludf.DUMMYFUNCTION("if(H2043=""pays"",vlookup(REGEXEXTRACT(C2043, ""🏘️ \w+ \w+ (.*) ✅""),'Country prepositions'!A:B, 2, 0) &amp; "" "" &amp; REGEXEXTRACT(C2043, ""🏘️ \w+ \w+ (.*) ✅"") ,  if(H2043=""quartier"",vlookup(REGEXEXTRACT(C2043, ""🏘️ \w+ \w+ (.*) ✅""),'Quartier prepositio"&amp;"ns'!A:E, 5, 0) ,  if(H2043=""region"",vlookup(REGEXEXTRACT(C2043, ""🏘️ \w+ \w+ (.*) ✅""),'Region prepositions'!B:F, 5, 0),  REGEXEXTRACT(C2043, ""🏘️ \w+ \w+ (.*) ✅""))))"),"en Roumanie")</f>
        <v>en Roumanie</v>
      </c>
      <c r="F2043" s="2" t="str">
        <f>IFERROR(__xludf.DUMMYFUNCTION("REGEXEXTRACT(C2043, ""🏘️ (\w+) \w+ .* ✅"")"),"Vendre")</f>
        <v>Vendre</v>
      </c>
      <c r="G2043" s="2" t="str">
        <f>IFERROR(__xludf.DUMMYFUNCTION("REGEXEXTRACT(C2043, ""🏘️ \w+ (\w+) .* ✅"")"),"maison")</f>
        <v>maison</v>
      </c>
      <c r="H2043" s="4" t="str">
        <f>IFERROR(__xludf.DUMMYFUNCTION("REGEXEXTRACT(A2043, ""/(\w+)-.*?"")"),"pays")</f>
        <v>pays</v>
      </c>
      <c r="I2043" s="4" t="str">
        <f>IFERROR(__xludf.DUMMYFUNCTION("if(D2043=""variant"",  substitute(filter(Templates!E:E, Templates!A:A = F2043, Templates!B:B = G2043, Templates!C:C = H2043), ""{{}}"", E2043), B2043)"),"🏘  Vous cherchez un appartement à louer en Roumanie? ✅ Les annonces les plus actuelles sont sur ImmoScout24.ch.")</f>
        <v>🏘  Vous cherchez un appartement à louer en Roumanie? ✅ Les annonces les plus actuelles sont sur ImmoScout24.ch.</v>
      </c>
      <c r="J2043" s="4" t="s">
        <v>2736</v>
      </c>
    </row>
    <row r="2044">
      <c r="A2044" s="5" t="s">
        <v>6128</v>
      </c>
      <c r="B2044" s="2" t="s">
        <v>6129</v>
      </c>
      <c r="C2044" s="4" t="str">
        <f>IFERROR(__xludf.DUMMYFUNCTION("""🏘️ ""&amp;REGEXEXTRACT(B2044, ""^(.*): "")&amp;"" ✅ "" &amp;REGEXEXTRACT(B2044, ""(Trouvez.*)"")"),"🏘️ Vendre maison Wengen ✅ Trouvez le bien immobilier qui correspond idéalement à vos désirs sur ImmoScout24 - La plateforme de l'immobilier en Suisse.")</f>
        <v>🏘️ Vendre maison Wengen ✅ Trouvez le bien immobilier qui correspond idéalement à vos désirs sur ImmoScout24 - La plateforme de l'immobilier en Suisse.</v>
      </c>
      <c r="D2044" s="4" t="str">
        <f>vlookup(A2044, Sheet2!D:E, 2, 0)</f>
        <v>variant</v>
      </c>
      <c r="E2044" s="4" t="str">
        <f>IFERROR(__xludf.DUMMYFUNCTION("if(H2044=""pays"",vlookup(REGEXEXTRACT(C2044, ""🏘️ \w+ \w+ (.*) ✅""),'Country prepositions'!A:B, 2, 0) &amp; "" "" &amp; REGEXEXTRACT(C2044, ""🏘️ \w+ \w+ (.*) ✅"") ,  if(H2044=""quartier"",vlookup(REGEXEXTRACT(C2044, ""🏘️ \w+ \w+ (.*) ✅""),'Quartier prepositio"&amp;"ns'!A:E, 5, 0) ,  if(H2044=""region"",vlookup(REGEXEXTRACT(C2044, ""🏘️ \w+ \w+ (.*) ✅""),'Region prepositions'!B:F, 5, 0),  REGEXEXTRACT(C2044, ""🏘️ \w+ \w+ (.*) ✅""))))"),"Wengen")</f>
        <v>Wengen</v>
      </c>
      <c r="F2044" s="2" t="str">
        <f>IFERROR(__xludf.DUMMYFUNCTION("REGEXEXTRACT(C2044, ""🏘️ (\w+) \w+ .* ✅"")"),"Vendre")</f>
        <v>Vendre</v>
      </c>
      <c r="G2044" s="2" t="str">
        <f>IFERROR(__xludf.DUMMYFUNCTION("REGEXEXTRACT(C2044, ""🏘️ \w+ (\w+) .* ✅"")"),"maison")</f>
        <v>maison</v>
      </c>
      <c r="H2044" s="4" t="str">
        <f>IFERROR(__xludf.DUMMYFUNCTION("REGEXEXTRACT(A2044, ""/(\w+)-.*?"")"),"lieu")</f>
        <v>lieu</v>
      </c>
      <c r="I2044" s="4" t="str">
        <f>IFERROR(__xludf.DUMMYFUNCTION("if(D2044=""variant"",  substitute(filter(Templates!E:E, Templates!A:A = F2044, Templates!B:B = G2044, Templates!C:C = H2044), ""{{}}"", E2044), B2044)"),"🏘  Vous souhaitez acheter une maison à Wengen? ✅ Jetez un œil aux dernières offres sur ImmoScout24.ch.")</f>
        <v>🏘  Vous souhaitez acheter une maison à Wengen? ✅ Jetez un œil aux dernières offres sur ImmoScout24.ch.</v>
      </c>
      <c r="J2044" s="4" t="s">
        <v>6130</v>
      </c>
    </row>
    <row r="2045">
      <c r="A2045" s="5" t="s">
        <v>6131</v>
      </c>
      <c r="B2045" s="2" t="s">
        <v>6132</v>
      </c>
      <c r="C2045" s="4" t="str">
        <f>IFERROR(__xludf.DUMMYFUNCTION("""🏘️ ""&amp;REGEXEXTRACT(B2045, ""^(.*): "")&amp;"" ✅ "" &amp;REGEXEXTRACT(B2045, ""(Trouvez.*)"")"),"🏘️ Vendre maison Misery ✅ Trouvez le bien immobilier qui correspond idéalement à vos désirs sur ImmoScout24 - La plateforme de l'immobilier en Suisse.")</f>
        <v>🏘️ Vendre maison Misery ✅ Trouvez le bien immobilier qui correspond idéalement à vos désirs sur ImmoScout24 - La plateforme de l'immobilier en Suisse.</v>
      </c>
      <c r="D2045" s="4" t="str">
        <f>vlookup(A2045, Sheet2!D:E, 2, 0)</f>
        <v>variant</v>
      </c>
      <c r="E2045" s="4" t="str">
        <f>IFERROR(__xludf.DUMMYFUNCTION("if(H2045=""pays"",vlookup(REGEXEXTRACT(C2045, ""🏘️ \w+ \w+ (.*) ✅""),'Country prepositions'!A:B, 2, 0) &amp; "" "" &amp; REGEXEXTRACT(C2045, ""🏘️ \w+ \w+ (.*) ✅"") ,  if(H2045=""quartier"",vlookup(REGEXEXTRACT(C2045, ""🏘️ \w+ \w+ (.*) ✅""),'Quartier prepositio"&amp;"ns'!A:E, 5, 0) ,  if(H2045=""region"",vlookup(REGEXEXTRACT(C2045, ""🏘️ \w+ \w+ (.*) ✅""),'Region prepositions'!B:F, 5, 0),  REGEXEXTRACT(C2045, ""🏘️ \w+ \w+ (.*) ✅""))))"),"Misery")</f>
        <v>Misery</v>
      </c>
      <c r="F2045" s="2" t="str">
        <f>IFERROR(__xludf.DUMMYFUNCTION("REGEXEXTRACT(C2045, ""🏘️ (\w+) \w+ .* ✅"")"),"Vendre")</f>
        <v>Vendre</v>
      </c>
      <c r="G2045" s="2" t="str">
        <f>IFERROR(__xludf.DUMMYFUNCTION("REGEXEXTRACT(C2045, ""🏘️ \w+ (\w+) .* ✅"")"),"maison")</f>
        <v>maison</v>
      </c>
      <c r="H2045" s="4" t="str">
        <f>IFERROR(__xludf.DUMMYFUNCTION("REGEXEXTRACT(A2045, ""/(\w+)-.*?"")"),"lieu")</f>
        <v>lieu</v>
      </c>
      <c r="I2045" s="4" t="str">
        <f>IFERROR(__xludf.DUMMYFUNCTION("if(D2045=""variant"",  substitute(filter(Templates!E:E, Templates!A:A = F2045, Templates!B:B = G2045, Templates!C:C = H2045), ""{{}}"", E2045), B2045)"),"🏘  Vous souhaitez acheter une maison à Misery? ✅ Jetez un œil aux dernières offres sur ImmoScout24.ch.")</f>
        <v>🏘  Vous souhaitez acheter une maison à Misery? ✅ Jetez un œil aux dernières offres sur ImmoScout24.ch.</v>
      </c>
      <c r="J2045" s="4" t="s">
        <v>6133</v>
      </c>
    </row>
    <row r="2046">
      <c r="A2046" s="5" t="s">
        <v>6134</v>
      </c>
      <c r="B2046" s="2" t="s">
        <v>6135</v>
      </c>
      <c r="C2046" s="4" t="str">
        <f>IFERROR(__xludf.DUMMYFUNCTION("""🏘️ ""&amp;REGEXEXTRACT(B2046, ""^(.*): "")&amp;"" ✅ "" &amp;REGEXEXTRACT(B2046, ""(Trouvez.*)"")"),"🏘️ Louer appartement Corcelles BE ✅ Trouvez le bien immobilier qui correspond idéalement à vos désirs sur ImmoScout24 - La plateforme de l'immobilier en Suisse.")</f>
        <v>🏘️ Louer appartement Corcelles BE ✅ Trouvez le bien immobilier qui correspond idéalement à vos désirs sur ImmoScout24 - La plateforme de l'immobilier en Suisse.</v>
      </c>
      <c r="D2046" s="4" t="str">
        <f>vlookup(A2046, Sheet2!D:E, 2, 0)</f>
        <v>variant</v>
      </c>
      <c r="E2046" s="4" t="str">
        <f>IFERROR(__xludf.DUMMYFUNCTION("if(H2046=""pays"",vlookup(REGEXEXTRACT(C2046, ""🏘️ \w+ \w+ (.*) ✅""),'Country prepositions'!A:B, 2, 0) &amp; "" "" &amp; REGEXEXTRACT(C2046, ""🏘️ \w+ \w+ (.*) ✅"") ,  if(H2046=""quartier"",vlookup(REGEXEXTRACT(C2046, ""🏘️ \w+ \w+ (.*) ✅""),'Quartier prepositio"&amp;"ns'!A:E, 5, 0) ,  if(H2046=""region"",vlookup(REGEXEXTRACT(C2046, ""🏘️ \w+ \w+ (.*) ✅""),'Region prepositions'!B:F, 5, 0),  REGEXEXTRACT(C2046, ""🏘️ \w+ \w+ (.*) ✅""))))"),"Corcelles BE")</f>
        <v>Corcelles BE</v>
      </c>
      <c r="F2046" s="2" t="str">
        <f>IFERROR(__xludf.DUMMYFUNCTION("REGEXEXTRACT(C2046, ""🏘️ (\w+) \w+ .* ✅"")"),"Louer")</f>
        <v>Louer</v>
      </c>
      <c r="G2046" s="2" t="str">
        <f>IFERROR(__xludf.DUMMYFUNCTION("REGEXEXTRACT(C2046, ""🏘️ \w+ (\w+) .* ✅"")"),"appartement")</f>
        <v>appartement</v>
      </c>
      <c r="H2046" s="4" t="str">
        <f>IFERROR(__xludf.DUMMYFUNCTION("REGEXEXTRACT(A2046, ""/(\w+)-.*?"")"),"lieu")</f>
        <v>lieu</v>
      </c>
      <c r="I2046" s="4" t="str">
        <f>IFERROR(__xludf.DUMMYFUNCTION("if(D2046=""variant"",  substitute(filter(Templates!E:E, Templates!A:A = F2046, Templates!B:B = G2046, Templates!C:C = H2046), ""{{}}"", E2046), B2046)"),"🏘  Vous cherchez un appartement à louer à Corcelles BE? ✅ Les annonces les plus actuelles sont sur ImmoScout24.ch.")</f>
        <v>🏘  Vous cherchez un appartement à louer à Corcelles BE? ✅ Les annonces les plus actuelles sont sur ImmoScout24.ch.</v>
      </c>
      <c r="J2046" s="4" t="s">
        <v>6136</v>
      </c>
    </row>
    <row r="2047">
      <c r="A2047" s="5" t="s">
        <v>6137</v>
      </c>
      <c r="B2047" s="2" t="s">
        <v>6138</v>
      </c>
      <c r="C2047" s="4" t="str">
        <f>IFERROR(__xludf.DUMMYFUNCTION("""🏘️ ""&amp;REGEXEXTRACT(B2047, ""^(.*): "")&amp;"" ✅ "" &amp;REGEXEXTRACT(B2047, ""(Trouvez.*)"")"),"🏘️ Louer maison Le Grand-Saconnex ✅ Trouvez le bien immobilier qui correspond idéalement à vos désirs sur ImmoScout24 - La plateforme de l'immobilier en Suisse.")</f>
        <v>🏘️ Louer maison Le Grand-Saconnex ✅ Trouvez le bien immobilier qui correspond idéalement à vos désirs sur ImmoScout24 - La plateforme de l'immobilier en Suisse.</v>
      </c>
      <c r="D2047" s="4" t="str">
        <f>vlookup(A2047, Sheet2!D:E, 2, 0)</f>
        <v>variant</v>
      </c>
      <c r="E2047" s="4" t="str">
        <f>IFERROR(__xludf.DUMMYFUNCTION("if(H2047=""pays"",vlookup(REGEXEXTRACT(C2047, ""🏘️ \w+ \w+ (.*) ✅""),'Country prepositions'!A:B, 2, 0) &amp; "" "" &amp; REGEXEXTRACT(C2047, ""🏘️ \w+ \w+ (.*) ✅"") ,  if(H2047=""quartier"",vlookup(REGEXEXTRACT(C2047, ""🏘️ \w+ \w+ (.*) ✅""),'Quartier prepositio"&amp;"ns'!A:E, 5, 0) ,  if(H2047=""region"",vlookup(REGEXEXTRACT(C2047, ""🏘️ \w+ \w+ (.*) ✅""),'Region prepositions'!B:F, 5, 0),  REGEXEXTRACT(C2047, ""🏘️ \w+ \w+ (.*) ✅""))))"),"Le Grand-Saconnex")</f>
        <v>Le Grand-Saconnex</v>
      </c>
      <c r="F2047" s="2" t="str">
        <f>IFERROR(__xludf.DUMMYFUNCTION("REGEXEXTRACT(C2047, ""🏘️ (\w+) \w+ .* ✅"")"),"Louer")</f>
        <v>Louer</v>
      </c>
      <c r="G2047" s="2" t="str">
        <f>IFERROR(__xludf.DUMMYFUNCTION("REGEXEXTRACT(C2047, ""🏘️ \w+ (\w+) .* ✅"")"),"maison")</f>
        <v>maison</v>
      </c>
      <c r="H2047" s="4" t="str">
        <f>IFERROR(__xludf.DUMMYFUNCTION("REGEXEXTRACT(A2047, ""/(\w+)-.*?"")"),"lieu")</f>
        <v>lieu</v>
      </c>
      <c r="I2047" s="4" t="str">
        <f>IFERROR(__xludf.DUMMYFUNCTION("if(D2047=""variant"",  substitute(filter(Templates!E:E, Templates!A:A = F2047, Templates!B:B = G2047, Templates!C:C = H2047), ""{{}}"", E2047), B2047)"),"🏘  Vous cherchez une maison à louer à Le Grand-Saconnex? ✅ Découvrez nos nombreuses annonces sur ImmoScout24.ch.")</f>
        <v>🏘  Vous cherchez une maison à louer à Le Grand-Saconnex? ✅ Découvrez nos nombreuses annonces sur ImmoScout24.ch.</v>
      </c>
      <c r="J2047" s="2" t="s">
        <v>6139</v>
      </c>
    </row>
    <row r="2048">
      <c r="A2048" s="5" t="s">
        <v>6140</v>
      </c>
      <c r="B2048" s="2" t="s">
        <v>6141</v>
      </c>
      <c r="C2048" s="4" t="str">
        <f>IFERROR(__xludf.DUMMYFUNCTION("""🏘️ ""&amp;REGEXEXTRACT(B2048, ""^(.*): "")&amp;"" ✅ "" &amp;REGEXEXTRACT(B2048, ""(Trouvez.*)"")"),"🏘️ Vendre maison Minusio ✅ Trouvez le bien immobilier qui correspond idéalement à vos désirs sur ImmoScout24 - La plateforme de l'immobilier en Suisse.")</f>
        <v>🏘️ Vendre maison Minusio ✅ Trouvez le bien immobilier qui correspond idéalement à vos désirs sur ImmoScout24 - La plateforme de l'immobilier en Suisse.</v>
      </c>
      <c r="D2048" s="4" t="str">
        <f>vlookup(A2048, Sheet2!D:E, 2, 0)</f>
        <v>variant</v>
      </c>
      <c r="E2048" s="4" t="str">
        <f>IFERROR(__xludf.DUMMYFUNCTION("if(H2048=""pays"",vlookup(REGEXEXTRACT(C2048, ""🏘️ \w+ \w+ (.*) ✅""),'Country prepositions'!A:B, 2, 0) &amp; "" "" &amp; REGEXEXTRACT(C2048, ""🏘️ \w+ \w+ (.*) ✅"") ,  if(H2048=""quartier"",vlookup(REGEXEXTRACT(C2048, ""🏘️ \w+ \w+ (.*) ✅""),'Quartier prepositio"&amp;"ns'!A:E, 5, 0) ,  if(H2048=""region"",vlookup(REGEXEXTRACT(C2048, ""🏘️ \w+ \w+ (.*) ✅""),'Region prepositions'!B:F, 5, 0),  REGEXEXTRACT(C2048, ""🏘️ \w+ \w+ (.*) ✅""))))"),"Minusio")</f>
        <v>Minusio</v>
      </c>
      <c r="F2048" s="2" t="str">
        <f>IFERROR(__xludf.DUMMYFUNCTION("REGEXEXTRACT(C2048, ""🏘️ (\w+) \w+ .* ✅"")"),"Vendre")</f>
        <v>Vendre</v>
      </c>
      <c r="G2048" s="2" t="str">
        <f>IFERROR(__xludf.DUMMYFUNCTION("REGEXEXTRACT(C2048, ""🏘️ \w+ (\w+) .* ✅"")"),"maison")</f>
        <v>maison</v>
      </c>
      <c r="H2048" s="4" t="str">
        <f>IFERROR(__xludf.DUMMYFUNCTION("REGEXEXTRACT(A2048, ""/(\w+)-.*?"")"),"lieu")</f>
        <v>lieu</v>
      </c>
      <c r="I2048" s="4" t="str">
        <f>IFERROR(__xludf.DUMMYFUNCTION("if(D2048=""variant"",  substitute(filter(Templates!E:E, Templates!A:A = F2048, Templates!B:B = G2048, Templates!C:C = H2048), ""{{}}"", E2048), B2048)"),"🏘  Vous souhaitez acheter une maison à Minusio? ✅ Jetez un œil aux dernières offres sur ImmoScout24.ch.")</f>
        <v>🏘  Vous souhaitez acheter une maison à Minusio? ✅ Jetez un œil aux dernières offres sur ImmoScout24.ch.</v>
      </c>
      <c r="J2048" s="4" t="s">
        <v>6142</v>
      </c>
    </row>
    <row r="2049">
      <c r="A2049" s="5" t="s">
        <v>6143</v>
      </c>
      <c r="B2049" s="2" t="s">
        <v>6144</v>
      </c>
      <c r="C2049" s="4" t="str">
        <f>IFERROR(__xludf.DUMMYFUNCTION("""🏘️ ""&amp;REGEXEXTRACT(B2049, ""^(.*): "")&amp;"" ✅ "" &amp;REGEXEXTRACT(B2049, ""(Trouvez.*)"")"),"🏘️ Louer maison Sorens ✅ Trouvez le bien immobilier qui correspond idéalement à vos désirs sur ImmoScout24 - La plateforme de l'immobilier en Suisse.")</f>
        <v>🏘️ Louer maison Sorens ✅ Trouvez le bien immobilier qui correspond idéalement à vos désirs sur ImmoScout24 - La plateforme de l'immobilier en Suisse.</v>
      </c>
      <c r="D2049" s="4" t="str">
        <f>vlookup(A2049, Sheet2!D:E, 2, 0)</f>
        <v>variant</v>
      </c>
      <c r="E2049" s="4" t="str">
        <f>IFERROR(__xludf.DUMMYFUNCTION("if(H2049=""pays"",vlookup(REGEXEXTRACT(C2049, ""🏘️ \w+ \w+ (.*) ✅""),'Country prepositions'!A:B, 2, 0) &amp; "" "" &amp; REGEXEXTRACT(C2049, ""🏘️ \w+ \w+ (.*) ✅"") ,  if(H2049=""quartier"",vlookup(REGEXEXTRACT(C2049, ""🏘️ \w+ \w+ (.*) ✅""),'Quartier prepositio"&amp;"ns'!A:E, 5, 0) ,  if(H2049=""region"",vlookup(REGEXEXTRACT(C2049, ""🏘️ \w+ \w+ (.*) ✅""),'Region prepositions'!B:F, 5, 0),  REGEXEXTRACT(C2049, ""🏘️ \w+ \w+ (.*) ✅""))))"),"Sorens")</f>
        <v>Sorens</v>
      </c>
      <c r="F2049" s="2" t="str">
        <f>IFERROR(__xludf.DUMMYFUNCTION("REGEXEXTRACT(C2049, ""🏘️ (\w+) \w+ .* ✅"")"),"Louer")</f>
        <v>Louer</v>
      </c>
      <c r="G2049" s="2" t="str">
        <f>IFERROR(__xludf.DUMMYFUNCTION("REGEXEXTRACT(C2049, ""🏘️ \w+ (\w+) .* ✅"")"),"maison")</f>
        <v>maison</v>
      </c>
      <c r="H2049" s="4" t="str">
        <f>IFERROR(__xludf.DUMMYFUNCTION("REGEXEXTRACT(A2049, ""/(\w+)-.*?"")"),"lieu")</f>
        <v>lieu</v>
      </c>
      <c r="I2049" s="4" t="str">
        <f>IFERROR(__xludf.DUMMYFUNCTION("if(D2049=""variant"",  substitute(filter(Templates!E:E, Templates!A:A = F2049, Templates!B:B = G2049, Templates!C:C = H2049), ""{{}}"", E2049), B2049)"),"🏘  Vous cherchez une maison à louer à Sorens? ✅ Découvrez nos nombreuses annonces sur ImmoScout24.ch.")</f>
        <v>🏘  Vous cherchez une maison à louer à Sorens? ✅ Découvrez nos nombreuses annonces sur ImmoScout24.ch.</v>
      </c>
      <c r="J2049" s="4" t="s">
        <v>6145</v>
      </c>
    </row>
    <row r="2050">
      <c r="A2050" s="5" t="s">
        <v>6146</v>
      </c>
      <c r="B2050" s="2" t="s">
        <v>6147</v>
      </c>
      <c r="C2050" s="4" t="str">
        <f>IFERROR(__xludf.DUMMYFUNCTION("""🏘️ ""&amp;REGEXEXTRACT(B2050, ""^(.*): "")&amp;"" ✅ "" &amp;REGEXEXTRACT(B2050, ""(Trouvez.*)"")"),"🏘️ Louer maison Sottens ✅ Trouvez le bien immobilier qui correspond idéalement à vos désirs sur ImmoScout24 - La plateforme de l'immobilier en Suisse.")</f>
        <v>🏘️ Louer maison Sottens ✅ Trouvez le bien immobilier qui correspond idéalement à vos désirs sur ImmoScout24 - La plateforme de l'immobilier en Suisse.</v>
      </c>
      <c r="D2050" s="4" t="str">
        <f>vlookup(A2050, Sheet2!D:E, 2, 0)</f>
        <v>variant</v>
      </c>
      <c r="E2050" s="4" t="str">
        <f>IFERROR(__xludf.DUMMYFUNCTION("if(H2050=""pays"",vlookup(REGEXEXTRACT(C2050, ""🏘️ \w+ \w+ (.*) ✅""),'Country prepositions'!A:B, 2, 0) &amp; "" "" &amp; REGEXEXTRACT(C2050, ""🏘️ \w+ \w+ (.*) ✅"") ,  if(H2050=""quartier"",vlookup(REGEXEXTRACT(C2050, ""🏘️ \w+ \w+ (.*) ✅""),'Quartier prepositio"&amp;"ns'!A:E, 5, 0) ,  if(H2050=""region"",vlookup(REGEXEXTRACT(C2050, ""🏘️ \w+ \w+ (.*) ✅""),'Region prepositions'!B:F, 5, 0),  REGEXEXTRACT(C2050, ""🏘️ \w+ \w+ (.*) ✅""))))"),"Sottens")</f>
        <v>Sottens</v>
      </c>
      <c r="F2050" s="2" t="str">
        <f>IFERROR(__xludf.DUMMYFUNCTION("REGEXEXTRACT(C2050, ""🏘️ (\w+) \w+ .* ✅"")"),"Louer")</f>
        <v>Louer</v>
      </c>
      <c r="G2050" s="2" t="str">
        <f>IFERROR(__xludf.DUMMYFUNCTION("REGEXEXTRACT(C2050, ""🏘️ \w+ (\w+) .* ✅"")"),"maison")</f>
        <v>maison</v>
      </c>
      <c r="H2050" s="4" t="str">
        <f>IFERROR(__xludf.DUMMYFUNCTION("REGEXEXTRACT(A2050, ""/(\w+)-.*?"")"),"lieu")</f>
        <v>lieu</v>
      </c>
      <c r="I2050" s="4" t="str">
        <f>IFERROR(__xludf.DUMMYFUNCTION("if(D2050=""variant"",  substitute(filter(Templates!E:E, Templates!A:A = F2050, Templates!B:B = G2050, Templates!C:C = H2050), ""{{}}"", E2050), B2050)"),"🏘  Vous cherchez une maison à louer à Sottens? ✅ Découvrez nos nombreuses annonces sur ImmoScout24.ch.")</f>
        <v>🏘  Vous cherchez une maison à louer à Sottens? ✅ Découvrez nos nombreuses annonces sur ImmoScout24.ch.</v>
      </c>
      <c r="J2050" s="4" t="s">
        <v>6148</v>
      </c>
    </row>
    <row r="2051">
      <c r="A2051" s="5" t="s">
        <v>6149</v>
      </c>
      <c r="B2051" s="2" t="s">
        <v>6150</v>
      </c>
      <c r="C2051" s="4" t="str">
        <f>IFERROR(__xludf.DUMMYFUNCTION("""🏘️ ""&amp;REGEXEXTRACT(B2051, ""^(.*): "")&amp;"" ✅ "" &amp;REGEXEXTRACT(B2051, ""(Trouvez.*)"")"),"🏘️ Vendre appartement Neuenegg ✅ Trouvez le bien immobilier qui correspond idéalement à vos désirs sur ImmoScout24 - La plateforme de l'immobilier en Suisse.")</f>
        <v>🏘️ Vendre appartement Neuenegg ✅ Trouvez le bien immobilier qui correspond idéalement à vos désirs sur ImmoScout24 - La plateforme de l'immobilier en Suisse.</v>
      </c>
      <c r="D2051" s="4" t="str">
        <f>vlookup(A2051, Sheet2!D:E, 2, 0)</f>
        <v>variant</v>
      </c>
      <c r="E2051" s="4" t="str">
        <f>IFERROR(__xludf.DUMMYFUNCTION("if(H2051=""pays"",vlookup(REGEXEXTRACT(C2051, ""🏘️ \w+ \w+ (.*) ✅""),'Country prepositions'!A:B, 2, 0) &amp; "" "" &amp; REGEXEXTRACT(C2051, ""🏘️ \w+ \w+ (.*) ✅"") ,  if(H2051=""quartier"",vlookup(REGEXEXTRACT(C2051, ""🏘️ \w+ \w+ (.*) ✅""),'Quartier prepositio"&amp;"ns'!A:E, 5, 0) ,  if(H2051=""region"",vlookup(REGEXEXTRACT(C2051, ""🏘️ \w+ \w+ (.*) ✅""),'Region prepositions'!B:F, 5, 0),  REGEXEXTRACT(C2051, ""🏘️ \w+ \w+ (.*) ✅""))))"),"Neuenegg")</f>
        <v>Neuenegg</v>
      </c>
      <c r="F2051" s="2" t="str">
        <f>IFERROR(__xludf.DUMMYFUNCTION("REGEXEXTRACT(C2051, ""🏘️ (\w+) \w+ .* ✅"")"),"Vendre")</f>
        <v>Vendre</v>
      </c>
      <c r="G2051" s="2" t="str">
        <f>IFERROR(__xludf.DUMMYFUNCTION("REGEXEXTRACT(C2051, ""🏘️ \w+ (\w+) .* ✅"")"),"appartement")</f>
        <v>appartement</v>
      </c>
      <c r="H2051" s="4" t="str">
        <f>IFERROR(__xludf.DUMMYFUNCTION("REGEXEXTRACT(A2051, ""/(\w+)-.*?"")"),"lieu")</f>
        <v>lieu</v>
      </c>
      <c r="I2051" s="4" t="str">
        <f>IFERROR(__xludf.DUMMYFUNCTION("if(D2051=""variant"",  substitute(filter(Templates!E:E, Templates!A:A = F2051, Templates!B:B = G2051, Templates!C:C = H2051), ""{{}}"", E2051), B2051)"),"🏘  L’appartement de vos rêves se trouve sur ImmoScout24.ch ✅ Découvrez les dernières annonces de vente à Neuenegg.")</f>
        <v>🏘  L’appartement de vos rêves se trouve sur ImmoScout24.ch ✅ Découvrez les dernières annonces de vente à Neuenegg.</v>
      </c>
      <c r="J2051" s="4" t="s">
        <v>6151</v>
      </c>
    </row>
    <row r="2052">
      <c r="A2052" s="5" t="s">
        <v>6152</v>
      </c>
      <c r="B2052" s="2" t="s">
        <v>6153</v>
      </c>
      <c r="C2052" s="4" t="str">
        <f>IFERROR(__xludf.DUMMYFUNCTION("""🏘️ ""&amp;REGEXEXTRACT(B2052, ""^(.*): "")&amp;"" ✅ "" &amp;REGEXEXTRACT(B2052, ""(Trouvez.*)"")"),"🏘️ Louer appartement Russo ✅ Trouvez le bien immobilier qui correspond idéalement à vos désirs sur ImmoScout24 - La plateforme de l'immobilier en Suisse.")</f>
        <v>🏘️ Louer appartement Russo ✅ Trouvez le bien immobilier qui correspond idéalement à vos désirs sur ImmoScout24 - La plateforme de l'immobilier en Suisse.</v>
      </c>
      <c r="D2052" s="4" t="str">
        <f>vlookup(A2052, Sheet2!D:E, 2, 0)</f>
        <v>variant</v>
      </c>
      <c r="E2052" s="4" t="str">
        <f>IFERROR(__xludf.DUMMYFUNCTION("if(H2052=""pays"",vlookup(REGEXEXTRACT(C2052, ""🏘️ \w+ \w+ (.*) ✅""),'Country prepositions'!A:B, 2, 0) &amp; "" "" &amp; REGEXEXTRACT(C2052, ""🏘️ \w+ \w+ (.*) ✅"") ,  if(H2052=""quartier"",vlookup(REGEXEXTRACT(C2052, ""🏘️ \w+ \w+ (.*) ✅""),'Quartier prepositio"&amp;"ns'!A:E, 5, 0) ,  if(H2052=""region"",vlookup(REGEXEXTRACT(C2052, ""🏘️ \w+ \w+ (.*) ✅""),'Region prepositions'!B:F, 5, 0),  REGEXEXTRACT(C2052, ""🏘️ \w+ \w+ (.*) ✅""))))"),"Russo")</f>
        <v>Russo</v>
      </c>
      <c r="F2052" s="2" t="str">
        <f>IFERROR(__xludf.DUMMYFUNCTION("REGEXEXTRACT(C2052, ""🏘️ (\w+) \w+ .* ✅"")"),"Louer")</f>
        <v>Louer</v>
      </c>
      <c r="G2052" s="2" t="str">
        <f>IFERROR(__xludf.DUMMYFUNCTION("REGEXEXTRACT(C2052, ""🏘️ \w+ (\w+) .* ✅"")"),"appartement")</f>
        <v>appartement</v>
      </c>
      <c r="H2052" s="4" t="str">
        <f>IFERROR(__xludf.DUMMYFUNCTION("REGEXEXTRACT(A2052, ""/(\w+)-.*?"")"),"lieu")</f>
        <v>lieu</v>
      </c>
      <c r="I2052" s="4" t="str">
        <f>IFERROR(__xludf.DUMMYFUNCTION("if(D2052=""variant"",  substitute(filter(Templates!E:E, Templates!A:A = F2052, Templates!B:B = G2052, Templates!C:C = H2052), ""{{}}"", E2052), B2052)"),"🏘  Vous cherchez un appartement à louer à Russo? ✅ Les annonces les plus actuelles sont sur ImmoScout24.ch.")</f>
        <v>🏘  Vous cherchez un appartement à louer à Russo? ✅ Les annonces les plus actuelles sont sur ImmoScout24.ch.</v>
      </c>
      <c r="J2052" s="4" t="s">
        <v>6154</v>
      </c>
    </row>
    <row r="2053">
      <c r="A2053" s="5" t="s">
        <v>6155</v>
      </c>
      <c r="B2053" s="2" t="s">
        <v>6156</v>
      </c>
      <c r="C2053" s="4" t="str">
        <f>IFERROR(__xludf.DUMMYFUNCTION("""🏘️ ""&amp;REGEXEXTRACT(B2053, ""^(.*): "")&amp;"" ✅ "" &amp;REGEXEXTRACT(B2053, ""(Trouvez.*)"")"),"🏘️ Vendre maison Fiesch ✅ Trouvez le bien immobilier qui correspond idéalement à vos désirs sur ImmoScout24 - La plateforme de l'immobilier en Suisse.")</f>
        <v>🏘️ Vendre maison Fiesch ✅ Trouvez le bien immobilier qui correspond idéalement à vos désirs sur ImmoScout24 - La plateforme de l'immobilier en Suisse.</v>
      </c>
      <c r="D2053" s="4" t="str">
        <f>vlookup(A2053, Sheet2!D:E, 2, 0)</f>
        <v>variant</v>
      </c>
      <c r="E2053" s="4" t="str">
        <f>IFERROR(__xludf.DUMMYFUNCTION("if(H2053=""pays"",vlookup(REGEXEXTRACT(C2053, ""🏘️ \w+ \w+ (.*) ✅""),'Country prepositions'!A:B, 2, 0) &amp; "" "" &amp; REGEXEXTRACT(C2053, ""🏘️ \w+ \w+ (.*) ✅"") ,  if(H2053=""quartier"",vlookup(REGEXEXTRACT(C2053, ""🏘️ \w+ \w+ (.*) ✅""),'Quartier prepositio"&amp;"ns'!A:E, 5, 0) ,  if(H2053=""region"",vlookup(REGEXEXTRACT(C2053, ""🏘️ \w+ \w+ (.*) ✅""),'Region prepositions'!B:F, 5, 0),  REGEXEXTRACT(C2053, ""🏘️ \w+ \w+ (.*) ✅""))))"),"Fiesch")</f>
        <v>Fiesch</v>
      </c>
      <c r="F2053" s="2" t="str">
        <f>IFERROR(__xludf.DUMMYFUNCTION("REGEXEXTRACT(C2053, ""🏘️ (\w+) \w+ .* ✅"")"),"Vendre")</f>
        <v>Vendre</v>
      </c>
      <c r="G2053" s="2" t="str">
        <f>IFERROR(__xludf.DUMMYFUNCTION("REGEXEXTRACT(C2053, ""🏘️ \w+ (\w+) .* ✅"")"),"maison")</f>
        <v>maison</v>
      </c>
      <c r="H2053" s="4" t="str">
        <f>IFERROR(__xludf.DUMMYFUNCTION("REGEXEXTRACT(A2053, ""/(\w+)-.*?"")"),"lieu")</f>
        <v>lieu</v>
      </c>
      <c r="I2053" s="4" t="str">
        <f>IFERROR(__xludf.DUMMYFUNCTION("if(D2053=""variant"",  substitute(filter(Templates!E:E, Templates!A:A = F2053, Templates!B:B = G2053, Templates!C:C = H2053), ""{{}}"", E2053), B2053)"),"🏘  Vous souhaitez acheter une maison à Fiesch? ✅ Jetez un œil aux dernières offres sur ImmoScout24.ch.")</f>
        <v>🏘  Vous souhaitez acheter une maison à Fiesch? ✅ Jetez un œil aux dernières offres sur ImmoScout24.ch.</v>
      </c>
      <c r="J2053" s="4" t="s">
        <v>6157</v>
      </c>
    </row>
    <row r="2054">
      <c r="A2054" s="5" t="s">
        <v>6158</v>
      </c>
      <c r="B2054" s="2" t="s">
        <v>6159</v>
      </c>
      <c r="C2054" s="4" t="str">
        <f>IFERROR(__xludf.DUMMYFUNCTION("""🏘️ ""&amp;REGEXEXTRACT(B2054, ""^(.*): "")&amp;"" ✅ "" &amp;REGEXEXTRACT(B2054, ""(Trouvez.*)"")"),"🏘️ Louer appartement Mase ✅ Trouvez le bien immobilier qui correspond idéalement à vos désirs sur ImmoScout24 - La plateforme de l'immobilier en Suisse.")</f>
        <v>🏘️ Louer appartement Mase ✅ Trouvez le bien immobilier qui correspond idéalement à vos désirs sur ImmoScout24 - La plateforme de l'immobilier en Suisse.</v>
      </c>
      <c r="D2054" s="4" t="str">
        <f>vlookup(A2054, Sheet2!D:E, 2, 0)</f>
        <v>variant</v>
      </c>
      <c r="E2054" s="4" t="str">
        <f>IFERROR(__xludf.DUMMYFUNCTION("if(H2054=""pays"",vlookup(REGEXEXTRACT(C2054, ""🏘️ \w+ \w+ (.*) ✅""),'Country prepositions'!A:B, 2, 0) &amp; "" "" &amp; REGEXEXTRACT(C2054, ""🏘️ \w+ \w+ (.*) ✅"") ,  if(H2054=""quartier"",vlookup(REGEXEXTRACT(C2054, ""🏘️ \w+ \w+ (.*) ✅""),'Quartier prepositio"&amp;"ns'!A:E, 5, 0) ,  if(H2054=""region"",vlookup(REGEXEXTRACT(C2054, ""🏘️ \w+ \w+ (.*) ✅""),'Region prepositions'!B:F, 5, 0),  REGEXEXTRACT(C2054, ""🏘️ \w+ \w+ (.*) ✅""))))"),"Mase")</f>
        <v>Mase</v>
      </c>
      <c r="F2054" s="2" t="str">
        <f>IFERROR(__xludf.DUMMYFUNCTION("REGEXEXTRACT(C2054, ""🏘️ (\w+) \w+ .* ✅"")"),"Louer")</f>
        <v>Louer</v>
      </c>
      <c r="G2054" s="2" t="str">
        <f>IFERROR(__xludf.DUMMYFUNCTION("REGEXEXTRACT(C2054, ""🏘️ \w+ (\w+) .* ✅"")"),"appartement")</f>
        <v>appartement</v>
      </c>
      <c r="H2054" s="4" t="str">
        <f>IFERROR(__xludf.DUMMYFUNCTION("REGEXEXTRACT(A2054, ""/(\w+)-.*?"")"),"lieu")</f>
        <v>lieu</v>
      </c>
      <c r="I2054" s="4" t="str">
        <f>IFERROR(__xludf.DUMMYFUNCTION("if(D2054=""variant"",  substitute(filter(Templates!E:E, Templates!A:A = F2054, Templates!B:B = G2054, Templates!C:C = H2054), ""{{}}"", E2054), B2054)"),"🏘  Vous cherchez un appartement à louer à Mase? ✅ Les annonces les plus actuelles sont sur ImmoScout24.ch.")</f>
        <v>🏘  Vous cherchez un appartement à louer à Mase? ✅ Les annonces les plus actuelles sont sur ImmoScout24.ch.</v>
      </c>
      <c r="J2054" s="4" t="s">
        <v>6160</v>
      </c>
    </row>
    <row r="2055">
      <c r="A2055" s="5" t="s">
        <v>6161</v>
      </c>
      <c r="B2055" s="2" t="s">
        <v>6162</v>
      </c>
      <c r="C2055" s="4" t="str">
        <f>IFERROR(__xludf.DUMMYFUNCTION("""🏘️ ""&amp;REGEXEXTRACT(B2055, ""^(.*): "")&amp;"" ✅ "" &amp;REGEXEXTRACT(B2055, ""(Trouvez.*)"")"),"🏘️ Vendre appartement Epagny ✅ Trouvez le bien immobilier qui correspond idéalement à vos désirs sur ImmoScout24 - La plateforme de l'immobilier en Suisse.")</f>
        <v>🏘️ Vendre appartement Epagny ✅ Trouvez le bien immobilier qui correspond idéalement à vos désirs sur ImmoScout24 - La plateforme de l'immobilier en Suisse.</v>
      </c>
      <c r="D2055" s="4" t="str">
        <f>vlookup(A2055, Sheet2!D:E, 2, 0)</f>
        <v>variant</v>
      </c>
      <c r="E2055" s="4" t="str">
        <f>IFERROR(__xludf.DUMMYFUNCTION("if(H2055=""pays"",vlookup(REGEXEXTRACT(C2055, ""🏘️ \w+ \w+ (.*) ✅""),'Country prepositions'!A:B, 2, 0) &amp; "" "" &amp; REGEXEXTRACT(C2055, ""🏘️ \w+ \w+ (.*) ✅"") ,  if(H2055=""quartier"",vlookup(REGEXEXTRACT(C2055, ""🏘️ \w+ \w+ (.*) ✅""),'Quartier prepositio"&amp;"ns'!A:E, 5, 0) ,  if(H2055=""region"",vlookup(REGEXEXTRACT(C2055, ""🏘️ \w+ \w+ (.*) ✅""),'Region prepositions'!B:F, 5, 0),  REGEXEXTRACT(C2055, ""🏘️ \w+ \w+ (.*) ✅""))))"),"Epagny")</f>
        <v>Epagny</v>
      </c>
      <c r="F2055" s="2" t="str">
        <f>IFERROR(__xludf.DUMMYFUNCTION("REGEXEXTRACT(C2055, ""🏘️ (\w+) \w+ .* ✅"")"),"Vendre")</f>
        <v>Vendre</v>
      </c>
      <c r="G2055" s="2" t="str">
        <f>IFERROR(__xludf.DUMMYFUNCTION("REGEXEXTRACT(C2055, ""🏘️ \w+ (\w+) .* ✅"")"),"appartement")</f>
        <v>appartement</v>
      </c>
      <c r="H2055" s="4" t="str">
        <f>IFERROR(__xludf.DUMMYFUNCTION("REGEXEXTRACT(A2055, ""/(\w+)-.*?"")"),"lieu")</f>
        <v>lieu</v>
      </c>
      <c r="I2055" s="4" t="str">
        <f>IFERROR(__xludf.DUMMYFUNCTION("if(D2055=""variant"",  substitute(filter(Templates!E:E, Templates!A:A = F2055, Templates!B:B = G2055, Templates!C:C = H2055), ""{{}}"", E2055), B2055)"),"🏘  L’appartement de vos rêves se trouve sur ImmoScout24.ch ✅ Découvrez les dernières annonces de vente à Epagny.")</f>
        <v>🏘  L’appartement de vos rêves se trouve sur ImmoScout24.ch ✅ Découvrez les dernières annonces de vente à Epagny.</v>
      </c>
      <c r="J2055" s="4" t="s">
        <v>6163</v>
      </c>
    </row>
    <row r="2056">
      <c r="A2056" s="5" t="s">
        <v>6164</v>
      </c>
      <c r="B2056" s="2" t="s">
        <v>6165</v>
      </c>
      <c r="C2056" s="4" t="str">
        <f>IFERROR(__xludf.DUMMYFUNCTION("""🏘️ ""&amp;REGEXEXTRACT(B2056, ""^(.*): "")&amp;"" ✅ "" &amp;REGEXEXTRACT(B2056, ""(Trouvez.*)"")"),"🏘️ Louer maison Le Mouret ✅ Trouvez le bien immobilier qui correspond idéalement à vos désirs sur ImmoScout24 - La plateforme de l'immobilier en Suisse.")</f>
        <v>🏘️ Louer maison Le Mouret ✅ Trouvez le bien immobilier qui correspond idéalement à vos désirs sur ImmoScout24 - La plateforme de l'immobilier en Suisse.</v>
      </c>
      <c r="D2056" s="4" t="str">
        <f>vlookup(A2056, Sheet2!D:E, 2, 0)</f>
        <v>variant</v>
      </c>
      <c r="E2056" s="4" t="str">
        <f>IFERROR(__xludf.DUMMYFUNCTION("if(H2056=""pays"",vlookup(REGEXEXTRACT(C2056, ""🏘️ \w+ \w+ (.*) ✅""),'Country prepositions'!A:B, 2, 0) &amp; "" "" &amp; REGEXEXTRACT(C2056, ""🏘️ \w+ \w+ (.*) ✅"") ,  if(H2056=""quartier"",vlookup(REGEXEXTRACT(C2056, ""🏘️ \w+ \w+ (.*) ✅""),'Quartier prepositio"&amp;"ns'!A:E, 5, 0) ,  if(H2056=""region"",vlookup(REGEXEXTRACT(C2056, ""🏘️ \w+ \w+ (.*) ✅""),'Region prepositions'!B:F, 5, 0),  REGEXEXTRACT(C2056, ""🏘️ \w+ \w+ (.*) ✅""))))"),"Le Mouret")</f>
        <v>Le Mouret</v>
      </c>
      <c r="F2056" s="2" t="str">
        <f>IFERROR(__xludf.DUMMYFUNCTION("REGEXEXTRACT(C2056, ""🏘️ (\w+) \w+ .* ✅"")"),"Louer")</f>
        <v>Louer</v>
      </c>
      <c r="G2056" s="2" t="str">
        <f>IFERROR(__xludf.DUMMYFUNCTION("REGEXEXTRACT(C2056, ""🏘️ \w+ (\w+) .* ✅"")"),"maison")</f>
        <v>maison</v>
      </c>
      <c r="H2056" s="4" t="str">
        <f>IFERROR(__xludf.DUMMYFUNCTION("REGEXEXTRACT(A2056, ""/(\w+)-.*?"")"),"lieu")</f>
        <v>lieu</v>
      </c>
      <c r="I2056" s="4" t="str">
        <f>IFERROR(__xludf.DUMMYFUNCTION("if(D2056=""variant"",  substitute(filter(Templates!E:E, Templates!A:A = F2056, Templates!B:B = G2056, Templates!C:C = H2056), ""{{}}"", E2056), B2056)"),"🏘  Vous cherchez une maison à louer à Le Mouret? ✅ Découvrez nos nombreuses annonces sur ImmoScout24.ch.")</f>
        <v>🏘  Vous cherchez une maison à louer à Le Mouret? ✅ Découvrez nos nombreuses annonces sur ImmoScout24.ch.</v>
      </c>
      <c r="J2056" s="2" t="s">
        <v>6166</v>
      </c>
    </row>
    <row r="2057">
      <c r="A2057" s="5" t="s">
        <v>6167</v>
      </c>
      <c r="B2057" s="2" t="s">
        <v>6168</v>
      </c>
      <c r="C2057" s="4" t="str">
        <f>IFERROR(__xludf.DUMMYFUNCTION("""🏘️ ""&amp;REGEXEXTRACT(B2057, ""^(.*): "")&amp;"" ✅ "" &amp;REGEXEXTRACT(B2057, ""(Trouvez.*)"")"),"🏘️ Louer appartement Gampelen ✅ Trouvez le bien immobilier qui correspond idéalement à vos désirs sur ImmoScout24 - La plateforme de l'immobilier en Suisse.")</f>
        <v>🏘️ Louer appartement Gampelen ✅ Trouvez le bien immobilier qui correspond idéalement à vos désirs sur ImmoScout24 - La plateforme de l'immobilier en Suisse.</v>
      </c>
      <c r="D2057" s="4" t="str">
        <f>vlookup(A2057, Sheet2!D:E, 2, 0)</f>
        <v>variant</v>
      </c>
      <c r="E2057" s="4" t="str">
        <f>IFERROR(__xludf.DUMMYFUNCTION("if(H2057=""pays"",vlookup(REGEXEXTRACT(C2057, ""🏘️ \w+ \w+ (.*) ✅""),'Country prepositions'!A:B, 2, 0) &amp; "" "" &amp; REGEXEXTRACT(C2057, ""🏘️ \w+ \w+ (.*) ✅"") ,  if(H2057=""quartier"",vlookup(REGEXEXTRACT(C2057, ""🏘️ \w+ \w+ (.*) ✅""),'Quartier prepositio"&amp;"ns'!A:E, 5, 0) ,  if(H2057=""region"",vlookup(REGEXEXTRACT(C2057, ""🏘️ \w+ \w+ (.*) ✅""),'Region prepositions'!B:F, 5, 0),  REGEXEXTRACT(C2057, ""🏘️ \w+ \w+ (.*) ✅""))))"),"Gampelen")</f>
        <v>Gampelen</v>
      </c>
      <c r="F2057" s="2" t="str">
        <f>IFERROR(__xludf.DUMMYFUNCTION("REGEXEXTRACT(C2057, ""🏘️ (\w+) \w+ .* ✅"")"),"Louer")</f>
        <v>Louer</v>
      </c>
      <c r="G2057" s="2" t="str">
        <f>IFERROR(__xludf.DUMMYFUNCTION("REGEXEXTRACT(C2057, ""🏘️ \w+ (\w+) .* ✅"")"),"appartement")</f>
        <v>appartement</v>
      </c>
      <c r="H2057" s="4" t="str">
        <f>IFERROR(__xludf.DUMMYFUNCTION("REGEXEXTRACT(A2057, ""/(\w+)-.*?"")"),"lieu")</f>
        <v>lieu</v>
      </c>
      <c r="I2057" s="4" t="str">
        <f>IFERROR(__xludf.DUMMYFUNCTION("if(D2057=""variant"",  substitute(filter(Templates!E:E, Templates!A:A = F2057, Templates!B:B = G2057, Templates!C:C = H2057), ""{{}}"", E2057), B2057)"),"🏘  Vous cherchez un appartement à louer à Gampelen? ✅ Les annonces les plus actuelles sont sur ImmoScout24.ch.")</f>
        <v>🏘  Vous cherchez un appartement à louer à Gampelen? ✅ Les annonces les plus actuelles sont sur ImmoScout24.ch.</v>
      </c>
      <c r="J2057" s="4" t="s">
        <v>6169</v>
      </c>
    </row>
    <row r="2058">
      <c r="A2058" s="5" t="s">
        <v>6170</v>
      </c>
      <c r="B2058" s="2" t="s">
        <v>6171</v>
      </c>
      <c r="C2058" s="4" t="str">
        <f>IFERROR(__xludf.DUMMYFUNCTION("""🏘️ ""&amp;REGEXEXTRACT(B2058, ""^(.*): "")&amp;"" ✅ "" &amp;REGEXEXTRACT(B2058, ""(Trouvez.*)"")"),"🏘️ Vendre maison Buttes ✅ Trouvez le bien immobilier qui correspond idéalement à vos désirs sur ImmoScout24 - La plateforme de l'immobilier en Suisse.")</f>
        <v>🏘️ Vendre maison Buttes ✅ Trouvez le bien immobilier qui correspond idéalement à vos désirs sur ImmoScout24 - La plateforme de l'immobilier en Suisse.</v>
      </c>
      <c r="D2058" s="4" t="str">
        <f>vlookup(A2058, Sheet2!D:E, 2, 0)</f>
        <v>variant</v>
      </c>
      <c r="E2058" s="4" t="str">
        <f>IFERROR(__xludf.DUMMYFUNCTION("if(H2058=""pays"",vlookup(REGEXEXTRACT(C2058, ""🏘️ \w+ \w+ (.*) ✅""),'Country prepositions'!A:B, 2, 0) &amp; "" "" &amp; REGEXEXTRACT(C2058, ""🏘️ \w+ \w+ (.*) ✅"") ,  if(H2058=""quartier"",vlookup(REGEXEXTRACT(C2058, ""🏘️ \w+ \w+ (.*) ✅""),'Quartier prepositio"&amp;"ns'!A:E, 5, 0) ,  if(H2058=""region"",vlookup(REGEXEXTRACT(C2058, ""🏘️ \w+ \w+ (.*) ✅""),'Region prepositions'!B:F, 5, 0),  REGEXEXTRACT(C2058, ""🏘️ \w+ \w+ (.*) ✅""))))"),"Buttes")</f>
        <v>Buttes</v>
      </c>
      <c r="F2058" s="2" t="str">
        <f>IFERROR(__xludf.DUMMYFUNCTION("REGEXEXTRACT(C2058, ""🏘️ (\w+) \w+ .* ✅"")"),"Vendre")</f>
        <v>Vendre</v>
      </c>
      <c r="G2058" s="2" t="str">
        <f>IFERROR(__xludf.DUMMYFUNCTION("REGEXEXTRACT(C2058, ""🏘️ \w+ (\w+) .* ✅"")"),"maison")</f>
        <v>maison</v>
      </c>
      <c r="H2058" s="4" t="str">
        <f>IFERROR(__xludf.DUMMYFUNCTION("REGEXEXTRACT(A2058, ""/(\w+)-.*?"")"),"lieu")</f>
        <v>lieu</v>
      </c>
      <c r="I2058" s="4" t="str">
        <f>IFERROR(__xludf.DUMMYFUNCTION("if(D2058=""variant"",  substitute(filter(Templates!E:E, Templates!A:A = F2058, Templates!B:B = G2058, Templates!C:C = H2058), ""{{}}"", E2058), B2058)"),"🏘  Vous souhaitez acheter une maison à Buttes? ✅ Jetez un œil aux dernières offres sur ImmoScout24.ch.")</f>
        <v>🏘  Vous souhaitez acheter une maison à Buttes? ✅ Jetez un œil aux dernières offres sur ImmoScout24.ch.</v>
      </c>
      <c r="J2058" s="4" t="s">
        <v>6172</v>
      </c>
    </row>
    <row r="2059">
      <c r="A2059" s="5" t="s">
        <v>6173</v>
      </c>
      <c r="B2059" s="2" t="s">
        <v>6174</v>
      </c>
      <c r="C2059" s="4" t="str">
        <f>IFERROR(__xludf.DUMMYFUNCTION("""🏘️ ""&amp;REGEXEXTRACT(B2059, ""^(.*): "")&amp;"" ✅ "" &amp;REGEXEXTRACT(B2059, ""(Trouvez.*)"")"),"🏘️ Louer maison Muraz (Sierre) ✅ Trouvez le bien immobilier qui correspond idéalement à vos désirs sur ImmoScout24 - La plateforme de l'immobilier en Suisse.")</f>
        <v>🏘️ Louer maison Muraz (Sierre) ✅ Trouvez le bien immobilier qui correspond idéalement à vos désirs sur ImmoScout24 - La plateforme de l'immobilier en Suisse.</v>
      </c>
      <c r="D2059" s="4" t="str">
        <f>vlookup(A2059, Sheet2!D:E, 2, 0)</f>
        <v>variant</v>
      </c>
      <c r="E2059" s="4" t="str">
        <f>IFERROR(__xludf.DUMMYFUNCTION("if(H2059=""pays"",vlookup(REGEXEXTRACT(C2059, ""🏘️ \w+ \w+ (.*) ✅""),'Country prepositions'!A:B, 2, 0) &amp; "" "" &amp; REGEXEXTRACT(C2059, ""🏘️ \w+ \w+ (.*) ✅"") ,  if(H2059=""quartier"",vlookup(REGEXEXTRACT(C2059, ""🏘️ \w+ \w+ (.*) ✅""),'Quartier prepositio"&amp;"ns'!A:E, 5, 0) ,  if(H2059=""region"",vlookup(REGEXEXTRACT(C2059, ""🏘️ \w+ \w+ (.*) ✅""),'Region prepositions'!B:F, 5, 0),  REGEXEXTRACT(C2059, ""🏘️ \w+ \w+ (.*) ✅""))))"),"Muraz (Sierre)")</f>
        <v>Muraz (Sierre)</v>
      </c>
      <c r="F2059" s="2" t="str">
        <f>IFERROR(__xludf.DUMMYFUNCTION("REGEXEXTRACT(C2059, ""🏘️ (\w+) \w+ .* ✅"")"),"Louer")</f>
        <v>Louer</v>
      </c>
      <c r="G2059" s="2" t="str">
        <f>IFERROR(__xludf.DUMMYFUNCTION("REGEXEXTRACT(C2059, ""🏘️ \w+ (\w+) .* ✅"")"),"maison")</f>
        <v>maison</v>
      </c>
      <c r="H2059" s="4" t="str">
        <f>IFERROR(__xludf.DUMMYFUNCTION("REGEXEXTRACT(A2059, ""/(\w+)-.*?"")"),"lieu")</f>
        <v>lieu</v>
      </c>
      <c r="I2059" s="4" t="str">
        <f>IFERROR(__xludf.DUMMYFUNCTION("if(D2059=""variant"",  substitute(filter(Templates!E:E, Templates!A:A = F2059, Templates!B:B = G2059, Templates!C:C = H2059), ""{{}}"", E2059), B2059)"),"🏘  Vous cherchez une maison à louer à Muraz (Sierre)? ✅ Découvrez nos nombreuses annonces sur ImmoScout24.ch.")</f>
        <v>🏘  Vous cherchez une maison à louer à Muraz (Sierre)? ✅ Découvrez nos nombreuses annonces sur ImmoScout24.ch.</v>
      </c>
      <c r="J2059" s="4" t="s">
        <v>6175</v>
      </c>
    </row>
    <row r="2060">
      <c r="A2060" s="5" t="s">
        <v>6176</v>
      </c>
      <c r="B2060" s="2" t="s">
        <v>6177</v>
      </c>
      <c r="C2060" s="4" t="str">
        <f>IFERROR(__xludf.DUMMYFUNCTION("""🏘️ ""&amp;REGEXEXTRACT(B2060, ""^(.*): "")&amp;"" ✅ "" &amp;REGEXEXTRACT(B2060, ""(Trouvez.*)"")"),"🏘️ Louer appartement Collonge-Bellerive ✅ Trouvez le bien immobilier qui correspond idéalement à vos désirs sur ImmoScout24 - La plateforme de l'immobilier en Suisse.")</f>
        <v>🏘️ Louer appartement Collonge-Bellerive ✅ Trouvez le bien immobilier qui correspond idéalement à vos désirs sur ImmoScout24 - La plateforme de l'immobilier en Suisse.</v>
      </c>
      <c r="D2060" s="4" t="str">
        <f>vlookup(A2060, Sheet2!D:E, 2, 0)</f>
        <v>variant</v>
      </c>
      <c r="E2060" s="4" t="str">
        <f>IFERROR(__xludf.DUMMYFUNCTION("if(H2060=""pays"",vlookup(REGEXEXTRACT(C2060, ""🏘️ \w+ \w+ (.*) ✅""),'Country prepositions'!A:B, 2, 0) &amp; "" "" &amp; REGEXEXTRACT(C2060, ""🏘️ \w+ \w+ (.*) ✅"") ,  if(H2060=""quartier"",vlookup(REGEXEXTRACT(C2060, ""🏘️ \w+ \w+ (.*) ✅""),'Quartier prepositio"&amp;"ns'!A:E, 5, 0) ,  if(H2060=""region"",vlookup(REGEXEXTRACT(C2060, ""🏘️ \w+ \w+ (.*) ✅""),'Region prepositions'!B:F, 5, 0),  REGEXEXTRACT(C2060, ""🏘️ \w+ \w+ (.*) ✅""))))"),"Collonge-Bellerive")</f>
        <v>Collonge-Bellerive</v>
      </c>
      <c r="F2060" s="2" t="str">
        <f>IFERROR(__xludf.DUMMYFUNCTION("REGEXEXTRACT(C2060, ""🏘️ (\w+) \w+ .* ✅"")"),"Louer")</f>
        <v>Louer</v>
      </c>
      <c r="G2060" s="2" t="str">
        <f>IFERROR(__xludf.DUMMYFUNCTION("REGEXEXTRACT(C2060, ""🏘️ \w+ (\w+) .* ✅"")"),"appartement")</f>
        <v>appartement</v>
      </c>
      <c r="H2060" s="4" t="str">
        <f>IFERROR(__xludf.DUMMYFUNCTION("REGEXEXTRACT(A2060, ""/(\w+)-.*?"")"),"lieu")</f>
        <v>lieu</v>
      </c>
      <c r="I2060" s="4" t="str">
        <f>IFERROR(__xludf.DUMMYFUNCTION("if(D2060=""variant"",  substitute(filter(Templates!E:E, Templates!A:A = F2060, Templates!B:B = G2060, Templates!C:C = H2060), ""{{}}"", E2060), B2060)"),"🏘  Vous cherchez un appartement à louer à Collonge-Bellerive? ✅ Les annonces les plus actuelles sont sur ImmoScout24.ch.")</f>
        <v>🏘  Vous cherchez un appartement à louer à Collonge-Bellerive? ✅ Les annonces les plus actuelles sont sur ImmoScout24.ch.</v>
      </c>
      <c r="J2060" s="4" t="s">
        <v>6178</v>
      </c>
    </row>
    <row r="2061">
      <c r="A2061" s="5" t="s">
        <v>6179</v>
      </c>
      <c r="B2061" s="2" t="s">
        <v>6180</v>
      </c>
      <c r="C2061" s="4" t="str">
        <f>IFERROR(__xludf.DUMMYFUNCTION("""🏘️ ""&amp;REGEXEXTRACT(B2061, ""^(.*): "")&amp;"" ✅ "" &amp;REGEXEXTRACT(B2061, ""(Trouvez.*)"")"),"🏘️ Louer maison Finhaut ✅ Trouvez le bien immobilier qui correspond idéalement à vos désirs sur ImmoScout24 - La plateforme de l'immobilier en Suisse.")</f>
        <v>🏘️ Louer maison Finhaut ✅ Trouvez le bien immobilier qui correspond idéalement à vos désirs sur ImmoScout24 - La plateforme de l'immobilier en Suisse.</v>
      </c>
      <c r="D2061" s="4" t="str">
        <f>vlookup(A2061, Sheet2!D:E, 2, 0)</f>
        <v>variant</v>
      </c>
      <c r="E2061" s="4" t="str">
        <f>IFERROR(__xludf.DUMMYFUNCTION("if(H2061=""pays"",vlookup(REGEXEXTRACT(C2061, ""🏘️ \w+ \w+ (.*) ✅""),'Country prepositions'!A:B, 2, 0) &amp; "" "" &amp; REGEXEXTRACT(C2061, ""🏘️ \w+ \w+ (.*) ✅"") ,  if(H2061=""quartier"",vlookup(REGEXEXTRACT(C2061, ""🏘️ \w+ \w+ (.*) ✅""),'Quartier prepositio"&amp;"ns'!A:E, 5, 0) ,  if(H2061=""region"",vlookup(REGEXEXTRACT(C2061, ""🏘️ \w+ \w+ (.*) ✅""),'Region prepositions'!B:F, 5, 0),  REGEXEXTRACT(C2061, ""🏘️ \w+ \w+ (.*) ✅""))))"),"Finhaut")</f>
        <v>Finhaut</v>
      </c>
      <c r="F2061" s="2" t="str">
        <f>IFERROR(__xludf.DUMMYFUNCTION("REGEXEXTRACT(C2061, ""🏘️ (\w+) \w+ .* ✅"")"),"Louer")</f>
        <v>Louer</v>
      </c>
      <c r="G2061" s="2" t="str">
        <f>IFERROR(__xludf.DUMMYFUNCTION("REGEXEXTRACT(C2061, ""🏘️ \w+ (\w+) .* ✅"")"),"maison")</f>
        <v>maison</v>
      </c>
      <c r="H2061" s="4" t="str">
        <f>IFERROR(__xludf.DUMMYFUNCTION("REGEXEXTRACT(A2061, ""/(\w+)-.*?"")"),"lieu")</f>
        <v>lieu</v>
      </c>
      <c r="I2061" s="4" t="str">
        <f>IFERROR(__xludf.DUMMYFUNCTION("if(D2061=""variant"",  substitute(filter(Templates!E:E, Templates!A:A = F2061, Templates!B:B = G2061, Templates!C:C = H2061), ""{{}}"", E2061), B2061)"),"🏘  Vous cherchez une maison à louer à Finhaut? ✅ Découvrez nos nombreuses annonces sur ImmoScout24.ch.")</f>
        <v>🏘  Vous cherchez une maison à louer à Finhaut? ✅ Découvrez nos nombreuses annonces sur ImmoScout24.ch.</v>
      </c>
      <c r="J2061" s="4" t="s">
        <v>6181</v>
      </c>
    </row>
    <row r="2062">
      <c r="A2062" s="5" t="s">
        <v>6182</v>
      </c>
      <c r="B2062" s="2" t="s">
        <v>6183</v>
      </c>
      <c r="C2062" s="4" t="str">
        <f>IFERROR(__xludf.DUMMYFUNCTION("""🏘️ ""&amp;REGEXEXTRACT(B2062, ""^(.*): "")&amp;"" ✅ "" &amp;REGEXEXTRACT(B2062, ""(Trouvez.*)"")"),"🏘️ Louer appartement Thörishaus ✅ Trouvez le bien immobilier qui correspond idéalement à vos désirs sur ImmoScout24 - La plateforme de l'immobilier en Suisse.")</f>
        <v>🏘️ Louer appartement Thörishaus ✅ Trouvez le bien immobilier qui correspond idéalement à vos désirs sur ImmoScout24 - La plateforme de l'immobilier en Suisse.</v>
      </c>
      <c r="D2062" s="4" t="str">
        <f>vlookup(A2062, Sheet2!D:E, 2, 0)</f>
        <v>variant</v>
      </c>
      <c r="E2062" s="4" t="str">
        <f>IFERROR(__xludf.DUMMYFUNCTION("if(H2062=""pays"",vlookup(REGEXEXTRACT(C2062, ""🏘️ \w+ \w+ (.*) ✅""),'Country prepositions'!A:B, 2, 0) &amp; "" "" &amp; REGEXEXTRACT(C2062, ""🏘️ \w+ \w+ (.*) ✅"") ,  if(H2062=""quartier"",vlookup(REGEXEXTRACT(C2062, ""🏘️ \w+ \w+ (.*) ✅""),'Quartier prepositio"&amp;"ns'!A:E, 5, 0) ,  if(H2062=""region"",vlookup(REGEXEXTRACT(C2062, ""🏘️ \w+ \w+ (.*) ✅""),'Region prepositions'!B:F, 5, 0),  REGEXEXTRACT(C2062, ""🏘️ \w+ \w+ (.*) ✅""))))"),"Thörishaus")</f>
        <v>Thörishaus</v>
      </c>
      <c r="F2062" s="2" t="str">
        <f>IFERROR(__xludf.DUMMYFUNCTION("REGEXEXTRACT(C2062, ""🏘️ (\w+) \w+ .* ✅"")"),"Louer")</f>
        <v>Louer</v>
      </c>
      <c r="G2062" s="2" t="str">
        <f>IFERROR(__xludf.DUMMYFUNCTION("REGEXEXTRACT(C2062, ""🏘️ \w+ (\w+) .* ✅"")"),"appartement")</f>
        <v>appartement</v>
      </c>
      <c r="H2062" s="4" t="str">
        <f>IFERROR(__xludf.DUMMYFUNCTION("REGEXEXTRACT(A2062, ""/(\w+)-.*?"")"),"lieu")</f>
        <v>lieu</v>
      </c>
      <c r="I2062" s="4" t="str">
        <f>IFERROR(__xludf.DUMMYFUNCTION("if(D2062=""variant"",  substitute(filter(Templates!E:E, Templates!A:A = F2062, Templates!B:B = G2062, Templates!C:C = H2062), ""{{}}"", E2062), B2062)"),"🏘  Vous cherchez un appartement à louer à Thörishaus? ✅ Les annonces les plus actuelles sont sur ImmoScout24.ch.")</f>
        <v>🏘  Vous cherchez un appartement à louer à Thörishaus? ✅ Les annonces les plus actuelles sont sur ImmoScout24.ch.</v>
      </c>
      <c r="J2062" s="4" t="s">
        <v>6184</v>
      </c>
    </row>
    <row r="2063">
      <c r="A2063" s="5" t="s">
        <v>6185</v>
      </c>
      <c r="B2063" s="2" t="s">
        <v>6186</v>
      </c>
      <c r="C2063" s="4" t="str">
        <f>IFERROR(__xludf.DUMMYFUNCTION("""🏘️ ""&amp;REGEXEXTRACT(B2063, ""^(.*): "")&amp;"" ✅ "" &amp;REGEXEXTRACT(B2063, ""(Trouvez.*)"")"),"🏘️ Vendre maison Les Mayens-de-Sion ✅ Trouvez le bien immobilier qui correspond idéalement à vos désirs sur ImmoScout24 - La plateforme de l'immobilier en Suisse.")</f>
        <v>🏘️ Vendre maison Les Mayens-de-Sion ✅ Trouvez le bien immobilier qui correspond idéalement à vos désirs sur ImmoScout24 - La plateforme de l'immobilier en Suisse.</v>
      </c>
      <c r="D2063" s="4" t="str">
        <f>vlookup(A2063, Sheet2!D:E, 2, 0)</f>
        <v>variant</v>
      </c>
      <c r="E2063" s="4" t="str">
        <f>IFERROR(__xludf.DUMMYFUNCTION("if(H2063=""pays"",vlookup(REGEXEXTRACT(C2063, ""🏘️ \w+ \w+ (.*) ✅""),'Country prepositions'!A:B, 2, 0) &amp; "" "" &amp; REGEXEXTRACT(C2063, ""🏘️ \w+ \w+ (.*) ✅"") ,  if(H2063=""quartier"",vlookup(REGEXEXTRACT(C2063, ""🏘️ \w+ \w+ (.*) ✅""),'Quartier prepositio"&amp;"ns'!A:E, 5, 0) ,  if(H2063=""region"",vlookup(REGEXEXTRACT(C2063, ""🏘️ \w+ \w+ (.*) ✅""),'Region prepositions'!B:F, 5, 0),  REGEXEXTRACT(C2063, ""🏘️ \w+ \w+ (.*) ✅""))))"),"Les Mayens-de-Sion")</f>
        <v>Les Mayens-de-Sion</v>
      </c>
      <c r="F2063" s="2" t="str">
        <f>IFERROR(__xludf.DUMMYFUNCTION("REGEXEXTRACT(C2063, ""🏘️ (\w+) \w+ .* ✅"")"),"Vendre")</f>
        <v>Vendre</v>
      </c>
      <c r="G2063" s="2" t="str">
        <f>IFERROR(__xludf.DUMMYFUNCTION("REGEXEXTRACT(C2063, ""🏘️ \w+ (\w+) .* ✅"")"),"maison")</f>
        <v>maison</v>
      </c>
      <c r="H2063" s="4" t="str">
        <f>IFERROR(__xludf.DUMMYFUNCTION("REGEXEXTRACT(A2063, ""/(\w+)-.*?"")"),"lieu")</f>
        <v>lieu</v>
      </c>
      <c r="I2063" s="4" t="str">
        <f>IFERROR(__xludf.DUMMYFUNCTION("if(D2063=""variant"",  substitute(filter(Templates!E:E, Templates!A:A = F2063, Templates!B:B = G2063, Templates!C:C = H2063), ""{{}}"", E2063), B2063)"),"🏘  Vous souhaitez acheter une maison à Les Mayens-de-Sion? ✅ Jetez un œil aux dernières offres sur ImmoScout24.ch.")</f>
        <v>🏘  Vous souhaitez acheter une maison à Les Mayens-de-Sion? ✅ Jetez un œil aux dernières offres sur ImmoScout24.ch.</v>
      </c>
      <c r="J2063" s="2" t="s">
        <v>6187</v>
      </c>
    </row>
    <row r="2064">
      <c r="A2064" s="5" t="s">
        <v>6188</v>
      </c>
      <c r="B2064" s="2" t="s">
        <v>6189</v>
      </c>
      <c r="C2064" s="4" t="str">
        <f>IFERROR(__xludf.DUMMYFUNCTION("""🏘️ ""&amp;REGEXEXTRACT(B2064, ""^(.*): "")&amp;"" ✅ "" &amp;REGEXEXTRACT(B2064, ""(Trouvez.*)"")"),"🏘️ Vendre maison Port ✅ Trouvez le bien immobilier qui correspond idéalement à vos désirs sur ImmoScout24 - La plateforme de l'immobilier en Suisse.")</f>
        <v>🏘️ Vendre maison Port ✅ Trouvez le bien immobilier qui correspond idéalement à vos désirs sur ImmoScout24 - La plateforme de l'immobilier en Suisse.</v>
      </c>
      <c r="D2064" s="4" t="str">
        <f>vlookup(A2064, Sheet2!D:E, 2, 0)</f>
        <v>variant</v>
      </c>
      <c r="E2064" s="4" t="str">
        <f>IFERROR(__xludf.DUMMYFUNCTION("if(H2064=""pays"",vlookup(REGEXEXTRACT(C2064, ""🏘️ \w+ \w+ (.*) ✅""),'Country prepositions'!A:B, 2, 0) &amp; "" "" &amp; REGEXEXTRACT(C2064, ""🏘️ \w+ \w+ (.*) ✅"") ,  if(H2064=""quartier"",vlookup(REGEXEXTRACT(C2064, ""🏘️ \w+ \w+ (.*) ✅""),'Quartier prepositio"&amp;"ns'!A:E, 5, 0) ,  if(H2064=""region"",vlookup(REGEXEXTRACT(C2064, ""🏘️ \w+ \w+ (.*) ✅""),'Region prepositions'!B:F, 5, 0),  REGEXEXTRACT(C2064, ""🏘️ \w+ \w+ (.*) ✅""))))"),"Port")</f>
        <v>Port</v>
      </c>
      <c r="F2064" s="2" t="str">
        <f>IFERROR(__xludf.DUMMYFUNCTION("REGEXEXTRACT(C2064, ""🏘️ (\w+) \w+ .* ✅"")"),"Vendre")</f>
        <v>Vendre</v>
      </c>
      <c r="G2064" s="2" t="str">
        <f>IFERROR(__xludf.DUMMYFUNCTION("REGEXEXTRACT(C2064, ""🏘️ \w+ (\w+) .* ✅"")"),"maison")</f>
        <v>maison</v>
      </c>
      <c r="H2064" s="4" t="str">
        <f>IFERROR(__xludf.DUMMYFUNCTION("REGEXEXTRACT(A2064, ""/(\w+)-.*?"")"),"lieu")</f>
        <v>lieu</v>
      </c>
      <c r="I2064" s="4" t="str">
        <f>IFERROR(__xludf.DUMMYFUNCTION("if(D2064=""variant"",  substitute(filter(Templates!E:E, Templates!A:A = F2064, Templates!B:B = G2064, Templates!C:C = H2064), ""{{}}"", E2064), B2064)"),"🏘  Vous souhaitez acheter une maison à Port? ✅ Jetez un œil aux dernières offres sur ImmoScout24.ch.")</f>
        <v>🏘  Vous souhaitez acheter une maison à Port? ✅ Jetez un œil aux dernières offres sur ImmoScout24.ch.</v>
      </c>
      <c r="J2064" s="4" t="s">
        <v>6190</v>
      </c>
    </row>
    <row r="2065">
      <c r="A2065" s="5" t="s">
        <v>6191</v>
      </c>
      <c r="B2065" s="2" t="s">
        <v>6192</v>
      </c>
      <c r="C2065" s="4" t="str">
        <f>IFERROR(__xludf.DUMMYFUNCTION("""🏘️ ""&amp;REGEXEXTRACT(B2065, ""^(.*): "")&amp;"" ✅ "" &amp;REGEXEXTRACT(B2065, ""(Trouvez.*)"")"),"🏘️ Vendre appartement Salavaux ✅ Trouvez le bien immobilier qui correspond idéalement à vos désirs sur ImmoScout24 - La plateforme de l'immobilier en Suisse.")</f>
        <v>🏘️ Vendre appartement Salavaux ✅ Trouvez le bien immobilier qui correspond idéalement à vos désirs sur ImmoScout24 - La plateforme de l'immobilier en Suisse.</v>
      </c>
      <c r="D2065" s="4" t="str">
        <f>vlookup(A2065, Sheet2!D:E, 2, 0)</f>
        <v>variant</v>
      </c>
      <c r="E2065" s="4" t="str">
        <f>IFERROR(__xludf.DUMMYFUNCTION("if(H2065=""pays"",vlookup(REGEXEXTRACT(C2065, ""🏘️ \w+ \w+ (.*) ✅""),'Country prepositions'!A:B, 2, 0) &amp; "" "" &amp; REGEXEXTRACT(C2065, ""🏘️ \w+ \w+ (.*) ✅"") ,  if(H2065=""quartier"",vlookup(REGEXEXTRACT(C2065, ""🏘️ \w+ \w+ (.*) ✅""),'Quartier prepositio"&amp;"ns'!A:E, 5, 0) ,  if(H2065=""region"",vlookup(REGEXEXTRACT(C2065, ""🏘️ \w+ \w+ (.*) ✅""),'Region prepositions'!B:F, 5, 0),  REGEXEXTRACT(C2065, ""🏘️ \w+ \w+ (.*) ✅""))))"),"Salavaux")</f>
        <v>Salavaux</v>
      </c>
      <c r="F2065" s="2" t="str">
        <f>IFERROR(__xludf.DUMMYFUNCTION("REGEXEXTRACT(C2065, ""🏘️ (\w+) \w+ .* ✅"")"),"Vendre")</f>
        <v>Vendre</v>
      </c>
      <c r="G2065" s="2" t="str">
        <f>IFERROR(__xludf.DUMMYFUNCTION("REGEXEXTRACT(C2065, ""🏘️ \w+ (\w+) .* ✅"")"),"appartement")</f>
        <v>appartement</v>
      </c>
      <c r="H2065" s="4" t="str">
        <f>IFERROR(__xludf.DUMMYFUNCTION("REGEXEXTRACT(A2065, ""/(\w+)-.*?"")"),"lieu")</f>
        <v>lieu</v>
      </c>
      <c r="I2065" s="4" t="str">
        <f>IFERROR(__xludf.DUMMYFUNCTION("if(D2065=""variant"",  substitute(filter(Templates!E:E, Templates!A:A = F2065, Templates!B:B = G2065, Templates!C:C = H2065), ""{{}}"", E2065), B2065)"),"🏘  L’appartement de vos rêves se trouve sur ImmoScout24.ch ✅ Découvrez les dernières annonces de vente à Salavaux.")</f>
        <v>🏘  L’appartement de vos rêves se trouve sur ImmoScout24.ch ✅ Découvrez les dernières annonces de vente à Salavaux.</v>
      </c>
      <c r="J2065" s="4" t="s">
        <v>6193</v>
      </c>
    </row>
    <row r="2066">
      <c r="A2066" s="5" t="s">
        <v>6194</v>
      </c>
      <c r="B2066" s="2" t="s">
        <v>6195</v>
      </c>
      <c r="C2066" s="4" t="str">
        <f>IFERROR(__xludf.DUMMYFUNCTION("""🏘️ ""&amp;REGEXEXTRACT(B2066, ""^(.*): "")&amp;"" ✅ "" &amp;REGEXEXTRACT(B2066, ""(Trouvez.*)"")"),"🏘️ Louer maison Rossinière ✅ Trouvez le bien immobilier qui correspond idéalement à vos désirs sur ImmoScout24 - La plateforme de l'immobilier en Suisse.")</f>
        <v>🏘️ Louer maison Rossinière ✅ Trouvez le bien immobilier qui correspond idéalement à vos désirs sur ImmoScout24 - La plateforme de l'immobilier en Suisse.</v>
      </c>
      <c r="D2066" s="4" t="str">
        <f>vlookup(A2066, Sheet2!D:E, 2, 0)</f>
        <v>variant</v>
      </c>
      <c r="E2066" s="4" t="str">
        <f>IFERROR(__xludf.DUMMYFUNCTION("if(H2066=""pays"",vlookup(REGEXEXTRACT(C2066, ""🏘️ \w+ \w+ (.*) ✅""),'Country prepositions'!A:B, 2, 0) &amp; "" "" &amp; REGEXEXTRACT(C2066, ""🏘️ \w+ \w+ (.*) ✅"") ,  if(H2066=""quartier"",vlookup(REGEXEXTRACT(C2066, ""🏘️ \w+ \w+ (.*) ✅""),'Quartier prepositio"&amp;"ns'!A:E, 5, 0) ,  if(H2066=""region"",vlookup(REGEXEXTRACT(C2066, ""🏘️ \w+ \w+ (.*) ✅""),'Region prepositions'!B:F, 5, 0),  REGEXEXTRACT(C2066, ""🏘️ \w+ \w+ (.*) ✅""))))"),"Rossinière")</f>
        <v>Rossinière</v>
      </c>
      <c r="F2066" s="2" t="str">
        <f>IFERROR(__xludf.DUMMYFUNCTION("REGEXEXTRACT(C2066, ""🏘️ (\w+) \w+ .* ✅"")"),"Louer")</f>
        <v>Louer</v>
      </c>
      <c r="G2066" s="2" t="str">
        <f>IFERROR(__xludf.DUMMYFUNCTION("REGEXEXTRACT(C2066, ""🏘️ \w+ (\w+) .* ✅"")"),"maison")</f>
        <v>maison</v>
      </c>
      <c r="H2066" s="4" t="str">
        <f>IFERROR(__xludf.DUMMYFUNCTION("REGEXEXTRACT(A2066, ""/(\w+)-.*?"")"),"lieu")</f>
        <v>lieu</v>
      </c>
      <c r="I2066" s="4" t="str">
        <f>IFERROR(__xludf.DUMMYFUNCTION("if(D2066=""variant"",  substitute(filter(Templates!E:E, Templates!A:A = F2066, Templates!B:B = G2066, Templates!C:C = H2066), ""{{}}"", E2066), B2066)"),"🏘  Vous cherchez une maison à louer à Rossinière? ✅ Découvrez nos nombreuses annonces sur ImmoScout24.ch.")</f>
        <v>🏘  Vous cherchez une maison à louer à Rossinière? ✅ Découvrez nos nombreuses annonces sur ImmoScout24.ch.</v>
      </c>
      <c r="J2066" s="4" t="s">
        <v>6196</v>
      </c>
    </row>
    <row r="2067">
      <c r="A2067" s="5" t="s">
        <v>6197</v>
      </c>
      <c r="B2067" s="2" t="s">
        <v>6198</v>
      </c>
      <c r="C2067" s="4" t="str">
        <f>IFERROR(__xludf.DUMMYFUNCTION("""🏘️ ""&amp;REGEXEXTRACT(B2067, ""^(.*): "")&amp;"" ✅ "" &amp;REGEXEXTRACT(B2067, ""(Trouvez.*)"")"),"🏘️ Vendre maison Dugny (Leytron) ✅ Trouvez le bien immobilier qui correspond idéalement à vos désirs sur ImmoScout24 - La plateforme de l'immobilier en Suisse.")</f>
        <v>🏘️ Vendre maison Dugny (Leytron) ✅ Trouvez le bien immobilier qui correspond idéalement à vos désirs sur ImmoScout24 - La plateforme de l'immobilier en Suisse.</v>
      </c>
      <c r="D2067" s="4" t="str">
        <f>vlookup(A2067, Sheet2!D:E, 2, 0)</f>
        <v>variant</v>
      </c>
      <c r="E2067" s="4" t="str">
        <f>IFERROR(__xludf.DUMMYFUNCTION("if(H2067=""pays"",vlookup(REGEXEXTRACT(C2067, ""🏘️ \w+ \w+ (.*) ✅""),'Country prepositions'!A:B, 2, 0) &amp; "" "" &amp; REGEXEXTRACT(C2067, ""🏘️ \w+ \w+ (.*) ✅"") ,  if(H2067=""quartier"",vlookup(REGEXEXTRACT(C2067, ""🏘️ \w+ \w+ (.*) ✅""),'Quartier prepositio"&amp;"ns'!A:E, 5, 0) ,  if(H2067=""region"",vlookup(REGEXEXTRACT(C2067, ""🏘️ \w+ \w+ (.*) ✅""),'Region prepositions'!B:F, 5, 0),  REGEXEXTRACT(C2067, ""🏘️ \w+ \w+ (.*) ✅""))))"),"Dugny (Leytron)")</f>
        <v>Dugny (Leytron)</v>
      </c>
      <c r="F2067" s="2" t="str">
        <f>IFERROR(__xludf.DUMMYFUNCTION("REGEXEXTRACT(C2067, ""🏘️ (\w+) \w+ .* ✅"")"),"Vendre")</f>
        <v>Vendre</v>
      </c>
      <c r="G2067" s="2" t="str">
        <f>IFERROR(__xludf.DUMMYFUNCTION("REGEXEXTRACT(C2067, ""🏘️ \w+ (\w+) .* ✅"")"),"maison")</f>
        <v>maison</v>
      </c>
      <c r="H2067" s="4" t="str">
        <f>IFERROR(__xludf.DUMMYFUNCTION("REGEXEXTRACT(A2067, ""/(\w+)-.*?"")"),"lieu")</f>
        <v>lieu</v>
      </c>
      <c r="I2067" s="4" t="str">
        <f>IFERROR(__xludf.DUMMYFUNCTION("if(D2067=""variant"",  substitute(filter(Templates!E:E, Templates!A:A = F2067, Templates!B:B = G2067, Templates!C:C = H2067), ""{{}}"", E2067), B2067)"),"🏘  Vous souhaitez acheter une maison à Dugny (Leytron)? ✅ Jetez un œil aux dernières offres sur ImmoScout24.ch.")</f>
        <v>🏘  Vous souhaitez acheter une maison à Dugny (Leytron)? ✅ Jetez un œil aux dernières offres sur ImmoScout24.ch.</v>
      </c>
      <c r="J2067" s="4" t="s">
        <v>6199</v>
      </c>
    </row>
    <row r="2068">
      <c r="A2068" s="5" t="s">
        <v>6200</v>
      </c>
      <c r="B2068" s="2" t="s">
        <v>6201</v>
      </c>
      <c r="C2068" s="4" t="str">
        <f>IFERROR(__xludf.DUMMYFUNCTION("""🏘️ ""&amp;REGEXEXTRACT(B2068, ""^(.*): "")&amp;"" ✅ "" &amp;REGEXEXTRACT(B2068, ""(Trouvez.*)"")"),"🏘️ Louer appartement Courtepin ✅ Trouvez le bien immobilier qui correspond idéalement à vos désirs sur ImmoScout24 - La plateforme de l'immobilier en Suisse.")</f>
        <v>🏘️ Louer appartement Courtepin ✅ Trouvez le bien immobilier qui correspond idéalement à vos désirs sur ImmoScout24 - La plateforme de l'immobilier en Suisse.</v>
      </c>
      <c r="D2068" s="4" t="str">
        <f>vlookup(A2068, Sheet2!D:E, 2, 0)</f>
        <v>variant</v>
      </c>
      <c r="E2068" s="4" t="str">
        <f>IFERROR(__xludf.DUMMYFUNCTION("if(H2068=""pays"",vlookup(REGEXEXTRACT(C2068, ""🏘️ \w+ \w+ (.*) ✅""),'Country prepositions'!A:B, 2, 0) &amp; "" "" &amp; REGEXEXTRACT(C2068, ""🏘️ \w+ \w+ (.*) ✅"") ,  if(H2068=""quartier"",vlookup(REGEXEXTRACT(C2068, ""🏘️ \w+ \w+ (.*) ✅""),'Quartier prepositio"&amp;"ns'!A:E, 5, 0) ,  if(H2068=""region"",vlookup(REGEXEXTRACT(C2068, ""🏘️ \w+ \w+ (.*) ✅""),'Region prepositions'!B:F, 5, 0),  REGEXEXTRACT(C2068, ""🏘️ \w+ \w+ (.*) ✅""))))"),"Courtepin")</f>
        <v>Courtepin</v>
      </c>
      <c r="F2068" s="2" t="str">
        <f>IFERROR(__xludf.DUMMYFUNCTION("REGEXEXTRACT(C2068, ""🏘️ (\w+) \w+ .* ✅"")"),"Louer")</f>
        <v>Louer</v>
      </c>
      <c r="G2068" s="2" t="str">
        <f>IFERROR(__xludf.DUMMYFUNCTION("REGEXEXTRACT(C2068, ""🏘️ \w+ (\w+) .* ✅"")"),"appartement")</f>
        <v>appartement</v>
      </c>
      <c r="H2068" s="4" t="str">
        <f>IFERROR(__xludf.DUMMYFUNCTION("REGEXEXTRACT(A2068, ""/(\w+)-.*?"")"),"lieu")</f>
        <v>lieu</v>
      </c>
      <c r="I2068" s="4" t="str">
        <f>IFERROR(__xludf.DUMMYFUNCTION("if(D2068=""variant"",  substitute(filter(Templates!E:E, Templates!A:A = F2068, Templates!B:B = G2068, Templates!C:C = H2068), ""{{}}"", E2068), B2068)"),"🏘  Vous cherchez un appartement à louer à Courtepin? ✅ Les annonces les plus actuelles sont sur ImmoScout24.ch.")</f>
        <v>🏘  Vous cherchez un appartement à louer à Courtepin? ✅ Les annonces les plus actuelles sont sur ImmoScout24.ch.</v>
      </c>
      <c r="J2068" s="4" t="s">
        <v>6202</v>
      </c>
    </row>
    <row r="2069">
      <c r="A2069" s="5" t="s">
        <v>6203</v>
      </c>
      <c r="B2069" s="2" t="s">
        <v>6204</v>
      </c>
      <c r="C2069" s="4" t="str">
        <f>IFERROR(__xludf.DUMMYFUNCTION("""🏘️ ""&amp;REGEXEXTRACT(B2069, ""^(.*): "")&amp;"" ✅ "" &amp;REGEXEXTRACT(B2069, ""(Trouvez.*)"")"),"🏘️ Vendre maison Astano ✅ Trouvez le bien immobilier qui correspond idéalement à vos désirs sur ImmoScout24 - La plateforme de l'immobilier en Suisse.")</f>
        <v>🏘️ Vendre maison Astano ✅ Trouvez le bien immobilier qui correspond idéalement à vos désirs sur ImmoScout24 - La plateforme de l'immobilier en Suisse.</v>
      </c>
      <c r="D2069" s="4" t="str">
        <f>vlookup(A2069, Sheet2!D:E, 2, 0)</f>
        <v>variant</v>
      </c>
      <c r="E2069" s="4" t="str">
        <f>IFERROR(__xludf.DUMMYFUNCTION("if(H2069=""pays"",vlookup(REGEXEXTRACT(C2069, ""🏘️ \w+ \w+ (.*) ✅""),'Country prepositions'!A:B, 2, 0) &amp; "" "" &amp; REGEXEXTRACT(C2069, ""🏘️ \w+ \w+ (.*) ✅"") ,  if(H2069=""quartier"",vlookup(REGEXEXTRACT(C2069, ""🏘️ \w+ \w+ (.*) ✅""),'Quartier prepositio"&amp;"ns'!A:E, 5, 0) ,  if(H2069=""region"",vlookup(REGEXEXTRACT(C2069, ""🏘️ \w+ \w+ (.*) ✅""),'Region prepositions'!B:F, 5, 0),  REGEXEXTRACT(C2069, ""🏘️ \w+ \w+ (.*) ✅""))))"),"Astano")</f>
        <v>Astano</v>
      </c>
      <c r="F2069" s="2" t="str">
        <f>IFERROR(__xludf.DUMMYFUNCTION("REGEXEXTRACT(C2069, ""🏘️ (\w+) \w+ .* ✅"")"),"Vendre")</f>
        <v>Vendre</v>
      </c>
      <c r="G2069" s="2" t="str">
        <f>IFERROR(__xludf.DUMMYFUNCTION("REGEXEXTRACT(C2069, ""🏘️ \w+ (\w+) .* ✅"")"),"maison")</f>
        <v>maison</v>
      </c>
      <c r="H2069" s="4" t="str">
        <f>IFERROR(__xludf.DUMMYFUNCTION("REGEXEXTRACT(A2069, ""/(\w+)-.*?"")"),"lieu")</f>
        <v>lieu</v>
      </c>
      <c r="I2069" s="4" t="str">
        <f>IFERROR(__xludf.DUMMYFUNCTION("if(D2069=""variant"",  substitute(filter(Templates!E:E, Templates!A:A = F2069, Templates!B:B = G2069, Templates!C:C = H2069), ""{{}}"", E2069), B2069)"),"🏘  Vous souhaitez acheter une maison à Astano? ✅ Jetez un œil aux dernières offres sur ImmoScout24.ch.")</f>
        <v>🏘  Vous souhaitez acheter une maison à Astano? ✅ Jetez un œil aux dernières offres sur ImmoScout24.ch.</v>
      </c>
      <c r="J2069" s="4" t="s">
        <v>6205</v>
      </c>
    </row>
    <row r="2070">
      <c r="A2070" s="5" t="s">
        <v>6206</v>
      </c>
      <c r="B2070" s="2" t="s">
        <v>6207</v>
      </c>
      <c r="C2070" s="4" t="str">
        <f>IFERROR(__xludf.DUMMYFUNCTION("""🏘️ ""&amp;REGEXEXTRACT(B2070, ""^(.*): "")&amp;"" ✅ "" &amp;REGEXEXTRACT(B2070, ""(Trouvez.*)"")"),"🏘️ Vendre maison Nidau ✅ Trouvez le bien immobilier qui correspond idéalement à vos désirs sur ImmoScout24 - La plateforme de l'immobilier en Suisse.")</f>
        <v>🏘️ Vendre maison Nidau ✅ Trouvez le bien immobilier qui correspond idéalement à vos désirs sur ImmoScout24 - La plateforme de l'immobilier en Suisse.</v>
      </c>
      <c r="D2070" s="4" t="str">
        <f>vlookup(A2070, Sheet2!D:E, 2, 0)</f>
        <v>variant</v>
      </c>
      <c r="E2070" s="4" t="str">
        <f>IFERROR(__xludf.DUMMYFUNCTION("if(H2070=""pays"",vlookup(REGEXEXTRACT(C2070, ""🏘️ \w+ \w+ (.*) ✅""),'Country prepositions'!A:B, 2, 0) &amp; "" "" &amp; REGEXEXTRACT(C2070, ""🏘️ \w+ \w+ (.*) ✅"") ,  if(H2070=""quartier"",vlookup(REGEXEXTRACT(C2070, ""🏘️ \w+ \w+ (.*) ✅""),'Quartier prepositio"&amp;"ns'!A:E, 5, 0) ,  if(H2070=""region"",vlookup(REGEXEXTRACT(C2070, ""🏘️ \w+ \w+ (.*) ✅""),'Region prepositions'!B:F, 5, 0),  REGEXEXTRACT(C2070, ""🏘️ \w+ \w+ (.*) ✅""))))"),"Nidau")</f>
        <v>Nidau</v>
      </c>
      <c r="F2070" s="2" t="str">
        <f>IFERROR(__xludf.DUMMYFUNCTION("REGEXEXTRACT(C2070, ""🏘️ (\w+) \w+ .* ✅"")"),"Vendre")</f>
        <v>Vendre</v>
      </c>
      <c r="G2070" s="2" t="str">
        <f>IFERROR(__xludf.DUMMYFUNCTION("REGEXEXTRACT(C2070, ""🏘️ \w+ (\w+) .* ✅"")"),"maison")</f>
        <v>maison</v>
      </c>
      <c r="H2070" s="4" t="str">
        <f>IFERROR(__xludf.DUMMYFUNCTION("REGEXEXTRACT(A2070, ""/(\w+)-.*?"")"),"lieu")</f>
        <v>lieu</v>
      </c>
      <c r="I2070" s="4" t="str">
        <f>IFERROR(__xludf.DUMMYFUNCTION("if(D2070=""variant"",  substitute(filter(Templates!E:E, Templates!A:A = F2070, Templates!B:B = G2070, Templates!C:C = H2070), ""{{}}"", E2070), B2070)"),"🏘  Vous souhaitez acheter une maison à Nidau? ✅ Jetez un œil aux dernières offres sur ImmoScout24.ch.")</f>
        <v>🏘  Vous souhaitez acheter une maison à Nidau? ✅ Jetez un œil aux dernières offres sur ImmoScout24.ch.</v>
      </c>
      <c r="J2070" s="4" t="s">
        <v>6208</v>
      </c>
    </row>
    <row r="2071">
      <c r="A2071" s="5" t="s">
        <v>6209</v>
      </c>
      <c r="B2071" s="2" t="s">
        <v>6210</v>
      </c>
      <c r="C2071" s="4" t="str">
        <f>IFERROR(__xludf.DUMMYFUNCTION("""🏘️ ""&amp;REGEXEXTRACT(B2071, ""^(.*): "")&amp;"" ✅ "" &amp;REGEXEXTRACT(B2071, ""(Trouvez.*)"")"),"🏘️ Vendre appartement Colombier NE ✅ Trouvez le bien immobilier qui correspond idéalement à vos désirs sur ImmoScout24 - La plateforme de l'immobilier en Suisse.")</f>
        <v>🏘️ Vendre appartement Colombier NE ✅ Trouvez le bien immobilier qui correspond idéalement à vos désirs sur ImmoScout24 - La plateforme de l'immobilier en Suisse.</v>
      </c>
      <c r="D2071" s="4" t="str">
        <f>vlookup(A2071, Sheet2!D:E, 2, 0)</f>
        <v>variant</v>
      </c>
      <c r="E2071" s="4" t="str">
        <f>IFERROR(__xludf.DUMMYFUNCTION("if(H2071=""pays"",vlookup(REGEXEXTRACT(C2071, ""🏘️ \w+ \w+ (.*) ✅""),'Country prepositions'!A:B, 2, 0) &amp; "" "" &amp; REGEXEXTRACT(C2071, ""🏘️ \w+ \w+ (.*) ✅"") ,  if(H2071=""quartier"",vlookup(REGEXEXTRACT(C2071, ""🏘️ \w+ \w+ (.*) ✅""),'Quartier prepositio"&amp;"ns'!A:E, 5, 0) ,  if(H2071=""region"",vlookup(REGEXEXTRACT(C2071, ""🏘️ \w+ \w+ (.*) ✅""),'Region prepositions'!B:F, 5, 0),  REGEXEXTRACT(C2071, ""🏘️ \w+ \w+ (.*) ✅""))))"),"Colombier NE")</f>
        <v>Colombier NE</v>
      </c>
      <c r="F2071" s="2" t="str">
        <f>IFERROR(__xludf.DUMMYFUNCTION("REGEXEXTRACT(C2071, ""🏘️ (\w+) \w+ .* ✅"")"),"Vendre")</f>
        <v>Vendre</v>
      </c>
      <c r="G2071" s="2" t="str">
        <f>IFERROR(__xludf.DUMMYFUNCTION("REGEXEXTRACT(C2071, ""🏘️ \w+ (\w+) .* ✅"")"),"appartement")</f>
        <v>appartement</v>
      </c>
      <c r="H2071" s="4" t="str">
        <f>IFERROR(__xludf.DUMMYFUNCTION("REGEXEXTRACT(A2071, ""/(\w+)-.*?"")"),"lieu")</f>
        <v>lieu</v>
      </c>
      <c r="I2071" s="4" t="str">
        <f>IFERROR(__xludf.DUMMYFUNCTION("if(D2071=""variant"",  substitute(filter(Templates!E:E, Templates!A:A = F2071, Templates!B:B = G2071, Templates!C:C = H2071), ""{{}}"", E2071), B2071)"),"🏘  L’appartement de vos rêves se trouve sur ImmoScout24.ch ✅ Découvrez les dernières annonces de vente à Colombier NE.")</f>
        <v>🏘  L’appartement de vos rêves se trouve sur ImmoScout24.ch ✅ Découvrez les dernières annonces de vente à Colombier NE.</v>
      </c>
      <c r="J2071" s="4" t="s">
        <v>6211</v>
      </c>
    </row>
    <row r="2072">
      <c r="A2072" s="5" t="s">
        <v>6212</v>
      </c>
      <c r="B2072" s="2" t="s">
        <v>6213</v>
      </c>
      <c r="C2072" s="4" t="str">
        <f>IFERROR(__xludf.DUMMYFUNCTION("""🏘️ ""&amp;REGEXEXTRACT(B2072, ""^(.*): "")&amp;"" ✅ "" &amp;REGEXEXTRACT(B2072, ""(Trouvez.*)"")"),"🏘️ Vendre appartement Crêtets (La Chaux-de-Fonds) ✅ Trouvez le bien immobilier qui correspond idéalement à vos désirs sur ImmoScout24 - La plateforme de l'immobilier en Suisse.")</f>
        <v>🏘️ Vendre appartement Crêtets (La Chaux-de-Fonds) ✅ Trouvez le bien immobilier qui correspond idéalement à vos désirs sur ImmoScout24 - La plateforme de l'immobilier en Suisse.</v>
      </c>
      <c r="D2072" s="4" t="str">
        <f>vlookup(A2072, Sheet2!D:E, 2, 0)</f>
        <v>variant</v>
      </c>
      <c r="E2072" s="4" t="str">
        <f>IFERROR(__xludf.DUMMYFUNCTION("if(H2072=""pays"",vlookup(REGEXEXTRACT(C2072, ""🏘️ \w+ \w+ (.*) ✅""),'Country prepositions'!A:B, 2, 0) &amp; "" "" &amp; REGEXEXTRACT(C2072, ""🏘️ \w+ \w+ (.*) ✅"") ,  if(H2072=""quartier"",vlookup(REGEXEXTRACT(C2072, ""🏘️ \w+ \w+ (.*) ✅""),'Quartier prepositio"&amp;"ns'!A:E, 5, 0) ,  if(H2072=""region"",vlookup(REGEXEXTRACT(C2072, ""🏘️ \w+ \w+ (.*) ✅""),'Region prepositions'!B:F, 5, 0),  REGEXEXTRACT(C2072, ""🏘️ \w+ \w+ (.*) ✅""))))"),"dans le quartier des Crêtets (La Chaux-de-Fonds)")</f>
        <v>dans le quartier des Crêtets (La Chaux-de-Fonds)</v>
      </c>
      <c r="F2072" s="2" t="str">
        <f>IFERROR(__xludf.DUMMYFUNCTION("REGEXEXTRACT(C2072, ""🏘️ (\w+) \w+ .* ✅"")"),"Vendre")</f>
        <v>Vendre</v>
      </c>
      <c r="G2072" s="2" t="str">
        <f>IFERROR(__xludf.DUMMYFUNCTION("REGEXEXTRACT(C2072, ""🏘️ \w+ (\w+) .* ✅"")"),"appartement")</f>
        <v>appartement</v>
      </c>
      <c r="H2072" s="4" t="str">
        <f>IFERROR(__xludf.DUMMYFUNCTION("REGEXEXTRACT(A2072, ""/(\w+)-.*?"")"),"quartier")</f>
        <v>quartier</v>
      </c>
      <c r="I2072" s="4" t="str">
        <f>IFERROR(__xludf.DUMMYFUNCTION("if(D2072=""variant"",  substitute(filter(Templates!E:E, Templates!A:A = F2072, Templates!B:B = G2072, Templates!C:C = H2072), ""{{}}"", E2072), B2072)"),"🏘  L’appartement de vos rêves se trouve sur ImmoScout24.ch ✅ Découvrez les dernières annonces de vente dans le quartier des Crêtets (La Chaux-de-Fonds).")</f>
        <v>🏘  L’appartement de vos rêves se trouve sur ImmoScout24.ch ✅ Découvrez les dernières annonces de vente dans le quartier des Crêtets (La Chaux-de-Fonds).</v>
      </c>
      <c r="J2072" s="4" t="s">
        <v>6214</v>
      </c>
    </row>
    <row r="2073">
      <c r="A2073" s="5" t="s">
        <v>6215</v>
      </c>
      <c r="B2073" s="2" t="s">
        <v>6216</v>
      </c>
      <c r="C2073" s="4" t="str">
        <f>IFERROR(__xludf.DUMMYFUNCTION("""🏘️ ""&amp;REGEXEXTRACT(B2073, ""^(.*): "")&amp;"" ✅ "" &amp;REGEXEXTRACT(B2073, ""(Trouvez.*)"")"),"🏘️ Louer appartement Radelfingen b. Aarberg ✅ Trouvez le bien immobilier qui correspond idéalement à vos désirs sur ImmoScout24 - La plateforme de l'immobilier en Suisse.")</f>
        <v>🏘️ Louer appartement Radelfingen b. Aarberg ✅ Trouvez le bien immobilier qui correspond idéalement à vos désirs sur ImmoScout24 - La plateforme de l'immobilier en Suisse.</v>
      </c>
      <c r="D2073" s="4" t="str">
        <f>vlookup(A2073, Sheet2!D:E, 2, 0)</f>
        <v>variant</v>
      </c>
      <c r="E2073" s="4" t="str">
        <f>IFERROR(__xludf.DUMMYFUNCTION("if(H2073=""pays"",vlookup(REGEXEXTRACT(C2073, ""🏘️ \w+ \w+ (.*) ✅""),'Country prepositions'!A:B, 2, 0) &amp; "" "" &amp; REGEXEXTRACT(C2073, ""🏘️ \w+ \w+ (.*) ✅"") ,  if(H2073=""quartier"",vlookup(REGEXEXTRACT(C2073, ""🏘️ \w+ \w+ (.*) ✅""),'Quartier prepositio"&amp;"ns'!A:E, 5, 0) ,  if(H2073=""region"",vlookup(REGEXEXTRACT(C2073, ""🏘️ \w+ \w+ (.*) ✅""),'Region prepositions'!B:F, 5, 0),  REGEXEXTRACT(C2073, ""🏘️ \w+ \w+ (.*) ✅""))))"),"Radelfingen b. Aarberg")</f>
        <v>Radelfingen b. Aarberg</v>
      </c>
      <c r="F2073" s="2" t="str">
        <f>IFERROR(__xludf.DUMMYFUNCTION("REGEXEXTRACT(C2073, ""🏘️ (\w+) \w+ .* ✅"")"),"Louer")</f>
        <v>Louer</v>
      </c>
      <c r="G2073" s="2" t="str">
        <f>IFERROR(__xludf.DUMMYFUNCTION("REGEXEXTRACT(C2073, ""🏘️ \w+ (\w+) .* ✅"")"),"appartement")</f>
        <v>appartement</v>
      </c>
      <c r="H2073" s="4" t="str">
        <f>IFERROR(__xludf.DUMMYFUNCTION("REGEXEXTRACT(A2073, ""/(\w+)-.*?"")"),"lieu")</f>
        <v>lieu</v>
      </c>
      <c r="I2073" s="4" t="str">
        <f>IFERROR(__xludf.DUMMYFUNCTION("if(D2073=""variant"",  substitute(filter(Templates!E:E, Templates!A:A = F2073, Templates!B:B = G2073, Templates!C:C = H2073), ""{{}}"", E2073), B2073)"),"🏘  Vous cherchez un appartement à louer à Radelfingen b. Aarberg? ✅ Les annonces les plus actuelles sont sur ImmoScout24.ch.")</f>
        <v>🏘  Vous cherchez un appartement à louer à Radelfingen b. Aarberg? ✅ Les annonces les plus actuelles sont sur ImmoScout24.ch.</v>
      </c>
      <c r="J2073" s="4" t="s">
        <v>6217</v>
      </c>
    </row>
    <row r="2074">
      <c r="A2074" s="5" t="s">
        <v>6218</v>
      </c>
      <c r="B2074" s="2" t="s">
        <v>6219</v>
      </c>
      <c r="C2074" s="4" t="str">
        <f>IFERROR(__xludf.DUMMYFUNCTION("""🏘️ ""&amp;REGEXEXTRACT(B2074, ""^(.*): "")&amp;"" ✅ "" &amp;REGEXEXTRACT(B2074, ""(Trouvez.*)"")"),"🏘️ Vendre maison Brignon (Nendaz) ✅ Trouvez le bien immobilier qui correspond idéalement à vos désirs sur ImmoScout24 - La plateforme de l'immobilier en Suisse.")</f>
        <v>🏘️ Vendre maison Brignon (Nendaz) ✅ Trouvez le bien immobilier qui correspond idéalement à vos désirs sur ImmoScout24 - La plateforme de l'immobilier en Suisse.</v>
      </c>
      <c r="D2074" s="4" t="str">
        <f>vlookup(A2074, Sheet2!D:E, 2, 0)</f>
        <v>variant</v>
      </c>
      <c r="E2074" s="4" t="str">
        <f>IFERROR(__xludf.DUMMYFUNCTION("if(H2074=""pays"",vlookup(REGEXEXTRACT(C2074, ""🏘️ \w+ \w+ (.*) ✅""),'Country prepositions'!A:B, 2, 0) &amp; "" "" &amp; REGEXEXTRACT(C2074, ""🏘️ \w+ \w+ (.*) ✅"") ,  if(H2074=""quartier"",vlookup(REGEXEXTRACT(C2074, ""🏘️ \w+ \w+ (.*) ✅""),'Quartier prepositio"&amp;"ns'!A:E, 5, 0) ,  if(H2074=""region"",vlookup(REGEXEXTRACT(C2074, ""🏘️ \w+ \w+ (.*) ✅""),'Region prepositions'!B:F, 5, 0),  REGEXEXTRACT(C2074, ""🏘️ \w+ \w+ (.*) ✅""))))"),"Brignon (Nendaz)")</f>
        <v>Brignon (Nendaz)</v>
      </c>
      <c r="F2074" s="2" t="str">
        <f>IFERROR(__xludf.DUMMYFUNCTION("REGEXEXTRACT(C2074, ""🏘️ (\w+) \w+ .* ✅"")"),"Vendre")</f>
        <v>Vendre</v>
      </c>
      <c r="G2074" s="2" t="str">
        <f>IFERROR(__xludf.DUMMYFUNCTION("REGEXEXTRACT(C2074, ""🏘️ \w+ (\w+) .* ✅"")"),"maison")</f>
        <v>maison</v>
      </c>
      <c r="H2074" s="4" t="str">
        <f>IFERROR(__xludf.DUMMYFUNCTION("REGEXEXTRACT(A2074, ""/(\w+)-.*?"")"),"lieu")</f>
        <v>lieu</v>
      </c>
      <c r="I2074" s="4" t="str">
        <f>IFERROR(__xludf.DUMMYFUNCTION("if(D2074=""variant"",  substitute(filter(Templates!E:E, Templates!A:A = F2074, Templates!B:B = G2074, Templates!C:C = H2074), ""{{}}"", E2074), B2074)"),"🏘  Vous souhaitez acheter une maison à Brignon (Nendaz)? ✅ Jetez un œil aux dernières offres sur ImmoScout24.ch.")</f>
        <v>🏘  Vous souhaitez acheter une maison à Brignon (Nendaz)? ✅ Jetez un œil aux dernières offres sur ImmoScout24.ch.</v>
      </c>
      <c r="J2074" s="4" t="s">
        <v>6220</v>
      </c>
    </row>
    <row r="2075">
      <c r="A2075" s="5" t="s">
        <v>6221</v>
      </c>
      <c r="B2075" s="2" t="s">
        <v>6222</v>
      </c>
      <c r="C2075" s="4" t="str">
        <f>IFERROR(__xludf.DUMMYFUNCTION("""🏘️ ""&amp;REGEXEXTRACT(B2075, ""^(.*): "")&amp;"" ✅ "" &amp;REGEXEXTRACT(B2075, ""(Trouvez.*)"")"),"🏘️ Louer appartement Balgach ✅ Trouvez le bien immobilier qui correspond idéalement à vos désirs sur ImmoScout24 - La plateforme de l'immobilier en Suisse.")</f>
        <v>🏘️ Louer appartement Balgach ✅ Trouvez le bien immobilier qui correspond idéalement à vos désirs sur ImmoScout24 - La plateforme de l'immobilier en Suisse.</v>
      </c>
      <c r="D2075" s="4" t="str">
        <f>vlookup(A2075, Sheet2!D:E, 2, 0)</f>
        <v>variant</v>
      </c>
      <c r="E2075" s="4" t="str">
        <f>IFERROR(__xludf.DUMMYFUNCTION("if(H2075=""pays"",vlookup(REGEXEXTRACT(C2075, ""🏘️ \w+ \w+ (.*) ✅""),'Country prepositions'!A:B, 2, 0) &amp; "" "" &amp; REGEXEXTRACT(C2075, ""🏘️ \w+ \w+ (.*) ✅"") ,  if(H2075=""quartier"",vlookup(REGEXEXTRACT(C2075, ""🏘️ \w+ \w+ (.*) ✅""),'Quartier prepositio"&amp;"ns'!A:E, 5, 0) ,  if(H2075=""region"",vlookup(REGEXEXTRACT(C2075, ""🏘️ \w+ \w+ (.*) ✅""),'Region prepositions'!B:F, 5, 0),  REGEXEXTRACT(C2075, ""🏘️ \w+ \w+ (.*) ✅""))))"),"Balgach")</f>
        <v>Balgach</v>
      </c>
      <c r="F2075" s="2" t="str">
        <f>IFERROR(__xludf.DUMMYFUNCTION("REGEXEXTRACT(C2075, ""🏘️ (\w+) \w+ .* ✅"")"),"Louer")</f>
        <v>Louer</v>
      </c>
      <c r="G2075" s="2" t="str">
        <f>IFERROR(__xludf.DUMMYFUNCTION("REGEXEXTRACT(C2075, ""🏘️ \w+ (\w+) .* ✅"")"),"appartement")</f>
        <v>appartement</v>
      </c>
      <c r="H2075" s="4" t="str">
        <f>IFERROR(__xludf.DUMMYFUNCTION("REGEXEXTRACT(A2075, ""/(\w+)-.*?"")"),"lieu")</f>
        <v>lieu</v>
      </c>
      <c r="I2075" s="4" t="str">
        <f>IFERROR(__xludf.DUMMYFUNCTION("if(D2075=""variant"",  substitute(filter(Templates!E:E, Templates!A:A = F2075, Templates!B:B = G2075, Templates!C:C = H2075), ""{{}}"", E2075), B2075)"),"🏘  Vous cherchez un appartement à louer à Balgach? ✅ Les annonces les plus actuelles sont sur ImmoScout24.ch.")</f>
        <v>🏘  Vous cherchez un appartement à louer à Balgach? ✅ Les annonces les plus actuelles sont sur ImmoScout24.ch.</v>
      </c>
      <c r="J2075" s="4" t="s">
        <v>6223</v>
      </c>
    </row>
    <row r="2076">
      <c r="A2076" s="5" t="s">
        <v>6224</v>
      </c>
      <c r="B2076" s="2" t="s">
        <v>6225</v>
      </c>
      <c r="C2076" s="4" t="str">
        <f>IFERROR(__xludf.DUMMYFUNCTION("""🏘️ ""&amp;REGEXEXTRACT(B2076, ""^(.*): "")&amp;"" ✅ "" &amp;REGEXEXTRACT(B2076, ""(Trouvez.*)"")"),"🏘️ Vendre maison Mariastein ✅ Trouvez le bien immobilier qui correspond idéalement à vos désirs sur ImmoScout24 - La plateforme de l'immobilier en Suisse.")</f>
        <v>🏘️ Vendre maison Mariastein ✅ Trouvez le bien immobilier qui correspond idéalement à vos désirs sur ImmoScout24 - La plateforme de l'immobilier en Suisse.</v>
      </c>
      <c r="D2076" s="4" t="str">
        <f>vlookup(A2076, Sheet2!D:E, 2, 0)</f>
        <v>variant</v>
      </c>
      <c r="E2076" s="4" t="str">
        <f>IFERROR(__xludf.DUMMYFUNCTION("if(H2076=""pays"",vlookup(REGEXEXTRACT(C2076, ""🏘️ \w+ \w+ (.*) ✅""),'Country prepositions'!A:B, 2, 0) &amp; "" "" &amp; REGEXEXTRACT(C2076, ""🏘️ \w+ \w+ (.*) ✅"") ,  if(H2076=""quartier"",vlookup(REGEXEXTRACT(C2076, ""🏘️ \w+ \w+ (.*) ✅""),'Quartier prepositio"&amp;"ns'!A:E, 5, 0) ,  if(H2076=""region"",vlookup(REGEXEXTRACT(C2076, ""🏘️ \w+ \w+ (.*) ✅""),'Region prepositions'!B:F, 5, 0),  REGEXEXTRACT(C2076, ""🏘️ \w+ \w+ (.*) ✅""))))"),"Mariastein")</f>
        <v>Mariastein</v>
      </c>
      <c r="F2076" s="2" t="str">
        <f>IFERROR(__xludf.DUMMYFUNCTION("REGEXEXTRACT(C2076, ""🏘️ (\w+) \w+ .* ✅"")"),"Vendre")</f>
        <v>Vendre</v>
      </c>
      <c r="G2076" s="2" t="str">
        <f>IFERROR(__xludf.DUMMYFUNCTION("REGEXEXTRACT(C2076, ""🏘️ \w+ (\w+) .* ✅"")"),"maison")</f>
        <v>maison</v>
      </c>
      <c r="H2076" s="4" t="str">
        <f>IFERROR(__xludf.DUMMYFUNCTION("REGEXEXTRACT(A2076, ""/(\w+)-.*?"")"),"lieu")</f>
        <v>lieu</v>
      </c>
      <c r="I2076" s="4" t="str">
        <f>IFERROR(__xludf.DUMMYFUNCTION("if(D2076=""variant"",  substitute(filter(Templates!E:E, Templates!A:A = F2076, Templates!B:B = G2076, Templates!C:C = H2076), ""{{}}"", E2076), B2076)"),"🏘  Vous souhaitez acheter une maison à Mariastein? ✅ Jetez un œil aux dernières offres sur ImmoScout24.ch.")</f>
        <v>🏘  Vous souhaitez acheter une maison à Mariastein? ✅ Jetez un œil aux dernières offres sur ImmoScout24.ch.</v>
      </c>
      <c r="J2076" s="4" t="s">
        <v>6226</v>
      </c>
    </row>
    <row r="2077">
      <c r="A2077" s="5" t="s">
        <v>6227</v>
      </c>
      <c r="B2077" s="2" t="s">
        <v>6228</v>
      </c>
      <c r="C2077" s="4" t="str">
        <f>IFERROR(__xludf.DUMMYFUNCTION("""🏘️ ""&amp;REGEXEXTRACT(B2077, ""^(.*): "")&amp;"" ✅ "" &amp;REGEXEXTRACT(B2077, ""(Trouvez.*)"")"),"🏘️ Vendre maison Arzier-Le Muids ✅ Trouvez le bien immobilier qui correspond idéalement à vos désirs sur ImmoScout24 - La plateforme de l'immobilier en Suisse.")</f>
        <v>🏘️ Vendre maison Arzier-Le Muids ✅ Trouvez le bien immobilier qui correspond idéalement à vos désirs sur ImmoScout24 - La plateforme de l'immobilier en Suisse.</v>
      </c>
      <c r="D2077" s="4" t="str">
        <f>vlookup(A2077, Sheet2!D:E, 2, 0)</f>
        <v>variant</v>
      </c>
      <c r="E2077" s="4" t="str">
        <f>IFERROR(__xludf.DUMMYFUNCTION("if(H2077=""pays"",vlookup(REGEXEXTRACT(C2077, ""🏘️ \w+ \w+ (.*) ✅""),'Country prepositions'!A:B, 2, 0) &amp; "" "" &amp; REGEXEXTRACT(C2077, ""🏘️ \w+ \w+ (.*) ✅"") ,  if(H2077=""quartier"",vlookup(REGEXEXTRACT(C2077, ""🏘️ \w+ \w+ (.*) ✅""),'Quartier prepositio"&amp;"ns'!A:E, 5, 0) ,  if(H2077=""region"",vlookup(REGEXEXTRACT(C2077, ""🏘️ \w+ \w+ (.*) ✅""),'Region prepositions'!B:F, 5, 0),  REGEXEXTRACT(C2077, ""🏘️ \w+ \w+ (.*) ✅""))))"),"Arzier-Le Muids")</f>
        <v>Arzier-Le Muids</v>
      </c>
      <c r="F2077" s="2" t="str">
        <f>IFERROR(__xludf.DUMMYFUNCTION("REGEXEXTRACT(C2077, ""🏘️ (\w+) \w+ .* ✅"")"),"Vendre")</f>
        <v>Vendre</v>
      </c>
      <c r="G2077" s="2" t="str">
        <f>IFERROR(__xludf.DUMMYFUNCTION("REGEXEXTRACT(C2077, ""🏘️ \w+ (\w+) .* ✅"")"),"maison")</f>
        <v>maison</v>
      </c>
      <c r="H2077" s="4" t="str">
        <f>IFERROR(__xludf.DUMMYFUNCTION("REGEXEXTRACT(A2077, ""/(\w+)-.*?"")"),"lieu")</f>
        <v>lieu</v>
      </c>
      <c r="I2077" s="4" t="str">
        <f>IFERROR(__xludf.DUMMYFUNCTION("if(D2077=""variant"",  substitute(filter(Templates!E:E, Templates!A:A = F2077, Templates!B:B = G2077, Templates!C:C = H2077), ""{{}}"", E2077), B2077)"),"🏘  Vous souhaitez acheter une maison à Arzier-Le Muids? ✅ Jetez un œil aux dernières offres sur ImmoScout24.ch.")</f>
        <v>🏘  Vous souhaitez acheter une maison à Arzier-Le Muids? ✅ Jetez un œil aux dernières offres sur ImmoScout24.ch.</v>
      </c>
      <c r="J2077" s="4" t="s">
        <v>6229</v>
      </c>
    </row>
    <row r="2078">
      <c r="A2078" s="5" t="s">
        <v>6230</v>
      </c>
      <c r="B2078" s="2" t="s">
        <v>6231</v>
      </c>
      <c r="C2078" s="4" t="str">
        <f>IFERROR(__xludf.DUMMYFUNCTION("""🏘️ ""&amp;REGEXEXTRACT(B2078, ""^(.*): "")&amp;"" ✅ "" &amp;REGEXEXTRACT(B2078, ""(Trouvez.*)"")"),"🏘️ Louer maison Misery ✅ Trouvez le bien immobilier qui correspond idéalement à vos désirs sur ImmoScout24 - La plateforme de l'immobilier en Suisse.")</f>
        <v>🏘️ Louer maison Misery ✅ Trouvez le bien immobilier qui correspond idéalement à vos désirs sur ImmoScout24 - La plateforme de l'immobilier en Suisse.</v>
      </c>
      <c r="D2078" s="4" t="str">
        <f>vlookup(A2078, Sheet2!D:E, 2, 0)</f>
        <v>variant</v>
      </c>
      <c r="E2078" s="4" t="str">
        <f>IFERROR(__xludf.DUMMYFUNCTION("if(H2078=""pays"",vlookup(REGEXEXTRACT(C2078, ""🏘️ \w+ \w+ (.*) ✅""),'Country prepositions'!A:B, 2, 0) &amp; "" "" &amp; REGEXEXTRACT(C2078, ""🏘️ \w+ \w+ (.*) ✅"") ,  if(H2078=""quartier"",vlookup(REGEXEXTRACT(C2078, ""🏘️ \w+ \w+ (.*) ✅""),'Quartier prepositio"&amp;"ns'!A:E, 5, 0) ,  if(H2078=""region"",vlookup(REGEXEXTRACT(C2078, ""🏘️ \w+ \w+ (.*) ✅""),'Region prepositions'!B:F, 5, 0),  REGEXEXTRACT(C2078, ""🏘️ \w+ \w+ (.*) ✅""))))"),"Misery")</f>
        <v>Misery</v>
      </c>
      <c r="F2078" s="2" t="str">
        <f>IFERROR(__xludf.DUMMYFUNCTION("REGEXEXTRACT(C2078, ""🏘️ (\w+) \w+ .* ✅"")"),"Louer")</f>
        <v>Louer</v>
      </c>
      <c r="G2078" s="2" t="str">
        <f>IFERROR(__xludf.DUMMYFUNCTION("REGEXEXTRACT(C2078, ""🏘️ \w+ (\w+) .* ✅"")"),"maison")</f>
        <v>maison</v>
      </c>
      <c r="H2078" s="4" t="str">
        <f>IFERROR(__xludf.DUMMYFUNCTION("REGEXEXTRACT(A2078, ""/(\w+)-.*?"")"),"lieu")</f>
        <v>lieu</v>
      </c>
      <c r="I2078" s="4" t="str">
        <f>IFERROR(__xludf.DUMMYFUNCTION("if(D2078=""variant"",  substitute(filter(Templates!E:E, Templates!A:A = F2078, Templates!B:B = G2078, Templates!C:C = H2078), ""{{}}"", E2078), B2078)"),"🏘  Vous cherchez une maison à louer à Misery? ✅ Découvrez nos nombreuses annonces sur ImmoScout24.ch.")</f>
        <v>🏘  Vous cherchez une maison à louer à Misery? ✅ Découvrez nos nombreuses annonces sur ImmoScout24.ch.</v>
      </c>
      <c r="J2078" s="4" t="s">
        <v>6232</v>
      </c>
    </row>
    <row r="2079">
      <c r="A2079" s="5" t="s">
        <v>6233</v>
      </c>
      <c r="B2079" s="2" t="s">
        <v>6234</v>
      </c>
      <c r="C2079" s="4" t="str">
        <f>IFERROR(__xludf.DUMMYFUNCTION("""🏘️ ""&amp;REGEXEXTRACT(B2079, ""^(.*): "")&amp;"" ✅ "" &amp;REGEXEXTRACT(B2079, ""(Trouvez.*)"")"),"🏘️ Louer appartement Morrens VD ✅ Trouvez le bien immobilier qui correspond idéalement à vos désirs sur ImmoScout24 - La plateforme de l'immobilier en Suisse.")</f>
        <v>🏘️ Louer appartement Morrens VD ✅ Trouvez le bien immobilier qui correspond idéalement à vos désirs sur ImmoScout24 - La plateforme de l'immobilier en Suisse.</v>
      </c>
      <c r="D2079" s="4" t="str">
        <f>vlookup(A2079, Sheet2!D:E, 2, 0)</f>
        <v>variant</v>
      </c>
      <c r="E2079" s="4" t="str">
        <f>IFERROR(__xludf.DUMMYFUNCTION("if(H2079=""pays"",vlookup(REGEXEXTRACT(C2079, ""🏘️ \w+ \w+ (.*) ✅""),'Country prepositions'!A:B, 2, 0) &amp; "" "" &amp; REGEXEXTRACT(C2079, ""🏘️ \w+ \w+ (.*) ✅"") ,  if(H2079=""quartier"",vlookup(REGEXEXTRACT(C2079, ""🏘️ \w+ \w+ (.*) ✅""),'Quartier prepositio"&amp;"ns'!A:E, 5, 0) ,  if(H2079=""region"",vlookup(REGEXEXTRACT(C2079, ""🏘️ \w+ \w+ (.*) ✅""),'Region prepositions'!B:F, 5, 0),  REGEXEXTRACT(C2079, ""🏘️ \w+ \w+ (.*) ✅""))))"),"Morrens VD")</f>
        <v>Morrens VD</v>
      </c>
      <c r="F2079" s="2" t="str">
        <f>IFERROR(__xludf.DUMMYFUNCTION("REGEXEXTRACT(C2079, ""🏘️ (\w+) \w+ .* ✅"")"),"Louer")</f>
        <v>Louer</v>
      </c>
      <c r="G2079" s="2" t="str">
        <f>IFERROR(__xludf.DUMMYFUNCTION("REGEXEXTRACT(C2079, ""🏘️ \w+ (\w+) .* ✅"")"),"appartement")</f>
        <v>appartement</v>
      </c>
      <c r="H2079" s="4" t="str">
        <f>IFERROR(__xludf.DUMMYFUNCTION("REGEXEXTRACT(A2079, ""/(\w+)-.*?"")"),"lieu")</f>
        <v>lieu</v>
      </c>
      <c r="I2079" s="4" t="str">
        <f>IFERROR(__xludf.DUMMYFUNCTION("if(D2079=""variant"",  substitute(filter(Templates!E:E, Templates!A:A = F2079, Templates!B:B = G2079, Templates!C:C = H2079), ""{{}}"", E2079), B2079)"),"🏘  Vous cherchez un appartement à louer à Morrens VD? ✅ Les annonces les plus actuelles sont sur ImmoScout24.ch.")</f>
        <v>🏘  Vous cherchez un appartement à louer à Morrens VD? ✅ Les annonces les plus actuelles sont sur ImmoScout24.ch.</v>
      </c>
      <c r="J2079" s="4" t="s">
        <v>6235</v>
      </c>
    </row>
    <row r="2080">
      <c r="A2080" s="5" t="s">
        <v>6236</v>
      </c>
      <c r="B2080" s="2" t="s">
        <v>6237</v>
      </c>
      <c r="C2080" s="4" t="str">
        <f>IFERROR(__xludf.DUMMYFUNCTION("""🏘️ ""&amp;REGEXEXTRACT(B2080, ""^(.*): "")&amp;"" ✅ "" &amp;REGEXEXTRACT(B2080, ""(Trouvez.*)"")"),"🏘️ Louer appartement Jonschwil ✅ Trouvez le bien immobilier qui correspond idéalement à vos désirs sur ImmoScout24 - La plateforme de l'immobilier en Suisse.")</f>
        <v>🏘️ Louer appartement Jonschwil ✅ Trouvez le bien immobilier qui correspond idéalement à vos désirs sur ImmoScout24 - La plateforme de l'immobilier en Suisse.</v>
      </c>
      <c r="D2080" s="4" t="str">
        <f>vlookup(A2080, Sheet2!D:E, 2, 0)</f>
        <v>variant</v>
      </c>
      <c r="E2080" s="4" t="str">
        <f>IFERROR(__xludf.DUMMYFUNCTION("if(H2080=""pays"",vlookup(REGEXEXTRACT(C2080, ""🏘️ \w+ \w+ (.*) ✅""),'Country prepositions'!A:B, 2, 0) &amp; "" "" &amp; REGEXEXTRACT(C2080, ""🏘️ \w+ \w+ (.*) ✅"") ,  if(H2080=""quartier"",vlookup(REGEXEXTRACT(C2080, ""🏘️ \w+ \w+ (.*) ✅""),'Quartier prepositio"&amp;"ns'!A:E, 5, 0) ,  if(H2080=""region"",vlookup(REGEXEXTRACT(C2080, ""🏘️ \w+ \w+ (.*) ✅""),'Region prepositions'!B:F, 5, 0),  REGEXEXTRACT(C2080, ""🏘️ \w+ \w+ (.*) ✅""))))"),"Jonschwil")</f>
        <v>Jonschwil</v>
      </c>
      <c r="F2080" s="2" t="str">
        <f>IFERROR(__xludf.DUMMYFUNCTION("REGEXEXTRACT(C2080, ""🏘️ (\w+) \w+ .* ✅"")"),"Louer")</f>
        <v>Louer</v>
      </c>
      <c r="G2080" s="2" t="str">
        <f>IFERROR(__xludf.DUMMYFUNCTION("REGEXEXTRACT(C2080, ""🏘️ \w+ (\w+) .* ✅"")"),"appartement")</f>
        <v>appartement</v>
      </c>
      <c r="H2080" s="4" t="str">
        <f>IFERROR(__xludf.DUMMYFUNCTION("REGEXEXTRACT(A2080, ""/(\w+)-.*?"")"),"lieu")</f>
        <v>lieu</v>
      </c>
      <c r="I2080" s="4" t="str">
        <f>IFERROR(__xludf.DUMMYFUNCTION("if(D2080=""variant"",  substitute(filter(Templates!E:E, Templates!A:A = F2080, Templates!B:B = G2080, Templates!C:C = H2080), ""{{}}"", E2080), B2080)"),"🏘  Vous cherchez un appartement à louer à Jonschwil? ✅ Les annonces les plus actuelles sont sur ImmoScout24.ch.")</f>
        <v>🏘  Vous cherchez un appartement à louer à Jonschwil? ✅ Les annonces les plus actuelles sont sur ImmoScout24.ch.</v>
      </c>
      <c r="J2080" s="4" t="s">
        <v>6238</v>
      </c>
    </row>
    <row r="2081">
      <c r="A2081" s="5" t="s">
        <v>6239</v>
      </c>
      <c r="B2081" s="2" t="s">
        <v>6240</v>
      </c>
      <c r="C2081" s="4" t="str">
        <f>IFERROR(__xludf.DUMMYFUNCTION("""🏘️ ""&amp;REGEXEXTRACT(B2081, ""^(.*): "")&amp;"" ✅ "" &amp;REGEXEXTRACT(B2081, ""(Trouvez.*)"")"),"🏘️ Louer appartement St-Maurice ✅ Trouvez le bien immobilier qui correspond idéalement à vos désirs sur ImmoScout24 - La plateforme de l'immobilier en Suisse.")</f>
        <v>🏘️ Louer appartement St-Maurice ✅ Trouvez le bien immobilier qui correspond idéalement à vos désirs sur ImmoScout24 - La plateforme de l'immobilier en Suisse.</v>
      </c>
      <c r="D2081" s="4" t="str">
        <f>vlookup(A2081, Sheet2!D:E, 2, 0)</f>
        <v>variant</v>
      </c>
      <c r="E2081" s="4" t="str">
        <f>IFERROR(__xludf.DUMMYFUNCTION("if(H2081=""pays"",vlookup(REGEXEXTRACT(C2081, ""🏘️ \w+ \w+ (.*) ✅""),'Country prepositions'!A:B, 2, 0) &amp; "" "" &amp; REGEXEXTRACT(C2081, ""🏘️ \w+ \w+ (.*) ✅"") ,  if(H2081=""quartier"",vlookup(REGEXEXTRACT(C2081, ""🏘️ \w+ \w+ (.*) ✅""),'Quartier prepositio"&amp;"ns'!A:E, 5, 0) ,  if(H2081=""region"",vlookup(REGEXEXTRACT(C2081, ""🏘️ \w+ \w+ (.*) ✅""),'Region prepositions'!B:F, 5, 0),  REGEXEXTRACT(C2081, ""🏘️ \w+ \w+ (.*) ✅""))))"),"St-Maurice")</f>
        <v>St-Maurice</v>
      </c>
      <c r="F2081" s="2" t="str">
        <f>IFERROR(__xludf.DUMMYFUNCTION("REGEXEXTRACT(C2081, ""🏘️ (\w+) \w+ .* ✅"")"),"Louer")</f>
        <v>Louer</v>
      </c>
      <c r="G2081" s="2" t="str">
        <f>IFERROR(__xludf.DUMMYFUNCTION("REGEXEXTRACT(C2081, ""🏘️ \w+ (\w+) .* ✅"")"),"appartement")</f>
        <v>appartement</v>
      </c>
      <c r="H2081" s="4" t="str">
        <f>IFERROR(__xludf.DUMMYFUNCTION("REGEXEXTRACT(A2081, ""/(\w+)-.*?"")"),"lieu")</f>
        <v>lieu</v>
      </c>
      <c r="I2081" s="4" t="str">
        <f>IFERROR(__xludf.DUMMYFUNCTION("if(D2081=""variant"",  substitute(filter(Templates!E:E, Templates!A:A = F2081, Templates!B:B = G2081, Templates!C:C = H2081), ""{{}}"", E2081), B2081)"),"🏘  Vous cherchez un appartement à louer à St-Maurice? ✅ Les annonces les plus actuelles sont sur ImmoScout24.ch.")</f>
        <v>🏘  Vous cherchez un appartement à louer à St-Maurice? ✅ Les annonces les plus actuelles sont sur ImmoScout24.ch.</v>
      </c>
      <c r="J2081" s="4" t="s">
        <v>6241</v>
      </c>
    </row>
    <row r="2082">
      <c r="A2082" s="5" t="s">
        <v>6242</v>
      </c>
      <c r="B2082" s="2" t="s">
        <v>6243</v>
      </c>
      <c r="C2082" s="4" t="str">
        <f>IFERROR(__xludf.DUMMYFUNCTION("""🏘️ ""&amp;REGEXEXTRACT(B2082, ""^(.*): "")&amp;"" ✅ "" &amp;REGEXEXTRACT(B2082, ""(Trouvez.*)"")"),"🏘️ Louer appartement Aarberg ✅ Trouvez le bien immobilier qui correspond idéalement à vos désirs sur ImmoScout24 - La plateforme de l'immobilier en Suisse.")</f>
        <v>🏘️ Louer appartement Aarberg ✅ Trouvez le bien immobilier qui correspond idéalement à vos désirs sur ImmoScout24 - La plateforme de l'immobilier en Suisse.</v>
      </c>
      <c r="D2082" s="4" t="str">
        <f>vlookup(A2082, Sheet2!D:E, 2, 0)</f>
        <v>variant</v>
      </c>
      <c r="E2082" s="4" t="str">
        <f>IFERROR(__xludf.DUMMYFUNCTION("if(H2082=""pays"",vlookup(REGEXEXTRACT(C2082, ""🏘️ \w+ \w+ (.*) ✅""),'Country prepositions'!A:B, 2, 0) &amp; "" "" &amp; REGEXEXTRACT(C2082, ""🏘️ \w+ \w+ (.*) ✅"") ,  if(H2082=""quartier"",vlookup(REGEXEXTRACT(C2082, ""🏘️ \w+ \w+ (.*) ✅""),'Quartier prepositio"&amp;"ns'!A:E, 5, 0) ,  if(H2082=""region"",vlookup(REGEXEXTRACT(C2082, ""🏘️ \w+ \w+ (.*) ✅""),'Region prepositions'!B:F, 5, 0),  REGEXEXTRACT(C2082, ""🏘️ \w+ \w+ (.*) ✅""))))"),"Aarberg")</f>
        <v>Aarberg</v>
      </c>
      <c r="F2082" s="2" t="str">
        <f>IFERROR(__xludf.DUMMYFUNCTION("REGEXEXTRACT(C2082, ""🏘️ (\w+) \w+ .* ✅"")"),"Louer")</f>
        <v>Louer</v>
      </c>
      <c r="G2082" s="2" t="str">
        <f>IFERROR(__xludf.DUMMYFUNCTION("REGEXEXTRACT(C2082, ""🏘️ \w+ (\w+) .* ✅"")"),"appartement")</f>
        <v>appartement</v>
      </c>
      <c r="H2082" s="4" t="str">
        <f>IFERROR(__xludf.DUMMYFUNCTION("REGEXEXTRACT(A2082, ""/(\w+)-.*?"")"),"lieu")</f>
        <v>lieu</v>
      </c>
      <c r="I2082" s="4" t="str">
        <f>IFERROR(__xludf.DUMMYFUNCTION("if(D2082=""variant"",  substitute(filter(Templates!E:E, Templates!A:A = F2082, Templates!B:B = G2082, Templates!C:C = H2082), ""{{}}"", E2082), B2082)"),"🏘  Vous cherchez un appartement à louer à Aarberg? ✅ Les annonces les plus actuelles sont sur ImmoScout24.ch.")</f>
        <v>🏘  Vous cherchez un appartement à louer à Aarberg? ✅ Les annonces les plus actuelles sont sur ImmoScout24.ch.</v>
      </c>
      <c r="J2082" s="4" t="s">
        <v>6244</v>
      </c>
    </row>
    <row r="2083">
      <c r="A2083" s="5" t="s">
        <v>6245</v>
      </c>
      <c r="B2083" s="2" t="s">
        <v>6246</v>
      </c>
      <c r="C2083" s="4" t="str">
        <f>IFERROR(__xludf.DUMMYFUNCTION("""🏘️ ""&amp;REGEXEXTRACT(B2083, ""^(.*): "")&amp;"" ✅ "" &amp;REGEXEXTRACT(B2083, ""(Trouvez.*)"")"),"🏘️ Vendre appartement Samedan ✅ Trouvez le bien immobilier qui correspond idéalement à vos désirs sur ImmoScout24 - La plateforme de l'immobilier en Suisse.")</f>
        <v>🏘️ Vendre appartement Samedan ✅ Trouvez le bien immobilier qui correspond idéalement à vos désirs sur ImmoScout24 - La plateforme de l'immobilier en Suisse.</v>
      </c>
      <c r="D2083" s="4" t="str">
        <f>vlookup(A2083, Sheet2!D:E, 2, 0)</f>
        <v>variant</v>
      </c>
      <c r="E2083" s="4" t="str">
        <f>IFERROR(__xludf.DUMMYFUNCTION("if(H2083=""pays"",vlookup(REGEXEXTRACT(C2083, ""🏘️ \w+ \w+ (.*) ✅""),'Country prepositions'!A:B, 2, 0) &amp; "" "" &amp; REGEXEXTRACT(C2083, ""🏘️ \w+ \w+ (.*) ✅"") ,  if(H2083=""quartier"",vlookup(REGEXEXTRACT(C2083, ""🏘️ \w+ \w+ (.*) ✅""),'Quartier prepositio"&amp;"ns'!A:E, 5, 0) ,  if(H2083=""region"",vlookup(REGEXEXTRACT(C2083, ""🏘️ \w+ \w+ (.*) ✅""),'Region prepositions'!B:F, 5, 0),  REGEXEXTRACT(C2083, ""🏘️ \w+ \w+ (.*) ✅""))))"),"Samedan")</f>
        <v>Samedan</v>
      </c>
      <c r="F2083" s="2" t="str">
        <f>IFERROR(__xludf.DUMMYFUNCTION("REGEXEXTRACT(C2083, ""🏘️ (\w+) \w+ .* ✅"")"),"Vendre")</f>
        <v>Vendre</v>
      </c>
      <c r="G2083" s="2" t="str">
        <f>IFERROR(__xludf.DUMMYFUNCTION("REGEXEXTRACT(C2083, ""🏘️ \w+ (\w+) .* ✅"")"),"appartement")</f>
        <v>appartement</v>
      </c>
      <c r="H2083" s="4" t="str">
        <f>IFERROR(__xludf.DUMMYFUNCTION("REGEXEXTRACT(A2083, ""/(\w+)-.*?"")"),"lieu")</f>
        <v>lieu</v>
      </c>
      <c r="I2083" s="4" t="str">
        <f>IFERROR(__xludf.DUMMYFUNCTION("if(D2083=""variant"",  substitute(filter(Templates!E:E, Templates!A:A = F2083, Templates!B:B = G2083, Templates!C:C = H2083), ""{{}}"", E2083), B2083)"),"🏘  L’appartement de vos rêves se trouve sur ImmoScout24.ch ✅ Découvrez les dernières annonces de vente à Samedan.")</f>
        <v>🏘  L’appartement de vos rêves se trouve sur ImmoScout24.ch ✅ Découvrez les dernières annonces de vente à Samedan.</v>
      </c>
      <c r="J2083" s="4" t="s">
        <v>6247</v>
      </c>
    </row>
    <row r="2084">
      <c r="A2084" s="5" t="s">
        <v>6248</v>
      </c>
      <c r="B2084" s="2" t="s">
        <v>6249</v>
      </c>
      <c r="C2084" s="4" t="str">
        <f>IFERROR(__xludf.DUMMYFUNCTION("""🏘️ ""&amp;REGEXEXTRACT(B2084, ""^(.*): "")&amp;"" ✅ "" &amp;REGEXEXTRACT(B2084, ""(Trouvez.*)"")"),"🏘️ Louer appartement Malters ✅ Trouvez le bien immobilier qui correspond idéalement à vos désirs sur ImmoScout24 - La plateforme de l'immobilier en Suisse.")</f>
        <v>🏘️ Louer appartement Malters ✅ Trouvez le bien immobilier qui correspond idéalement à vos désirs sur ImmoScout24 - La plateforme de l'immobilier en Suisse.</v>
      </c>
      <c r="D2084" s="4" t="str">
        <f>vlookup(A2084, Sheet2!D:E, 2, 0)</f>
        <v>variant</v>
      </c>
      <c r="E2084" s="4" t="str">
        <f>IFERROR(__xludf.DUMMYFUNCTION("if(H2084=""pays"",vlookup(REGEXEXTRACT(C2084, ""🏘️ \w+ \w+ (.*) ✅""),'Country prepositions'!A:B, 2, 0) &amp; "" "" &amp; REGEXEXTRACT(C2084, ""🏘️ \w+ \w+ (.*) ✅"") ,  if(H2084=""quartier"",vlookup(REGEXEXTRACT(C2084, ""🏘️ \w+ \w+ (.*) ✅""),'Quartier prepositio"&amp;"ns'!A:E, 5, 0) ,  if(H2084=""region"",vlookup(REGEXEXTRACT(C2084, ""🏘️ \w+ \w+ (.*) ✅""),'Region prepositions'!B:F, 5, 0),  REGEXEXTRACT(C2084, ""🏘️ \w+ \w+ (.*) ✅""))))"),"Malters")</f>
        <v>Malters</v>
      </c>
      <c r="F2084" s="2" t="str">
        <f>IFERROR(__xludf.DUMMYFUNCTION("REGEXEXTRACT(C2084, ""🏘️ (\w+) \w+ .* ✅"")"),"Louer")</f>
        <v>Louer</v>
      </c>
      <c r="G2084" s="2" t="str">
        <f>IFERROR(__xludf.DUMMYFUNCTION("REGEXEXTRACT(C2084, ""🏘️ \w+ (\w+) .* ✅"")"),"appartement")</f>
        <v>appartement</v>
      </c>
      <c r="H2084" s="4" t="str">
        <f>IFERROR(__xludf.DUMMYFUNCTION("REGEXEXTRACT(A2084, ""/(\w+)-.*?"")"),"lieu")</f>
        <v>lieu</v>
      </c>
      <c r="I2084" s="4" t="str">
        <f>IFERROR(__xludf.DUMMYFUNCTION("if(D2084=""variant"",  substitute(filter(Templates!E:E, Templates!A:A = F2084, Templates!B:B = G2084, Templates!C:C = H2084), ""{{}}"", E2084), B2084)"),"🏘  Vous cherchez un appartement à louer à Malters? ✅ Les annonces les plus actuelles sont sur ImmoScout24.ch.")</f>
        <v>🏘  Vous cherchez un appartement à louer à Malters? ✅ Les annonces les plus actuelles sont sur ImmoScout24.ch.</v>
      </c>
      <c r="J2084" s="4" t="s">
        <v>6250</v>
      </c>
    </row>
    <row r="2085">
      <c r="A2085" s="5" t="s">
        <v>6251</v>
      </c>
      <c r="B2085" s="2" t="s">
        <v>6252</v>
      </c>
      <c r="C2085" s="4" t="str">
        <f>IFERROR(__xludf.DUMMYFUNCTION("""🏘️ ""&amp;REGEXEXTRACT(B2085, ""^(.*): "")&amp;"" ✅ "" &amp;REGEXEXTRACT(B2085, ""(Trouvez.*)"")"),"🏘️ Vendre appartement Schlierbach ✅ Trouvez le bien immobilier qui correspond idéalement à vos désirs sur ImmoScout24 - La plateforme de l'immobilier en Suisse.")</f>
        <v>🏘️ Vendre appartement Schlierbach ✅ Trouvez le bien immobilier qui correspond idéalement à vos désirs sur ImmoScout24 - La plateforme de l'immobilier en Suisse.</v>
      </c>
      <c r="D2085" s="4" t="str">
        <f>vlookup(A2085, Sheet2!D:E, 2, 0)</f>
        <v>variant</v>
      </c>
      <c r="E2085" s="4" t="str">
        <f>IFERROR(__xludf.DUMMYFUNCTION("if(H2085=""pays"",vlookup(REGEXEXTRACT(C2085, ""🏘️ \w+ \w+ (.*) ✅""),'Country prepositions'!A:B, 2, 0) &amp; "" "" &amp; REGEXEXTRACT(C2085, ""🏘️ \w+ \w+ (.*) ✅"") ,  if(H2085=""quartier"",vlookup(REGEXEXTRACT(C2085, ""🏘️ \w+ \w+ (.*) ✅""),'Quartier prepositio"&amp;"ns'!A:E, 5, 0) ,  if(H2085=""region"",vlookup(REGEXEXTRACT(C2085, ""🏘️ \w+ \w+ (.*) ✅""),'Region prepositions'!B:F, 5, 0),  REGEXEXTRACT(C2085, ""🏘️ \w+ \w+ (.*) ✅""))))"),"Schlierbach")</f>
        <v>Schlierbach</v>
      </c>
      <c r="F2085" s="2" t="str">
        <f>IFERROR(__xludf.DUMMYFUNCTION("REGEXEXTRACT(C2085, ""🏘️ (\w+) \w+ .* ✅"")"),"Vendre")</f>
        <v>Vendre</v>
      </c>
      <c r="G2085" s="2" t="str">
        <f>IFERROR(__xludf.DUMMYFUNCTION("REGEXEXTRACT(C2085, ""🏘️ \w+ (\w+) .* ✅"")"),"appartement")</f>
        <v>appartement</v>
      </c>
      <c r="H2085" s="4" t="str">
        <f>IFERROR(__xludf.DUMMYFUNCTION("REGEXEXTRACT(A2085, ""/(\w+)-.*?"")"),"lieu")</f>
        <v>lieu</v>
      </c>
      <c r="I2085" s="4" t="str">
        <f>IFERROR(__xludf.DUMMYFUNCTION("if(D2085=""variant"",  substitute(filter(Templates!E:E, Templates!A:A = F2085, Templates!B:B = G2085, Templates!C:C = H2085), ""{{}}"", E2085), B2085)"),"🏘  L’appartement de vos rêves se trouve sur ImmoScout24.ch ✅ Découvrez les dernières annonces de vente à Schlierbach.")</f>
        <v>🏘  L’appartement de vos rêves se trouve sur ImmoScout24.ch ✅ Découvrez les dernières annonces de vente à Schlierbach.</v>
      </c>
      <c r="J2085" s="4" t="s">
        <v>6253</v>
      </c>
    </row>
    <row r="2086">
      <c r="A2086" s="5" t="s">
        <v>6254</v>
      </c>
      <c r="B2086" s="2" t="s">
        <v>6255</v>
      </c>
      <c r="C2086" s="4" t="str">
        <f>IFERROR(__xludf.DUMMYFUNCTION("""🏘️ ""&amp;REGEXEXTRACT(B2086, ""^(.*): "")&amp;"" ✅ "" &amp;REGEXEXTRACT(B2086, ""(Trouvez.*)"")"),"🏘️ Vendre appartement Orselina ✅ Trouvez le bien immobilier qui correspond idéalement à vos désirs sur ImmoScout24 - La plateforme de l'immobilier en Suisse.")</f>
        <v>🏘️ Vendre appartement Orselina ✅ Trouvez le bien immobilier qui correspond idéalement à vos désirs sur ImmoScout24 - La plateforme de l'immobilier en Suisse.</v>
      </c>
      <c r="D2086" s="4" t="str">
        <f>vlookup(A2086, Sheet2!D:E, 2, 0)</f>
        <v>variant</v>
      </c>
      <c r="E2086" s="4" t="str">
        <f>IFERROR(__xludf.DUMMYFUNCTION("if(H2086=""pays"",vlookup(REGEXEXTRACT(C2086, ""🏘️ \w+ \w+ (.*) ✅""),'Country prepositions'!A:B, 2, 0) &amp; "" "" &amp; REGEXEXTRACT(C2086, ""🏘️ \w+ \w+ (.*) ✅"") ,  if(H2086=""quartier"",vlookup(REGEXEXTRACT(C2086, ""🏘️ \w+ \w+ (.*) ✅""),'Quartier prepositio"&amp;"ns'!A:E, 5, 0) ,  if(H2086=""region"",vlookup(REGEXEXTRACT(C2086, ""🏘️ \w+ \w+ (.*) ✅""),'Region prepositions'!B:F, 5, 0),  REGEXEXTRACT(C2086, ""🏘️ \w+ \w+ (.*) ✅""))))"),"Orselina")</f>
        <v>Orselina</v>
      </c>
      <c r="F2086" s="2" t="str">
        <f>IFERROR(__xludf.DUMMYFUNCTION("REGEXEXTRACT(C2086, ""🏘️ (\w+) \w+ .* ✅"")"),"Vendre")</f>
        <v>Vendre</v>
      </c>
      <c r="G2086" s="2" t="str">
        <f>IFERROR(__xludf.DUMMYFUNCTION("REGEXEXTRACT(C2086, ""🏘️ \w+ (\w+) .* ✅"")"),"appartement")</f>
        <v>appartement</v>
      </c>
      <c r="H2086" s="4" t="str">
        <f>IFERROR(__xludf.DUMMYFUNCTION("REGEXEXTRACT(A2086, ""/(\w+)-.*?"")"),"lieu")</f>
        <v>lieu</v>
      </c>
      <c r="I2086" s="4" t="str">
        <f>IFERROR(__xludf.DUMMYFUNCTION("if(D2086=""variant"",  substitute(filter(Templates!E:E, Templates!A:A = F2086, Templates!B:B = G2086, Templates!C:C = H2086), ""{{}}"", E2086), B2086)"),"🏘  L’appartement de vos rêves se trouve sur ImmoScout24.ch ✅ Découvrez les dernières annonces de vente à Orselina.")</f>
        <v>🏘  L’appartement de vos rêves se trouve sur ImmoScout24.ch ✅ Découvrez les dernières annonces de vente à Orselina.</v>
      </c>
      <c r="J2086" s="4" t="s">
        <v>6256</v>
      </c>
    </row>
    <row r="2087">
      <c r="A2087" s="5" t="s">
        <v>6257</v>
      </c>
      <c r="B2087" s="2" t="s">
        <v>6258</v>
      </c>
      <c r="C2087" s="4" t="str">
        <f>IFERROR(__xludf.DUMMYFUNCTION("""🏘️ ""&amp;REGEXEXTRACT(B2087, ""^(.*): "")&amp;"" ✅ "" &amp;REGEXEXTRACT(B2087, ""(Trouvez.*)"")"),"🏘️ Vendre appartement Bellevue ✅ Trouvez le bien immobilier qui correspond idéalement à vos désirs sur ImmoScout24 - La plateforme de l'immobilier en Suisse.")</f>
        <v>🏘️ Vendre appartement Bellevue ✅ Trouvez le bien immobilier qui correspond idéalement à vos désirs sur ImmoScout24 - La plateforme de l'immobilier en Suisse.</v>
      </c>
      <c r="D2087" s="4" t="str">
        <f>vlookup(A2087, Sheet2!D:E, 2, 0)</f>
        <v>variant</v>
      </c>
      <c r="E2087" s="4" t="str">
        <f>IFERROR(__xludf.DUMMYFUNCTION("if(H2087=""pays"",vlookup(REGEXEXTRACT(C2087, ""🏘️ \w+ \w+ (.*) ✅""),'Country prepositions'!A:B, 2, 0) &amp; "" "" &amp; REGEXEXTRACT(C2087, ""🏘️ \w+ \w+ (.*) ✅"") ,  if(H2087=""quartier"",vlookup(REGEXEXTRACT(C2087, ""🏘️ \w+ \w+ (.*) ✅""),'Quartier prepositio"&amp;"ns'!A:E, 5, 0) ,  if(H2087=""region"",vlookup(REGEXEXTRACT(C2087, ""🏘️ \w+ \w+ (.*) ✅""),'Region prepositions'!B:F, 5, 0),  REGEXEXTRACT(C2087, ""🏘️ \w+ \w+ (.*) ✅""))))"),"Bellevue")</f>
        <v>Bellevue</v>
      </c>
      <c r="F2087" s="2" t="str">
        <f>IFERROR(__xludf.DUMMYFUNCTION("REGEXEXTRACT(C2087, ""🏘️ (\w+) \w+ .* ✅"")"),"Vendre")</f>
        <v>Vendre</v>
      </c>
      <c r="G2087" s="2" t="str">
        <f>IFERROR(__xludf.DUMMYFUNCTION("REGEXEXTRACT(C2087, ""🏘️ \w+ (\w+) .* ✅"")"),"appartement")</f>
        <v>appartement</v>
      </c>
      <c r="H2087" s="4" t="str">
        <f>IFERROR(__xludf.DUMMYFUNCTION("REGEXEXTRACT(A2087, ""/(\w+)-.*?"")"),"lieu")</f>
        <v>lieu</v>
      </c>
      <c r="I2087" s="4" t="str">
        <f>IFERROR(__xludf.DUMMYFUNCTION("if(D2087=""variant"",  substitute(filter(Templates!E:E, Templates!A:A = F2087, Templates!B:B = G2087, Templates!C:C = H2087), ""{{}}"", E2087), B2087)"),"🏘  L’appartement de vos rêves se trouve sur ImmoScout24.ch ✅ Découvrez les dernières annonces de vente à Bellevue.")</f>
        <v>🏘  L’appartement de vos rêves se trouve sur ImmoScout24.ch ✅ Découvrez les dernières annonces de vente à Bellevue.</v>
      </c>
      <c r="J2087" s="4" t="s">
        <v>6259</v>
      </c>
    </row>
    <row r="2088">
      <c r="A2088" s="5" t="s">
        <v>6260</v>
      </c>
      <c r="B2088" s="2" t="s">
        <v>6261</v>
      </c>
      <c r="C2088" s="4" t="str">
        <f>IFERROR(__xludf.DUMMYFUNCTION("""🏘️ ""&amp;REGEXEXTRACT(B2088, ""^(.*): "")&amp;"" ✅ "" &amp;REGEXEXTRACT(B2088, ""(Trouvez.*)"")"),"🏘️ Vendre maison Fleurier ✅ Trouvez le bien immobilier qui correspond idéalement à vos désirs sur ImmoScout24 - La plateforme de l'immobilier en Suisse.")</f>
        <v>🏘️ Vendre maison Fleurier ✅ Trouvez le bien immobilier qui correspond idéalement à vos désirs sur ImmoScout24 - La plateforme de l'immobilier en Suisse.</v>
      </c>
      <c r="D2088" s="4" t="str">
        <f>vlookup(A2088, Sheet2!D:E, 2, 0)</f>
        <v>variant</v>
      </c>
      <c r="E2088" s="4" t="str">
        <f>IFERROR(__xludf.DUMMYFUNCTION("if(H2088=""pays"",vlookup(REGEXEXTRACT(C2088, ""🏘️ \w+ \w+ (.*) ✅""),'Country prepositions'!A:B, 2, 0) &amp; "" "" &amp; REGEXEXTRACT(C2088, ""🏘️ \w+ \w+ (.*) ✅"") ,  if(H2088=""quartier"",vlookup(REGEXEXTRACT(C2088, ""🏘️ \w+ \w+ (.*) ✅""),'Quartier prepositio"&amp;"ns'!A:E, 5, 0) ,  if(H2088=""region"",vlookup(REGEXEXTRACT(C2088, ""🏘️ \w+ \w+ (.*) ✅""),'Region prepositions'!B:F, 5, 0),  REGEXEXTRACT(C2088, ""🏘️ \w+ \w+ (.*) ✅""))))"),"Fleurier")</f>
        <v>Fleurier</v>
      </c>
      <c r="F2088" s="2" t="str">
        <f>IFERROR(__xludf.DUMMYFUNCTION("REGEXEXTRACT(C2088, ""🏘️ (\w+) \w+ .* ✅"")"),"Vendre")</f>
        <v>Vendre</v>
      </c>
      <c r="G2088" s="2" t="str">
        <f>IFERROR(__xludf.DUMMYFUNCTION("REGEXEXTRACT(C2088, ""🏘️ \w+ (\w+) .* ✅"")"),"maison")</f>
        <v>maison</v>
      </c>
      <c r="H2088" s="4" t="str">
        <f>IFERROR(__xludf.DUMMYFUNCTION("REGEXEXTRACT(A2088, ""/(\w+)-.*?"")"),"lieu")</f>
        <v>lieu</v>
      </c>
      <c r="I2088" s="4" t="str">
        <f>IFERROR(__xludf.DUMMYFUNCTION("if(D2088=""variant"",  substitute(filter(Templates!E:E, Templates!A:A = F2088, Templates!B:B = G2088, Templates!C:C = H2088), ""{{}}"", E2088), B2088)"),"🏘  Vous souhaitez acheter une maison à Fleurier? ✅ Jetez un œil aux dernières offres sur ImmoScout24.ch.")</f>
        <v>🏘  Vous souhaitez acheter une maison à Fleurier? ✅ Jetez un œil aux dernières offres sur ImmoScout24.ch.</v>
      </c>
      <c r="J2088" s="4" t="s">
        <v>6262</v>
      </c>
    </row>
    <row r="2089">
      <c r="A2089" s="5" t="s">
        <v>6263</v>
      </c>
      <c r="B2089" s="2" t="s">
        <v>6264</v>
      </c>
      <c r="C2089" s="4" t="str">
        <f>IFERROR(__xludf.DUMMYFUNCTION("""🏘️ ""&amp;REGEXEXTRACT(B2089, ""^(.*): "")&amp;"" ✅ "" &amp;REGEXEXTRACT(B2089, ""(Trouvez.*)"")"),"🏘️ Louer maison Sierre ✅ Trouvez le bien immobilier qui correspond idéalement à vos désirs sur ImmoScout24 - La plateforme de l'immobilier en Suisse.")</f>
        <v>🏘️ Louer maison Sierre ✅ Trouvez le bien immobilier qui correspond idéalement à vos désirs sur ImmoScout24 - La plateforme de l'immobilier en Suisse.</v>
      </c>
      <c r="D2089" s="4" t="str">
        <f>vlookup(A2089, Sheet2!D:E, 2, 0)</f>
        <v>variant</v>
      </c>
      <c r="E2089" s="4" t="str">
        <f>IFERROR(__xludf.DUMMYFUNCTION("if(H2089=""pays"",vlookup(REGEXEXTRACT(C2089, ""🏘️ \w+ \w+ (.*) ✅""),'Country prepositions'!A:B, 2, 0) &amp; "" "" &amp; REGEXEXTRACT(C2089, ""🏘️ \w+ \w+ (.*) ✅"") ,  if(H2089=""quartier"",vlookup(REGEXEXTRACT(C2089, ""🏘️ \w+ \w+ (.*) ✅""),'Quartier prepositio"&amp;"ns'!A:E, 5, 0) ,  if(H2089=""region"",vlookup(REGEXEXTRACT(C2089, ""🏘️ \w+ \w+ (.*) ✅""),'Region prepositions'!B:F, 5, 0),  REGEXEXTRACT(C2089, ""🏘️ \w+ \w+ (.*) ✅""))))"),"Sierre")</f>
        <v>Sierre</v>
      </c>
      <c r="F2089" s="2" t="str">
        <f>IFERROR(__xludf.DUMMYFUNCTION("REGEXEXTRACT(C2089, ""🏘️ (\w+) \w+ .* ✅"")"),"Louer")</f>
        <v>Louer</v>
      </c>
      <c r="G2089" s="2" t="str">
        <f>IFERROR(__xludf.DUMMYFUNCTION("REGEXEXTRACT(C2089, ""🏘️ \w+ (\w+) .* ✅"")"),"maison")</f>
        <v>maison</v>
      </c>
      <c r="H2089" s="4" t="str">
        <f>IFERROR(__xludf.DUMMYFUNCTION("REGEXEXTRACT(A2089, ""/(\w+)-.*?"")"),"lieu")</f>
        <v>lieu</v>
      </c>
      <c r="I2089" s="4" t="str">
        <f>IFERROR(__xludf.DUMMYFUNCTION("if(D2089=""variant"",  substitute(filter(Templates!E:E, Templates!A:A = F2089, Templates!B:B = G2089, Templates!C:C = H2089), ""{{}}"", E2089), B2089)"),"🏘  Vous cherchez une maison à louer à Sierre? ✅ Découvrez nos nombreuses annonces sur ImmoScout24.ch.")</f>
        <v>🏘  Vous cherchez une maison à louer à Sierre? ✅ Découvrez nos nombreuses annonces sur ImmoScout24.ch.</v>
      </c>
      <c r="J2089" s="4" t="s">
        <v>6265</v>
      </c>
    </row>
    <row r="2090">
      <c r="A2090" s="5" t="s">
        <v>6266</v>
      </c>
      <c r="B2090" s="2" t="s">
        <v>6267</v>
      </c>
      <c r="C2090" s="4" t="str">
        <f>IFERROR(__xludf.DUMMYFUNCTION("""🏘️ ""&amp;REGEXEXTRACT(B2090, ""^(.*): "")&amp;"" ✅ "" &amp;REGEXEXTRACT(B2090, ""(Trouvez.*)"")"),"🏘️ Vendre maison Châtonnaye ✅ Trouvez le bien immobilier qui correspond idéalement à vos désirs sur ImmoScout24 - La plateforme de l'immobilier en Suisse.")</f>
        <v>🏘️ Vendre maison Châtonnaye ✅ Trouvez le bien immobilier qui correspond idéalement à vos désirs sur ImmoScout24 - La plateforme de l'immobilier en Suisse.</v>
      </c>
      <c r="D2090" s="4" t="str">
        <f>vlookup(A2090, Sheet2!D:E, 2, 0)</f>
        <v>variant</v>
      </c>
      <c r="E2090" s="4" t="str">
        <f>IFERROR(__xludf.DUMMYFUNCTION("if(H2090=""pays"",vlookup(REGEXEXTRACT(C2090, ""🏘️ \w+ \w+ (.*) ✅""),'Country prepositions'!A:B, 2, 0) &amp; "" "" &amp; REGEXEXTRACT(C2090, ""🏘️ \w+ \w+ (.*) ✅"") ,  if(H2090=""quartier"",vlookup(REGEXEXTRACT(C2090, ""🏘️ \w+ \w+ (.*) ✅""),'Quartier prepositio"&amp;"ns'!A:E, 5, 0) ,  if(H2090=""region"",vlookup(REGEXEXTRACT(C2090, ""🏘️ \w+ \w+ (.*) ✅""),'Region prepositions'!B:F, 5, 0),  REGEXEXTRACT(C2090, ""🏘️ \w+ \w+ (.*) ✅""))))"),"Châtonnaye")</f>
        <v>Châtonnaye</v>
      </c>
      <c r="F2090" s="2" t="str">
        <f>IFERROR(__xludf.DUMMYFUNCTION("REGEXEXTRACT(C2090, ""🏘️ (\w+) \w+ .* ✅"")"),"Vendre")</f>
        <v>Vendre</v>
      </c>
      <c r="G2090" s="2" t="str">
        <f>IFERROR(__xludf.DUMMYFUNCTION("REGEXEXTRACT(C2090, ""🏘️ \w+ (\w+) .* ✅"")"),"maison")</f>
        <v>maison</v>
      </c>
      <c r="H2090" s="4" t="str">
        <f>IFERROR(__xludf.DUMMYFUNCTION("REGEXEXTRACT(A2090, ""/(\w+)-.*?"")"),"lieu")</f>
        <v>lieu</v>
      </c>
      <c r="I2090" s="4" t="str">
        <f>IFERROR(__xludf.DUMMYFUNCTION("if(D2090=""variant"",  substitute(filter(Templates!E:E, Templates!A:A = F2090, Templates!B:B = G2090, Templates!C:C = H2090), ""{{}}"", E2090), B2090)"),"🏘  Vous souhaitez acheter une maison à Châtonnaye? ✅ Jetez un œil aux dernières offres sur ImmoScout24.ch.")</f>
        <v>🏘  Vous souhaitez acheter une maison à Châtonnaye? ✅ Jetez un œil aux dernières offres sur ImmoScout24.ch.</v>
      </c>
      <c r="J2090" s="4" t="s">
        <v>6268</v>
      </c>
    </row>
    <row r="2091">
      <c r="A2091" s="5" t="s">
        <v>6269</v>
      </c>
      <c r="B2091" s="2" t="s">
        <v>6270</v>
      </c>
      <c r="C2091" s="4" t="str">
        <f>IFERROR(__xludf.DUMMYFUNCTION("""🏘️ ""&amp;REGEXEXTRACT(B2091, ""^(.*): "")&amp;"" ✅ "" &amp;REGEXEXTRACT(B2091, ""(Trouvez.*)"")"),"🏘️ Louer appartement Cointrin ✅ Trouvez le bien immobilier qui correspond idéalement à vos désirs sur ImmoScout24 - La plateforme de l'immobilier en Suisse.")</f>
        <v>🏘️ Louer appartement Cointrin ✅ Trouvez le bien immobilier qui correspond idéalement à vos désirs sur ImmoScout24 - La plateforme de l'immobilier en Suisse.</v>
      </c>
      <c r="D2091" s="4" t="str">
        <f>vlookup(A2091, Sheet2!D:E, 2, 0)</f>
        <v>variant</v>
      </c>
      <c r="E2091" s="4" t="str">
        <f>IFERROR(__xludf.DUMMYFUNCTION("if(H2091=""pays"",vlookup(REGEXEXTRACT(C2091, ""🏘️ \w+ \w+ (.*) ✅""),'Country prepositions'!A:B, 2, 0) &amp; "" "" &amp; REGEXEXTRACT(C2091, ""🏘️ \w+ \w+ (.*) ✅"") ,  if(H2091=""quartier"",vlookup(REGEXEXTRACT(C2091, ""🏘️ \w+ \w+ (.*) ✅""),'Quartier prepositio"&amp;"ns'!A:E, 5, 0) ,  if(H2091=""region"",vlookup(REGEXEXTRACT(C2091, ""🏘️ \w+ \w+ (.*) ✅""),'Region prepositions'!B:F, 5, 0),  REGEXEXTRACT(C2091, ""🏘️ \w+ \w+ (.*) ✅""))))"),"Cointrin")</f>
        <v>Cointrin</v>
      </c>
      <c r="F2091" s="2" t="str">
        <f>IFERROR(__xludf.DUMMYFUNCTION("REGEXEXTRACT(C2091, ""🏘️ (\w+) \w+ .* ✅"")"),"Louer")</f>
        <v>Louer</v>
      </c>
      <c r="G2091" s="2" t="str">
        <f>IFERROR(__xludf.DUMMYFUNCTION("REGEXEXTRACT(C2091, ""🏘️ \w+ (\w+) .* ✅"")"),"appartement")</f>
        <v>appartement</v>
      </c>
      <c r="H2091" s="4" t="str">
        <f>IFERROR(__xludf.DUMMYFUNCTION("REGEXEXTRACT(A2091, ""/(\w+)-.*?"")"),"lieu")</f>
        <v>lieu</v>
      </c>
      <c r="I2091" s="4" t="str">
        <f>IFERROR(__xludf.DUMMYFUNCTION("if(D2091=""variant"",  substitute(filter(Templates!E:E, Templates!A:A = F2091, Templates!B:B = G2091, Templates!C:C = H2091), ""{{}}"", E2091), B2091)"),"🏘  Vous cherchez un appartement à louer à Cointrin? ✅ Les annonces les plus actuelles sont sur ImmoScout24.ch.")</f>
        <v>🏘  Vous cherchez un appartement à louer à Cointrin? ✅ Les annonces les plus actuelles sont sur ImmoScout24.ch.</v>
      </c>
      <c r="J2091" s="4" t="s">
        <v>6271</v>
      </c>
    </row>
    <row r="2092">
      <c r="A2092" s="5" t="s">
        <v>6272</v>
      </c>
      <c r="B2092" s="2" t="s">
        <v>6273</v>
      </c>
      <c r="C2092" s="4" t="str">
        <f>IFERROR(__xludf.DUMMYFUNCTION("""🏘️ ""&amp;REGEXEXTRACT(B2092, ""^(.*): "")&amp;"" ✅ "" &amp;REGEXEXTRACT(B2092, ""(Trouvez.*)"")"),"🏘️ Louer appartement Moiry VD ✅ Trouvez le bien immobilier qui correspond idéalement à vos désirs sur ImmoScout24 - La plateforme de l'immobilier en Suisse.")</f>
        <v>🏘️ Louer appartement Moiry VD ✅ Trouvez le bien immobilier qui correspond idéalement à vos désirs sur ImmoScout24 - La plateforme de l'immobilier en Suisse.</v>
      </c>
      <c r="D2092" s="4" t="str">
        <f>vlookup(A2092, Sheet2!D:E, 2, 0)</f>
        <v>variant</v>
      </c>
      <c r="E2092" s="4" t="str">
        <f>IFERROR(__xludf.DUMMYFUNCTION("if(H2092=""pays"",vlookup(REGEXEXTRACT(C2092, ""🏘️ \w+ \w+ (.*) ✅""),'Country prepositions'!A:B, 2, 0) &amp; "" "" &amp; REGEXEXTRACT(C2092, ""🏘️ \w+ \w+ (.*) ✅"") ,  if(H2092=""quartier"",vlookup(REGEXEXTRACT(C2092, ""🏘️ \w+ \w+ (.*) ✅""),'Quartier prepositio"&amp;"ns'!A:E, 5, 0) ,  if(H2092=""region"",vlookup(REGEXEXTRACT(C2092, ""🏘️ \w+ \w+ (.*) ✅""),'Region prepositions'!B:F, 5, 0),  REGEXEXTRACT(C2092, ""🏘️ \w+ \w+ (.*) ✅""))))"),"Moiry VD")</f>
        <v>Moiry VD</v>
      </c>
      <c r="F2092" s="2" t="str">
        <f>IFERROR(__xludf.DUMMYFUNCTION("REGEXEXTRACT(C2092, ""🏘️ (\w+) \w+ .* ✅"")"),"Louer")</f>
        <v>Louer</v>
      </c>
      <c r="G2092" s="2" t="str">
        <f>IFERROR(__xludf.DUMMYFUNCTION("REGEXEXTRACT(C2092, ""🏘️ \w+ (\w+) .* ✅"")"),"appartement")</f>
        <v>appartement</v>
      </c>
      <c r="H2092" s="4" t="str">
        <f>IFERROR(__xludf.DUMMYFUNCTION("REGEXEXTRACT(A2092, ""/(\w+)-.*?"")"),"lieu")</f>
        <v>lieu</v>
      </c>
      <c r="I2092" s="4" t="str">
        <f>IFERROR(__xludf.DUMMYFUNCTION("if(D2092=""variant"",  substitute(filter(Templates!E:E, Templates!A:A = F2092, Templates!B:B = G2092, Templates!C:C = H2092), ""{{}}"", E2092), B2092)"),"🏘  Vous cherchez un appartement à louer à Moiry VD? ✅ Les annonces les plus actuelles sont sur ImmoScout24.ch.")</f>
        <v>🏘  Vous cherchez un appartement à louer à Moiry VD? ✅ Les annonces les plus actuelles sont sur ImmoScout24.ch.</v>
      </c>
      <c r="J2092" s="4" t="s">
        <v>6274</v>
      </c>
    </row>
    <row r="2093">
      <c r="A2093" s="5" t="s">
        <v>6275</v>
      </c>
      <c r="B2093" s="2" t="s">
        <v>6276</v>
      </c>
      <c r="C2093" s="4" t="str">
        <f>IFERROR(__xludf.DUMMYFUNCTION("""🏘️ ""&amp;REGEXEXTRACT(B2093, ""^(.*): "")&amp;"" ✅ "" &amp;REGEXEXTRACT(B2093, ""(Trouvez.*)"")"),"🏘️ Louer appartement Mousquines - Bellevue (Lausanne) ✅ Trouvez le bien immobilier qui correspond idéalement à vos désirs sur ImmoScout24 - La plateforme de l'immobilier en Suisse.")</f>
        <v>🏘️ Louer appartement Mousquines - Bellevue (Lausanne) ✅ Trouvez le bien immobilier qui correspond idéalement à vos désirs sur ImmoScout24 - La plateforme de l'immobilier en Suisse.</v>
      </c>
      <c r="D2093" s="4" t="str">
        <f>vlookup(A2093, Sheet2!D:E, 2, 0)</f>
        <v>variant</v>
      </c>
      <c r="E2093" s="4" t="str">
        <f>IFERROR(__xludf.DUMMYFUNCTION("if(H2093=""pays"",vlookup(REGEXEXTRACT(C2093, ""🏘️ \w+ \w+ (.*) ✅""),'Country prepositions'!A:B, 2, 0) &amp; "" "" &amp; REGEXEXTRACT(C2093, ""🏘️ \w+ \w+ (.*) ✅"") ,  if(H2093=""quartier"",vlookup(REGEXEXTRACT(C2093, ""🏘️ \w+ \w+ (.*) ✅""),'Quartier prepositio"&amp;"ns'!A:E, 5, 0) ,  if(H2093=""region"",vlookup(REGEXEXTRACT(C2093, ""🏘️ \w+ \w+ (.*) ✅""),'Region prepositions'!B:F, 5, 0),  REGEXEXTRACT(C2093, ""🏘️ \w+ \w+ (.*) ✅""))))"),"dans le quartier des Mousquines - Bellevue (Lausanne)")</f>
        <v>dans le quartier des Mousquines - Bellevue (Lausanne)</v>
      </c>
      <c r="F2093" s="2" t="str">
        <f>IFERROR(__xludf.DUMMYFUNCTION("REGEXEXTRACT(C2093, ""🏘️ (\w+) \w+ .* ✅"")"),"Louer")</f>
        <v>Louer</v>
      </c>
      <c r="G2093" s="2" t="str">
        <f>IFERROR(__xludf.DUMMYFUNCTION("REGEXEXTRACT(C2093, ""🏘️ \w+ (\w+) .* ✅"")"),"appartement")</f>
        <v>appartement</v>
      </c>
      <c r="H2093" s="4" t="str">
        <f>IFERROR(__xludf.DUMMYFUNCTION("REGEXEXTRACT(A2093, ""/(\w+)-.*?"")"),"quartier")</f>
        <v>quartier</v>
      </c>
      <c r="I2093" s="4" t="str">
        <f>IFERROR(__xludf.DUMMYFUNCTION("if(D2093=""variant"",  substitute(filter(Templates!E:E, Templates!A:A = F2093, Templates!B:B = G2093, Templates!C:C = H2093), ""{{}}"", E2093), B2093)"),"🏘  Vous cherchez un appartement à louer dans le quartier des Mousquines - Bellevue (Lausanne)? ✅ Les annonces les plus actuelles sont sur ImmoScout24.ch.")</f>
        <v>🏘  Vous cherchez un appartement à louer dans le quartier des Mousquines - Bellevue (Lausanne)? ✅ Les annonces les plus actuelles sont sur ImmoScout24.ch.</v>
      </c>
      <c r="J2093" s="4" t="s">
        <v>6277</v>
      </c>
    </row>
    <row r="2094">
      <c r="A2094" s="5" t="s">
        <v>6278</v>
      </c>
      <c r="B2094" s="2" t="s">
        <v>6279</v>
      </c>
      <c r="C2094" s="4" t="str">
        <f>IFERROR(__xludf.DUMMYFUNCTION("""🏘️ ""&amp;REGEXEXTRACT(B2094, ""^(.*): "")&amp;"" ✅ "" &amp;REGEXEXTRACT(B2094, ""(Trouvez.*)"")"),"🏘️ Louer appartement Crémines ✅ Trouvez le bien immobilier qui correspond idéalement à vos désirs sur ImmoScout24 - La plateforme de l'immobilier en Suisse.")</f>
        <v>🏘️ Louer appartement Crémines ✅ Trouvez le bien immobilier qui correspond idéalement à vos désirs sur ImmoScout24 - La plateforme de l'immobilier en Suisse.</v>
      </c>
      <c r="D2094" s="4" t="str">
        <f>vlookup(A2094, Sheet2!D:E, 2, 0)</f>
        <v>variant</v>
      </c>
      <c r="E2094" s="4" t="str">
        <f>IFERROR(__xludf.DUMMYFUNCTION("if(H2094=""pays"",vlookup(REGEXEXTRACT(C2094, ""🏘️ \w+ \w+ (.*) ✅""),'Country prepositions'!A:B, 2, 0) &amp; "" "" &amp; REGEXEXTRACT(C2094, ""🏘️ \w+ \w+ (.*) ✅"") ,  if(H2094=""quartier"",vlookup(REGEXEXTRACT(C2094, ""🏘️ \w+ \w+ (.*) ✅""),'Quartier prepositio"&amp;"ns'!A:E, 5, 0) ,  if(H2094=""region"",vlookup(REGEXEXTRACT(C2094, ""🏘️ \w+ \w+ (.*) ✅""),'Region prepositions'!B:F, 5, 0),  REGEXEXTRACT(C2094, ""🏘️ \w+ \w+ (.*) ✅""))))"),"Crémines")</f>
        <v>Crémines</v>
      </c>
      <c r="F2094" s="2" t="str">
        <f>IFERROR(__xludf.DUMMYFUNCTION("REGEXEXTRACT(C2094, ""🏘️ (\w+) \w+ .* ✅"")"),"Louer")</f>
        <v>Louer</v>
      </c>
      <c r="G2094" s="2" t="str">
        <f>IFERROR(__xludf.DUMMYFUNCTION("REGEXEXTRACT(C2094, ""🏘️ \w+ (\w+) .* ✅"")"),"appartement")</f>
        <v>appartement</v>
      </c>
      <c r="H2094" s="4" t="str">
        <f>IFERROR(__xludf.DUMMYFUNCTION("REGEXEXTRACT(A2094, ""/(\w+)-.*?"")"),"lieu")</f>
        <v>lieu</v>
      </c>
      <c r="I2094" s="4" t="str">
        <f>IFERROR(__xludf.DUMMYFUNCTION("if(D2094=""variant"",  substitute(filter(Templates!E:E, Templates!A:A = F2094, Templates!B:B = G2094, Templates!C:C = H2094), ""{{}}"", E2094), B2094)"),"🏘  Vous cherchez un appartement à louer à Crémines? ✅ Les annonces les plus actuelles sont sur ImmoScout24.ch.")</f>
        <v>🏘  Vous cherchez un appartement à louer à Crémines? ✅ Les annonces les plus actuelles sont sur ImmoScout24.ch.</v>
      </c>
      <c r="J2094" s="4" t="s">
        <v>6280</v>
      </c>
    </row>
    <row r="2095">
      <c r="A2095" s="5" t="s">
        <v>6281</v>
      </c>
      <c r="B2095" s="2" t="s">
        <v>6282</v>
      </c>
      <c r="C2095" s="4" t="str">
        <f>IFERROR(__xludf.DUMMYFUNCTION("""🏘️ ""&amp;REGEXEXTRACT(B2095, ""^(.*): "")&amp;"" ✅ "" &amp;REGEXEXTRACT(B2095, ""(Trouvez.*)"")"),"🏘️ Vendre maison Rovio ✅ Trouvez le bien immobilier qui correspond idéalement à vos désirs sur ImmoScout24 - La plateforme de l'immobilier en Suisse.")</f>
        <v>🏘️ Vendre maison Rovio ✅ Trouvez le bien immobilier qui correspond idéalement à vos désirs sur ImmoScout24 - La plateforme de l'immobilier en Suisse.</v>
      </c>
      <c r="D2095" s="4" t="str">
        <f>vlookup(A2095, Sheet2!D:E, 2, 0)</f>
        <v>variant</v>
      </c>
      <c r="E2095" s="4" t="str">
        <f>IFERROR(__xludf.DUMMYFUNCTION("if(H2095=""pays"",vlookup(REGEXEXTRACT(C2095, ""🏘️ \w+ \w+ (.*) ✅""),'Country prepositions'!A:B, 2, 0) &amp; "" "" &amp; REGEXEXTRACT(C2095, ""🏘️ \w+ \w+ (.*) ✅"") ,  if(H2095=""quartier"",vlookup(REGEXEXTRACT(C2095, ""🏘️ \w+ \w+ (.*) ✅""),'Quartier prepositio"&amp;"ns'!A:E, 5, 0) ,  if(H2095=""region"",vlookup(REGEXEXTRACT(C2095, ""🏘️ \w+ \w+ (.*) ✅""),'Region prepositions'!B:F, 5, 0),  REGEXEXTRACT(C2095, ""🏘️ \w+ \w+ (.*) ✅""))))"),"Rovio")</f>
        <v>Rovio</v>
      </c>
      <c r="F2095" s="2" t="str">
        <f>IFERROR(__xludf.DUMMYFUNCTION("REGEXEXTRACT(C2095, ""🏘️ (\w+) \w+ .* ✅"")"),"Vendre")</f>
        <v>Vendre</v>
      </c>
      <c r="G2095" s="2" t="str">
        <f>IFERROR(__xludf.DUMMYFUNCTION("REGEXEXTRACT(C2095, ""🏘️ \w+ (\w+) .* ✅"")"),"maison")</f>
        <v>maison</v>
      </c>
      <c r="H2095" s="4" t="str">
        <f>IFERROR(__xludf.DUMMYFUNCTION("REGEXEXTRACT(A2095, ""/(\w+)-.*?"")"),"lieu")</f>
        <v>lieu</v>
      </c>
      <c r="I2095" s="4" t="str">
        <f>IFERROR(__xludf.DUMMYFUNCTION("if(D2095=""variant"",  substitute(filter(Templates!E:E, Templates!A:A = F2095, Templates!B:B = G2095, Templates!C:C = H2095), ""{{}}"", E2095), B2095)"),"🏘  Vous souhaitez acheter une maison à Rovio? ✅ Jetez un œil aux dernières offres sur ImmoScout24.ch.")</f>
        <v>🏘  Vous souhaitez acheter une maison à Rovio? ✅ Jetez un œil aux dernières offres sur ImmoScout24.ch.</v>
      </c>
      <c r="J2095" s="4" t="s">
        <v>6283</v>
      </c>
    </row>
    <row r="2096">
      <c r="A2096" s="5" t="s">
        <v>6284</v>
      </c>
      <c r="B2096" s="2" t="s">
        <v>6285</v>
      </c>
      <c r="C2096" s="4" t="str">
        <f>IFERROR(__xludf.DUMMYFUNCTION("""🏘️ ""&amp;REGEXEXTRACT(B2096, ""^(.*): "")&amp;"" ✅ "" &amp;REGEXEXTRACT(B2096, ""(Trouvez.*)"")"),"🏘️ Vendre maison Weggis ✅ Trouvez le bien immobilier qui correspond idéalement à vos désirs sur ImmoScout24 - La plateforme de l'immobilier en Suisse.")</f>
        <v>🏘️ Vendre maison Weggis ✅ Trouvez le bien immobilier qui correspond idéalement à vos désirs sur ImmoScout24 - La plateforme de l'immobilier en Suisse.</v>
      </c>
      <c r="D2096" s="4" t="str">
        <f>vlookup(A2096, Sheet2!D:E, 2, 0)</f>
        <v>variant</v>
      </c>
      <c r="E2096" s="4" t="str">
        <f>IFERROR(__xludf.DUMMYFUNCTION("if(H2096=""pays"",vlookup(REGEXEXTRACT(C2096, ""🏘️ \w+ \w+ (.*) ✅""),'Country prepositions'!A:B, 2, 0) &amp; "" "" &amp; REGEXEXTRACT(C2096, ""🏘️ \w+ \w+ (.*) ✅"") ,  if(H2096=""quartier"",vlookup(REGEXEXTRACT(C2096, ""🏘️ \w+ \w+ (.*) ✅""),'Quartier prepositio"&amp;"ns'!A:E, 5, 0) ,  if(H2096=""region"",vlookup(REGEXEXTRACT(C2096, ""🏘️ \w+ \w+ (.*) ✅""),'Region prepositions'!B:F, 5, 0),  REGEXEXTRACT(C2096, ""🏘️ \w+ \w+ (.*) ✅""))))"),"Weggis")</f>
        <v>Weggis</v>
      </c>
      <c r="F2096" s="2" t="str">
        <f>IFERROR(__xludf.DUMMYFUNCTION("REGEXEXTRACT(C2096, ""🏘️ (\w+) \w+ .* ✅"")"),"Vendre")</f>
        <v>Vendre</v>
      </c>
      <c r="G2096" s="2" t="str">
        <f>IFERROR(__xludf.DUMMYFUNCTION("REGEXEXTRACT(C2096, ""🏘️ \w+ (\w+) .* ✅"")"),"maison")</f>
        <v>maison</v>
      </c>
      <c r="H2096" s="4" t="str">
        <f>IFERROR(__xludf.DUMMYFUNCTION("REGEXEXTRACT(A2096, ""/(\w+)-.*?"")"),"lieu")</f>
        <v>lieu</v>
      </c>
      <c r="I2096" s="4" t="str">
        <f>IFERROR(__xludf.DUMMYFUNCTION("if(D2096=""variant"",  substitute(filter(Templates!E:E, Templates!A:A = F2096, Templates!B:B = G2096, Templates!C:C = H2096), ""{{}}"", E2096), B2096)"),"🏘  Vous souhaitez acheter une maison à Weggis? ✅ Jetez un œil aux dernières offres sur ImmoScout24.ch.")</f>
        <v>🏘  Vous souhaitez acheter une maison à Weggis? ✅ Jetez un œil aux dernières offres sur ImmoScout24.ch.</v>
      </c>
      <c r="J2096" s="4" t="s">
        <v>6286</v>
      </c>
    </row>
    <row r="2097">
      <c r="A2097" s="5" t="s">
        <v>6287</v>
      </c>
      <c r="B2097" s="2" t="s">
        <v>6288</v>
      </c>
      <c r="C2097" s="4" t="str">
        <f>IFERROR(__xludf.DUMMYFUNCTION("""🏘️ ""&amp;REGEXEXTRACT(B2097, ""^(.*): "")&amp;"" ✅ "" &amp;REGEXEXTRACT(B2097, ""(Trouvez.*)"")"),"🏘️ Vendre appartement Aegerten ✅ Trouvez le bien immobilier qui correspond idéalement à vos désirs sur ImmoScout24 - La plateforme de l'immobilier en Suisse.")</f>
        <v>🏘️ Vendre appartement Aegerten ✅ Trouvez le bien immobilier qui correspond idéalement à vos désirs sur ImmoScout24 - La plateforme de l'immobilier en Suisse.</v>
      </c>
      <c r="D2097" s="4" t="str">
        <f>vlookup(A2097, Sheet2!D:E, 2, 0)</f>
        <v>variant</v>
      </c>
      <c r="E2097" s="4" t="str">
        <f>IFERROR(__xludf.DUMMYFUNCTION("if(H2097=""pays"",vlookup(REGEXEXTRACT(C2097, ""🏘️ \w+ \w+ (.*) ✅""),'Country prepositions'!A:B, 2, 0) &amp; "" "" &amp; REGEXEXTRACT(C2097, ""🏘️ \w+ \w+ (.*) ✅"") ,  if(H2097=""quartier"",vlookup(REGEXEXTRACT(C2097, ""🏘️ \w+ \w+ (.*) ✅""),'Quartier prepositio"&amp;"ns'!A:E, 5, 0) ,  if(H2097=""region"",vlookup(REGEXEXTRACT(C2097, ""🏘️ \w+ \w+ (.*) ✅""),'Region prepositions'!B:F, 5, 0),  REGEXEXTRACT(C2097, ""🏘️ \w+ \w+ (.*) ✅""))))"),"Aegerten")</f>
        <v>Aegerten</v>
      </c>
      <c r="F2097" s="2" t="str">
        <f>IFERROR(__xludf.DUMMYFUNCTION("REGEXEXTRACT(C2097, ""🏘️ (\w+) \w+ .* ✅"")"),"Vendre")</f>
        <v>Vendre</v>
      </c>
      <c r="G2097" s="2" t="str">
        <f>IFERROR(__xludf.DUMMYFUNCTION("REGEXEXTRACT(C2097, ""🏘️ \w+ (\w+) .* ✅"")"),"appartement")</f>
        <v>appartement</v>
      </c>
      <c r="H2097" s="4" t="str">
        <f>IFERROR(__xludf.DUMMYFUNCTION("REGEXEXTRACT(A2097, ""/(\w+)-.*?"")"),"lieu")</f>
        <v>lieu</v>
      </c>
      <c r="I2097" s="4" t="str">
        <f>IFERROR(__xludf.DUMMYFUNCTION("if(D2097=""variant"",  substitute(filter(Templates!E:E, Templates!A:A = F2097, Templates!B:B = G2097, Templates!C:C = H2097), ""{{}}"", E2097), B2097)"),"🏘  L’appartement de vos rêves se trouve sur ImmoScout24.ch ✅ Découvrez les dernières annonces de vente à Aegerten.")</f>
        <v>🏘  L’appartement de vos rêves se trouve sur ImmoScout24.ch ✅ Découvrez les dernières annonces de vente à Aegerten.</v>
      </c>
      <c r="J2097" s="4" t="s">
        <v>6289</v>
      </c>
    </row>
    <row r="2098">
      <c r="A2098" s="5" t="s">
        <v>6290</v>
      </c>
      <c r="B2098" s="2" t="s">
        <v>6291</v>
      </c>
      <c r="C2098" s="4" t="str">
        <f>IFERROR(__xludf.DUMMYFUNCTION("""🏘️ ""&amp;REGEXEXTRACT(B2098, ""^(.*): "")&amp;"" ✅ "" &amp;REGEXEXTRACT(B2098, ""(Trouvez.*)"")"),"🏘️ Vendre maison Corbeyrier ✅ Trouvez le bien immobilier qui correspond idéalement à vos désirs sur ImmoScout24 - La plateforme de l'immobilier en Suisse.")</f>
        <v>🏘️ Vendre maison Corbeyrier ✅ Trouvez le bien immobilier qui correspond idéalement à vos désirs sur ImmoScout24 - La plateforme de l'immobilier en Suisse.</v>
      </c>
      <c r="D2098" s="4" t="str">
        <f>vlookup(A2098, Sheet2!D:E, 2, 0)</f>
        <v>variant</v>
      </c>
      <c r="E2098" s="4" t="str">
        <f>IFERROR(__xludf.DUMMYFUNCTION("if(H2098=""pays"",vlookup(REGEXEXTRACT(C2098, ""🏘️ \w+ \w+ (.*) ✅""),'Country prepositions'!A:B, 2, 0) &amp; "" "" &amp; REGEXEXTRACT(C2098, ""🏘️ \w+ \w+ (.*) ✅"") ,  if(H2098=""quartier"",vlookup(REGEXEXTRACT(C2098, ""🏘️ \w+ \w+ (.*) ✅""),'Quartier prepositio"&amp;"ns'!A:E, 5, 0) ,  if(H2098=""region"",vlookup(REGEXEXTRACT(C2098, ""🏘️ \w+ \w+ (.*) ✅""),'Region prepositions'!B:F, 5, 0),  REGEXEXTRACT(C2098, ""🏘️ \w+ \w+ (.*) ✅""))))"),"Corbeyrier")</f>
        <v>Corbeyrier</v>
      </c>
      <c r="F2098" s="2" t="str">
        <f>IFERROR(__xludf.DUMMYFUNCTION("REGEXEXTRACT(C2098, ""🏘️ (\w+) \w+ .* ✅"")"),"Vendre")</f>
        <v>Vendre</v>
      </c>
      <c r="G2098" s="2" t="str">
        <f>IFERROR(__xludf.DUMMYFUNCTION("REGEXEXTRACT(C2098, ""🏘️ \w+ (\w+) .* ✅"")"),"maison")</f>
        <v>maison</v>
      </c>
      <c r="H2098" s="4" t="str">
        <f>IFERROR(__xludf.DUMMYFUNCTION("REGEXEXTRACT(A2098, ""/(\w+)-.*?"")"),"lieu")</f>
        <v>lieu</v>
      </c>
      <c r="I2098" s="4" t="str">
        <f>IFERROR(__xludf.DUMMYFUNCTION("if(D2098=""variant"",  substitute(filter(Templates!E:E, Templates!A:A = F2098, Templates!B:B = G2098, Templates!C:C = H2098), ""{{}}"", E2098), B2098)"),"🏘  Vous souhaitez acheter une maison à Corbeyrier? ✅ Jetez un œil aux dernières offres sur ImmoScout24.ch.")</f>
        <v>🏘  Vous souhaitez acheter une maison à Corbeyrier? ✅ Jetez un œil aux dernières offres sur ImmoScout24.ch.</v>
      </c>
      <c r="J2098" s="4" t="s">
        <v>6292</v>
      </c>
    </row>
    <row r="2099">
      <c r="A2099" s="5" t="s">
        <v>6293</v>
      </c>
      <c r="B2099" s="2" t="s">
        <v>6294</v>
      </c>
      <c r="C2099" s="4" t="str">
        <f>IFERROR(__xludf.DUMMYFUNCTION("""🏘️ ""&amp;REGEXEXTRACT(B2099, ""^(.*): "")&amp;"" ✅ "" &amp;REGEXEXTRACT(B2099, ""(Trouvez.*)"")"),"🏘️ Vendre maison Allaman ✅ Trouvez le bien immobilier qui correspond idéalement à vos désirs sur ImmoScout24 - La plateforme de l'immobilier en Suisse.")</f>
        <v>🏘️ Vendre maison Allaman ✅ Trouvez le bien immobilier qui correspond idéalement à vos désirs sur ImmoScout24 - La plateforme de l'immobilier en Suisse.</v>
      </c>
      <c r="D2099" s="4" t="str">
        <f>vlookup(A2099, Sheet2!D:E, 2, 0)</f>
        <v>variant</v>
      </c>
      <c r="E2099" s="4" t="str">
        <f>IFERROR(__xludf.DUMMYFUNCTION("if(H2099=""pays"",vlookup(REGEXEXTRACT(C2099, ""🏘️ \w+ \w+ (.*) ✅""),'Country prepositions'!A:B, 2, 0) &amp; "" "" &amp; REGEXEXTRACT(C2099, ""🏘️ \w+ \w+ (.*) ✅"") ,  if(H2099=""quartier"",vlookup(REGEXEXTRACT(C2099, ""🏘️ \w+ \w+ (.*) ✅""),'Quartier prepositio"&amp;"ns'!A:E, 5, 0) ,  if(H2099=""region"",vlookup(REGEXEXTRACT(C2099, ""🏘️ \w+ \w+ (.*) ✅""),'Region prepositions'!B:F, 5, 0),  REGEXEXTRACT(C2099, ""🏘️ \w+ \w+ (.*) ✅""))))"),"Allaman")</f>
        <v>Allaman</v>
      </c>
      <c r="F2099" s="2" t="str">
        <f>IFERROR(__xludf.DUMMYFUNCTION("REGEXEXTRACT(C2099, ""🏘️ (\w+) \w+ .* ✅"")"),"Vendre")</f>
        <v>Vendre</v>
      </c>
      <c r="G2099" s="2" t="str">
        <f>IFERROR(__xludf.DUMMYFUNCTION("REGEXEXTRACT(C2099, ""🏘️ \w+ (\w+) .* ✅"")"),"maison")</f>
        <v>maison</v>
      </c>
      <c r="H2099" s="4" t="str">
        <f>IFERROR(__xludf.DUMMYFUNCTION("REGEXEXTRACT(A2099, ""/(\w+)-.*?"")"),"lieu")</f>
        <v>lieu</v>
      </c>
      <c r="I2099" s="4" t="str">
        <f>IFERROR(__xludf.DUMMYFUNCTION("if(D2099=""variant"",  substitute(filter(Templates!E:E, Templates!A:A = F2099, Templates!B:B = G2099, Templates!C:C = H2099), ""{{}}"", E2099), B2099)"),"🏘  Vous souhaitez acheter une maison à Allaman? ✅ Jetez un œil aux dernières offres sur ImmoScout24.ch.")</f>
        <v>🏘  Vous souhaitez acheter une maison à Allaman? ✅ Jetez un œil aux dernières offres sur ImmoScout24.ch.</v>
      </c>
      <c r="J2099" s="4" t="s">
        <v>6295</v>
      </c>
    </row>
    <row r="2100">
      <c r="A2100" s="5" t="s">
        <v>6296</v>
      </c>
      <c r="B2100" s="2" t="s">
        <v>6297</v>
      </c>
      <c r="C2100" s="4" t="str">
        <f>IFERROR(__xludf.DUMMYFUNCTION("""🏘️ ""&amp;REGEXEXTRACT(B2100, ""^(.*): "")&amp;"" ✅ "" &amp;REGEXEXTRACT(B2100, ""(Trouvez.*)"")"),"🏘️ Vendre appartement Mâche (Biel/Bienne) ✅ Trouvez le bien immobilier qui correspond idéalement à vos désirs sur ImmoScout24 - La plateforme de l'immobilier en Suisse.")</f>
        <v>🏘️ Vendre appartement Mâche (Biel/Bienne) ✅ Trouvez le bien immobilier qui correspond idéalement à vos désirs sur ImmoScout24 - La plateforme de l'immobilier en Suisse.</v>
      </c>
      <c r="D2100" s="4" t="str">
        <f>vlookup(A2100, Sheet2!D:E, 2, 0)</f>
        <v>variant</v>
      </c>
      <c r="E2100" s="4" t="str">
        <f>IFERROR(__xludf.DUMMYFUNCTION("if(H2100=""pays"",vlookup(REGEXEXTRACT(C2100, ""🏘️ \w+ \w+ (.*) ✅""),'Country prepositions'!A:B, 2, 0) &amp; "" "" &amp; REGEXEXTRACT(C2100, ""🏘️ \w+ \w+ (.*) ✅"") ,  if(H2100=""quartier"",vlookup(REGEXEXTRACT(C2100, ""🏘️ \w+ \w+ (.*) ✅""),'Quartier prepositio"&amp;"ns'!A:E, 5, 0) ,  if(H2100=""region"",vlookup(REGEXEXTRACT(C2100, ""🏘️ \w+ \w+ (.*) ✅""),'Region prepositions'!B:F, 5, 0),  REGEXEXTRACT(C2100, ""🏘️ \w+ \w+ (.*) ✅""))))"),"dans le quartier de Mâche (Biel/Bienne)")</f>
        <v>dans le quartier de Mâche (Biel/Bienne)</v>
      </c>
      <c r="F2100" s="2" t="str">
        <f>IFERROR(__xludf.DUMMYFUNCTION("REGEXEXTRACT(C2100, ""🏘️ (\w+) \w+ .* ✅"")"),"Vendre")</f>
        <v>Vendre</v>
      </c>
      <c r="G2100" s="2" t="str">
        <f>IFERROR(__xludf.DUMMYFUNCTION("REGEXEXTRACT(C2100, ""🏘️ \w+ (\w+) .* ✅"")"),"appartement")</f>
        <v>appartement</v>
      </c>
      <c r="H2100" s="4" t="str">
        <f>IFERROR(__xludf.DUMMYFUNCTION("REGEXEXTRACT(A2100, ""/(\w+)-.*?"")"),"quartier")</f>
        <v>quartier</v>
      </c>
      <c r="I2100" s="4" t="str">
        <f>IFERROR(__xludf.DUMMYFUNCTION("if(D2100=""variant"",  substitute(filter(Templates!E:E, Templates!A:A = F2100, Templates!B:B = G2100, Templates!C:C = H2100), ""{{}}"", E2100), B2100)"),"🏘  L’appartement de vos rêves se trouve sur ImmoScout24.ch ✅ Découvrez les dernières annonces de vente dans le quartier de Mâche (Biel/Bienne).")</f>
        <v>🏘  L’appartement de vos rêves se trouve sur ImmoScout24.ch ✅ Découvrez les dernières annonces de vente dans le quartier de Mâche (Biel/Bienne).</v>
      </c>
      <c r="J2100" s="4" t="s">
        <v>6298</v>
      </c>
    </row>
    <row r="2101">
      <c r="A2101" s="5" t="s">
        <v>6299</v>
      </c>
      <c r="B2101" s="2" t="s">
        <v>6300</v>
      </c>
      <c r="C2101" s="4" t="str">
        <f>IFERROR(__xludf.DUMMYFUNCTION("""🏘️ ""&amp;REGEXEXTRACT(B2101, ""^(.*): "")&amp;"" ✅ "" &amp;REGEXEXTRACT(B2101, ""(Trouvez.*)"")"),"🏘️ Vendre maison Rifferswil ✅ Trouvez le bien immobilier qui correspond idéalement à vos désirs sur ImmoScout24 - La plateforme de l'immobilier en Suisse.")</f>
        <v>🏘️ Vendre maison Rifferswil ✅ Trouvez le bien immobilier qui correspond idéalement à vos désirs sur ImmoScout24 - La plateforme de l'immobilier en Suisse.</v>
      </c>
      <c r="D2101" s="4" t="str">
        <f>vlookup(A2101, Sheet2!D:E, 2, 0)</f>
        <v>variant</v>
      </c>
      <c r="E2101" s="4" t="str">
        <f>IFERROR(__xludf.DUMMYFUNCTION("if(H2101=""pays"",vlookup(REGEXEXTRACT(C2101, ""🏘️ \w+ \w+ (.*) ✅""),'Country prepositions'!A:B, 2, 0) &amp; "" "" &amp; REGEXEXTRACT(C2101, ""🏘️ \w+ \w+ (.*) ✅"") ,  if(H2101=""quartier"",vlookup(REGEXEXTRACT(C2101, ""🏘️ \w+ \w+ (.*) ✅""),'Quartier prepositio"&amp;"ns'!A:E, 5, 0) ,  if(H2101=""region"",vlookup(REGEXEXTRACT(C2101, ""🏘️ \w+ \w+ (.*) ✅""),'Region prepositions'!B:F, 5, 0),  REGEXEXTRACT(C2101, ""🏘️ \w+ \w+ (.*) ✅""))))"),"Rifferswil")</f>
        <v>Rifferswil</v>
      </c>
      <c r="F2101" s="2" t="str">
        <f>IFERROR(__xludf.DUMMYFUNCTION("REGEXEXTRACT(C2101, ""🏘️ (\w+) \w+ .* ✅"")"),"Vendre")</f>
        <v>Vendre</v>
      </c>
      <c r="G2101" s="2" t="str">
        <f>IFERROR(__xludf.DUMMYFUNCTION("REGEXEXTRACT(C2101, ""🏘️ \w+ (\w+) .* ✅"")"),"maison")</f>
        <v>maison</v>
      </c>
      <c r="H2101" s="4" t="str">
        <f>IFERROR(__xludf.DUMMYFUNCTION("REGEXEXTRACT(A2101, ""/(\w+)-.*?"")"),"lieu")</f>
        <v>lieu</v>
      </c>
      <c r="I2101" s="4" t="str">
        <f>IFERROR(__xludf.DUMMYFUNCTION("if(D2101=""variant"",  substitute(filter(Templates!E:E, Templates!A:A = F2101, Templates!B:B = G2101, Templates!C:C = H2101), ""{{}}"", E2101), B2101)"),"🏘  Vous souhaitez acheter une maison à Rifferswil? ✅ Jetez un œil aux dernières offres sur ImmoScout24.ch.")</f>
        <v>🏘  Vous souhaitez acheter une maison à Rifferswil? ✅ Jetez un œil aux dernières offres sur ImmoScout24.ch.</v>
      </c>
      <c r="J2101" s="4" t="s">
        <v>6301</v>
      </c>
    </row>
    <row r="2102">
      <c r="A2102" s="5" t="s">
        <v>6302</v>
      </c>
      <c r="B2102" s="2" t="s">
        <v>6303</v>
      </c>
      <c r="C2102" s="4" t="str">
        <f>IFERROR(__xludf.DUMMYFUNCTION("""🏘️ ""&amp;REGEXEXTRACT(B2102, ""^(.*): "")&amp;"" ✅ "" &amp;REGEXEXTRACT(B2102, ""(Trouvez.*)"")"),"🏘️ Vendre maison Muralto ✅ Trouvez le bien immobilier qui correspond idéalement à vos désirs sur ImmoScout24 - La plateforme de l'immobilier en Suisse.")</f>
        <v>🏘️ Vendre maison Muralto ✅ Trouvez le bien immobilier qui correspond idéalement à vos désirs sur ImmoScout24 - La plateforme de l'immobilier en Suisse.</v>
      </c>
      <c r="D2102" s="4" t="str">
        <f>vlookup(A2102, Sheet2!D:E, 2, 0)</f>
        <v>variant</v>
      </c>
      <c r="E2102" s="4" t="str">
        <f>IFERROR(__xludf.DUMMYFUNCTION("if(H2102=""pays"",vlookup(REGEXEXTRACT(C2102, ""🏘️ \w+ \w+ (.*) ✅""),'Country prepositions'!A:B, 2, 0) &amp; "" "" &amp; REGEXEXTRACT(C2102, ""🏘️ \w+ \w+ (.*) ✅"") ,  if(H2102=""quartier"",vlookup(REGEXEXTRACT(C2102, ""🏘️ \w+ \w+ (.*) ✅""),'Quartier prepositio"&amp;"ns'!A:E, 5, 0) ,  if(H2102=""region"",vlookup(REGEXEXTRACT(C2102, ""🏘️ \w+ \w+ (.*) ✅""),'Region prepositions'!B:F, 5, 0),  REGEXEXTRACT(C2102, ""🏘️ \w+ \w+ (.*) ✅""))))"),"Muralto")</f>
        <v>Muralto</v>
      </c>
      <c r="F2102" s="2" t="str">
        <f>IFERROR(__xludf.DUMMYFUNCTION("REGEXEXTRACT(C2102, ""🏘️ (\w+) \w+ .* ✅"")"),"Vendre")</f>
        <v>Vendre</v>
      </c>
      <c r="G2102" s="2" t="str">
        <f>IFERROR(__xludf.DUMMYFUNCTION("REGEXEXTRACT(C2102, ""🏘️ \w+ (\w+) .* ✅"")"),"maison")</f>
        <v>maison</v>
      </c>
      <c r="H2102" s="4" t="str">
        <f>IFERROR(__xludf.DUMMYFUNCTION("REGEXEXTRACT(A2102, ""/(\w+)-.*?"")"),"lieu")</f>
        <v>lieu</v>
      </c>
      <c r="I2102" s="4" t="str">
        <f>IFERROR(__xludf.DUMMYFUNCTION("if(D2102=""variant"",  substitute(filter(Templates!E:E, Templates!A:A = F2102, Templates!B:B = G2102, Templates!C:C = H2102), ""{{}}"", E2102), B2102)"),"🏘  Vous souhaitez acheter une maison à Muralto? ✅ Jetez un œil aux dernières offres sur ImmoScout24.ch.")</f>
        <v>🏘  Vous souhaitez acheter une maison à Muralto? ✅ Jetez un œil aux dernières offres sur ImmoScout24.ch.</v>
      </c>
      <c r="J2102" s="4" t="s">
        <v>6304</v>
      </c>
    </row>
    <row r="2103">
      <c r="A2103" s="5" t="s">
        <v>6305</v>
      </c>
      <c r="B2103" s="2" t="s">
        <v>6306</v>
      </c>
      <c r="C2103" s="4" t="str">
        <f>IFERROR(__xludf.DUMMYFUNCTION("""🏘️ ""&amp;REGEXEXTRACT(B2103, ""^(.*): "")&amp;"" ✅ "" &amp;REGEXEXTRACT(B2103, ""(Trouvez.*)"")"),"🏘️ Louer appartement Gundeldingen (Bâle) ✅ Trouvez le bien immobilier qui correspond idéalement à vos désirs sur ImmoScout24 - La plateforme de l'immobilier en Suisse.")</f>
        <v>🏘️ Louer appartement Gundeldingen (Bâle) ✅ Trouvez le bien immobilier qui correspond idéalement à vos désirs sur ImmoScout24 - La plateforme de l'immobilier en Suisse.</v>
      </c>
      <c r="D2103" s="4" t="str">
        <f>vlookup(A2103, Sheet2!D:E, 2, 0)</f>
        <v>variant</v>
      </c>
      <c r="E2103" s="4" t="str">
        <f>IFERROR(__xludf.DUMMYFUNCTION("if(H2103=""pays"",vlookup(REGEXEXTRACT(C2103, ""🏘️ \w+ \w+ (.*) ✅""),'Country prepositions'!A:B, 2, 0) &amp; "" "" &amp; REGEXEXTRACT(C2103, ""🏘️ \w+ \w+ (.*) ✅"") ,  if(H2103=""quartier"",vlookup(REGEXEXTRACT(C2103, ""🏘️ \w+ \w+ (.*) ✅""),'Quartier prepositio"&amp;"ns'!A:E, 5, 0) ,  if(H2103=""region"",vlookup(REGEXEXTRACT(C2103, ""🏘️ \w+ \w+ (.*) ✅""),'Region prepositions'!B:F, 5, 0),  REGEXEXTRACT(C2103, ""🏘️ \w+ \w+ (.*) ✅""))))"),"dans le quartier de Gundeldingen (Bâle)")</f>
        <v>dans le quartier de Gundeldingen (Bâle)</v>
      </c>
      <c r="F2103" s="2" t="str">
        <f>IFERROR(__xludf.DUMMYFUNCTION("REGEXEXTRACT(C2103, ""🏘️ (\w+) \w+ .* ✅"")"),"Louer")</f>
        <v>Louer</v>
      </c>
      <c r="G2103" s="2" t="str">
        <f>IFERROR(__xludf.DUMMYFUNCTION("REGEXEXTRACT(C2103, ""🏘️ \w+ (\w+) .* ✅"")"),"appartement")</f>
        <v>appartement</v>
      </c>
      <c r="H2103" s="4" t="str">
        <f>IFERROR(__xludf.DUMMYFUNCTION("REGEXEXTRACT(A2103, ""/(\w+)-.*?"")"),"quartier")</f>
        <v>quartier</v>
      </c>
      <c r="I2103" s="4" t="str">
        <f>IFERROR(__xludf.DUMMYFUNCTION("if(D2103=""variant"",  substitute(filter(Templates!E:E, Templates!A:A = F2103, Templates!B:B = G2103, Templates!C:C = H2103), ""{{}}"", E2103), B2103)"),"🏘  Vous cherchez un appartement à louer dans le quartier de Gundeldingen (Bâle)? ✅ Les annonces les plus actuelles sont sur ImmoScout24.ch.")</f>
        <v>🏘  Vous cherchez un appartement à louer dans le quartier de Gundeldingen (Bâle)? ✅ Les annonces les plus actuelles sont sur ImmoScout24.ch.</v>
      </c>
      <c r="J2103" s="4" t="s">
        <v>6307</v>
      </c>
    </row>
    <row r="2104">
      <c r="A2104" s="5" t="s">
        <v>6308</v>
      </c>
      <c r="B2104" s="2" t="s">
        <v>6309</v>
      </c>
      <c r="C2104" s="4" t="str">
        <f>IFERROR(__xludf.DUMMYFUNCTION("""🏘️ ""&amp;REGEXEXTRACT(B2104, ""^(.*): "")&amp;"" ✅ "" &amp;REGEXEXTRACT(B2104, ""(Trouvez.*)"")"),"🏘️ Louer appartement Randa ✅ Trouvez le bien immobilier qui correspond idéalement à vos désirs sur ImmoScout24 - La plateforme de l'immobilier en Suisse.")</f>
        <v>🏘️ Louer appartement Randa ✅ Trouvez le bien immobilier qui correspond idéalement à vos désirs sur ImmoScout24 - La plateforme de l'immobilier en Suisse.</v>
      </c>
      <c r="D2104" s="4" t="str">
        <f>vlookup(A2104, Sheet2!D:E, 2, 0)</f>
        <v>variant</v>
      </c>
      <c r="E2104" s="4" t="str">
        <f>IFERROR(__xludf.DUMMYFUNCTION("if(H2104=""pays"",vlookup(REGEXEXTRACT(C2104, ""🏘️ \w+ \w+ (.*) ✅""),'Country prepositions'!A:B, 2, 0) &amp; "" "" &amp; REGEXEXTRACT(C2104, ""🏘️ \w+ \w+ (.*) ✅"") ,  if(H2104=""quartier"",vlookup(REGEXEXTRACT(C2104, ""🏘️ \w+ \w+ (.*) ✅""),'Quartier prepositio"&amp;"ns'!A:E, 5, 0) ,  if(H2104=""region"",vlookup(REGEXEXTRACT(C2104, ""🏘️ \w+ \w+ (.*) ✅""),'Region prepositions'!B:F, 5, 0),  REGEXEXTRACT(C2104, ""🏘️ \w+ \w+ (.*) ✅""))))"),"Randa")</f>
        <v>Randa</v>
      </c>
      <c r="F2104" s="2" t="str">
        <f>IFERROR(__xludf.DUMMYFUNCTION("REGEXEXTRACT(C2104, ""🏘️ (\w+) \w+ .* ✅"")"),"Louer")</f>
        <v>Louer</v>
      </c>
      <c r="G2104" s="2" t="str">
        <f>IFERROR(__xludf.DUMMYFUNCTION("REGEXEXTRACT(C2104, ""🏘️ \w+ (\w+) .* ✅"")"),"appartement")</f>
        <v>appartement</v>
      </c>
      <c r="H2104" s="4" t="str">
        <f>IFERROR(__xludf.DUMMYFUNCTION("REGEXEXTRACT(A2104, ""/(\w+)-.*?"")"),"lieu")</f>
        <v>lieu</v>
      </c>
      <c r="I2104" s="4" t="str">
        <f>IFERROR(__xludf.DUMMYFUNCTION("if(D2104=""variant"",  substitute(filter(Templates!E:E, Templates!A:A = F2104, Templates!B:B = G2104, Templates!C:C = H2104), ""{{}}"", E2104), B2104)"),"🏘  Vous cherchez un appartement à louer à Randa? ✅ Les annonces les plus actuelles sont sur ImmoScout24.ch.")</f>
        <v>🏘  Vous cherchez un appartement à louer à Randa? ✅ Les annonces les plus actuelles sont sur ImmoScout24.ch.</v>
      </c>
      <c r="J2104" s="4" t="s">
        <v>6310</v>
      </c>
    </row>
    <row r="2105">
      <c r="A2105" s="5" t="s">
        <v>6311</v>
      </c>
      <c r="B2105" s="2" t="s">
        <v>6312</v>
      </c>
      <c r="C2105" s="4" t="str">
        <f>IFERROR(__xludf.DUMMYFUNCTION("""🏘️ ""&amp;REGEXEXTRACT(B2105, ""^(.*): "")&amp;"" ✅ "" &amp;REGEXEXTRACT(B2105, ""(Trouvez.*)"")"),"🏘️ Louer appartement Unterbäch VS ✅ Trouvez le bien immobilier qui correspond idéalement à vos désirs sur ImmoScout24 - La plateforme de l'immobilier en Suisse.")</f>
        <v>🏘️ Louer appartement Unterbäch VS ✅ Trouvez le bien immobilier qui correspond idéalement à vos désirs sur ImmoScout24 - La plateforme de l'immobilier en Suisse.</v>
      </c>
      <c r="D2105" s="4" t="str">
        <f>vlookup(A2105, Sheet2!D:E, 2, 0)</f>
        <v>variant</v>
      </c>
      <c r="E2105" s="4" t="str">
        <f>IFERROR(__xludf.DUMMYFUNCTION("if(H2105=""pays"",vlookup(REGEXEXTRACT(C2105, ""🏘️ \w+ \w+ (.*) ✅""),'Country prepositions'!A:B, 2, 0) &amp; "" "" &amp; REGEXEXTRACT(C2105, ""🏘️ \w+ \w+ (.*) ✅"") ,  if(H2105=""quartier"",vlookup(REGEXEXTRACT(C2105, ""🏘️ \w+ \w+ (.*) ✅""),'Quartier prepositio"&amp;"ns'!A:E, 5, 0) ,  if(H2105=""region"",vlookup(REGEXEXTRACT(C2105, ""🏘️ \w+ \w+ (.*) ✅""),'Region prepositions'!B:F, 5, 0),  REGEXEXTRACT(C2105, ""🏘️ \w+ \w+ (.*) ✅""))))"),"Unterbäch VS")</f>
        <v>Unterbäch VS</v>
      </c>
      <c r="F2105" s="2" t="str">
        <f>IFERROR(__xludf.DUMMYFUNCTION("REGEXEXTRACT(C2105, ""🏘️ (\w+) \w+ .* ✅"")"),"Louer")</f>
        <v>Louer</v>
      </c>
      <c r="G2105" s="2" t="str">
        <f>IFERROR(__xludf.DUMMYFUNCTION("REGEXEXTRACT(C2105, ""🏘️ \w+ (\w+) .* ✅"")"),"appartement")</f>
        <v>appartement</v>
      </c>
      <c r="H2105" s="4" t="str">
        <f>IFERROR(__xludf.DUMMYFUNCTION("REGEXEXTRACT(A2105, ""/(\w+)-.*?"")"),"lieu")</f>
        <v>lieu</v>
      </c>
      <c r="I2105" s="4" t="str">
        <f>IFERROR(__xludf.DUMMYFUNCTION("if(D2105=""variant"",  substitute(filter(Templates!E:E, Templates!A:A = F2105, Templates!B:B = G2105, Templates!C:C = H2105), ""{{}}"", E2105), B2105)"),"🏘  Vous cherchez un appartement à louer à Unterbäch VS? ✅ Les annonces les plus actuelles sont sur ImmoScout24.ch.")</f>
        <v>🏘  Vous cherchez un appartement à louer à Unterbäch VS? ✅ Les annonces les plus actuelles sont sur ImmoScout24.ch.</v>
      </c>
      <c r="J2105" s="4" t="s">
        <v>6313</v>
      </c>
    </row>
    <row r="2106">
      <c r="A2106" s="5" t="s">
        <v>6314</v>
      </c>
      <c r="B2106" s="2" t="s">
        <v>6315</v>
      </c>
      <c r="C2106" s="4" t="str">
        <f>IFERROR(__xludf.DUMMYFUNCTION("""🏘️ ""&amp;REGEXEXTRACT(B2106, ""^(.*): "")&amp;"" ✅ "" &amp;REGEXEXTRACT(B2106, ""(Trouvez.*)"")"),"🏘️ Vendre maison Cugy FR ✅ Trouvez le bien immobilier qui correspond idéalement à vos désirs sur ImmoScout24 - La plateforme de l'immobilier en Suisse.")</f>
        <v>🏘️ Vendre maison Cugy FR ✅ Trouvez le bien immobilier qui correspond idéalement à vos désirs sur ImmoScout24 - La plateforme de l'immobilier en Suisse.</v>
      </c>
      <c r="D2106" s="4" t="str">
        <f>vlookup(A2106, Sheet2!D:E, 2, 0)</f>
        <v>variant</v>
      </c>
      <c r="E2106" s="4" t="str">
        <f>IFERROR(__xludf.DUMMYFUNCTION("if(H2106=""pays"",vlookup(REGEXEXTRACT(C2106, ""🏘️ \w+ \w+ (.*) ✅""),'Country prepositions'!A:B, 2, 0) &amp; "" "" &amp; REGEXEXTRACT(C2106, ""🏘️ \w+ \w+ (.*) ✅"") ,  if(H2106=""quartier"",vlookup(REGEXEXTRACT(C2106, ""🏘️ \w+ \w+ (.*) ✅""),'Quartier prepositio"&amp;"ns'!A:E, 5, 0) ,  if(H2106=""region"",vlookup(REGEXEXTRACT(C2106, ""🏘️ \w+ \w+ (.*) ✅""),'Region prepositions'!B:F, 5, 0),  REGEXEXTRACT(C2106, ""🏘️ \w+ \w+ (.*) ✅""))))"),"Cugy FR")</f>
        <v>Cugy FR</v>
      </c>
      <c r="F2106" s="2" t="str">
        <f>IFERROR(__xludf.DUMMYFUNCTION("REGEXEXTRACT(C2106, ""🏘️ (\w+) \w+ .* ✅"")"),"Vendre")</f>
        <v>Vendre</v>
      </c>
      <c r="G2106" s="2" t="str">
        <f>IFERROR(__xludf.DUMMYFUNCTION("REGEXEXTRACT(C2106, ""🏘️ \w+ (\w+) .* ✅"")"),"maison")</f>
        <v>maison</v>
      </c>
      <c r="H2106" s="4" t="str">
        <f>IFERROR(__xludf.DUMMYFUNCTION("REGEXEXTRACT(A2106, ""/(\w+)-.*?"")"),"lieu")</f>
        <v>lieu</v>
      </c>
      <c r="I2106" s="4" t="str">
        <f>IFERROR(__xludf.DUMMYFUNCTION("if(D2106=""variant"",  substitute(filter(Templates!E:E, Templates!A:A = F2106, Templates!B:B = G2106, Templates!C:C = H2106), ""{{}}"", E2106), B2106)"),"🏘  Vous souhaitez acheter une maison à Cugy FR? ✅ Jetez un œil aux dernières offres sur ImmoScout24.ch.")</f>
        <v>🏘  Vous souhaitez acheter une maison à Cugy FR? ✅ Jetez un œil aux dernières offres sur ImmoScout24.ch.</v>
      </c>
      <c r="J2106" s="4" t="s">
        <v>6316</v>
      </c>
    </row>
    <row r="2107">
      <c r="A2107" s="5" t="s">
        <v>6317</v>
      </c>
      <c r="B2107" s="2" t="s">
        <v>6318</v>
      </c>
      <c r="C2107" s="4" t="str">
        <f>IFERROR(__xludf.DUMMYFUNCTION("""🏘️ ""&amp;REGEXEXTRACT(B2107, ""^(.*): "")&amp;"" ✅ "" &amp;REGEXEXTRACT(B2107, ""(Trouvez.*)"")"),"🏘️ Vendre maison Peseux ✅ Trouvez le bien immobilier qui correspond idéalement à vos désirs sur ImmoScout24 - La plateforme de l'immobilier en Suisse.")</f>
        <v>🏘️ Vendre maison Peseux ✅ Trouvez le bien immobilier qui correspond idéalement à vos désirs sur ImmoScout24 - La plateforme de l'immobilier en Suisse.</v>
      </c>
      <c r="D2107" s="4" t="str">
        <f>vlookup(A2107, Sheet2!D:E, 2, 0)</f>
        <v>variant</v>
      </c>
      <c r="E2107" s="4" t="str">
        <f>IFERROR(__xludf.DUMMYFUNCTION("if(H2107=""pays"",vlookup(REGEXEXTRACT(C2107, ""🏘️ \w+ \w+ (.*) ✅""),'Country prepositions'!A:B, 2, 0) &amp; "" "" &amp; REGEXEXTRACT(C2107, ""🏘️ \w+ \w+ (.*) ✅"") ,  if(H2107=""quartier"",vlookup(REGEXEXTRACT(C2107, ""🏘️ \w+ \w+ (.*) ✅""),'Quartier prepositio"&amp;"ns'!A:E, 5, 0) ,  if(H2107=""region"",vlookup(REGEXEXTRACT(C2107, ""🏘️ \w+ \w+ (.*) ✅""),'Region prepositions'!B:F, 5, 0),  REGEXEXTRACT(C2107, ""🏘️ \w+ \w+ (.*) ✅""))))"),"Peseux")</f>
        <v>Peseux</v>
      </c>
      <c r="F2107" s="2" t="str">
        <f>IFERROR(__xludf.DUMMYFUNCTION("REGEXEXTRACT(C2107, ""🏘️ (\w+) \w+ .* ✅"")"),"Vendre")</f>
        <v>Vendre</v>
      </c>
      <c r="G2107" s="2" t="str">
        <f>IFERROR(__xludf.DUMMYFUNCTION("REGEXEXTRACT(C2107, ""🏘️ \w+ (\w+) .* ✅"")"),"maison")</f>
        <v>maison</v>
      </c>
      <c r="H2107" s="4" t="str">
        <f>IFERROR(__xludf.DUMMYFUNCTION("REGEXEXTRACT(A2107, ""/(\w+)-.*?"")"),"lieu")</f>
        <v>lieu</v>
      </c>
      <c r="I2107" s="4" t="str">
        <f>IFERROR(__xludf.DUMMYFUNCTION("if(D2107=""variant"",  substitute(filter(Templates!E:E, Templates!A:A = F2107, Templates!B:B = G2107, Templates!C:C = H2107), ""{{}}"", E2107), B2107)"),"🏘  Vous souhaitez acheter une maison à Peseux? ✅ Jetez un œil aux dernières offres sur ImmoScout24.ch.")</f>
        <v>🏘  Vous souhaitez acheter une maison à Peseux? ✅ Jetez un œil aux dernières offres sur ImmoScout24.ch.</v>
      </c>
      <c r="J2107" s="4" t="s">
        <v>6319</v>
      </c>
    </row>
    <row r="2108">
      <c r="A2108" s="5" t="s">
        <v>6320</v>
      </c>
      <c r="B2108" s="2" t="s">
        <v>6321</v>
      </c>
      <c r="C2108" s="4" t="str">
        <f>IFERROR(__xludf.DUMMYFUNCTION("""🏘️ ""&amp;REGEXEXTRACT(B2108, ""^(.*): "")&amp;"" ✅ "" &amp;REGEXEXTRACT(B2108, ""(Trouvez.*)"")"),"🏘️ Louer appartement Vallon ✅ Trouvez le bien immobilier qui correspond idéalement à vos désirs sur ImmoScout24 - La plateforme de l'immobilier en Suisse.")</f>
        <v>🏘️ Louer appartement Vallon ✅ Trouvez le bien immobilier qui correspond idéalement à vos désirs sur ImmoScout24 - La plateforme de l'immobilier en Suisse.</v>
      </c>
      <c r="D2108" s="4" t="str">
        <f>vlookup(A2108, Sheet2!D:E, 2, 0)</f>
        <v>variant</v>
      </c>
      <c r="E2108" s="4" t="str">
        <f>IFERROR(__xludf.DUMMYFUNCTION("if(H2108=""pays"",vlookup(REGEXEXTRACT(C2108, ""🏘️ \w+ \w+ (.*) ✅""),'Country prepositions'!A:B, 2, 0) &amp; "" "" &amp; REGEXEXTRACT(C2108, ""🏘️ \w+ \w+ (.*) ✅"") ,  if(H2108=""quartier"",vlookup(REGEXEXTRACT(C2108, ""🏘️ \w+ \w+ (.*) ✅""),'Quartier prepositio"&amp;"ns'!A:E, 5, 0) ,  if(H2108=""region"",vlookup(REGEXEXTRACT(C2108, ""🏘️ \w+ \w+ (.*) ✅""),'Region prepositions'!B:F, 5, 0),  REGEXEXTRACT(C2108, ""🏘️ \w+ \w+ (.*) ✅""))))"),"Vallon")</f>
        <v>Vallon</v>
      </c>
      <c r="F2108" s="2" t="str">
        <f>IFERROR(__xludf.DUMMYFUNCTION("REGEXEXTRACT(C2108, ""🏘️ (\w+) \w+ .* ✅"")"),"Louer")</f>
        <v>Louer</v>
      </c>
      <c r="G2108" s="2" t="str">
        <f>IFERROR(__xludf.DUMMYFUNCTION("REGEXEXTRACT(C2108, ""🏘️ \w+ (\w+) .* ✅"")"),"appartement")</f>
        <v>appartement</v>
      </c>
      <c r="H2108" s="4" t="str">
        <f>IFERROR(__xludf.DUMMYFUNCTION("REGEXEXTRACT(A2108, ""/(\w+)-.*?"")"),"lieu")</f>
        <v>lieu</v>
      </c>
      <c r="I2108" s="4" t="str">
        <f>IFERROR(__xludf.DUMMYFUNCTION("if(D2108=""variant"",  substitute(filter(Templates!E:E, Templates!A:A = F2108, Templates!B:B = G2108, Templates!C:C = H2108), ""{{}}"", E2108), B2108)"),"🏘  Vous cherchez un appartement à louer à Vallon? ✅ Les annonces les plus actuelles sont sur ImmoScout24.ch.")</f>
        <v>🏘  Vous cherchez un appartement à louer à Vallon? ✅ Les annonces les plus actuelles sont sur ImmoScout24.ch.</v>
      </c>
      <c r="J2108" s="4" t="s">
        <v>6322</v>
      </c>
    </row>
    <row r="2109">
      <c r="A2109" s="5" t="s">
        <v>6323</v>
      </c>
      <c r="B2109" s="2" t="s">
        <v>6324</v>
      </c>
      <c r="C2109" s="4" t="str">
        <f>IFERROR(__xludf.DUMMYFUNCTION("""🏘️ ""&amp;REGEXEXTRACT(B2109, ""^(.*): "")&amp;"" ✅ "" &amp;REGEXEXTRACT(B2109, ""(Trouvez.*)"")"),"🏘️ Vendre maison Hauteville ✅ Trouvez le bien immobilier qui correspond idéalement à vos désirs sur ImmoScout24 - La plateforme de l'immobilier en Suisse.")</f>
        <v>🏘️ Vendre maison Hauteville ✅ Trouvez le bien immobilier qui correspond idéalement à vos désirs sur ImmoScout24 - La plateforme de l'immobilier en Suisse.</v>
      </c>
      <c r="D2109" s="4" t="str">
        <f>vlookup(A2109, Sheet2!D:E, 2, 0)</f>
        <v>variant</v>
      </c>
      <c r="E2109" s="4" t="str">
        <f>IFERROR(__xludf.DUMMYFUNCTION("if(H2109=""pays"",vlookup(REGEXEXTRACT(C2109, ""🏘️ \w+ \w+ (.*) ✅""),'Country prepositions'!A:B, 2, 0) &amp; "" "" &amp; REGEXEXTRACT(C2109, ""🏘️ \w+ \w+ (.*) ✅"") ,  if(H2109=""quartier"",vlookup(REGEXEXTRACT(C2109, ""🏘️ \w+ \w+ (.*) ✅""),'Quartier prepositio"&amp;"ns'!A:E, 5, 0) ,  if(H2109=""region"",vlookup(REGEXEXTRACT(C2109, ""🏘️ \w+ \w+ (.*) ✅""),'Region prepositions'!B:F, 5, 0),  REGEXEXTRACT(C2109, ""🏘️ \w+ \w+ (.*) ✅""))))"),"Hauteville")</f>
        <v>Hauteville</v>
      </c>
      <c r="F2109" s="2" t="str">
        <f>IFERROR(__xludf.DUMMYFUNCTION("REGEXEXTRACT(C2109, ""🏘️ (\w+) \w+ .* ✅"")"),"Vendre")</f>
        <v>Vendre</v>
      </c>
      <c r="G2109" s="2" t="str">
        <f>IFERROR(__xludf.DUMMYFUNCTION("REGEXEXTRACT(C2109, ""🏘️ \w+ (\w+) .* ✅"")"),"maison")</f>
        <v>maison</v>
      </c>
      <c r="H2109" s="4" t="str">
        <f>IFERROR(__xludf.DUMMYFUNCTION("REGEXEXTRACT(A2109, ""/(\w+)-.*?"")"),"lieu")</f>
        <v>lieu</v>
      </c>
      <c r="I2109" s="4" t="str">
        <f>IFERROR(__xludf.DUMMYFUNCTION("if(D2109=""variant"",  substitute(filter(Templates!E:E, Templates!A:A = F2109, Templates!B:B = G2109, Templates!C:C = H2109), ""{{}}"", E2109), B2109)"),"🏘  Vous souhaitez acheter une maison à Hauteville? ✅ Jetez un œil aux dernières offres sur ImmoScout24.ch.")</f>
        <v>🏘  Vous souhaitez acheter une maison à Hauteville? ✅ Jetez un œil aux dernières offres sur ImmoScout24.ch.</v>
      </c>
      <c r="J2109" s="4" t="s">
        <v>6325</v>
      </c>
    </row>
    <row r="2110">
      <c r="A2110" s="5" t="s">
        <v>6326</v>
      </c>
      <c r="B2110" s="2" t="s">
        <v>6327</v>
      </c>
      <c r="C2110" s="4" t="str">
        <f>IFERROR(__xludf.DUMMYFUNCTION("""🏘️ ""&amp;REGEXEXTRACT(B2110, ""^(.*): "")&amp;"" ✅ "" &amp;REGEXEXTRACT(B2110, ""(Trouvez.*)"")"),"🏘️ Vendre maison Chevroux ✅ Trouvez le bien immobilier qui correspond idéalement à vos désirs sur ImmoScout24 - La plateforme de l'immobilier en Suisse.")</f>
        <v>🏘️ Vendre maison Chevroux ✅ Trouvez le bien immobilier qui correspond idéalement à vos désirs sur ImmoScout24 - La plateforme de l'immobilier en Suisse.</v>
      </c>
      <c r="D2110" s="4" t="str">
        <f>vlookup(A2110, Sheet2!D:E, 2, 0)</f>
        <v>variant</v>
      </c>
      <c r="E2110" s="4" t="str">
        <f>IFERROR(__xludf.DUMMYFUNCTION("if(H2110=""pays"",vlookup(REGEXEXTRACT(C2110, ""🏘️ \w+ \w+ (.*) ✅""),'Country prepositions'!A:B, 2, 0) &amp; "" "" &amp; REGEXEXTRACT(C2110, ""🏘️ \w+ \w+ (.*) ✅"") ,  if(H2110=""quartier"",vlookup(REGEXEXTRACT(C2110, ""🏘️ \w+ \w+ (.*) ✅""),'Quartier prepositio"&amp;"ns'!A:E, 5, 0) ,  if(H2110=""region"",vlookup(REGEXEXTRACT(C2110, ""🏘️ \w+ \w+ (.*) ✅""),'Region prepositions'!B:F, 5, 0),  REGEXEXTRACT(C2110, ""🏘️ \w+ \w+ (.*) ✅""))))"),"Chevroux")</f>
        <v>Chevroux</v>
      </c>
      <c r="F2110" s="2" t="str">
        <f>IFERROR(__xludf.DUMMYFUNCTION("REGEXEXTRACT(C2110, ""🏘️ (\w+) \w+ .* ✅"")"),"Vendre")</f>
        <v>Vendre</v>
      </c>
      <c r="G2110" s="2" t="str">
        <f>IFERROR(__xludf.DUMMYFUNCTION("REGEXEXTRACT(C2110, ""🏘️ \w+ (\w+) .* ✅"")"),"maison")</f>
        <v>maison</v>
      </c>
      <c r="H2110" s="4" t="str">
        <f>IFERROR(__xludf.DUMMYFUNCTION("REGEXEXTRACT(A2110, ""/(\w+)-.*?"")"),"lieu")</f>
        <v>lieu</v>
      </c>
      <c r="I2110" s="4" t="str">
        <f>IFERROR(__xludf.DUMMYFUNCTION("if(D2110=""variant"",  substitute(filter(Templates!E:E, Templates!A:A = F2110, Templates!B:B = G2110, Templates!C:C = H2110), ""{{}}"", E2110), B2110)"),"🏘  Vous souhaitez acheter une maison à Chevroux? ✅ Jetez un œil aux dernières offres sur ImmoScout24.ch.")</f>
        <v>🏘  Vous souhaitez acheter une maison à Chevroux? ✅ Jetez un œil aux dernières offres sur ImmoScout24.ch.</v>
      </c>
      <c r="J2110" s="4" t="s">
        <v>6328</v>
      </c>
    </row>
    <row r="2111">
      <c r="A2111" s="5" t="s">
        <v>6329</v>
      </c>
      <c r="B2111" s="2" t="s">
        <v>6330</v>
      </c>
      <c r="C2111" s="4" t="str">
        <f>IFERROR(__xludf.DUMMYFUNCTION("""🏘️ ""&amp;REGEXEXTRACT(B2111, ""^(.*): "")&amp;"" ✅ "" &amp;REGEXEXTRACT(B2111, ""(Trouvez.*)"")"),"🏘️ Vendre maison Saicourt ✅ Trouvez le bien immobilier qui correspond idéalement à vos désirs sur ImmoScout24 - La plateforme de l'immobilier en Suisse.")</f>
        <v>🏘️ Vendre maison Saicourt ✅ Trouvez le bien immobilier qui correspond idéalement à vos désirs sur ImmoScout24 - La plateforme de l'immobilier en Suisse.</v>
      </c>
      <c r="D2111" s="4" t="str">
        <f>vlookup(A2111, Sheet2!D:E, 2, 0)</f>
        <v>variant</v>
      </c>
      <c r="E2111" s="4" t="str">
        <f>IFERROR(__xludf.DUMMYFUNCTION("if(H2111=""pays"",vlookup(REGEXEXTRACT(C2111, ""🏘️ \w+ \w+ (.*) ✅""),'Country prepositions'!A:B, 2, 0) &amp; "" "" &amp; REGEXEXTRACT(C2111, ""🏘️ \w+ \w+ (.*) ✅"") ,  if(H2111=""quartier"",vlookup(REGEXEXTRACT(C2111, ""🏘️ \w+ \w+ (.*) ✅""),'Quartier prepositio"&amp;"ns'!A:E, 5, 0) ,  if(H2111=""region"",vlookup(REGEXEXTRACT(C2111, ""🏘️ \w+ \w+ (.*) ✅""),'Region prepositions'!B:F, 5, 0),  REGEXEXTRACT(C2111, ""🏘️ \w+ \w+ (.*) ✅""))))"),"Saicourt")</f>
        <v>Saicourt</v>
      </c>
      <c r="F2111" s="2" t="str">
        <f>IFERROR(__xludf.DUMMYFUNCTION("REGEXEXTRACT(C2111, ""🏘️ (\w+) \w+ .* ✅"")"),"Vendre")</f>
        <v>Vendre</v>
      </c>
      <c r="G2111" s="2" t="str">
        <f>IFERROR(__xludf.DUMMYFUNCTION("REGEXEXTRACT(C2111, ""🏘️ \w+ (\w+) .* ✅"")"),"maison")</f>
        <v>maison</v>
      </c>
      <c r="H2111" s="4" t="str">
        <f>IFERROR(__xludf.DUMMYFUNCTION("REGEXEXTRACT(A2111, ""/(\w+)-.*?"")"),"lieu")</f>
        <v>lieu</v>
      </c>
      <c r="I2111" s="4" t="str">
        <f>IFERROR(__xludf.DUMMYFUNCTION("if(D2111=""variant"",  substitute(filter(Templates!E:E, Templates!A:A = F2111, Templates!B:B = G2111, Templates!C:C = H2111), ""{{}}"", E2111), B2111)"),"🏘  Vous souhaitez acheter une maison à Saicourt? ✅ Jetez un œil aux dernières offres sur ImmoScout24.ch.")</f>
        <v>🏘  Vous souhaitez acheter une maison à Saicourt? ✅ Jetez un œil aux dernières offres sur ImmoScout24.ch.</v>
      </c>
      <c r="J2111" s="4" t="s">
        <v>6331</v>
      </c>
    </row>
    <row r="2112">
      <c r="A2112" s="5" t="s">
        <v>6332</v>
      </c>
      <c r="B2112" s="2" t="s">
        <v>6333</v>
      </c>
      <c r="C2112" s="4" t="str">
        <f>IFERROR(__xludf.DUMMYFUNCTION("""🏘️ ""&amp;REGEXEXTRACT(B2112, ""^(.*): "")&amp;"" ✅ "" &amp;REGEXEXTRACT(B2112, ""(Trouvez.*)"")"),"🏘️ Louer maison Prangins ✅ Trouvez le bien immobilier qui correspond idéalement à vos désirs sur ImmoScout24 - La plateforme de l'immobilier en Suisse.")</f>
        <v>🏘️ Louer maison Prangins ✅ Trouvez le bien immobilier qui correspond idéalement à vos désirs sur ImmoScout24 - La plateforme de l'immobilier en Suisse.</v>
      </c>
      <c r="D2112" s="4" t="str">
        <f>vlookup(A2112, Sheet2!D:E, 2, 0)</f>
        <v>variant</v>
      </c>
      <c r="E2112" s="4" t="str">
        <f>IFERROR(__xludf.DUMMYFUNCTION("if(H2112=""pays"",vlookup(REGEXEXTRACT(C2112, ""🏘️ \w+ \w+ (.*) ✅""),'Country prepositions'!A:B, 2, 0) &amp; "" "" &amp; REGEXEXTRACT(C2112, ""🏘️ \w+ \w+ (.*) ✅"") ,  if(H2112=""quartier"",vlookup(REGEXEXTRACT(C2112, ""🏘️ \w+ \w+ (.*) ✅""),'Quartier prepositio"&amp;"ns'!A:E, 5, 0) ,  if(H2112=""region"",vlookup(REGEXEXTRACT(C2112, ""🏘️ \w+ \w+ (.*) ✅""),'Region prepositions'!B:F, 5, 0),  REGEXEXTRACT(C2112, ""🏘️ \w+ \w+ (.*) ✅""))))"),"Prangins")</f>
        <v>Prangins</v>
      </c>
      <c r="F2112" s="2" t="str">
        <f>IFERROR(__xludf.DUMMYFUNCTION("REGEXEXTRACT(C2112, ""🏘️ (\w+) \w+ .* ✅"")"),"Louer")</f>
        <v>Louer</v>
      </c>
      <c r="G2112" s="2" t="str">
        <f>IFERROR(__xludf.DUMMYFUNCTION("REGEXEXTRACT(C2112, ""🏘️ \w+ (\w+) .* ✅"")"),"maison")</f>
        <v>maison</v>
      </c>
      <c r="H2112" s="4" t="str">
        <f>IFERROR(__xludf.DUMMYFUNCTION("REGEXEXTRACT(A2112, ""/(\w+)-.*?"")"),"lieu")</f>
        <v>lieu</v>
      </c>
      <c r="I2112" s="4" t="str">
        <f>IFERROR(__xludf.DUMMYFUNCTION("if(D2112=""variant"",  substitute(filter(Templates!E:E, Templates!A:A = F2112, Templates!B:B = G2112, Templates!C:C = H2112), ""{{}}"", E2112), B2112)"),"🏘  Vous cherchez une maison à louer à Prangins? ✅ Découvrez nos nombreuses annonces sur ImmoScout24.ch.")</f>
        <v>🏘  Vous cherchez une maison à louer à Prangins? ✅ Découvrez nos nombreuses annonces sur ImmoScout24.ch.</v>
      </c>
      <c r="J2112" s="4" t="s">
        <v>6334</v>
      </c>
    </row>
    <row r="2113">
      <c r="A2113" s="5" t="s">
        <v>6335</v>
      </c>
      <c r="B2113" s="2" t="s">
        <v>6336</v>
      </c>
      <c r="C2113" s="4" t="str">
        <f>IFERROR(__xludf.DUMMYFUNCTION("""🏘️ ""&amp;REGEXEXTRACT(B2113, ""^(.*): "")&amp;"" ✅ "" &amp;REGEXEXTRACT(B2113, ""(Trouvez.*)"")"),"🏘️ Louer appartement Rebeuvelier ✅ Trouvez le bien immobilier qui correspond idéalement à vos désirs sur ImmoScout24 - La plateforme de l'immobilier en Suisse.")</f>
        <v>🏘️ Louer appartement Rebeuvelier ✅ Trouvez le bien immobilier qui correspond idéalement à vos désirs sur ImmoScout24 - La plateforme de l'immobilier en Suisse.</v>
      </c>
      <c r="D2113" s="4" t="str">
        <f>vlookup(A2113, Sheet2!D:E, 2, 0)</f>
        <v>variant</v>
      </c>
      <c r="E2113" s="4" t="str">
        <f>IFERROR(__xludf.DUMMYFUNCTION("if(H2113=""pays"",vlookup(REGEXEXTRACT(C2113, ""🏘️ \w+ \w+ (.*) ✅""),'Country prepositions'!A:B, 2, 0) &amp; "" "" &amp; REGEXEXTRACT(C2113, ""🏘️ \w+ \w+ (.*) ✅"") ,  if(H2113=""quartier"",vlookup(REGEXEXTRACT(C2113, ""🏘️ \w+ \w+ (.*) ✅""),'Quartier prepositio"&amp;"ns'!A:E, 5, 0) ,  if(H2113=""region"",vlookup(REGEXEXTRACT(C2113, ""🏘️ \w+ \w+ (.*) ✅""),'Region prepositions'!B:F, 5, 0),  REGEXEXTRACT(C2113, ""🏘️ \w+ \w+ (.*) ✅""))))"),"Rebeuvelier")</f>
        <v>Rebeuvelier</v>
      </c>
      <c r="F2113" s="2" t="str">
        <f>IFERROR(__xludf.DUMMYFUNCTION("REGEXEXTRACT(C2113, ""🏘️ (\w+) \w+ .* ✅"")"),"Louer")</f>
        <v>Louer</v>
      </c>
      <c r="G2113" s="2" t="str">
        <f>IFERROR(__xludf.DUMMYFUNCTION("REGEXEXTRACT(C2113, ""🏘️ \w+ (\w+) .* ✅"")"),"appartement")</f>
        <v>appartement</v>
      </c>
      <c r="H2113" s="4" t="str">
        <f>IFERROR(__xludf.DUMMYFUNCTION("REGEXEXTRACT(A2113, ""/(\w+)-.*?"")"),"lieu")</f>
        <v>lieu</v>
      </c>
      <c r="I2113" s="4" t="str">
        <f>IFERROR(__xludf.DUMMYFUNCTION("if(D2113=""variant"",  substitute(filter(Templates!E:E, Templates!A:A = F2113, Templates!B:B = G2113, Templates!C:C = H2113), ""{{}}"", E2113), B2113)"),"🏘  Vous cherchez un appartement à louer à Rebeuvelier? ✅ Les annonces les plus actuelles sont sur ImmoScout24.ch.")</f>
        <v>🏘  Vous cherchez un appartement à louer à Rebeuvelier? ✅ Les annonces les plus actuelles sont sur ImmoScout24.ch.</v>
      </c>
      <c r="J2113" s="4" t="s">
        <v>6337</v>
      </c>
    </row>
    <row r="2114">
      <c r="A2114" s="5" t="s">
        <v>6338</v>
      </c>
      <c r="B2114" s="2" t="s">
        <v>6339</v>
      </c>
      <c r="C2114" s="4" t="str">
        <f>IFERROR(__xludf.DUMMYFUNCTION("""🏘️ ""&amp;REGEXEXTRACT(B2114, ""^(.*): "")&amp;"" ✅ "" &amp;REGEXEXTRACT(B2114, ""(Trouvez.*)"")"),"🏘️ Vendre maison Les Granges (Salvan) ✅ Trouvez le bien immobilier qui correspond idéalement à vos désirs sur ImmoScout24 - La plateforme de l'immobilier en Suisse.")</f>
        <v>🏘️ Vendre maison Les Granges (Salvan) ✅ Trouvez le bien immobilier qui correspond idéalement à vos désirs sur ImmoScout24 - La plateforme de l'immobilier en Suisse.</v>
      </c>
      <c r="D2114" s="4" t="str">
        <f>vlookup(A2114, Sheet2!D:E, 2, 0)</f>
        <v>variant</v>
      </c>
      <c r="E2114" s="4" t="str">
        <f>IFERROR(__xludf.DUMMYFUNCTION("if(H2114=""pays"",vlookup(REGEXEXTRACT(C2114, ""🏘️ \w+ \w+ (.*) ✅""),'Country prepositions'!A:B, 2, 0) &amp; "" "" &amp; REGEXEXTRACT(C2114, ""🏘️ \w+ \w+ (.*) ✅"") ,  if(H2114=""quartier"",vlookup(REGEXEXTRACT(C2114, ""🏘️ \w+ \w+ (.*) ✅""),'Quartier prepositio"&amp;"ns'!A:E, 5, 0) ,  if(H2114=""region"",vlookup(REGEXEXTRACT(C2114, ""🏘️ \w+ \w+ (.*) ✅""),'Region prepositions'!B:F, 5, 0),  REGEXEXTRACT(C2114, ""🏘️ \w+ \w+ (.*) ✅""))))"),"Les Granges (Salvan)")</f>
        <v>Les Granges (Salvan)</v>
      </c>
      <c r="F2114" s="2" t="str">
        <f>IFERROR(__xludf.DUMMYFUNCTION("REGEXEXTRACT(C2114, ""🏘️ (\w+) \w+ .* ✅"")"),"Vendre")</f>
        <v>Vendre</v>
      </c>
      <c r="G2114" s="2" t="str">
        <f>IFERROR(__xludf.DUMMYFUNCTION("REGEXEXTRACT(C2114, ""🏘️ \w+ (\w+) .* ✅"")"),"maison")</f>
        <v>maison</v>
      </c>
      <c r="H2114" s="4" t="str">
        <f>IFERROR(__xludf.DUMMYFUNCTION("REGEXEXTRACT(A2114, ""/(\w+)-.*?"")"),"lieu")</f>
        <v>lieu</v>
      </c>
      <c r="I2114" s="4" t="str">
        <f>IFERROR(__xludf.DUMMYFUNCTION("if(D2114=""variant"",  substitute(filter(Templates!E:E, Templates!A:A = F2114, Templates!B:B = G2114, Templates!C:C = H2114), ""{{}}"", E2114), B2114)"),"🏘  Vous souhaitez acheter une maison à Les Granges (Salvan)? ✅ Jetez un œil aux dernières offres sur ImmoScout24.ch.")</f>
        <v>🏘  Vous souhaitez acheter une maison à Les Granges (Salvan)? ✅ Jetez un œil aux dernières offres sur ImmoScout24.ch.</v>
      </c>
      <c r="J2114" s="2" t="s">
        <v>6340</v>
      </c>
    </row>
    <row r="2115">
      <c r="A2115" s="5" t="s">
        <v>6341</v>
      </c>
      <c r="B2115" s="2" t="s">
        <v>6342</v>
      </c>
      <c r="C2115" s="4" t="str">
        <f>IFERROR(__xludf.DUMMYFUNCTION("""🏘️ ""&amp;REGEXEXTRACT(B2115, ""^(.*): "")&amp;"" ✅ "" &amp;REGEXEXTRACT(B2115, ""(Trouvez.*)"")"),"🏘️ Louer appartement Oberbuchsiten ✅ Trouvez le bien immobilier qui correspond idéalement à vos désirs sur ImmoScout24 - La plateforme de l'immobilier en Suisse.")</f>
        <v>🏘️ Louer appartement Oberbuchsiten ✅ Trouvez le bien immobilier qui correspond idéalement à vos désirs sur ImmoScout24 - La plateforme de l'immobilier en Suisse.</v>
      </c>
      <c r="D2115" s="4" t="str">
        <f>vlookup(A2115, Sheet2!D:E, 2, 0)</f>
        <v>variant</v>
      </c>
      <c r="E2115" s="4" t="str">
        <f>IFERROR(__xludf.DUMMYFUNCTION("if(H2115=""pays"",vlookup(REGEXEXTRACT(C2115, ""🏘️ \w+ \w+ (.*) ✅""),'Country prepositions'!A:B, 2, 0) &amp; "" "" &amp; REGEXEXTRACT(C2115, ""🏘️ \w+ \w+ (.*) ✅"") ,  if(H2115=""quartier"",vlookup(REGEXEXTRACT(C2115, ""🏘️ \w+ \w+ (.*) ✅""),'Quartier prepositio"&amp;"ns'!A:E, 5, 0) ,  if(H2115=""region"",vlookup(REGEXEXTRACT(C2115, ""🏘️ \w+ \w+ (.*) ✅""),'Region prepositions'!B:F, 5, 0),  REGEXEXTRACT(C2115, ""🏘️ \w+ \w+ (.*) ✅""))))"),"Oberbuchsiten")</f>
        <v>Oberbuchsiten</v>
      </c>
      <c r="F2115" s="2" t="str">
        <f>IFERROR(__xludf.DUMMYFUNCTION("REGEXEXTRACT(C2115, ""🏘️ (\w+) \w+ .* ✅"")"),"Louer")</f>
        <v>Louer</v>
      </c>
      <c r="G2115" s="2" t="str">
        <f>IFERROR(__xludf.DUMMYFUNCTION("REGEXEXTRACT(C2115, ""🏘️ \w+ (\w+) .* ✅"")"),"appartement")</f>
        <v>appartement</v>
      </c>
      <c r="H2115" s="4" t="str">
        <f>IFERROR(__xludf.DUMMYFUNCTION("REGEXEXTRACT(A2115, ""/(\w+)-.*?"")"),"lieu")</f>
        <v>lieu</v>
      </c>
      <c r="I2115" s="4" t="str">
        <f>IFERROR(__xludf.DUMMYFUNCTION("if(D2115=""variant"",  substitute(filter(Templates!E:E, Templates!A:A = F2115, Templates!B:B = G2115, Templates!C:C = H2115), ""{{}}"", E2115), B2115)"),"🏘  Vous cherchez un appartement à louer à Oberbuchsiten? ✅ Les annonces les plus actuelles sont sur ImmoScout24.ch.")</f>
        <v>🏘  Vous cherchez un appartement à louer à Oberbuchsiten? ✅ Les annonces les plus actuelles sont sur ImmoScout24.ch.</v>
      </c>
      <c r="J2115" s="4" t="s">
        <v>6343</v>
      </c>
    </row>
    <row r="2116">
      <c r="A2116" s="5" t="s">
        <v>6344</v>
      </c>
      <c r="B2116" s="2" t="s">
        <v>6345</v>
      </c>
      <c r="C2116" s="4" t="str">
        <f>IFERROR(__xludf.DUMMYFUNCTION("""🏘️ ""&amp;REGEXEXTRACT(B2116, ""^(.*): "")&amp;"" ✅ "" &amp;REGEXEXTRACT(B2116, ""(Trouvez.*)"")"),"🏘️ Vendre maison Undervelier ✅ Trouvez le bien immobilier qui correspond idéalement à vos désirs sur ImmoScout24 - La plateforme de l'immobilier en Suisse.")</f>
        <v>🏘️ Vendre maison Undervelier ✅ Trouvez le bien immobilier qui correspond idéalement à vos désirs sur ImmoScout24 - La plateforme de l'immobilier en Suisse.</v>
      </c>
      <c r="D2116" s="4" t="str">
        <f>vlookup(A2116, Sheet2!D:E, 2, 0)</f>
        <v>variant</v>
      </c>
      <c r="E2116" s="4" t="str">
        <f>IFERROR(__xludf.DUMMYFUNCTION("if(H2116=""pays"",vlookup(REGEXEXTRACT(C2116, ""🏘️ \w+ \w+ (.*) ✅""),'Country prepositions'!A:B, 2, 0) &amp; "" "" &amp; REGEXEXTRACT(C2116, ""🏘️ \w+ \w+ (.*) ✅"") ,  if(H2116=""quartier"",vlookup(REGEXEXTRACT(C2116, ""🏘️ \w+ \w+ (.*) ✅""),'Quartier prepositio"&amp;"ns'!A:E, 5, 0) ,  if(H2116=""region"",vlookup(REGEXEXTRACT(C2116, ""🏘️ \w+ \w+ (.*) ✅""),'Region prepositions'!B:F, 5, 0),  REGEXEXTRACT(C2116, ""🏘️ \w+ \w+ (.*) ✅""))))"),"Undervelier")</f>
        <v>Undervelier</v>
      </c>
      <c r="F2116" s="2" t="str">
        <f>IFERROR(__xludf.DUMMYFUNCTION("REGEXEXTRACT(C2116, ""🏘️ (\w+) \w+ .* ✅"")"),"Vendre")</f>
        <v>Vendre</v>
      </c>
      <c r="G2116" s="2" t="str">
        <f>IFERROR(__xludf.DUMMYFUNCTION("REGEXEXTRACT(C2116, ""🏘️ \w+ (\w+) .* ✅"")"),"maison")</f>
        <v>maison</v>
      </c>
      <c r="H2116" s="4" t="str">
        <f>IFERROR(__xludf.DUMMYFUNCTION("REGEXEXTRACT(A2116, ""/(\w+)-.*?"")"),"lieu")</f>
        <v>lieu</v>
      </c>
      <c r="I2116" s="4" t="str">
        <f>IFERROR(__xludf.DUMMYFUNCTION("if(D2116=""variant"",  substitute(filter(Templates!E:E, Templates!A:A = F2116, Templates!B:B = G2116, Templates!C:C = H2116), ""{{}}"", E2116), B2116)"),"🏘  Vous souhaitez acheter une maison à Undervelier? ✅ Jetez un œil aux dernières offres sur ImmoScout24.ch.")</f>
        <v>🏘  Vous souhaitez acheter une maison à Undervelier? ✅ Jetez un œil aux dernières offres sur ImmoScout24.ch.</v>
      </c>
      <c r="J2116" s="4" t="s">
        <v>6346</v>
      </c>
    </row>
    <row r="2117">
      <c r="A2117" s="5" t="s">
        <v>6347</v>
      </c>
      <c r="B2117" s="2" t="s">
        <v>6348</v>
      </c>
      <c r="C2117" s="4" t="str">
        <f>IFERROR(__xludf.DUMMYFUNCTION("""🏘️ ""&amp;REGEXEXTRACT(B2117, ""^(.*): "")&amp;"" ✅ "" &amp;REGEXEXTRACT(B2117, ""(Trouvez.*)"")"),"🏘️ Vendre maison Territet ✅ Trouvez le bien immobilier qui correspond idéalement à vos désirs sur ImmoScout24 - La plateforme de l'immobilier en Suisse.")</f>
        <v>🏘️ Vendre maison Territet ✅ Trouvez le bien immobilier qui correspond idéalement à vos désirs sur ImmoScout24 - La plateforme de l'immobilier en Suisse.</v>
      </c>
      <c r="D2117" s="4" t="str">
        <f>vlookup(A2117, Sheet2!D:E, 2, 0)</f>
        <v>variant</v>
      </c>
      <c r="E2117" s="4" t="str">
        <f>IFERROR(__xludf.DUMMYFUNCTION("if(H2117=""pays"",vlookup(REGEXEXTRACT(C2117, ""🏘️ \w+ \w+ (.*) ✅""),'Country prepositions'!A:B, 2, 0) &amp; "" "" &amp; REGEXEXTRACT(C2117, ""🏘️ \w+ \w+ (.*) ✅"") ,  if(H2117=""quartier"",vlookup(REGEXEXTRACT(C2117, ""🏘️ \w+ \w+ (.*) ✅""),'Quartier prepositio"&amp;"ns'!A:E, 5, 0) ,  if(H2117=""region"",vlookup(REGEXEXTRACT(C2117, ""🏘️ \w+ \w+ (.*) ✅""),'Region prepositions'!B:F, 5, 0),  REGEXEXTRACT(C2117, ""🏘️ \w+ \w+ (.*) ✅""))))"),"Territet")</f>
        <v>Territet</v>
      </c>
      <c r="F2117" s="2" t="str">
        <f>IFERROR(__xludf.DUMMYFUNCTION("REGEXEXTRACT(C2117, ""🏘️ (\w+) \w+ .* ✅"")"),"Vendre")</f>
        <v>Vendre</v>
      </c>
      <c r="G2117" s="2" t="str">
        <f>IFERROR(__xludf.DUMMYFUNCTION("REGEXEXTRACT(C2117, ""🏘️ \w+ (\w+) .* ✅"")"),"maison")</f>
        <v>maison</v>
      </c>
      <c r="H2117" s="4" t="str">
        <f>IFERROR(__xludf.DUMMYFUNCTION("REGEXEXTRACT(A2117, ""/(\w+)-.*?"")"),"lieu")</f>
        <v>lieu</v>
      </c>
      <c r="I2117" s="4" t="str">
        <f>IFERROR(__xludf.DUMMYFUNCTION("if(D2117=""variant"",  substitute(filter(Templates!E:E, Templates!A:A = F2117, Templates!B:B = G2117, Templates!C:C = H2117), ""{{}}"", E2117), B2117)"),"🏘  Vous souhaitez acheter une maison à Territet? ✅ Jetez un œil aux dernières offres sur ImmoScout24.ch.")</f>
        <v>🏘  Vous souhaitez acheter une maison à Territet? ✅ Jetez un œil aux dernières offres sur ImmoScout24.ch.</v>
      </c>
      <c r="J2117" s="4" t="s">
        <v>6349</v>
      </c>
    </row>
    <row r="2118">
      <c r="A2118" s="5" t="s">
        <v>6350</v>
      </c>
      <c r="B2118" s="2" t="s">
        <v>6351</v>
      </c>
      <c r="C2118" s="4" t="str">
        <f>IFERROR(__xludf.DUMMYFUNCTION("""🏘️ ""&amp;REGEXEXTRACT(B2118, ""^(.*): "")&amp;"" ✅ "" &amp;REGEXEXTRACT(B2118, ""(Trouvez.*)"")"),"🏘️ Vendre maison Weissenstein (Berne) ✅ Trouvez le bien immobilier qui correspond idéalement à vos désirs sur ImmoScout24 - La plateforme de l'immobilier en Suisse.")</f>
        <v>🏘️ Vendre maison Weissenstein (Berne) ✅ Trouvez le bien immobilier qui correspond idéalement à vos désirs sur ImmoScout24 - La plateforme de l'immobilier en Suisse.</v>
      </c>
      <c r="D2118" s="4" t="str">
        <f>vlookup(A2118, Sheet2!D:E, 2, 0)</f>
        <v>variant</v>
      </c>
      <c r="E2118" s="4" t="str">
        <f>IFERROR(__xludf.DUMMYFUNCTION("if(H2118=""pays"",vlookup(REGEXEXTRACT(C2118, ""🏘️ \w+ \w+ (.*) ✅""),'Country prepositions'!A:B, 2, 0) &amp; "" "" &amp; REGEXEXTRACT(C2118, ""🏘️ \w+ \w+ (.*) ✅"") ,  if(H2118=""quartier"",vlookup(REGEXEXTRACT(C2118, ""🏘️ \w+ \w+ (.*) ✅""),'Quartier prepositio"&amp;"ns'!A:E, 5, 0) ,  if(H2118=""region"",vlookup(REGEXEXTRACT(C2118, ""🏘️ \w+ \w+ (.*) ✅""),'Region prepositions'!B:F, 5, 0),  REGEXEXTRACT(C2118, ""🏘️ \w+ \w+ (.*) ✅""))))"),"dans le quartier de Weissenstein (Berne)")</f>
        <v>dans le quartier de Weissenstein (Berne)</v>
      </c>
      <c r="F2118" s="2" t="str">
        <f>IFERROR(__xludf.DUMMYFUNCTION("REGEXEXTRACT(C2118, ""🏘️ (\w+) \w+ .* ✅"")"),"Vendre")</f>
        <v>Vendre</v>
      </c>
      <c r="G2118" s="2" t="str">
        <f>IFERROR(__xludf.DUMMYFUNCTION("REGEXEXTRACT(C2118, ""🏘️ \w+ (\w+) .* ✅"")"),"maison")</f>
        <v>maison</v>
      </c>
      <c r="H2118" s="4" t="str">
        <f>IFERROR(__xludf.DUMMYFUNCTION("REGEXEXTRACT(A2118, ""/(\w+)-.*?"")"),"quartier")</f>
        <v>quartier</v>
      </c>
      <c r="I2118" s="4" t="str">
        <f>IFERROR(__xludf.DUMMYFUNCTION("if(D2118=""variant"",  substitute(filter(Templates!E:E, Templates!A:A = F2118, Templates!B:B = G2118, Templates!C:C = H2118), ""{{}}"", E2118), B2118)"),"🏘  Vous souhaitez acheter une maison dans le quartier de Weissenstein (Berne)? ✅ Jetez un œil aux dernières offres sur ImmoScout24.ch.")</f>
        <v>🏘  Vous souhaitez acheter une maison dans le quartier de Weissenstein (Berne)? ✅ Jetez un œil aux dernières offres sur ImmoScout24.ch.</v>
      </c>
      <c r="J2118" s="4" t="s">
        <v>6352</v>
      </c>
    </row>
    <row r="2119">
      <c r="A2119" s="5" t="s">
        <v>6353</v>
      </c>
      <c r="B2119" s="2" t="s">
        <v>6354</v>
      </c>
      <c r="C2119" s="4" t="str">
        <f>IFERROR(__xludf.DUMMYFUNCTION("""🏘️ ""&amp;REGEXEXTRACT(B2119, ""^(.*): "")&amp;"" ✅ "" &amp;REGEXEXTRACT(B2119, ""(Trouvez.*)"")"),"🏘️ Vendre appartement Gümligen ✅ Trouvez le bien immobilier qui correspond idéalement à vos désirs sur ImmoScout24 - La plateforme de l'immobilier en Suisse.")</f>
        <v>🏘️ Vendre appartement Gümligen ✅ Trouvez le bien immobilier qui correspond idéalement à vos désirs sur ImmoScout24 - La plateforme de l'immobilier en Suisse.</v>
      </c>
      <c r="D2119" s="4" t="str">
        <f>vlookup(A2119, Sheet2!D:E, 2, 0)</f>
        <v>variant</v>
      </c>
      <c r="E2119" s="4" t="str">
        <f>IFERROR(__xludf.DUMMYFUNCTION("if(H2119=""pays"",vlookup(REGEXEXTRACT(C2119, ""🏘️ \w+ \w+ (.*) ✅""),'Country prepositions'!A:B, 2, 0) &amp; "" "" &amp; REGEXEXTRACT(C2119, ""🏘️ \w+ \w+ (.*) ✅"") ,  if(H2119=""quartier"",vlookup(REGEXEXTRACT(C2119, ""🏘️ \w+ \w+ (.*) ✅""),'Quartier prepositio"&amp;"ns'!A:E, 5, 0) ,  if(H2119=""region"",vlookup(REGEXEXTRACT(C2119, ""🏘️ \w+ \w+ (.*) ✅""),'Region prepositions'!B:F, 5, 0),  REGEXEXTRACT(C2119, ""🏘️ \w+ \w+ (.*) ✅""))))"),"Gümligen")</f>
        <v>Gümligen</v>
      </c>
      <c r="F2119" s="2" t="str">
        <f>IFERROR(__xludf.DUMMYFUNCTION("REGEXEXTRACT(C2119, ""🏘️ (\w+) \w+ .* ✅"")"),"Vendre")</f>
        <v>Vendre</v>
      </c>
      <c r="G2119" s="2" t="str">
        <f>IFERROR(__xludf.DUMMYFUNCTION("REGEXEXTRACT(C2119, ""🏘️ \w+ (\w+) .* ✅"")"),"appartement")</f>
        <v>appartement</v>
      </c>
      <c r="H2119" s="4" t="str">
        <f>IFERROR(__xludf.DUMMYFUNCTION("REGEXEXTRACT(A2119, ""/(\w+)-.*?"")"),"lieu")</f>
        <v>lieu</v>
      </c>
      <c r="I2119" s="4" t="str">
        <f>IFERROR(__xludf.DUMMYFUNCTION("if(D2119=""variant"",  substitute(filter(Templates!E:E, Templates!A:A = F2119, Templates!B:B = G2119, Templates!C:C = H2119), ""{{}}"", E2119), B2119)"),"🏘  L’appartement de vos rêves se trouve sur ImmoScout24.ch ✅ Découvrez les dernières annonces de vente à Gümligen.")</f>
        <v>🏘  L’appartement de vos rêves se trouve sur ImmoScout24.ch ✅ Découvrez les dernières annonces de vente à Gümligen.</v>
      </c>
      <c r="J2119" s="4" t="s">
        <v>6355</v>
      </c>
    </row>
    <row r="2120">
      <c r="A2120" s="5" t="s">
        <v>6356</v>
      </c>
      <c r="B2120" s="2" t="s">
        <v>6357</v>
      </c>
      <c r="C2120" s="4" t="str">
        <f>IFERROR(__xludf.DUMMYFUNCTION("""🏘️ ""&amp;REGEXEXTRACT(B2120, ""^(.*): "")&amp;"" ✅ "" &amp;REGEXEXTRACT(B2120, ""(Trouvez.*)"")"),"🏘️ Louer appartement Avenches - Payerne ✅ Trouvez le bien immobilier qui correspond idéalement à vos désirs sur ImmoScout24 - La plateforme de l'immobilier en Suisse.")</f>
        <v>🏘️ Louer appartement Avenches - Payerne ✅ Trouvez le bien immobilier qui correspond idéalement à vos désirs sur ImmoScout24 - La plateforme de l'immobilier en Suisse.</v>
      </c>
      <c r="D2120" s="4" t="str">
        <f>vlookup(A2120, Sheet2!D:E, 2, 0)</f>
        <v>variant</v>
      </c>
      <c r="E2120" s="4" t="str">
        <f>IFERROR(__xludf.DUMMYFUNCTION("if(H2120=""pays"",vlookup(REGEXEXTRACT(C2120, ""🏘️ \w+ \w+ (.*) ✅""),'Country prepositions'!A:B, 2, 0) &amp; "" "" &amp; REGEXEXTRACT(C2120, ""🏘️ \w+ \w+ (.*) ✅"") ,  if(H2120=""quartier"",vlookup(REGEXEXTRACT(C2120, ""🏘️ \w+ \w+ (.*) ✅""),'Quartier prepositio"&amp;"ns'!A:E, 5, 0) ,  if(H2120=""region"",vlookup(REGEXEXTRACT(C2120, ""🏘️ \w+ \w+ (.*) ✅""),'Region prepositions'!B:F, 5, 0),  REGEXEXTRACT(C2120, ""🏘️ \w+ \w+ (.*) ✅""))))"),"dans la région d'Avenches - Payerne")</f>
        <v>dans la région d'Avenches - Payerne</v>
      </c>
      <c r="F2120" s="2" t="str">
        <f>IFERROR(__xludf.DUMMYFUNCTION("REGEXEXTRACT(C2120, ""🏘️ (\w+) \w+ .* ✅"")"),"Louer")</f>
        <v>Louer</v>
      </c>
      <c r="G2120" s="2" t="str">
        <f>IFERROR(__xludf.DUMMYFUNCTION("REGEXEXTRACT(C2120, ""🏘️ \w+ (\w+) .* ✅"")"),"appartement")</f>
        <v>appartement</v>
      </c>
      <c r="H2120" s="4" t="str">
        <f>IFERROR(__xludf.DUMMYFUNCTION("REGEXEXTRACT(A2120, ""/(\w+)-.*?"")"),"region")</f>
        <v>region</v>
      </c>
      <c r="I2120" s="4" t="str">
        <f>IFERROR(__xludf.DUMMYFUNCTION("if(D2120=""variant"",  substitute(filter(Templates!E:E, Templates!A:A = F2120, Templates!B:B = G2120, Templates!C:C = H2120), ""{{}}"", E2120), B2120)"),"🏘  Vous cherchez un appartement à louer dans la région d'Avenches - Payerne? ✅ Les annonces les plus actuelles sont sur ImmoScout24.ch.")</f>
        <v>🏘  Vous cherchez un appartement à louer dans la région d'Avenches - Payerne? ✅ Les annonces les plus actuelles sont sur ImmoScout24.ch.</v>
      </c>
      <c r="J2120" s="4" t="s">
        <v>6358</v>
      </c>
    </row>
    <row r="2121">
      <c r="A2121" s="5" t="s">
        <v>6359</v>
      </c>
      <c r="B2121" s="2" t="s">
        <v>6360</v>
      </c>
      <c r="C2121" s="4" t="str">
        <f>IFERROR(__xludf.DUMMYFUNCTION("""🏘️ ""&amp;REGEXEXTRACT(B2121, ""^(.*): "")&amp;"" ✅ "" &amp;REGEXEXTRACT(B2121, ""(Trouvez.*)"")"),"🏘️ Vendre appartement Schwerzenbach ✅ Trouvez le bien immobilier qui correspond idéalement à vos désirs sur ImmoScout24 - La plateforme de l'immobilier en Suisse.")</f>
        <v>🏘️ Vendre appartement Schwerzenbach ✅ Trouvez le bien immobilier qui correspond idéalement à vos désirs sur ImmoScout24 - La plateforme de l'immobilier en Suisse.</v>
      </c>
      <c r="D2121" s="4" t="str">
        <f>vlookup(A2121, Sheet2!D:E, 2, 0)</f>
        <v>variant</v>
      </c>
      <c r="E2121" s="4" t="str">
        <f>IFERROR(__xludf.DUMMYFUNCTION("if(H2121=""pays"",vlookup(REGEXEXTRACT(C2121, ""🏘️ \w+ \w+ (.*) ✅""),'Country prepositions'!A:B, 2, 0) &amp; "" "" &amp; REGEXEXTRACT(C2121, ""🏘️ \w+ \w+ (.*) ✅"") ,  if(H2121=""quartier"",vlookup(REGEXEXTRACT(C2121, ""🏘️ \w+ \w+ (.*) ✅""),'Quartier prepositio"&amp;"ns'!A:E, 5, 0) ,  if(H2121=""region"",vlookup(REGEXEXTRACT(C2121, ""🏘️ \w+ \w+ (.*) ✅""),'Region prepositions'!B:F, 5, 0),  REGEXEXTRACT(C2121, ""🏘️ \w+ \w+ (.*) ✅""))))"),"Schwerzenbach")</f>
        <v>Schwerzenbach</v>
      </c>
      <c r="F2121" s="2" t="str">
        <f>IFERROR(__xludf.DUMMYFUNCTION("REGEXEXTRACT(C2121, ""🏘️ (\w+) \w+ .* ✅"")"),"Vendre")</f>
        <v>Vendre</v>
      </c>
      <c r="G2121" s="2" t="str">
        <f>IFERROR(__xludf.DUMMYFUNCTION("REGEXEXTRACT(C2121, ""🏘️ \w+ (\w+) .* ✅"")"),"appartement")</f>
        <v>appartement</v>
      </c>
      <c r="H2121" s="4" t="str">
        <f>IFERROR(__xludf.DUMMYFUNCTION("REGEXEXTRACT(A2121, ""/(\w+)-.*?"")"),"lieu")</f>
        <v>lieu</v>
      </c>
      <c r="I2121" s="4" t="str">
        <f>IFERROR(__xludf.DUMMYFUNCTION("if(D2121=""variant"",  substitute(filter(Templates!E:E, Templates!A:A = F2121, Templates!B:B = G2121, Templates!C:C = H2121), ""{{}}"", E2121), B2121)"),"🏘  L’appartement de vos rêves se trouve sur ImmoScout24.ch ✅ Découvrez les dernières annonces de vente à Schwerzenbach.")</f>
        <v>🏘  L’appartement de vos rêves se trouve sur ImmoScout24.ch ✅ Découvrez les dernières annonces de vente à Schwerzenbach.</v>
      </c>
      <c r="J2121" s="4" t="s">
        <v>6361</v>
      </c>
    </row>
    <row r="2122">
      <c r="A2122" s="5" t="s">
        <v>6362</v>
      </c>
      <c r="B2122" s="2" t="s">
        <v>6363</v>
      </c>
      <c r="C2122" s="4" t="str">
        <f>IFERROR(__xludf.DUMMYFUNCTION("""🏘️ ""&amp;REGEXEXTRACT(B2122, ""^(.*): "")&amp;"" ✅ "" &amp;REGEXEXTRACT(B2122, ""(Trouvez.*)"")"),"🏘️ Louer appartement Neuwiesen (Winterthur) ✅ Trouvez le bien immobilier qui correspond idéalement à vos désirs sur ImmoScout24 - La plateforme de l'immobilier en Suisse.")</f>
        <v>🏘️ Louer appartement Neuwiesen (Winterthur) ✅ Trouvez le bien immobilier qui correspond idéalement à vos désirs sur ImmoScout24 - La plateforme de l'immobilier en Suisse.</v>
      </c>
      <c r="D2122" s="4" t="str">
        <f>vlookup(A2122, Sheet2!D:E, 2, 0)</f>
        <v>variant</v>
      </c>
      <c r="E2122" s="4" t="str">
        <f>IFERROR(__xludf.DUMMYFUNCTION("if(H2122=""pays"",vlookup(REGEXEXTRACT(C2122, ""🏘️ \w+ \w+ (.*) ✅""),'Country prepositions'!A:B, 2, 0) &amp; "" "" &amp; REGEXEXTRACT(C2122, ""🏘️ \w+ \w+ (.*) ✅"") ,  if(H2122=""quartier"",vlookup(REGEXEXTRACT(C2122, ""🏘️ \w+ \w+ (.*) ✅""),'Quartier prepositio"&amp;"ns'!A:E, 5, 0) ,  if(H2122=""region"",vlookup(REGEXEXTRACT(C2122, ""🏘️ \w+ \w+ (.*) ✅""),'Region prepositions'!B:F, 5, 0),  REGEXEXTRACT(C2122, ""🏘️ \w+ \w+ (.*) ✅""))))"),"dans le quartier de Neuwiesen (Winterthur)")</f>
        <v>dans le quartier de Neuwiesen (Winterthur)</v>
      </c>
      <c r="F2122" s="2" t="str">
        <f>IFERROR(__xludf.DUMMYFUNCTION("REGEXEXTRACT(C2122, ""🏘️ (\w+) \w+ .* ✅"")"),"Louer")</f>
        <v>Louer</v>
      </c>
      <c r="G2122" s="2" t="str">
        <f>IFERROR(__xludf.DUMMYFUNCTION("REGEXEXTRACT(C2122, ""🏘️ \w+ (\w+) .* ✅"")"),"appartement")</f>
        <v>appartement</v>
      </c>
      <c r="H2122" s="4" t="str">
        <f>IFERROR(__xludf.DUMMYFUNCTION("REGEXEXTRACT(A2122, ""/(\w+)-.*?"")"),"quartier")</f>
        <v>quartier</v>
      </c>
      <c r="I2122" s="4" t="str">
        <f>IFERROR(__xludf.DUMMYFUNCTION("if(D2122=""variant"",  substitute(filter(Templates!E:E, Templates!A:A = F2122, Templates!B:B = G2122, Templates!C:C = H2122), ""{{}}"", E2122), B2122)"),"🏘  Vous cherchez un appartement à louer dans le quartier de Neuwiesen (Winterthur)? ✅ Les annonces les plus actuelles sont sur ImmoScout24.ch.")</f>
        <v>🏘  Vous cherchez un appartement à louer dans le quartier de Neuwiesen (Winterthur)? ✅ Les annonces les plus actuelles sont sur ImmoScout24.ch.</v>
      </c>
      <c r="J2122" s="4" t="s">
        <v>6364</v>
      </c>
    </row>
    <row r="2123">
      <c r="A2123" s="5" t="s">
        <v>6365</v>
      </c>
      <c r="B2123" s="2" t="s">
        <v>6366</v>
      </c>
      <c r="C2123" s="4" t="str">
        <f>IFERROR(__xludf.DUMMYFUNCTION("""🏘️ ""&amp;REGEXEXTRACT(B2123, ""^(.*): "")&amp;"" ✅ "" &amp;REGEXEXTRACT(B2123, ""(Trouvez.*)"")"),"🏘️ Vendre maison Vigneules (Biel/Bienne) ✅ Trouvez le bien immobilier qui correspond idéalement à vos désirs sur ImmoScout24 - La plateforme de l'immobilier en Suisse.")</f>
        <v>🏘️ Vendre maison Vigneules (Biel/Bienne) ✅ Trouvez le bien immobilier qui correspond idéalement à vos désirs sur ImmoScout24 - La plateforme de l'immobilier en Suisse.</v>
      </c>
      <c r="D2123" s="4" t="str">
        <f>vlookup(A2123, Sheet2!D:E, 2, 0)</f>
        <v>variant</v>
      </c>
      <c r="E2123" s="4" t="str">
        <f>IFERROR(__xludf.DUMMYFUNCTION("if(H2123=""pays"",vlookup(REGEXEXTRACT(C2123, ""🏘️ \w+ \w+ (.*) ✅""),'Country prepositions'!A:B, 2, 0) &amp; "" "" &amp; REGEXEXTRACT(C2123, ""🏘️ \w+ \w+ (.*) ✅"") ,  if(H2123=""quartier"",vlookup(REGEXEXTRACT(C2123, ""🏘️ \w+ \w+ (.*) ✅""),'Quartier prepositio"&amp;"ns'!A:E, 5, 0) ,  if(H2123=""region"",vlookup(REGEXEXTRACT(C2123, ""🏘️ \w+ \w+ (.*) ✅""),'Region prepositions'!B:F, 5, 0),  REGEXEXTRACT(C2123, ""🏘️ \w+ \w+ (.*) ✅""))))"),"dans le quartier de Vigneules (Biel/Bienne)")</f>
        <v>dans le quartier de Vigneules (Biel/Bienne)</v>
      </c>
      <c r="F2123" s="2" t="str">
        <f>IFERROR(__xludf.DUMMYFUNCTION("REGEXEXTRACT(C2123, ""🏘️ (\w+) \w+ .* ✅"")"),"Vendre")</f>
        <v>Vendre</v>
      </c>
      <c r="G2123" s="2" t="str">
        <f>IFERROR(__xludf.DUMMYFUNCTION("REGEXEXTRACT(C2123, ""🏘️ \w+ (\w+) .* ✅"")"),"maison")</f>
        <v>maison</v>
      </c>
      <c r="H2123" s="4" t="str">
        <f>IFERROR(__xludf.DUMMYFUNCTION("REGEXEXTRACT(A2123, ""/(\w+)-.*?"")"),"quartier")</f>
        <v>quartier</v>
      </c>
      <c r="I2123" s="4" t="str">
        <f>IFERROR(__xludf.DUMMYFUNCTION("if(D2123=""variant"",  substitute(filter(Templates!E:E, Templates!A:A = F2123, Templates!B:B = G2123, Templates!C:C = H2123), ""{{}}"", E2123), B2123)"),"🏘  Vous souhaitez acheter une maison dans le quartier de Vigneules (Biel/Bienne)? ✅ Jetez un œil aux dernières offres sur ImmoScout24.ch.")</f>
        <v>🏘  Vous souhaitez acheter une maison dans le quartier de Vigneules (Biel/Bienne)? ✅ Jetez un œil aux dernières offres sur ImmoScout24.ch.</v>
      </c>
      <c r="J2123" s="4" t="s">
        <v>6367</v>
      </c>
    </row>
    <row r="2124">
      <c r="A2124" s="5" t="s">
        <v>6368</v>
      </c>
      <c r="B2124" s="2" t="s">
        <v>6369</v>
      </c>
      <c r="C2124" s="4" t="str">
        <f>IFERROR(__xludf.DUMMYFUNCTION("""🏘️ ""&amp;REGEXEXTRACT(B2124, ""^(.*): "")&amp;"" ✅ "" &amp;REGEXEXTRACT(B2124, ""(Trouvez.*)"")"),"🏘️ Louer appartement Noréaz ✅ Trouvez le bien immobilier qui correspond idéalement à vos désirs sur ImmoScout24 - La plateforme de l'immobilier en Suisse.")</f>
        <v>🏘️ Louer appartement Noréaz ✅ Trouvez le bien immobilier qui correspond idéalement à vos désirs sur ImmoScout24 - La plateforme de l'immobilier en Suisse.</v>
      </c>
      <c r="D2124" s="4" t="str">
        <f>vlookup(A2124, Sheet2!D:E, 2, 0)</f>
        <v>variant</v>
      </c>
      <c r="E2124" s="4" t="str">
        <f>IFERROR(__xludf.DUMMYFUNCTION("if(H2124=""pays"",vlookup(REGEXEXTRACT(C2124, ""🏘️ \w+ \w+ (.*) ✅""),'Country prepositions'!A:B, 2, 0) &amp; "" "" &amp; REGEXEXTRACT(C2124, ""🏘️ \w+ \w+ (.*) ✅"") ,  if(H2124=""quartier"",vlookup(REGEXEXTRACT(C2124, ""🏘️ \w+ \w+ (.*) ✅""),'Quartier prepositio"&amp;"ns'!A:E, 5, 0) ,  if(H2124=""region"",vlookup(REGEXEXTRACT(C2124, ""🏘️ \w+ \w+ (.*) ✅""),'Region prepositions'!B:F, 5, 0),  REGEXEXTRACT(C2124, ""🏘️ \w+ \w+ (.*) ✅""))))"),"Noréaz")</f>
        <v>Noréaz</v>
      </c>
      <c r="F2124" s="2" t="str">
        <f>IFERROR(__xludf.DUMMYFUNCTION("REGEXEXTRACT(C2124, ""🏘️ (\w+) \w+ .* ✅"")"),"Louer")</f>
        <v>Louer</v>
      </c>
      <c r="G2124" s="2" t="str">
        <f>IFERROR(__xludf.DUMMYFUNCTION("REGEXEXTRACT(C2124, ""🏘️ \w+ (\w+) .* ✅"")"),"appartement")</f>
        <v>appartement</v>
      </c>
      <c r="H2124" s="4" t="str">
        <f>IFERROR(__xludf.DUMMYFUNCTION("REGEXEXTRACT(A2124, ""/(\w+)-.*?"")"),"lieu")</f>
        <v>lieu</v>
      </c>
      <c r="I2124" s="4" t="str">
        <f>IFERROR(__xludf.DUMMYFUNCTION("if(D2124=""variant"",  substitute(filter(Templates!E:E, Templates!A:A = F2124, Templates!B:B = G2124, Templates!C:C = H2124), ""{{}}"", E2124), B2124)"),"🏘  Vous cherchez un appartement à louer à Noréaz? ✅ Les annonces les plus actuelles sont sur ImmoScout24.ch.")</f>
        <v>🏘  Vous cherchez un appartement à louer à Noréaz? ✅ Les annonces les plus actuelles sont sur ImmoScout24.ch.</v>
      </c>
      <c r="J2124" s="4" t="s">
        <v>6370</v>
      </c>
    </row>
    <row r="2125">
      <c r="A2125" s="5" t="s">
        <v>6371</v>
      </c>
      <c r="B2125" s="2" t="s">
        <v>6372</v>
      </c>
      <c r="C2125" s="4" t="str">
        <f>IFERROR(__xludf.DUMMYFUNCTION("""🏘️ ""&amp;REGEXEXTRACT(B2125, ""^(.*): "")&amp;"" ✅ "" &amp;REGEXEXTRACT(B2125, ""(Trouvez.*)"")"),"🏘️ Louer maison Champagne (Biel/Bienne) ✅ Trouvez le bien immobilier qui correspond idéalement à vos désirs sur ImmoScout24 - La plateforme de l'immobilier en Suisse.")</f>
        <v>🏘️ Louer maison Champagne (Biel/Bienne) ✅ Trouvez le bien immobilier qui correspond idéalement à vos désirs sur ImmoScout24 - La plateforme de l'immobilier en Suisse.</v>
      </c>
      <c r="D2125" s="4" t="str">
        <f>vlookup(A2125, Sheet2!D:E, 2, 0)</f>
        <v>variant</v>
      </c>
      <c r="E2125" s="4" t="str">
        <f>IFERROR(__xludf.DUMMYFUNCTION("if(H2125=""pays"",vlookup(REGEXEXTRACT(C2125, ""🏘️ \w+ \w+ (.*) ✅""),'Country prepositions'!A:B, 2, 0) &amp; "" "" &amp; REGEXEXTRACT(C2125, ""🏘️ \w+ \w+ (.*) ✅"") ,  if(H2125=""quartier"",vlookup(REGEXEXTRACT(C2125, ""🏘️ \w+ \w+ (.*) ✅""),'Quartier prepositio"&amp;"ns'!A:E, 5, 0) ,  if(H2125=""region"",vlookup(REGEXEXTRACT(C2125, ""🏘️ \w+ \w+ (.*) ✅""),'Region prepositions'!B:F, 5, 0),  REGEXEXTRACT(C2125, ""🏘️ \w+ \w+ (.*) ✅""))))"),"dans le quartier de Champagne (Biel/Bienne)")</f>
        <v>dans le quartier de Champagne (Biel/Bienne)</v>
      </c>
      <c r="F2125" s="2" t="str">
        <f>IFERROR(__xludf.DUMMYFUNCTION("REGEXEXTRACT(C2125, ""🏘️ (\w+) \w+ .* ✅"")"),"Louer")</f>
        <v>Louer</v>
      </c>
      <c r="G2125" s="2" t="str">
        <f>IFERROR(__xludf.DUMMYFUNCTION("REGEXEXTRACT(C2125, ""🏘️ \w+ (\w+) .* ✅"")"),"maison")</f>
        <v>maison</v>
      </c>
      <c r="H2125" s="4" t="str">
        <f>IFERROR(__xludf.DUMMYFUNCTION("REGEXEXTRACT(A2125, ""/(\w+)-.*?"")"),"quartier")</f>
        <v>quartier</v>
      </c>
      <c r="I2125" s="4" t="str">
        <f>IFERROR(__xludf.DUMMYFUNCTION("if(D2125=""variant"",  substitute(filter(Templates!E:E, Templates!A:A = F2125, Templates!B:B = G2125, Templates!C:C = H2125), ""{{}}"", E2125), B2125)"),"🏘  Vous cherchez une maison à louer dans le quartier de Champagne (Biel/Bienne)? ✅ Découvrez nos nombreuses annonces sur ImmoScout24.ch.")</f>
        <v>🏘  Vous cherchez une maison à louer dans le quartier de Champagne (Biel/Bienne)? ✅ Découvrez nos nombreuses annonces sur ImmoScout24.ch.</v>
      </c>
      <c r="J2125" s="4" t="s">
        <v>6373</v>
      </c>
    </row>
    <row r="2126">
      <c r="A2126" s="5" t="s">
        <v>6374</v>
      </c>
      <c r="B2126" s="2" t="s">
        <v>6375</v>
      </c>
      <c r="C2126" s="4" t="str">
        <f>IFERROR(__xludf.DUMMYFUNCTION("""🏘️ ""&amp;REGEXEXTRACT(B2126, ""^(.*): "")&amp;"" ✅ "" &amp;REGEXEXTRACT(B2126, ""(Trouvez.*)"")"),"🏘️ Vendre appartement Aadorf ✅ Trouvez le bien immobilier qui correspond idéalement à vos désirs sur ImmoScout24 - La plateforme de l'immobilier en Suisse.")</f>
        <v>🏘️ Vendre appartement Aadorf ✅ Trouvez le bien immobilier qui correspond idéalement à vos désirs sur ImmoScout24 - La plateforme de l'immobilier en Suisse.</v>
      </c>
      <c r="D2126" s="4" t="str">
        <f>vlookup(A2126, Sheet2!D:E, 2, 0)</f>
        <v>variant</v>
      </c>
      <c r="E2126" s="4" t="str">
        <f>IFERROR(__xludf.DUMMYFUNCTION("if(H2126=""pays"",vlookup(REGEXEXTRACT(C2126, ""🏘️ \w+ \w+ (.*) ✅""),'Country prepositions'!A:B, 2, 0) &amp; "" "" &amp; REGEXEXTRACT(C2126, ""🏘️ \w+ \w+ (.*) ✅"") ,  if(H2126=""quartier"",vlookup(REGEXEXTRACT(C2126, ""🏘️ \w+ \w+ (.*) ✅""),'Quartier prepositio"&amp;"ns'!A:E, 5, 0) ,  if(H2126=""region"",vlookup(REGEXEXTRACT(C2126, ""🏘️ \w+ \w+ (.*) ✅""),'Region prepositions'!B:F, 5, 0),  REGEXEXTRACT(C2126, ""🏘️ \w+ \w+ (.*) ✅""))))"),"Aadorf")</f>
        <v>Aadorf</v>
      </c>
      <c r="F2126" s="2" t="str">
        <f>IFERROR(__xludf.DUMMYFUNCTION("REGEXEXTRACT(C2126, ""🏘️ (\w+) \w+ .* ✅"")"),"Vendre")</f>
        <v>Vendre</v>
      </c>
      <c r="G2126" s="2" t="str">
        <f>IFERROR(__xludf.DUMMYFUNCTION("REGEXEXTRACT(C2126, ""🏘️ \w+ (\w+) .* ✅"")"),"appartement")</f>
        <v>appartement</v>
      </c>
      <c r="H2126" s="4" t="str">
        <f>IFERROR(__xludf.DUMMYFUNCTION("REGEXEXTRACT(A2126, ""/(\w+)-.*?"")"),"lieu")</f>
        <v>lieu</v>
      </c>
      <c r="I2126" s="4" t="str">
        <f>IFERROR(__xludf.DUMMYFUNCTION("if(D2126=""variant"",  substitute(filter(Templates!E:E, Templates!A:A = F2126, Templates!B:B = G2126, Templates!C:C = H2126), ""{{}}"", E2126), B2126)"),"🏘  L’appartement de vos rêves se trouve sur ImmoScout24.ch ✅ Découvrez les dernières annonces de vente à Aadorf.")</f>
        <v>🏘  L’appartement de vos rêves se trouve sur ImmoScout24.ch ✅ Découvrez les dernières annonces de vente à Aadorf.</v>
      </c>
      <c r="J2126" s="4" t="s">
        <v>6376</v>
      </c>
    </row>
    <row r="2127">
      <c r="A2127" s="5" t="s">
        <v>6377</v>
      </c>
      <c r="B2127" s="2" t="s">
        <v>6378</v>
      </c>
      <c r="C2127" s="4" t="str">
        <f>IFERROR(__xludf.DUMMYFUNCTION("""🏘️ ""&amp;REGEXEXTRACT(B2127, ""^(.*): "")&amp;"" ✅ "" &amp;REGEXEXTRACT(B2127, ""(Trouvez.*)"")"),"🏘️ Vendre appartement Cologny ✅ Trouvez le bien immobilier qui correspond idéalement à vos désirs sur ImmoScout24 - La plateforme de l'immobilier en Suisse.")</f>
        <v>🏘️ Vendre appartement Cologny ✅ Trouvez le bien immobilier qui correspond idéalement à vos désirs sur ImmoScout24 - La plateforme de l'immobilier en Suisse.</v>
      </c>
      <c r="D2127" s="4" t="str">
        <f>vlookup(A2127, Sheet2!D:E, 2, 0)</f>
        <v>variant</v>
      </c>
      <c r="E2127" s="4" t="str">
        <f>IFERROR(__xludf.DUMMYFUNCTION("if(H2127=""pays"",vlookup(REGEXEXTRACT(C2127, ""🏘️ \w+ \w+ (.*) ✅""),'Country prepositions'!A:B, 2, 0) &amp; "" "" &amp; REGEXEXTRACT(C2127, ""🏘️ \w+ \w+ (.*) ✅"") ,  if(H2127=""quartier"",vlookup(REGEXEXTRACT(C2127, ""🏘️ \w+ \w+ (.*) ✅""),'Quartier prepositio"&amp;"ns'!A:E, 5, 0) ,  if(H2127=""region"",vlookup(REGEXEXTRACT(C2127, ""🏘️ \w+ \w+ (.*) ✅""),'Region prepositions'!B:F, 5, 0),  REGEXEXTRACT(C2127, ""🏘️ \w+ \w+ (.*) ✅""))))"),"Cologny")</f>
        <v>Cologny</v>
      </c>
      <c r="F2127" s="2" t="str">
        <f>IFERROR(__xludf.DUMMYFUNCTION("REGEXEXTRACT(C2127, ""🏘️ (\w+) \w+ .* ✅"")"),"Vendre")</f>
        <v>Vendre</v>
      </c>
      <c r="G2127" s="2" t="str">
        <f>IFERROR(__xludf.DUMMYFUNCTION("REGEXEXTRACT(C2127, ""🏘️ \w+ (\w+) .* ✅"")"),"appartement")</f>
        <v>appartement</v>
      </c>
      <c r="H2127" s="4" t="str">
        <f>IFERROR(__xludf.DUMMYFUNCTION("REGEXEXTRACT(A2127, ""/(\w+)-.*?"")"),"lieu")</f>
        <v>lieu</v>
      </c>
      <c r="I2127" s="4" t="str">
        <f>IFERROR(__xludf.DUMMYFUNCTION("if(D2127=""variant"",  substitute(filter(Templates!E:E, Templates!A:A = F2127, Templates!B:B = G2127, Templates!C:C = H2127), ""{{}}"", E2127), B2127)"),"🏘  L’appartement de vos rêves se trouve sur ImmoScout24.ch ✅ Découvrez les dernières annonces de vente à Cologny.")</f>
        <v>🏘  L’appartement de vos rêves se trouve sur ImmoScout24.ch ✅ Découvrez les dernières annonces de vente à Cologny.</v>
      </c>
      <c r="J2127" s="4" t="s">
        <v>6379</v>
      </c>
    </row>
    <row r="2128">
      <c r="A2128" s="5" t="s">
        <v>6380</v>
      </c>
      <c r="B2128" s="2" t="s">
        <v>6381</v>
      </c>
      <c r="C2128" s="4" t="str">
        <f>IFERROR(__xludf.DUMMYFUNCTION("""🏘️ ""&amp;REGEXEXTRACT(B2128, ""^(.*): "")&amp;"" ✅ "" &amp;REGEXEXTRACT(B2128, ""(Trouvez.*)"")"),"🏘️ Vendre appartement Granges-de-Vesin ✅ Trouvez le bien immobilier qui correspond idéalement à vos désirs sur ImmoScout24 - La plateforme de l'immobilier en Suisse.")</f>
        <v>🏘️ Vendre appartement Granges-de-Vesin ✅ Trouvez le bien immobilier qui correspond idéalement à vos désirs sur ImmoScout24 - La plateforme de l'immobilier en Suisse.</v>
      </c>
      <c r="D2128" s="4" t="str">
        <f>vlookup(A2128, Sheet2!D:E, 2, 0)</f>
        <v>variant</v>
      </c>
      <c r="E2128" s="4" t="str">
        <f>IFERROR(__xludf.DUMMYFUNCTION("if(H2128=""pays"",vlookup(REGEXEXTRACT(C2128, ""🏘️ \w+ \w+ (.*) ✅""),'Country prepositions'!A:B, 2, 0) &amp; "" "" &amp; REGEXEXTRACT(C2128, ""🏘️ \w+ \w+ (.*) ✅"") ,  if(H2128=""quartier"",vlookup(REGEXEXTRACT(C2128, ""🏘️ \w+ \w+ (.*) ✅""),'Quartier prepositio"&amp;"ns'!A:E, 5, 0) ,  if(H2128=""region"",vlookup(REGEXEXTRACT(C2128, ""🏘️ \w+ \w+ (.*) ✅""),'Region prepositions'!B:F, 5, 0),  REGEXEXTRACT(C2128, ""🏘️ \w+ \w+ (.*) ✅""))))"),"Granges-de-Vesin")</f>
        <v>Granges-de-Vesin</v>
      </c>
      <c r="F2128" s="2" t="str">
        <f>IFERROR(__xludf.DUMMYFUNCTION("REGEXEXTRACT(C2128, ""🏘️ (\w+) \w+ .* ✅"")"),"Vendre")</f>
        <v>Vendre</v>
      </c>
      <c r="G2128" s="2" t="str">
        <f>IFERROR(__xludf.DUMMYFUNCTION("REGEXEXTRACT(C2128, ""🏘️ \w+ (\w+) .* ✅"")"),"appartement")</f>
        <v>appartement</v>
      </c>
      <c r="H2128" s="4" t="str">
        <f>IFERROR(__xludf.DUMMYFUNCTION("REGEXEXTRACT(A2128, ""/(\w+)-.*?"")"),"lieu")</f>
        <v>lieu</v>
      </c>
      <c r="I2128" s="4" t="str">
        <f>IFERROR(__xludf.DUMMYFUNCTION("if(D2128=""variant"",  substitute(filter(Templates!E:E, Templates!A:A = F2128, Templates!B:B = G2128, Templates!C:C = H2128), ""{{}}"", E2128), B2128)"),"🏘  L’appartement de vos rêves se trouve sur ImmoScout24.ch ✅ Découvrez les dernières annonces de vente à Granges-de-Vesin.")</f>
        <v>🏘  L’appartement de vos rêves se trouve sur ImmoScout24.ch ✅ Découvrez les dernières annonces de vente à Granges-de-Vesin.</v>
      </c>
      <c r="J2128" s="4" t="s">
        <v>6382</v>
      </c>
    </row>
    <row r="2129">
      <c r="A2129" s="5" t="s">
        <v>6383</v>
      </c>
      <c r="B2129" s="2" t="s">
        <v>6384</v>
      </c>
      <c r="C2129" s="4" t="str">
        <f>IFERROR(__xludf.DUMMYFUNCTION("""🏘️ ""&amp;REGEXEXTRACT(B2129, ""^(.*): "")&amp;"" ✅ "" &amp;REGEXEXTRACT(B2129, ""(Trouvez.*)"")"),"🏘️ Vendre maison Sirnach ✅ Trouvez le bien immobilier qui correspond idéalement à vos désirs sur ImmoScout24 - La plateforme de l'immobilier en Suisse.")</f>
        <v>🏘️ Vendre maison Sirnach ✅ Trouvez le bien immobilier qui correspond idéalement à vos désirs sur ImmoScout24 - La plateforme de l'immobilier en Suisse.</v>
      </c>
      <c r="D2129" s="4" t="str">
        <f>vlookup(A2129, Sheet2!D:E, 2, 0)</f>
        <v>variant</v>
      </c>
      <c r="E2129" s="4" t="str">
        <f>IFERROR(__xludf.DUMMYFUNCTION("if(H2129=""pays"",vlookup(REGEXEXTRACT(C2129, ""🏘️ \w+ \w+ (.*) ✅""),'Country prepositions'!A:B, 2, 0) &amp; "" "" &amp; REGEXEXTRACT(C2129, ""🏘️ \w+ \w+ (.*) ✅"") ,  if(H2129=""quartier"",vlookup(REGEXEXTRACT(C2129, ""🏘️ \w+ \w+ (.*) ✅""),'Quartier prepositio"&amp;"ns'!A:E, 5, 0) ,  if(H2129=""region"",vlookup(REGEXEXTRACT(C2129, ""🏘️ \w+ \w+ (.*) ✅""),'Region prepositions'!B:F, 5, 0),  REGEXEXTRACT(C2129, ""🏘️ \w+ \w+ (.*) ✅""))))"),"Sirnach")</f>
        <v>Sirnach</v>
      </c>
      <c r="F2129" s="2" t="str">
        <f>IFERROR(__xludf.DUMMYFUNCTION("REGEXEXTRACT(C2129, ""🏘️ (\w+) \w+ .* ✅"")"),"Vendre")</f>
        <v>Vendre</v>
      </c>
      <c r="G2129" s="2" t="str">
        <f>IFERROR(__xludf.DUMMYFUNCTION("REGEXEXTRACT(C2129, ""🏘️ \w+ (\w+) .* ✅"")"),"maison")</f>
        <v>maison</v>
      </c>
      <c r="H2129" s="4" t="str">
        <f>IFERROR(__xludf.DUMMYFUNCTION("REGEXEXTRACT(A2129, ""/(\w+)-.*?"")"),"lieu")</f>
        <v>lieu</v>
      </c>
      <c r="I2129" s="4" t="str">
        <f>IFERROR(__xludf.DUMMYFUNCTION("if(D2129=""variant"",  substitute(filter(Templates!E:E, Templates!A:A = F2129, Templates!B:B = G2129, Templates!C:C = H2129), ""{{}}"", E2129), B2129)"),"🏘  Vous souhaitez acheter une maison à Sirnach? ✅ Jetez un œil aux dernières offres sur ImmoScout24.ch.")</f>
        <v>🏘  Vous souhaitez acheter une maison à Sirnach? ✅ Jetez un œil aux dernières offres sur ImmoScout24.ch.</v>
      </c>
      <c r="J2129" s="4" t="s">
        <v>6385</v>
      </c>
    </row>
    <row r="2130">
      <c r="A2130" s="5" t="s">
        <v>6386</v>
      </c>
      <c r="B2130" s="2" t="s">
        <v>6387</v>
      </c>
      <c r="C2130" s="4" t="str">
        <f>IFERROR(__xludf.DUMMYFUNCTION("""🏘️ ""&amp;REGEXEXTRACT(B2130, ""^(.*): "")&amp;"" ✅ "" &amp;REGEXEXTRACT(B2130, ""(Trouvez.*)"")"),"🏘️ Louer maison Tafers ✅ Trouvez le bien immobilier qui correspond idéalement à vos désirs sur ImmoScout24 - La plateforme de l'immobilier en Suisse.")</f>
        <v>🏘️ Louer maison Tafers ✅ Trouvez le bien immobilier qui correspond idéalement à vos désirs sur ImmoScout24 - La plateforme de l'immobilier en Suisse.</v>
      </c>
      <c r="D2130" s="4" t="str">
        <f>vlookup(A2130, Sheet2!D:E, 2, 0)</f>
        <v>variant</v>
      </c>
      <c r="E2130" s="4" t="str">
        <f>IFERROR(__xludf.DUMMYFUNCTION("if(H2130=""pays"",vlookup(REGEXEXTRACT(C2130, ""🏘️ \w+ \w+ (.*) ✅""),'Country prepositions'!A:B, 2, 0) &amp; "" "" &amp; REGEXEXTRACT(C2130, ""🏘️ \w+ \w+ (.*) ✅"") ,  if(H2130=""quartier"",vlookup(REGEXEXTRACT(C2130, ""🏘️ \w+ \w+ (.*) ✅""),'Quartier prepositio"&amp;"ns'!A:E, 5, 0) ,  if(H2130=""region"",vlookup(REGEXEXTRACT(C2130, ""🏘️ \w+ \w+ (.*) ✅""),'Region prepositions'!B:F, 5, 0),  REGEXEXTRACT(C2130, ""🏘️ \w+ \w+ (.*) ✅""))))"),"Tafers")</f>
        <v>Tafers</v>
      </c>
      <c r="F2130" s="2" t="str">
        <f>IFERROR(__xludf.DUMMYFUNCTION("REGEXEXTRACT(C2130, ""🏘️ (\w+) \w+ .* ✅"")"),"Louer")</f>
        <v>Louer</v>
      </c>
      <c r="G2130" s="2" t="str">
        <f>IFERROR(__xludf.DUMMYFUNCTION("REGEXEXTRACT(C2130, ""🏘️ \w+ (\w+) .* ✅"")"),"maison")</f>
        <v>maison</v>
      </c>
      <c r="H2130" s="4" t="str">
        <f>IFERROR(__xludf.DUMMYFUNCTION("REGEXEXTRACT(A2130, ""/(\w+)-.*?"")"),"lieu")</f>
        <v>lieu</v>
      </c>
      <c r="I2130" s="4" t="str">
        <f>IFERROR(__xludf.DUMMYFUNCTION("if(D2130=""variant"",  substitute(filter(Templates!E:E, Templates!A:A = F2130, Templates!B:B = G2130, Templates!C:C = H2130), ""{{}}"", E2130), B2130)"),"🏘  Vous cherchez une maison à louer à Tafers? ✅ Découvrez nos nombreuses annonces sur ImmoScout24.ch.")</f>
        <v>🏘  Vous cherchez une maison à louer à Tafers? ✅ Découvrez nos nombreuses annonces sur ImmoScout24.ch.</v>
      </c>
      <c r="J2130" s="4" t="s">
        <v>6388</v>
      </c>
    </row>
    <row r="2131">
      <c r="A2131" s="5" t="s">
        <v>6389</v>
      </c>
      <c r="B2131" s="2" t="s">
        <v>6390</v>
      </c>
      <c r="C2131" s="4" t="str">
        <f>IFERROR(__xludf.DUMMYFUNCTION("""🏘️ ""&amp;REGEXEXTRACT(B2131, ""^(.*): "")&amp;"" ✅ "" &amp;REGEXEXTRACT(B2131, ""(Trouvez.*)"")"),"🏘️ Vendre maison Hagneck ✅ Trouvez le bien immobilier qui correspond idéalement à vos désirs sur ImmoScout24 - La plateforme de l'immobilier en Suisse.")</f>
        <v>🏘️ Vendre maison Hagneck ✅ Trouvez le bien immobilier qui correspond idéalement à vos désirs sur ImmoScout24 - La plateforme de l'immobilier en Suisse.</v>
      </c>
      <c r="D2131" s="4" t="str">
        <f>vlookup(A2131, Sheet2!D:E, 2, 0)</f>
        <v>variant</v>
      </c>
      <c r="E2131" s="4" t="str">
        <f>IFERROR(__xludf.DUMMYFUNCTION("if(H2131=""pays"",vlookup(REGEXEXTRACT(C2131, ""🏘️ \w+ \w+ (.*) ✅""),'Country prepositions'!A:B, 2, 0) &amp; "" "" &amp; REGEXEXTRACT(C2131, ""🏘️ \w+ \w+ (.*) ✅"") ,  if(H2131=""quartier"",vlookup(REGEXEXTRACT(C2131, ""🏘️ \w+ \w+ (.*) ✅""),'Quartier prepositio"&amp;"ns'!A:E, 5, 0) ,  if(H2131=""region"",vlookup(REGEXEXTRACT(C2131, ""🏘️ \w+ \w+ (.*) ✅""),'Region prepositions'!B:F, 5, 0),  REGEXEXTRACT(C2131, ""🏘️ \w+ \w+ (.*) ✅""))))"),"Hagneck")</f>
        <v>Hagneck</v>
      </c>
      <c r="F2131" s="2" t="str">
        <f>IFERROR(__xludf.DUMMYFUNCTION("REGEXEXTRACT(C2131, ""🏘️ (\w+) \w+ .* ✅"")"),"Vendre")</f>
        <v>Vendre</v>
      </c>
      <c r="G2131" s="2" t="str">
        <f>IFERROR(__xludf.DUMMYFUNCTION("REGEXEXTRACT(C2131, ""🏘️ \w+ (\w+) .* ✅"")"),"maison")</f>
        <v>maison</v>
      </c>
      <c r="H2131" s="4" t="str">
        <f>IFERROR(__xludf.DUMMYFUNCTION("REGEXEXTRACT(A2131, ""/(\w+)-.*?"")"),"lieu")</f>
        <v>lieu</v>
      </c>
      <c r="I2131" s="4" t="str">
        <f>IFERROR(__xludf.DUMMYFUNCTION("if(D2131=""variant"",  substitute(filter(Templates!E:E, Templates!A:A = F2131, Templates!B:B = G2131, Templates!C:C = H2131), ""{{}}"", E2131), B2131)"),"🏘  Vous souhaitez acheter une maison à Hagneck? ✅ Jetez un œil aux dernières offres sur ImmoScout24.ch.")</f>
        <v>🏘  Vous souhaitez acheter une maison à Hagneck? ✅ Jetez un œil aux dernières offres sur ImmoScout24.ch.</v>
      </c>
      <c r="J2131" s="4" t="s">
        <v>6391</v>
      </c>
    </row>
    <row r="2132">
      <c r="A2132" s="5" t="s">
        <v>6392</v>
      </c>
      <c r="B2132" s="2" t="s">
        <v>6393</v>
      </c>
      <c r="C2132" s="4" t="str">
        <f>IFERROR(__xludf.DUMMYFUNCTION("""🏘️ ""&amp;REGEXEXTRACT(B2132, ""^(.*): "")&amp;"" ✅ "" &amp;REGEXEXTRACT(B2132, ""(Trouvez.*)"")"),"🏘️ Vendre appartement Grandvaux ✅ Trouvez le bien immobilier qui correspond idéalement à vos désirs sur ImmoScout24 - La plateforme de l'immobilier en Suisse.")</f>
        <v>🏘️ Vendre appartement Grandvaux ✅ Trouvez le bien immobilier qui correspond idéalement à vos désirs sur ImmoScout24 - La plateforme de l'immobilier en Suisse.</v>
      </c>
      <c r="D2132" s="4" t="str">
        <f>vlookup(A2132, Sheet2!D:E, 2, 0)</f>
        <v>variant</v>
      </c>
      <c r="E2132" s="4" t="str">
        <f>IFERROR(__xludf.DUMMYFUNCTION("if(H2132=""pays"",vlookup(REGEXEXTRACT(C2132, ""🏘️ \w+ \w+ (.*) ✅""),'Country prepositions'!A:B, 2, 0) &amp; "" "" &amp; REGEXEXTRACT(C2132, ""🏘️ \w+ \w+ (.*) ✅"") ,  if(H2132=""quartier"",vlookup(REGEXEXTRACT(C2132, ""🏘️ \w+ \w+ (.*) ✅""),'Quartier prepositio"&amp;"ns'!A:E, 5, 0) ,  if(H2132=""region"",vlookup(REGEXEXTRACT(C2132, ""🏘️ \w+ \w+ (.*) ✅""),'Region prepositions'!B:F, 5, 0),  REGEXEXTRACT(C2132, ""🏘️ \w+ \w+ (.*) ✅""))))"),"Grandvaux")</f>
        <v>Grandvaux</v>
      </c>
      <c r="F2132" s="2" t="str">
        <f>IFERROR(__xludf.DUMMYFUNCTION("REGEXEXTRACT(C2132, ""🏘️ (\w+) \w+ .* ✅"")"),"Vendre")</f>
        <v>Vendre</v>
      </c>
      <c r="G2132" s="2" t="str">
        <f>IFERROR(__xludf.DUMMYFUNCTION("REGEXEXTRACT(C2132, ""🏘️ \w+ (\w+) .* ✅"")"),"appartement")</f>
        <v>appartement</v>
      </c>
      <c r="H2132" s="4" t="str">
        <f>IFERROR(__xludf.DUMMYFUNCTION("REGEXEXTRACT(A2132, ""/(\w+)-.*?"")"),"lieu")</f>
        <v>lieu</v>
      </c>
      <c r="I2132" s="4" t="str">
        <f>IFERROR(__xludf.DUMMYFUNCTION("if(D2132=""variant"",  substitute(filter(Templates!E:E, Templates!A:A = F2132, Templates!B:B = G2132, Templates!C:C = H2132), ""{{}}"", E2132), B2132)"),"🏘  L’appartement de vos rêves se trouve sur ImmoScout24.ch ✅ Découvrez les dernières annonces de vente à Grandvaux.")</f>
        <v>🏘  L’appartement de vos rêves se trouve sur ImmoScout24.ch ✅ Découvrez les dernières annonces de vente à Grandvaux.</v>
      </c>
      <c r="J2132" s="4" t="s">
        <v>6394</v>
      </c>
    </row>
    <row r="2133">
      <c r="A2133" s="5" t="s">
        <v>6395</v>
      </c>
      <c r="B2133" s="2" t="s">
        <v>6396</v>
      </c>
      <c r="C2133" s="4" t="str">
        <f>IFERROR(__xludf.DUMMYFUNCTION("""🏘️ ""&amp;REGEXEXTRACT(B2133, ""^(.*): "")&amp;"" ✅ "" &amp;REGEXEXTRACT(B2133, ""(Trouvez.*)"")"),"🏘️ Vendre maison Bümpliz (Berne) ✅ Trouvez le bien immobilier qui correspond idéalement à vos désirs sur ImmoScout24 - La plateforme de l'immobilier en Suisse.")</f>
        <v>🏘️ Vendre maison Bümpliz (Berne) ✅ Trouvez le bien immobilier qui correspond idéalement à vos désirs sur ImmoScout24 - La plateforme de l'immobilier en Suisse.</v>
      </c>
      <c r="D2133" s="4" t="str">
        <f>vlookup(A2133, Sheet2!D:E, 2, 0)</f>
        <v>variant</v>
      </c>
      <c r="E2133" s="4" t="str">
        <f>IFERROR(__xludf.DUMMYFUNCTION("if(H2133=""pays"",vlookup(REGEXEXTRACT(C2133, ""🏘️ \w+ \w+ (.*) ✅""),'Country prepositions'!A:B, 2, 0) &amp; "" "" &amp; REGEXEXTRACT(C2133, ""🏘️ \w+ \w+ (.*) ✅"") ,  if(H2133=""quartier"",vlookup(REGEXEXTRACT(C2133, ""🏘️ \w+ \w+ (.*) ✅""),'Quartier prepositio"&amp;"ns'!A:E, 5, 0) ,  if(H2133=""region"",vlookup(REGEXEXTRACT(C2133, ""🏘️ \w+ \w+ (.*) ✅""),'Region prepositions'!B:F, 5, 0),  REGEXEXTRACT(C2133, ""🏘️ \w+ \w+ (.*) ✅""))))"),"dans le quartier de Bümpliz (Berne)")</f>
        <v>dans le quartier de Bümpliz (Berne)</v>
      </c>
      <c r="F2133" s="2" t="str">
        <f>IFERROR(__xludf.DUMMYFUNCTION("REGEXEXTRACT(C2133, ""🏘️ (\w+) \w+ .* ✅"")"),"Vendre")</f>
        <v>Vendre</v>
      </c>
      <c r="G2133" s="2" t="str">
        <f>IFERROR(__xludf.DUMMYFUNCTION("REGEXEXTRACT(C2133, ""🏘️ \w+ (\w+) .* ✅"")"),"maison")</f>
        <v>maison</v>
      </c>
      <c r="H2133" s="4" t="str">
        <f>IFERROR(__xludf.DUMMYFUNCTION("REGEXEXTRACT(A2133, ""/(\w+)-.*?"")"),"quartier")</f>
        <v>quartier</v>
      </c>
      <c r="I2133" s="4" t="str">
        <f>IFERROR(__xludf.DUMMYFUNCTION("if(D2133=""variant"",  substitute(filter(Templates!E:E, Templates!A:A = F2133, Templates!B:B = G2133, Templates!C:C = H2133), ""{{}}"", E2133), B2133)"),"🏘  Vous souhaitez acheter une maison dans le quartier de Bümpliz (Berne)? ✅ Jetez un œil aux dernières offres sur ImmoScout24.ch.")</f>
        <v>🏘  Vous souhaitez acheter une maison dans le quartier de Bümpliz (Berne)? ✅ Jetez un œil aux dernières offres sur ImmoScout24.ch.</v>
      </c>
      <c r="J2133" s="4" t="s">
        <v>6397</v>
      </c>
    </row>
    <row r="2134">
      <c r="A2134" s="5" t="s">
        <v>6398</v>
      </c>
      <c r="B2134" s="2" t="s">
        <v>6399</v>
      </c>
      <c r="C2134" s="4" t="str">
        <f>IFERROR(__xludf.DUMMYFUNCTION("""🏘️ ""&amp;REGEXEXTRACT(B2134, ""^(.*): "")&amp;"" ✅ "" &amp;REGEXEXTRACT(B2134, ""(Trouvez.*)"")"),"🏘️ Vendre maison Rocourt ✅ Trouvez le bien immobilier qui correspond idéalement à vos désirs sur ImmoScout24 - La plateforme de l'immobilier en Suisse.")</f>
        <v>🏘️ Vendre maison Rocourt ✅ Trouvez le bien immobilier qui correspond idéalement à vos désirs sur ImmoScout24 - La plateforme de l'immobilier en Suisse.</v>
      </c>
      <c r="D2134" s="4" t="str">
        <f>vlookup(A2134, Sheet2!D:E, 2, 0)</f>
        <v>variant</v>
      </c>
      <c r="E2134" s="4" t="str">
        <f>IFERROR(__xludf.DUMMYFUNCTION("if(H2134=""pays"",vlookup(REGEXEXTRACT(C2134, ""🏘️ \w+ \w+ (.*) ✅""),'Country prepositions'!A:B, 2, 0) &amp; "" "" &amp; REGEXEXTRACT(C2134, ""🏘️ \w+ \w+ (.*) ✅"") ,  if(H2134=""quartier"",vlookup(REGEXEXTRACT(C2134, ""🏘️ \w+ \w+ (.*) ✅""),'Quartier prepositio"&amp;"ns'!A:E, 5, 0) ,  if(H2134=""region"",vlookup(REGEXEXTRACT(C2134, ""🏘️ \w+ \w+ (.*) ✅""),'Region prepositions'!B:F, 5, 0),  REGEXEXTRACT(C2134, ""🏘️ \w+ \w+ (.*) ✅""))))"),"Rocourt")</f>
        <v>Rocourt</v>
      </c>
      <c r="F2134" s="2" t="str">
        <f>IFERROR(__xludf.DUMMYFUNCTION("REGEXEXTRACT(C2134, ""🏘️ (\w+) \w+ .* ✅"")"),"Vendre")</f>
        <v>Vendre</v>
      </c>
      <c r="G2134" s="2" t="str">
        <f>IFERROR(__xludf.DUMMYFUNCTION("REGEXEXTRACT(C2134, ""🏘️ \w+ (\w+) .* ✅"")"),"maison")</f>
        <v>maison</v>
      </c>
      <c r="H2134" s="4" t="str">
        <f>IFERROR(__xludf.DUMMYFUNCTION("REGEXEXTRACT(A2134, ""/(\w+)-.*?"")"),"lieu")</f>
        <v>lieu</v>
      </c>
      <c r="I2134" s="4" t="str">
        <f>IFERROR(__xludf.DUMMYFUNCTION("if(D2134=""variant"",  substitute(filter(Templates!E:E, Templates!A:A = F2134, Templates!B:B = G2134, Templates!C:C = H2134), ""{{}}"", E2134), B2134)"),"🏘  Vous souhaitez acheter une maison à Rocourt? ✅ Jetez un œil aux dernières offres sur ImmoScout24.ch.")</f>
        <v>🏘  Vous souhaitez acheter une maison à Rocourt? ✅ Jetez un œil aux dernières offres sur ImmoScout24.ch.</v>
      </c>
      <c r="J2134" s="4" t="s">
        <v>6400</v>
      </c>
    </row>
    <row r="2135">
      <c r="A2135" s="5" t="s">
        <v>6401</v>
      </c>
      <c r="B2135" s="2" t="s">
        <v>6402</v>
      </c>
      <c r="C2135" s="4" t="str">
        <f>IFERROR(__xludf.DUMMYFUNCTION("""🏘️ ""&amp;REGEXEXTRACT(B2135, ""^(.*): "")&amp;"" ✅ "" &amp;REGEXEXTRACT(B2135, ""(Trouvez.*)"")"),"🏘️ Louer appartement Hindelbank ✅ Trouvez le bien immobilier qui correspond idéalement à vos désirs sur ImmoScout24 - La plateforme de l'immobilier en Suisse.")</f>
        <v>🏘️ Louer appartement Hindelbank ✅ Trouvez le bien immobilier qui correspond idéalement à vos désirs sur ImmoScout24 - La plateforme de l'immobilier en Suisse.</v>
      </c>
      <c r="D2135" s="4" t="str">
        <f>vlookup(A2135, Sheet2!D:E, 2, 0)</f>
        <v>variant</v>
      </c>
      <c r="E2135" s="4" t="str">
        <f>IFERROR(__xludf.DUMMYFUNCTION("if(H2135=""pays"",vlookup(REGEXEXTRACT(C2135, ""🏘️ \w+ \w+ (.*) ✅""),'Country prepositions'!A:B, 2, 0) &amp; "" "" &amp; REGEXEXTRACT(C2135, ""🏘️ \w+ \w+ (.*) ✅"") ,  if(H2135=""quartier"",vlookup(REGEXEXTRACT(C2135, ""🏘️ \w+ \w+ (.*) ✅""),'Quartier prepositio"&amp;"ns'!A:E, 5, 0) ,  if(H2135=""region"",vlookup(REGEXEXTRACT(C2135, ""🏘️ \w+ \w+ (.*) ✅""),'Region prepositions'!B:F, 5, 0),  REGEXEXTRACT(C2135, ""🏘️ \w+ \w+ (.*) ✅""))))"),"Hindelbank")</f>
        <v>Hindelbank</v>
      </c>
      <c r="F2135" s="2" t="str">
        <f>IFERROR(__xludf.DUMMYFUNCTION("REGEXEXTRACT(C2135, ""🏘️ (\w+) \w+ .* ✅"")"),"Louer")</f>
        <v>Louer</v>
      </c>
      <c r="G2135" s="2" t="str">
        <f>IFERROR(__xludf.DUMMYFUNCTION("REGEXEXTRACT(C2135, ""🏘️ \w+ (\w+) .* ✅"")"),"appartement")</f>
        <v>appartement</v>
      </c>
      <c r="H2135" s="4" t="str">
        <f>IFERROR(__xludf.DUMMYFUNCTION("REGEXEXTRACT(A2135, ""/(\w+)-.*?"")"),"lieu")</f>
        <v>lieu</v>
      </c>
      <c r="I2135" s="4" t="str">
        <f>IFERROR(__xludf.DUMMYFUNCTION("if(D2135=""variant"",  substitute(filter(Templates!E:E, Templates!A:A = F2135, Templates!B:B = G2135, Templates!C:C = H2135), ""{{}}"", E2135), B2135)"),"🏘  Vous cherchez un appartement à louer à Hindelbank? ✅ Les annonces les plus actuelles sont sur ImmoScout24.ch.")</f>
        <v>🏘  Vous cherchez un appartement à louer à Hindelbank? ✅ Les annonces les plus actuelles sont sur ImmoScout24.ch.</v>
      </c>
      <c r="J2135" s="4" t="s">
        <v>6403</v>
      </c>
    </row>
    <row r="2136">
      <c r="A2136" s="5" t="s">
        <v>6404</v>
      </c>
      <c r="B2136" s="2" t="s">
        <v>6405</v>
      </c>
      <c r="C2136" s="4" t="str">
        <f>IFERROR(__xludf.DUMMYFUNCTION("""🏘️ ""&amp;REGEXEXTRACT(B2136, ""^(.*): "")&amp;"" ✅ "" &amp;REGEXEXTRACT(B2136, ""(Trouvez.*)"")"),"🏘️ Vendre maison Penthéréaz ✅ Trouvez le bien immobilier qui correspond idéalement à vos désirs sur ImmoScout24 - La plateforme de l'immobilier en Suisse.")</f>
        <v>🏘️ Vendre maison Penthéréaz ✅ Trouvez le bien immobilier qui correspond idéalement à vos désirs sur ImmoScout24 - La plateforme de l'immobilier en Suisse.</v>
      </c>
      <c r="D2136" s="4" t="str">
        <f>vlookup(A2136, Sheet2!D:E, 2, 0)</f>
        <v>variant</v>
      </c>
      <c r="E2136" s="4" t="str">
        <f>IFERROR(__xludf.DUMMYFUNCTION("if(H2136=""pays"",vlookup(REGEXEXTRACT(C2136, ""🏘️ \w+ \w+ (.*) ✅""),'Country prepositions'!A:B, 2, 0) &amp; "" "" &amp; REGEXEXTRACT(C2136, ""🏘️ \w+ \w+ (.*) ✅"") ,  if(H2136=""quartier"",vlookup(REGEXEXTRACT(C2136, ""🏘️ \w+ \w+ (.*) ✅""),'Quartier prepositio"&amp;"ns'!A:E, 5, 0) ,  if(H2136=""region"",vlookup(REGEXEXTRACT(C2136, ""🏘️ \w+ \w+ (.*) ✅""),'Region prepositions'!B:F, 5, 0),  REGEXEXTRACT(C2136, ""🏘️ \w+ \w+ (.*) ✅""))))"),"Penthéréaz")</f>
        <v>Penthéréaz</v>
      </c>
      <c r="F2136" s="2" t="str">
        <f>IFERROR(__xludf.DUMMYFUNCTION("REGEXEXTRACT(C2136, ""🏘️ (\w+) \w+ .* ✅"")"),"Vendre")</f>
        <v>Vendre</v>
      </c>
      <c r="G2136" s="2" t="str">
        <f>IFERROR(__xludf.DUMMYFUNCTION("REGEXEXTRACT(C2136, ""🏘️ \w+ (\w+) .* ✅"")"),"maison")</f>
        <v>maison</v>
      </c>
      <c r="H2136" s="4" t="str">
        <f>IFERROR(__xludf.DUMMYFUNCTION("REGEXEXTRACT(A2136, ""/(\w+)-.*?"")"),"lieu")</f>
        <v>lieu</v>
      </c>
      <c r="I2136" s="4" t="str">
        <f>IFERROR(__xludf.DUMMYFUNCTION("if(D2136=""variant"",  substitute(filter(Templates!E:E, Templates!A:A = F2136, Templates!B:B = G2136, Templates!C:C = H2136), ""{{}}"", E2136), B2136)"),"🏘  Vous souhaitez acheter une maison à Penthéréaz? ✅ Jetez un œil aux dernières offres sur ImmoScout24.ch.")</f>
        <v>🏘  Vous souhaitez acheter une maison à Penthéréaz? ✅ Jetez un œil aux dernières offres sur ImmoScout24.ch.</v>
      </c>
      <c r="J2136" s="4" t="s">
        <v>6406</v>
      </c>
    </row>
    <row r="2137">
      <c r="A2137" s="5" t="s">
        <v>6407</v>
      </c>
      <c r="B2137" s="2" t="s">
        <v>6408</v>
      </c>
      <c r="C2137" s="4" t="str">
        <f>IFERROR(__xludf.DUMMYFUNCTION("""🏘️ ""&amp;REGEXEXTRACT(B2137, ""^(.*): "")&amp;"" ✅ "" &amp;REGEXEXTRACT(B2137, ""(Trouvez.*)"")"),"🏘️ Louer appartement Duillier ✅ Trouvez le bien immobilier qui correspond idéalement à vos désirs sur ImmoScout24 - La plateforme de l'immobilier en Suisse.")</f>
        <v>🏘️ Louer appartement Duillier ✅ Trouvez le bien immobilier qui correspond idéalement à vos désirs sur ImmoScout24 - La plateforme de l'immobilier en Suisse.</v>
      </c>
      <c r="D2137" s="4" t="str">
        <f>vlookup(A2137, Sheet2!D:E, 2, 0)</f>
        <v>variant</v>
      </c>
      <c r="E2137" s="4" t="str">
        <f>IFERROR(__xludf.DUMMYFUNCTION("if(H2137=""pays"",vlookup(REGEXEXTRACT(C2137, ""🏘️ \w+ \w+ (.*) ✅""),'Country prepositions'!A:B, 2, 0) &amp; "" "" &amp; REGEXEXTRACT(C2137, ""🏘️ \w+ \w+ (.*) ✅"") ,  if(H2137=""quartier"",vlookup(REGEXEXTRACT(C2137, ""🏘️ \w+ \w+ (.*) ✅""),'Quartier prepositio"&amp;"ns'!A:E, 5, 0) ,  if(H2137=""region"",vlookup(REGEXEXTRACT(C2137, ""🏘️ \w+ \w+ (.*) ✅""),'Region prepositions'!B:F, 5, 0),  REGEXEXTRACT(C2137, ""🏘️ \w+ \w+ (.*) ✅""))))"),"Duillier")</f>
        <v>Duillier</v>
      </c>
      <c r="F2137" s="2" t="str">
        <f>IFERROR(__xludf.DUMMYFUNCTION("REGEXEXTRACT(C2137, ""🏘️ (\w+) \w+ .* ✅"")"),"Louer")</f>
        <v>Louer</v>
      </c>
      <c r="G2137" s="2" t="str">
        <f>IFERROR(__xludf.DUMMYFUNCTION("REGEXEXTRACT(C2137, ""🏘️ \w+ (\w+) .* ✅"")"),"appartement")</f>
        <v>appartement</v>
      </c>
      <c r="H2137" s="4" t="str">
        <f>IFERROR(__xludf.DUMMYFUNCTION("REGEXEXTRACT(A2137, ""/(\w+)-.*?"")"),"lieu")</f>
        <v>lieu</v>
      </c>
      <c r="I2137" s="4" t="str">
        <f>IFERROR(__xludf.DUMMYFUNCTION("if(D2137=""variant"",  substitute(filter(Templates!E:E, Templates!A:A = F2137, Templates!B:B = G2137, Templates!C:C = H2137), ""{{}}"", E2137), B2137)"),"🏘  Vous cherchez un appartement à louer à Duillier? ✅ Les annonces les plus actuelles sont sur ImmoScout24.ch.")</f>
        <v>🏘  Vous cherchez un appartement à louer à Duillier? ✅ Les annonces les plus actuelles sont sur ImmoScout24.ch.</v>
      </c>
      <c r="J2137" s="4" t="s">
        <v>6409</v>
      </c>
    </row>
    <row r="2138">
      <c r="A2138" s="5" t="s">
        <v>6410</v>
      </c>
      <c r="B2138" s="2" t="s">
        <v>6411</v>
      </c>
      <c r="C2138" s="4" t="str">
        <f>IFERROR(__xludf.DUMMYFUNCTION("""🏘️ ""&amp;REGEXEXTRACT(B2138, ""^(.*): "")&amp;"" ✅ "" &amp;REGEXEXTRACT(B2138, ""(Trouvez.*)"")"),"🏘️ Vendre appartement Granges (Veveyse) ✅ Trouvez le bien immobilier qui correspond idéalement à vos désirs sur ImmoScout24 - La plateforme de l'immobilier en Suisse.")</f>
        <v>🏘️ Vendre appartement Granges (Veveyse) ✅ Trouvez le bien immobilier qui correspond idéalement à vos désirs sur ImmoScout24 - La plateforme de l'immobilier en Suisse.</v>
      </c>
      <c r="D2138" s="4" t="str">
        <f>vlookup(A2138, Sheet2!D:E, 2, 0)</f>
        <v>variant</v>
      </c>
      <c r="E2138" s="4" t="str">
        <f>IFERROR(__xludf.DUMMYFUNCTION("if(H2138=""pays"",vlookup(REGEXEXTRACT(C2138, ""🏘️ \w+ \w+ (.*) ✅""),'Country prepositions'!A:B, 2, 0) &amp; "" "" &amp; REGEXEXTRACT(C2138, ""🏘️ \w+ \w+ (.*) ✅"") ,  if(H2138=""quartier"",vlookup(REGEXEXTRACT(C2138, ""🏘️ \w+ \w+ (.*) ✅""),'Quartier prepositio"&amp;"ns'!A:E, 5, 0) ,  if(H2138=""region"",vlookup(REGEXEXTRACT(C2138, ""🏘️ \w+ \w+ (.*) ✅""),'Region prepositions'!B:F, 5, 0),  REGEXEXTRACT(C2138, ""🏘️ \w+ \w+ (.*) ✅""))))"),"Granges (Veveyse)")</f>
        <v>Granges (Veveyse)</v>
      </c>
      <c r="F2138" s="2" t="str">
        <f>IFERROR(__xludf.DUMMYFUNCTION("REGEXEXTRACT(C2138, ""🏘️ (\w+) \w+ .* ✅"")"),"Vendre")</f>
        <v>Vendre</v>
      </c>
      <c r="G2138" s="2" t="str">
        <f>IFERROR(__xludf.DUMMYFUNCTION("REGEXEXTRACT(C2138, ""🏘️ \w+ (\w+) .* ✅"")"),"appartement")</f>
        <v>appartement</v>
      </c>
      <c r="H2138" s="4" t="str">
        <f>IFERROR(__xludf.DUMMYFUNCTION("REGEXEXTRACT(A2138, ""/(\w+)-.*?"")"),"lieu")</f>
        <v>lieu</v>
      </c>
      <c r="I2138" s="4" t="str">
        <f>IFERROR(__xludf.DUMMYFUNCTION("if(D2138=""variant"",  substitute(filter(Templates!E:E, Templates!A:A = F2138, Templates!B:B = G2138, Templates!C:C = H2138), ""{{}}"", E2138), B2138)"),"🏘  L’appartement de vos rêves se trouve sur ImmoScout24.ch ✅ Découvrez les dernières annonces de vente à Granges (Veveyse).")</f>
        <v>🏘  L’appartement de vos rêves se trouve sur ImmoScout24.ch ✅ Découvrez les dernières annonces de vente à Granges (Veveyse).</v>
      </c>
      <c r="J2138" s="4" t="s">
        <v>6412</v>
      </c>
    </row>
    <row r="2139">
      <c r="A2139" s="5" t="s">
        <v>6413</v>
      </c>
      <c r="B2139" s="2" t="s">
        <v>6414</v>
      </c>
      <c r="C2139" s="4" t="str">
        <f>IFERROR(__xludf.DUMMYFUNCTION("""🏘️ ""&amp;REGEXEXTRACT(B2139, ""^(.*): "")&amp;"" ✅ "" &amp;REGEXEXTRACT(B2139, ""(Trouvez.*)"")"),"🏘️ Louer maison Les Granges (Salvan) ✅ Trouvez le bien immobilier qui correspond idéalement à vos désirs sur ImmoScout24 - La plateforme de l'immobilier en Suisse.")</f>
        <v>🏘️ Louer maison Les Granges (Salvan) ✅ Trouvez le bien immobilier qui correspond idéalement à vos désirs sur ImmoScout24 - La plateforme de l'immobilier en Suisse.</v>
      </c>
      <c r="D2139" s="4" t="str">
        <f>vlookup(A2139, Sheet2!D:E, 2, 0)</f>
        <v>variant</v>
      </c>
      <c r="E2139" s="4" t="str">
        <f>IFERROR(__xludf.DUMMYFUNCTION("if(H2139=""pays"",vlookup(REGEXEXTRACT(C2139, ""🏘️ \w+ \w+ (.*) ✅""),'Country prepositions'!A:B, 2, 0) &amp; "" "" &amp; REGEXEXTRACT(C2139, ""🏘️ \w+ \w+ (.*) ✅"") ,  if(H2139=""quartier"",vlookup(REGEXEXTRACT(C2139, ""🏘️ \w+ \w+ (.*) ✅""),'Quartier prepositio"&amp;"ns'!A:E, 5, 0) ,  if(H2139=""region"",vlookup(REGEXEXTRACT(C2139, ""🏘️ \w+ \w+ (.*) ✅""),'Region prepositions'!B:F, 5, 0),  REGEXEXTRACT(C2139, ""🏘️ \w+ \w+ (.*) ✅""))))"),"Les Granges (Salvan)")</f>
        <v>Les Granges (Salvan)</v>
      </c>
      <c r="F2139" s="2" t="str">
        <f>IFERROR(__xludf.DUMMYFUNCTION("REGEXEXTRACT(C2139, ""🏘️ (\w+) \w+ .* ✅"")"),"Louer")</f>
        <v>Louer</v>
      </c>
      <c r="G2139" s="2" t="str">
        <f>IFERROR(__xludf.DUMMYFUNCTION("REGEXEXTRACT(C2139, ""🏘️ \w+ (\w+) .* ✅"")"),"maison")</f>
        <v>maison</v>
      </c>
      <c r="H2139" s="4" t="str">
        <f>IFERROR(__xludf.DUMMYFUNCTION("REGEXEXTRACT(A2139, ""/(\w+)-.*?"")"),"lieu")</f>
        <v>lieu</v>
      </c>
      <c r="I2139" s="4" t="str">
        <f>IFERROR(__xludf.DUMMYFUNCTION("if(D2139=""variant"",  substitute(filter(Templates!E:E, Templates!A:A = F2139, Templates!B:B = G2139, Templates!C:C = H2139), ""{{}}"", E2139), B2139)"),"🏘  Vous cherchez une maison à louer à Les Granges (Salvan)? ✅ Découvrez nos nombreuses annonces sur ImmoScout24.ch.")</f>
        <v>🏘  Vous cherchez une maison à louer à Les Granges (Salvan)? ✅ Découvrez nos nombreuses annonces sur ImmoScout24.ch.</v>
      </c>
      <c r="J2139" s="2" t="s">
        <v>6415</v>
      </c>
    </row>
    <row r="2140">
      <c r="A2140" s="5" t="s">
        <v>6416</v>
      </c>
      <c r="B2140" s="2" t="s">
        <v>6417</v>
      </c>
      <c r="C2140" s="4" t="str">
        <f>IFERROR(__xludf.DUMMYFUNCTION("""🏘️ ""&amp;REGEXEXTRACT(B2140, ""^(.*): "")&amp;"" ✅ "" &amp;REGEXEXTRACT(B2140, ""(Trouvez.*)"")"),"🏘️ Louer appartement Sennhof (Winterthur) ✅ Trouvez le bien immobilier qui correspond idéalement à vos désirs sur ImmoScout24 - La plateforme de l'immobilier en Suisse.")</f>
        <v>🏘️ Louer appartement Sennhof (Winterthur) ✅ Trouvez le bien immobilier qui correspond idéalement à vos désirs sur ImmoScout24 - La plateforme de l'immobilier en Suisse.</v>
      </c>
      <c r="D2140" s="4" t="str">
        <f>vlookup(A2140, Sheet2!D:E, 2, 0)</f>
        <v>variant</v>
      </c>
      <c r="E2140" s="4" t="str">
        <f>IFERROR(__xludf.DUMMYFUNCTION("if(H2140=""pays"",vlookup(REGEXEXTRACT(C2140, ""🏘️ \w+ \w+ (.*) ✅""),'Country prepositions'!A:B, 2, 0) &amp; "" "" &amp; REGEXEXTRACT(C2140, ""🏘️ \w+ \w+ (.*) ✅"") ,  if(H2140=""quartier"",vlookup(REGEXEXTRACT(C2140, ""🏘️ \w+ \w+ (.*) ✅""),'Quartier prepositio"&amp;"ns'!A:E, 5, 0) ,  if(H2140=""region"",vlookup(REGEXEXTRACT(C2140, ""🏘️ \w+ \w+ (.*) ✅""),'Region prepositions'!B:F, 5, 0),  REGEXEXTRACT(C2140, ""🏘️ \w+ \w+ (.*) ✅""))))"),"dans le quartier de Sennhof (Winterthur)")</f>
        <v>dans le quartier de Sennhof (Winterthur)</v>
      </c>
      <c r="F2140" s="2" t="str">
        <f>IFERROR(__xludf.DUMMYFUNCTION("REGEXEXTRACT(C2140, ""🏘️ (\w+) \w+ .* ✅"")"),"Louer")</f>
        <v>Louer</v>
      </c>
      <c r="G2140" s="2" t="str">
        <f>IFERROR(__xludf.DUMMYFUNCTION("REGEXEXTRACT(C2140, ""🏘️ \w+ (\w+) .* ✅"")"),"appartement")</f>
        <v>appartement</v>
      </c>
      <c r="H2140" s="4" t="str">
        <f>IFERROR(__xludf.DUMMYFUNCTION("REGEXEXTRACT(A2140, ""/(\w+)-.*?"")"),"quartier")</f>
        <v>quartier</v>
      </c>
      <c r="I2140" s="4" t="str">
        <f>IFERROR(__xludf.DUMMYFUNCTION("if(D2140=""variant"",  substitute(filter(Templates!E:E, Templates!A:A = F2140, Templates!B:B = G2140, Templates!C:C = H2140), ""{{}}"", E2140), B2140)"),"🏘  Vous cherchez un appartement à louer dans le quartier de Sennhof (Winterthur)? ✅ Les annonces les plus actuelles sont sur ImmoScout24.ch.")</f>
        <v>🏘  Vous cherchez un appartement à louer dans le quartier de Sennhof (Winterthur)? ✅ Les annonces les plus actuelles sont sur ImmoScout24.ch.</v>
      </c>
      <c r="J2140" s="4" t="s">
        <v>6418</v>
      </c>
    </row>
    <row r="2141">
      <c r="A2141" s="5" t="s">
        <v>6419</v>
      </c>
      <c r="B2141" s="2" t="s">
        <v>6420</v>
      </c>
      <c r="C2141" s="4" t="str">
        <f>IFERROR(__xludf.DUMMYFUNCTION("""🏘️ ""&amp;REGEXEXTRACT(B2141, ""^(.*): "")&amp;"" ✅ "" &amp;REGEXEXTRACT(B2141, ""(Trouvez.*)"")"),"🏘️ Vendre maison Froideville ✅ Trouvez le bien immobilier qui correspond idéalement à vos désirs sur ImmoScout24 - La plateforme de l'immobilier en Suisse.")</f>
        <v>🏘️ Vendre maison Froideville ✅ Trouvez le bien immobilier qui correspond idéalement à vos désirs sur ImmoScout24 - La plateforme de l'immobilier en Suisse.</v>
      </c>
      <c r="D2141" s="4" t="str">
        <f>vlookup(A2141, Sheet2!D:E, 2, 0)</f>
        <v>variant</v>
      </c>
      <c r="E2141" s="4" t="str">
        <f>IFERROR(__xludf.DUMMYFUNCTION("if(H2141=""pays"",vlookup(REGEXEXTRACT(C2141, ""🏘️ \w+ \w+ (.*) ✅""),'Country prepositions'!A:B, 2, 0) &amp; "" "" &amp; REGEXEXTRACT(C2141, ""🏘️ \w+ \w+ (.*) ✅"") ,  if(H2141=""quartier"",vlookup(REGEXEXTRACT(C2141, ""🏘️ \w+ \w+ (.*) ✅""),'Quartier prepositio"&amp;"ns'!A:E, 5, 0) ,  if(H2141=""region"",vlookup(REGEXEXTRACT(C2141, ""🏘️ \w+ \w+ (.*) ✅""),'Region prepositions'!B:F, 5, 0),  REGEXEXTRACT(C2141, ""🏘️ \w+ \w+ (.*) ✅""))))"),"Froideville")</f>
        <v>Froideville</v>
      </c>
      <c r="F2141" s="2" t="str">
        <f>IFERROR(__xludf.DUMMYFUNCTION("REGEXEXTRACT(C2141, ""🏘️ (\w+) \w+ .* ✅"")"),"Vendre")</f>
        <v>Vendre</v>
      </c>
      <c r="G2141" s="2" t="str">
        <f>IFERROR(__xludf.DUMMYFUNCTION("REGEXEXTRACT(C2141, ""🏘️ \w+ (\w+) .* ✅"")"),"maison")</f>
        <v>maison</v>
      </c>
      <c r="H2141" s="4" t="str">
        <f>IFERROR(__xludf.DUMMYFUNCTION("REGEXEXTRACT(A2141, ""/(\w+)-.*?"")"),"lieu")</f>
        <v>lieu</v>
      </c>
      <c r="I2141" s="4" t="str">
        <f>IFERROR(__xludf.DUMMYFUNCTION("if(D2141=""variant"",  substitute(filter(Templates!E:E, Templates!A:A = F2141, Templates!B:B = G2141, Templates!C:C = H2141), ""{{}}"", E2141), B2141)"),"🏘  Vous souhaitez acheter une maison à Froideville? ✅ Jetez un œil aux dernières offres sur ImmoScout24.ch.")</f>
        <v>🏘  Vous souhaitez acheter une maison à Froideville? ✅ Jetez un œil aux dernières offres sur ImmoScout24.ch.</v>
      </c>
      <c r="J2141" s="4" t="s">
        <v>6421</v>
      </c>
    </row>
    <row r="2142">
      <c r="A2142" s="5" t="s">
        <v>6422</v>
      </c>
      <c r="B2142" s="2" t="s">
        <v>6423</v>
      </c>
      <c r="C2142" s="4" t="str">
        <f>IFERROR(__xludf.DUMMYFUNCTION("""🏘️ ""&amp;REGEXEXTRACT(B2142, ""^(.*): "")&amp;"" ✅ "" &amp;REGEXEXTRACT(B2142, ""(Trouvez.*)"")"),"🏘️ Louer maison Murten ✅ Trouvez le bien immobilier qui correspond idéalement à vos désirs sur ImmoScout24 - La plateforme de l'immobilier en Suisse.")</f>
        <v>🏘️ Louer maison Murten ✅ Trouvez le bien immobilier qui correspond idéalement à vos désirs sur ImmoScout24 - La plateforme de l'immobilier en Suisse.</v>
      </c>
      <c r="D2142" s="4" t="str">
        <f>vlookup(A2142, Sheet2!D:E, 2, 0)</f>
        <v>variant</v>
      </c>
      <c r="E2142" s="4" t="str">
        <f>IFERROR(__xludf.DUMMYFUNCTION("if(H2142=""pays"",vlookup(REGEXEXTRACT(C2142, ""🏘️ \w+ \w+ (.*) ✅""),'Country prepositions'!A:B, 2, 0) &amp; "" "" &amp; REGEXEXTRACT(C2142, ""🏘️ \w+ \w+ (.*) ✅"") ,  if(H2142=""quartier"",vlookup(REGEXEXTRACT(C2142, ""🏘️ \w+ \w+ (.*) ✅""),'Quartier prepositio"&amp;"ns'!A:E, 5, 0) ,  if(H2142=""region"",vlookup(REGEXEXTRACT(C2142, ""🏘️ \w+ \w+ (.*) ✅""),'Region prepositions'!B:F, 5, 0),  REGEXEXTRACT(C2142, ""🏘️ \w+ \w+ (.*) ✅""))))"),"Murten")</f>
        <v>Murten</v>
      </c>
      <c r="F2142" s="2" t="str">
        <f>IFERROR(__xludf.DUMMYFUNCTION("REGEXEXTRACT(C2142, ""🏘️ (\w+) \w+ .* ✅"")"),"Louer")</f>
        <v>Louer</v>
      </c>
      <c r="G2142" s="2" t="str">
        <f>IFERROR(__xludf.DUMMYFUNCTION("REGEXEXTRACT(C2142, ""🏘️ \w+ (\w+) .* ✅"")"),"maison")</f>
        <v>maison</v>
      </c>
      <c r="H2142" s="4" t="str">
        <f>IFERROR(__xludf.DUMMYFUNCTION("REGEXEXTRACT(A2142, ""/(\w+)-.*?"")"),"lieu")</f>
        <v>lieu</v>
      </c>
      <c r="I2142" s="4" t="str">
        <f>IFERROR(__xludf.DUMMYFUNCTION("if(D2142=""variant"",  substitute(filter(Templates!E:E, Templates!A:A = F2142, Templates!B:B = G2142, Templates!C:C = H2142), ""{{}}"", E2142), B2142)"),"🏘  Vous cherchez une maison à louer à Murten? ✅ Découvrez nos nombreuses annonces sur ImmoScout24.ch.")</f>
        <v>🏘  Vous cherchez une maison à louer à Murten? ✅ Découvrez nos nombreuses annonces sur ImmoScout24.ch.</v>
      </c>
      <c r="J2142" s="4" t="s">
        <v>6424</v>
      </c>
    </row>
    <row r="2143">
      <c r="A2143" s="5" t="s">
        <v>6425</v>
      </c>
      <c r="B2143" s="2" t="s">
        <v>6426</v>
      </c>
      <c r="C2143" s="4" t="str">
        <f>IFERROR(__xludf.DUMMYFUNCTION("""🏘️ ""&amp;REGEXEXTRACT(B2143, ""^(.*): "")&amp;"" ✅ "" &amp;REGEXEXTRACT(B2143, ""(Trouvez.*)"")"),"🏘️ Vendre maison Zuoz ✅ Trouvez le bien immobilier qui correspond idéalement à vos désirs sur ImmoScout24 - La plateforme de l'immobilier en Suisse.")</f>
        <v>🏘️ Vendre maison Zuoz ✅ Trouvez le bien immobilier qui correspond idéalement à vos désirs sur ImmoScout24 - La plateforme de l'immobilier en Suisse.</v>
      </c>
      <c r="D2143" s="4" t="str">
        <f>vlookup(A2143, Sheet2!D:E, 2, 0)</f>
        <v>variant</v>
      </c>
      <c r="E2143" s="4" t="str">
        <f>IFERROR(__xludf.DUMMYFUNCTION("if(H2143=""pays"",vlookup(REGEXEXTRACT(C2143, ""🏘️ \w+ \w+ (.*) ✅""),'Country prepositions'!A:B, 2, 0) &amp; "" "" &amp; REGEXEXTRACT(C2143, ""🏘️ \w+ \w+ (.*) ✅"") ,  if(H2143=""quartier"",vlookup(REGEXEXTRACT(C2143, ""🏘️ \w+ \w+ (.*) ✅""),'Quartier prepositio"&amp;"ns'!A:E, 5, 0) ,  if(H2143=""region"",vlookup(REGEXEXTRACT(C2143, ""🏘️ \w+ \w+ (.*) ✅""),'Region prepositions'!B:F, 5, 0),  REGEXEXTRACT(C2143, ""🏘️ \w+ \w+ (.*) ✅""))))"),"Zuoz")</f>
        <v>Zuoz</v>
      </c>
      <c r="F2143" s="2" t="str">
        <f>IFERROR(__xludf.DUMMYFUNCTION("REGEXEXTRACT(C2143, ""🏘️ (\w+) \w+ .* ✅"")"),"Vendre")</f>
        <v>Vendre</v>
      </c>
      <c r="G2143" s="2" t="str">
        <f>IFERROR(__xludf.DUMMYFUNCTION("REGEXEXTRACT(C2143, ""🏘️ \w+ (\w+) .* ✅"")"),"maison")</f>
        <v>maison</v>
      </c>
      <c r="H2143" s="4" t="str">
        <f>IFERROR(__xludf.DUMMYFUNCTION("REGEXEXTRACT(A2143, ""/(\w+)-.*?"")"),"lieu")</f>
        <v>lieu</v>
      </c>
      <c r="I2143" s="4" t="str">
        <f>IFERROR(__xludf.DUMMYFUNCTION("if(D2143=""variant"",  substitute(filter(Templates!E:E, Templates!A:A = F2143, Templates!B:B = G2143, Templates!C:C = H2143), ""{{}}"", E2143), B2143)"),"🏘  Vous souhaitez acheter une maison à Zuoz? ✅ Jetez un œil aux dernières offres sur ImmoScout24.ch.")</f>
        <v>🏘  Vous souhaitez acheter une maison à Zuoz? ✅ Jetez un œil aux dernières offres sur ImmoScout24.ch.</v>
      </c>
      <c r="J2143" s="4" t="s">
        <v>6427</v>
      </c>
    </row>
    <row r="2144">
      <c r="A2144" s="5" t="s">
        <v>6428</v>
      </c>
      <c r="B2144" s="2" t="s">
        <v>6429</v>
      </c>
      <c r="C2144" s="4" t="str">
        <f>IFERROR(__xludf.DUMMYFUNCTION("""🏘️ ""&amp;REGEXEXTRACT(B2144, ""^(.*): "")&amp;"" ✅ "" &amp;REGEXEXTRACT(B2144, ""(Trouvez.*)"")"),"🏘️ Louer appartement Pouillerel-Postiers-Chevreuils (La Chaux-de-Fonds) ✅ Trouvez le bien immobilier qui correspond idéalement à vos désirs sur ImmoScout24 - La plateforme de l'immobilier en Suisse.")</f>
        <v>🏘️ Louer appartement Pouillerel-Postiers-Chevreuils (La Chaux-de-Fonds) ✅ Trouvez le bien immobilier qui correspond idéalement à vos désirs sur ImmoScout24 - La plateforme de l'immobilier en Suisse.</v>
      </c>
      <c r="D2144" s="4" t="str">
        <f>vlookup(A2144, Sheet2!D:E, 2, 0)</f>
        <v>variant</v>
      </c>
      <c r="E2144" s="4" t="str">
        <f>IFERROR(__xludf.DUMMYFUNCTION("if(H2144=""pays"",vlookup(REGEXEXTRACT(C2144, ""🏘️ \w+ \w+ (.*) ✅""),'Country prepositions'!A:B, 2, 0) &amp; "" "" &amp; REGEXEXTRACT(C2144, ""🏘️ \w+ \w+ (.*) ✅"") ,  if(H2144=""quartier"",vlookup(REGEXEXTRACT(C2144, ""🏘️ \w+ \w+ (.*) ✅""),'Quartier prepositio"&amp;"ns'!A:E, 5, 0) ,  if(H2144=""region"",vlookup(REGEXEXTRACT(C2144, ""🏘️ \w+ \w+ (.*) ✅""),'Region prepositions'!B:F, 5, 0),  REGEXEXTRACT(C2144, ""🏘️ \w+ \w+ (.*) ✅""))))"),"dans le quartier de Pouillerel-Postiers-Chevreuils (La Chaux-de-Fonds)")</f>
        <v>dans le quartier de Pouillerel-Postiers-Chevreuils (La Chaux-de-Fonds)</v>
      </c>
      <c r="F2144" s="2" t="str">
        <f>IFERROR(__xludf.DUMMYFUNCTION("REGEXEXTRACT(C2144, ""🏘️ (\w+) \w+ .* ✅"")"),"Louer")</f>
        <v>Louer</v>
      </c>
      <c r="G2144" s="2" t="str">
        <f>IFERROR(__xludf.DUMMYFUNCTION("REGEXEXTRACT(C2144, ""🏘️ \w+ (\w+) .* ✅"")"),"appartement")</f>
        <v>appartement</v>
      </c>
      <c r="H2144" s="4" t="str">
        <f>IFERROR(__xludf.DUMMYFUNCTION("REGEXEXTRACT(A2144, ""/(\w+)-.*?"")"),"quartier")</f>
        <v>quartier</v>
      </c>
      <c r="I2144" s="4" t="str">
        <f>IFERROR(__xludf.DUMMYFUNCTION("if(D2144=""variant"",  substitute(filter(Templates!E:E, Templates!A:A = F2144, Templates!B:B = G2144, Templates!C:C = H2144), ""{{}}"", E2144), B2144)"),"🏘  Vous cherchez un appartement à louer dans le quartier de Pouillerel-Postiers-Chevreuils (La Chaux-de-Fonds)? ✅ Les annonces les plus actuelles sont sur ImmoScout24.ch.")</f>
        <v>🏘  Vous cherchez un appartement à louer dans le quartier de Pouillerel-Postiers-Chevreuils (La Chaux-de-Fonds)? ✅ Les annonces les plus actuelles sont sur ImmoScout24.ch.</v>
      </c>
      <c r="J2144" s="4" t="s">
        <v>6430</v>
      </c>
    </row>
    <row r="2145">
      <c r="A2145" s="5" t="s">
        <v>6431</v>
      </c>
      <c r="B2145" s="2" t="s">
        <v>6432</v>
      </c>
      <c r="C2145" s="4" t="str">
        <f>IFERROR(__xludf.DUMMYFUNCTION("""🏘️ ""&amp;REGEXEXTRACT(B2145, ""^(.*): "")&amp;"" ✅ "" &amp;REGEXEXTRACT(B2145, ""(Trouvez.*)"")"),"🏘️ Louer appartement Ville Ancienne (La Chaux-de-Fonds) ✅ Trouvez le bien immobilier qui correspond idéalement à vos désirs sur ImmoScout24 - La plateforme de l'immobilier en Suisse.")</f>
        <v>🏘️ Louer appartement Ville Ancienne (La Chaux-de-Fonds) ✅ Trouvez le bien immobilier qui correspond idéalement à vos désirs sur ImmoScout24 - La plateforme de l'immobilier en Suisse.</v>
      </c>
      <c r="D2145" s="4" t="str">
        <f>vlookup(A2145, Sheet2!D:E, 2, 0)</f>
        <v>variant</v>
      </c>
      <c r="E2145" s="4" t="str">
        <f>IFERROR(__xludf.DUMMYFUNCTION("if(H2145=""pays"",vlookup(REGEXEXTRACT(C2145, ""🏘️ \w+ \w+ (.*) ✅""),'Country prepositions'!A:B, 2, 0) &amp; "" "" &amp; REGEXEXTRACT(C2145, ""🏘️ \w+ \w+ (.*) ✅"") ,  if(H2145=""quartier"",vlookup(REGEXEXTRACT(C2145, ""🏘️ \w+ \w+ (.*) ✅""),'Quartier prepositio"&amp;"ns'!A:E, 5, 0) ,  if(H2145=""region"",vlookup(REGEXEXTRACT(C2145, ""🏘️ \w+ \w+ (.*) ✅""),'Region prepositions'!B:F, 5, 0),  REGEXEXTRACT(C2145, ""🏘️ \w+ \w+ (.*) ✅""))))"),"en Ville Ancienne (La Chaux-de-Fonds)")</f>
        <v>en Ville Ancienne (La Chaux-de-Fonds)</v>
      </c>
      <c r="F2145" s="2" t="str">
        <f>IFERROR(__xludf.DUMMYFUNCTION("REGEXEXTRACT(C2145, ""🏘️ (\w+) \w+ .* ✅"")"),"Louer")</f>
        <v>Louer</v>
      </c>
      <c r="G2145" s="2" t="str">
        <f>IFERROR(__xludf.DUMMYFUNCTION("REGEXEXTRACT(C2145, ""🏘️ \w+ (\w+) .* ✅"")"),"appartement")</f>
        <v>appartement</v>
      </c>
      <c r="H2145" s="4" t="str">
        <f>IFERROR(__xludf.DUMMYFUNCTION("REGEXEXTRACT(A2145, ""/(\w+)-.*?"")"),"quartier")</f>
        <v>quartier</v>
      </c>
      <c r="I2145" s="4" t="str">
        <f>IFERROR(__xludf.DUMMYFUNCTION("if(D2145=""variant"",  substitute(filter(Templates!E:E, Templates!A:A = F2145, Templates!B:B = G2145, Templates!C:C = H2145), ""{{}}"", E2145), B2145)"),"🏘  Vous cherchez un appartement à louer en Ville Ancienne (La Chaux-de-Fonds)? ✅ Les annonces les plus actuelles sont sur ImmoScout24.ch.")</f>
        <v>🏘  Vous cherchez un appartement à louer en Ville Ancienne (La Chaux-de-Fonds)? ✅ Les annonces les plus actuelles sont sur ImmoScout24.ch.</v>
      </c>
      <c r="J2145" s="4" t="s">
        <v>6433</v>
      </c>
    </row>
    <row r="2146">
      <c r="A2146" s="5" t="s">
        <v>6434</v>
      </c>
      <c r="B2146" s="2" t="s">
        <v>6435</v>
      </c>
      <c r="C2146" s="4" t="str">
        <f>IFERROR(__xludf.DUMMYFUNCTION("""🏘️ ""&amp;REGEXEXTRACT(B2146, ""^(.*): "")&amp;"" ✅ "" &amp;REGEXEXTRACT(B2146, ""(Trouvez.*)"")"),"🏘️ Louer appartement Magglingen/Macolin ✅ Trouvez le bien immobilier qui correspond idéalement à vos désirs sur ImmoScout24 - La plateforme de l'immobilier en Suisse.")</f>
        <v>🏘️ Louer appartement Magglingen/Macolin ✅ Trouvez le bien immobilier qui correspond idéalement à vos désirs sur ImmoScout24 - La plateforme de l'immobilier en Suisse.</v>
      </c>
      <c r="D2146" s="4" t="str">
        <f>vlookup(A2146, Sheet2!D:E, 2, 0)</f>
        <v>variant</v>
      </c>
      <c r="E2146" s="4" t="str">
        <f>IFERROR(__xludf.DUMMYFUNCTION("if(H2146=""pays"",vlookup(REGEXEXTRACT(C2146, ""🏘️ \w+ \w+ (.*) ✅""),'Country prepositions'!A:B, 2, 0) &amp; "" "" &amp; REGEXEXTRACT(C2146, ""🏘️ \w+ \w+ (.*) ✅"") ,  if(H2146=""quartier"",vlookup(REGEXEXTRACT(C2146, ""🏘️ \w+ \w+ (.*) ✅""),'Quartier prepositio"&amp;"ns'!A:E, 5, 0) ,  if(H2146=""region"",vlookup(REGEXEXTRACT(C2146, ""🏘️ \w+ \w+ (.*) ✅""),'Region prepositions'!B:F, 5, 0),  REGEXEXTRACT(C2146, ""🏘️ \w+ \w+ (.*) ✅""))))"),"Magglingen/Macolin")</f>
        <v>Magglingen/Macolin</v>
      </c>
      <c r="F2146" s="2" t="str">
        <f>IFERROR(__xludf.DUMMYFUNCTION("REGEXEXTRACT(C2146, ""🏘️ (\w+) \w+ .* ✅"")"),"Louer")</f>
        <v>Louer</v>
      </c>
      <c r="G2146" s="2" t="str">
        <f>IFERROR(__xludf.DUMMYFUNCTION("REGEXEXTRACT(C2146, ""🏘️ \w+ (\w+) .* ✅"")"),"appartement")</f>
        <v>appartement</v>
      </c>
      <c r="H2146" s="4" t="str">
        <f>IFERROR(__xludf.DUMMYFUNCTION("REGEXEXTRACT(A2146, ""/(\w+)-.*?"")"),"lieu")</f>
        <v>lieu</v>
      </c>
      <c r="I2146" s="4" t="str">
        <f>IFERROR(__xludf.DUMMYFUNCTION("if(D2146=""variant"",  substitute(filter(Templates!E:E, Templates!A:A = F2146, Templates!B:B = G2146, Templates!C:C = H2146), ""{{}}"", E2146), B2146)"),"🏘  Vous cherchez un appartement à louer à Magglingen/Macolin? ✅ Les annonces les plus actuelles sont sur ImmoScout24.ch.")</f>
        <v>🏘  Vous cherchez un appartement à louer à Magglingen/Macolin? ✅ Les annonces les plus actuelles sont sur ImmoScout24.ch.</v>
      </c>
      <c r="J2146" s="4" t="s">
        <v>6436</v>
      </c>
    </row>
    <row r="2147">
      <c r="A2147" s="5" t="s">
        <v>6437</v>
      </c>
      <c r="B2147" s="2" t="s">
        <v>6438</v>
      </c>
      <c r="C2147" s="4" t="str">
        <f>IFERROR(__xludf.DUMMYFUNCTION("""🏘️ ""&amp;REGEXEXTRACT(B2147, ""^(.*): "")&amp;"" ✅ "" &amp;REGEXEXTRACT(B2147, ""(Trouvez.*)"")"),"🏘️ Louer appartement Farvagny-le-Grand ✅ Trouvez le bien immobilier qui correspond idéalement à vos désirs sur ImmoScout24 - La plateforme de l'immobilier en Suisse.")</f>
        <v>🏘️ Louer appartement Farvagny-le-Grand ✅ Trouvez le bien immobilier qui correspond idéalement à vos désirs sur ImmoScout24 - La plateforme de l'immobilier en Suisse.</v>
      </c>
      <c r="D2147" s="4" t="str">
        <f>vlookup(A2147, Sheet2!D:E, 2, 0)</f>
        <v>variant</v>
      </c>
      <c r="E2147" s="4" t="str">
        <f>IFERROR(__xludf.DUMMYFUNCTION("if(H2147=""pays"",vlookup(REGEXEXTRACT(C2147, ""🏘️ \w+ \w+ (.*) ✅""),'Country prepositions'!A:B, 2, 0) &amp; "" "" &amp; REGEXEXTRACT(C2147, ""🏘️ \w+ \w+ (.*) ✅"") ,  if(H2147=""quartier"",vlookup(REGEXEXTRACT(C2147, ""🏘️ \w+ \w+ (.*) ✅""),'Quartier prepositio"&amp;"ns'!A:E, 5, 0) ,  if(H2147=""region"",vlookup(REGEXEXTRACT(C2147, ""🏘️ \w+ \w+ (.*) ✅""),'Region prepositions'!B:F, 5, 0),  REGEXEXTRACT(C2147, ""🏘️ \w+ \w+ (.*) ✅""))))"),"Farvagny-le-Grand")</f>
        <v>Farvagny-le-Grand</v>
      </c>
      <c r="F2147" s="2" t="str">
        <f>IFERROR(__xludf.DUMMYFUNCTION("REGEXEXTRACT(C2147, ""🏘️ (\w+) \w+ .* ✅"")"),"Louer")</f>
        <v>Louer</v>
      </c>
      <c r="G2147" s="2" t="str">
        <f>IFERROR(__xludf.DUMMYFUNCTION("REGEXEXTRACT(C2147, ""🏘️ \w+ (\w+) .* ✅"")"),"appartement")</f>
        <v>appartement</v>
      </c>
      <c r="H2147" s="4" t="str">
        <f>IFERROR(__xludf.DUMMYFUNCTION("REGEXEXTRACT(A2147, ""/(\w+)-.*?"")"),"lieu")</f>
        <v>lieu</v>
      </c>
      <c r="I2147" s="4" t="str">
        <f>IFERROR(__xludf.DUMMYFUNCTION("if(D2147=""variant"",  substitute(filter(Templates!E:E, Templates!A:A = F2147, Templates!B:B = G2147, Templates!C:C = H2147), ""{{}}"", E2147), B2147)"),"🏘  Vous cherchez un appartement à louer à Farvagny-le-Grand? ✅ Les annonces les plus actuelles sont sur ImmoScout24.ch.")</f>
        <v>🏘  Vous cherchez un appartement à louer à Farvagny-le-Grand? ✅ Les annonces les plus actuelles sont sur ImmoScout24.ch.</v>
      </c>
      <c r="J2147" s="4" t="s">
        <v>6439</v>
      </c>
    </row>
    <row r="2148">
      <c r="A2148" s="5" t="s">
        <v>6440</v>
      </c>
      <c r="B2148" s="2" t="s">
        <v>6441</v>
      </c>
      <c r="C2148" s="4" t="str">
        <f>IFERROR(__xludf.DUMMYFUNCTION("""🏘️ ""&amp;REGEXEXTRACT(B2148, ""^(.*): "")&amp;"" ✅ "" &amp;REGEXEXTRACT(B2148, ""(Trouvez.*)"")"),"🏘️ Vendre appartement Chéserex ✅ Trouvez le bien immobilier qui correspond idéalement à vos désirs sur ImmoScout24 - La plateforme de l'immobilier en Suisse.")</f>
        <v>🏘️ Vendre appartement Chéserex ✅ Trouvez le bien immobilier qui correspond idéalement à vos désirs sur ImmoScout24 - La plateforme de l'immobilier en Suisse.</v>
      </c>
      <c r="D2148" s="4" t="str">
        <f>vlookup(A2148, Sheet2!D:E, 2, 0)</f>
        <v>variant</v>
      </c>
      <c r="E2148" s="4" t="str">
        <f>IFERROR(__xludf.DUMMYFUNCTION("if(H2148=""pays"",vlookup(REGEXEXTRACT(C2148, ""🏘️ \w+ \w+ (.*) ✅""),'Country prepositions'!A:B, 2, 0) &amp; "" "" &amp; REGEXEXTRACT(C2148, ""🏘️ \w+ \w+ (.*) ✅"") ,  if(H2148=""quartier"",vlookup(REGEXEXTRACT(C2148, ""🏘️ \w+ \w+ (.*) ✅""),'Quartier prepositio"&amp;"ns'!A:E, 5, 0) ,  if(H2148=""region"",vlookup(REGEXEXTRACT(C2148, ""🏘️ \w+ \w+ (.*) ✅""),'Region prepositions'!B:F, 5, 0),  REGEXEXTRACT(C2148, ""🏘️ \w+ \w+ (.*) ✅""))))"),"Chéserex")</f>
        <v>Chéserex</v>
      </c>
      <c r="F2148" s="2" t="str">
        <f>IFERROR(__xludf.DUMMYFUNCTION("REGEXEXTRACT(C2148, ""🏘️ (\w+) \w+ .* ✅"")"),"Vendre")</f>
        <v>Vendre</v>
      </c>
      <c r="G2148" s="2" t="str">
        <f>IFERROR(__xludf.DUMMYFUNCTION("REGEXEXTRACT(C2148, ""🏘️ \w+ (\w+) .* ✅"")"),"appartement")</f>
        <v>appartement</v>
      </c>
      <c r="H2148" s="4" t="str">
        <f>IFERROR(__xludf.DUMMYFUNCTION("REGEXEXTRACT(A2148, ""/(\w+)-.*?"")"),"lieu")</f>
        <v>lieu</v>
      </c>
      <c r="I2148" s="4" t="str">
        <f>IFERROR(__xludf.DUMMYFUNCTION("if(D2148=""variant"",  substitute(filter(Templates!E:E, Templates!A:A = F2148, Templates!B:B = G2148, Templates!C:C = H2148), ""{{}}"", E2148), B2148)"),"🏘  L’appartement de vos rêves se trouve sur ImmoScout24.ch ✅ Découvrez les dernières annonces de vente à Chéserex.")</f>
        <v>🏘  L’appartement de vos rêves se trouve sur ImmoScout24.ch ✅ Découvrez les dernières annonces de vente à Chéserex.</v>
      </c>
      <c r="J2148" s="4" t="s">
        <v>6442</v>
      </c>
    </row>
    <row r="2149">
      <c r="A2149" s="5" t="s">
        <v>6443</v>
      </c>
      <c r="B2149" s="2" t="s">
        <v>6444</v>
      </c>
      <c r="C2149" s="4" t="str">
        <f>IFERROR(__xludf.DUMMYFUNCTION("""🏘️ ""&amp;REGEXEXTRACT(B2149, ""^(.*): "")&amp;"" ✅ "" &amp;REGEXEXTRACT(B2149, ""(Trouvez.*)"")"),"🏘️ Vendre maison Chêne-Pâquier ✅ Trouvez le bien immobilier qui correspond idéalement à vos désirs sur ImmoScout24 - La plateforme de l'immobilier en Suisse.")</f>
        <v>🏘️ Vendre maison Chêne-Pâquier ✅ Trouvez le bien immobilier qui correspond idéalement à vos désirs sur ImmoScout24 - La plateforme de l'immobilier en Suisse.</v>
      </c>
      <c r="D2149" s="4" t="str">
        <f>vlookup(A2149, Sheet2!D:E, 2, 0)</f>
        <v>variant</v>
      </c>
      <c r="E2149" s="4" t="str">
        <f>IFERROR(__xludf.DUMMYFUNCTION("if(H2149=""pays"",vlookup(REGEXEXTRACT(C2149, ""🏘️ \w+ \w+ (.*) ✅""),'Country prepositions'!A:B, 2, 0) &amp; "" "" &amp; REGEXEXTRACT(C2149, ""🏘️ \w+ \w+ (.*) ✅"") ,  if(H2149=""quartier"",vlookup(REGEXEXTRACT(C2149, ""🏘️ \w+ \w+ (.*) ✅""),'Quartier prepositio"&amp;"ns'!A:E, 5, 0) ,  if(H2149=""region"",vlookup(REGEXEXTRACT(C2149, ""🏘️ \w+ \w+ (.*) ✅""),'Region prepositions'!B:F, 5, 0),  REGEXEXTRACT(C2149, ""🏘️ \w+ \w+ (.*) ✅""))))"),"Chêne-Pâquier")</f>
        <v>Chêne-Pâquier</v>
      </c>
      <c r="F2149" s="2" t="str">
        <f>IFERROR(__xludf.DUMMYFUNCTION("REGEXEXTRACT(C2149, ""🏘️ (\w+) \w+ .* ✅"")"),"Vendre")</f>
        <v>Vendre</v>
      </c>
      <c r="G2149" s="2" t="str">
        <f>IFERROR(__xludf.DUMMYFUNCTION("REGEXEXTRACT(C2149, ""🏘️ \w+ (\w+) .* ✅"")"),"maison")</f>
        <v>maison</v>
      </c>
      <c r="H2149" s="4" t="str">
        <f>IFERROR(__xludf.DUMMYFUNCTION("REGEXEXTRACT(A2149, ""/(\w+)-.*?"")"),"lieu")</f>
        <v>lieu</v>
      </c>
      <c r="I2149" s="4" t="str">
        <f>IFERROR(__xludf.DUMMYFUNCTION("if(D2149=""variant"",  substitute(filter(Templates!E:E, Templates!A:A = F2149, Templates!B:B = G2149, Templates!C:C = H2149), ""{{}}"", E2149), B2149)"),"🏘  Vous souhaitez acheter une maison à Chêne-Pâquier? ✅ Jetez un œil aux dernières offres sur ImmoScout24.ch.")</f>
        <v>🏘  Vous souhaitez acheter une maison à Chêne-Pâquier? ✅ Jetez un œil aux dernières offres sur ImmoScout24.ch.</v>
      </c>
      <c r="J2149" s="4" t="s">
        <v>6445</v>
      </c>
    </row>
    <row r="2150">
      <c r="A2150" s="5" t="s">
        <v>6446</v>
      </c>
      <c r="B2150" s="2" t="s">
        <v>6447</v>
      </c>
      <c r="C2150" s="4" t="str">
        <f>IFERROR(__xludf.DUMMYFUNCTION("""🏘️ ""&amp;REGEXEXTRACT(B2150, ""^(.*): "")&amp;"" ✅ "" &amp;REGEXEXTRACT(B2150, ""(Trouvez.*)"")"),"🏘️ Louer appartement Bottmingen ✅ Trouvez le bien immobilier qui correspond idéalement à vos désirs sur ImmoScout24 - La plateforme de l'immobilier en Suisse.")</f>
        <v>🏘️ Louer appartement Bottmingen ✅ Trouvez le bien immobilier qui correspond idéalement à vos désirs sur ImmoScout24 - La plateforme de l'immobilier en Suisse.</v>
      </c>
      <c r="D2150" s="4" t="str">
        <f>vlookup(A2150, Sheet2!D:E, 2, 0)</f>
        <v>variant</v>
      </c>
      <c r="E2150" s="4" t="str">
        <f>IFERROR(__xludf.DUMMYFUNCTION("if(H2150=""pays"",vlookup(REGEXEXTRACT(C2150, ""🏘️ \w+ \w+ (.*) ✅""),'Country prepositions'!A:B, 2, 0) &amp; "" "" &amp; REGEXEXTRACT(C2150, ""🏘️ \w+ \w+ (.*) ✅"") ,  if(H2150=""quartier"",vlookup(REGEXEXTRACT(C2150, ""🏘️ \w+ \w+ (.*) ✅""),'Quartier prepositio"&amp;"ns'!A:E, 5, 0) ,  if(H2150=""region"",vlookup(REGEXEXTRACT(C2150, ""🏘️ \w+ \w+ (.*) ✅""),'Region prepositions'!B:F, 5, 0),  REGEXEXTRACT(C2150, ""🏘️ \w+ \w+ (.*) ✅""))))"),"Bottmingen")</f>
        <v>Bottmingen</v>
      </c>
      <c r="F2150" s="2" t="str">
        <f>IFERROR(__xludf.DUMMYFUNCTION("REGEXEXTRACT(C2150, ""🏘️ (\w+) \w+ .* ✅"")"),"Louer")</f>
        <v>Louer</v>
      </c>
      <c r="G2150" s="2" t="str">
        <f>IFERROR(__xludf.DUMMYFUNCTION("REGEXEXTRACT(C2150, ""🏘️ \w+ (\w+) .* ✅"")"),"appartement")</f>
        <v>appartement</v>
      </c>
      <c r="H2150" s="4" t="str">
        <f>IFERROR(__xludf.DUMMYFUNCTION("REGEXEXTRACT(A2150, ""/(\w+)-.*?"")"),"lieu")</f>
        <v>lieu</v>
      </c>
      <c r="I2150" s="4" t="str">
        <f>IFERROR(__xludf.DUMMYFUNCTION("if(D2150=""variant"",  substitute(filter(Templates!E:E, Templates!A:A = F2150, Templates!B:B = G2150, Templates!C:C = H2150), ""{{}}"", E2150), B2150)"),"🏘  Vous cherchez un appartement à louer à Bottmingen? ✅ Les annonces les plus actuelles sont sur ImmoScout24.ch.")</f>
        <v>🏘  Vous cherchez un appartement à louer à Bottmingen? ✅ Les annonces les plus actuelles sont sur ImmoScout24.ch.</v>
      </c>
      <c r="J2150" s="4" t="s">
        <v>6448</v>
      </c>
    </row>
    <row r="2151">
      <c r="A2151" s="5" t="s">
        <v>6449</v>
      </c>
      <c r="B2151" s="2" t="s">
        <v>6450</v>
      </c>
      <c r="C2151" s="4" t="str">
        <f>IFERROR(__xludf.DUMMYFUNCTION("""🏘️ ""&amp;REGEXEXTRACT(B2151, ""^(.*): "")&amp;"" ✅ "" &amp;REGEXEXTRACT(B2151, ""(Trouvez.*)"")"),"🏘️ Vendre maison Ménières ✅ Trouvez le bien immobilier qui correspond idéalement à vos désirs sur ImmoScout24 - La plateforme de l'immobilier en Suisse.")</f>
        <v>🏘️ Vendre maison Ménières ✅ Trouvez le bien immobilier qui correspond idéalement à vos désirs sur ImmoScout24 - La plateforme de l'immobilier en Suisse.</v>
      </c>
      <c r="D2151" s="4" t="str">
        <f>vlookup(A2151, Sheet2!D:E, 2, 0)</f>
        <v>variant</v>
      </c>
      <c r="E2151" s="4" t="str">
        <f>IFERROR(__xludf.DUMMYFUNCTION("if(H2151=""pays"",vlookup(REGEXEXTRACT(C2151, ""🏘️ \w+ \w+ (.*) ✅""),'Country prepositions'!A:B, 2, 0) &amp; "" "" &amp; REGEXEXTRACT(C2151, ""🏘️ \w+ \w+ (.*) ✅"") ,  if(H2151=""quartier"",vlookup(REGEXEXTRACT(C2151, ""🏘️ \w+ \w+ (.*) ✅""),'Quartier prepositio"&amp;"ns'!A:E, 5, 0) ,  if(H2151=""region"",vlookup(REGEXEXTRACT(C2151, ""🏘️ \w+ \w+ (.*) ✅""),'Region prepositions'!B:F, 5, 0),  REGEXEXTRACT(C2151, ""🏘️ \w+ \w+ (.*) ✅""))))"),"Ménières")</f>
        <v>Ménières</v>
      </c>
      <c r="F2151" s="2" t="str">
        <f>IFERROR(__xludf.DUMMYFUNCTION("REGEXEXTRACT(C2151, ""🏘️ (\w+) \w+ .* ✅"")"),"Vendre")</f>
        <v>Vendre</v>
      </c>
      <c r="G2151" s="2" t="str">
        <f>IFERROR(__xludf.DUMMYFUNCTION("REGEXEXTRACT(C2151, ""🏘️ \w+ (\w+) .* ✅"")"),"maison")</f>
        <v>maison</v>
      </c>
      <c r="H2151" s="4" t="str">
        <f>IFERROR(__xludf.DUMMYFUNCTION("REGEXEXTRACT(A2151, ""/(\w+)-.*?"")"),"lieu")</f>
        <v>lieu</v>
      </c>
      <c r="I2151" s="4" t="str">
        <f>IFERROR(__xludf.DUMMYFUNCTION("if(D2151=""variant"",  substitute(filter(Templates!E:E, Templates!A:A = F2151, Templates!B:B = G2151, Templates!C:C = H2151), ""{{}}"", E2151), B2151)"),"🏘  Vous souhaitez acheter une maison à Ménières? ✅ Jetez un œil aux dernières offres sur ImmoScout24.ch.")</f>
        <v>🏘  Vous souhaitez acheter une maison à Ménières? ✅ Jetez un œil aux dernières offres sur ImmoScout24.ch.</v>
      </c>
      <c r="J2151" s="4" t="s">
        <v>6451</v>
      </c>
    </row>
    <row r="2152">
      <c r="A2152" s="5" t="s">
        <v>6452</v>
      </c>
      <c r="B2152" s="2" t="s">
        <v>6453</v>
      </c>
      <c r="C2152" s="4" t="str">
        <f>IFERROR(__xludf.DUMMYFUNCTION("""🏘️ ""&amp;REGEXEXTRACT(B2152, ""^(.*): "")&amp;"" ✅ "" &amp;REGEXEXTRACT(B2152, ""(Trouvez.*)"")"),"🏘️ Vendre maison Cheiry ✅ Trouvez le bien immobilier qui correspond idéalement à vos désirs sur ImmoScout24 - La plateforme de l'immobilier en Suisse.")</f>
        <v>🏘️ Vendre maison Cheiry ✅ Trouvez le bien immobilier qui correspond idéalement à vos désirs sur ImmoScout24 - La plateforme de l'immobilier en Suisse.</v>
      </c>
      <c r="D2152" s="4" t="str">
        <f>vlookup(A2152, Sheet2!D:E, 2, 0)</f>
        <v>variant</v>
      </c>
      <c r="E2152" s="4" t="str">
        <f>IFERROR(__xludf.DUMMYFUNCTION("if(H2152=""pays"",vlookup(REGEXEXTRACT(C2152, ""🏘️ \w+ \w+ (.*) ✅""),'Country prepositions'!A:B, 2, 0) &amp; "" "" &amp; REGEXEXTRACT(C2152, ""🏘️ \w+ \w+ (.*) ✅"") ,  if(H2152=""quartier"",vlookup(REGEXEXTRACT(C2152, ""🏘️ \w+ \w+ (.*) ✅""),'Quartier prepositio"&amp;"ns'!A:E, 5, 0) ,  if(H2152=""region"",vlookup(REGEXEXTRACT(C2152, ""🏘️ \w+ \w+ (.*) ✅""),'Region prepositions'!B:F, 5, 0),  REGEXEXTRACT(C2152, ""🏘️ \w+ \w+ (.*) ✅""))))"),"Cheiry")</f>
        <v>Cheiry</v>
      </c>
      <c r="F2152" s="2" t="str">
        <f>IFERROR(__xludf.DUMMYFUNCTION("REGEXEXTRACT(C2152, ""🏘️ (\w+) \w+ .* ✅"")"),"Vendre")</f>
        <v>Vendre</v>
      </c>
      <c r="G2152" s="2" t="str">
        <f>IFERROR(__xludf.DUMMYFUNCTION("REGEXEXTRACT(C2152, ""🏘️ \w+ (\w+) .* ✅"")"),"maison")</f>
        <v>maison</v>
      </c>
      <c r="H2152" s="4" t="str">
        <f>IFERROR(__xludf.DUMMYFUNCTION("REGEXEXTRACT(A2152, ""/(\w+)-.*?"")"),"lieu")</f>
        <v>lieu</v>
      </c>
      <c r="I2152" s="4" t="str">
        <f>IFERROR(__xludf.DUMMYFUNCTION("if(D2152=""variant"",  substitute(filter(Templates!E:E, Templates!A:A = F2152, Templates!B:B = G2152, Templates!C:C = H2152), ""{{}}"", E2152), B2152)"),"🏘  Vous souhaitez acheter une maison à Cheiry? ✅ Jetez un œil aux dernières offres sur ImmoScout24.ch.")</f>
        <v>🏘  Vous souhaitez acheter une maison à Cheiry? ✅ Jetez un œil aux dernières offres sur ImmoScout24.ch.</v>
      </c>
      <c r="J2152" s="4" t="s">
        <v>6454</v>
      </c>
    </row>
    <row r="2153">
      <c r="A2153" s="5" t="s">
        <v>6455</v>
      </c>
      <c r="B2153" s="2" t="s">
        <v>6456</v>
      </c>
      <c r="C2153" s="4" t="str">
        <f>IFERROR(__xludf.DUMMYFUNCTION("""🏘️ ""&amp;REGEXEXTRACT(B2153, ""^(.*): "")&amp;"" ✅ "" &amp;REGEXEXTRACT(B2153, ""(Trouvez.*)"")"),"🏘️ Louer appartement Wauwil ✅ Trouvez le bien immobilier qui correspond idéalement à vos désirs sur ImmoScout24 - La plateforme de l'immobilier en Suisse.")</f>
        <v>🏘️ Louer appartement Wauwil ✅ Trouvez le bien immobilier qui correspond idéalement à vos désirs sur ImmoScout24 - La plateforme de l'immobilier en Suisse.</v>
      </c>
      <c r="D2153" s="4" t="str">
        <f>vlookup(A2153, Sheet2!D:E, 2, 0)</f>
        <v>variant</v>
      </c>
      <c r="E2153" s="4" t="str">
        <f>IFERROR(__xludf.DUMMYFUNCTION("if(H2153=""pays"",vlookup(REGEXEXTRACT(C2153, ""🏘️ \w+ \w+ (.*) ✅""),'Country prepositions'!A:B, 2, 0) &amp; "" "" &amp; REGEXEXTRACT(C2153, ""🏘️ \w+ \w+ (.*) ✅"") ,  if(H2153=""quartier"",vlookup(REGEXEXTRACT(C2153, ""🏘️ \w+ \w+ (.*) ✅""),'Quartier prepositio"&amp;"ns'!A:E, 5, 0) ,  if(H2153=""region"",vlookup(REGEXEXTRACT(C2153, ""🏘️ \w+ \w+ (.*) ✅""),'Region prepositions'!B:F, 5, 0),  REGEXEXTRACT(C2153, ""🏘️ \w+ \w+ (.*) ✅""))))"),"Wauwil")</f>
        <v>Wauwil</v>
      </c>
      <c r="F2153" s="2" t="str">
        <f>IFERROR(__xludf.DUMMYFUNCTION("REGEXEXTRACT(C2153, ""🏘️ (\w+) \w+ .* ✅"")"),"Louer")</f>
        <v>Louer</v>
      </c>
      <c r="G2153" s="2" t="str">
        <f>IFERROR(__xludf.DUMMYFUNCTION("REGEXEXTRACT(C2153, ""🏘️ \w+ (\w+) .* ✅"")"),"appartement")</f>
        <v>appartement</v>
      </c>
      <c r="H2153" s="4" t="str">
        <f>IFERROR(__xludf.DUMMYFUNCTION("REGEXEXTRACT(A2153, ""/(\w+)-.*?"")"),"lieu")</f>
        <v>lieu</v>
      </c>
      <c r="I2153" s="4" t="str">
        <f>IFERROR(__xludf.DUMMYFUNCTION("if(D2153=""variant"",  substitute(filter(Templates!E:E, Templates!A:A = F2153, Templates!B:B = G2153, Templates!C:C = H2153), ""{{}}"", E2153), B2153)"),"🏘  Vous cherchez un appartement à louer à Wauwil? ✅ Les annonces les plus actuelles sont sur ImmoScout24.ch.")</f>
        <v>🏘  Vous cherchez un appartement à louer à Wauwil? ✅ Les annonces les plus actuelles sont sur ImmoScout24.ch.</v>
      </c>
      <c r="J2153" s="4" t="s">
        <v>6457</v>
      </c>
    </row>
    <row r="2154">
      <c r="A2154" s="5" t="s">
        <v>6458</v>
      </c>
      <c r="B2154" s="2" t="s">
        <v>6459</v>
      </c>
      <c r="C2154" s="4" t="str">
        <f>IFERROR(__xludf.DUMMYFUNCTION("""🏘️ ""&amp;REGEXEXTRACT(B2154, ""^(.*): "")&amp;"" ✅ "" &amp;REGEXEXTRACT(B2154, ""(Trouvez.*)"")"),"🏘️ Vendre maison Münchenstein ✅ Trouvez le bien immobilier qui correspond idéalement à vos désirs sur ImmoScout24 - La plateforme de l'immobilier en Suisse.")</f>
        <v>🏘️ Vendre maison Münchenstein ✅ Trouvez le bien immobilier qui correspond idéalement à vos désirs sur ImmoScout24 - La plateforme de l'immobilier en Suisse.</v>
      </c>
      <c r="D2154" s="4" t="str">
        <f>vlookup(A2154, Sheet2!D:E, 2, 0)</f>
        <v>variant</v>
      </c>
      <c r="E2154" s="4" t="str">
        <f>IFERROR(__xludf.DUMMYFUNCTION("if(H2154=""pays"",vlookup(REGEXEXTRACT(C2154, ""🏘️ \w+ \w+ (.*) ✅""),'Country prepositions'!A:B, 2, 0) &amp; "" "" &amp; REGEXEXTRACT(C2154, ""🏘️ \w+ \w+ (.*) ✅"") ,  if(H2154=""quartier"",vlookup(REGEXEXTRACT(C2154, ""🏘️ \w+ \w+ (.*) ✅""),'Quartier prepositio"&amp;"ns'!A:E, 5, 0) ,  if(H2154=""region"",vlookup(REGEXEXTRACT(C2154, ""🏘️ \w+ \w+ (.*) ✅""),'Region prepositions'!B:F, 5, 0),  REGEXEXTRACT(C2154, ""🏘️ \w+ \w+ (.*) ✅""))))"),"Münchenstein")</f>
        <v>Münchenstein</v>
      </c>
      <c r="F2154" s="2" t="str">
        <f>IFERROR(__xludf.DUMMYFUNCTION("REGEXEXTRACT(C2154, ""🏘️ (\w+) \w+ .* ✅"")"),"Vendre")</f>
        <v>Vendre</v>
      </c>
      <c r="G2154" s="2" t="str">
        <f>IFERROR(__xludf.DUMMYFUNCTION("REGEXEXTRACT(C2154, ""🏘️ \w+ (\w+) .* ✅"")"),"maison")</f>
        <v>maison</v>
      </c>
      <c r="H2154" s="4" t="str">
        <f>IFERROR(__xludf.DUMMYFUNCTION("REGEXEXTRACT(A2154, ""/(\w+)-.*?"")"),"lieu")</f>
        <v>lieu</v>
      </c>
      <c r="I2154" s="4" t="str">
        <f>IFERROR(__xludf.DUMMYFUNCTION("if(D2154=""variant"",  substitute(filter(Templates!E:E, Templates!A:A = F2154, Templates!B:B = G2154, Templates!C:C = H2154), ""{{}}"", E2154), B2154)"),"🏘  Vous souhaitez acheter une maison à Münchenstein? ✅ Jetez un œil aux dernières offres sur ImmoScout24.ch.")</f>
        <v>🏘  Vous souhaitez acheter une maison à Münchenstein? ✅ Jetez un œil aux dernières offres sur ImmoScout24.ch.</v>
      </c>
      <c r="J2154" s="4" t="s">
        <v>6460</v>
      </c>
    </row>
    <row r="2155">
      <c r="A2155" s="5" t="s">
        <v>6461</v>
      </c>
      <c r="B2155" s="2" t="s">
        <v>6462</v>
      </c>
      <c r="C2155" s="4" t="str">
        <f>IFERROR(__xludf.DUMMYFUNCTION("""🏘️ ""&amp;REGEXEXTRACT(B2155, ""^(.*): "")&amp;"" ✅ "" &amp;REGEXEXTRACT(B2155, ""(Trouvez.*)"")"),"🏘️ Louer appartement Wohlen b. Bern ✅ Trouvez le bien immobilier qui correspond idéalement à vos désirs sur ImmoScout24 - La plateforme de l'immobilier en Suisse.")</f>
        <v>🏘️ Louer appartement Wohlen b. Bern ✅ Trouvez le bien immobilier qui correspond idéalement à vos désirs sur ImmoScout24 - La plateforme de l'immobilier en Suisse.</v>
      </c>
      <c r="D2155" s="4" t="str">
        <f>vlookup(A2155, Sheet2!D:E, 2, 0)</f>
        <v>variant</v>
      </c>
      <c r="E2155" s="4" t="str">
        <f>IFERROR(__xludf.DUMMYFUNCTION("if(H2155=""pays"",vlookup(REGEXEXTRACT(C2155, ""🏘️ \w+ \w+ (.*) ✅""),'Country prepositions'!A:B, 2, 0) &amp; "" "" &amp; REGEXEXTRACT(C2155, ""🏘️ \w+ \w+ (.*) ✅"") ,  if(H2155=""quartier"",vlookup(REGEXEXTRACT(C2155, ""🏘️ \w+ \w+ (.*) ✅""),'Quartier prepositio"&amp;"ns'!A:E, 5, 0) ,  if(H2155=""region"",vlookup(REGEXEXTRACT(C2155, ""🏘️ \w+ \w+ (.*) ✅""),'Region prepositions'!B:F, 5, 0),  REGEXEXTRACT(C2155, ""🏘️ \w+ \w+ (.*) ✅""))))"),"Wohlen b. Bern")</f>
        <v>Wohlen b. Bern</v>
      </c>
      <c r="F2155" s="2" t="str">
        <f>IFERROR(__xludf.DUMMYFUNCTION("REGEXEXTRACT(C2155, ""🏘️ (\w+) \w+ .* ✅"")"),"Louer")</f>
        <v>Louer</v>
      </c>
      <c r="G2155" s="2" t="str">
        <f>IFERROR(__xludf.DUMMYFUNCTION("REGEXEXTRACT(C2155, ""🏘️ \w+ (\w+) .* ✅"")"),"appartement")</f>
        <v>appartement</v>
      </c>
      <c r="H2155" s="4" t="str">
        <f>IFERROR(__xludf.DUMMYFUNCTION("REGEXEXTRACT(A2155, ""/(\w+)-.*?"")"),"lieu")</f>
        <v>lieu</v>
      </c>
      <c r="I2155" s="4" t="str">
        <f>IFERROR(__xludf.DUMMYFUNCTION("if(D2155=""variant"",  substitute(filter(Templates!E:E, Templates!A:A = F2155, Templates!B:B = G2155, Templates!C:C = H2155), ""{{}}"", E2155), B2155)"),"🏘  Vous cherchez un appartement à louer à Wohlen b. Bern? ✅ Les annonces les plus actuelles sont sur ImmoScout24.ch.")</f>
        <v>🏘  Vous cherchez un appartement à louer à Wohlen b. Bern? ✅ Les annonces les plus actuelles sont sur ImmoScout24.ch.</v>
      </c>
      <c r="J2155" s="4" t="s">
        <v>6463</v>
      </c>
    </row>
    <row r="2156">
      <c r="A2156" s="5" t="s">
        <v>6464</v>
      </c>
      <c r="B2156" s="2" t="s">
        <v>6465</v>
      </c>
      <c r="C2156" s="4" t="str">
        <f>IFERROR(__xludf.DUMMYFUNCTION("""🏘️ ""&amp;REGEXEXTRACT(B2156, ""^(.*): "")&amp;"" ✅ "" &amp;REGEXEXTRACT(B2156, ""(Trouvez.*)"")"),"🏘️ Vendre maison Starrkirch-Wil ✅ Trouvez le bien immobilier qui correspond idéalement à vos désirs sur ImmoScout24 - La plateforme de l'immobilier en Suisse.")</f>
        <v>🏘️ Vendre maison Starrkirch-Wil ✅ Trouvez le bien immobilier qui correspond idéalement à vos désirs sur ImmoScout24 - La plateforme de l'immobilier en Suisse.</v>
      </c>
      <c r="D2156" s="4" t="str">
        <f>vlookup(A2156, Sheet2!D:E, 2, 0)</f>
        <v>variant</v>
      </c>
      <c r="E2156" s="4" t="str">
        <f>IFERROR(__xludf.DUMMYFUNCTION("if(H2156=""pays"",vlookup(REGEXEXTRACT(C2156, ""🏘️ \w+ \w+ (.*) ✅""),'Country prepositions'!A:B, 2, 0) &amp; "" "" &amp; REGEXEXTRACT(C2156, ""🏘️ \w+ \w+ (.*) ✅"") ,  if(H2156=""quartier"",vlookup(REGEXEXTRACT(C2156, ""🏘️ \w+ \w+ (.*) ✅""),'Quartier prepositio"&amp;"ns'!A:E, 5, 0) ,  if(H2156=""region"",vlookup(REGEXEXTRACT(C2156, ""🏘️ \w+ \w+ (.*) ✅""),'Region prepositions'!B:F, 5, 0),  REGEXEXTRACT(C2156, ""🏘️ \w+ \w+ (.*) ✅""))))"),"Starrkirch-Wil")</f>
        <v>Starrkirch-Wil</v>
      </c>
      <c r="F2156" s="2" t="str">
        <f>IFERROR(__xludf.DUMMYFUNCTION("REGEXEXTRACT(C2156, ""🏘️ (\w+) \w+ .* ✅"")"),"Vendre")</f>
        <v>Vendre</v>
      </c>
      <c r="G2156" s="2" t="str">
        <f>IFERROR(__xludf.DUMMYFUNCTION("REGEXEXTRACT(C2156, ""🏘️ \w+ (\w+) .* ✅"")"),"maison")</f>
        <v>maison</v>
      </c>
      <c r="H2156" s="4" t="str">
        <f>IFERROR(__xludf.DUMMYFUNCTION("REGEXEXTRACT(A2156, ""/(\w+)-.*?"")"),"lieu")</f>
        <v>lieu</v>
      </c>
      <c r="I2156" s="4" t="str">
        <f>IFERROR(__xludf.DUMMYFUNCTION("if(D2156=""variant"",  substitute(filter(Templates!E:E, Templates!A:A = F2156, Templates!B:B = G2156, Templates!C:C = H2156), ""{{}}"", E2156), B2156)"),"🏘  Vous souhaitez acheter une maison à Starrkirch-Wil? ✅ Jetez un œil aux dernières offres sur ImmoScout24.ch.")</f>
        <v>🏘  Vous souhaitez acheter une maison à Starrkirch-Wil? ✅ Jetez un œil aux dernières offres sur ImmoScout24.ch.</v>
      </c>
      <c r="J2156" s="4" t="s">
        <v>6466</v>
      </c>
    </row>
    <row r="2157">
      <c r="A2157" s="5" t="s">
        <v>6467</v>
      </c>
      <c r="B2157" s="2" t="s">
        <v>6468</v>
      </c>
      <c r="C2157" s="4" t="str">
        <f>IFERROR(__xludf.DUMMYFUNCTION("""🏘️ ""&amp;REGEXEXTRACT(B2157, ""^(.*): "")&amp;"" ✅ "" &amp;REGEXEXTRACT(B2157, ""(Trouvez.*)"")"),"🏘️ Vendre maison Rueyres-St-Laurent ✅ Trouvez le bien immobilier qui correspond idéalement à vos désirs sur ImmoScout24 - La plateforme de l'immobilier en Suisse.")</f>
        <v>🏘️ Vendre maison Rueyres-St-Laurent ✅ Trouvez le bien immobilier qui correspond idéalement à vos désirs sur ImmoScout24 - La plateforme de l'immobilier en Suisse.</v>
      </c>
      <c r="D2157" s="4" t="str">
        <f>vlookup(A2157, Sheet2!D:E, 2, 0)</f>
        <v>variant</v>
      </c>
      <c r="E2157" s="4" t="str">
        <f>IFERROR(__xludf.DUMMYFUNCTION("if(H2157=""pays"",vlookup(REGEXEXTRACT(C2157, ""🏘️ \w+ \w+ (.*) ✅""),'Country prepositions'!A:B, 2, 0) &amp; "" "" &amp; REGEXEXTRACT(C2157, ""🏘️ \w+ \w+ (.*) ✅"") ,  if(H2157=""quartier"",vlookup(REGEXEXTRACT(C2157, ""🏘️ \w+ \w+ (.*) ✅""),'Quartier prepositio"&amp;"ns'!A:E, 5, 0) ,  if(H2157=""region"",vlookup(REGEXEXTRACT(C2157, ""🏘️ \w+ \w+ (.*) ✅""),'Region prepositions'!B:F, 5, 0),  REGEXEXTRACT(C2157, ""🏘️ \w+ \w+ (.*) ✅""))))"),"Rueyres-St-Laurent")</f>
        <v>Rueyres-St-Laurent</v>
      </c>
      <c r="F2157" s="2" t="str">
        <f>IFERROR(__xludf.DUMMYFUNCTION("REGEXEXTRACT(C2157, ""🏘️ (\w+) \w+ .* ✅"")"),"Vendre")</f>
        <v>Vendre</v>
      </c>
      <c r="G2157" s="2" t="str">
        <f>IFERROR(__xludf.DUMMYFUNCTION("REGEXEXTRACT(C2157, ""🏘️ \w+ (\w+) .* ✅"")"),"maison")</f>
        <v>maison</v>
      </c>
      <c r="H2157" s="4" t="str">
        <f>IFERROR(__xludf.DUMMYFUNCTION("REGEXEXTRACT(A2157, ""/(\w+)-.*?"")"),"lieu")</f>
        <v>lieu</v>
      </c>
      <c r="I2157" s="4" t="str">
        <f>IFERROR(__xludf.DUMMYFUNCTION("if(D2157=""variant"",  substitute(filter(Templates!E:E, Templates!A:A = F2157, Templates!B:B = G2157, Templates!C:C = H2157), ""{{}}"", E2157), B2157)"),"🏘  Vous souhaitez acheter une maison à Rueyres-St-Laurent? ✅ Jetez un œil aux dernières offres sur ImmoScout24.ch.")</f>
        <v>🏘  Vous souhaitez acheter une maison à Rueyres-St-Laurent? ✅ Jetez un œil aux dernières offres sur ImmoScout24.ch.</v>
      </c>
      <c r="J2157" s="4" t="s">
        <v>6469</v>
      </c>
    </row>
    <row r="2158">
      <c r="A2158" s="5" t="s">
        <v>6470</v>
      </c>
      <c r="B2158" s="2" t="s">
        <v>6471</v>
      </c>
      <c r="C2158" s="4" t="str">
        <f>IFERROR(__xludf.DUMMYFUNCTION("""🏘️ ""&amp;REGEXEXTRACT(B2158, ""^(.*): "")&amp;"" ✅ "" &amp;REGEXEXTRACT(B2158, ""(Trouvez.*)"")"),"🏘️ Vendre maison Granges (Veveyse) ✅ Trouvez le bien immobilier qui correspond idéalement à vos désirs sur ImmoScout24 - La plateforme de l'immobilier en Suisse.")</f>
        <v>🏘️ Vendre maison Granges (Veveyse) ✅ Trouvez le bien immobilier qui correspond idéalement à vos désirs sur ImmoScout24 - La plateforme de l'immobilier en Suisse.</v>
      </c>
      <c r="D2158" s="4" t="str">
        <f>vlookup(A2158, Sheet2!D:E, 2, 0)</f>
        <v>variant</v>
      </c>
      <c r="E2158" s="4" t="str">
        <f>IFERROR(__xludf.DUMMYFUNCTION("if(H2158=""pays"",vlookup(REGEXEXTRACT(C2158, ""🏘️ \w+ \w+ (.*) ✅""),'Country prepositions'!A:B, 2, 0) &amp; "" "" &amp; REGEXEXTRACT(C2158, ""🏘️ \w+ \w+ (.*) ✅"") ,  if(H2158=""quartier"",vlookup(REGEXEXTRACT(C2158, ""🏘️ \w+ \w+ (.*) ✅""),'Quartier prepositio"&amp;"ns'!A:E, 5, 0) ,  if(H2158=""region"",vlookup(REGEXEXTRACT(C2158, ""🏘️ \w+ \w+ (.*) ✅""),'Region prepositions'!B:F, 5, 0),  REGEXEXTRACT(C2158, ""🏘️ \w+ \w+ (.*) ✅""))))"),"Granges (Veveyse)")</f>
        <v>Granges (Veveyse)</v>
      </c>
      <c r="F2158" s="2" t="str">
        <f>IFERROR(__xludf.DUMMYFUNCTION("REGEXEXTRACT(C2158, ""🏘️ (\w+) \w+ .* ✅"")"),"Vendre")</f>
        <v>Vendre</v>
      </c>
      <c r="G2158" s="2" t="str">
        <f>IFERROR(__xludf.DUMMYFUNCTION("REGEXEXTRACT(C2158, ""🏘️ \w+ (\w+) .* ✅"")"),"maison")</f>
        <v>maison</v>
      </c>
      <c r="H2158" s="4" t="str">
        <f>IFERROR(__xludf.DUMMYFUNCTION("REGEXEXTRACT(A2158, ""/(\w+)-.*?"")"),"lieu")</f>
        <v>lieu</v>
      </c>
      <c r="I2158" s="4" t="str">
        <f>IFERROR(__xludf.DUMMYFUNCTION("if(D2158=""variant"",  substitute(filter(Templates!E:E, Templates!A:A = F2158, Templates!B:B = G2158, Templates!C:C = H2158), ""{{}}"", E2158), B2158)"),"🏘  Vous souhaitez acheter une maison à Granges (Veveyse)? ✅ Jetez un œil aux dernières offres sur ImmoScout24.ch.")</f>
        <v>🏘  Vous souhaitez acheter une maison à Granges (Veveyse)? ✅ Jetez un œil aux dernières offres sur ImmoScout24.ch.</v>
      </c>
      <c r="J2158" s="4" t="s">
        <v>6472</v>
      </c>
    </row>
    <row r="2159">
      <c r="A2159" s="5" t="s">
        <v>6473</v>
      </c>
      <c r="B2159" s="2" t="s">
        <v>6474</v>
      </c>
      <c r="C2159" s="4" t="str">
        <f>IFERROR(__xludf.DUMMYFUNCTION("""🏘️ ""&amp;REGEXEXTRACT(B2159, ""^(.*): "")&amp;"" ✅ "" &amp;REGEXEXTRACT(B2159, ""(Trouvez.*)"")"),"🏘️ Louer appartement Wangen an der Aare ✅ Trouvez le bien immobilier qui correspond idéalement à vos désirs sur ImmoScout24 - La plateforme de l'immobilier en Suisse.")</f>
        <v>🏘️ Louer appartement Wangen an der Aare ✅ Trouvez le bien immobilier qui correspond idéalement à vos désirs sur ImmoScout24 - La plateforme de l'immobilier en Suisse.</v>
      </c>
      <c r="D2159" s="4" t="str">
        <f>vlookup(A2159, Sheet2!D:E, 2, 0)</f>
        <v>variant</v>
      </c>
      <c r="E2159" s="4" t="str">
        <f>IFERROR(__xludf.DUMMYFUNCTION("if(H2159=""pays"",vlookup(REGEXEXTRACT(C2159, ""🏘️ \w+ \w+ (.*) ✅""),'Country prepositions'!A:B, 2, 0) &amp; "" "" &amp; REGEXEXTRACT(C2159, ""🏘️ \w+ \w+ (.*) ✅"") ,  if(H2159=""quartier"",vlookup(REGEXEXTRACT(C2159, ""🏘️ \w+ \w+ (.*) ✅""),'Quartier prepositio"&amp;"ns'!A:E, 5, 0) ,  if(H2159=""region"",vlookup(REGEXEXTRACT(C2159, ""🏘️ \w+ \w+ (.*) ✅""),'Region prepositions'!B:F, 5, 0),  REGEXEXTRACT(C2159, ""🏘️ \w+ \w+ (.*) ✅""))))"),"Wangen an der Aare")</f>
        <v>Wangen an der Aare</v>
      </c>
      <c r="F2159" s="2" t="str">
        <f>IFERROR(__xludf.DUMMYFUNCTION("REGEXEXTRACT(C2159, ""🏘️ (\w+) \w+ .* ✅"")"),"Louer")</f>
        <v>Louer</v>
      </c>
      <c r="G2159" s="2" t="str">
        <f>IFERROR(__xludf.DUMMYFUNCTION("REGEXEXTRACT(C2159, ""🏘️ \w+ (\w+) .* ✅"")"),"appartement")</f>
        <v>appartement</v>
      </c>
      <c r="H2159" s="4" t="str">
        <f>IFERROR(__xludf.DUMMYFUNCTION("REGEXEXTRACT(A2159, ""/(\w+)-.*?"")"),"lieu")</f>
        <v>lieu</v>
      </c>
      <c r="I2159" s="4" t="str">
        <f>IFERROR(__xludf.DUMMYFUNCTION("if(D2159=""variant"",  substitute(filter(Templates!E:E, Templates!A:A = F2159, Templates!B:B = G2159, Templates!C:C = H2159), ""{{}}"", E2159), B2159)"),"🏘  Vous cherchez un appartement à louer à Wangen an der Aare? ✅ Les annonces les plus actuelles sont sur ImmoScout24.ch.")</f>
        <v>🏘  Vous cherchez un appartement à louer à Wangen an der Aare? ✅ Les annonces les plus actuelles sont sur ImmoScout24.ch.</v>
      </c>
      <c r="J2159" s="4" t="s">
        <v>6475</v>
      </c>
    </row>
    <row r="2160">
      <c r="A2160" s="5" t="s">
        <v>6476</v>
      </c>
      <c r="B2160" s="2" t="s">
        <v>6477</v>
      </c>
      <c r="C2160" s="4" t="str">
        <f>IFERROR(__xludf.DUMMYFUNCTION("""🏘️ ""&amp;REGEXEXTRACT(B2160, ""^(.*): "")&amp;"" ✅ "" &amp;REGEXEXTRACT(B2160, ""(Trouvez.*)"")"),"🏘️ Louer appartement Gryphenhübeli (Berne) ✅ Trouvez le bien immobilier qui correspond idéalement à vos désirs sur ImmoScout24 - La plateforme de l'immobilier en Suisse.")</f>
        <v>🏘️ Louer appartement Gryphenhübeli (Berne) ✅ Trouvez le bien immobilier qui correspond idéalement à vos désirs sur ImmoScout24 - La plateforme de l'immobilier en Suisse.</v>
      </c>
      <c r="D2160" s="4" t="str">
        <f>vlookup(A2160, Sheet2!D:E, 2, 0)</f>
        <v>variant</v>
      </c>
      <c r="E2160" s="4" t="str">
        <f>IFERROR(__xludf.DUMMYFUNCTION("if(H2160=""pays"",vlookup(REGEXEXTRACT(C2160, ""🏘️ \w+ \w+ (.*) ✅""),'Country prepositions'!A:B, 2, 0) &amp; "" "" &amp; REGEXEXTRACT(C2160, ""🏘️ \w+ \w+ (.*) ✅"") ,  if(H2160=""quartier"",vlookup(REGEXEXTRACT(C2160, ""🏘️ \w+ \w+ (.*) ✅""),'Quartier prepositio"&amp;"ns'!A:E, 5, 0) ,  if(H2160=""region"",vlookup(REGEXEXTRACT(C2160, ""🏘️ \w+ \w+ (.*) ✅""),'Region prepositions'!B:F, 5, 0),  REGEXEXTRACT(C2160, ""🏘️ \w+ \w+ (.*) ✅""))))"),"dans le quartier de Gryphenhübeli (Berne)")</f>
        <v>dans le quartier de Gryphenhübeli (Berne)</v>
      </c>
      <c r="F2160" s="2" t="str">
        <f>IFERROR(__xludf.DUMMYFUNCTION("REGEXEXTRACT(C2160, ""🏘️ (\w+) \w+ .* ✅"")"),"Louer")</f>
        <v>Louer</v>
      </c>
      <c r="G2160" s="2" t="str">
        <f>IFERROR(__xludf.DUMMYFUNCTION("REGEXEXTRACT(C2160, ""🏘️ \w+ (\w+) .* ✅"")"),"appartement")</f>
        <v>appartement</v>
      </c>
      <c r="H2160" s="4" t="str">
        <f>IFERROR(__xludf.DUMMYFUNCTION("REGEXEXTRACT(A2160, ""/(\w+)-.*?"")"),"quartier")</f>
        <v>quartier</v>
      </c>
      <c r="I2160" s="4" t="str">
        <f>IFERROR(__xludf.DUMMYFUNCTION("if(D2160=""variant"",  substitute(filter(Templates!E:E, Templates!A:A = F2160, Templates!B:B = G2160, Templates!C:C = H2160), ""{{}}"", E2160), B2160)"),"🏘  Vous cherchez un appartement à louer dans le quartier de Gryphenhübeli (Berne)? ✅ Les annonces les plus actuelles sont sur ImmoScout24.ch.")</f>
        <v>🏘  Vous cherchez un appartement à louer dans le quartier de Gryphenhübeli (Berne)? ✅ Les annonces les plus actuelles sont sur ImmoScout24.ch.</v>
      </c>
      <c r="J2160" s="4" t="s">
        <v>6478</v>
      </c>
    </row>
    <row r="2161">
      <c r="A2161" s="5" t="s">
        <v>6479</v>
      </c>
      <c r="B2161" s="2" t="s">
        <v>6480</v>
      </c>
      <c r="C2161" s="4" t="str">
        <f>IFERROR(__xludf.DUMMYFUNCTION("""🏘️ ""&amp;REGEXEXTRACT(B2161, ""^(.*): "")&amp;"" ✅ "" &amp;REGEXEXTRACT(B2161, ""(Trouvez.*)"")"),"🏘️ Vendre maison Birmenstorf AG ✅ Trouvez le bien immobilier qui correspond idéalement à vos désirs sur ImmoScout24 - La plateforme de l'immobilier en Suisse.")</f>
        <v>🏘️ Vendre maison Birmenstorf AG ✅ Trouvez le bien immobilier qui correspond idéalement à vos désirs sur ImmoScout24 - La plateforme de l'immobilier en Suisse.</v>
      </c>
      <c r="D2161" s="4" t="str">
        <f>vlookup(A2161, Sheet2!D:E, 2, 0)</f>
        <v>variant</v>
      </c>
      <c r="E2161" s="4" t="str">
        <f>IFERROR(__xludf.DUMMYFUNCTION("if(H2161=""pays"",vlookup(REGEXEXTRACT(C2161, ""🏘️ \w+ \w+ (.*) ✅""),'Country prepositions'!A:B, 2, 0) &amp; "" "" &amp; REGEXEXTRACT(C2161, ""🏘️ \w+ \w+ (.*) ✅"") ,  if(H2161=""quartier"",vlookup(REGEXEXTRACT(C2161, ""🏘️ \w+ \w+ (.*) ✅""),'Quartier prepositio"&amp;"ns'!A:E, 5, 0) ,  if(H2161=""region"",vlookup(REGEXEXTRACT(C2161, ""🏘️ \w+ \w+ (.*) ✅""),'Region prepositions'!B:F, 5, 0),  REGEXEXTRACT(C2161, ""🏘️ \w+ \w+ (.*) ✅""))))"),"Birmenstorf AG")</f>
        <v>Birmenstorf AG</v>
      </c>
      <c r="F2161" s="2" t="str">
        <f>IFERROR(__xludf.DUMMYFUNCTION("REGEXEXTRACT(C2161, ""🏘️ (\w+) \w+ .* ✅"")"),"Vendre")</f>
        <v>Vendre</v>
      </c>
      <c r="G2161" s="2" t="str">
        <f>IFERROR(__xludf.DUMMYFUNCTION("REGEXEXTRACT(C2161, ""🏘️ \w+ (\w+) .* ✅"")"),"maison")</f>
        <v>maison</v>
      </c>
      <c r="H2161" s="4" t="str">
        <f>IFERROR(__xludf.DUMMYFUNCTION("REGEXEXTRACT(A2161, ""/(\w+)-.*?"")"),"lieu")</f>
        <v>lieu</v>
      </c>
      <c r="I2161" s="4" t="str">
        <f>IFERROR(__xludf.DUMMYFUNCTION("if(D2161=""variant"",  substitute(filter(Templates!E:E, Templates!A:A = F2161, Templates!B:B = G2161, Templates!C:C = H2161), ""{{}}"", E2161), B2161)"),"🏘  Vous souhaitez acheter une maison à Birmenstorf AG? ✅ Jetez un œil aux dernières offres sur ImmoScout24.ch.")</f>
        <v>🏘  Vous souhaitez acheter une maison à Birmenstorf AG? ✅ Jetez un œil aux dernières offres sur ImmoScout24.ch.</v>
      </c>
      <c r="J2161" s="4" t="s">
        <v>6481</v>
      </c>
    </row>
    <row r="2162">
      <c r="A2162" s="5" t="s">
        <v>6482</v>
      </c>
      <c r="B2162" s="2" t="s">
        <v>6483</v>
      </c>
      <c r="C2162" s="4" t="str">
        <f>IFERROR(__xludf.DUMMYFUNCTION("""🏘️ ""&amp;REGEXEXTRACT(B2162, ""^(.*): "")&amp;"" ✅ "" &amp;REGEXEXTRACT(B2162, ""(Trouvez.*)"")"),"🏘️ Vendre appartement Veysonnaz ✅ Trouvez le bien immobilier qui correspond idéalement à vos désirs sur ImmoScout24 - La plateforme de l'immobilier en Suisse.")</f>
        <v>🏘️ Vendre appartement Veysonnaz ✅ Trouvez le bien immobilier qui correspond idéalement à vos désirs sur ImmoScout24 - La plateforme de l'immobilier en Suisse.</v>
      </c>
      <c r="D2162" s="4" t="str">
        <f>vlookup(A2162, Sheet2!D:E, 2, 0)</f>
        <v>variant</v>
      </c>
      <c r="E2162" s="4" t="str">
        <f>IFERROR(__xludf.DUMMYFUNCTION("if(H2162=""pays"",vlookup(REGEXEXTRACT(C2162, ""🏘️ \w+ \w+ (.*) ✅""),'Country prepositions'!A:B, 2, 0) &amp; "" "" &amp; REGEXEXTRACT(C2162, ""🏘️ \w+ \w+ (.*) ✅"") ,  if(H2162=""quartier"",vlookup(REGEXEXTRACT(C2162, ""🏘️ \w+ \w+ (.*) ✅""),'Quartier prepositio"&amp;"ns'!A:E, 5, 0) ,  if(H2162=""region"",vlookup(REGEXEXTRACT(C2162, ""🏘️ \w+ \w+ (.*) ✅""),'Region prepositions'!B:F, 5, 0),  REGEXEXTRACT(C2162, ""🏘️ \w+ \w+ (.*) ✅""))))"),"Veysonnaz")</f>
        <v>Veysonnaz</v>
      </c>
      <c r="F2162" s="2" t="str">
        <f>IFERROR(__xludf.DUMMYFUNCTION("REGEXEXTRACT(C2162, ""🏘️ (\w+) \w+ .* ✅"")"),"Vendre")</f>
        <v>Vendre</v>
      </c>
      <c r="G2162" s="2" t="str">
        <f>IFERROR(__xludf.DUMMYFUNCTION("REGEXEXTRACT(C2162, ""🏘️ \w+ (\w+) .* ✅"")"),"appartement")</f>
        <v>appartement</v>
      </c>
      <c r="H2162" s="4" t="str">
        <f>IFERROR(__xludf.DUMMYFUNCTION("REGEXEXTRACT(A2162, ""/(\w+)-.*?"")"),"lieu")</f>
        <v>lieu</v>
      </c>
      <c r="I2162" s="4" t="str">
        <f>IFERROR(__xludf.DUMMYFUNCTION("if(D2162=""variant"",  substitute(filter(Templates!E:E, Templates!A:A = F2162, Templates!B:B = G2162, Templates!C:C = H2162), ""{{}}"", E2162), B2162)"),"🏘  L’appartement de vos rêves se trouve sur ImmoScout24.ch ✅ Découvrez les dernières annonces de vente à Veysonnaz.")</f>
        <v>🏘  L’appartement de vos rêves se trouve sur ImmoScout24.ch ✅ Découvrez les dernières annonces de vente à Veysonnaz.</v>
      </c>
      <c r="J2162" s="4" t="s">
        <v>6484</v>
      </c>
    </row>
    <row r="2163">
      <c r="A2163" s="5" t="s">
        <v>6485</v>
      </c>
      <c r="B2163" s="2" t="s">
        <v>6486</v>
      </c>
      <c r="C2163" s="4" t="str">
        <f>IFERROR(__xludf.DUMMYFUNCTION("""🏘️ ""&amp;REGEXEXTRACT(B2163, ""^(.*): "")&amp;"" ✅ "" &amp;REGEXEXTRACT(B2163, ""(Trouvez.*)"")"),"🏘️ Louer maison Yvorne ✅ Trouvez le bien immobilier qui correspond idéalement à vos désirs sur ImmoScout24 - La plateforme de l'immobilier en Suisse.")</f>
        <v>🏘️ Louer maison Yvorne ✅ Trouvez le bien immobilier qui correspond idéalement à vos désirs sur ImmoScout24 - La plateforme de l'immobilier en Suisse.</v>
      </c>
      <c r="D2163" s="4" t="str">
        <f>vlookup(A2163, Sheet2!D:E, 2, 0)</f>
        <v>variant</v>
      </c>
      <c r="E2163" s="4" t="str">
        <f>IFERROR(__xludf.DUMMYFUNCTION("if(H2163=""pays"",vlookup(REGEXEXTRACT(C2163, ""🏘️ \w+ \w+ (.*) ✅""),'Country prepositions'!A:B, 2, 0) &amp; "" "" &amp; REGEXEXTRACT(C2163, ""🏘️ \w+ \w+ (.*) ✅"") ,  if(H2163=""quartier"",vlookup(REGEXEXTRACT(C2163, ""🏘️ \w+ \w+ (.*) ✅""),'Quartier prepositio"&amp;"ns'!A:E, 5, 0) ,  if(H2163=""region"",vlookup(REGEXEXTRACT(C2163, ""🏘️ \w+ \w+ (.*) ✅""),'Region prepositions'!B:F, 5, 0),  REGEXEXTRACT(C2163, ""🏘️ \w+ \w+ (.*) ✅""))))"),"Yvorne")</f>
        <v>Yvorne</v>
      </c>
      <c r="F2163" s="2" t="str">
        <f>IFERROR(__xludf.DUMMYFUNCTION("REGEXEXTRACT(C2163, ""🏘️ (\w+) \w+ .* ✅"")"),"Louer")</f>
        <v>Louer</v>
      </c>
      <c r="G2163" s="2" t="str">
        <f>IFERROR(__xludf.DUMMYFUNCTION("REGEXEXTRACT(C2163, ""🏘️ \w+ (\w+) .* ✅"")"),"maison")</f>
        <v>maison</v>
      </c>
      <c r="H2163" s="4" t="str">
        <f>IFERROR(__xludf.DUMMYFUNCTION("REGEXEXTRACT(A2163, ""/(\w+)-.*?"")"),"lieu")</f>
        <v>lieu</v>
      </c>
      <c r="I2163" s="4" t="str">
        <f>IFERROR(__xludf.DUMMYFUNCTION("if(D2163=""variant"",  substitute(filter(Templates!E:E, Templates!A:A = F2163, Templates!B:B = G2163, Templates!C:C = H2163), ""{{}}"", E2163), B2163)"),"🏘  Vous cherchez une maison à louer à Yvorne? ✅ Découvrez nos nombreuses annonces sur ImmoScout24.ch.")</f>
        <v>🏘  Vous cherchez une maison à louer à Yvorne? ✅ Découvrez nos nombreuses annonces sur ImmoScout24.ch.</v>
      </c>
      <c r="J2163" s="4" t="s">
        <v>6487</v>
      </c>
    </row>
    <row r="2164">
      <c r="A2164" s="5" t="s">
        <v>6488</v>
      </c>
      <c r="B2164" s="2" t="s">
        <v>6489</v>
      </c>
      <c r="C2164" s="4" t="str">
        <f>IFERROR(__xludf.DUMMYFUNCTION("""🏘️ ""&amp;REGEXEXTRACT(B2164, ""^(.*): "")&amp;"" ✅ "" &amp;REGEXEXTRACT(B2164, ""(Trouvez.*)"")"),"🏘️ Vendre maison Bellelay ✅ Trouvez le bien immobilier qui correspond idéalement à vos désirs sur ImmoScout24 - La plateforme de l'immobilier en Suisse.")</f>
        <v>🏘️ Vendre maison Bellelay ✅ Trouvez le bien immobilier qui correspond idéalement à vos désirs sur ImmoScout24 - La plateforme de l'immobilier en Suisse.</v>
      </c>
      <c r="D2164" s="4" t="str">
        <f>vlookup(A2164, Sheet2!D:E, 2, 0)</f>
        <v>variant</v>
      </c>
      <c r="E2164" s="4" t="str">
        <f>IFERROR(__xludf.DUMMYFUNCTION("if(H2164=""pays"",vlookup(REGEXEXTRACT(C2164, ""🏘️ \w+ \w+ (.*) ✅""),'Country prepositions'!A:B, 2, 0) &amp; "" "" &amp; REGEXEXTRACT(C2164, ""🏘️ \w+ \w+ (.*) ✅"") ,  if(H2164=""quartier"",vlookup(REGEXEXTRACT(C2164, ""🏘️ \w+ \w+ (.*) ✅""),'Quartier prepositio"&amp;"ns'!A:E, 5, 0) ,  if(H2164=""region"",vlookup(REGEXEXTRACT(C2164, ""🏘️ \w+ \w+ (.*) ✅""),'Region prepositions'!B:F, 5, 0),  REGEXEXTRACT(C2164, ""🏘️ \w+ \w+ (.*) ✅""))))"),"Bellelay")</f>
        <v>Bellelay</v>
      </c>
      <c r="F2164" s="2" t="str">
        <f>IFERROR(__xludf.DUMMYFUNCTION("REGEXEXTRACT(C2164, ""🏘️ (\w+) \w+ .* ✅"")"),"Vendre")</f>
        <v>Vendre</v>
      </c>
      <c r="G2164" s="2" t="str">
        <f>IFERROR(__xludf.DUMMYFUNCTION("REGEXEXTRACT(C2164, ""🏘️ \w+ (\w+) .* ✅"")"),"maison")</f>
        <v>maison</v>
      </c>
      <c r="H2164" s="4" t="str">
        <f>IFERROR(__xludf.DUMMYFUNCTION("REGEXEXTRACT(A2164, ""/(\w+)-.*?"")"),"lieu")</f>
        <v>lieu</v>
      </c>
      <c r="I2164" s="4" t="str">
        <f>IFERROR(__xludf.DUMMYFUNCTION("if(D2164=""variant"",  substitute(filter(Templates!E:E, Templates!A:A = F2164, Templates!B:B = G2164, Templates!C:C = H2164), ""{{}}"", E2164), B2164)"),"🏘  Vous souhaitez acheter une maison à Bellelay? ✅ Jetez un œil aux dernières offres sur ImmoScout24.ch.")</f>
        <v>🏘  Vous souhaitez acheter une maison à Bellelay? ✅ Jetez un œil aux dernières offres sur ImmoScout24.ch.</v>
      </c>
      <c r="J2164" s="4" t="s">
        <v>6490</v>
      </c>
    </row>
    <row r="2165">
      <c r="A2165" s="5" t="s">
        <v>6491</v>
      </c>
      <c r="B2165" s="2" t="s">
        <v>6492</v>
      </c>
      <c r="C2165" s="4" t="str">
        <f>IFERROR(__xludf.DUMMYFUNCTION("""🏘️ ""&amp;REGEXEXTRACT(B2165, ""^(.*): "")&amp;"" ✅ "" &amp;REGEXEXTRACT(B2165, ""(Trouvez.*)"")"),"🏘️ Louer appartement Tegna ✅ Trouvez le bien immobilier qui correspond idéalement à vos désirs sur ImmoScout24 - La plateforme de l'immobilier en Suisse.")</f>
        <v>🏘️ Louer appartement Tegna ✅ Trouvez le bien immobilier qui correspond idéalement à vos désirs sur ImmoScout24 - La plateforme de l'immobilier en Suisse.</v>
      </c>
      <c r="D2165" s="4" t="str">
        <f>vlookup(A2165, Sheet2!D:E, 2, 0)</f>
        <v>variant</v>
      </c>
      <c r="E2165" s="4" t="str">
        <f>IFERROR(__xludf.DUMMYFUNCTION("if(H2165=""pays"",vlookup(REGEXEXTRACT(C2165, ""🏘️ \w+ \w+ (.*) ✅""),'Country prepositions'!A:B, 2, 0) &amp; "" "" &amp; REGEXEXTRACT(C2165, ""🏘️ \w+ \w+ (.*) ✅"") ,  if(H2165=""quartier"",vlookup(REGEXEXTRACT(C2165, ""🏘️ \w+ \w+ (.*) ✅""),'Quartier prepositio"&amp;"ns'!A:E, 5, 0) ,  if(H2165=""region"",vlookup(REGEXEXTRACT(C2165, ""🏘️ \w+ \w+ (.*) ✅""),'Region prepositions'!B:F, 5, 0),  REGEXEXTRACT(C2165, ""🏘️ \w+ \w+ (.*) ✅""))))"),"Tegna")</f>
        <v>Tegna</v>
      </c>
      <c r="F2165" s="2" t="str">
        <f>IFERROR(__xludf.DUMMYFUNCTION("REGEXEXTRACT(C2165, ""🏘️ (\w+) \w+ .* ✅"")"),"Louer")</f>
        <v>Louer</v>
      </c>
      <c r="G2165" s="2" t="str">
        <f>IFERROR(__xludf.DUMMYFUNCTION("REGEXEXTRACT(C2165, ""🏘️ \w+ (\w+) .* ✅"")"),"appartement")</f>
        <v>appartement</v>
      </c>
      <c r="H2165" s="4" t="str">
        <f>IFERROR(__xludf.DUMMYFUNCTION("REGEXEXTRACT(A2165, ""/(\w+)-.*?"")"),"lieu")</f>
        <v>lieu</v>
      </c>
      <c r="I2165" s="4" t="str">
        <f>IFERROR(__xludf.DUMMYFUNCTION("if(D2165=""variant"",  substitute(filter(Templates!E:E, Templates!A:A = F2165, Templates!B:B = G2165, Templates!C:C = H2165), ""{{}}"", E2165), B2165)"),"🏘  Vous cherchez un appartement à louer à Tegna? ✅ Les annonces les plus actuelles sont sur ImmoScout24.ch.")</f>
        <v>🏘  Vous cherchez un appartement à louer à Tegna? ✅ Les annonces les plus actuelles sont sur ImmoScout24.ch.</v>
      </c>
      <c r="J2165" s="4" t="s">
        <v>6493</v>
      </c>
    </row>
    <row r="2166">
      <c r="A2166" s="5" t="s">
        <v>6494</v>
      </c>
      <c r="B2166" s="2" t="s">
        <v>6495</v>
      </c>
      <c r="C2166" s="4" t="str">
        <f>IFERROR(__xludf.DUMMYFUNCTION("""🏘️ ""&amp;REGEXEXTRACT(B2166, ""^(.*): "")&amp;"" ✅ "" &amp;REGEXEXTRACT(B2166, ""(Trouvez.*)"")"),"🏘️ Louer appartement Sergey ✅ Trouvez le bien immobilier qui correspond idéalement à vos désirs sur ImmoScout24 - La plateforme de l'immobilier en Suisse.")</f>
        <v>🏘️ Louer appartement Sergey ✅ Trouvez le bien immobilier qui correspond idéalement à vos désirs sur ImmoScout24 - La plateforme de l'immobilier en Suisse.</v>
      </c>
      <c r="D2166" s="4" t="str">
        <f>vlookup(A2166, Sheet2!D:E, 2, 0)</f>
        <v>variant</v>
      </c>
      <c r="E2166" s="4" t="str">
        <f>IFERROR(__xludf.DUMMYFUNCTION("if(H2166=""pays"",vlookup(REGEXEXTRACT(C2166, ""🏘️ \w+ \w+ (.*) ✅""),'Country prepositions'!A:B, 2, 0) &amp; "" "" &amp; REGEXEXTRACT(C2166, ""🏘️ \w+ \w+ (.*) ✅"") ,  if(H2166=""quartier"",vlookup(REGEXEXTRACT(C2166, ""🏘️ \w+ \w+ (.*) ✅""),'Quartier prepositio"&amp;"ns'!A:E, 5, 0) ,  if(H2166=""region"",vlookup(REGEXEXTRACT(C2166, ""🏘️ \w+ \w+ (.*) ✅""),'Region prepositions'!B:F, 5, 0),  REGEXEXTRACT(C2166, ""🏘️ \w+ \w+ (.*) ✅""))))"),"Sergey")</f>
        <v>Sergey</v>
      </c>
      <c r="F2166" s="2" t="str">
        <f>IFERROR(__xludf.DUMMYFUNCTION("REGEXEXTRACT(C2166, ""🏘️ (\w+) \w+ .* ✅"")"),"Louer")</f>
        <v>Louer</v>
      </c>
      <c r="G2166" s="2" t="str">
        <f>IFERROR(__xludf.DUMMYFUNCTION("REGEXEXTRACT(C2166, ""🏘️ \w+ (\w+) .* ✅"")"),"appartement")</f>
        <v>appartement</v>
      </c>
      <c r="H2166" s="4" t="str">
        <f>IFERROR(__xludf.DUMMYFUNCTION("REGEXEXTRACT(A2166, ""/(\w+)-.*?"")"),"lieu")</f>
        <v>lieu</v>
      </c>
      <c r="I2166" s="4" t="str">
        <f>IFERROR(__xludf.DUMMYFUNCTION("if(D2166=""variant"",  substitute(filter(Templates!E:E, Templates!A:A = F2166, Templates!B:B = G2166, Templates!C:C = H2166), ""{{}}"", E2166), B2166)"),"🏘  Vous cherchez un appartement à louer à Sergey? ✅ Les annonces les plus actuelles sont sur ImmoScout24.ch.")</f>
        <v>🏘  Vous cherchez un appartement à louer à Sergey? ✅ Les annonces les plus actuelles sont sur ImmoScout24.ch.</v>
      </c>
      <c r="J2166" s="4" t="s">
        <v>6496</v>
      </c>
    </row>
    <row r="2167">
      <c r="A2167" s="5" t="s">
        <v>6497</v>
      </c>
      <c r="B2167" s="2" t="s">
        <v>6498</v>
      </c>
      <c r="C2167" s="4" t="str">
        <f>IFERROR(__xludf.DUMMYFUNCTION("""🏘️ ""&amp;REGEXEXTRACT(B2167, ""^(.*): "")&amp;"" ✅ "" &amp;REGEXEXTRACT(B2167, ""(Trouvez.*)"")"),"🏘️ Vendre maison Losone ✅ Trouvez le bien immobilier qui correspond idéalement à vos désirs sur ImmoScout24 - La plateforme de l'immobilier en Suisse.")</f>
        <v>🏘️ Vendre maison Losone ✅ Trouvez le bien immobilier qui correspond idéalement à vos désirs sur ImmoScout24 - La plateforme de l'immobilier en Suisse.</v>
      </c>
      <c r="D2167" s="4" t="str">
        <f>vlookup(A2167, Sheet2!D:E, 2, 0)</f>
        <v>variant</v>
      </c>
      <c r="E2167" s="4" t="str">
        <f>IFERROR(__xludf.DUMMYFUNCTION("if(H2167=""pays"",vlookup(REGEXEXTRACT(C2167, ""🏘️ \w+ \w+ (.*) ✅""),'Country prepositions'!A:B, 2, 0) &amp; "" "" &amp; REGEXEXTRACT(C2167, ""🏘️ \w+ \w+ (.*) ✅"") ,  if(H2167=""quartier"",vlookup(REGEXEXTRACT(C2167, ""🏘️ \w+ \w+ (.*) ✅""),'Quartier prepositio"&amp;"ns'!A:E, 5, 0) ,  if(H2167=""region"",vlookup(REGEXEXTRACT(C2167, ""🏘️ \w+ \w+ (.*) ✅""),'Region prepositions'!B:F, 5, 0),  REGEXEXTRACT(C2167, ""🏘️ \w+ \w+ (.*) ✅""))))"),"Losone")</f>
        <v>Losone</v>
      </c>
      <c r="F2167" s="2" t="str">
        <f>IFERROR(__xludf.DUMMYFUNCTION("REGEXEXTRACT(C2167, ""🏘️ (\w+) \w+ .* ✅"")"),"Vendre")</f>
        <v>Vendre</v>
      </c>
      <c r="G2167" s="2" t="str">
        <f>IFERROR(__xludf.DUMMYFUNCTION("REGEXEXTRACT(C2167, ""🏘️ \w+ (\w+) .* ✅"")"),"maison")</f>
        <v>maison</v>
      </c>
      <c r="H2167" s="4" t="str">
        <f>IFERROR(__xludf.DUMMYFUNCTION("REGEXEXTRACT(A2167, ""/(\w+)-.*?"")"),"lieu")</f>
        <v>lieu</v>
      </c>
      <c r="I2167" s="4" t="str">
        <f>IFERROR(__xludf.DUMMYFUNCTION("if(D2167=""variant"",  substitute(filter(Templates!E:E, Templates!A:A = F2167, Templates!B:B = G2167, Templates!C:C = H2167), ""{{}}"", E2167), B2167)"),"🏘  Vous souhaitez acheter une maison à Losone? ✅ Jetez un œil aux dernières offres sur ImmoScout24.ch.")</f>
        <v>🏘  Vous souhaitez acheter une maison à Losone? ✅ Jetez un œil aux dernières offres sur ImmoScout24.ch.</v>
      </c>
      <c r="J2167" s="4" t="s">
        <v>6499</v>
      </c>
    </row>
    <row r="2168">
      <c r="A2168" s="5" t="s">
        <v>6500</v>
      </c>
      <c r="B2168" s="2" t="s">
        <v>6501</v>
      </c>
      <c r="C2168" s="4" t="str">
        <f>IFERROR(__xludf.DUMMYFUNCTION("""🏘️ ""&amp;REGEXEXTRACT(B2168, ""^(.*): "")&amp;"" ✅ "" &amp;REGEXEXTRACT(B2168, ""(Trouvez.*)"")"),"🏘️ Vendre appartement Aarau et environs ✅ Trouvez le bien immobilier qui correspond idéalement à vos désirs sur ImmoScout24 - La plateforme de l'immobilier en Suisse.")</f>
        <v>🏘️ Vendre appartement Aarau et environs ✅ Trouvez le bien immobilier qui correspond idéalement à vos désirs sur ImmoScout24 - La plateforme de l'immobilier en Suisse.</v>
      </c>
      <c r="D2168" s="4" t="str">
        <f>vlookup(A2168, Sheet2!D:E, 2, 0)</f>
        <v>variant</v>
      </c>
      <c r="E2168" s="4" t="str">
        <f>IFERROR(__xludf.DUMMYFUNCTION("if(H2168=""pays"",vlookup(REGEXEXTRACT(C2168, ""🏘️ \w+ \w+ (.*) ✅""),'Country prepositions'!A:B, 2, 0) &amp; "" "" &amp; REGEXEXTRACT(C2168, ""🏘️ \w+ \w+ (.*) ✅"") ,  if(H2168=""quartier"",vlookup(REGEXEXTRACT(C2168, ""🏘️ \w+ \w+ (.*) ✅""),'Quartier prepositio"&amp;"ns'!A:E, 5, 0) ,  if(H2168=""region"",vlookup(REGEXEXTRACT(C2168, ""🏘️ \w+ \w+ (.*) ✅""),'Region prepositions'!B:F, 5, 0),  REGEXEXTRACT(C2168, ""🏘️ \w+ \w+ (.*) ✅""))))"),"à Aarau et environs")</f>
        <v>à Aarau et environs</v>
      </c>
      <c r="F2168" s="2" t="str">
        <f>IFERROR(__xludf.DUMMYFUNCTION("REGEXEXTRACT(C2168, ""🏘️ (\w+) \w+ .* ✅"")"),"Vendre")</f>
        <v>Vendre</v>
      </c>
      <c r="G2168" s="2" t="str">
        <f>IFERROR(__xludf.DUMMYFUNCTION("REGEXEXTRACT(C2168, ""🏘️ \w+ (\w+) .* ✅"")"),"appartement")</f>
        <v>appartement</v>
      </c>
      <c r="H2168" s="4" t="str">
        <f>IFERROR(__xludf.DUMMYFUNCTION("REGEXEXTRACT(A2168, ""/(\w+)-.*?"")"),"region")</f>
        <v>region</v>
      </c>
      <c r="I2168" s="4" t="str">
        <f>IFERROR(__xludf.DUMMYFUNCTION("if(D2168=""variant"",  substitute(filter(Templates!E:E, Templates!A:A = F2168, Templates!B:B = G2168, Templates!C:C = H2168), ""{{}}"", E2168), B2168)"),"🏘  L’appartement de vos rêves se trouve sur ImmoScout24.ch ✅ Découvrez les dernières annonces de vente à Aarau et environs.")</f>
        <v>🏘  L’appartement de vos rêves se trouve sur ImmoScout24.ch ✅ Découvrez les dernières annonces de vente à Aarau et environs.</v>
      </c>
      <c r="J2168" s="4" t="s">
        <v>6502</v>
      </c>
    </row>
    <row r="2169">
      <c r="A2169" s="5" t="s">
        <v>6503</v>
      </c>
      <c r="B2169" s="2" t="s">
        <v>6504</v>
      </c>
      <c r="C2169" s="4" t="str">
        <f>IFERROR(__xludf.DUMMYFUNCTION("""🏘️ ""&amp;REGEXEXTRACT(B2169, ""^(.*): "")&amp;"" ✅ "" &amp;REGEXEXTRACT(B2169, ""(Trouvez.*)"")"),"🏘️ Vendre maison Chanéaz ✅ Trouvez le bien immobilier qui correspond idéalement à vos désirs sur ImmoScout24 - La plateforme de l'immobilier en Suisse.")</f>
        <v>🏘️ Vendre maison Chanéaz ✅ Trouvez le bien immobilier qui correspond idéalement à vos désirs sur ImmoScout24 - La plateforme de l'immobilier en Suisse.</v>
      </c>
      <c r="D2169" s="4" t="str">
        <f>vlookup(A2169, Sheet2!D:E, 2, 0)</f>
        <v>variant</v>
      </c>
      <c r="E2169" s="4" t="str">
        <f>IFERROR(__xludf.DUMMYFUNCTION("if(H2169=""pays"",vlookup(REGEXEXTRACT(C2169, ""🏘️ \w+ \w+ (.*) ✅""),'Country prepositions'!A:B, 2, 0) &amp; "" "" &amp; REGEXEXTRACT(C2169, ""🏘️ \w+ \w+ (.*) ✅"") ,  if(H2169=""quartier"",vlookup(REGEXEXTRACT(C2169, ""🏘️ \w+ \w+ (.*) ✅""),'Quartier prepositio"&amp;"ns'!A:E, 5, 0) ,  if(H2169=""region"",vlookup(REGEXEXTRACT(C2169, ""🏘️ \w+ \w+ (.*) ✅""),'Region prepositions'!B:F, 5, 0),  REGEXEXTRACT(C2169, ""🏘️ \w+ \w+ (.*) ✅""))))"),"Chanéaz")</f>
        <v>Chanéaz</v>
      </c>
      <c r="F2169" s="2" t="str">
        <f>IFERROR(__xludf.DUMMYFUNCTION("REGEXEXTRACT(C2169, ""🏘️ (\w+) \w+ .* ✅"")"),"Vendre")</f>
        <v>Vendre</v>
      </c>
      <c r="G2169" s="2" t="str">
        <f>IFERROR(__xludf.DUMMYFUNCTION("REGEXEXTRACT(C2169, ""🏘️ \w+ (\w+) .* ✅"")"),"maison")</f>
        <v>maison</v>
      </c>
      <c r="H2169" s="4" t="str">
        <f>IFERROR(__xludf.DUMMYFUNCTION("REGEXEXTRACT(A2169, ""/(\w+)-.*?"")"),"lieu")</f>
        <v>lieu</v>
      </c>
      <c r="I2169" s="4" t="str">
        <f>IFERROR(__xludf.DUMMYFUNCTION("if(D2169=""variant"",  substitute(filter(Templates!E:E, Templates!A:A = F2169, Templates!B:B = G2169, Templates!C:C = H2169), ""{{}}"", E2169), B2169)"),"🏘  Vous souhaitez acheter une maison à Chanéaz? ✅ Jetez un œil aux dernières offres sur ImmoScout24.ch.")</f>
        <v>🏘  Vous souhaitez acheter une maison à Chanéaz? ✅ Jetez un œil aux dernières offres sur ImmoScout24.ch.</v>
      </c>
      <c r="J2169" s="4" t="s">
        <v>6505</v>
      </c>
    </row>
    <row r="2170">
      <c r="A2170" s="5" t="s">
        <v>6506</v>
      </c>
      <c r="B2170" s="2" t="s">
        <v>6507</v>
      </c>
      <c r="C2170" s="4" t="str">
        <f>IFERROR(__xludf.DUMMYFUNCTION("""🏘️ ""&amp;REGEXEXTRACT(B2170, ""^(.*): "")&amp;"" ✅ "" &amp;REGEXEXTRACT(B2170, ""(Trouvez.*)"")"),"🏘️ Vendre maison Güttingen ✅ Trouvez le bien immobilier qui correspond idéalement à vos désirs sur ImmoScout24 - La plateforme de l'immobilier en Suisse.")</f>
        <v>🏘️ Vendre maison Güttingen ✅ Trouvez le bien immobilier qui correspond idéalement à vos désirs sur ImmoScout24 - La plateforme de l'immobilier en Suisse.</v>
      </c>
      <c r="D2170" s="4" t="str">
        <f>vlookup(A2170, Sheet2!D:E, 2, 0)</f>
        <v>variant</v>
      </c>
      <c r="E2170" s="4" t="str">
        <f>IFERROR(__xludf.DUMMYFUNCTION("if(H2170=""pays"",vlookup(REGEXEXTRACT(C2170, ""🏘️ \w+ \w+ (.*) ✅""),'Country prepositions'!A:B, 2, 0) &amp; "" "" &amp; REGEXEXTRACT(C2170, ""🏘️ \w+ \w+ (.*) ✅"") ,  if(H2170=""quartier"",vlookup(REGEXEXTRACT(C2170, ""🏘️ \w+ \w+ (.*) ✅""),'Quartier prepositio"&amp;"ns'!A:E, 5, 0) ,  if(H2170=""region"",vlookup(REGEXEXTRACT(C2170, ""🏘️ \w+ \w+ (.*) ✅""),'Region prepositions'!B:F, 5, 0),  REGEXEXTRACT(C2170, ""🏘️ \w+ \w+ (.*) ✅""))))"),"Güttingen")</f>
        <v>Güttingen</v>
      </c>
      <c r="F2170" s="2" t="str">
        <f>IFERROR(__xludf.DUMMYFUNCTION("REGEXEXTRACT(C2170, ""🏘️ (\w+) \w+ .* ✅"")"),"Vendre")</f>
        <v>Vendre</v>
      </c>
      <c r="G2170" s="2" t="str">
        <f>IFERROR(__xludf.DUMMYFUNCTION("REGEXEXTRACT(C2170, ""🏘️ \w+ (\w+) .* ✅"")"),"maison")</f>
        <v>maison</v>
      </c>
      <c r="H2170" s="4" t="str">
        <f>IFERROR(__xludf.DUMMYFUNCTION("REGEXEXTRACT(A2170, ""/(\w+)-.*?"")"),"lieu")</f>
        <v>lieu</v>
      </c>
      <c r="I2170" s="4" t="str">
        <f>IFERROR(__xludf.DUMMYFUNCTION("if(D2170=""variant"",  substitute(filter(Templates!E:E, Templates!A:A = F2170, Templates!B:B = G2170, Templates!C:C = H2170), ""{{}}"", E2170), B2170)"),"🏘  Vous souhaitez acheter une maison à Güttingen? ✅ Jetez un œil aux dernières offres sur ImmoScout24.ch.")</f>
        <v>🏘  Vous souhaitez acheter une maison à Güttingen? ✅ Jetez un œil aux dernières offres sur ImmoScout24.ch.</v>
      </c>
      <c r="J2170" s="4" t="s">
        <v>6508</v>
      </c>
    </row>
    <row r="2171">
      <c r="A2171" s="5" t="s">
        <v>6509</v>
      </c>
      <c r="B2171" s="2" t="s">
        <v>6510</v>
      </c>
      <c r="C2171" s="4" t="str">
        <f>IFERROR(__xludf.DUMMYFUNCTION("""🏘️ ""&amp;REGEXEXTRACT(B2171, ""^(.*): "")&amp;"" ✅ "" &amp;REGEXEXTRACT(B2171, ""(Trouvez.*)"")"),"🏘️ Vendre appartement Gurmels ✅ Trouvez le bien immobilier qui correspond idéalement à vos désirs sur ImmoScout24 - La plateforme de l'immobilier en Suisse.")</f>
        <v>🏘️ Vendre appartement Gurmels ✅ Trouvez le bien immobilier qui correspond idéalement à vos désirs sur ImmoScout24 - La plateforme de l'immobilier en Suisse.</v>
      </c>
      <c r="D2171" s="4" t="str">
        <f>vlookup(A2171, Sheet2!D:E, 2, 0)</f>
        <v>variant</v>
      </c>
      <c r="E2171" s="4" t="str">
        <f>IFERROR(__xludf.DUMMYFUNCTION("if(H2171=""pays"",vlookup(REGEXEXTRACT(C2171, ""🏘️ \w+ \w+ (.*) ✅""),'Country prepositions'!A:B, 2, 0) &amp; "" "" &amp; REGEXEXTRACT(C2171, ""🏘️ \w+ \w+ (.*) ✅"") ,  if(H2171=""quartier"",vlookup(REGEXEXTRACT(C2171, ""🏘️ \w+ \w+ (.*) ✅""),'Quartier prepositio"&amp;"ns'!A:E, 5, 0) ,  if(H2171=""region"",vlookup(REGEXEXTRACT(C2171, ""🏘️ \w+ \w+ (.*) ✅""),'Region prepositions'!B:F, 5, 0),  REGEXEXTRACT(C2171, ""🏘️ \w+ \w+ (.*) ✅""))))"),"Gurmels")</f>
        <v>Gurmels</v>
      </c>
      <c r="F2171" s="2" t="str">
        <f>IFERROR(__xludf.DUMMYFUNCTION("REGEXEXTRACT(C2171, ""🏘️ (\w+) \w+ .* ✅"")"),"Vendre")</f>
        <v>Vendre</v>
      </c>
      <c r="G2171" s="2" t="str">
        <f>IFERROR(__xludf.DUMMYFUNCTION("REGEXEXTRACT(C2171, ""🏘️ \w+ (\w+) .* ✅"")"),"appartement")</f>
        <v>appartement</v>
      </c>
      <c r="H2171" s="4" t="str">
        <f>IFERROR(__xludf.DUMMYFUNCTION("REGEXEXTRACT(A2171, ""/(\w+)-.*?"")"),"lieu")</f>
        <v>lieu</v>
      </c>
      <c r="I2171" s="4" t="str">
        <f>IFERROR(__xludf.DUMMYFUNCTION("if(D2171=""variant"",  substitute(filter(Templates!E:E, Templates!A:A = F2171, Templates!B:B = G2171, Templates!C:C = H2171), ""{{}}"", E2171), B2171)"),"🏘  L’appartement de vos rêves se trouve sur ImmoScout24.ch ✅ Découvrez les dernières annonces de vente à Gurmels.")</f>
        <v>🏘  L’appartement de vos rêves se trouve sur ImmoScout24.ch ✅ Découvrez les dernières annonces de vente à Gurmels.</v>
      </c>
      <c r="J2171" s="4" t="s">
        <v>6511</v>
      </c>
    </row>
    <row r="2172">
      <c r="A2172" s="5" t="s">
        <v>6512</v>
      </c>
      <c r="B2172" s="2" t="s">
        <v>6513</v>
      </c>
      <c r="C2172" s="4" t="str">
        <f>IFERROR(__xludf.DUMMYFUNCTION("""🏘️ ""&amp;REGEXEXTRACT(B2172, ""^(.*): "")&amp;"" ✅ "" &amp;REGEXEXTRACT(B2172, ""(Trouvez.*)"")"),"🏘️ Vendre appartement Vollèges ✅ Trouvez le bien immobilier qui correspond idéalement à vos désirs sur ImmoScout24 - La plateforme de l'immobilier en Suisse.")</f>
        <v>🏘️ Vendre appartement Vollèges ✅ Trouvez le bien immobilier qui correspond idéalement à vos désirs sur ImmoScout24 - La plateforme de l'immobilier en Suisse.</v>
      </c>
      <c r="D2172" s="4" t="str">
        <f>vlookup(A2172, Sheet2!D:E, 2, 0)</f>
        <v>variant</v>
      </c>
      <c r="E2172" s="4" t="str">
        <f>IFERROR(__xludf.DUMMYFUNCTION("if(H2172=""pays"",vlookup(REGEXEXTRACT(C2172, ""🏘️ \w+ \w+ (.*) ✅""),'Country prepositions'!A:B, 2, 0) &amp; "" "" &amp; REGEXEXTRACT(C2172, ""🏘️ \w+ \w+ (.*) ✅"") ,  if(H2172=""quartier"",vlookup(REGEXEXTRACT(C2172, ""🏘️ \w+ \w+ (.*) ✅""),'Quartier prepositio"&amp;"ns'!A:E, 5, 0) ,  if(H2172=""region"",vlookup(REGEXEXTRACT(C2172, ""🏘️ \w+ \w+ (.*) ✅""),'Region prepositions'!B:F, 5, 0),  REGEXEXTRACT(C2172, ""🏘️ \w+ \w+ (.*) ✅""))))"),"Vollèges")</f>
        <v>Vollèges</v>
      </c>
      <c r="F2172" s="2" t="str">
        <f>IFERROR(__xludf.DUMMYFUNCTION("REGEXEXTRACT(C2172, ""🏘️ (\w+) \w+ .* ✅"")"),"Vendre")</f>
        <v>Vendre</v>
      </c>
      <c r="G2172" s="2" t="str">
        <f>IFERROR(__xludf.DUMMYFUNCTION("REGEXEXTRACT(C2172, ""🏘️ \w+ (\w+) .* ✅"")"),"appartement")</f>
        <v>appartement</v>
      </c>
      <c r="H2172" s="4" t="str">
        <f>IFERROR(__xludf.DUMMYFUNCTION("REGEXEXTRACT(A2172, ""/(\w+)-.*?"")"),"lieu")</f>
        <v>lieu</v>
      </c>
      <c r="I2172" s="4" t="str">
        <f>IFERROR(__xludf.DUMMYFUNCTION("if(D2172=""variant"",  substitute(filter(Templates!E:E, Templates!A:A = F2172, Templates!B:B = G2172, Templates!C:C = H2172), ""{{}}"", E2172), B2172)"),"🏘  L’appartement de vos rêves se trouve sur ImmoScout24.ch ✅ Découvrez les dernières annonces de vente à Vollèges.")</f>
        <v>🏘  L’appartement de vos rêves se trouve sur ImmoScout24.ch ✅ Découvrez les dernières annonces de vente à Vollèges.</v>
      </c>
      <c r="J2172" s="4" t="s">
        <v>6514</v>
      </c>
    </row>
    <row r="2173">
      <c r="A2173" s="5" t="s">
        <v>6515</v>
      </c>
      <c r="B2173" s="2" t="s">
        <v>6516</v>
      </c>
      <c r="C2173" s="4" t="str">
        <f>IFERROR(__xludf.DUMMYFUNCTION("""🏘️ ""&amp;REGEXEXTRACT(B2173, ""^(.*): "")&amp;"" ✅ "" &amp;REGEXEXTRACT(B2173, ""(Trouvez.*)"")"),"🏘️ Louer maison Lausanne ✅ Trouvez le bien immobilier qui correspond idéalement à vos désirs sur ImmoScout24 - La plateforme de l'immobilier en Suisse.")</f>
        <v>🏘️ Louer maison Lausanne ✅ Trouvez le bien immobilier qui correspond idéalement à vos désirs sur ImmoScout24 - La plateforme de l'immobilier en Suisse.</v>
      </c>
      <c r="D2173" s="4" t="str">
        <f>vlookup(A2173, Sheet2!D:E, 2, 0)</f>
        <v>variant</v>
      </c>
      <c r="E2173" s="4" t="str">
        <f>IFERROR(__xludf.DUMMYFUNCTION("if(H2173=""pays"",vlookup(REGEXEXTRACT(C2173, ""🏘️ \w+ \w+ (.*) ✅""),'Country prepositions'!A:B, 2, 0) &amp; "" "" &amp; REGEXEXTRACT(C2173, ""🏘️ \w+ \w+ (.*) ✅"") ,  if(H2173=""quartier"",vlookup(REGEXEXTRACT(C2173, ""🏘️ \w+ \w+ (.*) ✅""),'Quartier prepositio"&amp;"ns'!A:E, 5, 0) ,  if(H2173=""region"",vlookup(REGEXEXTRACT(C2173, ""🏘️ \w+ \w+ (.*) ✅""),'Region prepositions'!B:F, 5, 0),  REGEXEXTRACT(C2173, ""🏘️ \w+ \w+ (.*) ✅""))))"),"Lausanne")</f>
        <v>Lausanne</v>
      </c>
      <c r="F2173" s="2" t="str">
        <f>IFERROR(__xludf.DUMMYFUNCTION("REGEXEXTRACT(C2173, ""🏘️ (\w+) \w+ .* ✅"")"),"Louer")</f>
        <v>Louer</v>
      </c>
      <c r="G2173" s="2" t="str">
        <f>IFERROR(__xludf.DUMMYFUNCTION("REGEXEXTRACT(C2173, ""🏘️ \w+ (\w+) .* ✅"")"),"maison")</f>
        <v>maison</v>
      </c>
      <c r="H2173" s="4" t="str">
        <f>IFERROR(__xludf.DUMMYFUNCTION("REGEXEXTRACT(A2173, ""/(\w+)-.*?"")"),"lieu")</f>
        <v>lieu</v>
      </c>
      <c r="I2173" s="4" t="str">
        <f>IFERROR(__xludf.DUMMYFUNCTION("if(D2173=""variant"",  substitute(filter(Templates!E:E, Templates!A:A = F2173, Templates!B:B = G2173, Templates!C:C = H2173), ""{{}}"", E2173), B2173)"),"🏘  Vous cherchez une maison à louer à Lausanne? ✅ Découvrez nos nombreuses annonces sur ImmoScout24.ch.")</f>
        <v>🏘  Vous cherchez une maison à louer à Lausanne? ✅ Découvrez nos nombreuses annonces sur ImmoScout24.ch.</v>
      </c>
      <c r="J2173" s="4" t="s">
        <v>6517</v>
      </c>
    </row>
    <row r="2174">
      <c r="A2174" s="5" t="s">
        <v>6518</v>
      </c>
      <c r="B2174" s="2" t="s">
        <v>6519</v>
      </c>
      <c r="C2174" s="4" t="str">
        <f>IFERROR(__xludf.DUMMYFUNCTION("""🏘️ ""&amp;REGEXEXTRACT(B2174, ""^(.*): "")&amp;"" ✅ "" &amp;REGEXEXTRACT(B2174, ""(Trouvez.*)"")"),"🏘️ Vendre maison Glion ✅ Trouvez le bien immobilier qui correspond idéalement à vos désirs sur ImmoScout24 - La plateforme de l'immobilier en Suisse.")</f>
        <v>🏘️ Vendre maison Glion ✅ Trouvez le bien immobilier qui correspond idéalement à vos désirs sur ImmoScout24 - La plateforme de l'immobilier en Suisse.</v>
      </c>
      <c r="D2174" s="4" t="str">
        <f>vlookup(A2174, Sheet2!D:E, 2, 0)</f>
        <v>variant</v>
      </c>
      <c r="E2174" s="4" t="str">
        <f>IFERROR(__xludf.DUMMYFUNCTION("if(H2174=""pays"",vlookup(REGEXEXTRACT(C2174, ""🏘️ \w+ \w+ (.*) ✅""),'Country prepositions'!A:B, 2, 0) &amp; "" "" &amp; REGEXEXTRACT(C2174, ""🏘️ \w+ \w+ (.*) ✅"") ,  if(H2174=""quartier"",vlookup(REGEXEXTRACT(C2174, ""🏘️ \w+ \w+ (.*) ✅""),'Quartier prepositio"&amp;"ns'!A:E, 5, 0) ,  if(H2174=""region"",vlookup(REGEXEXTRACT(C2174, ""🏘️ \w+ \w+ (.*) ✅""),'Region prepositions'!B:F, 5, 0),  REGEXEXTRACT(C2174, ""🏘️ \w+ \w+ (.*) ✅""))))"),"Glion")</f>
        <v>Glion</v>
      </c>
      <c r="F2174" s="2" t="str">
        <f>IFERROR(__xludf.DUMMYFUNCTION("REGEXEXTRACT(C2174, ""🏘️ (\w+) \w+ .* ✅"")"),"Vendre")</f>
        <v>Vendre</v>
      </c>
      <c r="G2174" s="2" t="str">
        <f>IFERROR(__xludf.DUMMYFUNCTION("REGEXEXTRACT(C2174, ""🏘️ \w+ (\w+) .* ✅"")"),"maison")</f>
        <v>maison</v>
      </c>
      <c r="H2174" s="4" t="str">
        <f>IFERROR(__xludf.DUMMYFUNCTION("REGEXEXTRACT(A2174, ""/(\w+)-.*?"")"),"lieu")</f>
        <v>lieu</v>
      </c>
      <c r="I2174" s="4" t="str">
        <f>IFERROR(__xludf.DUMMYFUNCTION("if(D2174=""variant"",  substitute(filter(Templates!E:E, Templates!A:A = F2174, Templates!B:B = G2174, Templates!C:C = H2174), ""{{}}"", E2174), B2174)"),"🏘  Vous souhaitez acheter une maison à Glion? ✅ Jetez un œil aux dernières offres sur ImmoScout24.ch.")</f>
        <v>🏘  Vous souhaitez acheter une maison à Glion? ✅ Jetez un œil aux dernières offres sur ImmoScout24.ch.</v>
      </c>
      <c r="J2174" s="4" t="s">
        <v>6520</v>
      </c>
    </row>
    <row r="2175">
      <c r="A2175" s="5" t="s">
        <v>6521</v>
      </c>
      <c r="B2175" s="2" t="s">
        <v>6522</v>
      </c>
      <c r="C2175" s="4" t="str">
        <f>IFERROR(__xludf.DUMMYFUNCTION("""🏘️ ""&amp;REGEXEXTRACT(B2175, ""^(.*): "")&amp;"" ✅ "" &amp;REGEXEXTRACT(B2175, ""(Trouvez.*)"")"),"🏘️ Louer appartement Semsales ✅ Trouvez le bien immobilier qui correspond idéalement à vos désirs sur ImmoScout24 - La plateforme de l'immobilier en Suisse.")</f>
        <v>🏘️ Louer appartement Semsales ✅ Trouvez le bien immobilier qui correspond idéalement à vos désirs sur ImmoScout24 - La plateforme de l'immobilier en Suisse.</v>
      </c>
      <c r="D2175" s="4" t="str">
        <f>vlookup(A2175, Sheet2!D:E, 2, 0)</f>
        <v>variant</v>
      </c>
      <c r="E2175" s="4" t="str">
        <f>IFERROR(__xludf.DUMMYFUNCTION("if(H2175=""pays"",vlookup(REGEXEXTRACT(C2175, ""🏘️ \w+ \w+ (.*) ✅""),'Country prepositions'!A:B, 2, 0) &amp; "" "" &amp; REGEXEXTRACT(C2175, ""🏘️ \w+ \w+ (.*) ✅"") ,  if(H2175=""quartier"",vlookup(REGEXEXTRACT(C2175, ""🏘️ \w+ \w+ (.*) ✅""),'Quartier prepositio"&amp;"ns'!A:E, 5, 0) ,  if(H2175=""region"",vlookup(REGEXEXTRACT(C2175, ""🏘️ \w+ \w+ (.*) ✅""),'Region prepositions'!B:F, 5, 0),  REGEXEXTRACT(C2175, ""🏘️ \w+ \w+ (.*) ✅""))))"),"Semsales")</f>
        <v>Semsales</v>
      </c>
      <c r="F2175" s="2" t="str">
        <f>IFERROR(__xludf.DUMMYFUNCTION("REGEXEXTRACT(C2175, ""🏘️ (\w+) \w+ .* ✅"")"),"Louer")</f>
        <v>Louer</v>
      </c>
      <c r="G2175" s="2" t="str">
        <f>IFERROR(__xludf.DUMMYFUNCTION("REGEXEXTRACT(C2175, ""🏘️ \w+ (\w+) .* ✅"")"),"appartement")</f>
        <v>appartement</v>
      </c>
      <c r="H2175" s="4" t="str">
        <f>IFERROR(__xludf.DUMMYFUNCTION("REGEXEXTRACT(A2175, ""/(\w+)-.*?"")"),"lieu")</f>
        <v>lieu</v>
      </c>
      <c r="I2175" s="4" t="str">
        <f>IFERROR(__xludf.DUMMYFUNCTION("if(D2175=""variant"",  substitute(filter(Templates!E:E, Templates!A:A = F2175, Templates!B:B = G2175, Templates!C:C = H2175), ""{{}}"", E2175), B2175)"),"🏘  Vous cherchez un appartement à louer à Semsales? ✅ Les annonces les plus actuelles sont sur ImmoScout24.ch.")</f>
        <v>🏘  Vous cherchez un appartement à louer à Semsales? ✅ Les annonces les plus actuelles sont sur ImmoScout24.ch.</v>
      </c>
      <c r="J2175" s="4" t="s">
        <v>6523</v>
      </c>
    </row>
    <row r="2176">
      <c r="A2176" s="5" t="s">
        <v>6524</v>
      </c>
      <c r="B2176" s="2" t="s">
        <v>6525</v>
      </c>
      <c r="C2176" s="4" t="str">
        <f>IFERROR(__xludf.DUMMYFUNCTION("""🏘️ ""&amp;REGEXEXTRACT(B2176, ""^(.*): "")&amp;"" ✅ "" &amp;REGEXEXTRACT(B2176, ""(Trouvez.*)"")"),"🏘️ Louer appartement Ste-Croix ✅ Trouvez le bien immobilier qui correspond idéalement à vos désirs sur ImmoScout24 - La plateforme de l'immobilier en Suisse.")</f>
        <v>🏘️ Louer appartement Ste-Croix ✅ Trouvez le bien immobilier qui correspond idéalement à vos désirs sur ImmoScout24 - La plateforme de l'immobilier en Suisse.</v>
      </c>
      <c r="D2176" s="4" t="str">
        <f>vlookup(A2176, Sheet2!D:E, 2, 0)</f>
        <v>variant</v>
      </c>
      <c r="E2176" s="4" t="str">
        <f>IFERROR(__xludf.DUMMYFUNCTION("if(H2176=""pays"",vlookup(REGEXEXTRACT(C2176, ""🏘️ \w+ \w+ (.*) ✅""),'Country prepositions'!A:B, 2, 0) &amp; "" "" &amp; REGEXEXTRACT(C2176, ""🏘️ \w+ \w+ (.*) ✅"") ,  if(H2176=""quartier"",vlookup(REGEXEXTRACT(C2176, ""🏘️ \w+ \w+ (.*) ✅""),'Quartier prepositio"&amp;"ns'!A:E, 5, 0) ,  if(H2176=""region"",vlookup(REGEXEXTRACT(C2176, ""🏘️ \w+ \w+ (.*) ✅""),'Region prepositions'!B:F, 5, 0),  REGEXEXTRACT(C2176, ""🏘️ \w+ \w+ (.*) ✅""))))"),"Ste-Croix")</f>
        <v>Ste-Croix</v>
      </c>
      <c r="F2176" s="2" t="str">
        <f>IFERROR(__xludf.DUMMYFUNCTION("REGEXEXTRACT(C2176, ""🏘️ (\w+) \w+ .* ✅"")"),"Louer")</f>
        <v>Louer</v>
      </c>
      <c r="G2176" s="2" t="str">
        <f>IFERROR(__xludf.DUMMYFUNCTION("REGEXEXTRACT(C2176, ""🏘️ \w+ (\w+) .* ✅"")"),"appartement")</f>
        <v>appartement</v>
      </c>
      <c r="H2176" s="4" t="str">
        <f>IFERROR(__xludf.DUMMYFUNCTION("REGEXEXTRACT(A2176, ""/(\w+)-.*?"")"),"lieu")</f>
        <v>lieu</v>
      </c>
      <c r="I2176" s="4" t="str">
        <f>IFERROR(__xludf.DUMMYFUNCTION("if(D2176=""variant"",  substitute(filter(Templates!E:E, Templates!A:A = F2176, Templates!B:B = G2176, Templates!C:C = H2176), ""{{}}"", E2176), B2176)"),"🏘  Vous cherchez un appartement à louer à Ste-Croix? ✅ Les annonces les plus actuelles sont sur ImmoScout24.ch.")</f>
        <v>🏘  Vous cherchez un appartement à louer à Ste-Croix? ✅ Les annonces les plus actuelles sont sur ImmoScout24.ch.</v>
      </c>
      <c r="J2176" s="4" t="s">
        <v>6526</v>
      </c>
    </row>
    <row r="2177">
      <c r="A2177" s="5" t="s">
        <v>6527</v>
      </c>
      <c r="B2177" s="2" t="s">
        <v>6528</v>
      </c>
      <c r="C2177" s="4" t="str">
        <f>IFERROR(__xludf.DUMMYFUNCTION("""🏘️ ""&amp;REGEXEXTRACT(B2177, ""^(.*): "")&amp;"" ✅ "" &amp;REGEXEXTRACT(B2177, ""(Trouvez.*)"")"),"🏘️ Louer appartement Estavannens ✅ Trouvez le bien immobilier qui correspond idéalement à vos désirs sur ImmoScout24 - La plateforme de l'immobilier en Suisse.")</f>
        <v>🏘️ Louer appartement Estavannens ✅ Trouvez le bien immobilier qui correspond idéalement à vos désirs sur ImmoScout24 - La plateforme de l'immobilier en Suisse.</v>
      </c>
      <c r="D2177" s="4" t="str">
        <f>vlookup(A2177, Sheet2!D:E, 2, 0)</f>
        <v>variant</v>
      </c>
      <c r="E2177" s="4" t="str">
        <f>IFERROR(__xludf.DUMMYFUNCTION("if(H2177=""pays"",vlookup(REGEXEXTRACT(C2177, ""🏘️ \w+ \w+ (.*) ✅""),'Country prepositions'!A:B, 2, 0) &amp; "" "" &amp; REGEXEXTRACT(C2177, ""🏘️ \w+ \w+ (.*) ✅"") ,  if(H2177=""quartier"",vlookup(REGEXEXTRACT(C2177, ""🏘️ \w+ \w+ (.*) ✅""),'Quartier prepositio"&amp;"ns'!A:E, 5, 0) ,  if(H2177=""region"",vlookup(REGEXEXTRACT(C2177, ""🏘️ \w+ \w+ (.*) ✅""),'Region prepositions'!B:F, 5, 0),  REGEXEXTRACT(C2177, ""🏘️ \w+ \w+ (.*) ✅""))))"),"Estavannens")</f>
        <v>Estavannens</v>
      </c>
      <c r="F2177" s="2" t="str">
        <f>IFERROR(__xludf.DUMMYFUNCTION("REGEXEXTRACT(C2177, ""🏘️ (\w+) \w+ .* ✅"")"),"Louer")</f>
        <v>Louer</v>
      </c>
      <c r="G2177" s="2" t="str">
        <f>IFERROR(__xludf.DUMMYFUNCTION("REGEXEXTRACT(C2177, ""🏘️ \w+ (\w+) .* ✅"")"),"appartement")</f>
        <v>appartement</v>
      </c>
      <c r="H2177" s="4" t="str">
        <f>IFERROR(__xludf.DUMMYFUNCTION("REGEXEXTRACT(A2177, ""/(\w+)-.*?"")"),"lieu")</f>
        <v>lieu</v>
      </c>
      <c r="I2177" s="4" t="str">
        <f>IFERROR(__xludf.DUMMYFUNCTION("if(D2177=""variant"",  substitute(filter(Templates!E:E, Templates!A:A = F2177, Templates!B:B = G2177, Templates!C:C = H2177), ""{{}}"", E2177), B2177)"),"🏘  Vous cherchez un appartement à louer à Estavannens? ✅ Les annonces les plus actuelles sont sur ImmoScout24.ch.")</f>
        <v>🏘  Vous cherchez un appartement à louer à Estavannens? ✅ Les annonces les plus actuelles sont sur ImmoScout24.ch.</v>
      </c>
      <c r="J2177" s="4" t="s">
        <v>6529</v>
      </c>
    </row>
    <row r="2178">
      <c r="A2178" s="5" t="s">
        <v>6530</v>
      </c>
      <c r="B2178" s="2" t="s">
        <v>6531</v>
      </c>
      <c r="C2178" s="4" t="str">
        <f>IFERROR(__xludf.DUMMYFUNCTION("""🏘️ ""&amp;REGEXEXTRACT(B2178, ""^(.*): "")&amp;"" ✅ "" &amp;REGEXEXTRACT(B2178, ""(Trouvez.*)"")"),"🏘️ Louer appartement Mettmenstetten ✅ Trouvez le bien immobilier qui correspond idéalement à vos désirs sur ImmoScout24 - La plateforme de l'immobilier en Suisse.")</f>
        <v>🏘️ Louer appartement Mettmenstetten ✅ Trouvez le bien immobilier qui correspond idéalement à vos désirs sur ImmoScout24 - La plateforme de l'immobilier en Suisse.</v>
      </c>
      <c r="D2178" s="4" t="str">
        <f>vlookup(A2178, Sheet2!D:E, 2, 0)</f>
        <v>variant</v>
      </c>
      <c r="E2178" s="4" t="str">
        <f>IFERROR(__xludf.DUMMYFUNCTION("if(H2178=""pays"",vlookup(REGEXEXTRACT(C2178, ""🏘️ \w+ \w+ (.*) ✅""),'Country prepositions'!A:B, 2, 0) &amp; "" "" &amp; REGEXEXTRACT(C2178, ""🏘️ \w+ \w+ (.*) ✅"") ,  if(H2178=""quartier"",vlookup(REGEXEXTRACT(C2178, ""🏘️ \w+ \w+ (.*) ✅""),'Quartier prepositio"&amp;"ns'!A:E, 5, 0) ,  if(H2178=""region"",vlookup(REGEXEXTRACT(C2178, ""🏘️ \w+ \w+ (.*) ✅""),'Region prepositions'!B:F, 5, 0),  REGEXEXTRACT(C2178, ""🏘️ \w+ \w+ (.*) ✅""))))"),"Mettmenstetten")</f>
        <v>Mettmenstetten</v>
      </c>
      <c r="F2178" s="2" t="str">
        <f>IFERROR(__xludf.DUMMYFUNCTION("REGEXEXTRACT(C2178, ""🏘️ (\w+) \w+ .* ✅"")"),"Louer")</f>
        <v>Louer</v>
      </c>
      <c r="G2178" s="2" t="str">
        <f>IFERROR(__xludf.DUMMYFUNCTION("REGEXEXTRACT(C2178, ""🏘️ \w+ (\w+) .* ✅"")"),"appartement")</f>
        <v>appartement</v>
      </c>
      <c r="H2178" s="4" t="str">
        <f>IFERROR(__xludf.DUMMYFUNCTION("REGEXEXTRACT(A2178, ""/(\w+)-.*?"")"),"lieu")</f>
        <v>lieu</v>
      </c>
      <c r="I2178" s="4" t="str">
        <f>IFERROR(__xludf.DUMMYFUNCTION("if(D2178=""variant"",  substitute(filter(Templates!E:E, Templates!A:A = F2178, Templates!B:B = G2178, Templates!C:C = H2178), ""{{}}"", E2178), B2178)"),"🏘  Vous cherchez un appartement à louer à Mettmenstetten? ✅ Les annonces les plus actuelles sont sur ImmoScout24.ch.")</f>
        <v>🏘  Vous cherchez un appartement à louer à Mettmenstetten? ✅ Les annonces les plus actuelles sont sur ImmoScout24.ch.</v>
      </c>
      <c r="J2178" s="4" t="s">
        <v>6532</v>
      </c>
    </row>
    <row r="2179">
      <c r="A2179" s="5" t="s">
        <v>6533</v>
      </c>
      <c r="B2179" s="2" t="s">
        <v>6534</v>
      </c>
      <c r="C2179" s="4" t="str">
        <f>IFERROR(__xludf.DUMMYFUNCTION("""🏘️ ""&amp;REGEXEXTRACT(B2179, ""^(.*): "")&amp;"" ✅ "" &amp;REGEXEXTRACT(B2179, ""(Trouvez.*)"")"),"🏘️ Vendre maison Seychelles ✅ Trouvez le bien immobilier qui correspond idéalement à vos désirs sur ImmoScout24 - La plateforme de l'immobilier en Suisse.")</f>
        <v>🏘️ Vendre maison Seychelles ✅ Trouvez le bien immobilier qui correspond idéalement à vos désirs sur ImmoScout24 - La plateforme de l'immobilier en Suisse.</v>
      </c>
      <c r="D2179" s="4" t="str">
        <f>vlookup(A2179, Sheet2!D:E, 2, 0)</f>
        <v>variant</v>
      </c>
      <c r="E2179" s="4" t="str">
        <f>IFERROR(__xludf.DUMMYFUNCTION("if(H2179=""pays"",vlookup(REGEXEXTRACT(C2179, ""🏘️ \w+ \w+ (.*) ✅""),'Country prepositions'!A:B, 2, 0) &amp; "" "" &amp; REGEXEXTRACT(C2179, ""🏘️ \w+ \w+ (.*) ✅"") ,  if(H2179=""quartier"",vlookup(REGEXEXTRACT(C2179, ""🏘️ \w+ \w+ (.*) ✅""),'Quartier prepositio"&amp;"ns'!A:E, 5, 0) ,  if(H2179=""region"",vlookup(REGEXEXTRACT(C2179, ""🏘️ \w+ \w+ (.*) ✅""),'Region prepositions'!B:F, 5, 0),  REGEXEXTRACT(C2179, ""🏘️ \w+ \w+ (.*) ✅""))))"),"aux Seychelles")</f>
        <v>aux Seychelles</v>
      </c>
      <c r="F2179" s="2" t="str">
        <f>IFERROR(__xludf.DUMMYFUNCTION("REGEXEXTRACT(C2179, ""🏘️ (\w+) \w+ .* ✅"")"),"Vendre")</f>
        <v>Vendre</v>
      </c>
      <c r="G2179" s="2" t="str">
        <f>IFERROR(__xludf.DUMMYFUNCTION("REGEXEXTRACT(C2179, ""🏘️ \w+ (\w+) .* ✅"")"),"maison")</f>
        <v>maison</v>
      </c>
      <c r="H2179" s="4" t="str">
        <f>IFERROR(__xludf.DUMMYFUNCTION("REGEXEXTRACT(A2179, ""/(\w+)-.*?"")"),"pays")</f>
        <v>pays</v>
      </c>
      <c r="I2179" s="4" t="str">
        <f>IFERROR(__xludf.DUMMYFUNCTION("if(D2179=""variant"",  substitute(filter(Templates!E:E, Templates!A:A = F2179, Templates!B:B = G2179, Templates!C:C = H2179), ""{{}}"", E2179), B2179)"),"🏘  Vous cherchez un appartement à louer aux Seychelles? ✅ Les annonces les plus actuelles sont sur ImmoScout24.ch.")</f>
        <v>🏘  Vous cherchez un appartement à louer aux Seychelles? ✅ Les annonces les plus actuelles sont sur ImmoScout24.ch.</v>
      </c>
      <c r="J2179" s="4" t="s">
        <v>6535</v>
      </c>
    </row>
    <row r="2180">
      <c r="A2180" s="5" t="s">
        <v>6536</v>
      </c>
      <c r="B2180" s="2" t="s">
        <v>6537</v>
      </c>
      <c r="C2180" s="4" t="str">
        <f>IFERROR(__xludf.DUMMYFUNCTION("""🏘️ ""&amp;REGEXEXTRACT(B2180, ""^(.*): "")&amp;"" ✅ "" &amp;REGEXEXTRACT(B2180, ""(Trouvez.*)"")"),"🏘️ Louer maison Surpierre ✅ Trouvez le bien immobilier qui correspond idéalement à vos désirs sur ImmoScout24 - La plateforme de l'immobilier en Suisse.")</f>
        <v>🏘️ Louer maison Surpierre ✅ Trouvez le bien immobilier qui correspond idéalement à vos désirs sur ImmoScout24 - La plateforme de l'immobilier en Suisse.</v>
      </c>
      <c r="D2180" s="4" t="str">
        <f>vlookup(A2180, Sheet2!D:E, 2, 0)</f>
        <v>variant</v>
      </c>
      <c r="E2180" s="4" t="str">
        <f>IFERROR(__xludf.DUMMYFUNCTION("if(H2180=""pays"",vlookup(REGEXEXTRACT(C2180, ""🏘️ \w+ \w+ (.*) ✅""),'Country prepositions'!A:B, 2, 0) &amp; "" "" &amp; REGEXEXTRACT(C2180, ""🏘️ \w+ \w+ (.*) ✅"") ,  if(H2180=""quartier"",vlookup(REGEXEXTRACT(C2180, ""🏘️ \w+ \w+ (.*) ✅""),'Quartier prepositio"&amp;"ns'!A:E, 5, 0) ,  if(H2180=""region"",vlookup(REGEXEXTRACT(C2180, ""🏘️ \w+ \w+ (.*) ✅""),'Region prepositions'!B:F, 5, 0),  REGEXEXTRACT(C2180, ""🏘️ \w+ \w+ (.*) ✅""))))"),"Surpierre")</f>
        <v>Surpierre</v>
      </c>
      <c r="F2180" s="2" t="str">
        <f>IFERROR(__xludf.DUMMYFUNCTION("REGEXEXTRACT(C2180, ""🏘️ (\w+) \w+ .* ✅"")"),"Louer")</f>
        <v>Louer</v>
      </c>
      <c r="G2180" s="2" t="str">
        <f>IFERROR(__xludf.DUMMYFUNCTION("REGEXEXTRACT(C2180, ""🏘️ \w+ (\w+) .* ✅"")"),"maison")</f>
        <v>maison</v>
      </c>
      <c r="H2180" s="4" t="str">
        <f>IFERROR(__xludf.DUMMYFUNCTION("REGEXEXTRACT(A2180, ""/(\w+)-.*?"")"),"lieu")</f>
        <v>lieu</v>
      </c>
      <c r="I2180" s="4" t="str">
        <f>IFERROR(__xludf.DUMMYFUNCTION("if(D2180=""variant"",  substitute(filter(Templates!E:E, Templates!A:A = F2180, Templates!B:B = G2180, Templates!C:C = H2180), ""{{}}"", E2180), B2180)"),"🏘  Vous cherchez une maison à louer à Surpierre? ✅ Découvrez nos nombreuses annonces sur ImmoScout24.ch.")</f>
        <v>🏘  Vous cherchez une maison à louer à Surpierre? ✅ Découvrez nos nombreuses annonces sur ImmoScout24.ch.</v>
      </c>
      <c r="J2180" s="4" t="s">
        <v>6538</v>
      </c>
    </row>
    <row r="2181">
      <c r="A2181" s="5" t="s">
        <v>6539</v>
      </c>
      <c r="B2181" s="2" t="s">
        <v>6540</v>
      </c>
      <c r="C2181" s="4" t="str">
        <f>IFERROR(__xludf.DUMMYFUNCTION("""🏘️ ""&amp;REGEXEXTRACT(B2181, ""^(.*): "")&amp;"" ✅ "" &amp;REGEXEXTRACT(B2181, ""(Trouvez.*)"")"),"🏘️ Louer appartement Stein am Rhein ✅ Trouvez le bien immobilier qui correspond idéalement à vos désirs sur ImmoScout24 - La plateforme de l'immobilier en Suisse.")</f>
        <v>🏘️ Louer appartement Stein am Rhein ✅ Trouvez le bien immobilier qui correspond idéalement à vos désirs sur ImmoScout24 - La plateforme de l'immobilier en Suisse.</v>
      </c>
      <c r="D2181" s="4" t="str">
        <f>vlookup(A2181, Sheet2!D:E, 2, 0)</f>
        <v>variant</v>
      </c>
      <c r="E2181" s="4" t="str">
        <f>IFERROR(__xludf.DUMMYFUNCTION("if(H2181=""pays"",vlookup(REGEXEXTRACT(C2181, ""🏘️ \w+ \w+ (.*) ✅""),'Country prepositions'!A:B, 2, 0) &amp; "" "" &amp; REGEXEXTRACT(C2181, ""🏘️ \w+ \w+ (.*) ✅"") ,  if(H2181=""quartier"",vlookup(REGEXEXTRACT(C2181, ""🏘️ \w+ \w+ (.*) ✅""),'Quartier prepositio"&amp;"ns'!A:E, 5, 0) ,  if(H2181=""region"",vlookup(REGEXEXTRACT(C2181, ""🏘️ \w+ \w+ (.*) ✅""),'Region prepositions'!B:F, 5, 0),  REGEXEXTRACT(C2181, ""🏘️ \w+ \w+ (.*) ✅""))))"),"Stein am Rhein")</f>
        <v>Stein am Rhein</v>
      </c>
      <c r="F2181" s="2" t="str">
        <f>IFERROR(__xludf.DUMMYFUNCTION("REGEXEXTRACT(C2181, ""🏘️ (\w+) \w+ .* ✅"")"),"Louer")</f>
        <v>Louer</v>
      </c>
      <c r="G2181" s="2" t="str">
        <f>IFERROR(__xludf.DUMMYFUNCTION("REGEXEXTRACT(C2181, ""🏘️ \w+ (\w+) .* ✅"")"),"appartement")</f>
        <v>appartement</v>
      </c>
      <c r="H2181" s="4" t="str">
        <f>IFERROR(__xludf.DUMMYFUNCTION("REGEXEXTRACT(A2181, ""/(\w+)-.*?"")"),"lieu")</f>
        <v>lieu</v>
      </c>
      <c r="I2181" s="4" t="str">
        <f>IFERROR(__xludf.DUMMYFUNCTION("if(D2181=""variant"",  substitute(filter(Templates!E:E, Templates!A:A = F2181, Templates!B:B = G2181, Templates!C:C = H2181), ""{{}}"", E2181), B2181)"),"🏘  Vous cherchez un appartement à louer à Stein am Rhein? ✅ Les annonces les plus actuelles sont sur ImmoScout24.ch.")</f>
        <v>🏘  Vous cherchez un appartement à louer à Stein am Rhein? ✅ Les annonces les plus actuelles sont sur ImmoScout24.ch.</v>
      </c>
      <c r="J2181" s="4" t="s">
        <v>6541</v>
      </c>
    </row>
    <row r="2182">
      <c r="A2182" s="5" t="s">
        <v>6542</v>
      </c>
      <c r="B2182" s="2" t="s">
        <v>6543</v>
      </c>
      <c r="C2182" s="4" t="str">
        <f>IFERROR(__xludf.DUMMYFUNCTION("""🏘️ ""&amp;REGEXEXTRACT(B2182, ""^(.*): "")&amp;"" ✅ "" &amp;REGEXEXTRACT(B2182, ""(Trouvez.*)"")"),"🏘️ Vendre maison Ascona ✅ Trouvez le bien immobilier qui correspond idéalement à vos désirs sur ImmoScout24 - La plateforme de l'immobilier en Suisse.")</f>
        <v>🏘️ Vendre maison Ascona ✅ Trouvez le bien immobilier qui correspond idéalement à vos désirs sur ImmoScout24 - La plateforme de l'immobilier en Suisse.</v>
      </c>
      <c r="D2182" s="4" t="str">
        <f>vlookup(A2182, Sheet2!D:E, 2, 0)</f>
        <v>variant</v>
      </c>
      <c r="E2182" s="4" t="str">
        <f>IFERROR(__xludf.DUMMYFUNCTION("if(H2182=""pays"",vlookup(REGEXEXTRACT(C2182, ""🏘️ \w+ \w+ (.*) ✅""),'Country prepositions'!A:B, 2, 0) &amp; "" "" &amp; REGEXEXTRACT(C2182, ""🏘️ \w+ \w+ (.*) ✅"") ,  if(H2182=""quartier"",vlookup(REGEXEXTRACT(C2182, ""🏘️ \w+ \w+ (.*) ✅""),'Quartier prepositio"&amp;"ns'!A:E, 5, 0) ,  if(H2182=""region"",vlookup(REGEXEXTRACT(C2182, ""🏘️ \w+ \w+ (.*) ✅""),'Region prepositions'!B:F, 5, 0),  REGEXEXTRACT(C2182, ""🏘️ \w+ \w+ (.*) ✅""))))"),"Ascona")</f>
        <v>Ascona</v>
      </c>
      <c r="F2182" s="2" t="str">
        <f>IFERROR(__xludf.DUMMYFUNCTION("REGEXEXTRACT(C2182, ""🏘️ (\w+) \w+ .* ✅"")"),"Vendre")</f>
        <v>Vendre</v>
      </c>
      <c r="G2182" s="2" t="str">
        <f>IFERROR(__xludf.DUMMYFUNCTION("REGEXEXTRACT(C2182, ""🏘️ \w+ (\w+) .* ✅"")"),"maison")</f>
        <v>maison</v>
      </c>
      <c r="H2182" s="4" t="str">
        <f>IFERROR(__xludf.DUMMYFUNCTION("REGEXEXTRACT(A2182, ""/(\w+)-.*?"")"),"lieu")</f>
        <v>lieu</v>
      </c>
      <c r="I2182" s="4" t="str">
        <f>IFERROR(__xludf.DUMMYFUNCTION("if(D2182=""variant"",  substitute(filter(Templates!E:E, Templates!A:A = F2182, Templates!B:B = G2182, Templates!C:C = H2182), ""{{}}"", E2182), B2182)"),"🏘  Vous souhaitez acheter une maison à Ascona? ✅ Jetez un œil aux dernières offres sur ImmoScout24.ch.")</f>
        <v>🏘  Vous souhaitez acheter une maison à Ascona? ✅ Jetez un œil aux dernières offres sur ImmoScout24.ch.</v>
      </c>
      <c r="J2182" s="4" t="s">
        <v>6544</v>
      </c>
    </row>
    <row r="2183">
      <c r="A2183" s="5" t="s">
        <v>6545</v>
      </c>
      <c r="B2183" s="2" t="s">
        <v>6546</v>
      </c>
      <c r="C2183" s="4" t="str">
        <f>IFERROR(__xludf.DUMMYFUNCTION("""🏘️ ""&amp;REGEXEXTRACT(B2183, ""^(.*): "")&amp;"" ✅ "" &amp;REGEXEXTRACT(B2183, ""(Trouvez.*)"")"),"🏘️ Louer appartement Boudevilliers ✅ Trouvez le bien immobilier qui correspond idéalement à vos désirs sur ImmoScout24 - La plateforme de l'immobilier en Suisse.")</f>
        <v>🏘️ Louer appartement Boudevilliers ✅ Trouvez le bien immobilier qui correspond idéalement à vos désirs sur ImmoScout24 - La plateforme de l'immobilier en Suisse.</v>
      </c>
      <c r="D2183" s="4" t="str">
        <f>vlookup(A2183, Sheet2!D:E, 2, 0)</f>
        <v>variant</v>
      </c>
      <c r="E2183" s="4" t="str">
        <f>IFERROR(__xludf.DUMMYFUNCTION("if(H2183=""pays"",vlookup(REGEXEXTRACT(C2183, ""🏘️ \w+ \w+ (.*) ✅""),'Country prepositions'!A:B, 2, 0) &amp; "" "" &amp; REGEXEXTRACT(C2183, ""🏘️ \w+ \w+ (.*) ✅"") ,  if(H2183=""quartier"",vlookup(REGEXEXTRACT(C2183, ""🏘️ \w+ \w+ (.*) ✅""),'Quartier prepositio"&amp;"ns'!A:E, 5, 0) ,  if(H2183=""region"",vlookup(REGEXEXTRACT(C2183, ""🏘️ \w+ \w+ (.*) ✅""),'Region prepositions'!B:F, 5, 0),  REGEXEXTRACT(C2183, ""🏘️ \w+ \w+ (.*) ✅""))))"),"Boudevilliers")</f>
        <v>Boudevilliers</v>
      </c>
      <c r="F2183" s="2" t="str">
        <f>IFERROR(__xludf.DUMMYFUNCTION("REGEXEXTRACT(C2183, ""🏘️ (\w+) \w+ .* ✅"")"),"Louer")</f>
        <v>Louer</v>
      </c>
      <c r="G2183" s="2" t="str">
        <f>IFERROR(__xludf.DUMMYFUNCTION("REGEXEXTRACT(C2183, ""🏘️ \w+ (\w+) .* ✅"")"),"appartement")</f>
        <v>appartement</v>
      </c>
      <c r="H2183" s="4" t="str">
        <f>IFERROR(__xludf.DUMMYFUNCTION("REGEXEXTRACT(A2183, ""/(\w+)-.*?"")"),"lieu")</f>
        <v>lieu</v>
      </c>
      <c r="I2183" s="4" t="str">
        <f>IFERROR(__xludf.DUMMYFUNCTION("if(D2183=""variant"",  substitute(filter(Templates!E:E, Templates!A:A = F2183, Templates!B:B = G2183, Templates!C:C = H2183), ""{{}}"", E2183), B2183)"),"🏘  Vous cherchez un appartement à louer à Boudevilliers? ✅ Les annonces les plus actuelles sont sur ImmoScout24.ch.")</f>
        <v>🏘  Vous cherchez un appartement à louer à Boudevilliers? ✅ Les annonces les plus actuelles sont sur ImmoScout24.ch.</v>
      </c>
      <c r="J2183" s="4" t="s">
        <v>6547</v>
      </c>
    </row>
    <row r="2184">
      <c r="A2184" s="5" t="s">
        <v>6548</v>
      </c>
      <c r="B2184" s="2" t="s">
        <v>6549</v>
      </c>
      <c r="C2184" s="4" t="str">
        <f>IFERROR(__xludf.DUMMYFUNCTION("""🏘️ ""&amp;REGEXEXTRACT(B2184, ""^(.*): "")&amp;"" ✅ "" &amp;REGEXEXTRACT(B2184, ""(Trouvez.*)"")"),"🏘️ Louer appartement Gossau ZH ✅ Trouvez le bien immobilier qui correspond idéalement à vos désirs sur ImmoScout24 - La plateforme de l'immobilier en Suisse.")</f>
        <v>🏘️ Louer appartement Gossau ZH ✅ Trouvez le bien immobilier qui correspond idéalement à vos désirs sur ImmoScout24 - La plateforme de l'immobilier en Suisse.</v>
      </c>
      <c r="D2184" s="4" t="str">
        <f>vlookup(A2184, Sheet2!D:E, 2, 0)</f>
        <v>variant</v>
      </c>
      <c r="E2184" s="4" t="str">
        <f>IFERROR(__xludf.DUMMYFUNCTION("if(H2184=""pays"",vlookup(REGEXEXTRACT(C2184, ""🏘️ \w+ \w+ (.*) ✅""),'Country prepositions'!A:B, 2, 0) &amp; "" "" &amp; REGEXEXTRACT(C2184, ""🏘️ \w+ \w+ (.*) ✅"") ,  if(H2184=""quartier"",vlookup(REGEXEXTRACT(C2184, ""🏘️ \w+ \w+ (.*) ✅""),'Quartier prepositio"&amp;"ns'!A:E, 5, 0) ,  if(H2184=""region"",vlookup(REGEXEXTRACT(C2184, ""🏘️ \w+ \w+ (.*) ✅""),'Region prepositions'!B:F, 5, 0),  REGEXEXTRACT(C2184, ""🏘️ \w+ \w+ (.*) ✅""))))"),"Gossau ZH")</f>
        <v>Gossau ZH</v>
      </c>
      <c r="F2184" s="2" t="str">
        <f>IFERROR(__xludf.DUMMYFUNCTION("REGEXEXTRACT(C2184, ""🏘️ (\w+) \w+ .* ✅"")"),"Louer")</f>
        <v>Louer</v>
      </c>
      <c r="G2184" s="2" t="str">
        <f>IFERROR(__xludf.DUMMYFUNCTION("REGEXEXTRACT(C2184, ""🏘️ \w+ (\w+) .* ✅"")"),"appartement")</f>
        <v>appartement</v>
      </c>
      <c r="H2184" s="4" t="str">
        <f>IFERROR(__xludf.DUMMYFUNCTION("REGEXEXTRACT(A2184, ""/(\w+)-.*?"")"),"lieu")</f>
        <v>lieu</v>
      </c>
      <c r="I2184" s="4" t="str">
        <f>IFERROR(__xludf.DUMMYFUNCTION("if(D2184=""variant"",  substitute(filter(Templates!E:E, Templates!A:A = F2184, Templates!B:B = G2184, Templates!C:C = H2184), ""{{}}"", E2184), B2184)"),"🏘  Vous cherchez un appartement à louer à Gossau ZH? ✅ Les annonces les plus actuelles sont sur ImmoScout24.ch.")</f>
        <v>🏘  Vous cherchez un appartement à louer à Gossau ZH? ✅ Les annonces les plus actuelles sont sur ImmoScout24.ch.</v>
      </c>
      <c r="J2184" s="4" t="s">
        <v>6550</v>
      </c>
    </row>
    <row r="2185">
      <c r="A2185" s="5" t="s">
        <v>6551</v>
      </c>
      <c r="B2185" s="2" t="s">
        <v>6552</v>
      </c>
      <c r="C2185" s="4" t="str">
        <f>IFERROR(__xludf.DUMMYFUNCTION("""🏘️ ""&amp;REGEXEXTRACT(B2185, ""^(.*): "")&amp;"" ✅ "" &amp;REGEXEXTRACT(B2185, ""(Trouvez.*)"")"),"🏘️ Louer appartement Wettstein (Bâle) ✅ Trouvez le bien immobilier qui correspond idéalement à vos désirs sur ImmoScout24 - La plateforme de l'immobilier en Suisse.")</f>
        <v>🏘️ Louer appartement Wettstein (Bâle) ✅ Trouvez le bien immobilier qui correspond idéalement à vos désirs sur ImmoScout24 - La plateforme de l'immobilier en Suisse.</v>
      </c>
      <c r="D2185" s="4" t="str">
        <f>vlookup(A2185, Sheet2!D:E, 2, 0)</f>
        <v>variant</v>
      </c>
      <c r="E2185" s="4" t="str">
        <f>IFERROR(__xludf.DUMMYFUNCTION("if(H2185=""pays"",vlookup(REGEXEXTRACT(C2185, ""🏘️ \w+ \w+ (.*) ✅""),'Country prepositions'!A:B, 2, 0) &amp; "" "" &amp; REGEXEXTRACT(C2185, ""🏘️ \w+ \w+ (.*) ✅"") ,  if(H2185=""quartier"",vlookup(REGEXEXTRACT(C2185, ""🏘️ \w+ \w+ (.*) ✅""),'Quartier prepositio"&amp;"ns'!A:E, 5, 0) ,  if(H2185=""region"",vlookup(REGEXEXTRACT(C2185, ""🏘️ \w+ \w+ (.*) ✅""),'Region prepositions'!B:F, 5, 0),  REGEXEXTRACT(C2185, ""🏘️ \w+ \w+ (.*) ✅""))))"),"dans le quartier de Wettstein (Bâle)")</f>
        <v>dans le quartier de Wettstein (Bâle)</v>
      </c>
      <c r="F2185" s="2" t="str">
        <f>IFERROR(__xludf.DUMMYFUNCTION("REGEXEXTRACT(C2185, ""🏘️ (\w+) \w+ .* ✅"")"),"Louer")</f>
        <v>Louer</v>
      </c>
      <c r="G2185" s="2" t="str">
        <f>IFERROR(__xludf.DUMMYFUNCTION("REGEXEXTRACT(C2185, ""🏘️ \w+ (\w+) .* ✅"")"),"appartement")</f>
        <v>appartement</v>
      </c>
      <c r="H2185" s="4" t="str">
        <f>IFERROR(__xludf.DUMMYFUNCTION("REGEXEXTRACT(A2185, ""/(\w+)-.*?"")"),"quartier")</f>
        <v>quartier</v>
      </c>
      <c r="I2185" s="4" t="str">
        <f>IFERROR(__xludf.DUMMYFUNCTION("if(D2185=""variant"",  substitute(filter(Templates!E:E, Templates!A:A = F2185, Templates!B:B = G2185, Templates!C:C = H2185), ""{{}}"", E2185), B2185)"),"🏘  Vous cherchez un appartement à louer dans le quartier de Wettstein (Bâle)? ✅ Les annonces les plus actuelles sont sur ImmoScout24.ch.")</f>
        <v>🏘  Vous cherchez un appartement à louer dans le quartier de Wettstein (Bâle)? ✅ Les annonces les plus actuelles sont sur ImmoScout24.ch.</v>
      </c>
      <c r="J2185" s="4" t="s">
        <v>6553</v>
      </c>
    </row>
    <row r="2186">
      <c r="A2186" s="5" t="s">
        <v>6554</v>
      </c>
      <c r="B2186" s="2" t="s">
        <v>6555</v>
      </c>
      <c r="C2186" s="4" t="str">
        <f>IFERROR(__xludf.DUMMYFUNCTION("""🏘️ ""&amp;REGEXEXTRACT(B2186, ""^(.*): "")&amp;"" ✅ "" &amp;REGEXEXTRACT(B2186, ""(Trouvez.*)"")"),"🏘️ Vendre appartement Massonnens ✅ Trouvez le bien immobilier qui correspond idéalement à vos désirs sur ImmoScout24 - La plateforme de l'immobilier en Suisse.")</f>
        <v>🏘️ Vendre appartement Massonnens ✅ Trouvez le bien immobilier qui correspond idéalement à vos désirs sur ImmoScout24 - La plateforme de l'immobilier en Suisse.</v>
      </c>
      <c r="D2186" s="4" t="str">
        <f>vlookup(A2186, Sheet2!D:E, 2, 0)</f>
        <v>variant</v>
      </c>
      <c r="E2186" s="4" t="str">
        <f>IFERROR(__xludf.DUMMYFUNCTION("if(H2186=""pays"",vlookup(REGEXEXTRACT(C2186, ""🏘️ \w+ \w+ (.*) ✅""),'Country prepositions'!A:B, 2, 0) &amp; "" "" &amp; REGEXEXTRACT(C2186, ""🏘️ \w+ \w+ (.*) ✅"") ,  if(H2186=""quartier"",vlookup(REGEXEXTRACT(C2186, ""🏘️ \w+ \w+ (.*) ✅""),'Quartier prepositio"&amp;"ns'!A:E, 5, 0) ,  if(H2186=""region"",vlookup(REGEXEXTRACT(C2186, ""🏘️ \w+ \w+ (.*) ✅""),'Region prepositions'!B:F, 5, 0),  REGEXEXTRACT(C2186, ""🏘️ \w+ \w+ (.*) ✅""))))"),"Massonnens")</f>
        <v>Massonnens</v>
      </c>
      <c r="F2186" s="2" t="str">
        <f>IFERROR(__xludf.DUMMYFUNCTION("REGEXEXTRACT(C2186, ""🏘️ (\w+) \w+ .* ✅"")"),"Vendre")</f>
        <v>Vendre</v>
      </c>
      <c r="G2186" s="2" t="str">
        <f>IFERROR(__xludf.DUMMYFUNCTION("REGEXEXTRACT(C2186, ""🏘️ \w+ (\w+) .* ✅"")"),"appartement")</f>
        <v>appartement</v>
      </c>
      <c r="H2186" s="4" t="str">
        <f>IFERROR(__xludf.DUMMYFUNCTION("REGEXEXTRACT(A2186, ""/(\w+)-.*?"")"),"lieu")</f>
        <v>lieu</v>
      </c>
      <c r="I2186" s="4" t="str">
        <f>IFERROR(__xludf.DUMMYFUNCTION("if(D2186=""variant"",  substitute(filter(Templates!E:E, Templates!A:A = F2186, Templates!B:B = G2186, Templates!C:C = H2186), ""{{}}"", E2186), B2186)"),"🏘  L’appartement de vos rêves se trouve sur ImmoScout24.ch ✅ Découvrez les dernières annonces de vente à Massonnens.")</f>
        <v>🏘  L’appartement de vos rêves se trouve sur ImmoScout24.ch ✅ Découvrez les dernières annonces de vente à Massonnens.</v>
      </c>
      <c r="J2186" s="4" t="s">
        <v>6556</v>
      </c>
    </row>
    <row r="2187">
      <c r="A2187" s="5" t="s">
        <v>6557</v>
      </c>
      <c r="B2187" s="2" t="s">
        <v>6558</v>
      </c>
      <c r="C2187" s="4" t="str">
        <f>IFERROR(__xludf.DUMMYFUNCTION("""🏘️ ""&amp;REGEXEXTRACT(B2187, ""^(.*): "")&amp;"" ✅ "" &amp;REGEXEXTRACT(B2187, ""(Trouvez.*)"")"),"🏘️ Vendre maison La Cure ✅ Trouvez le bien immobilier qui correspond idéalement à vos désirs sur ImmoScout24 - La plateforme de l'immobilier en Suisse.")</f>
        <v>🏘️ Vendre maison La Cure ✅ Trouvez le bien immobilier qui correspond idéalement à vos désirs sur ImmoScout24 - La plateforme de l'immobilier en Suisse.</v>
      </c>
      <c r="D2187" s="4" t="str">
        <f>vlookup(A2187, Sheet2!D:E, 2, 0)</f>
        <v>variant</v>
      </c>
      <c r="E2187" s="4" t="str">
        <f>IFERROR(__xludf.DUMMYFUNCTION("if(H2187=""pays"",vlookup(REGEXEXTRACT(C2187, ""🏘️ \w+ \w+ (.*) ✅""),'Country prepositions'!A:B, 2, 0) &amp; "" "" &amp; REGEXEXTRACT(C2187, ""🏘️ \w+ \w+ (.*) ✅"") ,  if(H2187=""quartier"",vlookup(REGEXEXTRACT(C2187, ""🏘️ \w+ \w+ (.*) ✅""),'Quartier prepositio"&amp;"ns'!A:E, 5, 0) ,  if(H2187=""region"",vlookup(REGEXEXTRACT(C2187, ""🏘️ \w+ \w+ (.*) ✅""),'Region prepositions'!B:F, 5, 0),  REGEXEXTRACT(C2187, ""🏘️ \w+ \w+ (.*) ✅""))))"),"La Cure")</f>
        <v>La Cure</v>
      </c>
      <c r="F2187" s="2" t="str">
        <f>IFERROR(__xludf.DUMMYFUNCTION("REGEXEXTRACT(C2187, ""🏘️ (\w+) \w+ .* ✅"")"),"Vendre")</f>
        <v>Vendre</v>
      </c>
      <c r="G2187" s="2" t="str">
        <f>IFERROR(__xludf.DUMMYFUNCTION("REGEXEXTRACT(C2187, ""🏘️ \w+ (\w+) .* ✅"")"),"maison")</f>
        <v>maison</v>
      </c>
      <c r="H2187" s="4" t="str">
        <f>IFERROR(__xludf.DUMMYFUNCTION("REGEXEXTRACT(A2187, ""/(\w+)-.*?"")"),"lieu")</f>
        <v>lieu</v>
      </c>
      <c r="I2187" s="4" t="str">
        <f>IFERROR(__xludf.DUMMYFUNCTION("if(D2187=""variant"",  substitute(filter(Templates!E:E, Templates!A:A = F2187, Templates!B:B = G2187, Templates!C:C = H2187), ""{{}}"", E2187), B2187)"),"🏘  Vous souhaitez acheter une maison à La Cure? ✅ Jetez un œil aux dernières offres sur ImmoScout24.ch.")</f>
        <v>🏘  Vous souhaitez acheter une maison à La Cure? ✅ Jetez un œil aux dernières offres sur ImmoScout24.ch.</v>
      </c>
      <c r="J2187" s="4" t="s">
        <v>6559</v>
      </c>
    </row>
    <row r="2188">
      <c r="A2188" s="5" t="s">
        <v>6560</v>
      </c>
      <c r="B2188" s="2" t="s">
        <v>6561</v>
      </c>
      <c r="C2188" s="4" t="str">
        <f>IFERROR(__xludf.DUMMYFUNCTION("""🏘️ ""&amp;REGEXEXTRACT(B2188, ""^(.*): "")&amp;"" ✅ "" &amp;REGEXEXTRACT(B2188, ""(Trouvez.*)"")"),"🏘️ Vendre maison Grandvaux ✅ Trouvez le bien immobilier qui correspond idéalement à vos désirs sur ImmoScout24 - La plateforme de l'immobilier en Suisse.")</f>
        <v>🏘️ Vendre maison Grandvaux ✅ Trouvez le bien immobilier qui correspond idéalement à vos désirs sur ImmoScout24 - La plateforme de l'immobilier en Suisse.</v>
      </c>
      <c r="D2188" s="4" t="str">
        <f>vlookup(A2188, Sheet2!D:E, 2, 0)</f>
        <v>variant</v>
      </c>
      <c r="E2188" s="4" t="str">
        <f>IFERROR(__xludf.DUMMYFUNCTION("if(H2188=""pays"",vlookup(REGEXEXTRACT(C2188, ""🏘️ \w+ \w+ (.*) ✅""),'Country prepositions'!A:B, 2, 0) &amp; "" "" &amp; REGEXEXTRACT(C2188, ""🏘️ \w+ \w+ (.*) ✅"") ,  if(H2188=""quartier"",vlookup(REGEXEXTRACT(C2188, ""🏘️ \w+ \w+ (.*) ✅""),'Quartier prepositio"&amp;"ns'!A:E, 5, 0) ,  if(H2188=""region"",vlookup(REGEXEXTRACT(C2188, ""🏘️ \w+ \w+ (.*) ✅""),'Region prepositions'!B:F, 5, 0),  REGEXEXTRACT(C2188, ""🏘️ \w+ \w+ (.*) ✅""))))"),"Grandvaux")</f>
        <v>Grandvaux</v>
      </c>
      <c r="F2188" s="2" t="str">
        <f>IFERROR(__xludf.DUMMYFUNCTION("REGEXEXTRACT(C2188, ""🏘️ (\w+) \w+ .* ✅"")"),"Vendre")</f>
        <v>Vendre</v>
      </c>
      <c r="G2188" s="2" t="str">
        <f>IFERROR(__xludf.DUMMYFUNCTION("REGEXEXTRACT(C2188, ""🏘️ \w+ (\w+) .* ✅"")"),"maison")</f>
        <v>maison</v>
      </c>
      <c r="H2188" s="4" t="str">
        <f>IFERROR(__xludf.DUMMYFUNCTION("REGEXEXTRACT(A2188, ""/(\w+)-.*?"")"),"lieu")</f>
        <v>lieu</v>
      </c>
      <c r="I2188" s="4" t="str">
        <f>IFERROR(__xludf.DUMMYFUNCTION("if(D2188=""variant"",  substitute(filter(Templates!E:E, Templates!A:A = F2188, Templates!B:B = G2188, Templates!C:C = H2188), ""{{}}"", E2188), B2188)"),"🏘  Vous souhaitez acheter une maison à Grandvaux? ✅ Jetez un œil aux dernières offres sur ImmoScout24.ch.")</f>
        <v>🏘  Vous souhaitez acheter une maison à Grandvaux? ✅ Jetez un œil aux dernières offres sur ImmoScout24.ch.</v>
      </c>
      <c r="J2188" s="4" t="s">
        <v>6562</v>
      </c>
    </row>
    <row r="2189">
      <c r="A2189" s="5" t="s">
        <v>6563</v>
      </c>
      <c r="B2189" s="2" t="s">
        <v>6564</v>
      </c>
      <c r="C2189" s="4" t="str">
        <f>IFERROR(__xludf.DUMMYFUNCTION("""🏘️ ""&amp;REGEXEXTRACT(B2189, ""^(.*): "")&amp;"" ✅ "" &amp;REGEXEXTRACT(B2189, ""(Trouvez.*)"")"),"🏘️ Louer maison Le Landeron ✅ Trouvez le bien immobilier qui correspond idéalement à vos désirs sur ImmoScout24 - La plateforme de l'immobilier en Suisse.")</f>
        <v>🏘️ Louer maison Le Landeron ✅ Trouvez le bien immobilier qui correspond idéalement à vos désirs sur ImmoScout24 - La plateforme de l'immobilier en Suisse.</v>
      </c>
      <c r="D2189" s="4" t="str">
        <f>vlookup(A2189, Sheet2!D:E, 2, 0)</f>
        <v>variant</v>
      </c>
      <c r="E2189" s="4" t="str">
        <f>IFERROR(__xludf.DUMMYFUNCTION("if(H2189=""pays"",vlookup(REGEXEXTRACT(C2189, ""🏘️ \w+ \w+ (.*) ✅""),'Country prepositions'!A:B, 2, 0) &amp; "" "" &amp; REGEXEXTRACT(C2189, ""🏘️ \w+ \w+ (.*) ✅"") ,  if(H2189=""quartier"",vlookup(REGEXEXTRACT(C2189, ""🏘️ \w+ \w+ (.*) ✅""),'Quartier prepositio"&amp;"ns'!A:E, 5, 0) ,  if(H2189=""region"",vlookup(REGEXEXTRACT(C2189, ""🏘️ \w+ \w+ (.*) ✅""),'Region prepositions'!B:F, 5, 0),  REGEXEXTRACT(C2189, ""🏘️ \w+ \w+ (.*) ✅""))))"),"Le Landeron")</f>
        <v>Le Landeron</v>
      </c>
      <c r="F2189" s="2" t="str">
        <f>IFERROR(__xludf.DUMMYFUNCTION("REGEXEXTRACT(C2189, ""🏘️ (\w+) \w+ .* ✅"")"),"Louer")</f>
        <v>Louer</v>
      </c>
      <c r="G2189" s="2" t="str">
        <f>IFERROR(__xludf.DUMMYFUNCTION("REGEXEXTRACT(C2189, ""🏘️ \w+ (\w+) .* ✅"")"),"maison")</f>
        <v>maison</v>
      </c>
      <c r="H2189" s="4" t="str">
        <f>IFERROR(__xludf.DUMMYFUNCTION("REGEXEXTRACT(A2189, ""/(\w+)-.*?"")"),"lieu")</f>
        <v>lieu</v>
      </c>
      <c r="I2189" s="4" t="str">
        <f>IFERROR(__xludf.DUMMYFUNCTION("if(D2189=""variant"",  substitute(filter(Templates!E:E, Templates!A:A = F2189, Templates!B:B = G2189, Templates!C:C = H2189), ""{{}}"", E2189), B2189)"),"🏘  Vous cherchez une maison à louer à Le Landeron? ✅ Découvrez nos nombreuses annonces sur ImmoScout24.ch.")</f>
        <v>🏘  Vous cherchez une maison à louer à Le Landeron? ✅ Découvrez nos nombreuses annonces sur ImmoScout24.ch.</v>
      </c>
      <c r="J2189" s="2" t="s">
        <v>6565</v>
      </c>
    </row>
    <row r="2190">
      <c r="A2190" s="5" t="s">
        <v>6566</v>
      </c>
      <c r="B2190" s="2" t="s">
        <v>6567</v>
      </c>
      <c r="C2190" s="4" t="str">
        <f>IFERROR(__xludf.DUMMYFUNCTION("""🏘️ ""&amp;REGEXEXTRACT(B2190, ""^(.*): "")&amp;"" ✅ "" &amp;REGEXEXTRACT(B2190, ""(Trouvez.*)"")"),"🏘️ Louer appartement Mattenhof (Berne) ✅ Trouvez le bien immobilier qui correspond idéalement à vos désirs sur ImmoScout24 - La plateforme de l'immobilier en Suisse.")</f>
        <v>🏘️ Louer appartement Mattenhof (Berne) ✅ Trouvez le bien immobilier qui correspond idéalement à vos désirs sur ImmoScout24 - La plateforme de l'immobilier en Suisse.</v>
      </c>
      <c r="D2190" s="4" t="str">
        <f>vlookup(A2190, Sheet2!D:E, 2, 0)</f>
        <v>variant</v>
      </c>
      <c r="E2190" s="4" t="str">
        <f>IFERROR(__xludf.DUMMYFUNCTION("if(H2190=""pays"",vlookup(REGEXEXTRACT(C2190, ""🏘️ \w+ \w+ (.*) ✅""),'Country prepositions'!A:B, 2, 0) &amp; "" "" &amp; REGEXEXTRACT(C2190, ""🏘️ \w+ \w+ (.*) ✅"") ,  if(H2190=""quartier"",vlookup(REGEXEXTRACT(C2190, ""🏘️ \w+ \w+ (.*) ✅""),'Quartier prepositio"&amp;"ns'!A:E, 5, 0) ,  if(H2190=""region"",vlookup(REGEXEXTRACT(C2190, ""🏘️ \w+ \w+ (.*) ✅""),'Region prepositions'!B:F, 5, 0),  REGEXEXTRACT(C2190, ""🏘️ \w+ \w+ (.*) ✅""))))"),"dans le quartier de Mattenhof (Berne)")</f>
        <v>dans le quartier de Mattenhof (Berne)</v>
      </c>
      <c r="F2190" s="2" t="str">
        <f>IFERROR(__xludf.DUMMYFUNCTION("REGEXEXTRACT(C2190, ""🏘️ (\w+) \w+ .* ✅"")"),"Louer")</f>
        <v>Louer</v>
      </c>
      <c r="G2190" s="2" t="str">
        <f>IFERROR(__xludf.DUMMYFUNCTION("REGEXEXTRACT(C2190, ""🏘️ \w+ (\w+) .* ✅"")"),"appartement")</f>
        <v>appartement</v>
      </c>
      <c r="H2190" s="4" t="str">
        <f>IFERROR(__xludf.DUMMYFUNCTION("REGEXEXTRACT(A2190, ""/(\w+)-.*?"")"),"quartier")</f>
        <v>quartier</v>
      </c>
      <c r="I2190" s="4" t="str">
        <f>IFERROR(__xludf.DUMMYFUNCTION("if(D2190=""variant"",  substitute(filter(Templates!E:E, Templates!A:A = F2190, Templates!B:B = G2190, Templates!C:C = H2190), ""{{}}"", E2190), B2190)"),"🏘  Vous cherchez un appartement à louer dans le quartier de Mattenhof (Berne)? ✅ Les annonces les plus actuelles sont sur ImmoScout24.ch.")</f>
        <v>🏘  Vous cherchez un appartement à louer dans le quartier de Mattenhof (Berne)? ✅ Les annonces les plus actuelles sont sur ImmoScout24.ch.</v>
      </c>
      <c r="J2190" s="4" t="s">
        <v>6568</v>
      </c>
    </row>
    <row r="2191">
      <c r="A2191" s="5" t="s">
        <v>6569</v>
      </c>
      <c r="B2191" s="2" t="s">
        <v>6570</v>
      </c>
      <c r="C2191" s="4" t="str">
        <f>IFERROR(__xludf.DUMMYFUNCTION("""🏘️ ""&amp;REGEXEXTRACT(B2191, ""^(.*): "")&amp;"" ✅ "" &amp;REGEXEXTRACT(B2191, ""(Trouvez.*)"")"),"🏘️ Vendre maison Ponthaux ✅ Trouvez le bien immobilier qui correspond idéalement à vos désirs sur ImmoScout24 - La plateforme de l'immobilier en Suisse.")</f>
        <v>🏘️ Vendre maison Ponthaux ✅ Trouvez le bien immobilier qui correspond idéalement à vos désirs sur ImmoScout24 - La plateforme de l'immobilier en Suisse.</v>
      </c>
      <c r="D2191" s="4" t="str">
        <f>vlookup(A2191, Sheet2!D:E, 2, 0)</f>
        <v>variant</v>
      </c>
      <c r="E2191" s="4" t="str">
        <f>IFERROR(__xludf.DUMMYFUNCTION("if(H2191=""pays"",vlookup(REGEXEXTRACT(C2191, ""🏘️ \w+ \w+ (.*) ✅""),'Country prepositions'!A:B, 2, 0) &amp; "" "" &amp; REGEXEXTRACT(C2191, ""🏘️ \w+ \w+ (.*) ✅"") ,  if(H2191=""quartier"",vlookup(REGEXEXTRACT(C2191, ""🏘️ \w+ \w+ (.*) ✅""),'Quartier prepositio"&amp;"ns'!A:E, 5, 0) ,  if(H2191=""region"",vlookup(REGEXEXTRACT(C2191, ""🏘️ \w+ \w+ (.*) ✅""),'Region prepositions'!B:F, 5, 0),  REGEXEXTRACT(C2191, ""🏘️ \w+ \w+ (.*) ✅""))))"),"Ponthaux")</f>
        <v>Ponthaux</v>
      </c>
      <c r="F2191" s="2" t="str">
        <f>IFERROR(__xludf.DUMMYFUNCTION("REGEXEXTRACT(C2191, ""🏘️ (\w+) \w+ .* ✅"")"),"Vendre")</f>
        <v>Vendre</v>
      </c>
      <c r="G2191" s="2" t="str">
        <f>IFERROR(__xludf.DUMMYFUNCTION("REGEXEXTRACT(C2191, ""🏘️ \w+ (\w+) .* ✅"")"),"maison")</f>
        <v>maison</v>
      </c>
      <c r="H2191" s="4" t="str">
        <f>IFERROR(__xludf.DUMMYFUNCTION("REGEXEXTRACT(A2191, ""/(\w+)-.*?"")"),"lieu")</f>
        <v>lieu</v>
      </c>
      <c r="I2191" s="4" t="str">
        <f>IFERROR(__xludf.DUMMYFUNCTION("if(D2191=""variant"",  substitute(filter(Templates!E:E, Templates!A:A = F2191, Templates!B:B = G2191, Templates!C:C = H2191), ""{{}}"", E2191), B2191)"),"🏘  Vous souhaitez acheter une maison à Ponthaux? ✅ Jetez un œil aux dernières offres sur ImmoScout24.ch.")</f>
        <v>🏘  Vous souhaitez acheter une maison à Ponthaux? ✅ Jetez un œil aux dernières offres sur ImmoScout24.ch.</v>
      </c>
      <c r="J2191" s="4" t="s">
        <v>6571</v>
      </c>
    </row>
    <row r="2192">
      <c r="A2192" s="5" t="s">
        <v>6572</v>
      </c>
      <c r="B2192" s="2" t="s">
        <v>6573</v>
      </c>
      <c r="C2192" s="4" t="str">
        <f>IFERROR(__xludf.DUMMYFUNCTION("""🏘️ ""&amp;REGEXEXTRACT(B2192, ""^(.*): "")&amp;"" ✅ "" &amp;REGEXEXTRACT(B2192, ""(Trouvez.*)"")"),"🏘️ Louer appartement Monte Carasso ✅ Trouvez le bien immobilier qui correspond idéalement à vos désirs sur ImmoScout24 - La plateforme de l'immobilier en Suisse.")</f>
        <v>🏘️ Louer appartement Monte Carasso ✅ Trouvez le bien immobilier qui correspond idéalement à vos désirs sur ImmoScout24 - La plateforme de l'immobilier en Suisse.</v>
      </c>
      <c r="D2192" s="4" t="str">
        <f>vlookup(A2192, Sheet2!D:E, 2, 0)</f>
        <v>variant</v>
      </c>
      <c r="E2192" s="4" t="str">
        <f>IFERROR(__xludf.DUMMYFUNCTION("if(H2192=""pays"",vlookup(REGEXEXTRACT(C2192, ""🏘️ \w+ \w+ (.*) ✅""),'Country prepositions'!A:B, 2, 0) &amp; "" "" &amp; REGEXEXTRACT(C2192, ""🏘️ \w+ \w+ (.*) ✅"") ,  if(H2192=""quartier"",vlookup(REGEXEXTRACT(C2192, ""🏘️ \w+ \w+ (.*) ✅""),'Quartier prepositio"&amp;"ns'!A:E, 5, 0) ,  if(H2192=""region"",vlookup(REGEXEXTRACT(C2192, ""🏘️ \w+ \w+ (.*) ✅""),'Region prepositions'!B:F, 5, 0),  REGEXEXTRACT(C2192, ""🏘️ \w+ \w+ (.*) ✅""))))"),"Monte Carasso")</f>
        <v>Monte Carasso</v>
      </c>
      <c r="F2192" s="2" t="str">
        <f>IFERROR(__xludf.DUMMYFUNCTION("REGEXEXTRACT(C2192, ""🏘️ (\w+) \w+ .* ✅"")"),"Louer")</f>
        <v>Louer</v>
      </c>
      <c r="G2192" s="2" t="str">
        <f>IFERROR(__xludf.DUMMYFUNCTION("REGEXEXTRACT(C2192, ""🏘️ \w+ (\w+) .* ✅"")"),"appartement")</f>
        <v>appartement</v>
      </c>
      <c r="H2192" s="4" t="str">
        <f>IFERROR(__xludf.DUMMYFUNCTION("REGEXEXTRACT(A2192, ""/(\w+)-.*?"")"),"lieu")</f>
        <v>lieu</v>
      </c>
      <c r="I2192" s="4" t="str">
        <f>IFERROR(__xludf.DUMMYFUNCTION("if(D2192=""variant"",  substitute(filter(Templates!E:E, Templates!A:A = F2192, Templates!B:B = G2192, Templates!C:C = H2192), ""{{}}"", E2192), B2192)"),"🏘  Vous cherchez un appartement à louer à Monte Carasso? ✅ Les annonces les plus actuelles sont sur ImmoScout24.ch.")</f>
        <v>🏘  Vous cherchez un appartement à louer à Monte Carasso? ✅ Les annonces les plus actuelles sont sur ImmoScout24.ch.</v>
      </c>
      <c r="J2192" s="4" t="s">
        <v>6574</v>
      </c>
    </row>
    <row r="2193">
      <c r="A2193" s="5" t="s">
        <v>6575</v>
      </c>
      <c r="B2193" s="2" t="s">
        <v>6576</v>
      </c>
      <c r="C2193" s="4" t="str">
        <f>IFERROR(__xludf.DUMMYFUNCTION("""🏘️ ""&amp;REGEXEXTRACT(B2193, ""^(.*): "")&amp;"" ✅ "" &amp;REGEXEXTRACT(B2193, ""(Trouvez.*)"")"),"🏘️ Louer appartement Langwiesen ✅ Trouvez le bien immobilier qui correspond idéalement à vos désirs sur ImmoScout24 - La plateforme de l'immobilier en Suisse.")</f>
        <v>🏘️ Louer appartement Langwiesen ✅ Trouvez le bien immobilier qui correspond idéalement à vos désirs sur ImmoScout24 - La plateforme de l'immobilier en Suisse.</v>
      </c>
      <c r="D2193" s="4" t="str">
        <f>vlookup(A2193, Sheet2!D:E, 2, 0)</f>
        <v>variant</v>
      </c>
      <c r="E2193" s="4" t="str">
        <f>IFERROR(__xludf.DUMMYFUNCTION("if(H2193=""pays"",vlookup(REGEXEXTRACT(C2193, ""🏘️ \w+ \w+ (.*) ✅""),'Country prepositions'!A:B, 2, 0) &amp; "" "" &amp; REGEXEXTRACT(C2193, ""🏘️ \w+ \w+ (.*) ✅"") ,  if(H2193=""quartier"",vlookup(REGEXEXTRACT(C2193, ""🏘️ \w+ \w+ (.*) ✅""),'Quartier prepositio"&amp;"ns'!A:E, 5, 0) ,  if(H2193=""region"",vlookup(REGEXEXTRACT(C2193, ""🏘️ \w+ \w+ (.*) ✅""),'Region prepositions'!B:F, 5, 0),  REGEXEXTRACT(C2193, ""🏘️ \w+ \w+ (.*) ✅""))))"),"Langwiesen")</f>
        <v>Langwiesen</v>
      </c>
      <c r="F2193" s="2" t="str">
        <f>IFERROR(__xludf.DUMMYFUNCTION("REGEXEXTRACT(C2193, ""🏘️ (\w+) \w+ .* ✅"")"),"Louer")</f>
        <v>Louer</v>
      </c>
      <c r="G2193" s="2" t="str">
        <f>IFERROR(__xludf.DUMMYFUNCTION("REGEXEXTRACT(C2193, ""🏘️ \w+ (\w+) .* ✅"")"),"appartement")</f>
        <v>appartement</v>
      </c>
      <c r="H2193" s="4" t="str">
        <f>IFERROR(__xludf.DUMMYFUNCTION("REGEXEXTRACT(A2193, ""/(\w+)-.*?"")"),"lieu")</f>
        <v>lieu</v>
      </c>
      <c r="I2193" s="4" t="str">
        <f>IFERROR(__xludf.DUMMYFUNCTION("if(D2193=""variant"",  substitute(filter(Templates!E:E, Templates!A:A = F2193, Templates!B:B = G2193, Templates!C:C = H2193), ""{{}}"", E2193), B2193)"),"🏘  Vous cherchez un appartement à louer à Langwiesen? ✅ Les annonces les plus actuelles sont sur ImmoScout24.ch.")</f>
        <v>🏘  Vous cherchez un appartement à louer à Langwiesen? ✅ Les annonces les plus actuelles sont sur ImmoScout24.ch.</v>
      </c>
      <c r="J2193" s="4" t="s">
        <v>6577</v>
      </c>
    </row>
    <row r="2194">
      <c r="A2194" s="5" t="s">
        <v>6578</v>
      </c>
      <c r="B2194" s="2" t="s">
        <v>6579</v>
      </c>
      <c r="C2194" s="4" t="str">
        <f>IFERROR(__xludf.DUMMYFUNCTION("""🏘️ ""&amp;REGEXEXTRACT(B2194, ""^(.*): "")&amp;"" ✅ "" &amp;REGEXEXTRACT(B2194, ""(Trouvez.*)"")"),"🏘️ Vendre maison Aeschi b. Spiez ✅ Trouvez le bien immobilier qui correspond idéalement à vos désirs sur ImmoScout24 - La plateforme de l'immobilier en Suisse.")</f>
        <v>🏘️ Vendre maison Aeschi b. Spiez ✅ Trouvez le bien immobilier qui correspond idéalement à vos désirs sur ImmoScout24 - La plateforme de l'immobilier en Suisse.</v>
      </c>
      <c r="D2194" s="4" t="str">
        <f>vlookup(A2194, Sheet2!D:E, 2, 0)</f>
        <v>variant</v>
      </c>
      <c r="E2194" s="4" t="str">
        <f>IFERROR(__xludf.DUMMYFUNCTION("if(H2194=""pays"",vlookup(REGEXEXTRACT(C2194, ""🏘️ \w+ \w+ (.*) ✅""),'Country prepositions'!A:B, 2, 0) &amp; "" "" &amp; REGEXEXTRACT(C2194, ""🏘️ \w+ \w+ (.*) ✅"") ,  if(H2194=""quartier"",vlookup(REGEXEXTRACT(C2194, ""🏘️ \w+ \w+ (.*) ✅""),'Quartier prepositio"&amp;"ns'!A:E, 5, 0) ,  if(H2194=""region"",vlookup(REGEXEXTRACT(C2194, ""🏘️ \w+ \w+ (.*) ✅""),'Region prepositions'!B:F, 5, 0),  REGEXEXTRACT(C2194, ""🏘️ \w+ \w+ (.*) ✅""))))"),"Aeschi b. Spiez")</f>
        <v>Aeschi b. Spiez</v>
      </c>
      <c r="F2194" s="2" t="str">
        <f>IFERROR(__xludf.DUMMYFUNCTION("REGEXEXTRACT(C2194, ""🏘️ (\w+) \w+ .* ✅"")"),"Vendre")</f>
        <v>Vendre</v>
      </c>
      <c r="G2194" s="2" t="str">
        <f>IFERROR(__xludf.DUMMYFUNCTION("REGEXEXTRACT(C2194, ""🏘️ \w+ (\w+) .* ✅"")"),"maison")</f>
        <v>maison</v>
      </c>
      <c r="H2194" s="4" t="str">
        <f>IFERROR(__xludf.DUMMYFUNCTION("REGEXEXTRACT(A2194, ""/(\w+)-.*?"")"),"lieu")</f>
        <v>lieu</v>
      </c>
      <c r="I2194" s="4" t="str">
        <f>IFERROR(__xludf.DUMMYFUNCTION("if(D2194=""variant"",  substitute(filter(Templates!E:E, Templates!A:A = F2194, Templates!B:B = G2194, Templates!C:C = H2194), ""{{}}"", E2194), B2194)"),"🏘  Vous souhaitez acheter une maison à Aeschi b. Spiez? ✅ Jetez un œil aux dernières offres sur ImmoScout24.ch.")</f>
        <v>🏘  Vous souhaitez acheter une maison à Aeschi b. Spiez? ✅ Jetez un œil aux dernières offres sur ImmoScout24.ch.</v>
      </c>
      <c r="J2194" s="4" t="s">
        <v>6580</v>
      </c>
    </row>
    <row r="2195">
      <c r="A2195" s="5" t="s">
        <v>6581</v>
      </c>
      <c r="B2195" s="2" t="s">
        <v>6582</v>
      </c>
      <c r="C2195" s="4" t="str">
        <f>IFERROR(__xludf.DUMMYFUNCTION("""🏘️ ""&amp;REGEXEXTRACT(B2195, ""^(.*): "")&amp;"" ✅ "" &amp;REGEXEXTRACT(B2195, ""(Trouvez.*)"")"),"🏘️ Louer maison La Croix-de-Rozon ✅ Trouvez le bien immobilier qui correspond idéalement à vos désirs sur ImmoScout24 - La plateforme de l'immobilier en Suisse.")</f>
        <v>🏘️ Louer maison La Croix-de-Rozon ✅ Trouvez le bien immobilier qui correspond idéalement à vos désirs sur ImmoScout24 - La plateforme de l'immobilier en Suisse.</v>
      </c>
      <c r="D2195" s="4" t="str">
        <f>vlookup(A2195, Sheet2!D:E, 2, 0)</f>
        <v>variant</v>
      </c>
      <c r="E2195" s="4" t="str">
        <f>IFERROR(__xludf.DUMMYFUNCTION("if(H2195=""pays"",vlookup(REGEXEXTRACT(C2195, ""🏘️ \w+ \w+ (.*) ✅""),'Country prepositions'!A:B, 2, 0) &amp; "" "" &amp; REGEXEXTRACT(C2195, ""🏘️ \w+ \w+ (.*) ✅"") ,  if(H2195=""quartier"",vlookup(REGEXEXTRACT(C2195, ""🏘️ \w+ \w+ (.*) ✅""),'Quartier prepositio"&amp;"ns'!A:E, 5, 0) ,  if(H2195=""region"",vlookup(REGEXEXTRACT(C2195, ""🏘️ \w+ \w+ (.*) ✅""),'Region prepositions'!B:F, 5, 0),  REGEXEXTRACT(C2195, ""🏘️ \w+ \w+ (.*) ✅""))))"),"La Croix-de-Rozon")</f>
        <v>La Croix-de-Rozon</v>
      </c>
      <c r="F2195" s="2" t="str">
        <f>IFERROR(__xludf.DUMMYFUNCTION("REGEXEXTRACT(C2195, ""🏘️ (\w+) \w+ .* ✅"")"),"Louer")</f>
        <v>Louer</v>
      </c>
      <c r="G2195" s="2" t="str">
        <f>IFERROR(__xludf.DUMMYFUNCTION("REGEXEXTRACT(C2195, ""🏘️ \w+ (\w+) .* ✅"")"),"maison")</f>
        <v>maison</v>
      </c>
      <c r="H2195" s="4" t="str">
        <f>IFERROR(__xludf.DUMMYFUNCTION("REGEXEXTRACT(A2195, ""/(\w+)-.*?"")"),"lieu")</f>
        <v>lieu</v>
      </c>
      <c r="I2195" s="4" t="str">
        <f>IFERROR(__xludf.DUMMYFUNCTION("if(D2195=""variant"",  substitute(filter(Templates!E:E, Templates!A:A = F2195, Templates!B:B = G2195, Templates!C:C = H2195), ""{{}}"", E2195), B2195)"),"🏘  Vous cherchez une maison à louer à La Croix-de-Rozon? ✅ Découvrez nos nombreuses annonces sur ImmoScout24.ch.")</f>
        <v>🏘  Vous cherchez une maison à louer à La Croix-de-Rozon? ✅ Découvrez nos nombreuses annonces sur ImmoScout24.ch.</v>
      </c>
      <c r="J2195" s="4" t="s">
        <v>6583</v>
      </c>
    </row>
    <row r="2196">
      <c r="A2196" s="5" t="s">
        <v>6584</v>
      </c>
      <c r="B2196" s="2" t="s">
        <v>6585</v>
      </c>
      <c r="C2196" s="4" t="str">
        <f>IFERROR(__xludf.DUMMYFUNCTION("""🏘️ ""&amp;REGEXEXTRACT(B2196, ""^(.*): "")&amp;"" ✅ "" &amp;REGEXEXTRACT(B2196, ""(Trouvez.*)"")"),"🏘️ Louer appartement Corcelles NE ✅ Trouvez le bien immobilier qui correspond idéalement à vos désirs sur ImmoScout24 - La plateforme de l'immobilier en Suisse.")</f>
        <v>🏘️ Louer appartement Corcelles NE ✅ Trouvez le bien immobilier qui correspond idéalement à vos désirs sur ImmoScout24 - La plateforme de l'immobilier en Suisse.</v>
      </c>
      <c r="D2196" s="4" t="str">
        <f>vlookup(A2196, Sheet2!D:E, 2, 0)</f>
        <v>variant</v>
      </c>
      <c r="E2196" s="4" t="str">
        <f>IFERROR(__xludf.DUMMYFUNCTION("if(H2196=""pays"",vlookup(REGEXEXTRACT(C2196, ""🏘️ \w+ \w+ (.*) ✅""),'Country prepositions'!A:B, 2, 0) &amp; "" "" &amp; REGEXEXTRACT(C2196, ""🏘️ \w+ \w+ (.*) ✅"") ,  if(H2196=""quartier"",vlookup(REGEXEXTRACT(C2196, ""🏘️ \w+ \w+ (.*) ✅""),'Quartier prepositio"&amp;"ns'!A:E, 5, 0) ,  if(H2196=""region"",vlookup(REGEXEXTRACT(C2196, ""🏘️ \w+ \w+ (.*) ✅""),'Region prepositions'!B:F, 5, 0),  REGEXEXTRACT(C2196, ""🏘️ \w+ \w+ (.*) ✅""))))"),"Corcelles NE")</f>
        <v>Corcelles NE</v>
      </c>
      <c r="F2196" s="2" t="str">
        <f>IFERROR(__xludf.DUMMYFUNCTION("REGEXEXTRACT(C2196, ""🏘️ (\w+) \w+ .* ✅"")"),"Louer")</f>
        <v>Louer</v>
      </c>
      <c r="G2196" s="2" t="str">
        <f>IFERROR(__xludf.DUMMYFUNCTION("REGEXEXTRACT(C2196, ""🏘️ \w+ (\w+) .* ✅"")"),"appartement")</f>
        <v>appartement</v>
      </c>
      <c r="H2196" s="4" t="str">
        <f>IFERROR(__xludf.DUMMYFUNCTION("REGEXEXTRACT(A2196, ""/(\w+)-.*?"")"),"lieu")</f>
        <v>lieu</v>
      </c>
      <c r="I2196" s="4" t="str">
        <f>IFERROR(__xludf.DUMMYFUNCTION("if(D2196=""variant"",  substitute(filter(Templates!E:E, Templates!A:A = F2196, Templates!B:B = G2196, Templates!C:C = H2196), ""{{}}"", E2196), B2196)"),"🏘  Vous cherchez un appartement à louer à Corcelles NE? ✅ Les annonces les plus actuelles sont sur ImmoScout24.ch.")</f>
        <v>🏘  Vous cherchez un appartement à louer à Corcelles NE? ✅ Les annonces les plus actuelles sont sur ImmoScout24.ch.</v>
      </c>
      <c r="J2196" s="4" t="s">
        <v>6586</v>
      </c>
    </row>
    <row r="2197">
      <c r="A2197" s="5" t="s">
        <v>6587</v>
      </c>
      <c r="B2197" s="2" t="s">
        <v>6588</v>
      </c>
      <c r="C2197" s="4" t="str">
        <f>IFERROR(__xludf.DUMMYFUNCTION("""🏘️ ""&amp;REGEXEXTRACT(B2197, ""^(.*): "")&amp;"" ✅ "" &amp;REGEXEXTRACT(B2197, ""(Trouvez.*)"")"),"🏘️ Vendre appartement Assens ✅ Trouvez le bien immobilier qui correspond idéalement à vos désirs sur ImmoScout24 - La plateforme de l'immobilier en Suisse.")</f>
        <v>🏘️ Vendre appartement Assens ✅ Trouvez le bien immobilier qui correspond idéalement à vos désirs sur ImmoScout24 - La plateforme de l'immobilier en Suisse.</v>
      </c>
      <c r="D2197" s="4" t="str">
        <f>vlookup(A2197, Sheet2!D:E, 2, 0)</f>
        <v>variant</v>
      </c>
      <c r="E2197" s="4" t="str">
        <f>IFERROR(__xludf.DUMMYFUNCTION("if(H2197=""pays"",vlookup(REGEXEXTRACT(C2197, ""🏘️ \w+ \w+ (.*) ✅""),'Country prepositions'!A:B, 2, 0) &amp; "" "" &amp; REGEXEXTRACT(C2197, ""🏘️ \w+ \w+ (.*) ✅"") ,  if(H2197=""quartier"",vlookup(REGEXEXTRACT(C2197, ""🏘️ \w+ \w+ (.*) ✅""),'Quartier prepositio"&amp;"ns'!A:E, 5, 0) ,  if(H2197=""region"",vlookup(REGEXEXTRACT(C2197, ""🏘️ \w+ \w+ (.*) ✅""),'Region prepositions'!B:F, 5, 0),  REGEXEXTRACT(C2197, ""🏘️ \w+ \w+ (.*) ✅""))))"),"Assens")</f>
        <v>Assens</v>
      </c>
      <c r="F2197" s="2" t="str">
        <f>IFERROR(__xludf.DUMMYFUNCTION("REGEXEXTRACT(C2197, ""🏘️ (\w+) \w+ .* ✅"")"),"Vendre")</f>
        <v>Vendre</v>
      </c>
      <c r="G2197" s="2" t="str">
        <f>IFERROR(__xludf.DUMMYFUNCTION("REGEXEXTRACT(C2197, ""🏘️ \w+ (\w+) .* ✅"")"),"appartement")</f>
        <v>appartement</v>
      </c>
      <c r="H2197" s="4" t="str">
        <f>IFERROR(__xludf.DUMMYFUNCTION("REGEXEXTRACT(A2197, ""/(\w+)-.*?"")"),"lieu")</f>
        <v>lieu</v>
      </c>
      <c r="I2197" s="4" t="str">
        <f>IFERROR(__xludf.DUMMYFUNCTION("if(D2197=""variant"",  substitute(filter(Templates!E:E, Templates!A:A = F2197, Templates!B:B = G2197, Templates!C:C = H2197), ""{{}}"", E2197), B2197)"),"🏘  L’appartement de vos rêves se trouve sur ImmoScout24.ch ✅ Découvrez les dernières annonces de vente à Assens.")</f>
        <v>🏘  L’appartement de vos rêves se trouve sur ImmoScout24.ch ✅ Découvrez les dernières annonces de vente à Assens.</v>
      </c>
      <c r="J2197" s="4" t="s">
        <v>6589</v>
      </c>
    </row>
    <row r="2198">
      <c r="A2198" s="5" t="s">
        <v>6590</v>
      </c>
      <c r="B2198" s="2" t="s">
        <v>6591</v>
      </c>
      <c r="C2198" s="4" t="str">
        <f>IFERROR(__xludf.DUMMYFUNCTION("""🏘️ ""&amp;REGEXEXTRACT(B2198, ""^(.*): "")&amp;"" ✅ "" &amp;REGEXEXTRACT(B2198, ""(Trouvez.*)"")"),"🏘️ Vendre appartement Carrouge VD ✅ Trouvez le bien immobilier qui correspond idéalement à vos désirs sur ImmoScout24 - La plateforme de l'immobilier en Suisse.")</f>
        <v>🏘️ Vendre appartement Carrouge VD ✅ Trouvez le bien immobilier qui correspond idéalement à vos désirs sur ImmoScout24 - La plateforme de l'immobilier en Suisse.</v>
      </c>
      <c r="D2198" s="4" t="str">
        <f>vlookup(A2198, Sheet2!D:E, 2, 0)</f>
        <v>variant</v>
      </c>
      <c r="E2198" s="4" t="str">
        <f>IFERROR(__xludf.DUMMYFUNCTION("if(H2198=""pays"",vlookup(REGEXEXTRACT(C2198, ""🏘️ \w+ \w+ (.*) ✅""),'Country prepositions'!A:B, 2, 0) &amp; "" "" &amp; REGEXEXTRACT(C2198, ""🏘️ \w+ \w+ (.*) ✅"") ,  if(H2198=""quartier"",vlookup(REGEXEXTRACT(C2198, ""🏘️ \w+ \w+ (.*) ✅""),'Quartier prepositio"&amp;"ns'!A:E, 5, 0) ,  if(H2198=""region"",vlookup(REGEXEXTRACT(C2198, ""🏘️ \w+ \w+ (.*) ✅""),'Region prepositions'!B:F, 5, 0),  REGEXEXTRACT(C2198, ""🏘️ \w+ \w+ (.*) ✅""))))"),"Carrouge VD")</f>
        <v>Carrouge VD</v>
      </c>
      <c r="F2198" s="2" t="str">
        <f>IFERROR(__xludf.DUMMYFUNCTION("REGEXEXTRACT(C2198, ""🏘️ (\w+) \w+ .* ✅"")"),"Vendre")</f>
        <v>Vendre</v>
      </c>
      <c r="G2198" s="2" t="str">
        <f>IFERROR(__xludf.DUMMYFUNCTION("REGEXEXTRACT(C2198, ""🏘️ \w+ (\w+) .* ✅"")"),"appartement")</f>
        <v>appartement</v>
      </c>
      <c r="H2198" s="4" t="str">
        <f>IFERROR(__xludf.DUMMYFUNCTION("REGEXEXTRACT(A2198, ""/(\w+)-.*?"")"),"lieu")</f>
        <v>lieu</v>
      </c>
      <c r="I2198" s="4" t="str">
        <f>IFERROR(__xludf.DUMMYFUNCTION("if(D2198=""variant"",  substitute(filter(Templates!E:E, Templates!A:A = F2198, Templates!B:B = G2198, Templates!C:C = H2198), ""{{}}"", E2198), B2198)"),"🏘  L’appartement de vos rêves se trouve sur ImmoScout24.ch ✅ Découvrez les dernières annonces de vente à Carrouge VD.")</f>
        <v>🏘  L’appartement de vos rêves se trouve sur ImmoScout24.ch ✅ Découvrez les dernières annonces de vente à Carrouge VD.</v>
      </c>
      <c r="J2198" s="4" t="s">
        <v>6592</v>
      </c>
    </row>
    <row r="2199">
      <c r="A2199" s="5" t="s">
        <v>6593</v>
      </c>
      <c r="B2199" s="2" t="s">
        <v>6594</v>
      </c>
      <c r="C2199" s="4" t="str">
        <f>IFERROR(__xludf.DUMMYFUNCTION("""🏘️ ""&amp;REGEXEXTRACT(B2199, ""^(.*): "")&amp;"" ✅ "" &amp;REGEXEXTRACT(B2199, ""(Trouvez.*)"")"),"🏘️ Louer appartement Clèbes (Nendaz) ✅ Trouvez le bien immobilier qui correspond idéalement à vos désirs sur ImmoScout24 - La plateforme de l'immobilier en Suisse.")</f>
        <v>🏘️ Louer appartement Clèbes (Nendaz) ✅ Trouvez le bien immobilier qui correspond idéalement à vos désirs sur ImmoScout24 - La plateforme de l'immobilier en Suisse.</v>
      </c>
      <c r="D2199" s="4" t="str">
        <f>vlookup(A2199, Sheet2!D:E, 2, 0)</f>
        <v>variant</v>
      </c>
      <c r="E2199" s="4" t="str">
        <f>IFERROR(__xludf.DUMMYFUNCTION("if(H2199=""pays"",vlookup(REGEXEXTRACT(C2199, ""🏘️ \w+ \w+ (.*) ✅""),'Country prepositions'!A:B, 2, 0) &amp; "" "" &amp; REGEXEXTRACT(C2199, ""🏘️ \w+ \w+ (.*) ✅"") ,  if(H2199=""quartier"",vlookup(REGEXEXTRACT(C2199, ""🏘️ \w+ \w+ (.*) ✅""),'Quartier prepositio"&amp;"ns'!A:E, 5, 0) ,  if(H2199=""region"",vlookup(REGEXEXTRACT(C2199, ""🏘️ \w+ \w+ (.*) ✅""),'Region prepositions'!B:F, 5, 0),  REGEXEXTRACT(C2199, ""🏘️ \w+ \w+ (.*) ✅""))))"),"Clèbes (Nendaz)")</f>
        <v>Clèbes (Nendaz)</v>
      </c>
      <c r="F2199" s="2" t="str">
        <f>IFERROR(__xludf.DUMMYFUNCTION("REGEXEXTRACT(C2199, ""🏘️ (\w+) \w+ .* ✅"")"),"Louer")</f>
        <v>Louer</v>
      </c>
      <c r="G2199" s="2" t="str">
        <f>IFERROR(__xludf.DUMMYFUNCTION("REGEXEXTRACT(C2199, ""🏘️ \w+ (\w+) .* ✅"")"),"appartement")</f>
        <v>appartement</v>
      </c>
      <c r="H2199" s="4" t="str">
        <f>IFERROR(__xludf.DUMMYFUNCTION("REGEXEXTRACT(A2199, ""/(\w+)-.*?"")"),"lieu")</f>
        <v>lieu</v>
      </c>
      <c r="I2199" s="4" t="str">
        <f>IFERROR(__xludf.DUMMYFUNCTION("if(D2199=""variant"",  substitute(filter(Templates!E:E, Templates!A:A = F2199, Templates!B:B = G2199, Templates!C:C = H2199), ""{{}}"", E2199), B2199)"),"🏘  Vous cherchez un appartement à louer à Clèbes (Nendaz)? ✅ Les annonces les plus actuelles sont sur ImmoScout24.ch.")</f>
        <v>🏘  Vous cherchez un appartement à louer à Clèbes (Nendaz)? ✅ Les annonces les plus actuelles sont sur ImmoScout24.ch.</v>
      </c>
      <c r="J2199" s="4" t="s">
        <v>6595</v>
      </c>
    </row>
    <row r="2200">
      <c r="A2200" s="5" t="s">
        <v>6596</v>
      </c>
      <c r="B2200" s="2" t="s">
        <v>6597</v>
      </c>
      <c r="C2200" s="4" t="str">
        <f>IFERROR(__xludf.DUMMYFUNCTION("""🏘️ ""&amp;REGEXEXTRACT(B2200, ""^(.*): "")&amp;"" ✅ "" &amp;REGEXEXTRACT(B2200, ""(Trouvez.*)"")"),"🏘️ Louer appartement Niederbipp ✅ Trouvez le bien immobilier qui correspond idéalement à vos désirs sur ImmoScout24 - La plateforme de l'immobilier en Suisse.")</f>
        <v>🏘️ Louer appartement Niederbipp ✅ Trouvez le bien immobilier qui correspond idéalement à vos désirs sur ImmoScout24 - La plateforme de l'immobilier en Suisse.</v>
      </c>
      <c r="D2200" s="4" t="str">
        <f>vlookup(A2200, Sheet2!D:E, 2, 0)</f>
        <v>variant</v>
      </c>
      <c r="E2200" s="4" t="str">
        <f>IFERROR(__xludf.DUMMYFUNCTION("if(H2200=""pays"",vlookup(REGEXEXTRACT(C2200, ""🏘️ \w+ \w+ (.*) ✅""),'Country prepositions'!A:B, 2, 0) &amp; "" "" &amp; REGEXEXTRACT(C2200, ""🏘️ \w+ \w+ (.*) ✅"") ,  if(H2200=""quartier"",vlookup(REGEXEXTRACT(C2200, ""🏘️ \w+ \w+ (.*) ✅""),'Quartier prepositio"&amp;"ns'!A:E, 5, 0) ,  if(H2200=""region"",vlookup(REGEXEXTRACT(C2200, ""🏘️ \w+ \w+ (.*) ✅""),'Region prepositions'!B:F, 5, 0),  REGEXEXTRACT(C2200, ""🏘️ \w+ \w+ (.*) ✅""))))"),"Niederbipp")</f>
        <v>Niederbipp</v>
      </c>
      <c r="F2200" s="2" t="str">
        <f>IFERROR(__xludf.DUMMYFUNCTION("REGEXEXTRACT(C2200, ""🏘️ (\w+) \w+ .* ✅"")"),"Louer")</f>
        <v>Louer</v>
      </c>
      <c r="G2200" s="2" t="str">
        <f>IFERROR(__xludf.DUMMYFUNCTION("REGEXEXTRACT(C2200, ""🏘️ \w+ (\w+) .* ✅"")"),"appartement")</f>
        <v>appartement</v>
      </c>
      <c r="H2200" s="4" t="str">
        <f>IFERROR(__xludf.DUMMYFUNCTION("REGEXEXTRACT(A2200, ""/(\w+)-.*?"")"),"lieu")</f>
        <v>lieu</v>
      </c>
      <c r="I2200" s="4" t="str">
        <f>IFERROR(__xludf.DUMMYFUNCTION("if(D2200=""variant"",  substitute(filter(Templates!E:E, Templates!A:A = F2200, Templates!B:B = G2200, Templates!C:C = H2200), ""{{}}"", E2200), B2200)"),"🏘  Vous cherchez un appartement à louer à Niederbipp? ✅ Les annonces les plus actuelles sont sur ImmoScout24.ch.")</f>
        <v>🏘  Vous cherchez un appartement à louer à Niederbipp? ✅ Les annonces les plus actuelles sont sur ImmoScout24.ch.</v>
      </c>
      <c r="J2200" s="4" t="s">
        <v>6598</v>
      </c>
    </row>
    <row r="2201">
      <c r="A2201" s="5" t="s">
        <v>6599</v>
      </c>
      <c r="B2201" s="2" t="s">
        <v>6600</v>
      </c>
      <c r="C2201" s="4" t="str">
        <f>IFERROR(__xludf.DUMMYFUNCTION("""🏘️ ""&amp;REGEXEXTRACT(B2201, ""^(.*): "")&amp;"" ✅ "" &amp;REGEXEXTRACT(B2201, ""(Trouvez.*)"")"),"🏘️ Vendre maison Wynau ✅ Trouvez le bien immobilier qui correspond idéalement à vos désirs sur ImmoScout24 - La plateforme de l'immobilier en Suisse.")</f>
        <v>🏘️ Vendre maison Wynau ✅ Trouvez le bien immobilier qui correspond idéalement à vos désirs sur ImmoScout24 - La plateforme de l'immobilier en Suisse.</v>
      </c>
      <c r="D2201" s="4" t="str">
        <f>vlookup(A2201, Sheet2!D:E, 2, 0)</f>
        <v>variant</v>
      </c>
      <c r="E2201" s="4" t="str">
        <f>IFERROR(__xludf.DUMMYFUNCTION("if(H2201=""pays"",vlookup(REGEXEXTRACT(C2201, ""🏘️ \w+ \w+ (.*) ✅""),'Country prepositions'!A:B, 2, 0) &amp; "" "" &amp; REGEXEXTRACT(C2201, ""🏘️ \w+ \w+ (.*) ✅"") ,  if(H2201=""quartier"",vlookup(REGEXEXTRACT(C2201, ""🏘️ \w+ \w+ (.*) ✅""),'Quartier prepositio"&amp;"ns'!A:E, 5, 0) ,  if(H2201=""region"",vlookup(REGEXEXTRACT(C2201, ""🏘️ \w+ \w+ (.*) ✅""),'Region prepositions'!B:F, 5, 0),  REGEXEXTRACT(C2201, ""🏘️ \w+ \w+ (.*) ✅""))))"),"Wynau")</f>
        <v>Wynau</v>
      </c>
      <c r="F2201" s="2" t="str">
        <f>IFERROR(__xludf.DUMMYFUNCTION("REGEXEXTRACT(C2201, ""🏘️ (\w+) \w+ .* ✅"")"),"Vendre")</f>
        <v>Vendre</v>
      </c>
      <c r="G2201" s="2" t="str">
        <f>IFERROR(__xludf.DUMMYFUNCTION("REGEXEXTRACT(C2201, ""🏘️ \w+ (\w+) .* ✅"")"),"maison")</f>
        <v>maison</v>
      </c>
      <c r="H2201" s="4" t="str">
        <f>IFERROR(__xludf.DUMMYFUNCTION("REGEXEXTRACT(A2201, ""/(\w+)-.*?"")"),"lieu")</f>
        <v>lieu</v>
      </c>
      <c r="I2201" s="4" t="str">
        <f>IFERROR(__xludf.DUMMYFUNCTION("if(D2201=""variant"",  substitute(filter(Templates!E:E, Templates!A:A = F2201, Templates!B:B = G2201, Templates!C:C = H2201), ""{{}}"", E2201), B2201)"),"🏘  Vous souhaitez acheter une maison à Wynau? ✅ Jetez un œil aux dernières offres sur ImmoScout24.ch.")</f>
        <v>🏘  Vous souhaitez acheter une maison à Wynau? ✅ Jetez un œil aux dernières offres sur ImmoScout24.ch.</v>
      </c>
      <c r="J2201" s="4" t="s">
        <v>6601</v>
      </c>
    </row>
    <row r="2202">
      <c r="A2202" s="5" t="s">
        <v>6602</v>
      </c>
      <c r="B2202" s="2" t="s">
        <v>6603</v>
      </c>
      <c r="C2202" s="4" t="str">
        <f>IFERROR(__xludf.DUMMYFUNCTION("""🏘️ ""&amp;REGEXEXTRACT(B2202, ""^(.*): "")&amp;"" ✅ "" &amp;REGEXEXTRACT(B2202, ""(Trouvez.*)"")"),"🏘️ Vendre appartement Fribourg ✅ Trouvez le bien immobilier qui correspond idéalement à vos désirs sur ImmoScout24 - La plateforme de l'immobilier en Suisse.")</f>
        <v>🏘️ Vendre appartement Fribourg ✅ Trouvez le bien immobilier qui correspond idéalement à vos désirs sur ImmoScout24 - La plateforme de l'immobilier en Suisse.</v>
      </c>
      <c r="D2202" s="4" t="str">
        <f>vlookup(A2202, Sheet2!D:E, 2, 0)</f>
        <v>variant</v>
      </c>
      <c r="E2202" s="4" t="str">
        <f>IFERROR(__xludf.DUMMYFUNCTION("if(H2202=""pays"",vlookup(REGEXEXTRACT(C2202, ""🏘️ \w+ \w+ (.*) ✅""),'Country prepositions'!A:B, 2, 0) &amp; "" "" &amp; REGEXEXTRACT(C2202, ""🏘️ \w+ \w+ (.*) ✅"") ,  if(H2202=""quartier"",vlookup(REGEXEXTRACT(C2202, ""🏘️ \w+ \w+ (.*) ✅""),'Quartier prepositio"&amp;"ns'!A:E, 5, 0) ,  if(H2202=""region"",vlookup(REGEXEXTRACT(C2202, ""🏘️ \w+ \w+ (.*) ✅""),'Region prepositions'!B:F, 5, 0),  REGEXEXTRACT(C2202, ""🏘️ \w+ \w+ (.*) ✅""))))"),"Fribourg")</f>
        <v>Fribourg</v>
      </c>
      <c r="F2202" s="2" t="str">
        <f>IFERROR(__xludf.DUMMYFUNCTION("REGEXEXTRACT(C2202, ""🏘️ (\w+) \w+ .* ✅"")"),"Vendre")</f>
        <v>Vendre</v>
      </c>
      <c r="G2202" s="2" t="str">
        <f>IFERROR(__xludf.DUMMYFUNCTION("REGEXEXTRACT(C2202, ""🏘️ \w+ (\w+) .* ✅"")"),"appartement")</f>
        <v>appartement</v>
      </c>
      <c r="H2202" s="4" t="str">
        <f>IFERROR(__xludf.DUMMYFUNCTION("REGEXEXTRACT(A2202, ""/(\w+)-.*?"")"),"lieu")</f>
        <v>lieu</v>
      </c>
      <c r="I2202" s="4" t="str">
        <f>IFERROR(__xludf.DUMMYFUNCTION("if(D2202=""variant"",  substitute(filter(Templates!E:E, Templates!A:A = F2202, Templates!B:B = G2202, Templates!C:C = H2202), ""{{}}"", E2202), B2202)"),"🏘  L’appartement de vos rêves se trouve sur ImmoScout24.ch ✅ Découvrez les dernières annonces de vente à Fribourg.")</f>
        <v>🏘  L’appartement de vos rêves se trouve sur ImmoScout24.ch ✅ Découvrez les dernières annonces de vente à Fribourg.</v>
      </c>
      <c r="J2202" s="4" t="s">
        <v>6604</v>
      </c>
    </row>
    <row r="2203">
      <c r="A2203" s="5" t="s">
        <v>6605</v>
      </c>
      <c r="B2203" s="2" t="s">
        <v>6606</v>
      </c>
      <c r="C2203" s="4" t="str">
        <f>IFERROR(__xludf.DUMMYFUNCTION("""🏘️ ""&amp;REGEXEXTRACT(B2203, ""^(.*): "")&amp;"" ✅ "" &amp;REGEXEXTRACT(B2203, ""(Trouvez.*)"")"),"🏘️ Louer appartement Niederurnen ✅ Trouvez le bien immobilier qui correspond idéalement à vos désirs sur ImmoScout24 - La plateforme de l'immobilier en Suisse.")</f>
        <v>🏘️ Louer appartement Niederurnen ✅ Trouvez le bien immobilier qui correspond idéalement à vos désirs sur ImmoScout24 - La plateforme de l'immobilier en Suisse.</v>
      </c>
      <c r="D2203" s="4" t="str">
        <f>vlookup(A2203, Sheet2!D:E, 2, 0)</f>
        <v>variant</v>
      </c>
      <c r="E2203" s="4" t="str">
        <f>IFERROR(__xludf.DUMMYFUNCTION("if(H2203=""pays"",vlookup(REGEXEXTRACT(C2203, ""🏘️ \w+ \w+ (.*) ✅""),'Country prepositions'!A:B, 2, 0) &amp; "" "" &amp; REGEXEXTRACT(C2203, ""🏘️ \w+ \w+ (.*) ✅"") ,  if(H2203=""quartier"",vlookup(REGEXEXTRACT(C2203, ""🏘️ \w+ \w+ (.*) ✅""),'Quartier prepositio"&amp;"ns'!A:E, 5, 0) ,  if(H2203=""region"",vlookup(REGEXEXTRACT(C2203, ""🏘️ \w+ \w+ (.*) ✅""),'Region prepositions'!B:F, 5, 0),  REGEXEXTRACT(C2203, ""🏘️ \w+ \w+ (.*) ✅""))))"),"Niederurnen")</f>
        <v>Niederurnen</v>
      </c>
      <c r="F2203" s="2" t="str">
        <f>IFERROR(__xludf.DUMMYFUNCTION("REGEXEXTRACT(C2203, ""🏘️ (\w+) \w+ .* ✅"")"),"Louer")</f>
        <v>Louer</v>
      </c>
      <c r="G2203" s="2" t="str">
        <f>IFERROR(__xludf.DUMMYFUNCTION("REGEXEXTRACT(C2203, ""🏘️ \w+ (\w+) .* ✅"")"),"appartement")</f>
        <v>appartement</v>
      </c>
      <c r="H2203" s="4" t="str">
        <f>IFERROR(__xludf.DUMMYFUNCTION("REGEXEXTRACT(A2203, ""/(\w+)-.*?"")"),"lieu")</f>
        <v>lieu</v>
      </c>
      <c r="I2203" s="4" t="str">
        <f>IFERROR(__xludf.DUMMYFUNCTION("if(D2203=""variant"",  substitute(filter(Templates!E:E, Templates!A:A = F2203, Templates!B:B = G2203, Templates!C:C = H2203), ""{{}}"", E2203), B2203)"),"🏘  Vous cherchez un appartement à louer à Niederurnen? ✅ Les annonces les plus actuelles sont sur ImmoScout24.ch.")</f>
        <v>🏘  Vous cherchez un appartement à louer à Niederurnen? ✅ Les annonces les plus actuelles sont sur ImmoScout24.ch.</v>
      </c>
      <c r="J2203" s="4" t="s">
        <v>6607</v>
      </c>
    </row>
    <row r="2204">
      <c r="A2204" s="5" t="s">
        <v>6608</v>
      </c>
      <c r="B2204" s="2" t="s">
        <v>6609</v>
      </c>
      <c r="C2204" s="4" t="str">
        <f>IFERROR(__xludf.DUMMYFUNCTION("""🏘️ ""&amp;REGEXEXTRACT(B2204, ""^(.*): "")&amp;"" ✅ "" &amp;REGEXEXTRACT(B2204, ""(Trouvez.*)"")"),"🏘️ Louer appartement Colombier VD ✅ Trouvez le bien immobilier qui correspond idéalement à vos désirs sur ImmoScout24 - La plateforme de l'immobilier en Suisse.")</f>
        <v>🏘️ Louer appartement Colombier VD ✅ Trouvez le bien immobilier qui correspond idéalement à vos désirs sur ImmoScout24 - La plateforme de l'immobilier en Suisse.</v>
      </c>
      <c r="D2204" s="4" t="str">
        <f>vlookup(A2204, Sheet2!D:E, 2, 0)</f>
        <v>variant</v>
      </c>
      <c r="E2204" s="4" t="str">
        <f>IFERROR(__xludf.DUMMYFUNCTION("if(H2204=""pays"",vlookup(REGEXEXTRACT(C2204, ""🏘️ \w+ \w+ (.*) ✅""),'Country prepositions'!A:B, 2, 0) &amp; "" "" &amp; REGEXEXTRACT(C2204, ""🏘️ \w+ \w+ (.*) ✅"") ,  if(H2204=""quartier"",vlookup(REGEXEXTRACT(C2204, ""🏘️ \w+ \w+ (.*) ✅""),'Quartier prepositio"&amp;"ns'!A:E, 5, 0) ,  if(H2204=""region"",vlookup(REGEXEXTRACT(C2204, ""🏘️ \w+ \w+ (.*) ✅""),'Region prepositions'!B:F, 5, 0),  REGEXEXTRACT(C2204, ""🏘️ \w+ \w+ (.*) ✅""))))"),"Colombier VD")</f>
        <v>Colombier VD</v>
      </c>
      <c r="F2204" s="2" t="str">
        <f>IFERROR(__xludf.DUMMYFUNCTION("REGEXEXTRACT(C2204, ""🏘️ (\w+) \w+ .* ✅"")"),"Louer")</f>
        <v>Louer</v>
      </c>
      <c r="G2204" s="2" t="str">
        <f>IFERROR(__xludf.DUMMYFUNCTION("REGEXEXTRACT(C2204, ""🏘️ \w+ (\w+) .* ✅"")"),"appartement")</f>
        <v>appartement</v>
      </c>
      <c r="H2204" s="4" t="str">
        <f>IFERROR(__xludf.DUMMYFUNCTION("REGEXEXTRACT(A2204, ""/(\w+)-.*?"")"),"lieu")</f>
        <v>lieu</v>
      </c>
      <c r="I2204" s="4" t="str">
        <f>IFERROR(__xludf.DUMMYFUNCTION("if(D2204=""variant"",  substitute(filter(Templates!E:E, Templates!A:A = F2204, Templates!B:B = G2204, Templates!C:C = H2204), ""{{}}"", E2204), B2204)"),"🏘  Vous cherchez un appartement à louer à Colombier VD? ✅ Les annonces les plus actuelles sont sur ImmoScout24.ch.")</f>
        <v>🏘  Vous cherchez un appartement à louer à Colombier VD? ✅ Les annonces les plus actuelles sont sur ImmoScout24.ch.</v>
      </c>
      <c r="J2204" s="4" t="s">
        <v>6610</v>
      </c>
    </row>
    <row r="2205">
      <c r="A2205" s="5" t="s">
        <v>6611</v>
      </c>
      <c r="B2205" s="2" t="s">
        <v>6612</v>
      </c>
      <c r="C2205" s="4" t="str">
        <f>IFERROR(__xludf.DUMMYFUNCTION("""🏘️ ""&amp;REGEXEXTRACT(B2205, ""^(.*): "")&amp;"" ✅ "" &amp;REGEXEXTRACT(B2205, ""(Trouvez.*)"")"),"🏘️ Vendre maison Rive Haute (Liddes) ✅ Trouvez le bien immobilier qui correspond idéalement à vos désirs sur ImmoScout24 - La plateforme de l'immobilier en Suisse.")</f>
        <v>🏘️ Vendre maison Rive Haute (Liddes) ✅ Trouvez le bien immobilier qui correspond idéalement à vos désirs sur ImmoScout24 - La plateforme de l'immobilier en Suisse.</v>
      </c>
      <c r="D2205" s="4" t="str">
        <f>vlookup(A2205, Sheet2!D:E, 2, 0)</f>
        <v>variant</v>
      </c>
      <c r="E2205" s="4" t="str">
        <f>IFERROR(__xludf.DUMMYFUNCTION("if(H2205=""pays"",vlookup(REGEXEXTRACT(C2205, ""🏘️ \w+ \w+ (.*) ✅""),'Country prepositions'!A:B, 2, 0) &amp; "" "" &amp; REGEXEXTRACT(C2205, ""🏘️ \w+ \w+ (.*) ✅"") ,  if(H2205=""quartier"",vlookup(REGEXEXTRACT(C2205, ""🏘️ \w+ \w+ (.*) ✅""),'Quartier prepositio"&amp;"ns'!A:E, 5, 0) ,  if(H2205=""region"",vlookup(REGEXEXTRACT(C2205, ""🏘️ \w+ \w+ (.*) ✅""),'Region prepositions'!B:F, 5, 0),  REGEXEXTRACT(C2205, ""🏘️ \w+ \w+ (.*) ✅""))))"),"Rive Haute (Liddes)")</f>
        <v>Rive Haute (Liddes)</v>
      </c>
      <c r="F2205" s="2" t="str">
        <f>IFERROR(__xludf.DUMMYFUNCTION("REGEXEXTRACT(C2205, ""🏘️ (\w+) \w+ .* ✅"")"),"Vendre")</f>
        <v>Vendre</v>
      </c>
      <c r="G2205" s="2" t="str">
        <f>IFERROR(__xludf.DUMMYFUNCTION("REGEXEXTRACT(C2205, ""🏘️ \w+ (\w+) .* ✅"")"),"maison")</f>
        <v>maison</v>
      </c>
      <c r="H2205" s="4" t="str">
        <f>IFERROR(__xludf.DUMMYFUNCTION("REGEXEXTRACT(A2205, ""/(\w+)-.*?"")"),"lieu")</f>
        <v>lieu</v>
      </c>
      <c r="I2205" s="4" t="str">
        <f>IFERROR(__xludf.DUMMYFUNCTION("if(D2205=""variant"",  substitute(filter(Templates!E:E, Templates!A:A = F2205, Templates!B:B = G2205, Templates!C:C = H2205), ""{{}}"", E2205), B2205)"),"🏘  Vous souhaitez acheter une maison à Rive Haute (Liddes)? ✅ Jetez un œil aux dernières offres sur ImmoScout24.ch.")</f>
        <v>🏘  Vous souhaitez acheter une maison à Rive Haute (Liddes)? ✅ Jetez un œil aux dernières offres sur ImmoScout24.ch.</v>
      </c>
      <c r="J2205" s="4" t="s">
        <v>6613</v>
      </c>
    </row>
    <row r="2206">
      <c r="A2206" s="5" t="s">
        <v>6614</v>
      </c>
      <c r="B2206" s="2" t="s">
        <v>6615</v>
      </c>
      <c r="C2206" s="4" t="str">
        <f>IFERROR(__xludf.DUMMYFUNCTION("""🏘️ ""&amp;REGEXEXTRACT(B2206, ""^(.*): "")&amp;"" ✅ "" &amp;REGEXEXTRACT(B2206, ""(Trouvez.*)"")"),"🏘️ Vendre maison Courchapoix ✅ Trouvez le bien immobilier qui correspond idéalement à vos désirs sur ImmoScout24 - La plateforme de l'immobilier en Suisse.")</f>
        <v>🏘️ Vendre maison Courchapoix ✅ Trouvez le bien immobilier qui correspond idéalement à vos désirs sur ImmoScout24 - La plateforme de l'immobilier en Suisse.</v>
      </c>
      <c r="D2206" s="4" t="str">
        <f>vlookup(A2206, Sheet2!D:E, 2, 0)</f>
        <v>variant</v>
      </c>
      <c r="E2206" s="4" t="str">
        <f>IFERROR(__xludf.DUMMYFUNCTION("if(H2206=""pays"",vlookup(REGEXEXTRACT(C2206, ""🏘️ \w+ \w+ (.*) ✅""),'Country prepositions'!A:B, 2, 0) &amp; "" "" &amp; REGEXEXTRACT(C2206, ""🏘️ \w+ \w+ (.*) ✅"") ,  if(H2206=""quartier"",vlookup(REGEXEXTRACT(C2206, ""🏘️ \w+ \w+ (.*) ✅""),'Quartier prepositio"&amp;"ns'!A:E, 5, 0) ,  if(H2206=""region"",vlookup(REGEXEXTRACT(C2206, ""🏘️ \w+ \w+ (.*) ✅""),'Region prepositions'!B:F, 5, 0),  REGEXEXTRACT(C2206, ""🏘️ \w+ \w+ (.*) ✅""))))"),"Courchapoix")</f>
        <v>Courchapoix</v>
      </c>
      <c r="F2206" s="2" t="str">
        <f>IFERROR(__xludf.DUMMYFUNCTION("REGEXEXTRACT(C2206, ""🏘️ (\w+) \w+ .* ✅"")"),"Vendre")</f>
        <v>Vendre</v>
      </c>
      <c r="G2206" s="2" t="str">
        <f>IFERROR(__xludf.DUMMYFUNCTION("REGEXEXTRACT(C2206, ""🏘️ \w+ (\w+) .* ✅"")"),"maison")</f>
        <v>maison</v>
      </c>
      <c r="H2206" s="4" t="str">
        <f>IFERROR(__xludf.DUMMYFUNCTION("REGEXEXTRACT(A2206, ""/(\w+)-.*?"")"),"lieu")</f>
        <v>lieu</v>
      </c>
      <c r="I2206" s="4" t="str">
        <f>IFERROR(__xludf.DUMMYFUNCTION("if(D2206=""variant"",  substitute(filter(Templates!E:E, Templates!A:A = F2206, Templates!B:B = G2206, Templates!C:C = H2206), ""{{}}"", E2206), B2206)"),"🏘  Vous souhaitez acheter une maison à Courchapoix? ✅ Jetez un œil aux dernières offres sur ImmoScout24.ch.")</f>
        <v>🏘  Vous souhaitez acheter une maison à Courchapoix? ✅ Jetez un œil aux dernières offres sur ImmoScout24.ch.</v>
      </c>
      <c r="J2206" s="4" t="s">
        <v>6616</v>
      </c>
    </row>
    <row r="2207">
      <c r="A2207" s="5" t="s">
        <v>6617</v>
      </c>
      <c r="B2207" s="2" t="s">
        <v>6618</v>
      </c>
      <c r="C2207" s="4" t="str">
        <f>IFERROR(__xludf.DUMMYFUNCTION("""🏘️ ""&amp;REGEXEXTRACT(B2207, ""^(.*): "")&amp;"" ✅ "" &amp;REGEXEXTRACT(B2207, ""(Trouvez.*)"")"),"🏘️ Louer appartement Bussy FR ✅ Trouvez le bien immobilier qui correspond idéalement à vos désirs sur ImmoScout24 - La plateforme de l'immobilier en Suisse.")</f>
        <v>🏘️ Louer appartement Bussy FR ✅ Trouvez le bien immobilier qui correspond idéalement à vos désirs sur ImmoScout24 - La plateforme de l'immobilier en Suisse.</v>
      </c>
      <c r="D2207" s="4" t="str">
        <f>vlookup(A2207, Sheet2!D:E, 2, 0)</f>
        <v>variant</v>
      </c>
      <c r="E2207" s="4" t="str">
        <f>IFERROR(__xludf.DUMMYFUNCTION("if(H2207=""pays"",vlookup(REGEXEXTRACT(C2207, ""🏘️ \w+ \w+ (.*) ✅""),'Country prepositions'!A:B, 2, 0) &amp; "" "" &amp; REGEXEXTRACT(C2207, ""🏘️ \w+ \w+ (.*) ✅"") ,  if(H2207=""quartier"",vlookup(REGEXEXTRACT(C2207, ""🏘️ \w+ \w+ (.*) ✅""),'Quartier prepositio"&amp;"ns'!A:E, 5, 0) ,  if(H2207=""region"",vlookup(REGEXEXTRACT(C2207, ""🏘️ \w+ \w+ (.*) ✅""),'Region prepositions'!B:F, 5, 0),  REGEXEXTRACT(C2207, ""🏘️ \w+ \w+ (.*) ✅""))))"),"Bussy FR")</f>
        <v>Bussy FR</v>
      </c>
      <c r="F2207" s="2" t="str">
        <f>IFERROR(__xludf.DUMMYFUNCTION("REGEXEXTRACT(C2207, ""🏘️ (\w+) \w+ .* ✅"")"),"Louer")</f>
        <v>Louer</v>
      </c>
      <c r="G2207" s="2" t="str">
        <f>IFERROR(__xludf.DUMMYFUNCTION("REGEXEXTRACT(C2207, ""🏘️ \w+ (\w+) .* ✅"")"),"appartement")</f>
        <v>appartement</v>
      </c>
      <c r="H2207" s="4" t="str">
        <f>IFERROR(__xludf.DUMMYFUNCTION("REGEXEXTRACT(A2207, ""/(\w+)-.*?"")"),"lieu")</f>
        <v>lieu</v>
      </c>
      <c r="I2207" s="4" t="str">
        <f>IFERROR(__xludf.DUMMYFUNCTION("if(D2207=""variant"",  substitute(filter(Templates!E:E, Templates!A:A = F2207, Templates!B:B = G2207, Templates!C:C = H2207), ""{{}}"", E2207), B2207)"),"🏘  Vous cherchez un appartement à louer à Bussy FR? ✅ Les annonces les plus actuelles sont sur ImmoScout24.ch.")</f>
        <v>🏘  Vous cherchez un appartement à louer à Bussy FR? ✅ Les annonces les plus actuelles sont sur ImmoScout24.ch.</v>
      </c>
      <c r="J2207" s="4" t="s">
        <v>6619</v>
      </c>
    </row>
    <row r="2208">
      <c r="A2208" s="5" t="s">
        <v>6620</v>
      </c>
      <c r="B2208" s="2" t="s">
        <v>6621</v>
      </c>
      <c r="C2208" s="4" t="str">
        <f>IFERROR(__xludf.DUMMYFUNCTION("""🏘️ ""&amp;REGEXEXTRACT(B2208, ""^(.*): "")&amp;"" ✅ "" &amp;REGEXEXTRACT(B2208, ""(Trouvez.*)"")"),"🏘️ Vendre maison Laufen ✅ Trouvez le bien immobilier qui correspond idéalement à vos désirs sur ImmoScout24 - La plateforme de l'immobilier en Suisse.")</f>
        <v>🏘️ Vendre maison Laufen ✅ Trouvez le bien immobilier qui correspond idéalement à vos désirs sur ImmoScout24 - La plateforme de l'immobilier en Suisse.</v>
      </c>
      <c r="D2208" s="4" t="str">
        <f>vlookup(A2208, Sheet2!D:E, 2, 0)</f>
        <v>variant</v>
      </c>
      <c r="E2208" s="4" t="str">
        <f>IFERROR(__xludf.DUMMYFUNCTION("if(H2208=""pays"",vlookup(REGEXEXTRACT(C2208, ""🏘️ \w+ \w+ (.*) ✅""),'Country prepositions'!A:B, 2, 0) &amp; "" "" &amp; REGEXEXTRACT(C2208, ""🏘️ \w+ \w+ (.*) ✅"") ,  if(H2208=""quartier"",vlookup(REGEXEXTRACT(C2208, ""🏘️ \w+ \w+ (.*) ✅""),'Quartier prepositio"&amp;"ns'!A:E, 5, 0) ,  if(H2208=""region"",vlookup(REGEXEXTRACT(C2208, ""🏘️ \w+ \w+ (.*) ✅""),'Region prepositions'!B:F, 5, 0),  REGEXEXTRACT(C2208, ""🏘️ \w+ \w+ (.*) ✅""))))"),"Laufen")</f>
        <v>Laufen</v>
      </c>
      <c r="F2208" s="2" t="str">
        <f>IFERROR(__xludf.DUMMYFUNCTION("REGEXEXTRACT(C2208, ""🏘️ (\w+) \w+ .* ✅"")"),"Vendre")</f>
        <v>Vendre</v>
      </c>
      <c r="G2208" s="2" t="str">
        <f>IFERROR(__xludf.DUMMYFUNCTION("REGEXEXTRACT(C2208, ""🏘️ \w+ (\w+) .* ✅"")"),"maison")</f>
        <v>maison</v>
      </c>
      <c r="H2208" s="4" t="str">
        <f>IFERROR(__xludf.DUMMYFUNCTION("REGEXEXTRACT(A2208, ""/(\w+)-.*?"")"),"lieu")</f>
        <v>lieu</v>
      </c>
      <c r="I2208" s="4" t="str">
        <f>IFERROR(__xludf.DUMMYFUNCTION("if(D2208=""variant"",  substitute(filter(Templates!E:E, Templates!A:A = F2208, Templates!B:B = G2208, Templates!C:C = H2208), ""{{}}"", E2208), B2208)"),"🏘  Vous souhaitez acheter une maison à Laufen? ✅ Jetez un œil aux dernières offres sur ImmoScout24.ch.")</f>
        <v>🏘  Vous souhaitez acheter une maison à Laufen? ✅ Jetez un œil aux dernières offres sur ImmoScout24.ch.</v>
      </c>
      <c r="J2208" s="4" t="s">
        <v>6622</v>
      </c>
    </row>
    <row r="2209">
      <c r="A2209" s="5" t="s">
        <v>6623</v>
      </c>
      <c r="B2209" s="2" t="s">
        <v>6624</v>
      </c>
      <c r="C2209" s="4" t="str">
        <f>IFERROR(__xludf.DUMMYFUNCTION("""🏘️ ""&amp;REGEXEXTRACT(B2209, ""^(.*): "")&amp;"" ✅ "" &amp;REGEXEXTRACT(B2209, ""(Trouvez.*)"")"),"🏘️ Vendre maison Fey (Nendaz) ✅ Trouvez le bien immobilier qui correspond idéalement à vos désirs sur ImmoScout24 - La plateforme de l'immobilier en Suisse.")</f>
        <v>🏘️ Vendre maison Fey (Nendaz) ✅ Trouvez le bien immobilier qui correspond idéalement à vos désirs sur ImmoScout24 - La plateforme de l'immobilier en Suisse.</v>
      </c>
      <c r="D2209" s="4" t="str">
        <f>vlookup(A2209, Sheet2!D:E, 2, 0)</f>
        <v>variant</v>
      </c>
      <c r="E2209" s="4" t="str">
        <f>IFERROR(__xludf.DUMMYFUNCTION("if(H2209=""pays"",vlookup(REGEXEXTRACT(C2209, ""🏘️ \w+ \w+ (.*) ✅""),'Country prepositions'!A:B, 2, 0) &amp; "" "" &amp; REGEXEXTRACT(C2209, ""🏘️ \w+ \w+ (.*) ✅"") ,  if(H2209=""quartier"",vlookup(REGEXEXTRACT(C2209, ""🏘️ \w+ \w+ (.*) ✅""),'Quartier prepositio"&amp;"ns'!A:E, 5, 0) ,  if(H2209=""region"",vlookup(REGEXEXTRACT(C2209, ""🏘️ \w+ \w+ (.*) ✅""),'Region prepositions'!B:F, 5, 0),  REGEXEXTRACT(C2209, ""🏘️ \w+ \w+ (.*) ✅""))))"),"Fey (Nendaz)")</f>
        <v>Fey (Nendaz)</v>
      </c>
      <c r="F2209" s="2" t="str">
        <f>IFERROR(__xludf.DUMMYFUNCTION("REGEXEXTRACT(C2209, ""🏘️ (\w+) \w+ .* ✅"")"),"Vendre")</f>
        <v>Vendre</v>
      </c>
      <c r="G2209" s="2" t="str">
        <f>IFERROR(__xludf.DUMMYFUNCTION("REGEXEXTRACT(C2209, ""🏘️ \w+ (\w+) .* ✅"")"),"maison")</f>
        <v>maison</v>
      </c>
      <c r="H2209" s="4" t="str">
        <f>IFERROR(__xludf.DUMMYFUNCTION("REGEXEXTRACT(A2209, ""/(\w+)-.*?"")"),"lieu")</f>
        <v>lieu</v>
      </c>
      <c r="I2209" s="4" t="str">
        <f>IFERROR(__xludf.DUMMYFUNCTION("if(D2209=""variant"",  substitute(filter(Templates!E:E, Templates!A:A = F2209, Templates!B:B = G2209, Templates!C:C = H2209), ""{{}}"", E2209), B2209)"),"🏘  Vous souhaitez acheter une maison à Fey (Nendaz)? ✅ Jetez un œil aux dernières offres sur ImmoScout24.ch.")</f>
        <v>🏘  Vous souhaitez acheter une maison à Fey (Nendaz)? ✅ Jetez un œil aux dernières offres sur ImmoScout24.ch.</v>
      </c>
      <c r="J2209" s="4" t="s">
        <v>6625</v>
      </c>
    </row>
    <row r="2210">
      <c r="A2210" s="5" t="s">
        <v>6626</v>
      </c>
      <c r="B2210" s="2" t="s">
        <v>6627</v>
      </c>
      <c r="C2210" s="4" t="str">
        <f>IFERROR(__xludf.DUMMYFUNCTION("""🏘️ ""&amp;REGEXEXTRACT(B2210, ""^(.*): "")&amp;"" ✅ "" &amp;REGEXEXTRACT(B2210, ""(Trouvez.*)"")"),"🏘️ Vendre appartement Wilen (Sarnen) ✅ Trouvez le bien immobilier qui correspond idéalement à vos désirs sur ImmoScout24 - La plateforme de l'immobilier en Suisse.")</f>
        <v>🏘️ Vendre appartement Wilen (Sarnen) ✅ Trouvez le bien immobilier qui correspond idéalement à vos désirs sur ImmoScout24 - La plateforme de l'immobilier en Suisse.</v>
      </c>
      <c r="D2210" s="4" t="str">
        <f>vlookup(A2210, Sheet2!D:E, 2, 0)</f>
        <v>variant</v>
      </c>
      <c r="E2210" s="4" t="str">
        <f>IFERROR(__xludf.DUMMYFUNCTION("if(H2210=""pays"",vlookup(REGEXEXTRACT(C2210, ""🏘️ \w+ \w+ (.*) ✅""),'Country prepositions'!A:B, 2, 0) &amp; "" "" &amp; REGEXEXTRACT(C2210, ""🏘️ \w+ \w+ (.*) ✅"") ,  if(H2210=""quartier"",vlookup(REGEXEXTRACT(C2210, ""🏘️ \w+ \w+ (.*) ✅""),'Quartier prepositio"&amp;"ns'!A:E, 5, 0) ,  if(H2210=""region"",vlookup(REGEXEXTRACT(C2210, ""🏘️ \w+ \w+ (.*) ✅""),'Region prepositions'!B:F, 5, 0),  REGEXEXTRACT(C2210, ""🏘️ \w+ \w+ (.*) ✅""))))"),"Wilen (Sarnen)")</f>
        <v>Wilen (Sarnen)</v>
      </c>
      <c r="F2210" s="2" t="str">
        <f>IFERROR(__xludf.DUMMYFUNCTION("REGEXEXTRACT(C2210, ""🏘️ (\w+) \w+ .* ✅"")"),"Vendre")</f>
        <v>Vendre</v>
      </c>
      <c r="G2210" s="2" t="str">
        <f>IFERROR(__xludf.DUMMYFUNCTION("REGEXEXTRACT(C2210, ""🏘️ \w+ (\w+) .* ✅"")"),"appartement")</f>
        <v>appartement</v>
      </c>
      <c r="H2210" s="4" t="str">
        <f>IFERROR(__xludf.DUMMYFUNCTION("REGEXEXTRACT(A2210, ""/(\w+)-.*?"")"),"lieu")</f>
        <v>lieu</v>
      </c>
      <c r="I2210" s="4" t="str">
        <f>IFERROR(__xludf.DUMMYFUNCTION("if(D2210=""variant"",  substitute(filter(Templates!E:E, Templates!A:A = F2210, Templates!B:B = G2210, Templates!C:C = H2210), ""{{}}"", E2210), B2210)"),"🏘  L’appartement de vos rêves se trouve sur ImmoScout24.ch ✅ Découvrez les dernières annonces de vente à Wilen (Sarnen).")</f>
        <v>🏘  L’appartement de vos rêves se trouve sur ImmoScout24.ch ✅ Découvrez les dernières annonces de vente à Wilen (Sarnen).</v>
      </c>
      <c r="J2210" s="4" t="s">
        <v>6628</v>
      </c>
    </row>
    <row r="2211">
      <c r="A2211" s="5" t="s">
        <v>6629</v>
      </c>
      <c r="B2211" s="2" t="s">
        <v>6630</v>
      </c>
      <c r="C2211" s="4" t="str">
        <f>IFERROR(__xludf.DUMMYFUNCTION("""🏘️ ""&amp;REGEXEXTRACT(B2211, ""^(.*): "")&amp;"" ✅ "" &amp;REGEXEXTRACT(B2211, ""(Trouvez.*)"")"),"🏘️ Vendre maison Court ✅ Trouvez le bien immobilier qui correspond idéalement à vos désirs sur ImmoScout24 - La plateforme de l'immobilier en Suisse.")</f>
        <v>🏘️ Vendre maison Court ✅ Trouvez le bien immobilier qui correspond idéalement à vos désirs sur ImmoScout24 - La plateforme de l'immobilier en Suisse.</v>
      </c>
      <c r="D2211" s="4" t="str">
        <f>vlookup(A2211, Sheet2!D:E, 2, 0)</f>
        <v>variant</v>
      </c>
      <c r="E2211" s="4" t="str">
        <f>IFERROR(__xludf.DUMMYFUNCTION("if(H2211=""pays"",vlookup(REGEXEXTRACT(C2211, ""🏘️ \w+ \w+ (.*) ✅""),'Country prepositions'!A:B, 2, 0) &amp; "" "" &amp; REGEXEXTRACT(C2211, ""🏘️ \w+ \w+ (.*) ✅"") ,  if(H2211=""quartier"",vlookup(REGEXEXTRACT(C2211, ""🏘️ \w+ \w+ (.*) ✅""),'Quartier prepositio"&amp;"ns'!A:E, 5, 0) ,  if(H2211=""region"",vlookup(REGEXEXTRACT(C2211, ""🏘️ \w+ \w+ (.*) ✅""),'Region prepositions'!B:F, 5, 0),  REGEXEXTRACT(C2211, ""🏘️ \w+ \w+ (.*) ✅""))))"),"Court")</f>
        <v>Court</v>
      </c>
      <c r="F2211" s="2" t="str">
        <f>IFERROR(__xludf.DUMMYFUNCTION("REGEXEXTRACT(C2211, ""🏘️ (\w+) \w+ .* ✅"")"),"Vendre")</f>
        <v>Vendre</v>
      </c>
      <c r="G2211" s="2" t="str">
        <f>IFERROR(__xludf.DUMMYFUNCTION("REGEXEXTRACT(C2211, ""🏘️ \w+ (\w+) .* ✅"")"),"maison")</f>
        <v>maison</v>
      </c>
      <c r="H2211" s="4" t="str">
        <f>IFERROR(__xludf.DUMMYFUNCTION("REGEXEXTRACT(A2211, ""/(\w+)-.*?"")"),"lieu")</f>
        <v>lieu</v>
      </c>
      <c r="I2211" s="4" t="str">
        <f>IFERROR(__xludf.DUMMYFUNCTION("if(D2211=""variant"",  substitute(filter(Templates!E:E, Templates!A:A = F2211, Templates!B:B = G2211, Templates!C:C = H2211), ""{{}}"", E2211), B2211)"),"🏘  Vous souhaitez acheter une maison à Court? ✅ Jetez un œil aux dernières offres sur ImmoScout24.ch.")</f>
        <v>🏘  Vous souhaitez acheter une maison à Court? ✅ Jetez un œil aux dernières offres sur ImmoScout24.ch.</v>
      </c>
      <c r="J2211" s="4" t="s">
        <v>6631</v>
      </c>
    </row>
    <row r="2212">
      <c r="A2212" s="5" t="s">
        <v>6632</v>
      </c>
      <c r="B2212" s="2" t="s">
        <v>6633</v>
      </c>
      <c r="C2212" s="4" t="str">
        <f>IFERROR(__xludf.DUMMYFUNCTION("""🏘️ ""&amp;REGEXEXTRACT(B2212, ""^(.*): "")&amp;"" ✅ "" &amp;REGEXEXTRACT(B2212, ""(Trouvez.*)"")"),"🏘️ Vendre appartement Worben ✅ Trouvez le bien immobilier qui correspond idéalement à vos désirs sur ImmoScout24 - La plateforme de l'immobilier en Suisse.")</f>
        <v>🏘️ Vendre appartement Worben ✅ Trouvez le bien immobilier qui correspond idéalement à vos désirs sur ImmoScout24 - La plateforme de l'immobilier en Suisse.</v>
      </c>
      <c r="D2212" s="4" t="str">
        <f>vlookup(A2212, Sheet2!D:E, 2, 0)</f>
        <v>variant</v>
      </c>
      <c r="E2212" s="4" t="str">
        <f>IFERROR(__xludf.DUMMYFUNCTION("if(H2212=""pays"",vlookup(REGEXEXTRACT(C2212, ""🏘️ \w+ \w+ (.*) ✅""),'Country prepositions'!A:B, 2, 0) &amp; "" "" &amp; REGEXEXTRACT(C2212, ""🏘️ \w+ \w+ (.*) ✅"") ,  if(H2212=""quartier"",vlookup(REGEXEXTRACT(C2212, ""🏘️ \w+ \w+ (.*) ✅""),'Quartier prepositio"&amp;"ns'!A:E, 5, 0) ,  if(H2212=""region"",vlookup(REGEXEXTRACT(C2212, ""🏘️ \w+ \w+ (.*) ✅""),'Region prepositions'!B:F, 5, 0),  REGEXEXTRACT(C2212, ""🏘️ \w+ \w+ (.*) ✅""))))"),"Worben")</f>
        <v>Worben</v>
      </c>
      <c r="F2212" s="2" t="str">
        <f>IFERROR(__xludf.DUMMYFUNCTION("REGEXEXTRACT(C2212, ""🏘️ (\w+) \w+ .* ✅"")"),"Vendre")</f>
        <v>Vendre</v>
      </c>
      <c r="G2212" s="2" t="str">
        <f>IFERROR(__xludf.DUMMYFUNCTION("REGEXEXTRACT(C2212, ""🏘️ \w+ (\w+) .* ✅"")"),"appartement")</f>
        <v>appartement</v>
      </c>
      <c r="H2212" s="4" t="str">
        <f>IFERROR(__xludf.DUMMYFUNCTION("REGEXEXTRACT(A2212, ""/(\w+)-.*?"")"),"lieu")</f>
        <v>lieu</v>
      </c>
      <c r="I2212" s="4" t="str">
        <f>IFERROR(__xludf.DUMMYFUNCTION("if(D2212=""variant"",  substitute(filter(Templates!E:E, Templates!A:A = F2212, Templates!B:B = G2212, Templates!C:C = H2212), ""{{}}"", E2212), B2212)"),"🏘  L’appartement de vos rêves se trouve sur ImmoScout24.ch ✅ Découvrez les dernières annonces de vente à Worben.")</f>
        <v>🏘  L’appartement de vos rêves se trouve sur ImmoScout24.ch ✅ Découvrez les dernières annonces de vente à Worben.</v>
      </c>
      <c r="J2212" s="4" t="s">
        <v>6634</v>
      </c>
    </row>
    <row r="2213">
      <c r="A2213" s="5" t="s">
        <v>6635</v>
      </c>
      <c r="B2213" s="2" t="s">
        <v>6636</v>
      </c>
      <c r="C2213" s="4" t="str">
        <f>IFERROR(__xludf.DUMMYFUNCTION("""🏘️ ""&amp;REGEXEXTRACT(B2213, ""^(.*): "")&amp;"" ✅ "" &amp;REGEXEXTRACT(B2213, ""(Trouvez.*)"")"),"🏘️ Vendre appartement Longirod ✅ Trouvez le bien immobilier qui correspond idéalement à vos désirs sur ImmoScout24 - La plateforme de l'immobilier en Suisse.")</f>
        <v>🏘️ Vendre appartement Longirod ✅ Trouvez le bien immobilier qui correspond idéalement à vos désirs sur ImmoScout24 - La plateforme de l'immobilier en Suisse.</v>
      </c>
      <c r="D2213" s="4" t="str">
        <f>vlookup(A2213, Sheet2!D:E, 2, 0)</f>
        <v>variant</v>
      </c>
      <c r="E2213" s="4" t="str">
        <f>IFERROR(__xludf.DUMMYFUNCTION("if(H2213=""pays"",vlookup(REGEXEXTRACT(C2213, ""🏘️ \w+ \w+ (.*) ✅""),'Country prepositions'!A:B, 2, 0) &amp; "" "" &amp; REGEXEXTRACT(C2213, ""🏘️ \w+ \w+ (.*) ✅"") ,  if(H2213=""quartier"",vlookup(REGEXEXTRACT(C2213, ""🏘️ \w+ \w+ (.*) ✅""),'Quartier prepositio"&amp;"ns'!A:E, 5, 0) ,  if(H2213=""region"",vlookup(REGEXEXTRACT(C2213, ""🏘️ \w+ \w+ (.*) ✅""),'Region prepositions'!B:F, 5, 0),  REGEXEXTRACT(C2213, ""🏘️ \w+ \w+ (.*) ✅""))))"),"Longirod")</f>
        <v>Longirod</v>
      </c>
      <c r="F2213" s="2" t="str">
        <f>IFERROR(__xludf.DUMMYFUNCTION("REGEXEXTRACT(C2213, ""🏘️ (\w+) \w+ .* ✅"")"),"Vendre")</f>
        <v>Vendre</v>
      </c>
      <c r="G2213" s="2" t="str">
        <f>IFERROR(__xludf.DUMMYFUNCTION("REGEXEXTRACT(C2213, ""🏘️ \w+ (\w+) .* ✅"")"),"appartement")</f>
        <v>appartement</v>
      </c>
      <c r="H2213" s="4" t="str">
        <f>IFERROR(__xludf.DUMMYFUNCTION("REGEXEXTRACT(A2213, ""/(\w+)-.*?"")"),"lieu")</f>
        <v>lieu</v>
      </c>
      <c r="I2213" s="4" t="str">
        <f>IFERROR(__xludf.DUMMYFUNCTION("if(D2213=""variant"",  substitute(filter(Templates!E:E, Templates!A:A = F2213, Templates!B:B = G2213, Templates!C:C = H2213), ""{{}}"", E2213), B2213)"),"🏘  L’appartement de vos rêves se trouve sur ImmoScout24.ch ✅ Découvrez les dernières annonces de vente à Longirod.")</f>
        <v>🏘  L’appartement de vos rêves se trouve sur ImmoScout24.ch ✅ Découvrez les dernières annonces de vente à Longirod.</v>
      </c>
      <c r="J2213" s="4" t="s">
        <v>6637</v>
      </c>
    </row>
    <row r="2214">
      <c r="A2214" s="5" t="s">
        <v>6638</v>
      </c>
      <c r="B2214" s="2" t="s">
        <v>6639</v>
      </c>
      <c r="C2214" s="4" t="str">
        <f>IFERROR(__xludf.DUMMYFUNCTION("""🏘️ ""&amp;REGEXEXTRACT(B2214, ""^(.*): "")&amp;"" ✅ "" &amp;REGEXEXTRACT(B2214, ""(Trouvez.*)"")"),"🏘️ Louer appartement Vallamand ✅ Trouvez le bien immobilier qui correspond idéalement à vos désirs sur ImmoScout24 - La plateforme de l'immobilier en Suisse.")</f>
        <v>🏘️ Louer appartement Vallamand ✅ Trouvez le bien immobilier qui correspond idéalement à vos désirs sur ImmoScout24 - La plateforme de l'immobilier en Suisse.</v>
      </c>
      <c r="D2214" s="4" t="str">
        <f>vlookup(A2214, Sheet2!D:E, 2, 0)</f>
        <v>variant</v>
      </c>
      <c r="E2214" s="4" t="str">
        <f>IFERROR(__xludf.DUMMYFUNCTION("if(H2214=""pays"",vlookup(REGEXEXTRACT(C2214, ""🏘️ \w+ \w+ (.*) ✅""),'Country prepositions'!A:B, 2, 0) &amp; "" "" &amp; REGEXEXTRACT(C2214, ""🏘️ \w+ \w+ (.*) ✅"") ,  if(H2214=""quartier"",vlookup(REGEXEXTRACT(C2214, ""🏘️ \w+ \w+ (.*) ✅""),'Quartier prepositio"&amp;"ns'!A:E, 5, 0) ,  if(H2214=""region"",vlookup(REGEXEXTRACT(C2214, ""🏘️ \w+ \w+ (.*) ✅""),'Region prepositions'!B:F, 5, 0),  REGEXEXTRACT(C2214, ""🏘️ \w+ \w+ (.*) ✅""))))"),"Vallamand")</f>
        <v>Vallamand</v>
      </c>
      <c r="F2214" s="2" t="str">
        <f>IFERROR(__xludf.DUMMYFUNCTION("REGEXEXTRACT(C2214, ""🏘️ (\w+) \w+ .* ✅"")"),"Louer")</f>
        <v>Louer</v>
      </c>
      <c r="G2214" s="2" t="str">
        <f>IFERROR(__xludf.DUMMYFUNCTION("REGEXEXTRACT(C2214, ""🏘️ \w+ (\w+) .* ✅"")"),"appartement")</f>
        <v>appartement</v>
      </c>
      <c r="H2214" s="4" t="str">
        <f>IFERROR(__xludf.DUMMYFUNCTION("REGEXEXTRACT(A2214, ""/(\w+)-.*?"")"),"lieu")</f>
        <v>lieu</v>
      </c>
      <c r="I2214" s="4" t="str">
        <f>IFERROR(__xludf.DUMMYFUNCTION("if(D2214=""variant"",  substitute(filter(Templates!E:E, Templates!A:A = F2214, Templates!B:B = G2214, Templates!C:C = H2214), ""{{}}"", E2214), B2214)"),"🏘  Vous cherchez un appartement à louer à Vallamand? ✅ Les annonces les plus actuelles sont sur ImmoScout24.ch.")</f>
        <v>🏘  Vous cherchez un appartement à louer à Vallamand? ✅ Les annonces les plus actuelles sont sur ImmoScout24.ch.</v>
      </c>
      <c r="J2214" s="4" t="s">
        <v>6640</v>
      </c>
    </row>
    <row r="2215">
      <c r="A2215" s="5" t="s">
        <v>6641</v>
      </c>
      <c r="B2215" s="2" t="s">
        <v>6642</v>
      </c>
      <c r="C2215" s="4" t="str">
        <f>IFERROR(__xludf.DUMMYFUNCTION("""🏘️ ""&amp;REGEXEXTRACT(B2215, ""^(.*): "")&amp;"" ✅ "" &amp;REGEXEXTRACT(B2215, ""(Trouvez.*)"")"),"🏘️ Louer appartement Maupas - Valency (Lausanne) ✅ Trouvez le bien immobilier qui correspond idéalement à vos désirs sur ImmoScout24 - La plateforme de l'immobilier en Suisse.")</f>
        <v>🏘️ Louer appartement Maupas - Valency (Lausanne) ✅ Trouvez le bien immobilier qui correspond idéalement à vos désirs sur ImmoScout24 - La plateforme de l'immobilier en Suisse.</v>
      </c>
      <c r="D2215" s="4" t="str">
        <f>vlookup(A2215, Sheet2!D:E, 2, 0)</f>
        <v>variant</v>
      </c>
      <c r="E2215" s="4" t="str">
        <f>IFERROR(__xludf.DUMMYFUNCTION("if(H2215=""pays"",vlookup(REGEXEXTRACT(C2215, ""🏘️ \w+ \w+ (.*) ✅""),'Country prepositions'!A:B, 2, 0) &amp; "" "" &amp; REGEXEXTRACT(C2215, ""🏘️ \w+ \w+ (.*) ✅"") ,  if(H2215=""quartier"",vlookup(REGEXEXTRACT(C2215, ""🏘️ \w+ \w+ (.*) ✅""),'Quartier prepositio"&amp;"ns'!A:E, 5, 0) ,  if(H2215=""region"",vlookup(REGEXEXTRACT(C2215, ""🏘️ \w+ \w+ (.*) ✅""),'Region prepositions'!B:F, 5, 0),  REGEXEXTRACT(C2215, ""🏘️ \w+ \w+ (.*) ✅""))))"),"dans le quartier de Maupas - Valency (Lausanne)")</f>
        <v>dans le quartier de Maupas - Valency (Lausanne)</v>
      </c>
      <c r="F2215" s="2" t="str">
        <f>IFERROR(__xludf.DUMMYFUNCTION("REGEXEXTRACT(C2215, ""🏘️ (\w+) \w+ .* ✅"")"),"Louer")</f>
        <v>Louer</v>
      </c>
      <c r="G2215" s="2" t="str">
        <f>IFERROR(__xludf.DUMMYFUNCTION("REGEXEXTRACT(C2215, ""🏘️ \w+ (\w+) .* ✅"")"),"appartement")</f>
        <v>appartement</v>
      </c>
      <c r="H2215" s="4" t="str">
        <f>IFERROR(__xludf.DUMMYFUNCTION("REGEXEXTRACT(A2215, ""/(\w+)-.*?"")"),"quartier")</f>
        <v>quartier</v>
      </c>
      <c r="I2215" s="4" t="str">
        <f>IFERROR(__xludf.DUMMYFUNCTION("if(D2215=""variant"",  substitute(filter(Templates!E:E, Templates!A:A = F2215, Templates!B:B = G2215, Templates!C:C = H2215), ""{{}}"", E2215), B2215)"),"🏘  Vous cherchez un appartement à louer dans le quartier de Maupas - Valency (Lausanne)? ✅ Les annonces les plus actuelles sont sur ImmoScout24.ch.")</f>
        <v>🏘  Vous cherchez un appartement à louer dans le quartier de Maupas - Valency (Lausanne)? ✅ Les annonces les plus actuelles sont sur ImmoScout24.ch.</v>
      </c>
      <c r="J2215" s="4" t="s">
        <v>6643</v>
      </c>
    </row>
    <row r="2216">
      <c r="A2216" s="5" t="s">
        <v>6644</v>
      </c>
      <c r="B2216" s="2" t="s">
        <v>6645</v>
      </c>
      <c r="C2216" s="4" t="str">
        <f>IFERROR(__xludf.DUMMYFUNCTION("""🏘️ ""&amp;REGEXEXTRACT(B2216, ""^(.*): "")&amp;"" ✅ "" &amp;REGEXEXTRACT(B2216, ""(Trouvez.*)"")"),"🏘️ Louer appartement Albinen ✅ Trouvez le bien immobilier qui correspond idéalement à vos désirs sur ImmoScout24 - La plateforme de l'immobilier en Suisse.")</f>
        <v>🏘️ Louer appartement Albinen ✅ Trouvez le bien immobilier qui correspond idéalement à vos désirs sur ImmoScout24 - La plateforme de l'immobilier en Suisse.</v>
      </c>
      <c r="D2216" s="4" t="str">
        <f>vlookup(A2216, Sheet2!D:E, 2, 0)</f>
        <v>variant</v>
      </c>
      <c r="E2216" s="4" t="str">
        <f>IFERROR(__xludf.DUMMYFUNCTION("if(H2216=""pays"",vlookup(REGEXEXTRACT(C2216, ""🏘️ \w+ \w+ (.*) ✅""),'Country prepositions'!A:B, 2, 0) &amp; "" "" &amp; REGEXEXTRACT(C2216, ""🏘️ \w+ \w+ (.*) ✅"") ,  if(H2216=""quartier"",vlookup(REGEXEXTRACT(C2216, ""🏘️ \w+ \w+ (.*) ✅""),'Quartier prepositio"&amp;"ns'!A:E, 5, 0) ,  if(H2216=""region"",vlookup(REGEXEXTRACT(C2216, ""🏘️ \w+ \w+ (.*) ✅""),'Region prepositions'!B:F, 5, 0),  REGEXEXTRACT(C2216, ""🏘️ \w+ \w+ (.*) ✅""))))"),"Albinen")</f>
        <v>Albinen</v>
      </c>
      <c r="F2216" s="2" t="str">
        <f>IFERROR(__xludf.DUMMYFUNCTION("REGEXEXTRACT(C2216, ""🏘️ (\w+) \w+ .* ✅"")"),"Louer")</f>
        <v>Louer</v>
      </c>
      <c r="G2216" s="2" t="str">
        <f>IFERROR(__xludf.DUMMYFUNCTION("REGEXEXTRACT(C2216, ""🏘️ \w+ (\w+) .* ✅"")"),"appartement")</f>
        <v>appartement</v>
      </c>
      <c r="H2216" s="4" t="str">
        <f>IFERROR(__xludf.DUMMYFUNCTION("REGEXEXTRACT(A2216, ""/(\w+)-.*?"")"),"lieu")</f>
        <v>lieu</v>
      </c>
      <c r="I2216" s="4" t="str">
        <f>IFERROR(__xludf.DUMMYFUNCTION("if(D2216=""variant"",  substitute(filter(Templates!E:E, Templates!A:A = F2216, Templates!B:B = G2216, Templates!C:C = H2216), ""{{}}"", E2216), B2216)"),"🏘  Vous cherchez un appartement à louer à Albinen? ✅ Les annonces les plus actuelles sont sur ImmoScout24.ch.")</f>
        <v>🏘  Vous cherchez un appartement à louer à Albinen? ✅ Les annonces les plus actuelles sont sur ImmoScout24.ch.</v>
      </c>
      <c r="J2216" s="4" t="s">
        <v>6646</v>
      </c>
    </row>
    <row r="2217">
      <c r="A2217" s="5" t="s">
        <v>6647</v>
      </c>
      <c r="B2217" s="2" t="s">
        <v>6648</v>
      </c>
      <c r="C2217" s="4" t="str">
        <f>IFERROR(__xludf.DUMMYFUNCTION("""🏘️ ""&amp;REGEXEXTRACT(B2217, ""^(.*): "")&amp;"" ✅ "" &amp;REGEXEXTRACT(B2217, ""(Trouvez.*)"")"),"🏘️ Vendre maison Couvet ✅ Trouvez le bien immobilier qui correspond idéalement à vos désirs sur ImmoScout24 - La plateforme de l'immobilier en Suisse.")</f>
        <v>🏘️ Vendre maison Couvet ✅ Trouvez le bien immobilier qui correspond idéalement à vos désirs sur ImmoScout24 - La plateforme de l'immobilier en Suisse.</v>
      </c>
      <c r="D2217" s="4" t="str">
        <f>vlookup(A2217, Sheet2!D:E, 2, 0)</f>
        <v>variant</v>
      </c>
      <c r="E2217" s="4" t="str">
        <f>IFERROR(__xludf.DUMMYFUNCTION("if(H2217=""pays"",vlookup(REGEXEXTRACT(C2217, ""🏘️ \w+ \w+ (.*) ✅""),'Country prepositions'!A:B, 2, 0) &amp; "" "" &amp; REGEXEXTRACT(C2217, ""🏘️ \w+ \w+ (.*) ✅"") ,  if(H2217=""quartier"",vlookup(REGEXEXTRACT(C2217, ""🏘️ \w+ \w+ (.*) ✅""),'Quartier prepositio"&amp;"ns'!A:E, 5, 0) ,  if(H2217=""region"",vlookup(REGEXEXTRACT(C2217, ""🏘️ \w+ \w+ (.*) ✅""),'Region prepositions'!B:F, 5, 0),  REGEXEXTRACT(C2217, ""🏘️ \w+ \w+ (.*) ✅""))))"),"Couvet")</f>
        <v>Couvet</v>
      </c>
      <c r="F2217" s="2" t="str">
        <f>IFERROR(__xludf.DUMMYFUNCTION("REGEXEXTRACT(C2217, ""🏘️ (\w+) \w+ .* ✅"")"),"Vendre")</f>
        <v>Vendre</v>
      </c>
      <c r="G2217" s="2" t="str">
        <f>IFERROR(__xludf.DUMMYFUNCTION("REGEXEXTRACT(C2217, ""🏘️ \w+ (\w+) .* ✅"")"),"maison")</f>
        <v>maison</v>
      </c>
      <c r="H2217" s="4" t="str">
        <f>IFERROR(__xludf.DUMMYFUNCTION("REGEXEXTRACT(A2217, ""/(\w+)-.*?"")"),"lieu")</f>
        <v>lieu</v>
      </c>
      <c r="I2217" s="4" t="str">
        <f>IFERROR(__xludf.DUMMYFUNCTION("if(D2217=""variant"",  substitute(filter(Templates!E:E, Templates!A:A = F2217, Templates!B:B = G2217, Templates!C:C = H2217), ""{{}}"", E2217), B2217)"),"🏘  Vous souhaitez acheter une maison à Couvet? ✅ Jetez un œil aux dernières offres sur ImmoScout24.ch.")</f>
        <v>🏘  Vous souhaitez acheter une maison à Couvet? ✅ Jetez un œil aux dernières offres sur ImmoScout24.ch.</v>
      </c>
      <c r="J2217" s="4" t="s">
        <v>6649</v>
      </c>
    </row>
    <row r="2218">
      <c r="A2218" s="5" t="s">
        <v>6650</v>
      </c>
      <c r="B2218" s="2" t="s">
        <v>6651</v>
      </c>
      <c r="C2218" s="4" t="str">
        <f>IFERROR(__xludf.DUMMYFUNCTION("""🏘️ ""&amp;REGEXEXTRACT(B2218, ""^(.*): "")&amp;"" ✅ "" &amp;REGEXEXTRACT(B2218, ""(Trouvez.*)"")"),"🏘️ Vendre appartement Giez ✅ Trouvez le bien immobilier qui correspond idéalement à vos désirs sur ImmoScout24 - La plateforme de l'immobilier en Suisse.")</f>
        <v>🏘️ Vendre appartement Giez ✅ Trouvez le bien immobilier qui correspond idéalement à vos désirs sur ImmoScout24 - La plateforme de l'immobilier en Suisse.</v>
      </c>
      <c r="D2218" s="4" t="str">
        <f>vlookup(A2218, Sheet2!D:E, 2, 0)</f>
        <v>variant</v>
      </c>
      <c r="E2218" s="4" t="str">
        <f>IFERROR(__xludf.DUMMYFUNCTION("if(H2218=""pays"",vlookup(REGEXEXTRACT(C2218, ""🏘️ \w+ \w+ (.*) ✅""),'Country prepositions'!A:B, 2, 0) &amp; "" "" &amp; REGEXEXTRACT(C2218, ""🏘️ \w+ \w+ (.*) ✅"") ,  if(H2218=""quartier"",vlookup(REGEXEXTRACT(C2218, ""🏘️ \w+ \w+ (.*) ✅""),'Quartier prepositio"&amp;"ns'!A:E, 5, 0) ,  if(H2218=""region"",vlookup(REGEXEXTRACT(C2218, ""🏘️ \w+ \w+ (.*) ✅""),'Region prepositions'!B:F, 5, 0),  REGEXEXTRACT(C2218, ""🏘️ \w+ \w+ (.*) ✅""))))"),"Giez")</f>
        <v>Giez</v>
      </c>
      <c r="F2218" s="2" t="str">
        <f>IFERROR(__xludf.DUMMYFUNCTION("REGEXEXTRACT(C2218, ""🏘️ (\w+) \w+ .* ✅"")"),"Vendre")</f>
        <v>Vendre</v>
      </c>
      <c r="G2218" s="2" t="str">
        <f>IFERROR(__xludf.DUMMYFUNCTION("REGEXEXTRACT(C2218, ""🏘️ \w+ (\w+) .* ✅"")"),"appartement")</f>
        <v>appartement</v>
      </c>
      <c r="H2218" s="4" t="str">
        <f>IFERROR(__xludf.DUMMYFUNCTION("REGEXEXTRACT(A2218, ""/(\w+)-.*?"")"),"lieu")</f>
        <v>lieu</v>
      </c>
      <c r="I2218" s="4" t="str">
        <f>IFERROR(__xludf.DUMMYFUNCTION("if(D2218=""variant"",  substitute(filter(Templates!E:E, Templates!A:A = F2218, Templates!B:B = G2218, Templates!C:C = H2218), ""{{}}"", E2218), B2218)"),"🏘  L’appartement de vos rêves se trouve sur ImmoScout24.ch ✅ Découvrez les dernières annonces de vente à Giez.")</f>
        <v>🏘  L’appartement de vos rêves se trouve sur ImmoScout24.ch ✅ Découvrez les dernières annonces de vente à Giez.</v>
      </c>
      <c r="J2218" s="4" t="s">
        <v>6652</v>
      </c>
    </row>
    <row r="2219">
      <c r="A2219" s="5" t="s">
        <v>6653</v>
      </c>
      <c r="B2219" s="2" t="s">
        <v>6654</v>
      </c>
      <c r="C2219" s="4" t="str">
        <f>IFERROR(__xludf.DUMMYFUNCTION("""🏘️ ""&amp;REGEXEXTRACT(B2219, ""^(.*): "")&amp;"" ✅ "" &amp;REGEXEXTRACT(B2219, ""(Trouvez.*)"")"),"🏘️ Louer appartement Basel ✅ Trouvez le bien immobilier qui correspond idéalement à vos désirs sur ImmoScout24 - La plateforme de l'immobilier en Suisse.")</f>
        <v>🏘️ Louer appartement Basel ✅ Trouvez le bien immobilier qui correspond idéalement à vos désirs sur ImmoScout24 - La plateforme de l'immobilier en Suisse.</v>
      </c>
      <c r="D2219" s="4" t="str">
        <f>vlookup(A2219, Sheet2!D:E, 2, 0)</f>
        <v>variant</v>
      </c>
      <c r="E2219" s="4" t="str">
        <f>IFERROR(__xludf.DUMMYFUNCTION("if(H2219=""pays"",vlookup(REGEXEXTRACT(C2219, ""🏘️ \w+ \w+ (.*) ✅""),'Country prepositions'!A:B, 2, 0) &amp; "" "" &amp; REGEXEXTRACT(C2219, ""🏘️ \w+ \w+ (.*) ✅"") ,  if(H2219=""quartier"",vlookup(REGEXEXTRACT(C2219, ""🏘️ \w+ \w+ (.*) ✅""),'Quartier prepositio"&amp;"ns'!A:E, 5, 0) ,  if(H2219=""region"",vlookup(REGEXEXTRACT(C2219, ""🏘️ \w+ \w+ (.*) ✅""),'Region prepositions'!B:F, 5, 0),  REGEXEXTRACT(C2219, ""🏘️ \w+ \w+ (.*) ✅""))))"),"Basel")</f>
        <v>Basel</v>
      </c>
      <c r="F2219" s="2" t="str">
        <f>IFERROR(__xludf.DUMMYFUNCTION("REGEXEXTRACT(C2219, ""🏘️ (\w+) \w+ .* ✅"")"),"Louer")</f>
        <v>Louer</v>
      </c>
      <c r="G2219" s="2" t="str">
        <f>IFERROR(__xludf.DUMMYFUNCTION("REGEXEXTRACT(C2219, ""🏘️ \w+ (\w+) .* ✅"")"),"appartement")</f>
        <v>appartement</v>
      </c>
      <c r="H2219" s="4" t="str">
        <f>IFERROR(__xludf.DUMMYFUNCTION("REGEXEXTRACT(A2219, ""/(\w+)-.*?"")"),"lieu")</f>
        <v>lieu</v>
      </c>
      <c r="I2219" s="4" t="str">
        <f>IFERROR(__xludf.DUMMYFUNCTION("if(D2219=""variant"",  substitute(filter(Templates!E:E, Templates!A:A = F2219, Templates!B:B = G2219, Templates!C:C = H2219), ""{{}}"", E2219), B2219)"),"🏘  Vous cherchez un appartement à louer à Basel? ✅ Les annonces les plus actuelles sont sur ImmoScout24.ch.")</f>
        <v>🏘  Vous cherchez un appartement à louer à Basel? ✅ Les annonces les plus actuelles sont sur ImmoScout24.ch.</v>
      </c>
      <c r="J2219" s="4" t="s">
        <v>6655</v>
      </c>
    </row>
    <row r="2220">
      <c r="A2220" s="5" t="s">
        <v>6656</v>
      </c>
      <c r="B2220" s="2" t="s">
        <v>6657</v>
      </c>
      <c r="C2220" s="4" t="str">
        <f>IFERROR(__xludf.DUMMYFUNCTION("""🏘️ ""&amp;REGEXEXTRACT(B2220, ""^(.*): "")&amp;"" ✅ "" &amp;REGEXEXTRACT(B2220, ""(Trouvez.*)"")"),"🏘️ Louer appartement Chamoson ✅ Trouvez le bien immobilier qui correspond idéalement à vos désirs sur ImmoScout24 - La plateforme de l'immobilier en Suisse.")</f>
        <v>🏘️ Louer appartement Chamoson ✅ Trouvez le bien immobilier qui correspond idéalement à vos désirs sur ImmoScout24 - La plateforme de l'immobilier en Suisse.</v>
      </c>
      <c r="D2220" s="4" t="str">
        <f>vlookup(A2220, Sheet2!D:E, 2, 0)</f>
        <v>variant</v>
      </c>
      <c r="E2220" s="4" t="str">
        <f>IFERROR(__xludf.DUMMYFUNCTION("if(H2220=""pays"",vlookup(REGEXEXTRACT(C2220, ""🏘️ \w+ \w+ (.*) ✅""),'Country prepositions'!A:B, 2, 0) &amp; "" "" &amp; REGEXEXTRACT(C2220, ""🏘️ \w+ \w+ (.*) ✅"") ,  if(H2220=""quartier"",vlookup(REGEXEXTRACT(C2220, ""🏘️ \w+ \w+ (.*) ✅""),'Quartier prepositio"&amp;"ns'!A:E, 5, 0) ,  if(H2220=""region"",vlookup(REGEXEXTRACT(C2220, ""🏘️ \w+ \w+ (.*) ✅""),'Region prepositions'!B:F, 5, 0),  REGEXEXTRACT(C2220, ""🏘️ \w+ \w+ (.*) ✅""))))"),"Chamoson")</f>
        <v>Chamoson</v>
      </c>
      <c r="F2220" s="2" t="str">
        <f>IFERROR(__xludf.DUMMYFUNCTION("REGEXEXTRACT(C2220, ""🏘️ (\w+) \w+ .* ✅"")"),"Louer")</f>
        <v>Louer</v>
      </c>
      <c r="G2220" s="2" t="str">
        <f>IFERROR(__xludf.DUMMYFUNCTION("REGEXEXTRACT(C2220, ""🏘️ \w+ (\w+) .* ✅"")"),"appartement")</f>
        <v>appartement</v>
      </c>
      <c r="H2220" s="4" t="str">
        <f>IFERROR(__xludf.DUMMYFUNCTION("REGEXEXTRACT(A2220, ""/(\w+)-.*?"")"),"lieu")</f>
        <v>lieu</v>
      </c>
      <c r="I2220" s="4" t="str">
        <f>IFERROR(__xludf.DUMMYFUNCTION("if(D2220=""variant"",  substitute(filter(Templates!E:E, Templates!A:A = F2220, Templates!B:B = G2220, Templates!C:C = H2220), ""{{}}"", E2220), B2220)"),"🏘  Vous cherchez un appartement à louer à Chamoson? ✅ Les annonces les plus actuelles sont sur ImmoScout24.ch.")</f>
        <v>🏘  Vous cherchez un appartement à louer à Chamoson? ✅ Les annonces les plus actuelles sont sur ImmoScout24.ch.</v>
      </c>
      <c r="J2220" s="4" t="s">
        <v>6658</v>
      </c>
    </row>
    <row r="2221">
      <c r="A2221" s="5" t="s">
        <v>6659</v>
      </c>
      <c r="B2221" s="2" t="s">
        <v>6660</v>
      </c>
      <c r="C2221" s="4" t="str">
        <f>IFERROR(__xludf.DUMMYFUNCTION("""🏘️ ""&amp;REGEXEXTRACT(B2221, ""^(.*): "")&amp;"" ✅ "" &amp;REGEXEXTRACT(B2221, ""(Trouvez.*)"")"),"🏘️ Louer appartement Bévilard ✅ Trouvez le bien immobilier qui correspond idéalement à vos désirs sur ImmoScout24 - La plateforme de l'immobilier en Suisse.")</f>
        <v>🏘️ Louer appartement Bévilard ✅ Trouvez le bien immobilier qui correspond idéalement à vos désirs sur ImmoScout24 - La plateforme de l'immobilier en Suisse.</v>
      </c>
      <c r="D2221" s="4" t="str">
        <f>vlookup(A2221, Sheet2!D:E, 2, 0)</f>
        <v>variant</v>
      </c>
      <c r="E2221" s="4" t="str">
        <f>IFERROR(__xludf.DUMMYFUNCTION("if(H2221=""pays"",vlookup(REGEXEXTRACT(C2221, ""🏘️ \w+ \w+ (.*) ✅""),'Country prepositions'!A:B, 2, 0) &amp; "" "" &amp; REGEXEXTRACT(C2221, ""🏘️ \w+ \w+ (.*) ✅"") ,  if(H2221=""quartier"",vlookup(REGEXEXTRACT(C2221, ""🏘️ \w+ \w+ (.*) ✅""),'Quartier prepositio"&amp;"ns'!A:E, 5, 0) ,  if(H2221=""region"",vlookup(REGEXEXTRACT(C2221, ""🏘️ \w+ \w+ (.*) ✅""),'Region prepositions'!B:F, 5, 0),  REGEXEXTRACT(C2221, ""🏘️ \w+ \w+ (.*) ✅""))))"),"Bévilard")</f>
        <v>Bévilard</v>
      </c>
      <c r="F2221" s="2" t="str">
        <f>IFERROR(__xludf.DUMMYFUNCTION("REGEXEXTRACT(C2221, ""🏘️ (\w+) \w+ .* ✅"")"),"Louer")</f>
        <v>Louer</v>
      </c>
      <c r="G2221" s="2" t="str">
        <f>IFERROR(__xludf.DUMMYFUNCTION("REGEXEXTRACT(C2221, ""🏘️ \w+ (\w+) .* ✅"")"),"appartement")</f>
        <v>appartement</v>
      </c>
      <c r="H2221" s="4" t="str">
        <f>IFERROR(__xludf.DUMMYFUNCTION("REGEXEXTRACT(A2221, ""/(\w+)-.*?"")"),"lieu")</f>
        <v>lieu</v>
      </c>
      <c r="I2221" s="4" t="str">
        <f>IFERROR(__xludf.DUMMYFUNCTION("if(D2221=""variant"",  substitute(filter(Templates!E:E, Templates!A:A = F2221, Templates!B:B = G2221, Templates!C:C = H2221), ""{{}}"", E2221), B2221)"),"🏘  Vous cherchez un appartement à louer à Bévilard? ✅ Les annonces les plus actuelles sont sur ImmoScout24.ch.")</f>
        <v>🏘  Vous cherchez un appartement à louer à Bévilard? ✅ Les annonces les plus actuelles sont sur ImmoScout24.ch.</v>
      </c>
      <c r="J2221" s="4" t="s">
        <v>6661</v>
      </c>
    </row>
    <row r="2222">
      <c r="A2222" s="5" t="s">
        <v>6662</v>
      </c>
      <c r="B2222" s="2" t="s">
        <v>6663</v>
      </c>
      <c r="C2222" s="4" t="str">
        <f>IFERROR(__xludf.DUMMYFUNCTION("""🏘️ ""&amp;REGEXEXTRACT(B2222, ""^(.*): "")&amp;"" ✅ "" &amp;REGEXEXTRACT(B2222, ""(Trouvez.*)"")"),"🏘️ Louer appartement Arch ✅ Trouvez le bien immobilier qui correspond idéalement à vos désirs sur ImmoScout24 - La plateforme de l'immobilier en Suisse.")</f>
        <v>🏘️ Louer appartement Arch ✅ Trouvez le bien immobilier qui correspond idéalement à vos désirs sur ImmoScout24 - La plateforme de l'immobilier en Suisse.</v>
      </c>
      <c r="D2222" s="4" t="str">
        <f>vlookup(A2222, Sheet2!D:E, 2, 0)</f>
        <v>variant</v>
      </c>
      <c r="E2222" s="4" t="str">
        <f>IFERROR(__xludf.DUMMYFUNCTION("if(H2222=""pays"",vlookup(REGEXEXTRACT(C2222, ""🏘️ \w+ \w+ (.*) ✅""),'Country prepositions'!A:B, 2, 0) &amp; "" "" &amp; REGEXEXTRACT(C2222, ""🏘️ \w+ \w+ (.*) ✅"") ,  if(H2222=""quartier"",vlookup(REGEXEXTRACT(C2222, ""🏘️ \w+ \w+ (.*) ✅""),'Quartier prepositio"&amp;"ns'!A:E, 5, 0) ,  if(H2222=""region"",vlookup(REGEXEXTRACT(C2222, ""🏘️ \w+ \w+ (.*) ✅""),'Region prepositions'!B:F, 5, 0),  REGEXEXTRACT(C2222, ""🏘️ \w+ \w+ (.*) ✅""))))"),"Arch")</f>
        <v>Arch</v>
      </c>
      <c r="F2222" s="2" t="str">
        <f>IFERROR(__xludf.DUMMYFUNCTION("REGEXEXTRACT(C2222, ""🏘️ (\w+) \w+ .* ✅"")"),"Louer")</f>
        <v>Louer</v>
      </c>
      <c r="G2222" s="2" t="str">
        <f>IFERROR(__xludf.DUMMYFUNCTION("REGEXEXTRACT(C2222, ""🏘️ \w+ (\w+) .* ✅"")"),"appartement")</f>
        <v>appartement</v>
      </c>
      <c r="H2222" s="4" t="str">
        <f>IFERROR(__xludf.DUMMYFUNCTION("REGEXEXTRACT(A2222, ""/(\w+)-.*?"")"),"lieu")</f>
        <v>lieu</v>
      </c>
      <c r="I2222" s="4" t="str">
        <f>IFERROR(__xludf.DUMMYFUNCTION("if(D2222=""variant"",  substitute(filter(Templates!E:E, Templates!A:A = F2222, Templates!B:B = G2222, Templates!C:C = H2222), ""{{}}"", E2222), B2222)"),"🏘  Vous cherchez un appartement à louer à Arch? ✅ Les annonces les plus actuelles sont sur ImmoScout24.ch.")</f>
        <v>🏘  Vous cherchez un appartement à louer à Arch? ✅ Les annonces les plus actuelles sont sur ImmoScout24.ch.</v>
      </c>
      <c r="J2222" s="4" t="s">
        <v>6664</v>
      </c>
    </row>
    <row r="2223">
      <c r="A2223" s="5" t="s">
        <v>6665</v>
      </c>
      <c r="B2223" s="2" t="s">
        <v>6666</v>
      </c>
      <c r="C2223" s="4" t="str">
        <f>IFERROR(__xludf.DUMMYFUNCTION("""🏘️ ""&amp;REGEXEXTRACT(B2223, ""^(.*): "")&amp;"" ✅ "" &amp;REGEXEXTRACT(B2223, ""(Trouvez.*)"")"),"🏘️ Louer appartement Raron ✅ Trouvez le bien immobilier qui correspond idéalement à vos désirs sur ImmoScout24 - La plateforme de l'immobilier en Suisse.")</f>
        <v>🏘️ Louer appartement Raron ✅ Trouvez le bien immobilier qui correspond idéalement à vos désirs sur ImmoScout24 - La plateforme de l'immobilier en Suisse.</v>
      </c>
      <c r="D2223" s="4" t="str">
        <f>vlookup(A2223, Sheet2!D:E, 2, 0)</f>
        <v>variant</v>
      </c>
      <c r="E2223" s="4" t="str">
        <f>IFERROR(__xludf.DUMMYFUNCTION("if(H2223=""pays"",vlookup(REGEXEXTRACT(C2223, ""🏘️ \w+ \w+ (.*) ✅""),'Country prepositions'!A:B, 2, 0) &amp; "" "" &amp; REGEXEXTRACT(C2223, ""🏘️ \w+ \w+ (.*) ✅"") ,  if(H2223=""quartier"",vlookup(REGEXEXTRACT(C2223, ""🏘️ \w+ \w+ (.*) ✅""),'Quartier prepositio"&amp;"ns'!A:E, 5, 0) ,  if(H2223=""region"",vlookup(REGEXEXTRACT(C2223, ""🏘️ \w+ \w+ (.*) ✅""),'Region prepositions'!B:F, 5, 0),  REGEXEXTRACT(C2223, ""🏘️ \w+ \w+ (.*) ✅""))))"),"Raron")</f>
        <v>Raron</v>
      </c>
      <c r="F2223" s="2" t="str">
        <f>IFERROR(__xludf.DUMMYFUNCTION("REGEXEXTRACT(C2223, ""🏘️ (\w+) \w+ .* ✅"")"),"Louer")</f>
        <v>Louer</v>
      </c>
      <c r="G2223" s="2" t="str">
        <f>IFERROR(__xludf.DUMMYFUNCTION("REGEXEXTRACT(C2223, ""🏘️ \w+ (\w+) .* ✅"")"),"appartement")</f>
        <v>appartement</v>
      </c>
      <c r="H2223" s="4" t="str">
        <f>IFERROR(__xludf.DUMMYFUNCTION("REGEXEXTRACT(A2223, ""/(\w+)-.*?"")"),"lieu")</f>
        <v>lieu</v>
      </c>
      <c r="I2223" s="4" t="str">
        <f>IFERROR(__xludf.DUMMYFUNCTION("if(D2223=""variant"",  substitute(filter(Templates!E:E, Templates!A:A = F2223, Templates!B:B = G2223, Templates!C:C = H2223), ""{{}}"", E2223), B2223)"),"🏘  Vous cherchez un appartement à louer à Raron? ✅ Les annonces les plus actuelles sont sur ImmoScout24.ch.")</f>
        <v>🏘  Vous cherchez un appartement à louer à Raron? ✅ Les annonces les plus actuelles sont sur ImmoScout24.ch.</v>
      </c>
      <c r="J2223" s="4" t="s">
        <v>6667</v>
      </c>
    </row>
    <row r="2224">
      <c r="A2224" s="5" t="s">
        <v>6668</v>
      </c>
      <c r="B2224" s="2" t="s">
        <v>6669</v>
      </c>
      <c r="C2224" s="4" t="str">
        <f>IFERROR(__xludf.DUMMYFUNCTION("""🏘️ ""&amp;REGEXEXTRACT(B2224, ""^(.*): "")&amp;"" ✅ "" &amp;REGEXEXTRACT(B2224, ""(Trouvez.*)"")"),"🏘️ Louer appartement Cureglia ✅ Trouvez le bien immobilier qui correspond idéalement à vos désirs sur ImmoScout24 - La plateforme de l'immobilier en Suisse.")</f>
        <v>🏘️ Louer appartement Cureglia ✅ Trouvez le bien immobilier qui correspond idéalement à vos désirs sur ImmoScout24 - La plateforme de l'immobilier en Suisse.</v>
      </c>
      <c r="D2224" s="4" t="str">
        <f>vlookup(A2224, Sheet2!D:E, 2, 0)</f>
        <v>variant</v>
      </c>
      <c r="E2224" s="4" t="str">
        <f>IFERROR(__xludf.DUMMYFUNCTION("if(H2224=""pays"",vlookup(REGEXEXTRACT(C2224, ""🏘️ \w+ \w+ (.*) ✅""),'Country prepositions'!A:B, 2, 0) &amp; "" "" &amp; REGEXEXTRACT(C2224, ""🏘️ \w+ \w+ (.*) ✅"") ,  if(H2224=""quartier"",vlookup(REGEXEXTRACT(C2224, ""🏘️ \w+ \w+ (.*) ✅""),'Quartier prepositio"&amp;"ns'!A:E, 5, 0) ,  if(H2224=""region"",vlookup(REGEXEXTRACT(C2224, ""🏘️ \w+ \w+ (.*) ✅""),'Region prepositions'!B:F, 5, 0),  REGEXEXTRACT(C2224, ""🏘️ \w+ \w+ (.*) ✅""))))"),"Cureglia")</f>
        <v>Cureglia</v>
      </c>
      <c r="F2224" s="2" t="str">
        <f>IFERROR(__xludf.DUMMYFUNCTION("REGEXEXTRACT(C2224, ""🏘️ (\w+) \w+ .* ✅"")"),"Louer")</f>
        <v>Louer</v>
      </c>
      <c r="G2224" s="2" t="str">
        <f>IFERROR(__xludf.DUMMYFUNCTION("REGEXEXTRACT(C2224, ""🏘️ \w+ (\w+) .* ✅"")"),"appartement")</f>
        <v>appartement</v>
      </c>
      <c r="H2224" s="4" t="str">
        <f>IFERROR(__xludf.DUMMYFUNCTION("REGEXEXTRACT(A2224, ""/(\w+)-.*?"")"),"lieu")</f>
        <v>lieu</v>
      </c>
      <c r="I2224" s="4" t="str">
        <f>IFERROR(__xludf.DUMMYFUNCTION("if(D2224=""variant"",  substitute(filter(Templates!E:E, Templates!A:A = F2224, Templates!B:B = G2224, Templates!C:C = H2224), ""{{}}"", E2224), B2224)"),"🏘  Vous cherchez un appartement à louer à Cureglia? ✅ Les annonces les plus actuelles sont sur ImmoScout24.ch.")</f>
        <v>🏘  Vous cherchez un appartement à louer à Cureglia? ✅ Les annonces les plus actuelles sont sur ImmoScout24.ch.</v>
      </c>
      <c r="J2224" s="4" t="s">
        <v>6670</v>
      </c>
    </row>
    <row r="2225">
      <c r="A2225" s="5" t="s">
        <v>6671</v>
      </c>
      <c r="B2225" s="2" t="s">
        <v>6672</v>
      </c>
      <c r="C2225" s="4" t="str">
        <f>IFERROR(__xludf.DUMMYFUNCTION("""🏘️ ""&amp;REGEXEXTRACT(B2225, ""^(.*): "")&amp;"" ✅ "" &amp;REGEXEXTRACT(B2225, ""(Trouvez.*)"")"),"🏘️ Louer appartement Cité - Centre (Genève) ✅ Trouvez le bien immobilier qui correspond idéalement à vos désirs sur ImmoScout24 - La plateforme de l'immobilier en Suisse.")</f>
        <v>🏘️ Louer appartement Cité - Centre (Genève) ✅ Trouvez le bien immobilier qui correspond idéalement à vos désirs sur ImmoScout24 - La plateforme de l'immobilier en Suisse.</v>
      </c>
      <c r="D2225" s="4" t="str">
        <f>vlookup(A2225, Sheet2!D:E, 2, 0)</f>
        <v>variant</v>
      </c>
      <c r="E2225" s="4" t="str">
        <f>IFERROR(__xludf.DUMMYFUNCTION("if(H2225=""pays"",vlookup(REGEXEXTRACT(C2225, ""🏘️ \w+ \w+ (.*) ✅""),'Country prepositions'!A:B, 2, 0) &amp; "" "" &amp; REGEXEXTRACT(C2225, ""🏘️ \w+ \w+ (.*) ✅"") ,  if(H2225=""quartier"",vlookup(REGEXEXTRACT(C2225, ""🏘️ \w+ \w+ (.*) ✅""),'Quartier prepositio"&amp;"ns'!A:E, 5, 0) ,  if(H2225=""region"",vlookup(REGEXEXTRACT(C2225, ""🏘️ \w+ \w+ (.*) ✅""),'Region prepositions'!B:F, 5, 0),  REGEXEXTRACT(C2225, ""🏘️ \w+ \w+ (.*) ✅""))))"),"dans le quartier de Cité - Centre (Genève)")</f>
        <v>dans le quartier de Cité - Centre (Genève)</v>
      </c>
      <c r="F2225" s="2" t="str">
        <f>IFERROR(__xludf.DUMMYFUNCTION("REGEXEXTRACT(C2225, ""🏘️ (\w+) \w+ .* ✅"")"),"Louer")</f>
        <v>Louer</v>
      </c>
      <c r="G2225" s="2" t="str">
        <f>IFERROR(__xludf.DUMMYFUNCTION("REGEXEXTRACT(C2225, ""🏘️ \w+ (\w+) .* ✅"")"),"appartement")</f>
        <v>appartement</v>
      </c>
      <c r="H2225" s="4" t="str">
        <f>IFERROR(__xludf.DUMMYFUNCTION("REGEXEXTRACT(A2225, ""/(\w+)-.*?"")"),"quartier")</f>
        <v>quartier</v>
      </c>
      <c r="I2225" s="4" t="str">
        <f>IFERROR(__xludf.DUMMYFUNCTION("if(D2225=""variant"",  substitute(filter(Templates!E:E, Templates!A:A = F2225, Templates!B:B = G2225, Templates!C:C = H2225), ""{{}}"", E2225), B2225)"),"🏘  Vous cherchez un appartement à louer dans le quartier de Cité - Centre (Genève)? ✅ Les annonces les plus actuelles sont sur ImmoScout24.ch.")</f>
        <v>🏘  Vous cherchez un appartement à louer dans le quartier de Cité - Centre (Genève)? ✅ Les annonces les plus actuelles sont sur ImmoScout24.ch.</v>
      </c>
      <c r="J2225" s="4" t="s">
        <v>6673</v>
      </c>
    </row>
    <row r="2226">
      <c r="A2226" s="5" t="s">
        <v>6674</v>
      </c>
      <c r="B2226" s="2" t="s">
        <v>6675</v>
      </c>
      <c r="C2226" s="4" t="str">
        <f>IFERROR(__xludf.DUMMYFUNCTION("""🏘️ ""&amp;REGEXEXTRACT(B2226, ""^(.*): "")&amp;"" ✅ "" &amp;REGEXEXTRACT(B2226, ""(Trouvez.*)"")"),"🏘️ Vendre maison Perrefitte ✅ Trouvez le bien immobilier qui correspond idéalement à vos désirs sur ImmoScout24 - La plateforme de l'immobilier en Suisse.")</f>
        <v>🏘️ Vendre maison Perrefitte ✅ Trouvez le bien immobilier qui correspond idéalement à vos désirs sur ImmoScout24 - La plateforme de l'immobilier en Suisse.</v>
      </c>
      <c r="D2226" s="4" t="str">
        <f>vlookup(A2226, Sheet2!D:E, 2, 0)</f>
        <v>variant</v>
      </c>
      <c r="E2226" s="4" t="str">
        <f>IFERROR(__xludf.DUMMYFUNCTION("if(H2226=""pays"",vlookup(REGEXEXTRACT(C2226, ""🏘️ \w+ \w+ (.*) ✅""),'Country prepositions'!A:B, 2, 0) &amp; "" "" &amp; REGEXEXTRACT(C2226, ""🏘️ \w+ \w+ (.*) ✅"") ,  if(H2226=""quartier"",vlookup(REGEXEXTRACT(C2226, ""🏘️ \w+ \w+ (.*) ✅""),'Quartier prepositio"&amp;"ns'!A:E, 5, 0) ,  if(H2226=""region"",vlookup(REGEXEXTRACT(C2226, ""🏘️ \w+ \w+ (.*) ✅""),'Region prepositions'!B:F, 5, 0),  REGEXEXTRACT(C2226, ""🏘️ \w+ \w+ (.*) ✅""))))"),"Perrefitte")</f>
        <v>Perrefitte</v>
      </c>
      <c r="F2226" s="2" t="str">
        <f>IFERROR(__xludf.DUMMYFUNCTION("REGEXEXTRACT(C2226, ""🏘️ (\w+) \w+ .* ✅"")"),"Vendre")</f>
        <v>Vendre</v>
      </c>
      <c r="G2226" s="2" t="str">
        <f>IFERROR(__xludf.DUMMYFUNCTION("REGEXEXTRACT(C2226, ""🏘️ \w+ (\w+) .* ✅"")"),"maison")</f>
        <v>maison</v>
      </c>
      <c r="H2226" s="4" t="str">
        <f>IFERROR(__xludf.DUMMYFUNCTION("REGEXEXTRACT(A2226, ""/(\w+)-.*?"")"),"lieu")</f>
        <v>lieu</v>
      </c>
      <c r="I2226" s="4" t="str">
        <f>IFERROR(__xludf.DUMMYFUNCTION("if(D2226=""variant"",  substitute(filter(Templates!E:E, Templates!A:A = F2226, Templates!B:B = G2226, Templates!C:C = H2226), ""{{}}"", E2226), B2226)"),"🏘  Vous souhaitez acheter une maison à Perrefitte? ✅ Jetez un œil aux dernières offres sur ImmoScout24.ch.")</f>
        <v>🏘  Vous souhaitez acheter une maison à Perrefitte? ✅ Jetez un œil aux dernières offres sur ImmoScout24.ch.</v>
      </c>
      <c r="J2226" s="4" t="s">
        <v>6676</v>
      </c>
    </row>
    <row r="2227">
      <c r="A2227" s="5" t="s">
        <v>6677</v>
      </c>
      <c r="B2227" s="2" t="s">
        <v>6678</v>
      </c>
      <c r="C2227" s="4" t="str">
        <f>IFERROR(__xludf.DUMMYFUNCTION("""🏘️ ""&amp;REGEXEXTRACT(B2227, ""^(.*): "")&amp;"" ✅ "" &amp;REGEXEXTRACT(B2227, ""(Trouvez.*)"")"),"🏘️ Vendre appartement Canton de Bâle-Ville ✅ Trouvez le bien immobilier qui correspond idéalement à vos désirs sur ImmoScout24 - La plateforme de l'immobilier en Suisse.")</f>
        <v>🏘️ Vendre appartement Canton de Bâle-Ville ✅ Trouvez le bien immobilier qui correspond idéalement à vos désirs sur ImmoScout24 - La plateforme de l'immobilier en Suisse.</v>
      </c>
      <c r="D2227" s="4" t="str">
        <f>vlookup(A2227, Sheet2!D:E, 2, 0)</f>
        <v>variant</v>
      </c>
      <c r="E2227" s="4" t="str">
        <f>IFERROR(__xludf.DUMMYFUNCTION("if(H2227=""pays"",vlookup(REGEXEXTRACT(C2227, ""🏘️ \w+ \w+ (.*) ✅""),'Country prepositions'!A:B, 2, 0) &amp; "" "" &amp; REGEXEXTRACT(C2227, ""🏘️ \w+ \w+ (.*) ✅"") ,  if(H2227=""quartier"",vlookup(REGEXEXTRACT(C2227, ""🏘️ \w+ \w+ (.*) ✅""),'Quartier prepositio"&amp;"ns'!A:E, 5, 0) ,  if(H2227=""region"",vlookup(REGEXEXTRACT(C2227, ""🏘️ \w+ \w+ (.*) ✅""),'Region prepositions'!B:F, 5, 0),  REGEXEXTRACT(C2227, ""🏘️ \w+ \w+ (.*) ✅""))))"),"Canton de Bâle-Ville")</f>
        <v>Canton de Bâle-Ville</v>
      </c>
      <c r="F2227" s="2" t="str">
        <f>IFERROR(__xludf.DUMMYFUNCTION("REGEXEXTRACT(C2227, ""🏘️ (\w+) \w+ .* ✅"")"),"Vendre")</f>
        <v>Vendre</v>
      </c>
      <c r="G2227" s="2" t="str">
        <f>IFERROR(__xludf.DUMMYFUNCTION("REGEXEXTRACT(C2227, ""🏘️ \w+ (\w+) .* ✅"")"),"appartement")</f>
        <v>appartement</v>
      </c>
      <c r="H2227" s="4" t="str">
        <f>IFERROR(__xludf.DUMMYFUNCTION("REGEXEXTRACT(A2227, ""/(\w+)-.*?"")"),"canton")</f>
        <v>canton</v>
      </c>
      <c r="I2227" s="4" t="str">
        <f>IFERROR(__xludf.DUMMYFUNCTION("if(D2227=""variant"",  substitute(filter(Templates!E:E, Templates!A:A = F2227, Templates!B:B = G2227, Templates!C:C = H2227), ""{{}}"", E2227), B2227)"),"#N/A")</f>
        <v>#N/A</v>
      </c>
      <c r="J2227" s="4" t="s">
        <v>6679</v>
      </c>
    </row>
    <row r="2228">
      <c r="A2228" s="5" t="s">
        <v>6680</v>
      </c>
      <c r="B2228" s="2" t="s">
        <v>6681</v>
      </c>
      <c r="C2228" s="4" t="str">
        <f>IFERROR(__xludf.DUMMYFUNCTION("""🏘️ ""&amp;REGEXEXTRACT(B2228, ""^(.*): "")&amp;"" ✅ "" &amp;REGEXEXTRACT(B2228, ""(Trouvez.*)"")"),"🏘️ Louer appartement Collombey ✅ Trouvez le bien immobilier qui correspond idéalement à vos désirs sur ImmoScout24 - La plateforme de l'immobilier en Suisse.")</f>
        <v>🏘️ Louer appartement Collombey ✅ Trouvez le bien immobilier qui correspond idéalement à vos désirs sur ImmoScout24 - La plateforme de l'immobilier en Suisse.</v>
      </c>
      <c r="D2228" s="4" t="str">
        <f>vlookup(A2228, Sheet2!D:E, 2, 0)</f>
        <v>variant</v>
      </c>
      <c r="E2228" s="4" t="str">
        <f>IFERROR(__xludf.DUMMYFUNCTION("if(H2228=""pays"",vlookup(REGEXEXTRACT(C2228, ""🏘️ \w+ \w+ (.*) ✅""),'Country prepositions'!A:B, 2, 0) &amp; "" "" &amp; REGEXEXTRACT(C2228, ""🏘️ \w+ \w+ (.*) ✅"") ,  if(H2228=""quartier"",vlookup(REGEXEXTRACT(C2228, ""🏘️ \w+ \w+ (.*) ✅""),'Quartier prepositio"&amp;"ns'!A:E, 5, 0) ,  if(H2228=""region"",vlookup(REGEXEXTRACT(C2228, ""🏘️ \w+ \w+ (.*) ✅""),'Region prepositions'!B:F, 5, 0),  REGEXEXTRACT(C2228, ""🏘️ \w+ \w+ (.*) ✅""))))"),"Collombey")</f>
        <v>Collombey</v>
      </c>
      <c r="F2228" s="2" t="str">
        <f>IFERROR(__xludf.DUMMYFUNCTION("REGEXEXTRACT(C2228, ""🏘️ (\w+) \w+ .* ✅"")"),"Louer")</f>
        <v>Louer</v>
      </c>
      <c r="G2228" s="2" t="str">
        <f>IFERROR(__xludf.DUMMYFUNCTION("REGEXEXTRACT(C2228, ""🏘️ \w+ (\w+) .* ✅"")"),"appartement")</f>
        <v>appartement</v>
      </c>
      <c r="H2228" s="4" t="str">
        <f>IFERROR(__xludf.DUMMYFUNCTION("REGEXEXTRACT(A2228, ""/(\w+)-.*?"")"),"lieu")</f>
        <v>lieu</v>
      </c>
      <c r="I2228" s="4" t="str">
        <f>IFERROR(__xludf.DUMMYFUNCTION("if(D2228=""variant"",  substitute(filter(Templates!E:E, Templates!A:A = F2228, Templates!B:B = G2228, Templates!C:C = H2228), ""{{}}"", E2228), B2228)"),"🏘  Vous cherchez un appartement à louer à Collombey? ✅ Les annonces les plus actuelles sont sur ImmoScout24.ch.")</f>
        <v>🏘  Vous cherchez un appartement à louer à Collombey? ✅ Les annonces les plus actuelles sont sur ImmoScout24.ch.</v>
      </c>
      <c r="J2228" s="4" t="s">
        <v>6682</v>
      </c>
    </row>
    <row r="2229">
      <c r="A2229" s="5" t="s">
        <v>6683</v>
      </c>
      <c r="B2229" s="2" t="s">
        <v>6684</v>
      </c>
      <c r="C2229" s="4" t="str">
        <f>IFERROR(__xludf.DUMMYFUNCTION("""🏘️ ""&amp;REGEXEXTRACT(B2229, ""^(.*): "")&amp;"" ✅ "" &amp;REGEXEXTRACT(B2229, ""(Trouvez.*)"")"),"🏘️ Louer appartement Granges-de-Vesin ✅ Trouvez le bien immobilier qui correspond idéalement à vos désirs sur ImmoScout24 - La plateforme de l'immobilier en Suisse.")</f>
        <v>🏘️ Louer appartement Granges-de-Vesin ✅ Trouvez le bien immobilier qui correspond idéalement à vos désirs sur ImmoScout24 - La plateforme de l'immobilier en Suisse.</v>
      </c>
      <c r="D2229" s="4" t="str">
        <f>vlookup(A2229, Sheet2!D:E, 2, 0)</f>
        <v>variant</v>
      </c>
      <c r="E2229" s="4" t="str">
        <f>IFERROR(__xludf.DUMMYFUNCTION("if(H2229=""pays"",vlookup(REGEXEXTRACT(C2229, ""🏘️ \w+ \w+ (.*) ✅""),'Country prepositions'!A:B, 2, 0) &amp; "" "" &amp; REGEXEXTRACT(C2229, ""🏘️ \w+ \w+ (.*) ✅"") ,  if(H2229=""quartier"",vlookup(REGEXEXTRACT(C2229, ""🏘️ \w+ \w+ (.*) ✅""),'Quartier prepositio"&amp;"ns'!A:E, 5, 0) ,  if(H2229=""region"",vlookup(REGEXEXTRACT(C2229, ""🏘️ \w+ \w+ (.*) ✅""),'Region prepositions'!B:F, 5, 0),  REGEXEXTRACT(C2229, ""🏘️ \w+ \w+ (.*) ✅""))))"),"Granges-de-Vesin")</f>
        <v>Granges-de-Vesin</v>
      </c>
      <c r="F2229" s="2" t="str">
        <f>IFERROR(__xludf.DUMMYFUNCTION("REGEXEXTRACT(C2229, ""🏘️ (\w+) \w+ .* ✅"")"),"Louer")</f>
        <v>Louer</v>
      </c>
      <c r="G2229" s="2" t="str">
        <f>IFERROR(__xludf.DUMMYFUNCTION("REGEXEXTRACT(C2229, ""🏘️ \w+ (\w+) .* ✅"")"),"appartement")</f>
        <v>appartement</v>
      </c>
      <c r="H2229" s="4" t="str">
        <f>IFERROR(__xludf.DUMMYFUNCTION("REGEXEXTRACT(A2229, ""/(\w+)-.*?"")"),"lieu")</f>
        <v>lieu</v>
      </c>
      <c r="I2229" s="4" t="str">
        <f>IFERROR(__xludf.DUMMYFUNCTION("if(D2229=""variant"",  substitute(filter(Templates!E:E, Templates!A:A = F2229, Templates!B:B = G2229, Templates!C:C = H2229), ""{{}}"", E2229), B2229)"),"🏘  Vous cherchez un appartement à louer à Granges-de-Vesin? ✅ Les annonces les plus actuelles sont sur ImmoScout24.ch.")</f>
        <v>🏘  Vous cherchez un appartement à louer à Granges-de-Vesin? ✅ Les annonces les plus actuelles sont sur ImmoScout24.ch.</v>
      </c>
      <c r="J2229" s="4" t="s">
        <v>6685</v>
      </c>
    </row>
    <row r="2230">
      <c r="A2230" s="5" t="s">
        <v>6686</v>
      </c>
      <c r="B2230" s="2" t="s">
        <v>6687</v>
      </c>
      <c r="C2230" s="4" t="str">
        <f>IFERROR(__xludf.DUMMYFUNCTION("""🏘️ ""&amp;REGEXEXTRACT(B2230, ""^(.*): "")&amp;"" ✅ "" &amp;REGEXEXTRACT(B2230, ""(Trouvez.*)"")"),"🏘️ Vendre appartement Moosseedorf ✅ Trouvez le bien immobilier qui correspond idéalement à vos désirs sur ImmoScout24 - La plateforme de l'immobilier en Suisse.")</f>
        <v>🏘️ Vendre appartement Moosseedorf ✅ Trouvez le bien immobilier qui correspond idéalement à vos désirs sur ImmoScout24 - La plateforme de l'immobilier en Suisse.</v>
      </c>
      <c r="D2230" s="4" t="str">
        <f>vlookup(A2230, Sheet2!D:E, 2, 0)</f>
        <v>variant</v>
      </c>
      <c r="E2230" s="4" t="str">
        <f>IFERROR(__xludf.DUMMYFUNCTION("if(H2230=""pays"",vlookup(REGEXEXTRACT(C2230, ""🏘️ \w+ \w+ (.*) ✅""),'Country prepositions'!A:B, 2, 0) &amp; "" "" &amp; REGEXEXTRACT(C2230, ""🏘️ \w+ \w+ (.*) ✅"") ,  if(H2230=""quartier"",vlookup(REGEXEXTRACT(C2230, ""🏘️ \w+ \w+ (.*) ✅""),'Quartier prepositio"&amp;"ns'!A:E, 5, 0) ,  if(H2230=""region"",vlookup(REGEXEXTRACT(C2230, ""🏘️ \w+ \w+ (.*) ✅""),'Region prepositions'!B:F, 5, 0),  REGEXEXTRACT(C2230, ""🏘️ \w+ \w+ (.*) ✅""))))"),"Moosseedorf")</f>
        <v>Moosseedorf</v>
      </c>
      <c r="F2230" s="2" t="str">
        <f>IFERROR(__xludf.DUMMYFUNCTION("REGEXEXTRACT(C2230, ""🏘️ (\w+) \w+ .* ✅"")"),"Vendre")</f>
        <v>Vendre</v>
      </c>
      <c r="G2230" s="2" t="str">
        <f>IFERROR(__xludf.DUMMYFUNCTION("REGEXEXTRACT(C2230, ""🏘️ \w+ (\w+) .* ✅"")"),"appartement")</f>
        <v>appartement</v>
      </c>
      <c r="H2230" s="4" t="str">
        <f>IFERROR(__xludf.DUMMYFUNCTION("REGEXEXTRACT(A2230, ""/(\w+)-.*?"")"),"lieu")</f>
        <v>lieu</v>
      </c>
      <c r="I2230" s="4" t="str">
        <f>IFERROR(__xludf.DUMMYFUNCTION("if(D2230=""variant"",  substitute(filter(Templates!E:E, Templates!A:A = F2230, Templates!B:B = G2230, Templates!C:C = H2230), ""{{}}"", E2230), B2230)"),"🏘  L’appartement de vos rêves se trouve sur ImmoScout24.ch ✅ Découvrez les dernières annonces de vente à Moosseedorf.")</f>
        <v>🏘  L’appartement de vos rêves se trouve sur ImmoScout24.ch ✅ Découvrez les dernières annonces de vente à Moosseedorf.</v>
      </c>
      <c r="J2230" s="4" t="s">
        <v>6688</v>
      </c>
    </row>
    <row r="2231">
      <c r="A2231" s="5" t="s">
        <v>6689</v>
      </c>
      <c r="B2231" s="2" t="s">
        <v>6690</v>
      </c>
      <c r="C2231" s="4" t="str">
        <f>IFERROR(__xludf.DUMMYFUNCTION("""🏘️ ""&amp;REGEXEXTRACT(B2231, ""^(.*): "")&amp;"" ✅ "" &amp;REGEXEXTRACT(B2231, ""(Trouvez.*)"")"),"🏘️ Louer appartement Gasel (Köniz) ✅ Trouvez le bien immobilier qui correspond idéalement à vos désirs sur ImmoScout24 - La plateforme de l'immobilier en Suisse.")</f>
        <v>🏘️ Louer appartement Gasel (Köniz) ✅ Trouvez le bien immobilier qui correspond idéalement à vos désirs sur ImmoScout24 - La plateforme de l'immobilier en Suisse.</v>
      </c>
      <c r="D2231" s="4" t="str">
        <f>vlookup(A2231, Sheet2!D:E, 2, 0)</f>
        <v>variant</v>
      </c>
      <c r="E2231" s="4" t="str">
        <f>IFERROR(__xludf.DUMMYFUNCTION("if(H2231=""pays"",vlookup(REGEXEXTRACT(C2231, ""🏘️ \w+ \w+ (.*) ✅""),'Country prepositions'!A:B, 2, 0) &amp; "" "" &amp; REGEXEXTRACT(C2231, ""🏘️ \w+ \w+ (.*) ✅"") ,  if(H2231=""quartier"",vlookup(REGEXEXTRACT(C2231, ""🏘️ \w+ \w+ (.*) ✅""),'Quartier prepositio"&amp;"ns'!A:E, 5, 0) ,  if(H2231=""region"",vlookup(REGEXEXTRACT(C2231, ""🏘️ \w+ \w+ (.*) ✅""),'Region prepositions'!B:F, 5, 0),  REGEXEXTRACT(C2231, ""🏘️ \w+ \w+ (.*) ✅""))))"),"dans le quartier de Gasel (Köniz)")</f>
        <v>dans le quartier de Gasel (Köniz)</v>
      </c>
      <c r="F2231" s="2" t="str">
        <f>IFERROR(__xludf.DUMMYFUNCTION("REGEXEXTRACT(C2231, ""🏘️ (\w+) \w+ .* ✅"")"),"Louer")</f>
        <v>Louer</v>
      </c>
      <c r="G2231" s="2" t="str">
        <f>IFERROR(__xludf.DUMMYFUNCTION("REGEXEXTRACT(C2231, ""🏘️ \w+ (\w+) .* ✅"")"),"appartement")</f>
        <v>appartement</v>
      </c>
      <c r="H2231" s="4" t="str">
        <f>IFERROR(__xludf.DUMMYFUNCTION("REGEXEXTRACT(A2231, ""/(\w+)-.*?"")"),"quartier")</f>
        <v>quartier</v>
      </c>
      <c r="I2231" s="4" t="str">
        <f>IFERROR(__xludf.DUMMYFUNCTION("if(D2231=""variant"",  substitute(filter(Templates!E:E, Templates!A:A = F2231, Templates!B:B = G2231, Templates!C:C = H2231), ""{{}}"", E2231), B2231)"),"🏘  Vous cherchez un appartement à louer dans le quartier de Gasel (Köniz)? ✅ Les annonces les plus actuelles sont sur ImmoScout24.ch.")</f>
        <v>🏘  Vous cherchez un appartement à louer dans le quartier de Gasel (Köniz)? ✅ Les annonces les plus actuelles sont sur ImmoScout24.ch.</v>
      </c>
      <c r="J2231" s="4" t="s">
        <v>6691</v>
      </c>
    </row>
    <row r="2232">
      <c r="A2232" s="5" t="s">
        <v>6692</v>
      </c>
      <c r="B2232" s="2" t="s">
        <v>6693</v>
      </c>
      <c r="C2232" s="4" t="str">
        <f>IFERROR(__xludf.DUMMYFUNCTION("""🏘️ ""&amp;REGEXEXTRACT(B2232, ""^(.*): "")&amp;"" ✅ "" &amp;REGEXEXTRACT(B2232, ""(Trouvez.*)"")"),"🏘️ Louer appartement Heitenried ✅ Trouvez le bien immobilier qui correspond idéalement à vos désirs sur ImmoScout24 - La plateforme de l'immobilier en Suisse.")</f>
        <v>🏘️ Louer appartement Heitenried ✅ Trouvez le bien immobilier qui correspond idéalement à vos désirs sur ImmoScout24 - La plateforme de l'immobilier en Suisse.</v>
      </c>
      <c r="D2232" s="4" t="str">
        <f>vlookup(A2232, Sheet2!D:E, 2, 0)</f>
        <v>variant</v>
      </c>
      <c r="E2232" s="4" t="str">
        <f>IFERROR(__xludf.DUMMYFUNCTION("if(H2232=""pays"",vlookup(REGEXEXTRACT(C2232, ""🏘️ \w+ \w+ (.*) ✅""),'Country prepositions'!A:B, 2, 0) &amp; "" "" &amp; REGEXEXTRACT(C2232, ""🏘️ \w+ \w+ (.*) ✅"") ,  if(H2232=""quartier"",vlookup(REGEXEXTRACT(C2232, ""🏘️ \w+ \w+ (.*) ✅""),'Quartier prepositio"&amp;"ns'!A:E, 5, 0) ,  if(H2232=""region"",vlookup(REGEXEXTRACT(C2232, ""🏘️ \w+ \w+ (.*) ✅""),'Region prepositions'!B:F, 5, 0),  REGEXEXTRACT(C2232, ""🏘️ \w+ \w+ (.*) ✅""))))"),"Heitenried")</f>
        <v>Heitenried</v>
      </c>
      <c r="F2232" s="2" t="str">
        <f>IFERROR(__xludf.DUMMYFUNCTION("REGEXEXTRACT(C2232, ""🏘️ (\w+) \w+ .* ✅"")"),"Louer")</f>
        <v>Louer</v>
      </c>
      <c r="G2232" s="2" t="str">
        <f>IFERROR(__xludf.DUMMYFUNCTION("REGEXEXTRACT(C2232, ""🏘️ \w+ (\w+) .* ✅"")"),"appartement")</f>
        <v>appartement</v>
      </c>
      <c r="H2232" s="4" t="str">
        <f>IFERROR(__xludf.DUMMYFUNCTION("REGEXEXTRACT(A2232, ""/(\w+)-.*?"")"),"lieu")</f>
        <v>lieu</v>
      </c>
      <c r="I2232" s="4" t="str">
        <f>IFERROR(__xludf.DUMMYFUNCTION("if(D2232=""variant"",  substitute(filter(Templates!E:E, Templates!A:A = F2232, Templates!B:B = G2232, Templates!C:C = H2232), ""{{}}"", E2232), B2232)"),"🏘  Vous cherchez un appartement à louer à Heitenried? ✅ Les annonces les plus actuelles sont sur ImmoScout24.ch.")</f>
        <v>🏘  Vous cherchez un appartement à louer à Heitenried? ✅ Les annonces les plus actuelles sont sur ImmoScout24.ch.</v>
      </c>
      <c r="J2232" s="4" t="s">
        <v>6694</v>
      </c>
    </row>
    <row r="2233">
      <c r="A2233" s="5" t="s">
        <v>6695</v>
      </c>
      <c r="B2233" s="2" t="s">
        <v>6696</v>
      </c>
      <c r="C2233" s="4" t="str">
        <f>IFERROR(__xludf.DUMMYFUNCTION("""🏘️ ""&amp;REGEXEXTRACT(B2233, ""^(.*): "")&amp;"" ✅ "" &amp;REGEXEXTRACT(B2233, ""(Trouvez.*)"")"),"🏘️ Vendre appartement Corsier GE ✅ Trouvez le bien immobilier qui correspond idéalement à vos désirs sur ImmoScout24 - La plateforme de l'immobilier en Suisse.")</f>
        <v>🏘️ Vendre appartement Corsier GE ✅ Trouvez le bien immobilier qui correspond idéalement à vos désirs sur ImmoScout24 - La plateforme de l'immobilier en Suisse.</v>
      </c>
      <c r="D2233" s="4" t="str">
        <f>vlookup(A2233, Sheet2!D:E, 2, 0)</f>
        <v>variant</v>
      </c>
      <c r="E2233" s="4" t="str">
        <f>IFERROR(__xludf.DUMMYFUNCTION("if(H2233=""pays"",vlookup(REGEXEXTRACT(C2233, ""🏘️ \w+ \w+ (.*) ✅""),'Country prepositions'!A:B, 2, 0) &amp; "" "" &amp; REGEXEXTRACT(C2233, ""🏘️ \w+ \w+ (.*) ✅"") ,  if(H2233=""quartier"",vlookup(REGEXEXTRACT(C2233, ""🏘️ \w+ \w+ (.*) ✅""),'Quartier prepositio"&amp;"ns'!A:E, 5, 0) ,  if(H2233=""region"",vlookup(REGEXEXTRACT(C2233, ""🏘️ \w+ \w+ (.*) ✅""),'Region prepositions'!B:F, 5, 0),  REGEXEXTRACT(C2233, ""🏘️ \w+ \w+ (.*) ✅""))))"),"Corsier GE")</f>
        <v>Corsier GE</v>
      </c>
      <c r="F2233" s="2" t="str">
        <f>IFERROR(__xludf.DUMMYFUNCTION("REGEXEXTRACT(C2233, ""🏘️ (\w+) \w+ .* ✅"")"),"Vendre")</f>
        <v>Vendre</v>
      </c>
      <c r="G2233" s="2" t="str">
        <f>IFERROR(__xludf.DUMMYFUNCTION("REGEXEXTRACT(C2233, ""🏘️ \w+ (\w+) .* ✅"")"),"appartement")</f>
        <v>appartement</v>
      </c>
      <c r="H2233" s="4" t="str">
        <f>IFERROR(__xludf.DUMMYFUNCTION("REGEXEXTRACT(A2233, ""/(\w+)-.*?"")"),"lieu")</f>
        <v>lieu</v>
      </c>
      <c r="I2233" s="4" t="str">
        <f>IFERROR(__xludf.DUMMYFUNCTION("if(D2233=""variant"",  substitute(filter(Templates!E:E, Templates!A:A = F2233, Templates!B:B = G2233, Templates!C:C = H2233), ""{{}}"", E2233), B2233)"),"🏘  L’appartement de vos rêves se trouve sur ImmoScout24.ch ✅ Découvrez les dernières annonces de vente à Corsier GE.")</f>
        <v>🏘  L’appartement de vos rêves se trouve sur ImmoScout24.ch ✅ Découvrez les dernières annonces de vente à Corsier GE.</v>
      </c>
      <c r="J2233" s="4" t="s">
        <v>6697</v>
      </c>
    </row>
    <row r="2234">
      <c r="A2234" s="5" t="s">
        <v>6698</v>
      </c>
      <c r="B2234" s="2" t="s">
        <v>6699</v>
      </c>
      <c r="C2234" s="4" t="str">
        <f>IFERROR(__xludf.DUMMYFUNCTION("""🏘️ ""&amp;REGEXEXTRACT(B2234, ""^(.*): "")&amp;"" ✅ "" &amp;REGEXEXTRACT(B2234, ""(Trouvez.*)"")"),"🏘️ Louer appartement Rorschach - St. Gallen ✅ Trouvez le bien immobilier qui correspond idéalement à vos désirs sur ImmoScout24 - La plateforme de l'immobilier en Suisse.")</f>
        <v>🏘️ Louer appartement Rorschach - St. Gallen ✅ Trouvez le bien immobilier qui correspond idéalement à vos désirs sur ImmoScout24 - La plateforme de l'immobilier en Suisse.</v>
      </c>
      <c r="D2234" s="4" t="str">
        <f>vlookup(A2234, Sheet2!D:E, 2, 0)</f>
        <v>variant</v>
      </c>
      <c r="E2234" s="4" t="str">
        <f>IFERROR(__xludf.DUMMYFUNCTION("if(H2234=""pays"",vlookup(REGEXEXTRACT(C2234, ""🏘️ \w+ \w+ (.*) ✅""),'Country prepositions'!A:B, 2, 0) &amp; "" "" &amp; REGEXEXTRACT(C2234, ""🏘️ \w+ \w+ (.*) ✅"") ,  if(H2234=""quartier"",vlookup(REGEXEXTRACT(C2234, ""🏘️ \w+ \w+ (.*) ✅""),'Quartier prepositio"&amp;"ns'!A:E, 5, 0) ,  if(H2234=""region"",vlookup(REGEXEXTRACT(C2234, ""🏘️ \w+ \w+ (.*) ✅""),'Region prepositions'!B:F, 5, 0),  REGEXEXTRACT(C2234, ""🏘️ \w+ \w+ (.*) ✅""))))"),"dans la région de St-Gall")</f>
        <v>dans la région de St-Gall</v>
      </c>
      <c r="F2234" s="2" t="str">
        <f>IFERROR(__xludf.DUMMYFUNCTION("REGEXEXTRACT(C2234, ""🏘️ (\w+) \w+ .* ✅"")"),"Louer")</f>
        <v>Louer</v>
      </c>
      <c r="G2234" s="2" t="str">
        <f>IFERROR(__xludf.DUMMYFUNCTION("REGEXEXTRACT(C2234, ""🏘️ \w+ (\w+) .* ✅"")"),"appartement")</f>
        <v>appartement</v>
      </c>
      <c r="H2234" s="4" t="str">
        <f>IFERROR(__xludf.DUMMYFUNCTION("REGEXEXTRACT(A2234, ""/(\w+)-.*?"")"),"region")</f>
        <v>region</v>
      </c>
      <c r="I2234" s="4" t="str">
        <f>IFERROR(__xludf.DUMMYFUNCTION("if(D2234=""variant"",  substitute(filter(Templates!E:E, Templates!A:A = F2234, Templates!B:B = G2234, Templates!C:C = H2234), ""{{}}"", E2234), B2234)"),"🏘  Vous cherchez un appartement à louer dans la région de St-Gall? ✅ Les annonces les plus actuelles sont sur ImmoScout24.ch.")</f>
        <v>🏘  Vous cherchez un appartement à louer dans la région de St-Gall? ✅ Les annonces les plus actuelles sont sur ImmoScout24.ch.</v>
      </c>
      <c r="J2234" s="4" t="s">
        <v>6700</v>
      </c>
    </row>
    <row r="2235">
      <c r="A2235" s="5" t="s">
        <v>6701</v>
      </c>
      <c r="B2235" s="2" t="s">
        <v>6702</v>
      </c>
      <c r="C2235" s="4" t="str">
        <f>IFERROR(__xludf.DUMMYFUNCTION("""🏘️ ""&amp;REGEXEXTRACT(B2235, ""^(.*): "")&amp;"" ✅ "" &amp;REGEXEXTRACT(B2235, ""(Trouvez.*)"")"),"🏘️ Vendre appartement Muri AG ✅ Trouvez le bien immobilier qui correspond idéalement à vos désirs sur ImmoScout24 - La plateforme de l'immobilier en Suisse.")</f>
        <v>🏘️ Vendre appartement Muri AG ✅ Trouvez le bien immobilier qui correspond idéalement à vos désirs sur ImmoScout24 - La plateforme de l'immobilier en Suisse.</v>
      </c>
      <c r="D2235" s="4" t="str">
        <f>vlookup(A2235, Sheet2!D:E, 2, 0)</f>
        <v>variant</v>
      </c>
      <c r="E2235" s="4" t="str">
        <f>IFERROR(__xludf.DUMMYFUNCTION("if(H2235=""pays"",vlookup(REGEXEXTRACT(C2235, ""🏘️ \w+ \w+ (.*) ✅""),'Country prepositions'!A:B, 2, 0) &amp; "" "" &amp; REGEXEXTRACT(C2235, ""🏘️ \w+ \w+ (.*) ✅"") ,  if(H2235=""quartier"",vlookup(REGEXEXTRACT(C2235, ""🏘️ \w+ \w+ (.*) ✅""),'Quartier prepositio"&amp;"ns'!A:E, 5, 0) ,  if(H2235=""region"",vlookup(REGEXEXTRACT(C2235, ""🏘️ \w+ \w+ (.*) ✅""),'Region prepositions'!B:F, 5, 0),  REGEXEXTRACT(C2235, ""🏘️ \w+ \w+ (.*) ✅""))))"),"Muri AG")</f>
        <v>Muri AG</v>
      </c>
      <c r="F2235" s="2" t="str">
        <f>IFERROR(__xludf.DUMMYFUNCTION("REGEXEXTRACT(C2235, ""🏘️ (\w+) \w+ .* ✅"")"),"Vendre")</f>
        <v>Vendre</v>
      </c>
      <c r="G2235" s="2" t="str">
        <f>IFERROR(__xludf.DUMMYFUNCTION("REGEXEXTRACT(C2235, ""🏘️ \w+ (\w+) .* ✅"")"),"appartement")</f>
        <v>appartement</v>
      </c>
      <c r="H2235" s="4" t="str">
        <f>IFERROR(__xludf.DUMMYFUNCTION("REGEXEXTRACT(A2235, ""/(\w+)-.*?"")"),"lieu")</f>
        <v>lieu</v>
      </c>
      <c r="I2235" s="4" t="str">
        <f>IFERROR(__xludf.DUMMYFUNCTION("if(D2235=""variant"",  substitute(filter(Templates!E:E, Templates!A:A = F2235, Templates!B:B = G2235, Templates!C:C = H2235), ""{{}}"", E2235), B2235)"),"🏘  L’appartement de vos rêves se trouve sur ImmoScout24.ch ✅ Découvrez les dernières annonces de vente à Muri AG.")</f>
        <v>🏘  L’appartement de vos rêves se trouve sur ImmoScout24.ch ✅ Découvrez les dernières annonces de vente à Muri AG.</v>
      </c>
      <c r="J2235" s="4" t="s">
        <v>6703</v>
      </c>
    </row>
    <row r="2236">
      <c r="A2236" s="5" t="s">
        <v>6704</v>
      </c>
      <c r="B2236" s="2" t="s">
        <v>6705</v>
      </c>
      <c r="C2236" s="4" t="str">
        <f>IFERROR(__xludf.DUMMYFUNCTION("""🏘️ ""&amp;REGEXEXTRACT(B2236, ""^(.*): "")&amp;"" ✅ "" &amp;REGEXEXTRACT(B2236, ""(Trouvez.*)"")"),"🏘️ Louer appartement Wilen (Sarnen) ✅ Trouvez le bien immobilier qui correspond idéalement à vos désirs sur ImmoScout24 - La plateforme de l'immobilier en Suisse.")</f>
        <v>🏘️ Louer appartement Wilen (Sarnen) ✅ Trouvez le bien immobilier qui correspond idéalement à vos désirs sur ImmoScout24 - La plateforme de l'immobilier en Suisse.</v>
      </c>
      <c r="D2236" s="4" t="str">
        <f>vlookup(A2236, Sheet2!D:E, 2, 0)</f>
        <v>variant</v>
      </c>
      <c r="E2236" s="4" t="str">
        <f>IFERROR(__xludf.DUMMYFUNCTION("if(H2236=""pays"",vlookup(REGEXEXTRACT(C2236, ""🏘️ \w+ \w+ (.*) ✅""),'Country prepositions'!A:B, 2, 0) &amp; "" "" &amp; REGEXEXTRACT(C2236, ""🏘️ \w+ \w+ (.*) ✅"") ,  if(H2236=""quartier"",vlookup(REGEXEXTRACT(C2236, ""🏘️ \w+ \w+ (.*) ✅""),'Quartier prepositio"&amp;"ns'!A:E, 5, 0) ,  if(H2236=""region"",vlookup(REGEXEXTRACT(C2236, ""🏘️ \w+ \w+ (.*) ✅""),'Region prepositions'!B:F, 5, 0),  REGEXEXTRACT(C2236, ""🏘️ \w+ \w+ (.*) ✅""))))"),"Wilen (Sarnen)")</f>
        <v>Wilen (Sarnen)</v>
      </c>
      <c r="F2236" s="2" t="str">
        <f>IFERROR(__xludf.DUMMYFUNCTION("REGEXEXTRACT(C2236, ""🏘️ (\w+) \w+ .* ✅"")"),"Louer")</f>
        <v>Louer</v>
      </c>
      <c r="G2236" s="2" t="str">
        <f>IFERROR(__xludf.DUMMYFUNCTION("REGEXEXTRACT(C2236, ""🏘️ \w+ (\w+) .* ✅"")"),"appartement")</f>
        <v>appartement</v>
      </c>
      <c r="H2236" s="4" t="str">
        <f>IFERROR(__xludf.DUMMYFUNCTION("REGEXEXTRACT(A2236, ""/(\w+)-.*?"")"),"lieu")</f>
        <v>lieu</v>
      </c>
      <c r="I2236" s="4" t="str">
        <f>IFERROR(__xludf.DUMMYFUNCTION("if(D2236=""variant"",  substitute(filter(Templates!E:E, Templates!A:A = F2236, Templates!B:B = G2236, Templates!C:C = H2236), ""{{}}"", E2236), B2236)"),"🏘  Vous cherchez un appartement à louer à Wilen (Sarnen)? ✅ Les annonces les plus actuelles sont sur ImmoScout24.ch.")</f>
        <v>🏘  Vous cherchez un appartement à louer à Wilen (Sarnen)? ✅ Les annonces les plus actuelles sont sur ImmoScout24.ch.</v>
      </c>
      <c r="J2236" s="4" t="s">
        <v>6706</v>
      </c>
    </row>
    <row r="2237">
      <c r="A2237" s="5" t="s">
        <v>6707</v>
      </c>
      <c r="B2237" s="2" t="s">
        <v>6708</v>
      </c>
      <c r="C2237" s="4" t="str">
        <f>IFERROR(__xludf.DUMMYFUNCTION("""🏘️ ""&amp;REGEXEXTRACT(B2237, ""^(.*): "")&amp;"" ✅ "" &amp;REGEXEXTRACT(B2237, ""(Trouvez.*)"")"),"🏘️ Louer appartement Uzwil ✅ Trouvez le bien immobilier qui correspond idéalement à vos désirs sur ImmoScout24 - La plateforme de l'immobilier en Suisse.")</f>
        <v>🏘️ Louer appartement Uzwil ✅ Trouvez le bien immobilier qui correspond idéalement à vos désirs sur ImmoScout24 - La plateforme de l'immobilier en Suisse.</v>
      </c>
      <c r="D2237" s="4" t="str">
        <f>vlookup(A2237, Sheet2!D:E, 2, 0)</f>
        <v>variant</v>
      </c>
      <c r="E2237" s="4" t="str">
        <f>IFERROR(__xludf.DUMMYFUNCTION("if(H2237=""pays"",vlookup(REGEXEXTRACT(C2237, ""🏘️ \w+ \w+ (.*) ✅""),'Country prepositions'!A:B, 2, 0) &amp; "" "" &amp; REGEXEXTRACT(C2237, ""🏘️ \w+ \w+ (.*) ✅"") ,  if(H2237=""quartier"",vlookup(REGEXEXTRACT(C2237, ""🏘️ \w+ \w+ (.*) ✅""),'Quartier prepositio"&amp;"ns'!A:E, 5, 0) ,  if(H2237=""region"",vlookup(REGEXEXTRACT(C2237, ""🏘️ \w+ \w+ (.*) ✅""),'Region prepositions'!B:F, 5, 0),  REGEXEXTRACT(C2237, ""🏘️ \w+ \w+ (.*) ✅""))))"),"Uzwil")</f>
        <v>Uzwil</v>
      </c>
      <c r="F2237" s="2" t="str">
        <f>IFERROR(__xludf.DUMMYFUNCTION("REGEXEXTRACT(C2237, ""🏘️ (\w+) \w+ .* ✅"")"),"Louer")</f>
        <v>Louer</v>
      </c>
      <c r="G2237" s="2" t="str">
        <f>IFERROR(__xludf.DUMMYFUNCTION("REGEXEXTRACT(C2237, ""🏘️ \w+ (\w+) .* ✅"")"),"appartement")</f>
        <v>appartement</v>
      </c>
      <c r="H2237" s="4" t="str">
        <f>IFERROR(__xludf.DUMMYFUNCTION("REGEXEXTRACT(A2237, ""/(\w+)-.*?"")"),"lieu")</f>
        <v>lieu</v>
      </c>
      <c r="I2237" s="4" t="str">
        <f>IFERROR(__xludf.DUMMYFUNCTION("if(D2237=""variant"",  substitute(filter(Templates!E:E, Templates!A:A = F2237, Templates!B:B = G2237, Templates!C:C = H2237), ""{{}}"", E2237), B2237)"),"🏘  Vous cherchez un appartement à louer à Uzwil? ✅ Les annonces les plus actuelles sont sur ImmoScout24.ch.")</f>
        <v>🏘  Vous cherchez un appartement à louer à Uzwil? ✅ Les annonces les plus actuelles sont sur ImmoScout24.ch.</v>
      </c>
      <c r="J2237" s="4" t="s">
        <v>6709</v>
      </c>
    </row>
    <row r="2238">
      <c r="A2238" s="5" t="s">
        <v>6710</v>
      </c>
      <c r="B2238" s="2" t="s">
        <v>6711</v>
      </c>
      <c r="C2238" s="4" t="str">
        <f>IFERROR(__xludf.DUMMYFUNCTION("""🏘️ ""&amp;REGEXEXTRACT(B2238, ""^(.*): "")&amp;"" ✅ "" &amp;REGEXEXTRACT(B2238, ""(Trouvez.*)"")"),"🏘️ Vendre maison Essertines-sur-Rolle ✅ Trouvez le bien immobilier qui correspond idéalement à vos désirs sur ImmoScout24 - La plateforme de l'immobilier en Suisse.")</f>
        <v>🏘️ Vendre maison Essertines-sur-Rolle ✅ Trouvez le bien immobilier qui correspond idéalement à vos désirs sur ImmoScout24 - La plateforme de l'immobilier en Suisse.</v>
      </c>
      <c r="D2238" s="4" t="str">
        <f>vlookup(A2238, Sheet2!D:E, 2, 0)</f>
        <v>variant</v>
      </c>
      <c r="E2238" s="4" t="str">
        <f>IFERROR(__xludf.DUMMYFUNCTION("if(H2238=""pays"",vlookup(REGEXEXTRACT(C2238, ""🏘️ \w+ \w+ (.*) ✅""),'Country prepositions'!A:B, 2, 0) &amp; "" "" &amp; REGEXEXTRACT(C2238, ""🏘️ \w+ \w+ (.*) ✅"") ,  if(H2238=""quartier"",vlookup(REGEXEXTRACT(C2238, ""🏘️ \w+ \w+ (.*) ✅""),'Quartier prepositio"&amp;"ns'!A:E, 5, 0) ,  if(H2238=""region"",vlookup(REGEXEXTRACT(C2238, ""🏘️ \w+ \w+ (.*) ✅""),'Region prepositions'!B:F, 5, 0),  REGEXEXTRACT(C2238, ""🏘️ \w+ \w+ (.*) ✅""))))"),"Essertines-sur-Rolle")</f>
        <v>Essertines-sur-Rolle</v>
      </c>
      <c r="F2238" s="2" t="str">
        <f>IFERROR(__xludf.DUMMYFUNCTION("REGEXEXTRACT(C2238, ""🏘️ (\w+) \w+ .* ✅"")"),"Vendre")</f>
        <v>Vendre</v>
      </c>
      <c r="G2238" s="2" t="str">
        <f>IFERROR(__xludf.DUMMYFUNCTION("REGEXEXTRACT(C2238, ""🏘️ \w+ (\w+) .* ✅"")"),"maison")</f>
        <v>maison</v>
      </c>
      <c r="H2238" s="4" t="str">
        <f>IFERROR(__xludf.DUMMYFUNCTION("REGEXEXTRACT(A2238, ""/(\w+)-.*?"")"),"lieu")</f>
        <v>lieu</v>
      </c>
      <c r="I2238" s="4" t="str">
        <f>IFERROR(__xludf.DUMMYFUNCTION("if(D2238=""variant"",  substitute(filter(Templates!E:E, Templates!A:A = F2238, Templates!B:B = G2238, Templates!C:C = H2238), ""{{}}"", E2238), B2238)"),"🏘  Vous souhaitez acheter une maison à Essertines-sur-Rolle? ✅ Jetez un œil aux dernières offres sur ImmoScout24.ch.")</f>
        <v>🏘  Vous souhaitez acheter une maison à Essertines-sur-Rolle? ✅ Jetez un œil aux dernières offres sur ImmoScout24.ch.</v>
      </c>
      <c r="J2238" s="4" t="s">
        <v>6712</v>
      </c>
    </row>
    <row r="2239">
      <c r="A2239" s="5" t="s">
        <v>6713</v>
      </c>
      <c r="B2239" s="2" t="s">
        <v>6714</v>
      </c>
      <c r="C2239" s="4" t="str">
        <f>IFERROR(__xludf.DUMMYFUNCTION("""🏘️ ""&amp;REGEXEXTRACT(B2239, ""^(.*): "")&amp;"" ✅ "" &amp;REGEXEXTRACT(B2239, ""(Trouvez.*)"")"),"🏘️ Louer appartement Jens ✅ Trouvez le bien immobilier qui correspond idéalement à vos désirs sur ImmoScout24 - La plateforme de l'immobilier en Suisse.")</f>
        <v>🏘️ Louer appartement Jens ✅ Trouvez le bien immobilier qui correspond idéalement à vos désirs sur ImmoScout24 - La plateforme de l'immobilier en Suisse.</v>
      </c>
      <c r="D2239" s="4" t="str">
        <f>vlookup(A2239, Sheet2!D:E, 2, 0)</f>
        <v>variant</v>
      </c>
      <c r="E2239" s="4" t="str">
        <f>IFERROR(__xludf.DUMMYFUNCTION("if(H2239=""pays"",vlookup(REGEXEXTRACT(C2239, ""🏘️ \w+ \w+ (.*) ✅""),'Country prepositions'!A:B, 2, 0) &amp; "" "" &amp; REGEXEXTRACT(C2239, ""🏘️ \w+ \w+ (.*) ✅"") ,  if(H2239=""quartier"",vlookup(REGEXEXTRACT(C2239, ""🏘️ \w+ \w+ (.*) ✅""),'Quartier prepositio"&amp;"ns'!A:E, 5, 0) ,  if(H2239=""region"",vlookup(REGEXEXTRACT(C2239, ""🏘️ \w+ \w+ (.*) ✅""),'Region prepositions'!B:F, 5, 0),  REGEXEXTRACT(C2239, ""🏘️ \w+ \w+ (.*) ✅""))))"),"Jens")</f>
        <v>Jens</v>
      </c>
      <c r="F2239" s="2" t="str">
        <f>IFERROR(__xludf.DUMMYFUNCTION("REGEXEXTRACT(C2239, ""🏘️ (\w+) \w+ .* ✅"")"),"Louer")</f>
        <v>Louer</v>
      </c>
      <c r="G2239" s="2" t="str">
        <f>IFERROR(__xludf.DUMMYFUNCTION("REGEXEXTRACT(C2239, ""🏘️ \w+ (\w+) .* ✅"")"),"appartement")</f>
        <v>appartement</v>
      </c>
      <c r="H2239" s="4" t="str">
        <f>IFERROR(__xludf.DUMMYFUNCTION("REGEXEXTRACT(A2239, ""/(\w+)-.*?"")"),"lieu")</f>
        <v>lieu</v>
      </c>
      <c r="I2239" s="4" t="str">
        <f>IFERROR(__xludf.DUMMYFUNCTION("if(D2239=""variant"",  substitute(filter(Templates!E:E, Templates!A:A = F2239, Templates!B:B = G2239, Templates!C:C = H2239), ""{{}}"", E2239), B2239)"),"🏘  Vous cherchez un appartement à louer à Jens? ✅ Les annonces les plus actuelles sont sur ImmoScout24.ch.")</f>
        <v>🏘  Vous cherchez un appartement à louer à Jens? ✅ Les annonces les plus actuelles sont sur ImmoScout24.ch.</v>
      </c>
      <c r="J2239" s="4" t="s">
        <v>6715</v>
      </c>
    </row>
    <row r="2240">
      <c r="A2240" s="5" t="s">
        <v>6716</v>
      </c>
      <c r="B2240" s="2" t="s">
        <v>6717</v>
      </c>
      <c r="C2240" s="4" t="str">
        <f>IFERROR(__xludf.DUMMYFUNCTION("""🏘️ ""&amp;REGEXEXTRACT(B2240, ""^(.*): "")&amp;"" ✅ "" &amp;REGEXEXTRACT(B2240, ""(Trouvez.*)"")"),"🏘️ Louer appartement Burgdorf ✅ Trouvez le bien immobilier qui correspond idéalement à vos désirs sur ImmoScout24 - La plateforme de l'immobilier en Suisse.")</f>
        <v>🏘️ Louer appartement Burgdorf ✅ Trouvez le bien immobilier qui correspond idéalement à vos désirs sur ImmoScout24 - La plateforme de l'immobilier en Suisse.</v>
      </c>
      <c r="D2240" s="4" t="str">
        <f>vlookup(A2240, Sheet2!D:E, 2, 0)</f>
        <v>variant</v>
      </c>
      <c r="E2240" s="4" t="str">
        <f>IFERROR(__xludf.DUMMYFUNCTION("if(H2240=""pays"",vlookup(REGEXEXTRACT(C2240, ""🏘️ \w+ \w+ (.*) ✅""),'Country prepositions'!A:B, 2, 0) &amp; "" "" &amp; REGEXEXTRACT(C2240, ""🏘️ \w+ \w+ (.*) ✅"") ,  if(H2240=""quartier"",vlookup(REGEXEXTRACT(C2240, ""🏘️ \w+ \w+ (.*) ✅""),'Quartier prepositio"&amp;"ns'!A:E, 5, 0) ,  if(H2240=""region"",vlookup(REGEXEXTRACT(C2240, ""🏘️ \w+ \w+ (.*) ✅""),'Region prepositions'!B:F, 5, 0),  REGEXEXTRACT(C2240, ""🏘️ \w+ \w+ (.*) ✅""))))"),"Burgdorf")</f>
        <v>Burgdorf</v>
      </c>
      <c r="F2240" s="2" t="str">
        <f>IFERROR(__xludf.DUMMYFUNCTION("REGEXEXTRACT(C2240, ""🏘️ (\w+) \w+ .* ✅"")"),"Louer")</f>
        <v>Louer</v>
      </c>
      <c r="G2240" s="2" t="str">
        <f>IFERROR(__xludf.DUMMYFUNCTION("REGEXEXTRACT(C2240, ""🏘️ \w+ (\w+) .* ✅"")"),"appartement")</f>
        <v>appartement</v>
      </c>
      <c r="H2240" s="4" t="str">
        <f>IFERROR(__xludf.DUMMYFUNCTION("REGEXEXTRACT(A2240, ""/(\w+)-.*?"")"),"lieu")</f>
        <v>lieu</v>
      </c>
      <c r="I2240" s="4" t="str">
        <f>IFERROR(__xludf.DUMMYFUNCTION("if(D2240=""variant"",  substitute(filter(Templates!E:E, Templates!A:A = F2240, Templates!B:B = G2240, Templates!C:C = H2240), ""{{}}"", E2240), B2240)"),"🏘  Vous cherchez un appartement à louer à Burgdorf? ✅ Les annonces les plus actuelles sont sur ImmoScout24.ch.")</f>
        <v>🏘  Vous cherchez un appartement à louer à Burgdorf? ✅ Les annonces les plus actuelles sont sur ImmoScout24.ch.</v>
      </c>
      <c r="J2240" s="4" t="s">
        <v>6718</v>
      </c>
    </row>
    <row r="2241">
      <c r="A2241" s="5" t="s">
        <v>6719</v>
      </c>
      <c r="B2241" s="2" t="s">
        <v>6720</v>
      </c>
      <c r="C2241" s="4" t="str">
        <f>IFERROR(__xludf.DUMMYFUNCTION("""🏘️ ""&amp;REGEXEXTRACT(B2241, ""^(.*): "")&amp;"" ✅ "" &amp;REGEXEXTRACT(B2241, ""(Trouvez.*)"")"),"🏘️ Vendre appartement Breitenrain (Berne) ✅ Trouvez le bien immobilier qui correspond idéalement à vos désirs sur ImmoScout24 - La plateforme de l'immobilier en Suisse.")</f>
        <v>🏘️ Vendre appartement Breitenrain (Berne) ✅ Trouvez le bien immobilier qui correspond idéalement à vos désirs sur ImmoScout24 - La plateforme de l'immobilier en Suisse.</v>
      </c>
      <c r="D2241" s="4" t="str">
        <f>vlookup(A2241, Sheet2!D:E, 2, 0)</f>
        <v>variant</v>
      </c>
      <c r="E2241" s="4" t="str">
        <f>IFERROR(__xludf.DUMMYFUNCTION("if(H2241=""pays"",vlookup(REGEXEXTRACT(C2241, ""🏘️ \w+ \w+ (.*) ✅""),'Country prepositions'!A:B, 2, 0) &amp; "" "" &amp; REGEXEXTRACT(C2241, ""🏘️ \w+ \w+ (.*) ✅"") ,  if(H2241=""quartier"",vlookup(REGEXEXTRACT(C2241, ""🏘️ \w+ \w+ (.*) ✅""),'Quartier prepositio"&amp;"ns'!A:E, 5, 0) ,  if(H2241=""region"",vlookup(REGEXEXTRACT(C2241, ""🏘️ \w+ \w+ (.*) ✅""),'Region prepositions'!B:F, 5, 0),  REGEXEXTRACT(C2241, ""🏘️ \w+ \w+ (.*) ✅""))))"),"dans le quartier de Breitenrain (Berne)")</f>
        <v>dans le quartier de Breitenrain (Berne)</v>
      </c>
      <c r="F2241" s="2" t="str">
        <f>IFERROR(__xludf.DUMMYFUNCTION("REGEXEXTRACT(C2241, ""🏘️ (\w+) \w+ .* ✅"")"),"Vendre")</f>
        <v>Vendre</v>
      </c>
      <c r="G2241" s="2" t="str">
        <f>IFERROR(__xludf.DUMMYFUNCTION("REGEXEXTRACT(C2241, ""🏘️ \w+ (\w+) .* ✅"")"),"appartement")</f>
        <v>appartement</v>
      </c>
      <c r="H2241" s="4" t="str">
        <f>IFERROR(__xludf.DUMMYFUNCTION("REGEXEXTRACT(A2241, ""/(\w+)-.*?"")"),"quartier")</f>
        <v>quartier</v>
      </c>
      <c r="I2241" s="4" t="str">
        <f>IFERROR(__xludf.DUMMYFUNCTION("if(D2241=""variant"",  substitute(filter(Templates!E:E, Templates!A:A = F2241, Templates!B:B = G2241, Templates!C:C = H2241), ""{{}}"", E2241), B2241)"),"🏘  L’appartement de vos rêves se trouve sur ImmoScout24.ch ✅ Découvrez les dernières annonces de vente dans le quartier de Breitenrain (Berne).")</f>
        <v>🏘  L’appartement de vos rêves se trouve sur ImmoScout24.ch ✅ Découvrez les dernières annonces de vente dans le quartier de Breitenrain (Berne).</v>
      </c>
      <c r="J2241" s="4" t="s">
        <v>6721</v>
      </c>
    </row>
    <row r="2242">
      <c r="A2242" s="5" t="s">
        <v>6722</v>
      </c>
      <c r="B2242" s="2" t="s">
        <v>6723</v>
      </c>
      <c r="C2242" s="4" t="str">
        <f>IFERROR(__xludf.DUMMYFUNCTION("""🏘️ ""&amp;REGEXEXTRACT(B2242, ""^(.*): "")&amp;"" ✅ "" &amp;REGEXEXTRACT(B2242, ""(Trouvez.*)"")"),"🏘️ Vendre maison Bremblens ✅ Trouvez le bien immobilier qui correspond idéalement à vos désirs sur ImmoScout24 - La plateforme de l'immobilier en Suisse.")</f>
        <v>🏘️ Vendre maison Bremblens ✅ Trouvez le bien immobilier qui correspond idéalement à vos désirs sur ImmoScout24 - La plateforme de l'immobilier en Suisse.</v>
      </c>
      <c r="D2242" s="4" t="str">
        <f>vlookup(A2242, Sheet2!D:E, 2, 0)</f>
        <v>variant</v>
      </c>
      <c r="E2242" s="4" t="str">
        <f>IFERROR(__xludf.DUMMYFUNCTION("if(H2242=""pays"",vlookup(REGEXEXTRACT(C2242, ""🏘️ \w+ \w+ (.*) ✅""),'Country prepositions'!A:B, 2, 0) &amp; "" "" &amp; REGEXEXTRACT(C2242, ""🏘️ \w+ \w+ (.*) ✅"") ,  if(H2242=""quartier"",vlookup(REGEXEXTRACT(C2242, ""🏘️ \w+ \w+ (.*) ✅""),'Quartier prepositio"&amp;"ns'!A:E, 5, 0) ,  if(H2242=""region"",vlookup(REGEXEXTRACT(C2242, ""🏘️ \w+ \w+ (.*) ✅""),'Region prepositions'!B:F, 5, 0),  REGEXEXTRACT(C2242, ""🏘️ \w+ \w+ (.*) ✅""))))"),"Bremblens")</f>
        <v>Bremblens</v>
      </c>
      <c r="F2242" s="2" t="str">
        <f>IFERROR(__xludf.DUMMYFUNCTION("REGEXEXTRACT(C2242, ""🏘️ (\w+) \w+ .* ✅"")"),"Vendre")</f>
        <v>Vendre</v>
      </c>
      <c r="G2242" s="2" t="str">
        <f>IFERROR(__xludf.DUMMYFUNCTION("REGEXEXTRACT(C2242, ""🏘️ \w+ (\w+) .* ✅"")"),"maison")</f>
        <v>maison</v>
      </c>
      <c r="H2242" s="4" t="str">
        <f>IFERROR(__xludf.DUMMYFUNCTION("REGEXEXTRACT(A2242, ""/(\w+)-.*?"")"),"lieu")</f>
        <v>lieu</v>
      </c>
      <c r="I2242" s="4" t="str">
        <f>IFERROR(__xludf.DUMMYFUNCTION("if(D2242=""variant"",  substitute(filter(Templates!E:E, Templates!A:A = F2242, Templates!B:B = G2242, Templates!C:C = H2242), ""{{}}"", E2242), B2242)"),"🏘  Vous souhaitez acheter une maison à Bremblens? ✅ Jetez un œil aux dernières offres sur ImmoScout24.ch.")</f>
        <v>🏘  Vous souhaitez acheter une maison à Bremblens? ✅ Jetez un œil aux dernières offres sur ImmoScout24.ch.</v>
      </c>
      <c r="J2242" s="4" t="s">
        <v>6724</v>
      </c>
    </row>
    <row r="2243">
      <c r="A2243" s="5" t="s">
        <v>6725</v>
      </c>
      <c r="B2243" s="2" t="s">
        <v>6726</v>
      </c>
      <c r="C2243" s="4" t="str">
        <f>IFERROR(__xludf.DUMMYFUNCTION("""🏘️ ""&amp;REGEXEXTRACT(B2243, ""^(.*): "")&amp;"" ✅ "" &amp;REGEXEXTRACT(B2243, ""(Trouvez.*)"")"),"🏘️ Louer maison Bruson ✅ Trouvez le bien immobilier qui correspond idéalement à vos désirs sur ImmoScout24 - La plateforme de l'immobilier en Suisse.")</f>
        <v>🏘️ Louer maison Bruson ✅ Trouvez le bien immobilier qui correspond idéalement à vos désirs sur ImmoScout24 - La plateforme de l'immobilier en Suisse.</v>
      </c>
      <c r="D2243" s="4" t="str">
        <f>vlookup(A2243, Sheet2!D:E, 2, 0)</f>
        <v>variant</v>
      </c>
      <c r="E2243" s="4" t="str">
        <f>IFERROR(__xludf.DUMMYFUNCTION("if(H2243=""pays"",vlookup(REGEXEXTRACT(C2243, ""🏘️ \w+ \w+ (.*) ✅""),'Country prepositions'!A:B, 2, 0) &amp; "" "" &amp; REGEXEXTRACT(C2243, ""🏘️ \w+ \w+ (.*) ✅"") ,  if(H2243=""quartier"",vlookup(REGEXEXTRACT(C2243, ""🏘️ \w+ \w+ (.*) ✅""),'Quartier prepositio"&amp;"ns'!A:E, 5, 0) ,  if(H2243=""region"",vlookup(REGEXEXTRACT(C2243, ""🏘️ \w+ \w+ (.*) ✅""),'Region prepositions'!B:F, 5, 0),  REGEXEXTRACT(C2243, ""🏘️ \w+ \w+ (.*) ✅""))))"),"Bruson")</f>
        <v>Bruson</v>
      </c>
      <c r="F2243" s="2" t="str">
        <f>IFERROR(__xludf.DUMMYFUNCTION("REGEXEXTRACT(C2243, ""🏘️ (\w+) \w+ .* ✅"")"),"Louer")</f>
        <v>Louer</v>
      </c>
      <c r="G2243" s="2" t="str">
        <f>IFERROR(__xludf.DUMMYFUNCTION("REGEXEXTRACT(C2243, ""🏘️ \w+ (\w+) .* ✅"")"),"maison")</f>
        <v>maison</v>
      </c>
      <c r="H2243" s="4" t="str">
        <f>IFERROR(__xludf.DUMMYFUNCTION("REGEXEXTRACT(A2243, ""/(\w+)-.*?"")"),"lieu")</f>
        <v>lieu</v>
      </c>
      <c r="I2243" s="4" t="str">
        <f>IFERROR(__xludf.DUMMYFUNCTION("if(D2243=""variant"",  substitute(filter(Templates!E:E, Templates!A:A = F2243, Templates!B:B = G2243, Templates!C:C = H2243), ""{{}}"", E2243), B2243)"),"🏘  Vous cherchez une maison à louer à Bruson? ✅ Découvrez nos nombreuses annonces sur ImmoScout24.ch.")</f>
        <v>🏘  Vous cherchez une maison à louer à Bruson? ✅ Découvrez nos nombreuses annonces sur ImmoScout24.ch.</v>
      </c>
      <c r="J2243" s="4" t="s">
        <v>6727</v>
      </c>
    </row>
    <row r="2244">
      <c r="A2244" s="5" t="s">
        <v>6728</v>
      </c>
      <c r="B2244" s="2" t="s">
        <v>6729</v>
      </c>
      <c r="C2244" s="4" t="str">
        <f>IFERROR(__xludf.DUMMYFUNCTION("""🏘️ ""&amp;REGEXEXTRACT(B2244, ""^(.*): "")&amp;"" ✅ "" &amp;REGEXEXTRACT(B2244, ""(Trouvez.*)"")"),"🏘️ Vendre maison Dotzigen ✅ Trouvez le bien immobilier qui correspond idéalement à vos désirs sur ImmoScout24 - La plateforme de l'immobilier en Suisse.")</f>
        <v>🏘️ Vendre maison Dotzigen ✅ Trouvez le bien immobilier qui correspond idéalement à vos désirs sur ImmoScout24 - La plateforme de l'immobilier en Suisse.</v>
      </c>
      <c r="D2244" s="4" t="str">
        <f>vlookup(A2244, Sheet2!D:E, 2, 0)</f>
        <v>variant</v>
      </c>
      <c r="E2244" s="4" t="str">
        <f>IFERROR(__xludf.DUMMYFUNCTION("if(H2244=""pays"",vlookup(REGEXEXTRACT(C2244, ""🏘️ \w+ \w+ (.*) ✅""),'Country prepositions'!A:B, 2, 0) &amp; "" "" &amp; REGEXEXTRACT(C2244, ""🏘️ \w+ \w+ (.*) ✅"") ,  if(H2244=""quartier"",vlookup(REGEXEXTRACT(C2244, ""🏘️ \w+ \w+ (.*) ✅""),'Quartier prepositio"&amp;"ns'!A:E, 5, 0) ,  if(H2244=""region"",vlookup(REGEXEXTRACT(C2244, ""🏘️ \w+ \w+ (.*) ✅""),'Region prepositions'!B:F, 5, 0),  REGEXEXTRACT(C2244, ""🏘️ \w+ \w+ (.*) ✅""))))"),"Dotzigen")</f>
        <v>Dotzigen</v>
      </c>
      <c r="F2244" s="2" t="str">
        <f>IFERROR(__xludf.DUMMYFUNCTION("REGEXEXTRACT(C2244, ""🏘️ (\w+) \w+ .* ✅"")"),"Vendre")</f>
        <v>Vendre</v>
      </c>
      <c r="G2244" s="2" t="str">
        <f>IFERROR(__xludf.DUMMYFUNCTION("REGEXEXTRACT(C2244, ""🏘️ \w+ (\w+) .* ✅"")"),"maison")</f>
        <v>maison</v>
      </c>
      <c r="H2244" s="4" t="str">
        <f>IFERROR(__xludf.DUMMYFUNCTION("REGEXEXTRACT(A2244, ""/(\w+)-.*?"")"),"lieu")</f>
        <v>lieu</v>
      </c>
      <c r="I2244" s="4" t="str">
        <f>IFERROR(__xludf.DUMMYFUNCTION("if(D2244=""variant"",  substitute(filter(Templates!E:E, Templates!A:A = F2244, Templates!B:B = G2244, Templates!C:C = H2244), ""{{}}"", E2244), B2244)"),"🏘  Vous souhaitez acheter une maison à Dotzigen? ✅ Jetez un œil aux dernières offres sur ImmoScout24.ch.")</f>
        <v>🏘  Vous souhaitez acheter une maison à Dotzigen? ✅ Jetez un œil aux dernières offres sur ImmoScout24.ch.</v>
      </c>
      <c r="J2244" s="4" t="s">
        <v>6730</v>
      </c>
    </row>
    <row r="2245">
      <c r="A2245" s="5" t="s">
        <v>6731</v>
      </c>
      <c r="B2245" s="2" t="s">
        <v>6732</v>
      </c>
      <c r="C2245" s="4" t="str">
        <f>IFERROR(__xludf.DUMMYFUNCTION("""🏘️ ""&amp;REGEXEXTRACT(B2245, ""^(.*): "")&amp;"" ✅ "" &amp;REGEXEXTRACT(B2245, ""(Trouvez.*)"")"),"🏘️ Louer appartement Muraz (Sierre) ✅ Trouvez le bien immobilier qui correspond idéalement à vos désirs sur ImmoScout24 - La plateforme de l'immobilier en Suisse.")</f>
        <v>🏘️ Louer appartement Muraz (Sierre) ✅ Trouvez le bien immobilier qui correspond idéalement à vos désirs sur ImmoScout24 - La plateforme de l'immobilier en Suisse.</v>
      </c>
      <c r="D2245" s="4" t="str">
        <f>vlookup(A2245, Sheet2!D:E, 2, 0)</f>
        <v>variant</v>
      </c>
      <c r="E2245" s="4" t="str">
        <f>IFERROR(__xludf.DUMMYFUNCTION("if(H2245=""pays"",vlookup(REGEXEXTRACT(C2245, ""🏘️ \w+ \w+ (.*) ✅""),'Country prepositions'!A:B, 2, 0) &amp; "" "" &amp; REGEXEXTRACT(C2245, ""🏘️ \w+ \w+ (.*) ✅"") ,  if(H2245=""quartier"",vlookup(REGEXEXTRACT(C2245, ""🏘️ \w+ \w+ (.*) ✅""),'Quartier prepositio"&amp;"ns'!A:E, 5, 0) ,  if(H2245=""region"",vlookup(REGEXEXTRACT(C2245, ""🏘️ \w+ \w+ (.*) ✅""),'Region prepositions'!B:F, 5, 0),  REGEXEXTRACT(C2245, ""🏘️ \w+ \w+ (.*) ✅""))))"),"Muraz (Sierre)")</f>
        <v>Muraz (Sierre)</v>
      </c>
      <c r="F2245" s="2" t="str">
        <f>IFERROR(__xludf.DUMMYFUNCTION("REGEXEXTRACT(C2245, ""🏘️ (\w+) \w+ .* ✅"")"),"Louer")</f>
        <v>Louer</v>
      </c>
      <c r="G2245" s="2" t="str">
        <f>IFERROR(__xludf.DUMMYFUNCTION("REGEXEXTRACT(C2245, ""🏘️ \w+ (\w+) .* ✅"")"),"appartement")</f>
        <v>appartement</v>
      </c>
      <c r="H2245" s="4" t="str">
        <f>IFERROR(__xludf.DUMMYFUNCTION("REGEXEXTRACT(A2245, ""/(\w+)-.*?"")"),"lieu")</f>
        <v>lieu</v>
      </c>
      <c r="I2245" s="4" t="str">
        <f>IFERROR(__xludf.DUMMYFUNCTION("if(D2245=""variant"",  substitute(filter(Templates!E:E, Templates!A:A = F2245, Templates!B:B = G2245, Templates!C:C = H2245), ""{{}}"", E2245), B2245)"),"🏘  Vous cherchez un appartement à louer à Muraz (Sierre)? ✅ Les annonces les plus actuelles sont sur ImmoScout24.ch.")</f>
        <v>🏘  Vous cherchez un appartement à louer à Muraz (Sierre)? ✅ Les annonces les plus actuelles sont sur ImmoScout24.ch.</v>
      </c>
      <c r="J2245" s="4" t="s">
        <v>6733</v>
      </c>
    </row>
    <row r="2246">
      <c r="A2246" s="5" t="s">
        <v>6734</v>
      </c>
      <c r="B2246" s="2" t="s">
        <v>6735</v>
      </c>
      <c r="C2246" s="4" t="str">
        <f>IFERROR(__xludf.DUMMYFUNCTION("""🏘️ ""&amp;REGEXEXTRACT(B2246, ""^(.*): "")&amp;"" ✅ "" &amp;REGEXEXTRACT(B2246, ""(Trouvez.*)"")"),"🏘️ Louer appartement Neuveville (Fribourg) ✅ Trouvez le bien immobilier qui correspond idéalement à vos désirs sur ImmoScout24 - La plateforme de l'immobilier en Suisse.")</f>
        <v>🏘️ Louer appartement Neuveville (Fribourg) ✅ Trouvez le bien immobilier qui correspond idéalement à vos désirs sur ImmoScout24 - La plateforme de l'immobilier en Suisse.</v>
      </c>
      <c r="D2246" s="4" t="str">
        <f>vlookup(A2246, Sheet2!D:E, 2, 0)</f>
        <v>variant</v>
      </c>
      <c r="E2246" s="4" t="str">
        <f>IFERROR(__xludf.DUMMYFUNCTION("if(H2246=""pays"",vlookup(REGEXEXTRACT(C2246, ""🏘️ \w+ \w+ (.*) ✅""),'Country prepositions'!A:B, 2, 0) &amp; "" "" &amp; REGEXEXTRACT(C2246, ""🏘️ \w+ \w+ (.*) ✅"") ,  if(H2246=""quartier"",vlookup(REGEXEXTRACT(C2246, ""🏘️ \w+ \w+ (.*) ✅""),'Quartier prepositio"&amp;"ns'!A:E, 5, 0) ,  if(H2246=""region"",vlookup(REGEXEXTRACT(C2246, ""🏘️ \w+ \w+ (.*) ✅""),'Region prepositions'!B:F, 5, 0),  REGEXEXTRACT(C2246, ""🏘️ \w+ \w+ (.*) ✅""))))"),"dans le quartier de la Neuveville (Fribourg)")</f>
        <v>dans le quartier de la Neuveville (Fribourg)</v>
      </c>
      <c r="F2246" s="2" t="str">
        <f>IFERROR(__xludf.DUMMYFUNCTION("REGEXEXTRACT(C2246, ""🏘️ (\w+) \w+ .* ✅"")"),"Louer")</f>
        <v>Louer</v>
      </c>
      <c r="G2246" s="2" t="str">
        <f>IFERROR(__xludf.DUMMYFUNCTION("REGEXEXTRACT(C2246, ""🏘️ \w+ (\w+) .* ✅"")"),"appartement")</f>
        <v>appartement</v>
      </c>
      <c r="H2246" s="4" t="str">
        <f>IFERROR(__xludf.DUMMYFUNCTION("REGEXEXTRACT(A2246, ""/(\w+)-.*?"")"),"quartier")</f>
        <v>quartier</v>
      </c>
      <c r="I2246" s="4" t="str">
        <f>IFERROR(__xludf.DUMMYFUNCTION("if(D2246=""variant"",  substitute(filter(Templates!E:E, Templates!A:A = F2246, Templates!B:B = G2246, Templates!C:C = H2246), ""{{}}"", E2246), B2246)"),"🏘  Vous cherchez un appartement à louer dans le quartier de la Neuveville (Fribourg)? ✅ Les annonces les plus actuelles sont sur ImmoScout24.ch.")</f>
        <v>🏘  Vous cherchez un appartement à louer dans le quartier de la Neuveville (Fribourg)? ✅ Les annonces les plus actuelles sont sur ImmoScout24.ch.</v>
      </c>
      <c r="J2246" s="4" t="s">
        <v>6736</v>
      </c>
    </row>
    <row r="2247">
      <c r="A2247" s="5" t="s">
        <v>6737</v>
      </c>
      <c r="B2247" s="2" t="s">
        <v>6738</v>
      </c>
      <c r="C2247" s="4" t="str">
        <f>IFERROR(__xludf.DUMMYFUNCTION("""🏘️ ""&amp;REGEXEXTRACT(B2247, ""^(.*): "")&amp;"" ✅ "" &amp;REGEXEXTRACT(B2247, ""(Trouvez.*)"")"),"🏘️ Vendre maison Dompierre FR ✅ Trouvez le bien immobilier qui correspond idéalement à vos désirs sur ImmoScout24 - La plateforme de l'immobilier en Suisse.")</f>
        <v>🏘️ Vendre maison Dompierre FR ✅ Trouvez le bien immobilier qui correspond idéalement à vos désirs sur ImmoScout24 - La plateforme de l'immobilier en Suisse.</v>
      </c>
      <c r="D2247" s="4" t="str">
        <f>vlookup(A2247, Sheet2!D:E, 2, 0)</f>
        <v>variant</v>
      </c>
      <c r="E2247" s="4" t="str">
        <f>IFERROR(__xludf.DUMMYFUNCTION("if(H2247=""pays"",vlookup(REGEXEXTRACT(C2247, ""🏘️ \w+ \w+ (.*) ✅""),'Country prepositions'!A:B, 2, 0) &amp; "" "" &amp; REGEXEXTRACT(C2247, ""🏘️ \w+ \w+ (.*) ✅"") ,  if(H2247=""quartier"",vlookup(REGEXEXTRACT(C2247, ""🏘️ \w+ \w+ (.*) ✅""),'Quartier prepositio"&amp;"ns'!A:E, 5, 0) ,  if(H2247=""region"",vlookup(REGEXEXTRACT(C2247, ""🏘️ \w+ \w+ (.*) ✅""),'Region prepositions'!B:F, 5, 0),  REGEXEXTRACT(C2247, ""🏘️ \w+ \w+ (.*) ✅""))))"),"Dompierre FR")</f>
        <v>Dompierre FR</v>
      </c>
      <c r="F2247" s="2" t="str">
        <f>IFERROR(__xludf.DUMMYFUNCTION("REGEXEXTRACT(C2247, ""🏘️ (\w+) \w+ .* ✅"")"),"Vendre")</f>
        <v>Vendre</v>
      </c>
      <c r="G2247" s="2" t="str">
        <f>IFERROR(__xludf.DUMMYFUNCTION("REGEXEXTRACT(C2247, ""🏘️ \w+ (\w+) .* ✅"")"),"maison")</f>
        <v>maison</v>
      </c>
      <c r="H2247" s="4" t="str">
        <f>IFERROR(__xludf.DUMMYFUNCTION("REGEXEXTRACT(A2247, ""/(\w+)-.*?"")"),"lieu")</f>
        <v>lieu</v>
      </c>
      <c r="I2247" s="4" t="str">
        <f>IFERROR(__xludf.DUMMYFUNCTION("if(D2247=""variant"",  substitute(filter(Templates!E:E, Templates!A:A = F2247, Templates!B:B = G2247, Templates!C:C = H2247), ""{{}}"", E2247), B2247)"),"🏘  Vous souhaitez acheter une maison à Dompierre FR? ✅ Jetez un œil aux dernières offres sur ImmoScout24.ch.")</f>
        <v>🏘  Vous souhaitez acheter une maison à Dompierre FR? ✅ Jetez un œil aux dernières offres sur ImmoScout24.ch.</v>
      </c>
      <c r="J2247" s="4" t="s">
        <v>6739</v>
      </c>
    </row>
    <row r="2248">
      <c r="A2248" s="5" t="s">
        <v>6740</v>
      </c>
      <c r="B2248" s="2" t="s">
        <v>6741</v>
      </c>
      <c r="C2248" s="4" t="str">
        <f>IFERROR(__xludf.DUMMYFUNCTION("""🏘️ ""&amp;REGEXEXTRACT(B2248, ""^(.*): "")&amp;"" ✅ "" &amp;REGEXEXTRACT(B2248, ""(Trouvez.*)"")"),"🏘️ Louer appartement Jura (Fribourg) ✅ Trouvez le bien immobilier qui correspond idéalement à vos désirs sur ImmoScout24 - La plateforme de l'immobilier en Suisse.")</f>
        <v>🏘️ Louer appartement Jura (Fribourg) ✅ Trouvez le bien immobilier qui correspond idéalement à vos désirs sur ImmoScout24 - La plateforme de l'immobilier en Suisse.</v>
      </c>
      <c r="D2248" s="4" t="str">
        <f>vlookup(A2248, Sheet2!D:E, 2, 0)</f>
        <v>variant</v>
      </c>
      <c r="E2248" s="4" t="str">
        <f>IFERROR(__xludf.DUMMYFUNCTION("if(H2248=""pays"",vlookup(REGEXEXTRACT(C2248, ""🏘️ \w+ \w+ (.*) ✅""),'Country prepositions'!A:B, 2, 0) &amp; "" "" &amp; REGEXEXTRACT(C2248, ""🏘️ \w+ \w+ (.*) ✅"") ,  if(H2248=""quartier"",vlookup(REGEXEXTRACT(C2248, ""🏘️ \w+ \w+ (.*) ✅""),'Quartier prepositio"&amp;"ns'!A:E, 5, 0) ,  if(H2248=""region"",vlookup(REGEXEXTRACT(C2248, ""🏘️ \w+ \w+ (.*) ✅""),'Region prepositions'!B:F, 5, 0),  REGEXEXTRACT(C2248, ""🏘️ \w+ \w+ (.*) ✅""))))"),"dans le quartier du Jura (Fribourg)")</f>
        <v>dans le quartier du Jura (Fribourg)</v>
      </c>
      <c r="F2248" s="2" t="str">
        <f>IFERROR(__xludf.DUMMYFUNCTION("REGEXEXTRACT(C2248, ""🏘️ (\w+) \w+ .* ✅"")"),"Louer")</f>
        <v>Louer</v>
      </c>
      <c r="G2248" s="2" t="str">
        <f>IFERROR(__xludf.DUMMYFUNCTION("REGEXEXTRACT(C2248, ""🏘️ \w+ (\w+) .* ✅"")"),"appartement")</f>
        <v>appartement</v>
      </c>
      <c r="H2248" s="4" t="str">
        <f>IFERROR(__xludf.DUMMYFUNCTION("REGEXEXTRACT(A2248, ""/(\w+)-.*?"")"),"quartier")</f>
        <v>quartier</v>
      </c>
      <c r="I2248" s="4" t="str">
        <f>IFERROR(__xludf.DUMMYFUNCTION("if(D2248=""variant"",  substitute(filter(Templates!E:E, Templates!A:A = F2248, Templates!B:B = G2248, Templates!C:C = H2248), ""{{}}"", E2248), B2248)"),"🏘  Vous cherchez un appartement à louer dans le quartier du Jura (Fribourg)? ✅ Les annonces les plus actuelles sont sur ImmoScout24.ch.")</f>
        <v>🏘  Vous cherchez un appartement à louer dans le quartier du Jura (Fribourg)? ✅ Les annonces les plus actuelles sont sur ImmoScout24.ch.</v>
      </c>
      <c r="J2248" s="4" t="s">
        <v>6742</v>
      </c>
    </row>
    <row r="2249">
      <c r="A2249" s="5" t="s">
        <v>6743</v>
      </c>
      <c r="B2249" s="2" t="s">
        <v>6744</v>
      </c>
      <c r="C2249" s="4" t="str">
        <f>IFERROR(__xludf.DUMMYFUNCTION("""🏘️ ""&amp;REGEXEXTRACT(B2249, ""^(.*): "")&amp;"" ✅ "" &amp;REGEXEXTRACT(B2249, ""(Trouvez.*)"")"),"🏘️ Louer appartement Sauvabelin (Lausanne) ✅ Trouvez le bien immobilier qui correspond idéalement à vos désirs sur ImmoScout24 - La plateforme de l'immobilier en Suisse.")</f>
        <v>🏘️ Louer appartement Sauvabelin (Lausanne) ✅ Trouvez le bien immobilier qui correspond idéalement à vos désirs sur ImmoScout24 - La plateforme de l'immobilier en Suisse.</v>
      </c>
      <c r="D2249" s="4" t="str">
        <f>vlookup(A2249, Sheet2!D:E, 2, 0)</f>
        <v>variant</v>
      </c>
      <c r="E2249" s="4" t="str">
        <f>IFERROR(__xludf.DUMMYFUNCTION("if(H2249=""pays"",vlookup(REGEXEXTRACT(C2249, ""🏘️ \w+ \w+ (.*) ✅""),'Country prepositions'!A:B, 2, 0) &amp; "" "" &amp; REGEXEXTRACT(C2249, ""🏘️ \w+ \w+ (.*) ✅"") ,  if(H2249=""quartier"",vlookup(REGEXEXTRACT(C2249, ""🏘️ \w+ \w+ (.*) ✅""),'Quartier prepositio"&amp;"ns'!A:E, 5, 0) ,  if(H2249=""region"",vlookup(REGEXEXTRACT(C2249, ""🏘️ \w+ \w+ (.*) ✅""),'Region prepositions'!B:F, 5, 0),  REGEXEXTRACT(C2249, ""🏘️ \w+ \w+ (.*) ✅""))))"),"dans le quartier de Sauvabelin (Lausanne)")</f>
        <v>dans le quartier de Sauvabelin (Lausanne)</v>
      </c>
      <c r="F2249" s="2" t="str">
        <f>IFERROR(__xludf.DUMMYFUNCTION("REGEXEXTRACT(C2249, ""🏘️ (\w+) \w+ .* ✅"")"),"Louer")</f>
        <v>Louer</v>
      </c>
      <c r="G2249" s="2" t="str">
        <f>IFERROR(__xludf.DUMMYFUNCTION("REGEXEXTRACT(C2249, ""🏘️ \w+ (\w+) .* ✅"")"),"appartement")</f>
        <v>appartement</v>
      </c>
      <c r="H2249" s="4" t="str">
        <f>IFERROR(__xludf.DUMMYFUNCTION("REGEXEXTRACT(A2249, ""/(\w+)-.*?"")"),"quartier")</f>
        <v>quartier</v>
      </c>
      <c r="I2249" s="4" t="str">
        <f>IFERROR(__xludf.DUMMYFUNCTION("if(D2249=""variant"",  substitute(filter(Templates!E:E, Templates!A:A = F2249, Templates!B:B = G2249, Templates!C:C = H2249), ""{{}}"", E2249), B2249)"),"🏘  Vous cherchez un appartement à louer dans le quartier de Sauvabelin (Lausanne)? ✅ Les annonces les plus actuelles sont sur ImmoScout24.ch.")</f>
        <v>🏘  Vous cherchez un appartement à louer dans le quartier de Sauvabelin (Lausanne)? ✅ Les annonces les plus actuelles sont sur ImmoScout24.ch.</v>
      </c>
      <c r="J2249" s="4" t="s">
        <v>6745</v>
      </c>
    </row>
    <row r="2250">
      <c r="A2250" s="5" t="s">
        <v>6746</v>
      </c>
      <c r="B2250" s="2" t="s">
        <v>6747</v>
      </c>
      <c r="C2250" s="4" t="str">
        <f>IFERROR(__xludf.DUMMYFUNCTION("""🏘️ ""&amp;REGEXEXTRACT(B2250, ""^(.*): "")&amp;"" ✅ "" &amp;REGEXEXTRACT(B2250, ""(Trouvez.*)"")"),"🏘️ Vendre maison Sigriswil ✅ Trouvez le bien immobilier qui correspond idéalement à vos désirs sur ImmoScout24 - La plateforme de l'immobilier en Suisse.")</f>
        <v>🏘️ Vendre maison Sigriswil ✅ Trouvez le bien immobilier qui correspond idéalement à vos désirs sur ImmoScout24 - La plateforme de l'immobilier en Suisse.</v>
      </c>
      <c r="D2250" s="4" t="str">
        <f>vlookup(A2250, Sheet2!D:E, 2, 0)</f>
        <v>variant</v>
      </c>
      <c r="E2250" s="4" t="str">
        <f>IFERROR(__xludf.DUMMYFUNCTION("if(H2250=""pays"",vlookup(REGEXEXTRACT(C2250, ""🏘️ \w+ \w+ (.*) ✅""),'Country prepositions'!A:B, 2, 0) &amp; "" "" &amp; REGEXEXTRACT(C2250, ""🏘️ \w+ \w+ (.*) ✅"") ,  if(H2250=""quartier"",vlookup(REGEXEXTRACT(C2250, ""🏘️ \w+ \w+ (.*) ✅""),'Quartier prepositio"&amp;"ns'!A:E, 5, 0) ,  if(H2250=""region"",vlookup(REGEXEXTRACT(C2250, ""🏘️ \w+ \w+ (.*) ✅""),'Region prepositions'!B:F, 5, 0),  REGEXEXTRACT(C2250, ""🏘️ \w+ \w+ (.*) ✅""))))"),"Sigriswil")</f>
        <v>Sigriswil</v>
      </c>
      <c r="F2250" s="2" t="str">
        <f>IFERROR(__xludf.DUMMYFUNCTION("REGEXEXTRACT(C2250, ""🏘️ (\w+) \w+ .* ✅"")"),"Vendre")</f>
        <v>Vendre</v>
      </c>
      <c r="G2250" s="2" t="str">
        <f>IFERROR(__xludf.DUMMYFUNCTION("REGEXEXTRACT(C2250, ""🏘️ \w+ (\w+) .* ✅"")"),"maison")</f>
        <v>maison</v>
      </c>
      <c r="H2250" s="4" t="str">
        <f>IFERROR(__xludf.DUMMYFUNCTION("REGEXEXTRACT(A2250, ""/(\w+)-.*?"")"),"lieu")</f>
        <v>lieu</v>
      </c>
      <c r="I2250" s="4" t="str">
        <f>IFERROR(__xludf.DUMMYFUNCTION("if(D2250=""variant"",  substitute(filter(Templates!E:E, Templates!A:A = F2250, Templates!B:B = G2250, Templates!C:C = H2250), ""{{}}"", E2250), B2250)"),"🏘  Vous souhaitez acheter une maison à Sigriswil? ✅ Jetez un œil aux dernières offres sur ImmoScout24.ch.")</f>
        <v>🏘  Vous souhaitez acheter une maison à Sigriswil? ✅ Jetez un œil aux dernières offres sur ImmoScout24.ch.</v>
      </c>
      <c r="J2250" s="4" t="s">
        <v>6748</v>
      </c>
    </row>
    <row r="2251">
      <c r="A2251" s="5" t="s">
        <v>6749</v>
      </c>
      <c r="B2251" s="2" t="s">
        <v>6750</v>
      </c>
      <c r="C2251" s="4" t="str">
        <f>IFERROR(__xludf.DUMMYFUNCTION("""🏘️ ""&amp;REGEXEXTRACT(B2251, ""^(.*): "")&amp;"" ✅ "" &amp;REGEXEXTRACT(B2251, ""(Trouvez.*)"")"),"🏘️ Louer appartement Witterswil ✅ Trouvez le bien immobilier qui correspond idéalement à vos désirs sur ImmoScout24 - La plateforme de l'immobilier en Suisse.")</f>
        <v>🏘️ Louer appartement Witterswil ✅ Trouvez le bien immobilier qui correspond idéalement à vos désirs sur ImmoScout24 - La plateforme de l'immobilier en Suisse.</v>
      </c>
      <c r="D2251" s="4" t="str">
        <f>vlookup(A2251, Sheet2!D:E, 2, 0)</f>
        <v>variant</v>
      </c>
      <c r="E2251" s="4" t="str">
        <f>IFERROR(__xludf.DUMMYFUNCTION("if(H2251=""pays"",vlookup(REGEXEXTRACT(C2251, ""🏘️ \w+ \w+ (.*) ✅""),'Country prepositions'!A:B, 2, 0) &amp; "" "" &amp; REGEXEXTRACT(C2251, ""🏘️ \w+ \w+ (.*) ✅"") ,  if(H2251=""quartier"",vlookup(REGEXEXTRACT(C2251, ""🏘️ \w+ \w+ (.*) ✅""),'Quartier prepositio"&amp;"ns'!A:E, 5, 0) ,  if(H2251=""region"",vlookup(REGEXEXTRACT(C2251, ""🏘️ \w+ \w+ (.*) ✅""),'Region prepositions'!B:F, 5, 0),  REGEXEXTRACT(C2251, ""🏘️ \w+ \w+ (.*) ✅""))))"),"Witterswil")</f>
        <v>Witterswil</v>
      </c>
      <c r="F2251" s="2" t="str">
        <f>IFERROR(__xludf.DUMMYFUNCTION("REGEXEXTRACT(C2251, ""🏘️ (\w+) \w+ .* ✅"")"),"Louer")</f>
        <v>Louer</v>
      </c>
      <c r="G2251" s="2" t="str">
        <f>IFERROR(__xludf.DUMMYFUNCTION("REGEXEXTRACT(C2251, ""🏘️ \w+ (\w+) .* ✅"")"),"appartement")</f>
        <v>appartement</v>
      </c>
      <c r="H2251" s="4" t="str">
        <f>IFERROR(__xludf.DUMMYFUNCTION("REGEXEXTRACT(A2251, ""/(\w+)-.*?"")"),"lieu")</f>
        <v>lieu</v>
      </c>
      <c r="I2251" s="4" t="str">
        <f>IFERROR(__xludf.DUMMYFUNCTION("if(D2251=""variant"",  substitute(filter(Templates!E:E, Templates!A:A = F2251, Templates!B:B = G2251, Templates!C:C = H2251), ""{{}}"", E2251), B2251)"),"🏘  Vous cherchez un appartement à louer à Witterswil? ✅ Les annonces les plus actuelles sont sur ImmoScout24.ch.")</f>
        <v>🏘  Vous cherchez un appartement à louer à Witterswil? ✅ Les annonces les plus actuelles sont sur ImmoScout24.ch.</v>
      </c>
      <c r="J2251" s="4" t="s">
        <v>6751</v>
      </c>
    </row>
    <row r="2252">
      <c r="A2252" s="5" t="s">
        <v>6752</v>
      </c>
      <c r="B2252" s="2" t="s">
        <v>6753</v>
      </c>
      <c r="C2252" s="4" t="str">
        <f>IFERROR(__xludf.DUMMYFUNCTION("""🏘️ ""&amp;REGEXEXTRACT(B2252, ""^(.*): "")&amp;"" ✅ "" &amp;REGEXEXTRACT(B2252, ""(Trouvez.*)"")"),"🏘️ Louer appartement Châtel-sur-Montsalvens ✅ Trouvez le bien immobilier qui correspond idéalement à vos désirs sur ImmoScout24 - La plateforme de l'immobilier en Suisse.")</f>
        <v>🏘️ Louer appartement Châtel-sur-Montsalvens ✅ Trouvez le bien immobilier qui correspond idéalement à vos désirs sur ImmoScout24 - La plateforme de l'immobilier en Suisse.</v>
      </c>
      <c r="D2252" s="4" t="str">
        <f>vlookup(A2252, Sheet2!D:E, 2, 0)</f>
        <v>variant</v>
      </c>
      <c r="E2252" s="4" t="str">
        <f>IFERROR(__xludf.DUMMYFUNCTION("if(H2252=""pays"",vlookup(REGEXEXTRACT(C2252, ""🏘️ \w+ \w+ (.*) ✅""),'Country prepositions'!A:B, 2, 0) &amp; "" "" &amp; REGEXEXTRACT(C2252, ""🏘️ \w+ \w+ (.*) ✅"") ,  if(H2252=""quartier"",vlookup(REGEXEXTRACT(C2252, ""🏘️ \w+ \w+ (.*) ✅""),'Quartier prepositio"&amp;"ns'!A:E, 5, 0) ,  if(H2252=""region"",vlookup(REGEXEXTRACT(C2252, ""🏘️ \w+ \w+ (.*) ✅""),'Region prepositions'!B:F, 5, 0),  REGEXEXTRACT(C2252, ""🏘️ \w+ \w+ (.*) ✅""))))"),"Châtel-sur-Montsalvens")</f>
        <v>Châtel-sur-Montsalvens</v>
      </c>
      <c r="F2252" s="2" t="str">
        <f>IFERROR(__xludf.DUMMYFUNCTION("REGEXEXTRACT(C2252, ""🏘️ (\w+) \w+ .* ✅"")"),"Louer")</f>
        <v>Louer</v>
      </c>
      <c r="G2252" s="2" t="str">
        <f>IFERROR(__xludf.DUMMYFUNCTION("REGEXEXTRACT(C2252, ""🏘️ \w+ (\w+) .* ✅"")"),"appartement")</f>
        <v>appartement</v>
      </c>
      <c r="H2252" s="4" t="str">
        <f>IFERROR(__xludf.DUMMYFUNCTION("REGEXEXTRACT(A2252, ""/(\w+)-.*?"")"),"lieu")</f>
        <v>lieu</v>
      </c>
      <c r="I2252" s="4" t="str">
        <f>IFERROR(__xludf.DUMMYFUNCTION("if(D2252=""variant"",  substitute(filter(Templates!E:E, Templates!A:A = F2252, Templates!B:B = G2252, Templates!C:C = H2252), ""{{}}"", E2252), B2252)"),"🏘  Vous cherchez un appartement à louer à Châtel-sur-Montsalvens? ✅ Les annonces les plus actuelles sont sur ImmoScout24.ch.")</f>
        <v>🏘  Vous cherchez un appartement à louer à Châtel-sur-Montsalvens? ✅ Les annonces les plus actuelles sont sur ImmoScout24.ch.</v>
      </c>
      <c r="J2252" s="4" t="s">
        <v>6754</v>
      </c>
    </row>
    <row r="2253">
      <c r="A2253" s="5" t="s">
        <v>6755</v>
      </c>
      <c r="B2253" s="2" t="s">
        <v>6756</v>
      </c>
      <c r="C2253" s="4" t="str">
        <f>IFERROR(__xludf.DUMMYFUNCTION("""🏘️ ""&amp;REGEXEXTRACT(B2253, ""^(.*): "")&amp;"" ✅ "" &amp;REGEXEXTRACT(B2253, ""(Trouvez.*)"")"),"🏘️ Louer appartement Tiefencastel ✅ Trouvez le bien immobilier qui correspond idéalement à vos désirs sur ImmoScout24 - La plateforme de l'immobilier en Suisse.")</f>
        <v>🏘️ Louer appartement Tiefencastel ✅ Trouvez le bien immobilier qui correspond idéalement à vos désirs sur ImmoScout24 - La plateforme de l'immobilier en Suisse.</v>
      </c>
      <c r="D2253" s="4" t="str">
        <f>vlookup(A2253, Sheet2!D:E, 2, 0)</f>
        <v>variant</v>
      </c>
      <c r="E2253" s="4" t="str">
        <f>IFERROR(__xludf.DUMMYFUNCTION("if(H2253=""pays"",vlookup(REGEXEXTRACT(C2253, ""🏘️ \w+ \w+ (.*) ✅""),'Country prepositions'!A:B, 2, 0) &amp; "" "" &amp; REGEXEXTRACT(C2253, ""🏘️ \w+ \w+ (.*) ✅"") ,  if(H2253=""quartier"",vlookup(REGEXEXTRACT(C2253, ""🏘️ \w+ \w+ (.*) ✅""),'Quartier prepositio"&amp;"ns'!A:E, 5, 0) ,  if(H2253=""region"",vlookup(REGEXEXTRACT(C2253, ""🏘️ \w+ \w+ (.*) ✅""),'Region prepositions'!B:F, 5, 0),  REGEXEXTRACT(C2253, ""🏘️ \w+ \w+ (.*) ✅""))))"),"Tiefencastel")</f>
        <v>Tiefencastel</v>
      </c>
      <c r="F2253" s="2" t="str">
        <f>IFERROR(__xludf.DUMMYFUNCTION("REGEXEXTRACT(C2253, ""🏘️ (\w+) \w+ .* ✅"")"),"Louer")</f>
        <v>Louer</v>
      </c>
      <c r="G2253" s="2" t="str">
        <f>IFERROR(__xludf.DUMMYFUNCTION("REGEXEXTRACT(C2253, ""🏘️ \w+ (\w+) .* ✅"")"),"appartement")</f>
        <v>appartement</v>
      </c>
      <c r="H2253" s="4" t="str">
        <f>IFERROR(__xludf.DUMMYFUNCTION("REGEXEXTRACT(A2253, ""/(\w+)-.*?"")"),"lieu")</f>
        <v>lieu</v>
      </c>
      <c r="I2253" s="4" t="str">
        <f>IFERROR(__xludf.DUMMYFUNCTION("if(D2253=""variant"",  substitute(filter(Templates!E:E, Templates!A:A = F2253, Templates!B:B = G2253, Templates!C:C = H2253), ""{{}}"", E2253), B2253)"),"🏘  Vous cherchez un appartement à louer à Tiefencastel? ✅ Les annonces les plus actuelles sont sur ImmoScout24.ch.")</f>
        <v>🏘  Vous cherchez un appartement à louer à Tiefencastel? ✅ Les annonces les plus actuelles sont sur ImmoScout24.ch.</v>
      </c>
      <c r="J2253" s="4" t="s">
        <v>6757</v>
      </c>
    </row>
    <row r="2254">
      <c r="A2254" s="5" t="s">
        <v>6758</v>
      </c>
      <c r="B2254" s="2" t="s">
        <v>6759</v>
      </c>
      <c r="C2254" s="4" t="str">
        <f>IFERROR(__xludf.DUMMYFUNCTION("""🏘️ ""&amp;REGEXEXTRACT(B2254, ""^(.*): "")&amp;"" ✅ "" &amp;REGEXEXTRACT(B2254, ""(Trouvez.*)"")"),"🏘️ Louer appartement Canton de Schaffhouse ✅ Trouvez le bien immobilier qui correspond idéalement à vos désirs sur ImmoScout24 - La plateforme de l'immobilier en Suisse.")</f>
        <v>🏘️ Louer appartement Canton de Schaffhouse ✅ Trouvez le bien immobilier qui correspond idéalement à vos désirs sur ImmoScout24 - La plateforme de l'immobilier en Suisse.</v>
      </c>
      <c r="D2254" s="4" t="str">
        <f>vlookup(A2254, Sheet2!D:E, 2, 0)</f>
        <v>variant</v>
      </c>
      <c r="E2254" s="4" t="str">
        <f>IFERROR(__xludf.DUMMYFUNCTION("if(H2254=""pays"",vlookup(REGEXEXTRACT(C2254, ""🏘️ \w+ \w+ (.*) ✅""),'Country prepositions'!A:B, 2, 0) &amp; "" "" &amp; REGEXEXTRACT(C2254, ""🏘️ \w+ \w+ (.*) ✅"") ,  if(H2254=""quartier"",vlookup(REGEXEXTRACT(C2254, ""🏘️ \w+ \w+ (.*) ✅""),'Quartier prepositio"&amp;"ns'!A:E, 5, 0) ,  if(H2254=""region"",vlookup(REGEXEXTRACT(C2254, ""🏘️ \w+ \w+ (.*) ✅""),'Region prepositions'!B:F, 5, 0),  REGEXEXTRACT(C2254, ""🏘️ \w+ \w+ (.*) ✅""))))"),"Canton de Schaffhouse")</f>
        <v>Canton de Schaffhouse</v>
      </c>
      <c r="F2254" s="2" t="str">
        <f>IFERROR(__xludf.DUMMYFUNCTION("REGEXEXTRACT(C2254, ""🏘️ (\w+) \w+ .* ✅"")"),"Louer")</f>
        <v>Louer</v>
      </c>
      <c r="G2254" s="2" t="str">
        <f>IFERROR(__xludf.DUMMYFUNCTION("REGEXEXTRACT(C2254, ""🏘️ \w+ (\w+) .* ✅"")"),"appartement")</f>
        <v>appartement</v>
      </c>
      <c r="H2254" s="4" t="str">
        <f>IFERROR(__xludf.DUMMYFUNCTION("REGEXEXTRACT(A2254, ""/(\w+)-.*?"")"),"canton")</f>
        <v>canton</v>
      </c>
      <c r="I2254" s="4" t="str">
        <f>IFERROR(__xludf.DUMMYFUNCTION("if(D2254=""variant"",  substitute(filter(Templates!E:E, Templates!A:A = F2254, Templates!B:B = G2254, Templates!C:C = H2254), ""{{}}"", E2254), B2254)"),"🏘  Vous cherchez un appartement à louer dans le Canton de Schaffhouse? ✅ Les annonces les plus actuelles sont sur ImmoScout24.ch.")</f>
        <v>🏘  Vous cherchez un appartement à louer dans le Canton de Schaffhouse? ✅ Les annonces les plus actuelles sont sur ImmoScout24.ch.</v>
      </c>
      <c r="J2254" s="4" t="s">
        <v>6760</v>
      </c>
    </row>
    <row r="2255">
      <c r="A2255" s="5" t="s">
        <v>6761</v>
      </c>
      <c r="B2255" s="2" t="s">
        <v>6762</v>
      </c>
      <c r="C2255" s="4" t="str">
        <f>IFERROR(__xludf.DUMMYFUNCTION("""🏘️ ""&amp;REGEXEXTRACT(B2255, ""^(.*): "")&amp;"" ✅ "" &amp;REGEXEXTRACT(B2255, ""(Trouvez.*)"")"),"🏘️ Louer appartement Zuchwil ✅ Trouvez le bien immobilier qui correspond idéalement à vos désirs sur ImmoScout24 - La plateforme de l'immobilier en Suisse.")</f>
        <v>🏘️ Louer appartement Zuchwil ✅ Trouvez le bien immobilier qui correspond idéalement à vos désirs sur ImmoScout24 - La plateforme de l'immobilier en Suisse.</v>
      </c>
      <c r="D2255" s="4" t="str">
        <f>vlookup(A2255, Sheet2!D:E, 2, 0)</f>
        <v>variant</v>
      </c>
      <c r="E2255" s="4" t="str">
        <f>IFERROR(__xludf.DUMMYFUNCTION("if(H2255=""pays"",vlookup(REGEXEXTRACT(C2255, ""🏘️ \w+ \w+ (.*) ✅""),'Country prepositions'!A:B, 2, 0) &amp; "" "" &amp; REGEXEXTRACT(C2255, ""🏘️ \w+ \w+ (.*) ✅"") ,  if(H2255=""quartier"",vlookup(REGEXEXTRACT(C2255, ""🏘️ \w+ \w+ (.*) ✅""),'Quartier prepositio"&amp;"ns'!A:E, 5, 0) ,  if(H2255=""region"",vlookup(REGEXEXTRACT(C2255, ""🏘️ \w+ \w+ (.*) ✅""),'Region prepositions'!B:F, 5, 0),  REGEXEXTRACT(C2255, ""🏘️ \w+ \w+ (.*) ✅""))))"),"Zuchwil")</f>
        <v>Zuchwil</v>
      </c>
      <c r="F2255" s="2" t="str">
        <f>IFERROR(__xludf.DUMMYFUNCTION("REGEXEXTRACT(C2255, ""🏘️ (\w+) \w+ .* ✅"")"),"Louer")</f>
        <v>Louer</v>
      </c>
      <c r="G2255" s="2" t="str">
        <f>IFERROR(__xludf.DUMMYFUNCTION("REGEXEXTRACT(C2255, ""🏘️ \w+ (\w+) .* ✅"")"),"appartement")</f>
        <v>appartement</v>
      </c>
      <c r="H2255" s="4" t="str">
        <f>IFERROR(__xludf.DUMMYFUNCTION("REGEXEXTRACT(A2255, ""/(\w+)-.*?"")"),"lieu")</f>
        <v>lieu</v>
      </c>
      <c r="I2255" s="4" t="str">
        <f>IFERROR(__xludf.DUMMYFUNCTION("if(D2255=""variant"",  substitute(filter(Templates!E:E, Templates!A:A = F2255, Templates!B:B = G2255, Templates!C:C = H2255), ""{{}}"", E2255), B2255)"),"🏘  Vous cherchez un appartement à louer à Zuchwil? ✅ Les annonces les plus actuelles sont sur ImmoScout24.ch.")</f>
        <v>🏘  Vous cherchez un appartement à louer à Zuchwil? ✅ Les annonces les plus actuelles sont sur ImmoScout24.ch.</v>
      </c>
      <c r="J2255" s="4" t="s">
        <v>6763</v>
      </c>
    </row>
    <row r="2256">
      <c r="A2256" s="5" t="s">
        <v>6764</v>
      </c>
      <c r="B2256" s="2" t="s">
        <v>6765</v>
      </c>
      <c r="C2256" s="4" t="str">
        <f>IFERROR(__xludf.DUMMYFUNCTION("""🏘️ ""&amp;REGEXEXTRACT(B2256, ""^(.*): "")&amp;"" ✅ "" &amp;REGEXEXTRACT(B2256, ""(Trouvez.*)"")"),"🏘️ Louer appartement Boniswil ✅ Trouvez le bien immobilier qui correspond idéalement à vos désirs sur ImmoScout24 - La plateforme de l'immobilier en Suisse.")</f>
        <v>🏘️ Louer appartement Boniswil ✅ Trouvez le bien immobilier qui correspond idéalement à vos désirs sur ImmoScout24 - La plateforme de l'immobilier en Suisse.</v>
      </c>
      <c r="D2256" s="4" t="str">
        <f>vlookup(A2256, Sheet2!D:E, 2, 0)</f>
        <v>variant</v>
      </c>
      <c r="E2256" s="4" t="str">
        <f>IFERROR(__xludf.DUMMYFUNCTION("if(H2256=""pays"",vlookup(REGEXEXTRACT(C2256, ""🏘️ \w+ \w+ (.*) ✅""),'Country prepositions'!A:B, 2, 0) &amp; "" "" &amp; REGEXEXTRACT(C2256, ""🏘️ \w+ \w+ (.*) ✅"") ,  if(H2256=""quartier"",vlookup(REGEXEXTRACT(C2256, ""🏘️ \w+ \w+ (.*) ✅""),'Quartier prepositio"&amp;"ns'!A:E, 5, 0) ,  if(H2256=""region"",vlookup(REGEXEXTRACT(C2256, ""🏘️ \w+ \w+ (.*) ✅""),'Region prepositions'!B:F, 5, 0),  REGEXEXTRACT(C2256, ""🏘️ \w+ \w+ (.*) ✅""))))"),"Boniswil")</f>
        <v>Boniswil</v>
      </c>
      <c r="F2256" s="2" t="str">
        <f>IFERROR(__xludf.DUMMYFUNCTION("REGEXEXTRACT(C2256, ""🏘️ (\w+) \w+ .* ✅"")"),"Louer")</f>
        <v>Louer</v>
      </c>
      <c r="G2256" s="2" t="str">
        <f>IFERROR(__xludf.DUMMYFUNCTION("REGEXEXTRACT(C2256, ""🏘️ \w+ (\w+) .* ✅"")"),"appartement")</f>
        <v>appartement</v>
      </c>
      <c r="H2256" s="4" t="str">
        <f>IFERROR(__xludf.DUMMYFUNCTION("REGEXEXTRACT(A2256, ""/(\w+)-.*?"")"),"lieu")</f>
        <v>lieu</v>
      </c>
      <c r="I2256" s="4" t="str">
        <f>IFERROR(__xludf.DUMMYFUNCTION("if(D2256=""variant"",  substitute(filter(Templates!E:E, Templates!A:A = F2256, Templates!B:B = G2256, Templates!C:C = H2256), ""{{}}"", E2256), B2256)"),"🏘  Vous cherchez un appartement à louer à Boniswil? ✅ Les annonces les plus actuelles sont sur ImmoScout24.ch.")</f>
        <v>🏘  Vous cherchez un appartement à louer à Boniswil? ✅ Les annonces les plus actuelles sont sur ImmoScout24.ch.</v>
      </c>
      <c r="J2256" s="4" t="s">
        <v>6766</v>
      </c>
    </row>
    <row r="2257">
      <c r="A2257" s="5" t="s">
        <v>6767</v>
      </c>
      <c r="B2257" s="2" t="s">
        <v>6768</v>
      </c>
      <c r="C2257" s="4" t="str">
        <f>IFERROR(__xludf.DUMMYFUNCTION("""🏘️ ""&amp;REGEXEXTRACT(B2257, ""^(.*): "")&amp;"" ✅ "" &amp;REGEXEXTRACT(B2257, ""(Trouvez.*)"")"),"🏘️ Vendre maison Les Collons ✅ Trouvez le bien immobilier qui correspond idéalement à vos désirs sur ImmoScout24 - La plateforme de l'immobilier en Suisse.")</f>
        <v>🏘️ Vendre maison Les Collons ✅ Trouvez le bien immobilier qui correspond idéalement à vos désirs sur ImmoScout24 - La plateforme de l'immobilier en Suisse.</v>
      </c>
      <c r="D2257" s="4" t="str">
        <f>vlookup(A2257, Sheet2!D:E, 2, 0)</f>
        <v>variant</v>
      </c>
      <c r="E2257" s="4" t="str">
        <f>IFERROR(__xludf.DUMMYFUNCTION("if(H2257=""pays"",vlookup(REGEXEXTRACT(C2257, ""🏘️ \w+ \w+ (.*) ✅""),'Country prepositions'!A:B, 2, 0) &amp; "" "" &amp; REGEXEXTRACT(C2257, ""🏘️ \w+ \w+ (.*) ✅"") ,  if(H2257=""quartier"",vlookup(REGEXEXTRACT(C2257, ""🏘️ \w+ \w+ (.*) ✅""),'Quartier prepositio"&amp;"ns'!A:E, 5, 0) ,  if(H2257=""region"",vlookup(REGEXEXTRACT(C2257, ""🏘️ \w+ \w+ (.*) ✅""),'Region prepositions'!B:F, 5, 0),  REGEXEXTRACT(C2257, ""🏘️ \w+ \w+ (.*) ✅""))))"),"Les Collons")</f>
        <v>Les Collons</v>
      </c>
      <c r="F2257" s="2" t="str">
        <f>IFERROR(__xludf.DUMMYFUNCTION("REGEXEXTRACT(C2257, ""🏘️ (\w+) \w+ .* ✅"")"),"Vendre")</f>
        <v>Vendre</v>
      </c>
      <c r="G2257" s="2" t="str">
        <f>IFERROR(__xludf.DUMMYFUNCTION("REGEXEXTRACT(C2257, ""🏘️ \w+ (\w+) .* ✅"")"),"maison")</f>
        <v>maison</v>
      </c>
      <c r="H2257" s="4" t="str">
        <f>IFERROR(__xludf.DUMMYFUNCTION("REGEXEXTRACT(A2257, ""/(\w+)-.*?"")"),"lieu")</f>
        <v>lieu</v>
      </c>
      <c r="I2257" s="4" t="str">
        <f>IFERROR(__xludf.DUMMYFUNCTION("if(D2257=""variant"",  substitute(filter(Templates!E:E, Templates!A:A = F2257, Templates!B:B = G2257, Templates!C:C = H2257), ""{{}}"", E2257), B2257)"),"🏘  Vous souhaitez acheter une maison à Les Collons? ✅ Jetez un œil aux dernières offres sur ImmoScout24.ch.")</f>
        <v>🏘  Vous souhaitez acheter une maison à Les Collons? ✅ Jetez un œil aux dernières offres sur ImmoScout24.ch.</v>
      </c>
      <c r="J2257" s="2" t="s">
        <v>6769</v>
      </c>
    </row>
    <row r="2258">
      <c r="A2258" s="5" t="s">
        <v>6770</v>
      </c>
      <c r="B2258" s="2" t="s">
        <v>6771</v>
      </c>
      <c r="C2258" s="4" t="str">
        <f>IFERROR(__xludf.DUMMYFUNCTION("""🏘️ ""&amp;REGEXEXTRACT(B2258, ""^(.*): "")&amp;"" ✅ "" &amp;REGEXEXTRACT(B2258, ""(Trouvez.*)"")"),"🏘️ Louer appartement Autavaux ✅ Trouvez le bien immobilier qui correspond idéalement à vos désirs sur ImmoScout24 - La plateforme de l'immobilier en Suisse.")</f>
        <v>🏘️ Louer appartement Autavaux ✅ Trouvez le bien immobilier qui correspond idéalement à vos désirs sur ImmoScout24 - La plateforme de l'immobilier en Suisse.</v>
      </c>
      <c r="D2258" s="4" t="str">
        <f>vlookup(A2258, Sheet2!D:E, 2, 0)</f>
        <v>variant</v>
      </c>
      <c r="E2258" s="4" t="str">
        <f>IFERROR(__xludf.DUMMYFUNCTION("if(H2258=""pays"",vlookup(REGEXEXTRACT(C2258, ""🏘️ \w+ \w+ (.*) ✅""),'Country prepositions'!A:B, 2, 0) &amp; "" "" &amp; REGEXEXTRACT(C2258, ""🏘️ \w+ \w+ (.*) ✅"") ,  if(H2258=""quartier"",vlookup(REGEXEXTRACT(C2258, ""🏘️ \w+ \w+ (.*) ✅""),'Quartier prepositio"&amp;"ns'!A:E, 5, 0) ,  if(H2258=""region"",vlookup(REGEXEXTRACT(C2258, ""🏘️ \w+ \w+ (.*) ✅""),'Region prepositions'!B:F, 5, 0),  REGEXEXTRACT(C2258, ""🏘️ \w+ \w+ (.*) ✅""))))"),"Autavaux")</f>
        <v>Autavaux</v>
      </c>
      <c r="F2258" s="2" t="str">
        <f>IFERROR(__xludf.DUMMYFUNCTION("REGEXEXTRACT(C2258, ""🏘️ (\w+) \w+ .* ✅"")"),"Louer")</f>
        <v>Louer</v>
      </c>
      <c r="G2258" s="2" t="str">
        <f>IFERROR(__xludf.DUMMYFUNCTION("REGEXEXTRACT(C2258, ""🏘️ \w+ (\w+) .* ✅"")"),"appartement")</f>
        <v>appartement</v>
      </c>
      <c r="H2258" s="4" t="str">
        <f>IFERROR(__xludf.DUMMYFUNCTION("REGEXEXTRACT(A2258, ""/(\w+)-.*?"")"),"lieu")</f>
        <v>lieu</v>
      </c>
      <c r="I2258" s="4" t="str">
        <f>IFERROR(__xludf.DUMMYFUNCTION("if(D2258=""variant"",  substitute(filter(Templates!E:E, Templates!A:A = F2258, Templates!B:B = G2258, Templates!C:C = H2258), ""{{}}"", E2258), B2258)"),"🏘  Vous cherchez un appartement à louer à Autavaux? ✅ Les annonces les plus actuelles sont sur ImmoScout24.ch.")</f>
        <v>🏘  Vous cherchez un appartement à louer à Autavaux? ✅ Les annonces les plus actuelles sont sur ImmoScout24.ch.</v>
      </c>
      <c r="J2258" s="4" t="s">
        <v>6772</v>
      </c>
    </row>
    <row r="2259">
      <c r="A2259" s="5" t="s">
        <v>6773</v>
      </c>
      <c r="B2259" s="2" t="s">
        <v>6774</v>
      </c>
      <c r="C2259" s="4" t="str">
        <f>IFERROR(__xludf.DUMMYFUNCTION("""🏘️ ""&amp;REGEXEXTRACT(B2259, ""^(.*): "")&amp;"" ✅ "" &amp;REGEXEXTRACT(B2259, ""(Trouvez.*)"")"),"🏘️ Louer maison Produit (Leytron) ✅ Trouvez le bien immobilier qui correspond idéalement à vos désirs sur ImmoScout24 - La plateforme de l'immobilier en Suisse.")</f>
        <v>🏘️ Louer maison Produit (Leytron) ✅ Trouvez le bien immobilier qui correspond idéalement à vos désirs sur ImmoScout24 - La plateforme de l'immobilier en Suisse.</v>
      </c>
      <c r="D2259" s="4" t="str">
        <f>vlookup(A2259, Sheet2!D:E, 2, 0)</f>
        <v>variant</v>
      </c>
      <c r="E2259" s="4" t="str">
        <f>IFERROR(__xludf.DUMMYFUNCTION("if(H2259=""pays"",vlookup(REGEXEXTRACT(C2259, ""🏘️ \w+ \w+ (.*) ✅""),'Country prepositions'!A:B, 2, 0) &amp; "" "" &amp; REGEXEXTRACT(C2259, ""🏘️ \w+ \w+ (.*) ✅"") ,  if(H2259=""quartier"",vlookup(REGEXEXTRACT(C2259, ""🏘️ \w+ \w+ (.*) ✅""),'Quartier prepositio"&amp;"ns'!A:E, 5, 0) ,  if(H2259=""region"",vlookup(REGEXEXTRACT(C2259, ""🏘️ \w+ \w+ (.*) ✅""),'Region prepositions'!B:F, 5, 0),  REGEXEXTRACT(C2259, ""🏘️ \w+ \w+ (.*) ✅""))))"),"Produit (Leytron)")</f>
        <v>Produit (Leytron)</v>
      </c>
      <c r="F2259" s="2" t="str">
        <f>IFERROR(__xludf.DUMMYFUNCTION("REGEXEXTRACT(C2259, ""🏘️ (\w+) \w+ .* ✅"")"),"Louer")</f>
        <v>Louer</v>
      </c>
      <c r="G2259" s="2" t="str">
        <f>IFERROR(__xludf.DUMMYFUNCTION("REGEXEXTRACT(C2259, ""🏘️ \w+ (\w+) .* ✅"")"),"maison")</f>
        <v>maison</v>
      </c>
      <c r="H2259" s="4" t="str">
        <f>IFERROR(__xludf.DUMMYFUNCTION("REGEXEXTRACT(A2259, ""/(\w+)-.*?"")"),"lieu")</f>
        <v>lieu</v>
      </c>
      <c r="I2259" s="4" t="str">
        <f>IFERROR(__xludf.DUMMYFUNCTION("if(D2259=""variant"",  substitute(filter(Templates!E:E, Templates!A:A = F2259, Templates!B:B = G2259, Templates!C:C = H2259), ""{{}}"", E2259), B2259)"),"🏘  Vous cherchez une maison à louer à Produit (Leytron)? ✅ Découvrez nos nombreuses annonces sur ImmoScout24.ch.")</f>
        <v>🏘  Vous cherchez une maison à louer à Produit (Leytron)? ✅ Découvrez nos nombreuses annonces sur ImmoScout24.ch.</v>
      </c>
      <c r="J2259" s="4" t="s">
        <v>6775</v>
      </c>
    </row>
    <row r="2260">
      <c r="A2260" s="5" t="s">
        <v>6776</v>
      </c>
      <c r="B2260" s="2" t="s">
        <v>6777</v>
      </c>
      <c r="C2260" s="4" t="str">
        <f>IFERROR(__xludf.DUMMYFUNCTION("""🏘️ ""&amp;REGEXEXTRACT(B2260, ""^(.*): "")&amp;"" ✅ "" &amp;REGEXEXTRACT(B2260, ""(Trouvez.*)"")"),"🏘️ Louer appartement Brione sopra Minusio ✅ Trouvez le bien immobilier qui correspond idéalement à vos désirs sur ImmoScout24 - La plateforme de l'immobilier en Suisse.")</f>
        <v>🏘️ Louer appartement Brione sopra Minusio ✅ Trouvez le bien immobilier qui correspond idéalement à vos désirs sur ImmoScout24 - La plateforme de l'immobilier en Suisse.</v>
      </c>
      <c r="D2260" s="4" t="str">
        <f>vlookup(A2260, Sheet2!D:E, 2, 0)</f>
        <v>variant</v>
      </c>
      <c r="E2260" s="4" t="str">
        <f>IFERROR(__xludf.DUMMYFUNCTION("if(H2260=""pays"",vlookup(REGEXEXTRACT(C2260, ""🏘️ \w+ \w+ (.*) ✅""),'Country prepositions'!A:B, 2, 0) &amp; "" "" &amp; REGEXEXTRACT(C2260, ""🏘️ \w+ \w+ (.*) ✅"") ,  if(H2260=""quartier"",vlookup(REGEXEXTRACT(C2260, ""🏘️ \w+ \w+ (.*) ✅""),'Quartier prepositio"&amp;"ns'!A:E, 5, 0) ,  if(H2260=""region"",vlookup(REGEXEXTRACT(C2260, ""🏘️ \w+ \w+ (.*) ✅""),'Region prepositions'!B:F, 5, 0),  REGEXEXTRACT(C2260, ""🏘️ \w+ \w+ (.*) ✅""))))"),"Brione sopra Minusio")</f>
        <v>Brione sopra Minusio</v>
      </c>
      <c r="F2260" s="2" t="str">
        <f>IFERROR(__xludf.DUMMYFUNCTION("REGEXEXTRACT(C2260, ""🏘️ (\w+) \w+ .* ✅"")"),"Louer")</f>
        <v>Louer</v>
      </c>
      <c r="G2260" s="2" t="str">
        <f>IFERROR(__xludf.DUMMYFUNCTION("REGEXEXTRACT(C2260, ""🏘️ \w+ (\w+) .* ✅"")"),"appartement")</f>
        <v>appartement</v>
      </c>
      <c r="H2260" s="4" t="str">
        <f>IFERROR(__xludf.DUMMYFUNCTION("REGEXEXTRACT(A2260, ""/(\w+)-.*?"")"),"lieu")</f>
        <v>lieu</v>
      </c>
      <c r="I2260" s="4" t="str">
        <f>IFERROR(__xludf.DUMMYFUNCTION("if(D2260=""variant"",  substitute(filter(Templates!E:E, Templates!A:A = F2260, Templates!B:B = G2260, Templates!C:C = H2260), ""{{}}"", E2260), B2260)"),"🏘  Vous cherchez un appartement à louer à Brione sopra Minusio? ✅ Les annonces les plus actuelles sont sur ImmoScout24.ch.")</f>
        <v>🏘  Vous cherchez un appartement à louer à Brione sopra Minusio? ✅ Les annonces les plus actuelles sont sur ImmoScout24.ch.</v>
      </c>
      <c r="J2260" s="4" t="s">
        <v>6778</v>
      </c>
    </row>
    <row r="2261">
      <c r="A2261" s="5" t="s">
        <v>6779</v>
      </c>
      <c r="B2261" s="2" t="s">
        <v>6780</v>
      </c>
      <c r="C2261" s="4" t="str">
        <f>IFERROR(__xludf.DUMMYFUNCTION("""🏘️ ""&amp;REGEXEXTRACT(B2261, ""^(.*): "")&amp;"" ✅ "" &amp;REGEXEXTRACT(B2261, ""(Trouvez.*)"")"),"🏘️ Louer appartement Uttigen ✅ Trouvez le bien immobilier qui correspond idéalement à vos désirs sur ImmoScout24 - La plateforme de l'immobilier en Suisse.")</f>
        <v>🏘️ Louer appartement Uttigen ✅ Trouvez le bien immobilier qui correspond idéalement à vos désirs sur ImmoScout24 - La plateforme de l'immobilier en Suisse.</v>
      </c>
      <c r="D2261" s="4" t="str">
        <f>vlookup(A2261, Sheet2!D:E, 2, 0)</f>
        <v>variant</v>
      </c>
      <c r="E2261" s="4" t="str">
        <f>IFERROR(__xludf.DUMMYFUNCTION("if(H2261=""pays"",vlookup(REGEXEXTRACT(C2261, ""🏘️ \w+ \w+ (.*) ✅""),'Country prepositions'!A:B, 2, 0) &amp; "" "" &amp; REGEXEXTRACT(C2261, ""🏘️ \w+ \w+ (.*) ✅"") ,  if(H2261=""quartier"",vlookup(REGEXEXTRACT(C2261, ""🏘️ \w+ \w+ (.*) ✅""),'Quartier prepositio"&amp;"ns'!A:E, 5, 0) ,  if(H2261=""region"",vlookup(REGEXEXTRACT(C2261, ""🏘️ \w+ \w+ (.*) ✅""),'Region prepositions'!B:F, 5, 0),  REGEXEXTRACT(C2261, ""🏘️ \w+ \w+ (.*) ✅""))))"),"Uttigen")</f>
        <v>Uttigen</v>
      </c>
      <c r="F2261" s="2" t="str">
        <f>IFERROR(__xludf.DUMMYFUNCTION("REGEXEXTRACT(C2261, ""🏘️ (\w+) \w+ .* ✅"")"),"Louer")</f>
        <v>Louer</v>
      </c>
      <c r="G2261" s="2" t="str">
        <f>IFERROR(__xludf.DUMMYFUNCTION("REGEXEXTRACT(C2261, ""🏘️ \w+ (\w+) .* ✅"")"),"appartement")</f>
        <v>appartement</v>
      </c>
      <c r="H2261" s="4" t="str">
        <f>IFERROR(__xludf.DUMMYFUNCTION("REGEXEXTRACT(A2261, ""/(\w+)-.*?"")"),"lieu")</f>
        <v>lieu</v>
      </c>
      <c r="I2261" s="4" t="str">
        <f>IFERROR(__xludf.DUMMYFUNCTION("if(D2261=""variant"",  substitute(filter(Templates!E:E, Templates!A:A = F2261, Templates!B:B = G2261, Templates!C:C = H2261), ""{{}}"", E2261), B2261)"),"🏘  Vous cherchez un appartement à louer à Uttigen? ✅ Les annonces les plus actuelles sont sur ImmoScout24.ch.")</f>
        <v>🏘  Vous cherchez un appartement à louer à Uttigen? ✅ Les annonces les plus actuelles sont sur ImmoScout24.ch.</v>
      </c>
      <c r="J2261" s="4" t="s">
        <v>6781</v>
      </c>
    </row>
    <row r="2262">
      <c r="A2262" s="5" t="s">
        <v>6782</v>
      </c>
      <c r="B2262" s="2" t="s">
        <v>6783</v>
      </c>
      <c r="C2262" s="4" t="str">
        <f>IFERROR(__xludf.DUMMYFUNCTION("""🏘️ ""&amp;REGEXEXTRACT(B2262, ""^(.*): "")&amp;"" ✅ "" &amp;REGEXEXTRACT(B2262, ""(Trouvez.*)"")"),"🏘️ Louer maison Mont-Soleil ✅ Trouvez le bien immobilier qui correspond idéalement à vos désirs sur ImmoScout24 - La plateforme de l'immobilier en Suisse.")</f>
        <v>🏘️ Louer maison Mont-Soleil ✅ Trouvez le bien immobilier qui correspond idéalement à vos désirs sur ImmoScout24 - La plateforme de l'immobilier en Suisse.</v>
      </c>
      <c r="D2262" s="4" t="str">
        <f>vlookup(A2262, Sheet2!D:E, 2, 0)</f>
        <v>variant</v>
      </c>
      <c r="E2262" s="4" t="str">
        <f>IFERROR(__xludf.DUMMYFUNCTION("if(H2262=""pays"",vlookup(REGEXEXTRACT(C2262, ""🏘️ \w+ \w+ (.*) ✅""),'Country prepositions'!A:B, 2, 0) &amp; "" "" &amp; REGEXEXTRACT(C2262, ""🏘️ \w+ \w+ (.*) ✅"") ,  if(H2262=""quartier"",vlookup(REGEXEXTRACT(C2262, ""🏘️ \w+ \w+ (.*) ✅""),'Quartier prepositio"&amp;"ns'!A:E, 5, 0) ,  if(H2262=""region"",vlookup(REGEXEXTRACT(C2262, ""🏘️ \w+ \w+ (.*) ✅""),'Region prepositions'!B:F, 5, 0),  REGEXEXTRACT(C2262, ""🏘️ \w+ \w+ (.*) ✅""))))"),"Mont-Soleil")</f>
        <v>Mont-Soleil</v>
      </c>
      <c r="F2262" s="2" t="str">
        <f>IFERROR(__xludf.DUMMYFUNCTION("REGEXEXTRACT(C2262, ""🏘️ (\w+) \w+ .* ✅"")"),"Louer")</f>
        <v>Louer</v>
      </c>
      <c r="G2262" s="2" t="str">
        <f>IFERROR(__xludf.DUMMYFUNCTION("REGEXEXTRACT(C2262, ""🏘️ \w+ (\w+) .* ✅"")"),"maison")</f>
        <v>maison</v>
      </c>
      <c r="H2262" s="4" t="str">
        <f>IFERROR(__xludf.DUMMYFUNCTION("REGEXEXTRACT(A2262, ""/(\w+)-.*?"")"),"lieu")</f>
        <v>lieu</v>
      </c>
      <c r="I2262" s="4" t="str">
        <f>IFERROR(__xludf.DUMMYFUNCTION("if(D2262=""variant"",  substitute(filter(Templates!E:E, Templates!A:A = F2262, Templates!B:B = G2262, Templates!C:C = H2262), ""{{}}"", E2262), B2262)"),"🏘  Vous cherchez une maison à louer à Mont-Soleil? ✅ Découvrez nos nombreuses annonces sur ImmoScout24.ch.")</f>
        <v>🏘  Vous cherchez une maison à louer à Mont-Soleil? ✅ Découvrez nos nombreuses annonces sur ImmoScout24.ch.</v>
      </c>
      <c r="J2262" s="4" t="s">
        <v>6784</v>
      </c>
    </row>
    <row r="2263">
      <c r="A2263" s="5" t="s">
        <v>6785</v>
      </c>
      <c r="B2263" s="2" t="s">
        <v>6786</v>
      </c>
      <c r="C2263" s="4" t="str">
        <f>IFERROR(__xludf.DUMMYFUNCTION("""🏘️ ""&amp;REGEXEXTRACT(B2263, ""^(.*): "")&amp;"" ✅ "" &amp;REGEXEXTRACT(B2263, ""(Trouvez.*)"")"),"🏘️ Vendre maison Jeuss ✅ Trouvez le bien immobilier qui correspond idéalement à vos désirs sur ImmoScout24 - La plateforme de l'immobilier en Suisse.")</f>
        <v>🏘️ Vendre maison Jeuss ✅ Trouvez le bien immobilier qui correspond idéalement à vos désirs sur ImmoScout24 - La plateforme de l'immobilier en Suisse.</v>
      </c>
      <c r="D2263" s="4" t="str">
        <f>vlookup(A2263, Sheet2!D:E, 2, 0)</f>
        <v>variant</v>
      </c>
      <c r="E2263" s="4" t="str">
        <f>IFERROR(__xludf.DUMMYFUNCTION("if(H2263=""pays"",vlookup(REGEXEXTRACT(C2263, ""🏘️ \w+ \w+ (.*) ✅""),'Country prepositions'!A:B, 2, 0) &amp; "" "" &amp; REGEXEXTRACT(C2263, ""🏘️ \w+ \w+ (.*) ✅"") ,  if(H2263=""quartier"",vlookup(REGEXEXTRACT(C2263, ""🏘️ \w+ \w+ (.*) ✅""),'Quartier prepositio"&amp;"ns'!A:E, 5, 0) ,  if(H2263=""region"",vlookup(REGEXEXTRACT(C2263, ""🏘️ \w+ \w+ (.*) ✅""),'Region prepositions'!B:F, 5, 0),  REGEXEXTRACT(C2263, ""🏘️ \w+ \w+ (.*) ✅""))))"),"Jeuss")</f>
        <v>Jeuss</v>
      </c>
      <c r="F2263" s="2" t="str">
        <f>IFERROR(__xludf.DUMMYFUNCTION("REGEXEXTRACT(C2263, ""🏘️ (\w+) \w+ .* ✅"")"),"Vendre")</f>
        <v>Vendre</v>
      </c>
      <c r="G2263" s="2" t="str">
        <f>IFERROR(__xludf.DUMMYFUNCTION("REGEXEXTRACT(C2263, ""🏘️ \w+ (\w+) .* ✅"")"),"maison")</f>
        <v>maison</v>
      </c>
      <c r="H2263" s="4" t="str">
        <f>IFERROR(__xludf.DUMMYFUNCTION("REGEXEXTRACT(A2263, ""/(\w+)-.*?"")"),"lieu")</f>
        <v>lieu</v>
      </c>
      <c r="I2263" s="4" t="str">
        <f>IFERROR(__xludf.DUMMYFUNCTION("if(D2263=""variant"",  substitute(filter(Templates!E:E, Templates!A:A = F2263, Templates!B:B = G2263, Templates!C:C = H2263), ""{{}}"", E2263), B2263)"),"🏘  Vous souhaitez acheter une maison à Jeuss? ✅ Jetez un œil aux dernières offres sur ImmoScout24.ch.")</f>
        <v>🏘  Vous souhaitez acheter une maison à Jeuss? ✅ Jetez un œil aux dernières offres sur ImmoScout24.ch.</v>
      </c>
      <c r="J2263" s="4" t="s">
        <v>6787</v>
      </c>
    </row>
    <row r="2264">
      <c r="A2264" s="5" t="s">
        <v>6788</v>
      </c>
      <c r="B2264" s="2" t="s">
        <v>6789</v>
      </c>
      <c r="C2264" s="4" t="str">
        <f>IFERROR(__xludf.DUMMYFUNCTION("""🏘️ ""&amp;REGEXEXTRACT(B2264, ""^(.*): "")&amp;"" ✅ "" &amp;REGEXEXTRACT(B2264, ""(Trouvez.*)"")"),"🏘️ Vendre maison Limmattal ✅ Trouvez le bien immobilier qui correspond idéalement à vos désirs sur ImmoScout24 - La plateforme de l'immobilier en Suisse.")</f>
        <v>🏘️ Vendre maison Limmattal ✅ Trouvez le bien immobilier qui correspond idéalement à vos désirs sur ImmoScout24 - La plateforme de l'immobilier en Suisse.</v>
      </c>
      <c r="D2264" s="4" t="str">
        <f>vlookup(A2264, Sheet2!D:E, 2, 0)</f>
        <v>variant</v>
      </c>
      <c r="E2264" s="4" t="str">
        <f>IFERROR(__xludf.DUMMYFUNCTION("if(H2264=""pays"",vlookup(REGEXEXTRACT(C2264, ""🏘️ \w+ \w+ (.*) ✅""),'Country prepositions'!A:B, 2, 0) &amp; "" "" &amp; REGEXEXTRACT(C2264, ""🏘️ \w+ \w+ (.*) ✅"") ,  if(H2264=""quartier"",vlookup(REGEXEXTRACT(C2264, ""🏘️ \w+ \w+ (.*) ✅""),'Quartier prepositio"&amp;"ns'!A:E, 5, 0) ,  if(H2264=""region"",vlookup(REGEXEXTRACT(C2264, ""🏘️ \w+ \w+ (.*) ✅""),'Region prepositions'!B:F, 5, 0),  REGEXEXTRACT(C2264, ""🏘️ \w+ \w+ (.*) ✅""))))"),"dans la vallée de la Limmat")</f>
        <v>dans la vallée de la Limmat</v>
      </c>
      <c r="F2264" s="2" t="str">
        <f>IFERROR(__xludf.DUMMYFUNCTION("REGEXEXTRACT(C2264, ""🏘️ (\w+) \w+ .* ✅"")"),"Vendre")</f>
        <v>Vendre</v>
      </c>
      <c r="G2264" s="2" t="str">
        <f>IFERROR(__xludf.DUMMYFUNCTION("REGEXEXTRACT(C2264, ""🏘️ \w+ (\w+) .* ✅"")"),"maison")</f>
        <v>maison</v>
      </c>
      <c r="H2264" s="4" t="str">
        <f>IFERROR(__xludf.DUMMYFUNCTION("REGEXEXTRACT(A2264, ""/(\w+)-.*?"")"),"region")</f>
        <v>region</v>
      </c>
      <c r="I2264" s="4" t="str">
        <f>IFERROR(__xludf.DUMMYFUNCTION("if(D2264=""variant"",  substitute(filter(Templates!E:E, Templates!A:A = F2264, Templates!B:B = G2264, Templates!C:C = H2264), ""{{}}"", E2264), B2264)"),"🏘  Vous souhaitez acheter une maison dans la vallée de la Limmat? ✅ Jetez un œil aux dernières offres sur ImmoScout24.ch.")</f>
        <v>🏘  Vous souhaitez acheter une maison dans la vallée de la Limmat? ✅ Jetez un œil aux dernières offres sur ImmoScout24.ch.</v>
      </c>
      <c r="J2264" s="4" t="s">
        <v>6790</v>
      </c>
    </row>
    <row r="2265">
      <c r="A2265" s="5" t="s">
        <v>6791</v>
      </c>
      <c r="B2265" s="2" t="s">
        <v>6792</v>
      </c>
      <c r="C2265" s="4" t="str">
        <f>IFERROR(__xludf.DUMMYFUNCTION("""🏘️ ""&amp;REGEXEXTRACT(B2265, ""^(.*): "")&amp;"" ✅ "" &amp;REGEXEXTRACT(B2265, ""(Trouvez.*)"")"),"🏘️ Vendre appartement Cham ✅ Trouvez le bien immobilier qui correspond idéalement à vos désirs sur ImmoScout24 - La plateforme de l'immobilier en Suisse.")</f>
        <v>🏘️ Vendre appartement Cham ✅ Trouvez le bien immobilier qui correspond idéalement à vos désirs sur ImmoScout24 - La plateforme de l'immobilier en Suisse.</v>
      </c>
      <c r="D2265" s="4" t="str">
        <f>vlookup(A2265, Sheet2!D:E, 2, 0)</f>
        <v>variant</v>
      </c>
      <c r="E2265" s="4" t="str">
        <f>IFERROR(__xludf.DUMMYFUNCTION("if(H2265=""pays"",vlookup(REGEXEXTRACT(C2265, ""🏘️ \w+ \w+ (.*) ✅""),'Country prepositions'!A:B, 2, 0) &amp; "" "" &amp; REGEXEXTRACT(C2265, ""🏘️ \w+ \w+ (.*) ✅"") ,  if(H2265=""quartier"",vlookup(REGEXEXTRACT(C2265, ""🏘️ \w+ \w+ (.*) ✅""),'Quartier prepositio"&amp;"ns'!A:E, 5, 0) ,  if(H2265=""region"",vlookup(REGEXEXTRACT(C2265, ""🏘️ \w+ \w+ (.*) ✅""),'Region prepositions'!B:F, 5, 0),  REGEXEXTRACT(C2265, ""🏘️ \w+ \w+ (.*) ✅""))))"),"Cham")</f>
        <v>Cham</v>
      </c>
      <c r="F2265" s="2" t="str">
        <f>IFERROR(__xludf.DUMMYFUNCTION("REGEXEXTRACT(C2265, ""🏘️ (\w+) \w+ .* ✅"")"),"Vendre")</f>
        <v>Vendre</v>
      </c>
      <c r="G2265" s="2" t="str">
        <f>IFERROR(__xludf.DUMMYFUNCTION("REGEXEXTRACT(C2265, ""🏘️ \w+ (\w+) .* ✅"")"),"appartement")</f>
        <v>appartement</v>
      </c>
      <c r="H2265" s="4" t="str">
        <f>IFERROR(__xludf.DUMMYFUNCTION("REGEXEXTRACT(A2265, ""/(\w+)-.*?"")"),"lieu")</f>
        <v>lieu</v>
      </c>
      <c r="I2265" s="4" t="str">
        <f>IFERROR(__xludf.DUMMYFUNCTION("if(D2265=""variant"",  substitute(filter(Templates!E:E, Templates!A:A = F2265, Templates!B:B = G2265, Templates!C:C = H2265), ""{{}}"", E2265), B2265)"),"🏘  L’appartement de vos rêves se trouve sur ImmoScout24.ch ✅ Découvrez les dernières annonces de vente à Cham.")</f>
        <v>🏘  L’appartement de vos rêves se trouve sur ImmoScout24.ch ✅ Découvrez les dernières annonces de vente à Cham.</v>
      </c>
      <c r="J2265" s="4" t="s">
        <v>6793</v>
      </c>
    </row>
    <row r="2266">
      <c r="A2266" s="5" t="s">
        <v>6794</v>
      </c>
      <c r="B2266" s="2" t="s">
        <v>6795</v>
      </c>
      <c r="C2266" s="4" t="str">
        <f>IFERROR(__xludf.DUMMYFUNCTION("""🏘️ ""&amp;REGEXEXTRACT(B2266, ""^(.*): "")&amp;"" ✅ "" &amp;REGEXEXTRACT(B2266, ""(Trouvez.*)"")"),"🏘️ Vendre maison Belp ✅ Trouvez le bien immobilier qui correspond idéalement à vos désirs sur ImmoScout24 - La plateforme de l'immobilier en Suisse.")</f>
        <v>🏘️ Vendre maison Belp ✅ Trouvez le bien immobilier qui correspond idéalement à vos désirs sur ImmoScout24 - La plateforme de l'immobilier en Suisse.</v>
      </c>
      <c r="D2266" s="4" t="str">
        <f>vlookup(A2266, Sheet2!D:E, 2, 0)</f>
        <v>variant</v>
      </c>
      <c r="E2266" s="4" t="str">
        <f>IFERROR(__xludf.DUMMYFUNCTION("if(H2266=""pays"",vlookup(REGEXEXTRACT(C2266, ""🏘️ \w+ \w+ (.*) ✅""),'Country prepositions'!A:B, 2, 0) &amp; "" "" &amp; REGEXEXTRACT(C2266, ""🏘️ \w+ \w+ (.*) ✅"") ,  if(H2266=""quartier"",vlookup(REGEXEXTRACT(C2266, ""🏘️ \w+ \w+ (.*) ✅""),'Quartier prepositio"&amp;"ns'!A:E, 5, 0) ,  if(H2266=""region"",vlookup(REGEXEXTRACT(C2266, ""🏘️ \w+ \w+ (.*) ✅""),'Region prepositions'!B:F, 5, 0),  REGEXEXTRACT(C2266, ""🏘️ \w+ \w+ (.*) ✅""))))"),"Belp")</f>
        <v>Belp</v>
      </c>
      <c r="F2266" s="2" t="str">
        <f>IFERROR(__xludf.DUMMYFUNCTION("REGEXEXTRACT(C2266, ""🏘️ (\w+) \w+ .* ✅"")"),"Vendre")</f>
        <v>Vendre</v>
      </c>
      <c r="G2266" s="2" t="str">
        <f>IFERROR(__xludf.DUMMYFUNCTION("REGEXEXTRACT(C2266, ""🏘️ \w+ (\w+) .* ✅"")"),"maison")</f>
        <v>maison</v>
      </c>
      <c r="H2266" s="4" t="str">
        <f>IFERROR(__xludf.DUMMYFUNCTION("REGEXEXTRACT(A2266, ""/(\w+)-.*?"")"),"lieu")</f>
        <v>lieu</v>
      </c>
      <c r="I2266" s="4" t="str">
        <f>IFERROR(__xludf.DUMMYFUNCTION("if(D2266=""variant"",  substitute(filter(Templates!E:E, Templates!A:A = F2266, Templates!B:B = G2266, Templates!C:C = H2266), ""{{}}"", E2266), B2266)"),"🏘  Vous souhaitez acheter une maison à Belp? ✅ Jetez un œil aux dernières offres sur ImmoScout24.ch.")</f>
        <v>🏘  Vous souhaitez acheter une maison à Belp? ✅ Jetez un œil aux dernières offres sur ImmoScout24.ch.</v>
      </c>
      <c r="J2266" s="4" t="s">
        <v>6796</v>
      </c>
    </row>
    <row r="2267">
      <c r="A2267" s="5" t="s">
        <v>6797</v>
      </c>
      <c r="B2267" s="2" t="s">
        <v>6798</v>
      </c>
      <c r="C2267" s="4" t="str">
        <f>IFERROR(__xludf.DUMMYFUNCTION("""🏘️ ""&amp;REGEXEXTRACT(B2267, ""^(.*): "")&amp;"" ✅ "" &amp;REGEXEXTRACT(B2267, ""(Trouvez.*)"")"),"🏘️ Vendre maison Littoral Neuchâtelois ✅ Trouvez le bien immobilier qui correspond idéalement à vos désirs sur ImmoScout24 - La plateforme de l'immobilier en Suisse.")</f>
        <v>🏘️ Vendre maison Littoral Neuchâtelois ✅ Trouvez le bien immobilier qui correspond idéalement à vos désirs sur ImmoScout24 - La plateforme de l'immobilier en Suisse.</v>
      </c>
      <c r="D2267" s="4" t="str">
        <f>vlookup(A2267, Sheet2!D:E, 2, 0)</f>
        <v>variant</v>
      </c>
      <c r="E2267" s="4" t="str">
        <f>IFERROR(__xludf.DUMMYFUNCTION("if(H2267=""pays"",vlookup(REGEXEXTRACT(C2267, ""🏘️ \w+ \w+ (.*) ✅""),'Country prepositions'!A:B, 2, 0) &amp; "" "" &amp; REGEXEXTRACT(C2267, ""🏘️ \w+ \w+ (.*) ✅"") ,  if(H2267=""quartier"",vlookup(REGEXEXTRACT(C2267, ""🏘️ \w+ \w+ (.*) ✅""),'Quartier prepositio"&amp;"ns'!A:E, 5, 0) ,  if(H2267=""region"",vlookup(REGEXEXTRACT(C2267, ""🏘️ \w+ \w+ (.*) ✅""),'Region prepositions'!B:F, 5, 0),  REGEXEXTRACT(C2267, ""🏘️ \w+ \w+ (.*) ✅""))))"),"sur le Littoral neuchâtelois")</f>
        <v>sur le Littoral neuchâtelois</v>
      </c>
      <c r="F2267" s="2" t="str">
        <f>IFERROR(__xludf.DUMMYFUNCTION("REGEXEXTRACT(C2267, ""🏘️ (\w+) \w+ .* ✅"")"),"Vendre")</f>
        <v>Vendre</v>
      </c>
      <c r="G2267" s="2" t="str">
        <f>IFERROR(__xludf.DUMMYFUNCTION("REGEXEXTRACT(C2267, ""🏘️ \w+ (\w+) .* ✅"")"),"maison")</f>
        <v>maison</v>
      </c>
      <c r="H2267" s="4" t="str">
        <f>IFERROR(__xludf.DUMMYFUNCTION("REGEXEXTRACT(A2267, ""/(\w+)-.*?"")"),"region")</f>
        <v>region</v>
      </c>
      <c r="I2267" s="4" t="str">
        <f>IFERROR(__xludf.DUMMYFUNCTION("if(D2267=""variant"",  substitute(filter(Templates!E:E, Templates!A:A = F2267, Templates!B:B = G2267, Templates!C:C = H2267), ""{{}}"", E2267), B2267)"),"🏘  Vous souhaitez acheter une maison sur le Littoral neuchâtelois? ✅ Jetez un œil aux dernières offres sur ImmoScout24.ch.")</f>
        <v>🏘  Vous souhaitez acheter une maison sur le Littoral neuchâtelois? ✅ Jetez un œil aux dernières offres sur ImmoScout24.ch.</v>
      </c>
      <c r="J2267" s="4" t="s">
        <v>6799</v>
      </c>
    </row>
    <row r="2268">
      <c r="A2268" s="5" t="s">
        <v>6800</v>
      </c>
      <c r="B2268" s="2" t="s">
        <v>6801</v>
      </c>
      <c r="C2268" s="4" t="str">
        <f>IFERROR(__xludf.DUMMYFUNCTION("""🏘️ ""&amp;REGEXEXTRACT(B2268, ""^(.*): "")&amp;"" ✅ "" &amp;REGEXEXTRACT(B2268, ""(Trouvez.*)"")"),"🏘️ Louer appartement Singine - Sarine - Lac ✅ Trouvez le bien immobilier qui correspond idéalement à vos désirs sur ImmoScout24 - La plateforme de l'immobilier en Suisse.")</f>
        <v>🏘️ Louer appartement Singine - Sarine - Lac ✅ Trouvez le bien immobilier qui correspond idéalement à vos désirs sur ImmoScout24 - La plateforme de l'immobilier en Suisse.</v>
      </c>
      <c r="D2268" s="4" t="str">
        <f>vlookup(A2268, Sheet2!D:E, 2, 0)</f>
        <v>variant</v>
      </c>
      <c r="E2268" s="4" t="str">
        <f>IFERROR(__xludf.DUMMYFUNCTION("if(H2268=""pays"",vlookup(REGEXEXTRACT(C2268, ""🏘️ \w+ \w+ (.*) ✅""),'Country prepositions'!A:B, 2, 0) &amp; "" "" &amp; REGEXEXTRACT(C2268, ""🏘️ \w+ \w+ (.*) ✅"") ,  if(H2268=""quartier"",vlookup(REGEXEXTRACT(C2268, ""🏘️ \w+ \w+ (.*) ✅""),'Quartier prepositio"&amp;"ns'!A:E, 5, 0) ,  if(H2268=""region"",vlookup(REGEXEXTRACT(C2268, ""🏘️ \w+ \w+ (.*) ✅""),'Region prepositions'!B:F, 5, 0),  REGEXEXTRACT(C2268, ""🏘️ \w+ \w+ (.*) ✅""))))"),"dans les districts de Singine - Sarine - Lac")</f>
        <v>dans les districts de Singine - Sarine - Lac</v>
      </c>
      <c r="F2268" s="2" t="str">
        <f>IFERROR(__xludf.DUMMYFUNCTION("REGEXEXTRACT(C2268, ""🏘️ (\w+) \w+ .* ✅"")"),"Louer")</f>
        <v>Louer</v>
      </c>
      <c r="G2268" s="2" t="str">
        <f>IFERROR(__xludf.DUMMYFUNCTION("REGEXEXTRACT(C2268, ""🏘️ \w+ (\w+) .* ✅"")"),"appartement")</f>
        <v>appartement</v>
      </c>
      <c r="H2268" s="4" t="str">
        <f>IFERROR(__xludf.DUMMYFUNCTION("REGEXEXTRACT(A2268, ""/(\w+)-.*?"")"),"region")</f>
        <v>region</v>
      </c>
      <c r="I2268" s="4" t="str">
        <f>IFERROR(__xludf.DUMMYFUNCTION("if(D2268=""variant"",  substitute(filter(Templates!E:E, Templates!A:A = F2268, Templates!B:B = G2268, Templates!C:C = H2268), ""{{}}"", E2268), B2268)"),"🏘  Vous cherchez un appartement à louer dans les districts de Singine - Sarine - Lac? ✅ Les annonces les plus actuelles sont sur ImmoScout24.ch.")</f>
        <v>🏘  Vous cherchez un appartement à louer dans les districts de Singine - Sarine - Lac? ✅ Les annonces les plus actuelles sont sur ImmoScout24.ch.</v>
      </c>
      <c r="J2268" s="4" t="s">
        <v>6802</v>
      </c>
    </row>
    <row r="2269">
      <c r="A2269" s="5" t="s">
        <v>6803</v>
      </c>
      <c r="B2269" s="2" t="s">
        <v>6804</v>
      </c>
      <c r="C2269" s="4" t="str">
        <f>IFERROR(__xludf.DUMMYFUNCTION("""🏘️ ""&amp;REGEXEXTRACT(B2269, ""^(.*): "")&amp;"" ✅ "" &amp;REGEXEXTRACT(B2269, ""(Trouvez.*)"")"),"🏘️ Vendre maison Savagnier ✅ Trouvez le bien immobilier qui correspond idéalement à vos désirs sur ImmoScout24 - La plateforme de l'immobilier en Suisse.")</f>
        <v>🏘️ Vendre maison Savagnier ✅ Trouvez le bien immobilier qui correspond idéalement à vos désirs sur ImmoScout24 - La plateforme de l'immobilier en Suisse.</v>
      </c>
      <c r="D2269" s="4" t="str">
        <f>vlookup(A2269, Sheet2!D:E, 2, 0)</f>
        <v>variant</v>
      </c>
      <c r="E2269" s="4" t="str">
        <f>IFERROR(__xludf.DUMMYFUNCTION("if(H2269=""pays"",vlookup(REGEXEXTRACT(C2269, ""🏘️ \w+ \w+ (.*) ✅""),'Country prepositions'!A:B, 2, 0) &amp; "" "" &amp; REGEXEXTRACT(C2269, ""🏘️ \w+ \w+ (.*) ✅"") ,  if(H2269=""quartier"",vlookup(REGEXEXTRACT(C2269, ""🏘️ \w+ \w+ (.*) ✅""),'Quartier prepositio"&amp;"ns'!A:E, 5, 0) ,  if(H2269=""region"",vlookup(REGEXEXTRACT(C2269, ""🏘️ \w+ \w+ (.*) ✅""),'Region prepositions'!B:F, 5, 0),  REGEXEXTRACT(C2269, ""🏘️ \w+ \w+ (.*) ✅""))))"),"Savagnier")</f>
        <v>Savagnier</v>
      </c>
      <c r="F2269" s="2" t="str">
        <f>IFERROR(__xludf.DUMMYFUNCTION("REGEXEXTRACT(C2269, ""🏘️ (\w+) \w+ .* ✅"")"),"Vendre")</f>
        <v>Vendre</v>
      </c>
      <c r="G2269" s="2" t="str">
        <f>IFERROR(__xludf.DUMMYFUNCTION("REGEXEXTRACT(C2269, ""🏘️ \w+ (\w+) .* ✅"")"),"maison")</f>
        <v>maison</v>
      </c>
      <c r="H2269" s="4" t="str">
        <f>IFERROR(__xludf.DUMMYFUNCTION("REGEXEXTRACT(A2269, ""/(\w+)-.*?"")"),"lieu")</f>
        <v>lieu</v>
      </c>
      <c r="I2269" s="4" t="str">
        <f>IFERROR(__xludf.DUMMYFUNCTION("if(D2269=""variant"",  substitute(filter(Templates!E:E, Templates!A:A = F2269, Templates!B:B = G2269, Templates!C:C = H2269), ""{{}}"", E2269), B2269)"),"🏘  Vous souhaitez acheter une maison à Savagnier? ✅ Jetez un œil aux dernières offres sur ImmoScout24.ch.")</f>
        <v>🏘  Vous souhaitez acheter une maison à Savagnier? ✅ Jetez un œil aux dernières offres sur ImmoScout24.ch.</v>
      </c>
      <c r="J2269" s="4" t="s">
        <v>6805</v>
      </c>
    </row>
    <row r="2270">
      <c r="A2270" s="5" t="s">
        <v>6806</v>
      </c>
      <c r="B2270" s="2" t="s">
        <v>6807</v>
      </c>
      <c r="C2270" s="4" t="str">
        <f>IFERROR(__xludf.DUMMYFUNCTION("""🏘️ ""&amp;REGEXEXTRACT(B2270, ""^(.*): "")&amp;"" ✅ "" &amp;REGEXEXTRACT(B2270, ""(Trouvez.*)"")"),"🏘️ Vendre appartement Riddes ✅ Trouvez le bien immobilier qui correspond idéalement à vos désirs sur ImmoScout24 - La plateforme de l'immobilier en Suisse.")</f>
        <v>🏘️ Vendre appartement Riddes ✅ Trouvez le bien immobilier qui correspond idéalement à vos désirs sur ImmoScout24 - La plateforme de l'immobilier en Suisse.</v>
      </c>
      <c r="D2270" s="4" t="str">
        <f>vlookup(A2270, Sheet2!D:E, 2, 0)</f>
        <v>variant</v>
      </c>
      <c r="E2270" s="4" t="str">
        <f>IFERROR(__xludf.DUMMYFUNCTION("if(H2270=""pays"",vlookup(REGEXEXTRACT(C2270, ""🏘️ \w+ \w+ (.*) ✅""),'Country prepositions'!A:B, 2, 0) &amp; "" "" &amp; REGEXEXTRACT(C2270, ""🏘️ \w+ \w+ (.*) ✅"") ,  if(H2270=""quartier"",vlookup(REGEXEXTRACT(C2270, ""🏘️ \w+ \w+ (.*) ✅""),'Quartier prepositio"&amp;"ns'!A:E, 5, 0) ,  if(H2270=""region"",vlookup(REGEXEXTRACT(C2270, ""🏘️ \w+ \w+ (.*) ✅""),'Region prepositions'!B:F, 5, 0),  REGEXEXTRACT(C2270, ""🏘️ \w+ \w+ (.*) ✅""))))"),"Riddes")</f>
        <v>Riddes</v>
      </c>
      <c r="F2270" s="2" t="str">
        <f>IFERROR(__xludf.DUMMYFUNCTION("REGEXEXTRACT(C2270, ""🏘️ (\w+) \w+ .* ✅"")"),"Vendre")</f>
        <v>Vendre</v>
      </c>
      <c r="G2270" s="2" t="str">
        <f>IFERROR(__xludf.DUMMYFUNCTION("REGEXEXTRACT(C2270, ""🏘️ \w+ (\w+) .* ✅"")"),"appartement")</f>
        <v>appartement</v>
      </c>
      <c r="H2270" s="4" t="str">
        <f>IFERROR(__xludf.DUMMYFUNCTION("REGEXEXTRACT(A2270, ""/(\w+)-.*?"")"),"lieu")</f>
        <v>lieu</v>
      </c>
      <c r="I2270" s="4" t="str">
        <f>IFERROR(__xludf.DUMMYFUNCTION("if(D2270=""variant"",  substitute(filter(Templates!E:E, Templates!A:A = F2270, Templates!B:B = G2270, Templates!C:C = H2270), ""{{}}"", E2270), B2270)"),"🏘  L’appartement de vos rêves se trouve sur ImmoScout24.ch ✅ Découvrez les dernières annonces de vente à Riddes.")</f>
        <v>🏘  L’appartement de vos rêves se trouve sur ImmoScout24.ch ✅ Découvrez les dernières annonces de vente à Riddes.</v>
      </c>
      <c r="J2270" s="4" t="s">
        <v>6808</v>
      </c>
    </row>
    <row r="2271">
      <c r="A2271" s="5" t="s">
        <v>6809</v>
      </c>
      <c r="B2271" s="2" t="s">
        <v>6810</v>
      </c>
      <c r="C2271" s="4" t="str">
        <f>IFERROR(__xludf.DUMMYFUNCTION("""🏘️ ""&amp;REGEXEXTRACT(B2271, ""^(.*): "")&amp;"" ✅ "" &amp;REGEXEXTRACT(B2271, ""(Trouvez.*)"")"),"🏘️ Louer appartement Liebistorf ✅ Trouvez le bien immobilier qui correspond idéalement à vos désirs sur ImmoScout24 - La plateforme de l'immobilier en Suisse.")</f>
        <v>🏘️ Louer appartement Liebistorf ✅ Trouvez le bien immobilier qui correspond idéalement à vos désirs sur ImmoScout24 - La plateforme de l'immobilier en Suisse.</v>
      </c>
      <c r="D2271" s="4" t="str">
        <f>vlookup(A2271, Sheet2!D:E, 2, 0)</f>
        <v>variant</v>
      </c>
      <c r="E2271" s="4" t="str">
        <f>IFERROR(__xludf.DUMMYFUNCTION("if(H2271=""pays"",vlookup(REGEXEXTRACT(C2271, ""🏘️ \w+ \w+ (.*) ✅""),'Country prepositions'!A:B, 2, 0) &amp; "" "" &amp; REGEXEXTRACT(C2271, ""🏘️ \w+ \w+ (.*) ✅"") ,  if(H2271=""quartier"",vlookup(REGEXEXTRACT(C2271, ""🏘️ \w+ \w+ (.*) ✅""),'Quartier prepositio"&amp;"ns'!A:E, 5, 0) ,  if(H2271=""region"",vlookup(REGEXEXTRACT(C2271, ""🏘️ \w+ \w+ (.*) ✅""),'Region prepositions'!B:F, 5, 0),  REGEXEXTRACT(C2271, ""🏘️ \w+ \w+ (.*) ✅""))))"),"Liebistorf")</f>
        <v>Liebistorf</v>
      </c>
      <c r="F2271" s="2" t="str">
        <f>IFERROR(__xludf.DUMMYFUNCTION("REGEXEXTRACT(C2271, ""🏘️ (\w+) \w+ .* ✅"")"),"Louer")</f>
        <v>Louer</v>
      </c>
      <c r="G2271" s="2" t="str">
        <f>IFERROR(__xludf.DUMMYFUNCTION("REGEXEXTRACT(C2271, ""🏘️ \w+ (\w+) .* ✅"")"),"appartement")</f>
        <v>appartement</v>
      </c>
      <c r="H2271" s="4" t="str">
        <f>IFERROR(__xludf.DUMMYFUNCTION("REGEXEXTRACT(A2271, ""/(\w+)-.*?"")"),"lieu")</f>
        <v>lieu</v>
      </c>
      <c r="I2271" s="4" t="str">
        <f>IFERROR(__xludf.DUMMYFUNCTION("if(D2271=""variant"",  substitute(filter(Templates!E:E, Templates!A:A = F2271, Templates!B:B = G2271, Templates!C:C = H2271), ""{{}}"", E2271), B2271)"),"🏘  Vous cherchez un appartement à louer à Liebistorf? ✅ Les annonces les plus actuelles sont sur ImmoScout24.ch.")</f>
        <v>🏘  Vous cherchez un appartement à louer à Liebistorf? ✅ Les annonces les plus actuelles sont sur ImmoScout24.ch.</v>
      </c>
      <c r="J2271" s="4" t="s">
        <v>6811</v>
      </c>
    </row>
    <row r="2272">
      <c r="A2272" s="5" t="s">
        <v>6812</v>
      </c>
      <c r="B2272" s="2" t="s">
        <v>6813</v>
      </c>
      <c r="C2272" s="4" t="str">
        <f>IFERROR(__xludf.DUMMYFUNCTION("""🏘️ ""&amp;REGEXEXTRACT(B2272, ""^(.*): "")&amp;"" ✅ "" &amp;REGEXEXTRACT(B2272, ""(Trouvez.*)"")"),"🏘️ Louer appartement Middes ✅ Trouvez le bien immobilier qui correspond idéalement à vos désirs sur ImmoScout24 - La plateforme de l'immobilier en Suisse.")</f>
        <v>🏘️ Louer appartement Middes ✅ Trouvez le bien immobilier qui correspond idéalement à vos désirs sur ImmoScout24 - La plateforme de l'immobilier en Suisse.</v>
      </c>
      <c r="D2272" s="4" t="str">
        <f>vlookup(A2272, Sheet2!D:E, 2, 0)</f>
        <v>variant</v>
      </c>
      <c r="E2272" s="4" t="str">
        <f>IFERROR(__xludf.DUMMYFUNCTION("if(H2272=""pays"",vlookup(REGEXEXTRACT(C2272, ""🏘️ \w+ \w+ (.*) ✅""),'Country prepositions'!A:B, 2, 0) &amp; "" "" &amp; REGEXEXTRACT(C2272, ""🏘️ \w+ \w+ (.*) ✅"") ,  if(H2272=""quartier"",vlookup(REGEXEXTRACT(C2272, ""🏘️ \w+ \w+ (.*) ✅""),'Quartier prepositio"&amp;"ns'!A:E, 5, 0) ,  if(H2272=""region"",vlookup(REGEXEXTRACT(C2272, ""🏘️ \w+ \w+ (.*) ✅""),'Region prepositions'!B:F, 5, 0),  REGEXEXTRACT(C2272, ""🏘️ \w+ \w+ (.*) ✅""))))"),"Middes")</f>
        <v>Middes</v>
      </c>
      <c r="F2272" s="2" t="str">
        <f>IFERROR(__xludf.DUMMYFUNCTION("REGEXEXTRACT(C2272, ""🏘️ (\w+) \w+ .* ✅"")"),"Louer")</f>
        <v>Louer</v>
      </c>
      <c r="G2272" s="2" t="str">
        <f>IFERROR(__xludf.DUMMYFUNCTION("REGEXEXTRACT(C2272, ""🏘️ \w+ (\w+) .* ✅"")"),"appartement")</f>
        <v>appartement</v>
      </c>
      <c r="H2272" s="4" t="str">
        <f>IFERROR(__xludf.DUMMYFUNCTION("REGEXEXTRACT(A2272, ""/(\w+)-.*?"")"),"lieu")</f>
        <v>lieu</v>
      </c>
      <c r="I2272" s="4" t="str">
        <f>IFERROR(__xludf.DUMMYFUNCTION("if(D2272=""variant"",  substitute(filter(Templates!E:E, Templates!A:A = F2272, Templates!B:B = G2272, Templates!C:C = H2272), ""{{}}"", E2272), B2272)"),"🏘  Vous cherchez un appartement à louer à Middes? ✅ Les annonces les plus actuelles sont sur ImmoScout24.ch.")</f>
        <v>🏘  Vous cherchez un appartement à louer à Middes? ✅ Les annonces les plus actuelles sont sur ImmoScout24.ch.</v>
      </c>
      <c r="J2272" s="4" t="s">
        <v>6814</v>
      </c>
    </row>
    <row r="2273">
      <c r="A2273" s="5" t="s">
        <v>6815</v>
      </c>
      <c r="B2273" s="2" t="s">
        <v>6816</v>
      </c>
      <c r="C2273" s="4" t="str">
        <f>IFERROR(__xludf.DUMMYFUNCTION("""🏘️ ""&amp;REGEXEXTRACT(B2273, ""^(.*): "")&amp;"" ✅ "" &amp;REGEXEXTRACT(B2273, ""(Trouvez.*)"")"),"🏘️ Vendre maison Cottens VD ✅ Trouvez le bien immobilier qui correspond idéalement à vos désirs sur ImmoScout24 - La plateforme de l'immobilier en Suisse.")</f>
        <v>🏘️ Vendre maison Cottens VD ✅ Trouvez le bien immobilier qui correspond idéalement à vos désirs sur ImmoScout24 - La plateforme de l'immobilier en Suisse.</v>
      </c>
      <c r="D2273" s="4" t="str">
        <f>vlookup(A2273, Sheet2!D:E, 2, 0)</f>
        <v>variant</v>
      </c>
      <c r="E2273" s="4" t="str">
        <f>IFERROR(__xludf.DUMMYFUNCTION("if(H2273=""pays"",vlookup(REGEXEXTRACT(C2273, ""🏘️ \w+ \w+ (.*) ✅""),'Country prepositions'!A:B, 2, 0) &amp; "" "" &amp; REGEXEXTRACT(C2273, ""🏘️ \w+ \w+ (.*) ✅"") ,  if(H2273=""quartier"",vlookup(REGEXEXTRACT(C2273, ""🏘️ \w+ \w+ (.*) ✅""),'Quartier prepositio"&amp;"ns'!A:E, 5, 0) ,  if(H2273=""region"",vlookup(REGEXEXTRACT(C2273, ""🏘️ \w+ \w+ (.*) ✅""),'Region prepositions'!B:F, 5, 0),  REGEXEXTRACT(C2273, ""🏘️ \w+ \w+ (.*) ✅""))))"),"Cottens VD")</f>
        <v>Cottens VD</v>
      </c>
      <c r="F2273" s="2" t="str">
        <f>IFERROR(__xludf.DUMMYFUNCTION("REGEXEXTRACT(C2273, ""🏘️ (\w+) \w+ .* ✅"")"),"Vendre")</f>
        <v>Vendre</v>
      </c>
      <c r="G2273" s="2" t="str">
        <f>IFERROR(__xludf.DUMMYFUNCTION("REGEXEXTRACT(C2273, ""🏘️ \w+ (\w+) .* ✅"")"),"maison")</f>
        <v>maison</v>
      </c>
      <c r="H2273" s="4" t="str">
        <f>IFERROR(__xludf.DUMMYFUNCTION("REGEXEXTRACT(A2273, ""/(\w+)-.*?"")"),"lieu")</f>
        <v>lieu</v>
      </c>
      <c r="I2273" s="4" t="str">
        <f>IFERROR(__xludf.DUMMYFUNCTION("if(D2273=""variant"",  substitute(filter(Templates!E:E, Templates!A:A = F2273, Templates!B:B = G2273, Templates!C:C = H2273), ""{{}}"", E2273), B2273)"),"🏘  Vous souhaitez acheter une maison à Cottens VD? ✅ Jetez un œil aux dernières offres sur ImmoScout24.ch.")</f>
        <v>🏘  Vous souhaitez acheter une maison à Cottens VD? ✅ Jetez un œil aux dernières offres sur ImmoScout24.ch.</v>
      </c>
      <c r="J2273" s="4" t="s">
        <v>6817</v>
      </c>
    </row>
    <row r="2274">
      <c r="A2274" s="5" t="s">
        <v>6818</v>
      </c>
      <c r="B2274" s="2" t="s">
        <v>6819</v>
      </c>
      <c r="C2274" s="4" t="str">
        <f>IFERROR(__xludf.DUMMYFUNCTION("""🏘️ ""&amp;REGEXEXTRACT(B2274, ""^(.*): "")&amp;"" ✅ "" &amp;REGEXEXTRACT(B2274, ""(Trouvez.*)"")"),"🏘️ Vendre appartement Echichens ✅ Trouvez le bien immobilier qui correspond idéalement à vos désirs sur ImmoScout24 - La plateforme de l'immobilier en Suisse.")</f>
        <v>🏘️ Vendre appartement Echichens ✅ Trouvez le bien immobilier qui correspond idéalement à vos désirs sur ImmoScout24 - La plateforme de l'immobilier en Suisse.</v>
      </c>
      <c r="D2274" s="4" t="str">
        <f>vlookup(A2274, Sheet2!D:E, 2, 0)</f>
        <v>variant</v>
      </c>
      <c r="E2274" s="4" t="str">
        <f>IFERROR(__xludf.DUMMYFUNCTION("if(H2274=""pays"",vlookup(REGEXEXTRACT(C2274, ""🏘️ \w+ \w+ (.*) ✅""),'Country prepositions'!A:B, 2, 0) &amp; "" "" &amp; REGEXEXTRACT(C2274, ""🏘️ \w+ \w+ (.*) ✅"") ,  if(H2274=""quartier"",vlookup(REGEXEXTRACT(C2274, ""🏘️ \w+ \w+ (.*) ✅""),'Quartier prepositio"&amp;"ns'!A:E, 5, 0) ,  if(H2274=""region"",vlookup(REGEXEXTRACT(C2274, ""🏘️ \w+ \w+ (.*) ✅""),'Region prepositions'!B:F, 5, 0),  REGEXEXTRACT(C2274, ""🏘️ \w+ \w+ (.*) ✅""))))"),"Echichens")</f>
        <v>Echichens</v>
      </c>
      <c r="F2274" s="2" t="str">
        <f>IFERROR(__xludf.DUMMYFUNCTION("REGEXEXTRACT(C2274, ""🏘️ (\w+) \w+ .* ✅"")"),"Vendre")</f>
        <v>Vendre</v>
      </c>
      <c r="G2274" s="2" t="str">
        <f>IFERROR(__xludf.DUMMYFUNCTION("REGEXEXTRACT(C2274, ""🏘️ \w+ (\w+) .* ✅"")"),"appartement")</f>
        <v>appartement</v>
      </c>
      <c r="H2274" s="4" t="str">
        <f>IFERROR(__xludf.DUMMYFUNCTION("REGEXEXTRACT(A2274, ""/(\w+)-.*?"")"),"lieu")</f>
        <v>lieu</v>
      </c>
      <c r="I2274" s="4" t="str">
        <f>IFERROR(__xludf.DUMMYFUNCTION("if(D2274=""variant"",  substitute(filter(Templates!E:E, Templates!A:A = F2274, Templates!B:B = G2274, Templates!C:C = H2274), ""{{}}"", E2274), B2274)"),"🏘  L’appartement de vos rêves se trouve sur ImmoScout24.ch ✅ Découvrez les dernières annonces de vente à Echichens.")</f>
        <v>🏘  L’appartement de vos rêves se trouve sur ImmoScout24.ch ✅ Découvrez les dernières annonces de vente à Echichens.</v>
      </c>
      <c r="J2274" s="4" t="s">
        <v>6820</v>
      </c>
    </row>
    <row r="2275">
      <c r="A2275" s="5" t="s">
        <v>6821</v>
      </c>
      <c r="B2275" s="2" t="s">
        <v>6822</v>
      </c>
      <c r="C2275" s="4" t="str">
        <f>IFERROR(__xludf.DUMMYFUNCTION("""🏘️ ""&amp;REGEXEXTRACT(B2275, ""^(.*): "")&amp;"" ✅ "" &amp;REGEXEXTRACT(B2275, ""(Trouvez.*)"")"),"🏘️ Louer maison Seeland ✅ Trouvez le bien immobilier qui correspond idéalement à vos désirs sur ImmoScout24 - La plateforme de l'immobilier en Suisse.")</f>
        <v>🏘️ Louer maison Seeland ✅ Trouvez le bien immobilier qui correspond idéalement à vos désirs sur ImmoScout24 - La plateforme de l'immobilier en Suisse.</v>
      </c>
      <c r="D2275" s="4" t="str">
        <f>vlookup(A2275, Sheet2!D:E, 2, 0)</f>
        <v>variant</v>
      </c>
      <c r="E2275" s="4" t="str">
        <f>IFERROR(__xludf.DUMMYFUNCTION("if(H2275=""pays"",vlookup(REGEXEXTRACT(C2275, ""🏘️ \w+ \w+ (.*) ✅""),'Country prepositions'!A:B, 2, 0) &amp; "" "" &amp; REGEXEXTRACT(C2275, ""🏘️ \w+ \w+ (.*) ✅"") ,  if(H2275=""quartier"",vlookup(REGEXEXTRACT(C2275, ""🏘️ \w+ \w+ (.*) ✅""),'Quartier prepositio"&amp;"ns'!A:E, 5, 0) ,  if(H2275=""region"",vlookup(REGEXEXTRACT(C2275, ""🏘️ \w+ \w+ (.*) ✅""),'Region prepositions'!B:F, 5, 0),  REGEXEXTRACT(C2275, ""🏘️ \w+ \w+ (.*) ✅""))))"),"dans le Seeland")</f>
        <v>dans le Seeland</v>
      </c>
      <c r="F2275" s="2" t="str">
        <f>IFERROR(__xludf.DUMMYFUNCTION("REGEXEXTRACT(C2275, ""🏘️ (\w+) \w+ .* ✅"")"),"Louer")</f>
        <v>Louer</v>
      </c>
      <c r="G2275" s="2" t="str">
        <f>IFERROR(__xludf.DUMMYFUNCTION("REGEXEXTRACT(C2275, ""🏘️ \w+ (\w+) .* ✅"")"),"maison")</f>
        <v>maison</v>
      </c>
      <c r="H2275" s="4" t="str">
        <f>IFERROR(__xludf.DUMMYFUNCTION("REGEXEXTRACT(A2275, ""/(\w+)-.*?"")"),"region")</f>
        <v>region</v>
      </c>
      <c r="I2275" s="4" t="str">
        <f>IFERROR(__xludf.DUMMYFUNCTION("if(D2275=""variant"",  substitute(filter(Templates!E:E, Templates!A:A = F2275, Templates!B:B = G2275, Templates!C:C = H2275), ""{{}}"", E2275), B2275)"),"🏘  Vous cherchez une maison à louer dans le Seeland? ✅ Découvrez nos nombreuses annonces sur ImmoScout24.ch.")</f>
        <v>🏘  Vous cherchez une maison à louer dans le Seeland? ✅ Découvrez nos nombreuses annonces sur ImmoScout24.ch.</v>
      </c>
      <c r="J2275" s="4" t="s">
        <v>6823</v>
      </c>
    </row>
    <row r="2276">
      <c r="A2276" s="5" t="s">
        <v>6824</v>
      </c>
      <c r="B2276" s="2" t="s">
        <v>6825</v>
      </c>
      <c r="C2276" s="4" t="str">
        <f>IFERROR(__xludf.DUMMYFUNCTION("""🏘️ ""&amp;REGEXEXTRACT(B2276, ""^(.*): "")&amp;"" ✅ "" &amp;REGEXEXTRACT(B2276, ""(Trouvez.*)"")"),"🏘️ Vendre appartement Oberwald ✅ Trouvez le bien immobilier qui correspond idéalement à vos désirs sur ImmoScout24 - La plateforme de l'immobilier en Suisse.")</f>
        <v>🏘️ Vendre appartement Oberwald ✅ Trouvez le bien immobilier qui correspond idéalement à vos désirs sur ImmoScout24 - La plateforme de l'immobilier en Suisse.</v>
      </c>
      <c r="D2276" s="4" t="str">
        <f>vlookup(A2276, Sheet2!D:E, 2, 0)</f>
        <v>variant</v>
      </c>
      <c r="E2276" s="4" t="str">
        <f>IFERROR(__xludf.DUMMYFUNCTION("if(H2276=""pays"",vlookup(REGEXEXTRACT(C2276, ""🏘️ \w+ \w+ (.*) ✅""),'Country prepositions'!A:B, 2, 0) &amp; "" "" &amp; REGEXEXTRACT(C2276, ""🏘️ \w+ \w+ (.*) ✅"") ,  if(H2276=""quartier"",vlookup(REGEXEXTRACT(C2276, ""🏘️ \w+ \w+ (.*) ✅""),'Quartier prepositio"&amp;"ns'!A:E, 5, 0) ,  if(H2276=""region"",vlookup(REGEXEXTRACT(C2276, ""🏘️ \w+ \w+ (.*) ✅""),'Region prepositions'!B:F, 5, 0),  REGEXEXTRACT(C2276, ""🏘️ \w+ \w+ (.*) ✅""))))"),"Oberwald")</f>
        <v>Oberwald</v>
      </c>
      <c r="F2276" s="2" t="str">
        <f>IFERROR(__xludf.DUMMYFUNCTION("REGEXEXTRACT(C2276, ""🏘️ (\w+) \w+ .* ✅"")"),"Vendre")</f>
        <v>Vendre</v>
      </c>
      <c r="G2276" s="2" t="str">
        <f>IFERROR(__xludf.DUMMYFUNCTION("REGEXEXTRACT(C2276, ""🏘️ \w+ (\w+) .* ✅"")"),"appartement")</f>
        <v>appartement</v>
      </c>
      <c r="H2276" s="4" t="str">
        <f>IFERROR(__xludf.DUMMYFUNCTION("REGEXEXTRACT(A2276, ""/(\w+)-.*?"")"),"lieu")</f>
        <v>lieu</v>
      </c>
      <c r="I2276" s="4" t="str">
        <f>IFERROR(__xludf.DUMMYFUNCTION("if(D2276=""variant"",  substitute(filter(Templates!E:E, Templates!A:A = F2276, Templates!B:B = G2276, Templates!C:C = H2276), ""{{}}"", E2276), B2276)"),"🏘  L’appartement de vos rêves se trouve sur ImmoScout24.ch ✅ Découvrez les dernières annonces de vente à Oberwald.")</f>
        <v>🏘  L’appartement de vos rêves se trouve sur ImmoScout24.ch ✅ Découvrez les dernières annonces de vente à Oberwald.</v>
      </c>
      <c r="J2276" s="4" t="s">
        <v>6826</v>
      </c>
    </row>
    <row r="2277">
      <c r="A2277" s="5" t="s">
        <v>6827</v>
      </c>
      <c r="B2277" s="2" t="s">
        <v>6828</v>
      </c>
      <c r="C2277" s="4" t="str">
        <f>IFERROR(__xludf.DUMMYFUNCTION("""🏘️ ""&amp;REGEXEXTRACT(B2277, ""^(.*): "")&amp;"" ✅ "" &amp;REGEXEXTRACT(B2277, ""(Trouvez.*)"")"),"🏘️ Vendre maison Bas Valais ✅ Trouvez le bien immobilier qui correspond idéalement à vos désirs sur ImmoScout24 - La plateforme de l'immobilier en Suisse.")</f>
        <v>🏘️ Vendre maison Bas Valais ✅ Trouvez le bien immobilier qui correspond idéalement à vos désirs sur ImmoScout24 - La plateforme de l'immobilier en Suisse.</v>
      </c>
      <c r="D2277" s="4" t="str">
        <f>vlookup(A2277, Sheet2!D:E, 2, 0)</f>
        <v>variant</v>
      </c>
      <c r="E2277" s="4" t="str">
        <f>IFERROR(__xludf.DUMMYFUNCTION("if(H2277=""pays"",vlookup(REGEXEXTRACT(C2277, ""🏘️ \w+ \w+ (.*) ✅""),'Country prepositions'!A:B, 2, 0) &amp; "" "" &amp; REGEXEXTRACT(C2277, ""🏘️ \w+ \w+ (.*) ✅"") ,  if(H2277=""quartier"",vlookup(REGEXEXTRACT(C2277, ""🏘️ \w+ \w+ (.*) ✅""),'Quartier prepositio"&amp;"ns'!A:E, 5, 0) ,  if(H2277=""region"",vlookup(REGEXEXTRACT(C2277, ""🏘️ \w+ \w+ (.*) ✅""),'Region prepositions'!B:F, 5, 0),  REGEXEXTRACT(C2277, ""🏘️ \w+ \w+ (.*) ✅""))))"),"dans le Bas-Valais")</f>
        <v>dans le Bas-Valais</v>
      </c>
      <c r="F2277" s="2" t="str">
        <f>IFERROR(__xludf.DUMMYFUNCTION("REGEXEXTRACT(C2277, ""🏘️ (\w+) \w+ .* ✅"")"),"Vendre")</f>
        <v>Vendre</v>
      </c>
      <c r="G2277" s="2" t="str">
        <f>IFERROR(__xludf.DUMMYFUNCTION("REGEXEXTRACT(C2277, ""🏘️ \w+ (\w+) .* ✅"")"),"maison")</f>
        <v>maison</v>
      </c>
      <c r="H2277" s="4" t="str">
        <f>IFERROR(__xludf.DUMMYFUNCTION("REGEXEXTRACT(A2277, ""/(\w+)-.*?"")"),"region")</f>
        <v>region</v>
      </c>
      <c r="I2277" s="4" t="str">
        <f>IFERROR(__xludf.DUMMYFUNCTION("if(D2277=""variant"",  substitute(filter(Templates!E:E, Templates!A:A = F2277, Templates!B:B = G2277, Templates!C:C = H2277), ""{{}}"", E2277), B2277)"),"🏘  Vous souhaitez acheter une maison dans le Bas-Valais? ✅ Jetez un œil aux dernières offres sur ImmoScout24.ch.")</f>
        <v>🏘  Vous souhaitez acheter une maison dans le Bas-Valais? ✅ Jetez un œil aux dernières offres sur ImmoScout24.ch.</v>
      </c>
      <c r="J2277" s="4" t="s">
        <v>6829</v>
      </c>
    </row>
    <row r="2278">
      <c r="A2278" s="5" t="s">
        <v>6830</v>
      </c>
      <c r="B2278" s="2" t="s">
        <v>6831</v>
      </c>
      <c r="C2278" s="4" t="str">
        <f>IFERROR(__xludf.DUMMYFUNCTION("""🏘️ ""&amp;REGEXEXTRACT(B2278, ""^(.*): "")&amp;"" ✅ "" &amp;REGEXEXTRACT(B2278, ""(Trouvez.*)"")"),"🏘️ Vendre appartement Stabio ✅ Trouvez le bien immobilier qui correspond idéalement à vos désirs sur ImmoScout24 - La plateforme de l'immobilier en Suisse.")</f>
        <v>🏘️ Vendre appartement Stabio ✅ Trouvez le bien immobilier qui correspond idéalement à vos désirs sur ImmoScout24 - La plateforme de l'immobilier en Suisse.</v>
      </c>
      <c r="D2278" s="4" t="str">
        <f>vlookup(A2278, Sheet2!D:E, 2, 0)</f>
        <v>variant</v>
      </c>
      <c r="E2278" s="4" t="str">
        <f>IFERROR(__xludf.DUMMYFUNCTION("if(H2278=""pays"",vlookup(REGEXEXTRACT(C2278, ""🏘️ \w+ \w+ (.*) ✅""),'Country prepositions'!A:B, 2, 0) &amp; "" "" &amp; REGEXEXTRACT(C2278, ""🏘️ \w+ \w+ (.*) ✅"") ,  if(H2278=""quartier"",vlookup(REGEXEXTRACT(C2278, ""🏘️ \w+ \w+ (.*) ✅""),'Quartier prepositio"&amp;"ns'!A:E, 5, 0) ,  if(H2278=""region"",vlookup(REGEXEXTRACT(C2278, ""🏘️ \w+ \w+ (.*) ✅""),'Region prepositions'!B:F, 5, 0),  REGEXEXTRACT(C2278, ""🏘️ \w+ \w+ (.*) ✅""))))"),"Stabio")</f>
        <v>Stabio</v>
      </c>
      <c r="F2278" s="2" t="str">
        <f>IFERROR(__xludf.DUMMYFUNCTION("REGEXEXTRACT(C2278, ""🏘️ (\w+) \w+ .* ✅"")"),"Vendre")</f>
        <v>Vendre</v>
      </c>
      <c r="G2278" s="2" t="str">
        <f>IFERROR(__xludf.DUMMYFUNCTION("REGEXEXTRACT(C2278, ""🏘️ \w+ (\w+) .* ✅"")"),"appartement")</f>
        <v>appartement</v>
      </c>
      <c r="H2278" s="4" t="str">
        <f>IFERROR(__xludf.DUMMYFUNCTION("REGEXEXTRACT(A2278, ""/(\w+)-.*?"")"),"lieu")</f>
        <v>lieu</v>
      </c>
      <c r="I2278" s="4" t="str">
        <f>IFERROR(__xludf.DUMMYFUNCTION("if(D2278=""variant"",  substitute(filter(Templates!E:E, Templates!A:A = F2278, Templates!B:B = G2278, Templates!C:C = H2278), ""{{}}"", E2278), B2278)"),"🏘  L’appartement de vos rêves se trouve sur ImmoScout24.ch ✅ Découvrez les dernières annonces de vente à Stabio.")</f>
        <v>🏘  L’appartement de vos rêves se trouve sur ImmoScout24.ch ✅ Découvrez les dernières annonces de vente à Stabio.</v>
      </c>
      <c r="J2278" s="4" t="s">
        <v>6832</v>
      </c>
    </row>
    <row r="2279">
      <c r="A2279" s="5" t="s">
        <v>6833</v>
      </c>
      <c r="B2279" s="2" t="s">
        <v>6834</v>
      </c>
      <c r="C2279" s="4" t="str">
        <f>IFERROR(__xludf.DUMMYFUNCTION("""🏘️ ""&amp;REGEXEXTRACT(B2279, ""^(.*): "")&amp;"" ✅ "" &amp;REGEXEXTRACT(B2279, ""(Trouvez.*)"")"),"🏘️ Vendre maison Chexbres ✅ Trouvez le bien immobilier qui correspond idéalement à vos désirs sur ImmoScout24 - La plateforme de l'immobilier en Suisse.")</f>
        <v>🏘️ Vendre maison Chexbres ✅ Trouvez le bien immobilier qui correspond idéalement à vos désirs sur ImmoScout24 - La plateforme de l'immobilier en Suisse.</v>
      </c>
      <c r="D2279" s="4" t="str">
        <f>vlookup(A2279, Sheet2!D:E, 2, 0)</f>
        <v>variant</v>
      </c>
      <c r="E2279" s="4" t="str">
        <f>IFERROR(__xludf.DUMMYFUNCTION("if(H2279=""pays"",vlookup(REGEXEXTRACT(C2279, ""🏘️ \w+ \w+ (.*) ✅""),'Country prepositions'!A:B, 2, 0) &amp; "" "" &amp; REGEXEXTRACT(C2279, ""🏘️ \w+ \w+ (.*) ✅"") ,  if(H2279=""quartier"",vlookup(REGEXEXTRACT(C2279, ""🏘️ \w+ \w+ (.*) ✅""),'Quartier prepositio"&amp;"ns'!A:E, 5, 0) ,  if(H2279=""region"",vlookup(REGEXEXTRACT(C2279, ""🏘️ \w+ \w+ (.*) ✅""),'Region prepositions'!B:F, 5, 0),  REGEXEXTRACT(C2279, ""🏘️ \w+ \w+ (.*) ✅""))))"),"Chexbres")</f>
        <v>Chexbres</v>
      </c>
      <c r="F2279" s="2" t="str">
        <f>IFERROR(__xludf.DUMMYFUNCTION("REGEXEXTRACT(C2279, ""🏘️ (\w+) \w+ .* ✅"")"),"Vendre")</f>
        <v>Vendre</v>
      </c>
      <c r="G2279" s="2" t="str">
        <f>IFERROR(__xludf.DUMMYFUNCTION("REGEXEXTRACT(C2279, ""🏘️ \w+ (\w+) .* ✅"")"),"maison")</f>
        <v>maison</v>
      </c>
      <c r="H2279" s="4" t="str">
        <f>IFERROR(__xludf.DUMMYFUNCTION("REGEXEXTRACT(A2279, ""/(\w+)-.*?"")"),"lieu")</f>
        <v>lieu</v>
      </c>
      <c r="I2279" s="4" t="str">
        <f>IFERROR(__xludf.DUMMYFUNCTION("if(D2279=""variant"",  substitute(filter(Templates!E:E, Templates!A:A = F2279, Templates!B:B = G2279, Templates!C:C = H2279), ""{{}}"", E2279), B2279)"),"🏘  Vous souhaitez acheter une maison à Chexbres? ✅ Jetez un œil aux dernières offres sur ImmoScout24.ch.")</f>
        <v>🏘  Vous souhaitez acheter une maison à Chexbres? ✅ Jetez un œil aux dernières offres sur ImmoScout24.ch.</v>
      </c>
      <c r="J2279" s="4" t="s">
        <v>6835</v>
      </c>
    </row>
    <row r="2280">
      <c r="A2280" s="5" t="s">
        <v>6836</v>
      </c>
      <c r="B2280" s="2" t="s">
        <v>6837</v>
      </c>
      <c r="C2280" s="4" t="str">
        <f>IFERROR(__xludf.DUMMYFUNCTION("""🏘️ ""&amp;REGEXEXTRACT(B2280, ""^(.*): "")&amp;"" ✅ "" &amp;REGEXEXTRACT(B2280, ""(Trouvez.*)"")"),"🏘️ Vendre appartement Gossau SG ✅ Trouvez le bien immobilier qui correspond idéalement à vos désirs sur ImmoScout24 - La plateforme de l'immobilier en Suisse.")</f>
        <v>🏘️ Vendre appartement Gossau SG ✅ Trouvez le bien immobilier qui correspond idéalement à vos désirs sur ImmoScout24 - La plateforme de l'immobilier en Suisse.</v>
      </c>
      <c r="D2280" s="4" t="str">
        <f>vlookup(A2280, Sheet2!D:E, 2, 0)</f>
        <v>variant</v>
      </c>
      <c r="E2280" s="4" t="str">
        <f>IFERROR(__xludf.DUMMYFUNCTION("if(H2280=""pays"",vlookup(REGEXEXTRACT(C2280, ""🏘️ \w+ \w+ (.*) ✅""),'Country prepositions'!A:B, 2, 0) &amp; "" "" &amp; REGEXEXTRACT(C2280, ""🏘️ \w+ \w+ (.*) ✅"") ,  if(H2280=""quartier"",vlookup(REGEXEXTRACT(C2280, ""🏘️ \w+ \w+ (.*) ✅""),'Quartier prepositio"&amp;"ns'!A:E, 5, 0) ,  if(H2280=""region"",vlookup(REGEXEXTRACT(C2280, ""🏘️ \w+ \w+ (.*) ✅""),'Region prepositions'!B:F, 5, 0),  REGEXEXTRACT(C2280, ""🏘️ \w+ \w+ (.*) ✅""))))"),"Gossau SG")</f>
        <v>Gossau SG</v>
      </c>
      <c r="F2280" s="2" t="str">
        <f>IFERROR(__xludf.DUMMYFUNCTION("REGEXEXTRACT(C2280, ""🏘️ (\w+) \w+ .* ✅"")"),"Vendre")</f>
        <v>Vendre</v>
      </c>
      <c r="G2280" s="2" t="str">
        <f>IFERROR(__xludf.DUMMYFUNCTION("REGEXEXTRACT(C2280, ""🏘️ \w+ (\w+) .* ✅"")"),"appartement")</f>
        <v>appartement</v>
      </c>
      <c r="H2280" s="4" t="str">
        <f>IFERROR(__xludf.DUMMYFUNCTION("REGEXEXTRACT(A2280, ""/(\w+)-.*?"")"),"lieu")</f>
        <v>lieu</v>
      </c>
      <c r="I2280" s="4" t="str">
        <f>IFERROR(__xludf.DUMMYFUNCTION("if(D2280=""variant"",  substitute(filter(Templates!E:E, Templates!A:A = F2280, Templates!B:B = G2280, Templates!C:C = H2280), ""{{}}"", E2280), B2280)"),"🏘  L’appartement de vos rêves se trouve sur ImmoScout24.ch ✅ Découvrez les dernières annonces de vente à Gossau SG.")</f>
        <v>🏘  L’appartement de vos rêves se trouve sur ImmoScout24.ch ✅ Découvrez les dernières annonces de vente à Gossau SG.</v>
      </c>
      <c r="J2280" s="4" t="s">
        <v>6838</v>
      </c>
    </row>
    <row r="2281">
      <c r="A2281" s="5" t="s">
        <v>6839</v>
      </c>
      <c r="B2281" s="2" t="s">
        <v>6840</v>
      </c>
      <c r="C2281" s="4" t="str">
        <f>IFERROR(__xludf.DUMMYFUNCTION("""🏘️ ""&amp;REGEXEXTRACT(B2281, ""^(.*): "")&amp;"" ✅ "" &amp;REGEXEXTRACT(B2281, ""(Trouvez.*)"")"),"🏘️ Vendre appartement Langstrasse (Zurich) ✅ Trouvez le bien immobilier qui correspond idéalement à vos désirs sur ImmoScout24 - La plateforme de l'immobilier en Suisse.")</f>
        <v>🏘️ Vendre appartement Langstrasse (Zurich) ✅ Trouvez le bien immobilier qui correspond idéalement à vos désirs sur ImmoScout24 - La plateforme de l'immobilier en Suisse.</v>
      </c>
      <c r="D2281" s="4" t="str">
        <f>vlookup(A2281, Sheet2!D:E, 2, 0)</f>
        <v>variant</v>
      </c>
      <c r="E2281" s="4" t="str">
        <f>IFERROR(__xludf.DUMMYFUNCTION("if(H2281=""pays"",vlookup(REGEXEXTRACT(C2281, ""🏘️ \w+ \w+ (.*) ✅""),'Country prepositions'!A:B, 2, 0) &amp; "" "" &amp; REGEXEXTRACT(C2281, ""🏘️ \w+ \w+ (.*) ✅"") ,  if(H2281=""quartier"",vlookup(REGEXEXTRACT(C2281, ""🏘️ \w+ \w+ (.*) ✅""),'Quartier prepositio"&amp;"ns'!A:E, 5, 0) ,  if(H2281=""region"",vlookup(REGEXEXTRACT(C2281, ""🏘️ \w+ \w+ (.*) ✅""),'Region prepositions'!B:F, 5, 0),  REGEXEXTRACT(C2281, ""🏘️ \w+ \w+ (.*) ✅""))))"),"dans le quartier de Langstrasse (Zurich)")</f>
        <v>dans le quartier de Langstrasse (Zurich)</v>
      </c>
      <c r="F2281" s="2" t="str">
        <f>IFERROR(__xludf.DUMMYFUNCTION("REGEXEXTRACT(C2281, ""🏘️ (\w+) \w+ .* ✅"")"),"Vendre")</f>
        <v>Vendre</v>
      </c>
      <c r="G2281" s="2" t="str">
        <f>IFERROR(__xludf.DUMMYFUNCTION("REGEXEXTRACT(C2281, ""🏘️ \w+ (\w+) .* ✅"")"),"appartement")</f>
        <v>appartement</v>
      </c>
      <c r="H2281" s="4" t="str">
        <f>IFERROR(__xludf.DUMMYFUNCTION("REGEXEXTRACT(A2281, ""/(\w+)-.*?"")"),"quartier")</f>
        <v>quartier</v>
      </c>
      <c r="I2281" s="4" t="str">
        <f>IFERROR(__xludf.DUMMYFUNCTION("if(D2281=""variant"",  substitute(filter(Templates!E:E, Templates!A:A = F2281, Templates!B:B = G2281, Templates!C:C = H2281), ""{{}}"", E2281), B2281)"),"🏘  L’appartement de vos rêves se trouve sur ImmoScout24.ch ✅ Découvrez les dernières annonces de vente dans le quartier de Langstrasse (Zurich).")</f>
        <v>🏘  L’appartement de vos rêves se trouve sur ImmoScout24.ch ✅ Découvrez les dernières annonces de vente dans le quartier de Langstrasse (Zurich).</v>
      </c>
      <c r="J2281" s="4" t="s">
        <v>6841</v>
      </c>
    </row>
    <row r="2282">
      <c r="A2282" s="5" t="s">
        <v>6842</v>
      </c>
      <c r="B2282" s="2" t="s">
        <v>6843</v>
      </c>
      <c r="C2282" s="4" t="str">
        <f>IFERROR(__xludf.DUMMYFUNCTION("""🏘️ ""&amp;REGEXEXTRACT(B2282, ""^(.*): "")&amp;"" ✅ "" &amp;REGEXEXTRACT(B2282, ""(Trouvez.*)"")"),"🏘️ Vendre appartement Crissier ✅ Trouvez le bien immobilier qui correspond idéalement à vos désirs sur ImmoScout24 - La plateforme de l'immobilier en Suisse.")</f>
        <v>🏘️ Vendre appartement Crissier ✅ Trouvez le bien immobilier qui correspond idéalement à vos désirs sur ImmoScout24 - La plateforme de l'immobilier en Suisse.</v>
      </c>
      <c r="D2282" s="4" t="str">
        <f>vlookup(A2282, Sheet2!D:E, 2, 0)</f>
        <v>variant</v>
      </c>
      <c r="E2282" s="4" t="str">
        <f>IFERROR(__xludf.DUMMYFUNCTION("if(H2282=""pays"",vlookup(REGEXEXTRACT(C2282, ""🏘️ \w+ \w+ (.*) ✅""),'Country prepositions'!A:B, 2, 0) &amp; "" "" &amp; REGEXEXTRACT(C2282, ""🏘️ \w+ \w+ (.*) ✅"") ,  if(H2282=""quartier"",vlookup(REGEXEXTRACT(C2282, ""🏘️ \w+ \w+ (.*) ✅""),'Quartier prepositio"&amp;"ns'!A:E, 5, 0) ,  if(H2282=""region"",vlookup(REGEXEXTRACT(C2282, ""🏘️ \w+ \w+ (.*) ✅""),'Region prepositions'!B:F, 5, 0),  REGEXEXTRACT(C2282, ""🏘️ \w+ \w+ (.*) ✅""))))"),"Crissier")</f>
        <v>Crissier</v>
      </c>
      <c r="F2282" s="2" t="str">
        <f>IFERROR(__xludf.DUMMYFUNCTION("REGEXEXTRACT(C2282, ""🏘️ (\w+) \w+ .* ✅"")"),"Vendre")</f>
        <v>Vendre</v>
      </c>
      <c r="G2282" s="2" t="str">
        <f>IFERROR(__xludf.DUMMYFUNCTION("REGEXEXTRACT(C2282, ""🏘️ \w+ (\w+) .* ✅"")"),"appartement")</f>
        <v>appartement</v>
      </c>
      <c r="H2282" s="4" t="str">
        <f>IFERROR(__xludf.DUMMYFUNCTION("REGEXEXTRACT(A2282, ""/(\w+)-.*?"")"),"lieu")</f>
        <v>lieu</v>
      </c>
      <c r="I2282" s="4" t="str">
        <f>IFERROR(__xludf.DUMMYFUNCTION("if(D2282=""variant"",  substitute(filter(Templates!E:E, Templates!A:A = F2282, Templates!B:B = G2282, Templates!C:C = H2282), ""{{}}"", E2282), B2282)"),"🏘  L’appartement de vos rêves se trouve sur ImmoScout24.ch ✅ Découvrez les dernières annonces de vente à Crissier.")</f>
        <v>🏘  L’appartement de vos rêves se trouve sur ImmoScout24.ch ✅ Découvrez les dernières annonces de vente à Crissier.</v>
      </c>
      <c r="J2282" s="4" t="s">
        <v>6844</v>
      </c>
    </row>
    <row r="2283">
      <c r="A2283" s="5" t="s">
        <v>6845</v>
      </c>
      <c r="B2283" s="2" t="s">
        <v>6846</v>
      </c>
      <c r="C2283" s="4" t="str">
        <f>IFERROR(__xludf.DUMMYFUNCTION("""🏘️ ""&amp;REGEXEXTRACT(B2283, ""^(.*): "")&amp;"" ✅ "" &amp;REGEXEXTRACT(B2283, ""(Trouvez.*)"")"),"🏘️ Louer maison Canton de Lucerne ✅ Trouvez le bien immobilier qui correspond idéalement à vos désirs sur ImmoScout24 - La plateforme de l'immobilier en Suisse.")</f>
        <v>🏘️ Louer maison Canton de Lucerne ✅ Trouvez le bien immobilier qui correspond idéalement à vos désirs sur ImmoScout24 - La plateforme de l'immobilier en Suisse.</v>
      </c>
      <c r="D2283" s="4" t="str">
        <f>vlookup(A2283, Sheet2!D:E, 2, 0)</f>
        <v>variant</v>
      </c>
      <c r="E2283" s="4" t="str">
        <f>IFERROR(__xludf.DUMMYFUNCTION("if(H2283=""pays"",vlookup(REGEXEXTRACT(C2283, ""🏘️ \w+ \w+ (.*) ✅""),'Country prepositions'!A:B, 2, 0) &amp; "" "" &amp; REGEXEXTRACT(C2283, ""🏘️ \w+ \w+ (.*) ✅"") ,  if(H2283=""quartier"",vlookup(REGEXEXTRACT(C2283, ""🏘️ \w+ \w+ (.*) ✅""),'Quartier prepositio"&amp;"ns'!A:E, 5, 0) ,  if(H2283=""region"",vlookup(REGEXEXTRACT(C2283, ""🏘️ \w+ \w+ (.*) ✅""),'Region prepositions'!B:F, 5, 0),  REGEXEXTRACT(C2283, ""🏘️ \w+ \w+ (.*) ✅""))))"),"Canton de Lucerne")</f>
        <v>Canton de Lucerne</v>
      </c>
      <c r="F2283" s="2" t="str">
        <f>IFERROR(__xludf.DUMMYFUNCTION("REGEXEXTRACT(C2283, ""🏘️ (\w+) \w+ .* ✅"")"),"Louer")</f>
        <v>Louer</v>
      </c>
      <c r="G2283" s="2" t="str">
        <f>IFERROR(__xludf.DUMMYFUNCTION("REGEXEXTRACT(C2283, ""🏘️ \w+ (\w+) .* ✅"")"),"maison")</f>
        <v>maison</v>
      </c>
      <c r="H2283" s="4" t="str">
        <f>IFERROR(__xludf.DUMMYFUNCTION("REGEXEXTRACT(A2283, ""/(\w+)-.*?"")"),"canton")</f>
        <v>canton</v>
      </c>
      <c r="I2283" s="4" t="str">
        <f>IFERROR(__xludf.DUMMYFUNCTION("if(D2283=""variant"",  substitute(filter(Templates!E:E, Templates!A:A = F2283, Templates!B:B = G2283, Templates!C:C = H2283), ""{{}}"", E2283), B2283)"),"🏘  Vous cherchez une maison à louer dans le Canton de Lucerne? ✅ Découvrez nos nombreuses annonces sur ImmoScout24.ch.")</f>
        <v>🏘  Vous cherchez une maison à louer dans le Canton de Lucerne? ✅ Découvrez nos nombreuses annonces sur ImmoScout24.ch.</v>
      </c>
      <c r="J2283" s="4" t="s">
        <v>6847</v>
      </c>
    </row>
    <row r="2284">
      <c r="A2284" s="5" t="s">
        <v>6848</v>
      </c>
      <c r="B2284" s="2" t="s">
        <v>6849</v>
      </c>
      <c r="C2284" s="4" t="str">
        <f>IFERROR(__xludf.DUMMYFUNCTION("""🏘️ ""&amp;REGEXEXTRACT(B2284, ""^(.*): "")&amp;"" ✅ "" &amp;REGEXEXTRACT(B2284, ""(Trouvez.*)"")"),"🏘️ Vendre maison Nax ✅ Trouvez le bien immobilier qui correspond idéalement à vos désirs sur ImmoScout24 - La plateforme de l'immobilier en Suisse.")</f>
        <v>🏘️ Vendre maison Nax ✅ Trouvez le bien immobilier qui correspond idéalement à vos désirs sur ImmoScout24 - La plateforme de l'immobilier en Suisse.</v>
      </c>
      <c r="D2284" s="4" t="str">
        <f>vlookup(A2284, Sheet2!D:E, 2, 0)</f>
        <v>variant</v>
      </c>
      <c r="E2284" s="4" t="str">
        <f>IFERROR(__xludf.DUMMYFUNCTION("if(H2284=""pays"",vlookup(REGEXEXTRACT(C2284, ""🏘️ \w+ \w+ (.*) ✅""),'Country prepositions'!A:B, 2, 0) &amp; "" "" &amp; REGEXEXTRACT(C2284, ""🏘️ \w+ \w+ (.*) ✅"") ,  if(H2284=""quartier"",vlookup(REGEXEXTRACT(C2284, ""🏘️ \w+ \w+ (.*) ✅""),'Quartier prepositio"&amp;"ns'!A:E, 5, 0) ,  if(H2284=""region"",vlookup(REGEXEXTRACT(C2284, ""🏘️ \w+ \w+ (.*) ✅""),'Region prepositions'!B:F, 5, 0),  REGEXEXTRACT(C2284, ""🏘️ \w+ \w+ (.*) ✅""))))"),"Nax")</f>
        <v>Nax</v>
      </c>
      <c r="F2284" s="2" t="str">
        <f>IFERROR(__xludf.DUMMYFUNCTION("REGEXEXTRACT(C2284, ""🏘️ (\w+) \w+ .* ✅"")"),"Vendre")</f>
        <v>Vendre</v>
      </c>
      <c r="G2284" s="2" t="str">
        <f>IFERROR(__xludf.DUMMYFUNCTION("REGEXEXTRACT(C2284, ""🏘️ \w+ (\w+) .* ✅"")"),"maison")</f>
        <v>maison</v>
      </c>
      <c r="H2284" s="4" t="str">
        <f>IFERROR(__xludf.DUMMYFUNCTION("REGEXEXTRACT(A2284, ""/(\w+)-.*?"")"),"lieu")</f>
        <v>lieu</v>
      </c>
      <c r="I2284" s="4" t="str">
        <f>IFERROR(__xludf.DUMMYFUNCTION("if(D2284=""variant"",  substitute(filter(Templates!E:E, Templates!A:A = F2284, Templates!B:B = G2284, Templates!C:C = H2284), ""{{}}"", E2284), B2284)"),"🏘  Vous souhaitez acheter une maison à Nax? ✅ Jetez un œil aux dernières offres sur ImmoScout24.ch.")</f>
        <v>🏘  Vous souhaitez acheter une maison à Nax? ✅ Jetez un œil aux dernières offres sur ImmoScout24.ch.</v>
      </c>
      <c r="J2284" s="4" t="s">
        <v>6850</v>
      </c>
    </row>
    <row r="2285">
      <c r="A2285" s="5" t="s">
        <v>6851</v>
      </c>
      <c r="B2285" s="2" t="s">
        <v>6852</v>
      </c>
      <c r="C2285" s="4" t="str">
        <f>IFERROR(__xludf.DUMMYFUNCTION("""🏘️ ""&amp;REGEXEXTRACT(B2285, ""^(.*): "")&amp;"" ✅ "" &amp;REGEXEXTRACT(B2285, ""(Trouvez.*)"")"),"🏘️ Vendre appartement Davos Dorf ✅ Trouvez le bien immobilier qui correspond idéalement à vos désirs sur ImmoScout24 - La plateforme de l'immobilier en Suisse.")</f>
        <v>🏘️ Vendre appartement Davos Dorf ✅ Trouvez le bien immobilier qui correspond idéalement à vos désirs sur ImmoScout24 - La plateforme de l'immobilier en Suisse.</v>
      </c>
      <c r="D2285" s="4" t="str">
        <f>vlookup(A2285, Sheet2!D:E, 2, 0)</f>
        <v>variant</v>
      </c>
      <c r="E2285" s="4" t="str">
        <f>IFERROR(__xludf.DUMMYFUNCTION("if(H2285=""pays"",vlookup(REGEXEXTRACT(C2285, ""🏘️ \w+ \w+ (.*) ✅""),'Country prepositions'!A:B, 2, 0) &amp; "" "" &amp; REGEXEXTRACT(C2285, ""🏘️ \w+ \w+ (.*) ✅"") ,  if(H2285=""quartier"",vlookup(REGEXEXTRACT(C2285, ""🏘️ \w+ \w+ (.*) ✅""),'Quartier prepositio"&amp;"ns'!A:E, 5, 0) ,  if(H2285=""region"",vlookup(REGEXEXTRACT(C2285, ""🏘️ \w+ \w+ (.*) ✅""),'Region prepositions'!B:F, 5, 0),  REGEXEXTRACT(C2285, ""🏘️ \w+ \w+ (.*) ✅""))))"),"Davos Dorf")</f>
        <v>Davos Dorf</v>
      </c>
      <c r="F2285" s="2" t="str">
        <f>IFERROR(__xludf.DUMMYFUNCTION("REGEXEXTRACT(C2285, ""🏘️ (\w+) \w+ .* ✅"")"),"Vendre")</f>
        <v>Vendre</v>
      </c>
      <c r="G2285" s="2" t="str">
        <f>IFERROR(__xludf.DUMMYFUNCTION("REGEXEXTRACT(C2285, ""🏘️ \w+ (\w+) .* ✅"")"),"appartement")</f>
        <v>appartement</v>
      </c>
      <c r="H2285" s="4" t="str">
        <f>IFERROR(__xludf.DUMMYFUNCTION("REGEXEXTRACT(A2285, ""/(\w+)-.*?"")"),"lieu")</f>
        <v>lieu</v>
      </c>
      <c r="I2285" s="4" t="str">
        <f>IFERROR(__xludf.DUMMYFUNCTION("if(D2285=""variant"",  substitute(filter(Templates!E:E, Templates!A:A = F2285, Templates!B:B = G2285, Templates!C:C = H2285), ""{{}}"", E2285), B2285)"),"🏘  L’appartement de vos rêves se trouve sur ImmoScout24.ch ✅ Découvrez les dernières annonces de vente à Davos Dorf.")</f>
        <v>🏘  L’appartement de vos rêves se trouve sur ImmoScout24.ch ✅ Découvrez les dernières annonces de vente à Davos Dorf.</v>
      </c>
      <c r="J2285" s="4" t="s">
        <v>6853</v>
      </c>
    </row>
    <row r="2286">
      <c r="A2286" s="5" t="s">
        <v>6854</v>
      </c>
      <c r="B2286" s="2" t="s">
        <v>6855</v>
      </c>
      <c r="C2286" s="4" t="str">
        <f>IFERROR(__xludf.DUMMYFUNCTION("""🏘️ ""&amp;REGEXEXTRACT(B2286, ""^(.*): "")&amp;"" ✅ "" &amp;REGEXEXTRACT(B2286, ""(Trouvez.*)"")"),"🏘️ Louer appartement Gruben (Schaffhouse) ✅ Trouvez le bien immobilier qui correspond idéalement à vos désirs sur ImmoScout24 - La plateforme de l'immobilier en Suisse.")</f>
        <v>🏘️ Louer appartement Gruben (Schaffhouse) ✅ Trouvez le bien immobilier qui correspond idéalement à vos désirs sur ImmoScout24 - La plateforme de l'immobilier en Suisse.</v>
      </c>
      <c r="D2286" s="4" t="str">
        <f>vlookup(A2286, Sheet2!D:E, 2, 0)</f>
        <v>variant</v>
      </c>
      <c r="E2286" s="4" t="str">
        <f>IFERROR(__xludf.DUMMYFUNCTION("if(H2286=""pays"",vlookup(REGEXEXTRACT(C2286, ""🏘️ \w+ \w+ (.*) ✅""),'Country prepositions'!A:B, 2, 0) &amp; "" "" &amp; REGEXEXTRACT(C2286, ""🏘️ \w+ \w+ (.*) ✅"") ,  if(H2286=""quartier"",vlookup(REGEXEXTRACT(C2286, ""🏘️ \w+ \w+ (.*) ✅""),'Quartier prepositio"&amp;"ns'!A:E, 5, 0) ,  if(H2286=""region"",vlookup(REGEXEXTRACT(C2286, ""🏘️ \w+ \w+ (.*) ✅""),'Region prepositions'!B:F, 5, 0),  REGEXEXTRACT(C2286, ""🏘️ \w+ \w+ (.*) ✅""))))"),"dans le quartier de Gruben (Schaffhouse)")</f>
        <v>dans le quartier de Gruben (Schaffhouse)</v>
      </c>
      <c r="F2286" s="2" t="str">
        <f>IFERROR(__xludf.DUMMYFUNCTION("REGEXEXTRACT(C2286, ""🏘️ (\w+) \w+ .* ✅"")"),"Louer")</f>
        <v>Louer</v>
      </c>
      <c r="G2286" s="2" t="str">
        <f>IFERROR(__xludf.DUMMYFUNCTION("REGEXEXTRACT(C2286, ""🏘️ \w+ (\w+) .* ✅"")"),"appartement")</f>
        <v>appartement</v>
      </c>
      <c r="H2286" s="4" t="str">
        <f>IFERROR(__xludf.DUMMYFUNCTION("REGEXEXTRACT(A2286, ""/(\w+)-.*?"")"),"quartier")</f>
        <v>quartier</v>
      </c>
      <c r="I2286" s="4" t="str">
        <f>IFERROR(__xludf.DUMMYFUNCTION("if(D2286=""variant"",  substitute(filter(Templates!E:E, Templates!A:A = F2286, Templates!B:B = G2286, Templates!C:C = H2286), ""{{}}"", E2286), B2286)"),"🏘  Vous cherchez un appartement à louer dans le quartier de Gruben (Schaffhouse)? ✅ Les annonces les plus actuelles sont sur ImmoScout24.ch.")</f>
        <v>🏘  Vous cherchez un appartement à louer dans le quartier de Gruben (Schaffhouse)? ✅ Les annonces les plus actuelles sont sur ImmoScout24.ch.</v>
      </c>
      <c r="J2286" s="4" t="s">
        <v>6856</v>
      </c>
    </row>
    <row r="2287">
      <c r="A2287" s="5" t="s">
        <v>6857</v>
      </c>
      <c r="B2287" s="2" t="s">
        <v>6858</v>
      </c>
      <c r="C2287" s="4" t="str">
        <f>IFERROR(__xludf.DUMMYFUNCTION("""🏘️ ""&amp;REGEXEXTRACT(B2287, ""^(.*): "")&amp;"" ✅ "" &amp;REGEXEXTRACT(B2287, ""(Trouvez.*)"")"),"🏘️ Vendre maison Personico ✅ Trouvez le bien immobilier qui correspond idéalement à vos désirs sur ImmoScout24 - La plateforme de l'immobilier en Suisse.")</f>
        <v>🏘️ Vendre maison Personico ✅ Trouvez le bien immobilier qui correspond idéalement à vos désirs sur ImmoScout24 - La plateforme de l'immobilier en Suisse.</v>
      </c>
      <c r="D2287" s="4" t="str">
        <f>vlookup(A2287, Sheet2!D:E, 2, 0)</f>
        <v>variant</v>
      </c>
      <c r="E2287" s="4" t="str">
        <f>IFERROR(__xludf.DUMMYFUNCTION("if(H2287=""pays"",vlookup(REGEXEXTRACT(C2287, ""🏘️ \w+ \w+ (.*) ✅""),'Country prepositions'!A:B, 2, 0) &amp; "" "" &amp; REGEXEXTRACT(C2287, ""🏘️ \w+ \w+ (.*) ✅"") ,  if(H2287=""quartier"",vlookup(REGEXEXTRACT(C2287, ""🏘️ \w+ \w+ (.*) ✅""),'Quartier prepositio"&amp;"ns'!A:E, 5, 0) ,  if(H2287=""region"",vlookup(REGEXEXTRACT(C2287, ""🏘️ \w+ \w+ (.*) ✅""),'Region prepositions'!B:F, 5, 0),  REGEXEXTRACT(C2287, ""🏘️ \w+ \w+ (.*) ✅""))))"),"Personico")</f>
        <v>Personico</v>
      </c>
      <c r="F2287" s="2" t="str">
        <f>IFERROR(__xludf.DUMMYFUNCTION("REGEXEXTRACT(C2287, ""🏘️ (\w+) \w+ .* ✅"")"),"Vendre")</f>
        <v>Vendre</v>
      </c>
      <c r="G2287" s="2" t="str">
        <f>IFERROR(__xludf.DUMMYFUNCTION("REGEXEXTRACT(C2287, ""🏘️ \w+ (\w+) .* ✅"")"),"maison")</f>
        <v>maison</v>
      </c>
      <c r="H2287" s="4" t="str">
        <f>IFERROR(__xludf.DUMMYFUNCTION("REGEXEXTRACT(A2287, ""/(\w+)-.*?"")"),"lieu")</f>
        <v>lieu</v>
      </c>
      <c r="I2287" s="4" t="str">
        <f>IFERROR(__xludf.DUMMYFUNCTION("if(D2287=""variant"",  substitute(filter(Templates!E:E, Templates!A:A = F2287, Templates!B:B = G2287, Templates!C:C = H2287), ""{{}}"", E2287), B2287)"),"🏘  Vous souhaitez acheter une maison à Personico? ✅ Jetez un œil aux dernières offres sur ImmoScout24.ch.")</f>
        <v>🏘  Vous souhaitez acheter une maison à Personico? ✅ Jetez un œil aux dernières offres sur ImmoScout24.ch.</v>
      </c>
      <c r="J2287" s="4" t="s">
        <v>6859</v>
      </c>
    </row>
    <row r="2288">
      <c r="A2288" s="5" t="s">
        <v>6860</v>
      </c>
      <c r="B2288" s="2" t="s">
        <v>6861</v>
      </c>
      <c r="C2288" s="4" t="str">
        <f>IFERROR(__xludf.DUMMYFUNCTION("""🏘️ ""&amp;REGEXEXTRACT(B2288, ""^(.*): "")&amp;"" ✅ "" &amp;REGEXEXTRACT(B2288, ""(Trouvez.*)"")"),"🏘️ Vendre maison Engelberg ✅ Trouvez le bien immobilier qui correspond idéalement à vos désirs sur ImmoScout24 - La plateforme de l'immobilier en Suisse.")</f>
        <v>🏘️ Vendre maison Engelberg ✅ Trouvez le bien immobilier qui correspond idéalement à vos désirs sur ImmoScout24 - La plateforme de l'immobilier en Suisse.</v>
      </c>
      <c r="D2288" s="4" t="str">
        <f>vlookup(A2288, Sheet2!D:E, 2, 0)</f>
        <v>variant</v>
      </c>
      <c r="E2288" s="4" t="str">
        <f>IFERROR(__xludf.DUMMYFUNCTION("if(H2288=""pays"",vlookup(REGEXEXTRACT(C2288, ""🏘️ \w+ \w+ (.*) ✅""),'Country prepositions'!A:B, 2, 0) &amp; "" "" &amp; REGEXEXTRACT(C2288, ""🏘️ \w+ \w+ (.*) ✅"") ,  if(H2288=""quartier"",vlookup(REGEXEXTRACT(C2288, ""🏘️ \w+ \w+ (.*) ✅""),'Quartier prepositio"&amp;"ns'!A:E, 5, 0) ,  if(H2288=""region"",vlookup(REGEXEXTRACT(C2288, ""🏘️ \w+ \w+ (.*) ✅""),'Region prepositions'!B:F, 5, 0),  REGEXEXTRACT(C2288, ""🏘️ \w+ \w+ (.*) ✅""))))"),"Engelberg")</f>
        <v>Engelberg</v>
      </c>
      <c r="F2288" s="2" t="str">
        <f>IFERROR(__xludf.DUMMYFUNCTION("REGEXEXTRACT(C2288, ""🏘️ (\w+) \w+ .* ✅"")"),"Vendre")</f>
        <v>Vendre</v>
      </c>
      <c r="G2288" s="2" t="str">
        <f>IFERROR(__xludf.DUMMYFUNCTION("REGEXEXTRACT(C2288, ""🏘️ \w+ (\w+) .* ✅"")"),"maison")</f>
        <v>maison</v>
      </c>
      <c r="H2288" s="4" t="str">
        <f>IFERROR(__xludf.DUMMYFUNCTION("REGEXEXTRACT(A2288, ""/(\w+)-.*?"")"),"lieu")</f>
        <v>lieu</v>
      </c>
      <c r="I2288" s="4" t="str">
        <f>IFERROR(__xludf.DUMMYFUNCTION("if(D2288=""variant"",  substitute(filter(Templates!E:E, Templates!A:A = F2288, Templates!B:B = G2288, Templates!C:C = H2288), ""{{}}"", E2288), B2288)"),"🏘  Vous souhaitez acheter une maison à Engelberg? ✅ Jetez un œil aux dernières offres sur ImmoScout24.ch.")</f>
        <v>🏘  Vous souhaitez acheter une maison à Engelberg? ✅ Jetez un œil aux dernières offres sur ImmoScout24.ch.</v>
      </c>
      <c r="J2288" s="4" t="s">
        <v>6862</v>
      </c>
    </row>
    <row r="2289">
      <c r="A2289" s="5" t="s">
        <v>6863</v>
      </c>
      <c r="B2289" s="2" t="s">
        <v>6864</v>
      </c>
      <c r="C2289" s="4" t="str">
        <f>IFERROR(__xludf.DUMMYFUNCTION("""🏘️ ""&amp;REGEXEXTRACT(B2289, ""^(.*): "")&amp;"" ✅ "" &amp;REGEXEXTRACT(B2289, ""(Trouvez.*)"")"),"🏘️ Louer maison Balsthal ✅ Trouvez le bien immobilier qui correspond idéalement à vos désirs sur ImmoScout24 - La plateforme de l'immobilier en Suisse.")</f>
        <v>🏘️ Louer maison Balsthal ✅ Trouvez le bien immobilier qui correspond idéalement à vos désirs sur ImmoScout24 - La plateforme de l'immobilier en Suisse.</v>
      </c>
      <c r="D2289" s="4" t="str">
        <f>vlookup(A2289, Sheet2!D:E, 2, 0)</f>
        <v>variant</v>
      </c>
      <c r="E2289" s="4" t="str">
        <f>IFERROR(__xludf.DUMMYFUNCTION("if(H2289=""pays"",vlookup(REGEXEXTRACT(C2289, ""🏘️ \w+ \w+ (.*) ✅""),'Country prepositions'!A:B, 2, 0) &amp; "" "" &amp; REGEXEXTRACT(C2289, ""🏘️ \w+ \w+ (.*) ✅"") ,  if(H2289=""quartier"",vlookup(REGEXEXTRACT(C2289, ""🏘️ \w+ \w+ (.*) ✅""),'Quartier prepositio"&amp;"ns'!A:E, 5, 0) ,  if(H2289=""region"",vlookup(REGEXEXTRACT(C2289, ""🏘️ \w+ \w+ (.*) ✅""),'Region prepositions'!B:F, 5, 0),  REGEXEXTRACT(C2289, ""🏘️ \w+ \w+ (.*) ✅""))))"),"Balsthal")</f>
        <v>Balsthal</v>
      </c>
      <c r="F2289" s="2" t="str">
        <f>IFERROR(__xludf.DUMMYFUNCTION("REGEXEXTRACT(C2289, ""🏘️ (\w+) \w+ .* ✅"")"),"Louer")</f>
        <v>Louer</v>
      </c>
      <c r="G2289" s="2" t="str">
        <f>IFERROR(__xludf.DUMMYFUNCTION("REGEXEXTRACT(C2289, ""🏘️ \w+ (\w+) .* ✅"")"),"maison")</f>
        <v>maison</v>
      </c>
      <c r="H2289" s="4" t="str">
        <f>IFERROR(__xludf.DUMMYFUNCTION("REGEXEXTRACT(A2289, ""/(\w+)-.*?"")"),"lieu")</f>
        <v>lieu</v>
      </c>
      <c r="I2289" s="4" t="str">
        <f>IFERROR(__xludf.DUMMYFUNCTION("if(D2289=""variant"",  substitute(filter(Templates!E:E, Templates!A:A = F2289, Templates!B:B = G2289, Templates!C:C = H2289), ""{{}}"", E2289), B2289)"),"🏘  Vous cherchez une maison à louer à Balsthal? ✅ Découvrez nos nombreuses annonces sur ImmoScout24.ch.")</f>
        <v>🏘  Vous cherchez une maison à louer à Balsthal? ✅ Découvrez nos nombreuses annonces sur ImmoScout24.ch.</v>
      </c>
      <c r="J2289" s="4" t="s">
        <v>6865</v>
      </c>
    </row>
    <row r="2290">
      <c r="A2290" s="5" t="s">
        <v>6866</v>
      </c>
      <c r="B2290" s="2" t="s">
        <v>6867</v>
      </c>
      <c r="C2290" s="4" t="str">
        <f>IFERROR(__xludf.DUMMYFUNCTION("""🏘️ ""&amp;REGEXEXTRACT(B2290, ""^(.*): "")&amp;"" ✅ "" &amp;REGEXEXTRACT(B2290, ""(Trouvez.*)"")"),"🏘️ Vendre appartement Bottens ✅ Trouvez le bien immobilier qui correspond idéalement à vos désirs sur ImmoScout24 - La plateforme de l'immobilier en Suisse.")</f>
        <v>🏘️ Vendre appartement Bottens ✅ Trouvez le bien immobilier qui correspond idéalement à vos désirs sur ImmoScout24 - La plateforme de l'immobilier en Suisse.</v>
      </c>
      <c r="D2290" s="4" t="str">
        <f>vlookup(A2290, Sheet2!D:E, 2, 0)</f>
        <v>variant</v>
      </c>
      <c r="E2290" s="4" t="str">
        <f>IFERROR(__xludf.DUMMYFUNCTION("if(H2290=""pays"",vlookup(REGEXEXTRACT(C2290, ""🏘️ \w+ \w+ (.*) ✅""),'Country prepositions'!A:B, 2, 0) &amp; "" "" &amp; REGEXEXTRACT(C2290, ""🏘️ \w+ \w+ (.*) ✅"") ,  if(H2290=""quartier"",vlookup(REGEXEXTRACT(C2290, ""🏘️ \w+ \w+ (.*) ✅""),'Quartier prepositio"&amp;"ns'!A:E, 5, 0) ,  if(H2290=""region"",vlookup(REGEXEXTRACT(C2290, ""🏘️ \w+ \w+ (.*) ✅""),'Region prepositions'!B:F, 5, 0),  REGEXEXTRACT(C2290, ""🏘️ \w+ \w+ (.*) ✅""))))"),"Bottens")</f>
        <v>Bottens</v>
      </c>
      <c r="F2290" s="2" t="str">
        <f>IFERROR(__xludf.DUMMYFUNCTION("REGEXEXTRACT(C2290, ""🏘️ (\w+) \w+ .* ✅"")"),"Vendre")</f>
        <v>Vendre</v>
      </c>
      <c r="G2290" s="2" t="str">
        <f>IFERROR(__xludf.DUMMYFUNCTION("REGEXEXTRACT(C2290, ""🏘️ \w+ (\w+) .* ✅"")"),"appartement")</f>
        <v>appartement</v>
      </c>
      <c r="H2290" s="4" t="str">
        <f>IFERROR(__xludf.DUMMYFUNCTION("REGEXEXTRACT(A2290, ""/(\w+)-.*?"")"),"lieu")</f>
        <v>lieu</v>
      </c>
      <c r="I2290" s="4" t="str">
        <f>IFERROR(__xludf.DUMMYFUNCTION("if(D2290=""variant"",  substitute(filter(Templates!E:E, Templates!A:A = F2290, Templates!B:B = G2290, Templates!C:C = H2290), ""{{}}"", E2290), B2290)"),"🏘  L’appartement de vos rêves se trouve sur ImmoScout24.ch ✅ Découvrez les dernières annonces de vente à Bottens.")</f>
        <v>🏘  L’appartement de vos rêves se trouve sur ImmoScout24.ch ✅ Découvrez les dernières annonces de vente à Bottens.</v>
      </c>
      <c r="J2290" s="4" t="s">
        <v>6868</v>
      </c>
    </row>
    <row r="2291">
      <c r="A2291" s="5" t="s">
        <v>6869</v>
      </c>
      <c r="B2291" s="2" t="s">
        <v>6870</v>
      </c>
      <c r="C2291" s="4" t="str">
        <f>IFERROR(__xludf.DUMMYFUNCTION("""🏘️ ""&amp;REGEXEXTRACT(B2291, ""^(.*): "")&amp;"" ✅ "" &amp;REGEXEXTRACT(B2291, ""(Trouvez.*)"")"),"🏘️ Louer appartement Montfaucon ✅ Trouvez le bien immobilier qui correspond idéalement à vos désirs sur ImmoScout24 - La plateforme de l'immobilier en Suisse.")</f>
        <v>🏘️ Louer appartement Montfaucon ✅ Trouvez le bien immobilier qui correspond idéalement à vos désirs sur ImmoScout24 - La plateforme de l'immobilier en Suisse.</v>
      </c>
      <c r="D2291" s="4" t="str">
        <f>vlookup(A2291, Sheet2!D:E, 2, 0)</f>
        <v>variant</v>
      </c>
      <c r="E2291" s="4" t="str">
        <f>IFERROR(__xludf.DUMMYFUNCTION("if(H2291=""pays"",vlookup(REGEXEXTRACT(C2291, ""🏘️ \w+ \w+ (.*) ✅""),'Country prepositions'!A:B, 2, 0) &amp; "" "" &amp; REGEXEXTRACT(C2291, ""🏘️ \w+ \w+ (.*) ✅"") ,  if(H2291=""quartier"",vlookup(REGEXEXTRACT(C2291, ""🏘️ \w+ \w+ (.*) ✅""),'Quartier prepositio"&amp;"ns'!A:E, 5, 0) ,  if(H2291=""region"",vlookup(REGEXEXTRACT(C2291, ""🏘️ \w+ \w+ (.*) ✅""),'Region prepositions'!B:F, 5, 0),  REGEXEXTRACT(C2291, ""🏘️ \w+ \w+ (.*) ✅""))))"),"Montfaucon")</f>
        <v>Montfaucon</v>
      </c>
      <c r="F2291" s="2" t="str">
        <f>IFERROR(__xludf.DUMMYFUNCTION("REGEXEXTRACT(C2291, ""🏘️ (\w+) \w+ .* ✅"")"),"Louer")</f>
        <v>Louer</v>
      </c>
      <c r="G2291" s="2" t="str">
        <f>IFERROR(__xludf.DUMMYFUNCTION("REGEXEXTRACT(C2291, ""🏘️ \w+ (\w+) .* ✅"")"),"appartement")</f>
        <v>appartement</v>
      </c>
      <c r="H2291" s="4" t="str">
        <f>IFERROR(__xludf.DUMMYFUNCTION("REGEXEXTRACT(A2291, ""/(\w+)-.*?"")"),"lieu")</f>
        <v>lieu</v>
      </c>
      <c r="I2291" s="4" t="str">
        <f>IFERROR(__xludf.DUMMYFUNCTION("if(D2291=""variant"",  substitute(filter(Templates!E:E, Templates!A:A = F2291, Templates!B:B = G2291, Templates!C:C = H2291), ""{{}}"", E2291), B2291)"),"🏘  Vous cherchez un appartement à louer à Montfaucon? ✅ Les annonces les plus actuelles sont sur ImmoScout24.ch.")</f>
        <v>🏘  Vous cherchez un appartement à louer à Montfaucon? ✅ Les annonces les plus actuelles sont sur ImmoScout24.ch.</v>
      </c>
      <c r="J2291" s="4" t="s">
        <v>6871</v>
      </c>
    </row>
    <row r="2292">
      <c r="A2292" s="5" t="s">
        <v>6872</v>
      </c>
      <c r="B2292" s="2" t="s">
        <v>6873</v>
      </c>
      <c r="C2292" s="4" t="str">
        <f>IFERROR(__xludf.DUMMYFUNCTION("""🏘️ ""&amp;REGEXEXTRACT(B2292, ""^(.*): "")&amp;"" ✅ "" &amp;REGEXEXTRACT(B2292, ""(Trouvez.*)"")"),"🏘️ Vendre maison Villa (Evolène) ✅ Trouvez le bien immobilier qui correspond idéalement à vos désirs sur ImmoScout24 - La plateforme de l'immobilier en Suisse.")</f>
        <v>🏘️ Vendre maison Villa (Evolène) ✅ Trouvez le bien immobilier qui correspond idéalement à vos désirs sur ImmoScout24 - La plateforme de l'immobilier en Suisse.</v>
      </c>
      <c r="D2292" s="4" t="str">
        <f>vlookup(A2292, Sheet2!D:E, 2, 0)</f>
        <v>variant</v>
      </c>
      <c r="E2292" s="4" t="str">
        <f>IFERROR(__xludf.DUMMYFUNCTION("if(H2292=""pays"",vlookup(REGEXEXTRACT(C2292, ""🏘️ \w+ \w+ (.*) ✅""),'Country prepositions'!A:B, 2, 0) &amp; "" "" &amp; REGEXEXTRACT(C2292, ""🏘️ \w+ \w+ (.*) ✅"") ,  if(H2292=""quartier"",vlookup(REGEXEXTRACT(C2292, ""🏘️ \w+ \w+ (.*) ✅""),'Quartier prepositio"&amp;"ns'!A:E, 5, 0) ,  if(H2292=""region"",vlookup(REGEXEXTRACT(C2292, ""🏘️ \w+ \w+ (.*) ✅""),'Region prepositions'!B:F, 5, 0),  REGEXEXTRACT(C2292, ""🏘️ \w+ \w+ (.*) ✅""))))"),"Villa (Evolène)")</f>
        <v>Villa (Evolène)</v>
      </c>
      <c r="F2292" s="2" t="str">
        <f>IFERROR(__xludf.DUMMYFUNCTION("REGEXEXTRACT(C2292, ""🏘️ (\w+) \w+ .* ✅"")"),"Vendre")</f>
        <v>Vendre</v>
      </c>
      <c r="G2292" s="2" t="str">
        <f>IFERROR(__xludf.DUMMYFUNCTION("REGEXEXTRACT(C2292, ""🏘️ \w+ (\w+) .* ✅"")"),"maison")</f>
        <v>maison</v>
      </c>
      <c r="H2292" s="4" t="str">
        <f>IFERROR(__xludf.DUMMYFUNCTION("REGEXEXTRACT(A2292, ""/(\w+)-.*?"")"),"lieu")</f>
        <v>lieu</v>
      </c>
      <c r="I2292" s="4" t="str">
        <f>IFERROR(__xludf.DUMMYFUNCTION("if(D2292=""variant"",  substitute(filter(Templates!E:E, Templates!A:A = F2292, Templates!B:B = G2292, Templates!C:C = H2292), ""{{}}"", E2292), B2292)"),"🏘  Vous souhaitez acheter une maison à Villa (Evolène)? ✅ Jetez un œil aux dernières offres sur ImmoScout24.ch.")</f>
        <v>🏘  Vous souhaitez acheter une maison à Villa (Evolène)? ✅ Jetez un œil aux dernières offres sur ImmoScout24.ch.</v>
      </c>
      <c r="J2292" s="4" t="s">
        <v>6874</v>
      </c>
    </row>
    <row r="2293">
      <c r="A2293" s="5" t="s">
        <v>6875</v>
      </c>
      <c r="B2293" s="2" t="s">
        <v>6876</v>
      </c>
      <c r="C2293" s="4" t="str">
        <f>IFERROR(__xludf.DUMMYFUNCTION("""🏘️ ""&amp;REGEXEXTRACT(B2293, ""^(.*): "")&amp;"" ✅ "" &amp;REGEXEXTRACT(B2293, ""(Trouvez.*)"")"),"🏘️ Louer maison Chandolin ✅ Trouvez le bien immobilier qui correspond idéalement à vos désirs sur ImmoScout24 - La plateforme de l'immobilier en Suisse.")</f>
        <v>🏘️ Louer maison Chandolin ✅ Trouvez le bien immobilier qui correspond idéalement à vos désirs sur ImmoScout24 - La plateforme de l'immobilier en Suisse.</v>
      </c>
      <c r="D2293" s="4" t="str">
        <f>vlookup(A2293, Sheet2!D:E, 2, 0)</f>
        <v>variant</v>
      </c>
      <c r="E2293" s="4" t="str">
        <f>IFERROR(__xludf.DUMMYFUNCTION("if(H2293=""pays"",vlookup(REGEXEXTRACT(C2293, ""🏘️ \w+ \w+ (.*) ✅""),'Country prepositions'!A:B, 2, 0) &amp; "" "" &amp; REGEXEXTRACT(C2293, ""🏘️ \w+ \w+ (.*) ✅"") ,  if(H2293=""quartier"",vlookup(REGEXEXTRACT(C2293, ""🏘️ \w+ \w+ (.*) ✅""),'Quartier prepositio"&amp;"ns'!A:E, 5, 0) ,  if(H2293=""region"",vlookup(REGEXEXTRACT(C2293, ""🏘️ \w+ \w+ (.*) ✅""),'Region prepositions'!B:F, 5, 0),  REGEXEXTRACT(C2293, ""🏘️ \w+ \w+ (.*) ✅""))))"),"Chandolin")</f>
        <v>Chandolin</v>
      </c>
      <c r="F2293" s="2" t="str">
        <f>IFERROR(__xludf.DUMMYFUNCTION("REGEXEXTRACT(C2293, ""🏘️ (\w+) \w+ .* ✅"")"),"Louer")</f>
        <v>Louer</v>
      </c>
      <c r="G2293" s="2" t="str">
        <f>IFERROR(__xludf.DUMMYFUNCTION("REGEXEXTRACT(C2293, ""🏘️ \w+ (\w+) .* ✅"")"),"maison")</f>
        <v>maison</v>
      </c>
      <c r="H2293" s="4" t="str">
        <f>IFERROR(__xludf.DUMMYFUNCTION("REGEXEXTRACT(A2293, ""/(\w+)-.*?"")"),"lieu")</f>
        <v>lieu</v>
      </c>
      <c r="I2293" s="4" t="str">
        <f>IFERROR(__xludf.DUMMYFUNCTION("if(D2293=""variant"",  substitute(filter(Templates!E:E, Templates!A:A = F2293, Templates!B:B = G2293, Templates!C:C = H2293), ""{{}}"", E2293), B2293)"),"🏘  Vous cherchez une maison à louer à Chandolin? ✅ Découvrez nos nombreuses annonces sur ImmoScout24.ch.")</f>
        <v>🏘  Vous cherchez une maison à louer à Chandolin? ✅ Découvrez nos nombreuses annonces sur ImmoScout24.ch.</v>
      </c>
      <c r="J2293" s="4" t="s">
        <v>6877</v>
      </c>
    </row>
    <row r="2294">
      <c r="A2294" s="5" t="s">
        <v>6878</v>
      </c>
      <c r="B2294" s="2" t="s">
        <v>6879</v>
      </c>
      <c r="C2294" s="4" t="str">
        <f>IFERROR(__xludf.DUMMYFUNCTION("""🏘️ ""&amp;REGEXEXTRACT(B2294, ""^(.*): "")&amp;"" ✅ "" &amp;REGEXEXTRACT(B2294, ""(Trouvez.*)"")"),"🏘️ Louer appartement Versegères ✅ Trouvez le bien immobilier qui correspond idéalement à vos désirs sur ImmoScout24 - La plateforme de l'immobilier en Suisse.")</f>
        <v>🏘️ Louer appartement Versegères ✅ Trouvez le bien immobilier qui correspond idéalement à vos désirs sur ImmoScout24 - La plateforme de l'immobilier en Suisse.</v>
      </c>
      <c r="D2294" s="4" t="str">
        <f>vlookup(A2294, Sheet2!D:E, 2, 0)</f>
        <v>variant</v>
      </c>
      <c r="E2294" s="4" t="str">
        <f>IFERROR(__xludf.DUMMYFUNCTION("if(H2294=""pays"",vlookup(REGEXEXTRACT(C2294, ""🏘️ \w+ \w+ (.*) ✅""),'Country prepositions'!A:B, 2, 0) &amp; "" "" &amp; REGEXEXTRACT(C2294, ""🏘️ \w+ \w+ (.*) ✅"") ,  if(H2294=""quartier"",vlookup(REGEXEXTRACT(C2294, ""🏘️ \w+ \w+ (.*) ✅""),'Quartier prepositio"&amp;"ns'!A:E, 5, 0) ,  if(H2294=""region"",vlookup(REGEXEXTRACT(C2294, ""🏘️ \w+ \w+ (.*) ✅""),'Region prepositions'!B:F, 5, 0),  REGEXEXTRACT(C2294, ""🏘️ \w+ \w+ (.*) ✅""))))"),"Versegères")</f>
        <v>Versegères</v>
      </c>
      <c r="F2294" s="2" t="str">
        <f>IFERROR(__xludf.DUMMYFUNCTION("REGEXEXTRACT(C2294, ""🏘️ (\w+) \w+ .* ✅"")"),"Louer")</f>
        <v>Louer</v>
      </c>
      <c r="G2294" s="2" t="str">
        <f>IFERROR(__xludf.DUMMYFUNCTION("REGEXEXTRACT(C2294, ""🏘️ \w+ (\w+) .* ✅"")"),"appartement")</f>
        <v>appartement</v>
      </c>
      <c r="H2294" s="4" t="str">
        <f>IFERROR(__xludf.DUMMYFUNCTION("REGEXEXTRACT(A2294, ""/(\w+)-.*?"")"),"lieu")</f>
        <v>lieu</v>
      </c>
      <c r="I2294" s="4" t="str">
        <f>IFERROR(__xludf.DUMMYFUNCTION("if(D2294=""variant"",  substitute(filter(Templates!E:E, Templates!A:A = F2294, Templates!B:B = G2294, Templates!C:C = H2294), ""{{}}"", E2294), B2294)"),"🏘  Vous cherchez un appartement à louer à Versegères? ✅ Les annonces les plus actuelles sont sur ImmoScout24.ch.")</f>
        <v>🏘  Vous cherchez un appartement à louer à Versegères? ✅ Les annonces les plus actuelles sont sur ImmoScout24.ch.</v>
      </c>
      <c r="J2294" s="4" t="s">
        <v>6880</v>
      </c>
    </row>
    <row r="2295">
      <c r="A2295" s="5" t="s">
        <v>6881</v>
      </c>
      <c r="B2295" s="2" t="s">
        <v>6882</v>
      </c>
      <c r="C2295" s="4" t="str">
        <f>IFERROR(__xludf.DUMMYFUNCTION("""🏘️ ""&amp;REGEXEXTRACT(B2295, ""^(.*): "")&amp;"" ✅ "" &amp;REGEXEXTRACT(B2295, ""(Trouvez.*)"")"),"🏘️ Vendre maison Gletterens ✅ Trouvez le bien immobilier qui correspond idéalement à vos désirs sur ImmoScout24 - La plateforme de l'immobilier en Suisse.")</f>
        <v>🏘️ Vendre maison Gletterens ✅ Trouvez le bien immobilier qui correspond idéalement à vos désirs sur ImmoScout24 - La plateforme de l'immobilier en Suisse.</v>
      </c>
      <c r="D2295" s="4" t="str">
        <f>vlookup(A2295, Sheet2!D:E, 2, 0)</f>
        <v>variant</v>
      </c>
      <c r="E2295" s="4" t="str">
        <f>IFERROR(__xludf.DUMMYFUNCTION("if(H2295=""pays"",vlookup(REGEXEXTRACT(C2295, ""🏘️ \w+ \w+ (.*) ✅""),'Country prepositions'!A:B, 2, 0) &amp; "" "" &amp; REGEXEXTRACT(C2295, ""🏘️ \w+ \w+ (.*) ✅"") ,  if(H2295=""quartier"",vlookup(REGEXEXTRACT(C2295, ""🏘️ \w+ \w+ (.*) ✅""),'Quartier prepositio"&amp;"ns'!A:E, 5, 0) ,  if(H2295=""region"",vlookup(REGEXEXTRACT(C2295, ""🏘️ \w+ \w+ (.*) ✅""),'Region prepositions'!B:F, 5, 0),  REGEXEXTRACT(C2295, ""🏘️ \w+ \w+ (.*) ✅""))))"),"Gletterens")</f>
        <v>Gletterens</v>
      </c>
      <c r="F2295" s="2" t="str">
        <f>IFERROR(__xludf.DUMMYFUNCTION("REGEXEXTRACT(C2295, ""🏘️ (\w+) \w+ .* ✅"")"),"Vendre")</f>
        <v>Vendre</v>
      </c>
      <c r="G2295" s="2" t="str">
        <f>IFERROR(__xludf.DUMMYFUNCTION("REGEXEXTRACT(C2295, ""🏘️ \w+ (\w+) .* ✅"")"),"maison")</f>
        <v>maison</v>
      </c>
      <c r="H2295" s="4" t="str">
        <f>IFERROR(__xludf.DUMMYFUNCTION("REGEXEXTRACT(A2295, ""/(\w+)-.*?"")"),"lieu")</f>
        <v>lieu</v>
      </c>
      <c r="I2295" s="4" t="str">
        <f>IFERROR(__xludf.DUMMYFUNCTION("if(D2295=""variant"",  substitute(filter(Templates!E:E, Templates!A:A = F2295, Templates!B:B = G2295, Templates!C:C = H2295), ""{{}}"", E2295), B2295)"),"🏘  Vous souhaitez acheter une maison à Gletterens? ✅ Jetez un œil aux dernières offres sur ImmoScout24.ch.")</f>
        <v>🏘  Vous souhaitez acheter une maison à Gletterens? ✅ Jetez un œil aux dernières offres sur ImmoScout24.ch.</v>
      </c>
      <c r="J2295" s="4" t="s">
        <v>6883</v>
      </c>
    </row>
    <row r="2296">
      <c r="A2296" s="5" t="s">
        <v>6884</v>
      </c>
      <c r="B2296" s="2" t="s">
        <v>6885</v>
      </c>
      <c r="C2296" s="4" t="str">
        <f>IFERROR(__xludf.DUMMYFUNCTION("""🏘️ ""&amp;REGEXEXTRACT(B2296, ""^(.*): "")&amp;"" ✅ "" &amp;REGEXEXTRACT(B2296, ""(Trouvez.*)"")"),"🏘️ Louer appartement Matran ✅ Trouvez le bien immobilier qui correspond idéalement à vos désirs sur ImmoScout24 - La plateforme de l'immobilier en Suisse.")</f>
        <v>🏘️ Louer appartement Matran ✅ Trouvez le bien immobilier qui correspond idéalement à vos désirs sur ImmoScout24 - La plateforme de l'immobilier en Suisse.</v>
      </c>
      <c r="D2296" s="4" t="str">
        <f>vlookup(A2296, Sheet2!D:E, 2, 0)</f>
        <v>variant</v>
      </c>
      <c r="E2296" s="4" t="str">
        <f>IFERROR(__xludf.DUMMYFUNCTION("if(H2296=""pays"",vlookup(REGEXEXTRACT(C2296, ""🏘️ \w+ \w+ (.*) ✅""),'Country prepositions'!A:B, 2, 0) &amp; "" "" &amp; REGEXEXTRACT(C2296, ""🏘️ \w+ \w+ (.*) ✅"") ,  if(H2296=""quartier"",vlookup(REGEXEXTRACT(C2296, ""🏘️ \w+ \w+ (.*) ✅""),'Quartier prepositio"&amp;"ns'!A:E, 5, 0) ,  if(H2296=""region"",vlookup(REGEXEXTRACT(C2296, ""🏘️ \w+ \w+ (.*) ✅""),'Region prepositions'!B:F, 5, 0),  REGEXEXTRACT(C2296, ""🏘️ \w+ \w+ (.*) ✅""))))"),"Matran")</f>
        <v>Matran</v>
      </c>
      <c r="F2296" s="2" t="str">
        <f>IFERROR(__xludf.DUMMYFUNCTION("REGEXEXTRACT(C2296, ""🏘️ (\w+) \w+ .* ✅"")"),"Louer")</f>
        <v>Louer</v>
      </c>
      <c r="G2296" s="2" t="str">
        <f>IFERROR(__xludf.DUMMYFUNCTION("REGEXEXTRACT(C2296, ""🏘️ \w+ (\w+) .* ✅"")"),"appartement")</f>
        <v>appartement</v>
      </c>
      <c r="H2296" s="4" t="str">
        <f>IFERROR(__xludf.DUMMYFUNCTION("REGEXEXTRACT(A2296, ""/(\w+)-.*?"")"),"lieu")</f>
        <v>lieu</v>
      </c>
      <c r="I2296" s="4" t="str">
        <f>IFERROR(__xludf.DUMMYFUNCTION("if(D2296=""variant"",  substitute(filter(Templates!E:E, Templates!A:A = F2296, Templates!B:B = G2296, Templates!C:C = H2296), ""{{}}"", E2296), B2296)"),"🏘  Vous cherchez un appartement à louer à Matran? ✅ Les annonces les plus actuelles sont sur ImmoScout24.ch.")</f>
        <v>🏘  Vous cherchez un appartement à louer à Matran? ✅ Les annonces les plus actuelles sont sur ImmoScout24.ch.</v>
      </c>
      <c r="J2296" s="4" t="s">
        <v>6886</v>
      </c>
    </row>
    <row r="2297">
      <c r="A2297" s="5" t="s">
        <v>6887</v>
      </c>
      <c r="B2297" s="2" t="s">
        <v>6888</v>
      </c>
      <c r="C2297" s="4" t="str">
        <f>IFERROR(__xludf.DUMMYFUNCTION("""🏘️ ""&amp;REGEXEXTRACT(B2297, ""^(.*): "")&amp;"" ✅ "" &amp;REGEXEXTRACT(B2297, ""(Trouvez.*)"")"),"🏘️ Vendre appartement Grimentz ✅ Trouvez le bien immobilier qui correspond idéalement à vos désirs sur ImmoScout24 - La plateforme de l'immobilier en Suisse.")</f>
        <v>🏘️ Vendre appartement Grimentz ✅ Trouvez le bien immobilier qui correspond idéalement à vos désirs sur ImmoScout24 - La plateforme de l'immobilier en Suisse.</v>
      </c>
      <c r="D2297" s="4" t="str">
        <f>vlookup(A2297, Sheet2!D:E, 2, 0)</f>
        <v>variant</v>
      </c>
      <c r="E2297" s="4" t="str">
        <f>IFERROR(__xludf.DUMMYFUNCTION("if(H2297=""pays"",vlookup(REGEXEXTRACT(C2297, ""🏘️ \w+ \w+ (.*) ✅""),'Country prepositions'!A:B, 2, 0) &amp; "" "" &amp; REGEXEXTRACT(C2297, ""🏘️ \w+ \w+ (.*) ✅"") ,  if(H2297=""quartier"",vlookup(REGEXEXTRACT(C2297, ""🏘️ \w+ \w+ (.*) ✅""),'Quartier prepositio"&amp;"ns'!A:E, 5, 0) ,  if(H2297=""region"",vlookup(REGEXEXTRACT(C2297, ""🏘️ \w+ \w+ (.*) ✅""),'Region prepositions'!B:F, 5, 0),  REGEXEXTRACT(C2297, ""🏘️ \w+ \w+ (.*) ✅""))))"),"Grimentz")</f>
        <v>Grimentz</v>
      </c>
      <c r="F2297" s="2" t="str">
        <f>IFERROR(__xludf.DUMMYFUNCTION("REGEXEXTRACT(C2297, ""🏘️ (\w+) \w+ .* ✅"")"),"Vendre")</f>
        <v>Vendre</v>
      </c>
      <c r="G2297" s="2" t="str">
        <f>IFERROR(__xludf.DUMMYFUNCTION("REGEXEXTRACT(C2297, ""🏘️ \w+ (\w+) .* ✅"")"),"appartement")</f>
        <v>appartement</v>
      </c>
      <c r="H2297" s="4" t="str">
        <f>IFERROR(__xludf.DUMMYFUNCTION("REGEXEXTRACT(A2297, ""/(\w+)-.*?"")"),"lieu")</f>
        <v>lieu</v>
      </c>
      <c r="I2297" s="4" t="str">
        <f>IFERROR(__xludf.DUMMYFUNCTION("if(D2297=""variant"",  substitute(filter(Templates!E:E, Templates!A:A = F2297, Templates!B:B = G2297, Templates!C:C = H2297), ""{{}}"", E2297), B2297)"),"🏘  L’appartement de vos rêves se trouve sur ImmoScout24.ch ✅ Découvrez les dernières annonces de vente à Grimentz.")</f>
        <v>🏘  L’appartement de vos rêves se trouve sur ImmoScout24.ch ✅ Découvrez les dernières annonces de vente à Grimentz.</v>
      </c>
      <c r="J2297" s="4" t="s">
        <v>6889</v>
      </c>
    </row>
    <row r="2298">
      <c r="A2298" s="5" t="s">
        <v>6890</v>
      </c>
      <c r="B2298" s="2" t="s">
        <v>6891</v>
      </c>
      <c r="C2298" s="4" t="str">
        <f>IFERROR(__xludf.DUMMYFUNCTION("""🏘️ ""&amp;REGEXEXTRACT(B2298, ""^(.*): "")&amp;"" ✅ "" &amp;REGEXEXTRACT(B2298, ""(Trouvez.*)"")"),"🏘️ Vendre appartement Brissago ✅ Trouvez le bien immobilier qui correspond idéalement à vos désirs sur ImmoScout24 - La plateforme de l'immobilier en Suisse.")</f>
        <v>🏘️ Vendre appartement Brissago ✅ Trouvez le bien immobilier qui correspond idéalement à vos désirs sur ImmoScout24 - La plateforme de l'immobilier en Suisse.</v>
      </c>
      <c r="D2298" s="4" t="str">
        <f>vlookup(A2298, Sheet2!D:E, 2, 0)</f>
        <v>variant</v>
      </c>
      <c r="E2298" s="4" t="str">
        <f>IFERROR(__xludf.DUMMYFUNCTION("if(H2298=""pays"",vlookup(REGEXEXTRACT(C2298, ""🏘️ \w+ \w+ (.*) ✅""),'Country prepositions'!A:B, 2, 0) &amp; "" "" &amp; REGEXEXTRACT(C2298, ""🏘️ \w+ \w+ (.*) ✅"") ,  if(H2298=""quartier"",vlookup(REGEXEXTRACT(C2298, ""🏘️ \w+ \w+ (.*) ✅""),'Quartier prepositio"&amp;"ns'!A:E, 5, 0) ,  if(H2298=""region"",vlookup(REGEXEXTRACT(C2298, ""🏘️ \w+ \w+ (.*) ✅""),'Region prepositions'!B:F, 5, 0),  REGEXEXTRACT(C2298, ""🏘️ \w+ \w+ (.*) ✅""))))"),"Brissago")</f>
        <v>Brissago</v>
      </c>
      <c r="F2298" s="2" t="str">
        <f>IFERROR(__xludf.DUMMYFUNCTION("REGEXEXTRACT(C2298, ""🏘️ (\w+) \w+ .* ✅"")"),"Vendre")</f>
        <v>Vendre</v>
      </c>
      <c r="G2298" s="2" t="str">
        <f>IFERROR(__xludf.DUMMYFUNCTION("REGEXEXTRACT(C2298, ""🏘️ \w+ (\w+) .* ✅"")"),"appartement")</f>
        <v>appartement</v>
      </c>
      <c r="H2298" s="4" t="str">
        <f>IFERROR(__xludf.DUMMYFUNCTION("REGEXEXTRACT(A2298, ""/(\w+)-.*?"")"),"lieu")</f>
        <v>lieu</v>
      </c>
      <c r="I2298" s="4" t="str">
        <f>IFERROR(__xludf.DUMMYFUNCTION("if(D2298=""variant"",  substitute(filter(Templates!E:E, Templates!A:A = F2298, Templates!B:B = G2298, Templates!C:C = H2298), ""{{}}"", E2298), B2298)"),"🏘  L’appartement de vos rêves se trouve sur ImmoScout24.ch ✅ Découvrez les dernières annonces de vente à Brissago.")</f>
        <v>🏘  L’appartement de vos rêves se trouve sur ImmoScout24.ch ✅ Découvrez les dernières annonces de vente à Brissago.</v>
      </c>
      <c r="J2298" s="4" t="s">
        <v>6892</v>
      </c>
    </row>
    <row r="2299">
      <c r="A2299" s="5" t="s">
        <v>6893</v>
      </c>
      <c r="B2299" s="2" t="s">
        <v>6894</v>
      </c>
      <c r="C2299" s="4" t="str">
        <f>IFERROR(__xludf.DUMMYFUNCTION("""🏘️ ""&amp;REGEXEXTRACT(B2299, ""^(.*): "")&amp;"" ✅ "" &amp;REGEXEXTRACT(B2299, ""(Trouvez.*)"")"),"🏘️ Vendre appartement Lugnorre ✅ Trouvez le bien immobilier qui correspond idéalement à vos désirs sur ImmoScout24 - La plateforme de l'immobilier en Suisse.")</f>
        <v>🏘️ Vendre appartement Lugnorre ✅ Trouvez le bien immobilier qui correspond idéalement à vos désirs sur ImmoScout24 - La plateforme de l'immobilier en Suisse.</v>
      </c>
      <c r="D2299" s="4" t="str">
        <f>vlookup(A2299, Sheet2!D:E, 2, 0)</f>
        <v>variant</v>
      </c>
      <c r="E2299" s="4" t="str">
        <f>IFERROR(__xludf.DUMMYFUNCTION("if(H2299=""pays"",vlookup(REGEXEXTRACT(C2299, ""🏘️ \w+ \w+ (.*) ✅""),'Country prepositions'!A:B, 2, 0) &amp; "" "" &amp; REGEXEXTRACT(C2299, ""🏘️ \w+ \w+ (.*) ✅"") ,  if(H2299=""quartier"",vlookup(REGEXEXTRACT(C2299, ""🏘️ \w+ \w+ (.*) ✅""),'Quartier prepositio"&amp;"ns'!A:E, 5, 0) ,  if(H2299=""region"",vlookup(REGEXEXTRACT(C2299, ""🏘️ \w+ \w+ (.*) ✅""),'Region prepositions'!B:F, 5, 0),  REGEXEXTRACT(C2299, ""🏘️ \w+ \w+ (.*) ✅""))))"),"Lugnorre")</f>
        <v>Lugnorre</v>
      </c>
      <c r="F2299" s="2" t="str">
        <f>IFERROR(__xludf.DUMMYFUNCTION("REGEXEXTRACT(C2299, ""🏘️ (\w+) \w+ .* ✅"")"),"Vendre")</f>
        <v>Vendre</v>
      </c>
      <c r="G2299" s="2" t="str">
        <f>IFERROR(__xludf.DUMMYFUNCTION("REGEXEXTRACT(C2299, ""🏘️ \w+ (\w+) .* ✅"")"),"appartement")</f>
        <v>appartement</v>
      </c>
      <c r="H2299" s="4" t="str">
        <f>IFERROR(__xludf.DUMMYFUNCTION("REGEXEXTRACT(A2299, ""/(\w+)-.*?"")"),"lieu")</f>
        <v>lieu</v>
      </c>
      <c r="I2299" s="4" t="str">
        <f>IFERROR(__xludf.DUMMYFUNCTION("if(D2299=""variant"",  substitute(filter(Templates!E:E, Templates!A:A = F2299, Templates!B:B = G2299, Templates!C:C = H2299), ""{{}}"", E2299), B2299)"),"🏘  L’appartement de vos rêves se trouve sur ImmoScout24.ch ✅ Découvrez les dernières annonces de vente à Lugnorre.")</f>
        <v>🏘  L’appartement de vos rêves se trouve sur ImmoScout24.ch ✅ Découvrez les dernières annonces de vente à Lugnorre.</v>
      </c>
      <c r="J2299" s="4" t="s">
        <v>6895</v>
      </c>
    </row>
    <row r="2300">
      <c r="A2300" s="5" t="s">
        <v>6896</v>
      </c>
      <c r="B2300" s="2" t="s">
        <v>6897</v>
      </c>
      <c r="C2300" s="4" t="str">
        <f>IFERROR(__xludf.DUMMYFUNCTION("""🏘️ ""&amp;REGEXEXTRACT(B2300, ""^(.*): "")&amp;"" ✅ "" &amp;REGEXEXTRACT(B2300, ""(Trouvez.*)"")"),"🏘️ Louer maison Vérossaz ✅ Trouvez le bien immobilier qui correspond idéalement à vos désirs sur ImmoScout24 - La plateforme de l'immobilier en Suisse.")</f>
        <v>🏘️ Louer maison Vérossaz ✅ Trouvez le bien immobilier qui correspond idéalement à vos désirs sur ImmoScout24 - La plateforme de l'immobilier en Suisse.</v>
      </c>
      <c r="D2300" s="4" t="str">
        <f>vlookup(A2300, Sheet2!D:E, 2, 0)</f>
        <v>variant</v>
      </c>
      <c r="E2300" s="4" t="str">
        <f>IFERROR(__xludf.DUMMYFUNCTION("if(H2300=""pays"",vlookup(REGEXEXTRACT(C2300, ""🏘️ \w+ \w+ (.*) ✅""),'Country prepositions'!A:B, 2, 0) &amp; "" "" &amp; REGEXEXTRACT(C2300, ""🏘️ \w+ \w+ (.*) ✅"") ,  if(H2300=""quartier"",vlookup(REGEXEXTRACT(C2300, ""🏘️ \w+ \w+ (.*) ✅""),'Quartier prepositio"&amp;"ns'!A:E, 5, 0) ,  if(H2300=""region"",vlookup(REGEXEXTRACT(C2300, ""🏘️ \w+ \w+ (.*) ✅""),'Region prepositions'!B:F, 5, 0),  REGEXEXTRACT(C2300, ""🏘️ \w+ \w+ (.*) ✅""))))"),"Vérossaz")</f>
        <v>Vérossaz</v>
      </c>
      <c r="F2300" s="2" t="str">
        <f>IFERROR(__xludf.DUMMYFUNCTION("REGEXEXTRACT(C2300, ""🏘️ (\w+) \w+ .* ✅"")"),"Louer")</f>
        <v>Louer</v>
      </c>
      <c r="G2300" s="2" t="str">
        <f>IFERROR(__xludf.DUMMYFUNCTION("REGEXEXTRACT(C2300, ""🏘️ \w+ (\w+) .* ✅"")"),"maison")</f>
        <v>maison</v>
      </c>
      <c r="H2300" s="4" t="str">
        <f>IFERROR(__xludf.DUMMYFUNCTION("REGEXEXTRACT(A2300, ""/(\w+)-.*?"")"),"lieu")</f>
        <v>lieu</v>
      </c>
      <c r="I2300" s="4" t="str">
        <f>IFERROR(__xludf.DUMMYFUNCTION("if(D2300=""variant"",  substitute(filter(Templates!E:E, Templates!A:A = F2300, Templates!B:B = G2300, Templates!C:C = H2300), ""{{}}"", E2300), B2300)"),"🏘  Vous cherchez une maison à louer à Vérossaz? ✅ Découvrez nos nombreuses annonces sur ImmoScout24.ch.")</f>
        <v>🏘  Vous cherchez une maison à louer à Vérossaz? ✅ Découvrez nos nombreuses annonces sur ImmoScout24.ch.</v>
      </c>
      <c r="J2300" s="4" t="s">
        <v>6898</v>
      </c>
    </row>
    <row r="2301">
      <c r="A2301" s="5" t="s">
        <v>6899</v>
      </c>
      <c r="B2301" s="2" t="s">
        <v>6900</v>
      </c>
      <c r="C2301" s="4" t="str">
        <f>IFERROR(__xludf.DUMMYFUNCTION("""🏘️ ""&amp;REGEXEXTRACT(B2301, ""^(.*): "")&amp;"" ✅ "" &amp;REGEXEXTRACT(B2301, ""(Trouvez.*)"")"),"🏘️ Louer appartement Rechthalten ✅ Trouvez le bien immobilier qui correspond idéalement à vos désirs sur ImmoScout24 - La plateforme de l'immobilier en Suisse.")</f>
        <v>🏘️ Louer appartement Rechthalten ✅ Trouvez le bien immobilier qui correspond idéalement à vos désirs sur ImmoScout24 - La plateforme de l'immobilier en Suisse.</v>
      </c>
      <c r="D2301" s="4" t="str">
        <f>vlookup(A2301, Sheet2!D:E, 2, 0)</f>
        <v>variant</v>
      </c>
      <c r="E2301" s="4" t="str">
        <f>IFERROR(__xludf.DUMMYFUNCTION("if(H2301=""pays"",vlookup(REGEXEXTRACT(C2301, ""🏘️ \w+ \w+ (.*) ✅""),'Country prepositions'!A:B, 2, 0) &amp; "" "" &amp; REGEXEXTRACT(C2301, ""🏘️ \w+ \w+ (.*) ✅"") ,  if(H2301=""quartier"",vlookup(REGEXEXTRACT(C2301, ""🏘️ \w+ \w+ (.*) ✅""),'Quartier prepositio"&amp;"ns'!A:E, 5, 0) ,  if(H2301=""region"",vlookup(REGEXEXTRACT(C2301, ""🏘️ \w+ \w+ (.*) ✅""),'Region prepositions'!B:F, 5, 0),  REGEXEXTRACT(C2301, ""🏘️ \w+ \w+ (.*) ✅""))))"),"Rechthalten")</f>
        <v>Rechthalten</v>
      </c>
      <c r="F2301" s="2" t="str">
        <f>IFERROR(__xludf.DUMMYFUNCTION("REGEXEXTRACT(C2301, ""🏘️ (\w+) \w+ .* ✅"")"),"Louer")</f>
        <v>Louer</v>
      </c>
      <c r="G2301" s="2" t="str">
        <f>IFERROR(__xludf.DUMMYFUNCTION("REGEXEXTRACT(C2301, ""🏘️ \w+ (\w+) .* ✅"")"),"appartement")</f>
        <v>appartement</v>
      </c>
      <c r="H2301" s="4" t="str">
        <f>IFERROR(__xludf.DUMMYFUNCTION("REGEXEXTRACT(A2301, ""/(\w+)-.*?"")"),"lieu")</f>
        <v>lieu</v>
      </c>
      <c r="I2301" s="4" t="str">
        <f>IFERROR(__xludf.DUMMYFUNCTION("if(D2301=""variant"",  substitute(filter(Templates!E:E, Templates!A:A = F2301, Templates!B:B = G2301, Templates!C:C = H2301), ""{{}}"", E2301), B2301)"),"🏘  Vous cherchez un appartement à louer à Rechthalten? ✅ Les annonces les plus actuelles sont sur ImmoScout24.ch.")</f>
        <v>🏘  Vous cherchez un appartement à louer à Rechthalten? ✅ Les annonces les plus actuelles sont sur ImmoScout24.ch.</v>
      </c>
      <c r="J2301" s="4" t="s">
        <v>6901</v>
      </c>
    </row>
    <row r="2302">
      <c r="A2302" s="5" t="s">
        <v>6902</v>
      </c>
      <c r="B2302" s="2" t="s">
        <v>6903</v>
      </c>
      <c r="C2302" s="4" t="str">
        <f>IFERROR(__xludf.DUMMYFUNCTION("""🏘️ ""&amp;REGEXEXTRACT(B2302, ""^(.*): "")&amp;"" ✅ "" &amp;REGEXEXTRACT(B2302, ""(Trouvez.*)"")"),"🏘️ Louer appartement Villarepos ✅ Trouvez le bien immobilier qui correspond idéalement à vos désirs sur ImmoScout24 - La plateforme de l'immobilier en Suisse.")</f>
        <v>🏘️ Louer appartement Villarepos ✅ Trouvez le bien immobilier qui correspond idéalement à vos désirs sur ImmoScout24 - La plateforme de l'immobilier en Suisse.</v>
      </c>
      <c r="D2302" s="4" t="str">
        <f>vlookup(A2302, Sheet2!D:E, 2, 0)</f>
        <v>variant</v>
      </c>
      <c r="E2302" s="4" t="str">
        <f>IFERROR(__xludf.DUMMYFUNCTION("if(H2302=""pays"",vlookup(REGEXEXTRACT(C2302, ""🏘️ \w+ \w+ (.*) ✅""),'Country prepositions'!A:B, 2, 0) &amp; "" "" &amp; REGEXEXTRACT(C2302, ""🏘️ \w+ \w+ (.*) ✅"") ,  if(H2302=""quartier"",vlookup(REGEXEXTRACT(C2302, ""🏘️ \w+ \w+ (.*) ✅""),'Quartier prepositio"&amp;"ns'!A:E, 5, 0) ,  if(H2302=""region"",vlookup(REGEXEXTRACT(C2302, ""🏘️ \w+ \w+ (.*) ✅""),'Region prepositions'!B:F, 5, 0),  REGEXEXTRACT(C2302, ""🏘️ \w+ \w+ (.*) ✅""))))"),"Villarepos")</f>
        <v>Villarepos</v>
      </c>
      <c r="F2302" s="2" t="str">
        <f>IFERROR(__xludf.DUMMYFUNCTION("REGEXEXTRACT(C2302, ""🏘️ (\w+) \w+ .* ✅"")"),"Louer")</f>
        <v>Louer</v>
      </c>
      <c r="G2302" s="2" t="str">
        <f>IFERROR(__xludf.DUMMYFUNCTION("REGEXEXTRACT(C2302, ""🏘️ \w+ (\w+) .* ✅"")"),"appartement")</f>
        <v>appartement</v>
      </c>
      <c r="H2302" s="4" t="str">
        <f>IFERROR(__xludf.DUMMYFUNCTION("REGEXEXTRACT(A2302, ""/(\w+)-.*?"")"),"lieu")</f>
        <v>lieu</v>
      </c>
      <c r="I2302" s="4" t="str">
        <f>IFERROR(__xludf.DUMMYFUNCTION("if(D2302=""variant"",  substitute(filter(Templates!E:E, Templates!A:A = F2302, Templates!B:B = G2302, Templates!C:C = H2302), ""{{}}"", E2302), B2302)"),"🏘  Vous cherchez un appartement à louer à Villarepos? ✅ Les annonces les plus actuelles sont sur ImmoScout24.ch.")</f>
        <v>🏘  Vous cherchez un appartement à louer à Villarepos? ✅ Les annonces les plus actuelles sont sur ImmoScout24.ch.</v>
      </c>
      <c r="J2302" s="4" t="s">
        <v>6904</v>
      </c>
    </row>
    <row r="2303">
      <c r="A2303" s="5" t="s">
        <v>6905</v>
      </c>
      <c r="B2303" s="2" t="s">
        <v>6906</v>
      </c>
      <c r="C2303" s="4" t="str">
        <f>IFERROR(__xludf.DUMMYFUNCTION("""🏘️ ""&amp;REGEXEXTRACT(B2303, ""^(.*): "")&amp;"" ✅ "" &amp;REGEXEXTRACT(B2303, ""(Trouvez.*)"")"),"🏘️ Vendre maison Bauma ✅ Trouvez le bien immobilier qui correspond idéalement à vos désirs sur ImmoScout24 - La plateforme de l'immobilier en Suisse.")</f>
        <v>🏘️ Vendre maison Bauma ✅ Trouvez le bien immobilier qui correspond idéalement à vos désirs sur ImmoScout24 - La plateforme de l'immobilier en Suisse.</v>
      </c>
      <c r="D2303" s="4" t="str">
        <f>vlookup(A2303, Sheet2!D:E, 2, 0)</f>
        <v>variant</v>
      </c>
      <c r="E2303" s="4" t="str">
        <f>IFERROR(__xludf.DUMMYFUNCTION("if(H2303=""pays"",vlookup(REGEXEXTRACT(C2303, ""🏘️ \w+ \w+ (.*) ✅""),'Country prepositions'!A:B, 2, 0) &amp; "" "" &amp; REGEXEXTRACT(C2303, ""🏘️ \w+ \w+ (.*) ✅"") ,  if(H2303=""quartier"",vlookup(REGEXEXTRACT(C2303, ""🏘️ \w+ \w+ (.*) ✅""),'Quartier prepositio"&amp;"ns'!A:E, 5, 0) ,  if(H2303=""region"",vlookup(REGEXEXTRACT(C2303, ""🏘️ \w+ \w+ (.*) ✅""),'Region prepositions'!B:F, 5, 0),  REGEXEXTRACT(C2303, ""🏘️ \w+ \w+ (.*) ✅""))))"),"Bauma")</f>
        <v>Bauma</v>
      </c>
      <c r="F2303" s="2" t="str">
        <f>IFERROR(__xludf.DUMMYFUNCTION("REGEXEXTRACT(C2303, ""🏘️ (\w+) \w+ .* ✅"")"),"Vendre")</f>
        <v>Vendre</v>
      </c>
      <c r="G2303" s="2" t="str">
        <f>IFERROR(__xludf.DUMMYFUNCTION("REGEXEXTRACT(C2303, ""🏘️ \w+ (\w+) .* ✅"")"),"maison")</f>
        <v>maison</v>
      </c>
      <c r="H2303" s="4" t="str">
        <f>IFERROR(__xludf.DUMMYFUNCTION("REGEXEXTRACT(A2303, ""/(\w+)-.*?"")"),"lieu")</f>
        <v>lieu</v>
      </c>
      <c r="I2303" s="4" t="str">
        <f>IFERROR(__xludf.DUMMYFUNCTION("if(D2303=""variant"",  substitute(filter(Templates!E:E, Templates!A:A = F2303, Templates!B:B = G2303, Templates!C:C = H2303), ""{{}}"", E2303), B2303)"),"🏘  Vous souhaitez acheter une maison à Bauma? ✅ Jetez un œil aux dernières offres sur ImmoScout24.ch.")</f>
        <v>🏘  Vous souhaitez acheter une maison à Bauma? ✅ Jetez un œil aux dernières offres sur ImmoScout24.ch.</v>
      </c>
      <c r="J2303" s="4" t="s">
        <v>6907</v>
      </c>
    </row>
    <row r="2304">
      <c r="A2304" s="5" t="s">
        <v>6908</v>
      </c>
      <c r="B2304" s="2" t="s">
        <v>6909</v>
      </c>
      <c r="C2304" s="4" t="str">
        <f>IFERROR(__xludf.DUMMYFUNCTION("""🏘️ ""&amp;REGEXEXTRACT(B2304, ""^(.*): "")&amp;"" ✅ "" &amp;REGEXEXTRACT(B2304, ""(Trouvez.*)"")"),"🏘️ Louer appartement Obergesteln ✅ Trouvez le bien immobilier qui correspond idéalement à vos désirs sur ImmoScout24 - La plateforme de l'immobilier en Suisse.")</f>
        <v>🏘️ Louer appartement Obergesteln ✅ Trouvez le bien immobilier qui correspond idéalement à vos désirs sur ImmoScout24 - La plateforme de l'immobilier en Suisse.</v>
      </c>
      <c r="D2304" s="4" t="str">
        <f>vlookup(A2304, Sheet2!D:E, 2, 0)</f>
        <v>variant</v>
      </c>
      <c r="E2304" s="4" t="str">
        <f>IFERROR(__xludf.DUMMYFUNCTION("if(H2304=""pays"",vlookup(REGEXEXTRACT(C2304, ""🏘️ \w+ \w+ (.*) ✅""),'Country prepositions'!A:B, 2, 0) &amp; "" "" &amp; REGEXEXTRACT(C2304, ""🏘️ \w+ \w+ (.*) ✅"") ,  if(H2304=""quartier"",vlookup(REGEXEXTRACT(C2304, ""🏘️ \w+ \w+ (.*) ✅""),'Quartier prepositio"&amp;"ns'!A:E, 5, 0) ,  if(H2304=""region"",vlookup(REGEXEXTRACT(C2304, ""🏘️ \w+ \w+ (.*) ✅""),'Region prepositions'!B:F, 5, 0),  REGEXEXTRACT(C2304, ""🏘️ \w+ \w+ (.*) ✅""))))"),"Obergesteln")</f>
        <v>Obergesteln</v>
      </c>
      <c r="F2304" s="2" t="str">
        <f>IFERROR(__xludf.DUMMYFUNCTION("REGEXEXTRACT(C2304, ""🏘️ (\w+) \w+ .* ✅"")"),"Louer")</f>
        <v>Louer</v>
      </c>
      <c r="G2304" s="2" t="str">
        <f>IFERROR(__xludf.DUMMYFUNCTION("REGEXEXTRACT(C2304, ""🏘️ \w+ (\w+) .* ✅"")"),"appartement")</f>
        <v>appartement</v>
      </c>
      <c r="H2304" s="4" t="str">
        <f>IFERROR(__xludf.DUMMYFUNCTION("REGEXEXTRACT(A2304, ""/(\w+)-.*?"")"),"lieu")</f>
        <v>lieu</v>
      </c>
      <c r="I2304" s="4" t="str">
        <f>IFERROR(__xludf.DUMMYFUNCTION("if(D2304=""variant"",  substitute(filter(Templates!E:E, Templates!A:A = F2304, Templates!B:B = G2304, Templates!C:C = H2304), ""{{}}"", E2304), B2304)"),"🏘  Vous cherchez un appartement à louer à Obergesteln? ✅ Les annonces les plus actuelles sont sur ImmoScout24.ch.")</f>
        <v>🏘  Vous cherchez un appartement à louer à Obergesteln? ✅ Les annonces les plus actuelles sont sur ImmoScout24.ch.</v>
      </c>
      <c r="J2304" s="4" t="s">
        <v>6910</v>
      </c>
    </row>
    <row r="2305">
      <c r="A2305" s="5" t="s">
        <v>6911</v>
      </c>
      <c r="B2305" s="2" t="s">
        <v>6912</v>
      </c>
      <c r="C2305" s="4" t="str">
        <f>IFERROR(__xludf.DUMMYFUNCTION("""🏘️ ""&amp;REGEXEXTRACT(B2305, ""^(.*): "")&amp;"" ✅ "" &amp;REGEXEXTRACT(B2305, ""(Trouvez.*)"")"),"🏘️ Vendre maison Leissigen ✅ Trouvez le bien immobilier qui correspond idéalement à vos désirs sur ImmoScout24 - La plateforme de l'immobilier en Suisse.")</f>
        <v>🏘️ Vendre maison Leissigen ✅ Trouvez le bien immobilier qui correspond idéalement à vos désirs sur ImmoScout24 - La plateforme de l'immobilier en Suisse.</v>
      </c>
      <c r="D2305" s="4" t="str">
        <f>vlookup(A2305, Sheet2!D:E, 2, 0)</f>
        <v>variant</v>
      </c>
      <c r="E2305" s="4" t="str">
        <f>IFERROR(__xludf.DUMMYFUNCTION("if(H2305=""pays"",vlookup(REGEXEXTRACT(C2305, ""🏘️ \w+ \w+ (.*) ✅""),'Country prepositions'!A:B, 2, 0) &amp; "" "" &amp; REGEXEXTRACT(C2305, ""🏘️ \w+ \w+ (.*) ✅"") ,  if(H2305=""quartier"",vlookup(REGEXEXTRACT(C2305, ""🏘️ \w+ \w+ (.*) ✅""),'Quartier prepositio"&amp;"ns'!A:E, 5, 0) ,  if(H2305=""region"",vlookup(REGEXEXTRACT(C2305, ""🏘️ \w+ \w+ (.*) ✅""),'Region prepositions'!B:F, 5, 0),  REGEXEXTRACT(C2305, ""🏘️ \w+ \w+ (.*) ✅""))))"),"Leissigen")</f>
        <v>Leissigen</v>
      </c>
      <c r="F2305" s="2" t="str">
        <f>IFERROR(__xludf.DUMMYFUNCTION("REGEXEXTRACT(C2305, ""🏘️ (\w+) \w+ .* ✅"")"),"Vendre")</f>
        <v>Vendre</v>
      </c>
      <c r="G2305" s="2" t="str">
        <f>IFERROR(__xludf.DUMMYFUNCTION("REGEXEXTRACT(C2305, ""🏘️ \w+ (\w+) .* ✅"")"),"maison")</f>
        <v>maison</v>
      </c>
      <c r="H2305" s="4" t="str">
        <f>IFERROR(__xludf.DUMMYFUNCTION("REGEXEXTRACT(A2305, ""/(\w+)-.*?"")"),"lieu")</f>
        <v>lieu</v>
      </c>
      <c r="I2305" s="4" t="str">
        <f>IFERROR(__xludf.DUMMYFUNCTION("if(D2305=""variant"",  substitute(filter(Templates!E:E, Templates!A:A = F2305, Templates!B:B = G2305, Templates!C:C = H2305), ""{{}}"", E2305), B2305)"),"🏘  Vous souhaitez acheter une maison à Leissigen? ✅ Jetez un œil aux dernières offres sur ImmoScout24.ch.")</f>
        <v>🏘  Vous souhaitez acheter une maison à Leissigen? ✅ Jetez un œil aux dernières offres sur ImmoScout24.ch.</v>
      </c>
      <c r="J2305" s="2" t="s">
        <v>6913</v>
      </c>
    </row>
    <row r="2306">
      <c r="A2306" s="5" t="s">
        <v>6914</v>
      </c>
      <c r="B2306" s="2" t="s">
        <v>6915</v>
      </c>
      <c r="C2306" s="4" t="str">
        <f>IFERROR(__xludf.DUMMYFUNCTION("""🏘️ ""&amp;REGEXEXTRACT(B2306, ""^(.*): "")&amp;"" ✅ "" &amp;REGEXEXTRACT(B2306, ""(Trouvez.*)"")"),"🏘️ Louer appartement Dulliken ✅ Trouvez le bien immobilier qui correspond idéalement à vos désirs sur ImmoScout24 - La plateforme de l'immobilier en Suisse.")</f>
        <v>🏘️ Louer appartement Dulliken ✅ Trouvez le bien immobilier qui correspond idéalement à vos désirs sur ImmoScout24 - La plateforme de l'immobilier en Suisse.</v>
      </c>
      <c r="D2306" s="4" t="str">
        <f>vlookup(A2306, Sheet2!D:E, 2, 0)</f>
        <v>variant</v>
      </c>
      <c r="E2306" s="4" t="str">
        <f>IFERROR(__xludf.DUMMYFUNCTION("if(H2306=""pays"",vlookup(REGEXEXTRACT(C2306, ""🏘️ \w+ \w+ (.*) ✅""),'Country prepositions'!A:B, 2, 0) &amp; "" "" &amp; REGEXEXTRACT(C2306, ""🏘️ \w+ \w+ (.*) ✅"") ,  if(H2306=""quartier"",vlookup(REGEXEXTRACT(C2306, ""🏘️ \w+ \w+ (.*) ✅""),'Quartier prepositio"&amp;"ns'!A:E, 5, 0) ,  if(H2306=""region"",vlookup(REGEXEXTRACT(C2306, ""🏘️ \w+ \w+ (.*) ✅""),'Region prepositions'!B:F, 5, 0),  REGEXEXTRACT(C2306, ""🏘️ \w+ \w+ (.*) ✅""))))"),"Dulliken")</f>
        <v>Dulliken</v>
      </c>
      <c r="F2306" s="2" t="str">
        <f>IFERROR(__xludf.DUMMYFUNCTION("REGEXEXTRACT(C2306, ""🏘️ (\w+) \w+ .* ✅"")"),"Louer")</f>
        <v>Louer</v>
      </c>
      <c r="G2306" s="2" t="str">
        <f>IFERROR(__xludf.DUMMYFUNCTION("REGEXEXTRACT(C2306, ""🏘️ \w+ (\w+) .* ✅"")"),"appartement")</f>
        <v>appartement</v>
      </c>
      <c r="H2306" s="4" t="str">
        <f>IFERROR(__xludf.DUMMYFUNCTION("REGEXEXTRACT(A2306, ""/(\w+)-.*?"")"),"lieu")</f>
        <v>lieu</v>
      </c>
      <c r="I2306" s="4" t="str">
        <f>IFERROR(__xludf.DUMMYFUNCTION("if(D2306=""variant"",  substitute(filter(Templates!E:E, Templates!A:A = F2306, Templates!B:B = G2306, Templates!C:C = H2306), ""{{}}"", E2306), B2306)"),"🏘  Vous cherchez un appartement à louer à Dulliken? ✅ Les annonces les plus actuelles sont sur ImmoScout24.ch.")</f>
        <v>🏘  Vous cherchez un appartement à louer à Dulliken? ✅ Les annonces les plus actuelles sont sur ImmoScout24.ch.</v>
      </c>
      <c r="J2306" s="4" t="s">
        <v>6916</v>
      </c>
    </row>
    <row r="2307">
      <c r="A2307" s="5" t="s">
        <v>6917</v>
      </c>
      <c r="B2307" s="2" t="s">
        <v>6918</v>
      </c>
      <c r="C2307" s="4" t="str">
        <f>IFERROR(__xludf.DUMMYFUNCTION("""🏘️ ""&amp;REGEXEXTRACT(B2307, ""^(.*): "")&amp;"" ✅ "" &amp;REGEXEXTRACT(B2307, ""(Trouvez.*)"")"),"🏘️ Louer appartement Hegi (Winterthur) ✅ Trouvez le bien immobilier qui correspond idéalement à vos désirs sur ImmoScout24 - La plateforme de l'immobilier en Suisse.")</f>
        <v>🏘️ Louer appartement Hegi (Winterthur) ✅ Trouvez le bien immobilier qui correspond idéalement à vos désirs sur ImmoScout24 - La plateforme de l'immobilier en Suisse.</v>
      </c>
      <c r="D2307" s="4" t="str">
        <f>vlookup(A2307, Sheet2!D:E, 2, 0)</f>
        <v>variant</v>
      </c>
      <c r="E2307" s="4" t="str">
        <f>IFERROR(__xludf.DUMMYFUNCTION("if(H2307=""pays"",vlookup(REGEXEXTRACT(C2307, ""🏘️ \w+ \w+ (.*) ✅""),'Country prepositions'!A:B, 2, 0) &amp; "" "" &amp; REGEXEXTRACT(C2307, ""🏘️ \w+ \w+ (.*) ✅"") ,  if(H2307=""quartier"",vlookup(REGEXEXTRACT(C2307, ""🏘️ \w+ \w+ (.*) ✅""),'Quartier prepositio"&amp;"ns'!A:E, 5, 0) ,  if(H2307=""region"",vlookup(REGEXEXTRACT(C2307, ""🏘️ \w+ \w+ (.*) ✅""),'Region prepositions'!B:F, 5, 0),  REGEXEXTRACT(C2307, ""🏘️ \w+ \w+ (.*) ✅""))))"),"dans le quartier de Hegi (Winterthur)")</f>
        <v>dans le quartier de Hegi (Winterthur)</v>
      </c>
      <c r="F2307" s="2" t="str">
        <f>IFERROR(__xludf.DUMMYFUNCTION("REGEXEXTRACT(C2307, ""🏘️ (\w+) \w+ .* ✅"")"),"Louer")</f>
        <v>Louer</v>
      </c>
      <c r="G2307" s="2" t="str">
        <f>IFERROR(__xludf.DUMMYFUNCTION("REGEXEXTRACT(C2307, ""🏘️ \w+ (\w+) .* ✅"")"),"appartement")</f>
        <v>appartement</v>
      </c>
      <c r="H2307" s="4" t="str">
        <f>IFERROR(__xludf.DUMMYFUNCTION("REGEXEXTRACT(A2307, ""/(\w+)-.*?"")"),"quartier")</f>
        <v>quartier</v>
      </c>
      <c r="I2307" s="4" t="str">
        <f>IFERROR(__xludf.DUMMYFUNCTION("if(D2307=""variant"",  substitute(filter(Templates!E:E, Templates!A:A = F2307, Templates!B:B = G2307, Templates!C:C = H2307), ""{{}}"", E2307), B2307)"),"🏘  Vous cherchez un appartement à louer dans le quartier de Hegi (Winterthur)? ✅ Les annonces les plus actuelles sont sur ImmoScout24.ch.")</f>
        <v>🏘  Vous cherchez un appartement à louer dans le quartier de Hegi (Winterthur)? ✅ Les annonces les plus actuelles sont sur ImmoScout24.ch.</v>
      </c>
      <c r="J2307" s="4" t="s">
        <v>6919</v>
      </c>
    </row>
    <row r="2308">
      <c r="A2308" s="5" t="s">
        <v>6920</v>
      </c>
      <c r="B2308" s="2" t="s">
        <v>6921</v>
      </c>
      <c r="C2308" s="4" t="str">
        <f>IFERROR(__xludf.DUMMYFUNCTION("""🏘️ ""&amp;REGEXEXTRACT(B2308, ""^(.*): "")&amp;"" ✅ "" &amp;REGEXEXTRACT(B2308, ""(Trouvez.*)"")"),"🏘️ Vendre appartement Turtmann ✅ Trouvez le bien immobilier qui correspond idéalement à vos désirs sur ImmoScout24 - La plateforme de l'immobilier en Suisse.")</f>
        <v>🏘️ Vendre appartement Turtmann ✅ Trouvez le bien immobilier qui correspond idéalement à vos désirs sur ImmoScout24 - La plateforme de l'immobilier en Suisse.</v>
      </c>
      <c r="D2308" s="4" t="str">
        <f>vlookup(A2308, Sheet2!D:E, 2, 0)</f>
        <v>variant</v>
      </c>
      <c r="E2308" s="4" t="str">
        <f>IFERROR(__xludf.DUMMYFUNCTION("if(H2308=""pays"",vlookup(REGEXEXTRACT(C2308, ""🏘️ \w+ \w+ (.*) ✅""),'Country prepositions'!A:B, 2, 0) &amp; "" "" &amp; REGEXEXTRACT(C2308, ""🏘️ \w+ \w+ (.*) ✅"") ,  if(H2308=""quartier"",vlookup(REGEXEXTRACT(C2308, ""🏘️ \w+ \w+ (.*) ✅""),'Quartier prepositio"&amp;"ns'!A:E, 5, 0) ,  if(H2308=""region"",vlookup(REGEXEXTRACT(C2308, ""🏘️ \w+ \w+ (.*) ✅""),'Region prepositions'!B:F, 5, 0),  REGEXEXTRACT(C2308, ""🏘️ \w+ \w+ (.*) ✅""))))"),"Turtmann")</f>
        <v>Turtmann</v>
      </c>
      <c r="F2308" s="2" t="str">
        <f>IFERROR(__xludf.DUMMYFUNCTION("REGEXEXTRACT(C2308, ""🏘️ (\w+) \w+ .* ✅"")"),"Vendre")</f>
        <v>Vendre</v>
      </c>
      <c r="G2308" s="2" t="str">
        <f>IFERROR(__xludf.DUMMYFUNCTION("REGEXEXTRACT(C2308, ""🏘️ \w+ (\w+) .* ✅"")"),"appartement")</f>
        <v>appartement</v>
      </c>
      <c r="H2308" s="4" t="str">
        <f>IFERROR(__xludf.DUMMYFUNCTION("REGEXEXTRACT(A2308, ""/(\w+)-.*?"")"),"lieu")</f>
        <v>lieu</v>
      </c>
      <c r="I2308" s="4" t="str">
        <f>IFERROR(__xludf.DUMMYFUNCTION("if(D2308=""variant"",  substitute(filter(Templates!E:E, Templates!A:A = F2308, Templates!B:B = G2308, Templates!C:C = H2308), ""{{}}"", E2308), B2308)"),"🏘  L’appartement de vos rêves se trouve sur ImmoScout24.ch ✅ Découvrez les dernières annonces de vente à Turtmann.")</f>
        <v>🏘  L’appartement de vos rêves se trouve sur ImmoScout24.ch ✅ Découvrez les dernières annonces de vente à Turtmann.</v>
      </c>
      <c r="J2308" s="4" t="s">
        <v>6922</v>
      </c>
    </row>
    <row r="2309">
      <c r="A2309" s="5" t="s">
        <v>6923</v>
      </c>
      <c r="B2309" s="2" t="s">
        <v>6924</v>
      </c>
      <c r="C2309" s="4" t="str">
        <f>IFERROR(__xludf.DUMMYFUNCTION("""🏘️ ""&amp;REGEXEXTRACT(B2309, ""^(.*): "")&amp;"" ✅ "" &amp;REGEXEXTRACT(B2309, ""(Trouvez.*)"")"),"🏘️ Louer appartement Salvan ✅ Trouvez le bien immobilier qui correspond idéalement à vos désirs sur ImmoScout24 - La plateforme de l'immobilier en Suisse.")</f>
        <v>🏘️ Louer appartement Salvan ✅ Trouvez le bien immobilier qui correspond idéalement à vos désirs sur ImmoScout24 - La plateforme de l'immobilier en Suisse.</v>
      </c>
      <c r="D2309" s="4" t="str">
        <f>vlookup(A2309, Sheet2!D:E, 2, 0)</f>
        <v>variant</v>
      </c>
      <c r="E2309" s="4" t="str">
        <f>IFERROR(__xludf.DUMMYFUNCTION("if(H2309=""pays"",vlookup(REGEXEXTRACT(C2309, ""🏘️ \w+ \w+ (.*) ✅""),'Country prepositions'!A:B, 2, 0) &amp; "" "" &amp; REGEXEXTRACT(C2309, ""🏘️ \w+ \w+ (.*) ✅"") ,  if(H2309=""quartier"",vlookup(REGEXEXTRACT(C2309, ""🏘️ \w+ \w+ (.*) ✅""),'Quartier prepositio"&amp;"ns'!A:E, 5, 0) ,  if(H2309=""region"",vlookup(REGEXEXTRACT(C2309, ""🏘️ \w+ \w+ (.*) ✅""),'Region prepositions'!B:F, 5, 0),  REGEXEXTRACT(C2309, ""🏘️ \w+ \w+ (.*) ✅""))))"),"Salvan")</f>
        <v>Salvan</v>
      </c>
      <c r="F2309" s="2" t="str">
        <f>IFERROR(__xludf.DUMMYFUNCTION("REGEXEXTRACT(C2309, ""🏘️ (\w+) \w+ .* ✅"")"),"Louer")</f>
        <v>Louer</v>
      </c>
      <c r="G2309" s="2" t="str">
        <f>IFERROR(__xludf.DUMMYFUNCTION("REGEXEXTRACT(C2309, ""🏘️ \w+ (\w+) .* ✅"")"),"appartement")</f>
        <v>appartement</v>
      </c>
      <c r="H2309" s="4" t="str">
        <f>IFERROR(__xludf.DUMMYFUNCTION("REGEXEXTRACT(A2309, ""/(\w+)-.*?"")"),"lieu")</f>
        <v>lieu</v>
      </c>
      <c r="I2309" s="4" t="str">
        <f>IFERROR(__xludf.DUMMYFUNCTION("if(D2309=""variant"",  substitute(filter(Templates!E:E, Templates!A:A = F2309, Templates!B:B = G2309, Templates!C:C = H2309), ""{{}}"", E2309), B2309)"),"🏘  Vous cherchez un appartement à louer à Salvan? ✅ Les annonces les plus actuelles sont sur ImmoScout24.ch.")</f>
        <v>🏘  Vous cherchez un appartement à louer à Salvan? ✅ Les annonces les plus actuelles sont sur ImmoScout24.ch.</v>
      </c>
      <c r="J2309" s="4" t="s">
        <v>6925</v>
      </c>
    </row>
    <row r="2310">
      <c r="A2310" s="5" t="s">
        <v>6926</v>
      </c>
      <c r="B2310" s="2" t="s">
        <v>6927</v>
      </c>
      <c r="C2310" s="4" t="str">
        <f>IFERROR(__xludf.DUMMYFUNCTION("""🏘️ ""&amp;REGEXEXTRACT(B2310, ""^(.*): "")&amp;"" ✅ "" &amp;REGEXEXTRACT(B2310, ""(Trouvez.*)"")"),"🏘️ Louer appartement Vétroz ✅ Trouvez le bien immobilier qui correspond idéalement à vos désirs sur ImmoScout24 - La plateforme de l'immobilier en Suisse.")</f>
        <v>🏘️ Louer appartement Vétroz ✅ Trouvez le bien immobilier qui correspond idéalement à vos désirs sur ImmoScout24 - La plateforme de l'immobilier en Suisse.</v>
      </c>
      <c r="D2310" s="4" t="str">
        <f>vlookup(A2310, Sheet2!D:E, 2, 0)</f>
        <v>variant</v>
      </c>
      <c r="E2310" s="4" t="str">
        <f>IFERROR(__xludf.DUMMYFUNCTION("if(H2310=""pays"",vlookup(REGEXEXTRACT(C2310, ""🏘️ \w+ \w+ (.*) ✅""),'Country prepositions'!A:B, 2, 0) &amp; "" "" &amp; REGEXEXTRACT(C2310, ""🏘️ \w+ \w+ (.*) ✅"") ,  if(H2310=""quartier"",vlookup(REGEXEXTRACT(C2310, ""🏘️ \w+ \w+ (.*) ✅""),'Quartier prepositio"&amp;"ns'!A:E, 5, 0) ,  if(H2310=""region"",vlookup(REGEXEXTRACT(C2310, ""🏘️ \w+ \w+ (.*) ✅""),'Region prepositions'!B:F, 5, 0),  REGEXEXTRACT(C2310, ""🏘️ \w+ \w+ (.*) ✅""))))"),"Vétroz")</f>
        <v>Vétroz</v>
      </c>
      <c r="F2310" s="2" t="str">
        <f>IFERROR(__xludf.DUMMYFUNCTION("REGEXEXTRACT(C2310, ""🏘️ (\w+) \w+ .* ✅"")"),"Louer")</f>
        <v>Louer</v>
      </c>
      <c r="G2310" s="2" t="str">
        <f>IFERROR(__xludf.DUMMYFUNCTION("REGEXEXTRACT(C2310, ""🏘️ \w+ (\w+) .* ✅"")"),"appartement")</f>
        <v>appartement</v>
      </c>
      <c r="H2310" s="4" t="str">
        <f>IFERROR(__xludf.DUMMYFUNCTION("REGEXEXTRACT(A2310, ""/(\w+)-.*?"")"),"lieu")</f>
        <v>lieu</v>
      </c>
      <c r="I2310" s="4" t="str">
        <f>IFERROR(__xludf.DUMMYFUNCTION("if(D2310=""variant"",  substitute(filter(Templates!E:E, Templates!A:A = F2310, Templates!B:B = G2310, Templates!C:C = H2310), ""{{}}"", E2310), B2310)"),"🏘  Vous cherchez un appartement à louer à Vétroz? ✅ Les annonces les plus actuelles sont sur ImmoScout24.ch.")</f>
        <v>🏘  Vous cherchez un appartement à louer à Vétroz? ✅ Les annonces les plus actuelles sont sur ImmoScout24.ch.</v>
      </c>
      <c r="J2310" s="4" t="s">
        <v>6928</v>
      </c>
    </row>
    <row r="2311">
      <c r="A2311" s="5" t="s">
        <v>6929</v>
      </c>
      <c r="B2311" s="2" t="s">
        <v>6930</v>
      </c>
      <c r="C2311" s="4" t="str">
        <f>IFERROR(__xludf.DUMMYFUNCTION("""🏘️ ""&amp;REGEXEXTRACT(B2311, ""^(.*): "")&amp;"" ✅ "" &amp;REGEXEXTRACT(B2311, ""(Trouvez.*)"")"),"🏘️ Vendre maison Lignerolle ✅ Trouvez le bien immobilier qui correspond idéalement à vos désirs sur ImmoScout24 - La plateforme de l'immobilier en Suisse.")</f>
        <v>🏘️ Vendre maison Lignerolle ✅ Trouvez le bien immobilier qui correspond idéalement à vos désirs sur ImmoScout24 - La plateforme de l'immobilier en Suisse.</v>
      </c>
      <c r="D2311" s="4" t="str">
        <f>vlookup(A2311, Sheet2!D:E, 2, 0)</f>
        <v>variant</v>
      </c>
      <c r="E2311" s="4" t="str">
        <f>IFERROR(__xludf.DUMMYFUNCTION("if(H2311=""pays"",vlookup(REGEXEXTRACT(C2311, ""🏘️ \w+ \w+ (.*) ✅""),'Country prepositions'!A:B, 2, 0) &amp; "" "" &amp; REGEXEXTRACT(C2311, ""🏘️ \w+ \w+ (.*) ✅"") ,  if(H2311=""quartier"",vlookup(REGEXEXTRACT(C2311, ""🏘️ \w+ \w+ (.*) ✅""),'Quartier prepositio"&amp;"ns'!A:E, 5, 0) ,  if(H2311=""region"",vlookup(REGEXEXTRACT(C2311, ""🏘️ \w+ \w+ (.*) ✅""),'Region prepositions'!B:F, 5, 0),  REGEXEXTRACT(C2311, ""🏘️ \w+ \w+ (.*) ✅""))))"),"Lignerolle")</f>
        <v>Lignerolle</v>
      </c>
      <c r="F2311" s="2" t="str">
        <f>IFERROR(__xludf.DUMMYFUNCTION("REGEXEXTRACT(C2311, ""🏘️ (\w+) \w+ .* ✅"")"),"Vendre")</f>
        <v>Vendre</v>
      </c>
      <c r="G2311" s="2" t="str">
        <f>IFERROR(__xludf.DUMMYFUNCTION("REGEXEXTRACT(C2311, ""🏘️ \w+ (\w+) .* ✅"")"),"maison")</f>
        <v>maison</v>
      </c>
      <c r="H2311" s="4" t="str">
        <f>IFERROR(__xludf.DUMMYFUNCTION("REGEXEXTRACT(A2311, ""/(\w+)-.*?"")"),"lieu")</f>
        <v>lieu</v>
      </c>
      <c r="I2311" s="4" t="str">
        <f>IFERROR(__xludf.DUMMYFUNCTION("if(D2311=""variant"",  substitute(filter(Templates!E:E, Templates!A:A = F2311, Templates!B:B = G2311, Templates!C:C = H2311), ""{{}}"", E2311), B2311)"),"🏘  Vous souhaitez acheter une maison à Lignerolle? ✅ Jetez un œil aux dernières offres sur ImmoScout24.ch.")</f>
        <v>🏘  Vous souhaitez acheter une maison à Lignerolle? ✅ Jetez un œil aux dernières offres sur ImmoScout24.ch.</v>
      </c>
      <c r="J2311" s="4" t="s">
        <v>6931</v>
      </c>
    </row>
    <row r="2312">
      <c r="A2312" s="5" t="s">
        <v>6932</v>
      </c>
      <c r="B2312" s="2" t="s">
        <v>6933</v>
      </c>
      <c r="C2312" s="4" t="str">
        <f>IFERROR(__xludf.DUMMYFUNCTION("""🏘️ ""&amp;REGEXEXTRACT(B2312, ""^(.*): "")&amp;"" ✅ "" &amp;REGEXEXTRACT(B2312, ""(Trouvez.*)"")"),"🏘️ Vendre maison Portalban ✅ Trouvez le bien immobilier qui correspond idéalement à vos désirs sur ImmoScout24 - La plateforme de l'immobilier en Suisse.")</f>
        <v>🏘️ Vendre maison Portalban ✅ Trouvez le bien immobilier qui correspond idéalement à vos désirs sur ImmoScout24 - La plateforme de l'immobilier en Suisse.</v>
      </c>
      <c r="D2312" s="4" t="str">
        <f>vlookup(A2312, Sheet2!D:E, 2, 0)</f>
        <v>variant</v>
      </c>
      <c r="E2312" s="4" t="str">
        <f>IFERROR(__xludf.DUMMYFUNCTION("if(H2312=""pays"",vlookup(REGEXEXTRACT(C2312, ""🏘️ \w+ \w+ (.*) ✅""),'Country prepositions'!A:B, 2, 0) &amp; "" "" &amp; REGEXEXTRACT(C2312, ""🏘️ \w+ \w+ (.*) ✅"") ,  if(H2312=""quartier"",vlookup(REGEXEXTRACT(C2312, ""🏘️ \w+ \w+ (.*) ✅""),'Quartier prepositio"&amp;"ns'!A:E, 5, 0) ,  if(H2312=""region"",vlookup(REGEXEXTRACT(C2312, ""🏘️ \w+ \w+ (.*) ✅""),'Region prepositions'!B:F, 5, 0),  REGEXEXTRACT(C2312, ""🏘️ \w+ \w+ (.*) ✅""))))"),"Portalban")</f>
        <v>Portalban</v>
      </c>
      <c r="F2312" s="2" t="str">
        <f>IFERROR(__xludf.DUMMYFUNCTION("REGEXEXTRACT(C2312, ""🏘️ (\w+) \w+ .* ✅"")"),"Vendre")</f>
        <v>Vendre</v>
      </c>
      <c r="G2312" s="2" t="str">
        <f>IFERROR(__xludf.DUMMYFUNCTION("REGEXEXTRACT(C2312, ""🏘️ \w+ (\w+) .* ✅"")"),"maison")</f>
        <v>maison</v>
      </c>
      <c r="H2312" s="4" t="str">
        <f>IFERROR(__xludf.DUMMYFUNCTION("REGEXEXTRACT(A2312, ""/(\w+)-.*?"")"),"lieu")</f>
        <v>lieu</v>
      </c>
      <c r="I2312" s="4" t="str">
        <f>IFERROR(__xludf.DUMMYFUNCTION("if(D2312=""variant"",  substitute(filter(Templates!E:E, Templates!A:A = F2312, Templates!B:B = G2312, Templates!C:C = H2312), ""{{}}"", E2312), B2312)"),"🏘  Vous souhaitez acheter une maison à Portalban? ✅ Jetez un œil aux dernières offres sur ImmoScout24.ch.")</f>
        <v>🏘  Vous souhaitez acheter une maison à Portalban? ✅ Jetez un œil aux dernières offres sur ImmoScout24.ch.</v>
      </c>
      <c r="J2312" s="4" t="s">
        <v>6934</v>
      </c>
    </row>
    <row r="2313">
      <c r="A2313" s="5" t="s">
        <v>6935</v>
      </c>
      <c r="B2313" s="2" t="s">
        <v>6936</v>
      </c>
      <c r="C2313" s="4" t="str">
        <f>IFERROR(__xludf.DUMMYFUNCTION("""🏘️ ""&amp;REGEXEXTRACT(B2313, ""^(.*): "")&amp;"" ✅ "" &amp;REGEXEXTRACT(B2313, ""(Trouvez.*)"")"),"🏘️ Louer maison Winterthur ✅ Trouvez le bien immobilier qui correspond idéalement à vos désirs sur ImmoScout24 - La plateforme de l'immobilier en Suisse.")</f>
        <v>🏘️ Louer maison Winterthur ✅ Trouvez le bien immobilier qui correspond idéalement à vos désirs sur ImmoScout24 - La plateforme de l'immobilier en Suisse.</v>
      </c>
      <c r="D2313" s="4" t="str">
        <f>vlookup(A2313, Sheet2!D:E, 2, 0)</f>
        <v>variant</v>
      </c>
      <c r="E2313" s="4" t="str">
        <f>IFERROR(__xludf.DUMMYFUNCTION("if(H2313=""pays"",vlookup(REGEXEXTRACT(C2313, ""🏘️ \w+ \w+ (.*) ✅""),'Country prepositions'!A:B, 2, 0) &amp; "" "" &amp; REGEXEXTRACT(C2313, ""🏘️ \w+ \w+ (.*) ✅"") ,  if(H2313=""quartier"",vlookup(REGEXEXTRACT(C2313, ""🏘️ \w+ \w+ (.*) ✅""),'Quartier prepositio"&amp;"ns'!A:E, 5, 0) ,  if(H2313=""region"",vlookup(REGEXEXTRACT(C2313, ""🏘️ \w+ \w+ (.*) ✅""),'Region prepositions'!B:F, 5, 0),  REGEXEXTRACT(C2313, ""🏘️ \w+ \w+ (.*) ✅""))))"),"Winterthur")</f>
        <v>Winterthur</v>
      </c>
      <c r="F2313" s="2" t="str">
        <f>IFERROR(__xludf.DUMMYFUNCTION("REGEXEXTRACT(C2313, ""🏘️ (\w+) \w+ .* ✅"")"),"Louer")</f>
        <v>Louer</v>
      </c>
      <c r="G2313" s="2" t="str">
        <f>IFERROR(__xludf.DUMMYFUNCTION("REGEXEXTRACT(C2313, ""🏘️ \w+ (\w+) .* ✅"")"),"maison")</f>
        <v>maison</v>
      </c>
      <c r="H2313" s="4" t="str">
        <f>IFERROR(__xludf.DUMMYFUNCTION("REGEXEXTRACT(A2313, ""/(\w+)-.*?"")"),"lieu")</f>
        <v>lieu</v>
      </c>
      <c r="I2313" s="4" t="str">
        <f>IFERROR(__xludf.DUMMYFUNCTION("if(D2313=""variant"",  substitute(filter(Templates!E:E, Templates!A:A = F2313, Templates!B:B = G2313, Templates!C:C = H2313), ""{{}}"", E2313), B2313)"),"🏘  Vous cherchez une maison à louer à Winterthur? ✅ Découvrez nos nombreuses annonces sur ImmoScout24.ch.")</f>
        <v>🏘  Vous cherchez une maison à louer à Winterthur? ✅ Découvrez nos nombreuses annonces sur ImmoScout24.ch.</v>
      </c>
      <c r="J2313" s="4" t="s">
        <v>6937</v>
      </c>
    </row>
    <row r="2314">
      <c r="A2314" s="5" t="s">
        <v>6938</v>
      </c>
      <c r="B2314" s="2" t="s">
        <v>6939</v>
      </c>
      <c r="C2314" s="4" t="str">
        <f>IFERROR(__xludf.DUMMYFUNCTION("""🏘️ ""&amp;REGEXEXTRACT(B2314, ""^(.*): "")&amp;"" ✅ "" &amp;REGEXEXTRACT(B2314, ""(Trouvez.*)"")"),"🏘️ Louer appartement Travers ✅ Trouvez le bien immobilier qui correspond idéalement à vos désirs sur ImmoScout24 - La plateforme de l'immobilier en Suisse.")</f>
        <v>🏘️ Louer appartement Travers ✅ Trouvez le bien immobilier qui correspond idéalement à vos désirs sur ImmoScout24 - La plateforme de l'immobilier en Suisse.</v>
      </c>
      <c r="D2314" s="4" t="str">
        <f>vlookup(A2314, Sheet2!D:E, 2, 0)</f>
        <v>variant</v>
      </c>
      <c r="E2314" s="4" t="str">
        <f>IFERROR(__xludf.DUMMYFUNCTION("if(H2314=""pays"",vlookup(REGEXEXTRACT(C2314, ""🏘️ \w+ \w+ (.*) ✅""),'Country prepositions'!A:B, 2, 0) &amp; "" "" &amp; REGEXEXTRACT(C2314, ""🏘️ \w+ \w+ (.*) ✅"") ,  if(H2314=""quartier"",vlookup(REGEXEXTRACT(C2314, ""🏘️ \w+ \w+ (.*) ✅""),'Quartier prepositio"&amp;"ns'!A:E, 5, 0) ,  if(H2314=""region"",vlookup(REGEXEXTRACT(C2314, ""🏘️ \w+ \w+ (.*) ✅""),'Region prepositions'!B:F, 5, 0),  REGEXEXTRACT(C2314, ""🏘️ \w+ \w+ (.*) ✅""))))"),"Travers")</f>
        <v>Travers</v>
      </c>
      <c r="F2314" s="2" t="str">
        <f>IFERROR(__xludf.DUMMYFUNCTION("REGEXEXTRACT(C2314, ""🏘️ (\w+) \w+ .* ✅"")"),"Louer")</f>
        <v>Louer</v>
      </c>
      <c r="G2314" s="2" t="str">
        <f>IFERROR(__xludf.DUMMYFUNCTION("REGEXEXTRACT(C2314, ""🏘️ \w+ (\w+) .* ✅"")"),"appartement")</f>
        <v>appartement</v>
      </c>
      <c r="H2314" s="4" t="str">
        <f>IFERROR(__xludf.DUMMYFUNCTION("REGEXEXTRACT(A2314, ""/(\w+)-.*?"")"),"lieu")</f>
        <v>lieu</v>
      </c>
      <c r="I2314" s="4" t="str">
        <f>IFERROR(__xludf.DUMMYFUNCTION("if(D2314=""variant"",  substitute(filter(Templates!E:E, Templates!A:A = F2314, Templates!B:B = G2314, Templates!C:C = H2314), ""{{}}"", E2314), B2314)"),"🏘  Vous cherchez un appartement à louer à Travers? ✅ Les annonces les plus actuelles sont sur ImmoScout24.ch.")</f>
        <v>🏘  Vous cherchez un appartement à louer à Travers? ✅ Les annonces les plus actuelles sont sur ImmoScout24.ch.</v>
      </c>
      <c r="J2314" s="4" t="s">
        <v>6940</v>
      </c>
    </row>
    <row r="2315">
      <c r="A2315" s="5" t="s">
        <v>6941</v>
      </c>
      <c r="B2315" s="2" t="s">
        <v>6942</v>
      </c>
      <c r="C2315" s="4" t="str">
        <f>IFERROR(__xludf.DUMMYFUNCTION("""🏘️ ""&amp;REGEXEXTRACT(B2315, ""^(.*): "")&amp;"" ✅ "" &amp;REGEXEXTRACT(B2315, ""(Trouvez.*)"")"),"🏘️ Louer maison Canton de Neuchâtel ✅ Trouvez le bien immobilier qui correspond idéalement à vos désirs sur ImmoScout24 - La plateforme de l'immobilier en Suisse.")</f>
        <v>🏘️ Louer maison Canton de Neuchâtel ✅ Trouvez le bien immobilier qui correspond idéalement à vos désirs sur ImmoScout24 - La plateforme de l'immobilier en Suisse.</v>
      </c>
      <c r="D2315" s="4" t="str">
        <f>vlookup(A2315, Sheet2!D:E, 2, 0)</f>
        <v>variant</v>
      </c>
      <c r="E2315" s="4" t="str">
        <f>IFERROR(__xludf.DUMMYFUNCTION("if(H2315=""pays"",vlookup(REGEXEXTRACT(C2315, ""🏘️ \w+ \w+ (.*) ✅""),'Country prepositions'!A:B, 2, 0) &amp; "" "" &amp; REGEXEXTRACT(C2315, ""🏘️ \w+ \w+ (.*) ✅"") ,  if(H2315=""quartier"",vlookup(REGEXEXTRACT(C2315, ""🏘️ \w+ \w+ (.*) ✅""),'Quartier prepositio"&amp;"ns'!A:E, 5, 0) ,  if(H2315=""region"",vlookup(REGEXEXTRACT(C2315, ""🏘️ \w+ \w+ (.*) ✅""),'Region prepositions'!B:F, 5, 0),  REGEXEXTRACT(C2315, ""🏘️ \w+ \w+ (.*) ✅""))))"),"Canton de Neuchâtel")</f>
        <v>Canton de Neuchâtel</v>
      </c>
      <c r="F2315" s="2" t="str">
        <f>IFERROR(__xludf.DUMMYFUNCTION("REGEXEXTRACT(C2315, ""🏘️ (\w+) \w+ .* ✅"")"),"Louer")</f>
        <v>Louer</v>
      </c>
      <c r="G2315" s="2" t="str">
        <f>IFERROR(__xludf.DUMMYFUNCTION("REGEXEXTRACT(C2315, ""🏘️ \w+ (\w+) .* ✅"")"),"maison")</f>
        <v>maison</v>
      </c>
      <c r="H2315" s="4" t="str">
        <f>IFERROR(__xludf.DUMMYFUNCTION("REGEXEXTRACT(A2315, ""/(\w+)-.*?"")"),"canton")</f>
        <v>canton</v>
      </c>
      <c r="I2315" s="4" t="str">
        <f>IFERROR(__xludf.DUMMYFUNCTION("if(D2315=""variant"",  substitute(filter(Templates!E:E, Templates!A:A = F2315, Templates!B:B = G2315, Templates!C:C = H2315), ""{{}}"", E2315), B2315)"),"🏘  Vous cherchez une maison à louer dans le Canton de Neuchâtel? ✅ Découvrez nos nombreuses annonces sur ImmoScout24.ch.")</f>
        <v>🏘  Vous cherchez une maison à louer dans le Canton de Neuchâtel? ✅ Découvrez nos nombreuses annonces sur ImmoScout24.ch.</v>
      </c>
      <c r="J2315" s="4" t="s">
        <v>6943</v>
      </c>
    </row>
    <row r="2316">
      <c r="A2316" s="5" t="s">
        <v>6944</v>
      </c>
      <c r="B2316" s="2" t="s">
        <v>6945</v>
      </c>
      <c r="C2316" s="4" t="str">
        <f>IFERROR(__xludf.DUMMYFUNCTION("""🏘️ ""&amp;REGEXEXTRACT(B2316, ""^(.*): "")&amp;"" ✅ "" &amp;REGEXEXTRACT(B2316, ""(Trouvez.*)"")"),"🏘️ Louer appartement Escholzmatt ✅ Trouvez le bien immobilier qui correspond idéalement à vos désirs sur ImmoScout24 - La plateforme de l'immobilier en Suisse.")</f>
        <v>🏘️ Louer appartement Escholzmatt ✅ Trouvez le bien immobilier qui correspond idéalement à vos désirs sur ImmoScout24 - La plateforme de l'immobilier en Suisse.</v>
      </c>
      <c r="D2316" s="4" t="str">
        <f>vlookup(A2316, Sheet2!D:E, 2, 0)</f>
        <v>variant</v>
      </c>
      <c r="E2316" s="4" t="str">
        <f>IFERROR(__xludf.DUMMYFUNCTION("if(H2316=""pays"",vlookup(REGEXEXTRACT(C2316, ""🏘️ \w+ \w+ (.*) ✅""),'Country prepositions'!A:B, 2, 0) &amp; "" "" &amp; REGEXEXTRACT(C2316, ""🏘️ \w+ \w+ (.*) ✅"") ,  if(H2316=""quartier"",vlookup(REGEXEXTRACT(C2316, ""🏘️ \w+ \w+ (.*) ✅""),'Quartier prepositio"&amp;"ns'!A:E, 5, 0) ,  if(H2316=""region"",vlookup(REGEXEXTRACT(C2316, ""🏘️ \w+ \w+ (.*) ✅""),'Region prepositions'!B:F, 5, 0),  REGEXEXTRACT(C2316, ""🏘️ \w+ \w+ (.*) ✅""))))"),"Escholzmatt")</f>
        <v>Escholzmatt</v>
      </c>
      <c r="F2316" s="2" t="str">
        <f>IFERROR(__xludf.DUMMYFUNCTION("REGEXEXTRACT(C2316, ""🏘️ (\w+) \w+ .* ✅"")"),"Louer")</f>
        <v>Louer</v>
      </c>
      <c r="G2316" s="2" t="str">
        <f>IFERROR(__xludf.DUMMYFUNCTION("REGEXEXTRACT(C2316, ""🏘️ \w+ (\w+) .* ✅"")"),"appartement")</f>
        <v>appartement</v>
      </c>
      <c r="H2316" s="4" t="str">
        <f>IFERROR(__xludf.DUMMYFUNCTION("REGEXEXTRACT(A2316, ""/(\w+)-.*?"")"),"lieu")</f>
        <v>lieu</v>
      </c>
      <c r="I2316" s="4" t="str">
        <f>IFERROR(__xludf.DUMMYFUNCTION("if(D2316=""variant"",  substitute(filter(Templates!E:E, Templates!A:A = F2316, Templates!B:B = G2316, Templates!C:C = H2316), ""{{}}"", E2316), B2316)"),"🏘  Vous cherchez un appartement à louer à Escholzmatt? ✅ Les annonces les plus actuelles sont sur ImmoScout24.ch.")</f>
        <v>🏘  Vous cherchez un appartement à louer à Escholzmatt? ✅ Les annonces les plus actuelles sont sur ImmoScout24.ch.</v>
      </c>
      <c r="J2316" s="4" t="s">
        <v>6946</v>
      </c>
    </row>
    <row r="2317">
      <c r="A2317" s="5" t="s">
        <v>6947</v>
      </c>
      <c r="B2317" s="2" t="s">
        <v>6948</v>
      </c>
      <c r="C2317" s="4" t="str">
        <f>IFERROR(__xludf.DUMMYFUNCTION("""🏘️ ""&amp;REGEXEXTRACT(B2317, ""^(.*): "")&amp;"" ✅ "" &amp;REGEXEXTRACT(B2317, ""(Trouvez.*)"")"),"🏘️ Louer appartement Breitenbach ✅ Trouvez le bien immobilier qui correspond idéalement à vos désirs sur ImmoScout24 - La plateforme de l'immobilier en Suisse.")</f>
        <v>🏘️ Louer appartement Breitenbach ✅ Trouvez le bien immobilier qui correspond idéalement à vos désirs sur ImmoScout24 - La plateforme de l'immobilier en Suisse.</v>
      </c>
      <c r="D2317" s="4" t="str">
        <f>vlookup(A2317, Sheet2!D:E, 2, 0)</f>
        <v>variant</v>
      </c>
      <c r="E2317" s="4" t="str">
        <f>IFERROR(__xludf.DUMMYFUNCTION("if(H2317=""pays"",vlookup(REGEXEXTRACT(C2317, ""🏘️ \w+ \w+ (.*) ✅""),'Country prepositions'!A:B, 2, 0) &amp; "" "" &amp; REGEXEXTRACT(C2317, ""🏘️ \w+ \w+ (.*) ✅"") ,  if(H2317=""quartier"",vlookup(REGEXEXTRACT(C2317, ""🏘️ \w+ \w+ (.*) ✅""),'Quartier prepositio"&amp;"ns'!A:E, 5, 0) ,  if(H2317=""region"",vlookup(REGEXEXTRACT(C2317, ""🏘️ \w+ \w+ (.*) ✅""),'Region prepositions'!B:F, 5, 0),  REGEXEXTRACT(C2317, ""🏘️ \w+ \w+ (.*) ✅""))))"),"Breitenbach")</f>
        <v>Breitenbach</v>
      </c>
      <c r="F2317" s="2" t="str">
        <f>IFERROR(__xludf.DUMMYFUNCTION("REGEXEXTRACT(C2317, ""🏘️ (\w+) \w+ .* ✅"")"),"Louer")</f>
        <v>Louer</v>
      </c>
      <c r="G2317" s="2" t="str">
        <f>IFERROR(__xludf.DUMMYFUNCTION("REGEXEXTRACT(C2317, ""🏘️ \w+ (\w+) .* ✅"")"),"appartement")</f>
        <v>appartement</v>
      </c>
      <c r="H2317" s="4" t="str">
        <f>IFERROR(__xludf.DUMMYFUNCTION("REGEXEXTRACT(A2317, ""/(\w+)-.*?"")"),"lieu")</f>
        <v>lieu</v>
      </c>
      <c r="I2317" s="4" t="str">
        <f>IFERROR(__xludf.DUMMYFUNCTION("if(D2317=""variant"",  substitute(filter(Templates!E:E, Templates!A:A = F2317, Templates!B:B = G2317, Templates!C:C = H2317), ""{{}}"", E2317), B2317)"),"🏘  Vous cherchez un appartement à louer à Breitenbach? ✅ Les annonces les plus actuelles sont sur ImmoScout24.ch.")</f>
        <v>🏘  Vous cherchez un appartement à louer à Breitenbach? ✅ Les annonces les plus actuelles sont sur ImmoScout24.ch.</v>
      </c>
      <c r="J2317" s="4" t="s">
        <v>6949</v>
      </c>
    </row>
    <row r="2318">
      <c r="A2318" s="5" t="s">
        <v>6950</v>
      </c>
      <c r="B2318" s="2" t="s">
        <v>6951</v>
      </c>
      <c r="C2318" s="4" t="str">
        <f>IFERROR(__xludf.DUMMYFUNCTION("""🏘️ ""&amp;REGEXEXTRACT(B2318, ""^(.*): "")&amp;"" ✅ "" &amp;REGEXEXTRACT(B2318, ""(Trouvez.*)"")"),"🏘️ Vendre maison Boudevilliers ✅ Trouvez le bien immobilier qui correspond idéalement à vos désirs sur ImmoScout24 - La plateforme de l'immobilier en Suisse.")</f>
        <v>🏘️ Vendre maison Boudevilliers ✅ Trouvez le bien immobilier qui correspond idéalement à vos désirs sur ImmoScout24 - La plateforme de l'immobilier en Suisse.</v>
      </c>
      <c r="D2318" s="4" t="str">
        <f>vlookup(A2318, Sheet2!D:E, 2, 0)</f>
        <v>variant</v>
      </c>
      <c r="E2318" s="4" t="str">
        <f>IFERROR(__xludf.DUMMYFUNCTION("if(H2318=""pays"",vlookup(REGEXEXTRACT(C2318, ""🏘️ \w+ \w+ (.*) ✅""),'Country prepositions'!A:B, 2, 0) &amp; "" "" &amp; REGEXEXTRACT(C2318, ""🏘️ \w+ \w+ (.*) ✅"") ,  if(H2318=""quartier"",vlookup(REGEXEXTRACT(C2318, ""🏘️ \w+ \w+ (.*) ✅""),'Quartier prepositio"&amp;"ns'!A:E, 5, 0) ,  if(H2318=""region"",vlookup(REGEXEXTRACT(C2318, ""🏘️ \w+ \w+ (.*) ✅""),'Region prepositions'!B:F, 5, 0),  REGEXEXTRACT(C2318, ""🏘️ \w+ \w+ (.*) ✅""))))"),"Boudevilliers")</f>
        <v>Boudevilliers</v>
      </c>
      <c r="F2318" s="2" t="str">
        <f>IFERROR(__xludf.DUMMYFUNCTION("REGEXEXTRACT(C2318, ""🏘️ (\w+) \w+ .* ✅"")"),"Vendre")</f>
        <v>Vendre</v>
      </c>
      <c r="G2318" s="2" t="str">
        <f>IFERROR(__xludf.DUMMYFUNCTION("REGEXEXTRACT(C2318, ""🏘️ \w+ (\w+) .* ✅"")"),"maison")</f>
        <v>maison</v>
      </c>
      <c r="H2318" s="4" t="str">
        <f>IFERROR(__xludf.DUMMYFUNCTION("REGEXEXTRACT(A2318, ""/(\w+)-.*?"")"),"lieu")</f>
        <v>lieu</v>
      </c>
      <c r="I2318" s="4" t="str">
        <f>IFERROR(__xludf.DUMMYFUNCTION("if(D2318=""variant"",  substitute(filter(Templates!E:E, Templates!A:A = F2318, Templates!B:B = G2318, Templates!C:C = H2318), ""{{}}"", E2318), B2318)"),"🏘  Vous souhaitez acheter une maison à Boudevilliers? ✅ Jetez un œil aux dernières offres sur ImmoScout24.ch.")</f>
        <v>🏘  Vous souhaitez acheter une maison à Boudevilliers? ✅ Jetez un œil aux dernières offres sur ImmoScout24.ch.</v>
      </c>
      <c r="J2318" s="4" t="s">
        <v>6952</v>
      </c>
    </row>
    <row r="2319">
      <c r="A2319" s="5" t="s">
        <v>6953</v>
      </c>
      <c r="B2319" s="2" t="s">
        <v>6954</v>
      </c>
      <c r="C2319" s="4" t="str">
        <f>IFERROR(__xludf.DUMMYFUNCTION("""🏘️ ""&amp;REGEXEXTRACT(B2319, ""^(.*): "")&amp;"" ✅ "" &amp;REGEXEXTRACT(B2319, ""(Trouvez.*)"")"),"🏘️ Louer appartement Gutenswil ✅ Trouvez le bien immobilier qui correspond idéalement à vos désirs sur ImmoScout24 - La plateforme de l'immobilier en Suisse.")</f>
        <v>🏘️ Louer appartement Gutenswil ✅ Trouvez le bien immobilier qui correspond idéalement à vos désirs sur ImmoScout24 - La plateforme de l'immobilier en Suisse.</v>
      </c>
      <c r="D2319" s="4" t="str">
        <f>vlookup(A2319, Sheet2!D:E, 2, 0)</f>
        <v>variant</v>
      </c>
      <c r="E2319" s="4" t="str">
        <f>IFERROR(__xludf.DUMMYFUNCTION("if(H2319=""pays"",vlookup(REGEXEXTRACT(C2319, ""🏘️ \w+ \w+ (.*) ✅""),'Country prepositions'!A:B, 2, 0) &amp; "" "" &amp; REGEXEXTRACT(C2319, ""🏘️ \w+ \w+ (.*) ✅"") ,  if(H2319=""quartier"",vlookup(REGEXEXTRACT(C2319, ""🏘️ \w+ \w+ (.*) ✅""),'Quartier prepositio"&amp;"ns'!A:E, 5, 0) ,  if(H2319=""region"",vlookup(REGEXEXTRACT(C2319, ""🏘️ \w+ \w+ (.*) ✅""),'Region prepositions'!B:F, 5, 0),  REGEXEXTRACT(C2319, ""🏘️ \w+ \w+ (.*) ✅""))))"),"Gutenswil")</f>
        <v>Gutenswil</v>
      </c>
      <c r="F2319" s="2" t="str">
        <f>IFERROR(__xludf.DUMMYFUNCTION("REGEXEXTRACT(C2319, ""🏘️ (\w+) \w+ .* ✅"")"),"Louer")</f>
        <v>Louer</v>
      </c>
      <c r="G2319" s="2" t="str">
        <f>IFERROR(__xludf.DUMMYFUNCTION("REGEXEXTRACT(C2319, ""🏘️ \w+ (\w+) .* ✅"")"),"appartement")</f>
        <v>appartement</v>
      </c>
      <c r="H2319" s="4" t="str">
        <f>IFERROR(__xludf.DUMMYFUNCTION("REGEXEXTRACT(A2319, ""/(\w+)-.*?"")"),"lieu")</f>
        <v>lieu</v>
      </c>
      <c r="I2319" s="4" t="str">
        <f>IFERROR(__xludf.DUMMYFUNCTION("if(D2319=""variant"",  substitute(filter(Templates!E:E, Templates!A:A = F2319, Templates!B:B = G2319, Templates!C:C = H2319), ""{{}}"", E2319), B2319)"),"🏘  Vous cherchez un appartement à louer à Gutenswil? ✅ Les annonces les plus actuelles sont sur ImmoScout24.ch.")</f>
        <v>🏘  Vous cherchez un appartement à louer à Gutenswil? ✅ Les annonces les plus actuelles sont sur ImmoScout24.ch.</v>
      </c>
      <c r="J2319" s="4" t="s">
        <v>6955</v>
      </c>
    </row>
    <row r="2320">
      <c r="A2320" s="5" t="s">
        <v>6956</v>
      </c>
      <c r="B2320" s="2" t="s">
        <v>6957</v>
      </c>
      <c r="C2320" s="4" t="str">
        <f>IFERROR(__xludf.DUMMYFUNCTION("""🏘️ ""&amp;REGEXEXTRACT(B2320, ""^(.*): "")&amp;"" ✅ "" &amp;REGEXEXTRACT(B2320, ""(Trouvez.*)"")"),"🏘️ Vendre maison Essert-Pittet ✅ Trouvez le bien immobilier qui correspond idéalement à vos désirs sur ImmoScout24 - La plateforme de l'immobilier en Suisse.")</f>
        <v>🏘️ Vendre maison Essert-Pittet ✅ Trouvez le bien immobilier qui correspond idéalement à vos désirs sur ImmoScout24 - La plateforme de l'immobilier en Suisse.</v>
      </c>
      <c r="D2320" s="4" t="str">
        <f>vlookup(A2320, Sheet2!D:E, 2, 0)</f>
        <v>variant</v>
      </c>
      <c r="E2320" s="4" t="str">
        <f>IFERROR(__xludf.DUMMYFUNCTION("if(H2320=""pays"",vlookup(REGEXEXTRACT(C2320, ""🏘️ \w+ \w+ (.*) ✅""),'Country prepositions'!A:B, 2, 0) &amp; "" "" &amp; REGEXEXTRACT(C2320, ""🏘️ \w+ \w+ (.*) ✅"") ,  if(H2320=""quartier"",vlookup(REGEXEXTRACT(C2320, ""🏘️ \w+ \w+ (.*) ✅""),'Quartier prepositio"&amp;"ns'!A:E, 5, 0) ,  if(H2320=""region"",vlookup(REGEXEXTRACT(C2320, ""🏘️ \w+ \w+ (.*) ✅""),'Region prepositions'!B:F, 5, 0),  REGEXEXTRACT(C2320, ""🏘️ \w+ \w+ (.*) ✅""))))"),"Essert-Pittet")</f>
        <v>Essert-Pittet</v>
      </c>
      <c r="F2320" s="2" t="str">
        <f>IFERROR(__xludf.DUMMYFUNCTION("REGEXEXTRACT(C2320, ""🏘️ (\w+) \w+ .* ✅"")"),"Vendre")</f>
        <v>Vendre</v>
      </c>
      <c r="G2320" s="2" t="str">
        <f>IFERROR(__xludf.DUMMYFUNCTION("REGEXEXTRACT(C2320, ""🏘️ \w+ (\w+) .* ✅"")"),"maison")</f>
        <v>maison</v>
      </c>
      <c r="H2320" s="4" t="str">
        <f>IFERROR(__xludf.DUMMYFUNCTION("REGEXEXTRACT(A2320, ""/(\w+)-.*?"")"),"lieu")</f>
        <v>lieu</v>
      </c>
      <c r="I2320" s="4" t="str">
        <f>IFERROR(__xludf.DUMMYFUNCTION("if(D2320=""variant"",  substitute(filter(Templates!E:E, Templates!A:A = F2320, Templates!B:B = G2320, Templates!C:C = H2320), ""{{}}"", E2320), B2320)"),"🏘  Vous souhaitez acheter une maison à Essert-Pittet? ✅ Jetez un œil aux dernières offres sur ImmoScout24.ch.")</f>
        <v>🏘  Vous souhaitez acheter une maison à Essert-Pittet? ✅ Jetez un œil aux dernières offres sur ImmoScout24.ch.</v>
      </c>
      <c r="J2320" s="4" t="s">
        <v>6958</v>
      </c>
    </row>
    <row r="2321">
      <c r="A2321" s="5" t="s">
        <v>6959</v>
      </c>
      <c r="B2321" s="2" t="s">
        <v>6960</v>
      </c>
      <c r="C2321" s="4" t="str">
        <f>IFERROR(__xludf.DUMMYFUNCTION("""🏘️ ""&amp;REGEXEXTRACT(B2321, ""^(.*): "")&amp;"" ✅ "" &amp;REGEXEXTRACT(B2321, ""(Trouvez.*)"")"),"🏘️ Louer appartement Verbier ✅ Trouvez le bien immobilier qui correspond idéalement à vos désirs sur ImmoScout24 - La plateforme de l'immobilier en Suisse.")</f>
        <v>🏘️ Louer appartement Verbier ✅ Trouvez le bien immobilier qui correspond idéalement à vos désirs sur ImmoScout24 - La plateforme de l'immobilier en Suisse.</v>
      </c>
      <c r="D2321" s="4" t="str">
        <f>vlookup(A2321, Sheet2!D:E, 2, 0)</f>
        <v>variant</v>
      </c>
      <c r="E2321" s="4" t="str">
        <f>IFERROR(__xludf.DUMMYFUNCTION("if(H2321=""pays"",vlookup(REGEXEXTRACT(C2321, ""🏘️ \w+ \w+ (.*) ✅""),'Country prepositions'!A:B, 2, 0) &amp; "" "" &amp; REGEXEXTRACT(C2321, ""🏘️ \w+ \w+ (.*) ✅"") ,  if(H2321=""quartier"",vlookup(REGEXEXTRACT(C2321, ""🏘️ \w+ \w+ (.*) ✅""),'Quartier prepositio"&amp;"ns'!A:E, 5, 0) ,  if(H2321=""region"",vlookup(REGEXEXTRACT(C2321, ""🏘️ \w+ \w+ (.*) ✅""),'Region prepositions'!B:F, 5, 0),  REGEXEXTRACT(C2321, ""🏘️ \w+ \w+ (.*) ✅""))))"),"Verbier")</f>
        <v>Verbier</v>
      </c>
      <c r="F2321" s="2" t="str">
        <f>IFERROR(__xludf.DUMMYFUNCTION("REGEXEXTRACT(C2321, ""🏘️ (\w+) \w+ .* ✅"")"),"Louer")</f>
        <v>Louer</v>
      </c>
      <c r="G2321" s="2" t="str">
        <f>IFERROR(__xludf.DUMMYFUNCTION("REGEXEXTRACT(C2321, ""🏘️ \w+ (\w+) .* ✅"")"),"appartement")</f>
        <v>appartement</v>
      </c>
      <c r="H2321" s="4" t="str">
        <f>IFERROR(__xludf.DUMMYFUNCTION("REGEXEXTRACT(A2321, ""/(\w+)-.*?"")"),"lieu")</f>
        <v>lieu</v>
      </c>
      <c r="I2321" s="4" t="str">
        <f>IFERROR(__xludf.DUMMYFUNCTION("if(D2321=""variant"",  substitute(filter(Templates!E:E, Templates!A:A = F2321, Templates!B:B = G2321, Templates!C:C = H2321), ""{{}}"", E2321), B2321)"),"🏘  Vous cherchez un appartement à louer à Verbier? ✅ Les annonces les plus actuelles sont sur ImmoScout24.ch.")</f>
        <v>🏘  Vous cherchez un appartement à louer à Verbier? ✅ Les annonces les plus actuelles sont sur ImmoScout24.ch.</v>
      </c>
      <c r="J2321" s="4" t="s">
        <v>6961</v>
      </c>
    </row>
    <row r="2322">
      <c r="A2322" s="5" t="s">
        <v>6962</v>
      </c>
      <c r="B2322" s="2" t="s">
        <v>6963</v>
      </c>
      <c r="C2322" s="4" t="str">
        <f>IFERROR(__xludf.DUMMYFUNCTION("""🏘️ ""&amp;REGEXEXTRACT(B2322, ""^(.*): "")&amp;"" ✅ "" &amp;REGEXEXTRACT(B2322, ""(Trouvez.*)"")"),"🏘️ Vendre maison Chéserex ✅ Trouvez le bien immobilier qui correspond idéalement à vos désirs sur ImmoScout24 - La plateforme de l'immobilier en Suisse.")</f>
        <v>🏘️ Vendre maison Chéserex ✅ Trouvez le bien immobilier qui correspond idéalement à vos désirs sur ImmoScout24 - La plateforme de l'immobilier en Suisse.</v>
      </c>
      <c r="D2322" s="4" t="str">
        <f>vlookup(A2322, Sheet2!D:E, 2, 0)</f>
        <v>variant</v>
      </c>
      <c r="E2322" s="4" t="str">
        <f>IFERROR(__xludf.DUMMYFUNCTION("if(H2322=""pays"",vlookup(REGEXEXTRACT(C2322, ""🏘️ \w+ \w+ (.*) ✅""),'Country prepositions'!A:B, 2, 0) &amp; "" "" &amp; REGEXEXTRACT(C2322, ""🏘️ \w+ \w+ (.*) ✅"") ,  if(H2322=""quartier"",vlookup(REGEXEXTRACT(C2322, ""🏘️ \w+ \w+ (.*) ✅""),'Quartier prepositio"&amp;"ns'!A:E, 5, 0) ,  if(H2322=""region"",vlookup(REGEXEXTRACT(C2322, ""🏘️ \w+ \w+ (.*) ✅""),'Region prepositions'!B:F, 5, 0),  REGEXEXTRACT(C2322, ""🏘️ \w+ \w+ (.*) ✅""))))"),"Chéserex")</f>
        <v>Chéserex</v>
      </c>
      <c r="F2322" s="2" t="str">
        <f>IFERROR(__xludf.DUMMYFUNCTION("REGEXEXTRACT(C2322, ""🏘️ (\w+) \w+ .* ✅"")"),"Vendre")</f>
        <v>Vendre</v>
      </c>
      <c r="G2322" s="2" t="str">
        <f>IFERROR(__xludf.DUMMYFUNCTION("REGEXEXTRACT(C2322, ""🏘️ \w+ (\w+) .* ✅"")"),"maison")</f>
        <v>maison</v>
      </c>
      <c r="H2322" s="4" t="str">
        <f>IFERROR(__xludf.DUMMYFUNCTION("REGEXEXTRACT(A2322, ""/(\w+)-.*?"")"),"lieu")</f>
        <v>lieu</v>
      </c>
      <c r="I2322" s="4" t="str">
        <f>IFERROR(__xludf.DUMMYFUNCTION("if(D2322=""variant"",  substitute(filter(Templates!E:E, Templates!A:A = F2322, Templates!B:B = G2322, Templates!C:C = H2322), ""{{}}"", E2322), B2322)"),"🏘  Vous souhaitez acheter une maison à Chéserex? ✅ Jetez un œil aux dernières offres sur ImmoScout24.ch.")</f>
        <v>🏘  Vous souhaitez acheter une maison à Chéserex? ✅ Jetez un œil aux dernières offres sur ImmoScout24.ch.</v>
      </c>
      <c r="J2322" s="4" t="s">
        <v>6964</v>
      </c>
    </row>
    <row r="2323">
      <c r="A2323" s="5" t="s">
        <v>6965</v>
      </c>
      <c r="B2323" s="2" t="s">
        <v>6966</v>
      </c>
      <c r="C2323" s="4" t="str">
        <f>IFERROR(__xludf.DUMMYFUNCTION("""🏘️ ""&amp;REGEXEXTRACT(B2323, ""^(.*): "")&amp;"" ✅ "" &amp;REGEXEXTRACT(B2323, ""(Trouvez.*)"")"),"🏘️ Louer appartement Fehraltorf ✅ Trouvez le bien immobilier qui correspond idéalement à vos désirs sur ImmoScout24 - La plateforme de l'immobilier en Suisse.")</f>
        <v>🏘️ Louer appartement Fehraltorf ✅ Trouvez le bien immobilier qui correspond idéalement à vos désirs sur ImmoScout24 - La plateforme de l'immobilier en Suisse.</v>
      </c>
      <c r="D2323" s="4" t="str">
        <f>vlookup(A2323, Sheet2!D:E, 2, 0)</f>
        <v>variant</v>
      </c>
      <c r="E2323" s="4" t="str">
        <f>IFERROR(__xludf.DUMMYFUNCTION("if(H2323=""pays"",vlookup(REGEXEXTRACT(C2323, ""🏘️ \w+ \w+ (.*) ✅""),'Country prepositions'!A:B, 2, 0) &amp; "" "" &amp; REGEXEXTRACT(C2323, ""🏘️ \w+ \w+ (.*) ✅"") ,  if(H2323=""quartier"",vlookup(REGEXEXTRACT(C2323, ""🏘️ \w+ \w+ (.*) ✅""),'Quartier prepositio"&amp;"ns'!A:E, 5, 0) ,  if(H2323=""region"",vlookup(REGEXEXTRACT(C2323, ""🏘️ \w+ \w+ (.*) ✅""),'Region prepositions'!B:F, 5, 0),  REGEXEXTRACT(C2323, ""🏘️ \w+ \w+ (.*) ✅""))))"),"Fehraltorf")</f>
        <v>Fehraltorf</v>
      </c>
      <c r="F2323" s="2" t="str">
        <f>IFERROR(__xludf.DUMMYFUNCTION("REGEXEXTRACT(C2323, ""🏘️ (\w+) \w+ .* ✅"")"),"Louer")</f>
        <v>Louer</v>
      </c>
      <c r="G2323" s="2" t="str">
        <f>IFERROR(__xludf.DUMMYFUNCTION("REGEXEXTRACT(C2323, ""🏘️ \w+ (\w+) .* ✅"")"),"appartement")</f>
        <v>appartement</v>
      </c>
      <c r="H2323" s="4" t="str">
        <f>IFERROR(__xludf.DUMMYFUNCTION("REGEXEXTRACT(A2323, ""/(\w+)-.*?"")"),"lieu")</f>
        <v>lieu</v>
      </c>
      <c r="I2323" s="4" t="str">
        <f>IFERROR(__xludf.DUMMYFUNCTION("if(D2323=""variant"",  substitute(filter(Templates!E:E, Templates!A:A = F2323, Templates!B:B = G2323, Templates!C:C = H2323), ""{{}}"", E2323), B2323)"),"🏘  Vous cherchez un appartement à louer à Fehraltorf? ✅ Les annonces les plus actuelles sont sur ImmoScout24.ch.")</f>
        <v>🏘  Vous cherchez un appartement à louer à Fehraltorf? ✅ Les annonces les plus actuelles sont sur ImmoScout24.ch.</v>
      </c>
      <c r="J2323" s="4" t="s">
        <v>6967</v>
      </c>
    </row>
    <row r="2324">
      <c r="A2324" s="5" t="s">
        <v>6968</v>
      </c>
      <c r="B2324" s="2" t="s">
        <v>6969</v>
      </c>
      <c r="C2324" s="4" t="str">
        <f>IFERROR(__xludf.DUMMYFUNCTION("""🏘️ ""&amp;REGEXEXTRACT(B2324, ""^(.*): "")&amp;"" ✅ "" &amp;REGEXEXTRACT(B2324, ""(Trouvez.*)"")"),"🏘️ Louer appartement Alterswil FR ✅ Trouvez le bien immobilier qui correspond idéalement à vos désirs sur ImmoScout24 - La plateforme de l'immobilier en Suisse.")</f>
        <v>🏘️ Louer appartement Alterswil FR ✅ Trouvez le bien immobilier qui correspond idéalement à vos désirs sur ImmoScout24 - La plateforme de l'immobilier en Suisse.</v>
      </c>
      <c r="D2324" s="4" t="str">
        <f>vlookup(A2324, Sheet2!D:E, 2, 0)</f>
        <v>variant</v>
      </c>
      <c r="E2324" s="4" t="str">
        <f>IFERROR(__xludf.DUMMYFUNCTION("if(H2324=""pays"",vlookup(REGEXEXTRACT(C2324, ""🏘️ \w+ \w+ (.*) ✅""),'Country prepositions'!A:B, 2, 0) &amp; "" "" &amp; REGEXEXTRACT(C2324, ""🏘️ \w+ \w+ (.*) ✅"") ,  if(H2324=""quartier"",vlookup(REGEXEXTRACT(C2324, ""🏘️ \w+ \w+ (.*) ✅""),'Quartier prepositio"&amp;"ns'!A:E, 5, 0) ,  if(H2324=""region"",vlookup(REGEXEXTRACT(C2324, ""🏘️ \w+ \w+ (.*) ✅""),'Region prepositions'!B:F, 5, 0),  REGEXEXTRACT(C2324, ""🏘️ \w+ \w+ (.*) ✅""))))"),"Alterswil FR")</f>
        <v>Alterswil FR</v>
      </c>
      <c r="F2324" s="2" t="str">
        <f>IFERROR(__xludf.DUMMYFUNCTION("REGEXEXTRACT(C2324, ""🏘️ (\w+) \w+ .* ✅"")"),"Louer")</f>
        <v>Louer</v>
      </c>
      <c r="G2324" s="2" t="str">
        <f>IFERROR(__xludf.DUMMYFUNCTION("REGEXEXTRACT(C2324, ""🏘️ \w+ (\w+) .* ✅"")"),"appartement")</f>
        <v>appartement</v>
      </c>
      <c r="H2324" s="4" t="str">
        <f>IFERROR(__xludf.DUMMYFUNCTION("REGEXEXTRACT(A2324, ""/(\w+)-.*?"")"),"lieu")</f>
        <v>lieu</v>
      </c>
      <c r="I2324" s="4" t="str">
        <f>IFERROR(__xludf.DUMMYFUNCTION("if(D2324=""variant"",  substitute(filter(Templates!E:E, Templates!A:A = F2324, Templates!B:B = G2324, Templates!C:C = H2324), ""{{}}"", E2324), B2324)"),"🏘  Vous cherchez un appartement à louer à Alterswil FR? ✅ Les annonces les plus actuelles sont sur ImmoScout24.ch.")</f>
        <v>🏘  Vous cherchez un appartement à louer à Alterswil FR? ✅ Les annonces les plus actuelles sont sur ImmoScout24.ch.</v>
      </c>
      <c r="J2324" s="4" t="s">
        <v>6970</v>
      </c>
    </row>
    <row r="2325">
      <c r="A2325" s="5" t="s">
        <v>6971</v>
      </c>
      <c r="B2325" s="2" t="s">
        <v>6972</v>
      </c>
      <c r="C2325" s="4" t="str">
        <f>IFERROR(__xludf.DUMMYFUNCTION("""🏘️ ""&amp;REGEXEXTRACT(B2325, ""^(.*): "")&amp;"" ✅ "" &amp;REGEXEXTRACT(B2325, ""(Trouvez.*)"")"),"🏘️ Louer appartement Salins ✅ Trouvez le bien immobilier qui correspond idéalement à vos désirs sur ImmoScout24 - La plateforme de l'immobilier en Suisse.")</f>
        <v>🏘️ Louer appartement Salins ✅ Trouvez le bien immobilier qui correspond idéalement à vos désirs sur ImmoScout24 - La plateforme de l'immobilier en Suisse.</v>
      </c>
      <c r="D2325" s="4" t="str">
        <f>vlookup(A2325, Sheet2!D:E, 2, 0)</f>
        <v>variant</v>
      </c>
      <c r="E2325" s="4" t="str">
        <f>IFERROR(__xludf.DUMMYFUNCTION("if(H2325=""pays"",vlookup(REGEXEXTRACT(C2325, ""🏘️ \w+ \w+ (.*) ✅""),'Country prepositions'!A:B, 2, 0) &amp; "" "" &amp; REGEXEXTRACT(C2325, ""🏘️ \w+ \w+ (.*) ✅"") ,  if(H2325=""quartier"",vlookup(REGEXEXTRACT(C2325, ""🏘️ \w+ \w+ (.*) ✅""),'Quartier prepositio"&amp;"ns'!A:E, 5, 0) ,  if(H2325=""region"",vlookup(REGEXEXTRACT(C2325, ""🏘️ \w+ \w+ (.*) ✅""),'Region prepositions'!B:F, 5, 0),  REGEXEXTRACT(C2325, ""🏘️ \w+ \w+ (.*) ✅""))))"),"Salins")</f>
        <v>Salins</v>
      </c>
      <c r="F2325" s="2" t="str">
        <f>IFERROR(__xludf.DUMMYFUNCTION("REGEXEXTRACT(C2325, ""🏘️ (\w+) \w+ .* ✅"")"),"Louer")</f>
        <v>Louer</v>
      </c>
      <c r="G2325" s="2" t="str">
        <f>IFERROR(__xludf.DUMMYFUNCTION("REGEXEXTRACT(C2325, ""🏘️ \w+ (\w+) .* ✅"")"),"appartement")</f>
        <v>appartement</v>
      </c>
      <c r="H2325" s="4" t="str">
        <f>IFERROR(__xludf.DUMMYFUNCTION("REGEXEXTRACT(A2325, ""/(\w+)-.*?"")"),"lieu")</f>
        <v>lieu</v>
      </c>
      <c r="I2325" s="4" t="str">
        <f>IFERROR(__xludf.DUMMYFUNCTION("if(D2325=""variant"",  substitute(filter(Templates!E:E, Templates!A:A = F2325, Templates!B:B = G2325, Templates!C:C = H2325), ""{{}}"", E2325), B2325)"),"🏘  Vous cherchez un appartement à louer à Salins? ✅ Les annonces les plus actuelles sont sur ImmoScout24.ch.")</f>
        <v>🏘  Vous cherchez un appartement à louer à Salins? ✅ Les annonces les plus actuelles sont sur ImmoScout24.ch.</v>
      </c>
      <c r="J2325" s="4" t="s">
        <v>6973</v>
      </c>
    </row>
    <row r="2326">
      <c r="A2326" s="5" t="s">
        <v>6974</v>
      </c>
      <c r="B2326" s="2" t="s">
        <v>6975</v>
      </c>
      <c r="C2326" s="4" t="str">
        <f>IFERROR(__xludf.DUMMYFUNCTION("""🏘️ ""&amp;REGEXEXTRACT(B2326, ""^(.*): "")&amp;"" ✅ "" &amp;REGEXEXTRACT(B2326, ""(Trouvez.*)"")"),"🏘️ Louer maison La Chaux-de-Fonds ✅ Trouvez le bien immobilier qui correspond idéalement à vos désirs sur ImmoScout24 - La plateforme de l'immobilier en Suisse.")</f>
        <v>🏘️ Louer maison La Chaux-de-Fonds ✅ Trouvez le bien immobilier qui correspond idéalement à vos désirs sur ImmoScout24 - La plateforme de l'immobilier en Suisse.</v>
      </c>
      <c r="D2326" s="4" t="str">
        <f>vlookup(A2326, Sheet2!D:E, 2, 0)</f>
        <v>variant</v>
      </c>
      <c r="E2326" s="4" t="str">
        <f>IFERROR(__xludf.DUMMYFUNCTION("if(H2326=""pays"",vlookup(REGEXEXTRACT(C2326, ""🏘️ \w+ \w+ (.*) ✅""),'Country prepositions'!A:B, 2, 0) &amp; "" "" &amp; REGEXEXTRACT(C2326, ""🏘️ \w+ \w+ (.*) ✅"") ,  if(H2326=""quartier"",vlookup(REGEXEXTRACT(C2326, ""🏘️ \w+ \w+ (.*) ✅""),'Quartier prepositio"&amp;"ns'!A:E, 5, 0) ,  if(H2326=""region"",vlookup(REGEXEXTRACT(C2326, ""🏘️ \w+ \w+ (.*) ✅""),'Region prepositions'!B:F, 5, 0),  REGEXEXTRACT(C2326, ""🏘️ \w+ \w+ (.*) ✅""))))"),"La Chaux-de-Fonds")</f>
        <v>La Chaux-de-Fonds</v>
      </c>
      <c r="F2326" s="2" t="str">
        <f>IFERROR(__xludf.DUMMYFUNCTION("REGEXEXTRACT(C2326, ""🏘️ (\w+) \w+ .* ✅"")"),"Louer")</f>
        <v>Louer</v>
      </c>
      <c r="G2326" s="2" t="str">
        <f>IFERROR(__xludf.DUMMYFUNCTION("REGEXEXTRACT(C2326, ""🏘️ \w+ (\w+) .* ✅"")"),"maison")</f>
        <v>maison</v>
      </c>
      <c r="H2326" s="4" t="str">
        <f>IFERROR(__xludf.DUMMYFUNCTION("REGEXEXTRACT(A2326, ""/(\w+)-.*?"")"),"lieu")</f>
        <v>lieu</v>
      </c>
      <c r="I2326" s="4" t="str">
        <f>IFERROR(__xludf.DUMMYFUNCTION("if(D2326=""variant"",  substitute(filter(Templates!E:E, Templates!A:A = F2326, Templates!B:B = G2326, Templates!C:C = H2326), ""{{}}"", E2326), B2326)"),"🏘  Vous cherchez une maison à louer à La Chaux-de-Fonds? ✅ Découvrez nos nombreuses annonces sur ImmoScout24.ch.")</f>
        <v>🏘  Vous cherchez une maison à louer à La Chaux-de-Fonds? ✅ Découvrez nos nombreuses annonces sur ImmoScout24.ch.</v>
      </c>
      <c r="J2326" s="4" t="s">
        <v>6976</v>
      </c>
    </row>
    <row r="2327">
      <c r="A2327" s="5" t="s">
        <v>6977</v>
      </c>
      <c r="B2327" s="2" t="s">
        <v>6978</v>
      </c>
      <c r="C2327" s="4" t="str">
        <f>IFERROR(__xludf.DUMMYFUNCTION("""🏘️ ""&amp;REGEXEXTRACT(B2327, ""^(.*): "")&amp;"" ✅ "" &amp;REGEXEXTRACT(B2327, ""(Trouvez.*)"")"),"🏘️ Louer appartement Furttal ✅ Trouvez le bien immobilier qui correspond idéalement à vos désirs sur ImmoScout24 - La plateforme de l'immobilier en Suisse.")</f>
        <v>🏘️ Louer appartement Furttal ✅ Trouvez le bien immobilier qui correspond idéalement à vos désirs sur ImmoScout24 - La plateforme de l'immobilier en Suisse.</v>
      </c>
      <c r="D2327" s="4" t="str">
        <f>vlookup(A2327, Sheet2!D:E, 2, 0)</f>
        <v>variant</v>
      </c>
      <c r="E2327" s="4" t="str">
        <f>IFERROR(__xludf.DUMMYFUNCTION("if(H2327=""pays"",vlookup(REGEXEXTRACT(C2327, ""🏘️ \w+ \w+ (.*) ✅""),'Country prepositions'!A:B, 2, 0) &amp; "" "" &amp; REGEXEXTRACT(C2327, ""🏘️ \w+ \w+ (.*) ✅"") ,  if(H2327=""quartier"",vlookup(REGEXEXTRACT(C2327, ""🏘️ \w+ \w+ (.*) ✅""),'Quartier prepositio"&amp;"ns'!A:E, 5, 0) ,  if(H2327=""region"",vlookup(REGEXEXTRACT(C2327, ""🏘️ \w+ \w+ (.*) ✅""),'Region prepositions'!B:F, 5, 0),  REGEXEXTRACT(C2327, ""🏘️ \w+ \w+ (.*) ✅""))))"),"dans la vallée de la Furt")</f>
        <v>dans la vallée de la Furt</v>
      </c>
      <c r="F2327" s="2" t="str">
        <f>IFERROR(__xludf.DUMMYFUNCTION("REGEXEXTRACT(C2327, ""🏘️ (\w+) \w+ .* ✅"")"),"Louer")</f>
        <v>Louer</v>
      </c>
      <c r="G2327" s="2" t="str">
        <f>IFERROR(__xludf.DUMMYFUNCTION("REGEXEXTRACT(C2327, ""🏘️ \w+ (\w+) .* ✅"")"),"appartement")</f>
        <v>appartement</v>
      </c>
      <c r="H2327" s="4" t="str">
        <f>IFERROR(__xludf.DUMMYFUNCTION("REGEXEXTRACT(A2327, ""/(\w+)-.*?"")"),"region")</f>
        <v>region</v>
      </c>
      <c r="I2327" s="4" t="str">
        <f>IFERROR(__xludf.DUMMYFUNCTION("if(D2327=""variant"",  substitute(filter(Templates!E:E, Templates!A:A = F2327, Templates!B:B = G2327, Templates!C:C = H2327), ""{{}}"", E2327), B2327)"),"🏘  Vous cherchez un appartement à louer dans la vallée de la Furt? ✅ Les annonces les plus actuelles sont sur ImmoScout24.ch.")</f>
        <v>🏘  Vous cherchez un appartement à louer dans la vallée de la Furt? ✅ Les annonces les plus actuelles sont sur ImmoScout24.ch.</v>
      </c>
      <c r="J2327" s="4" t="s">
        <v>6979</v>
      </c>
    </row>
    <row r="2328">
      <c r="A2328" s="5" t="s">
        <v>6980</v>
      </c>
      <c r="B2328" s="2" t="s">
        <v>6981</v>
      </c>
      <c r="C2328" s="4" t="str">
        <f>IFERROR(__xludf.DUMMYFUNCTION("""🏘️ ""&amp;REGEXEXTRACT(B2328, ""^(.*): "")&amp;"" ✅ "" &amp;REGEXEXTRACT(B2328, ""(Trouvez.*)"")"),"🏘️ Louer appartement Wichtrach ✅ Trouvez le bien immobilier qui correspond idéalement à vos désirs sur ImmoScout24 - La plateforme de l'immobilier en Suisse.")</f>
        <v>🏘️ Louer appartement Wichtrach ✅ Trouvez le bien immobilier qui correspond idéalement à vos désirs sur ImmoScout24 - La plateforme de l'immobilier en Suisse.</v>
      </c>
      <c r="D2328" s="4" t="str">
        <f>vlookup(A2328, Sheet2!D:E, 2, 0)</f>
        <v>variant</v>
      </c>
      <c r="E2328" s="4" t="str">
        <f>IFERROR(__xludf.DUMMYFUNCTION("if(H2328=""pays"",vlookup(REGEXEXTRACT(C2328, ""🏘️ \w+ \w+ (.*) ✅""),'Country prepositions'!A:B, 2, 0) &amp; "" "" &amp; REGEXEXTRACT(C2328, ""🏘️ \w+ \w+ (.*) ✅"") ,  if(H2328=""quartier"",vlookup(REGEXEXTRACT(C2328, ""🏘️ \w+ \w+ (.*) ✅""),'Quartier prepositio"&amp;"ns'!A:E, 5, 0) ,  if(H2328=""region"",vlookup(REGEXEXTRACT(C2328, ""🏘️ \w+ \w+ (.*) ✅""),'Region prepositions'!B:F, 5, 0),  REGEXEXTRACT(C2328, ""🏘️ \w+ \w+ (.*) ✅""))))"),"Wichtrach")</f>
        <v>Wichtrach</v>
      </c>
      <c r="F2328" s="2" t="str">
        <f>IFERROR(__xludf.DUMMYFUNCTION("REGEXEXTRACT(C2328, ""🏘️ (\w+) \w+ .* ✅"")"),"Louer")</f>
        <v>Louer</v>
      </c>
      <c r="G2328" s="2" t="str">
        <f>IFERROR(__xludf.DUMMYFUNCTION("REGEXEXTRACT(C2328, ""🏘️ \w+ (\w+) .* ✅"")"),"appartement")</f>
        <v>appartement</v>
      </c>
      <c r="H2328" s="4" t="str">
        <f>IFERROR(__xludf.DUMMYFUNCTION("REGEXEXTRACT(A2328, ""/(\w+)-.*?"")"),"lieu")</f>
        <v>lieu</v>
      </c>
      <c r="I2328" s="4" t="str">
        <f>IFERROR(__xludf.DUMMYFUNCTION("if(D2328=""variant"",  substitute(filter(Templates!E:E, Templates!A:A = F2328, Templates!B:B = G2328, Templates!C:C = H2328), ""{{}}"", E2328), B2328)"),"🏘  Vous cherchez un appartement à louer à Wichtrach? ✅ Les annonces les plus actuelles sont sur ImmoScout24.ch.")</f>
        <v>🏘  Vous cherchez un appartement à louer à Wichtrach? ✅ Les annonces les plus actuelles sont sur ImmoScout24.ch.</v>
      </c>
      <c r="J2328" s="4" t="s">
        <v>6982</v>
      </c>
    </row>
    <row r="2329">
      <c r="A2329" s="5" t="s">
        <v>6983</v>
      </c>
      <c r="B2329" s="2" t="s">
        <v>6984</v>
      </c>
      <c r="C2329" s="4" t="str">
        <f>IFERROR(__xludf.DUMMYFUNCTION("""🏘️ ""&amp;REGEXEXTRACT(B2329, ""^(.*): "")&amp;"" ✅ "" &amp;REGEXEXTRACT(B2329, ""(Trouvez.*)"")"),"🏘️ Louer appartement Rossens FR ✅ Trouvez le bien immobilier qui correspond idéalement à vos désirs sur ImmoScout24 - La plateforme de l'immobilier en Suisse.")</f>
        <v>🏘️ Louer appartement Rossens FR ✅ Trouvez le bien immobilier qui correspond idéalement à vos désirs sur ImmoScout24 - La plateforme de l'immobilier en Suisse.</v>
      </c>
      <c r="D2329" s="4" t="str">
        <f>vlookup(A2329, Sheet2!D:E, 2, 0)</f>
        <v>variant</v>
      </c>
      <c r="E2329" s="4" t="str">
        <f>IFERROR(__xludf.DUMMYFUNCTION("if(H2329=""pays"",vlookup(REGEXEXTRACT(C2329, ""🏘️ \w+ \w+ (.*) ✅""),'Country prepositions'!A:B, 2, 0) &amp; "" "" &amp; REGEXEXTRACT(C2329, ""🏘️ \w+ \w+ (.*) ✅"") ,  if(H2329=""quartier"",vlookup(REGEXEXTRACT(C2329, ""🏘️ \w+ \w+ (.*) ✅""),'Quartier prepositio"&amp;"ns'!A:E, 5, 0) ,  if(H2329=""region"",vlookup(REGEXEXTRACT(C2329, ""🏘️ \w+ \w+ (.*) ✅""),'Region prepositions'!B:F, 5, 0),  REGEXEXTRACT(C2329, ""🏘️ \w+ \w+ (.*) ✅""))))"),"Rossens FR")</f>
        <v>Rossens FR</v>
      </c>
      <c r="F2329" s="2" t="str">
        <f>IFERROR(__xludf.DUMMYFUNCTION("REGEXEXTRACT(C2329, ""🏘️ (\w+) \w+ .* ✅"")"),"Louer")</f>
        <v>Louer</v>
      </c>
      <c r="G2329" s="2" t="str">
        <f>IFERROR(__xludf.DUMMYFUNCTION("REGEXEXTRACT(C2329, ""🏘️ \w+ (\w+) .* ✅"")"),"appartement")</f>
        <v>appartement</v>
      </c>
      <c r="H2329" s="4" t="str">
        <f>IFERROR(__xludf.DUMMYFUNCTION("REGEXEXTRACT(A2329, ""/(\w+)-.*?"")"),"lieu")</f>
        <v>lieu</v>
      </c>
      <c r="I2329" s="4" t="str">
        <f>IFERROR(__xludf.DUMMYFUNCTION("if(D2329=""variant"",  substitute(filter(Templates!E:E, Templates!A:A = F2329, Templates!B:B = G2329, Templates!C:C = H2329), ""{{}}"", E2329), B2329)"),"🏘  Vous cherchez un appartement à louer à Rossens FR? ✅ Les annonces les plus actuelles sont sur ImmoScout24.ch.")</f>
        <v>🏘  Vous cherchez un appartement à louer à Rossens FR? ✅ Les annonces les plus actuelles sont sur ImmoScout24.ch.</v>
      </c>
      <c r="J2329" s="4" t="s">
        <v>6985</v>
      </c>
    </row>
    <row r="2330">
      <c r="A2330" s="5" t="s">
        <v>6986</v>
      </c>
      <c r="B2330" s="2" t="s">
        <v>6987</v>
      </c>
      <c r="C2330" s="4" t="str">
        <f>IFERROR(__xludf.DUMMYFUNCTION("""🏘️ ""&amp;REGEXEXTRACT(B2330, ""^(.*): "")&amp;"" ✅ "" &amp;REGEXEXTRACT(B2330, ""(Trouvez.*)"")"),"🏘️ Louer appartement Bruderholz (Bâle) ✅ Trouvez le bien immobilier qui correspond idéalement à vos désirs sur ImmoScout24 - La plateforme de l'immobilier en Suisse.")</f>
        <v>🏘️ Louer appartement Bruderholz (Bâle) ✅ Trouvez le bien immobilier qui correspond idéalement à vos désirs sur ImmoScout24 - La plateforme de l'immobilier en Suisse.</v>
      </c>
      <c r="D2330" s="4" t="str">
        <f>vlookup(A2330, Sheet2!D:E, 2, 0)</f>
        <v>variant</v>
      </c>
      <c r="E2330" s="4" t="str">
        <f>IFERROR(__xludf.DUMMYFUNCTION("if(H2330=""pays"",vlookup(REGEXEXTRACT(C2330, ""🏘️ \w+ \w+ (.*) ✅""),'Country prepositions'!A:B, 2, 0) &amp; "" "" &amp; REGEXEXTRACT(C2330, ""🏘️ \w+ \w+ (.*) ✅"") ,  if(H2330=""quartier"",vlookup(REGEXEXTRACT(C2330, ""🏘️ \w+ \w+ (.*) ✅""),'Quartier prepositio"&amp;"ns'!A:E, 5, 0) ,  if(H2330=""region"",vlookup(REGEXEXTRACT(C2330, ""🏘️ \w+ \w+ (.*) ✅""),'Region prepositions'!B:F, 5, 0),  REGEXEXTRACT(C2330, ""🏘️ \w+ \w+ (.*) ✅""))))"),"dans le quartier de Bruderholz (Bâle)")</f>
        <v>dans le quartier de Bruderholz (Bâle)</v>
      </c>
      <c r="F2330" s="2" t="str">
        <f>IFERROR(__xludf.DUMMYFUNCTION("REGEXEXTRACT(C2330, ""🏘️ (\w+) \w+ .* ✅"")"),"Louer")</f>
        <v>Louer</v>
      </c>
      <c r="G2330" s="2" t="str">
        <f>IFERROR(__xludf.DUMMYFUNCTION("REGEXEXTRACT(C2330, ""🏘️ \w+ (\w+) .* ✅"")"),"appartement")</f>
        <v>appartement</v>
      </c>
      <c r="H2330" s="4" t="str">
        <f>IFERROR(__xludf.DUMMYFUNCTION("REGEXEXTRACT(A2330, ""/(\w+)-.*?"")"),"quartier")</f>
        <v>quartier</v>
      </c>
      <c r="I2330" s="4" t="str">
        <f>IFERROR(__xludf.DUMMYFUNCTION("if(D2330=""variant"",  substitute(filter(Templates!E:E, Templates!A:A = F2330, Templates!B:B = G2330, Templates!C:C = H2330), ""{{}}"", E2330), B2330)"),"🏘  Vous cherchez un appartement à louer dans le quartier de Bruderholz (Bâle)? ✅ Les annonces les plus actuelles sont sur ImmoScout24.ch.")</f>
        <v>🏘  Vous cherchez un appartement à louer dans le quartier de Bruderholz (Bâle)? ✅ Les annonces les plus actuelles sont sur ImmoScout24.ch.</v>
      </c>
      <c r="J2330" s="4" t="s">
        <v>6988</v>
      </c>
    </row>
    <row r="2331">
      <c r="A2331" s="5" t="s">
        <v>6989</v>
      </c>
      <c r="B2331" s="2" t="s">
        <v>6990</v>
      </c>
      <c r="C2331" s="4" t="str">
        <f>IFERROR(__xludf.DUMMYFUNCTION("""🏘️ ""&amp;REGEXEXTRACT(B2331, ""^(.*): "")&amp;"" ✅ "" &amp;REGEXEXTRACT(B2331, ""(Trouvez.*)"")"),"🏘️ Louer maison Panex ✅ Trouvez le bien immobilier qui correspond idéalement à vos désirs sur ImmoScout24 - La plateforme de l'immobilier en Suisse.")</f>
        <v>🏘️ Louer maison Panex ✅ Trouvez le bien immobilier qui correspond idéalement à vos désirs sur ImmoScout24 - La plateforme de l'immobilier en Suisse.</v>
      </c>
      <c r="D2331" s="4" t="str">
        <f>vlookup(A2331, Sheet2!D:E, 2, 0)</f>
        <v>variant</v>
      </c>
      <c r="E2331" s="4" t="str">
        <f>IFERROR(__xludf.DUMMYFUNCTION("if(H2331=""pays"",vlookup(REGEXEXTRACT(C2331, ""🏘️ \w+ \w+ (.*) ✅""),'Country prepositions'!A:B, 2, 0) &amp; "" "" &amp; REGEXEXTRACT(C2331, ""🏘️ \w+ \w+ (.*) ✅"") ,  if(H2331=""quartier"",vlookup(REGEXEXTRACT(C2331, ""🏘️ \w+ \w+ (.*) ✅""),'Quartier prepositio"&amp;"ns'!A:E, 5, 0) ,  if(H2331=""region"",vlookup(REGEXEXTRACT(C2331, ""🏘️ \w+ \w+ (.*) ✅""),'Region prepositions'!B:F, 5, 0),  REGEXEXTRACT(C2331, ""🏘️ \w+ \w+ (.*) ✅""))))"),"Panex")</f>
        <v>Panex</v>
      </c>
      <c r="F2331" s="2" t="str">
        <f>IFERROR(__xludf.DUMMYFUNCTION("REGEXEXTRACT(C2331, ""🏘️ (\w+) \w+ .* ✅"")"),"Louer")</f>
        <v>Louer</v>
      </c>
      <c r="G2331" s="2" t="str">
        <f>IFERROR(__xludf.DUMMYFUNCTION("REGEXEXTRACT(C2331, ""🏘️ \w+ (\w+) .* ✅"")"),"maison")</f>
        <v>maison</v>
      </c>
      <c r="H2331" s="4" t="str">
        <f>IFERROR(__xludf.DUMMYFUNCTION("REGEXEXTRACT(A2331, ""/(\w+)-.*?"")"),"lieu")</f>
        <v>lieu</v>
      </c>
      <c r="I2331" s="4" t="str">
        <f>IFERROR(__xludf.DUMMYFUNCTION("if(D2331=""variant"",  substitute(filter(Templates!E:E, Templates!A:A = F2331, Templates!B:B = G2331, Templates!C:C = H2331), ""{{}}"", E2331), B2331)"),"🏘  Vous cherchez une maison à louer à Panex? ✅ Découvrez nos nombreuses annonces sur ImmoScout24.ch.")</f>
        <v>🏘  Vous cherchez une maison à louer à Panex? ✅ Découvrez nos nombreuses annonces sur ImmoScout24.ch.</v>
      </c>
      <c r="J2331" s="4" t="s">
        <v>6991</v>
      </c>
    </row>
    <row r="2332">
      <c r="A2332" s="5" t="s">
        <v>6992</v>
      </c>
      <c r="B2332" s="2" t="s">
        <v>6993</v>
      </c>
      <c r="C2332" s="4" t="str">
        <f>IFERROR(__xludf.DUMMYFUNCTION("""🏘️ ""&amp;REGEXEXTRACT(B2332, ""^(.*): "")&amp;"" ✅ "" &amp;REGEXEXTRACT(B2332, ""(Trouvez.*)"")"),"🏘️ Louer maison Grône ✅ Trouvez le bien immobilier qui correspond idéalement à vos désirs sur ImmoScout24 - La plateforme de l'immobilier en Suisse.")</f>
        <v>🏘️ Louer maison Grône ✅ Trouvez le bien immobilier qui correspond idéalement à vos désirs sur ImmoScout24 - La plateforme de l'immobilier en Suisse.</v>
      </c>
      <c r="D2332" s="4" t="str">
        <f>vlookup(A2332, Sheet2!D:E, 2, 0)</f>
        <v>variant</v>
      </c>
      <c r="E2332" s="4" t="str">
        <f>IFERROR(__xludf.DUMMYFUNCTION("if(H2332=""pays"",vlookup(REGEXEXTRACT(C2332, ""🏘️ \w+ \w+ (.*) ✅""),'Country prepositions'!A:B, 2, 0) &amp; "" "" &amp; REGEXEXTRACT(C2332, ""🏘️ \w+ \w+ (.*) ✅"") ,  if(H2332=""quartier"",vlookup(REGEXEXTRACT(C2332, ""🏘️ \w+ \w+ (.*) ✅""),'Quartier prepositio"&amp;"ns'!A:E, 5, 0) ,  if(H2332=""region"",vlookup(REGEXEXTRACT(C2332, ""🏘️ \w+ \w+ (.*) ✅""),'Region prepositions'!B:F, 5, 0),  REGEXEXTRACT(C2332, ""🏘️ \w+ \w+ (.*) ✅""))))"),"Grône")</f>
        <v>Grône</v>
      </c>
      <c r="F2332" s="2" t="str">
        <f>IFERROR(__xludf.DUMMYFUNCTION("REGEXEXTRACT(C2332, ""🏘️ (\w+) \w+ .* ✅"")"),"Louer")</f>
        <v>Louer</v>
      </c>
      <c r="G2332" s="2" t="str">
        <f>IFERROR(__xludf.DUMMYFUNCTION("REGEXEXTRACT(C2332, ""🏘️ \w+ (\w+) .* ✅"")"),"maison")</f>
        <v>maison</v>
      </c>
      <c r="H2332" s="4" t="str">
        <f>IFERROR(__xludf.DUMMYFUNCTION("REGEXEXTRACT(A2332, ""/(\w+)-.*?"")"),"lieu")</f>
        <v>lieu</v>
      </c>
      <c r="I2332" s="4" t="str">
        <f>IFERROR(__xludf.DUMMYFUNCTION("if(D2332=""variant"",  substitute(filter(Templates!E:E, Templates!A:A = F2332, Templates!B:B = G2332, Templates!C:C = H2332), ""{{}}"", E2332), B2332)"),"🏘  Vous cherchez une maison à louer à Grône? ✅ Découvrez nos nombreuses annonces sur ImmoScout24.ch.")</f>
        <v>🏘  Vous cherchez une maison à louer à Grône? ✅ Découvrez nos nombreuses annonces sur ImmoScout24.ch.</v>
      </c>
      <c r="J2332" s="4" t="s">
        <v>6994</v>
      </c>
    </row>
    <row r="2333">
      <c r="A2333" s="5" t="s">
        <v>6995</v>
      </c>
      <c r="B2333" s="2" t="s">
        <v>6996</v>
      </c>
      <c r="C2333" s="4" t="str">
        <f>IFERROR(__xludf.DUMMYFUNCTION("""🏘️ ""&amp;REGEXEXTRACT(B2333, ""^(.*): "")&amp;"" ✅ "" &amp;REGEXEXTRACT(B2333, ""(Trouvez.*)"")"),"🏘️ Vendre maison Fétigny ✅ Trouvez le bien immobilier qui correspond idéalement à vos désirs sur ImmoScout24 - La plateforme de l'immobilier en Suisse.")</f>
        <v>🏘️ Vendre maison Fétigny ✅ Trouvez le bien immobilier qui correspond idéalement à vos désirs sur ImmoScout24 - La plateforme de l'immobilier en Suisse.</v>
      </c>
      <c r="D2333" s="4" t="str">
        <f>vlookup(A2333, Sheet2!D:E, 2, 0)</f>
        <v>variant</v>
      </c>
      <c r="E2333" s="4" t="str">
        <f>IFERROR(__xludf.DUMMYFUNCTION("if(H2333=""pays"",vlookup(REGEXEXTRACT(C2333, ""🏘️ \w+ \w+ (.*) ✅""),'Country prepositions'!A:B, 2, 0) &amp; "" "" &amp; REGEXEXTRACT(C2333, ""🏘️ \w+ \w+ (.*) ✅"") ,  if(H2333=""quartier"",vlookup(REGEXEXTRACT(C2333, ""🏘️ \w+ \w+ (.*) ✅""),'Quartier prepositio"&amp;"ns'!A:E, 5, 0) ,  if(H2333=""region"",vlookup(REGEXEXTRACT(C2333, ""🏘️ \w+ \w+ (.*) ✅""),'Region prepositions'!B:F, 5, 0),  REGEXEXTRACT(C2333, ""🏘️ \w+ \w+ (.*) ✅""))))"),"Fétigny")</f>
        <v>Fétigny</v>
      </c>
      <c r="F2333" s="2" t="str">
        <f>IFERROR(__xludf.DUMMYFUNCTION("REGEXEXTRACT(C2333, ""🏘️ (\w+) \w+ .* ✅"")"),"Vendre")</f>
        <v>Vendre</v>
      </c>
      <c r="G2333" s="2" t="str">
        <f>IFERROR(__xludf.DUMMYFUNCTION("REGEXEXTRACT(C2333, ""🏘️ \w+ (\w+) .* ✅"")"),"maison")</f>
        <v>maison</v>
      </c>
      <c r="H2333" s="4" t="str">
        <f>IFERROR(__xludf.DUMMYFUNCTION("REGEXEXTRACT(A2333, ""/(\w+)-.*?"")"),"lieu")</f>
        <v>lieu</v>
      </c>
      <c r="I2333" s="4" t="str">
        <f>IFERROR(__xludf.DUMMYFUNCTION("if(D2333=""variant"",  substitute(filter(Templates!E:E, Templates!A:A = F2333, Templates!B:B = G2333, Templates!C:C = H2333), ""{{}}"", E2333), B2333)"),"🏘  Vous souhaitez acheter une maison à Fétigny? ✅ Jetez un œil aux dernières offres sur ImmoScout24.ch.")</f>
        <v>🏘  Vous souhaitez acheter une maison à Fétigny? ✅ Jetez un œil aux dernières offres sur ImmoScout24.ch.</v>
      </c>
      <c r="J2333" s="4" t="s">
        <v>6997</v>
      </c>
    </row>
    <row r="2334">
      <c r="A2334" s="3" t="s">
        <v>6998</v>
      </c>
      <c r="B2334" s="2" t="s">
        <v>6999</v>
      </c>
      <c r="C2334" s="4" t="str">
        <f>IFERROR(__xludf.DUMMYFUNCTION("""🏘️ ""&amp;REGEXEXTRACT(B2334, ""^(.*): "")&amp;"" ✅ "" &amp;REGEXEXTRACT(B2334, ""(Trouvez.*)"")"),"🏘️ Vendre appartement Les Genevez JU ✅ Trouvez le bien immobilier qui correspond idéalement à vos désirs sur ImmoScout24 - La plateforme de l'immobilier en Suisse.")</f>
        <v>🏘️ Vendre appartement Les Genevez JU ✅ Trouvez le bien immobilier qui correspond idéalement à vos désirs sur ImmoScout24 - La plateforme de l'immobilier en Suisse.</v>
      </c>
      <c r="D2334" s="4" t="str">
        <f>vlookup(A2334, Sheet2!D:E, 2, 0)</f>
        <v>variant</v>
      </c>
      <c r="E2334" s="4" t="str">
        <f>IFERROR(__xludf.DUMMYFUNCTION("if(H2334=""pays"",vlookup(REGEXEXTRACT(C2334, ""🏘️ \w+ \w+ (.*) ✅""),'Country prepositions'!A:B, 2, 0) &amp; "" "" &amp; REGEXEXTRACT(C2334, ""🏘️ \w+ \w+ (.*) ✅"") ,  if(H2334=""quartier"",vlookup(REGEXEXTRACT(C2334, ""🏘️ \w+ \w+ (.*) ✅""),'Quartier prepositio"&amp;"ns'!A:E, 5, 0) ,  if(H2334=""region"",vlookup(REGEXEXTRACT(C2334, ""🏘️ \w+ \w+ (.*) ✅""),'Region prepositions'!B:F, 5, 0),  REGEXEXTRACT(C2334, ""🏘️ \w+ \w+ (.*) ✅""))))"),"Les Genevez JU")</f>
        <v>Les Genevez JU</v>
      </c>
      <c r="F2334" s="2" t="str">
        <f>IFERROR(__xludf.DUMMYFUNCTION("REGEXEXTRACT(C2334, ""🏘️ (\w+) \w+ .* ✅"")"),"Vendre")</f>
        <v>Vendre</v>
      </c>
      <c r="G2334" s="2" t="str">
        <f>IFERROR(__xludf.DUMMYFUNCTION("REGEXEXTRACT(C2334, ""🏘️ \w+ (\w+) .* ✅"")"),"appartement")</f>
        <v>appartement</v>
      </c>
      <c r="H2334" s="4" t="str">
        <f>IFERROR(__xludf.DUMMYFUNCTION("REGEXEXTRACT(A2334, ""/(\w+)-.*?"")"),"lieu")</f>
        <v>lieu</v>
      </c>
      <c r="I2334" s="4" t="str">
        <f>IFERROR(__xludf.DUMMYFUNCTION("if(D2334=""variant"",  substitute(filter(Templates!E:E, Templates!A:A = F2334, Templates!B:B = G2334, Templates!C:C = H2334), ""{{}}"", E2334), B2334)"),"🏘  L’appartement de vos rêves se trouve sur ImmoScout24.ch ✅ Découvrez les dernières annonces de vente à Les Genevez JU.")</f>
        <v>🏘  L’appartement de vos rêves se trouve sur ImmoScout24.ch ✅ Découvrez les dernières annonces de vente à Les Genevez JU.</v>
      </c>
      <c r="J2334" s="2" t="s">
        <v>7000</v>
      </c>
    </row>
    <row r="2335">
      <c r="A2335" s="5" t="s">
        <v>7001</v>
      </c>
      <c r="B2335" s="2" t="s">
        <v>7002</v>
      </c>
      <c r="C2335" s="4" t="str">
        <f>IFERROR(__xludf.DUMMYFUNCTION("""🏘️ ""&amp;REGEXEXTRACT(B2335, ""^(.*): "")&amp;"" ✅ "" &amp;REGEXEXTRACT(B2335, ""(Trouvez.*)"")"),"🏘️ Louer maison Les Cullayes ✅ Trouvez le bien immobilier qui correspond idéalement à vos désirs sur ImmoScout24 - La plateforme de l'immobilier en Suisse.")</f>
        <v>🏘️ Louer maison Les Cullayes ✅ Trouvez le bien immobilier qui correspond idéalement à vos désirs sur ImmoScout24 - La plateforme de l'immobilier en Suisse.</v>
      </c>
      <c r="D2335" s="4" t="str">
        <f>vlookup(A2335, Sheet2!D:E, 2, 0)</f>
        <v>variant</v>
      </c>
      <c r="E2335" s="4" t="str">
        <f>IFERROR(__xludf.DUMMYFUNCTION("if(H2335=""pays"",vlookup(REGEXEXTRACT(C2335, ""🏘️ \w+ \w+ (.*) ✅""),'Country prepositions'!A:B, 2, 0) &amp; "" "" &amp; REGEXEXTRACT(C2335, ""🏘️ \w+ \w+ (.*) ✅"") ,  if(H2335=""quartier"",vlookup(REGEXEXTRACT(C2335, ""🏘️ \w+ \w+ (.*) ✅""),'Quartier prepositio"&amp;"ns'!A:E, 5, 0) ,  if(H2335=""region"",vlookup(REGEXEXTRACT(C2335, ""🏘️ \w+ \w+ (.*) ✅""),'Region prepositions'!B:F, 5, 0),  REGEXEXTRACT(C2335, ""🏘️ \w+ \w+ (.*) ✅""))))"),"Les Cullayes")</f>
        <v>Les Cullayes</v>
      </c>
      <c r="F2335" s="2" t="str">
        <f>IFERROR(__xludf.DUMMYFUNCTION("REGEXEXTRACT(C2335, ""🏘️ (\w+) \w+ .* ✅"")"),"Louer")</f>
        <v>Louer</v>
      </c>
      <c r="G2335" s="2" t="str">
        <f>IFERROR(__xludf.DUMMYFUNCTION("REGEXEXTRACT(C2335, ""🏘️ \w+ (\w+) .* ✅"")"),"maison")</f>
        <v>maison</v>
      </c>
      <c r="H2335" s="4" t="str">
        <f>IFERROR(__xludf.DUMMYFUNCTION("REGEXEXTRACT(A2335, ""/(\w+)-.*?"")"),"lieu")</f>
        <v>lieu</v>
      </c>
      <c r="I2335" s="4" t="str">
        <f>IFERROR(__xludf.DUMMYFUNCTION("if(D2335=""variant"",  substitute(filter(Templates!E:E, Templates!A:A = F2335, Templates!B:B = G2335, Templates!C:C = H2335), ""{{}}"", E2335), B2335)"),"🏘  Vous cherchez une maison à louer à Les Cullayes? ✅ Découvrez nos nombreuses annonces sur ImmoScout24.ch.")</f>
        <v>🏘  Vous cherchez une maison à louer à Les Cullayes? ✅ Découvrez nos nombreuses annonces sur ImmoScout24.ch.</v>
      </c>
      <c r="J2335" s="2" t="s">
        <v>7003</v>
      </c>
    </row>
    <row r="2336">
      <c r="A2336" s="5" t="s">
        <v>7004</v>
      </c>
      <c r="B2336" s="2" t="s">
        <v>7005</v>
      </c>
      <c r="C2336" s="4" t="str">
        <f>IFERROR(__xludf.DUMMYFUNCTION("""🏘️ ""&amp;REGEXEXTRACT(B2336, ""^(.*): "")&amp;"" ✅ "" &amp;REGEXEXTRACT(B2336, ""(Trouvez.*)"")"),"🏘️ Vendre maison Haute-Nendaz ✅ Trouvez le bien immobilier qui correspond idéalement à vos désirs sur ImmoScout24 - La plateforme de l'immobilier en Suisse.")</f>
        <v>🏘️ Vendre maison Haute-Nendaz ✅ Trouvez le bien immobilier qui correspond idéalement à vos désirs sur ImmoScout24 - La plateforme de l'immobilier en Suisse.</v>
      </c>
      <c r="D2336" s="4" t="str">
        <f>vlookup(A2336, Sheet2!D:E, 2, 0)</f>
        <v>variant</v>
      </c>
      <c r="E2336" s="4" t="str">
        <f>IFERROR(__xludf.DUMMYFUNCTION("if(H2336=""pays"",vlookup(REGEXEXTRACT(C2336, ""🏘️ \w+ \w+ (.*) ✅""),'Country prepositions'!A:B, 2, 0) &amp; "" "" &amp; REGEXEXTRACT(C2336, ""🏘️ \w+ \w+ (.*) ✅"") ,  if(H2336=""quartier"",vlookup(REGEXEXTRACT(C2336, ""🏘️ \w+ \w+ (.*) ✅""),'Quartier prepositio"&amp;"ns'!A:E, 5, 0) ,  if(H2336=""region"",vlookup(REGEXEXTRACT(C2336, ""🏘️ \w+ \w+ (.*) ✅""),'Region prepositions'!B:F, 5, 0),  REGEXEXTRACT(C2336, ""🏘️ \w+ \w+ (.*) ✅""))))"),"Haute-Nendaz")</f>
        <v>Haute-Nendaz</v>
      </c>
      <c r="F2336" s="2" t="str">
        <f>IFERROR(__xludf.DUMMYFUNCTION("REGEXEXTRACT(C2336, ""🏘️ (\w+) \w+ .* ✅"")"),"Vendre")</f>
        <v>Vendre</v>
      </c>
      <c r="G2336" s="2" t="str">
        <f>IFERROR(__xludf.DUMMYFUNCTION("REGEXEXTRACT(C2336, ""🏘️ \w+ (\w+) .* ✅"")"),"maison")</f>
        <v>maison</v>
      </c>
      <c r="H2336" s="4" t="str">
        <f>IFERROR(__xludf.DUMMYFUNCTION("REGEXEXTRACT(A2336, ""/(\w+)-.*?"")"),"lieu")</f>
        <v>lieu</v>
      </c>
      <c r="I2336" s="4" t="str">
        <f>IFERROR(__xludf.DUMMYFUNCTION("if(D2336=""variant"",  substitute(filter(Templates!E:E, Templates!A:A = F2336, Templates!B:B = G2336, Templates!C:C = H2336), ""{{}}"", E2336), B2336)"),"🏘  Vous souhaitez acheter une maison à Haute-Nendaz? ✅ Jetez un œil aux dernières offres sur ImmoScout24.ch.")</f>
        <v>🏘  Vous souhaitez acheter une maison à Haute-Nendaz? ✅ Jetez un œil aux dernières offres sur ImmoScout24.ch.</v>
      </c>
      <c r="J2336" s="4" t="s">
        <v>7006</v>
      </c>
    </row>
    <row r="2337">
      <c r="A2337" s="5" t="s">
        <v>7007</v>
      </c>
      <c r="B2337" s="2" t="s">
        <v>7008</v>
      </c>
      <c r="C2337" s="4" t="str">
        <f>IFERROR(__xludf.DUMMYFUNCTION("""🏘️ ""&amp;REGEXEXTRACT(B2337, ""^(.*): "")&amp;"" ✅ "" &amp;REGEXEXTRACT(B2337, ""(Trouvez.*)"")"),"🏘️ Vendre appartement Cudrefin ✅ Trouvez le bien immobilier qui correspond idéalement à vos désirs sur ImmoScout24 - La plateforme de l'immobilier en Suisse.")</f>
        <v>🏘️ Vendre appartement Cudrefin ✅ Trouvez le bien immobilier qui correspond idéalement à vos désirs sur ImmoScout24 - La plateforme de l'immobilier en Suisse.</v>
      </c>
      <c r="D2337" s="4" t="str">
        <f>vlookup(A2337, Sheet2!D:E, 2, 0)</f>
        <v>variant</v>
      </c>
      <c r="E2337" s="4" t="str">
        <f>IFERROR(__xludf.DUMMYFUNCTION("if(H2337=""pays"",vlookup(REGEXEXTRACT(C2337, ""🏘️ \w+ \w+ (.*) ✅""),'Country prepositions'!A:B, 2, 0) &amp; "" "" &amp; REGEXEXTRACT(C2337, ""🏘️ \w+ \w+ (.*) ✅"") ,  if(H2337=""quartier"",vlookup(REGEXEXTRACT(C2337, ""🏘️ \w+ \w+ (.*) ✅""),'Quartier prepositio"&amp;"ns'!A:E, 5, 0) ,  if(H2337=""region"",vlookup(REGEXEXTRACT(C2337, ""🏘️ \w+ \w+ (.*) ✅""),'Region prepositions'!B:F, 5, 0),  REGEXEXTRACT(C2337, ""🏘️ \w+ \w+ (.*) ✅""))))"),"Cudrefin")</f>
        <v>Cudrefin</v>
      </c>
      <c r="F2337" s="2" t="str">
        <f>IFERROR(__xludf.DUMMYFUNCTION("REGEXEXTRACT(C2337, ""🏘️ (\w+) \w+ .* ✅"")"),"Vendre")</f>
        <v>Vendre</v>
      </c>
      <c r="G2337" s="2" t="str">
        <f>IFERROR(__xludf.DUMMYFUNCTION("REGEXEXTRACT(C2337, ""🏘️ \w+ (\w+) .* ✅"")"),"appartement")</f>
        <v>appartement</v>
      </c>
      <c r="H2337" s="4" t="str">
        <f>IFERROR(__xludf.DUMMYFUNCTION("REGEXEXTRACT(A2337, ""/(\w+)-.*?"")"),"lieu")</f>
        <v>lieu</v>
      </c>
      <c r="I2337" s="4" t="str">
        <f>IFERROR(__xludf.DUMMYFUNCTION("if(D2337=""variant"",  substitute(filter(Templates!E:E, Templates!A:A = F2337, Templates!B:B = G2337, Templates!C:C = H2337), ""{{}}"", E2337), B2337)"),"🏘  L’appartement de vos rêves se trouve sur ImmoScout24.ch ✅ Découvrez les dernières annonces de vente à Cudrefin.")</f>
        <v>🏘  L’appartement de vos rêves se trouve sur ImmoScout24.ch ✅ Découvrez les dernières annonces de vente à Cudrefin.</v>
      </c>
      <c r="J2337" s="4" t="s">
        <v>7009</v>
      </c>
    </row>
    <row r="2338">
      <c r="A2338" s="5" t="s">
        <v>7010</v>
      </c>
      <c r="B2338" s="2" t="s">
        <v>7011</v>
      </c>
      <c r="C2338" s="4" t="str">
        <f>IFERROR(__xludf.DUMMYFUNCTION("""🏘️ ""&amp;REGEXEXTRACT(B2338, ""^(.*): "")&amp;"" ✅ "" &amp;REGEXEXTRACT(B2338, ""(Trouvez.*)"")"),"🏘️ Louer maison Le Mont-sur-Lausanne ✅ Trouvez le bien immobilier qui correspond idéalement à vos désirs sur ImmoScout24 - La plateforme de l'immobilier en Suisse.")</f>
        <v>🏘️ Louer maison Le Mont-sur-Lausanne ✅ Trouvez le bien immobilier qui correspond idéalement à vos désirs sur ImmoScout24 - La plateforme de l'immobilier en Suisse.</v>
      </c>
      <c r="D2338" s="4" t="str">
        <f>vlookup(A2338, Sheet2!D:E, 2, 0)</f>
        <v>variant</v>
      </c>
      <c r="E2338" s="4" t="str">
        <f>IFERROR(__xludf.DUMMYFUNCTION("if(H2338=""pays"",vlookup(REGEXEXTRACT(C2338, ""🏘️ \w+ \w+ (.*) ✅""),'Country prepositions'!A:B, 2, 0) &amp; "" "" &amp; REGEXEXTRACT(C2338, ""🏘️ \w+ \w+ (.*) ✅"") ,  if(H2338=""quartier"",vlookup(REGEXEXTRACT(C2338, ""🏘️ \w+ \w+ (.*) ✅""),'Quartier prepositio"&amp;"ns'!A:E, 5, 0) ,  if(H2338=""region"",vlookup(REGEXEXTRACT(C2338, ""🏘️ \w+ \w+ (.*) ✅""),'Region prepositions'!B:F, 5, 0),  REGEXEXTRACT(C2338, ""🏘️ \w+ \w+ (.*) ✅""))))"),"Le Mont-sur-Lausanne")</f>
        <v>Le Mont-sur-Lausanne</v>
      </c>
      <c r="F2338" s="2" t="str">
        <f>IFERROR(__xludf.DUMMYFUNCTION("REGEXEXTRACT(C2338, ""🏘️ (\w+) \w+ .* ✅"")"),"Louer")</f>
        <v>Louer</v>
      </c>
      <c r="G2338" s="2" t="str">
        <f>IFERROR(__xludf.DUMMYFUNCTION("REGEXEXTRACT(C2338, ""🏘️ \w+ (\w+) .* ✅"")"),"maison")</f>
        <v>maison</v>
      </c>
      <c r="H2338" s="4" t="str">
        <f>IFERROR(__xludf.DUMMYFUNCTION("REGEXEXTRACT(A2338, ""/(\w+)-.*?"")"),"lieu")</f>
        <v>lieu</v>
      </c>
      <c r="I2338" s="4" t="str">
        <f>IFERROR(__xludf.DUMMYFUNCTION("if(D2338=""variant"",  substitute(filter(Templates!E:E, Templates!A:A = F2338, Templates!B:B = G2338, Templates!C:C = H2338), ""{{}}"", E2338), B2338)"),"🏘  Vous cherchez une maison à louer à Le Mont-sur-Lausanne? ✅ Découvrez nos nombreuses annonces sur ImmoScout24.ch.")</f>
        <v>🏘  Vous cherchez une maison à louer à Le Mont-sur-Lausanne? ✅ Découvrez nos nombreuses annonces sur ImmoScout24.ch.</v>
      </c>
      <c r="J2338" s="2" t="s">
        <v>7012</v>
      </c>
    </row>
    <row r="2339">
      <c r="A2339" s="5" t="s">
        <v>7013</v>
      </c>
      <c r="B2339" s="2" t="s">
        <v>7014</v>
      </c>
      <c r="C2339" s="4" t="str">
        <f>IFERROR(__xludf.DUMMYFUNCTION("""🏘️ ""&amp;REGEXEXTRACT(B2339, ""^(.*): "")&amp;"" ✅ "" &amp;REGEXEXTRACT(B2339, ""(Trouvez.*)"")"),"🏘️ Vendre maison Bottmingen ✅ Trouvez le bien immobilier qui correspond idéalement à vos désirs sur ImmoScout24 - La plateforme de l'immobilier en Suisse.")</f>
        <v>🏘️ Vendre maison Bottmingen ✅ Trouvez le bien immobilier qui correspond idéalement à vos désirs sur ImmoScout24 - La plateforme de l'immobilier en Suisse.</v>
      </c>
      <c r="D2339" s="4" t="str">
        <f>vlookup(A2339, Sheet2!D:E, 2, 0)</f>
        <v>variant</v>
      </c>
      <c r="E2339" s="4" t="str">
        <f>IFERROR(__xludf.DUMMYFUNCTION("if(H2339=""pays"",vlookup(REGEXEXTRACT(C2339, ""🏘️ \w+ \w+ (.*) ✅""),'Country prepositions'!A:B, 2, 0) &amp; "" "" &amp; REGEXEXTRACT(C2339, ""🏘️ \w+ \w+ (.*) ✅"") ,  if(H2339=""quartier"",vlookup(REGEXEXTRACT(C2339, ""🏘️ \w+ \w+ (.*) ✅""),'Quartier prepositio"&amp;"ns'!A:E, 5, 0) ,  if(H2339=""region"",vlookup(REGEXEXTRACT(C2339, ""🏘️ \w+ \w+ (.*) ✅""),'Region prepositions'!B:F, 5, 0),  REGEXEXTRACT(C2339, ""🏘️ \w+ \w+ (.*) ✅""))))"),"Bottmingen")</f>
        <v>Bottmingen</v>
      </c>
      <c r="F2339" s="2" t="str">
        <f>IFERROR(__xludf.DUMMYFUNCTION("REGEXEXTRACT(C2339, ""🏘️ (\w+) \w+ .* ✅"")"),"Vendre")</f>
        <v>Vendre</v>
      </c>
      <c r="G2339" s="2" t="str">
        <f>IFERROR(__xludf.DUMMYFUNCTION("REGEXEXTRACT(C2339, ""🏘️ \w+ (\w+) .* ✅"")"),"maison")</f>
        <v>maison</v>
      </c>
      <c r="H2339" s="4" t="str">
        <f>IFERROR(__xludf.DUMMYFUNCTION("REGEXEXTRACT(A2339, ""/(\w+)-.*?"")"),"lieu")</f>
        <v>lieu</v>
      </c>
      <c r="I2339" s="4" t="str">
        <f>IFERROR(__xludf.DUMMYFUNCTION("if(D2339=""variant"",  substitute(filter(Templates!E:E, Templates!A:A = F2339, Templates!B:B = G2339, Templates!C:C = H2339), ""{{}}"", E2339), B2339)"),"🏘  Vous souhaitez acheter une maison à Bottmingen? ✅ Jetez un œil aux dernières offres sur ImmoScout24.ch.")</f>
        <v>🏘  Vous souhaitez acheter une maison à Bottmingen? ✅ Jetez un œil aux dernières offres sur ImmoScout24.ch.</v>
      </c>
      <c r="J2339" s="4" t="s">
        <v>7015</v>
      </c>
    </row>
    <row r="2340">
      <c r="A2340" s="5" t="s">
        <v>7016</v>
      </c>
      <c r="B2340" s="2" t="s">
        <v>7017</v>
      </c>
      <c r="C2340" s="4" t="str">
        <f>IFERROR(__xludf.DUMMYFUNCTION("""🏘️ ""&amp;REGEXEXTRACT(B2340, ""^(.*): "")&amp;"" ✅ "" &amp;REGEXEXTRACT(B2340, ""(Trouvez.*)"")"),"🏘️ Vendre maison Leysin ✅ Trouvez le bien immobilier qui correspond idéalement à vos désirs sur ImmoScout24 - La plateforme de l'immobilier en Suisse.")</f>
        <v>🏘️ Vendre maison Leysin ✅ Trouvez le bien immobilier qui correspond idéalement à vos désirs sur ImmoScout24 - La plateforme de l'immobilier en Suisse.</v>
      </c>
      <c r="D2340" s="4" t="str">
        <f>vlookup(A2340, Sheet2!D:E, 2, 0)</f>
        <v>variant</v>
      </c>
      <c r="E2340" s="4" t="str">
        <f>IFERROR(__xludf.DUMMYFUNCTION("if(H2340=""pays"",vlookup(REGEXEXTRACT(C2340, ""🏘️ \w+ \w+ (.*) ✅""),'Country prepositions'!A:B, 2, 0) &amp; "" "" &amp; REGEXEXTRACT(C2340, ""🏘️ \w+ \w+ (.*) ✅"") ,  if(H2340=""quartier"",vlookup(REGEXEXTRACT(C2340, ""🏘️ \w+ \w+ (.*) ✅""),'Quartier prepositio"&amp;"ns'!A:E, 5, 0) ,  if(H2340=""region"",vlookup(REGEXEXTRACT(C2340, ""🏘️ \w+ \w+ (.*) ✅""),'Region prepositions'!B:F, 5, 0),  REGEXEXTRACT(C2340, ""🏘️ \w+ \w+ (.*) ✅""))))"),"Leysin")</f>
        <v>Leysin</v>
      </c>
      <c r="F2340" s="2" t="str">
        <f>IFERROR(__xludf.DUMMYFUNCTION("REGEXEXTRACT(C2340, ""🏘️ (\w+) \w+ .* ✅"")"),"Vendre")</f>
        <v>Vendre</v>
      </c>
      <c r="G2340" s="2" t="str">
        <f>IFERROR(__xludf.DUMMYFUNCTION("REGEXEXTRACT(C2340, ""🏘️ \w+ (\w+) .* ✅"")"),"maison")</f>
        <v>maison</v>
      </c>
      <c r="H2340" s="4" t="str">
        <f>IFERROR(__xludf.DUMMYFUNCTION("REGEXEXTRACT(A2340, ""/(\w+)-.*?"")"),"lieu")</f>
        <v>lieu</v>
      </c>
      <c r="I2340" s="4" t="str">
        <f>IFERROR(__xludf.DUMMYFUNCTION("if(D2340=""variant"",  substitute(filter(Templates!E:E, Templates!A:A = F2340, Templates!B:B = G2340, Templates!C:C = H2340), ""{{}}"", E2340), B2340)"),"🏘  Vous souhaitez acheter une maison à Leysin? ✅ Jetez un œil aux dernières offres sur ImmoScout24.ch.")</f>
        <v>🏘  Vous souhaitez acheter une maison à Leysin? ✅ Jetez un œil aux dernières offres sur ImmoScout24.ch.</v>
      </c>
      <c r="J2340" s="2" t="s">
        <v>7018</v>
      </c>
    </row>
    <row r="2341">
      <c r="A2341" s="5" t="s">
        <v>7019</v>
      </c>
      <c r="B2341" s="2" t="s">
        <v>7020</v>
      </c>
      <c r="C2341" s="4" t="str">
        <f>IFERROR(__xludf.DUMMYFUNCTION("""🏘️ ""&amp;REGEXEXTRACT(B2341, ""^(.*): "")&amp;"" ✅ "" &amp;REGEXEXTRACT(B2341, ""(Trouvez.*)"")"),"🏘️ Louer appartement Sigriswil ✅ Trouvez le bien immobilier qui correspond idéalement à vos désirs sur ImmoScout24 - La plateforme de l'immobilier en Suisse.")</f>
        <v>🏘️ Louer appartement Sigriswil ✅ Trouvez le bien immobilier qui correspond idéalement à vos désirs sur ImmoScout24 - La plateforme de l'immobilier en Suisse.</v>
      </c>
      <c r="D2341" s="4" t="str">
        <f>vlookup(A2341, Sheet2!D:E, 2, 0)</f>
        <v>variant</v>
      </c>
      <c r="E2341" s="4" t="str">
        <f>IFERROR(__xludf.DUMMYFUNCTION("if(H2341=""pays"",vlookup(REGEXEXTRACT(C2341, ""🏘️ \w+ \w+ (.*) ✅""),'Country prepositions'!A:B, 2, 0) &amp; "" "" &amp; REGEXEXTRACT(C2341, ""🏘️ \w+ \w+ (.*) ✅"") ,  if(H2341=""quartier"",vlookup(REGEXEXTRACT(C2341, ""🏘️ \w+ \w+ (.*) ✅""),'Quartier prepositio"&amp;"ns'!A:E, 5, 0) ,  if(H2341=""region"",vlookup(REGEXEXTRACT(C2341, ""🏘️ \w+ \w+ (.*) ✅""),'Region prepositions'!B:F, 5, 0),  REGEXEXTRACT(C2341, ""🏘️ \w+ \w+ (.*) ✅""))))"),"Sigriswil")</f>
        <v>Sigriswil</v>
      </c>
      <c r="F2341" s="2" t="str">
        <f>IFERROR(__xludf.DUMMYFUNCTION("REGEXEXTRACT(C2341, ""🏘️ (\w+) \w+ .* ✅"")"),"Louer")</f>
        <v>Louer</v>
      </c>
      <c r="G2341" s="2" t="str">
        <f>IFERROR(__xludf.DUMMYFUNCTION("REGEXEXTRACT(C2341, ""🏘️ \w+ (\w+) .* ✅"")"),"appartement")</f>
        <v>appartement</v>
      </c>
      <c r="H2341" s="4" t="str">
        <f>IFERROR(__xludf.DUMMYFUNCTION("REGEXEXTRACT(A2341, ""/(\w+)-.*?"")"),"lieu")</f>
        <v>lieu</v>
      </c>
      <c r="I2341" s="4" t="str">
        <f>IFERROR(__xludf.DUMMYFUNCTION("if(D2341=""variant"",  substitute(filter(Templates!E:E, Templates!A:A = F2341, Templates!B:B = G2341, Templates!C:C = H2341), ""{{}}"", E2341), B2341)"),"🏘  Vous cherchez un appartement à louer à Sigriswil? ✅ Les annonces les plus actuelles sont sur ImmoScout24.ch.")</f>
        <v>🏘  Vous cherchez un appartement à louer à Sigriswil? ✅ Les annonces les plus actuelles sont sur ImmoScout24.ch.</v>
      </c>
      <c r="J2341" s="4" t="s">
        <v>7021</v>
      </c>
    </row>
    <row r="2342">
      <c r="A2342" s="5" t="s">
        <v>7022</v>
      </c>
      <c r="B2342" s="2" t="s">
        <v>7023</v>
      </c>
      <c r="C2342" s="4" t="str">
        <f>IFERROR(__xludf.DUMMYFUNCTION("""🏘️ ""&amp;REGEXEXTRACT(B2342, ""^(.*): "")&amp;"" ✅ "" &amp;REGEXEXTRACT(B2342, ""(Trouvez.*)"")"),"🏘️ Louer appartement Moesa ✅ Trouvez le bien immobilier qui correspond idéalement à vos désirs sur ImmoScout24 - La plateforme de l'immobilier en Suisse.")</f>
        <v>🏘️ Louer appartement Moesa ✅ Trouvez le bien immobilier qui correspond idéalement à vos désirs sur ImmoScout24 - La plateforme de l'immobilier en Suisse.</v>
      </c>
      <c r="D2342" s="4" t="str">
        <f>vlookup(A2342, Sheet2!D:E, 2, 0)</f>
        <v>variant</v>
      </c>
      <c r="E2342" s="4" t="str">
        <f>IFERROR(__xludf.DUMMYFUNCTION("if(H2342=""pays"",vlookup(REGEXEXTRACT(C2342, ""🏘️ \w+ \w+ (.*) ✅""),'Country prepositions'!A:B, 2, 0) &amp; "" "" &amp; REGEXEXTRACT(C2342, ""🏘️ \w+ \w+ (.*) ✅"") ,  if(H2342=""quartier"",vlookup(REGEXEXTRACT(C2342, ""🏘️ \w+ \w+ (.*) ✅""),'Quartier prepositio"&amp;"ns'!A:E, 5, 0) ,  if(H2342=""region"",vlookup(REGEXEXTRACT(C2342, ""🏘️ \w+ \w+ (.*) ✅""),'Region prepositions'!B:F, 5, 0),  REGEXEXTRACT(C2342, ""🏘️ \w+ \w+ (.*) ✅""))))"),"dans la région de Moesa")</f>
        <v>dans la région de Moesa</v>
      </c>
      <c r="F2342" s="2" t="str">
        <f>IFERROR(__xludf.DUMMYFUNCTION("REGEXEXTRACT(C2342, ""🏘️ (\w+) \w+ .* ✅"")"),"Louer")</f>
        <v>Louer</v>
      </c>
      <c r="G2342" s="2" t="str">
        <f>IFERROR(__xludf.DUMMYFUNCTION("REGEXEXTRACT(C2342, ""🏘️ \w+ (\w+) .* ✅"")"),"appartement")</f>
        <v>appartement</v>
      </c>
      <c r="H2342" s="4" t="str">
        <f>IFERROR(__xludf.DUMMYFUNCTION("REGEXEXTRACT(A2342, ""/(\w+)-.*?"")"),"region")</f>
        <v>region</v>
      </c>
      <c r="I2342" s="4" t="str">
        <f>IFERROR(__xludf.DUMMYFUNCTION("if(D2342=""variant"",  substitute(filter(Templates!E:E, Templates!A:A = F2342, Templates!B:B = G2342, Templates!C:C = H2342), ""{{}}"", E2342), B2342)"),"🏘  Vous cherchez un appartement à louer dans la région de Moesa? ✅ Les annonces les plus actuelles sont sur ImmoScout24.ch.")</f>
        <v>🏘  Vous cherchez un appartement à louer dans la région de Moesa? ✅ Les annonces les plus actuelles sont sur ImmoScout24.ch.</v>
      </c>
      <c r="J2342" s="4" t="s">
        <v>7024</v>
      </c>
    </row>
    <row r="2343">
      <c r="A2343" s="5" t="s">
        <v>7025</v>
      </c>
      <c r="B2343" s="2" t="s">
        <v>7026</v>
      </c>
      <c r="C2343" s="4" t="str">
        <f>IFERROR(__xludf.DUMMYFUNCTION("""🏘️ ""&amp;REGEXEXTRACT(B2343, ""^(.*): "")&amp;"" ✅ "" &amp;REGEXEXTRACT(B2343, ""(Trouvez.*)"")"),"🏘️ Louer appartement Roggwil BE ✅ Trouvez le bien immobilier qui correspond idéalement à vos désirs sur ImmoScout24 - La plateforme de l'immobilier en Suisse.")</f>
        <v>🏘️ Louer appartement Roggwil BE ✅ Trouvez le bien immobilier qui correspond idéalement à vos désirs sur ImmoScout24 - La plateforme de l'immobilier en Suisse.</v>
      </c>
      <c r="D2343" s="4" t="str">
        <f>vlookup(A2343, Sheet2!D:E, 2, 0)</f>
        <v>variant</v>
      </c>
      <c r="E2343" s="4" t="str">
        <f>IFERROR(__xludf.DUMMYFUNCTION("if(H2343=""pays"",vlookup(REGEXEXTRACT(C2343, ""🏘️ \w+ \w+ (.*) ✅""),'Country prepositions'!A:B, 2, 0) &amp; "" "" &amp; REGEXEXTRACT(C2343, ""🏘️ \w+ \w+ (.*) ✅"") ,  if(H2343=""quartier"",vlookup(REGEXEXTRACT(C2343, ""🏘️ \w+ \w+ (.*) ✅""),'Quartier prepositio"&amp;"ns'!A:E, 5, 0) ,  if(H2343=""region"",vlookup(REGEXEXTRACT(C2343, ""🏘️ \w+ \w+ (.*) ✅""),'Region prepositions'!B:F, 5, 0),  REGEXEXTRACT(C2343, ""🏘️ \w+ \w+ (.*) ✅""))))"),"Roggwil BE")</f>
        <v>Roggwil BE</v>
      </c>
      <c r="F2343" s="2" t="str">
        <f>IFERROR(__xludf.DUMMYFUNCTION("REGEXEXTRACT(C2343, ""🏘️ (\w+) \w+ .* ✅"")"),"Louer")</f>
        <v>Louer</v>
      </c>
      <c r="G2343" s="2" t="str">
        <f>IFERROR(__xludf.DUMMYFUNCTION("REGEXEXTRACT(C2343, ""🏘️ \w+ (\w+) .* ✅"")"),"appartement")</f>
        <v>appartement</v>
      </c>
      <c r="H2343" s="4" t="str">
        <f>IFERROR(__xludf.DUMMYFUNCTION("REGEXEXTRACT(A2343, ""/(\w+)-.*?"")"),"lieu")</f>
        <v>lieu</v>
      </c>
      <c r="I2343" s="4" t="str">
        <f>IFERROR(__xludf.DUMMYFUNCTION("if(D2343=""variant"",  substitute(filter(Templates!E:E, Templates!A:A = F2343, Templates!B:B = G2343, Templates!C:C = H2343), ""{{}}"", E2343), B2343)"),"🏘  Vous cherchez un appartement à louer à Roggwil BE? ✅ Les annonces les plus actuelles sont sur ImmoScout24.ch.")</f>
        <v>🏘  Vous cherchez un appartement à louer à Roggwil BE? ✅ Les annonces les plus actuelles sont sur ImmoScout24.ch.</v>
      </c>
      <c r="J2343" s="4" t="s">
        <v>7027</v>
      </c>
    </row>
    <row r="2344">
      <c r="A2344" s="5" t="s">
        <v>7028</v>
      </c>
      <c r="B2344" s="2" t="s">
        <v>3564</v>
      </c>
      <c r="C2344" s="4" t="str">
        <f>IFERROR(__xludf.DUMMYFUNCTION("""🏘️ ""&amp;REGEXEXTRACT(B2344, ""^(.*): "")&amp;"" ✅ "" &amp;REGEXEXTRACT(B2344, ""(Trouvez.*)"")"),"🏘️ Vendre maison Delémont ✅ Trouvez le bien immobilier qui correspond idéalement à vos désirs sur ImmoScout24 - La plateforme de l'immobilier en Suisse.")</f>
        <v>🏘️ Vendre maison Delémont ✅ Trouvez le bien immobilier qui correspond idéalement à vos désirs sur ImmoScout24 - La plateforme de l'immobilier en Suisse.</v>
      </c>
      <c r="D2344" s="4" t="str">
        <f>vlookup(A2344, Sheet2!D:E, 2, 0)</f>
        <v>variant</v>
      </c>
      <c r="E2344" s="4" t="str">
        <f>IFERROR(__xludf.DUMMYFUNCTION("if(H2344=""pays"",vlookup(REGEXEXTRACT(C2344, ""🏘️ \w+ \w+ (.*) ✅""),'Country prepositions'!A:B, 2, 0) &amp; "" "" &amp; REGEXEXTRACT(C2344, ""🏘️ \w+ \w+ (.*) ✅"") ,  if(H2344=""quartier"",vlookup(REGEXEXTRACT(C2344, ""🏘️ \w+ \w+ (.*) ✅""),'Quartier prepositio"&amp;"ns'!A:E, 5, 0) ,  if(H2344=""region"",vlookup(REGEXEXTRACT(C2344, ""🏘️ \w+ \w+ (.*) ✅""),'Region prepositions'!B:F, 5, 0),  REGEXEXTRACT(C2344, ""🏘️ \w+ \w+ (.*) ✅""))))"),"à Delémont")</f>
        <v>à Delémont</v>
      </c>
      <c r="F2344" s="2" t="str">
        <f>IFERROR(__xludf.DUMMYFUNCTION("REGEXEXTRACT(C2344, ""🏘️ (\w+) \w+ .* ✅"")"),"Vendre")</f>
        <v>Vendre</v>
      </c>
      <c r="G2344" s="2" t="str">
        <f>IFERROR(__xludf.DUMMYFUNCTION("REGEXEXTRACT(C2344, ""🏘️ \w+ (\w+) .* ✅"")"),"maison")</f>
        <v>maison</v>
      </c>
      <c r="H2344" s="10" t="str">
        <f>IFERROR(__xludf.DUMMYFUNCTION("REGEXEXTRACT(A2344, ""/(\w+)-.*?"")"),"region")</f>
        <v>region</v>
      </c>
      <c r="I2344" s="4" t="str">
        <f>IFERROR(__xludf.DUMMYFUNCTION("if(D2344=""variant"",  substitute(filter(Templates!E:E, Templates!A:A = F2344, Templates!B:B = G2344, Templates!C:C = H2344), ""{{}}"", E2344), B2344)"),"🏘  Vous souhaitez acheter une maison à Delémont? ✅ Jetez un œil aux dernières offres sur ImmoScout24.ch.")</f>
        <v>🏘  Vous souhaitez acheter une maison à Delémont? ✅ Jetez un œil aux dernières offres sur ImmoScout24.ch.</v>
      </c>
      <c r="J2344" s="9" t="s">
        <v>3565</v>
      </c>
    </row>
    <row r="2345">
      <c r="A2345" s="5" t="s">
        <v>7029</v>
      </c>
      <c r="B2345" s="2" t="s">
        <v>7030</v>
      </c>
      <c r="C2345" s="4" t="str">
        <f>IFERROR(__xludf.DUMMYFUNCTION("""🏘️ ""&amp;REGEXEXTRACT(B2345, ""^(.*): "")&amp;"" ✅ "" &amp;REGEXEXTRACT(B2345, ""(Trouvez.*)"")"),"🏘️ Vendre appartement Corin-de-la-Crête ✅ Trouvez le bien immobilier qui correspond idéalement à vos désirs sur ImmoScout24 - La plateforme de l'immobilier en Suisse.")</f>
        <v>🏘️ Vendre appartement Corin-de-la-Crête ✅ Trouvez le bien immobilier qui correspond idéalement à vos désirs sur ImmoScout24 - La plateforme de l'immobilier en Suisse.</v>
      </c>
      <c r="D2345" s="4" t="str">
        <f>vlookup(A2345, Sheet2!D:E, 2, 0)</f>
        <v>variant</v>
      </c>
      <c r="E2345" s="4" t="str">
        <f>IFERROR(__xludf.DUMMYFUNCTION("if(H2345=""pays"",vlookup(REGEXEXTRACT(C2345, ""🏘️ \w+ \w+ (.*) ✅""),'Country prepositions'!A:B, 2, 0) &amp; "" "" &amp; REGEXEXTRACT(C2345, ""🏘️ \w+ \w+ (.*) ✅"") ,  if(H2345=""quartier"",vlookup(REGEXEXTRACT(C2345, ""🏘️ \w+ \w+ (.*) ✅""),'Quartier prepositio"&amp;"ns'!A:E, 5, 0) ,  if(H2345=""region"",vlookup(REGEXEXTRACT(C2345, ""🏘️ \w+ \w+ (.*) ✅""),'Region prepositions'!B:F, 5, 0),  REGEXEXTRACT(C2345, ""🏘️ \w+ \w+ (.*) ✅""))))"),"Corin-de-la-Crête")</f>
        <v>Corin-de-la-Crête</v>
      </c>
      <c r="F2345" s="2" t="str">
        <f>IFERROR(__xludf.DUMMYFUNCTION("REGEXEXTRACT(C2345, ""🏘️ (\w+) \w+ .* ✅"")"),"Vendre")</f>
        <v>Vendre</v>
      </c>
      <c r="G2345" s="2" t="str">
        <f>IFERROR(__xludf.DUMMYFUNCTION("REGEXEXTRACT(C2345, ""🏘️ \w+ (\w+) .* ✅"")"),"appartement")</f>
        <v>appartement</v>
      </c>
      <c r="H2345" s="4" t="str">
        <f>IFERROR(__xludf.DUMMYFUNCTION("REGEXEXTRACT(A2345, ""/(\w+)-.*?"")"),"lieu")</f>
        <v>lieu</v>
      </c>
      <c r="I2345" s="4" t="str">
        <f>IFERROR(__xludf.DUMMYFUNCTION("if(D2345=""variant"",  substitute(filter(Templates!E:E, Templates!A:A = F2345, Templates!B:B = G2345, Templates!C:C = H2345), ""{{}}"", E2345), B2345)"),"🏘  L’appartement de vos rêves se trouve sur ImmoScout24.ch ✅ Découvrez les dernières annonces de vente à Corin-de-la-Crête.")</f>
        <v>🏘  L’appartement de vos rêves se trouve sur ImmoScout24.ch ✅ Découvrez les dernières annonces de vente à Corin-de-la-Crête.</v>
      </c>
      <c r="J2345" s="4" t="s">
        <v>7031</v>
      </c>
    </row>
    <row r="2346">
      <c r="A2346" s="5" t="s">
        <v>7032</v>
      </c>
      <c r="B2346" s="2" t="s">
        <v>7033</v>
      </c>
      <c r="C2346" s="4" t="str">
        <f>IFERROR(__xludf.DUMMYFUNCTION("""🏘️ ""&amp;REGEXEXTRACT(B2346, ""^(.*): "")&amp;"" ✅ "" &amp;REGEXEXTRACT(B2346, ""(Trouvez.*)"")"),"🏘️ Vendre appartement Schinznach Bad ✅ Trouvez le bien immobilier qui correspond idéalement à vos désirs sur ImmoScout24 - La plateforme de l'immobilier en Suisse.")</f>
        <v>🏘️ Vendre appartement Schinznach Bad ✅ Trouvez le bien immobilier qui correspond idéalement à vos désirs sur ImmoScout24 - La plateforme de l'immobilier en Suisse.</v>
      </c>
      <c r="D2346" s="4" t="str">
        <f>vlookup(A2346, Sheet2!D:E, 2, 0)</f>
        <v>variant</v>
      </c>
      <c r="E2346" s="4" t="str">
        <f>IFERROR(__xludf.DUMMYFUNCTION("if(H2346=""pays"",vlookup(REGEXEXTRACT(C2346, ""🏘️ \w+ \w+ (.*) ✅""),'Country prepositions'!A:B, 2, 0) &amp; "" "" &amp; REGEXEXTRACT(C2346, ""🏘️ \w+ \w+ (.*) ✅"") ,  if(H2346=""quartier"",vlookup(REGEXEXTRACT(C2346, ""🏘️ \w+ \w+ (.*) ✅""),'Quartier prepositio"&amp;"ns'!A:E, 5, 0) ,  if(H2346=""region"",vlookup(REGEXEXTRACT(C2346, ""🏘️ \w+ \w+ (.*) ✅""),'Region prepositions'!B:F, 5, 0),  REGEXEXTRACT(C2346, ""🏘️ \w+ \w+ (.*) ✅""))))"),"Schinznach Bad")</f>
        <v>Schinznach Bad</v>
      </c>
      <c r="F2346" s="2" t="str">
        <f>IFERROR(__xludf.DUMMYFUNCTION("REGEXEXTRACT(C2346, ""🏘️ (\w+) \w+ .* ✅"")"),"Vendre")</f>
        <v>Vendre</v>
      </c>
      <c r="G2346" s="2" t="str">
        <f>IFERROR(__xludf.DUMMYFUNCTION("REGEXEXTRACT(C2346, ""🏘️ \w+ (\w+) .* ✅"")"),"appartement")</f>
        <v>appartement</v>
      </c>
      <c r="H2346" s="4" t="str">
        <f>IFERROR(__xludf.DUMMYFUNCTION("REGEXEXTRACT(A2346, ""/(\w+)-.*?"")"),"lieu")</f>
        <v>lieu</v>
      </c>
      <c r="I2346" s="4" t="str">
        <f>IFERROR(__xludf.DUMMYFUNCTION("if(D2346=""variant"",  substitute(filter(Templates!E:E, Templates!A:A = F2346, Templates!B:B = G2346, Templates!C:C = H2346), ""{{}}"", E2346), B2346)"),"🏘  L’appartement de vos rêves se trouve sur ImmoScout24.ch ✅ Découvrez les dernières annonces de vente à Schinznach Bad.")</f>
        <v>🏘  L’appartement de vos rêves se trouve sur ImmoScout24.ch ✅ Découvrez les dernières annonces de vente à Schinznach Bad.</v>
      </c>
      <c r="J2346" s="4" t="s">
        <v>7034</v>
      </c>
    </row>
    <row r="2347">
      <c r="A2347" s="5" t="s">
        <v>7035</v>
      </c>
      <c r="B2347" s="2" t="s">
        <v>7036</v>
      </c>
      <c r="C2347" s="4" t="str">
        <f>IFERROR(__xludf.DUMMYFUNCTION("""🏘️ ""&amp;REGEXEXTRACT(B2347, ""^(.*): "")&amp;"" ✅ "" &amp;REGEXEXTRACT(B2347, ""(Trouvez.*)"")"),"🏘️ Vendre appartement Emmetten ✅ Trouvez le bien immobilier qui correspond idéalement à vos désirs sur ImmoScout24 - La plateforme de l'immobilier en Suisse.")</f>
        <v>🏘️ Vendre appartement Emmetten ✅ Trouvez le bien immobilier qui correspond idéalement à vos désirs sur ImmoScout24 - La plateforme de l'immobilier en Suisse.</v>
      </c>
      <c r="D2347" s="4" t="str">
        <f>vlookup(A2347, Sheet2!D:E, 2, 0)</f>
        <v>variant</v>
      </c>
      <c r="E2347" s="4" t="str">
        <f>IFERROR(__xludf.DUMMYFUNCTION("if(H2347=""pays"",vlookup(REGEXEXTRACT(C2347, ""🏘️ \w+ \w+ (.*) ✅""),'Country prepositions'!A:B, 2, 0) &amp; "" "" &amp; REGEXEXTRACT(C2347, ""🏘️ \w+ \w+ (.*) ✅"") ,  if(H2347=""quartier"",vlookup(REGEXEXTRACT(C2347, ""🏘️ \w+ \w+ (.*) ✅""),'Quartier prepositio"&amp;"ns'!A:E, 5, 0) ,  if(H2347=""region"",vlookup(REGEXEXTRACT(C2347, ""🏘️ \w+ \w+ (.*) ✅""),'Region prepositions'!B:F, 5, 0),  REGEXEXTRACT(C2347, ""🏘️ \w+ \w+ (.*) ✅""))))"),"Emmetten")</f>
        <v>Emmetten</v>
      </c>
      <c r="F2347" s="2" t="str">
        <f>IFERROR(__xludf.DUMMYFUNCTION("REGEXEXTRACT(C2347, ""🏘️ (\w+) \w+ .* ✅"")"),"Vendre")</f>
        <v>Vendre</v>
      </c>
      <c r="G2347" s="2" t="str">
        <f>IFERROR(__xludf.DUMMYFUNCTION("REGEXEXTRACT(C2347, ""🏘️ \w+ (\w+) .* ✅"")"),"appartement")</f>
        <v>appartement</v>
      </c>
      <c r="H2347" s="4" t="str">
        <f>IFERROR(__xludf.DUMMYFUNCTION("REGEXEXTRACT(A2347, ""/(\w+)-.*?"")"),"lieu")</f>
        <v>lieu</v>
      </c>
      <c r="I2347" s="4" t="str">
        <f>IFERROR(__xludf.DUMMYFUNCTION("if(D2347=""variant"",  substitute(filter(Templates!E:E, Templates!A:A = F2347, Templates!B:B = G2347, Templates!C:C = H2347), ""{{}}"", E2347), B2347)"),"🏘  L’appartement de vos rêves se trouve sur ImmoScout24.ch ✅ Découvrez les dernières annonces de vente à Emmetten.")</f>
        <v>🏘  L’appartement de vos rêves se trouve sur ImmoScout24.ch ✅ Découvrez les dernières annonces de vente à Emmetten.</v>
      </c>
      <c r="J2347" s="4" t="s">
        <v>7037</v>
      </c>
    </row>
    <row r="2348">
      <c r="A2348" s="5" t="s">
        <v>7038</v>
      </c>
      <c r="B2348" s="2" t="s">
        <v>7039</v>
      </c>
      <c r="C2348" s="4" t="str">
        <f>IFERROR(__xludf.DUMMYFUNCTION("""🏘️ ""&amp;REGEXEXTRACT(B2348, ""^(.*): "")&amp;"" ✅ "" &amp;REGEXEXTRACT(B2348, ""(Trouvez.*)"")"),"🏘️ Louer appartement Anglikon ✅ Trouvez le bien immobilier qui correspond idéalement à vos désirs sur ImmoScout24 - La plateforme de l'immobilier en Suisse.")</f>
        <v>🏘️ Louer appartement Anglikon ✅ Trouvez le bien immobilier qui correspond idéalement à vos désirs sur ImmoScout24 - La plateforme de l'immobilier en Suisse.</v>
      </c>
      <c r="D2348" s="4" t="str">
        <f>vlookup(A2348, Sheet2!D:E, 2, 0)</f>
        <v>variant</v>
      </c>
      <c r="E2348" s="4" t="str">
        <f>IFERROR(__xludf.DUMMYFUNCTION("if(H2348=""pays"",vlookup(REGEXEXTRACT(C2348, ""🏘️ \w+ \w+ (.*) ✅""),'Country prepositions'!A:B, 2, 0) &amp; "" "" &amp; REGEXEXTRACT(C2348, ""🏘️ \w+ \w+ (.*) ✅"") ,  if(H2348=""quartier"",vlookup(REGEXEXTRACT(C2348, ""🏘️ \w+ \w+ (.*) ✅""),'Quartier prepositio"&amp;"ns'!A:E, 5, 0) ,  if(H2348=""region"",vlookup(REGEXEXTRACT(C2348, ""🏘️ \w+ \w+ (.*) ✅""),'Region prepositions'!B:F, 5, 0),  REGEXEXTRACT(C2348, ""🏘️ \w+ \w+ (.*) ✅""))))"),"Anglikon")</f>
        <v>Anglikon</v>
      </c>
      <c r="F2348" s="2" t="str">
        <f>IFERROR(__xludf.DUMMYFUNCTION("REGEXEXTRACT(C2348, ""🏘️ (\w+) \w+ .* ✅"")"),"Louer")</f>
        <v>Louer</v>
      </c>
      <c r="G2348" s="2" t="str">
        <f>IFERROR(__xludf.DUMMYFUNCTION("REGEXEXTRACT(C2348, ""🏘️ \w+ (\w+) .* ✅"")"),"appartement")</f>
        <v>appartement</v>
      </c>
      <c r="H2348" s="4" t="str">
        <f>IFERROR(__xludf.DUMMYFUNCTION("REGEXEXTRACT(A2348, ""/(\w+)-.*?"")"),"lieu")</f>
        <v>lieu</v>
      </c>
      <c r="I2348" s="4" t="str">
        <f>IFERROR(__xludf.DUMMYFUNCTION("if(D2348=""variant"",  substitute(filter(Templates!E:E, Templates!A:A = F2348, Templates!B:B = G2348, Templates!C:C = H2348), ""{{}}"", E2348), B2348)"),"🏘  Vous cherchez un appartement à louer à Anglikon? ✅ Les annonces les plus actuelles sont sur ImmoScout24.ch.")</f>
        <v>🏘  Vous cherchez un appartement à louer à Anglikon? ✅ Les annonces les plus actuelles sont sur ImmoScout24.ch.</v>
      </c>
      <c r="J2348" s="4" t="s">
        <v>7040</v>
      </c>
    </row>
    <row r="2349">
      <c r="A2349" s="5" t="s">
        <v>7041</v>
      </c>
      <c r="B2349" s="2" t="s">
        <v>7042</v>
      </c>
      <c r="C2349" s="4" t="str">
        <f>IFERROR(__xludf.DUMMYFUNCTION("""🏘️ ""&amp;REGEXEXTRACT(B2349, ""^(.*): "")&amp;"" ✅ "" &amp;REGEXEXTRACT(B2349, ""(Trouvez.*)"")"),"🏘️ Vendre appartement Zollbrück ✅ Trouvez le bien immobilier qui correspond idéalement à vos désirs sur ImmoScout24 - La plateforme de l'immobilier en Suisse.")</f>
        <v>🏘️ Vendre appartement Zollbrück ✅ Trouvez le bien immobilier qui correspond idéalement à vos désirs sur ImmoScout24 - La plateforme de l'immobilier en Suisse.</v>
      </c>
      <c r="D2349" s="4" t="str">
        <f>vlookup(A2349, Sheet2!D:E, 2, 0)</f>
        <v>variant</v>
      </c>
      <c r="E2349" s="4" t="str">
        <f>IFERROR(__xludf.DUMMYFUNCTION("if(H2349=""pays"",vlookup(REGEXEXTRACT(C2349, ""🏘️ \w+ \w+ (.*) ✅""),'Country prepositions'!A:B, 2, 0) &amp; "" "" &amp; REGEXEXTRACT(C2349, ""🏘️ \w+ \w+ (.*) ✅"") ,  if(H2349=""quartier"",vlookup(REGEXEXTRACT(C2349, ""🏘️ \w+ \w+ (.*) ✅""),'Quartier prepositio"&amp;"ns'!A:E, 5, 0) ,  if(H2349=""region"",vlookup(REGEXEXTRACT(C2349, ""🏘️ \w+ \w+ (.*) ✅""),'Region prepositions'!B:F, 5, 0),  REGEXEXTRACT(C2349, ""🏘️ \w+ \w+ (.*) ✅""))))"),"Zollbrück")</f>
        <v>Zollbrück</v>
      </c>
      <c r="F2349" s="2" t="str">
        <f>IFERROR(__xludf.DUMMYFUNCTION("REGEXEXTRACT(C2349, ""🏘️ (\w+) \w+ .* ✅"")"),"Vendre")</f>
        <v>Vendre</v>
      </c>
      <c r="G2349" s="2" t="str">
        <f>IFERROR(__xludf.DUMMYFUNCTION("REGEXEXTRACT(C2349, ""🏘️ \w+ (\w+) .* ✅"")"),"appartement")</f>
        <v>appartement</v>
      </c>
      <c r="H2349" s="4" t="str">
        <f>IFERROR(__xludf.DUMMYFUNCTION("REGEXEXTRACT(A2349, ""/(\w+)-.*?"")"),"lieu")</f>
        <v>lieu</v>
      </c>
      <c r="I2349" s="4" t="str">
        <f>IFERROR(__xludf.DUMMYFUNCTION("if(D2349=""variant"",  substitute(filter(Templates!E:E, Templates!A:A = F2349, Templates!B:B = G2349, Templates!C:C = H2349), ""{{}}"", E2349), B2349)"),"🏘  L’appartement de vos rêves se trouve sur ImmoScout24.ch ✅ Découvrez les dernières annonces de vente à Zollbrück.")</f>
        <v>🏘  L’appartement de vos rêves se trouve sur ImmoScout24.ch ✅ Découvrez les dernières annonces de vente à Zollbrück.</v>
      </c>
      <c r="J2349" s="4" t="s">
        <v>7043</v>
      </c>
    </row>
    <row r="2350">
      <c r="A2350" s="5" t="s">
        <v>7044</v>
      </c>
      <c r="B2350" s="2" t="s">
        <v>7045</v>
      </c>
      <c r="C2350" s="4" t="str">
        <f>IFERROR(__xludf.DUMMYFUNCTION("""🏘️ ""&amp;REGEXEXTRACT(B2350, ""^(.*): "")&amp;"" ✅ "" &amp;REGEXEXTRACT(B2350, ""(Trouvez.*)"")"),"🏘️ Vendre maison Mürren ✅ Trouvez le bien immobilier qui correspond idéalement à vos désirs sur ImmoScout24 - La plateforme de l'immobilier en Suisse.")</f>
        <v>🏘️ Vendre maison Mürren ✅ Trouvez le bien immobilier qui correspond idéalement à vos désirs sur ImmoScout24 - La plateforme de l'immobilier en Suisse.</v>
      </c>
      <c r="D2350" s="4" t="str">
        <f>vlookup(A2350, Sheet2!D:E, 2, 0)</f>
        <v>variant</v>
      </c>
      <c r="E2350" s="4" t="str">
        <f>IFERROR(__xludf.DUMMYFUNCTION("if(H2350=""pays"",vlookup(REGEXEXTRACT(C2350, ""🏘️ \w+ \w+ (.*) ✅""),'Country prepositions'!A:B, 2, 0) &amp; "" "" &amp; REGEXEXTRACT(C2350, ""🏘️ \w+ \w+ (.*) ✅"") ,  if(H2350=""quartier"",vlookup(REGEXEXTRACT(C2350, ""🏘️ \w+ \w+ (.*) ✅""),'Quartier prepositio"&amp;"ns'!A:E, 5, 0) ,  if(H2350=""region"",vlookup(REGEXEXTRACT(C2350, ""🏘️ \w+ \w+ (.*) ✅""),'Region prepositions'!B:F, 5, 0),  REGEXEXTRACT(C2350, ""🏘️ \w+ \w+ (.*) ✅""))))"),"Mürren")</f>
        <v>Mürren</v>
      </c>
      <c r="F2350" s="2" t="str">
        <f>IFERROR(__xludf.DUMMYFUNCTION("REGEXEXTRACT(C2350, ""🏘️ (\w+) \w+ .* ✅"")"),"Vendre")</f>
        <v>Vendre</v>
      </c>
      <c r="G2350" s="2" t="str">
        <f>IFERROR(__xludf.DUMMYFUNCTION("REGEXEXTRACT(C2350, ""🏘️ \w+ (\w+) .* ✅"")"),"maison")</f>
        <v>maison</v>
      </c>
      <c r="H2350" s="4" t="str">
        <f>IFERROR(__xludf.DUMMYFUNCTION("REGEXEXTRACT(A2350, ""/(\w+)-.*?"")"),"lieu")</f>
        <v>lieu</v>
      </c>
      <c r="I2350" s="4" t="str">
        <f>IFERROR(__xludf.DUMMYFUNCTION("if(D2350=""variant"",  substitute(filter(Templates!E:E, Templates!A:A = F2350, Templates!B:B = G2350, Templates!C:C = H2350), ""{{}}"", E2350), B2350)"),"🏘  Vous souhaitez acheter une maison à Mürren? ✅ Jetez un œil aux dernières offres sur ImmoScout24.ch.")</f>
        <v>🏘  Vous souhaitez acheter une maison à Mürren? ✅ Jetez un œil aux dernières offres sur ImmoScout24.ch.</v>
      </c>
      <c r="J2350" s="4" t="s">
        <v>7046</v>
      </c>
    </row>
    <row r="2351">
      <c r="A2351" s="5" t="s">
        <v>7047</v>
      </c>
      <c r="B2351" s="2" t="s">
        <v>7048</v>
      </c>
      <c r="C2351" s="4" t="str">
        <f>IFERROR(__xludf.DUMMYFUNCTION("""🏘️ ""&amp;REGEXEXTRACT(B2351, ""^(.*): "")&amp;"" ✅ "" &amp;REGEXEXTRACT(B2351, ""(Trouvez.*)"")"),"🏘️ Louer appartement Chardonne ✅ Trouvez le bien immobilier qui correspond idéalement à vos désirs sur ImmoScout24 - La plateforme de l'immobilier en Suisse.")</f>
        <v>🏘️ Louer appartement Chardonne ✅ Trouvez le bien immobilier qui correspond idéalement à vos désirs sur ImmoScout24 - La plateforme de l'immobilier en Suisse.</v>
      </c>
      <c r="D2351" s="4" t="str">
        <f>vlookup(A2351, Sheet2!D:E, 2, 0)</f>
        <v>variant</v>
      </c>
      <c r="E2351" s="4" t="str">
        <f>IFERROR(__xludf.DUMMYFUNCTION("if(H2351=""pays"",vlookup(REGEXEXTRACT(C2351, ""🏘️ \w+ \w+ (.*) ✅""),'Country prepositions'!A:B, 2, 0) &amp; "" "" &amp; REGEXEXTRACT(C2351, ""🏘️ \w+ \w+ (.*) ✅"") ,  if(H2351=""quartier"",vlookup(REGEXEXTRACT(C2351, ""🏘️ \w+ \w+ (.*) ✅""),'Quartier prepositio"&amp;"ns'!A:E, 5, 0) ,  if(H2351=""region"",vlookup(REGEXEXTRACT(C2351, ""🏘️ \w+ \w+ (.*) ✅""),'Region prepositions'!B:F, 5, 0),  REGEXEXTRACT(C2351, ""🏘️ \w+ \w+ (.*) ✅""))))"),"Chardonne")</f>
        <v>Chardonne</v>
      </c>
      <c r="F2351" s="2" t="str">
        <f>IFERROR(__xludf.DUMMYFUNCTION("REGEXEXTRACT(C2351, ""🏘️ (\w+) \w+ .* ✅"")"),"Louer")</f>
        <v>Louer</v>
      </c>
      <c r="G2351" s="2" t="str">
        <f>IFERROR(__xludf.DUMMYFUNCTION("REGEXEXTRACT(C2351, ""🏘️ \w+ (\w+) .* ✅"")"),"appartement")</f>
        <v>appartement</v>
      </c>
      <c r="H2351" s="4" t="str">
        <f>IFERROR(__xludf.DUMMYFUNCTION("REGEXEXTRACT(A2351, ""/(\w+)-.*?"")"),"lieu")</f>
        <v>lieu</v>
      </c>
      <c r="I2351" s="4" t="str">
        <f>IFERROR(__xludf.DUMMYFUNCTION("if(D2351=""variant"",  substitute(filter(Templates!E:E, Templates!A:A = F2351, Templates!B:B = G2351, Templates!C:C = H2351), ""{{}}"", E2351), B2351)"),"🏘  Vous cherchez un appartement à louer à Chardonne? ✅ Les annonces les plus actuelles sont sur ImmoScout24.ch.")</f>
        <v>🏘  Vous cherchez un appartement à louer à Chardonne? ✅ Les annonces les plus actuelles sont sur ImmoScout24.ch.</v>
      </c>
      <c r="J2351" s="4" t="s">
        <v>7049</v>
      </c>
    </row>
    <row r="2352">
      <c r="A2352" s="5" t="s">
        <v>7050</v>
      </c>
      <c r="B2352" s="2" t="s">
        <v>7051</v>
      </c>
      <c r="C2352" s="4" t="str">
        <f>IFERROR(__xludf.DUMMYFUNCTION("""🏘️ ""&amp;REGEXEXTRACT(B2352, ""^(.*): "")&amp;"" ✅ "" &amp;REGEXEXTRACT(B2352, ""(Trouvez.*)"")"),"🏘️ Louer maison Baar (Nendaz) ✅ Trouvez le bien immobilier qui correspond idéalement à vos désirs sur ImmoScout24 - La plateforme de l'immobilier en Suisse.")</f>
        <v>🏘️ Louer maison Baar (Nendaz) ✅ Trouvez le bien immobilier qui correspond idéalement à vos désirs sur ImmoScout24 - La plateforme de l'immobilier en Suisse.</v>
      </c>
      <c r="D2352" s="4" t="str">
        <f>vlookup(A2352, Sheet2!D:E, 2, 0)</f>
        <v>variant</v>
      </c>
      <c r="E2352" s="4" t="str">
        <f>IFERROR(__xludf.DUMMYFUNCTION("if(H2352=""pays"",vlookup(REGEXEXTRACT(C2352, ""🏘️ \w+ \w+ (.*) ✅""),'Country prepositions'!A:B, 2, 0) &amp; "" "" &amp; REGEXEXTRACT(C2352, ""🏘️ \w+ \w+ (.*) ✅"") ,  if(H2352=""quartier"",vlookup(REGEXEXTRACT(C2352, ""🏘️ \w+ \w+ (.*) ✅""),'Quartier prepositio"&amp;"ns'!A:E, 5, 0) ,  if(H2352=""region"",vlookup(REGEXEXTRACT(C2352, ""🏘️ \w+ \w+ (.*) ✅""),'Region prepositions'!B:F, 5, 0),  REGEXEXTRACT(C2352, ""🏘️ \w+ \w+ (.*) ✅""))))"),"Baar (Nendaz)")</f>
        <v>Baar (Nendaz)</v>
      </c>
      <c r="F2352" s="2" t="str">
        <f>IFERROR(__xludf.DUMMYFUNCTION("REGEXEXTRACT(C2352, ""🏘️ (\w+) \w+ .* ✅"")"),"Louer")</f>
        <v>Louer</v>
      </c>
      <c r="G2352" s="2" t="str">
        <f>IFERROR(__xludf.DUMMYFUNCTION("REGEXEXTRACT(C2352, ""🏘️ \w+ (\w+) .* ✅"")"),"maison")</f>
        <v>maison</v>
      </c>
      <c r="H2352" s="4" t="str">
        <f>IFERROR(__xludf.DUMMYFUNCTION("REGEXEXTRACT(A2352, ""/(\w+)-.*?"")"),"lieu")</f>
        <v>lieu</v>
      </c>
      <c r="I2352" s="4" t="str">
        <f>IFERROR(__xludf.DUMMYFUNCTION("if(D2352=""variant"",  substitute(filter(Templates!E:E, Templates!A:A = F2352, Templates!B:B = G2352, Templates!C:C = H2352), ""{{}}"", E2352), B2352)"),"🏘  Vous cherchez une maison à louer à Baar (Nendaz)? ✅ Découvrez nos nombreuses annonces sur ImmoScout24.ch.")</f>
        <v>🏘  Vous cherchez une maison à louer à Baar (Nendaz)? ✅ Découvrez nos nombreuses annonces sur ImmoScout24.ch.</v>
      </c>
      <c r="J2352" s="4" t="s">
        <v>7052</v>
      </c>
    </row>
    <row r="2353">
      <c r="A2353" s="5" t="s">
        <v>7053</v>
      </c>
      <c r="B2353" s="2" t="s">
        <v>7054</v>
      </c>
      <c r="C2353" s="4" t="str">
        <f>IFERROR(__xludf.DUMMYFUNCTION("""🏘️ ""&amp;REGEXEXTRACT(B2353, ""^(.*): "")&amp;"" ✅ "" &amp;REGEXEXTRACT(B2353, ""(Trouvez.*)"")"),"🏘️ Vendre maison La Sage ✅ Trouvez le bien immobilier qui correspond idéalement à vos désirs sur ImmoScout24 - La plateforme de l'immobilier en Suisse.")</f>
        <v>🏘️ Vendre maison La Sage ✅ Trouvez le bien immobilier qui correspond idéalement à vos désirs sur ImmoScout24 - La plateforme de l'immobilier en Suisse.</v>
      </c>
      <c r="D2353" s="4" t="str">
        <f>vlookup(A2353, Sheet2!D:E, 2, 0)</f>
        <v>variant</v>
      </c>
      <c r="E2353" s="4" t="str">
        <f>IFERROR(__xludf.DUMMYFUNCTION("if(H2353=""pays"",vlookup(REGEXEXTRACT(C2353, ""🏘️ \w+ \w+ (.*) ✅""),'Country prepositions'!A:B, 2, 0) &amp; "" "" &amp; REGEXEXTRACT(C2353, ""🏘️ \w+ \w+ (.*) ✅"") ,  if(H2353=""quartier"",vlookup(REGEXEXTRACT(C2353, ""🏘️ \w+ \w+ (.*) ✅""),'Quartier prepositio"&amp;"ns'!A:E, 5, 0) ,  if(H2353=""region"",vlookup(REGEXEXTRACT(C2353, ""🏘️ \w+ \w+ (.*) ✅""),'Region prepositions'!B:F, 5, 0),  REGEXEXTRACT(C2353, ""🏘️ \w+ \w+ (.*) ✅""))))"),"La Sage")</f>
        <v>La Sage</v>
      </c>
      <c r="F2353" s="2" t="str">
        <f>IFERROR(__xludf.DUMMYFUNCTION("REGEXEXTRACT(C2353, ""🏘️ (\w+) \w+ .* ✅"")"),"Vendre")</f>
        <v>Vendre</v>
      </c>
      <c r="G2353" s="2" t="str">
        <f>IFERROR(__xludf.DUMMYFUNCTION("REGEXEXTRACT(C2353, ""🏘️ \w+ (\w+) .* ✅"")"),"maison")</f>
        <v>maison</v>
      </c>
      <c r="H2353" s="4" t="str">
        <f>IFERROR(__xludf.DUMMYFUNCTION("REGEXEXTRACT(A2353, ""/(\w+)-.*?"")"),"lieu")</f>
        <v>lieu</v>
      </c>
      <c r="I2353" s="4" t="str">
        <f>IFERROR(__xludf.DUMMYFUNCTION("if(D2353=""variant"",  substitute(filter(Templates!E:E, Templates!A:A = F2353, Templates!B:B = G2353, Templates!C:C = H2353), ""{{}}"", E2353), B2353)"),"🏘  Vous souhaitez acheter une maison à La Sage? ✅ Jetez un œil aux dernières offres sur ImmoScout24.ch.")</f>
        <v>🏘  Vous souhaitez acheter une maison à La Sage? ✅ Jetez un œil aux dernières offres sur ImmoScout24.ch.</v>
      </c>
      <c r="J2353" s="4" t="s">
        <v>7055</v>
      </c>
    </row>
    <row r="2354">
      <c r="A2354" s="5" t="s">
        <v>7056</v>
      </c>
      <c r="B2354" s="2" t="s">
        <v>7057</v>
      </c>
      <c r="C2354" s="4" t="str">
        <f>IFERROR(__xludf.DUMMYFUNCTION("""🏘️ ""&amp;REGEXEXTRACT(B2354, ""^(.*): "")&amp;"" ✅ "" &amp;REGEXEXTRACT(B2354, ""(Trouvez.*)"")"),"🏘️ Louer appartement Gotthelf (Bâle) ✅ Trouvez le bien immobilier qui correspond idéalement à vos désirs sur ImmoScout24 - La plateforme de l'immobilier en Suisse.")</f>
        <v>🏘️ Louer appartement Gotthelf (Bâle) ✅ Trouvez le bien immobilier qui correspond idéalement à vos désirs sur ImmoScout24 - La plateforme de l'immobilier en Suisse.</v>
      </c>
      <c r="D2354" s="4" t="str">
        <f>vlookup(A2354, Sheet2!D:E, 2, 0)</f>
        <v>variant</v>
      </c>
      <c r="E2354" s="4" t="str">
        <f>IFERROR(__xludf.DUMMYFUNCTION("if(H2354=""pays"",vlookup(REGEXEXTRACT(C2354, ""🏘️ \w+ \w+ (.*) ✅""),'Country prepositions'!A:B, 2, 0) &amp; "" "" &amp; REGEXEXTRACT(C2354, ""🏘️ \w+ \w+ (.*) ✅"") ,  if(H2354=""quartier"",vlookup(REGEXEXTRACT(C2354, ""🏘️ \w+ \w+ (.*) ✅""),'Quartier prepositio"&amp;"ns'!A:E, 5, 0) ,  if(H2354=""region"",vlookup(REGEXEXTRACT(C2354, ""🏘️ \w+ \w+ (.*) ✅""),'Region prepositions'!B:F, 5, 0),  REGEXEXTRACT(C2354, ""🏘️ \w+ \w+ (.*) ✅""))))"),"dans le quartier de Gotthelf (Bâle)")</f>
        <v>dans le quartier de Gotthelf (Bâle)</v>
      </c>
      <c r="F2354" s="2" t="str">
        <f>IFERROR(__xludf.DUMMYFUNCTION("REGEXEXTRACT(C2354, ""🏘️ (\w+) \w+ .* ✅"")"),"Louer")</f>
        <v>Louer</v>
      </c>
      <c r="G2354" s="2" t="str">
        <f>IFERROR(__xludf.DUMMYFUNCTION("REGEXEXTRACT(C2354, ""🏘️ \w+ (\w+) .* ✅"")"),"appartement")</f>
        <v>appartement</v>
      </c>
      <c r="H2354" s="4" t="str">
        <f>IFERROR(__xludf.DUMMYFUNCTION("REGEXEXTRACT(A2354, ""/(\w+)-.*?"")"),"quartier")</f>
        <v>quartier</v>
      </c>
      <c r="I2354" s="4" t="str">
        <f>IFERROR(__xludf.DUMMYFUNCTION("if(D2354=""variant"",  substitute(filter(Templates!E:E, Templates!A:A = F2354, Templates!B:B = G2354, Templates!C:C = H2354), ""{{}}"", E2354), B2354)"),"🏘  Vous cherchez un appartement à louer dans le quartier de Gotthelf (Bâle)? ✅ Les annonces les plus actuelles sont sur ImmoScout24.ch.")</f>
        <v>🏘  Vous cherchez un appartement à louer dans le quartier de Gotthelf (Bâle)? ✅ Les annonces les plus actuelles sont sur ImmoScout24.ch.</v>
      </c>
      <c r="J2354" s="4" t="s">
        <v>7058</v>
      </c>
    </row>
    <row r="2355">
      <c r="A2355" s="5" t="s">
        <v>7059</v>
      </c>
      <c r="B2355" s="2" t="s">
        <v>7060</v>
      </c>
      <c r="C2355" s="4" t="str">
        <f>IFERROR(__xludf.DUMMYFUNCTION("""🏘️ ""&amp;REGEXEXTRACT(B2355, ""^(.*): "")&amp;"" ✅ "" &amp;REGEXEXTRACT(B2355, ""(Trouvez.*)"")"),"🏘️ Vendre maison Grandval ✅ Trouvez le bien immobilier qui correspond idéalement à vos désirs sur ImmoScout24 - La plateforme de l'immobilier en Suisse.")</f>
        <v>🏘️ Vendre maison Grandval ✅ Trouvez le bien immobilier qui correspond idéalement à vos désirs sur ImmoScout24 - La plateforme de l'immobilier en Suisse.</v>
      </c>
      <c r="D2355" s="4" t="str">
        <f>vlookup(A2355, Sheet2!D:E, 2, 0)</f>
        <v>variant</v>
      </c>
      <c r="E2355" s="4" t="str">
        <f>IFERROR(__xludf.DUMMYFUNCTION("if(H2355=""pays"",vlookup(REGEXEXTRACT(C2355, ""🏘️ \w+ \w+ (.*) ✅""),'Country prepositions'!A:B, 2, 0) &amp; "" "" &amp; REGEXEXTRACT(C2355, ""🏘️ \w+ \w+ (.*) ✅"") ,  if(H2355=""quartier"",vlookup(REGEXEXTRACT(C2355, ""🏘️ \w+ \w+ (.*) ✅""),'Quartier prepositio"&amp;"ns'!A:E, 5, 0) ,  if(H2355=""region"",vlookup(REGEXEXTRACT(C2355, ""🏘️ \w+ \w+ (.*) ✅""),'Region prepositions'!B:F, 5, 0),  REGEXEXTRACT(C2355, ""🏘️ \w+ \w+ (.*) ✅""))))"),"Grandval")</f>
        <v>Grandval</v>
      </c>
      <c r="F2355" s="2" t="str">
        <f>IFERROR(__xludf.DUMMYFUNCTION("REGEXEXTRACT(C2355, ""🏘️ (\w+) \w+ .* ✅"")"),"Vendre")</f>
        <v>Vendre</v>
      </c>
      <c r="G2355" s="2" t="str">
        <f>IFERROR(__xludf.DUMMYFUNCTION("REGEXEXTRACT(C2355, ""🏘️ \w+ (\w+) .* ✅"")"),"maison")</f>
        <v>maison</v>
      </c>
      <c r="H2355" s="4" t="str">
        <f>IFERROR(__xludf.DUMMYFUNCTION("REGEXEXTRACT(A2355, ""/(\w+)-.*?"")"),"lieu")</f>
        <v>lieu</v>
      </c>
      <c r="I2355" s="4" t="str">
        <f>IFERROR(__xludf.DUMMYFUNCTION("if(D2355=""variant"",  substitute(filter(Templates!E:E, Templates!A:A = F2355, Templates!B:B = G2355, Templates!C:C = H2355), ""{{}}"", E2355), B2355)"),"🏘  Vous souhaitez acheter une maison à Grandval? ✅ Jetez un œil aux dernières offres sur ImmoScout24.ch.")</f>
        <v>🏘  Vous souhaitez acheter une maison à Grandval? ✅ Jetez un œil aux dernières offres sur ImmoScout24.ch.</v>
      </c>
      <c r="J2355" s="4" t="s">
        <v>7061</v>
      </c>
    </row>
    <row r="2356">
      <c r="A2356" s="5" t="s">
        <v>7062</v>
      </c>
      <c r="B2356" s="2" t="s">
        <v>7063</v>
      </c>
      <c r="C2356" s="4" t="str">
        <f>IFERROR(__xludf.DUMMYFUNCTION("""🏘️ ""&amp;REGEXEXTRACT(B2356, ""^(.*): "")&amp;"" ✅ "" &amp;REGEXEXTRACT(B2356, ""(Trouvez.*)"")"),"🏘️ Vendre appartement Savagnier ✅ Trouvez le bien immobilier qui correspond idéalement à vos désirs sur ImmoScout24 - La plateforme de l'immobilier en Suisse.")</f>
        <v>🏘️ Vendre appartement Savagnier ✅ Trouvez le bien immobilier qui correspond idéalement à vos désirs sur ImmoScout24 - La plateforme de l'immobilier en Suisse.</v>
      </c>
      <c r="D2356" s="4" t="str">
        <f>vlookup(A2356, Sheet2!D:E, 2, 0)</f>
        <v>variant</v>
      </c>
      <c r="E2356" s="4" t="str">
        <f>IFERROR(__xludf.DUMMYFUNCTION("if(H2356=""pays"",vlookup(REGEXEXTRACT(C2356, ""🏘️ \w+ \w+ (.*) ✅""),'Country prepositions'!A:B, 2, 0) &amp; "" "" &amp; REGEXEXTRACT(C2356, ""🏘️ \w+ \w+ (.*) ✅"") ,  if(H2356=""quartier"",vlookup(REGEXEXTRACT(C2356, ""🏘️ \w+ \w+ (.*) ✅""),'Quartier prepositio"&amp;"ns'!A:E, 5, 0) ,  if(H2356=""region"",vlookup(REGEXEXTRACT(C2356, ""🏘️ \w+ \w+ (.*) ✅""),'Region prepositions'!B:F, 5, 0),  REGEXEXTRACT(C2356, ""🏘️ \w+ \w+ (.*) ✅""))))"),"Savagnier")</f>
        <v>Savagnier</v>
      </c>
      <c r="F2356" s="2" t="str">
        <f>IFERROR(__xludf.DUMMYFUNCTION("REGEXEXTRACT(C2356, ""🏘️ (\w+) \w+ .* ✅"")"),"Vendre")</f>
        <v>Vendre</v>
      </c>
      <c r="G2356" s="2" t="str">
        <f>IFERROR(__xludf.DUMMYFUNCTION("REGEXEXTRACT(C2356, ""🏘️ \w+ (\w+) .* ✅"")"),"appartement")</f>
        <v>appartement</v>
      </c>
      <c r="H2356" s="4" t="str">
        <f>IFERROR(__xludf.DUMMYFUNCTION("REGEXEXTRACT(A2356, ""/(\w+)-.*?"")"),"lieu")</f>
        <v>lieu</v>
      </c>
      <c r="I2356" s="4" t="str">
        <f>IFERROR(__xludf.DUMMYFUNCTION("if(D2356=""variant"",  substitute(filter(Templates!E:E, Templates!A:A = F2356, Templates!B:B = G2356, Templates!C:C = H2356), ""{{}}"", E2356), B2356)"),"🏘  L’appartement de vos rêves se trouve sur ImmoScout24.ch ✅ Découvrez les dernières annonces de vente à Savagnier.")</f>
        <v>🏘  L’appartement de vos rêves se trouve sur ImmoScout24.ch ✅ Découvrez les dernières annonces de vente à Savagnier.</v>
      </c>
      <c r="J2356" s="4" t="s">
        <v>7064</v>
      </c>
    </row>
    <row r="2357">
      <c r="A2357" s="5" t="s">
        <v>7065</v>
      </c>
      <c r="B2357" s="2" t="s">
        <v>7066</v>
      </c>
      <c r="C2357" s="4" t="str">
        <f>IFERROR(__xludf.DUMMYFUNCTION("""🏘️ ""&amp;REGEXEXTRACT(B2357, ""^(.*): "")&amp;"" ✅ "" &amp;REGEXEXTRACT(B2357, ""(Trouvez.*)"")"),"🏘️ Vendre maison Soulce ✅ Trouvez le bien immobilier qui correspond idéalement à vos désirs sur ImmoScout24 - La plateforme de l'immobilier en Suisse.")</f>
        <v>🏘️ Vendre maison Soulce ✅ Trouvez le bien immobilier qui correspond idéalement à vos désirs sur ImmoScout24 - La plateforme de l'immobilier en Suisse.</v>
      </c>
      <c r="D2357" s="4" t="str">
        <f>vlookup(A2357, Sheet2!D:E, 2, 0)</f>
        <v>variant</v>
      </c>
      <c r="E2357" s="4" t="str">
        <f>IFERROR(__xludf.DUMMYFUNCTION("if(H2357=""pays"",vlookup(REGEXEXTRACT(C2357, ""🏘️ \w+ \w+ (.*) ✅""),'Country prepositions'!A:B, 2, 0) &amp; "" "" &amp; REGEXEXTRACT(C2357, ""🏘️ \w+ \w+ (.*) ✅"") ,  if(H2357=""quartier"",vlookup(REGEXEXTRACT(C2357, ""🏘️ \w+ \w+ (.*) ✅""),'Quartier prepositio"&amp;"ns'!A:E, 5, 0) ,  if(H2357=""region"",vlookup(REGEXEXTRACT(C2357, ""🏘️ \w+ \w+ (.*) ✅""),'Region prepositions'!B:F, 5, 0),  REGEXEXTRACT(C2357, ""🏘️ \w+ \w+ (.*) ✅""))))"),"Soulce")</f>
        <v>Soulce</v>
      </c>
      <c r="F2357" s="2" t="str">
        <f>IFERROR(__xludf.DUMMYFUNCTION("REGEXEXTRACT(C2357, ""🏘️ (\w+) \w+ .* ✅"")"),"Vendre")</f>
        <v>Vendre</v>
      </c>
      <c r="G2357" s="2" t="str">
        <f>IFERROR(__xludf.DUMMYFUNCTION("REGEXEXTRACT(C2357, ""🏘️ \w+ (\w+) .* ✅"")"),"maison")</f>
        <v>maison</v>
      </c>
      <c r="H2357" s="4" t="str">
        <f>IFERROR(__xludf.DUMMYFUNCTION("REGEXEXTRACT(A2357, ""/(\w+)-.*?"")"),"lieu")</f>
        <v>lieu</v>
      </c>
      <c r="I2357" s="4" t="str">
        <f>IFERROR(__xludf.DUMMYFUNCTION("if(D2357=""variant"",  substitute(filter(Templates!E:E, Templates!A:A = F2357, Templates!B:B = G2357, Templates!C:C = H2357), ""{{}}"", E2357), B2357)"),"🏘  Vous souhaitez acheter une maison à Soulce? ✅ Jetez un œil aux dernières offres sur ImmoScout24.ch.")</f>
        <v>🏘  Vous souhaitez acheter une maison à Soulce? ✅ Jetez un œil aux dernières offres sur ImmoScout24.ch.</v>
      </c>
      <c r="J2357" s="4" t="s">
        <v>7067</v>
      </c>
    </row>
    <row r="2358">
      <c r="A2358" s="5" t="s">
        <v>7068</v>
      </c>
      <c r="B2358" s="2" t="s">
        <v>7069</v>
      </c>
      <c r="C2358" s="4" t="str">
        <f>IFERROR(__xludf.DUMMYFUNCTION("""🏘️ ""&amp;REGEXEXTRACT(B2358, ""^(.*): "")&amp;"" ✅ "" &amp;REGEXEXTRACT(B2358, ""(Trouvez.*)"")"),"🏘️ Vendre maison Forel-sur-Lucens ✅ Trouvez le bien immobilier qui correspond idéalement à vos désirs sur ImmoScout24 - La plateforme de l'immobilier en Suisse.")</f>
        <v>🏘️ Vendre maison Forel-sur-Lucens ✅ Trouvez le bien immobilier qui correspond idéalement à vos désirs sur ImmoScout24 - La plateforme de l'immobilier en Suisse.</v>
      </c>
      <c r="D2358" s="4" t="str">
        <f>vlookup(A2358, Sheet2!D:E, 2, 0)</f>
        <v>variant</v>
      </c>
      <c r="E2358" s="4" t="str">
        <f>IFERROR(__xludf.DUMMYFUNCTION("if(H2358=""pays"",vlookup(REGEXEXTRACT(C2358, ""🏘️ \w+ \w+ (.*) ✅""),'Country prepositions'!A:B, 2, 0) &amp; "" "" &amp; REGEXEXTRACT(C2358, ""🏘️ \w+ \w+ (.*) ✅"") ,  if(H2358=""quartier"",vlookup(REGEXEXTRACT(C2358, ""🏘️ \w+ \w+ (.*) ✅""),'Quartier prepositio"&amp;"ns'!A:E, 5, 0) ,  if(H2358=""region"",vlookup(REGEXEXTRACT(C2358, ""🏘️ \w+ \w+ (.*) ✅""),'Region prepositions'!B:F, 5, 0),  REGEXEXTRACT(C2358, ""🏘️ \w+ \w+ (.*) ✅""))))"),"Forel-sur-Lucens")</f>
        <v>Forel-sur-Lucens</v>
      </c>
      <c r="F2358" s="2" t="str">
        <f>IFERROR(__xludf.DUMMYFUNCTION("REGEXEXTRACT(C2358, ""🏘️ (\w+) \w+ .* ✅"")"),"Vendre")</f>
        <v>Vendre</v>
      </c>
      <c r="G2358" s="2" t="str">
        <f>IFERROR(__xludf.DUMMYFUNCTION("REGEXEXTRACT(C2358, ""🏘️ \w+ (\w+) .* ✅"")"),"maison")</f>
        <v>maison</v>
      </c>
      <c r="H2358" s="4" t="str">
        <f>IFERROR(__xludf.DUMMYFUNCTION("REGEXEXTRACT(A2358, ""/(\w+)-.*?"")"),"lieu")</f>
        <v>lieu</v>
      </c>
      <c r="I2358" s="4" t="str">
        <f>IFERROR(__xludf.DUMMYFUNCTION("if(D2358=""variant"",  substitute(filter(Templates!E:E, Templates!A:A = F2358, Templates!B:B = G2358, Templates!C:C = H2358), ""{{}}"", E2358), B2358)"),"🏘  Vous souhaitez acheter une maison à Forel-sur-Lucens? ✅ Jetez un œil aux dernières offres sur ImmoScout24.ch.")</f>
        <v>🏘  Vous souhaitez acheter une maison à Forel-sur-Lucens? ✅ Jetez un œil aux dernières offres sur ImmoScout24.ch.</v>
      </c>
      <c r="J2358" s="4" t="s">
        <v>7070</v>
      </c>
    </row>
    <row r="2359">
      <c r="A2359" s="5" t="s">
        <v>7071</v>
      </c>
      <c r="B2359" s="2" t="s">
        <v>7072</v>
      </c>
      <c r="C2359" s="4" t="str">
        <f>IFERROR(__xludf.DUMMYFUNCTION("""🏘️ ""&amp;REGEXEXTRACT(B2359, ""^(.*): "")&amp;"" ✅ "" &amp;REGEXEXTRACT(B2359, ""(Trouvez.*)"")"),"🏘️ Vendre maison Boussens ✅ Trouvez le bien immobilier qui correspond idéalement à vos désirs sur ImmoScout24 - La plateforme de l'immobilier en Suisse.")</f>
        <v>🏘️ Vendre maison Boussens ✅ Trouvez le bien immobilier qui correspond idéalement à vos désirs sur ImmoScout24 - La plateforme de l'immobilier en Suisse.</v>
      </c>
      <c r="D2359" s="4" t="str">
        <f>vlookup(A2359, Sheet2!D:E, 2, 0)</f>
        <v>variant</v>
      </c>
      <c r="E2359" s="4" t="str">
        <f>IFERROR(__xludf.DUMMYFUNCTION("if(H2359=""pays"",vlookup(REGEXEXTRACT(C2359, ""🏘️ \w+ \w+ (.*) ✅""),'Country prepositions'!A:B, 2, 0) &amp; "" "" &amp; REGEXEXTRACT(C2359, ""🏘️ \w+ \w+ (.*) ✅"") ,  if(H2359=""quartier"",vlookup(REGEXEXTRACT(C2359, ""🏘️ \w+ \w+ (.*) ✅""),'Quartier prepositio"&amp;"ns'!A:E, 5, 0) ,  if(H2359=""region"",vlookup(REGEXEXTRACT(C2359, ""🏘️ \w+ \w+ (.*) ✅""),'Region prepositions'!B:F, 5, 0),  REGEXEXTRACT(C2359, ""🏘️ \w+ \w+ (.*) ✅""))))"),"Boussens")</f>
        <v>Boussens</v>
      </c>
      <c r="F2359" s="2" t="str">
        <f>IFERROR(__xludf.DUMMYFUNCTION("REGEXEXTRACT(C2359, ""🏘️ (\w+) \w+ .* ✅"")"),"Vendre")</f>
        <v>Vendre</v>
      </c>
      <c r="G2359" s="2" t="str">
        <f>IFERROR(__xludf.DUMMYFUNCTION("REGEXEXTRACT(C2359, ""🏘️ \w+ (\w+) .* ✅"")"),"maison")</f>
        <v>maison</v>
      </c>
      <c r="H2359" s="4" t="str">
        <f>IFERROR(__xludf.DUMMYFUNCTION("REGEXEXTRACT(A2359, ""/(\w+)-.*?"")"),"lieu")</f>
        <v>lieu</v>
      </c>
      <c r="I2359" s="4" t="str">
        <f>IFERROR(__xludf.DUMMYFUNCTION("if(D2359=""variant"",  substitute(filter(Templates!E:E, Templates!A:A = F2359, Templates!B:B = G2359, Templates!C:C = H2359), ""{{}}"", E2359), B2359)"),"🏘  Vous souhaitez acheter une maison à Boussens? ✅ Jetez un œil aux dernières offres sur ImmoScout24.ch.")</f>
        <v>🏘  Vous souhaitez acheter une maison à Boussens? ✅ Jetez un œil aux dernières offres sur ImmoScout24.ch.</v>
      </c>
      <c r="J2359" s="4" t="s">
        <v>7073</v>
      </c>
    </row>
    <row r="2360">
      <c r="A2360" s="5" t="s">
        <v>7074</v>
      </c>
      <c r="B2360" s="2" t="s">
        <v>7075</v>
      </c>
      <c r="C2360" s="4" t="str">
        <f>IFERROR(__xludf.DUMMYFUNCTION("""🏘️ ""&amp;REGEXEXTRACT(B2360, ""^(.*): "")&amp;"" ✅ "" &amp;REGEXEXTRACT(B2360, ""(Trouvez.*)"")"),"🏘️ Louer maison Lengnau BE ✅ Trouvez le bien immobilier qui correspond idéalement à vos désirs sur ImmoScout24 - La plateforme de l'immobilier en Suisse.")</f>
        <v>🏘️ Louer maison Lengnau BE ✅ Trouvez le bien immobilier qui correspond idéalement à vos désirs sur ImmoScout24 - La plateforme de l'immobilier en Suisse.</v>
      </c>
      <c r="D2360" s="4" t="str">
        <f>vlookup(A2360, Sheet2!D:E, 2, 0)</f>
        <v>variant</v>
      </c>
      <c r="E2360" s="4" t="str">
        <f>IFERROR(__xludf.DUMMYFUNCTION("if(H2360=""pays"",vlookup(REGEXEXTRACT(C2360, ""🏘️ \w+ \w+ (.*) ✅""),'Country prepositions'!A:B, 2, 0) &amp; "" "" &amp; REGEXEXTRACT(C2360, ""🏘️ \w+ \w+ (.*) ✅"") ,  if(H2360=""quartier"",vlookup(REGEXEXTRACT(C2360, ""🏘️ \w+ \w+ (.*) ✅""),'Quartier prepositio"&amp;"ns'!A:E, 5, 0) ,  if(H2360=""region"",vlookup(REGEXEXTRACT(C2360, ""🏘️ \w+ \w+ (.*) ✅""),'Region prepositions'!B:F, 5, 0),  REGEXEXTRACT(C2360, ""🏘️ \w+ \w+ (.*) ✅""))))"),"Lengnau BE")</f>
        <v>Lengnau BE</v>
      </c>
      <c r="F2360" s="2" t="str">
        <f>IFERROR(__xludf.DUMMYFUNCTION("REGEXEXTRACT(C2360, ""🏘️ (\w+) \w+ .* ✅"")"),"Louer")</f>
        <v>Louer</v>
      </c>
      <c r="G2360" s="2" t="str">
        <f>IFERROR(__xludf.DUMMYFUNCTION("REGEXEXTRACT(C2360, ""🏘️ \w+ (\w+) .* ✅"")"),"maison")</f>
        <v>maison</v>
      </c>
      <c r="H2360" s="4" t="str">
        <f>IFERROR(__xludf.DUMMYFUNCTION("REGEXEXTRACT(A2360, ""/(\w+)-.*?"")"),"lieu")</f>
        <v>lieu</v>
      </c>
      <c r="I2360" s="4" t="str">
        <f>IFERROR(__xludf.DUMMYFUNCTION("if(D2360=""variant"",  substitute(filter(Templates!E:E, Templates!A:A = F2360, Templates!B:B = G2360, Templates!C:C = H2360), ""{{}}"", E2360), B2360)"),"🏘  Vous cherchez une maison à louer à Lengnau BE? ✅ Découvrez nos nombreuses annonces sur ImmoScout24.ch.")</f>
        <v>🏘  Vous cherchez une maison à louer à Lengnau BE? ✅ Découvrez nos nombreuses annonces sur ImmoScout24.ch.</v>
      </c>
      <c r="J2360" s="2" t="s">
        <v>7076</v>
      </c>
    </row>
    <row r="2361">
      <c r="A2361" s="5" t="s">
        <v>7077</v>
      </c>
      <c r="B2361" s="2" t="s">
        <v>7078</v>
      </c>
      <c r="C2361" s="4" t="str">
        <f>IFERROR(__xludf.DUMMYFUNCTION("""🏘️ ""&amp;REGEXEXTRACT(B2361, ""^(.*): "")&amp;"" ✅ "" &amp;REGEXEXTRACT(B2361, ""(Trouvez.*)"")"),"🏘️ Vendre appartement Olten ✅ Trouvez le bien immobilier qui correspond idéalement à vos désirs sur ImmoScout24 - La plateforme de l'immobilier en Suisse.")</f>
        <v>🏘️ Vendre appartement Olten ✅ Trouvez le bien immobilier qui correspond idéalement à vos désirs sur ImmoScout24 - La plateforme de l'immobilier en Suisse.</v>
      </c>
      <c r="D2361" s="4" t="str">
        <f>vlookup(A2361, Sheet2!D:E, 2, 0)</f>
        <v>variant</v>
      </c>
      <c r="E2361" s="4" t="str">
        <f>IFERROR(__xludf.DUMMYFUNCTION("if(H2361=""pays"",vlookup(REGEXEXTRACT(C2361, ""🏘️ \w+ \w+ (.*) ✅""),'Country prepositions'!A:B, 2, 0) &amp; "" "" &amp; REGEXEXTRACT(C2361, ""🏘️ \w+ \w+ (.*) ✅"") ,  if(H2361=""quartier"",vlookup(REGEXEXTRACT(C2361, ""🏘️ \w+ \w+ (.*) ✅""),'Quartier prepositio"&amp;"ns'!A:E, 5, 0) ,  if(H2361=""region"",vlookup(REGEXEXTRACT(C2361, ""🏘️ \w+ \w+ (.*) ✅""),'Region prepositions'!B:F, 5, 0),  REGEXEXTRACT(C2361, ""🏘️ \w+ \w+ (.*) ✅""))))"),"Olten")</f>
        <v>Olten</v>
      </c>
      <c r="F2361" s="2" t="str">
        <f>IFERROR(__xludf.DUMMYFUNCTION("REGEXEXTRACT(C2361, ""🏘️ (\w+) \w+ .* ✅"")"),"Vendre")</f>
        <v>Vendre</v>
      </c>
      <c r="G2361" s="2" t="str">
        <f>IFERROR(__xludf.DUMMYFUNCTION("REGEXEXTRACT(C2361, ""🏘️ \w+ (\w+) .* ✅"")"),"appartement")</f>
        <v>appartement</v>
      </c>
      <c r="H2361" s="4" t="str">
        <f>IFERROR(__xludf.DUMMYFUNCTION("REGEXEXTRACT(A2361, ""/(\w+)-.*?"")"),"lieu")</f>
        <v>lieu</v>
      </c>
      <c r="I2361" s="4" t="str">
        <f>IFERROR(__xludf.DUMMYFUNCTION("if(D2361=""variant"",  substitute(filter(Templates!E:E, Templates!A:A = F2361, Templates!B:B = G2361, Templates!C:C = H2361), ""{{}}"", E2361), B2361)"),"🏘  L’appartement de vos rêves se trouve sur ImmoScout24.ch ✅ Découvrez les dernières annonces de vente à Olten.")</f>
        <v>🏘  L’appartement de vos rêves se trouve sur ImmoScout24.ch ✅ Découvrez les dernières annonces de vente à Olten.</v>
      </c>
      <c r="J2361" s="4" t="s">
        <v>7079</v>
      </c>
    </row>
    <row r="2362">
      <c r="A2362" s="5" t="s">
        <v>7080</v>
      </c>
      <c r="B2362" s="2" t="s">
        <v>7081</v>
      </c>
      <c r="C2362" s="4" t="str">
        <f>IFERROR(__xludf.DUMMYFUNCTION("""🏘️ ""&amp;REGEXEXTRACT(B2362, ""^(.*): "")&amp;"" ✅ "" &amp;REGEXEXTRACT(B2362, ""(Trouvez.*)"")"),"🏘️ Louer appartement Presinge ✅ Trouvez le bien immobilier qui correspond idéalement à vos désirs sur ImmoScout24 - La plateforme de l'immobilier en Suisse.")</f>
        <v>🏘️ Louer appartement Presinge ✅ Trouvez le bien immobilier qui correspond idéalement à vos désirs sur ImmoScout24 - La plateforme de l'immobilier en Suisse.</v>
      </c>
      <c r="D2362" s="4" t="str">
        <f>vlookup(A2362, Sheet2!D:E, 2, 0)</f>
        <v>variant</v>
      </c>
      <c r="E2362" s="4" t="str">
        <f>IFERROR(__xludf.DUMMYFUNCTION("if(H2362=""pays"",vlookup(REGEXEXTRACT(C2362, ""🏘️ \w+ \w+ (.*) ✅""),'Country prepositions'!A:B, 2, 0) &amp; "" "" &amp; REGEXEXTRACT(C2362, ""🏘️ \w+ \w+ (.*) ✅"") ,  if(H2362=""quartier"",vlookup(REGEXEXTRACT(C2362, ""🏘️ \w+ \w+ (.*) ✅""),'Quartier prepositio"&amp;"ns'!A:E, 5, 0) ,  if(H2362=""region"",vlookup(REGEXEXTRACT(C2362, ""🏘️ \w+ \w+ (.*) ✅""),'Region prepositions'!B:F, 5, 0),  REGEXEXTRACT(C2362, ""🏘️ \w+ \w+ (.*) ✅""))))"),"Presinge")</f>
        <v>Presinge</v>
      </c>
      <c r="F2362" s="2" t="str">
        <f>IFERROR(__xludf.DUMMYFUNCTION("REGEXEXTRACT(C2362, ""🏘️ (\w+) \w+ .* ✅"")"),"Louer")</f>
        <v>Louer</v>
      </c>
      <c r="G2362" s="2" t="str">
        <f>IFERROR(__xludf.DUMMYFUNCTION("REGEXEXTRACT(C2362, ""🏘️ \w+ (\w+) .* ✅"")"),"appartement")</f>
        <v>appartement</v>
      </c>
      <c r="H2362" s="4" t="str">
        <f>IFERROR(__xludf.DUMMYFUNCTION("REGEXEXTRACT(A2362, ""/(\w+)-.*?"")"),"lieu")</f>
        <v>lieu</v>
      </c>
      <c r="I2362" s="4" t="str">
        <f>IFERROR(__xludf.DUMMYFUNCTION("if(D2362=""variant"",  substitute(filter(Templates!E:E, Templates!A:A = F2362, Templates!B:B = G2362, Templates!C:C = H2362), ""{{}}"", E2362), B2362)"),"🏘  Vous cherchez un appartement à louer à Presinge? ✅ Les annonces les plus actuelles sont sur ImmoScout24.ch.")</f>
        <v>🏘  Vous cherchez un appartement à louer à Presinge? ✅ Les annonces les plus actuelles sont sur ImmoScout24.ch.</v>
      </c>
      <c r="J2362" s="4" t="s">
        <v>7082</v>
      </c>
    </row>
    <row r="2363">
      <c r="A2363" s="5" t="s">
        <v>7083</v>
      </c>
      <c r="B2363" s="2" t="s">
        <v>7084</v>
      </c>
      <c r="C2363" s="4" t="str">
        <f>IFERROR(__xludf.DUMMYFUNCTION("""🏘️ ""&amp;REGEXEXTRACT(B2363, ""^(.*): "")&amp;"" ✅ "" &amp;REGEXEXTRACT(B2363, ""(Trouvez.*)"")"),"🏘️ Louer appartement Menznau ✅ Trouvez le bien immobilier qui correspond idéalement à vos désirs sur ImmoScout24 - La plateforme de l'immobilier en Suisse.")</f>
        <v>🏘️ Louer appartement Menznau ✅ Trouvez le bien immobilier qui correspond idéalement à vos désirs sur ImmoScout24 - La plateforme de l'immobilier en Suisse.</v>
      </c>
      <c r="D2363" s="4" t="str">
        <f>vlookup(A2363, Sheet2!D:E, 2, 0)</f>
        <v>variant</v>
      </c>
      <c r="E2363" s="4" t="str">
        <f>IFERROR(__xludf.DUMMYFUNCTION("if(H2363=""pays"",vlookup(REGEXEXTRACT(C2363, ""🏘️ \w+ \w+ (.*) ✅""),'Country prepositions'!A:B, 2, 0) &amp; "" "" &amp; REGEXEXTRACT(C2363, ""🏘️ \w+ \w+ (.*) ✅"") ,  if(H2363=""quartier"",vlookup(REGEXEXTRACT(C2363, ""🏘️ \w+ \w+ (.*) ✅""),'Quartier prepositio"&amp;"ns'!A:E, 5, 0) ,  if(H2363=""region"",vlookup(REGEXEXTRACT(C2363, ""🏘️ \w+ \w+ (.*) ✅""),'Region prepositions'!B:F, 5, 0),  REGEXEXTRACT(C2363, ""🏘️ \w+ \w+ (.*) ✅""))))"),"Menznau")</f>
        <v>Menznau</v>
      </c>
      <c r="F2363" s="2" t="str">
        <f>IFERROR(__xludf.DUMMYFUNCTION("REGEXEXTRACT(C2363, ""🏘️ (\w+) \w+ .* ✅"")"),"Louer")</f>
        <v>Louer</v>
      </c>
      <c r="G2363" s="2" t="str">
        <f>IFERROR(__xludf.DUMMYFUNCTION("REGEXEXTRACT(C2363, ""🏘️ \w+ (\w+) .* ✅"")"),"appartement")</f>
        <v>appartement</v>
      </c>
      <c r="H2363" s="4" t="str">
        <f>IFERROR(__xludf.DUMMYFUNCTION("REGEXEXTRACT(A2363, ""/(\w+)-.*?"")"),"lieu")</f>
        <v>lieu</v>
      </c>
      <c r="I2363" s="4" t="str">
        <f>IFERROR(__xludf.DUMMYFUNCTION("if(D2363=""variant"",  substitute(filter(Templates!E:E, Templates!A:A = F2363, Templates!B:B = G2363, Templates!C:C = H2363), ""{{}}"", E2363), B2363)"),"🏘  Vous cherchez un appartement à louer à Menznau? ✅ Les annonces les plus actuelles sont sur ImmoScout24.ch.")</f>
        <v>🏘  Vous cherchez un appartement à louer à Menznau? ✅ Les annonces les plus actuelles sont sur ImmoScout24.ch.</v>
      </c>
      <c r="J2363" s="4" t="s">
        <v>7085</v>
      </c>
    </row>
    <row r="2364">
      <c r="A2364" s="5" t="s">
        <v>7086</v>
      </c>
      <c r="B2364" s="2" t="s">
        <v>7087</v>
      </c>
      <c r="C2364" s="4" t="str">
        <f>IFERROR(__xludf.DUMMYFUNCTION("""🏘️ ""&amp;REGEXEXTRACT(B2364, ""^(.*): "")&amp;"" ✅ "" &amp;REGEXEXTRACT(B2364, ""(Trouvez.*)"")"),"🏘️ Louer maison Le Crêt-du-Locle ✅ Trouvez le bien immobilier qui correspond idéalement à vos désirs sur ImmoScout24 - La plateforme de l'immobilier en Suisse.")</f>
        <v>🏘️ Louer maison Le Crêt-du-Locle ✅ Trouvez le bien immobilier qui correspond idéalement à vos désirs sur ImmoScout24 - La plateforme de l'immobilier en Suisse.</v>
      </c>
      <c r="D2364" s="4" t="str">
        <f>vlookup(A2364, Sheet2!D:E, 2, 0)</f>
        <v>variant</v>
      </c>
      <c r="E2364" s="4" t="str">
        <f>IFERROR(__xludf.DUMMYFUNCTION("if(H2364=""pays"",vlookup(REGEXEXTRACT(C2364, ""🏘️ \w+ \w+ (.*) ✅""),'Country prepositions'!A:B, 2, 0) &amp; "" "" &amp; REGEXEXTRACT(C2364, ""🏘️ \w+ \w+ (.*) ✅"") ,  if(H2364=""quartier"",vlookup(REGEXEXTRACT(C2364, ""🏘️ \w+ \w+ (.*) ✅""),'Quartier prepositio"&amp;"ns'!A:E, 5, 0) ,  if(H2364=""region"",vlookup(REGEXEXTRACT(C2364, ""🏘️ \w+ \w+ (.*) ✅""),'Region prepositions'!B:F, 5, 0),  REGEXEXTRACT(C2364, ""🏘️ \w+ \w+ (.*) ✅""))))"),"Le Crêt-du-Locle")</f>
        <v>Le Crêt-du-Locle</v>
      </c>
      <c r="F2364" s="2" t="str">
        <f>IFERROR(__xludf.DUMMYFUNCTION("REGEXEXTRACT(C2364, ""🏘️ (\w+) \w+ .* ✅"")"),"Louer")</f>
        <v>Louer</v>
      </c>
      <c r="G2364" s="2" t="str">
        <f>IFERROR(__xludf.DUMMYFUNCTION("REGEXEXTRACT(C2364, ""🏘️ \w+ (\w+) .* ✅"")"),"maison")</f>
        <v>maison</v>
      </c>
      <c r="H2364" s="4" t="str">
        <f>IFERROR(__xludf.DUMMYFUNCTION("REGEXEXTRACT(A2364, ""/(\w+)-.*?"")"),"lieu")</f>
        <v>lieu</v>
      </c>
      <c r="I2364" s="4" t="str">
        <f>IFERROR(__xludf.DUMMYFUNCTION("if(D2364=""variant"",  substitute(filter(Templates!E:E, Templates!A:A = F2364, Templates!B:B = G2364, Templates!C:C = H2364), ""{{}}"", E2364), B2364)"),"🏘  Vous cherchez une maison à louer à Le Crêt-du-Locle? ✅ Découvrez nos nombreuses annonces sur ImmoScout24.ch.")</f>
        <v>🏘  Vous cherchez une maison à louer à Le Crêt-du-Locle? ✅ Découvrez nos nombreuses annonces sur ImmoScout24.ch.</v>
      </c>
      <c r="J2364" s="2" t="s">
        <v>7088</v>
      </c>
    </row>
    <row r="2365">
      <c r="A2365" s="5" t="s">
        <v>7089</v>
      </c>
      <c r="B2365" s="2" t="s">
        <v>7090</v>
      </c>
      <c r="C2365" s="4" t="str">
        <f>IFERROR(__xludf.DUMMYFUNCTION("""🏘️ ""&amp;REGEXEXTRACT(B2365, ""^(.*): "")&amp;"" ✅ "" &amp;REGEXEXTRACT(B2365, ""(Trouvez.*)"")"),"🏘️ Louer appartement Gerzensee ✅ Trouvez le bien immobilier qui correspond idéalement à vos désirs sur ImmoScout24 - La plateforme de l'immobilier en Suisse.")</f>
        <v>🏘️ Louer appartement Gerzensee ✅ Trouvez le bien immobilier qui correspond idéalement à vos désirs sur ImmoScout24 - La plateforme de l'immobilier en Suisse.</v>
      </c>
      <c r="D2365" s="4" t="str">
        <f>vlookup(A2365, Sheet2!D:E, 2, 0)</f>
        <v>variant</v>
      </c>
      <c r="E2365" s="4" t="str">
        <f>IFERROR(__xludf.DUMMYFUNCTION("if(H2365=""pays"",vlookup(REGEXEXTRACT(C2365, ""🏘️ \w+ \w+ (.*) ✅""),'Country prepositions'!A:B, 2, 0) &amp; "" "" &amp; REGEXEXTRACT(C2365, ""🏘️ \w+ \w+ (.*) ✅"") ,  if(H2365=""quartier"",vlookup(REGEXEXTRACT(C2365, ""🏘️ \w+ \w+ (.*) ✅""),'Quartier prepositio"&amp;"ns'!A:E, 5, 0) ,  if(H2365=""region"",vlookup(REGEXEXTRACT(C2365, ""🏘️ \w+ \w+ (.*) ✅""),'Region prepositions'!B:F, 5, 0),  REGEXEXTRACT(C2365, ""🏘️ \w+ \w+ (.*) ✅""))))"),"Gerzensee")</f>
        <v>Gerzensee</v>
      </c>
      <c r="F2365" s="2" t="str">
        <f>IFERROR(__xludf.DUMMYFUNCTION("REGEXEXTRACT(C2365, ""🏘️ (\w+) \w+ .* ✅"")"),"Louer")</f>
        <v>Louer</v>
      </c>
      <c r="G2365" s="2" t="str">
        <f>IFERROR(__xludf.DUMMYFUNCTION("REGEXEXTRACT(C2365, ""🏘️ \w+ (\w+) .* ✅"")"),"appartement")</f>
        <v>appartement</v>
      </c>
      <c r="H2365" s="4" t="str">
        <f>IFERROR(__xludf.DUMMYFUNCTION("REGEXEXTRACT(A2365, ""/(\w+)-.*?"")"),"lieu")</f>
        <v>lieu</v>
      </c>
      <c r="I2365" s="4" t="str">
        <f>IFERROR(__xludf.DUMMYFUNCTION("if(D2365=""variant"",  substitute(filter(Templates!E:E, Templates!A:A = F2365, Templates!B:B = G2365, Templates!C:C = H2365), ""{{}}"", E2365), B2365)"),"🏘  Vous cherchez un appartement à louer à Gerzensee? ✅ Les annonces les plus actuelles sont sur ImmoScout24.ch.")</f>
        <v>🏘  Vous cherchez un appartement à louer à Gerzensee? ✅ Les annonces les plus actuelles sont sur ImmoScout24.ch.</v>
      </c>
      <c r="J2365" s="4" t="s">
        <v>7091</v>
      </c>
    </row>
    <row r="2366">
      <c r="A2366" s="5" t="s">
        <v>7092</v>
      </c>
      <c r="B2366" s="2" t="s">
        <v>7093</v>
      </c>
      <c r="C2366" s="4" t="str">
        <f>IFERROR(__xludf.DUMMYFUNCTION("""🏘️ ""&amp;REGEXEXTRACT(B2366, ""^(.*): "")&amp;"" ✅ "" &amp;REGEXEXTRACT(B2366, ""(Trouvez.*)"")"),"🏘️ Louer maison Valais Central ✅ Trouvez le bien immobilier qui correspond idéalement à vos désirs sur ImmoScout24 - La plateforme de l'immobilier en Suisse.")</f>
        <v>🏘️ Louer maison Valais Central ✅ Trouvez le bien immobilier qui correspond idéalement à vos désirs sur ImmoScout24 - La plateforme de l'immobilier en Suisse.</v>
      </c>
      <c r="D2366" s="4" t="str">
        <f>vlookup(A2366, Sheet2!D:E, 2, 0)</f>
        <v>variant</v>
      </c>
      <c r="E2366" s="4" t="str">
        <f>IFERROR(__xludf.DUMMYFUNCTION("if(H2366=""pays"",vlookup(REGEXEXTRACT(C2366, ""🏘️ \w+ \w+ (.*) ✅""),'Country prepositions'!A:B, 2, 0) &amp; "" "" &amp; REGEXEXTRACT(C2366, ""🏘️ \w+ \w+ (.*) ✅"") ,  if(H2366=""quartier"",vlookup(REGEXEXTRACT(C2366, ""🏘️ \w+ \w+ (.*) ✅""),'Quartier prepositio"&amp;"ns'!A:E, 5, 0) ,  if(H2366=""region"",vlookup(REGEXEXTRACT(C2366, ""🏘️ \w+ \w+ (.*) ✅""),'Region prepositions'!B:F, 5, 0),  REGEXEXTRACT(C2366, ""🏘️ \w+ \w+ (.*) ✅""))))"),"en  Valais central")</f>
        <v>en  Valais central</v>
      </c>
      <c r="F2366" s="2" t="str">
        <f>IFERROR(__xludf.DUMMYFUNCTION("REGEXEXTRACT(C2366, ""🏘️ (\w+) \w+ .* ✅"")"),"Louer")</f>
        <v>Louer</v>
      </c>
      <c r="G2366" s="2" t="str">
        <f>IFERROR(__xludf.DUMMYFUNCTION("REGEXEXTRACT(C2366, ""🏘️ \w+ (\w+) .* ✅"")"),"maison")</f>
        <v>maison</v>
      </c>
      <c r="H2366" s="4" t="str">
        <f>IFERROR(__xludf.DUMMYFUNCTION("REGEXEXTRACT(A2366, ""/(\w+)-.*?"")"),"region")</f>
        <v>region</v>
      </c>
      <c r="I2366" s="4" t="str">
        <f>IFERROR(__xludf.DUMMYFUNCTION("if(D2366=""variant"",  substitute(filter(Templates!E:E, Templates!A:A = F2366, Templates!B:B = G2366, Templates!C:C = H2366), ""{{}}"", E2366), B2366)"),"🏘  Vous cherchez une maison à louer en  Valais central? ✅ Découvrez nos nombreuses annonces sur ImmoScout24.ch.")</f>
        <v>🏘  Vous cherchez une maison à louer en  Valais central? ✅ Découvrez nos nombreuses annonces sur ImmoScout24.ch.</v>
      </c>
      <c r="J2366" s="4" t="s">
        <v>7094</v>
      </c>
    </row>
    <row r="2367">
      <c r="A2367" s="5" t="s">
        <v>7095</v>
      </c>
      <c r="B2367" s="2" t="s">
        <v>7096</v>
      </c>
      <c r="C2367" s="4" t="str">
        <f>IFERROR(__xludf.DUMMYFUNCTION("""🏘️ ""&amp;REGEXEXTRACT(B2367, ""^(.*): "")&amp;"" ✅ "" &amp;REGEXEXTRACT(B2367, ""(Trouvez.*)"")"),"🏘️ Vendre maison Bussy-Chardonney ✅ Trouvez le bien immobilier qui correspond idéalement à vos désirs sur ImmoScout24 - La plateforme de l'immobilier en Suisse.")</f>
        <v>🏘️ Vendre maison Bussy-Chardonney ✅ Trouvez le bien immobilier qui correspond idéalement à vos désirs sur ImmoScout24 - La plateforme de l'immobilier en Suisse.</v>
      </c>
      <c r="D2367" s="4" t="str">
        <f>vlookup(A2367, Sheet2!D:E, 2, 0)</f>
        <v>variant</v>
      </c>
      <c r="E2367" s="4" t="str">
        <f>IFERROR(__xludf.DUMMYFUNCTION("if(H2367=""pays"",vlookup(REGEXEXTRACT(C2367, ""🏘️ \w+ \w+ (.*) ✅""),'Country prepositions'!A:B, 2, 0) &amp; "" "" &amp; REGEXEXTRACT(C2367, ""🏘️ \w+ \w+ (.*) ✅"") ,  if(H2367=""quartier"",vlookup(REGEXEXTRACT(C2367, ""🏘️ \w+ \w+ (.*) ✅""),'Quartier prepositio"&amp;"ns'!A:E, 5, 0) ,  if(H2367=""region"",vlookup(REGEXEXTRACT(C2367, ""🏘️ \w+ \w+ (.*) ✅""),'Region prepositions'!B:F, 5, 0),  REGEXEXTRACT(C2367, ""🏘️ \w+ \w+ (.*) ✅""))))"),"Bussy-Chardonney")</f>
        <v>Bussy-Chardonney</v>
      </c>
      <c r="F2367" s="2" t="str">
        <f>IFERROR(__xludf.DUMMYFUNCTION("REGEXEXTRACT(C2367, ""🏘️ (\w+) \w+ .* ✅"")"),"Vendre")</f>
        <v>Vendre</v>
      </c>
      <c r="G2367" s="2" t="str">
        <f>IFERROR(__xludf.DUMMYFUNCTION("REGEXEXTRACT(C2367, ""🏘️ \w+ (\w+) .* ✅"")"),"maison")</f>
        <v>maison</v>
      </c>
      <c r="H2367" s="4" t="str">
        <f>IFERROR(__xludf.DUMMYFUNCTION("REGEXEXTRACT(A2367, ""/(\w+)-.*?"")"),"lieu")</f>
        <v>lieu</v>
      </c>
      <c r="I2367" s="4" t="str">
        <f>IFERROR(__xludf.DUMMYFUNCTION("if(D2367=""variant"",  substitute(filter(Templates!E:E, Templates!A:A = F2367, Templates!B:B = G2367, Templates!C:C = H2367), ""{{}}"", E2367), B2367)"),"🏘  Vous souhaitez acheter une maison à Bussy-Chardonney? ✅ Jetez un œil aux dernières offres sur ImmoScout24.ch.")</f>
        <v>🏘  Vous souhaitez acheter une maison à Bussy-Chardonney? ✅ Jetez un œil aux dernières offres sur ImmoScout24.ch.</v>
      </c>
      <c r="J2367" s="4" t="s">
        <v>7097</v>
      </c>
    </row>
    <row r="2368">
      <c r="A2368" s="5" t="s">
        <v>7098</v>
      </c>
      <c r="B2368" s="2" t="s">
        <v>7099</v>
      </c>
      <c r="C2368" s="4" t="str">
        <f>IFERROR(__xludf.DUMMYFUNCTION("""🏘️ ""&amp;REGEXEXTRACT(B2368, ""^(.*): "")&amp;"" ✅ "" &amp;REGEXEXTRACT(B2368, ""(Trouvez.*)"")"),"🏘️ Vendre appartement La Ferrière ✅ Trouvez le bien immobilier qui correspond idéalement à vos désirs sur ImmoScout24 - La plateforme de l'immobilier en Suisse.")</f>
        <v>🏘️ Vendre appartement La Ferrière ✅ Trouvez le bien immobilier qui correspond idéalement à vos désirs sur ImmoScout24 - La plateforme de l'immobilier en Suisse.</v>
      </c>
      <c r="D2368" s="4" t="str">
        <f>vlookup(A2368, Sheet2!D:E, 2, 0)</f>
        <v>variant</v>
      </c>
      <c r="E2368" s="4" t="str">
        <f>IFERROR(__xludf.DUMMYFUNCTION("if(H2368=""pays"",vlookup(REGEXEXTRACT(C2368, ""🏘️ \w+ \w+ (.*) ✅""),'Country prepositions'!A:B, 2, 0) &amp; "" "" &amp; REGEXEXTRACT(C2368, ""🏘️ \w+ \w+ (.*) ✅"") ,  if(H2368=""quartier"",vlookup(REGEXEXTRACT(C2368, ""🏘️ \w+ \w+ (.*) ✅""),'Quartier prepositio"&amp;"ns'!A:E, 5, 0) ,  if(H2368=""region"",vlookup(REGEXEXTRACT(C2368, ""🏘️ \w+ \w+ (.*) ✅""),'Region prepositions'!B:F, 5, 0),  REGEXEXTRACT(C2368, ""🏘️ \w+ \w+ (.*) ✅""))))"),"La Ferrière")</f>
        <v>La Ferrière</v>
      </c>
      <c r="F2368" s="2" t="str">
        <f>IFERROR(__xludf.DUMMYFUNCTION("REGEXEXTRACT(C2368, ""🏘️ (\w+) \w+ .* ✅"")"),"Vendre")</f>
        <v>Vendre</v>
      </c>
      <c r="G2368" s="2" t="str">
        <f>IFERROR(__xludf.DUMMYFUNCTION("REGEXEXTRACT(C2368, ""🏘️ \w+ (\w+) .* ✅"")"),"appartement")</f>
        <v>appartement</v>
      </c>
      <c r="H2368" s="4" t="str">
        <f>IFERROR(__xludf.DUMMYFUNCTION("REGEXEXTRACT(A2368, ""/(\w+)-.*?"")"),"lieu")</f>
        <v>lieu</v>
      </c>
      <c r="I2368" s="4" t="str">
        <f>IFERROR(__xludf.DUMMYFUNCTION("if(D2368=""variant"",  substitute(filter(Templates!E:E, Templates!A:A = F2368, Templates!B:B = G2368, Templates!C:C = H2368), ""{{}}"", E2368), B2368)"),"🏘  L’appartement de vos rêves se trouve sur ImmoScout24.ch ✅ Découvrez les dernières annonces de vente à La Ferrière.")</f>
        <v>🏘  L’appartement de vos rêves se trouve sur ImmoScout24.ch ✅ Découvrez les dernières annonces de vente à La Ferrière.</v>
      </c>
      <c r="J2368" s="4" t="s">
        <v>7100</v>
      </c>
    </row>
    <row r="2369">
      <c r="A2369" s="5" t="s">
        <v>7101</v>
      </c>
      <c r="B2369" s="2" t="s">
        <v>7102</v>
      </c>
      <c r="C2369" s="4" t="str">
        <f>IFERROR(__xludf.DUMMYFUNCTION("""🏘️ ""&amp;REGEXEXTRACT(B2369, ""^(.*): "")&amp;"" ✅ "" &amp;REGEXEXTRACT(B2369, ""(Trouvez.*)"")"),"🏘️ Louer appartement Chambésy ✅ Trouvez le bien immobilier qui correspond idéalement à vos désirs sur ImmoScout24 - La plateforme de l'immobilier en Suisse.")</f>
        <v>🏘️ Louer appartement Chambésy ✅ Trouvez le bien immobilier qui correspond idéalement à vos désirs sur ImmoScout24 - La plateforme de l'immobilier en Suisse.</v>
      </c>
      <c r="D2369" s="4" t="str">
        <f>vlookup(A2369, Sheet2!D:E, 2, 0)</f>
        <v>variant</v>
      </c>
      <c r="E2369" s="4" t="str">
        <f>IFERROR(__xludf.DUMMYFUNCTION("if(H2369=""pays"",vlookup(REGEXEXTRACT(C2369, ""🏘️ \w+ \w+ (.*) ✅""),'Country prepositions'!A:B, 2, 0) &amp; "" "" &amp; REGEXEXTRACT(C2369, ""🏘️ \w+ \w+ (.*) ✅"") ,  if(H2369=""quartier"",vlookup(REGEXEXTRACT(C2369, ""🏘️ \w+ \w+ (.*) ✅""),'Quartier prepositio"&amp;"ns'!A:E, 5, 0) ,  if(H2369=""region"",vlookup(REGEXEXTRACT(C2369, ""🏘️ \w+ \w+ (.*) ✅""),'Region prepositions'!B:F, 5, 0),  REGEXEXTRACT(C2369, ""🏘️ \w+ \w+ (.*) ✅""))))"),"Chambésy")</f>
        <v>Chambésy</v>
      </c>
      <c r="F2369" s="2" t="str">
        <f>IFERROR(__xludf.DUMMYFUNCTION("REGEXEXTRACT(C2369, ""🏘️ (\w+) \w+ .* ✅"")"),"Louer")</f>
        <v>Louer</v>
      </c>
      <c r="G2369" s="2" t="str">
        <f>IFERROR(__xludf.DUMMYFUNCTION("REGEXEXTRACT(C2369, ""🏘️ \w+ (\w+) .* ✅"")"),"appartement")</f>
        <v>appartement</v>
      </c>
      <c r="H2369" s="4" t="str">
        <f>IFERROR(__xludf.DUMMYFUNCTION("REGEXEXTRACT(A2369, ""/(\w+)-.*?"")"),"lieu")</f>
        <v>lieu</v>
      </c>
      <c r="I2369" s="4" t="str">
        <f>IFERROR(__xludf.DUMMYFUNCTION("if(D2369=""variant"",  substitute(filter(Templates!E:E, Templates!A:A = F2369, Templates!B:B = G2369, Templates!C:C = H2369), ""{{}}"", E2369), B2369)"),"🏘  Vous cherchez un appartement à louer à Chambésy? ✅ Les annonces les plus actuelles sont sur ImmoScout24.ch.")</f>
        <v>🏘  Vous cherchez un appartement à louer à Chambésy? ✅ Les annonces les plus actuelles sont sur ImmoScout24.ch.</v>
      </c>
      <c r="J2369" s="4" t="s">
        <v>7103</v>
      </c>
    </row>
    <row r="2370">
      <c r="A2370" s="5" t="s">
        <v>7104</v>
      </c>
      <c r="B2370" s="2" t="s">
        <v>7105</v>
      </c>
      <c r="C2370" s="4" t="str">
        <f>IFERROR(__xludf.DUMMYFUNCTION("""🏘️ ""&amp;REGEXEXTRACT(B2370, ""^(.*): "")&amp;"" ✅ "" &amp;REGEXEXTRACT(B2370, ""(Trouvez.*)"")"),"🏘️ Vendre maison Gsteig b. Gstaad ✅ Trouvez le bien immobilier qui correspond idéalement à vos désirs sur ImmoScout24 - La plateforme de l'immobilier en Suisse.")</f>
        <v>🏘️ Vendre maison Gsteig b. Gstaad ✅ Trouvez le bien immobilier qui correspond idéalement à vos désirs sur ImmoScout24 - La plateforme de l'immobilier en Suisse.</v>
      </c>
      <c r="D2370" s="4" t="str">
        <f>vlookup(A2370, Sheet2!D:E, 2, 0)</f>
        <v>variant</v>
      </c>
      <c r="E2370" s="4" t="str">
        <f>IFERROR(__xludf.DUMMYFUNCTION("if(H2370=""pays"",vlookup(REGEXEXTRACT(C2370, ""🏘️ \w+ \w+ (.*) ✅""),'Country prepositions'!A:B, 2, 0) &amp; "" "" &amp; REGEXEXTRACT(C2370, ""🏘️ \w+ \w+ (.*) ✅"") ,  if(H2370=""quartier"",vlookup(REGEXEXTRACT(C2370, ""🏘️ \w+ \w+ (.*) ✅""),'Quartier prepositio"&amp;"ns'!A:E, 5, 0) ,  if(H2370=""region"",vlookup(REGEXEXTRACT(C2370, ""🏘️ \w+ \w+ (.*) ✅""),'Region prepositions'!B:F, 5, 0),  REGEXEXTRACT(C2370, ""🏘️ \w+ \w+ (.*) ✅""))))"),"Gsteig b. Gstaad")</f>
        <v>Gsteig b. Gstaad</v>
      </c>
      <c r="F2370" s="2" t="str">
        <f>IFERROR(__xludf.DUMMYFUNCTION("REGEXEXTRACT(C2370, ""🏘️ (\w+) \w+ .* ✅"")"),"Vendre")</f>
        <v>Vendre</v>
      </c>
      <c r="G2370" s="2" t="str">
        <f>IFERROR(__xludf.DUMMYFUNCTION("REGEXEXTRACT(C2370, ""🏘️ \w+ (\w+) .* ✅"")"),"maison")</f>
        <v>maison</v>
      </c>
      <c r="H2370" s="4" t="str">
        <f>IFERROR(__xludf.DUMMYFUNCTION("REGEXEXTRACT(A2370, ""/(\w+)-.*?"")"),"lieu")</f>
        <v>lieu</v>
      </c>
      <c r="I2370" s="4" t="str">
        <f>IFERROR(__xludf.DUMMYFUNCTION("if(D2370=""variant"",  substitute(filter(Templates!E:E, Templates!A:A = F2370, Templates!B:B = G2370, Templates!C:C = H2370), ""{{}}"", E2370), B2370)"),"🏘  Vous souhaitez acheter une maison à Gsteig b. Gstaad? ✅ Jetez un œil aux dernières offres sur ImmoScout24.ch.")</f>
        <v>🏘  Vous souhaitez acheter une maison à Gsteig b. Gstaad? ✅ Jetez un œil aux dernières offres sur ImmoScout24.ch.</v>
      </c>
      <c r="J2370" s="4" t="s">
        <v>7106</v>
      </c>
    </row>
    <row r="2371">
      <c r="A2371" s="5" t="s">
        <v>7107</v>
      </c>
      <c r="B2371" s="2" t="s">
        <v>7108</v>
      </c>
      <c r="C2371" s="4" t="str">
        <f>IFERROR(__xludf.DUMMYFUNCTION("""🏘️ ""&amp;REGEXEXTRACT(B2371, ""^(.*): "")&amp;"" ✅ "" &amp;REGEXEXTRACT(B2371, ""(Trouvez.*)"")"),"🏘️ Louer appartement St-Aubin FR ✅ Trouvez le bien immobilier qui correspond idéalement à vos désirs sur ImmoScout24 - La plateforme de l'immobilier en Suisse.")</f>
        <v>🏘️ Louer appartement St-Aubin FR ✅ Trouvez le bien immobilier qui correspond idéalement à vos désirs sur ImmoScout24 - La plateforme de l'immobilier en Suisse.</v>
      </c>
      <c r="D2371" s="4" t="str">
        <f>vlookup(A2371, Sheet2!D:E, 2, 0)</f>
        <v>variant</v>
      </c>
      <c r="E2371" s="4" t="str">
        <f>IFERROR(__xludf.DUMMYFUNCTION("if(H2371=""pays"",vlookup(REGEXEXTRACT(C2371, ""🏘️ \w+ \w+ (.*) ✅""),'Country prepositions'!A:B, 2, 0) &amp; "" "" &amp; REGEXEXTRACT(C2371, ""🏘️ \w+ \w+ (.*) ✅"") ,  if(H2371=""quartier"",vlookup(REGEXEXTRACT(C2371, ""🏘️ \w+ \w+ (.*) ✅""),'Quartier prepositio"&amp;"ns'!A:E, 5, 0) ,  if(H2371=""region"",vlookup(REGEXEXTRACT(C2371, ""🏘️ \w+ \w+ (.*) ✅""),'Region prepositions'!B:F, 5, 0),  REGEXEXTRACT(C2371, ""🏘️ \w+ \w+ (.*) ✅""))))"),"St-Aubin FR")</f>
        <v>St-Aubin FR</v>
      </c>
      <c r="F2371" s="2" t="str">
        <f>IFERROR(__xludf.DUMMYFUNCTION("REGEXEXTRACT(C2371, ""🏘️ (\w+) \w+ .* ✅"")"),"Louer")</f>
        <v>Louer</v>
      </c>
      <c r="G2371" s="2" t="str">
        <f>IFERROR(__xludf.DUMMYFUNCTION("REGEXEXTRACT(C2371, ""🏘️ \w+ (\w+) .* ✅"")"),"appartement")</f>
        <v>appartement</v>
      </c>
      <c r="H2371" s="4" t="str">
        <f>IFERROR(__xludf.DUMMYFUNCTION("REGEXEXTRACT(A2371, ""/(\w+)-.*?"")"),"lieu")</f>
        <v>lieu</v>
      </c>
      <c r="I2371" s="4" t="str">
        <f>IFERROR(__xludf.DUMMYFUNCTION("if(D2371=""variant"",  substitute(filter(Templates!E:E, Templates!A:A = F2371, Templates!B:B = G2371, Templates!C:C = H2371), ""{{}}"", E2371), B2371)"),"🏘  Vous cherchez un appartement à louer à St-Aubin FR? ✅ Les annonces les plus actuelles sont sur ImmoScout24.ch.")</f>
        <v>🏘  Vous cherchez un appartement à louer à St-Aubin FR? ✅ Les annonces les plus actuelles sont sur ImmoScout24.ch.</v>
      </c>
      <c r="J2371" s="4" t="s">
        <v>7109</v>
      </c>
    </row>
    <row r="2372">
      <c r="A2372" s="5" t="s">
        <v>7110</v>
      </c>
      <c r="B2372" s="2" t="s">
        <v>7111</v>
      </c>
      <c r="C2372" s="4" t="str">
        <f>IFERROR(__xludf.DUMMYFUNCTION("""🏘️ ""&amp;REGEXEXTRACT(B2372, ""^(.*): "")&amp;"" ✅ "" &amp;REGEXEXTRACT(B2372, ""(Trouvez.*)"")"),"🏘️ Louer appartement Matzingen ✅ Trouvez le bien immobilier qui correspond idéalement à vos désirs sur ImmoScout24 - La plateforme de l'immobilier en Suisse.")</f>
        <v>🏘️ Louer appartement Matzingen ✅ Trouvez le bien immobilier qui correspond idéalement à vos désirs sur ImmoScout24 - La plateforme de l'immobilier en Suisse.</v>
      </c>
      <c r="D2372" s="4" t="str">
        <f>vlookup(A2372, Sheet2!D:E, 2, 0)</f>
        <v>variant</v>
      </c>
      <c r="E2372" s="4" t="str">
        <f>IFERROR(__xludf.DUMMYFUNCTION("if(H2372=""pays"",vlookup(REGEXEXTRACT(C2372, ""🏘️ \w+ \w+ (.*) ✅""),'Country prepositions'!A:B, 2, 0) &amp; "" "" &amp; REGEXEXTRACT(C2372, ""🏘️ \w+ \w+ (.*) ✅"") ,  if(H2372=""quartier"",vlookup(REGEXEXTRACT(C2372, ""🏘️ \w+ \w+ (.*) ✅""),'Quartier prepositio"&amp;"ns'!A:E, 5, 0) ,  if(H2372=""region"",vlookup(REGEXEXTRACT(C2372, ""🏘️ \w+ \w+ (.*) ✅""),'Region prepositions'!B:F, 5, 0),  REGEXEXTRACT(C2372, ""🏘️ \w+ \w+ (.*) ✅""))))"),"Matzingen")</f>
        <v>Matzingen</v>
      </c>
      <c r="F2372" s="2" t="str">
        <f>IFERROR(__xludf.DUMMYFUNCTION("REGEXEXTRACT(C2372, ""🏘️ (\w+) \w+ .* ✅"")"),"Louer")</f>
        <v>Louer</v>
      </c>
      <c r="G2372" s="2" t="str">
        <f>IFERROR(__xludf.DUMMYFUNCTION("REGEXEXTRACT(C2372, ""🏘️ \w+ (\w+) .* ✅"")"),"appartement")</f>
        <v>appartement</v>
      </c>
      <c r="H2372" s="4" t="str">
        <f>IFERROR(__xludf.DUMMYFUNCTION("REGEXEXTRACT(A2372, ""/(\w+)-.*?"")"),"lieu")</f>
        <v>lieu</v>
      </c>
      <c r="I2372" s="4" t="str">
        <f>IFERROR(__xludf.DUMMYFUNCTION("if(D2372=""variant"",  substitute(filter(Templates!E:E, Templates!A:A = F2372, Templates!B:B = G2372, Templates!C:C = H2372), ""{{}}"", E2372), B2372)"),"🏘  Vous cherchez un appartement à louer à Matzingen? ✅ Les annonces les plus actuelles sont sur ImmoScout24.ch.")</f>
        <v>🏘  Vous cherchez un appartement à louer à Matzingen? ✅ Les annonces les plus actuelles sont sur ImmoScout24.ch.</v>
      </c>
      <c r="J2372" s="4" t="s">
        <v>7112</v>
      </c>
    </row>
    <row r="2373">
      <c r="A2373" s="5" t="s">
        <v>7113</v>
      </c>
      <c r="B2373" s="2" t="s">
        <v>7114</v>
      </c>
      <c r="C2373" s="4" t="str">
        <f>IFERROR(__xludf.DUMMYFUNCTION("""🏘️ ""&amp;REGEXEXTRACT(B2373, ""^(.*): "")&amp;"" ✅ "" &amp;REGEXEXTRACT(B2373, ""(Trouvez.*)"")"),"🏘️ Louer appartement Oron-le-Châtel ✅ Trouvez le bien immobilier qui correspond idéalement à vos désirs sur ImmoScout24 - La plateforme de l'immobilier en Suisse.")</f>
        <v>🏘️ Louer appartement Oron-le-Châtel ✅ Trouvez le bien immobilier qui correspond idéalement à vos désirs sur ImmoScout24 - La plateforme de l'immobilier en Suisse.</v>
      </c>
      <c r="D2373" s="4" t="str">
        <f>vlookup(A2373, Sheet2!D:E, 2, 0)</f>
        <v>variant</v>
      </c>
      <c r="E2373" s="4" t="str">
        <f>IFERROR(__xludf.DUMMYFUNCTION("if(H2373=""pays"",vlookup(REGEXEXTRACT(C2373, ""🏘️ \w+ \w+ (.*) ✅""),'Country prepositions'!A:B, 2, 0) &amp; "" "" &amp; REGEXEXTRACT(C2373, ""🏘️ \w+ \w+ (.*) ✅"") ,  if(H2373=""quartier"",vlookup(REGEXEXTRACT(C2373, ""🏘️ \w+ \w+ (.*) ✅""),'Quartier prepositio"&amp;"ns'!A:E, 5, 0) ,  if(H2373=""region"",vlookup(REGEXEXTRACT(C2373, ""🏘️ \w+ \w+ (.*) ✅""),'Region prepositions'!B:F, 5, 0),  REGEXEXTRACT(C2373, ""🏘️ \w+ \w+ (.*) ✅""))))"),"Oron-le-Châtel")</f>
        <v>Oron-le-Châtel</v>
      </c>
      <c r="F2373" s="2" t="str">
        <f>IFERROR(__xludf.DUMMYFUNCTION("REGEXEXTRACT(C2373, ""🏘️ (\w+) \w+ .* ✅"")"),"Louer")</f>
        <v>Louer</v>
      </c>
      <c r="G2373" s="2" t="str">
        <f>IFERROR(__xludf.DUMMYFUNCTION("REGEXEXTRACT(C2373, ""🏘️ \w+ (\w+) .* ✅"")"),"appartement")</f>
        <v>appartement</v>
      </c>
      <c r="H2373" s="4" t="str">
        <f>IFERROR(__xludf.DUMMYFUNCTION("REGEXEXTRACT(A2373, ""/(\w+)-.*?"")"),"lieu")</f>
        <v>lieu</v>
      </c>
      <c r="I2373" s="4" t="str">
        <f>IFERROR(__xludf.DUMMYFUNCTION("if(D2373=""variant"",  substitute(filter(Templates!E:E, Templates!A:A = F2373, Templates!B:B = G2373, Templates!C:C = H2373), ""{{}}"", E2373), B2373)"),"🏘  Vous cherchez un appartement à louer à Oron-le-Châtel? ✅ Les annonces les plus actuelles sont sur ImmoScout24.ch.")</f>
        <v>🏘  Vous cherchez un appartement à louer à Oron-le-Châtel? ✅ Les annonces les plus actuelles sont sur ImmoScout24.ch.</v>
      </c>
      <c r="J2373" s="4" t="s">
        <v>7115</v>
      </c>
    </row>
    <row r="2374">
      <c r="A2374" s="5" t="s">
        <v>7116</v>
      </c>
      <c r="B2374" s="2" t="s">
        <v>7117</v>
      </c>
      <c r="C2374" s="4" t="str">
        <f>IFERROR(__xludf.DUMMYFUNCTION("""🏘️ ""&amp;REGEXEXTRACT(B2374, ""^(.*): "")&amp;"" ✅ "" &amp;REGEXEXTRACT(B2374, ""(Trouvez.*)"")"),"🏘️ Louer appartement Chavornay ✅ Trouvez le bien immobilier qui correspond idéalement à vos désirs sur ImmoScout24 - La plateforme de l'immobilier en Suisse.")</f>
        <v>🏘️ Louer appartement Chavornay ✅ Trouvez le bien immobilier qui correspond idéalement à vos désirs sur ImmoScout24 - La plateforme de l'immobilier en Suisse.</v>
      </c>
      <c r="D2374" s="4" t="str">
        <f>vlookup(A2374, Sheet2!D:E, 2, 0)</f>
        <v>variant</v>
      </c>
      <c r="E2374" s="4" t="str">
        <f>IFERROR(__xludf.DUMMYFUNCTION("if(H2374=""pays"",vlookup(REGEXEXTRACT(C2374, ""🏘️ \w+ \w+ (.*) ✅""),'Country prepositions'!A:B, 2, 0) &amp; "" "" &amp; REGEXEXTRACT(C2374, ""🏘️ \w+ \w+ (.*) ✅"") ,  if(H2374=""quartier"",vlookup(REGEXEXTRACT(C2374, ""🏘️ \w+ \w+ (.*) ✅""),'Quartier prepositio"&amp;"ns'!A:E, 5, 0) ,  if(H2374=""region"",vlookup(REGEXEXTRACT(C2374, ""🏘️ \w+ \w+ (.*) ✅""),'Region prepositions'!B:F, 5, 0),  REGEXEXTRACT(C2374, ""🏘️ \w+ \w+ (.*) ✅""))))"),"Chavornay")</f>
        <v>Chavornay</v>
      </c>
      <c r="F2374" s="2" t="str">
        <f>IFERROR(__xludf.DUMMYFUNCTION("REGEXEXTRACT(C2374, ""🏘️ (\w+) \w+ .* ✅"")"),"Louer")</f>
        <v>Louer</v>
      </c>
      <c r="G2374" s="2" t="str">
        <f>IFERROR(__xludf.DUMMYFUNCTION("REGEXEXTRACT(C2374, ""🏘️ \w+ (\w+) .* ✅"")"),"appartement")</f>
        <v>appartement</v>
      </c>
      <c r="H2374" s="4" t="str">
        <f>IFERROR(__xludf.DUMMYFUNCTION("REGEXEXTRACT(A2374, ""/(\w+)-.*?"")"),"lieu")</f>
        <v>lieu</v>
      </c>
      <c r="I2374" s="4" t="str">
        <f>IFERROR(__xludf.DUMMYFUNCTION("if(D2374=""variant"",  substitute(filter(Templates!E:E, Templates!A:A = F2374, Templates!B:B = G2374, Templates!C:C = H2374), ""{{}}"", E2374), B2374)"),"🏘  Vous cherchez un appartement à louer à Chavornay? ✅ Les annonces les plus actuelles sont sur ImmoScout24.ch.")</f>
        <v>🏘  Vous cherchez un appartement à louer à Chavornay? ✅ Les annonces les plus actuelles sont sur ImmoScout24.ch.</v>
      </c>
      <c r="J2374" s="4" t="s">
        <v>7118</v>
      </c>
    </row>
    <row r="2375">
      <c r="A2375" s="5" t="s">
        <v>7119</v>
      </c>
      <c r="B2375" s="2" t="s">
        <v>7120</v>
      </c>
      <c r="C2375" s="4" t="str">
        <f>IFERROR(__xludf.DUMMYFUNCTION("""🏘️ ""&amp;REGEXEXTRACT(B2375, ""^(.*): "")&amp;"" ✅ "" &amp;REGEXEXTRACT(B2375, ""(Trouvez.*)"")"),"🏘️ Vendre maison Presinge ✅ Trouvez le bien immobilier qui correspond idéalement à vos désirs sur ImmoScout24 - La plateforme de l'immobilier en Suisse.")</f>
        <v>🏘️ Vendre maison Presinge ✅ Trouvez le bien immobilier qui correspond idéalement à vos désirs sur ImmoScout24 - La plateforme de l'immobilier en Suisse.</v>
      </c>
      <c r="D2375" s="4" t="str">
        <f>vlookup(A2375, Sheet2!D:E, 2, 0)</f>
        <v>variant</v>
      </c>
      <c r="E2375" s="4" t="str">
        <f>IFERROR(__xludf.DUMMYFUNCTION("if(H2375=""pays"",vlookup(REGEXEXTRACT(C2375, ""🏘️ \w+ \w+ (.*) ✅""),'Country prepositions'!A:B, 2, 0) &amp; "" "" &amp; REGEXEXTRACT(C2375, ""🏘️ \w+ \w+ (.*) ✅"") ,  if(H2375=""quartier"",vlookup(REGEXEXTRACT(C2375, ""🏘️ \w+ \w+ (.*) ✅""),'Quartier prepositio"&amp;"ns'!A:E, 5, 0) ,  if(H2375=""region"",vlookup(REGEXEXTRACT(C2375, ""🏘️ \w+ \w+ (.*) ✅""),'Region prepositions'!B:F, 5, 0),  REGEXEXTRACT(C2375, ""🏘️ \w+ \w+ (.*) ✅""))))"),"Presinge")</f>
        <v>Presinge</v>
      </c>
      <c r="F2375" s="2" t="str">
        <f>IFERROR(__xludf.DUMMYFUNCTION("REGEXEXTRACT(C2375, ""🏘️ (\w+) \w+ .* ✅"")"),"Vendre")</f>
        <v>Vendre</v>
      </c>
      <c r="G2375" s="2" t="str">
        <f>IFERROR(__xludf.DUMMYFUNCTION("REGEXEXTRACT(C2375, ""🏘️ \w+ (\w+) .* ✅"")"),"maison")</f>
        <v>maison</v>
      </c>
      <c r="H2375" s="4" t="str">
        <f>IFERROR(__xludf.DUMMYFUNCTION("REGEXEXTRACT(A2375, ""/(\w+)-.*?"")"),"lieu")</f>
        <v>lieu</v>
      </c>
      <c r="I2375" s="4" t="str">
        <f>IFERROR(__xludf.DUMMYFUNCTION("if(D2375=""variant"",  substitute(filter(Templates!E:E, Templates!A:A = F2375, Templates!B:B = G2375, Templates!C:C = H2375), ""{{}}"", E2375), B2375)"),"🏘  Vous souhaitez acheter une maison à Presinge? ✅ Jetez un œil aux dernières offres sur ImmoScout24.ch.")</f>
        <v>🏘  Vous souhaitez acheter une maison à Presinge? ✅ Jetez un œil aux dernières offres sur ImmoScout24.ch.</v>
      </c>
      <c r="J2375" s="4" t="s">
        <v>7121</v>
      </c>
    </row>
    <row r="2376">
      <c r="A2376" s="5" t="s">
        <v>7122</v>
      </c>
      <c r="B2376" s="2" t="s">
        <v>7123</v>
      </c>
      <c r="C2376" s="4" t="str">
        <f>IFERROR(__xludf.DUMMYFUNCTION("""🏘️ ""&amp;REGEXEXTRACT(B2376, ""^(.*): "")&amp;"" ✅ "" &amp;REGEXEXTRACT(B2376, ""(Trouvez.*)"")"),"🏘️ Louer appartement Agno ✅ Trouvez le bien immobilier qui correspond idéalement à vos désirs sur ImmoScout24 - La plateforme de l'immobilier en Suisse.")</f>
        <v>🏘️ Louer appartement Agno ✅ Trouvez le bien immobilier qui correspond idéalement à vos désirs sur ImmoScout24 - La plateforme de l'immobilier en Suisse.</v>
      </c>
      <c r="D2376" s="4" t="str">
        <f>vlookup(A2376, Sheet2!D:E, 2, 0)</f>
        <v>variant</v>
      </c>
      <c r="E2376" s="4" t="str">
        <f>IFERROR(__xludf.DUMMYFUNCTION("if(H2376=""pays"",vlookup(REGEXEXTRACT(C2376, ""🏘️ \w+ \w+ (.*) ✅""),'Country prepositions'!A:B, 2, 0) &amp; "" "" &amp; REGEXEXTRACT(C2376, ""🏘️ \w+ \w+ (.*) ✅"") ,  if(H2376=""quartier"",vlookup(REGEXEXTRACT(C2376, ""🏘️ \w+ \w+ (.*) ✅""),'Quartier prepositio"&amp;"ns'!A:E, 5, 0) ,  if(H2376=""region"",vlookup(REGEXEXTRACT(C2376, ""🏘️ \w+ \w+ (.*) ✅""),'Region prepositions'!B:F, 5, 0),  REGEXEXTRACT(C2376, ""🏘️ \w+ \w+ (.*) ✅""))))"),"Agno")</f>
        <v>Agno</v>
      </c>
      <c r="F2376" s="2" t="str">
        <f>IFERROR(__xludf.DUMMYFUNCTION("REGEXEXTRACT(C2376, ""🏘️ (\w+) \w+ .* ✅"")"),"Louer")</f>
        <v>Louer</v>
      </c>
      <c r="G2376" s="2" t="str">
        <f>IFERROR(__xludf.DUMMYFUNCTION("REGEXEXTRACT(C2376, ""🏘️ \w+ (\w+) .* ✅"")"),"appartement")</f>
        <v>appartement</v>
      </c>
      <c r="H2376" s="4" t="str">
        <f>IFERROR(__xludf.DUMMYFUNCTION("REGEXEXTRACT(A2376, ""/(\w+)-.*?"")"),"lieu")</f>
        <v>lieu</v>
      </c>
      <c r="I2376" s="4" t="str">
        <f>IFERROR(__xludf.DUMMYFUNCTION("if(D2376=""variant"",  substitute(filter(Templates!E:E, Templates!A:A = F2376, Templates!B:B = G2376, Templates!C:C = H2376), ""{{}}"", E2376), B2376)"),"🏘  Vous cherchez un appartement à louer à Agno? ✅ Les annonces les plus actuelles sont sur ImmoScout24.ch.")</f>
        <v>🏘  Vous cherchez un appartement à louer à Agno? ✅ Les annonces les plus actuelles sont sur ImmoScout24.ch.</v>
      </c>
      <c r="J2376" s="4" t="s">
        <v>7124</v>
      </c>
    </row>
    <row r="2377">
      <c r="A2377" s="5" t="s">
        <v>7125</v>
      </c>
      <c r="B2377" s="2" t="s">
        <v>7126</v>
      </c>
      <c r="C2377" s="4" t="str">
        <f>IFERROR(__xludf.DUMMYFUNCTION("""🏘️ ""&amp;REGEXEXTRACT(B2377, ""^(.*): "")&amp;"" ✅ "" &amp;REGEXEXTRACT(B2377, ""(Trouvez.*)"")"),"🏘️ Louer appartement Vallemaggia ✅ Trouvez le bien immobilier qui correspond idéalement à vos désirs sur ImmoScout24 - La plateforme de l'immobilier en Suisse.")</f>
        <v>🏘️ Louer appartement Vallemaggia ✅ Trouvez le bien immobilier qui correspond idéalement à vos désirs sur ImmoScout24 - La plateforme de l'immobilier en Suisse.</v>
      </c>
      <c r="D2377" s="4" t="str">
        <f>vlookup(A2377, Sheet2!D:E, 2, 0)</f>
        <v>variant</v>
      </c>
      <c r="E2377" s="4" t="str">
        <f>IFERROR(__xludf.DUMMYFUNCTION("if(H2377=""pays"",vlookup(REGEXEXTRACT(C2377, ""🏘️ \w+ \w+ (.*) ✅""),'Country prepositions'!A:B, 2, 0) &amp; "" "" &amp; REGEXEXTRACT(C2377, ""🏘️ \w+ \w+ (.*) ✅"") ,  if(H2377=""quartier"",vlookup(REGEXEXTRACT(C2377, ""🏘️ \w+ \w+ (.*) ✅""),'Quartier prepositio"&amp;"ns'!A:E, 5, 0) ,  if(H2377=""region"",vlookup(REGEXEXTRACT(C2377, ""🏘️ \w+ \w+ (.*) ✅""),'Region prepositions'!B:F, 5, 0),  REGEXEXTRACT(C2377, ""🏘️ \w+ \w+ (.*) ✅""))))"),"dans la région de Vallemaggia")</f>
        <v>dans la région de Vallemaggia</v>
      </c>
      <c r="F2377" s="2" t="str">
        <f>IFERROR(__xludf.DUMMYFUNCTION("REGEXEXTRACT(C2377, ""🏘️ (\w+) \w+ .* ✅"")"),"Louer")</f>
        <v>Louer</v>
      </c>
      <c r="G2377" s="2" t="str">
        <f>IFERROR(__xludf.DUMMYFUNCTION("REGEXEXTRACT(C2377, ""🏘️ \w+ (\w+) .* ✅"")"),"appartement")</f>
        <v>appartement</v>
      </c>
      <c r="H2377" s="4" t="str">
        <f>IFERROR(__xludf.DUMMYFUNCTION("REGEXEXTRACT(A2377, ""/(\w+)-.*?"")"),"region")</f>
        <v>region</v>
      </c>
      <c r="I2377" s="4" t="str">
        <f>IFERROR(__xludf.DUMMYFUNCTION("if(D2377=""variant"",  substitute(filter(Templates!E:E, Templates!A:A = F2377, Templates!B:B = G2377, Templates!C:C = H2377), ""{{}}"", E2377), B2377)"),"🏘  Vous cherchez un appartement à louer dans la région de Vallemaggia? ✅ Les annonces les plus actuelles sont sur ImmoScout24.ch.")</f>
        <v>🏘  Vous cherchez un appartement à louer dans la région de Vallemaggia? ✅ Les annonces les plus actuelles sont sur ImmoScout24.ch.</v>
      </c>
      <c r="J2377" s="4" t="s">
        <v>7127</v>
      </c>
    </row>
    <row r="2378">
      <c r="A2378" s="5" t="s">
        <v>7128</v>
      </c>
      <c r="B2378" s="2" t="s">
        <v>7129</v>
      </c>
      <c r="C2378" s="4" t="str">
        <f>IFERROR(__xludf.DUMMYFUNCTION("""🏘️ ""&amp;REGEXEXTRACT(B2378, ""^(.*): "")&amp;"" ✅ "" &amp;REGEXEXTRACT(B2378, ""(Trouvez.*)"")"),"🏘️ Vendre appartement Bottighofen ✅ Trouvez le bien immobilier qui correspond idéalement à vos désirs sur ImmoScout24 - La plateforme de l'immobilier en Suisse.")</f>
        <v>🏘️ Vendre appartement Bottighofen ✅ Trouvez le bien immobilier qui correspond idéalement à vos désirs sur ImmoScout24 - La plateforme de l'immobilier en Suisse.</v>
      </c>
      <c r="D2378" s="4" t="str">
        <f>vlookup(A2378, Sheet2!D:E, 2, 0)</f>
        <v>variant</v>
      </c>
      <c r="E2378" s="4" t="str">
        <f>IFERROR(__xludf.DUMMYFUNCTION("if(H2378=""pays"",vlookup(REGEXEXTRACT(C2378, ""🏘️ \w+ \w+ (.*) ✅""),'Country prepositions'!A:B, 2, 0) &amp; "" "" &amp; REGEXEXTRACT(C2378, ""🏘️ \w+ \w+ (.*) ✅"") ,  if(H2378=""quartier"",vlookup(REGEXEXTRACT(C2378, ""🏘️ \w+ \w+ (.*) ✅""),'Quartier prepositio"&amp;"ns'!A:E, 5, 0) ,  if(H2378=""region"",vlookup(REGEXEXTRACT(C2378, ""🏘️ \w+ \w+ (.*) ✅""),'Region prepositions'!B:F, 5, 0),  REGEXEXTRACT(C2378, ""🏘️ \w+ \w+ (.*) ✅""))))"),"Bottighofen")</f>
        <v>Bottighofen</v>
      </c>
      <c r="F2378" s="2" t="str">
        <f>IFERROR(__xludf.DUMMYFUNCTION("REGEXEXTRACT(C2378, ""🏘️ (\w+) \w+ .* ✅"")"),"Vendre")</f>
        <v>Vendre</v>
      </c>
      <c r="G2378" s="2" t="str">
        <f>IFERROR(__xludf.DUMMYFUNCTION("REGEXEXTRACT(C2378, ""🏘️ \w+ (\w+) .* ✅"")"),"appartement")</f>
        <v>appartement</v>
      </c>
      <c r="H2378" s="4" t="str">
        <f>IFERROR(__xludf.DUMMYFUNCTION("REGEXEXTRACT(A2378, ""/(\w+)-.*?"")"),"lieu")</f>
        <v>lieu</v>
      </c>
      <c r="I2378" s="4" t="str">
        <f>IFERROR(__xludf.DUMMYFUNCTION("if(D2378=""variant"",  substitute(filter(Templates!E:E, Templates!A:A = F2378, Templates!B:B = G2378, Templates!C:C = H2378), ""{{}}"", E2378), B2378)"),"🏘  L’appartement de vos rêves se trouve sur ImmoScout24.ch ✅ Découvrez les dernières annonces de vente à Bottighofen.")</f>
        <v>🏘  L’appartement de vos rêves se trouve sur ImmoScout24.ch ✅ Découvrez les dernières annonces de vente à Bottighofen.</v>
      </c>
      <c r="J2378" s="4" t="s">
        <v>7130</v>
      </c>
    </row>
    <row r="2379">
      <c r="A2379" s="5" t="s">
        <v>7131</v>
      </c>
      <c r="B2379" s="2" t="s">
        <v>7132</v>
      </c>
      <c r="C2379" s="4" t="str">
        <f>IFERROR(__xludf.DUMMYFUNCTION("""🏘️ ""&amp;REGEXEXTRACT(B2379, ""^(.*): "")&amp;"" ✅ "" &amp;REGEXEXTRACT(B2379, ""(Trouvez.*)"")"),"🏘️ Louer appartement Ueberstorf ✅ Trouvez le bien immobilier qui correspond idéalement à vos désirs sur ImmoScout24 - La plateforme de l'immobilier en Suisse.")</f>
        <v>🏘️ Louer appartement Ueberstorf ✅ Trouvez le bien immobilier qui correspond idéalement à vos désirs sur ImmoScout24 - La plateforme de l'immobilier en Suisse.</v>
      </c>
      <c r="D2379" s="4" t="str">
        <f>vlookup(A2379, Sheet2!D:E, 2, 0)</f>
        <v>variant</v>
      </c>
      <c r="E2379" s="4" t="str">
        <f>IFERROR(__xludf.DUMMYFUNCTION("if(H2379=""pays"",vlookup(REGEXEXTRACT(C2379, ""🏘️ \w+ \w+ (.*) ✅""),'Country prepositions'!A:B, 2, 0) &amp; "" "" &amp; REGEXEXTRACT(C2379, ""🏘️ \w+ \w+ (.*) ✅"") ,  if(H2379=""quartier"",vlookup(REGEXEXTRACT(C2379, ""🏘️ \w+ \w+ (.*) ✅""),'Quartier prepositio"&amp;"ns'!A:E, 5, 0) ,  if(H2379=""region"",vlookup(REGEXEXTRACT(C2379, ""🏘️ \w+ \w+ (.*) ✅""),'Region prepositions'!B:F, 5, 0),  REGEXEXTRACT(C2379, ""🏘️ \w+ \w+ (.*) ✅""))))"),"Ueberstorf")</f>
        <v>Ueberstorf</v>
      </c>
      <c r="F2379" s="2" t="str">
        <f>IFERROR(__xludf.DUMMYFUNCTION("REGEXEXTRACT(C2379, ""🏘️ (\w+) \w+ .* ✅"")"),"Louer")</f>
        <v>Louer</v>
      </c>
      <c r="G2379" s="2" t="str">
        <f>IFERROR(__xludf.DUMMYFUNCTION("REGEXEXTRACT(C2379, ""🏘️ \w+ (\w+) .* ✅"")"),"appartement")</f>
        <v>appartement</v>
      </c>
      <c r="H2379" s="4" t="str">
        <f>IFERROR(__xludf.DUMMYFUNCTION("REGEXEXTRACT(A2379, ""/(\w+)-.*?"")"),"lieu")</f>
        <v>lieu</v>
      </c>
      <c r="I2379" s="4" t="str">
        <f>IFERROR(__xludf.DUMMYFUNCTION("if(D2379=""variant"",  substitute(filter(Templates!E:E, Templates!A:A = F2379, Templates!B:B = G2379, Templates!C:C = H2379), ""{{}}"", E2379), B2379)"),"🏘  Vous cherchez un appartement à louer à Ueberstorf? ✅ Les annonces les plus actuelles sont sur ImmoScout24.ch.")</f>
        <v>🏘  Vous cherchez un appartement à louer à Ueberstorf? ✅ Les annonces les plus actuelles sont sur ImmoScout24.ch.</v>
      </c>
      <c r="J2379" s="4" t="s">
        <v>7133</v>
      </c>
    </row>
    <row r="2380">
      <c r="A2380" s="5" t="s">
        <v>7134</v>
      </c>
      <c r="B2380" s="2" t="s">
        <v>7135</v>
      </c>
      <c r="C2380" s="4" t="str">
        <f>IFERROR(__xludf.DUMMYFUNCTION("""🏘️ ""&amp;REGEXEXTRACT(B2380, ""^(.*): "")&amp;"" ✅ "" &amp;REGEXEXTRACT(B2380, ""(Trouvez.*)"")"),"🏘️ Louer appartement Bellinzone ✅ Trouvez le bien immobilier qui correspond idéalement à vos désirs sur ImmoScout24 - La plateforme de l'immobilier en Suisse.")</f>
        <v>🏘️ Louer appartement Bellinzone ✅ Trouvez le bien immobilier qui correspond idéalement à vos désirs sur ImmoScout24 - La plateforme de l'immobilier en Suisse.</v>
      </c>
      <c r="D2380" s="4" t="str">
        <f>vlookup(A2380, Sheet2!D:E, 2, 0)</f>
        <v>variant</v>
      </c>
      <c r="E2380" s="4" t="str">
        <f>IFERROR(__xludf.DUMMYFUNCTION("if(H2380=""pays"",vlookup(REGEXEXTRACT(C2380, ""🏘️ \w+ \w+ (.*) ✅""),'Country prepositions'!A:B, 2, 0) &amp; "" "" &amp; REGEXEXTRACT(C2380, ""🏘️ \w+ \w+ (.*) ✅"") ,  if(H2380=""quartier"",vlookup(REGEXEXTRACT(C2380, ""🏘️ \w+ \w+ (.*) ✅""),'Quartier prepositio"&amp;"ns'!A:E, 5, 0) ,  if(H2380=""region"",vlookup(REGEXEXTRACT(C2380, ""🏘️ \w+ \w+ (.*) ✅""),'Region prepositions'!B:F, 5, 0),  REGEXEXTRACT(C2380, ""🏘️ \w+ \w+ (.*) ✅""))))"),"à Bellinzone")</f>
        <v>à Bellinzone</v>
      </c>
      <c r="F2380" s="2" t="str">
        <f>IFERROR(__xludf.DUMMYFUNCTION("REGEXEXTRACT(C2380, ""🏘️ (\w+) \w+ .* ✅"")"),"Louer")</f>
        <v>Louer</v>
      </c>
      <c r="G2380" s="2" t="str">
        <f>IFERROR(__xludf.DUMMYFUNCTION("REGEXEXTRACT(C2380, ""🏘️ \w+ (\w+) .* ✅"")"),"appartement")</f>
        <v>appartement</v>
      </c>
      <c r="H2380" s="4" t="str">
        <f>IFERROR(__xludf.DUMMYFUNCTION("REGEXEXTRACT(A2380, ""/(\w+)-.*?"")"),"region")</f>
        <v>region</v>
      </c>
      <c r="I2380" s="4" t="str">
        <f>IFERROR(__xludf.DUMMYFUNCTION("if(D2380=""variant"",  substitute(filter(Templates!E:E, Templates!A:A = F2380, Templates!B:B = G2380, Templates!C:C = H2380), ""{{}}"", E2380), B2380)"),"🏘  Vous cherchez un appartement à louer à Bellinzone? ✅ Les annonces les plus actuelles sont sur ImmoScout24.ch.")</f>
        <v>🏘  Vous cherchez un appartement à louer à Bellinzone? ✅ Les annonces les plus actuelles sont sur ImmoScout24.ch.</v>
      </c>
      <c r="J2380" s="4" t="s">
        <v>7136</v>
      </c>
    </row>
    <row r="2381">
      <c r="A2381" s="5" t="s">
        <v>7137</v>
      </c>
      <c r="B2381" s="2" t="s">
        <v>7138</v>
      </c>
      <c r="C2381" s="4" t="str">
        <f>IFERROR(__xludf.DUMMYFUNCTION("""🏘️ ""&amp;REGEXEXTRACT(B2381, ""^(.*): "")&amp;"" ✅ "" &amp;REGEXEXTRACT(B2381, ""(Trouvez.*)"")"),"🏘️ Louer appartement Oulens-sous-Echallens ✅ Trouvez le bien immobilier qui correspond idéalement à vos désirs sur ImmoScout24 - La plateforme de l'immobilier en Suisse.")</f>
        <v>🏘️ Louer appartement Oulens-sous-Echallens ✅ Trouvez le bien immobilier qui correspond idéalement à vos désirs sur ImmoScout24 - La plateforme de l'immobilier en Suisse.</v>
      </c>
      <c r="D2381" s="4" t="str">
        <f>vlookup(A2381, Sheet2!D:E, 2, 0)</f>
        <v>variant</v>
      </c>
      <c r="E2381" s="4" t="str">
        <f>IFERROR(__xludf.DUMMYFUNCTION("if(H2381=""pays"",vlookup(REGEXEXTRACT(C2381, ""🏘️ \w+ \w+ (.*) ✅""),'Country prepositions'!A:B, 2, 0) &amp; "" "" &amp; REGEXEXTRACT(C2381, ""🏘️ \w+ \w+ (.*) ✅"") ,  if(H2381=""quartier"",vlookup(REGEXEXTRACT(C2381, ""🏘️ \w+ \w+ (.*) ✅""),'Quartier prepositio"&amp;"ns'!A:E, 5, 0) ,  if(H2381=""region"",vlookup(REGEXEXTRACT(C2381, ""🏘️ \w+ \w+ (.*) ✅""),'Region prepositions'!B:F, 5, 0),  REGEXEXTRACT(C2381, ""🏘️ \w+ \w+ (.*) ✅""))))"),"Oulens-sous-Echallens")</f>
        <v>Oulens-sous-Echallens</v>
      </c>
      <c r="F2381" s="2" t="str">
        <f>IFERROR(__xludf.DUMMYFUNCTION("REGEXEXTRACT(C2381, ""🏘️ (\w+) \w+ .* ✅"")"),"Louer")</f>
        <v>Louer</v>
      </c>
      <c r="G2381" s="2" t="str">
        <f>IFERROR(__xludf.DUMMYFUNCTION("REGEXEXTRACT(C2381, ""🏘️ \w+ (\w+) .* ✅"")"),"appartement")</f>
        <v>appartement</v>
      </c>
      <c r="H2381" s="4" t="str">
        <f>IFERROR(__xludf.DUMMYFUNCTION("REGEXEXTRACT(A2381, ""/(\w+)-.*?"")"),"lieu")</f>
        <v>lieu</v>
      </c>
      <c r="I2381" s="4" t="str">
        <f>IFERROR(__xludf.DUMMYFUNCTION("if(D2381=""variant"",  substitute(filter(Templates!E:E, Templates!A:A = F2381, Templates!B:B = G2381, Templates!C:C = H2381), ""{{}}"", E2381), B2381)"),"🏘  Vous cherchez un appartement à louer à Oulens-sous-Echallens? ✅ Les annonces les plus actuelles sont sur ImmoScout24.ch.")</f>
        <v>🏘  Vous cherchez un appartement à louer à Oulens-sous-Echallens? ✅ Les annonces les plus actuelles sont sur ImmoScout24.ch.</v>
      </c>
      <c r="J2381" s="4" t="s">
        <v>7139</v>
      </c>
    </row>
    <row r="2382">
      <c r="A2382" s="5" t="s">
        <v>7140</v>
      </c>
      <c r="B2382" s="2" t="s">
        <v>7141</v>
      </c>
      <c r="C2382" s="4" t="str">
        <f>IFERROR(__xludf.DUMMYFUNCTION("""🏘️ ""&amp;REGEXEXTRACT(B2382, ""^(.*): "")&amp;"" ✅ "" &amp;REGEXEXTRACT(B2382, ""(Trouvez.*)"")"),"🏘️ Vendre maison Beinwil am See ✅ Trouvez le bien immobilier qui correspond idéalement à vos désirs sur ImmoScout24 - La plateforme de l'immobilier en Suisse.")</f>
        <v>🏘️ Vendre maison Beinwil am See ✅ Trouvez le bien immobilier qui correspond idéalement à vos désirs sur ImmoScout24 - La plateforme de l'immobilier en Suisse.</v>
      </c>
      <c r="D2382" s="4" t="str">
        <f>vlookup(A2382, Sheet2!D:E, 2, 0)</f>
        <v>variant</v>
      </c>
      <c r="E2382" s="4" t="str">
        <f>IFERROR(__xludf.DUMMYFUNCTION("if(H2382=""pays"",vlookup(REGEXEXTRACT(C2382, ""🏘️ \w+ \w+ (.*) ✅""),'Country prepositions'!A:B, 2, 0) &amp; "" "" &amp; REGEXEXTRACT(C2382, ""🏘️ \w+ \w+ (.*) ✅"") ,  if(H2382=""quartier"",vlookup(REGEXEXTRACT(C2382, ""🏘️ \w+ \w+ (.*) ✅""),'Quartier prepositio"&amp;"ns'!A:E, 5, 0) ,  if(H2382=""region"",vlookup(REGEXEXTRACT(C2382, ""🏘️ \w+ \w+ (.*) ✅""),'Region prepositions'!B:F, 5, 0),  REGEXEXTRACT(C2382, ""🏘️ \w+ \w+ (.*) ✅""))))"),"Beinwil am See")</f>
        <v>Beinwil am See</v>
      </c>
      <c r="F2382" s="2" t="str">
        <f>IFERROR(__xludf.DUMMYFUNCTION("REGEXEXTRACT(C2382, ""🏘️ (\w+) \w+ .* ✅"")"),"Vendre")</f>
        <v>Vendre</v>
      </c>
      <c r="G2382" s="2" t="str">
        <f>IFERROR(__xludf.DUMMYFUNCTION("REGEXEXTRACT(C2382, ""🏘️ \w+ (\w+) .* ✅"")"),"maison")</f>
        <v>maison</v>
      </c>
      <c r="H2382" s="4" t="str">
        <f>IFERROR(__xludf.DUMMYFUNCTION("REGEXEXTRACT(A2382, ""/(\w+)-.*?"")"),"lieu")</f>
        <v>lieu</v>
      </c>
      <c r="I2382" s="4" t="str">
        <f>IFERROR(__xludf.DUMMYFUNCTION("if(D2382=""variant"",  substitute(filter(Templates!E:E, Templates!A:A = F2382, Templates!B:B = G2382, Templates!C:C = H2382), ""{{}}"", E2382), B2382)"),"🏘  Vous souhaitez acheter une maison à Beinwil am See? ✅ Jetez un œil aux dernières offres sur ImmoScout24.ch.")</f>
        <v>🏘  Vous souhaitez acheter une maison à Beinwil am See? ✅ Jetez un œil aux dernières offres sur ImmoScout24.ch.</v>
      </c>
      <c r="J2382" s="4" t="s">
        <v>7142</v>
      </c>
    </row>
    <row r="2383">
      <c r="A2383" s="5" t="s">
        <v>7143</v>
      </c>
      <c r="B2383" s="2" t="s">
        <v>7144</v>
      </c>
      <c r="C2383" s="4" t="str">
        <f>IFERROR(__xludf.DUMMYFUNCTION("""🏘️ ""&amp;REGEXEXTRACT(B2383, ""^(.*): "")&amp;"" ✅ "" &amp;REGEXEXTRACT(B2383, ""(Trouvez.*)"")"),"🏘️ Vendre maison Genève 15 Aéroport ✅ Trouvez le bien immobilier qui correspond idéalement à vos désirs sur ImmoScout24 - La plateforme de l'immobilier en Suisse.")</f>
        <v>🏘️ Vendre maison Genève 15 Aéroport ✅ Trouvez le bien immobilier qui correspond idéalement à vos désirs sur ImmoScout24 - La plateforme de l'immobilier en Suisse.</v>
      </c>
      <c r="D2383" s="4" t="str">
        <f>vlookup(A2383, Sheet2!D:E, 2, 0)</f>
        <v>variant</v>
      </c>
      <c r="E2383" s="4" t="str">
        <f>IFERROR(__xludf.DUMMYFUNCTION("if(H2383=""pays"",vlookup(REGEXEXTRACT(C2383, ""🏘️ \w+ \w+ (.*) ✅""),'Country prepositions'!A:B, 2, 0) &amp; "" "" &amp; REGEXEXTRACT(C2383, ""🏘️ \w+ \w+ (.*) ✅"") ,  if(H2383=""quartier"",vlookup(REGEXEXTRACT(C2383, ""🏘️ \w+ \w+ (.*) ✅""),'Quartier prepositio"&amp;"ns'!A:E, 5, 0) ,  if(H2383=""region"",vlookup(REGEXEXTRACT(C2383, ""🏘️ \w+ \w+ (.*) ✅""),'Region prepositions'!B:F, 5, 0),  REGEXEXTRACT(C2383, ""🏘️ \w+ \w+ (.*) ✅""))))"),"Genève 15 Aéroport")</f>
        <v>Genève 15 Aéroport</v>
      </c>
      <c r="F2383" s="2" t="str">
        <f>IFERROR(__xludf.DUMMYFUNCTION("REGEXEXTRACT(C2383, ""🏘️ (\w+) \w+ .* ✅"")"),"Vendre")</f>
        <v>Vendre</v>
      </c>
      <c r="G2383" s="2" t="str">
        <f>IFERROR(__xludf.DUMMYFUNCTION("REGEXEXTRACT(C2383, ""🏘️ \w+ (\w+) .* ✅"")"),"maison")</f>
        <v>maison</v>
      </c>
      <c r="H2383" s="4" t="str">
        <f>IFERROR(__xludf.DUMMYFUNCTION("REGEXEXTRACT(A2383, ""/(\w+)-.*?"")"),"lieu")</f>
        <v>lieu</v>
      </c>
      <c r="I2383" s="4" t="str">
        <f>IFERROR(__xludf.DUMMYFUNCTION("if(D2383=""variant"",  substitute(filter(Templates!E:E, Templates!A:A = F2383, Templates!B:B = G2383, Templates!C:C = H2383), ""{{}}"", E2383), B2383)"),"🏘  Vous souhaitez acheter une maison à Genève 15 Aéroport? ✅ Jetez un œil aux dernières offres sur ImmoScout24.ch.")</f>
        <v>🏘  Vous souhaitez acheter une maison à Genève 15 Aéroport? ✅ Jetez un œil aux dernières offres sur ImmoScout24.ch.</v>
      </c>
      <c r="J2383" s="4" t="s">
        <v>7145</v>
      </c>
    </row>
    <row r="2384">
      <c r="A2384" s="5" t="s">
        <v>7146</v>
      </c>
      <c r="B2384" s="2" t="s">
        <v>7147</v>
      </c>
      <c r="C2384" s="4" t="str">
        <f>IFERROR(__xludf.DUMMYFUNCTION("""🏘️ ""&amp;REGEXEXTRACT(B2384, ""^(.*): "")&amp;"" ✅ "" &amp;REGEXEXTRACT(B2384, ""(Trouvez.*)"")"),"🏘️ Louer maison Algérie ✅ Trouvez le bien immobilier qui correspond idéalement à vos désirs sur ImmoScout24 - La plateforme de l'immobilier en Suisse.")</f>
        <v>🏘️ Louer maison Algérie ✅ Trouvez le bien immobilier qui correspond idéalement à vos désirs sur ImmoScout24 - La plateforme de l'immobilier en Suisse.</v>
      </c>
      <c r="D2384" s="4" t="str">
        <f>vlookup(A2384, Sheet2!D:E, 2, 0)</f>
        <v>variant</v>
      </c>
      <c r="E2384" s="4" t="str">
        <f>IFERROR(__xludf.DUMMYFUNCTION("if(H2384=""pays"",vlookup(REGEXEXTRACT(C2384, ""🏘️ \w+ \w+ (.*) ✅""),'Country prepositions'!A:B, 2, 0) &amp; "" "" &amp; REGEXEXTRACT(C2384, ""🏘️ \w+ \w+ (.*) ✅"") ,  if(H2384=""quartier"",vlookup(REGEXEXTRACT(C2384, ""🏘️ \w+ \w+ (.*) ✅""),'Quartier prepositio"&amp;"ns'!A:E, 5, 0) ,  if(H2384=""region"",vlookup(REGEXEXTRACT(C2384, ""🏘️ \w+ \w+ (.*) ✅""),'Region prepositions'!B:F, 5, 0),  REGEXEXTRACT(C2384, ""🏘️ \w+ \w+ (.*) ✅""))))"),"en Algérie")</f>
        <v>en Algérie</v>
      </c>
      <c r="F2384" s="2" t="str">
        <f>IFERROR(__xludf.DUMMYFUNCTION("REGEXEXTRACT(C2384, ""🏘️ (\w+) \w+ .* ✅"")"),"Louer")</f>
        <v>Louer</v>
      </c>
      <c r="G2384" s="2" t="str">
        <f>IFERROR(__xludf.DUMMYFUNCTION("REGEXEXTRACT(C2384, ""🏘️ \w+ (\w+) .* ✅"")"),"maison")</f>
        <v>maison</v>
      </c>
      <c r="H2384" s="4" t="str">
        <f>IFERROR(__xludf.DUMMYFUNCTION("REGEXEXTRACT(A2384, ""/(\w+)-.*?"")"),"pays")</f>
        <v>pays</v>
      </c>
      <c r="I2384" s="4" t="str">
        <f>IFERROR(__xludf.DUMMYFUNCTION("if(D2384=""variant"",  substitute(filter(Templates!E:E, Templates!A:A = F2384, Templates!B:B = G2384, Templates!C:C = H2384), ""{{}}"", E2384), B2384)"),"🏘  Vous cherchez un appartement à louer en Algérie? ✅ Les annonces les plus actuelles sont sur ImmoScout24.ch.")</f>
        <v>🏘  Vous cherchez un appartement à louer en Algérie? ✅ Les annonces les plus actuelles sont sur ImmoScout24.ch.</v>
      </c>
      <c r="J2384" s="4" t="s">
        <v>7148</v>
      </c>
    </row>
    <row r="2385">
      <c r="A2385" s="5" t="s">
        <v>7149</v>
      </c>
      <c r="B2385" s="2" t="s">
        <v>7150</v>
      </c>
      <c r="C2385" s="4" t="str">
        <f>IFERROR(__xludf.DUMMYFUNCTION("""🏘️ ""&amp;REGEXEXTRACT(B2385, ""^(.*): "")&amp;"" ✅ "" &amp;REGEXEXTRACT(B2385, ""(Trouvez.*)"")"),"🏘️ Vendre appartement Jura Bernois ✅ Trouvez le bien immobilier qui correspond idéalement à vos désirs sur ImmoScout24 - La plateforme de l'immobilier en Suisse.")</f>
        <v>🏘️ Vendre appartement Jura Bernois ✅ Trouvez le bien immobilier qui correspond idéalement à vos désirs sur ImmoScout24 - La plateforme de l'immobilier en Suisse.</v>
      </c>
      <c r="D2385" s="4" t="str">
        <f>vlookup(A2385, Sheet2!D:E, 2, 0)</f>
        <v>variant</v>
      </c>
      <c r="E2385" s="4" t="str">
        <f>IFERROR(__xludf.DUMMYFUNCTION("if(H2385=""pays"",vlookup(REGEXEXTRACT(C2385, ""🏘️ \w+ \w+ (.*) ✅""),'Country prepositions'!A:B, 2, 0) &amp; "" "" &amp; REGEXEXTRACT(C2385, ""🏘️ \w+ \w+ (.*) ✅"") ,  if(H2385=""quartier"",vlookup(REGEXEXTRACT(C2385, ""🏘️ \w+ \w+ (.*) ✅""),'Quartier prepositio"&amp;"ns'!A:E, 5, 0) ,  if(H2385=""region"",vlookup(REGEXEXTRACT(C2385, ""🏘️ \w+ \w+ (.*) ✅""),'Region prepositions'!B:F, 5, 0),  REGEXEXTRACT(C2385, ""🏘️ \w+ \w+ (.*) ✅""))))"),"dans le Jura bernois")</f>
        <v>dans le Jura bernois</v>
      </c>
      <c r="F2385" s="2" t="str">
        <f>IFERROR(__xludf.DUMMYFUNCTION("REGEXEXTRACT(C2385, ""🏘️ (\w+) \w+ .* ✅"")"),"Vendre")</f>
        <v>Vendre</v>
      </c>
      <c r="G2385" s="2" t="str">
        <f>IFERROR(__xludf.DUMMYFUNCTION("REGEXEXTRACT(C2385, ""🏘️ \w+ (\w+) .* ✅"")"),"appartement")</f>
        <v>appartement</v>
      </c>
      <c r="H2385" s="4" t="str">
        <f>IFERROR(__xludf.DUMMYFUNCTION("REGEXEXTRACT(A2385, ""/(\w+)-.*?"")"),"region")</f>
        <v>region</v>
      </c>
      <c r="I2385" s="4" t="str">
        <f>IFERROR(__xludf.DUMMYFUNCTION("if(D2385=""variant"",  substitute(filter(Templates!E:E, Templates!A:A = F2385, Templates!B:B = G2385, Templates!C:C = H2385), ""{{}}"", E2385), B2385)"),"🏘  L’appartement de vos rêves se trouve sur ImmoScout24.ch ✅ Découvrez les dernières annonces de vente dans le Jura bernois.")</f>
        <v>🏘  L’appartement de vos rêves se trouve sur ImmoScout24.ch ✅ Découvrez les dernières annonces de vente dans le Jura bernois.</v>
      </c>
      <c r="J2385" s="4" t="s">
        <v>7151</v>
      </c>
    </row>
    <row r="2386">
      <c r="A2386" s="5" t="s">
        <v>7152</v>
      </c>
      <c r="B2386" s="2" t="s">
        <v>7153</v>
      </c>
      <c r="C2386" s="4" t="str">
        <f>IFERROR(__xludf.DUMMYFUNCTION("""🏘️ ""&amp;REGEXEXTRACT(B2386, ""^(.*): "")&amp;"" ✅ "" &amp;REGEXEXTRACT(B2386, ""(Trouvez.*)"")"),"🏘️ Vendre maison Vuisternens-devant-Romont ✅ Trouvez le bien immobilier qui correspond idéalement à vos désirs sur ImmoScout24 - La plateforme de l'immobilier en Suisse.")</f>
        <v>🏘️ Vendre maison Vuisternens-devant-Romont ✅ Trouvez le bien immobilier qui correspond idéalement à vos désirs sur ImmoScout24 - La plateforme de l'immobilier en Suisse.</v>
      </c>
      <c r="D2386" s="4" t="str">
        <f>vlookup(A2386, Sheet2!D:E, 2, 0)</f>
        <v>variant</v>
      </c>
      <c r="E2386" s="4" t="str">
        <f>IFERROR(__xludf.DUMMYFUNCTION("if(H2386=""pays"",vlookup(REGEXEXTRACT(C2386, ""🏘️ \w+ \w+ (.*) ✅""),'Country prepositions'!A:B, 2, 0) &amp; "" "" &amp; REGEXEXTRACT(C2386, ""🏘️ \w+ \w+ (.*) ✅"") ,  if(H2386=""quartier"",vlookup(REGEXEXTRACT(C2386, ""🏘️ \w+ \w+ (.*) ✅""),'Quartier prepositio"&amp;"ns'!A:E, 5, 0) ,  if(H2386=""region"",vlookup(REGEXEXTRACT(C2386, ""🏘️ \w+ \w+ (.*) ✅""),'Region prepositions'!B:F, 5, 0),  REGEXEXTRACT(C2386, ""🏘️ \w+ \w+ (.*) ✅""))))"),"Vuisternens-devant-Romont")</f>
        <v>Vuisternens-devant-Romont</v>
      </c>
      <c r="F2386" s="2" t="str">
        <f>IFERROR(__xludf.DUMMYFUNCTION("REGEXEXTRACT(C2386, ""🏘️ (\w+) \w+ .* ✅"")"),"Vendre")</f>
        <v>Vendre</v>
      </c>
      <c r="G2386" s="2" t="str">
        <f>IFERROR(__xludf.DUMMYFUNCTION("REGEXEXTRACT(C2386, ""🏘️ \w+ (\w+) .* ✅"")"),"maison")</f>
        <v>maison</v>
      </c>
      <c r="H2386" s="4" t="str">
        <f>IFERROR(__xludf.DUMMYFUNCTION("REGEXEXTRACT(A2386, ""/(\w+)-.*?"")"),"lieu")</f>
        <v>lieu</v>
      </c>
      <c r="I2386" s="4" t="str">
        <f>IFERROR(__xludf.DUMMYFUNCTION("if(D2386=""variant"",  substitute(filter(Templates!E:E, Templates!A:A = F2386, Templates!B:B = G2386, Templates!C:C = H2386), ""{{}}"", E2386), B2386)"),"🏘  Vous souhaitez acheter une maison à Vuisternens-devant-Romont? ✅ Jetez un œil aux dernières offres sur ImmoScout24.ch.")</f>
        <v>🏘  Vous souhaitez acheter une maison à Vuisternens-devant-Romont? ✅ Jetez un œil aux dernières offres sur ImmoScout24.ch.</v>
      </c>
      <c r="J2386" s="4" t="s">
        <v>7154</v>
      </c>
    </row>
    <row r="2387">
      <c r="A2387" s="5" t="s">
        <v>7155</v>
      </c>
      <c r="B2387" s="2" t="s">
        <v>7156</v>
      </c>
      <c r="C2387" s="4" t="str">
        <f>IFERROR(__xludf.DUMMYFUNCTION("""🏘️ ""&amp;REGEXEXTRACT(B2387, ""^(.*): "")&amp;"" ✅ "" &amp;REGEXEXTRACT(B2387, ""(Trouvez.*)"")"),"🏘️ Louer appartement Athenaz (Avusy) ✅ Trouvez le bien immobilier qui correspond idéalement à vos désirs sur ImmoScout24 - La plateforme de l'immobilier en Suisse.")</f>
        <v>🏘️ Louer appartement Athenaz (Avusy) ✅ Trouvez le bien immobilier qui correspond idéalement à vos désirs sur ImmoScout24 - La plateforme de l'immobilier en Suisse.</v>
      </c>
      <c r="D2387" s="4" t="str">
        <f>vlookup(A2387, Sheet2!D:E, 2, 0)</f>
        <v>variant</v>
      </c>
      <c r="E2387" s="4" t="str">
        <f>IFERROR(__xludf.DUMMYFUNCTION("if(H2387=""pays"",vlookup(REGEXEXTRACT(C2387, ""🏘️ \w+ \w+ (.*) ✅""),'Country prepositions'!A:B, 2, 0) &amp; "" "" &amp; REGEXEXTRACT(C2387, ""🏘️ \w+ \w+ (.*) ✅"") ,  if(H2387=""quartier"",vlookup(REGEXEXTRACT(C2387, ""🏘️ \w+ \w+ (.*) ✅""),'Quartier prepositio"&amp;"ns'!A:E, 5, 0) ,  if(H2387=""region"",vlookup(REGEXEXTRACT(C2387, ""🏘️ \w+ \w+ (.*) ✅""),'Region prepositions'!B:F, 5, 0),  REGEXEXTRACT(C2387, ""🏘️ \w+ \w+ (.*) ✅""))))"),"Athenaz (Avusy)")</f>
        <v>Athenaz (Avusy)</v>
      </c>
      <c r="F2387" s="2" t="str">
        <f>IFERROR(__xludf.DUMMYFUNCTION("REGEXEXTRACT(C2387, ""🏘️ (\w+) \w+ .* ✅"")"),"Louer")</f>
        <v>Louer</v>
      </c>
      <c r="G2387" s="2" t="str">
        <f>IFERROR(__xludf.DUMMYFUNCTION("REGEXEXTRACT(C2387, ""🏘️ \w+ (\w+) .* ✅"")"),"appartement")</f>
        <v>appartement</v>
      </c>
      <c r="H2387" s="4" t="str">
        <f>IFERROR(__xludf.DUMMYFUNCTION("REGEXEXTRACT(A2387, ""/(\w+)-.*?"")"),"lieu")</f>
        <v>lieu</v>
      </c>
      <c r="I2387" s="4" t="str">
        <f>IFERROR(__xludf.DUMMYFUNCTION("if(D2387=""variant"",  substitute(filter(Templates!E:E, Templates!A:A = F2387, Templates!B:B = G2387, Templates!C:C = H2387), ""{{}}"", E2387), B2387)"),"🏘  Vous cherchez un appartement à louer à Athenaz (Avusy)? ✅ Les annonces les plus actuelles sont sur ImmoScout24.ch.")</f>
        <v>🏘  Vous cherchez un appartement à louer à Athenaz (Avusy)? ✅ Les annonces les plus actuelles sont sur ImmoScout24.ch.</v>
      </c>
      <c r="J2387" s="4" t="s">
        <v>7157</v>
      </c>
    </row>
    <row r="2388">
      <c r="A2388" s="5" t="s">
        <v>7158</v>
      </c>
      <c r="B2388" s="2" t="s">
        <v>7159</v>
      </c>
      <c r="C2388" s="4" t="str">
        <f>IFERROR(__xludf.DUMMYFUNCTION("""🏘️ ""&amp;REGEXEXTRACT(B2388, ""^(.*): "")&amp;"" ✅ "" &amp;REGEXEXTRACT(B2388, ""(Trouvez.*)"")"),"🏘️ Vendre appartement Pregassona (Lugano) ✅ Trouvez le bien immobilier qui correspond idéalement à vos désirs sur ImmoScout24 - La plateforme de l'immobilier en Suisse.")</f>
        <v>🏘️ Vendre appartement Pregassona (Lugano) ✅ Trouvez le bien immobilier qui correspond idéalement à vos désirs sur ImmoScout24 - La plateforme de l'immobilier en Suisse.</v>
      </c>
      <c r="D2388" s="4" t="str">
        <f>vlookup(A2388, Sheet2!D:E, 2, 0)</f>
        <v>variant</v>
      </c>
      <c r="E2388" s="4" t="str">
        <f>IFERROR(__xludf.DUMMYFUNCTION("if(H2388=""pays"",vlookup(REGEXEXTRACT(C2388, ""🏘️ \w+ \w+ (.*) ✅""),'Country prepositions'!A:B, 2, 0) &amp; "" "" &amp; REGEXEXTRACT(C2388, ""🏘️ \w+ \w+ (.*) ✅"") ,  if(H2388=""quartier"",vlookup(REGEXEXTRACT(C2388, ""🏘️ \w+ \w+ (.*) ✅""),'Quartier prepositio"&amp;"ns'!A:E, 5, 0) ,  if(H2388=""region"",vlookup(REGEXEXTRACT(C2388, ""🏘️ \w+ \w+ (.*) ✅""),'Region prepositions'!B:F, 5, 0),  REGEXEXTRACT(C2388, ""🏘️ \w+ \w+ (.*) ✅""))))"),"dans le quartier de Pregassona (Lugano)")</f>
        <v>dans le quartier de Pregassona (Lugano)</v>
      </c>
      <c r="F2388" s="2" t="str">
        <f>IFERROR(__xludf.DUMMYFUNCTION("REGEXEXTRACT(C2388, ""🏘️ (\w+) \w+ .* ✅"")"),"Vendre")</f>
        <v>Vendre</v>
      </c>
      <c r="G2388" s="2" t="str">
        <f>IFERROR(__xludf.DUMMYFUNCTION("REGEXEXTRACT(C2388, ""🏘️ \w+ (\w+) .* ✅"")"),"appartement")</f>
        <v>appartement</v>
      </c>
      <c r="H2388" s="4" t="str">
        <f>IFERROR(__xludf.DUMMYFUNCTION("REGEXEXTRACT(A2388, ""/(\w+)-.*?"")"),"quartier")</f>
        <v>quartier</v>
      </c>
      <c r="I2388" s="4" t="str">
        <f>IFERROR(__xludf.DUMMYFUNCTION("if(D2388=""variant"",  substitute(filter(Templates!E:E, Templates!A:A = F2388, Templates!B:B = G2388, Templates!C:C = H2388), ""{{}}"", E2388), B2388)"),"🏘  L’appartement de vos rêves se trouve sur ImmoScout24.ch ✅ Découvrez les dernières annonces de vente dans le quartier de Pregassona (Lugano).")</f>
        <v>🏘  L’appartement de vos rêves se trouve sur ImmoScout24.ch ✅ Découvrez les dernières annonces de vente dans le quartier de Pregassona (Lugano).</v>
      </c>
      <c r="J2388" s="4" t="s">
        <v>7160</v>
      </c>
    </row>
    <row r="2389">
      <c r="A2389" s="5" t="s">
        <v>7161</v>
      </c>
      <c r="B2389" s="2" t="s">
        <v>7162</v>
      </c>
      <c r="C2389" s="4" t="str">
        <f>IFERROR(__xludf.DUMMYFUNCTION("""🏘️ ""&amp;REGEXEXTRACT(B2389, ""^(.*): "")&amp;"" ✅ "" &amp;REGEXEXTRACT(B2389, ""(Trouvez.*)"")"),"🏘️ Louer appartement St. Niklaus VS ✅ Trouvez le bien immobilier qui correspond idéalement à vos désirs sur ImmoScout24 - La plateforme de l'immobilier en Suisse.")</f>
        <v>🏘️ Louer appartement St. Niklaus VS ✅ Trouvez le bien immobilier qui correspond idéalement à vos désirs sur ImmoScout24 - La plateforme de l'immobilier en Suisse.</v>
      </c>
      <c r="D2389" s="4" t="str">
        <f>vlookup(A2389, Sheet2!D:E, 2, 0)</f>
        <v>variant</v>
      </c>
      <c r="E2389" s="4" t="str">
        <f>IFERROR(__xludf.DUMMYFUNCTION("if(H2389=""pays"",vlookup(REGEXEXTRACT(C2389, ""🏘️ \w+ \w+ (.*) ✅""),'Country prepositions'!A:B, 2, 0) &amp; "" "" &amp; REGEXEXTRACT(C2389, ""🏘️ \w+ \w+ (.*) ✅"") ,  if(H2389=""quartier"",vlookup(REGEXEXTRACT(C2389, ""🏘️ \w+ \w+ (.*) ✅""),'Quartier prepositio"&amp;"ns'!A:E, 5, 0) ,  if(H2389=""region"",vlookup(REGEXEXTRACT(C2389, ""🏘️ \w+ \w+ (.*) ✅""),'Region prepositions'!B:F, 5, 0),  REGEXEXTRACT(C2389, ""🏘️ \w+ \w+ (.*) ✅""))))"),"St. Niklaus VS")</f>
        <v>St. Niklaus VS</v>
      </c>
      <c r="F2389" s="2" t="str">
        <f>IFERROR(__xludf.DUMMYFUNCTION("REGEXEXTRACT(C2389, ""🏘️ (\w+) \w+ .* ✅"")"),"Louer")</f>
        <v>Louer</v>
      </c>
      <c r="G2389" s="2" t="str">
        <f>IFERROR(__xludf.DUMMYFUNCTION("REGEXEXTRACT(C2389, ""🏘️ \w+ (\w+) .* ✅"")"),"appartement")</f>
        <v>appartement</v>
      </c>
      <c r="H2389" s="4" t="str">
        <f>IFERROR(__xludf.DUMMYFUNCTION("REGEXEXTRACT(A2389, ""/(\w+)-.*?"")"),"lieu")</f>
        <v>lieu</v>
      </c>
      <c r="I2389" s="4" t="str">
        <f>IFERROR(__xludf.DUMMYFUNCTION("if(D2389=""variant"",  substitute(filter(Templates!E:E, Templates!A:A = F2389, Templates!B:B = G2389, Templates!C:C = H2389), ""{{}}"", E2389), B2389)"),"🏘  Vous cherchez un appartement à louer à St. Niklaus VS? ✅ Les annonces les plus actuelles sont sur ImmoScout24.ch.")</f>
        <v>🏘  Vous cherchez un appartement à louer à St. Niklaus VS? ✅ Les annonces les plus actuelles sont sur ImmoScout24.ch.</v>
      </c>
      <c r="J2389" s="4" t="s">
        <v>7163</v>
      </c>
    </row>
    <row r="2390">
      <c r="A2390" s="5" t="s">
        <v>7164</v>
      </c>
      <c r="B2390" s="2" t="s">
        <v>7165</v>
      </c>
      <c r="C2390" s="4" t="str">
        <f>IFERROR(__xludf.DUMMYFUNCTION("""🏘️ ""&amp;REGEXEXTRACT(B2390, ""^(.*): "")&amp;"" ✅ "" &amp;REGEXEXTRACT(B2390, ""(Trouvez.*)"")"),"🏘️ Louer appartement Bussnang ✅ Trouvez le bien immobilier qui correspond idéalement à vos désirs sur ImmoScout24 - La plateforme de l'immobilier en Suisse.")</f>
        <v>🏘️ Louer appartement Bussnang ✅ Trouvez le bien immobilier qui correspond idéalement à vos désirs sur ImmoScout24 - La plateforme de l'immobilier en Suisse.</v>
      </c>
      <c r="D2390" s="4" t="str">
        <f>vlookup(A2390, Sheet2!D:E, 2, 0)</f>
        <v>variant</v>
      </c>
      <c r="E2390" s="4" t="str">
        <f>IFERROR(__xludf.DUMMYFUNCTION("if(H2390=""pays"",vlookup(REGEXEXTRACT(C2390, ""🏘️ \w+ \w+ (.*) ✅""),'Country prepositions'!A:B, 2, 0) &amp; "" "" &amp; REGEXEXTRACT(C2390, ""🏘️ \w+ \w+ (.*) ✅"") ,  if(H2390=""quartier"",vlookup(REGEXEXTRACT(C2390, ""🏘️ \w+ \w+ (.*) ✅""),'Quartier prepositio"&amp;"ns'!A:E, 5, 0) ,  if(H2390=""region"",vlookup(REGEXEXTRACT(C2390, ""🏘️ \w+ \w+ (.*) ✅""),'Region prepositions'!B:F, 5, 0),  REGEXEXTRACT(C2390, ""🏘️ \w+ \w+ (.*) ✅""))))"),"Bussnang")</f>
        <v>Bussnang</v>
      </c>
      <c r="F2390" s="2" t="str">
        <f>IFERROR(__xludf.DUMMYFUNCTION("REGEXEXTRACT(C2390, ""🏘️ (\w+) \w+ .* ✅"")"),"Louer")</f>
        <v>Louer</v>
      </c>
      <c r="G2390" s="2" t="str">
        <f>IFERROR(__xludf.DUMMYFUNCTION("REGEXEXTRACT(C2390, ""🏘️ \w+ (\w+) .* ✅"")"),"appartement")</f>
        <v>appartement</v>
      </c>
      <c r="H2390" s="4" t="str">
        <f>IFERROR(__xludf.DUMMYFUNCTION("REGEXEXTRACT(A2390, ""/(\w+)-.*?"")"),"lieu")</f>
        <v>lieu</v>
      </c>
      <c r="I2390" s="4" t="str">
        <f>IFERROR(__xludf.DUMMYFUNCTION("if(D2390=""variant"",  substitute(filter(Templates!E:E, Templates!A:A = F2390, Templates!B:B = G2390, Templates!C:C = H2390), ""{{}}"", E2390), B2390)"),"🏘  Vous cherchez un appartement à louer à Bussnang? ✅ Les annonces les plus actuelles sont sur ImmoScout24.ch.")</f>
        <v>🏘  Vous cherchez un appartement à louer à Bussnang? ✅ Les annonces les plus actuelles sont sur ImmoScout24.ch.</v>
      </c>
      <c r="J2390" s="4" t="s">
        <v>7166</v>
      </c>
    </row>
    <row r="2391">
      <c r="A2391" s="5" t="s">
        <v>7167</v>
      </c>
      <c r="B2391" s="2" t="s">
        <v>7168</v>
      </c>
      <c r="C2391" s="4" t="str">
        <f>IFERROR(__xludf.DUMMYFUNCTION("""🏘️ ""&amp;REGEXEXTRACT(B2391, ""^(.*): "")&amp;"" ✅ "" &amp;REGEXEXTRACT(B2391, ""(Trouvez.*)"")"),"🏘️ Vendre maison Bouveret ✅ Trouvez le bien immobilier qui correspond idéalement à vos désirs sur ImmoScout24 - La plateforme de l'immobilier en Suisse.")</f>
        <v>🏘️ Vendre maison Bouveret ✅ Trouvez le bien immobilier qui correspond idéalement à vos désirs sur ImmoScout24 - La plateforme de l'immobilier en Suisse.</v>
      </c>
      <c r="D2391" s="4" t="str">
        <f>vlookup(A2391, Sheet2!D:E, 2, 0)</f>
        <v>variant</v>
      </c>
      <c r="E2391" s="4" t="str">
        <f>IFERROR(__xludf.DUMMYFUNCTION("if(H2391=""pays"",vlookup(REGEXEXTRACT(C2391, ""🏘️ \w+ \w+ (.*) ✅""),'Country prepositions'!A:B, 2, 0) &amp; "" "" &amp; REGEXEXTRACT(C2391, ""🏘️ \w+ \w+ (.*) ✅"") ,  if(H2391=""quartier"",vlookup(REGEXEXTRACT(C2391, ""🏘️ \w+ \w+ (.*) ✅""),'Quartier prepositio"&amp;"ns'!A:E, 5, 0) ,  if(H2391=""region"",vlookup(REGEXEXTRACT(C2391, ""🏘️ \w+ \w+ (.*) ✅""),'Region prepositions'!B:F, 5, 0),  REGEXEXTRACT(C2391, ""🏘️ \w+ \w+ (.*) ✅""))))"),"Bouveret")</f>
        <v>Bouveret</v>
      </c>
      <c r="F2391" s="2" t="str">
        <f>IFERROR(__xludf.DUMMYFUNCTION("REGEXEXTRACT(C2391, ""🏘️ (\w+) \w+ .* ✅"")"),"Vendre")</f>
        <v>Vendre</v>
      </c>
      <c r="G2391" s="2" t="str">
        <f>IFERROR(__xludf.DUMMYFUNCTION("REGEXEXTRACT(C2391, ""🏘️ \w+ (\w+) .* ✅"")"),"maison")</f>
        <v>maison</v>
      </c>
      <c r="H2391" s="4" t="str">
        <f>IFERROR(__xludf.DUMMYFUNCTION("REGEXEXTRACT(A2391, ""/(\w+)-.*?"")"),"lieu")</f>
        <v>lieu</v>
      </c>
      <c r="I2391" s="4" t="str">
        <f>IFERROR(__xludf.DUMMYFUNCTION("if(D2391=""variant"",  substitute(filter(Templates!E:E, Templates!A:A = F2391, Templates!B:B = G2391, Templates!C:C = H2391), ""{{}}"", E2391), B2391)"),"🏘  Vous souhaitez acheter une maison à Bouveret? ✅ Jetez un œil aux dernières offres sur ImmoScout24.ch.")</f>
        <v>🏘  Vous souhaitez acheter une maison à Bouveret? ✅ Jetez un œil aux dernières offres sur ImmoScout24.ch.</v>
      </c>
      <c r="J2391" s="4" t="s">
        <v>7169</v>
      </c>
    </row>
    <row r="2392">
      <c r="A2392" s="5" t="s">
        <v>7170</v>
      </c>
      <c r="B2392" s="2" t="s">
        <v>7171</v>
      </c>
      <c r="C2392" s="4" t="str">
        <f>IFERROR(__xludf.DUMMYFUNCTION("""🏘️ ""&amp;REGEXEXTRACT(B2392, ""^(.*): "")&amp;"" ✅ "" &amp;REGEXEXTRACT(B2392, ""(Trouvez.*)"")"),"🏘️ Vendre maison Coeuve ✅ Trouvez le bien immobilier qui correspond idéalement à vos désirs sur ImmoScout24 - La plateforme de l'immobilier en Suisse.")</f>
        <v>🏘️ Vendre maison Coeuve ✅ Trouvez le bien immobilier qui correspond idéalement à vos désirs sur ImmoScout24 - La plateforme de l'immobilier en Suisse.</v>
      </c>
      <c r="D2392" s="4" t="str">
        <f>vlookup(A2392, Sheet2!D:E, 2, 0)</f>
        <v>variant</v>
      </c>
      <c r="E2392" s="4" t="str">
        <f>IFERROR(__xludf.DUMMYFUNCTION("if(H2392=""pays"",vlookup(REGEXEXTRACT(C2392, ""🏘️ \w+ \w+ (.*) ✅""),'Country prepositions'!A:B, 2, 0) &amp; "" "" &amp; REGEXEXTRACT(C2392, ""🏘️ \w+ \w+ (.*) ✅"") ,  if(H2392=""quartier"",vlookup(REGEXEXTRACT(C2392, ""🏘️ \w+ \w+ (.*) ✅""),'Quartier prepositio"&amp;"ns'!A:E, 5, 0) ,  if(H2392=""region"",vlookup(REGEXEXTRACT(C2392, ""🏘️ \w+ \w+ (.*) ✅""),'Region prepositions'!B:F, 5, 0),  REGEXEXTRACT(C2392, ""🏘️ \w+ \w+ (.*) ✅""))))"),"Coeuve")</f>
        <v>Coeuve</v>
      </c>
      <c r="F2392" s="2" t="str">
        <f>IFERROR(__xludf.DUMMYFUNCTION("REGEXEXTRACT(C2392, ""🏘️ (\w+) \w+ .* ✅"")"),"Vendre")</f>
        <v>Vendre</v>
      </c>
      <c r="G2392" s="2" t="str">
        <f>IFERROR(__xludf.DUMMYFUNCTION("REGEXEXTRACT(C2392, ""🏘️ \w+ (\w+) .* ✅"")"),"maison")</f>
        <v>maison</v>
      </c>
      <c r="H2392" s="4" t="str">
        <f>IFERROR(__xludf.DUMMYFUNCTION("REGEXEXTRACT(A2392, ""/(\w+)-.*?"")"),"lieu")</f>
        <v>lieu</v>
      </c>
      <c r="I2392" s="4" t="str">
        <f>IFERROR(__xludf.DUMMYFUNCTION("if(D2392=""variant"",  substitute(filter(Templates!E:E, Templates!A:A = F2392, Templates!B:B = G2392, Templates!C:C = H2392), ""{{}}"", E2392), B2392)"),"🏘  Vous souhaitez acheter une maison à Coeuve? ✅ Jetez un œil aux dernières offres sur ImmoScout24.ch.")</f>
        <v>🏘  Vous souhaitez acheter une maison à Coeuve? ✅ Jetez un œil aux dernières offres sur ImmoScout24.ch.</v>
      </c>
      <c r="J2392" s="4" t="s">
        <v>7172</v>
      </c>
    </row>
    <row r="2393">
      <c r="A2393" s="5" t="s">
        <v>7173</v>
      </c>
      <c r="B2393" s="2" t="s">
        <v>7174</v>
      </c>
      <c r="C2393" s="4" t="str">
        <f>IFERROR(__xludf.DUMMYFUNCTION("""🏘️ ""&amp;REGEXEXTRACT(B2393, ""^(.*): "")&amp;"" ✅ "" &amp;REGEXEXTRACT(B2393, ""(Trouvez.*)"")"),"🏘️ Vendre maison Veysonnaz ✅ Trouvez le bien immobilier qui correspond idéalement à vos désirs sur ImmoScout24 - La plateforme de l'immobilier en Suisse.")</f>
        <v>🏘️ Vendre maison Veysonnaz ✅ Trouvez le bien immobilier qui correspond idéalement à vos désirs sur ImmoScout24 - La plateforme de l'immobilier en Suisse.</v>
      </c>
      <c r="D2393" s="4" t="str">
        <f>vlookup(A2393, Sheet2!D:E, 2, 0)</f>
        <v>variant</v>
      </c>
      <c r="E2393" s="4" t="str">
        <f>IFERROR(__xludf.DUMMYFUNCTION("if(H2393=""pays"",vlookup(REGEXEXTRACT(C2393, ""🏘️ \w+ \w+ (.*) ✅""),'Country prepositions'!A:B, 2, 0) &amp; "" "" &amp; REGEXEXTRACT(C2393, ""🏘️ \w+ \w+ (.*) ✅"") ,  if(H2393=""quartier"",vlookup(REGEXEXTRACT(C2393, ""🏘️ \w+ \w+ (.*) ✅""),'Quartier prepositio"&amp;"ns'!A:E, 5, 0) ,  if(H2393=""region"",vlookup(REGEXEXTRACT(C2393, ""🏘️ \w+ \w+ (.*) ✅""),'Region prepositions'!B:F, 5, 0),  REGEXEXTRACT(C2393, ""🏘️ \w+ \w+ (.*) ✅""))))"),"Veysonnaz")</f>
        <v>Veysonnaz</v>
      </c>
      <c r="F2393" s="2" t="str">
        <f>IFERROR(__xludf.DUMMYFUNCTION("REGEXEXTRACT(C2393, ""🏘️ (\w+) \w+ .* ✅"")"),"Vendre")</f>
        <v>Vendre</v>
      </c>
      <c r="G2393" s="2" t="str">
        <f>IFERROR(__xludf.DUMMYFUNCTION("REGEXEXTRACT(C2393, ""🏘️ \w+ (\w+) .* ✅"")"),"maison")</f>
        <v>maison</v>
      </c>
      <c r="H2393" s="4" t="str">
        <f>IFERROR(__xludf.DUMMYFUNCTION("REGEXEXTRACT(A2393, ""/(\w+)-.*?"")"),"lieu")</f>
        <v>lieu</v>
      </c>
      <c r="I2393" s="4" t="str">
        <f>IFERROR(__xludf.DUMMYFUNCTION("if(D2393=""variant"",  substitute(filter(Templates!E:E, Templates!A:A = F2393, Templates!B:B = G2393, Templates!C:C = H2393), ""{{}}"", E2393), B2393)"),"🏘  Vous souhaitez acheter une maison à Veysonnaz? ✅ Jetez un œil aux dernières offres sur ImmoScout24.ch.")</f>
        <v>🏘  Vous souhaitez acheter une maison à Veysonnaz? ✅ Jetez un œil aux dernières offres sur ImmoScout24.ch.</v>
      </c>
      <c r="J2393" s="4" t="s">
        <v>7175</v>
      </c>
    </row>
    <row r="2394">
      <c r="A2394" s="5" t="s">
        <v>7176</v>
      </c>
      <c r="B2394" s="2" t="s">
        <v>7177</v>
      </c>
      <c r="C2394" s="4" t="str">
        <f>IFERROR(__xludf.DUMMYFUNCTION("""🏘️ ""&amp;REGEXEXTRACT(B2394, ""^(.*): "")&amp;"" ✅ "" &amp;REGEXEXTRACT(B2394, ""(Trouvez.*)"")"),"🏘️ Louer maison Beundenfeld (Berne) ✅ Trouvez le bien immobilier qui correspond idéalement à vos désirs sur ImmoScout24 - La plateforme de l'immobilier en Suisse.")</f>
        <v>🏘️ Louer maison Beundenfeld (Berne) ✅ Trouvez le bien immobilier qui correspond idéalement à vos désirs sur ImmoScout24 - La plateforme de l'immobilier en Suisse.</v>
      </c>
      <c r="D2394" s="4" t="str">
        <f>vlookup(A2394, Sheet2!D:E, 2, 0)</f>
        <v>variant</v>
      </c>
      <c r="E2394" s="4" t="str">
        <f>IFERROR(__xludf.DUMMYFUNCTION("if(H2394=""pays"",vlookup(REGEXEXTRACT(C2394, ""🏘️ \w+ \w+ (.*) ✅""),'Country prepositions'!A:B, 2, 0) &amp; "" "" &amp; REGEXEXTRACT(C2394, ""🏘️ \w+ \w+ (.*) ✅"") ,  if(H2394=""quartier"",vlookup(REGEXEXTRACT(C2394, ""🏘️ \w+ \w+ (.*) ✅""),'Quartier prepositio"&amp;"ns'!A:E, 5, 0) ,  if(H2394=""region"",vlookup(REGEXEXTRACT(C2394, ""🏘️ \w+ \w+ (.*) ✅""),'Region prepositions'!B:F, 5, 0),  REGEXEXTRACT(C2394, ""🏘️ \w+ \w+ (.*) ✅""))))"),"dans le quartier de Beundenfeld (Berne)")</f>
        <v>dans le quartier de Beundenfeld (Berne)</v>
      </c>
      <c r="F2394" s="2" t="str">
        <f>IFERROR(__xludf.DUMMYFUNCTION("REGEXEXTRACT(C2394, ""🏘️ (\w+) \w+ .* ✅"")"),"Louer")</f>
        <v>Louer</v>
      </c>
      <c r="G2394" s="2" t="str">
        <f>IFERROR(__xludf.DUMMYFUNCTION("REGEXEXTRACT(C2394, ""🏘️ \w+ (\w+) .* ✅"")"),"maison")</f>
        <v>maison</v>
      </c>
      <c r="H2394" s="4" t="str">
        <f>IFERROR(__xludf.DUMMYFUNCTION("REGEXEXTRACT(A2394, ""/(\w+)-.*?"")"),"quartier")</f>
        <v>quartier</v>
      </c>
      <c r="I2394" s="4" t="str">
        <f>IFERROR(__xludf.DUMMYFUNCTION("if(D2394=""variant"",  substitute(filter(Templates!E:E, Templates!A:A = F2394, Templates!B:B = G2394, Templates!C:C = H2394), ""{{}}"", E2394), B2394)"),"🏘  Vous cherchez une maison à louer dans le quartier de Beundenfeld (Berne)? ✅ Découvrez nos nombreuses annonces sur ImmoScout24.ch.")</f>
        <v>🏘  Vous cherchez une maison à louer dans le quartier de Beundenfeld (Berne)? ✅ Découvrez nos nombreuses annonces sur ImmoScout24.ch.</v>
      </c>
      <c r="J2394" s="4" t="s">
        <v>7178</v>
      </c>
    </row>
    <row r="2395">
      <c r="A2395" s="5" t="s">
        <v>7179</v>
      </c>
      <c r="B2395" s="2" t="s">
        <v>7180</v>
      </c>
      <c r="C2395" s="4" t="str">
        <f>IFERROR(__xludf.DUMMYFUNCTION("""🏘️ ""&amp;REGEXEXTRACT(B2395, ""^(.*): "")&amp;"" ✅ "" &amp;REGEXEXTRACT(B2395, ""(Trouvez.*)"")"),"🏘️ Louer maison Raron ✅ Trouvez le bien immobilier qui correspond idéalement à vos désirs sur ImmoScout24 - La plateforme de l'immobilier en Suisse.")</f>
        <v>🏘️ Louer maison Raron ✅ Trouvez le bien immobilier qui correspond idéalement à vos désirs sur ImmoScout24 - La plateforme de l'immobilier en Suisse.</v>
      </c>
      <c r="D2395" s="4" t="str">
        <f>vlookup(A2395, Sheet2!D:E, 2, 0)</f>
        <v>variant</v>
      </c>
      <c r="E2395" s="4" t="str">
        <f>IFERROR(__xludf.DUMMYFUNCTION("if(H2395=""pays"",vlookup(REGEXEXTRACT(C2395, ""🏘️ \w+ \w+ (.*) ✅""),'Country prepositions'!A:B, 2, 0) &amp; "" "" &amp; REGEXEXTRACT(C2395, ""🏘️ \w+ \w+ (.*) ✅"") ,  if(H2395=""quartier"",vlookup(REGEXEXTRACT(C2395, ""🏘️ \w+ \w+ (.*) ✅""),'Quartier prepositio"&amp;"ns'!A:E, 5, 0) ,  if(H2395=""region"",vlookup(REGEXEXTRACT(C2395, ""🏘️ \w+ \w+ (.*) ✅""),'Region prepositions'!B:F, 5, 0),  REGEXEXTRACT(C2395, ""🏘️ \w+ \w+ (.*) ✅""))))"),"Raron")</f>
        <v>Raron</v>
      </c>
      <c r="F2395" s="2" t="str">
        <f>IFERROR(__xludf.DUMMYFUNCTION("REGEXEXTRACT(C2395, ""🏘️ (\w+) \w+ .* ✅"")"),"Louer")</f>
        <v>Louer</v>
      </c>
      <c r="G2395" s="2" t="str">
        <f>IFERROR(__xludf.DUMMYFUNCTION("REGEXEXTRACT(C2395, ""🏘️ \w+ (\w+) .* ✅"")"),"maison")</f>
        <v>maison</v>
      </c>
      <c r="H2395" s="4" t="str">
        <f>IFERROR(__xludf.DUMMYFUNCTION("REGEXEXTRACT(A2395, ""/(\w+)-.*?"")"),"lieu")</f>
        <v>lieu</v>
      </c>
      <c r="I2395" s="4" t="str">
        <f>IFERROR(__xludf.DUMMYFUNCTION("if(D2395=""variant"",  substitute(filter(Templates!E:E, Templates!A:A = F2395, Templates!B:B = G2395, Templates!C:C = H2395), ""{{}}"", E2395), B2395)"),"🏘  Vous cherchez une maison à louer à Raron? ✅ Découvrez nos nombreuses annonces sur ImmoScout24.ch.")</f>
        <v>🏘  Vous cherchez une maison à louer à Raron? ✅ Découvrez nos nombreuses annonces sur ImmoScout24.ch.</v>
      </c>
      <c r="J2395" s="4" t="s">
        <v>7181</v>
      </c>
    </row>
    <row r="2396">
      <c r="A2396" s="5" t="s">
        <v>7182</v>
      </c>
      <c r="B2396" s="2" t="s">
        <v>7183</v>
      </c>
      <c r="C2396" s="4" t="str">
        <f>IFERROR(__xludf.DUMMYFUNCTION("""🏘️ ""&amp;REGEXEXTRACT(B2396, ""^(.*): "")&amp;"" ✅ "" &amp;REGEXEXTRACT(B2396, ""(Trouvez.*)"")"),"🏘️ Louer appartement Schnottwil ✅ Trouvez le bien immobilier qui correspond idéalement à vos désirs sur ImmoScout24 - La plateforme de l'immobilier en Suisse.")</f>
        <v>🏘️ Louer appartement Schnottwil ✅ Trouvez le bien immobilier qui correspond idéalement à vos désirs sur ImmoScout24 - La plateforme de l'immobilier en Suisse.</v>
      </c>
      <c r="D2396" s="4" t="str">
        <f>vlookup(A2396, Sheet2!D:E, 2, 0)</f>
        <v>variant</v>
      </c>
      <c r="E2396" s="4" t="str">
        <f>IFERROR(__xludf.DUMMYFUNCTION("if(H2396=""pays"",vlookup(REGEXEXTRACT(C2396, ""🏘️ \w+ \w+ (.*) ✅""),'Country prepositions'!A:B, 2, 0) &amp; "" "" &amp; REGEXEXTRACT(C2396, ""🏘️ \w+ \w+ (.*) ✅"") ,  if(H2396=""quartier"",vlookup(REGEXEXTRACT(C2396, ""🏘️ \w+ \w+ (.*) ✅""),'Quartier prepositio"&amp;"ns'!A:E, 5, 0) ,  if(H2396=""region"",vlookup(REGEXEXTRACT(C2396, ""🏘️ \w+ \w+ (.*) ✅""),'Region prepositions'!B:F, 5, 0),  REGEXEXTRACT(C2396, ""🏘️ \w+ \w+ (.*) ✅""))))"),"Schnottwil")</f>
        <v>Schnottwil</v>
      </c>
      <c r="F2396" s="2" t="str">
        <f>IFERROR(__xludf.DUMMYFUNCTION("REGEXEXTRACT(C2396, ""🏘️ (\w+) \w+ .* ✅"")"),"Louer")</f>
        <v>Louer</v>
      </c>
      <c r="G2396" s="2" t="str">
        <f>IFERROR(__xludf.DUMMYFUNCTION("REGEXEXTRACT(C2396, ""🏘️ \w+ (\w+) .* ✅"")"),"appartement")</f>
        <v>appartement</v>
      </c>
      <c r="H2396" s="4" t="str">
        <f>IFERROR(__xludf.DUMMYFUNCTION("REGEXEXTRACT(A2396, ""/(\w+)-.*?"")"),"lieu")</f>
        <v>lieu</v>
      </c>
      <c r="I2396" s="4" t="str">
        <f>IFERROR(__xludf.DUMMYFUNCTION("if(D2396=""variant"",  substitute(filter(Templates!E:E, Templates!A:A = F2396, Templates!B:B = G2396, Templates!C:C = H2396), ""{{}}"", E2396), B2396)"),"🏘  Vous cherchez un appartement à louer à Schnottwil? ✅ Les annonces les plus actuelles sont sur ImmoScout24.ch.")</f>
        <v>🏘  Vous cherchez un appartement à louer à Schnottwil? ✅ Les annonces les plus actuelles sont sur ImmoScout24.ch.</v>
      </c>
      <c r="J2396" s="4" t="s">
        <v>7184</v>
      </c>
    </row>
    <row r="2397">
      <c r="A2397" s="5" t="s">
        <v>7185</v>
      </c>
      <c r="B2397" s="2" t="s">
        <v>7186</v>
      </c>
      <c r="C2397" s="4" t="str">
        <f>IFERROR(__xludf.DUMMYFUNCTION("""🏘️ ""&amp;REGEXEXTRACT(B2397, ""^(.*): "")&amp;"" ✅ "" &amp;REGEXEXTRACT(B2397, ""(Trouvez.*)"")"),"🏘️ Louer appartement Grünes Quartier (Berne) ✅ Trouvez le bien immobilier qui correspond idéalement à vos désirs sur ImmoScout24 - La plateforme de l'immobilier en Suisse.")</f>
        <v>🏘️ Louer appartement Grünes Quartier (Berne) ✅ Trouvez le bien immobilier qui correspond idéalement à vos désirs sur ImmoScout24 - La plateforme de l'immobilier en Suisse.</v>
      </c>
      <c r="D2397" s="4" t="str">
        <f>vlookup(A2397, Sheet2!D:E, 2, 0)</f>
        <v>variant</v>
      </c>
      <c r="E2397" s="4" t="str">
        <f>IFERROR(__xludf.DUMMYFUNCTION("if(H2397=""pays"",vlookup(REGEXEXTRACT(C2397, ""🏘️ \w+ \w+ (.*) ✅""),'Country prepositions'!A:B, 2, 0) &amp; "" "" &amp; REGEXEXTRACT(C2397, ""🏘️ \w+ \w+ (.*) ✅"") ,  if(H2397=""quartier"",vlookup(REGEXEXTRACT(C2397, ""🏘️ \w+ \w+ (.*) ✅""),'Quartier prepositio"&amp;"ns'!A:E, 5, 0) ,  if(H2397=""region"",vlookup(REGEXEXTRACT(C2397, ""🏘️ \w+ \w+ (.*) ✅""),'Region prepositions'!B:F, 5, 0),  REGEXEXTRACT(C2397, ""🏘️ \w+ \w+ (.*) ✅""))))"),"dans le Grünes Quartier")</f>
        <v>dans le Grünes Quartier</v>
      </c>
      <c r="F2397" s="2" t="str">
        <f>IFERROR(__xludf.DUMMYFUNCTION("REGEXEXTRACT(C2397, ""🏘️ (\w+) \w+ .* ✅"")"),"Louer")</f>
        <v>Louer</v>
      </c>
      <c r="G2397" s="2" t="str">
        <f>IFERROR(__xludf.DUMMYFUNCTION("REGEXEXTRACT(C2397, ""🏘️ \w+ (\w+) .* ✅"")"),"appartement")</f>
        <v>appartement</v>
      </c>
      <c r="H2397" s="4" t="str">
        <f>IFERROR(__xludf.DUMMYFUNCTION("REGEXEXTRACT(A2397, ""/(\w+)-.*?"")"),"quartier")</f>
        <v>quartier</v>
      </c>
      <c r="I2397" s="4" t="str">
        <f>IFERROR(__xludf.DUMMYFUNCTION("if(D2397=""variant"",  substitute(filter(Templates!E:E, Templates!A:A = F2397, Templates!B:B = G2397, Templates!C:C = H2397), ""{{}}"", E2397), B2397)"),"🏘  Vous cherchez un appartement à louer dans le Grünes Quartier? ✅ Les annonces les plus actuelles sont sur ImmoScout24.ch.")</f>
        <v>🏘  Vous cherchez un appartement à louer dans le Grünes Quartier? ✅ Les annonces les plus actuelles sont sur ImmoScout24.ch.</v>
      </c>
      <c r="J2397" s="4" t="s">
        <v>7187</v>
      </c>
    </row>
    <row r="2398">
      <c r="A2398" s="5" t="s">
        <v>7188</v>
      </c>
      <c r="B2398" s="2" t="s">
        <v>7189</v>
      </c>
      <c r="C2398" s="4" t="str">
        <f>IFERROR(__xludf.DUMMYFUNCTION("""🏘️ ""&amp;REGEXEXTRACT(B2398, ""^(.*): "")&amp;"" ✅ "" &amp;REGEXEXTRACT(B2398, ""(Trouvez.*)"")"),"🏘️ Vendre appartement Leuk Stadt ✅ Trouvez le bien immobilier qui correspond idéalement à vos désirs sur ImmoScout24 - La plateforme de l'immobilier en Suisse.")</f>
        <v>🏘️ Vendre appartement Leuk Stadt ✅ Trouvez le bien immobilier qui correspond idéalement à vos désirs sur ImmoScout24 - La plateforme de l'immobilier en Suisse.</v>
      </c>
      <c r="D2398" s="4" t="str">
        <f>vlookup(A2398, Sheet2!D:E, 2, 0)</f>
        <v>variant</v>
      </c>
      <c r="E2398" s="4" t="str">
        <f>IFERROR(__xludf.DUMMYFUNCTION("if(H2398=""pays"",vlookup(REGEXEXTRACT(C2398, ""🏘️ \w+ \w+ (.*) ✅""),'Country prepositions'!A:B, 2, 0) &amp; "" "" &amp; REGEXEXTRACT(C2398, ""🏘️ \w+ \w+ (.*) ✅"") ,  if(H2398=""quartier"",vlookup(REGEXEXTRACT(C2398, ""🏘️ \w+ \w+ (.*) ✅""),'Quartier prepositio"&amp;"ns'!A:E, 5, 0) ,  if(H2398=""region"",vlookup(REGEXEXTRACT(C2398, ""🏘️ \w+ \w+ (.*) ✅""),'Region prepositions'!B:F, 5, 0),  REGEXEXTRACT(C2398, ""🏘️ \w+ \w+ (.*) ✅""))))"),"Leuk Stadt")</f>
        <v>Leuk Stadt</v>
      </c>
      <c r="F2398" s="2" t="str">
        <f>IFERROR(__xludf.DUMMYFUNCTION("REGEXEXTRACT(C2398, ""🏘️ (\w+) \w+ .* ✅"")"),"Vendre")</f>
        <v>Vendre</v>
      </c>
      <c r="G2398" s="2" t="str">
        <f>IFERROR(__xludf.DUMMYFUNCTION("REGEXEXTRACT(C2398, ""🏘️ \w+ (\w+) .* ✅"")"),"appartement")</f>
        <v>appartement</v>
      </c>
      <c r="H2398" s="4" t="str">
        <f>IFERROR(__xludf.DUMMYFUNCTION("REGEXEXTRACT(A2398, ""/(\w+)-.*?"")"),"lieu")</f>
        <v>lieu</v>
      </c>
      <c r="I2398" s="4" t="str">
        <f>IFERROR(__xludf.DUMMYFUNCTION("if(D2398=""variant"",  substitute(filter(Templates!E:E, Templates!A:A = F2398, Templates!B:B = G2398, Templates!C:C = H2398), ""{{}}"", E2398), B2398)"),"🏘  L’appartement de vos rêves se trouve sur ImmoScout24.ch ✅ Découvrez les dernières annonces de vente à Leuk Stadt.")</f>
        <v>🏘  L’appartement de vos rêves se trouve sur ImmoScout24.ch ✅ Découvrez les dernières annonces de vente à Leuk Stadt.</v>
      </c>
      <c r="J2398" s="2" t="s">
        <v>7190</v>
      </c>
    </row>
    <row r="2399">
      <c r="A2399" s="5" t="s">
        <v>7191</v>
      </c>
      <c r="B2399" s="2" t="s">
        <v>7192</v>
      </c>
      <c r="C2399" s="4" t="str">
        <f>IFERROR(__xludf.DUMMYFUNCTION("""🏘️ ""&amp;REGEXEXTRACT(B2399, ""^(.*): "")&amp;"" ✅ "" &amp;REGEXEXTRACT(B2399, ""(Trouvez.*)"")"),"🏘️ Louer appartement Zäziwil ✅ Trouvez le bien immobilier qui correspond idéalement à vos désirs sur ImmoScout24 - La plateforme de l'immobilier en Suisse.")</f>
        <v>🏘️ Louer appartement Zäziwil ✅ Trouvez le bien immobilier qui correspond idéalement à vos désirs sur ImmoScout24 - La plateforme de l'immobilier en Suisse.</v>
      </c>
      <c r="D2399" s="4" t="str">
        <f>vlookup(A2399, Sheet2!D:E, 2, 0)</f>
        <v>variant</v>
      </c>
      <c r="E2399" s="4" t="str">
        <f>IFERROR(__xludf.DUMMYFUNCTION("if(H2399=""pays"",vlookup(REGEXEXTRACT(C2399, ""🏘️ \w+ \w+ (.*) ✅""),'Country prepositions'!A:B, 2, 0) &amp; "" "" &amp; REGEXEXTRACT(C2399, ""🏘️ \w+ \w+ (.*) ✅"") ,  if(H2399=""quartier"",vlookup(REGEXEXTRACT(C2399, ""🏘️ \w+ \w+ (.*) ✅""),'Quartier prepositio"&amp;"ns'!A:E, 5, 0) ,  if(H2399=""region"",vlookup(REGEXEXTRACT(C2399, ""🏘️ \w+ \w+ (.*) ✅""),'Region prepositions'!B:F, 5, 0),  REGEXEXTRACT(C2399, ""🏘️ \w+ \w+ (.*) ✅""))))"),"Zäziwil")</f>
        <v>Zäziwil</v>
      </c>
      <c r="F2399" s="2" t="str">
        <f>IFERROR(__xludf.DUMMYFUNCTION("REGEXEXTRACT(C2399, ""🏘️ (\w+) \w+ .* ✅"")"),"Louer")</f>
        <v>Louer</v>
      </c>
      <c r="G2399" s="2" t="str">
        <f>IFERROR(__xludf.DUMMYFUNCTION("REGEXEXTRACT(C2399, ""🏘️ \w+ (\w+) .* ✅"")"),"appartement")</f>
        <v>appartement</v>
      </c>
      <c r="H2399" s="4" t="str">
        <f>IFERROR(__xludf.DUMMYFUNCTION("REGEXEXTRACT(A2399, ""/(\w+)-.*?"")"),"lieu")</f>
        <v>lieu</v>
      </c>
      <c r="I2399" s="4" t="str">
        <f>IFERROR(__xludf.DUMMYFUNCTION("if(D2399=""variant"",  substitute(filter(Templates!E:E, Templates!A:A = F2399, Templates!B:B = G2399, Templates!C:C = H2399), ""{{}}"", E2399), B2399)"),"🏘  Vous cherchez un appartement à louer à Zäziwil? ✅ Les annonces les plus actuelles sont sur ImmoScout24.ch.")</f>
        <v>🏘  Vous cherchez un appartement à louer à Zäziwil? ✅ Les annonces les plus actuelles sont sur ImmoScout24.ch.</v>
      </c>
      <c r="J2399" s="4" t="s">
        <v>7193</v>
      </c>
    </row>
    <row r="2400">
      <c r="A2400" s="5" t="s">
        <v>7194</v>
      </c>
      <c r="B2400" s="2" t="s">
        <v>7195</v>
      </c>
      <c r="C2400" s="4" t="str">
        <f>IFERROR(__xludf.DUMMYFUNCTION("""🏘️ ""&amp;REGEXEXTRACT(B2400, ""^(.*): "")&amp;"" ✅ "" &amp;REGEXEXTRACT(B2400, ""(Trouvez.*)"")"),"🏘️ Louer maison Canton d'Argovie ✅ Trouvez le bien immobilier qui correspond idéalement à vos désirs sur ImmoScout24 - La plateforme de l'immobilier en Suisse.")</f>
        <v>🏘️ Louer maison Canton d'Argovie ✅ Trouvez le bien immobilier qui correspond idéalement à vos désirs sur ImmoScout24 - La plateforme de l'immobilier en Suisse.</v>
      </c>
      <c r="D2400" s="4" t="str">
        <f>vlookup(A2400, Sheet2!D:E, 2, 0)</f>
        <v>variant</v>
      </c>
      <c r="E2400" s="4" t="str">
        <f>IFERROR(__xludf.DUMMYFUNCTION("if(H2400=""pays"",vlookup(REGEXEXTRACT(C2400, ""🏘️ \w+ \w+ (.*) ✅""),'Country prepositions'!A:B, 2, 0) &amp; "" "" &amp; REGEXEXTRACT(C2400, ""🏘️ \w+ \w+ (.*) ✅"") ,  if(H2400=""quartier"",vlookup(REGEXEXTRACT(C2400, ""🏘️ \w+ \w+ (.*) ✅""),'Quartier prepositio"&amp;"ns'!A:E, 5, 0) ,  if(H2400=""region"",vlookup(REGEXEXTRACT(C2400, ""🏘️ \w+ \w+ (.*) ✅""),'Region prepositions'!B:F, 5, 0),  REGEXEXTRACT(C2400, ""🏘️ \w+ \w+ (.*) ✅""))))"),"Canton d'Argovie")</f>
        <v>Canton d'Argovie</v>
      </c>
      <c r="F2400" s="2" t="str">
        <f>IFERROR(__xludf.DUMMYFUNCTION("REGEXEXTRACT(C2400, ""🏘️ (\w+) \w+ .* ✅"")"),"Louer")</f>
        <v>Louer</v>
      </c>
      <c r="G2400" s="2" t="str">
        <f>IFERROR(__xludf.DUMMYFUNCTION("REGEXEXTRACT(C2400, ""🏘️ \w+ (\w+) .* ✅"")"),"maison")</f>
        <v>maison</v>
      </c>
      <c r="H2400" s="4" t="str">
        <f>IFERROR(__xludf.DUMMYFUNCTION("REGEXEXTRACT(A2400, ""/(\w+)-.*?"")"),"canton")</f>
        <v>canton</v>
      </c>
      <c r="I2400" s="4" t="str">
        <f>IFERROR(__xludf.DUMMYFUNCTION("if(D2400=""variant"",  substitute(filter(Templates!E:E, Templates!A:A = F2400, Templates!B:B = G2400, Templates!C:C = H2400), ""{{}}"", E2400), B2400)"),"🏘  Vous cherchez une maison à louer dans le Canton d'Argovie? ✅ Découvrez nos nombreuses annonces sur ImmoScout24.ch.")</f>
        <v>🏘  Vous cherchez une maison à louer dans le Canton d'Argovie? ✅ Découvrez nos nombreuses annonces sur ImmoScout24.ch.</v>
      </c>
      <c r="J2400" s="4" t="s">
        <v>7196</v>
      </c>
    </row>
    <row r="2401">
      <c r="A2401" s="5" t="s">
        <v>7197</v>
      </c>
      <c r="B2401" s="2" t="s">
        <v>7198</v>
      </c>
      <c r="C2401" s="4" t="str">
        <f>IFERROR(__xludf.DUMMYFUNCTION("""🏘️ ""&amp;REGEXEXTRACT(B2401, ""^(.*): "")&amp;"" ✅ "" &amp;REGEXEXTRACT(B2401, ""(Trouvez.*)"")"),"🏘️ Louer maison Blonay ✅ Trouvez le bien immobilier qui correspond idéalement à vos désirs sur ImmoScout24 - La plateforme de l'immobilier en Suisse.")</f>
        <v>🏘️ Louer maison Blonay ✅ Trouvez le bien immobilier qui correspond idéalement à vos désirs sur ImmoScout24 - La plateforme de l'immobilier en Suisse.</v>
      </c>
      <c r="D2401" s="4" t="str">
        <f>vlookup(A2401, Sheet2!D:E, 2, 0)</f>
        <v>variant</v>
      </c>
      <c r="E2401" s="4" t="str">
        <f>IFERROR(__xludf.DUMMYFUNCTION("if(H2401=""pays"",vlookup(REGEXEXTRACT(C2401, ""🏘️ \w+ \w+ (.*) ✅""),'Country prepositions'!A:B, 2, 0) &amp; "" "" &amp; REGEXEXTRACT(C2401, ""🏘️ \w+ \w+ (.*) ✅"") ,  if(H2401=""quartier"",vlookup(REGEXEXTRACT(C2401, ""🏘️ \w+ \w+ (.*) ✅""),'Quartier prepositio"&amp;"ns'!A:E, 5, 0) ,  if(H2401=""region"",vlookup(REGEXEXTRACT(C2401, ""🏘️ \w+ \w+ (.*) ✅""),'Region prepositions'!B:F, 5, 0),  REGEXEXTRACT(C2401, ""🏘️ \w+ \w+ (.*) ✅""))))"),"Blonay")</f>
        <v>Blonay</v>
      </c>
      <c r="F2401" s="2" t="str">
        <f>IFERROR(__xludf.DUMMYFUNCTION("REGEXEXTRACT(C2401, ""🏘️ (\w+) \w+ .* ✅"")"),"Louer")</f>
        <v>Louer</v>
      </c>
      <c r="G2401" s="2" t="str">
        <f>IFERROR(__xludf.DUMMYFUNCTION("REGEXEXTRACT(C2401, ""🏘️ \w+ (\w+) .* ✅"")"),"maison")</f>
        <v>maison</v>
      </c>
      <c r="H2401" s="4" t="str">
        <f>IFERROR(__xludf.DUMMYFUNCTION("REGEXEXTRACT(A2401, ""/(\w+)-.*?"")"),"lieu")</f>
        <v>lieu</v>
      </c>
      <c r="I2401" s="4" t="str">
        <f>IFERROR(__xludf.DUMMYFUNCTION("if(D2401=""variant"",  substitute(filter(Templates!E:E, Templates!A:A = F2401, Templates!B:B = G2401, Templates!C:C = H2401), ""{{}}"", E2401), B2401)"),"🏘  Vous cherchez une maison à louer à Blonay? ✅ Découvrez nos nombreuses annonces sur ImmoScout24.ch.")</f>
        <v>🏘  Vous cherchez une maison à louer à Blonay? ✅ Découvrez nos nombreuses annonces sur ImmoScout24.ch.</v>
      </c>
      <c r="J2401" s="4" t="s">
        <v>7199</v>
      </c>
    </row>
    <row r="2402">
      <c r="A2402" s="5" t="s">
        <v>7200</v>
      </c>
      <c r="B2402" s="2" t="s">
        <v>7201</v>
      </c>
      <c r="C2402" s="4" t="str">
        <f>IFERROR(__xludf.DUMMYFUNCTION("""🏘️ ""&amp;REGEXEXTRACT(B2402, ""^(.*): "")&amp;"" ✅ "" &amp;REGEXEXTRACT(B2402, ""(Trouvez.*)"")"),"🏘️ Louer appartement Vers-l'Eglise ✅ Trouvez le bien immobilier qui correspond idéalement à vos désirs sur ImmoScout24 - La plateforme de l'immobilier en Suisse.")</f>
        <v>🏘️ Louer appartement Vers-l'Eglise ✅ Trouvez le bien immobilier qui correspond idéalement à vos désirs sur ImmoScout24 - La plateforme de l'immobilier en Suisse.</v>
      </c>
      <c r="D2402" s="4" t="str">
        <f>vlookup(A2402, Sheet2!D:E, 2, 0)</f>
        <v>variant</v>
      </c>
      <c r="E2402" s="4" t="str">
        <f>IFERROR(__xludf.DUMMYFUNCTION("if(H2402=""pays"",vlookup(REGEXEXTRACT(C2402, ""🏘️ \w+ \w+ (.*) ✅""),'Country prepositions'!A:B, 2, 0) &amp; "" "" &amp; REGEXEXTRACT(C2402, ""🏘️ \w+ \w+ (.*) ✅"") ,  if(H2402=""quartier"",vlookup(REGEXEXTRACT(C2402, ""🏘️ \w+ \w+ (.*) ✅""),'Quartier prepositio"&amp;"ns'!A:E, 5, 0) ,  if(H2402=""region"",vlookup(REGEXEXTRACT(C2402, ""🏘️ \w+ \w+ (.*) ✅""),'Region prepositions'!B:F, 5, 0),  REGEXEXTRACT(C2402, ""🏘️ \w+ \w+ (.*) ✅""))))"),"Vers-l'Eglise")</f>
        <v>Vers-l'Eglise</v>
      </c>
      <c r="F2402" s="2" t="str">
        <f>IFERROR(__xludf.DUMMYFUNCTION("REGEXEXTRACT(C2402, ""🏘️ (\w+) \w+ .* ✅"")"),"Louer")</f>
        <v>Louer</v>
      </c>
      <c r="G2402" s="2" t="str">
        <f>IFERROR(__xludf.DUMMYFUNCTION("REGEXEXTRACT(C2402, ""🏘️ \w+ (\w+) .* ✅"")"),"appartement")</f>
        <v>appartement</v>
      </c>
      <c r="H2402" s="4" t="str">
        <f>IFERROR(__xludf.DUMMYFUNCTION("REGEXEXTRACT(A2402, ""/(\w+)-.*?"")"),"lieu")</f>
        <v>lieu</v>
      </c>
      <c r="I2402" s="4" t="str">
        <f>IFERROR(__xludf.DUMMYFUNCTION("if(D2402=""variant"",  substitute(filter(Templates!E:E, Templates!A:A = F2402, Templates!B:B = G2402, Templates!C:C = H2402), ""{{}}"", E2402), B2402)"),"🏘  Vous cherchez un appartement à louer à Vers-l'Eglise? ✅ Les annonces les plus actuelles sont sur ImmoScout24.ch.")</f>
        <v>🏘  Vous cherchez un appartement à louer à Vers-l'Eglise? ✅ Les annonces les plus actuelles sont sur ImmoScout24.ch.</v>
      </c>
      <c r="J2402" s="4" t="s">
        <v>7202</v>
      </c>
    </row>
    <row r="2403">
      <c r="A2403" s="5" t="s">
        <v>7203</v>
      </c>
      <c r="B2403" s="2" t="s">
        <v>7204</v>
      </c>
      <c r="C2403" s="4" t="str">
        <f>IFERROR(__xludf.DUMMYFUNCTION("""🏘️ ""&amp;REGEXEXTRACT(B2403, ""^(.*): "")&amp;"" ✅ "" &amp;REGEXEXTRACT(B2403, ""(Trouvez.*)"")"),"🏘️ Vendre maison Orzens ✅ Trouvez le bien immobilier qui correspond idéalement à vos désirs sur ImmoScout24 - La plateforme de l'immobilier en Suisse.")</f>
        <v>🏘️ Vendre maison Orzens ✅ Trouvez le bien immobilier qui correspond idéalement à vos désirs sur ImmoScout24 - La plateforme de l'immobilier en Suisse.</v>
      </c>
      <c r="D2403" s="4" t="str">
        <f>vlookup(A2403, Sheet2!D:E, 2, 0)</f>
        <v>variant</v>
      </c>
      <c r="E2403" s="4" t="str">
        <f>IFERROR(__xludf.DUMMYFUNCTION("if(H2403=""pays"",vlookup(REGEXEXTRACT(C2403, ""🏘️ \w+ \w+ (.*) ✅""),'Country prepositions'!A:B, 2, 0) &amp; "" "" &amp; REGEXEXTRACT(C2403, ""🏘️ \w+ \w+ (.*) ✅"") ,  if(H2403=""quartier"",vlookup(REGEXEXTRACT(C2403, ""🏘️ \w+ \w+ (.*) ✅""),'Quartier prepositio"&amp;"ns'!A:E, 5, 0) ,  if(H2403=""region"",vlookup(REGEXEXTRACT(C2403, ""🏘️ \w+ \w+ (.*) ✅""),'Region prepositions'!B:F, 5, 0),  REGEXEXTRACT(C2403, ""🏘️ \w+ \w+ (.*) ✅""))))"),"Orzens")</f>
        <v>Orzens</v>
      </c>
      <c r="F2403" s="2" t="str">
        <f>IFERROR(__xludf.DUMMYFUNCTION("REGEXEXTRACT(C2403, ""🏘️ (\w+) \w+ .* ✅"")"),"Vendre")</f>
        <v>Vendre</v>
      </c>
      <c r="G2403" s="2" t="str">
        <f>IFERROR(__xludf.DUMMYFUNCTION("REGEXEXTRACT(C2403, ""🏘️ \w+ (\w+) .* ✅"")"),"maison")</f>
        <v>maison</v>
      </c>
      <c r="H2403" s="4" t="str">
        <f>IFERROR(__xludf.DUMMYFUNCTION("REGEXEXTRACT(A2403, ""/(\w+)-.*?"")"),"lieu")</f>
        <v>lieu</v>
      </c>
      <c r="I2403" s="4" t="str">
        <f>IFERROR(__xludf.DUMMYFUNCTION("if(D2403=""variant"",  substitute(filter(Templates!E:E, Templates!A:A = F2403, Templates!B:B = G2403, Templates!C:C = H2403), ""{{}}"", E2403), B2403)"),"🏘  Vous souhaitez acheter une maison à Orzens? ✅ Jetez un œil aux dernières offres sur ImmoScout24.ch.")</f>
        <v>🏘  Vous souhaitez acheter une maison à Orzens? ✅ Jetez un œil aux dernières offres sur ImmoScout24.ch.</v>
      </c>
      <c r="J2403" s="4" t="s">
        <v>7205</v>
      </c>
    </row>
    <row r="2404">
      <c r="A2404" s="5" t="s">
        <v>7206</v>
      </c>
      <c r="B2404" s="2" t="s">
        <v>7207</v>
      </c>
      <c r="C2404" s="4" t="str">
        <f>IFERROR(__xludf.DUMMYFUNCTION("""🏘️ ""&amp;REGEXEXTRACT(B2404, ""^(.*): "")&amp;"" ✅ "" &amp;REGEXEXTRACT(B2404, ""(Trouvez.*)"")"),"🏘️ Vendre maison Schnottwil ✅ Trouvez le bien immobilier qui correspond idéalement à vos désirs sur ImmoScout24 - La plateforme de l'immobilier en Suisse.")</f>
        <v>🏘️ Vendre maison Schnottwil ✅ Trouvez le bien immobilier qui correspond idéalement à vos désirs sur ImmoScout24 - La plateforme de l'immobilier en Suisse.</v>
      </c>
      <c r="D2404" s="4" t="str">
        <f>vlookup(A2404, Sheet2!D:E, 2, 0)</f>
        <v>variant</v>
      </c>
      <c r="E2404" s="4" t="str">
        <f>IFERROR(__xludf.DUMMYFUNCTION("if(H2404=""pays"",vlookup(REGEXEXTRACT(C2404, ""🏘️ \w+ \w+ (.*) ✅""),'Country prepositions'!A:B, 2, 0) &amp; "" "" &amp; REGEXEXTRACT(C2404, ""🏘️ \w+ \w+ (.*) ✅"") ,  if(H2404=""quartier"",vlookup(REGEXEXTRACT(C2404, ""🏘️ \w+ \w+ (.*) ✅""),'Quartier prepositio"&amp;"ns'!A:E, 5, 0) ,  if(H2404=""region"",vlookup(REGEXEXTRACT(C2404, ""🏘️ \w+ \w+ (.*) ✅""),'Region prepositions'!B:F, 5, 0),  REGEXEXTRACT(C2404, ""🏘️ \w+ \w+ (.*) ✅""))))"),"Schnottwil")</f>
        <v>Schnottwil</v>
      </c>
      <c r="F2404" s="2" t="str">
        <f>IFERROR(__xludf.DUMMYFUNCTION("REGEXEXTRACT(C2404, ""🏘️ (\w+) \w+ .* ✅"")"),"Vendre")</f>
        <v>Vendre</v>
      </c>
      <c r="G2404" s="2" t="str">
        <f>IFERROR(__xludf.DUMMYFUNCTION("REGEXEXTRACT(C2404, ""🏘️ \w+ (\w+) .* ✅"")"),"maison")</f>
        <v>maison</v>
      </c>
      <c r="H2404" s="4" t="str">
        <f>IFERROR(__xludf.DUMMYFUNCTION("REGEXEXTRACT(A2404, ""/(\w+)-.*?"")"),"lieu")</f>
        <v>lieu</v>
      </c>
      <c r="I2404" s="4" t="str">
        <f>IFERROR(__xludf.DUMMYFUNCTION("if(D2404=""variant"",  substitute(filter(Templates!E:E, Templates!A:A = F2404, Templates!B:B = G2404, Templates!C:C = H2404), ""{{}}"", E2404), B2404)"),"🏘  Vous souhaitez acheter une maison à Schnottwil? ✅ Jetez un œil aux dernières offres sur ImmoScout24.ch.")</f>
        <v>🏘  Vous souhaitez acheter une maison à Schnottwil? ✅ Jetez un œil aux dernières offres sur ImmoScout24.ch.</v>
      </c>
      <c r="J2404" s="4" t="s">
        <v>7208</v>
      </c>
    </row>
    <row r="2405">
      <c r="A2405" s="5" t="s">
        <v>7209</v>
      </c>
      <c r="B2405" s="2" t="s">
        <v>7210</v>
      </c>
      <c r="C2405" s="4" t="str">
        <f>IFERROR(__xludf.DUMMYFUNCTION("""🏘️ ""&amp;REGEXEXTRACT(B2405, ""^(.*): "")&amp;"" ✅ "" &amp;REGEXEXTRACT(B2405, ""(Trouvez.*)"")"),"🏘️ Vendre appartement Fislisbach ✅ Trouvez le bien immobilier qui correspond idéalement à vos désirs sur ImmoScout24 - La plateforme de l'immobilier en Suisse.")</f>
        <v>🏘️ Vendre appartement Fislisbach ✅ Trouvez le bien immobilier qui correspond idéalement à vos désirs sur ImmoScout24 - La plateforme de l'immobilier en Suisse.</v>
      </c>
      <c r="D2405" s="4" t="str">
        <f>vlookup(A2405, Sheet2!D:E, 2, 0)</f>
        <v>variant</v>
      </c>
      <c r="E2405" s="4" t="str">
        <f>IFERROR(__xludf.DUMMYFUNCTION("if(H2405=""pays"",vlookup(REGEXEXTRACT(C2405, ""🏘️ \w+ \w+ (.*) ✅""),'Country prepositions'!A:B, 2, 0) &amp; "" "" &amp; REGEXEXTRACT(C2405, ""🏘️ \w+ \w+ (.*) ✅"") ,  if(H2405=""quartier"",vlookup(REGEXEXTRACT(C2405, ""🏘️ \w+ \w+ (.*) ✅""),'Quartier prepositio"&amp;"ns'!A:E, 5, 0) ,  if(H2405=""region"",vlookup(REGEXEXTRACT(C2405, ""🏘️ \w+ \w+ (.*) ✅""),'Region prepositions'!B:F, 5, 0),  REGEXEXTRACT(C2405, ""🏘️ \w+ \w+ (.*) ✅""))))"),"Fislisbach")</f>
        <v>Fislisbach</v>
      </c>
      <c r="F2405" s="2" t="str">
        <f>IFERROR(__xludf.DUMMYFUNCTION("REGEXEXTRACT(C2405, ""🏘️ (\w+) \w+ .* ✅"")"),"Vendre")</f>
        <v>Vendre</v>
      </c>
      <c r="G2405" s="2" t="str">
        <f>IFERROR(__xludf.DUMMYFUNCTION("REGEXEXTRACT(C2405, ""🏘️ \w+ (\w+) .* ✅"")"),"appartement")</f>
        <v>appartement</v>
      </c>
      <c r="H2405" s="4" t="str">
        <f>IFERROR(__xludf.DUMMYFUNCTION("REGEXEXTRACT(A2405, ""/(\w+)-.*?"")"),"lieu")</f>
        <v>lieu</v>
      </c>
      <c r="I2405" s="4" t="str">
        <f>IFERROR(__xludf.DUMMYFUNCTION("if(D2405=""variant"",  substitute(filter(Templates!E:E, Templates!A:A = F2405, Templates!B:B = G2405, Templates!C:C = H2405), ""{{}}"", E2405), B2405)"),"🏘  L’appartement de vos rêves se trouve sur ImmoScout24.ch ✅ Découvrez les dernières annonces de vente à Fislisbach.")</f>
        <v>🏘  L’appartement de vos rêves se trouve sur ImmoScout24.ch ✅ Découvrez les dernières annonces de vente à Fislisbach.</v>
      </c>
      <c r="J2405" s="4" t="s">
        <v>7211</v>
      </c>
    </row>
    <row r="2406">
      <c r="A2406" s="5" t="s">
        <v>7212</v>
      </c>
      <c r="B2406" s="2" t="s">
        <v>7213</v>
      </c>
      <c r="C2406" s="4" t="str">
        <f>IFERROR(__xludf.DUMMYFUNCTION("""🏘️ ""&amp;REGEXEXTRACT(B2406, ""^(.*): "")&amp;"" ✅ "" &amp;REGEXEXTRACT(B2406, ""(Trouvez.*)"")"),"🏘️ Louer appartement Brunnen ✅ Trouvez le bien immobilier qui correspond idéalement à vos désirs sur ImmoScout24 - La plateforme de l'immobilier en Suisse.")</f>
        <v>🏘️ Louer appartement Brunnen ✅ Trouvez le bien immobilier qui correspond idéalement à vos désirs sur ImmoScout24 - La plateforme de l'immobilier en Suisse.</v>
      </c>
      <c r="D2406" s="4" t="str">
        <f>vlookup(A2406, Sheet2!D:E, 2, 0)</f>
        <v>variant</v>
      </c>
      <c r="E2406" s="4" t="str">
        <f>IFERROR(__xludf.DUMMYFUNCTION("if(H2406=""pays"",vlookup(REGEXEXTRACT(C2406, ""🏘️ \w+ \w+ (.*) ✅""),'Country prepositions'!A:B, 2, 0) &amp; "" "" &amp; REGEXEXTRACT(C2406, ""🏘️ \w+ \w+ (.*) ✅"") ,  if(H2406=""quartier"",vlookup(REGEXEXTRACT(C2406, ""🏘️ \w+ \w+ (.*) ✅""),'Quartier prepositio"&amp;"ns'!A:E, 5, 0) ,  if(H2406=""region"",vlookup(REGEXEXTRACT(C2406, ""🏘️ \w+ \w+ (.*) ✅""),'Region prepositions'!B:F, 5, 0),  REGEXEXTRACT(C2406, ""🏘️ \w+ \w+ (.*) ✅""))))"),"Brunnen")</f>
        <v>Brunnen</v>
      </c>
      <c r="F2406" s="2" t="str">
        <f>IFERROR(__xludf.DUMMYFUNCTION("REGEXEXTRACT(C2406, ""🏘️ (\w+) \w+ .* ✅"")"),"Louer")</f>
        <v>Louer</v>
      </c>
      <c r="G2406" s="2" t="str">
        <f>IFERROR(__xludf.DUMMYFUNCTION("REGEXEXTRACT(C2406, ""🏘️ \w+ (\w+) .* ✅"")"),"appartement")</f>
        <v>appartement</v>
      </c>
      <c r="H2406" s="4" t="str">
        <f>IFERROR(__xludf.DUMMYFUNCTION("REGEXEXTRACT(A2406, ""/(\w+)-.*?"")"),"lieu")</f>
        <v>lieu</v>
      </c>
      <c r="I2406" s="4" t="str">
        <f>IFERROR(__xludf.DUMMYFUNCTION("if(D2406=""variant"",  substitute(filter(Templates!E:E, Templates!A:A = F2406, Templates!B:B = G2406, Templates!C:C = H2406), ""{{}}"", E2406), B2406)"),"🏘  Vous cherchez un appartement à louer à Brunnen? ✅ Les annonces les plus actuelles sont sur ImmoScout24.ch.")</f>
        <v>🏘  Vous cherchez un appartement à louer à Brunnen? ✅ Les annonces les plus actuelles sont sur ImmoScout24.ch.</v>
      </c>
      <c r="J2406" s="4" t="s">
        <v>7214</v>
      </c>
    </row>
    <row r="2407">
      <c r="A2407" s="5" t="s">
        <v>7215</v>
      </c>
      <c r="B2407" s="2" t="s">
        <v>7216</v>
      </c>
      <c r="C2407" s="4" t="str">
        <f>IFERROR(__xludf.DUMMYFUNCTION("""🏘️ ""&amp;REGEXEXTRACT(B2407, ""^(.*): "")&amp;"" ✅ "" &amp;REGEXEXTRACT(B2407, ""(Trouvez.*)"")"),"🏘️ Vendre maison Anières ✅ Trouvez le bien immobilier qui correspond idéalement à vos désirs sur ImmoScout24 - La plateforme de l'immobilier en Suisse.")</f>
        <v>🏘️ Vendre maison Anières ✅ Trouvez le bien immobilier qui correspond idéalement à vos désirs sur ImmoScout24 - La plateforme de l'immobilier en Suisse.</v>
      </c>
      <c r="D2407" s="4" t="str">
        <f>vlookup(A2407, Sheet2!D:E, 2, 0)</f>
        <v>variant</v>
      </c>
      <c r="E2407" s="4" t="str">
        <f>IFERROR(__xludf.DUMMYFUNCTION("if(H2407=""pays"",vlookup(REGEXEXTRACT(C2407, ""🏘️ \w+ \w+ (.*) ✅""),'Country prepositions'!A:B, 2, 0) &amp; "" "" &amp; REGEXEXTRACT(C2407, ""🏘️ \w+ \w+ (.*) ✅"") ,  if(H2407=""quartier"",vlookup(REGEXEXTRACT(C2407, ""🏘️ \w+ \w+ (.*) ✅""),'Quartier prepositio"&amp;"ns'!A:E, 5, 0) ,  if(H2407=""region"",vlookup(REGEXEXTRACT(C2407, ""🏘️ \w+ \w+ (.*) ✅""),'Region prepositions'!B:F, 5, 0),  REGEXEXTRACT(C2407, ""🏘️ \w+ \w+ (.*) ✅""))))"),"Anières")</f>
        <v>Anières</v>
      </c>
      <c r="F2407" s="2" t="str">
        <f>IFERROR(__xludf.DUMMYFUNCTION("REGEXEXTRACT(C2407, ""🏘️ (\w+) \w+ .* ✅"")"),"Vendre")</f>
        <v>Vendre</v>
      </c>
      <c r="G2407" s="2" t="str">
        <f>IFERROR(__xludf.DUMMYFUNCTION("REGEXEXTRACT(C2407, ""🏘️ \w+ (\w+) .* ✅"")"),"maison")</f>
        <v>maison</v>
      </c>
      <c r="H2407" s="4" t="str">
        <f>IFERROR(__xludf.DUMMYFUNCTION("REGEXEXTRACT(A2407, ""/(\w+)-.*?"")"),"lieu")</f>
        <v>lieu</v>
      </c>
      <c r="I2407" s="4" t="str">
        <f>IFERROR(__xludf.DUMMYFUNCTION("if(D2407=""variant"",  substitute(filter(Templates!E:E, Templates!A:A = F2407, Templates!B:B = G2407, Templates!C:C = H2407), ""{{}}"", E2407), B2407)"),"🏘  Vous souhaitez acheter une maison à Anières? ✅ Jetez un œil aux dernières offres sur ImmoScout24.ch.")</f>
        <v>🏘  Vous souhaitez acheter une maison à Anières? ✅ Jetez un œil aux dernières offres sur ImmoScout24.ch.</v>
      </c>
      <c r="J2407" s="4" t="s">
        <v>7217</v>
      </c>
    </row>
    <row r="2408">
      <c r="A2408" s="5" t="s">
        <v>7218</v>
      </c>
      <c r="B2408" s="2" t="s">
        <v>7219</v>
      </c>
      <c r="C2408" s="4" t="str">
        <f>IFERROR(__xludf.DUMMYFUNCTION("""🏘️ ""&amp;REGEXEXTRACT(B2408, ""^(.*): "")&amp;"" ✅ "" &amp;REGEXEXTRACT(B2408, ""(Trouvez.*)"")"),"🏘️ Louer appartement Gümmenen ✅ Trouvez le bien immobilier qui correspond idéalement à vos désirs sur ImmoScout24 - La plateforme de l'immobilier en Suisse.")</f>
        <v>🏘️ Louer appartement Gümmenen ✅ Trouvez le bien immobilier qui correspond idéalement à vos désirs sur ImmoScout24 - La plateforme de l'immobilier en Suisse.</v>
      </c>
      <c r="D2408" s="4" t="str">
        <f>vlookup(A2408, Sheet2!D:E, 2, 0)</f>
        <v>variant</v>
      </c>
      <c r="E2408" s="4" t="str">
        <f>IFERROR(__xludf.DUMMYFUNCTION("if(H2408=""pays"",vlookup(REGEXEXTRACT(C2408, ""🏘️ \w+ \w+ (.*) ✅""),'Country prepositions'!A:B, 2, 0) &amp; "" "" &amp; REGEXEXTRACT(C2408, ""🏘️ \w+ \w+ (.*) ✅"") ,  if(H2408=""quartier"",vlookup(REGEXEXTRACT(C2408, ""🏘️ \w+ \w+ (.*) ✅""),'Quartier prepositio"&amp;"ns'!A:E, 5, 0) ,  if(H2408=""region"",vlookup(REGEXEXTRACT(C2408, ""🏘️ \w+ \w+ (.*) ✅""),'Region prepositions'!B:F, 5, 0),  REGEXEXTRACT(C2408, ""🏘️ \w+ \w+ (.*) ✅""))))"),"Gümmenen")</f>
        <v>Gümmenen</v>
      </c>
      <c r="F2408" s="2" t="str">
        <f>IFERROR(__xludf.DUMMYFUNCTION("REGEXEXTRACT(C2408, ""🏘️ (\w+) \w+ .* ✅"")"),"Louer")</f>
        <v>Louer</v>
      </c>
      <c r="G2408" s="2" t="str">
        <f>IFERROR(__xludf.DUMMYFUNCTION("REGEXEXTRACT(C2408, ""🏘️ \w+ (\w+) .* ✅"")"),"appartement")</f>
        <v>appartement</v>
      </c>
      <c r="H2408" s="4" t="str">
        <f>IFERROR(__xludf.DUMMYFUNCTION("REGEXEXTRACT(A2408, ""/(\w+)-.*?"")"),"lieu")</f>
        <v>lieu</v>
      </c>
      <c r="I2408" s="4" t="str">
        <f>IFERROR(__xludf.DUMMYFUNCTION("if(D2408=""variant"",  substitute(filter(Templates!E:E, Templates!A:A = F2408, Templates!B:B = G2408, Templates!C:C = H2408), ""{{}}"", E2408), B2408)"),"🏘  Vous cherchez un appartement à louer à Gümmenen? ✅ Les annonces les plus actuelles sont sur ImmoScout24.ch.")</f>
        <v>🏘  Vous cherchez un appartement à louer à Gümmenen? ✅ Les annonces les plus actuelles sont sur ImmoScout24.ch.</v>
      </c>
      <c r="J2408" s="4" t="s">
        <v>7220</v>
      </c>
    </row>
    <row r="2409">
      <c r="A2409" s="5" t="s">
        <v>7221</v>
      </c>
      <c r="B2409" s="2" t="s">
        <v>7222</v>
      </c>
      <c r="C2409" s="4" t="str">
        <f>IFERROR(__xludf.DUMMYFUNCTION("""🏘️ ""&amp;REGEXEXTRACT(B2409, ""^(.*): "")&amp;"" ✅ "" &amp;REGEXEXTRACT(B2409, ""(Trouvez.*)"")"),"🏘️ Vendre appartement Fluntern (Zurich) ✅ Trouvez le bien immobilier qui correspond idéalement à vos désirs sur ImmoScout24 - La plateforme de l'immobilier en Suisse.")</f>
        <v>🏘️ Vendre appartement Fluntern (Zurich) ✅ Trouvez le bien immobilier qui correspond idéalement à vos désirs sur ImmoScout24 - La plateforme de l'immobilier en Suisse.</v>
      </c>
      <c r="D2409" s="4" t="str">
        <f>vlookup(A2409, Sheet2!D:E, 2, 0)</f>
        <v>variant</v>
      </c>
      <c r="E2409" s="4" t="str">
        <f>IFERROR(__xludf.DUMMYFUNCTION("if(H2409=""pays"",vlookup(REGEXEXTRACT(C2409, ""🏘️ \w+ \w+ (.*) ✅""),'Country prepositions'!A:B, 2, 0) &amp; "" "" &amp; REGEXEXTRACT(C2409, ""🏘️ \w+ \w+ (.*) ✅"") ,  if(H2409=""quartier"",vlookup(REGEXEXTRACT(C2409, ""🏘️ \w+ \w+ (.*) ✅""),'Quartier prepositio"&amp;"ns'!A:E, 5, 0) ,  if(H2409=""region"",vlookup(REGEXEXTRACT(C2409, ""🏘️ \w+ \w+ (.*) ✅""),'Region prepositions'!B:F, 5, 0),  REGEXEXTRACT(C2409, ""🏘️ \w+ \w+ (.*) ✅""))))"),"dans le quartier de Fluntern (Zurich)")</f>
        <v>dans le quartier de Fluntern (Zurich)</v>
      </c>
      <c r="F2409" s="2" t="str">
        <f>IFERROR(__xludf.DUMMYFUNCTION("REGEXEXTRACT(C2409, ""🏘️ (\w+) \w+ .* ✅"")"),"Vendre")</f>
        <v>Vendre</v>
      </c>
      <c r="G2409" s="2" t="str">
        <f>IFERROR(__xludf.DUMMYFUNCTION("REGEXEXTRACT(C2409, ""🏘️ \w+ (\w+) .* ✅"")"),"appartement")</f>
        <v>appartement</v>
      </c>
      <c r="H2409" s="4" t="str">
        <f>IFERROR(__xludf.DUMMYFUNCTION("REGEXEXTRACT(A2409, ""/(\w+)-.*?"")"),"quartier")</f>
        <v>quartier</v>
      </c>
      <c r="I2409" s="4" t="str">
        <f>IFERROR(__xludf.DUMMYFUNCTION("if(D2409=""variant"",  substitute(filter(Templates!E:E, Templates!A:A = F2409, Templates!B:B = G2409, Templates!C:C = H2409), ""{{}}"", E2409), B2409)"),"🏘  L’appartement de vos rêves se trouve sur ImmoScout24.ch ✅ Découvrez les dernières annonces de vente dans le quartier de Fluntern (Zurich).")</f>
        <v>🏘  L’appartement de vos rêves se trouve sur ImmoScout24.ch ✅ Découvrez les dernières annonces de vente dans le quartier de Fluntern (Zurich).</v>
      </c>
      <c r="J2409" s="4" t="s">
        <v>7223</v>
      </c>
    </row>
    <row r="2410">
      <c r="A2410" s="5" t="s">
        <v>7224</v>
      </c>
      <c r="B2410" s="2" t="s">
        <v>7225</v>
      </c>
      <c r="C2410" s="4" t="str">
        <f>IFERROR(__xludf.DUMMYFUNCTION("""🏘️ ""&amp;REGEXEXTRACT(B2410, ""^(.*): "")&amp;"" ✅ "" &amp;REGEXEXTRACT(B2410, ""(Trouvez.*)"")"),"🏘️ Vendre maison Onnens VD ✅ Trouvez le bien immobilier qui correspond idéalement à vos désirs sur ImmoScout24 - La plateforme de l'immobilier en Suisse.")</f>
        <v>🏘️ Vendre maison Onnens VD ✅ Trouvez le bien immobilier qui correspond idéalement à vos désirs sur ImmoScout24 - La plateforme de l'immobilier en Suisse.</v>
      </c>
      <c r="D2410" s="4" t="str">
        <f>vlookup(A2410, Sheet2!D:E, 2, 0)</f>
        <v>variant</v>
      </c>
      <c r="E2410" s="4" t="str">
        <f>IFERROR(__xludf.DUMMYFUNCTION("if(H2410=""pays"",vlookup(REGEXEXTRACT(C2410, ""🏘️ \w+ \w+ (.*) ✅""),'Country prepositions'!A:B, 2, 0) &amp; "" "" &amp; REGEXEXTRACT(C2410, ""🏘️ \w+ \w+ (.*) ✅"") ,  if(H2410=""quartier"",vlookup(REGEXEXTRACT(C2410, ""🏘️ \w+ \w+ (.*) ✅""),'Quartier prepositio"&amp;"ns'!A:E, 5, 0) ,  if(H2410=""region"",vlookup(REGEXEXTRACT(C2410, ""🏘️ \w+ \w+ (.*) ✅""),'Region prepositions'!B:F, 5, 0),  REGEXEXTRACT(C2410, ""🏘️ \w+ \w+ (.*) ✅""))))"),"Onnens VD")</f>
        <v>Onnens VD</v>
      </c>
      <c r="F2410" s="2" t="str">
        <f>IFERROR(__xludf.DUMMYFUNCTION("REGEXEXTRACT(C2410, ""🏘️ (\w+) \w+ .* ✅"")"),"Vendre")</f>
        <v>Vendre</v>
      </c>
      <c r="G2410" s="2" t="str">
        <f>IFERROR(__xludf.DUMMYFUNCTION("REGEXEXTRACT(C2410, ""🏘️ \w+ (\w+) .* ✅"")"),"maison")</f>
        <v>maison</v>
      </c>
      <c r="H2410" s="4" t="str">
        <f>IFERROR(__xludf.DUMMYFUNCTION("REGEXEXTRACT(A2410, ""/(\w+)-.*?"")"),"lieu")</f>
        <v>lieu</v>
      </c>
      <c r="I2410" s="4" t="str">
        <f>IFERROR(__xludf.DUMMYFUNCTION("if(D2410=""variant"",  substitute(filter(Templates!E:E, Templates!A:A = F2410, Templates!B:B = G2410, Templates!C:C = H2410), ""{{}}"", E2410), B2410)"),"🏘  Vous souhaitez acheter une maison à Onnens VD? ✅ Jetez un œil aux dernières offres sur ImmoScout24.ch.")</f>
        <v>🏘  Vous souhaitez acheter une maison à Onnens VD? ✅ Jetez un œil aux dernières offres sur ImmoScout24.ch.</v>
      </c>
      <c r="J2410" s="4" t="s">
        <v>7226</v>
      </c>
    </row>
    <row r="2411">
      <c r="A2411" s="5" t="s">
        <v>7227</v>
      </c>
      <c r="B2411" s="2" t="s">
        <v>7228</v>
      </c>
      <c r="C2411" s="4" t="str">
        <f>IFERROR(__xludf.DUMMYFUNCTION("""🏘️ ""&amp;REGEXEXTRACT(B2411, ""^(.*): "")&amp;"" ✅ "" &amp;REGEXEXTRACT(B2411, ""(Trouvez.*)"")"),"🏘️ Louer appartement Tramelan ✅ Trouvez le bien immobilier qui correspond idéalement à vos désirs sur ImmoScout24 - La plateforme de l'immobilier en Suisse.")</f>
        <v>🏘️ Louer appartement Tramelan ✅ Trouvez le bien immobilier qui correspond idéalement à vos désirs sur ImmoScout24 - La plateforme de l'immobilier en Suisse.</v>
      </c>
      <c r="D2411" s="4" t="str">
        <f>vlookup(A2411, Sheet2!D:E, 2, 0)</f>
        <v>variant</v>
      </c>
      <c r="E2411" s="4" t="str">
        <f>IFERROR(__xludf.DUMMYFUNCTION("if(H2411=""pays"",vlookup(REGEXEXTRACT(C2411, ""🏘️ \w+ \w+ (.*) ✅""),'Country prepositions'!A:B, 2, 0) &amp; "" "" &amp; REGEXEXTRACT(C2411, ""🏘️ \w+ \w+ (.*) ✅"") ,  if(H2411=""quartier"",vlookup(REGEXEXTRACT(C2411, ""🏘️ \w+ \w+ (.*) ✅""),'Quartier prepositio"&amp;"ns'!A:E, 5, 0) ,  if(H2411=""region"",vlookup(REGEXEXTRACT(C2411, ""🏘️ \w+ \w+ (.*) ✅""),'Region prepositions'!B:F, 5, 0),  REGEXEXTRACT(C2411, ""🏘️ \w+ \w+ (.*) ✅""))))"),"Tramelan")</f>
        <v>Tramelan</v>
      </c>
      <c r="F2411" s="2" t="str">
        <f>IFERROR(__xludf.DUMMYFUNCTION("REGEXEXTRACT(C2411, ""🏘️ (\w+) \w+ .* ✅"")"),"Louer")</f>
        <v>Louer</v>
      </c>
      <c r="G2411" s="2" t="str">
        <f>IFERROR(__xludf.DUMMYFUNCTION("REGEXEXTRACT(C2411, ""🏘️ \w+ (\w+) .* ✅"")"),"appartement")</f>
        <v>appartement</v>
      </c>
      <c r="H2411" s="4" t="str">
        <f>IFERROR(__xludf.DUMMYFUNCTION("REGEXEXTRACT(A2411, ""/(\w+)-.*?"")"),"lieu")</f>
        <v>lieu</v>
      </c>
      <c r="I2411" s="4" t="str">
        <f>IFERROR(__xludf.DUMMYFUNCTION("if(D2411=""variant"",  substitute(filter(Templates!E:E, Templates!A:A = F2411, Templates!B:B = G2411, Templates!C:C = H2411), ""{{}}"", E2411), B2411)"),"🏘  Vous cherchez un appartement à louer à Tramelan? ✅ Les annonces les plus actuelles sont sur ImmoScout24.ch.")</f>
        <v>🏘  Vous cherchez un appartement à louer à Tramelan? ✅ Les annonces les plus actuelles sont sur ImmoScout24.ch.</v>
      </c>
      <c r="J2411" s="4" t="s">
        <v>7229</v>
      </c>
    </row>
    <row r="2412">
      <c r="A2412" s="5" t="s">
        <v>7230</v>
      </c>
      <c r="B2412" s="2" t="s">
        <v>7231</v>
      </c>
      <c r="C2412" s="4" t="str">
        <f>IFERROR(__xludf.DUMMYFUNCTION("""🏘️ ""&amp;REGEXEXTRACT(B2412, ""^(.*): "")&amp;"" ✅ "" &amp;REGEXEXTRACT(B2412, ""(Trouvez.*)"")"),"🏘️ Louer maison Thalwil ✅ Trouvez le bien immobilier qui correspond idéalement à vos désirs sur ImmoScout24 - La plateforme de l'immobilier en Suisse.")</f>
        <v>🏘️ Louer maison Thalwil ✅ Trouvez le bien immobilier qui correspond idéalement à vos désirs sur ImmoScout24 - La plateforme de l'immobilier en Suisse.</v>
      </c>
      <c r="D2412" s="4" t="str">
        <f>vlookup(A2412, Sheet2!D:E, 2, 0)</f>
        <v>variant</v>
      </c>
      <c r="E2412" s="4" t="str">
        <f>IFERROR(__xludf.DUMMYFUNCTION("if(H2412=""pays"",vlookup(REGEXEXTRACT(C2412, ""🏘️ \w+ \w+ (.*) ✅""),'Country prepositions'!A:B, 2, 0) &amp; "" "" &amp; REGEXEXTRACT(C2412, ""🏘️ \w+ \w+ (.*) ✅"") ,  if(H2412=""quartier"",vlookup(REGEXEXTRACT(C2412, ""🏘️ \w+ \w+ (.*) ✅""),'Quartier prepositio"&amp;"ns'!A:E, 5, 0) ,  if(H2412=""region"",vlookup(REGEXEXTRACT(C2412, ""🏘️ \w+ \w+ (.*) ✅""),'Region prepositions'!B:F, 5, 0),  REGEXEXTRACT(C2412, ""🏘️ \w+ \w+ (.*) ✅""))))"),"Thalwil")</f>
        <v>Thalwil</v>
      </c>
      <c r="F2412" s="2" t="str">
        <f>IFERROR(__xludf.DUMMYFUNCTION("REGEXEXTRACT(C2412, ""🏘️ (\w+) \w+ .* ✅"")"),"Louer")</f>
        <v>Louer</v>
      </c>
      <c r="G2412" s="2" t="str">
        <f>IFERROR(__xludf.DUMMYFUNCTION("REGEXEXTRACT(C2412, ""🏘️ \w+ (\w+) .* ✅"")"),"maison")</f>
        <v>maison</v>
      </c>
      <c r="H2412" s="4" t="str">
        <f>IFERROR(__xludf.DUMMYFUNCTION("REGEXEXTRACT(A2412, ""/(\w+)-.*?"")"),"lieu")</f>
        <v>lieu</v>
      </c>
      <c r="I2412" s="4" t="str">
        <f>IFERROR(__xludf.DUMMYFUNCTION("if(D2412=""variant"",  substitute(filter(Templates!E:E, Templates!A:A = F2412, Templates!B:B = G2412, Templates!C:C = H2412), ""{{}}"", E2412), B2412)"),"🏘  Vous cherchez une maison à louer à Thalwil? ✅ Découvrez nos nombreuses annonces sur ImmoScout24.ch.")</f>
        <v>🏘  Vous cherchez une maison à louer à Thalwil? ✅ Découvrez nos nombreuses annonces sur ImmoScout24.ch.</v>
      </c>
      <c r="J2412" s="4" t="s">
        <v>7232</v>
      </c>
    </row>
    <row r="2413">
      <c r="A2413" s="5" t="s">
        <v>7233</v>
      </c>
      <c r="B2413" s="2" t="s">
        <v>7234</v>
      </c>
      <c r="C2413" s="4" t="str">
        <f>IFERROR(__xludf.DUMMYFUNCTION("""🏘️ ""&amp;REGEXEXTRACT(B2413, ""^(.*): "")&amp;"" ✅ "" &amp;REGEXEXTRACT(B2413, ""(Trouvez.*)"")"),"🏘️ Louer appartement Ebikon ✅ Trouvez le bien immobilier qui correspond idéalement à vos désirs sur ImmoScout24 - La plateforme de l'immobilier en Suisse.")</f>
        <v>🏘️ Louer appartement Ebikon ✅ Trouvez le bien immobilier qui correspond idéalement à vos désirs sur ImmoScout24 - La plateforme de l'immobilier en Suisse.</v>
      </c>
      <c r="D2413" s="4" t="str">
        <f>vlookup(A2413, Sheet2!D:E, 2, 0)</f>
        <v>variant</v>
      </c>
      <c r="E2413" s="4" t="str">
        <f>IFERROR(__xludf.DUMMYFUNCTION("if(H2413=""pays"",vlookup(REGEXEXTRACT(C2413, ""🏘️ \w+ \w+ (.*) ✅""),'Country prepositions'!A:B, 2, 0) &amp; "" "" &amp; REGEXEXTRACT(C2413, ""🏘️ \w+ \w+ (.*) ✅"") ,  if(H2413=""quartier"",vlookup(REGEXEXTRACT(C2413, ""🏘️ \w+ \w+ (.*) ✅""),'Quartier prepositio"&amp;"ns'!A:E, 5, 0) ,  if(H2413=""region"",vlookup(REGEXEXTRACT(C2413, ""🏘️ \w+ \w+ (.*) ✅""),'Region prepositions'!B:F, 5, 0),  REGEXEXTRACT(C2413, ""🏘️ \w+ \w+ (.*) ✅""))))"),"Ebikon")</f>
        <v>Ebikon</v>
      </c>
      <c r="F2413" s="2" t="str">
        <f>IFERROR(__xludf.DUMMYFUNCTION("REGEXEXTRACT(C2413, ""🏘️ (\w+) \w+ .* ✅"")"),"Louer")</f>
        <v>Louer</v>
      </c>
      <c r="G2413" s="2" t="str">
        <f>IFERROR(__xludf.DUMMYFUNCTION("REGEXEXTRACT(C2413, ""🏘️ \w+ (\w+) .* ✅"")"),"appartement")</f>
        <v>appartement</v>
      </c>
      <c r="H2413" s="4" t="str">
        <f>IFERROR(__xludf.DUMMYFUNCTION("REGEXEXTRACT(A2413, ""/(\w+)-.*?"")"),"lieu")</f>
        <v>lieu</v>
      </c>
      <c r="I2413" s="4" t="str">
        <f>IFERROR(__xludf.DUMMYFUNCTION("if(D2413=""variant"",  substitute(filter(Templates!E:E, Templates!A:A = F2413, Templates!B:B = G2413, Templates!C:C = H2413), ""{{}}"", E2413), B2413)"),"🏘  Vous cherchez un appartement à louer à Ebikon? ✅ Les annonces les plus actuelles sont sur ImmoScout24.ch.")</f>
        <v>🏘  Vous cherchez un appartement à louer à Ebikon? ✅ Les annonces les plus actuelles sont sur ImmoScout24.ch.</v>
      </c>
      <c r="J2413" s="4" t="s">
        <v>7235</v>
      </c>
    </row>
    <row r="2414">
      <c r="A2414" s="5" t="s">
        <v>7236</v>
      </c>
      <c r="B2414" s="2" t="s">
        <v>7237</v>
      </c>
      <c r="C2414" s="4" t="str">
        <f>IFERROR(__xludf.DUMMYFUNCTION("""🏘️ ""&amp;REGEXEXTRACT(B2414, ""^(.*): "")&amp;"" ✅ "" &amp;REGEXEXTRACT(B2414, ""(Trouvez.*)"")"),"🏘️ Louer appartement Poschiavo ✅ Trouvez le bien immobilier qui correspond idéalement à vos désirs sur ImmoScout24 - La plateforme de l'immobilier en Suisse.")</f>
        <v>🏘️ Louer appartement Poschiavo ✅ Trouvez le bien immobilier qui correspond idéalement à vos désirs sur ImmoScout24 - La plateforme de l'immobilier en Suisse.</v>
      </c>
      <c r="D2414" s="4" t="str">
        <f>vlookup(A2414, Sheet2!D:E, 2, 0)</f>
        <v>variant</v>
      </c>
      <c r="E2414" s="4" t="str">
        <f>IFERROR(__xludf.DUMMYFUNCTION("if(H2414=""pays"",vlookup(REGEXEXTRACT(C2414, ""🏘️ \w+ \w+ (.*) ✅""),'Country prepositions'!A:B, 2, 0) &amp; "" "" &amp; REGEXEXTRACT(C2414, ""🏘️ \w+ \w+ (.*) ✅"") ,  if(H2414=""quartier"",vlookup(REGEXEXTRACT(C2414, ""🏘️ \w+ \w+ (.*) ✅""),'Quartier prepositio"&amp;"ns'!A:E, 5, 0) ,  if(H2414=""region"",vlookup(REGEXEXTRACT(C2414, ""🏘️ \w+ \w+ (.*) ✅""),'Region prepositions'!B:F, 5, 0),  REGEXEXTRACT(C2414, ""🏘️ \w+ \w+ (.*) ✅""))))"),"Poschiavo")</f>
        <v>Poschiavo</v>
      </c>
      <c r="F2414" s="2" t="str">
        <f>IFERROR(__xludf.DUMMYFUNCTION("REGEXEXTRACT(C2414, ""🏘️ (\w+) \w+ .* ✅"")"),"Louer")</f>
        <v>Louer</v>
      </c>
      <c r="G2414" s="2" t="str">
        <f>IFERROR(__xludf.DUMMYFUNCTION("REGEXEXTRACT(C2414, ""🏘️ \w+ (\w+) .* ✅"")"),"appartement")</f>
        <v>appartement</v>
      </c>
      <c r="H2414" s="4" t="str">
        <f>IFERROR(__xludf.DUMMYFUNCTION("REGEXEXTRACT(A2414, ""/(\w+)-.*?"")"),"lieu")</f>
        <v>lieu</v>
      </c>
      <c r="I2414" s="4" t="str">
        <f>IFERROR(__xludf.DUMMYFUNCTION("if(D2414=""variant"",  substitute(filter(Templates!E:E, Templates!A:A = F2414, Templates!B:B = G2414, Templates!C:C = H2414), ""{{}}"", E2414), B2414)"),"🏘  Vous cherchez un appartement à louer à Poschiavo? ✅ Les annonces les plus actuelles sont sur ImmoScout24.ch.")</f>
        <v>🏘  Vous cherchez un appartement à louer à Poschiavo? ✅ Les annonces les plus actuelles sont sur ImmoScout24.ch.</v>
      </c>
      <c r="J2414" s="4" t="s">
        <v>7238</v>
      </c>
    </row>
    <row r="2415">
      <c r="A2415" s="5" t="s">
        <v>7239</v>
      </c>
      <c r="B2415" s="2" t="s">
        <v>7240</v>
      </c>
      <c r="C2415" s="4" t="str">
        <f>IFERROR(__xludf.DUMMYFUNCTION("""🏘️ ""&amp;REGEXEXTRACT(B2415, ""^(.*): "")&amp;"" ✅ "" &amp;REGEXEXTRACT(B2415, ""(Trouvez.*)"")"),"🏘️ Vendre maison Blumenstein ✅ Trouvez le bien immobilier qui correspond idéalement à vos désirs sur ImmoScout24 - La plateforme de l'immobilier en Suisse.")</f>
        <v>🏘️ Vendre maison Blumenstein ✅ Trouvez le bien immobilier qui correspond idéalement à vos désirs sur ImmoScout24 - La plateforme de l'immobilier en Suisse.</v>
      </c>
      <c r="D2415" s="4" t="str">
        <f>vlookup(A2415, Sheet2!D:E, 2, 0)</f>
        <v>variant</v>
      </c>
      <c r="E2415" s="4" t="str">
        <f>IFERROR(__xludf.DUMMYFUNCTION("if(H2415=""pays"",vlookup(REGEXEXTRACT(C2415, ""🏘️ \w+ \w+ (.*) ✅""),'Country prepositions'!A:B, 2, 0) &amp; "" "" &amp; REGEXEXTRACT(C2415, ""🏘️ \w+ \w+ (.*) ✅"") ,  if(H2415=""quartier"",vlookup(REGEXEXTRACT(C2415, ""🏘️ \w+ \w+ (.*) ✅""),'Quartier prepositio"&amp;"ns'!A:E, 5, 0) ,  if(H2415=""region"",vlookup(REGEXEXTRACT(C2415, ""🏘️ \w+ \w+ (.*) ✅""),'Region prepositions'!B:F, 5, 0),  REGEXEXTRACT(C2415, ""🏘️ \w+ \w+ (.*) ✅""))))"),"Blumenstein")</f>
        <v>Blumenstein</v>
      </c>
      <c r="F2415" s="2" t="str">
        <f>IFERROR(__xludf.DUMMYFUNCTION("REGEXEXTRACT(C2415, ""🏘️ (\w+) \w+ .* ✅"")"),"Vendre")</f>
        <v>Vendre</v>
      </c>
      <c r="G2415" s="2" t="str">
        <f>IFERROR(__xludf.DUMMYFUNCTION("REGEXEXTRACT(C2415, ""🏘️ \w+ (\w+) .* ✅"")"),"maison")</f>
        <v>maison</v>
      </c>
      <c r="H2415" s="4" t="str">
        <f>IFERROR(__xludf.DUMMYFUNCTION("REGEXEXTRACT(A2415, ""/(\w+)-.*?"")"),"lieu")</f>
        <v>lieu</v>
      </c>
      <c r="I2415" s="4" t="str">
        <f>IFERROR(__xludf.DUMMYFUNCTION("if(D2415=""variant"",  substitute(filter(Templates!E:E, Templates!A:A = F2415, Templates!B:B = G2415, Templates!C:C = H2415), ""{{}}"", E2415), B2415)"),"🏘  Vous souhaitez acheter une maison à Blumenstein? ✅ Jetez un œil aux dernières offres sur ImmoScout24.ch.")</f>
        <v>🏘  Vous souhaitez acheter une maison à Blumenstein? ✅ Jetez un œil aux dernières offres sur ImmoScout24.ch.</v>
      </c>
      <c r="J2415" s="4" t="s">
        <v>7241</v>
      </c>
    </row>
    <row r="2416">
      <c r="A2416" s="5" t="s">
        <v>7242</v>
      </c>
      <c r="B2416" s="2" t="s">
        <v>7243</v>
      </c>
      <c r="C2416" s="4" t="str">
        <f>IFERROR(__xludf.DUMMYFUNCTION("""🏘️ ""&amp;REGEXEXTRACT(B2416, ""^(.*): "")&amp;"" ✅ "" &amp;REGEXEXTRACT(B2416, ""(Trouvez.*)"")"),"🏘️ Vendre appartement Holziken ✅ Trouvez le bien immobilier qui correspond idéalement à vos désirs sur ImmoScout24 - La plateforme de l'immobilier en Suisse.")</f>
        <v>🏘️ Vendre appartement Holziken ✅ Trouvez le bien immobilier qui correspond idéalement à vos désirs sur ImmoScout24 - La plateforme de l'immobilier en Suisse.</v>
      </c>
      <c r="D2416" s="4" t="str">
        <f>vlookup(A2416, Sheet2!D:E, 2, 0)</f>
        <v>variant</v>
      </c>
      <c r="E2416" s="4" t="str">
        <f>IFERROR(__xludf.DUMMYFUNCTION("if(H2416=""pays"",vlookup(REGEXEXTRACT(C2416, ""🏘️ \w+ \w+ (.*) ✅""),'Country prepositions'!A:B, 2, 0) &amp; "" "" &amp; REGEXEXTRACT(C2416, ""🏘️ \w+ \w+ (.*) ✅"") ,  if(H2416=""quartier"",vlookup(REGEXEXTRACT(C2416, ""🏘️ \w+ \w+ (.*) ✅""),'Quartier prepositio"&amp;"ns'!A:E, 5, 0) ,  if(H2416=""region"",vlookup(REGEXEXTRACT(C2416, ""🏘️ \w+ \w+ (.*) ✅""),'Region prepositions'!B:F, 5, 0),  REGEXEXTRACT(C2416, ""🏘️ \w+ \w+ (.*) ✅""))))"),"Holziken")</f>
        <v>Holziken</v>
      </c>
      <c r="F2416" s="2" t="str">
        <f>IFERROR(__xludf.DUMMYFUNCTION("REGEXEXTRACT(C2416, ""🏘️ (\w+) \w+ .* ✅"")"),"Vendre")</f>
        <v>Vendre</v>
      </c>
      <c r="G2416" s="2" t="str">
        <f>IFERROR(__xludf.DUMMYFUNCTION("REGEXEXTRACT(C2416, ""🏘️ \w+ (\w+) .* ✅"")"),"appartement")</f>
        <v>appartement</v>
      </c>
      <c r="H2416" s="4" t="str">
        <f>IFERROR(__xludf.DUMMYFUNCTION("REGEXEXTRACT(A2416, ""/(\w+)-.*?"")"),"lieu")</f>
        <v>lieu</v>
      </c>
      <c r="I2416" s="4" t="str">
        <f>IFERROR(__xludf.DUMMYFUNCTION("if(D2416=""variant"",  substitute(filter(Templates!E:E, Templates!A:A = F2416, Templates!B:B = G2416, Templates!C:C = H2416), ""{{}}"", E2416), B2416)"),"🏘  L’appartement de vos rêves se trouve sur ImmoScout24.ch ✅ Découvrez les dernières annonces de vente à Holziken.")</f>
        <v>🏘  L’appartement de vos rêves se trouve sur ImmoScout24.ch ✅ Découvrez les dernières annonces de vente à Holziken.</v>
      </c>
      <c r="J2416" s="4" t="s">
        <v>7244</v>
      </c>
    </row>
    <row r="2417">
      <c r="A2417" s="5" t="s">
        <v>7245</v>
      </c>
      <c r="B2417" s="2" t="s">
        <v>7246</v>
      </c>
      <c r="C2417" s="4" t="str">
        <f>IFERROR(__xludf.DUMMYFUNCTION("""🏘️ ""&amp;REGEXEXTRACT(B2417, ""^(.*): "")&amp;"" ✅ "" &amp;REGEXEXTRACT(B2417, ""(Trouvez.*)"")"),"🏘️ Louer appartement Stüsslingen ✅ Trouvez le bien immobilier qui correspond idéalement à vos désirs sur ImmoScout24 - La plateforme de l'immobilier en Suisse.")</f>
        <v>🏘️ Louer appartement Stüsslingen ✅ Trouvez le bien immobilier qui correspond idéalement à vos désirs sur ImmoScout24 - La plateforme de l'immobilier en Suisse.</v>
      </c>
      <c r="D2417" s="4" t="str">
        <f>vlookup(A2417, Sheet2!D:E, 2, 0)</f>
        <v>variant</v>
      </c>
      <c r="E2417" s="4" t="str">
        <f>IFERROR(__xludf.DUMMYFUNCTION("if(H2417=""pays"",vlookup(REGEXEXTRACT(C2417, ""🏘️ \w+ \w+ (.*) ✅""),'Country prepositions'!A:B, 2, 0) &amp; "" "" &amp; REGEXEXTRACT(C2417, ""🏘️ \w+ \w+ (.*) ✅"") ,  if(H2417=""quartier"",vlookup(REGEXEXTRACT(C2417, ""🏘️ \w+ \w+ (.*) ✅""),'Quartier prepositio"&amp;"ns'!A:E, 5, 0) ,  if(H2417=""region"",vlookup(REGEXEXTRACT(C2417, ""🏘️ \w+ \w+ (.*) ✅""),'Region prepositions'!B:F, 5, 0),  REGEXEXTRACT(C2417, ""🏘️ \w+ \w+ (.*) ✅""))))"),"Stüsslingen")</f>
        <v>Stüsslingen</v>
      </c>
      <c r="F2417" s="2" t="str">
        <f>IFERROR(__xludf.DUMMYFUNCTION("REGEXEXTRACT(C2417, ""🏘️ (\w+) \w+ .* ✅"")"),"Louer")</f>
        <v>Louer</v>
      </c>
      <c r="G2417" s="2" t="str">
        <f>IFERROR(__xludf.DUMMYFUNCTION("REGEXEXTRACT(C2417, ""🏘️ \w+ (\w+) .* ✅"")"),"appartement")</f>
        <v>appartement</v>
      </c>
      <c r="H2417" s="4" t="str">
        <f>IFERROR(__xludf.DUMMYFUNCTION("REGEXEXTRACT(A2417, ""/(\w+)-.*?"")"),"lieu")</f>
        <v>lieu</v>
      </c>
      <c r="I2417" s="4" t="str">
        <f>IFERROR(__xludf.DUMMYFUNCTION("if(D2417=""variant"",  substitute(filter(Templates!E:E, Templates!A:A = F2417, Templates!B:B = G2417, Templates!C:C = H2417), ""{{}}"", E2417), B2417)"),"🏘  Vous cherchez un appartement à louer à Stüsslingen? ✅ Les annonces les plus actuelles sont sur ImmoScout24.ch.")</f>
        <v>🏘  Vous cherchez un appartement à louer à Stüsslingen? ✅ Les annonces les plus actuelles sont sur ImmoScout24.ch.</v>
      </c>
      <c r="J2417" s="4" t="s">
        <v>7247</v>
      </c>
    </row>
    <row r="2418">
      <c r="A2418" s="5" t="s">
        <v>7248</v>
      </c>
      <c r="B2418" s="2" t="s">
        <v>7249</v>
      </c>
      <c r="C2418" s="4" t="str">
        <f>IFERROR(__xludf.DUMMYFUNCTION("""🏘️ ""&amp;REGEXEXTRACT(B2418, ""^(.*): "")&amp;"" ✅ "" &amp;REGEXEXTRACT(B2418, ""(Trouvez.*)"")"),"🏘️ Louer maison Prahins ✅ Trouvez le bien immobilier qui correspond idéalement à vos désirs sur ImmoScout24 - La plateforme de l'immobilier en Suisse.")</f>
        <v>🏘️ Louer maison Prahins ✅ Trouvez le bien immobilier qui correspond idéalement à vos désirs sur ImmoScout24 - La plateforme de l'immobilier en Suisse.</v>
      </c>
      <c r="D2418" s="4" t="str">
        <f>vlookup(A2418, Sheet2!D:E, 2, 0)</f>
        <v>variant</v>
      </c>
      <c r="E2418" s="4" t="str">
        <f>IFERROR(__xludf.DUMMYFUNCTION("if(H2418=""pays"",vlookup(REGEXEXTRACT(C2418, ""🏘️ \w+ \w+ (.*) ✅""),'Country prepositions'!A:B, 2, 0) &amp; "" "" &amp; REGEXEXTRACT(C2418, ""🏘️ \w+ \w+ (.*) ✅"") ,  if(H2418=""quartier"",vlookup(REGEXEXTRACT(C2418, ""🏘️ \w+ \w+ (.*) ✅""),'Quartier prepositio"&amp;"ns'!A:E, 5, 0) ,  if(H2418=""region"",vlookup(REGEXEXTRACT(C2418, ""🏘️ \w+ \w+ (.*) ✅""),'Region prepositions'!B:F, 5, 0),  REGEXEXTRACT(C2418, ""🏘️ \w+ \w+ (.*) ✅""))))"),"Prahins")</f>
        <v>Prahins</v>
      </c>
      <c r="F2418" s="2" t="str">
        <f>IFERROR(__xludf.DUMMYFUNCTION("REGEXEXTRACT(C2418, ""🏘️ (\w+) \w+ .* ✅"")"),"Louer")</f>
        <v>Louer</v>
      </c>
      <c r="G2418" s="2" t="str">
        <f>IFERROR(__xludf.DUMMYFUNCTION("REGEXEXTRACT(C2418, ""🏘️ \w+ (\w+) .* ✅"")"),"maison")</f>
        <v>maison</v>
      </c>
      <c r="H2418" s="4" t="str">
        <f>IFERROR(__xludf.DUMMYFUNCTION("REGEXEXTRACT(A2418, ""/(\w+)-.*?"")"),"lieu")</f>
        <v>lieu</v>
      </c>
      <c r="I2418" s="4" t="str">
        <f>IFERROR(__xludf.DUMMYFUNCTION("if(D2418=""variant"",  substitute(filter(Templates!E:E, Templates!A:A = F2418, Templates!B:B = G2418, Templates!C:C = H2418), ""{{}}"", E2418), B2418)"),"🏘  Vous cherchez une maison à louer à Prahins? ✅ Découvrez nos nombreuses annonces sur ImmoScout24.ch.")</f>
        <v>🏘  Vous cherchez une maison à louer à Prahins? ✅ Découvrez nos nombreuses annonces sur ImmoScout24.ch.</v>
      </c>
      <c r="J2418" s="4" t="s">
        <v>7250</v>
      </c>
    </row>
    <row r="2419">
      <c r="A2419" s="5" t="s">
        <v>7251</v>
      </c>
      <c r="B2419" s="2" t="s">
        <v>7252</v>
      </c>
      <c r="C2419" s="4" t="str">
        <f>IFERROR(__xludf.DUMMYFUNCTION("""🏘️ ""&amp;REGEXEXTRACT(B2419, ""^(.*): "")&amp;"" ✅ "" &amp;REGEXEXTRACT(B2419, ""(Trouvez.*)"")"),"🏘️ Vendre maison Botyre (Ayent) ✅ Trouvez le bien immobilier qui correspond idéalement à vos désirs sur ImmoScout24 - La plateforme de l'immobilier en Suisse.")</f>
        <v>🏘️ Vendre maison Botyre (Ayent) ✅ Trouvez le bien immobilier qui correspond idéalement à vos désirs sur ImmoScout24 - La plateforme de l'immobilier en Suisse.</v>
      </c>
      <c r="D2419" s="4" t="str">
        <f>vlookup(A2419, Sheet2!D:E, 2, 0)</f>
        <v>variant</v>
      </c>
      <c r="E2419" s="4" t="str">
        <f>IFERROR(__xludf.DUMMYFUNCTION("if(H2419=""pays"",vlookup(REGEXEXTRACT(C2419, ""🏘️ \w+ \w+ (.*) ✅""),'Country prepositions'!A:B, 2, 0) &amp; "" "" &amp; REGEXEXTRACT(C2419, ""🏘️ \w+ \w+ (.*) ✅"") ,  if(H2419=""quartier"",vlookup(REGEXEXTRACT(C2419, ""🏘️ \w+ \w+ (.*) ✅""),'Quartier prepositio"&amp;"ns'!A:E, 5, 0) ,  if(H2419=""region"",vlookup(REGEXEXTRACT(C2419, ""🏘️ \w+ \w+ (.*) ✅""),'Region prepositions'!B:F, 5, 0),  REGEXEXTRACT(C2419, ""🏘️ \w+ \w+ (.*) ✅""))))"),"Botyre (Ayent)")</f>
        <v>Botyre (Ayent)</v>
      </c>
      <c r="F2419" s="2" t="str">
        <f>IFERROR(__xludf.DUMMYFUNCTION("REGEXEXTRACT(C2419, ""🏘️ (\w+) \w+ .* ✅"")"),"Vendre")</f>
        <v>Vendre</v>
      </c>
      <c r="G2419" s="2" t="str">
        <f>IFERROR(__xludf.DUMMYFUNCTION("REGEXEXTRACT(C2419, ""🏘️ \w+ (\w+) .* ✅"")"),"maison")</f>
        <v>maison</v>
      </c>
      <c r="H2419" s="4" t="str">
        <f>IFERROR(__xludf.DUMMYFUNCTION("REGEXEXTRACT(A2419, ""/(\w+)-.*?"")"),"lieu")</f>
        <v>lieu</v>
      </c>
      <c r="I2419" s="4" t="str">
        <f>IFERROR(__xludf.DUMMYFUNCTION("if(D2419=""variant"",  substitute(filter(Templates!E:E, Templates!A:A = F2419, Templates!B:B = G2419, Templates!C:C = H2419), ""{{}}"", E2419), B2419)"),"🏘  Vous souhaitez acheter une maison à Botyre (Ayent)? ✅ Jetez un œil aux dernières offres sur ImmoScout24.ch.")</f>
        <v>🏘  Vous souhaitez acheter une maison à Botyre (Ayent)? ✅ Jetez un œil aux dernières offres sur ImmoScout24.ch.</v>
      </c>
      <c r="J2419" s="4" t="s">
        <v>7253</v>
      </c>
    </row>
    <row r="2420">
      <c r="A2420" s="5" t="s">
        <v>7254</v>
      </c>
      <c r="B2420" s="2" t="s">
        <v>7255</v>
      </c>
      <c r="C2420" s="4" t="str">
        <f>IFERROR(__xludf.DUMMYFUNCTION("""🏘️ ""&amp;REGEXEXTRACT(B2420, ""^(.*): "")&amp;"" ✅ "" &amp;REGEXEXTRACT(B2420, ""(Trouvez.*)"")"),"🏘️ Vendre maison Dietikon ✅ Trouvez le bien immobilier qui correspond idéalement à vos désirs sur ImmoScout24 - La plateforme de l'immobilier en Suisse.")</f>
        <v>🏘️ Vendre maison Dietikon ✅ Trouvez le bien immobilier qui correspond idéalement à vos désirs sur ImmoScout24 - La plateforme de l'immobilier en Suisse.</v>
      </c>
      <c r="D2420" s="4" t="str">
        <f>vlookup(A2420, Sheet2!D:E, 2, 0)</f>
        <v>variant</v>
      </c>
      <c r="E2420" s="4" t="str">
        <f>IFERROR(__xludf.DUMMYFUNCTION("if(H2420=""pays"",vlookup(REGEXEXTRACT(C2420, ""🏘️ \w+ \w+ (.*) ✅""),'Country prepositions'!A:B, 2, 0) &amp; "" "" &amp; REGEXEXTRACT(C2420, ""🏘️ \w+ \w+ (.*) ✅"") ,  if(H2420=""quartier"",vlookup(REGEXEXTRACT(C2420, ""🏘️ \w+ \w+ (.*) ✅""),'Quartier prepositio"&amp;"ns'!A:E, 5, 0) ,  if(H2420=""region"",vlookup(REGEXEXTRACT(C2420, ""🏘️ \w+ \w+ (.*) ✅""),'Region prepositions'!B:F, 5, 0),  REGEXEXTRACT(C2420, ""🏘️ \w+ \w+ (.*) ✅""))))"),"Dietikon")</f>
        <v>Dietikon</v>
      </c>
      <c r="F2420" s="2" t="str">
        <f>IFERROR(__xludf.DUMMYFUNCTION("REGEXEXTRACT(C2420, ""🏘️ (\w+) \w+ .* ✅"")"),"Vendre")</f>
        <v>Vendre</v>
      </c>
      <c r="G2420" s="2" t="str">
        <f>IFERROR(__xludf.DUMMYFUNCTION("REGEXEXTRACT(C2420, ""🏘️ \w+ (\w+) .* ✅"")"),"maison")</f>
        <v>maison</v>
      </c>
      <c r="H2420" s="4" t="str">
        <f>IFERROR(__xludf.DUMMYFUNCTION("REGEXEXTRACT(A2420, ""/(\w+)-.*?"")"),"lieu")</f>
        <v>lieu</v>
      </c>
      <c r="I2420" s="4" t="str">
        <f>IFERROR(__xludf.DUMMYFUNCTION("if(D2420=""variant"",  substitute(filter(Templates!E:E, Templates!A:A = F2420, Templates!B:B = G2420, Templates!C:C = H2420), ""{{}}"", E2420), B2420)"),"🏘  Vous souhaitez acheter une maison à Dietikon? ✅ Jetez un œil aux dernières offres sur ImmoScout24.ch.")</f>
        <v>🏘  Vous souhaitez acheter une maison à Dietikon? ✅ Jetez un œil aux dernières offres sur ImmoScout24.ch.</v>
      </c>
      <c r="J2420" s="4" t="s">
        <v>7256</v>
      </c>
    </row>
    <row r="2421">
      <c r="A2421" s="5" t="s">
        <v>7257</v>
      </c>
      <c r="B2421" s="2" t="s">
        <v>7258</v>
      </c>
      <c r="C2421" s="4" t="str">
        <f>IFERROR(__xludf.DUMMYFUNCTION("""🏘️ ""&amp;REGEXEXTRACT(B2421, ""^(.*): "")&amp;"" ✅ "" &amp;REGEXEXTRACT(B2421, ""(Trouvez.*)"")"),"🏘️ Vendre maison Lajoux JU ✅ Trouvez le bien immobilier qui correspond idéalement à vos désirs sur ImmoScout24 - La plateforme de l'immobilier en Suisse.")</f>
        <v>🏘️ Vendre maison Lajoux JU ✅ Trouvez le bien immobilier qui correspond idéalement à vos désirs sur ImmoScout24 - La plateforme de l'immobilier en Suisse.</v>
      </c>
      <c r="D2421" s="4" t="str">
        <f>vlookup(A2421, Sheet2!D:E, 2, 0)</f>
        <v>variant</v>
      </c>
      <c r="E2421" s="4" t="str">
        <f>IFERROR(__xludf.DUMMYFUNCTION("if(H2421=""pays"",vlookup(REGEXEXTRACT(C2421, ""🏘️ \w+ \w+ (.*) ✅""),'Country prepositions'!A:B, 2, 0) &amp; "" "" &amp; REGEXEXTRACT(C2421, ""🏘️ \w+ \w+ (.*) ✅"") ,  if(H2421=""quartier"",vlookup(REGEXEXTRACT(C2421, ""🏘️ \w+ \w+ (.*) ✅""),'Quartier prepositio"&amp;"ns'!A:E, 5, 0) ,  if(H2421=""region"",vlookup(REGEXEXTRACT(C2421, ""🏘️ \w+ \w+ (.*) ✅""),'Region prepositions'!B:F, 5, 0),  REGEXEXTRACT(C2421, ""🏘️ \w+ \w+ (.*) ✅""))))"),"Lajoux JU")</f>
        <v>Lajoux JU</v>
      </c>
      <c r="F2421" s="2" t="str">
        <f>IFERROR(__xludf.DUMMYFUNCTION("REGEXEXTRACT(C2421, ""🏘️ (\w+) \w+ .* ✅"")"),"Vendre")</f>
        <v>Vendre</v>
      </c>
      <c r="G2421" s="2" t="str">
        <f>IFERROR(__xludf.DUMMYFUNCTION("REGEXEXTRACT(C2421, ""🏘️ \w+ (\w+) .* ✅"")"),"maison")</f>
        <v>maison</v>
      </c>
      <c r="H2421" s="4" t="str">
        <f>IFERROR(__xludf.DUMMYFUNCTION("REGEXEXTRACT(A2421, ""/(\w+)-.*?"")"),"lieu")</f>
        <v>lieu</v>
      </c>
      <c r="I2421" s="4" t="str">
        <f>IFERROR(__xludf.DUMMYFUNCTION("if(D2421=""variant"",  substitute(filter(Templates!E:E, Templates!A:A = F2421, Templates!B:B = G2421, Templates!C:C = H2421), ""{{}}"", E2421), B2421)"),"🏘  Vous souhaitez acheter une maison à Lajoux JU? ✅ Jetez un œil aux dernières offres sur ImmoScout24.ch.")</f>
        <v>🏘  Vous souhaitez acheter une maison à Lajoux JU? ✅ Jetez un œil aux dernières offres sur ImmoScout24.ch.</v>
      </c>
      <c r="J2421" s="4" t="s">
        <v>7259</v>
      </c>
    </row>
    <row r="2422">
      <c r="A2422" s="5" t="s">
        <v>7260</v>
      </c>
      <c r="B2422" s="2" t="s">
        <v>7261</v>
      </c>
      <c r="C2422" s="4" t="str">
        <f>IFERROR(__xludf.DUMMYFUNCTION("""🏘️ ""&amp;REGEXEXTRACT(B2422, ""^(.*): "")&amp;"" ✅ "" &amp;REGEXEXTRACT(B2422, ""(Trouvez.*)"")"),"🏘️ Louer appartement Tannay ✅ Trouvez le bien immobilier qui correspond idéalement à vos désirs sur ImmoScout24 - La plateforme de l'immobilier en Suisse.")</f>
        <v>🏘️ Louer appartement Tannay ✅ Trouvez le bien immobilier qui correspond idéalement à vos désirs sur ImmoScout24 - La plateforme de l'immobilier en Suisse.</v>
      </c>
      <c r="D2422" s="4" t="str">
        <f>vlookup(A2422, Sheet2!D:E, 2, 0)</f>
        <v>variant</v>
      </c>
      <c r="E2422" s="4" t="str">
        <f>IFERROR(__xludf.DUMMYFUNCTION("if(H2422=""pays"",vlookup(REGEXEXTRACT(C2422, ""🏘️ \w+ \w+ (.*) ✅""),'Country prepositions'!A:B, 2, 0) &amp; "" "" &amp; REGEXEXTRACT(C2422, ""🏘️ \w+ \w+ (.*) ✅"") ,  if(H2422=""quartier"",vlookup(REGEXEXTRACT(C2422, ""🏘️ \w+ \w+ (.*) ✅""),'Quartier prepositio"&amp;"ns'!A:E, 5, 0) ,  if(H2422=""region"",vlookup(REGEXEXTRACT(C2422, ""🏘️ \w+ \w+ (.*) ✅""),'Region prepositions'!B:F, 5, 0),  REGEXEXTRACT(C2422, ""🏘️ \w+ \w+ (.*) ✅""))))"),"Tannay")</f>
        <v>Tannay</v>
      </c>
      <c r="F2422" s="2" t="str">
        <f>IFERROR(__xludf.DUMMYFUNCTION("REGEXEXTRACT(C2422, ""🏘️ (\w+) \w+ .* ✅"")"),"Louer")</f>
        <v>Louer</v>
      </c>
      <c r="G2422" s="2" t="str">
        <f>IFERROR(__xludf.DUMMYFUNCTION("REGEXEXTRACT(C2422, ""🏘️ \w+ (\w+) .* ✅"")"),"appartement")</f>
        <v>appartement</v>
      </c>
      <c r="H2422" s="4" t="str">
        <f>IFERROR(__xludf.DUMMYFUNCTION("REGEXEXTRACT(A2422, ""/(\w+)-.*?"")"),"lieu")</f>
        <v>lieu</v>
      </c>
      <c r="I2422" s="4" t="str">
        <f>IFERROR(__xludf.DUMMYFUNCTION("if(D2422=""variant"",  substitute(filter(Templates!E:E, Templates!A:A = F2422, Templates!B:B = G2422, Templates!C:C = H2422), ""{{}}"", E2422), B2422)"),"🏘  Vous cherchez un appartement à louer à Tannay? ✅ Les annonces les plus actuelles sont sur ImmoScout24.ch.")</f>
        <v>🏘  Vous cherchez un appartement à louer à Tannay? ✅ Les annonces les plus actuelles sont sur ImmoScout24.ch.</v>
      </c>
      <c r="J2422" s="4" t="s">
        <v>7262</v>
      </c>
    </row>
    <row r="2423">
      <c r="A2423" s="5" t="s">
        <v>7263</v>
      </c>
      <c r="B2423" s="2" t="s">
        <v>7264</v>
      </c>
      <c r="C2423" s="4" t="str">
        <f>IFERROR(__xludf.DUMMYFUNCTION("""🏘️ ""&amp;REGEXEXTRACT(B2423, ""^(.*): "")&amp;"" ✅ "" &amp;REGEXEXTRACT(B2423, ""(Trouvez.*)"")"),"🏘️ Vendre maison Seewen SO ✅ Trouvez le bien immobilier qui correspond idéalement à vos désirs sur ImmoScout24 - La plateforme de l'immobilier en Suisse.")</f>
        <v>🏘️ Vendre maison Seewen SO ✅ Trouvez le bien immobilier qui correspond idéalement à vos désirs sur ImmoScout24 - La plateforme de l'immobilier en Suisse.</v>
      </c>
      <c r="D2423" s="4" t="str">
        <f>vlookup(A2423, Sheet2!D:E, 2, 0)</f>
        <v>variant</v>
      </c>
      <c r="E2423" s="4" t="str">
        <f>IFERROR(__xludf.DUMMYFUNCTION("if(H2423=""pays"",vlookup(REGEXEXTRACT(C2423, ""🏘️ \w+ \w+ (.*) ✅""),'Country prepositions'!A:B, 2, 0) &amp; "" "" &amp; REGEXEXTRACT(C2423, ""🏘️ \w+ \w+ (.*) ✅"") ,  if(H2423=""quartier"",vlookup(REGEXEXTRACT(C2423, ""🏘️ \w+ \w+ (.*) ✅""),'Quartier prepositio"&amp;"ns'!A:E, 5, 0) ,  if(H2423=""region"",vlookup(REGEXEXTRACT(C2423, ""🏘️ \w+ \w+ (.*) ✅""),'Region prepositions'!B:F, 5, 0),  REGEXEXTRACT(C2423, ""🏘️ \w+ \w+ (.*) ✅""))))"),"Seewen SO")</f>
        <v>Seewen SO</v>
      </c>
      <c r="F2423" s="2" t="str">
        <f>IFERROR(__xludf.DUMMYFUNCTION("REGEXEXTRACT(C2423, ""🏘️ (\w+) \w+ .* ✅"")"),"Vendre")</f>
        <v>Vendre</v>
      </c>
      <c r="G2423" s="2" t="str">
        <f>IFERROR(__xludf.DUMMYFUNCTION("REGEXEXTRACT(C2423, ""🏘️ \w+ (\w+) .* ✅"")"),"maison")</f>
        <v>maison</v>
      </c>
      <c r="H2423" s="4" t="str">
        <f>IFERROR(__xludf.DUMMYFUNCTION("REGEXEXTRACT(A2423, ""/(\w+)-.*?"")"),"lieu")</f>
        <v>lieu</v>
      </c>
      <c r="I2423" s="4" t="str">
        <f>IFERROR(__xludf.DUMMYFUNCTION("if(D2423=""variant"",  substitute(filter(Templates!E:E, Templates!A:A = F2423, Templates!B:B = G2423, Templates!C:C = H2423), ""{{}}"", E2423), B2423)"),"🏘  Vous souhaitez acheter une maison à Seewen SO? ✅ Jetez un œil aux dernières offres sur ImmoScout24.ch.")</f>
        <v>🏘  Vous souhaitez acheter une maison à Seewen SO? ✅ Jetez un œil aux dernières offres sur ImmoScout24.ch.</v>
      </c>
      <c r="J2423" s="4" t="s">
        <v>7265</v>
      </c>
    </row>
    <row r="2424">
      <c r="A2424" s="5" t="s">
        <v>7266</v>
      </c>
      <c r="B2424" s="2" t="s">
        <v>7267</v>
      </c>
      <c r="C2424" s="4" t="str">
        <f>IFERROR(__xludf.DUMMYFUNCTION("""🏘️ ""&amp;REGEXEXTRACT(B2424, ""^(.*): "")&amp;"" ✅ "" &amp;REGEXEXTRACT(B2424, ""(Trouvez.*)"")"),"🏘️ Vendre appartement Rhône-Arve ✅ Trouvez le bien immobilier qui correspond idéalement à vos désirs sur ImmoScout24 - La plateforme de l'immobilier en Suisse.")</f>
        <v>🏘️ Vendre appartement Rhône-Arve ✅ Trouvez le bien immobilier qui correspond idéalement à vos désirs sur ImmoScout24 - La plateforme de l'immobilier en Suisse.</v>
      </c>
      <c r="D2424" s="4" t="str">
        <f>vlookup(A2424, Sheet2!D:E, 2, 0)</f>
        <v>variant</v>
      </c>
      <c r="E2424" s="4" t="str">
        <f>IFERROR(__xludf.DUMMYFUNCTION("if(H2424=""pays"",vlookup(REGEXEXTRACT(C2424, ""🏘️ \w+ \w+ (.*) ✅""),'Country prepositions'!A:B, 2, 0) &amp; "" "" &amp; REGEXEXTRACT(C2424, ""🏘️ \w+ \w+ (.*) ✅"") ,  if(H2424=""quartier"",vlookup(REGEXEXTRACT(C2424, ""🏘️ \w+ \w+ (.*) ✅""),'Quartier prepositio"&amp;"ns'!A:E, 5, 0) ,  if(H2424=""region"",vlookup(REGEXEXTRACT(C2424, ""🏘️ \w+ \w+ (.*) ✅""),'Region prepositions'!B:F, 5, 0),  REGEXEXTRACT(C2424, ""🏘️ \w+ \w+ (.*) ✅""))))"),"dans la région de Rhône-Arve")</f>
        <v>dans la région de Rhône-Arve</v>
      </c>
      <c r="F2424" s="2" t="str">
        <f>IFERROR(__xludf.DUMMYFUNCTION("REGEXEXTRACT(C2424, ""🏘️ (\w+) \w+ .* ✅"")"),"Vendre")</f>
        <v>Vendre</v>
      </c>
      <c r="G2424" s="2" t="str">
        <f>IFERROR(__xludf.DUMMYFUNCTION("REGEXEXTRACT(C2424, ""🏘️ \w+ (\w+) .* ✅"")"),"appartement")</f>
        <v>appartement</v>
      </c>
      <c r="H2424" s="4" t="str">
        <f>IFERROR(__xludf.DUMMYFUNCTION("REGEXEXTRACT(A2424, ""/(\w+)-.*?"")"),"region")</f>
        <v>region</v>
      </c>
      <c r="I2424" s="4" t="str">
        <f>IFERROR(__xludf.DUMMYFUNCTION("if(D2424=""variant"",  substitute(filter(Templates!E:E, Templates!A:A = F2424, Templates!B:B = G2424, Templates!C:C = H2424), ""{{}}"", E2424), B2424)"),"🏘  L’appartement de vos rêves se trouve sur ImmoScout24.ch ✅ Découvrez les dernières annonces de vente dans la région de Rhône-Arve.")</f>
        <v>🏘  L’appartement de vos rêves se trouve sur ImmoScout24.ch ✅ Découvrez les dernières annonces de vente dans la région de Rhône-Arve.</v>
      </c>
      <c r="J2424" s="4" t="s">
        <v>7268</v>
      </c>
    </row>
    <row r="2425">
      <c r="A2425" s="5" t="s">
        <v>7269</v>
      </c>
      <c r="B2425" s="2" t="s">
        <v>7270</v>
      </c>
      <c r="C2425" s="4" t="str">
        <f>IFERROR(__xludf.DUMMYFUNCTION("""🏘️ ""&amp;REGEXEXTRACT(B2425, ""^(.*): "")&amp;"" ✅ "" &amp;REGEXEXTRACT(B2425, ""(Trouvez.*)"")"),"🏘️ Louer maison Bourguillon ✅ Trouvez le bien immobilier qui correspond idéalement à vos désirs sur ImmoScout24 - La plateforme de l'immobilier en Suisse.")</f>
        <v>🏘️ Louer maison Bourguillon ✅ Trouvez le bien immobilier qui correspond idéalement à vos désirs sur ImmoScout24 - La plateforme de l'immobilier en Suisse.</v>
      </c>
      <c r="D2425" s="4" t="str">
        <f>vlookup(A2425, Sheet2!D:E, 2, 0)</f>
        <v>variant</v>
      </c>
      <c r="E2425" s="4" t="str">
        <f>IFERROR(__xludf.DUMMYFUNCTION("if(H2425=""pays"",vlookup(REGEXEXTRACT(C2425, ""🏘️ \w+ \w+ (.*) ✅""),'Country prepositions'!A:B, 2, 0) &amp; "" "" &amp; REGEXEXTRACT(C2425, ""🏘️ \w+ \w+ (.*) ✅"") ,  if(H2425=""quartier"",vlookup(REGEXEXTRACT(C2425, ""🏘️ \w+ \w+ (.*) ✅""),'Quartier prepositio"&amp;"ns'!A:E, 5, 0) ,  if(H2425=""region"",vlookup(REGEXEXTRACT(C2425, ""🏘️ \w+ \w+ (.*) ✅""),'Region prepositions'!B:F, 5, 0),  REGEXEXTRACT(C2425, ""🏘️ \w+ \w+ (.*) ✅""))))"),"Bourguillon")</f>
        <v>Bourguillon</v>
      </c>
      <c r="F2425" s="2" t="str">
        <f>IFERROR(__xludf.DUMMYFUNCTION("REGEXEXTRACT(C2425, ""🏘️ (\w+) \w+ .* ✅"")"),"Louer")</f>
        <v>Louer</v>
      </c>
      <c r="G2425" s="2" t="str">
        <f>IFERROR(__xludf.DUMMYFUNCTION("REGEXEXTRACT(C2425, ""🏘️ \w+ (\w+) .* ✅"")"),"maison")</f>
        <v>maison</v>
      </c>
      <c r="H2425" s="4" t="str">
        <f>IFERROR(__xludf.DUMMYFUNCTION("REGEXEXTRACT(A2425, ""/(\w+)-.*?"")"),"lieu")</f>
        <v>lieu</v>
      </c>
      <c r="I2425" s="4" t="str">
        <f>IFERROR(__xludf.DUMMYFUNCTION("if(D2425=""variant"",  substitute(filter(Templates!E:E, Templates!A:A = F2425, Templates!B:B = G2425, Templates!C:C = H2425), ""{{}}"", E2425), B2425)"),"🏘  Vous cherchez une maison à louer à Bourguillon? ✅ Découvrez nos nombreuses annonces sur ImmoScout24.ch.")</f>
        <v>🏘  Vous cherchez une maison à louer à Bourguillon? ✅ Découvrez nos nombreuses annonces sur ImmoScout24.ch.</v>
      </c>
      <c r="J2425" s="4" t="s">
        <v>7271</v>
      </c>
    </row>
    <row r="2426">
      <c r="A2426" s="5" t="s">
        <v>7272</v>
      </c>
      <c r="B2426" s="2" t="s">
        <v>7273</v>
      </c>
      <c r="C2426" s="4" t="str">
        <f>IFERROR(__xludf.DUMMYFUNCTION("""🏘️ ""&amp;REGEXEXTRACT(B2426, ""^(.*): "")&amp;"" ✅ "" &amp;REGEXEXTRACT(B2426, ""(Trouvez.*)"")"),"🏘️ Louer maison Luins ✅ Trouvez le bien immobilier qui correspond idéalement à vos désirs sur ImmoScout24 - La plateforme de l'immobilier en Suisse.")</f>
        <v>🏘️ Louer maison Luins ✅ Trouvez le bien immobilier qui correspond idéalement à vos désirs sur ImmoScout24 - La plateforme de l'immobilier en Suisse.</v>
      </c>
      <c r="D2426" s="4" t="str">
        <f>vlookup(A2426, Sheet2!D:E, 2, 0)</f>
        <v>variant</v>
      </c>
      <c r="E2426" s="4" t="str">
        <f>IFERROR(__xludf.DUMMYFUNCTION("if(H2426=""pays"",vlookup(REGEXEXTRACT(C2426, ""🏘️ \w+ \w+ (.*) ✅""),'Country prepositions'!A:B, 2, 0) &amp; "" "" &amp; REGEXEXTRACT(C2426, ""🏘️ \w+ \w+ (.*) ✅"") ,  if(H2426=""quartier"",vlookup(REGEXEXTRACT(C2426, ""🏘️ \w+ \w+ (.*) ✅""),'Quartier prepositio"&amp;"ns'!A:E, 5, 0) ,  if(H2426=""region"",vlookup(REGEXEXTRACT(C2426, ""🏘️ \w+ \w+ (.*) ✅""),'Region prepositions'!B:F, 5, 0),  REGEXEXTRACT(C2426, ""🏘️ \w+ \w+ (.*) ✅""))))"),"Luins")</f>
        <v>Luins</v>
      </c>
      <c r="F2426" s="2" t="str">
        <f>IFERROR(__xludf.DUMMYFUNCTION("REGEXEXTRACT(C2426, ""🏘️ (\w+) \w+ .* ✅"")"),"Louer")</f>
        <v>Louer</v>
      </c>
      <c r="G2426" s="2" t="str">
        <f>IFERROR(__xludf.DUMMYFUNCTION("REGEXEXTRACT(C2426, ""🏘️ \w+ (\w+) .* ✅"")"),"maison")</f>
        <v>maison</v>
      </c>
      <c r="H2426" s="4" t="str">
        <f>IFERROR(__xludf.DUMMYFUNCTION("REGEXEXTRACT(A2426, ""/(\w+)-.*?"")"),"lieu")</f>
        <v>lieu</v>
      </c>
      <c r="I2426" s="4" t="str">
        <f>IFERROR(__xludf.DUMMYFUNCTION("if(D2426=""variant"",  substitute(filter(Templates!E:E, Templates!A:A = F2426, Templates!B:B = G2426, Templates!C:C = H2426), ""{{}}"", E2426), B2426)"),"🏘  Vous cherchez une maison à louer à Luins? ✅ Découvrez nos nombreuses annonces sur ImmoScout24.ch.")</f>
        <v>🏘  Vous cherchez une maison à louer à Luins? ✅ Découvrez nos nombreuses annonces sur ImmoScout24.ch.</v>
      </c>
      <c r="J2426" s="4" t="s">
        <v>7274</v>
      </c>
    </row>
    <row r="2427">
      <c r="A2427" s="3" t="s">
        <v>7275</v>
      </c>
      <c r="B2427" s="2" t="s">
        <v>7276</v>
      </c>
      <c r="C2427" s="4" t="str">
        <f>IFERROR(__xludf.DUMMYFUNCTION("""🏘️ ""&amp;REGEXEXTRACT(B2427, ""^(.*): "")&amp;"" ✅ "" &amp;REGEXEXTRACT(B2427, ""(Trouvez.*)"")"),"🏘️ Louer appartement Lausanne et environs ✅ Trouvez le bien immobilier qui correspond idéalement à vos désirs sur ImmoScout24 - La plateforme de l'immobilier en Suisse.")</f>
        <v>🏘️ Louer appartement Lausanne et environs ✅ Trouvez le bien immobilier qui correspond idéalement à vos désirs sur ImmoScout24 - La plateforme de l'immobilier en Suisse.</v>
      </c>
      <c r="D2427" s="4" t="str">
        <f>vlookup(A2427, Sheet2!D:E, 2, 0)</f>
        <v>variant</v>
      </c>
      <c r="E2427" s="4" t="str">
        <f>IFERROR(__xludf.DUMMYFUNCTION("if(H2427=""pays"",vlookup(REGEXEXTRACT(C2427, ""🏘️ \w+ \w+ (.*) ✅""),'Country prepositions'!A:B, 2, 0) &amp; "" "" &amp; REGEXEXTRACT(C2427, ""🏘️ \w+ \w+ (.*) ✅"") ,  if(H2427=""quartier"",vlookup(REGEXEXTRACT(C2427, ""🏘️ \w+ \w+ (.*) ✅""),'Quartier prepositio"&amp;"ns'!A:E, 5, 0) ,  if(H2427=""region"",vlookup(REGEXEXTRACT(C2427, ""🏘️ \w+ \w+ (.*) ✅""),'Region prepositions'!B:F, 5, 0),  REGEXEXTRACT(C2427, ""🏘️ \w+ \w+ (.*) ✅""))))"),"à Lausanne et environs")</f>
        <v>à Lausanne et environs</v>
      </c>
      <c r="F2427" s="2" t="str">
        <f>IFERROR(__xludf.DUMMYFUNCTION("REGEXEXTRACT(C2427, ""🏘️ (\w+) \w+ .* ✅"")"),"Louer")</f>
        <v>Louer</v>
      </c>
      <c r="G2427" s="2" t="str">
        <f>IFERROR(__xludf.DUMMYFUNCTION("REGEXEXTRACT(C2427, ""🏘️ \w+ (\w+) .* ✅"")"),"appartement")</f>
        <v>appartement</v>
      </c>
      <c r="H2427" s="4" t="str">
        <f>IFERROR(__xludf.DUMMYFUNCTION("REGEXEXTRACT(A2427, ""/(\w+)-.*?"")"),"region")</f>
        <v>region</v>
      </c>
      <c r="I2427" s="4" t="str">
        <f>IFERROR(__xludf.DUMMYFUNCTION("if(D2427=""variant"",  substitute(filter(Templates!E:E, Templates!A:A = F2427, Templates!B:B = G2427, Templates!C:C = H2427), ""{{}}"", E2427), B2427)"),"🏘  Vous cherchez un appartement à louer à Lausanne et environs? ✅ Les annonces les plus actuelles sont sur ImmoScout24.ch.")</f>
        <v>🏘  Vous cherchez un appartement à louer à Lausanne et environs? ✅ Les annonces les plus actuelles sont sur ImmoScout24.ch.</v>
      </c>
      <c r="J2427" s="4" t="s">
        <v>7277</v>
      </c>
    </row>
    <row r="2428">
      <c r="A2428" s="5" t="s">
        <v>7278</v>
      </c>
      <c r="B2428" s="2" t="s">
        <v>7279</v>
      </c>
      <c r="C2428" s="4" t="str">
        <f>IFERROR(__xludf.DUMMYFUNCTION("""🏘️ ""&amp;REGEXEXTRACT(B2428, ""^(.*): "")&amp;"" ✅ "" &amp;REGEXEXTRACT(B2428, ""(Trouvez.*)"")"),"🏘️ Louer appartement Chêne-Bougeries ✅ Trouvez le bien immobilier qui correspond idéalement à vos désirs sur ImmoScout24 - La plateforme de l'immobilier en Suisse.")</f>
        <v>🏘️ Louer appartement Chêne-Bougeries ✅ Trouvez le bien immobilier qui correspond idéalement à vos désirs sur ImmoScout24 - La plateforme de l'immobilier en Suisse.</v>
      </c>
      <c r="D2428" s="4" t="str">
        <f>vlookup(A2428, Sheet2!D:E, 2, 0)</f>
        <v>variant</v>
      </c>
      <c r="E2428" s="4" t="str">
        <f>IFERROR(__xludf.DUMMYFUNCTION("if(H2428=""pays"",vlookup(REGEXEXTRACT(C2428, ""🏘️ \w+ \w+ (.*) ✅""),'Country prepositions'!A:B, 2, 0) &amp; "" "" &amp; REGEXEXTRACT(C2428, ""🏘️ \w+ \w+ (.*) ✅"") ,  if(H2428=""quartier"",vlookup(REGEXEXTRACT(C2428, ""🏘️ \w+ \w+ (.*) ✅""),'Quartier prepositio"&amp;"ns'!A:E, 5, 0) ,  if(H2428=""region"",vlookup(REGEXEXTRACT(C2428, ""🏘️ \w+ \w+ (.*) ✅""),'Region prepositions'!B:F, 5, 0),  REGEXEXTRACT(C2428, ""🏘️ \w+ \w+ (.*) ✅""))))"),"Chêne-Bougeries")</f>
        <v>Chêne-Bougeries</v>
      </c>
      <c r="F2428" s="2" t="str">
        <f>IFERROR(__xludf.DUMMYFUNCTION("REGEXEXTRACT(C2428, ""🏘️ (\w+) \w+ .* ✅"")"),"Louer")</f>
        <v>Louer</v>
      </c>
      <c r="G2428" s="2" t="str">
        <f>IFERROR(__xludf.DUMMYFUNCTION("REGEXEXTRACT(C2428, ""🏘️ \w+ (\w+) .* ✅"")"),"appartement")</f>
        <v>appartement</v>
      </c>
      <c r="H2428" s="4" t="str">
        <f>IFERROR(__xludf.DUMMYFUNCTION("REGEXEXTRACT(A2428, ""/(\w+)-.*?"")"),"lieu")</f>
        <v>lieu</v>
      </c>
      <c r="I2428" s="4" t="str">
        <f>IFERROR(__xludf.DUMMYFUNCTION("if(D2428=""variant"",  substitute(filter(Templates!E:E, Templates!A:A = F2428, Templates!B:B = G2428, Templates!C:C = H2428), ""{{}}"", E2428), B2428)"),"🏘  Vous cherchez un appartement à louer à Chêne-Bougeries? ✅ Les annonces les plus actuelles sont sur ImmoScout24.ch.")</f>
        <v>🏘  Vous cherchez un appartement à louer à Chêne-Bougeries? ✅ Les annonces les plus actuelles sont sur ImmoScout24.ch.</v>
      </c>
      <c r="J2428" s="4" t="s">
        <v>7280</v>
      </c>
    </row>
    <row r="2429">
      <c r="A2429" s="5" t="s">
        <v>7281</v>
      </c>
      <c r="B2429" s="2" t="s">
        <v>7282</v>
      </c>
      <c r="C2429" s="4" t="str">
        <f>IFERROR(__xludf.DUMMYFUNCTION("""🏘️ ""&amp;REGEXEXTRACT(B2429, ""^(.*): "")&amp;"" ✅ "" &amp;REGEXEXTRACT(B2429, ""(Trouvez.*)"")"),"🏘️ Vendre appartement Venthône ✅ Trouvez le bien immobilier qui correspond idéalement à vos désirs sur ImmoScout24 - La plateforme de l'immobilier en Suisse.")</f>
        <v>🏘️ Vendre appartement Venthône ✅ Trouvez le bien immobilier qui correspond idéalement à vos désirs sur ImmoScout24 - La plateforme de l'immobilier en Suisse.</v>
      </c>
      <c r="D2429" s="4" t="str">
        <f>vlookup(A2429, Sheet2!D:E, 2, 0)</f>
        <v>variant</v>
      </c>
      <c r="E2429" s="4" t="str">
        <f>IFERROR(__xludf.DUMMYFUNCTION("if(H2429=""pays"",vlookup(REGEXEXTRACT(C2429, ""🏘️ \w+ \w+ (.*) ✅""),'Country prepositions'!A:B, 2, 0) &amp; "" "" &amp; REGEXEXTRACT(C2429, ""🏘️ \w+ \w+ (.*) ✅"") ,  if(H2429=""quartier"",vlookup(REGEXEXTRACT(C2429, ""🏘️ \w+ \w+ (.*) ✅""),'Quartier prepositio"&amp;"ns'!A:E, 5, 0) ,  if(H2429=""region"",vlookup(REGEXEXTRACT(C2429, ""🏘️ \w+ \w+ (.*) ✅""),'Region prepositions'!B:F, 5, 0),  REGEXEXTRACT(C2429, ""🏘️ \w+ \w+ (.*) ✅""))))"),"Venthône")</f>
        <v>Venthône</v>
      </c>
      <c r="F2429" s="2" t="str">
        <f>IFERROR(__xludf.DUMMYFUNCTION("REGEXEXTRACT(C2429, ""🏘️ (\w+) \w+ .* ✅"")"),"Vendre")</f>
        <v>Vendre</v>
      </c>
      <c r="G2429" s="2" t="str">
        <f>IFERROR(__xludf.DUMMYFUNCTION("REGEXEXTRACT(C2429, ""🏘️ \w+ (\w+) .* ✅"")"),"appartement")</f>
        <v>appartement</v>
      </c>
      <c r="H2429" s="4" t="str">
        <f>IFERROR(__xludf.DUMMYFUNCTION("REGEXEXTRACT(A2429, ""/(\w+)-.*?"")"),"lieu")</f>
        <v>lieu</v>
      </c>
      <c r="I2429" s="4" t="str">
        <f>IFERROR(__xludf.DUMMYFUNCTION("if(D2429=""variant"",  substitute(filter(Templates!E:E, Templates!A:A = F2429, Templates!B:B = G2429, Templates!C:C = H2429), ""{{}}"", E2429), B2429)"),"🏘  L’appartement de vos rêves se trouve sur ImmoScout24.ch ✅ Découvrez les dernières annonces de vente à Venthône.")</f>
        <v>🏘  L’appartement de vos rêves se trouve sur ImmoScout24.ch ✅ Découvrez les dernières annonces de vente à Venthône.</v>
      </c>
      <c r="J2429" s="4" t="s">
        <v>7283</v>
      </c>
    </row>
    <row r="2430">
      <c r="A2430" s="5" t="s">
        <v>7284</v>
      </c>
      <c r="B2430" s="2" t="s">
        <v>7285</v>
      </c>
      <c r="C2430" s="4" t="str">
        <f>IFERROR(__xludf.DUMMYFUNCTION("""🏘️ ""&amp;REGEXEXTRACT(B2430, ""^(.*): "")&amp;"" ✅ "" &amp;REGEXEXTRACT(B2430, ""(Trouvez.*)"")"),"🏘️ Vendre appartement Beatenberg ✅ Trouvez le bien immobilier qui correspond idéalement à vos désirs sur ImmoScout24 - La plateforme de l'immobilier en Suisse.")</f>
        <v>🏘️ Vendre appartement Beatenberg ✅ Trouvez le bien immobilier qui correspond idéalement à vos désirs sur ImmoScout24 - La plateforme de l'immobilier en Suisse.</v>
      </c>
      <c r="D2430" s="4" t="str">
        <f>vlookup(A2430, Sheet2!D:E, 2, 0)</f>
        <v>variant</v>
      </c>
      <c r="E2430" s="4" t="str">
        <f>IFERROR(__xludf.DUMMYFUNCTION("if(H2430=""pays"",vlookup(REGEXEXTRACT(C2430, ""🏘️ \w+ \w+ (.*) ✅""),'Country prepositions'!A:B, 2, 0) &amp; "" "" &amp; REGEXEXTRACT(C2430, ""🏘️ \w+ \w+ (.*) ✅"") ,  if(H2430=""quartier"",vlookup(REGEXEXTRACT(C2430, ""🏘️ \w+ \w+ (.*) ✅""),'Quartier prepositio"&amp;"ns'!A:E, 5, 0) ,  if(H2430=""region"",vlookup(REGEXEXTRACT(C2430, ""🏘️ \w+ \w+ (.*) ✅""),'Region prepositions'!B:F, 5, 0),  REGEXEXTRACT(C2430, ""🏘️ \w+ \w+ (.*) ✅""))))"),"Beatenberg")</f>
        <v>Beatenberg</v>
      </c>
      <c r="F2430" s="2" t="str">
        <f>IFERROR(__xludf.DUMMYFUNCTION("REGEXEXTRACT(C2430, ""🏘️ (\w+) \w+ .* ✅"")"),"Vendre")</f>
        <v>Vendre</v>
      </c>
      <c r="G2430" s="2" t="str">
        <f>IFERROR(__xludf.DUMMYFUNCTION("REGEXEXTRACT(C2430, ""🏘️ \w+ (\w+) .* ✅"")"),"appartement")</f>
        <v>appartement</v>
      </c>
      <c r="H2430" s="4" t="str">
        <f>IFERROR(__xludf.DUMMYFUNCTION("REGEXEXTRACT(A2430, ""/(\w+)-.*?"")"),"lieu")</f>
        <v>lieu</v>
      </c>
      <c r="I2430" s="4" t="str">
        <f>IFERROR(__xludf.DUMMYFUNCTION("if(D2430=""variant"",  substitute(filter(Templates!E:E, Templates!A:A = F2430, Templates!B:B = G2430, Templates!C:C = H2430), ""{{}}"", E2430), B2430)"),"🏘  L’appartement de vos rêves se trouve sur ImmoScout24.ch ✅ Découvrez les dernières annonces de vente à Beatenberg.")</f>
        <v>🏘  L’appartement de vos rêves se trouve sur ImmoScout24.ch ✅ Découvrez les dernières annonces de vente à Beatenberg.</v>
      </c>
      <c r="J2430" s="4" t="s">
        <v>7286</v>
      </c>
    </row>
    <row r="2431">
      <c r="A2431" s="5" t="s">
        <v>7287</v>
      </c>
      <c r="B2431" s="2" t="s">
        <v>7288</v>
      </c>
      <c r="C2431" s="4" t="str">
        <f>IFERROR(__xludf.DUMMYFUNCTION("""🏘️ ""&amp;REGEXEXTRACT(B2431, ""^(.*): "")&amp;"" ✅ "" &amp;REGEXEXTRACT(B2431, ""(Trouvez.*)"")"),"🏘️ Vendre appartement Lauterbrunnen ✅ Trouvez le bien immobilier qui correspond idéalement à vos désirs sur ImmoScout24 - La plateforme de l'immobilier en Suisse.")</f>
        <v>🏘️ Vendre appartement Lauterbrunnen ✅ Trouvez le bien immobilier qui correspond idéalement à vos désirs sur ImmoScout24 - La plateforme de l'immobilier en Suisse.</v>
      </c>
      <c r="D2431" s="4" t="str">
        <f>vlookup(A2431, Sheet2!D:E, 2, 0)</f>
        <v>variant</v>
      </c>
      <c r="E2431" s="4" t="str">
        <f>IFERROR(__xludf.DUMMYFUNCTION("if(H2431=""pays"",vlookup(REGEXEXTRACT(C2431, ""🏘️ \w+ \w+ (.*) ✅""),'Country prepositions'!A:B, 2, 0) &amp; "" "" &amp; REGEXEXTRACT(C2431, ""🏘️ \w+ \w+ (.*) ✅"") ,  if(H2431=""quartier"",vlookup(REGEXEXTRACT(C2431, ""🏘️ \w+ \w+ (.*) ✅""),'Quartier prepositio"&amp;"ns'!A:E, 5, 0) ,  if(H2431=""region"",vlookup(REGEXEXTRACT(C2431, ""🏘️ \w+ \w+ (.*) ✅""),'Region prepositions'!B:F, 5, 0),  REGEXEXTRACT(C2431, ""🏘️ \w+ \w+ (.*) ✅""))))"),"Lauterbrunnen")</f>
        <v>Lauterbrunnen</v>
      </c>
      <c r="F2431" s="2" t="str">
        <f>IFERROR(__xludf.DUMMYFUNCTION("REGEXEXTRACT(C2431, ""🏘️ (\w+) \w+ .* ✅"")"),"Vendre")</f>
        <v>Vendre</v>
      </c>
      <c r="G2431" s="2" t="str">
        <f>IFERROR(__xludf.DUMMYFUNCTION("REGEXEXTRACT(C2431, ""🏘️ \w+ (\w+) .* ✅"")"),"appartement")</f>
        <v>appartement</v>
      </c>
      <c r="H2431" s="4" t="str">
        <f>IFERROR(__xludf.DUMMYFUNCTION("REGEXEXTRACT(A2431, ""/(\w+)-.*?"")"),"lieu")</f>
        <v>lieu</v>
      </c>
      <c r="I2431" s="4" t="str">
        <f>IFERROR(__xludf.DUMMYFUNCTION("if(D2431=""variant"",  substitute(filter(Templates!E:E, Templates!A:A = F2431, Templates!B:B = G2431, Templates!C:C = H2431), ""{{}}"", E2431), B2431)"),"🏘  L’appartement de vos rêves se trouve sur ImmoScout24.ch ✅ Découvrez les dernières annonces de vente à Lauterbrunnen.")</f>
        <v>🏘  L’appartement de vos rêves se trouve sur ImmoScout24.ch ✅ Découvrez les dernières annonces de vente à Lauterbrunnen.</v>
      </c>
      <c r="J2431" s="4" t="s">
        <v>7289</v>
      </c>
    </row>
    <row r="2432">
      <c r="A2432" s="3" t="s">
        <v>7290</v>
      </c>
      <c r="B2432" s="2" t="s">
        <v>7291</v>
      </c>
      <c r="C2432" s="4" t="str">
        <f>IFERROR(__xludf.DUMMYFUNCTION("""🏘️ ""&amp;REGEXEXTRACT(B2432, ""^(.*): "")&amp;"" ✅ "" &amp;REGEXEXTRACT(B2432, ""(Trouvez.*)"")"),"🏘️ Vendre maison Canton de Vaud ✅ Trouvez le bien immobilier qui correspond idéalement à vos désirs sur ImmoScout24 - La plateforme de l'immobilier en Suisse.")</f>
        <v>🏘️ Vendre maison Canton de Vaud ✅ Trouvez le bien immobilier qui correspond idéalement à vos désirs sur ImmoScout24 - La plateforme de l'immobilier en Suisse.</v>
      </c>
      <c r="D2432" s="4" t="str">
        <f>vlookup(A2432, Sheet2!D:E, 2, 0)</f>
        <v>variant</v>
      </c>
      <c r="E2432" s="4" t="str">
        <f>IFERROR(__xludf.DUMMYFUNCTION("if(H2432=""pays"",vlookup(REGEXEXTRACT(C2432, ""🏘️ \w+ \w+ (.*) ✅""),'Country prepositions'!A:B, 2, 0) &amp; "" "" &amp; REGEXEXTRACT(C2432, ""🏘️ \w+ \w+ (.*) ✅"") ,  if(H2432=""quartier"",vlookup(REGEXEXTRACT(C2432, ""🏘️ \w+ \w+ (.*) ✅""),'Quartier prepositio"&amp;"ns'!A:E, 5, 0) ,  if(H2432=""region"",vlookup(REGEXEXTRACT(C2432, ""🏘️ \w+ \w+ (.*) ✅""),'Region prepositions'!B:F, 5, 0),  REGEXEXTRACT(C2432, ""🏘️ \w+ \w+ (.*) ✅""))))"),"Canton de Vaud")</f>
        <v>Canton de Vaud</v>
      </c>
      <c r="F2432" s="2" t="str">
        <f>IFERROR(__xludf.DUMMYFUNCTION("REGEXEXTRACT(C2432, ""🏘️ (\w+) \w+ .* ✅"")"),"Vendre")</f>
        <v>Vendre</v>
      </c>
      <c r="G2432" s="2" t="str">
        <f>IFERROR(__xludf.DUMMYFUNCTION("REGEXEXTRACT(C2432, ""🏘️ \w+ (\w+) .* ✅"")"),"maison")</f>
        <v>maison</v>
      </c>
      <c r="H2432" s="4" t="str">
        <f>IFERROR(__xludf.DUMMYFUNCTION("REGEXEXTRACT(A2432, ""/(\w+)-.*?"")"),"canton")</f>
        <v>canton</v>
      </c>
      <c r="I2432" s="4" t="str">
        <f>IFERROR(__xludf.DUMMYFUNCTION("if(D2432=""variant"",  substitute(filter(Templates!E:E, Templates!A:A = F2432, Templates!B:B = G2432, Templates!C:C = H2432), ""{{}}"", E2432), B2432)"),"🏘  Vous souhaitez acheter une maison dans le Canton de Vaud? ✅ Jetez un œil aux dernières offres sur ImmoScout24.ch.")</f>
        <v>🏘  Vous souhaitez acheter une maison dans le Canton de Vaud? ✅ Jetez un œil aux dernières offres sur ImmoScout24.ch.</v>
      </c>
      <c r="J2432" s="4" t="s">
        <v>7292</v>
      </c>
    </row>
    <row r="2433">
      <c r="A2433" s="5" t="s">
        <v>7293</v>
      </c>
      <c r="B2433" s="2" t="s">
        <v>7294</v>
      </c>
      <c r="C2433" s="4" t="str">
        <f>IFERROR(__xludf.DUMMYFUNCTION("""🏘️ ""&amp;REGEXEXTRACT(B2433, ""^(.*): "")&amp;"" ✅ "" &amp;REGEXEXTRACT(B2433, ""(Trouvez.*)"")"),"🏘️ Louer appartement Villars-Burquin ✅ Trouvez le bien immobilier qui correspond idéalement à vos désirs sur ImmoScout24 - La plateforme de l'immobilier en Suisse.")</f>
        <v>🏘️ Louer appartement Villars-Burquin ✅ Trouvez le bien immobilier qui correspond idéalement à vos désirs sur ImmoScout24 - La plateforme de l'immobilier en Suisse.</v>
      </c>
      <c r="D2433" s="4" t="str">
        <f>vlookup(A2433, Sheet2!D:E, 2, 0)</f>
        <v>variant</v>
      </c>
      <c r="E2433" s="4" t="str">
        <f>IFERROR(__xludf.DUMMYFUNCTION("if(H2433=""pays"",vlookup(REGEXEXTRACT(C2433, ""🏘️ \w+ \w+ (.*) ✅""),'Country prepositions'!A:B, 2, 0) &amp; "" "" &amp; REGEXEXTRACT(C2433, ""🏘️ \w+ \w+ (.*) ✅"") ,  if(H2433=""quartier"",vlookup(REGEXEXTRACT(C2433, ""🏘️ \w+ \w+ (.*) ✅""),'Quartier prepositio"&amp;"ns'!A:E, 5, 0) ,  if(H2433=""region"",vlookup(REGEXEXTRACT(C2433, ""🏘️ \w+ \w+ (.*) ✅""),'Region prepositions'!B:F, 5, 0),  REGEXEXTRACT(C2433, ""🏘️ \w+ \w+ (.*) ✅""))))"),"Villars-Burquin")</f>
        <v>Villars-Burquin</v>
      </c>
      <c r="F2433" s="2" t="str">
        <f>IFERROR(__xludf.DUMMYFUNCTION("REGEXEXTRACT(C2433, ""🏘️ (\w+) \w+ .* ✅"")"),"Louer")</f>
        <v>Louer</v>
      </c>
      <c r="G2433" s="2" t="str">
        <f>IFERROR(__xludf.DUMMYFUNCTION("REGEXEXTRACT(C2433, ""🏘️ \w+ (\w+) .* ✅"")"),"appartement")</f>
        <v>appartement</v>
      </c>
      <c r="H2433" s="4" t="str">
        <f>IFERROR(__xludf.DUMMYFUNCTION("REGEXEXTRACT(A2433, ""/(\w+)-.*?"")"),"lieu")</f>
        <v>lieu</v>
      </c>
      <c r="I2433" s="4" t="str">
        <f>IFERROR(__xludf.DUMMYFUNCTION("if(D2433=""variant"",  substitute(filter(Templates!E:E, Templates!A:A = F2433, Templates!B:B = G2433, Templates!C:C = H2433), ""{{}}"", E2433), B2433)"),"🏘  Vous cherchez un appartement à louer à Villars-Burquin? ✅ Les annonces les plus actuelles sont sur ImmoScout24.ch.")</f>
        <v>🏘  Vous cherchez un appartement à louer à Villars-Burquin? ✅ Les annonces les plus actuelles sont sur ImmoScout24.ch.</v>
      </c>
      <c r="J2433" s="4" t="s">
        <v>7295</v>
      </c>
    </row>
    <row r="2434">
      <c r="A2434" s="5" t="s">
        <v>7296</v>
      </c>
      <c r="B2434" s="2" t="s">
        <v>7297</v>
      </c>
      <c r="C2434" s="4" t="str">
        <f>IFERROR(__xludf.DUMMYFUNCTION("""🏘️ ""&amp;REGEXEXTRACT(B2434, ""^(.*): "")&amp;"" ✅ "" &amp;REGEXEXTRACT(B2434, ""(Trouvez.*)"")"),"🏘️ Louer appartement Nord (Neuchâtel) ✅ Trouvez le bien immobilier qui correspond idéalement à vos désirs sur ImmoScout24 - La plateforme de l'immobilier en Suisse.")</f>
        <v>🏘️ Louer appartement Nord (Neuchâtel) ✅ Trouvez le bien immobilier qui correspond idéalement à vos désirs sur ImmoScout24 - La plateforme de l'immobilier en Suisse.</v>
      </c>
      <c r="D2434" s="4" t="str">
        <f>vlookup(A2434, Sheet2!D:E, 2, 0)</f>
        <v>variant</v>
      </c>
      <c r="E2434" s="4" t="str">
        <f>IFERROR(__xludf.DUMMYFUNCTION("if(H2434=""pays"",vlookup(REGEXEXTRACT(C2434, ""🏘️ \w+ \w+ (.*) ✅""),'Country prepositions'!A:B, 2, 0) &amp; "" "" &amp; REGEXEXTRACT(C2434, ""🏘️ \w+ \w+ (.*) ✅"") ,  if(H2434=""quartier"",vlookup(REGEXEXTRACT(C2434, ""🏘️ \w+ \w+ (.*) ✅""),'Quartier prepositio"&amp;"ns'!A:E, 5, 0) ,  if(H2434=""region"",vlookup(REGEXEXTRACT(C2434, ""🏘️ \w+ \w+ (.*) ✅""),'Region prepositions'!B:F, 5, 0),  REGEXEXTRACT(C2434, ""🏘️ \w+ \w+ (.*) ✅""))))"),"dans le quartier Nord (Neuchâtel)")</f>
        <v>dans le quartier Nord (Neuchâtel)</v>
      </c>
      <c r="F2434" s="2" t="str">
        <f>IFERROR(__xludf.DUMMYFUNCTION("REGEXEXTRACT(C2434, ""🏘️ (\w+) \w+ .* ✅"")"),"Louer")</f>
        <v>Louer</v>
      </c>
      <c r="G2434" s="2" t="str">
        <f>IFERROR(__xludf.DUMMYFUNCTION("REGEXEXTRACT(C2434, ""🏘️ \w+ (\w+) .* ✅"")"),"appartement")</f>
        <v>appartement</v>
      </c>
      <c r="H2434" s="4" t="str">
        <f>IFERROR(__xludf.DUMMYFUNCTION("REGEXEXTRACT(A2434, ""/(\w+)-.*?"")"),"quartier")</f>
        <v>quartier</v>
      </c>
      <c r="I2434" s="4" t="str">
        <f>IFERROR(__xludf.DUMMYFUNCTION("if(D2434=""variant"",  substitute(filter(Templates!E:E, Templates!A:A = F2434, Templates!B:B = G2434, Templates!C:C = H2434), ""{{}}"", E2434), B2434)"),"🏘  Vous cherchez un appartement à louer dans le quartier Nord (Neuchâtel)? ✅ Les annonces les plus actuelles sont sur ImmoScout24.ch.")</f>
        <v>🏘  Vous cherchez un appartement à louer dans le quartier Nord (Neuchâtel)? ✅ Les annonces les plus actuelles sont sur ImmoScout24.ch.</v>
      </c>
      <c r="J2434" s="4" t="s">
        <v>7298</v>
      </c>
    </row>
    <row r="2435">
      <c r="A2435" s="5" t="s">
        <v>7299</v>
      </c>
      <c r="B2435" s="2" t="s">
        <v>7300</v>
      </c>
      <c r="C2435" s="4" t="str">
        <f>IFERROR(__xludf.DUMMYFUNCTION("""🏘️ ""&amp;REGEXEXTRACT(B2435, ""^(.*): "")&amp;"" ✅ "" &amp;REGEXEXTRACT(B2435, ""(Trouvez.*)"")"),"🏘️ Vendre appartement Muraz (Collombey) ✅ Trouvez le bien immobilier qui correspond idéalement à vos désirs sur ImmoScout24 - La plateforme de l'immobilier en Suisse.")</f>
        <v>🏘️ Vendre appartement Muraz (Collombey) ✅ Trouvez le bien immobilier qui correspond idéalement à vos désirs sur ImmoScout24 - La plateforme de l'immobilier en Suisse.</v>
      </c>
      <c r="D2435" s="4" t="str">
        <f>vlookup(A2435, Sheet2!D:E, 2, 0)</f>
        <v>variant</v>
      </c>
      <c r="E2435" s="4" t="str">
        <f>IFERROR(__xludf.DUMMYFUNCTION("if(H2435=""pays"",vlookup(REGEXEXTRACT(C2435, ""🏘️ \w+ \w+ (.*) ✅""),'Country prepositions'!A:B, 2, 0) &amp; "" "" &amp; REGEXEXTRACT(C2435, ""🏘️ \w+ \w+ (.*) ✅"") ,  if(H2435=""quartier"",vlookup(REGEXEXTRACT(C2435, ""🏘️ \w+ \w+ (.*) ✅""),'Quartier prepositio"&amp;"ns'!A:E, 5, 0) ,  if(H2435=""region"",vlookup(REGEXEXTRACT(C2435, ""🏘️ \w+ \w+ (.*) ✅""),'Region prepositions'!B:F, 5, 0),  REGEXEXTRACT(C2435, ""🏘️ \w+ \w+ (.*) ✅""))))"),"Muraz (Collombey)")</f>
        <v>Muraz (Collombey)</v>
      </c>
      <c r="F2435" s="2" t="str">
        <f>IFERROR(__xludf.DUMMYFUNCTION("REGEXEXTRACT(C2435, ""🏘️ (\w+) \w+ .* ✅"")"),"Vendre")</f>
        <v>Vendre</v>
      </c>
      <c r="G2435" s="2" t="str">
        <f>IFERROR(__xludf.DUMMYFUNCTION("REGEXEXTRACT(C2435, ""🏘️ \w+ (\w+) .* ✅"")"),"appartement")</f>
        <v>appartement</v>
      </c>
      <c r="H2435" s="4" t="str">
        <f>IFERROR(__xludf.DUMMYFUNCTION("REGEXEXTRACT(A2435, ""/(\w+)-.*?"")"),"lieu")</f>
        <v>lieu</v>
      </c>
      <c r="I2435" s="4" t="str">
        <f>IFERROR(__xludf.DUMMYFUNCTION("if(D2435=""variant"",  substitute(filter(Templates!E:E, Templates!A:A = F2435, Templates!B:B = G2435, Templates!C:C = H2435), ""{{}}"", E2435), B2435)"),"🏘  L’appartement de vos rêves se trouve sur ImmoScout24.ch ✅ Découvrez les dernières annonces de vente à Muraz (Collombey).")</f>
        <v>🏘  L’appartement de vos rêves se trouve sur ImmoScout24.ch ✅ Découvrez les dernières annonces de vente à Muraz (Collombey).</v>
      </c>
      <c r="J2435" s="4" t="s">
        <v>7301</v>
      </c>
    </row>
    <row r="2436">
      <c r="A2436" s="5" t="s">
        <v>7302</v>
      </c>
      <c r="B2436" s="2" t="s">
        <v>7303</v>
      </c>
      <c r="C2436" s="4" t="str">
        <f>IFERROR(__xludf.DUMMYFUNCTION("""🏘️ ""&amp;REGEXEXTRACT(B2436, ""^(.*): "")&amp;"" ✅ "" &amp;REGEXEXTRACT(B2436, ""(Trouvez.*)"")"),"🏘️ Louer maison Caslano ✅ Trouvez le bien immobilier qui correspond idéalement à vos désirs sur ImmoScout24 - La plateforme de l'immobilier en Suisse.")</f>
        <v>🏘️ Louer maison Caslano ✅ Trouvez le bien immobilier qui correspond idéalement à vos désirs sur ImmoScout24 - La plateforme de l'immobilier en Suisse.</v>
      </c>
      <c r="D2436" s="4" t="str">
        <f>vlookup(A2436, Sheet2!D:E, 2, 0)</f>
        <v>variant</v>
      </c>
      <c r="E2436" s="4" t="str">
        <f>IFERROR(__xludf.DUMMYFUNCTION("if(H2436=""pays"",vlookup(REGEXEXTRACT(C2436, ""🏘️ \w+ \w+ (.*) ✅""),'Country prepositions'!A:B, 2, 0) &amp; "" "" &amp; REGEXEXTRACT(C2436, ""🏘️ \w+ \w+ (.*) ✅"") ,  if(H2436=""quartier"",vlookup(REGEXEXTRACT(C2436, ""🏘️ \w+ \w+ (.*) ✅""),'Quartier prepositio"&amp;"ns'!A:E, 5, 0) ,  if(H2436=""region"",vlookup(REGEXEXTRACT(C2436, ""🏘️ \w+ \w+ (.*) ✅""),'Region prepositions'!B:F, 5, 0),  REGEXEXTRACT(C2436, ""🏘️ \w+ \w+ (.*) ✅""))))"),"Caslano")</f>
        <v>Caslano</v>
      </c>
      <c r="F2436" s="2" t="str">
        <f>IFERROR(__xludf.DUMMYFUNCTION("REGEXEXTRACT(C2436, ""🏘️ (\w+) \w+ .* ✅"")"),"Louer")</f>
        <v>Louer</v>
      </c>
      <c r="G2436" s="2" t="str">
        <f>IFERROR(__xludf.DUMMYFUNCTION("REGEXEXTRACT(C2436, ""🏘️ \w+ (\w+) .* ✅"")"),"maison")</f>
        <v>maison</v>
      </c>
      <c r="H2436" s="4" t="str">
        <f>IFERROR(__xludf.DUMMYFUNCTION("REGEXEXTRACT(A2436, ""/(\w+)-.*?"")"),"lieu")</f>
        <v>lieu</v>
      </c>
      <c r="I2436" s="4" t="str">
        <f>IFERROR(__xludf.DUMMYFUNCTION("if(D2436=""variant"",  substitute(filter(Templates!E:E, Templates!A:A = F2436, Templates!B:B = G2436, Templates!C:C = H2436), ""{{}}"", E2436), B2436)"),"🏘  Vous cherchez une maison à louer à Caslano? ✅ Découvrez nos nombreuses annonces sur ImmoScout24.ch.")</f>
        <v>🏘  Vous cherchez une maison à louer à Caslano? ✅ Découvrez nos nombreuses annonces sur ImmoScout24.ch.</v>
      </c>
      <c r="J2436" s="4" t="s">
        <v>7304</v>
      </c>
    </row>
    <row r="2437">
      <c r="A2437" s="5" t="s">
        <v>7305</v>
      </c>
      <c r="B2437" s="2" t="s">
        <v>7306</v>
      </c>
      <c r="C2437" s="4" t="str">
        <f>IFERROR(__xludf.DUMMYFUNCTION("""🏘️ ""&amp;REGEXEXTRACT(B2437, ""^(.*): "")&amp;"" ✅ "" &amp;REGEXEXTRACT(B2437, ""(Trouvez.*)"")"),"🏘️ Louer appartement Kandersteg ✅ Trouvez le bien immobilier qui correspond idéalement à vos désirs sur ImmoScout24 - La plateforme de l'immobilier en Suisse.")</f>
        <v>🏘️ Louer appartement Kandersteg ✅ Trouvez le bien immobilier qui correspond idéalement à vos désirs sur ImmoScout24 - La plateforme de l'immobilier en Suisse.</v>
      </c>
      <c r="D2437" s="4" t="str">
        <f>vlookup(A2437, Sheet2!D:E, 2, 0)</f>
        <v>variant</v>
      </c>
      <c r="E2437" s="4" t="str">
        <f>IFERROR(__xludf.DUMMYFUNCTION("if(H2437=""pays"",vlookup(REGEXEXTRACT(C2437, ""🏘️ \w+ \w+ (.*) ✅""),'Country prepositions'!A:B, 2, 0) &amp; "" "" &amp; REGEXEXTRACT(C2437, ""🏘️ \w+ \w+ (.*) ✅"") ,  if(H2437=""quartier"",vlookup(REGEXEXTRACT(C2437, ""🏘️ \w+ \w+ (.*) ✅""),'Quartier prepositio"&amp;"ns'!A:E, 5, 0) ,  if(H2437=""region"",vlookup(REGEXEXTRACT(C2437, ""🏘️ \w+ \w+ (.*) ✅""),'Region prepositions'!B:F, 5, 0),  REGEXEXTRACT(C2437, ""🏘️ \w+ \w+ (.*) ✅""))))"),"Kandersteg")</f>
        <v>Kandersteg</v>
      </c>
      <c r="F2437" s="2" t="str">
        <f>IFERROR(__xludf.DUMMYFUNCTION("REGEXEXTRACT(C2437, ""🏘️ (\w+) \w+ .* ✅"")"),"Louer")</f>
        <v>Louer</v>
      </c>
      <c r="G2437" s="2" t="str">
        <f>IFERROR(__xludf.DUMMYFUNCTION("REGEXEXTRACT(C2437, ""🏘️ \w+ (\w+) .* ✅"")"),"appartement")</f>
        <v>appartement</v>
      </c>
      <c r="H2437" s="4" t="str">
        <f>IFERROR(__xludf.DUMMYFUNCTION("REGEXEXTRACT(A2437, ""/(\w+)-.*?"")"),"lieu")</f>
        <v>lieu</v>
      </c>
      <c r="I2437" s="4" t="str">
        <f>IFERROR(__xludf.DUMMYFUNCTION("if(D2437=""variant"",  substitute(filter(Templates!E:E, Templates!A:A = F2437, Templates!B:B = G2437, Templates!C:C = H2437), ""{{}}"", E2437), B2437)"),"🏘  Vous cherchez un appartement à louer à Kandersteg? ✅ Les annonces les plus actuelles sont sur ImmoScout24.ch.")</f>
        <v>🏘  Vous cherchez un appartement à louer à Kandersteg? ✅ Les annonces les plus actuelles sont sur ImmoScout24.ch.</v>
      </c>
      <c r="J2437" s="4" t="s">
        <v>7307</v>
      </c>
    </row>
    <row r="2438">
      <c r="A2438" s="5" t="s">
        <v>7308</v>
      </c>
      <c r="B2438" s="2" t="s">
        <v>7309</v>
      </c>
      <c r="C2438" s="4" t="str">
        <f>IFERROR(__xludf.DUMMYFUNCTION("""🏘️ ""&amp;REGEXEXTRACT(B2438, ""^(.*): "")&amp;"" ✅ "" &amp;REGEXEXTRACT(B2438, ""(Trouvez.*)"")"),"🏘️ Louer appartement Mollens VD ✅ Trouvez le bien immobilier qui correspond idéalement à vos désirs sur ImmoScout24 - La plateforme de l'immobilier en Suisse.")</f>
        <v>🏘️ Louer appartement Mollens VD ✅ Trouvez le bien immobilier qui correspond idéalement à vos désirs sur ImmoScout24 - La plateforme de l'immobilier en Suisse.</v>
      </c>
      <c r="D2438" s="4" t="str">
        <f>vlookup(A2438, Sheet2!D:E, 2, 0)</f>
        <v>variant</v>
      </c>
      <c r="E2438" s="4" t="str">
        <f>IFERROR(__xludf.DUMMYFUNCTION("if(H2438=""pays"",vlookup(REGEXEXTRACT(C2438, ""🏘️ \w+ \w+ (.*) ✅""),'Country prepositions'!A:B, 2, 0) &amp; "" "" &amp; REGEXEXTRACT(C2438, ""🏘️ \w+ \w+ (.*) ✅"") ,  if(H2438=""quartier"",vlookup(REGEXEXTRACT(C2438, ""🏘️ \w+ \w+ (.*) ✅""),'Quartier prepositio"&amp;"ns'!A:E, 5, 0) ,  if(H2438=""region"",vlookup(REGEXEXTRACT(C2438, ""🏘️ \w+ \w+ (.*) ✅""),'Region prepositions'!B:F, 5, 0),  REGEXEXTRACT(C2438, ""🏘️ \w+ \w+ (.*) ✅""))))"),"Mollens VD")</f>
        <v>Mollens VD</v>
      </c>
      <c r="F2438" s="2" t="str">
        <f>IFERROR(__xludf.DUMMYFUNCTION("REGEXEXTRACT(C2438, ""🏘️ (\w+) \w+ .* ✅"")"),"Louer")</f>
        <v>Louer</v>
      </c>
      <c r="G2438" s="2" t="str">
        <f>IFERROR(__xludf.DUMMYFUNCTION("REGEXEXTRACT(C2438, ""🏘️ \w+ (\w+) .* ✅"")"),"appartement")</f>
        <v>appartement</v>
      </c>
      <c r="H2438" s="4" t="str">
        <f>IFERROR(__xludf.DUMMYFUNCTION("REGEXEXTRACT(A2438, ""/(\w+)-.*?"")"),"lieu")</f>
        <v>lieu</v>
      </c>
      <c r="I2438" s="4" t="str">
        <f>IFERROR(__xludf.DUMMYFUNCTION("if(D2438=""variant"",  substitute(filter(Templates!E:E, Templates!A:A = F2438, Templates!B:B = G2438, Templates!C:C = H2438), ""{{}}"", E2438), B2438)"),"🏘  Vous cherchez un appartement à louer à Mollens VD? ✅ Les annonces les plus actuelles sont sur ImmoScout24.ch.")</f>
        <v>🏘  Vous cherchez un appartement à louer à Mollens VD? ✅ Les annonces les plus actuelles sont sur ImmoScout24.ch.</v>
      </c>
      <c r="J2438" s="4" t="s">
        <v>7310</v>
      </c>
    </row>
    <row r="2439">
      <c r="A2439" s="5" t="s">
        <v>7311</v>
      </c>
      <c r="B2439" s="2" t="s">
        <v>7312</v>
      </c>
      <c r="C2439" s="4" t="str">
        <f>IFERROR(__xludf.DUMMYFUNCTION("""🏘️ ""&amp;REGEXEXTRACT(B2439, ""^(.*): "")&amp;"" ✅ "" &amp;REGEXEXTRACT(B2439, ""(Trouvez.*)"")"),"🏘️ Louer maison Plan-les-Ouates ✅ Trouvez le bien immobilier qui correspond idéalement à vos désirs sur ImmoScout24 - La plateforme de l'immobilier en Suisse.")</f>
        <v>🏘️ Louer maison Plan-les-Ouates ✅ Trouvez le bien immobilier qui correspond idéalement à vos désirs sur ImmoScout24 - La plateforme de l'immobilier en Suisse.</v>
      </c>
      <c r="D2439" s="4" t="str">
        <f>vlookup(A2439, Sheet2!D:E, 2, 0)</f>
        <v>variant</v>
      </c>
      <c r="E2439" s="4" t="str">
        <f>IFERROR(__xludf.DUMMYFUNCTION("if(H2439=""pays"",vlookup(REGEXEXTRACT(C2439, ""🏘️ \w+ \w+ (.*) ✅""),'Country prepositions'!A:B, 2, 0) &amp; "" "" &amp; REGEXEXTRACT(C2439, ""🏘️ \w+ \w+ (.*) ✅"") ,  if(H2439=""quartier"",vlookup(REGEXEXTRACT(C2439, ""🏘️ \w+ \w+ (.*) ✅""),'Quartier prepositio"&amp;"ns'!A:E, 5, 0) ,  if(H2439=""region"",vlookup(REGEXEXTRACT(C2439, ""🏘️ \w+ \w+ (.*) ✅""),'Region prepositions'!B:F, 5, 0),  REGEXEXTRACT(C2439, ""🏘️ \w+ \w+ (.*) ✅""))))"),"Plan-les-Ouates")</f>
        <v>Plan-les-Ouates</v>
      </c>
      <c r="F2439" s="2" t="str">
        <f>IFERROR(__xludf.DUMMYFUNCTION("REGEXEXTRACT(C2439, ""🏘️ (\w+) \w+ .* ✅"")"),"Louer")</f>
        <v>Louer</v>
      </c>
      <c r="G2439" s="2" t="str">
        <f>IFERROR(__xludf.DUMMYFUNCTION("REGEXEXTRACT(C2439, ""🏘️ \w+ (\w+) .* ✅"")"),"maison")</f>
        <v>maison</v>
      </c>
      <c r="H2439" s="4" t="str">
        <f>IFERROR(__xludf.DUMMYFUNCTION("REGEXEXTRACT(A2439, ""/(\w+)-.*?"")"),"lieu")</f>
        <v>lieu</v>
      </c>
      <c r="I2439" s="4" t="str">
        <f>IFERROR(__xludf.DUMMYFUNCTION("if(D2439=""variant"",  substitute(filter(Templates!E:E, Templates!A:A = F2439, Templates!B:B = G2439, Templates!C:C = H2439), ""{{}}"", E2439), B2439)"),"🏘  Vous cherchez une maison à louer à Plan-les-Ouates? ✅ Découvrez nos nombreuses annonces sur ImmoScout24.ch.")</f>
        <v>🏘  Vous cherchez une maison à louer à Plan-les-Ouates? ✅ Découvrez nos nombreuses annonces sur ImmoScout24.ch.</v>
      </c>
      <c r="J2439" s="4" t="s">
        <v>7313</v>
      </c>
    </row>
    <row r="2440">
      <c r="A2440" s="5" t="s">
        <v>7314</v>
      </c>
      <c r="B2440" s="2" t="s">
        <v>7315</v>
      </c>
      <c r="C2440" s="4" t="str">
        <f>IFERROR(__xludf.DUMMYFUNCTION("""🏘️ ""&amp;REGEXEXTRACT(B2440, ""^(.*): "")&amp;"" ✅ "" &amp;REGEXEXTRACT(B2440, ""(Trouvez.*)"")"),"🏘️ Vendre maison Gressy ✅ Trouvez le bien immobilier qui correspond idéalement à vos désirs sur ImmoScout24 - La plateforme de l'immobilier en Suisse.")</f>
        <v>🏘️ Vendre maison Gressy ✅ Trouvez le bien immobilier qui correspond idéalement à vos désirs sur ImmoScout24 - La plateforme de l'immobilier en Suisse.</v>
      </c>
      <c r="D2440" s="4" t="str">
        <f>vlookup(A2440, Sheet2!D:E, 2, 0)</f>
        <v>variant</v>
      </c>
      <c r="E2440" s="4" t="str">
        <f>IFERROR(__xludf.DUMMYFUNCTION("if(H2440=""pays"",vlookup(REGEXEXTRACT(C2440, ""🏘️ \w+ \w+ (.*) ✅""),'Country prepositions'!A:B, 2, 0) &amp; "" "" &amp; REGEXEXTRACT(C2440, ""🏘️ \w+ \w+ (.*) ✅"") ,  if(H2440=""quartier"",vlookup(REGEXEXTRACT(C2440, ""🏘️ \w+ \w+ (.*) ✅""),'Quartier prepositio"&amp;"ns'!A:E, 5, 0) ,  if(H2440=""region"",vlookup(REGEXEXTRACT(C2440, ""🏘️ \w+ \w+ (.*) ✅""),'Region prepositions'!B:F, 5, 0),  REGEXEXTRACT(C2440, ""🏘️ \w+ \w+ (.*) ✅""))))"),"Gressy")</f>
        <v>Gressy</v>
      </c>
      <c r="F2440" s="2" t="str">
        <f>IFERROR(__xludf.DUMMYFUNCTION("REGEXEXTRACT(C2440, ""🏘️ (\w+) \w+ .* ✅"")"),"Vendre")</f>
        <v>Vendre</v>
      </c>
      <c r="G2440" s="2" t="str">
        <f>IFERROR(__xludf.DUMMYFUNCTION("REGEXEXTRACT(C2440, ""🏘️ \w+ (\w+) .* ✅"")"),"maison")</f>
        <v>maison</v>
      </c>
      <c r="H2440" s="4" t="str">
        <f>IFERROR(__xludf.DUMMYFUNCTION("REGEXEXTRACT(A2440, ""/(\w+)-.*?"")"),"lieu")</f>
        <v>lieu</v>
      </c>
      <c r="I2440" s="4" t="str">
        <f>IFERROR(__xludf.DUMMYFUNCTION("if(D2440=""variant"",  substitute(filter(Templates!E:E, Templates!A:A = F2440, Templates!B:B = G2440, Templates!C:C = H2440), ""{{}}"", E2440), B2440)"),"🏘  Vous souhaitez acheter une maison à Gressy? ✅ Jetez un œil aux dernières offres sur ImmoScout24.ch.")</f>
        <v>🏘  Vous souhaitez acheter une maison à Gressy? ✅ Jetez un œil aux dernières offres sur ImmoScout24.ch.</v>
      </c>
      <c r="J2440" s="4" t="s">
        <v>7316</v>
      </c>
    </row>
    <row r="2441">
      <c r="A2441" s="5" t="s">
        <v>7317</v>
      </c>
      <c r="B2441" s="2" t="s">
        <v>7318</v>
      </c>
      <c r="C2441" s="4" t="str">
        <f>IFERROR(__xludf.DUMMYFUNCTION("""🏘️ ""&amp;REGEXEXTRACT(B2441, ""^(.*): "")&amp;"" ✅ "" &amp;REGEXEXTRACT(B2441, ""(Trouvez.*)"")"),"🏘️ Louer appartement Lausanne 26 ✅ Trouvez le bien immobilier qui correspond idéalement à vos désirs sur ImmoScout24 - La plateforme de l'immobilier en Suisse.")</f>
        <v>🏘️ Louer appartement Lausanne 26 ✅ Trouvez le bien immobilier qui correspond idéalement à vos désirs sur ImmoScout24 - La plateforme de l'immobilier en Suisse.</v>
      </c>
      <c r="D2441" s="4" t="str">
        <f>vlookup(A2441, Sheet2!D:E, 2, 0)</f>
        <v>variant</v>
      </c>
      <c r="E2441" s="4" t="str">
        <f>IFERROR(__xludf.DUMMYFUNCTION("if(H2441=""pays"",vlookup(REGEXEXTRACT(C2441, ""🏘️ \w+ \w+ (.*) ✅""),'Country prepositions'!A:B, 2, 0) &amp; "" "" &amp; REGEXEXTRACT(C2441, ""🏘️ \w+ \w+ (.*) ✅"") ,  if(H2441=""quartier"",vlookup(REGEXEXTRACT(C2441, ""🏘️ \w+ \w+ (.*) ✅""),'Quartier prepositio"&amp;"ns'!A:E, 5, 0) ,  if(H2441=""region"",vlookup(REGEXEXTRACT(C2441, ""🏘️ \w+ \w+ (.*) ✅""),'Region prepositions'!B:F, 5, 0),  REGEXEXTRACT(C2441, ""🏘️ \w+ \w+ (.*) ✅""))))"),"Lausanne 26")</f>
        <v>Lausanne 26</v>
      </c>
      <c r="F2441" s="2" t="str">
        <f>IFERROR(__xludf.DUMMYFUNCTION("REGEXEXTRACT(C2441, ""🏘️ (\w+) \w+ .* ✅"")"),"Louer")</f>
        <v>Louer</v>
      </c>
      <c r="G2441" s="2" t="str">
        <f>IFERROR(__xludf.DUMMYFUNCTION("REGEXEXTRACT(C2441, ""🏘️ \w+ (\w+) .* ✅"")"),"appartement")</f>
        <v>appartement</v>
      </c>
      <c r="H2441" s="4" t="str">
        <f>IFERROR(__xludf.DUMMYFUNCTION("REGEXEXTRACT(A2441, ""/(\w+)-.*?"")"),"lieu")</f>
        <v>lieu</v>
      </c>
      <c r="I2441" s="4" t="str">
        <f>IFERROR(__xludf.DUMMYFUNCTION("if(D2441=""variant"",  substitute(filter(Templates!E:E, Templates!A:A = F2441, Templates!B:B = G2441, Templates!C:C = H2441), ""{{}}"", E2441), B2441)"),"🏘  Vous cherchez un appartement à louer à Lausanne 26? ✅ Les annonces les plus actuelles sont sur ImmoScout24.ch.")</f>
        <v>🏘  Vous cherchez un appartement à louer à Lausanne 26? ✅ Les annonces les plus actuelles sont sur ImmoScout24.ch.</v>
      </c>
      <c r="J2441" s="4" t="s">
        <v>7319</v>
      </c>
    </row>
    <row r="2442">
      <c r="A2442" s="5" t="s">
        <v>7320</v>
      </c>
      <c r="B2442" s="2" t="s">
        <v>7321</v>
      </c>
      <c r="C2442" s="4" t="str">
        <f>IFERROR(__xludf.DUMMYFUNCTION("""🏘️ ""&amp;REGEXEXTRACT(B2442, ""^(.*): "")&amp;"" ✅ "" &amp;REGEXEXTRACT(B2442, ""(Trouvez.*)"")"),"🏘️ Louer appartement Wasen im Emmental ✅ Trouvez le bien immobilier qui correspond idéalement à vos désirs sur ImmoScout24 - La plateforme de l'immobilier en Suisse.")</f>
        <v>🏘️ Louer appartement Wasen im Emmental ✅ Trouvez le bien immobilier qui correspond idéalement à vos désirs sur ImmoScout24 - La plateforme de l'immobilier en Suisse.</v>
      </c>
      <c r="D2442" s="4" t="str">
        <f>vlookup(A2442, Sheet2!D:E, 2, 0)</f>
        <v>variant</v>
      </c>
      <c r="E2442" s="4" t="str">
        <f>IFERROR(__xludf.DUMMYFUNCTION("if(H2442=""pays"",vlookup(REGEXEXTRACT(C2442, ""🏘️ \w+ \w+ (.*) ✅""),'Country prepositions'!A:B, 2, 0) &amp; "" "" &amp; REGEXEXTRACT(C2442, ""🏘️ \w+ \w+ (.*) ✅"") ,  if(H2442=""quartier"",vlookup(REGEXEXTRACT(C2442, ""🏘️ \w+ \w+ (.*) ✅""),'Quartier prepositio"&amp;"ns'!A:E, 5, 0) ,  if(H2442=""region"",vlookup(REGEXEXTRACT(C2442, ""🏘️ \w+ \w+ (.*) ✅""),'Region prepositions'!B:F, 5, 0),  REGEXEXTRACT(C2442, ""🏘️ \w+ \w+ (.*) ✅""))))"),"Wasen im Emmental")</f>
        <v>Wasen im Emmental</v>
      </c>
      <c r="F2442" s="2" t="str">
        <f>IFERROR(__xludf.DUMMYFUNCTION("REGEXEXTRACT(C2442, ""🏘️ (\w+) \w+ .* ✅"")"),"Louer")</f>
        <v>Louer</v>
      </c>
      <c r="G2442" s="2" t="str">
        <f>IFERROR(__xludf.DUMMYFUNCTION("REGEXEXTRACT(C2442, ""🏘️ \w+ (\w+) .* ✅"")"),"appartement")</f>
        <v>appartement</v>
      </c>
      <c r="H2442" s="4" t="str">
        <f>IFERROR(__xludf.DUMMYFUNCTION("REGEXEXTRACT(A2442, ""/(\w+)-.*?"")"),"lieu")</f>
        <v>lieu</v>
      </c>
      <c r="I2442" s="4" t="str">
        <f>IFERROR(__xludf.DUMMYFUNCTION("if(D2442=""variant"",  substitute(filter(Templates!E:E, Templates!A:A = F2442, Templates!B:B = G2442, Templates!C:C = H2442), ""{{}}"", E2442), B2442)"),"🏘  Vous cherchez un appartement à louer à Wasen im Emmental? ✅ Les annonces les plus actuelles sont sur ImmoScout24.ch.")</f>
        <v>🏘  Vous cherchez un appartement à louer à Wasen im Emmental? ✅ Les annonces les plus actuelles sont sur ImmoScout24.ch.</v>
      </c>
      <c r="J2442" s="4" t="s">
        <v>7322</v>
      </c>
    </row>
    <row r="2443">
      <c r="A2443" s="5" t="s">
        <v>7323</v>
      </c>
      <c r="B2443" s="2" t="s">
        <v>7324</v>
      </c>
      <c r="C2443" s="4" t="str">
        <f>IFERROR(__xludf.DUMMYFUNCTION("""🏘️ ""&amp;REGEXEXTRACT(B2443, ""^(.*): "")&amp;"" ✅ "" &amp;REGEXEXTRACT(B2443, ""(Trouvez.*)"")"),"🏘️ Louer maison Orpund ✅ Trouvez le bien immobilier qui correspond idéalement à vos désirs sur ImmoScout24 - La plateforme de l'immobilier en Suisse.")</f>
        <v>🏘️ Louer maison Orpund ✅ Trouvez le bien immobilier qui correspond idéalement à vos désirs sur ImmoScout24 - La plateforme de l'immobilier en Suisse.</v>
      </c>
      <c r="D2443" s="4" t="str">
        <f>vlookup(A2443, Sheet2!D:E, 2, 0)</f>
        <v>variant</v>
      </c>
      <c r="E2443" s="4" t="str">
        <f>IFERROR(__xludf.DUMMYFUNCTION("if(H2443=""pays"",vlookup(REGEXEXTRACT(C2443, ""🏘️ \w+ \w+ (.*) ✅""),'Country prepositions'!A:B, 2, 0) &amp; "" "" &amp; REGEXEXTRACT(C2443, ""🏘️ \w+ \w+ (.*) ✅"") ,  if(H2443=""quartier"",vlookup(REGEXEXTRACT(C2443, ""🏘️ \w+ \w+ (.*) ✅""),'Quartier prepositio"&amp;"ns'!A:E, 5, 0) ,  if(H2443=""region"",vlookup(REGEXEXTRACT(C2443, ""🏘️ \w+ \w+ (.*) ✅""),'Region prepositions'!B:F, 5, 0),  REGEXEXTRACT(C2443, ""🏘️ \w+ \w+ (.*) ✅""))))"),"Orpund")</f>
        <v>Orpund</v>
      </c>
      <c r="F2443" s="2" t="str">
        <f>IFERROR(__xludf.DUMMYFUNCTION("REGEXEXTRACT(C2443, ""🏘️ (\w+) \w+ .* ✅"")"),"Louer")</f>
        <v>Louer</v>
      </c>
      <c r="G2443" s="2" t="str">
        <f>IFERROR(__xludf.DUMMYFUNCTION("REGEXEXTRACT(C2443, ""🏘️ \w+ (\w+) .* ✅"")"),"maison")</f>
        <v>maison</v>
      </c>
      <c r="H2443" s="4" t="str">
        <f>IFERROR(__xludf.DUMMYFUNCTION("REGEXEXTRACT(A2443, ""/(\w+)-.*?"")"),"lieu")</f>
        <v>lieu</v>
      </c>
      <c r="I2443" s="4" t="str">
        <f>IFERROR(__xludf.DUMMYFUNCTION("if(D2443=""variant"",  substitute(filter(Templates!E:E, Templates!A:A = F2443, Templates!B:B = G2443, Templates!C:C = H2443), ""{{}}"", E2443), B2443)"),"🏘  Vous cherchez une maison à louer à Orpund? ✅ Découvrez nos nombreuses annonces sur ImmoScout24.ch.")</f>
        <v>🏘  Vous cherchez une maison à louer à Orpund? ✅ Découvrez nos nombreuses annonces sur ImmoScout24.ch.</v>
      </c>
      <c r="J2443" s="4" t="s">
        <v>7325</v>
      </c>
    </row>
    <row r="2444">
      <c r="A2444" s="5" t="s">
        <v>7326</v>
      </c>
      <c r="B2444" s="2" t="s">
        <v>7327</v>
      </c>
      <c r="C2444" s="4" t="str">
        <f>IFERROR(__xludf.DUMMYFUNCTION("""🏘️ ""&amp;REGEXEXTRACT(B2444, ""^(.*): "")&amp;"" ✅ "" &amp;REGEXEXTRACT(B2444, ""(Trouvez.*)"")"),"🏘️ Vendre maison Les Ecasseys ✅ Trouvez le bien immobilier qui correspond idéalement à vos désirs sur ImmoScout24 - La plateforme de l'immobilier en Suisse.")</f>
        <v>🏘️ Vendre maison Les Ecasseys ✅ Trouvez le bien immobilier qui correspond idéalement à vos désirs sur ImmoScout24 - La plateforme de l'immobilier en Suisse.</v>
      </c>
      <c r="D2444" s="4" t="str">
        <f>vlookup(A2444, Sheet2!D:E, 2, 0)</f>
        <v>variant</v>
      </c>
      <c r="E2444" s="4" t="str">
        <f>IFERROR(__xludf.DUMMYFUNCTION("if(H2444=""pays"",vlookup(REGEXEXTRACT(C2444, ""🏘️ \w+ \w+ (.*) ✅""),'Country prepositions'!A:B, 2, 0) &amp; "" "" &amp; REGEXEXTRACT(C2444, ""🏘️ \w+ \w+ (.*) ✅"") ,  if(H2444=""quartier"",vlookup(REGEXEXTRACT(C2444, ""🏘️ \w+ \w+ (.*) ✅""),'Quartier prepositio"&amp;"ns'!A:E, 5, 0) ,  if(H2444=""region"",vlookup(REGEXEXTRACT(C2444, ""🏘️ \w+ \w+ (.*) ✅""),'Region prepositions'!B:F, 5, 0),  REGEXEXTRACT(C2444, ""🏘️ \w+ \w+ (.*) ✅""))))"),"Les Ecasseys")</f>
        <v>Les Ecasseys</v>
      </c>
      <c r="F2444" s="2" t="str">
        <f>IFERROR(__xludf.DUMMYFUNCTION("REGEXEXTRACT(C2444, ""🏘️ (\w+) \w+ .* ✅"")"),"Vendre")</f>
        <v>Vendre</v>
      </c>
      <c r="G2444" s="2" t="str">
        <f>IFERROR(__xludf.DUMMYFUNCTION("REGEXEXTRACT(C2444, ""🏘️ \w+ (\w+) .* ✅"")"),"maison")</f>
        <v>maison</v>
      </c>
      <c r="H2444" s="4" t="str">
        <f>IFERROR(__xludf.DUMMYFUNCTION("REGEXEXTRACT(A2444, ""/(\w+)-.*?"")"),"lieu")</f>
        <v>lieu</v>
      </c>
      <c r="I2444" s="4" t="str">
        <f>IFERROR(__xludf.DUMMYFUNCTION("if(D2444=""variant"",  substitute(filter(Templates!E:E, Templates!A:A = F2444, Templates!B:B = G2444, Templates!C:C = H2444), ""{{}}"", E2444), B2444)"),"🏘  Vous souhaitez acheter une maison à Les Ecasseys? ✅ Jetez un œil aux dernières offres sur ImmoScout24.ch.")</f>
        <v>🏘  Vous souhaitez acheter une maison à Les Ecasseys? ✅ Jetez un œil aux dernières offres sur ImmoScout24.ch.</v>
      </c>
      <c r="J2444" s="2" t="s">
        <v>7328</v>
      </c>
    </row>
    <row r="2445">
      <c r="A2445" s="5" t="s">
        <v>7329</v>
      </c>
      <c r="B2445" s="2" t="s">
        <v>7330</v>
      </c>
      <c r="C2445" s="4" t="str">
        <f>IFERROR(__xludf.DUMMYFUNCTION("""🏘️ ""&amp;REGEXEXTRACT(B2445, ""^(.*): "")&amp;"" ✅ "" &amp;REGEXEXTRACT(B2445, ""(Trouvez.*)"")"),"🏘️ Vendre maison Val de Travers ✅ Trouvez le bien immobilier qui correspond idéalement à vos désirs sur ImmoScout24 - La plateforme de l'immobilier en Suisse.")</f>
        <v>🏘️ Vendre maison Val de Travers ✅ Trouvez le bien immobilier qui correspond idéalement à vos désirs sur ImmoScout24 - La plateforme de l'immobilier en Suisse.</v>
      </c>
      <c r="D2445" s="4" t="str">
        <f>vlookup(A2445, Sheet2!D:E, 2, 0)</f>
        <v>variant</v>
      </c>
      <c r="E2445" s="4" t="str">
        <f>IFERROR(__xludf.DUMMYFUNCTION("if(H2445=""pays"",vlookup(REGEXEXTRACT(C2445, ""🏘️ \w+ \w+ (.*) ✅""),'Country prepositions'!A:B, 2, 0) &amp; "" "" &amp; REGEXEXTRACT(C2445, ""🏘️ \w+ \w+ (.*) ✅"") ,  if(H2445=""quartier"",vlookup(REGEXEXTRACT(C2445, ""🏘️ \w+ \w+ (.*) ✅""),'Quartier prepositio"&amp;"ns'!A:E, 5, 0) ,  if(H2445=""region"",vlookup(REGEXEXTRACT(C2445, ""🏘️ \w+ \w+ (.*) ✅""),'Region prepositions'!B:F, 5, 0),  REGEXEXTRACT(C2445, ""🏘️ \w+ \w+ (.*) ✅""))))"),"dans le Val-de-Travers")</f>
        <v>dans le Val-de-Travers</v>
      </c>
      <c r="F2445" s="2" t="str">
        <f>IFERROR(__xludf.DUMMYFUNCTION("REGEXEXTRACT(C2445, ""🏘️ (\w+) \w+ .* ✅"")"),"Vendre")</f>
        <v>Vendre</v>
      </c>
      <c r="G2445" s="2" t="str">
        <f>IFERROR(__xludf.DUMMYFUNCTION("REGEXEXTRACT(C2445, ""🏘️ \w+ (\w+) .* ✅"")"),"maison")</f>
        <v>maison</v>
      </c>
      <c r="H2445" s="4" t="str">
        <f>IFERROR(__xludf.DUMMYFUNCTION("REGEXEXTRACT(A2445, ""/(\w+)-.*?"")"),"region")</f>
        <v>region</v>
      </c>
      <c r="I2445" s="4" t="str">
        <f>IFERROR(__xludf.DUMMYFUNCTION("if(D2445=""variant"",  substitute(filter(Templates!E:E, Templates!A:A = F2445, Templates!B:B = G2445, Templates!C:C = H2445), ""{{}}"", E2445), B2445)"),"🏘  Vous souhaitez acheter une maison dans le Val-de-Travers? ✅ Jetez un œil aux dernières offres sur ImmoScout24.ch.")</f>
        <v>🏘  Vous souhaitez acheter une maison dans le Val-de-Travers? ✅ Jetez un œil aux dernières offres sur ImmoScout24.ch.</v>
      </c>
      <c r="J2445" s="4" t="s">
        <v>7331</v>
      </c>
    </row>
    <row r="2446">
      <c r="A2446" s="5" t="s">
        <v>7332</v>
      </c>
      <c r="B2446" s="2" t="s">
        <v>7333</v>
      </c>
      <c r="C2446" s="4" t="str">
        <f>IFERROR(__xludf.DUMMYFUNCTION("""🏘️ ""&amp;REGEXEXTRACT(B2446, ""^(.*): "")&amp;"" ✅ "" &amp;REGEXEXTRACT(B2446, ""(Trouvez.*)"")"),"🏘️ Louer appartement Buochs ✅ Trouvez le bien immobilier qui correspond idéalement à vos désirs sur ImmoScout24 - La plateforme de l'immobilier en Suisse.")</f>
        <v>🏘️ Louer appartement Buochs ✅ Trouvez le bien immobilier qui correspond idéalement à vos désirs sur ImmoScout24 - La plateforme de l'immobilier en Suisse.</v>
      </c>
      <c r="D2446" s="4" t="str">
        <f>vlookup(A2446, Sheet2!D:E, 2, 0)</f>
        <v>variant</v>
      </c>
      <c r="E2446" s="4" t="str">
        <f>IFERROR(__xludf.DUMMYFUNCTION("if(H2446=""pays"",vlookup(REGEXEXTRACT(C2446, ""🏘️ \w+ \w+ (.*) ✅""),'Country prepositions'!A:B, 2, 0) &amp; "" "" &amp; REGEXEXTRACT(C2446, ""🏘️ \w+ \w+ (.*) ✅"") ,  if(H2446=""quartier"",vlookup(REGEXEXTRACT(C2446, ""🏘️ \w+ \w+ (.*) ✅""),'Quartier prepositio"&amp;"ns'!A:E, 5, 0) ,  if(H2446=""region"",vlookup(REGEXEXTRACT(C2446, ""🏘️ \w+ \w+ (.*) ✅""),'Region prepositions'!B:F, 5, 0),  REGEXEXTRACT(C2446, ""🏘️ \w+ \w+ (.*) ✅""))))"),"Buochs")</f>
        <v>Buochs</v>
      </c>
      <c r="F2446" s="2" t="str">
        <f>IFERROR(__xludf.DUMMYFUNCTION("REGEXEXTRACT(C2446, ""🏘️ (\w+) \w+ .* ✅"")"),"Louer")</f>
        <v>Louer</v>
      </c>
      <c r="G2446" s="2" t="str">
        <f>IFERROR(__xludf.DUMMYFUNCTION("REGEXEXTRACT(C2446, ""🏘️ \w+ (\w+) .* ✅"")"),"appartement")</f>
        <v>appartement</v>
      </c>
      <c r="H2446" s="4" t="str">
        <f>IFERROR(__xludf.DUMMYFUNCTION("REGEXEXTRACT(A2446, ""/(\w+)-.*?"")"),"lieu")</f>
        <v>lieu</v>
      </c>
      <c r="I2446" s="4" t="str">
        <f>IFERROR(__xludf.DUMMYFUNCTION("if(D2446=""variant"",  substitute(filter(Templates!E:E, Templates!A:A = F2446, Templates!B:B = G2446, Templates!C:C = H2446), ""{{}}"", E2446), B2446)"),"🏘  Vous cherchez un appartement à louer à Buochs? ✅ Les annonces les plus actuelles sont sur ImmoScout24.ch.")</f>
        <v>🏘  Vous cherchez un appartement à louer à Buochs? ✅ Les annonces les plus actuelles sont sur ImmoScout24.ch.</v>
      </c>
      <c r="J2446" s="4" t="s">
        <v>7334</v>
      </c>
    </row>
    <row r="2447">
      <c r="A2447" s="5" t="s">
        <v>7335</v>
      </c>
      <c r="B2447" s="2" t="s">
        <v>7336</v>
      </c>
      <c r="C2447" s="4" t="str">
        <f>IFERROR(__xludf.DUMMYFUNCTION("""🏘️ ""&amp;REGEXEXTRACT(B2447, ""^(.*): "")&amp;"" ✅ "" &amp;REGEXEXTRACT(B2447, ""(Trouvez.*)"")"),"🏘️ Louer appartement Fahrweid ✅ Trouvez le bien immobilier qui correspond idéalement à vos désirs sur ImmoScout24 - La plateforme de l'immobilier en Suisse.")</f>
        <v>🏘️ Louer appartement Fahrweid ✅ Trouvez le bien immobilier qui correspond idéalement à vos désirs sur ImmoScout24 - La plateforme de l'immobilier en Suisse.</v>
      </c>
      <c r="D2447" s="4" t="str">
        <f>vlookup(A2447, Sheet2!D:E, 2, 0)</f>
        <v>variant</v>
      </c>
      <c r="E2447" s="4" t="str">
        <f>IFERROR(__xludf.DUMMYFUNCTION("if(H2447=""pays"",vlookup(REGEXEXTRACT(C2447, ""🏘️ \w+ \w+ (.*) ✅""),'Country prepositions'!A:B, 2, 0) &amp; "" "" &amp; REGEXEXTRACT(C2447, ""🏘️ \w+ \w+ (.*) ✅"") ,  if(H2447=""quartier"",vlookup(REGEXEXTRACT(C2447, ""🏘️ \w+ \w+ (.*) ✅""),'Quartier prepositio"&amp;"ns'!A:E, 5, 0) ,  if(H2447=""region"",vlookup(REGEXEXTRACT(C2447, ""🏘️ \w+ \w+ (.*) ✅""),'Region prepositions'!B:F, 5, 0),  REGEXEXTRACT(C2447, ""🏘️ \w+ \w+ (.*) ✅""))))"),"Fahrweid")</f>
        <v>Fahrweid</v>
      </c>
      <c r="F2447" s="2" t="str">
        <f>IFERROR(__xludf.DUMMYFUNCTION("REGEXEXTRACT(C2447, ""🏘️ (\w+) \w+ .* ✅"")"),"Louer")</f>
        <v>Louer</v>
      </c>
      <c r="G2447" s="2" t="str">
        <f>IFERROR(__xludf.DUMMYFUNCTION("REGEXEXTRACT(C2447, ""🏘️ \w+ (\w+) .* ✅"")"),"appartement")</f>
        <v>appartement</v>
      </c>
      <c r="H2447" s="4" t="str">
        <f>IFERROR(__xludf.DUMMYFUNCTION("REGEXEXTRACT(A2447, ""/(\w+)-.*?"")"),"lieu")</f>
        <v>lieu</v>
      </c>
      <c r="I2447" s="4" t="str">
        <f>IFERROR(__xludf.DUMMYFUNCTION("if(D2447=""variant"",  substitute(filter(Templates!E:E, Templates!A:A = F2447, Templates!B:B = G2447, Templates!C:C = H2447), ""{{}}"", E2447), B2447)"),"🏘  Vous cherchez un appartement à louer à Fahrweid? ✅ Les annonces les plus actuelles sont sur ImmoScout24.ch.")</f>
        <v>🏘  Vous cherchez un appartement à louer à Fahrweid? ✅ Les annonces les plus actuelles sont sur ImmoScout24.ch.</v>
      </c>
      <c r="J2447" s="4" t="s">
        <v>7337</v>
      </c>
    </row>
    <row r="2448">
      <c r="A2448" s="5" t="s">
        <v>7338</v>
      </c>
      <c r="B2448" s="2" t="s">
        <v>7339</v>
      </c>
      <c r="C2448" s="4" t="str">
        <f>IFERROR(__xludf.DUMMYFUNCTION("""🏘️ ""&amp;REGEXEXTRACT(B2448, ""^(.*): "")&amp;"" ✅ "" &amp;REGEXEXTRACT(B2448, ""(Trouvez.*)"")"),"🏘️ Louer maison Sâles (Gruyère) ✅ Trouvez le bien immobilier qui correspond idéalement à vos désirs sur ImmoScout24 - La plateforme de l'immobilier en Suisse.")</f>
        <v>🏘️ Louer maison Sâles (Gruyère) ✅ Trouvez le bien immobilier qui correspond idéalement à vos désirs sur ImmoScout24 - La plateforme de l'immobilier en Suisse.</v>
      </c>
      <c r="D2448" s="4" t="str">
        <f>vlookup(A2448, Sheet2!D:E, 2, 0)</f>
        <v>variant</v>
      </c>
      <c r="E2448" s="4" t="str">
        <f>IFERROR(__xludf.DUMMYFUNCTION("if(H2448=""pays"",vlookup(REGEXEXTRACT(C2448, ""🏘️ \w+ \w+ (.*) ✅""),'Country prepositions'!A:B, 2, 0) &amp; "" "" &amp; REGEXEXTRACT(C2448, ""🏘️ \w+ \w+ (.*) ✅"") ,  if(H2448=""quartier"",vlookup(REGEXEXTRACT(C2448, ""🏘️ \w+ \w+ (.*) ✅""),'Quartier prepositio"&amp;"ns'!A:E, 5, 0) ,  if(H2448=""region"",vlookup(REGEXEXTRACT(C2448, ""🏘️ \w+ \w+ (.*) ✅""),'Region prepositions'!B:F, 5, 0),  REGEXEXTRACT(C2448, ""🏘️ \w+ \w+ (.*) ✅""))))"),"Sâles (Gruyère)")</f>
        <v>Sâles (Gruyère)</v>
      </c>
      <c r="F2448" s="2" t="str">
        <f>IFERROR(__xludf.DUMMYFUNCTION("REGEXEXTRACT(C2448, ""🏘️ (\w+) \w+ .* ✅"")"),"Louer")</f>
        <v>Louer</v>
      </c>
      <c r="G2448" s="2" t="str">
        <f>IFERROR(__xludf.DUMMYFUNCTION("REGEXEXTRACT(C2448, ""🏘️ \w+ (\w+) .* ✅"")"),"maison")</f>
        <v>maison</v>
      </c>
      <c r="H2448" s="4" t="str">
        <f>IFERROR(__xludf.DUMMYFUNCTION("REGEXEXTRACT(A2448, ""/(\w+)-.*?"")"),"lieu")</f>
        <v>lieu</v>
      </c>
      <c r="I2448" s="4" t="str">
        <f>IFERROR(__xludf.DUMMYFUNCTION("if(D2448=""variant"",  substitute(filter(Templates!E:E, Templates!A:A = F2448, Templates!B:B = G2448, Templates!C:C = H2448), ""{{}}"", E2448), B2448)"),"🏘  Vous cherchez une maison à louer à Sâles (Gruyère)? ✅ Découvrez nos nombreuses annonces sur ImmoScout24.ch.")</f>
        <v>🏘  Vous cherchez une maison à louer à Sâles (Gruyère)? ✅ Découvrez nos nombreuses annonces sur ImmoScout24.ch.</v>
      </c>
      <c r="J2448" s="4" t="s">
        <v>7340</v>
      </c>
    </row>
    <row r="2449">
      <c r="A2449" s="5" t="s">
        <v>7341</v>
      </c>
      <c r="B2449" s="2" t="s">
        <v>7342</v>
      </c>
      <c r="C2449" s="4" t="str">
        <f>IFERROR(__xludf.DUMMYFUNCTION("""🏘️ ""&amp;REGEXEXTRACT(B2449, ""^(.*): "")&amp;"" ✅ "" &amp;REGEXEXTRACT(B2449, ""(Trouvez.*)"")"),"🏘️ Vendre maison Etoy ✅ Trouvez le bien immobilier qui correspond idéalement à vos désirs sur ImmoScout24 - La plateforme de l'immobilier en Suisse.")</f>
        <v>🏘️ Vendre maison Etoy ✅ Trouvez le bien immobilier qui correspond idéalement à vos désirs sur ImmoScout24 - La plateforme de l'immobilier en Suisse.</v>
      </c>
      <c r="D2449" s="4" t="str">
        <f>vlookup(A2449, Sheet2!D:E, 2, 0)</f>
        <v>variant</v>
      </c>
      <c r="E2449" s="4" t="str">
        <f>IFERROR(__xludf.DUMMYFUNCTION("if(H2449=""pays"",vlookup(REGEXEXTRACT(C2449, ""🏘️ \w+ \w+ (.*) ✅""),'Country prepositions'!A:B, 2, 0) &amp; "" "" &amp; REGEXEXTRACT(C2449, ""🏘️ \w+ \w+ (.*) ✅"") ,  if(H2449=""quartier"",vlookup(REGEXEXTRACT(C2449, ""🏘️ \w+ \w+ (.*) ✅""),'Quartier prepositio"&amp;"ns'!A:E, 5, 0) ,  if(H2449=""region"",vlookup(REGEXEXTRACT(C2449, ""🏘️ \w+ \w+ (.*) ✅""),'Region prepositions'!B:F, 5, 0),  REGEXEXTRACT(C2449, ""🏘️ \w+ \w+ (.*) ✅""))))"),"Etoy")</f>
        <v>Etoy</v>
      </c>
      <c r="F2449" s="2" t="str">
        <f>IFERROR(__xludf.DUMMYFUNCTION("REGEXEXTRACT(C2449, ""🏘️ (\w+) \w+ .* ✅"")"),"Vendre")</f>
        <v>Vendre</v>
      </c>
      <c r="G2449" s="2" t="str">
        <f>IFERROR(__xludf.DUMMYFUNCTION("REGEXEXTRACT(C2449, ""🏘️ \w+ (\w+) .* ✅"")"),"maison")</f>
        <v>maison</v>
      </c>
      <c r="H2449" s="4" t="str">
        <f>IFERROR(__xludf.DUMMYFUNCTION("REGEXEXTRACT(A2449, ""/(\w+)-.*?"")"),"lieu")</f>
        <v>lieu</v>
      </c>
      <c r="I2449" s="4" t="str">
        <f>IFERROR(__xludf.DUMMYFUNCTION("if(D2449=""variant"",  substitute(filter(Templates!E:E, Templates!A:A = F2449, Templates!B:B = G2449, Templates!C:C = H2449), ""{{}}"", E2449), B2449)"),"🏘  Vous souhaitez acheter une maison à Etoy? ✅ Jetez un œil aux dernières offres sur ImmoScout24.ch.")</f>
        <v>🏘  Vous souhaitez acheter une maison à Etoy? ✅ Jetez un œil aux dernières offres sur ImmoScout24.ch.</v>
      </c>
      <c r="J2449" s="4" t="s">
        <v>7343</v>
      </c>
    </row>
    <row r="2450">
      <c r="A2450" s="5" t="s">
        <v>7344</v>
      </c>
      <c r="B2450" s="2" t="s">
        <v>7345</v>
      </c>
      <c r="C2450" s="4" t="str">
        <f>IFERROR(__xludf.DUMMYFUNCTION("""🏘️ ""&amp;REGEXEXTRACT(B2450, ""^(.*): "")&amp;"" ✅ "" &amp;REGEXEXTRACT(B2450, ""(Trouvez.*)"")"),"🏘️ Vendre maison La Chaux-de-Fonds ✅ Trouvez le bien immobilier qui correspond idéalement à vos désirs sur ImmoScout24 - La plateforme de l'immobilier en Suisse.")</f>
        <v>🏘️ Vendre maison La Chaux-de-Fonds ✅ Trouvez le bien immobilier qui correspond idéalement à vos désirs sur ImmoScout24 - La plateforme de l'immobilier en Suisse.</v>
      </c>
      <c r="D2450" s="4" t="str">
        <f>vlookup(A2450, Sheet2!D:E, 2, 0)</f>
        <v>variant</v>
      </c>
      <c r="E2450" s="4" t="str">
        <f>IFERROR(__xludf.DUMMYFUNCTION("if(H2450=""pays"",vlookup(REGEXEXTRACT(C2450, ""🏘️ \w+ \w+ (.*) ✅""),'Country prepositions'!A:B, 2, 0) &amp; "" "" &amp; REGEXEXTRACT(C2450, ""🏘️ \w+ \w+ (.*) ✅"") ,  if(H2450=""quartier"",vlookup(REGEXEXTRACT(C2450, ""🏘️ \w+ \w+ (.*) ✅""),'Quartier prepositio"&amp;"ns'!A:E, 5, 0) ,  if(H2450=""region"",vlookup(REGEXEXTRACT(C2450, ""🏘️ \w+ \w+ (.*) ✅""),'Region prepositions'!B:F, 5, 0),  REGEXEXTRACT(C2450, ""🏘️ \w+ \w+ (.*) ✅""))))"),"La Chaux-de-Fonds")</f>
        <v>La Chaux-de-Fonds</v>
      </c>
      <c r="F2450" s="2" t="str">
        <f>IFERROR(__xludf.DUMMYFUNCTION("REGEXEXTRACT(C2450, ""🏘️ (\w+) \w+ .* ✅"")"),"Vendre")</f>
        <v>Vendre</v>
      </c>
      <c r="G2450" s="2" t="str">
        <f>IFERROR(__xludf.DUMMYFUNCTION("REGEXEXTRACT(C2450, ""🏘️ \w+ (\w+) .* ✅"")"),"maison")</f>
        <v>maison</v>
      </c>
      <c r="H2450" s="4" t="str">
        <f>IFERROR(__xludf.DUMMYFUNCTION("REGEXEXTRACT(A2450, ""/(\w+)-.*?"")"),"lieu")</f>
        <v>lieu</v>
      </c>
      <c r="I2450" s="4" t="str">
        <f>IFERROR(__xludf.DUMMYFUNCTION("if(D2450=""variant"",  substitute(filter(Templates!E:E, Templates!A:A = F2450, Templates!B:B = G2450, Templates!C:C = H2450), ""{{}}"", E2450), B2450)"),"🏘  Vous souhaitez acheter une maison à La Chaux-de-Fonds? ✅ Jetez un œil aux dernières offres sur ImmoScout24.ch.")</f>
        <v>🏘  Vous souhaitez acheter une maison à La Chaux-de-Fonds? ✅ Jetez un œil aux dernières offres sur ImmoScout24.ch.</v>
      </c>
      <c r="J2450" s="4" t="s">
        <v>7346</v>
      </c>
    </row>
    <row r="2451">
      <c r="A2451" s="5" t="s">
        <v>7347</v>
      </c>
      <c r="B2451" s="2" t="s">
        <v>7348</v>
      </c>
      <c r="C2451" s="4" t="str">
        <f>IFERROR(__xludf.DUMMYFUNCTION("""🏘️ ""&amp;REGEXEXTRACT(B2451, ""^(.*): "")&amp;"" ✅ "" &amp;REGEXEXTRACT(B2451, ""(Trouvez.*)"")"),"🏘️ Vendre maison Monteggio ✅ Trouvez le bien immobilier qui correspond idéalement à vos désirs sur ImmoScout24 - La plateforme de l'immobilier en Suisse.")</f>
        <v>🏘️ Vendre maison Monteggio ✅ Trouvez le bien immobilier qui correspond idéalement à vos désirs sur ImmoScout24 - La plateforme de l'immobilier en Suisse.</v>
      </c>
      <c r="D2451" s="4" t="str">
        <f>vlookup(A2451, Sheet2!D:E, 2, 0)</f>
        <v>variant</v>
      </c>
      <c r="E2451" s="4" t="str">
        <f>IFERROR(__xludf.DUMMYFUNCTION("if(H2451=""pays"",vlookup(REGEXEXTRACT(C2451, ""🏘️ \w+ \w+ (.*) ✅""),'Country prepositions'!A:B, 2, 0) &amp; "" "" &amp; REGEXEXTRACT(C2451, ""🏘️ \w+ \w+ (.*) ✅"") ,  if(H2451=""quartier"",vlookup(REGEXEXTRACT(C2451, ""🏘️ \w+ \w+ (.*) ✅""),'Quartier prepositio"&amp;"ns'!A:E, 5, 0) ,  if(H2451=""region"",vlookup(REGEXEXTRACT(C2451, ""🏘️ \w+ \w+ (.*) ✅""),'Region prepositions'!B:F, 5, 0),  REGEXEXTRACT(C2451, ""🏘️ \w+ \w+ (.*) ✅""))))"),"Monteggio")</f>
        <v>Monteggio</v>
      </c>
      <c r="F2451" s="2" t="str">
        <f>IFERROR(__xludf.DUMMYFUNCTION("REGEXEXTRACT(C2451, ""🏘️ (\w+) \w+ .* ✅"")"),"Vendre")</f>
        <v>Vendre</v>
      </c>
      <c r="G2451" s="2" t="str">
        <f>IFERROR(__xludf.DUMMYFUNCTION("REGEXEXTRACT(C2451, ""🏘️ \w+ (\w+) .* ✅"")"),"maison")</f>
        <v>maison</v>
      </c>
      <c r="H2451" s="4" t="str">
        <f>IFERROR(__xludf.DUMMYFUNCTION("REGEXEXTRACT(A2451, ""/(\w+)-.*?"")"),"lieu")</f>
        <v>lieu</v>
      </c>
      <c r="I2451" s="4" t="str">
        <f>IFERROR(__xludf.DUMMYFUNCTION("if(D2451=""variant"",  substitute(filter(Templates!E:E, Templates!A:A = F2451, Templates!B:B = G2451, Templates!C:C = H2451), ""{{}}"", E2451), B2451)"),"🏘  Vous souhaitez acheter une maison à Monteggio? ✅ Jetez un œil aux dernières offres sur ImmoScout24.ch.")</f>
        <v>🏘  Vous souhaitez acheter une maison à Monteggio? ✅ Jetez un œil aux dernières offres sur ImmoScout24.ch.</v>
      </c>
      <c r="J2451" s="4" t="s">
        <v>7349</v>
      </c>
    </row>
    <row r="2452">
      <c r="A2452" s="5" t="s">
        <v>7350</v>
      </c>
      <c r="B2452" s="2" t="s">
        <v>7351</v>
      </c>
      <c r="C2452" s="4" t="str">
        <f>IFERROR(__xludf.DUMMYFUNCTION("""🏘️ ""&amp;REGEXEXTRACT(B2452, ""^(.*): "")&amp;"" ✅ "" &amp;REGEXEXTRACT(B2452, ""(Trouvez.*)"")"),"🏘️ Vendre maison Lignières ✅ Trouvez le bien immobilier qui correspond idéalement à vos désirs sur ImmoScout24 - La plateforme de l'immobilier en Suisse.")</f>
        <v>🏘️ Vendre maison Lignières ✅ Trouvez le bien immobilier qui correspond idéalement à vos désirs sur ImmoScout24 - La plateforme de l'immobilier en Suisse.</v>
      </c>
      <c r="D2452" s="4" t="str">
        <f>vlookup(A2452, Sheet2!D:E, 2, 0)</f>
        <v>variant</v>
      </c>
      <c r="E2452" s="4" t="str">
        <f>IFERROR(__xludf.DUMMYFUNCTION("if(H2452=""pays"",vlookup(REGEXEXTRACT(C2452, ""🏘️ \w+ \w+ (.*) ✅""),'Country prepositions'!A:B, 2, 0) &amp; "" "" &amp; REGEXEXTRACT(C2452, ""🏘️ \w+ \w+ (.*) ✅"") ,  if(H2452=""quartier"",vlookup(REGEXEXTRACT(C2452, ""🏘️ \w+ \w+ (.*) ✅""),'Quartier prepositio"&amp;"ns'!A:E, 5, 0) ,  if(H2452=""region"",vlookup(REGEXEXTRACT(C2452, ""🏘️ \w+ \w+ (.*) ✅""),'Region prepositions'!B:F, 5, 0),  REGEXEXTRACT(C2452, ""🏘️ \w+ \w+ (.*) ✅""))))"),"Lignières")</f>
        <v>Lignières</v>
      </c>
      <c r="F2452" s="2" t="str">
        <f>IFERROR(__xludf.DUMMYFUNCTION("REGEXEXTRACT(C2452, ""🏘️ (\w+) \w+ .* ✅"")"),"Vendre")</f>
        <v>Vendre</v>
      </c>
      <c r="G2452" s="2" t="str">
        <f>IFERROR(__xludf.DUMMYFUNCTION("REGEXEXTRACT(C2452, ""🏘️ \w+ (\w+) .* ✅"")"),"maison")</f>
        <v>maison</v>
      </c>
      <c r="H2452" s="4" t="str">
        <f>IFERROR(__xludf.DUMMYFUNCTION("REGEXEXTRACT(A2452, ""/(\w+)-.*?"")"),"lieu")</f>
        <v>lieu</v>
      </c>
      <c r="I2452" s="4" t="str">
        <f>IFERROR(__xludf.DUMMYFUNCTION("if(D2452=""variant"",  substitute(filter(Templates!E:E, Templates!A:A = F2452, Templates!B:B = G2452, Templates!C:C = H2452), ""{{}}"", E2452), B2452)"),"🏘  Vous souhaitez acheter une maison à Lignières? ✅ Jetez un œil aux dernières offres sur ImmoScout24.ch.")</f>
        <v>🏘  Vous souhaitez acheter une maison à Lignières? ✅ Jetez un œil aux dernières offres sur ImmoScout24.ch.</v>
      </c>
      <c r="J2452" s="4" t="s">
        <v>7352</v>
      </c>
    </row>
    <row r="2453">
      <c r="A2453" s="5" t="s">
        <v>7353</v>
      </c>
      <c r="B2453" s="2" t="s">
        <v>7354</v>
      </c>
      <c r="C2453" s="4" t="str">
        <f>IFERROR(__xludf.DUMMYFUNCTION("""🏘️ ""&amp;REGEXEXTRACT(B2453, ""^(.*): "")&amp;"" ✅ "" &amp;REGEXEXTRACT(B2453, ""(Trouvez.*)"")"),"🏘️ Vendre appartement Bellmund ✅ Trouvez le bien immobilier qui correspond idéalement à vos désirs sur ImmoScout24 - La plateforme de l'immobilier en Suisse.")</f>
        <v>🏘️ Vendre appartement Bellmund ✅ Trouvez le bien immobilier qui correspond idéalement à vos désirs sur ImmoScout24 - La plateforme de l'immobilier en Suisse.</v>
      </c>
      <c r="D2453" s="4" t="str">
        <f>vlookup(A2453, Sheet2!D:E, 2, 0)</f>
        <v>variant</v>
      </c>
      <c r="E2453" s="4" t="str">
        <f>IFERROR(__xludf.DUMMYFUNCTION("if(H2453=""pays"",vlookup(REGEXEXTRACT(C2453, ""🏘️ \w+ \w+ (.*) ✅""),'Country prepositions'!A:B, 2, 0) &amp; "" "" &amp; REGEXEXTRACT(C2453, ""🏘️ \w+ \w+ (.*) ✅"") ,  if(H2453=""quartier"",vlookup(REGEXEXTRACT(C2453, ""🏘️ \w+ \w+ (.*) ✅""),'Quartier prepositio"&amp;"ns'!A:E, 5, 0) ,  if(H2453=""region"",vlookup(REGEXEXTRACT(C2453, ""🏘️ \w+ \w+ (.*) ✅""),'Region prepositions'!B:F, 5, 0),  REGEXEXTRACT(C2453, ""🏘️ \w+ \w+ (.*) ✅""))))"),"Bellmund")</f>
        <v>Bellmund</v>
      </c>
      <c r="F2453" s="2" t="str">
        <f>IFERROR(__xludf.DUMMYFUNCTION("REGEXEXTRACT(C2453, ""🏘️ (\w+) \w+ .* ✅"")"),"Vendre")</f>
        <v>Vendre</v>
      </c>
      <c r="G2453" s="2" t="str">
        <f>IFERROR(__xludf.DUMMYFUNCTION("REGEXEXTRACT(C2453, ""🏘️ \w+ (\w+) .* ✅"")"),"appartement")</f>
        <v>appartement</v>
      </c>
      <c r="H2453" s="4" t="str">
        <f>IFERROR(__xludf.DUMMYFUNCTION("REGEXEXTRACT(A2453, ""/(\w+)-.*?"")"),"lieu")</f>
        <v>lieu</v>
      </c>
      <c r="I2453" s="4" t="str">
        <f>IFERROR(__xludf.DUMMYFUNCTION("if(D2453=""variant"",  substitute(filter(Templates!E:E, Templates!A:A = F2453, Templates!B:B = G2453, Templates!C:C = H2453), ""{{}}"", E2453), B2453)"),"🏘  L’appartement de vos rêves se trouve sur ImmoScout24.ch ✅ Découvrez les dernières annonces de vente à Bellmund.")</f>
        <v>🏘  L’appartement de vos rêves se trouve sur ImmoScout24.ch ✅ Découvrez les dernières annonces de vente à Bellmund.</v>
      </c>
      <c r="J2453" s="4" t="s">
        <v>7355</v>
      </c>
    </row>
    <row r="2454">
      <c r="A2454" s="5" t="s">
        <v>7356</v>
      </c>
      <c r="B2454" s="2" t="s">
        <v>7357</v>
      </c>
      <c r="C2454" s="4" t="str">
        <f>IFERROR(__xludf.DUMMYFUNCTION("""🏘️ ""&amp;REGEXEXTRACT(B2454, ""^(.*): "")&amp;"" ✅ "" &amp;REGEXEXTRACT(B2454, ""(Trouvez.*)"")"),"🏘️ Louer appartement Wavre ✅ Trouvez le bien immobilier qui correspond idéalement à vos désirs sur ImmoScout24 - La plateforme de l'immobilier en Suisse.")</f>
        <v>🏘️ Louer appartement Wavre ✅ Trouvez le bien immobilier qui correspond idéalement à vos désirs sur ImmoScout24 - La plateforme de l'immobilier en Suisse.</v>
      </c>
      <c r="D2454" s="4" t="str">
        <f>vlookup(A2454, Sheet2!D:E, 2, 0)</f>
        <v>variant</v>
      </c>
      <c r="E2454" s="4" t="str">
        <f>IFERROR(__xludf.DUMMYFUNCTION("if(H2454=""pays"",vlookup(REGEXEXTRACT(C2454, ""🏘️ \w+ \w+ (.*) ✅""),'Country prepositions'!A:B, 2, 0) &amp; "" "" &amp; REGEXEXTRACT(C2454, ""🏘️ \w+ \w+ (.*) ✅"") ,  if(H2454=""quartier"",vlookup(REGEXEXTRACT(C2454, ""🏘️ \w+ \w+ (.*) ✅""),'Quartier prepositio"&amp;"ns'!A:E, 5, 0) ,  if(H2454=""region"",vlookup(REGEXEXTRACT(C2454, ""🏘️ \w+ \w+ (.*) ✅""),'Region prepositions'!B:F, 5, 0),  REGEXEXTRACT(C2454, ""🏘️ \w+ \w+ (.*) ✅""))))"),"Wavre")</f>
        <v>Wavre</v>
      </c>
      <c r="F2454" s="2" t="str">
        <f>IFERROR(__xludf.DUMMYFUNCTION("REGEXEXTRACT(C2454, ""🏘️ (\w+) \w+ .* ✅"")"),"Louer")</f>
        <v>Louer</v>
      </c>
      <c r="G2454" s="2" t="str">
        <f>IFERROR(__xludf.DUMMYFUNCTION("REGEXEXTRACT(C2454, ""🏘️ \w+ (\w+) .* ✅"")"),"appartement")</f>
        <v>appartement</v>
      </c>
      <c r="H2454" s="4" t="str">
        <f>IFERROR(__xludf.DUMMYFUNCTION("REGEXEXTRACT(A2454, ""/(\w+)-.*?"")"),"lieu")</f>
        <v>lieu</v>
      </c>
      <c r="I2454" s="4" t="str">
        <f>IFERROR(__xludf.DUMMYFUNCTION("if(D2454=""variant"",  substitute(filter(Templates!E:E, Templates!A:A = F2454, Templates!B:B = G2454, Templates!C:C = H2454), ""{{}}"", E2454), B2454)"),"🏘  Vous cherchez un appartement à louer à Wavre? ✅ Les annonces les plus actuelles sont sur ImmoScout24.ch.")</f>
        <v>🏘  Vous cherchez un appartement à louer à Wavre? ✅ Les annonces les plus actuelles sont sur ImmoScout24.ch.</v>
      </c>
      <c r="J2454" s="4" t="s">
        <v>7358</v>
      </c>
    </row>
    <row r="2455">
      <c r="A2455" s="5" t="s">
        <v>7359</v>
      </c>
      <c r="B2455" s="2" t="s">
        <v>7360</v>
      </c>
      <c r="C2455" s="4" t="str">
        <f>IFERROR(__xludf.DUMMYFUNCTION("""🏘️ ""&amp;REGEXEXTRACT(B2455, ""^(.*): "")&amp;"" ✅ "" &amp;REGEXEXTRACT(B2455, ""(Trouvez.*)"")"),"🏘️ Louer appartement Heimenhausen ✅ Trouvez le bien immobilier qui correspond idéalement à vos désirs sur ImmoScout24 - La plateforme de l'immobilier en Suisse.")</f>
        <v>🏘️ Louer appartement Heimenhausen ✅ Trouvez le bien immobilier qui correspond idéalement à vos désirs sur ImmoScout24 - La plateforme de l'immobilier en Suisse.</v>
      </c>
      <c r="D2455" s="4" t="str">
        <f>vlookup(A2455, Sheet2!D:E, 2, 0)</f>
        <v>variant</v>
      </c>
      <c r="E2455" s="4" t="str">
        <f>IFERROR(__xludf.DUMMYFUNCTION("if(H2455=""pays"",vlookup(REGEXEXTRACT(C2455, ""🏘️ \w+ \w+ (.*) ✅""),'Country prepositions'!A:B, 2, 0) &amp; "" "" &amp; REGEXEXTRACT(C2455, ""🏘️ \w+ \w+ (.*) ✅"") ,  if(H2455=""quartier"",vlookup(REGEXEXTRACT(C2455, ""🏘️ \w+ \w+ (.*) ✅""),'Quartier prepositio"&amp;"ns'!A:E, 5, 0) ,  if(H2455=""region"",vlookup(REGEXEXTRACT(C2455, ""🏘️ \w+ \w+ (.*) ✅""),'Region prepositions'!B:F, 5, 0),  REGEXEXTRACT(C2455, ""🏘️ \w+ \w+ (.*) ✅""))))"),"Heimenhausen")</f>
        <v>Heimenhausen</v>
      </c>
      <c r="F2455" s="2" t="str">
        <f>IFERROR(__xludf.DUMMYFUNCTION("REGEXEXTRACT(C2455, ""🏘️ (\w+) \w+ .* ✅"")"),"Louer")</f>
        <v>Louer</v>
      </c>
      <c r="G2455" s="2" t="str">
        <f>IFERROR(__xludf.DUMMYFUNCTION("REGEXEXTRACT(C2455, ""🏘️ \w+ (\w+) .* ✅"")"),"appartement")</f>
        <v>appartement</v>
      </c>
      <c r="H2455" s="4" t="str">
        <f>IFERROR(__xludf.DUMMYFUNCTION("REGEXEXTRACT(A2455, ""/(\w+)-.*?"")"),"lieu")</f>
        <v>lieu</v>
      </c>
      <c r="I2455" s="4" t="str">
        <f>IFERROR(__xludf.DUMMYFUNCTION("if(D2455=""variant"",  substitute(filter(Templates!E:E, Templates!A:A = F2455, Templates!B:B = G2455, Templates!C:C = H2455), ""{{}}"", E2455), B2455)"),"🏘  Vous cherchez un appartement à louer à Heimenhausen? ✅ Les annonces les plus actuelles sont sur ImmoScout24.ch.")</f>
        <v>🏘  Vous cherchez un appartement à louer à Heimenhausen? ✅ Les annonces les plus actuelles sont sur ImmoScout24.ch.</v>
      </c>
      <c r="J2455" s="4" t="s">
        <v>7361</v>
      </c>
    </row>
    <row r="2456">
      <c r="A2456" s="5" t="s">
        <v>7362</v>
      </c>
      <c r="B2456" s="2" t="s">
        <v>7363</v>
      </c>
      <c r="C2456" s="4" t="str">
        <f>IFERROR(__xludf.DUMMYFUNCTION("""🏘️ ""&amp;REGEXEXTRACT(B2456, ""^(.*): "")&amp;"" ✅ "" &amp;REGEXEXTRACT(B2456, ""(Trouvez.*)"")"),"🏘️ Vendre maison Laupen - Sense ✅ Trouvez le bien immobilier qui correspond idéalement à vos désirs sur ImmoScout24 - La plateforme de l'immobilier en Suisse.")</f>
        <v>🏘️ Vendre maison Laupen - Sense ✅ Trouvez le bien immobilier qui correspond idéalement à vos désirs sur ImmoScout24 - La plateforme de l'immobilier en Suisse.</v>
      </c>
      <c r="D2456" s="4" t="str">
        <f>vlookup(A2456, Sheet2!D:E, 2, 0)</f>
        <v>variant</v>
      </c>
      <c r="E2456" s="4" t="str">
        <f>IFERROR(__xludf.DUMMYFUNCTION("if(H2456=""pays"",vlookup(REGEXEXTRACT(C2456, ""🏘️ \w+ \w+ (.*) ✅""),'Country prepositions'!A:B, 2, 0) &amp; "" "" &amp; REGEXEXTRACT(C2456, ""🏘️ \w+ \w+ (.*) ✅"") ,  if(H2456=""quartier"",vlookup(REGEXEXTRACT(C2456, ""🏘️ \w+ \w+ (.*) ✅""),'Quartier prepositio"&amp;"ns'!A:E, 5, 0) ,  if(H2456=""region"",vlookup(REGEXEXTRACT(C2456, ""🏘️ \w+ \w+ (.*) ✅""),'Region prepositions'!B:F, 5, 0),  REGEXEXTRACT(C2456, ""🏘️ \w+ \w+ (.*) ✅""))))"),"à Laupen")</f>
        <v>à Laupen</v>
      </c>
      <c r="F2456" s="2" t="str">
        <f>IFERROR(__xludf.DUMMYFUNCTION("REGEXEXTRACT(C2456, ""🏘️ (\w+) \w+ .* ✅"")"),"Vendre")</f>
        <v>Vendre</v>
      </c>
      <c r="G2456" s="2" t="str">
        <f>IFERROR(__xludf.DUMMYFUNCTION("REGEXEXTRACT(C2456, ""🏘️ \w+ (\w+) .* ✅"")"),"maison")</f>
        <v>maison</v>
      </c>
      <c r="H2456" s="4" t="str">
        <f>IFERROR(__xludf.DUMMYFUNCTION("REGEXEXTRACT(A2456, ""/(\w+)-.*?"")"),"region")</f>
        <v>region</v>
      </c>
      <c r="I2456" s="4" t="str">
        <f>IFERROR(__xludf.DUMMYFUNCTION("if(D2456=""variant"",  substitute(filter(Templates!E:E, Templates!A:A = F2456, Templates!B:B = G2456, Templates!C:C = H2456), ""{{}}"", E2456), B2456)"),"🏘  Vous souhaitez acheter une maison à Laupen? ✅ Jetez un œil aux dernières offres sur ImmoScout24.ch.")</f>
        <v>🏘  Vous souhaitez acheter une maison à Laupen? ✅ Jetez un œil aux dernières offres sur ImmoScout24.ch.</v>
      </c>
      <c r="J2456" s="4" t="s">
        <v>7364</v>
      </c>
    </row>
    <row r="2457">
      <c r="A2457" s="5" t="s">
        <v>7365</v>
      </c>
      <c r="B2457" s="2" t="s">
        <v>7366</v>
      </c>
      <c r="C2457" s="4" t="str">
        <f>IFERROR(__xludf.DUMMYFUNCTION("""🏘️ ""&amp;REGEXEXTRACT(B2457, ""^(.*): "")&amp;"" ✅ "" &amp;REGEXEXTRACT(B2457, ""(Trouvez.*)"")"),"🏘️ Louer appartement Les Bioux ✅ Trouvez le bien immobilier qui correspond idéalement à vos désirs sur ImmoScout24 - La plateforme de l'immobilier en Suisse.")</f>
        <v>🏘️ Louer appartement Les Bioux ✅ Trouvez le bien immobilier qui correspond idéalement à vos désirs sur ImmoScout24 - La plateforme de l'immobilier en Suisse.</v>
      </c>
      <c r="D2457" s="4" t="str">
        <f>vlookup(A2457, Sheet2!D:E, 2, 0)</f>
        <v>variant</v>
      </c>
      <c r="E2457" s="4" t="str">
        <f>IFERROR(__xludf.DUMMYFUNCTION("if(H2457=""pays"",vlookup(REGEXEXTRACT(C2457, ""🏘️ \w+ \w+ (.*) ✅""),'Country prepositions'!A:B, 2, 0) &amp; "" "" &amp; REGEXEXTRACT(C2457, ""🏘️ \w+ \w+ (.*) ✅"") ,  if(H2457=""quartier"",vlookup(REGEXEXTRACT(C2457, ""🏘️ \w+ \w+ (.*) ✅""),'Quartier prepositio"&amp;"ns'!A:E, 5, 0) ,  if(H2457=""region"",vlookup(REGEXEXTRACT(C2457, ""🏘️ \w+ \w+ (.*) ✅""),'Region prepositions'!B:F, 5, 0),  REGEXEXTRACT(C2457, ""🏘️ \w+ \w+ (.*) ✅""))))"),"Les Bioux")</f>
        <v>Les Bioux</v>
      </c>
      <c r="F2457" s="2" t="str">
        <f>IFERROR(__xludf.DUMMYFUNCTION("REGEXEXTRACT(C2457, ""🏘️ (\w+) \w+ .* ✅"")"),"Louer")</f>
        <v>Louer</v>
      </c>
      <c r="G2457" s="2" t="str">
        <f>IFERROR(__xludf.DUMMYFUNCTION("REGEXEXTRACT(C2457, ""🏘️ \w+ (\w+) .* ✅"")"),"appartement")</f>
        <v>appartement</v>
      </c>
      <c r="H2457" s="4" t="str">
        <f>IFERROR(__xludf.DUMMYFUNCTION("REGEXEXTRACT(A2457, ""/(\w+)-.*?"")"),"lieu")</f>
        <v>lieu</v>
      </c>
      <c r="I2457" s="4" t="str">
        <f>IFERROR(__xludf.DUMMYFUNCTION("if(D2457=""variant"",  substitute(filter(Templates!E:E, Templates!A:A = F2457, Templates!B:B = G2457, Templates!C:C = H2457), ""{{}}"", E2457), B2457)"),"🏘  Vous cherchez un appartement à louer à Les Bioux? ✅ Les annonces les plus actuelles sont sur ImmoScout24.ch.")</f>
        <v>🏘  Vous cherchez un appartement à louer à Les Bioux? ✅ Les annonces les plus actuelles sont sur ImmoScout24.ch.</v>
      </c>
      <c r="J2457" s="2" t="s">
        <v>7367</v>
      </c>
    </row>
    <row r="2458">
      <c r="A2458" s="5" t="s">
        <v>7368</v>
      </c>
      <c r="B2458" s="2" t="s">
        <v>7369</v>
      </c>
      <c r="C2458" s="4" t="str">
        <f>IFERROR(__xludf.DUMMYFUNCTION("""🏘️ ""&amp;REGEXEXTRACT(B2458, ""^(.*): "")&amp;"" ✅ "" &amp;REGEXEXTRACT(B2458, ""(Trouvez.*)"")"),"🏘️ Vendre maison Lanna ✅ Trouvez le bien immobilier qui correspond idéalement à vos désirs sur ImmoScout24 - La plateforme de l'immobilier en Suisse.")</f>
        <v>🏘️ Vendre maison Lanna ✅ Trouvez le bien immobilier qui correspond idéalement à vos désirs sur ImmoScout24 - La plateforme de l'immobilier en Suisse.</v>
      </c>
      <c r="D2458" s="4" t="str">
        <f>vlookup(A2458, Sheet2!D:E, 2, 0)</f>
        <v>variant</v>
      </c>
      <c r="E2458" s="4" t="str">
        <f>IFERROR(__xludf.DUMMYFUNCTION("if(H2458=""pays"",vlookup(REGEXEXTRACT(C2458, ""🏘️ \w+ \w+ (.*) ✅""),'Country prepositions'!A:B, 2, 0) &amp; "" "" &amp; REGEXEXTRACT(C2458, ""🏘️ \w+ \w+ (.*) ✅"") ,  if(H2458=""quartier"",vlookup(REGEXEXTRACT(C2458, ""🏘️ \w+ \w+ (.*) ✅""),'Quartier prepositio"&amp;"ns'!A:E, 5, 0) ,  if(H2458=""region"",vlookup(REGEXEXTRACT(C2458, ""🏘️ \w+ \w+ (.*) ✅""),'Region prepositions'!B:F, 5, 0),  REGEXEXTRACT(C2458, ""🏘️ \w+ \w+ (.*) ✅""))))"),"Lanna")</f>
        <v>Lanna</v>
      </c>
      <c r="F2458" s="2" t="str">
        <f>IFERROR(__xludf.DUMMYFUNCTION("REGEXEXTRACT(C2458, ""🏘️ (\w+) \w+ .* ✅"")"),"Vendre")</f>
        <v>Vendre</v>
      </c>
      <c r="G2458" s="2" t="str">
        <f>IFERROR(__xludf.DUMMYFUNCTION("REGEXEXTRACT(C2458, ""🏘️ \w+ (\w+) .* ✅"")"),"maison")</f>
        <v>maison</v>
      </c>
      <c r="H2458" s="4" t="str">
        <f>IFERROR(__xludf.DUMMYFUNCTION("REGEXEXTRACT(A2458, ""/(\w+)-.*?"")"),"lieu")</f>
        <v>lieu</v>
      </c>
      <c r="I2458" s="4" t="str">
        <f>IFERROR(__xludf.DUMMYFUNCTION("if(D2458=""variant"",  substitute(filter(Templates!E:E, Templates!A:A = F2458, Templates!B:B = G2458, Templates!C:C = H2458), ""{{}}"", E2458), B2458)"),"🏘  Vous souhaitez acheter une maison à Lanna? ✅ Jetez un œil aux dernières offres sur ImmoScout24.ch.")</f>
        <v>🏘  Vous souhaitez acheter une maison à Lanna? ✅ Jetez un œil aux dernières offres sur ImmoScout24.ch.</v>
      </c>
      <c r="J2458" s="4" t="s">
        <v>7370</v>
      </c>
    </row>
    <row r="2459">
      <c r="A2459" s="5" t="s">
        <v>7371</v>
      </c>
      <c r="B2459" s="2" t="s">
        <v>7372</v>
      </c>
      <c r="C2459" s="4" t="str">
        <f>IFERROR(__xludf.DUMMYFUNCTION("""🏘️ ""&amp;REGEXEXTRACT(B2459, ""^(.*): "")&amp;"" ✅ "" &amp;REGEXEXTRACT(B2459, ""(Trouvez.*)"")"),"🏘️ Vendre maison Jongny ✅ Trouvez le bien immobilier qui correspond idéalement à vos désirs sur ImmoScout24 - La plateforme de l'immobilier en Suisse.")</f>
        <v>🏘️ Vendre maison Jongny ✅ Trouvez le bien immobilier qui correspond idéalement à vos désirs sur ImmoScout24 - La plateforme de l'immobilier en Suisse.</v>
      </c>
      <c r="D2459" s="4" t="str">
        <f>vlookup(A2459, Sheet2!D:E, 2, 0)</f>
        <v>variant</v>
      </c>
      <c r="E2459" s="4" t="str">
        <f>IFERROR(__xludf.DUMMYFUNCTION("if(H2459=""pays"",vlookup(REGEXEXTRACT(C2459, ""🏘️ \w+ \w+ (.*) ✅""),'Country prepositions'!A:B, 2, 0) &amp; "" "" &amp; REGEXEXTRACT(C2459, ""🏘️ \w+ \w+ (.*) ✅"") ,  if(H2459=""quartier"",vlookup(REGEXEXTRACT(C2459, ""🏘️ \w+ \w+ (.*) ✅""),'Quartier prepositio"&amp;"ns'!A:E, 5, 0) ,  if(H2459=""region"",vlookup(REGEXEXTRACT(C2459, ""🏘️ \w+ \w+ (.*) ✅""),'Region prepositions'!B:F, 5, 0),  REGEXEXTRACT(C2459, ""🏘️ \w+ \w+ (.*) ✅""))))"),"Jongny")</f>
        <v>Jongny</v>
      </c>
      <c r="F2459" s="2" t="str">
        <f>IFERROR(__xludf.DUMMYFUNCTION("REGEXEXTRACT(C2459, ""🏘️ (\w+) \w+ .* ✅"")"),"Vendre")</f>
        <v>Vendre</v>
      </c>
      <c r="G2459" s="2" t="str">
        <f>IFERROR(__xludf.DUMMYFUNCTION("REGEXEXTRACT(C2459, ""🏘️ \w+ (\w+) .* ✅"")"),"maison")</f>
        <v>maison</v>
      </c>
      <c r="H2459" s="4" t="str">
        <f>IFERROR(__xludf.DUMMYFUNCTION("REGEXEXTRACT(A2459, ""/(\w+)-.*?"")"),"lieu")</f>
        <v>lieu</v>
      </c>
      <c r="I2459" s="4" t="str">
        <f>IFERROR(__xludf.DUMMYFUNCTION("if(D2459=""variant"",  substitute(filter(Templates!E:E, Templates!A:A = F2459, Templates!B:B = G2459, Templates!C:C = H2459), ""{{}}"", E2459), B2459)"),"🏘  Vous souhaitez acheter une maison à Jongny? ✅ Jetez un œil aux dernières offres sur ImmoScout24.ch.")</f>
        <v>🏘  Vous souhaitez acheter une maison à Jongny? ✅ Jetez un œil aux dernières offres sur ImmoScout24.ch.</v>
      </c>
      <c r="J2459" s="4" t="s">
        <v>7373</v>
      </c>
    </row>
    <row r="2460">
      <c r="A2460" s="5" t="s">
        <v>7374</v>
      </c>
      <c r="B2460" s="2" t="s">
        <v>7375</v>
      </c>
      <c r="C2460" s="4" t="str">
        <f>IFERROR(__xludf.DUMMYFUNCTION("""🏘️ ""&amp;REGEXEXTRACT(B2460, ""^(.*): "")&amp;"" ✅ "" &amp;REGEXEXTRACT(B2460, ""(Trouvez.*)"")"),"🏘️ Vendre maison Les Mosses ✅ Trouvez le bien immobilier qui correspond idéalement à vos désirs sur ImmoScout24 - La plateforme de l'immobilier en Suisse.")</f>
        <v>🏘️ Vendre maison Les Mosses ✅ Trouvez le bien immobilier qui correspond idéalement à vos désirs sur ImmoScout24 - La plateforme de l'immobilier en Suisse.</v>
      </c>
      <c r="D2460" s="4" t="str">
        <f>vlookup(A2460, Sheet2!D:E, 2, 0)</f>
        <v>variant</v>
      </c>
      <c r="E2460" s="4" t="str">
        <f>IFERROR(__xludf.DUMMYFUNCTION("if(H2460=""pays"",vlookup(REGEXEXTRACT(C2460, ""🏘️ \w+ \w+ (.*) ✅""),'Country prepositions'!A:B, 2, 0) &amp; "" "" &amp; REGEXEXTRACT(C2460, ""🏘️ \w+ \w+ (.*) ✅"") ,  if(H2460=""quartier"",vlookup(REGEXEXTRACT(C2460, ""🏘️ \w+ \w+ (.*) ✅""),'Quartier prepositio"&amp;"ns'!A:E, 5, 0) ,  if(H2460=""region"",vlookup(REGEXEXTRACT(C2460, ""🏘️ \w+ \w+ (.*) ✅""),'Region prepositions'!B:F, 5, 0),  REGEXEXTRACT(C2460, ""🏘️ \w+ \w+ (.*) ✅""))))"),"Les Mosses")</f>
        <v>Les Mosses</v>
      </c>
      <c r="F2460" s="2" t="str">
        <f>IFERROR(__xludf.DUMMYFUNCTION("REGEXEXTRACT(C2460, ""🏘️ (\w+) \w+ .* ✅"")"),"Vendre")</f>
        <v>Vendre</v>
      </c>
      <c r="G2460" s="2" t="str">
        <f>IFERROR(__xludf.DUMMYFUNCTION("REGEXEXTRACT(C2460, ""🏘️ \w+ (\w+) .* ✅"")"),"maison")</f>
        <v>maison</v>
      </c>
      <c r="H2460" s="4" t="str">
        <f>IFERROR(__xludf.DUMMYFUNCTION("REGEXEXTRACT(A2460, ""/(\w+)-.*?"")"),"lieu")</f>
        <v>lieu</v>
      </c>
      <c r="I2460" s="4" t="str">
        <f>IFERROR(__xludf.DUMMYFUNCTION("if(D2460=""variant"",  substitute(filter(Templates!E:E, Templates!A:A = F2460, Templates!B:B = G2460, Templates!C:C = H2460), ""{{}}"", E2460), B2460)"),"🏘  Vous souhaitez acheter une maison à Les Mosses? ✅ Jetez un œil aux dernières offres sur ImmoScout24.ch.")</f>
        <v>🏘  Vous souhaitez acheter une maison à Les Mosses? ✅ Jetez un œil aux dernières offres sur ImmoScout24.ch.</v>
      </c>
      <c r="J2460" s="2" t="s">
        <v>7376</v>
      </c>
    </row>
    <row r="2461">
      <c r="A2461" s="5" t="s">
        <v>7377</v>
      </c>
      <c r="B2461" s="2" t="s">
        <v>7378</v>
      </c>
      <c r="C2461" s="4" t="str">
        <f>IFERROR(__xludf.DUMMYFUNCTION("""🏘️ ""&amp;REGEXEXTRACT(B2461, ""^(.*): "")&amp;"" ✅ "" &amp;REGEXEXTRACT(B2461, ""(Trouvez.*)"")"),"🏘️ Louer appartement St-George ✅ Trouvez le bien immobilier qui correspond idéalement à vos désirs sur ImmoScout24 - La plateforme de l'immobilier en Suisse.")</f>
        <v>🏘️ Louer appartement St-George ✅ Trouvez le bien immobilier qui correspond idéalement à vos désirs sur ImmoScout24 - La plateforme de l'immobilier en Suisse.</v>
      </c>
      <c r="D2461" s="4" t="str">
        <f>vlookup(A2461, Sheet2!D:E, 2, 0)</f>
        <v>variant</v>
      </c>
      <c r="E2461" s="4" t="str">
        <f>IFERROR(__xludf.DUMMYFUNCTION("if(H2461=""pays"",vlookup(REGEXEXTRACT(C2461, ""🏘️ \w+ \w+ (.*) ✅""),'Country prepositions'!A:B, 2, 0) &amp; "" "" &amp; REGEXEXTRACT(C2461, ""🏘️ \w+ \w+ (.*) ✅"") ,  if(H2461=""quartier"",vlookup(REGEXEXTRACT(C2461, ""🏘️ \w+ \w+ (.*) ✅""),'Quartier prepositio"&amp;"ns'!A:E, 5, 0) ,  if(H2461=""region"",vlookup(REGEXEXTRACT(C2461, ""🏘️ \w+ \w+ (.*) ✅""),'Region prepositions'!B:F, 5, 0),  REGEXEXTRACT(C2461, ""🏘️ \w+ \w+ (.*) ✅""))))"),"St-George")</f>
        <v>St-George</v>
      </c>
      <c r="F2461" s="2" t="str">
        <f>IFERROR(__xludf.DUMMYFUNCTION("REGEXEXTRACT(C2461, ""🏘️ (\w+) \w+ .* ✅"")"),"Louer")</f>
        <v>Louer</v>
      </c>
      <c r="G2461" s="2" t="str">
        <f>IFERROR(__xludf.DUMMYFUNCTION("REGEXEXTRACT(C2461, ""🏘️ \w+ (\w+) .* ✅"")"),"appartement")</f>
        <v>appartement</v>
      </c>
      <c r="H2461" s="4" t="str">
        <f>IFERROR(__xludf.DUMMYFUNCTION("REGEXEXTRACT(A2461, ""/(\w+)-.*?"")"),"lieu")</f>
        <v>lieu</v>
      </c>
      <c r="I2461" s="4" t="str">
        <f>IFERROR(__xludf.DUMMYFUNCTION("if(D2461=""variant"",  substitute(filter(Templates!E:E, Templates!A:A = F2461, Templates!B:B = G2461, Templates!C:C = H2461), ""{{}}"", E2461), B2461)"),"🏘  Vous cherchez un appartement à louer à St-George? ✅ Les annonces les plus actuelles sont sur ImmoScout24.ch.")</f>
        <v>🏘  Vous cherchez un appartement à louer à St-George? ✅ Les annonces les plus actuelles sont sur ImmoScout24.ch.</v>
      </c>
      <c r="J2461" s="4" t="s">
        <v>7379</v>
      </c>
    </row>
    <row r="2462">
      <c r="A2462" s="5" t="s">
        <v>7380</v>
      </c>
      <c r="B2462" s="2" t="s">
        <v>7381</v>
      </c>
      <c r="C2462" s="4" t="str">
        <f>IFERROR(__xludf.DUMMYFUNCTION("""🏘️ ""&amp;REGEXEXTRACT(B2462, ""^(.*): "")&amp;"" ✅ "" &amp;REGEXEXTRACT(B2462, ""(Trouvez.*)"")"),"🏘️ Vendre appartement Servion ✅ Trouvez le bien immobilier qui correspond idéalement à vos désirs sur ImmoScout24 - La plateforme de l'immobilier en Suisse.")</f>
        <v>🏘️ Vendre appartement Servion ✅ Trouvez le bien immobilier qui correspond idéalement à vos désirs sur ImmoScout24 - La plateforme de l'immobilier en Suisse.</v>
      </c>
      <c r="D2462" s="4" t="str">
        <f>vlookup(A2462, Sheet2!D:E, 2, 0)</f>
        <v>variant</v>
      </c>
      <c r="E2462" s="4" t="str">
        <f>IFERROR(__xludf.DUMMYFUNCTION("if(H2462=""pays"",vlookup(REGEXEXTRACT(C2462, ""🏘️ \w+ \w+ (.*) ✅""),'Country prepositions'!A:B, 2, 0) &amp; "" "" &amp; REGEXEXTRACT(C2462, ""🏘️ \w+ \w+ (.*) ✅"") ,  if(H2462=""quartier"",vlookup(REGEXEXTRACT(C2462, ""🏘️ \w+ \w+ (.*) ✅""),'Quartier prepositio"&amp;"ns'!A:E, 5, 0) ,  if(H2462=""region"",vlookup(REGEXEXTRACT(C2462, ""🏘️ \w+ \w+ (.*) ✅""),'Region prepositions'!B:F, 5, 0),  REGEXEXTRACT(C2462, ""🏘️ \w+ \w+ (.*) ✅""))))"),"Servion")</f>
        <v>Servion</v>
      </c>
      <c r="F2462" s="2" t="str">
        <f>IFERROR(__xludf.DUMMYFUNCTION("REGEXEXTRACT(C2462, ""🏘️ (\w+) \w+ .* ✅"")"),"Vendre")</f>
        <v>Vendre</v>
      </c>
      <c r="G2462" s="2" t="str">
        <f>IFERROR(__xludf.DUMMYFUNCTION("REGEXEXTRACT(C2462, ""🏘️ \w+ (\w+) .* ✅"")"),"appartement")</f>
        <v>appartement</v>
      </c>
      <c r="H2462" s="4" t="str">
        <f>IFERROR(__xludf.DUMMYFUNCTION("REGEXEXTRACT(A2462, ""/(\w+)-.*?"")"),"lieu")</f>
        <v>lieu</v>
      </c>
      <c r="I2462" s="4" t="str">
        <f>IFERROR(__xludf.DUMMYFUNCTION("if(D2462=""variant"",  substitute(filter(Templates!E:E, Templates!A:A = F2462, Templates!B:B = G2462, Templates!C:C = H2462), ""{{}}"", E2462), B2462)"),"🏘  L’appartement de vos rêves se trouve sur ImmoScout24.ch ✅ Découvrez les dernières annonces de vente à Servion.")</f>
        <v>🏘  L’appartement de vos rêves se trouve sur ImmoScout24.ch ✅ Découvrez les dernières annonces de vente à Servion.</v>
      </c>
      <c r="J2462" s="4" t="s">
        <v>7382</v>
      </c>
    </row>
    <row r="2463">
      <c r="A2463" s="5" t="s">
        <v>7383</v>
      </c>
      <c r="B2463" s="2" t="s">
        <v>7384</v>
      </c>
      <c r="C2463" s="4" t="str">
        <f>IFERROR(__xludf.DUMMYFUNCTION("""🏘️ ""&amp;REGEXEXTRACT(B2463, ""^(.*): "")&amp;"" ✅ "" &amp;REGEXEXTRACT(B2463, ""(Trouvez.*)"")"),"🏘️ Vendre appartement Sauvabelin (Lausanne) ✅ Trouvez le bien immobilier qui correspond idéalement à vos désirs sur ImmoScout24 - La plateforme de l'immobilier en Suisse.")</f>
        <v>🏘️ Vendre appartement Sauvabelin (Lausanne) ✅ Trouvez le bien immobilier qui correspond idéalement à vos désirs sur ImmoScout24 - La plateforme de l'immobilier en Suisse.</v>
      </c>
      <c r="D2463" s="4" t="str">
        <f>vlookup(A2463, Sheet2!D:E, 2, 0)</f>
        <v>variant</v>
      </c>
      <c r="E2463" s="4" t="str">
        <f>IFERROR(__xludf.DUMMYFUNCTION("if(H2463=""pays"",vlookup(REGEXEXTRACT(C2463, ""🏘️ \w+ \w+ (.*) ✅""),'Country prepositions'!A:B, 2, 0) &amp; "" "" &amp; REGEXEXTRACT(C2463, ""🏘️ \w+ \w+ (.*) ✅"") ,  if(H2463=""quartier"",vlookup(REGEXEXTRACT(C2463, ""🏘️ \w+ \w+ (.*) ✅""),'Quartier prepositio"&amp;"ns'!A:E, 5, 0) ,  if(H2463=""region"",vlookup(REGEXEXTRACT(C2463, ""🏘️ \w+ \w+ (.*) ✅""),'Region prepositions'!B:F, 5, 0),  REGEXEXTRACT(C2463, ""🏘️ \w+ \w+ (.*) ✅""))))"),"dans le quartier de Sauvabelin (Lausanne)")</f>
        <v>dans le quartier de Sauvabelin (Lausanne)</v>
      </c>
      <c r="F2463" s="2" t="str">
        <f>IFERROR(__xludf.DUMMYFUNCTION("REGEXEXTRACT(C2463, ""🏘️ (\w+) \w+ .* ✅"")"),"Vendre")</f>
        <v>Vendre</v>
      </c>
      <c r="G2463" s="2" t="str">
        <f>IFERROR(__xludf.DUMMYFUNCTION("REGEXEXTRACT(C2463, ""🏘️ \w+ (\w+) .* ✅"")"),"appartement")</f>
        <v>appartement</v>
      </c>
      <c r="H2463" s="4" t="str">
        <f>IFERROR(__xludf.DUMMYFUNCTION("REGEXEXTRACT(A2463, ""/(\w+)-.*?"")"),"quartier")</f>
        <v>quartier</v>
      </c>
      <c r="I2463" s="4" t="str">
        <f>IFERROR(__xludf.DUMMYFUNCTION("if(D2463=""variant"",  substitute(filter(Templates!E:E, Templates!A:A = F2463, Templates!B:B = G2463, Templates!C:C = H2463), ""{{}}"", E2463), B2463)"),"🏘  L’appartement de vos rêves se trouve sur ImmoScout24.ch ✅ Découvrez les dernières annonces de vente dans le quartier de Sauvabelin (Lausanne).")</f>
        <v>🏘  L’appartement de vos rêves se trouve sur ImmoScout24.ch ✅ Découvrez les dernières annonces de vente dans le quartier de Sauvabelin (Lausanne).</v>
      </c>
      <c r="J2463" s="4" t="s">
        <v>7385</v>
      </c>
    </row>
    <row r="2464">
      <c r="A2464" s="5" t="s">
        <v>7386</v>
      </c>
      <c r="B2464" s="2" t="s">
        <v>7387</v>
      </c>
      <c r="C2464" s="4" t="str">
        <f>IFERROR(__xludf.DUMMYFUNCTION("""🏘️ ""&amp;REGEXEXTRACT(B2464, ""^(.*): "")&amp;"" ✅ "" &amp;REGEXEXTRACT(B2464, ""(Trouvez.*)"")"),"🏘️ Louer appartement Jussy ✅ Trouvez le bien immobilier qui correspond idéalement à vos désirs sur ImmoScout24 - La plateforme de l'immobilier en Suisse.")</f>
        <v>🏘️ Louer appartement Jussy ✅ Trouvez le bien immobilier qui correspond idéalement à vos désirs sur ImmoScout24 - La plateforme de l'immobilier en Suisse.</v>
      </c>
      <c r="D2464" s="4" t="str">
        <f>vlookup(A2464, Sheet2!D:E, 2, 0)</f>
        <v>variant</v>
      </c>
      <c r="E2464" s="4" t="str">
        <f>IFERROR(__xludf.DUMMYFUNCTION("if(H2464=""pays"",vlookup(REGEXEXTRACT(C2464, ""🏘️ \w+ \w+ (.*) ✅""),'Country prepositions'!A:B, 2, 0) &amp; "" "" &amp; REGEXEXTRACT(C2464, ""🏘️ \w+ \w+ (.*) ✅"") ,  if(H2464=""quartier"",vlookup(REGEXEXTRACT(C2464, ""🏘️ \w+ \w+ (.*) ✅""),'Quartier prepositio"&amp;"ns'!A:E, 5, 0) ,  if(H2464=""region"",vlookup(REGEXEXTRACT(C2464, ""🏘️ \w+ \w+ (.*) ✅""),'Region prepositions'!B:F, 5, 0),  REGEXEXTRACT(C2464, ""🏘️ \w+ \w+ (.*) ✅""))))"),"Jussy")</f>
        <v>Jussy</v>
      </c>
      <c r="F2464" s="2" t="str">
        <f>IFERROR(__xludf.DUMMYFUNCTION("REGEXEXTRACT(C2464, ""🏘️ (\w+) \w+ .* ✅"")"),"Louer")</f>
        <v>Louer</v>
      </c>
      <c r="G2464" s="2" t="str">
        <f>IFERROR(__xludf.DUMMYFUNCTION("REGEXEXTRACT(C2464, ""🏘️ \w+ (\w+) .* ✅"")"),"appartement")</f>
        <v>appartement</v>
      </c>
      <c r="H2464" s="4" t="str">
        <f>IFERROR(__xludf.DUMMYFUNCTION("REGEXEXTRACT(A2464, ""/(\w+)-.*?"")"),"lieu")</f>
        <v>lieu</v>
      </c>
      <c r="I2464" s="4" t="str">
        <f>IFERROR(__xludf.DUMMYFUNCTION("if(D2464=""variant"",  substitute(filter(Templates!E:E, Templates!A:A = F2464, Templates!B:B = G2464, Templates!C:C = H2464), ""{{}}"", E2464), B2464)"),"🏘  Vous cherchez un appartement à louer à Jussy? ✅ Les annonces les plus actuelles sont sur ImmoScout24.ch.")</f>
        <v>🏘  Vous cherchez un appartement à louer à Jussy? ✅ Les annonces les plus actuelles sont sur ImmoScout24.ch.</v>
      </c>
      <c r="J2464" s="4" t="s">
        <v>7388</v>
      </c>
    </row>
    <row r="2465">
      <c r="A2465" s="5" t="s">
        <v>7389</v>
      </c>
      <c r="B2465" s="2" t="s">
        <v>7390</v>
      </c>
      <c r="C2465" s="4" t="str">
        <f>IFERROR(__xludf.DUMMYFUNCTION("""🏘️ ""&amp;REGEXEXTRACT(B2465, ""^(.*): "")&amp;"" ✅ "" &amp;REGEXEXTRACT(B2465, ""(Trouvez.*)"")"),"🏘️ Vendre maison Fieschertal ✅ Trouvez le bien immobilier qui correspond idéalement à vos désirs sur ImmoScout24 - La plateforme de l'immobilier en Suisse.")</f>
        <v>🏘️ Vendre maison Fieschertal ✅ Trouvez le bien immobilier qui correspond idéalement à vos désirs sur ImmoScout24 - La plateforme de l'immobilier en Suisse.</v>
      </c>
      <c r="D2465" s="4" t="str">
        <f>vlookup(A2465, Sheet2!D:E, 2, 0)</f>
        <v>variant</v>
      </c>
      <c r="E2465" s="4" t="str">
        <f>IFERROR(__xludf.DUMMYFUNCTION("if(H2465=""pays"",vlookup(REGEXEXTRACT(C2465, ""🏘️ \w+ \w+ (.*) ✅""),'Country prepositions'!A:B, 2, 0) &amp; "" "" &amp; REGEXEXTRACT(C2465, ""🏘️ \w+ \w+ (.*) ✅"") ,  if(H2465=""quartier"",vlookup(REGEXEXTRACT(C2465, ""🏘️ \w+ \w+ (.*) ✅""),'Quartier prepositio"&amp;"ns'!A:E, 5, 0) ,  if(H2465=""region"",vlookup(REGEXEXTRACT(C2465, ""🏘️ \w+ \w+ (.*) ✅""),'Region prepositions'!B:F, 5, 0),  REGEXEXTRACT(C2465, ""🏘️ \w+ \w+ (.*) ✅""))))"),"Fieschertal")</f>
        <v>Fieschertal</v>
      </c>
      <c r="F2465" s="2" t="str">
        <f>IFERROR(__xludf.DUMMYFUNCTION("REGEXEXTRACT(C2465, ""🏘️ (\w+) \w+ .* ✅"")"),"Vendre")</f>
        <v>Vendre</v>
      </c>
      <c r="G2465" s="2" t="str">
        <f>IFERROR(__xludf.DUMMYFUNCTION("REGEXEXTRACT(C2465, ""🏘️ \w+ (\w+) .* ✅"")"),"maison")</f>
        <v>maison</v>
      </c>
      <c r="H2465" s="4" t="str">
        <f>IFERROR(__xludf.DUMMYFUNCTION("REGEXEXTRACT(A2465, ""/(\w+)-.*?"")"),"lieu")</f>
        <v>lieu</v>
      </c>
      <c r="I2465" s="4" t="str">
        <f>IFERROR(__xludf.DUMMYFUNCTION("if(D2465=""variant"",  substitute(filter(Templates!E:E, Templates!A:A = F2465, Templates!B:B = G2465, Templates!C:C = H2465), ""{{}}"", E2465), B2465)"),"🏘  Vous souhaitez acheter une maison à Fieschertal? ✅ Jetez un œil aux dernières offres sur ImmoScout24.ch.")</f>
        <v>🏘  Vous souhaitez acheter une maison à Fieschertal? ✅ Jetez un œil aux dernières offres sur ImmoScout24.ch.</v>
      </c>
      <c r="J2465" s="4" t="s">
        <v>7391</v>
      </c>
    </row>
    <row r="2466">
      <c r="A2466" s="5" t="s">
        <v>7392</v>
      </c>
      <c r="B2466" s="2" t="s">
        <v>7393</v>
      </c>
      <c r="C2466" s="4" t="str">
        <f>IFERROR(__xludf.DUMMYFUNCTION("""🏘️ ""&amp;REGEXEXTRACT(B2466, ""^(.*): "")&amp;"" ✅ "" &amp;REGEXEXTRACT(B2466, ""(Trouvez.*)"")"),"🏘️ Louer appartement Rikon im Tösstal ✅ Trouvez le bien immobilier qui correspond idéalement à vos désirs sur ImmoScout24 - La plateforme de l'immobilier en Suisse.")</f>
        <v>🏘️ Louer appartement Rikon im Tösstal ✅ Trouvez le bien immobilier qui correspond idéalement à vos désirs sur ImmoScout24 - La plateforme de l'immobilier en Suisse.</v>
      </c>
      <c r="D2466" s="4" t="str">
        <f>vlookup(A2466, Sheet2!D:E, 2, 0)</f>
        <v>variant</v>
      </c>
      <c r="E2466" s="4" t="str">
        <f>IFERROR(__xludf.DUMMYFUNCTION("if(H2466=""pays"",vlookup(REGEXEXTRACT(C2466, ""🏘️ \w+ \w+ (.*) ✅""),'Country prepositions'!A:B, 2, 0) &amp; "" "" &amp; REGEXEXTRACT(C2466, ""🏘️ \w+ \w+ (.*) ✅"") ,  if(H2466=""quartier"",vlookup(REGEXEXTRACT(C2466, ""🏘️ \w+ \w+ (.*) ✅""),'Quartier prepositio"&amp;"ns'!A:E, 5, 0) ,  if(H2466=""region"",vlookup(REGEXEXTRACT(C2466, ""🏘️ \w+ \w+ (.*) ✅""),'Region prepositions'!B:F, 5, 0),  REGEXEXTRACT(C2466, ""🏘️ \w+ \w+ (.*) ✅""))))"),"Rikon im Tösstal")</f>
        <v>Rikon im Tösstal</v>
      </c>
      <c r="F2466" s="2" t="str">
        <f>IFERROR(__xludf.DUMMYFUNCTION("REGEXEXTRACT(C2466, ""🏘️ (\w+) \w+ .* ✅"")"),"Louer")</f>
        <v>Louer</v>
      </c>
      <c r="G2466" s="2" t="str">
        <f>IFERROR(__xludf.DUMMYFUNCTION("REGEXEXTRACT(C2466, ""🏘️ \w+ (\w+) .* ✅"")"),"appartement")</f>
        <v>appartement</v>
      </c>
      <c r="H2466" s="4" t="str">
        <f>IFERROR(__xludf.DUMMYFUNCTION("REGEXEXTRACT(A2466, ""/(\w+)-.*?"")"),"lieu")</f>
        <v>lieu</v>
      </c>
      <c r="I2466" s="4" t="str">
        <f>IFERROR(__xludf.DUMMYFUNCTION("if(D2466=""variant"",  substitute(filter(Templates!E:E, Templates!A:A = F2466, Templates!B:B = G2466, Templates!C:C = H2466), ""{{}}"", E2466), B2466)"),"🏘  Vous cherchez un appartement à louer à Rikon im Tösstal? ✅ Les annonces les plus actuelles sont sur ImmoScout24.ch.")</f>
        <v>🏘  Vous cherchez un appartement à louer à Rikon im Tösstal? ✅ Les annonces les plus actuelles sont sur ImmoScout24.ch.</v>
      </c>
      <c r="J2466" s="4" t="s">
        <v>7394</v>
      </c>
    </row>
    <row r="2467">
      <c r="A2467" s="5" t="s">
        <v>7395</v>
      </c>
      <c r="B2467" s="2" t="s">
        <v>7396</v>
      </c>
      <c r="C2467" s="4" t="str">
        <f>IFERROR(__xludf.DUMMYFUNCTION("""🏘️ ""&amp;REGEXEXTRACT(B2467, ""^(.*): "")&amp;"" ✅ "" &amp;REGEXEXTRACT(B2467, ""(Trouvez.*)"")"),"🏘️ Louer appartement Lucerne Hinterland ✅ Trouvez le bien immobilier qui correspond idéalement à vos désirs sur ImmoScout24 - La plateforme de l'immobilier en Suisse.")</f>
        <v>🏘️ Louer appartement Lucerne Hinterland ✅ Trouvez le bien immobilier qui correspond idéalement à vos désirs sur ImmoScout24 - La plateforme de l'immobilier en Suisse.</v>
      </c>
      <c r="D2467" s="4" t="str">
        <f>vlookup(A2467, Sheet2!D:E, 2, 0)</f>
        <v>variant</v>
      </c>
      <c r="E2467" s="4" t="str">
        <f>IFERROR(__xludf.DUMMYFUNCTION("if(H2467=""pays"",vlookup(REGEXEXTRACT(C2467, ""🏘️ \w+ \w+ (.*) ✅""),'Country prepositions'!A:B, 2, 0) &amp; "" "" &amp; REGEXEXTRACT(C2467, ""🏘️ \w+ \w+ (.*) ✅"") ,  if(H2467=""quartier"",vlookup(REGEXEXTRACT(C2467, ""🏘️ \w+ \w+ (.*) ✅""),'Quartier prepositio"&amp;"ns'!A:E, 5, 0) ,  if(H2467=""region"",vlookup(REGEXEXTRACT(C2467, ""🏘️ \w+ \w+ (.*) ✅""),'Region prepositions'!B:F, 5, 0),  REGEXEXTRACT(C2467, ""🏘️ \w+ \w+ (.*) ✅""))))"),"dans la région de Lucerne Hinterland")</f>
        <v>dans la région de Lucerne Hinterland</v>
      </c>
      <c r="F2467" s="2" t="str">
        <f>IFERROR(__xludf.DUMMYFUNCTION("REGEXEXTRACT(C2467, ""🏘️ (\w+) \w+ .* ✅"")"),"Louer")</f>
        <v>Louer</v>
      </c>
      <c r="G2467" s="2" t="str">
        <f>IFERROR(__xludf.DUMMYFUNCTION("REGEXEXTRACT(C2467, ""🏘️ \w+ (\w+) .* ✅"")"),"appartement")</f>
        <v>appartement</v>
      </c>
      <c r="H2467" s="4" t="str">
        <f>IFERROR(__xludf.DUMMYFUNCTION("REGEXEXTRACT(A2467, ""/(\w+)-.*?"")"),"region")</f>
        <v>region</v>
      </c>
      <c r="I2467" s="4" t="str">
        <f>IFERROR(__xludf.DUMMYFUNCTION("if(D2467=""variant"",  substitute(filter(Templates!E:E, Templates!A:A = F2467, Templates!B:B = G2467, Templates!C:C = H2467), ""{{}}"", E2467), B2467)"),"🏘  Vous cherchez un appartement à louer dans la région de Lucerne Hinterland? ✅ Les annonces les plus actuelles sont sur ImmoScout24.ch.")</f>
        <v>🏘  Vous cherchez un appartement à louer dans la région de Lucerne Hinterland? ✅ Les annonces les plus actuelles sont sur ImmoScout24.ch.</v>
      </c>
      <c r="J2467" s="4" t="s">
        <v>7397</v>
      </c>
    </row>
    <row r="2468">
      <c r="A2468" s="5" t="s">
        <v>7398</v>
      </c>
      <c r="B2468" s="2" t="s">
        <v>7399</v>
      </c>
      <c r="C2468" s="4" t="str">
        <f>IFERROR(__xludf.DUMMYFUNCTION("""🏘️ ""&amp;REGEXEXTRACT(B2468, ""^(.*): "")&amp;"" ✅ "" &amp;REGEXEXTRACT(B2468, ""(Trouvez.*)"")"),"🏘️ Vendre appartement Montherod ✅ Trouvez le bien immobilier qui correspond idéalement à vos désirs sur ImmoScout24 - La plateforme de l'immobilier en Suisse.")</f>
        <v>🏘️ Vendre appartement Montherod ✅ Trouvez le bien immobilier qui correspond idéalement à vos désirs sur ImmoScout24 - La plateforme de l'immobilier en Suisse.</v>
      </c>
      <c r="D2468" s="4" t="str">
        <f>vlookup(A2468, Sheet2!D:E, 2, 0)</f>
        <v>variant</v>
      </c>
      <c r="E2468" s="4" t="str">
        <f>IFERROR(__xludf.DUMMYFUNCTION("if(H2468=""pays"",vlookup(REGEXEXTRACT(C2468, ""🏘️ \w+ \w+ (.*) ✅""),'Country prepositions'!A:B, 2, 0) &amp; "" "" &amp; REGEXEXTRACT(C2468, ""🏘️ \w+ \w+ (.*) ✅"") ,  if(H2468=""quartier"",vlookup(REGEXEXTRACT(C2468, ""🏘️ \w+ \w+ (.*) ✅""),'Quartier prepositio"&amp;"ns'!A:E, 5, 0) ,  if(H2468=""region"",vlookup(REGEXEXTRACT(C2468, ""🏘️ \w+ \w+ (.*) ✅""),'Region prepositions'!B:F, 5, 0),  REGEXEXTRACT(C2468, ""🏘️ \w+ \w+ (.*) ✅""))))"),"Montherod")</f>
        <v>Montherod</v>
      </c>
      <c r="F2468" s="2" t="str">
        <f>IFERROR(__xludf.DUMMYFUNCTION("REGEXEXTRACT(C2468, ""🏘️ (\w+) \w+ .* ✅"")"),"Vendre")</f>
        <v>Vendre</v>
      </c>
      <c r="G2468" s="2" t="str">
        <f>IFERROR(__xludf.DUMMYFUNCTION("REGEXEXTRACT(C2468, ""🏘️ \w+ (\w+) .* ✅"")"),"appartement")</f>
        <v>appartement</v>
      </c>
      <c r="H2468" s="4" t="str">
        <f>IFERROR(__xludf.DUMMYFUNCTION("REGEXEXTRACT(A2468, ""/(\w+)-.*?"")"),"lieu")</f>
        <v>lieu</v>
      </c>
      <c r="I2468" s="4" t="str">
        <f>IFERROR(__xludf.DUMMYFUNCTION("if(D2468=""variant"",  substitute(filter(Templates!E:E, Templates!A:A = F2468, Templates!B:B = G2468, Templates!C:C = H2468), ""{{}}"", E2468), B2468)"),"🏘  L’appartement de vos rêves se trouve sur ImmoScout24.ch ✅ Découvrez les dernières annonces de vente à Montherod.")</f>
        <v>🏘  L’appartement de vos rêves se trouve sur ImmoScout24.ch ✅ Découvrez les dernières annonces de vente à Montherod.</v>
      </c>
      <c r="J2468" s="4" t="s">
        <v>7400</v>
      </c>
    </row>
    <row r="2469">
      <c r="A2469" s="5" t="s">
        <v>7401</v>
      </c>
      <c r="B2469" s="2" t="s">
        <v>7402</v>
      </c>
      <c r="C2469" s="4" t="str">
        <f>IFERROR(__xludf.DUMMYFUNCTION("""🏘️ ""&amp;REGEXEXTRACT(B2469, ""^(.*): "")&amp;"" ✅ "" &amp;REGEXEXTRACT(B2469, ""(Trouvez.*)"")"),"🏘️ Vendre appartement Prêles ✅ Trouvez le bien immobilier qui correspond idéalement à vos désirs sur ImmoScout24 - La plateforme de l'immobilier en Suisse.")</f>
        <v>🏘️ Vendre appartement Prêles ✅ Trouvez le bien immobilier qui correspond idéalement à vos désirs sur ImmoScout24 - La plateforme de l'immobilier en Suisse.</v>
      </c>
      <c r="D2469" s="4" t="str">
        <f>vlookup(A2469, Sheet2!D:E, 2, 0)</f>
        <v>variant</v>
      </c>
      <c r="E2469" s="4" t="str">
        <f>IFERROR(__xludf.DUMMYFUNCTION("if(H2469=""pays"",vlookup(REGEXEXTRACT(C2469, ""🏘️ \w+ \w+ (.*) ✅""),'Country prepositions'!A:B, 2, 0) &amp; "" "" &amp; REGEXEXTRACT(C2469, ""🏘️ \w+ \w+ (.*) ✅"") ,  if(H2469=""quartier"",vlookup(REGEXEXTRACT(C2469, ""🏘️ \w+ \w+ (.*) ✅""),'Quartier prepositio"&amp;"ns'!A:E, 5, 0) ,  if(H2469=""region"",vlookup(REGEXEXTRACT(C2469, ""🏘️ \w+ \w+ (.*) ✅""),'Region prepositions'!B:F, 5, 0),  REGEXEXTRACT(C2469, ""🏘️ \w+ \w+ (.*) ✅""))))"),"Prêles")</f>
        <v>Prêles</v>
      </c>
      <c r="F2469" s="2" t="str">
        <f>IFERROR(__xludf.DUMMYFUNCTION("REGEXEXTRACT(C2469, ""🏘️ (\w+) \w+ .* ✅"")"),"Vendre")</f>
        <v>Vendre</v>
      </c>
      <c r="G2469" s="2" t="str">
        <f>IFERROR(__xludf.DUMMYFUNCTION("REGEXEXTRACT(C2469, ""🏘️ \w+ (\w+) .* ✅"")"),"appartement")</f>
        <v>appartement</v>
      </c>
      <c r="H2469" s="4" t="str">
        <f>IFERROR(__xludf.DUMMYFUNCTION("REGEXEXTRACT(A2469, ""/(\w+)-.*?"")"),"lieu")</f>
        <v>lieu</v>
      </c>
      <c r="I2469" s="4" t="str">
        <f>IFERROR(__xludf.DUMMYFUNCTION("if(D2469=""variant"",  substitute(filter(Templates!E:E, Templates!A:A = F2469, Templates!B:B = G2469, Templates!C:C = H2469), ""{{}}"", E2469), B2469)"),"🏘  L’appartement de vos rêves se trouve sur ImmoScout24.ch ✅ Découvrez les dernières annonces de vente à Prêles.")</f>
        <v>🏘  L’appartement de vos rêves se trouve sur ImmoScout24.ch ✅ Découvrez les dernières annonces de vente à Prêles.</v>
      </c>
      <c r="J2469" s="4" t="s">
        <v>7403</v>
      </c>
    </row>
    <row r="2470">
      <c r="A2470" s="5" t="s">
        <v>7404</v>
      </c>
      <c r="B2470" s="2" t="s">
        <v>7405</v>
      </c>
      <c r="C2470" s="4" t="str">
        <f>IFERROR(__xludf.DUMMYFUNCTION("""🏘️ ""&amp;REGEXEXTRACT(B2470, ""^(.*): "")&amp;"" ✅ "" &amp;REGEXEXTRACT(B2470, ""(Trouvez.*)"")"),"🏘️ Vendre maison Suberg ✅ Trouvez le bien immobilier qui correspond idéalement à vos désirs sur ImmoScout24 - La plateforme de l'immobilier en Suisse.")</f>
        <v>🏘️ Vendre maison Suberg ✅ Trouvez le bien immobilier qui correspond idéalement à vos désirs sur ImmoScout24 - La plateforme de l'immobilier en Suisse.</v>
      </c>
      <c r="D2470" s="4" t="str">
        <f>vlookup(A2470, Sheet2!D:E, 2, 0)</f>
        <v>variant</v>
      </c>
      <c r="E2470" s="4" t="str">
        <f>IFERROR(__xludf.DUMMYFUNCTION("if(H2470=""pays"",vlookup(REGEXEXTRACT(C2470, ""🏘️ \w+ \w+ (.*) ✅""),'Country prepositions'!A:B, 2, 0) &amp; "" "" &amp; REGEXEXTRACT(C2470, ""🏘️ \w+ \w+ (.*) ✅"") ,  if(H2470=""quartier"",vlookup(REGEXEXTRACT(C2470, ""🏘️ \w+ \w+ (.*) ✅""),'Quartier prepositio"&amp;"ns'!A:E, 5, 0) ,  if(H2470=""region"",vlookup(REGEXEXTRACT(C2470, ""🏘️ \w+ \w+ (.*) ✅""),'Region prepositions'!B:F, 5, 0),  REGEXEXTRACT(C2470, ""🏘️ \w+ \w+ (.*) ✅""))))"),"Suberg")</f>
        <v>Suberg</v>
      </c>
      <c r="F2470" s="2" t="str">
        <f>IFERROR(__xludf.DUMMYFUNCTION("REGEXEXTRACT(C2470, ""🏘️ (\w+) \w+ .* ✅"")"),"Vendre")</f>
        <v>Vendre</v>
      </c>
      <c r="G2470" s="2" t="str">
        <f>IFERROR(__xludf.DUMMYFUNCTION("REGEXEXTRACT(C2470, ""🏘️ \w+ (\w+) .* ✅"")"),"maison")</f>
        <v>maison</v>
      </c>
      <c r="H2470" s="4" t="str">
        <f>IFERROR(__xludf.DUMMYFUNCTION("REGEXEXTRACT(A2470, ""/(\w+)-.*?"")"),"lieu")</f>
        <v>lieu</v>
      </c>
      <c r="I2470" s="4" t="str">
        <f>IFERROR(__xludf.DUMMYFUNCTION("if(D2470=""variant"",  substitute(filter(Templates!E:E, Templates!A:A = F2470, Templates!B:B = G2470, Templates!C:C = H2470), ""{{}}"", E2470), B2470)"),"🏘  Vous souhaitez acheter une maison à Suberg? ✅ Jetez un œil aux dernières offres sur ImmoScout24.ch.")</f>
        <v>🏘  Vous souhaitez acheter une maison à Suberg? ✅ Jetez un œil aux dernières offres sur ImmoScout24.ch.</v>
      </c>
      <c r="J2470" s="4" t="s">
        <v>7406</v>
      </c>
    </row>
    <row r="2471">
      <c r="A2471" s="5" t="s">
        <v>7407</v>
      </c>
      <c r="B2471" s="2" t="s">
        <v>7408</v>
      </c>
      <c r="C2471" s="4" t="str">
        <f>IFERROR(__xludf.DUMMYFUNCTION("""🏘️ ""&amp;REGEXEXTRACT(B2471, ""^(.*): "")&amp;"" ✅ "" &amp;REGEXEXTRACT(B2471, ""(Trouvez.*)"")"),"🏘️ Louer appartement Gerolfingen ✅ Trouvez le bien immobilier qui correspond idéalement à vos désirs sur ImmoScout24 - La plateforme de l'immobilier en Suisse.")</f>
        <v>🏘️ Louer appartement Gerolfingen ✅ Trouvez le bien immobilier qui correspond idéalement à vos désirs sur ImmoScout24 - La plateforme de l'immobilier en Suisse.</v>
      </c>
      <c r="D2471" s="4" t="str">
        <f>vlookup(A2471, Sheet2!D:E, 2, 0)</f>
        <v>variant</v>
      </c>
      <c r="E2471" s="4" t="str">
        <f>IFERROR(__xludf.DUMMYFUNCTION("if(H2471=""pays"",vlookup(REGEXEXTRACT(C2471, ""🏘️ \w+ \w+ (.*) ✅""),'Country prepositions'!A:B, 2, 0) &amp; "" "" &amp; REGEXEXTRACT(C2471, ""🏘️ \w+ \w+ (.*) ✅"") ,  if(H2471=""quartier"",vlookup(REGEXEXTRACT(C2471, ""🏘️ \w+ \w+ (.*) ✅""),'Quartier prepositio"&amp;"ns'!A:E, 5, 0) ,  if(H2471=""region"",vlookup(REGEXEXTRACT(C2471, ""🏘️ \w+ \w+ (.*) ✅""),'Region prepositions'!B:F, 5, 0),  REGEXEXTRACT(C2471, ""🏘️ \w+ \w+ (.*) ✅""))))"),"Gerolfingen")</f>
        <v>Gerolfingen</v>
      </c>
      <c r="F2471" s="2" t="str">
        <f>IFERROR(__xludf.DUMMYFUNCTION("REGEXEXTRACT(C2471, ""🏘️ (\w+) \w+ .* ✅"")"),"Louer")</f>
        <v>Louer</v>
      </c>
      <c r="G2471" s="2" t="str">
        <f>IFERROR(__xludf.DUMMYFUNCTION("REGEXEXTRACT(C2471, ""🏘️ \w+ (\w+) .* ✅"")"),"appartement")</f>
        <v>appartement</v>
      </c>
      <c r="H2471" s="4" t="str">
        <f>IFERROR(__xludf.DUMMYFUNCTION("REGEXEXTRACT(A2471, ""/(\w+)-.*?"")"),"lieu")</f>
        <v>lieu</v>
      </c>
      <c r="I2471" s="4" t="str">
        <f>IFERROR(__xludf.DUMMYFUNCTION("if(D2471=""variant"",  substitute(filter(Templates!E:E, Templates!A:A = F2471, Templates!B:B = G2471, Templates!C:C = H2471), ""{{}}"", E2471), B2471)"),"🏘  Vous cherchez un appartement à louer à Gerolfingen? ✅ Les annonces les plus actuelles sont sur ImmoScout24.ch.")</f>
        <v>🏘  Vous cherchez un appartement à louer à Gerolfingen? ✅ Les annonces les plus actuelles sont sur ImmoScout24.ch.</v>
      </c>
      <c r="J2471" s="4" t="s">
        <v>7409</v>
      </c>
    </row>
    <row r="2472">
      <c r="A2472" s="5" t="s">
        <v>7410</v>
      </c>
      <c r="B2472" s="2" t="s">
        <v>7411</v>
      </c>
      <c r="C2472" s="4" t="str">
        <f>IFERROR(__xludf.DUMMYFUNCTION("""🏘️ ""&amp;REGEXEXTRACT(B2472, ""^(.*): "")&amp;"" ✅ "" &amp;REGEXEXTRACT(B2472, ""(Trouvez.*)"")"),"🏘️ Louer appartement Ollon VS ✅ Trouvez le bien immobilier qui correspond idéalement à vos désirs sur ImmoScout24 - La plateforme de l'immobilier en Suisse.")</f>
        <v>🏘️ Louer appartement Ollon VS ✅ Trouvez le bien immobilier qui correspond idéalement à vos désirs sur ImmoScout24 - La plateforme de l'immobilier en Suisse.</v>
      </c>
      <c r="D2472" s="4" t="str">
        <f>vlookup(A2472, Sheet2!D:E, 2, 0)</f>
        <v>variant</v>
      </c>
      <c r="E2472" s="4" t="str">
        <f>IFERROR(__xludf.DUMMYFUNCTION("if(H2472=""pays"",vlookup(REGEXEXTRACT(C2472, ""🏘️ \w+ \w+ (.*) ✅""),'Country prepositions'!A:B, 2, 0) &amp; "" "" &amp; REGEXEXTRACT(C2472, ""🏘️ \w+ \w+ (.*) ✅"") ,  if(H2472=""quartier"",vlookup(REGEXEXTRACT(C2472, ""🏘️ \w+ \w+ (.*) ✅""),'Quartier prepositio"&amp;"ns'!A:E, 5, 0) ,  if(H2472=""region"",vlookup(REGEXEXTRACT(C2472, ""🏘️ \w+ \w+ (.*) ✅""),'Region prepositions'!B:F, 5, 0),  REGEXEXTRACT(C2472, ""🏘️ \w+ \w+ (.*) ✅""))))"),"Ollon VS")</f>
        <v>Ollon VS</v>
      </c>
      <c r="F2472" s="2" t="str">
        <f>IFERROR(__xludf.DUMMYFUNCTION("REGEXEXTRACT(C2472, ""🏘️ (\w+) \w+ .* ✅"")"),"Louer")</f>
        <v>Louer</v>
      </c>
      <c r="G2472" s="2" t="str">
        <f>IFERROR(__xludf.DUMMYFUNCTION("REGEXEXTRACT(C2472, ""🏘️ \w+ (\w+) .* ✅"")"),"appartement")</f>
        <v>appartement</v>
      </c>
      <c r="H2472" s="4" t="str">
        <f>IFERROR(__xludf.DUMMYFUNCTION("REGEXEXTRACT(A2472, ""/(\w+)-.*?"")"),"lieu")</f>
        <v>lieu</v>
      </c>
      <c r="I2472" s="4" t="str">
        <f>IFERROR(__xludf.DUMMYFUNCTION("if(D2472=""variant"",  substitute(filter(Templates!E:E, Templates!A:A = F2472, Templates!B:B = G2472, Templates!C:C = H2472), ""{{}}"", E2472), B2472)"),"🏘  Vous cherchez un appartement à louer à Ollon VS? ✅ Les annonces les plus actuelles sont sur ImmoScout24.ch.")</f>
        <v>🏘  Vous cherchez un appartement à louer à Ollon VS? ✅ Les annonces les plus actuelles sont sur ImmoScout24.ch.</v>
      </c>
      <c r="J2472" s="4" t="s">
        <v>7412</v>
      </c>
    </row>
    <row r="2473">
      <c r="A2473" s="5" t="s">
        <v>7413</v>
      </c>
      <c r="B2473" s="2" t="s">
        <v>7414</v>
      </c>
      <c r="C2473" s="4" t="str">
        <f>IFERROR(__xludf.DUMMYFUNCTION("""🏘️ ""&amp;REGEXEXTRACT(B2473, ""^(.*): "")&amp;"" ✅ "" &amp;REGEXEXTRACT(B2473, ""(Trouvez.*)"")"),"🏘️ Louer appartement Massongex ✅ Trouvez le bien immobilier qui correspond idéalement à vos désirs sur ImmoScout24 - La plateforme de l'immobilier en Suisse.")</f>
        <v>🏘️ Louer appartement Massongex ✅ Trouvez le bien immobilier qui correspond idéalement à vos désirs sur ImmoScout24 - La plateforme de l'immobilier en Suisse.</v>
      </c>
      <c r="D2473" s="4" t="str">
        <f>vlookup(A2473, Sheet2!D:E, 2, 0)</f>
        <v>variant</v>
      </c>
      <c r="E2473" s="4" t="str">
        <f>IFERROR(__xludf.DUMMYFUNCTION("if(H2473=""pays"",vlookup(REGEXEXTRACT(C2473, ""🏘️ \w+ \w+ (.*) ✅""),'Country prepositions'!A:B, 2, 0) &amp; "" "" &amp; REGEXEXTRACT(C2473, ""🏘️ \w+ \w+ (.*) ✅"") ,  if(H2473=""quartier"",vlookup(REGEXEXTRACT(C2473, ""🏘️ \w+ \w+ (.*) ✅""),'Quartier prepositio"&amp;"ns'!A:E, 5, 0) ,  if(H2473=""region"",vlookup(REGEXEXTRACT(C2473, ""🏘️ \w+ \w+ (.*) ✅""),'Region prepositions'!B:F, 5, 0),  REGEXEXTRACT(C2473, ""🏘️ \w+ \w+ (.*) ✅""))))"),"Massongex")</f>
        <v>Massongex</v>
      </c>
      <c r="F2473" s="2" t="str">
        <f>IFERROR(__xludf.DUMMYFUNCTION("REGEXEXTRACT(C2473, ""🏘️ (\w+) \w+ .* ✅"")"),"Louer")</f>
        <v>Louer</v>
      </c>
      <c r="G2473" s="2" t="str">
        <f>IFERROR(__xludf.DUMMYFUNCTION("REGEXEXTRACT(C2473, ""🏘️ \w+ (\w+) .* ✅"")"),"appartement")</f>
        <v>appartement</v>
      </c>
      <c r="H2473" s="4" t="str">
        <f>IFERROR(__xludf.DUMMYFUNCTION("REGEXEXTRACT(A2473, ""/(\w+)-.*?"")"),"lieu")</f>
        <v>lieu</v>
      </c>
      <c r="I2473" s="4" t="str">
        <f>IFERROR(__xludf.DUMMYFUNCTION("if(D2473=""variant"",  substitute(filter(Templates!E:E, Templates!A:A = F2473, Templates!B:B = G2473, Templates!C:C = H2473), ""{{}}"", E2473), B2473)"),"🏘  Vous cherchez un appartement à louer à Massongex? ✅ Les annonces les plus actuelles sont sur ImmoScout24.ch.")</f>
        <v>🏘  Vous cherchez un appartement à louer à Massongex? ✅ Les annonces les plus actuelles sont sur ImmoScout24.ch.</v>
      </c>
      <c r="J2473" s="4" t="s">
        <v>7415</v>
      </c>
    </row>
    <row r="2474">
      <c r="A2474" s="5" t="s">
        <v>7416</v>
      </c>
      <c r="B2474" s="2" t="s">
        <v>7417</v>
      </c>
      <c r="C2474" s="4" t="str">
        <f>IFERROR(__xludf.DUMMYFUNCTION("""🏘️ ""&amp;REGEXEXTRACT(B2474, ""^(.*): "")&amp;"" ✅ "" &amp;REGEXEXTRACT(B2474, ""(Trouvez.*)"")"),"🏘️ Vendre appartement Bâle-Ville ✅ Trouvez le bien immobilier qui correspond idéalement à vos désirs sur ImmoScout24 - La plateforme de l'immobilier en Suisse.")</f>
        <v>🏘️ Vendre appartement Bâle-Ville ✅ Trouvez le bien immobilier qui correspond idéalement à vos désirs sur ImmoScout24 - La plateforme de l'immobilier en Suisse.</v>
      </c>
      <c r="D2474" s="4" t="str">
        <f>vlookup(A2474, Sheet2!D:E, 2, 0)</f>
        <v>variant</v>
      </c>
      <c r="E2474" s="4" t="str">
        <f>IFERROR(__xludf.DUMMYFUNCTION("if(H2474=""pays"",vlookup(REGEXEXTRACT(C2474, ""🏘️ \w+ \w+ (.*) ✅""),'Country prepositions'!A:B, 2, 0) &amp; "" "" &amp; REGEXEXTRACT(C2474, ""🏘️ \w+ \w+ (.*) ✅"") ,  if(H2474=""quartier"",vlookup(REGEXEXTRACT(C2474, ""🏘️ \w+ \w+ (.*) ✅""),'Quartier prepositio"&amp;"ns'!A:E, 5, 0) ,  if(H2474=""region"",vlookup(REGEXEXTRACT(C2474, ""🏘️ \w+ \w+ (.*) ✅""),'Region prepositions'!B:F, 5, 0),  REGEXEXTRACT(C2474, ""🏘️ \w+ \w+ (.*) ✅""))))"),"dans le canton de Bâle-Ville")</f>
        <v>dans le canton de Bâle-Ville</v>
      </c>
      <c r="F2474" s="2" t="str">
        <f>IFERROR(__xludf.DUMMYFUNCTION("REGEXEXTRACT(C2474, ""🏘️ (\w+) \w+ .* ✅"")"),"Vendre")</f>
        <v>Vendre</v>
      </c>
      <c r="G2474" s="2" t="str">
        <f>IFERROR(__xludf.DUMMYFUNCTION("REGEXEXTRACT(C2474, ""🏘️ \w+ (\w+) .* ✅"")"),"appartement")</f>
        <v>appartement</v>
      </c>
      <c r="H2474" s="4" t="str">
        <f>IFERROR(__xludf.DUMMYFUNCTION("REGEXEXTRACT(A2474, ""/(\w+)-.*?"")"),"region")</f>
        <v>region</v>
      </c>
      <c r="I2474" s="4" t="str">
        <f>IFERROR(__xludf.DUMMYFUNCTION("if(D2474=""variant"",  substitute(filter(Templates!E:E, Templates!A:A = F2474, Templates!B:B = G2474, Templates!C:C = H2474), ""{{}}"", E2474), B2474)"),"🏘  L’appartement de vos rêves se trouve sur ImmoScout24.ch ✅ Découvrez les dernières annonces de vente dans le canton de Bâle-Ville.")</f>
        <v>🏘  L’appartement de vos rêves se trouve sur ImmoScout24.ch ✅ Découvrez les dernières annonces de vente dans le canton de Bâle-Ville.</v>
      </c>
      <c r="J2474" s="4" t="s">
        <v>7418</v>
      </c>
    </row>
    <row r="2475">
      <c r="A2475" s="5" t="s">
        <v>7419</v>
      </c>
      <c r="B2475" s="2" t="s">
        <v>7420</v>
      </c>
      <c r="C2475" s="4" t="str">
        <f>IFERROR(__xludf.DUMMYFUNCTION("""🏘️ ""&amp;REGEXEXTRACT(B2475, ""^(.*): "")&amp;"" ✅ "" &amp;REGEXEXTRACT(B2475, ""(Trouvez.*)"")"),"🏘️ Vendre maison Commugny ✅ Trouvez le bien immobilier qui correspond idéalement à vos désirs sur ImmoScout24 - La plateforme de l'immobilier en Suisse.")</f>
        <v>🏘️ Vendre maison Commugny ✅ Trouvez le bien immobilier qui correspond idéalement à vos désirs sur ImmoScout24 - La plateforme de l'immobilier en Suisse.</v>
      </c>
      <c r="D2475" s="4" t="str">
        <f>vlookup(A2475, Sheet2!D:E, 2, 0)</f>
        <v>variant</v>
      </c>
      <c r="E2475" s="4" t="str">
        <f>IFERROR(__xludf.DUMMYFUNCTION("if(H2475=""pays"",vlookup(REGEXEXTRACT(C2475, ""🏘️ \w+ \w+ (.*) ✅""),'Country prepositions'!A:B, 2, 0) &amp; "" "" &amp; REGEXEXTRACT(C2475, ""🏘️ \w+ \w+ (.*) ✅"") ,  if(H2475=""quartier"",vlookup(REGEXEXTRACT(C2475, ""🏘️ \w+ \w+ (.*) ✅""),'Quartier prepositio"&amp;"ns'!A:E, 5, 0) ,  if(H2475=""region"",vlookup(REGEXEXTRACT(C2475, ""🏘️ \w+ \w+ (.*) ✅""),'Region prepositions'!B:F, 5, 0),  REGEXEXTRACT(C2475, ""🏘️ \w+ \w+ (.*) ✅""))))"),"Commugny")</f>
        <v>Commugny</v>
      </c>
      <c r="F2475" s="2" t="str">
        <f>IFERROR(__xludf.DUMMYFUNCTION("REGEXEXTRACT(C2475, ""🏘️ (\w+) \w+ .* ✅"")"),"Vendre")</f>
        <v>Vendre</v>
      </c>
      <c r="G2475" s="2" t="str">
        <f>IFERROR(__xludf.DUMMYFUNCTION("REGEXEXTRACT(C2475, ""🏘️ \w+ (\w+) .* ✅"")"),"maison")</f>
        <v>maison</v>
      </c>
      <c r="H2475" s="4" t="str">
        <f>IFERROR(__xludf.DUMMYFUNCTION("REGEXEXTRACT(A2475, ""/(\w+)-.*?"")"),"lieu")</f>
        <v>lieu</v>
      </c>
      <c r="I2475" s="4" t="str">
        <f>IFERROR(__xludf.DUMMYFUNCTION("if(D2475=""variant"",  substitute(filter(Templates!E:E, Templates!A:A = F2475, Templates!B:B = G2475, Templates!C:C = H2475), ""{{}}"", E2475), B2475)"),"🏘  Vous souhaitez acheter une maison à Commugny? ✅ Jetez un œil aux dernières offres sur ImmoScout24.ch.")</f>
        <v>🏘  Vous souhaitez acheter une maison à Commugny? ✅ Jetez un œil aux dernières offres sur ImmoScout24.ch.</v>
      </c>
      <c r="J2475" s="4" t="s">
        <v>7421</v>
      </c>
    </row>
    <row r="2476">
      <c r="A2476" s="5" t="s">
        <v>7422</v>
      </c>
      <c r="B2476" s="2" t="s">
        <v>7423</v>
      </c>
      <c r="C2476" s="4" t="str">
        <f>IFERROR(__xludf.DUMMYFUNCTION("""🏘️ ""&amp;REGEXEXTRACT(B2476, ""^(.*): "")&amp;"" ✅ "" &amp;REGEXEXTRACT(B2476, ""(Trouvez.*)"")"),"🏘️ Louer maison Avenches ✅ Trouvez le bien immobilier qui correspond idéalement à vos désirs sur ImmoScout24 - La plateforme de l'immobilier en Suisse.")</f>
        <v>🏘️ Louer maison Avenches ✅ Trouvez le bien immobilier qui correspond idéalement à vos désirs sur ImmoScout24 - La plateforme de l'immobilier en Suisse.</v>
      </c>
      <c r="D2476" s="4" t="str">
        <f>vlookup(A2476, Sheet2!D:E, 2, 0)</f>
        <v>variant</v>
      </c>
      <c r="E2476" s="4" t="str">
        <f>IFERROR(__xludf.DUMMYFUNCTION("if(H2476=""pays"",vlookup(REGEXEXTRACT(C2476, ""🏘️ \w+ \w+ (.*) ✅""),'Country prepositions'!A:B, 2, 0) &amp; "" "" &amp; REGEXEXTRACT(C2476, ""🏘️ \w+ \w+ (.*) ✅"") ,  if(H2476=""quartier"",vlookup(REGEXEXTRACT(C2476, ""🏘️ \w+ \w+ (.*) ✅""),'Quartier prepositio"&amp;"ns'!A:E, 5, 0) ,  if(H2476=""region"",vlookup(REGEXEXTRACT(C2476, ""🏘️ \w+ \w+ (.*) ✅""),'Region prepositions'!B:F, 5, 0),  REGEXEXTRACT(C2476, ""🏘️ \w+ \w+ (.*) ✅""))))"),"Avenches")</f>
        <v>Avenches</v>
      </c>
      <c r="F2476" s="2" t="str">
        <f>IFERROR(__xludf.DUMMYFUNCTION("REGEXEXTRACT(C2476, ""🏘️ (\w+) \w+ .* ✅"")"),"Louer")</f>
        <v>Louer</v>
      </c>
      <c r="G2476" s="2" t="str">
        <f>IFERROR(__xludf.DUMMYFUNCTION("REGEXEXTRACT(C2476, ""🏘️ \w+ (\w+) .* ✅"")"),"maison")</f>
        <v>maison</v>
      </c>
      <c r="H2476" s="4" t="str">
        <f>IFERROR(__xludf.DUMMYFUNCTION("REGEXEXTRACT(A2476, ""/(\w+)-.*?"")"),"lieu")</f>
        <v>lieu</v>
      </c>
      <c r="I2476" s="4" t="str">
        <f>IFERROR(__xludf.DUMMYFUNCTION("if(D2476=""variant"",  substitute(filter(Templates!E:E, Templates!A:A = F2476, Templates!B:B = G2476, Templates!C:C = H2476), ""{{}}"", E2476), B2476)"),"🏘  Vous cherchez une maison à louer à Avenches? ✅ Découvrez nos nombreuses annonces sur ImmoScout24.ch.")</f>
        <v>🏘  Vous cherchez une maison à louer à Avenches? ✅ Découvrez nos nombreuses annonces sur ImmoScout24.ch.</v>
      </c>
      <c r="J2476" s="4" t="s">
        <v>7424</v>
      </c>
    </row>
    <row r="2477">
      <c r="A2477" s="5" t="s">
        <v>7425</v>
      </c>
      <c r="B2477" s="2" t="s">
        <v>7426</v>
      </c>
      <c r="C2477" s="4" t="str">
        <f>IFERROR(__xludf.DUMMYFUNCTION("""🏘️ ""&amp;REGEXEXTRACT(B2477, ""^(.*): "")&amp;"" ✅ "" &amp;REGEXEXTRACT(B2477, ""(Trouvez.*)"")"),"🏘️ Vendre appartement Corseaux ✅ Trouvez le bien immobilier qui correspond idéalement à vos désirs sur ImmoScout24 - La plateforme de l'immobilier en Suisse.")</f>
        <v>🏘️ Vendre appartement Corseaux ✅ Trouvez le bien immobilier qui correspond idéalement à vos désirs sur ImmoScout24 - La plateforme de l'immobilier en Suisse.</v>
      </c>
      <c r="D2477" s="4" t="str">
        <f>vlookup(A2477, Sheet2!D:E, 2, 0)</f>
        <v>variant</v>
      </c>
      <c r="E2477" s="4" t="str">
        <f>IFERROR(__xludf.DUMMYFUNCTION("if(H2477=""pays"",vlookup(REGEXEXTRACT(C2477, ""🏘️ \w+ \w+ (.*) ✅""),'Country prepositions'!A:B, 2, 0) &amp; "" "" &amp; REGEXEXTRACT(C2477, ""🏘️ \w+ \w+ (.*) ✅"") ,  if(H2477=""quartier"",vlookup(REGEXEXTRACT(C2477, ""🏘️ \w+ \w+ (.*) ✅""),'Quartier prepositio"&amp;"ns'!A:E, 5, 0) ,  if(H2477=""region"",vlookup(REGEXEXTRACT(C2477, ""🏘️ \w+ \w+ (.*) ✅""),'Region prepositions'!B:F, 5, 0),  REGEXEXTRACT(C2477, ""🏘️ \w+ \w+ (.*) ✅""))))"),"Corseaux")</f>
        <v>Corseaux</v>
      </c>
      <c r="F2477" s="2" t="str">
        <f>IFERROR(__xludf.DUMMYFUNCTION("REGEXEXTRACT(C2477, ""🏘️ (\w+) \w+ .* ✅"")"),"Vendre")</f>
        <v>Vendre</v>
      </c>
      <c r="G2477" s="2" t="str">
        <f>IFERROR(__xludf.DUMMYFUNCTION("REGEXEXTRACT(C2477, ""🏘️ \w+ (\w+) .* ✅"")"),"appartement")</f>
        <v>appartement</v>
      </c>
      <c r="H2477" s="4" t="str">
        <f>IFERROR(__xludf.DUMMYFUNCTION("REGEXEXTRACT(A2477, ""/(\w+)-.*?"")"),"lieu")</f>
        <v>lieu</v>
      </c>
      <c r="I2477" s="4" t="str">
        <f>IFERROR(__xludf.DUMMYFUNCTION("if(D2477=""variant"",  substitute(filter(Templates!E:E, Templates!A:A = F2477, Templates!B:B = G2477, Templates!C:C = H2477), ""{{}}"", E2477), B2477)"),"🏘  L’appartement de vos rêves se trouve sur ImmoScout24.ch ✅ Découvrez les dernières annonces de vente à Corseaux.")</f>
        <v>🏘  L’appartement de vos rêves se trouve sur ImmoScout24.ch ✅ Découvrez les dernières annonces de vente à Corseaux.</v>
      </c>
      <c r="J2477" s="4" t="s">
        <v>7427</v>
      </c>
    </row>
    <row r="2478">
      <c r="A2478" s="5" t="s">
        <v>7428</v>
      </c>
      <c r="B2478" s="2" t="s">
        <v>7429</v>
      </c>
      <c r="C2478" s="4" t="str">
        <f>IFERROR(__xludf.DUMMYFUNCTION("""🏘️ ""&amp;REGEXEXTRACT(B2478, ""^(.*): "")&amp;"" ✅ "" &amp;REGEXEXTRACT(B2478, ""(Trouvez.*)"")"),"🏘️ Vendre maison St. German ✅ Trouvez le bien immobilier qui correspond idéalement à vos désirs sur ImmoScout24 - La plateforme de l'immobilier en Suisse.")</f>
        <v>🏘️ Vendre maison St. German ✅ Trouvez le bien immobilier qui correspond idéalement à vos désirs sur ImmoScout24 - La plateforme de l'immobilier en Suisse.</v>
      </c>
      <c r="D2478" s="4" t="str">
        <f>vlookup(A2478, Sheet2!D:E, 2, 0)</f>
        <v>variant</v>
      </c>
      <c r="E2478" s="4" t="str">
        <f>IFERROR(__xludf.DUMMYFUNCTION("if(H2478=""pays"",vlookup(REGEXEXTRACT(C2478, ""🏘️ \w+ \w+ (.*) ✅""),'Country prepositions'!A:B, 2, 0) &amp; "" "" &amp; REGEXEXTRACT(C2478, ""🏘️ \w+ \w+ (.*) ✅"") ,  if(H2478=""quartier"",vlookup(REGEXEXTRACT(C2478, ""🏘️ \w+ \w+ (.*) ✅""),'Quartier prepositio"&amp;"ns'!A:E, 5, 0) ,  if(H2478=""region"",vlookup(REGEXEXTRACT(C2478, ""🏘️ \w+ \w+ (.*) ✅""),'Region prepositions'!B:F, 5, 0),  REGEXEXTRACT(C2478, ""🏘️ \w+ \w+ (.*) ✅""))))"),"St. German")</f>
        <v>St. German</v>
      </c>
      <c r="F2478" s="2" t="str">
        <f>IFERROR(__xludf.DUMMYFUNCTION("REGEXEXTRACT(C2478, ""🏘️ (\w+) \w+ .* ✅"")"),"Vendre")</f>
        <v>Vendre</v>
      </c>
      <c r="G2478" s="2" t="str">
        <f>IFERROR(__xludf.DUMMYFUNCTION("REGEXEXTRACT(C2478, ""🏘️ \w+ (\w+) .* ✅"")"),"maison")</f>
        <v>maison</v>
      </c>
      <c r="H2478" s="4" t="str">
        <f>IFERROR(__xludf.DUMMYFUNCTION("REGEXEXTRACT(A2478, ""/(\w+)-.*?"")"),"lieu")</f>
        <v>lieu</v>
      </c>
      <c r="I2478" s="4" t="str">
        <f>IFERROR(__xludf.DUMMYFUNCTION("if(D2478=""variant"",  substitute(filter(Templates!E:E, Templates!A:A = F2478, Templates!B:B = G2478, Templates!C:C = H2478), ""{{}}"", E2478), B2478)"),"🏘  Vous souhaitez acheter une maison à St. German? ✅ Jetez un œil aux dernières offres sur ImmoScout24.ch.")</f>
        <v>🏘  Vous souhaitez acheter une maison à St. German? ✅ Jetez un œil aux dernières offres sur ImmoScout24.ch.</v>
      </c>
      <c r="J2478" s="4" t="s">
        <v>7430</v>
      </c>
    </row>
    <row r="2479">
      <c r="A2479" s="5" t="s">
        <v>7431</v>
      </c>
      <c r="B2479" s="2" t="s">
        <v>7432</v>
      </c>
      <c r="C2479" s="4" t="str">
        <f>IFERROR(__xludf.DUMMYFUNCTION("""🏘️ ""&amp;REGEXEXTRACT(B2479, ""^(.*): "")&amp;"" ✅ "" &amp;REGEXEXTRACT(B2479, ""(Trouvez.*)"")"),"🏘️ Louer maison Mollens VD ✅ Trouvez le bien immobilier qui correspond idéalement à vos désirs sur ImmoScout24 - La plateforme de l'immobilier en Suisse.")</f>
        <v>🏘️ Louer maison Mollens VD ✅ Trouvez le bien immobilier qui correspond idéalement à vos désirs sur ImmoScout24 - La plateforme de l'immobilier en Suisse.</v>
      </c>
      <c r="D2479" s="4" t="str">
        <f>vlookup(A2479, Sheet2!D:E, 2, 0)</f>
        <v>variant</v>
      </c>
      <c r="E2479" s="4" t="str">
        <f>IFERROR(__xludf.DUMMYFUNCTION("if(H2479=""pays"",vlookup(REGEXEXTRACT(C2479, ""🏘️ \w+ \w+ (.*) ✅""),'Country prepositions'!A:B, 2, 0) &amp; "" "" &amp; REGEXEXTRACT(C2479, ""🏘️ \w+ \w+ (.*) ✅"") ,  if(H2479=""quartier"",vlookup(REGEXEXTRACT(C2479, ""🏘️ \w+ \w+ (.*) ✅""),'Quartier prepositio"&amp;"ns'!A:E, 5, 0) ,  if(H2479=""region"",vlookup(REGEXEXTRACT(C2479, ""🏘️ \w+ \w+ (.*) ✅""),'Region prepositions'!B:F, 5, 0),  REGEXEXTRACT(C2479, ""🏘️ \w+ \w+ (.*) ✅""))))"),"Mollens VD")</f>
        <v>Mollens VD</v>
      </c>
      <c r="F2479" s="2" t="str">
        <f>IFERROR(__xludf.DUMMYFUNCTION("REGEXEXTRACT(C2479, ""🏘️ (\w+) \w+ .* ✅"")"),"Louer")</f>
        <v>Louer</v>
      </c>
      <c r="G2479" s="2" t="str">
        <f>IFERROR(__xludf.DUMMYFUNCTION("REGEXEXTRACT(C2479, ""🏘️ \w+ (\w+) .* ✅"")"),"maison")</f>
        <v>maison</v>
      </c>
      <c r="H2479" s="4" t="str">
        <f>IFERROR(__xludf.DUMMYFUNCTION("REGEXEXTRACT(A2479, ""/(\w+)-.*?"")"),"lieu")</f>
        <v>lieu</v>
      </c>
      <c r="I2479" s="4" t="str">
        <f>IFERROR(__xludf.DUMMYFUNCTION("if(D2479=""variant"",  substitute(filter(Templates!E:E, Templates!A:A = F2479, Templates!B:B = G2479, Templates!C:C = H2479), ""{{}}"", E2479), B2479)"),"🏘  Vous cherchez une maison à louer à Mollens VD? ✅ Découvrez nos nombreuses annonces sur ImmoScout24.ch.")</f>
        <v>🏘  Vous cherchez une maison à louer à Mollens VD? ✅ Découvrez nos nombreuses annonces sur ImmoScout24.ch.</v>
      </c>
      <c r="J2479" s="4" t="s">
        <v>7433</v>
      </c>
    </row>
    <row r="2480">
      <c r="A2480" s="5" t="s">
        <v>7434</v>
      </c>
      <c r="B2480" s="2" t="s">
        <v>7435</v>
      </c>
      <c r="C2480" s="4" t="str">
        <f>IFERROR(__xludf.DUMMYFUNCTION("""🏘️ ""&amp;REGEXEXTRACT(B2480, ""^(.*): "")&amp;"" ✅ "" &amp;REGEXEXTRACT(B2480, ""(Trouvez.*)"")"),"🏘️ Louer appartement Herzogenbuchsee ✅ Trouvez le bien immobilier qui correspond idéalement à vos désirs sur ImmoScout24 - La plateforme de l'immobilier en Suisse.")</f>
        <v>🏘️ Louer appartement Herzogenbuchsee ✅ Trouvez le bien immobilier qui correspond idéalement à vos désirs sur ImmoScout24 - La plateforme de l'immobilier en Suisse.</v>
      </c>
      <c r="D2480" s="4" t="str">
        <f>vlookup(A2480, Sheet2!D:E, 2, 0)</f>
        <v>variant</v>
      </c>
      <c r="E2480" s="4" t="str">
        <f>IFERROR(__xludf.DUMMYFUNCTION("if(H2480=""pays"",vlookup(REGEXEXTRACT(C2480, ""🏘️ \w+ \w+ (.*) ✅""),'Country prepositions'!A:B, 2, 0) &amp; "" "" &amp; REGEXEXTRACT(C2480, ""🏘️ \w+ \w+ (.*) ✅"") ,  if(H2480=""quartier"",vlookup(REGEXEXTRACT(C2480, ""🏘️ \w+ \w+ (.*) ✅""),'Quartier prepositio"&amp;"ns'!A:E, 5, 0) ,  if(H2480=""region"",vlookup(REGEXEXTRACT(C2480, ""🏘️ \w+ \w+ (.*) ✅""),'Region prepositions'!B:F, 5, 0),  REGEXEXTRACT(C2480, ""🏘️ \w+ \w+ (.*) ✅""))))"),"Herzogenbuchsee")</f>
        <v>Herzogenbuchsee</v>
      </c>
      <c r="F2480" s="2" t="str">
        <f>IFERROR(__xludf.DUMMYFUNCTION("REGEXEXTRACT(C2480, ""🏘️ (\w+) \w+ .* ✅"")"),"Louer")</f>
        <v>Louer</v>
      </c>
      <c r="G2480" s="2" t="str">
        <f>IFERROR(__xludf.DUMMYFUNCTION("REGEXEXTRACT(C2480, ""🏘️ \w+ (\w+) .* ✅"")"),"appartement")</f>
        <v>appartement</v>
      </c>
      <c r="H2480" s="4" t="str">
        <f>IFERROR(__xludf.DUMMYFUNCTION("REGEXEXTRACT(A2480, ""/(\w+)-.*?"")"),"lieu")</f>
        <v>lieu</v>
      </c>
      <c r="I2480" s="4" t="str">
        <f>IFERROR(__xludf.DUMMYFUNCTION("if(D2480=""variant"",  substitute(filter(Templates!E:E, Templates!A:A = F2480, Templates!B:B = G2480, Templates!C:C = H2480), ""{{}}"", E2480), B2480)"),"🏘  Vous cherchez un appartement à louer à Herzogenbuchsee? ✅ Les annonces les plus actuelles sont sur ImmoScout24.ch.")</f>
        <v>🏘  Vous cherchez un appartement à louer à Herzogenbuchsee? ✅ Les annonces les plus actuelles sont sur ImmoScout24.ch.</v>
      </c>
      <c r="J2480" s="4" t="s">
        <v>7436</v>
      </c>
    </row>
    <row r="2481">
      <c r="A2481" s="5" t="s">
        <v>7437</v>
      </c>
      <c r="B2481" s="2" t="s">
        <v>7438</v>
      </c>
      <c r="C2481" s="4" t="str">
        <f>IFERROR(__xludf.DUMMYFUNCTION("""🏘️ ""&amp;REGEXEXTRACT(B2481, ""^(.*): "")&amp;"" ✅ "" &amp;REGEXEXTRACT(B2481, ""(Trouvez.*)"")"),"🏘️ Louer appartement L'Isle ✅ Trouvez le bien immobilier qui correspond idéalement à vos désirs sur ImmoScout24 - La plateforme de l'immobilier en Suisse.")</f>
        <v>🏘️ Louer appartement L'Isle ✅ Trouvez le bien immobilier qui correspond idéalement à vos désirs sur ImmoScout24 - La plateforme de l'immobilier en Suisse.</v>
      </c>
      <c r="D2481" s="4" t="str">
        <f>vlookup(A2481, Sheet2!D:E, 2, 0)</f>
        <v>variant</v>
      </c>
      <c r="E2481" s="4" t="str">
        <f>IFERROR(__xludf.DUMMYFUNCTION("if(H2481=""pays"",vlookup(REGEXEXTRACT(C2481, ""🏘️ \w+ \w+ (.*) ✅""),'Country prepositions'!A:B, 2, 0) &amp; "" "" &amp; REGEXEXTRACT(C2481, ""🏘️ \w+ \w+ (.*) ✅"") ,  if(H2481=""quartier"",vlookup(REGEXEXTRACT(C2481, ""🏘️ \w+ \w+ (.*) ✅""),'Quartier prepositio"&amp;"ns'!A:E, 5, 0) ,  if(H2481=""region"",vlookup(REGEXEXTRACT(C2481, ""🏘️ \w+ \w+ (.*) ✅""),'Region prepositions'!B:F, 5, 0),  REGEXEXTRACT(C2481, ""🏘️ \w+ \w+ (.*) ✅""))))"),"L'Isle")</f>
        <v>L'Isle</v>
      </c>
      <c r="F2481" s="2" t="str">
        <f>IFERROR(__xludf.DUMMYFUNCTION("REGEXEXTRACT(C2481, ""🏘️ (\w+) \w+ .* ✅"")"),"Louer")</f>
        <v>Louer</v>
      </c>
      <c r="G2481" s="2" t="str">
        <f>IFERROR(__xludf.DUMMYFUNCTION("REGEXEXTRACT(C2481, ""🏘️ \w+ (\w+) .* ✅"")"),"appartement")</f>
        <v>appartement</v>
      </c>
      <c r="H2481" s="4" t="str">
        <f>IFERROR(__xludf.DUMMYFUNCTION("REGEXEXTRACT(A2481, ""/(\w+)-.*?"")"),"lieu")</f>
        <v>lieu</v>
      </c>
      <c r="I2481" s="4" t="str">
        <f>IFERROR(__xludf.DUMMYFUNCTION("if(D2481=""variant"",  substitute(filter(Templates!E:E, Templates!A:A = F2481, Templates!B:B = G2481, Templates!C:C = H2481), ""{{}}"", E2481), B2481)"),"🏘  Vous cherchez un appartement à louer à L'Isle? ✅ Les annonces les plus actuelles sont sur ImmoScout24.ch.")</f>
        <v>🏘  Vous cherchez un appartement à louer à L'Isle? ✅ Les annonces les plus actuelles sont sur ImmoScout24.ch.</v>
      </c>
      <c r="J2481" s="4" t="s">
        <v>7439</v>
      </c>
    </row>
    <row r="2482">
      <c r="A2482" s="5" t="s">
        <v>7440</v>
      </c>
      <c r="B2482" s="2" t="s">
        <v>7441</v>
      </c>
      <c r="C2482" s="4" t="str">
        <f>IFERROR(__xludf.DUMMYFUNCTION("""🏘️ ""&amp;REGEXEXTRACT(B2482, ""^(.*): "")&amp;"" ✅ "" &amp;REGEXEXTRACT(B2482, ""(Trouvez.*)"")"),"🏘️ Vendre maison Heiligenschwendi ✅ Trouvez le bien immobilier qui correspond idéalement à vos désirs sur ImmoScout24 - La plateforme de l'immobilier en Suisse.")</f>
        <v>🏘️ Vendre maison Heiligenschwendi ✅ Trouvez le bien immobilier qui correspond idéalement à vos désirs sur ImmoScout24 - La plateforme de l'immobilier en Suisse.</v>
      </c>
      <c r="D2482" s="4" t="str">
        <f>vlookup(A2482, Sheet2!D:E, 2, 0)</f>
        <v>variant</v>
      </c>
      <c r="E2482" s="4" t="str">
        <f>IFERROR(__xludf.DUMMYFUNCTION("if(H2482=""pays"",vlookup(REGEXEXTRACT(C2482, ""🏘️ \w+ \w+ (.*) ✅""),'Country prepositions'!A:B, 2, 0) &amp; "" "" &amp; REGEXEXTRACT(C2482, ""🏘️ \w+ \w+ (.*) ✅"") ,  if(H2482=""quartier"",vlookup(REGEXEXTRACT(C2482, ""🏘️ \w+ \w+ (.*) ✅""),'Quartier prepositio"&amp;"ns'!A:E, 5, 0) ,  if(H2482=""region"",vlookup(REGEXEXTRACT(C2482, ""🏘️ \w+ \w+ (.*) ✅""),'Region prepositions'!B:F, 5, 0),  REGEXEXTRACT(C2482, ""🏘️ \w+ \w+ (.*) ✅""))))"),"Heiligenschwendi")</f>
        <v>Heiligenschwendi</v>
      </c>
      <c r="F2482" s="2" t="str">
        <f>IFERROR(__xludf.DUMMYFUNCTION("REGEXEXTRACT(C2482, ""🏘️ (\w+) \w+ .* ✅"")"),"Vendre")</f>
        <v>Vendre</v>
      </c>
      <c r="G2482" s="2" t="str">
        <f>IFERROR(__xludf.DUMMYFUNCTION("REGEXEXTRACT(C2482, ""🏘️ \w+ (\w+) .* ✅"")"),"maison")</f>
        <v>maison</v>
      </c>
      <c r="H2482" s="4" t="str">
        <f>IFERROR(__xludf.DUMMYFUNCTION("REGEXEXTRACT(A2482, ""/(\w+)-.*?"")"),"lieu")</f>
        <v>lieu</v>
      </c>
      <c r="I2482" s="4" t="str">
        <f>IFERROR(__xludf.DUMMYFUNCTION("if(D2482=""variant"",  substitute(filter(Templates!E:E, Templates!A:A = F2482, Templates!B:B = G2482, Templates!C:C = H2482), ""{{}}"", E2482), B2482)"),"🏘  Vous souhaitez acheter une maison à Heiligenschwendi? ✅ Jetez un œil aux dernières offres sur ImmoScout24.ch.")</f>
        <v>🏘  Vous souhaitez acheter une maison à Heiligenschwendi? ✅ Jetez un œil aux dernières offres sur ImmoScout24.ch.</v>
      </c>
      <c r="J2482" s="4" t="s">
        <v>7442</v>
      </c>
    </row>
    <row r="2483">
      <c r="A2483" s="5" t="s">
        <v>7443</v>
      </c>
      <c r="B2483" s="2" t="s">
        <v>7444</v>
      </c>
      <c r="C2483" s="4" t="str">
        <f>IFERROR(__xludf.DUMMYFUNCTION("""🏘️ ""&amp;REGEXEXTRACT(B2483, ""^(.*): "")&amp;"" ✅ "" &amp;REGEXEXTRACT(B2483, ""(Trouvez.*)"")"),"🏘️ Louer appartement Baar ✅ Trouvez le bien immobilier qui correspond idéalement à vos désirs sur ImmoScout24 - La plateforme de l'immobilier en Suisse.")</f>
        <v>🏘️ Louer appartement Baar ✅ Trouvez le bien immobilier qui correspond idéalement à vos désirs sur ImmoScout24 - La plateforme de l'immobilier en Suisse.</v>
      </c>
      <c r="D2483" s="4" t="str">
        <f>vlookup(A2483, Sheet2!D:E, 2, 0)</f>
        <v>variant</v>
      </c>
      <c r="E2483" s="4" t="str">
        <f>IFERROR(__xludf.DUMMYFUNCTION("if(H2483=""pays"",vlookup(REGEXEXTRACT(C2483, ""🏘️ \w+ \w+ (.*) ✅""),'Country prepositions'!A:B, 2, 0) &amp; "" "" &amp; REGEXEXTRACT(C2483, ""🏘️ \w+ \w+ (.*) ✅"") ,  if(H2483=""quartier"",vlookup(REGEXEXTRACT(C2483, ""🏘️ \w+ \w+ (.*) ✅""),'Quartier prepositio"&amp;"ns'!A:E, 5, 0) ,  if(H2483=""region"",vlookup(REGEXEXTRACT(C2483, ""🏘️ \w+ \w+ (.*) ✅""),'Region prepositions'!B:F, 5, 0),  REGEXEXTRACT(C2483, ""🏘️ \w+ \w+ (.*) ✅""))))"),"Baar")</f>
        <v>Baar</v>
      </c>
      <c r="F2483" s="2" t="str">
        <f>IFERROR(__xludf.DUMMYFUNCTION("REGEXEXTRACT(C2483, ""🏘️ (\w+) \w+ .* ✅"")"),"Louer")</f>
        <v>Louer</v>
      </c>
      <c r="G2483" s="2" t="str">
        <f>IFERROR(__xludf.DUMMYFUNCTION("REGEXEXTRACT(C2483, ""🏘️ \w+ (\w+) .* ✅"")"),"appartement")</f>
        <v>appartement</v>
      </c>
      <c r="H2483" s="4" t="str">
        <f>IFERROR(__xludf.DUMMYFUNCTION("REGEXEXTRACT(A2483, ""/(\w+)-.*?"")"),"lieu")</f>
        <v>lieu</v>
      </c>
      <c r="I2483" s="4" t="str">
        <f>IFERROR(__xludf.DUMMYFUNCTION("if(D2483=""variant"",  substitute(filter(Templates!E:E, Templates!A:A = F2483, Templates!B:B = G2483, Templates!C:C = H2483), ""{{}}"", E2483), B2483)"),"🏘  Vous cherchez un appartement à louer à Baar? ✅ Les annonces les plus actuelles sont sur ImmoScout24.ch.")</f>
        <v>🏘  Vous cherchez un appartement à louer à Baar? ✅ Les annonces les plus actuelles sont sur ImmoScout24.ch.</v>
      </c>
      <c r="J2483" s="4" t="s">
        <v>7445</v>
      </c>
    </row>
    <row r="2484">
      <c r="A2484" s="5" t="s">
        <v>7446</v>
      </c>
      <c r="B2484" s="2" t="s">
        <v>7447</v>
      </c>
      <c r="C2484" s="4" t="str">
        <f>IFERROR(__xludf.DUMMYFUNCTION("""🏘️ ""&amp;REGEXEXTRACT(B2484, ""^(.*): "")&amp;"" ✅ "" &amp;REGEXEXTRACT(B2484, ""(Trouvez.*)"")"),"🏘️ Louer maison Grimisuat ✅ Trouvez le bien immobilier qui correspond idéalement à vos désirs sur ImmoScout24 - La plateforme de l'immobilier en Suisse.")</f>
        <v>🏘️ Louer maison Grimisuat ✅ Trouvez le bien immobilier qui correspond idéalement à vos désirs sur ImmoScout24 - La plateforme de l'immobilier en Suisse.</v>
      </c>
      <c r="D2484" s="4" t="str">
        <f>vlookup(A2484, Sheet2!D:E, 2, 0)</f>
        <v>variant</v>
      </c>
      <c r="E2484" s="4" t="str">
        <f>IFERROR(__xludf.DUMMYFUNCTION("if(H2484=""pays"",vlookup(REGEXEXTRACT(C2484, ""🏘️ \w+ \w+ (.*) ✅""),'Country prepositions'!A:B, 2, 0) &amp; "" "" &amp; REGEXEXTRACT(C2484, ""🏘️ \w+ \w+ (.*) ✅"") ,  if(H2484=""quartier"",vlookup(REGEXEXTRACT(C2484, ""🏘️ \w+ \w+ (.*) ✅""),'Quartier prepositio"&amp;"ns'!A:E, 5, 0) ,  if(H2484=""region"",vlookup(REGEXEXTRACT(C2484, ""🏘️ \w+ \w+ (.*) ✅""),'Region prepositions'!B:F, 5, 0),  REGEXEXTRACT(C2484, ""🏘️ \w+ \w+ (.*) ✅""))))"),"Grimisuat")</f>
        <v>Grimisuat</v>
      </c>
      <c r="F2484" s="2" t="str">
        <f>IFERROR(__xludf.DUMMYFUNCTION("REGEXEXTRACT(C2484, ""🏘️ (\w+) \w+ .* ✅"")"),"Louer")</f>
        <v>Louer</v>
      </c>
      <c r="G2484" s="2" t="str">
        <f>IFERROR(__xludf.DUMMYFUNCTION("REGEXEXTRACT(C2484, ""🏘️ \w+ (\w+) .* ✅"")"),"maison")</f>
        <v>maison</v>
      </c>
      <c r="H2484" s="4" t="str">
        <f>IFERROR(__xludf.DUMMYFUNCTION("REGEXEXTRACT(A2484, ""/(\w+)-.*?"")"),"lieu")</f>
        <v>lieu</v>
      </c>
      <c r="I2484" s="4" t="str">
        <f>IFERROR(__xludf.DUMMYFUNCTION("if(D2484=""variant"",  substitute(filter(Templates!E:E, Templates!A:A = F2484, Templates!B:B = G2484, Templates!C:C = H2484), ""{{}}"", E2484), B2484)"),"🏘  Vous cherchez une maison à louer à Grimisuat? ✅ Découvrez nos nombreuses annonces sur ImmoScout24.ch.")</f>
        <v>🏘  Vous cherchez une maison à louer à Grimisuat? ✅ Découvrez nos nombreuses annonces sur ImmoScout24.ch.</v>
      </c>
      <c r="J2484" s="4" t="s">
        <v>7448</v>
      </c>
    </row>
    <row r="2485">
      <c r="A2485" s="5" t="s">
        <v>7449</v>
      </c>
      <c r="B2485" s="2" t="s">
        <v>7450</v>
      </c>
      <c r="C2485" s="4" t="str">
        <f>IFERROR(__xludf.DUMMYFUNCTION("""🏘️ ""&amp;REGEXEXTRACT(B2485, ""^(.*): "")&amp;"" ✅ "" &amp;REGEXEXTRACT(B2485, ""(Trouvez.*)"")"),"🏘️ Louer appartement Eysins ✅ Trouvez le bien immobilier qui correspond idéalement à vos désirs sur ImmoScout24 - La plateforme de l'immobilier en Suisse.")</f>
        <v>🏘️ Louer appartement Eysins ✅ Trouvez le bien immobilier qui correspond idéalement à vos désirs sur ImmoScout24 - La plateforme de l'immobilier en Suisse.</v>
      </c>
      <c r="D2485" s="4" t="str">
        <f>vlookup(A2485, Sheet2!D:E, 2, 0)</f>
        <v>variant</v>
      </c>
      <c r="E2485" s="4" t="str">
        <f>IFERROR(__xludf.DUMMYFUNCTION("if(H2485=""pays"",vlookup(REGEXEXTRACT(C2485, ""🏘️ \w+ \w+ (.*) ✅""),'Country prepositions'!A:B, 2, 0) &amp; "" "" &amp; REGEXEXTRACT(C2485, ""🏘️ \w+ \w+ (.*) ✅"") ,  if(H2485=""quartier"",vlookup(REGEXEXTRACT(C2485, ""🏘️ \w+ \w+ (.*) ✅""),'Quartier prepositio"&amp;"ns'!A:E, 5, 0) ,  if(H2485=""region"",vlookup(REGEXEXTRACT(C2485, ""🏘️ \w+ \w+ (.*) ✅""),'Region prepositions'!B:F, 5, 0),  REGEXEXTRACT(C2485, ""🏘️ \w+ \w+ (.*) ✅""))))"),"Eysins")</f>
        <v>Eysins</v>
      </c>
      <c r="F2485" s="2" t="str">
        <f>IFERROR(__xludf.DUMMYFUNCTION("REGEXEXTRACT(C2485, ""🏘️ (\w+) \w+ .* ✅"")"),"Louer")</f>
        <v>Louer</v>
      </c>
      <c r="G2485" s="2" t="str">
        <f>IFERROR(__xludf.DUMMYFUNCTION("REGEXEXTRACT(C2485, ""🏘️ \w+ (\w+) .* ✅"")"),"appartement")</f>
        <v>appartement</v>
      </c>
      <c r="H2485" s="4" t="str">
        <f>IFERROR(__xludf.DUMMYFUNCTION("REGEXEXTRACT(A2485, ""/(\w+)-.*?"")"),"lieu")</f>
        <v>lieu</v>
      </c>
      <c r="I2485" s="4" t="str">
        <f>IFERROR(__xludf.DUMMYFUNCTION("if(D2485=""variant"",  substitute(filter(Templates!E:E, Templates!A:A = F2485, Templates!B:B = G2485, Templates!C:C = H2485), ""{{}}"", E2485), B2485)"),"🏘  Vous cherchez un appartement à louer à Eysins? ✅ Les annonces les plus actuelles sont sur ImmoScout24.ch.")</f>
        <v>🏘  Vous cherchez un appartement à louer à Eysins? ✅ Les annonces les plus actuelles sont sur ImmoScout24.ch.</v>
      </c>
      <c r="J2485" s="4" t="s">
        <v>7451</v>
      </c>
    </row>
    <row r="2486">
      <c r="A2486" s="5" t="s">
        <v>7452</v>
      </c>
      <c r="B2486" s="2" t="s">
        <v>7453</v>
      </c>
      <c r="C2486" s="4" t="str">
        <f>IFERROR(__xludf.DUMMYFUNCTION("""🏘️ ""&amp;REGEXEXTRACT(B2486, ""^(.*): "")&amp;"" ✅ "" &amp;REGEXEXTRACT(B2486, ""(Trouvez.*)"")"),"🏘️ Vendre maison Leuk Stadt ✅ Trouvez le bien immobilier qui correspond idéalement à vos désirs sur ImmoScout24 - La plateforme de l'immobilier en Suisse.")</f>
        <v>🏘️ Vendre maison Leuk Stadt ✅ Trouvez le bien immobilier qui correspond idéalement à vos désirs sur ImmoScout24 - La plateforme de l'immobilier en Suisse.</v>
      </c>
      <c r="D2486" s="4" t="str">
        <f>vlookup(A2486, Sheet2!D:E, 2, 0)</f>
        <v>variant</v>
      </c>
      <c r="E2486" s="4" t="str">
        <f>IFERROR(__xludf.DUMMYFUNCTION("if(H2486=""pays"",vlookup(REGEXEXTRACT(C2486, ""🏘️ \w+ \w+ (.*) ✅""),'Country prepositions'!A:B, 2, 0) &amp; "" "" &amp; REGEXEXTRACT(C2486, ""🏘️ \w+ \w+ (.*) ✅"") ,  if(H2486=""quartier"",vlookup(REGEXEXTRACT(C2486, ""🏘️ \w+ \w+ (.*) ✅""),'Quartier prepositio"&amp;"ns'!A:E, 5, 0) ,  if(H2486=""region"",vlookup(REGEXEXTRACT(C2486, ""🏘️ \w+ \w+ (.*) ✅""),'Region prepositions'!B:F, 5, 0),  REGEXEXTRACT(C2486, ""🏘️ \w+ \w+ (.*) ✅""))))"),"Leuk Stadt")</f>
        <v>Leuk Stadt</v>
      </c>
      <c r="F2486" s="2" t="str">
        <f>IFERROR(__xludf.DUMMYFUNCTION("REGEXEXTRACT(C2486, ""🏘️ (\w+) \w+ .* ✅"")"),"Vendre")</f>
        <v>Vendre</v>
      </c>
      <c r="G2486" s="2" t="str">
        <f>IFERROR(__xludf.DUMMYFUNCTION("REGEXEXTRACT(C2486, ""🏘️ \w+ (\w+) .* ✅"")"),"maison")</f>
        <v>maison</v>
      </c>
      <c r="H2486" s="4" t="str">
        <f>IFERROR(__xludf.DUMMYFUNCTION("REGEXEXTRACT(A2486, ""/(\w+)-.*?"")"),"lieu")</f>
        <v>lieu</v>
      </c>
      <c r="I2486" s="4" t="str">
        <f>IFERROR(__xludf.DUMMYFUNCTION("if(D2486=""variant"",  substitute(filter(Templates!E:E, Templates!A:A = F2486, Templates!B:B = G2486, Templates!C:C = H2486), ""{{}}"", E2486), B2486)"),"🏘  Vous souhaitez acheter une maison à Leuk Stadt? ✅ Jetez un œil aux dernières offres sur ImmoScout24.ch.")</f>
        <v>🏘  Vous souhaitez acheter une maison à Leuk Stadt? ✅ Jetez un œil aux dernières offres sur ImmoScout24.ch.</v>
      </c>
      <c r="J2486" s="2" t="s">
        <v>7454</v>
      </c>
    </row>
    <row r="2487">
      <c r="A2487" s="5" t="s">
        <v>7455</v>
      </c>
      <c r="B2487" s="2" t="s">
        <v>7456</v>
      </c>
      <c r="C2487" s="4" t="str">
        <f>IFERROR(__xludf.DUMMYFUNCTION("""🏘️ ""&amp;REGEXEXTRACT(B2487, ""^(.*): "")&amp;"" ✅ "" &amp;REGEXEXTRACT(B2487, ""(Trouvez.*)"")"),"🏘️ Louer maison Courtelary ✅ Trouvez le bien immobilier qui correspond idéalement à vos désirs sur ImmoScout24 - La plateforme de l'immobilier en Suisse.")</f>
        <v>🏘️ Louer maison Courtelary ✅ Trouvez le bien immobilier qui correspond idéalement à vos désirs sur ImmoScout24 - La plateforme de l'immobilier en Suisse.</v>
      </c>
      <c r="D2487" s="4" t="str">
        <f>vlookup(A2487, Sheet2!D:E, 2, 0)</f>
        <v>variant</v>
      </c>
      <c r="E2487" s="4" t="str">
        <f>IFERROR(__xludf.DUMMYFUNCTION("if(H2487=""pays"",vlookup(REGEXEXTRACT(C2487, ""🏘️ \w+ \w+ (.*) ✅""),'Country prepositions'!A:B, 2, 0) &amp; "" "" &amp; REGEXEXTRACT(C2487, ""🏘️ \w+ \w+ (.*) ✅"") ,  if(H2487=""quartier"",vlookup(REGEXEXTRACT(C2487, ""🏘️ \w+ \w+ (.*) ✅""),'Quartier prepositio"&amp;"ns'!A:E, 5, 0) ,  if(H2487=""region"",vlookup(REGEXEXTRACT(C2487, ""🏘️ \w+ \w+ (.*) ✅""),'Region prepositions'!B:F, 5, 0),  REGEXEXTRACT(C2487, ""🏘️ \w+ \w+ (.*) ✅""))))"),"Courtelary")</f>
        <v>Courtelary</v>
      </c>
      <c r="F2487" s="2" t="str">
        <f>IFERROR(__xludf.DUMMYFUNCTION("REGEXEXTRACT(C2487, ""🏘️ (\w+) \w+ .* ✅"")"),"Louer")</f>
        <v>Louer</v>
      </c>
      <c r="G2487" s="2" t="str">
        <f>IFERROR(__xludf.DUMMYFUNCTION("REGEXEXTRACT(C2487, ""🏘️ \w+ (\w+) .* ✅"")"),"maison")</f>
        <v>maison</v>
      </c>
      <c r="H2487" s="4" t="str">
        <f>IFERROR(__xludf.DUMMYFUNCTION("REGEXEXTRACT(A2487, ""/(\w+)-.*?"")"),"lieu")</f>
        <v>lieu</v>
      </c>
      <c r="I2487" s="4" t="str">
        <f>IFERROR(__xludf.DUMMYFUNCTION("if(D2487=""variant"",  substitute(filter(Templates!E:E, Templates!A:A = F2487, Templates!B:B = G2487, Templates!C:C = H2487), ""{{}}"", E2487), B2487)"),"🏘  Vous cherchez une maison à louer à Courtelary? ✅ Découvrez nos nombreuses annonces sur ImmoScout24.ch.")</f>
        <v>🏘  Vous cherchez une maison à louer à Courtelary? ✅ Découvrez nos nombreuses annonces sur ImmoScout24.ch.</v>
      </c>
      <c r="J2487" s="4" t="s">
        <v>7457</v>
      </c>
    </row>
    <row r="2488">
      <c r="A2488" s="5" t="s">
        <v>7458</v>
      </c>
      <c r="B2488" s="2" t="s">
        <v>7459</v>
      </c>
      <c r="C2488" s="4" t="str">
        <f>IFERROR(__xludf.DUMMYFUNCTION("""🏘️ ""&amp;REGEXEXTRACT(B2488, ""^(.*): "")&amp;"" ✅ "" &amp;REGEXEXTRACT(B2488, ""(Trouvez.*)"")"),"🏘️ Louer maison Fribourg Glane ✅ Trouvez le bien immobilier qui correspond idéalement à vos désirs sur ImmoScout24 - La plateforme de l'immobilier en Suisse.")</f>
        <v>🏘️ Louer maison Fribourg Glane ✅ Trouvez le bien immobilier qui correspond idéalement à vos désirs sur ImmoScout24 - La plateforme de l'immobilier en Suisse.</v>
      </c>
      <c r="D2488" s="4" t="str">
        <f>vlookup(A2488, Sheet2!D:E, 2, 0)</f>
        <v>variant</v>
      </c>
      <c r="E2488" s="4" t="str">
        <f>IFERROR(__xludf.DUMMYFUNCTION("if(H2488=""pays"",vlookup(REGEXEXTRACT(C2488, ""🏘️ \w+ \w+ (.*) ✅""),'Country prepositions'!A:B, 2, 0) &amp; "" "" &amp; REGEXEXTRACT(C2488, ""🏘️ \w+ \w+ (.*) ✅"") ,  if(H2488=""quartier"",vlookup(REGEXEXTRACT(C2488, ""🏘️ \w+ \w+ (.*) ✅""),'Quartier prepositio"&amp;"ns'!A:E, 5, 0) ,  if(H2488=""region"",vlookup(REGEXEXTRACT(C2488, ""🏘️ \w+ \w+ (.*) ✅""),'Region prepositions'!B:F, 5, 0),  REGEXEXTRACT(C2488, ""🏘️ \w+ \w+ (.*) ✅""))))"),"dans le district de la Glâne")</f>
        <v>dans le district de la Glâne</v>
      </c>
      <c r="F2488" s="2" t="str">
        <f>IFERROR(__xludf.DUMMYFUNCTION("REGEXEXTRACT(C2488, ""🏘️ (\w+) \w+ .* ✅"")"),"Louer")</f>
        <v>Louer</v>
      </c>
      <c r="G2488" s="2" t="str">
        <f>IFERROR(__xludf.DUMMYFUNCTION("REGEXEXTRACT(C2488, ""🏘️ \w+ (\w+) .* ✅"")"),"maison")</f>
        <v>maison</v>
      </c>
      <c r="H2488" s="4" t="str">
        <f>IFERROR(__xludf.DUMMYFUNCTION("REGEXEXTRACT(A2488, ""/(\w+)-.*?"")"),"region")</f>
        <v>region</v>
      </c>
      <c r="I2488" s="4" t="str">
        <f>IFERROR(__xludf.DUMMYFUNCTION("if(D2488=""variant"",  substitute(filter(Templates!E:E, Templates!A:A = F2488, Templates!B:B = G2488, Templates!C:C = H2488), ""{{}}"", E2488), B2488)"),"🏘  Vous cherchez une maison à louer dans le district de la Glâne? ✅ Découvrez nos nombreuses annonces sur ImmoScout24.ch.")</f>
        <v>🏘  Vous cherchez une maison à louer dans le district de la Glâne? ✅ Découvrez nos nombreuses annonces sur ImmoScout24.ch.</v>
      </c>
      <c r="J2488" s="4" t="s">
        <v>7460</v>
      </c>
    </row>
    <row r="2489">
      <c r="A2489" s="5" t="s">
        <v>7461</v>
      </c>
      <c r="B2489" s="2" t="s">
        <v>7462</v>
      </c>
      <c r="C2489" s="4" t="str">
        <f>IFERROR(__xludf.DUMMYFUNCTION("""🏘️ ""&amp;REGEXEXTRACT(B2489, ""^(.*): "")&amp;"" ✅ "" &amp;REGEXEXTRACT(B2489, ""(Trouvez.*)"")"),"🏘️ Louer appartement Mervelier ✅ Trouvez le bien immobilier qui correspond idéalement à vos désirs sur ImmoScout24 - La plateforme de l'immobilier en Suisse.")</f>
        <v>🏘️ Louer appartement Mervelier ✅ Trouvez le bien immobilier qui correspond idéalement à vos désirs sur ImmoScout24 - La plateforme de l'immobilier en Suisse.</v>
      </c>
      <c r="D2489" s="4" t="str">
        <f>vlookup(A2489, Sheet2!D:E, 2, 0)</f>
        <v>variant</v>
      </c>
      <c r="E2489" s="4" t="str">
        <f>IFERROR(__xludf.DUMMYFUNCTION("if(H2489=""pays"",vlookup(REGEXEXTRACT(C2489, ""🏘️ \w+ \w+ (.*) ✅""),'Country prepositions'!A:B, 2, 0) &amp; "" "" &amp; REGEXEXTRACT(C2489, ""🏘️ \w+ \w+ (.*) ✅"") ,  if(H2489=""quartier"",vlookup(REGEXEXTRACT(C2489, ""🏘️ \w+ \w+ (.*) ✅""),'Quartier prepositio"&amp;"ns'!A:E, 5, 0) ,  if(H2489=""region"",vlookup(REGEXEXTRACT(C2489, ""🏘️ \w+ \w+ (.*) ✅""),'Region prepositions'!B:F, 5, 0),  REGEXEXTRACT(C2489, ""🏘️ \w+ \w+ (.*) ✅""))))"),"Mervelier")</f>
        <v>Mervelier</v>
      </c>
      <c r="F2489" s="2" t="str">
        <f>IFERROR(__xludf.DUMMYFUNCTION("REGEXEXTRACT(C2489, ""🏘️ (\w+) \w+ .* ✅"")"),"Louer")</f>
        <v>Louer</v>
      </c>
      <c r="G2489" s="2" t="str">
        <f>IFERROR(__xludf.DUMMYFUNCTION("REGEXEXTRACT(C2489, ""🏘️ \w+ (\w+) .* ✅"")"),"appartement")</f>
        <v>appartement</v>
      </c>
      <c r="H2489" s="4" t="str">
        <f>IFERROR(__xludf.DUMMYFUNCTION("REGEXEXTRACT(A2489, ""/(\w+)-.*?"")"),"lieu")</f>
        <v>lieu</v>
      </c>
      <c r="I2489" s="4" t="str">
        <f>IFERROR(__xludf.DUMMYFUNCTION("if(D2489=""variant"",  substitute(filter(Templates!E:E, Templates!A:A = F2489, Templates!B:B = G2489, Templates!C:C = H2489), ""{{}}"", E2489), B2489)"),"🏘  Vous cherchez un appartement à louer à Mervelier? ✅ Les annonces les plus actuelles sont sur ImmoScout24.ch.")</f>
        <v>🏘  Vous cherchez un appartement à louer à Mervelier? ✅ Les annonces les plus actuelles sont sur ImmoScout24.ch.</v>
      </c>
      <c r="J2489" s="4" t="s">
        <v>7463</v>
      </c>
    </row>
    <row r="2490">
      <c r="A2490" s="5" t="s">
        <v>7464</v>
      </c>
      <c r="B2490" s="2" t="s">
        <v>7465</v>
      </c>
      <c r="C2490" s="4" t="str">
        <f>IFERROR(__xludf.DUMMYFUNCTION("""🏘️ ""&amp;REGEXEXTRACT(B2490, ""^(.*): "")&amp;"" ✅ "" &amp;REGEXEXTRACT(B2490, ""(Trouvez.*)"")"),"🏘️ Vendre maison Turquie ✅ Trouvez le bien immobilier qui correspond idéalement à vos désirs sur ImmoScout24 - La plateforme de l'immobilier en Suisse.")</f>
        <v>🏘️ Vendre maison Turquie ✅ Trouvez le bien immobilier qui correspond idéalement à vos désirs sur ImmoScout24 - La plateforme de l'immobilier en Suisse.</v>
      </c>
      <c r="D2490" s="4" t="str">
        <f>vlookup(A2490, Sheet2!D:E, 2, 0)</f>
        <v>variant</v>
      </c>
      <c r="E2490" s="4" t="str">
        <f>IFERROR(__xludf.DUMMYFUNCTION("if(H2490=""pays"",vlookup(REGEXEXTRACT(C2490, ""🏘️ \w+ \w+ (.*) ✅""),'Country prepositions'!A:B, 2, 0) &amp; "" "" &amp; REGEXEXTRACT(C2490, ""🏘️ \w+ \w+ (.*) ✅"") ,  if(H2490=""quartier"",vlookup(REGEXEXTRACT(C2490, ""🏘️ \w+ \w+ (.*) ✅""),'Quartier prepositio"&amp;"ns'!A:E, 5, 0) ,  if(H2490=""region"",vlookup(REGEXEXTRACT(C2490, ""🏘️ \w+ \w+ (.*) ✅""),'Region prepositions'!B:F, 5, 0),  REGEXEXTRACT(C2490, ""🏘️ \w+ \w+ (.*) ✅""))))"),"en Turquie")</f>
        <v>en Turquie</v>
      </c>
      <c r="F2490" s="2" t="str">
        <f>IFERROR(__xludf.DUMMYFUNCTION("REGEXEXTRACT(C2490, ""🏘️ (\w+) \w+ .* ✅"")"),"Vendre")</f>
        <v>Vendre</v>
      </c>
      <c r="G2490" s="2" t="str">
        <f>IFERROR(__xludf.DUMMYFUNCTION("REGEXEXTRACT(C2490, ""🏘️ \w+ (\w+) .* ✅"")"),"maison")</f>
        <v>maison</v>
      </c>
      <c r="H2490" s="4" t="str">
        <f>IFERROR(__xludf.DUMMYFUNCTION("REGEXEXTRACT(A2490, ""/(\w+)-.*?"")"),"pays")</f>
        <v>pays</v>
      </c>
      <c r="I2490" s="4" t="str">
        <f>IFERROR(__xludf.DUMMYFUNCTION("if(D2490=""variant"",  substitute(filter(Templates!E:E, Templates!A:A = F2490, Templates!B:B = G2490, Templates!C:C = H2490), ""{{}}"", E2490), B2490)"),"🏘  Vous cherchez un appartement à louer en Turquie? ✅ Les annonces les plus actuelles sont sur ImmoScout24.ch.")</f>
        <v>🏘  Vous cherchez un appartement à louer en Turquie? ✅ Les annonces les plus actuelles sont sur ImmoScout24.ch.</v>
      </c>
      <c r="J2490" s="4" t="s">
        <v>7466</v>
      </c>
    </row>
    <row r="2491">
      <c r="A2491" s="5" t="s">
        <v>7467</v>
      </c>
      <c r="B2491" s="2" t="s">
        <v>7468</v>
      </c>
      <c r="C2491" s="4" t="str">
        <f>IFERROR(__xludf.DUMMYFUNCTION("""🏘️ ""&amp;REGEXEXTRACT(B2491, ""^(.*): "")&amp;"" ✅ "" &amp;REGEXEXTRACT(B2491, ""(Trouvez.*)"")"),"🏘️ Louer appartement Gampel ✅ Trouvez le bien immobilier qui correspond idéalement à vos désirs sur ImmoScout24 - La plateforme de l'immobilier en Suisse.")</f>
        <v>🏘️ Louer appartement Gampel ✅ Trouvez le bien immobilier qui correspond idéalement à vos désirs sur ImmoScout24 - La plateforme de l'immobilier en Suisse.</v>
      </c>
      <c r="D2491" s="4" t="str">
        <f>vlookup(A2491, Sheet2!D:E, 2, 0)</f>
        <v>variant</v>
      </c>
      <c r="E2491" s="4" t="str">
        <f>IFERROR(__xludf.DUMMYFUNCTION("if(H2491=""pays"",vlookup(REGEXEXTRACT(C2491, ""🏘️ \w+ \w+ (.*) ✅""),'Country prepositions'!A:B, 2, 0) &amp; "" "" &amp; REGEXEXTRACT(C2491, ""🏘️ \w+ \w+ (.*) ✅"") ,  if(H2491=""quartier"",vlookup(REGEXEXTRACT(C2491, ""🏘️ \w+ \w+ (.*) ✅""),'Quartier prepositio"&amp;"ns'!A:E, 5, 0) ,  if(H2491=""region"",vlookup(REGEXEXTRACT(C2491, ""🏘️ \w+ \w+ (.*) ✅""),'Region prepositions'!B:F, 5, 0),  REGEXEXTRACT(C2491, ""🏘️ \w+ \w+ (.*) ✅""))))"),"Gampel")</f>
        <v>Gampel</v>
      </c>
      <c r="F2491" s="2" t="str">
        <f>IFERROR(__xludf.DUMMYFUNCTION("REGEXEXTRACT(C2491, ""🏘️ (\w+) \w+ .* ✅"")"),"Louer")</f>
        <v>Louer</v>
      </c>
      <c r="G2491" s="2" t="str">
        <f>IFERROR(__xludf.DUMMYFUNCTION("REGEXEXTRACT(C2491, ""🏘️ \w+ (\w+) .* ✅"")"),"appartement")</f>
        <v>appartement</v>
      </c>
      <c r="H2491" s="4" t="str">
        <f>IFERROR(__xludf.DUMMYFUNCTION("REGEXEXTRACT(A2491, ""/(\w+)-.*?"")"),"lieu")</f>
        <v>lieu</v>
      </c>
      <c r="I2491" s="4" t="str">
        <f>IFERROR(__xludf.DUMMYFUNCTION("if(D2491=""variant"",  substitute(filter(Templates!E:E, Templates!A:A = F2491, Templates!B:B = G2491, Templates!C:C = H2491), ""{{}}"", E2491), B2491)"),"🏘  Vous cherchez un appartement à louer à Gampel? ✅ Les annonces les plus actuelles sont sur ImmoScout24.ch.")</f>
        <v>🏘  Vous cherchez un appartement à louer à Gampel? ✅ Les annonces les plus actuelles sont sur ImmoScout24.ch.</v>
      </c>
      <c r="J2491" s="4" t="s">
        <v>7469</v>
      </c>
    </row>
    <row r="2492">
      <c r="A2492" s="5" t="s">
        <v>7470</v>
      </c>
      <c r="B2492" s="2" t="s">
        <v>7471</v>
      </c>
      <c r="C2492" s="4" t="str">
        <f>IFERROR(__xludf.DUMMYFUNCTION("""🏘️ ""&amp;REGEXEXTRACT(B2492, ""^(.*): "")&amp;"" ✅ "" &amp;REGEXEXTRACT(B2492, ""(Trouvez.*)"")"),"🏘️ Vendre appartement Monthey ✅ Trouvez le bien immobilier qui correspond idéalement à vos désirs sur ImmoScout24 - La plateforme de l'immobilier en Suisse.")</f>
        <v>🏘️ Vendre appartement Monthey ✅ Trouvez le bien immobilier qui correspond idéalement à vos désirs sur ImmoScout24 - La plateforme de l'immobilier en Suisse.</v>
      </c>
      <c r="D2492" s="4" t="str">
        <f>vlookup(A2492, Sheet2!D:E, 2, 0)</f>
        <v>variant</v>
      </c>
      <c r="E2492" s="4" t="str">
        <f>IFERROR(__xludf.DUMMYFUNCTION("if(H2492=""pays"",vlookup(REGEXEXTRACT(C2492, ""🏘️ \w+ \w+ (.*) ✅""),'Country prepositions'!A:B, 2, 0) &amp; "" "" &amp; REGEXEXTRACT(C2492, ""🏘️ \w+ \w+ (.*) ✅"") ,  if(H2492=""quartier"",vlookup(REGEXEXTRACT(C2492, ""🏘️ \w+ \w+ (.*) ✅""),'Quartier prepositio"&amp;"ns'!A:E, 5, 0) ,  if(H2492=""region"",vlookup(REGEXEXTRACT(C2492, ""🏘️ \w+ \w+ (.*) ✅""),'Region prepositions'!B:F, 5, 0),  REGEXEXTRACT(C2492, ""🏘️ \w+ \w+ (.*) ✅""))))"),"Monthey")</f>
        <v>Monthey</v>
      </c>
      <c r="F2492" s="2" t="str">
        <f>IFERROR(__xludf.DUMMYFUNCTION("REGEXEXTRACT(C2492, ""🏘️ (\w+) \w+ .* ✅"")"),"Vendre")</f>
        <v>Vendre</v>
      </c>
      <c r="G2492" s="2" t="str">
        <f>IFERROR(__xludf.DUMMYFUNCTION("REGEXEXTRACT(C2492, ""🏘️ \w+ (\w+) .* ✅"")"),"appartement")</f>
        <v>appartement</v>
      </c>
      <c r="H2492" s="4" t="str">
        <f>IFERROR(__xludf.DUMMYFUNCTION("REGEXEXTRACT(A2492, ""/(\w+)-.*?"")"),"lieu")</f>
        <v>lieu</v>
      </c>
      <c r="I2492" s="4" t="str">
        <f>IFERROR(__xludf.DUMMYFUNCTION("if(D2492=""variant"",  substitute(filter(Templates!E:E, Templates!A:A = F2492, Templates!B:B = G2492, Templates!C:C = H2492), ""{{}}"", E2492), B2492)"),"🏘  L’appartement de vos rêves se trouve sur ImmoScout24.ch ✅ Découvrez les dernières annonces de vente à Monthey.")</f>
        <v>🏘  L’appartement de vos rêves se trouve sur ImmoScout24.ch ✅ Découvrez les dernières annonces de vente à Monthey.</v>
      </c>
      <c r="J2492" s="4" t="s">
        <v>7472</v>
      </c>
    </row>
    <row r="2493">
      <c r="A2493" s="5" t="s">
        <v>7473</v>
      </c>
      <c r="B2493" s="2" t="s">
        <v>7474</v>
      </c>
      <c r="C2493" s="4" t="str">
        <f>IFERROR(__xludf.DUMMYFUNCTION("""🏘️ ""&amp;REGEXEXTRACT(B2493, ""^(.*): "")&amp;"" ✅ "" &amp;REGEXEXTRACT(B2493, ""(Trouvez.*)"")"),"🏘️ Vendre maison Genthod ✅ Trouvez le bien immobilier qui correspond idéalement à vos désirs sur ImmoScout24 - La plateforme de l'immobilier en Suisse.")</f>
        <v>🏘️ Vendre maison Genthod ✅ Trouvez le bien immobilier qui correspond idéalement à vos désirs sur ImmoScout24 - La plateforme de l'immobilier en Suisse.</v>
      </c>
      <c r="D2493" s="4" t="str">
        <f>vlookup(A2493, Sheet2!D:E, 2, 0)</f>
        <v>variant</v>
      </c>
      <c r="E2493" s="4" t="str">
        <f>IFERROR(__xludf.DUMMYFUNCTION("if(H2493=""pays"",vlookup(REGEXEXTRACT(C2493, ""🏘️ \w+ \w+ (.*) ✅""),'Country prepositions'!A:B, 2, 0) &amp; "" "" &amp; REGEXEXTRACT(C2493, ""🏘️ \w+ \w+ (.*) ✅"") ,  if(H2493=""quartier"",vlookup(REGEXEXTRACT(C2493, ""🏘️ \w+ \w+ (.*) ✅""),'Quartier prepositio"&amp;"ns'!A:E, 5, 0) ,  if(H2493=""region"",vlookup(REGEXEXTRACT(C2493, ""🏘️ \w+ \w+ (.*) ✅""),'Region prepositions'!B:F, 5, 0),  REGEXEXTRACT(C2493, ""🏘️ \w+ \w+ (.*) ✅""))))"),"Genthod")</f>
        <v>Genthod</v>
      </c>
      <c r="F2493" s="2" t="str">
        <f>IFERROR(__xludf.DUMMYFUNCTION("REGEXEXTRACT(C2493, ""🏘️ (\w+) \w+ .* ✅"")"),"Vendre")</f>
        <v>Vendre</v>
      </c>
      <c r="G2493" s="2" t="str">
        <f>IFERROR(__xludf.DUMMYFUNCTION("REGEXEXTRACT(C2493, ""🏘️ \w+ (\w+) .* ✅"")"),"maison")</f>
        <v>maison</v>
      </c>
      <c r="H2493" s="4" t="str">
        <f>IFERROR(__xludf.DUMMYFUNCTION("REGEXEXTRACT(A2493, ""/(\w+)-.*?"")"),"lieu")</f>
        <v>lieu</v>
      </c>
      <c r="I2493" s="4" t="str">
        <f>IFERROR(__xludf.DUMMYFUNCTION("if(D2493=""variant"",  substitute(filter(Templates!E:E, Templates!A:A = F2493, Templates!B:B = G2493, Templates!C:C = H2493), ""{{}}"", E2493), B2493)"),"🏘  Vous souhaitez acheter une maison à Genthod? ✅ Jetez un œil aux dernières offres sur ImmoScout24.ch.")</f>
        <v>🏘  Vous souhaitez acheter une maison à Genthod? ✅ Jetez un œil aux dernières offres sur ImmoScout24.ch.</v>
      </c>
      <c r="J2493" s="4" t="s">
        <v>7475</v>
      </c>
    </row>
    <row r="2494">
      <c r="A2494" s="5" t="s">
        <v>7476</v>
      </c>
      <c r="B2494" s="2" t="s">
        <v>7477</v>
      </c>
      <c r="C2494" s="4" t="str">
        <f>IFERROR(__xludf.DUMMYFUNCTION("""🏘️ ""&amp;REGEXEXTRACT(B2494, ""^(.*): "")&amp;"" ✅ "" &amp;REGEXEXTRACT(B2494, ""(Trouvez.*)"")"),"🏘️ Louer maison Rueyres-les-Prés ✅ Trouvez le bien immobilier qui correspond idéalement à vos désirs sur ImmoScout24 - La plateforme de l'immobilier en Suisse.")</f>
        <v>🏘️ Louer maison Rueyres-les-Prés ✅ Trouvez le bien immobilier qui correspond idéalement à vos désirs sur ImmoScout24 - La plateforme de l'immobilier en Suisse.</v>
      </c>
      <c r="D2494" s="4" t="str">
        <f>vlookup(A2494, Sheet2!D:E, 2, 0)</f>
        <v>variant</v>
      </c>
      <c r="E2494" s="4" t="str">
        <f>IFERROR(__xludf.DUMMYFUNCTION("if(H2494=""pays"",vlookup(REGEXEXTRACT(C2494, ""🏘️ \w+ \w+ (.*) ✅""),'Country prepositions'!A:B, 2, 0) &amp; "" "" &amp; REGEXEXTRACT(C2494, ""🏘️ \w+ \w+ (.*) ✅"") ,  if(H2494=""quartier"",vlookup(REGEXEXTRACT(C2494, ""🏘️ \w+ \w+ (.*) ✅""),'Quartier prepositio"&amp;"ns'!A:E, 5, 0) ,  if(H2494=""region"",vlookup(REGEXEXTRACT(C2494, ""🏘️ \w+ \w+ (.*) ✅""),'Region prepositions'!B:F, 5, 0),  REGEXEXTRACT(C2494, ""🏘️ \w+ \w+ (.*) ✅""))))"),"Rueyres-les-Prés")</f>
        <v>Rueyres-les-Prés</v>
      </c>
      <c r="F2494" s="2" t="str">
        <f>IFERROR(__xludf.DUMMYFUNCTION("REGEXEXTRACT(C2494, ""🏘️ (\w+) \w+ .* ✅"")"),"Louer")</f>
        <v>Louer</v>
      </c>
      <c r="G2494" s="2" t="str">
        <f>IFERROR(__xludf.DUMMYFUNCTION("REGEXEXTRACT(C2494, ""🏘️ \w+ (\w+) .* ✅"")"),"maison")</f>
        <v>maison</v>
      </c>
      <c r="H2494" s="4" t="str">
        <f>IFERROR(__xludf.DUMMYFUNCTION("REGEXEXTRACT(A2494, ""/(\w+)-.*?"")"),"lieu")</f>
        <v>lieu</v>
      </c>
      <c r="I2494" s="4" t="str">
        <f>IFERROR(__xludf.DUMMYFUNCTION("if(D2494=""variant"",  substitute(filter(Templates!E:E, Templates!A:A = F2494, Templates!B:B = G2494, Templates!C:C = H2494), ""{{}}"", E2494), B2494)"),"🏘  Vous cherchez une maison à louer à Rueyres-les-Prés? ✅ Découvrez nos nombreuses annonces sur ImmoScout24.ch.")</f>
        <v>🏘  Vous cherchez une maison à louer à Rueyres-les-Prés? ✅ Découvrez nos nombreuses annonces sur ImmoScout24.ch.</v>
      </c>
      <c r="J2494" s="4" t="s">
        <v>7478</v>
      </c>
    </row>
    <row r="2495">
      <c r="A2495" s="5" t="s">
        <v>7479</v>
      </c>
      <c r="B2495" s="2" t="s">
        <v>7480</v>
      </c>
      <c r="C2495" s="4" t="str">
        <f>IFERROR(__xludf.DUMMYFUNCTION("""🏘️ ""&amp;REGEXEXTRACT(B2495, ""^(.*): "")&amp;"" ✅ "" &amp;REGEXEXTRACT(B2495, ""(Trouvez.*)"")"),"🏘️ Louer appartement Porsel ✅ Trouvez le bien immobilier qui correspond idéalement à vos désirs sur ImmoScout24 - La plateforme de l'immobilier en Suisse.")</f>
        <v>🏘️ Louer appartement Porsel ✅ Trouvez le bien immobilier qui correspond idéalement à vos désirs sur ImmoScout24 - La plateforme de l'immobilier en Suisse.</v>
      </c>
      <c r="D2495" s="4" t="str">
        <f>vlookup(A2495, Sheet2!D:E, 2, 0)</f>
        <v>variant</v>
      </c>
      <c r="E2495" s="4" t="str">
        <f>IFERROR(__xludf.DUMMYFUNCTION("if(H2495=""pays"",vlookup(REGEXEXTRACT(C2495, ""🏘️ \w+ \w+ (.*) ✅""),'Country prepositions'!A:B, 2, 0) &amp; "" "" &amp; REGEXEXTRACT(C2495, ""🏘️ \w+ \w+ (.*) ✅"") ,  if(H2495=""quartier"",vlookup(REGEXEXTRACT(C2495, ""🏘️ \w+ \w+ (.*) ✅""),'Quartier prepositio"&amp;"ns'!A:E, 5, 0) ,  if(H2495=""region"",vlookup(REGEXEXTRACT(C2495, ""🏘️ \w+ \w+ (.*) ✅""),'Region prepositions'!B:F, 5, 0),  REGEXEXTRACT(C2495, ""🏘️ \w+ \w+ (.*) ✅""))))"),"Porsel")</f>
        <v>Porsel</v>
      </c>
      <c r="F2495" s="2" t="str">
        <f>IFERROR(__xludf.DUMMYFUNCTION("REGEXEXTRACT(C2495, ""🏘️ (\w+) \w+ .* ✅"")"),"Louer")</f>
        <v>Louer</v>
      </c>
      <c r="G2495" s="2" t="str">
        <f>IFERROR(__xludf.DUMMYFUNCTION("REGEXEXTRACT(C2495, ""🏘️ \w+ (\w+) .* ✅"")"),"appartement")</f>
        <v>appartement</v>
      </c>
      <c r="H2495" s="4" t="str">
        <f>IFERROR(__xludf.DUMMYFUNCTION("REGEXEXTRACT(A2495, ""/(\w+)-.*?"")"),"lieu")</f>
        <v>lieu</v>
      </c>
      <c r="I2495" s="4" t="str">
        <f>IFERROR(__xludf.DUMMYFUNCTION("if(D2495=""variant"",  substitute(filter(Templates!E:E, Templates!A:A = F2495, Templates!B:B = G2495, Templates!C:C = H2495), ""{{}}"", E2495), B2495)"),"🏘  Vous cherchez un appartement à louer à Porsel? ✅ Les annonces les plus actuelles sont sur ImmoScout24.ch.")</f>
        <v>🏘  Vous cherchez un appartement à louer à Porsel? ✅ Les annonces les plus actuelles sont sur ImmoScout24.ch.</v>
      </c>
      <c r="J2495" s="4" t="s">
        <v>7481</v>
      </c>
    </row>
    <row r="2496">
      <c r="A2496" s="5" t="s">
        <v>7482</v>
      </c>
      <c r="B2496" s="2" t="s">
        <v>7483</v>
      </c>
      <c r="C2496" s="4" t="str">
        <f>IFERROR(__xludf.DUMMYFUNCTION("""🏘️ ""&amp;REGEXEXTRACT(B2496, ""^(.*): "")&amp;"" ✅ "" &amp;REGEXEXTRACT(B2496, ""(Trouvez.*)"")"),"🏘️ Louer appartement Rocourt ✅ Trouvez le bien immobilier qui correspond idéalement à vos désirs sur ImmoScout24 - La plateforme de l'immobilier en Suisse.")</f>
        <v>🏘️ Louer appartement Rocourt ✅ Trouvez le bien immobilier qui correspond idéalement à vos désirs sur ImmoScout24 - La plateforme de l'immobilier en Suisse.</v>
      </c>
      <c r="D2496" s="4" t="str">
        <f>vlookup(A2496, Sheet2!D:E, 2, 0)</f>
        <v>variant</v>
      </c>
      <c r="E2496" s="4" t="str">
        <f>IFERROR(__xludf.DUMMYFUNCTION("if(H2496=""pays"",vlookup(REGEXEXTRACT(C2496, ""🏘️ \w+ \w+ (.*) ✅""),'Country prepositions'!A:B, 2, 0) &amp; "" "" &amp; REGEXEXTRACT(C2496, ""🏘️ \w+ \w+ (.*) ✅"") ,  if(H2496=""quartier"",vlookup(REGEXEXTRACT(C2496, ""🏘️ \w+ \w+ (.*) ✅""),'Quartier prepositio"&amp;"ns'!A:E, 5, 0) ,  if(H2496=""region"",vlookup(REGEXEXTRACT(C2496, ""🏘️ \w+ \w+ (.*) ✅""),'Region prepositions'!B:F, 5, 0),  REGEXEXTRACT(C2496, ""🏘️ \w+ \w+ (.*) ✅""))))"),"Rocourt")</f>
        <v>Rocourt</v>
      </c>
      <c r="F2496" s="2" t="str">
        <f>IFERROR(__xludf.DUMMYFUNCTION("REGEXEXTRACT(C2496, ""🏘️ (\w+) \w+ .* ✅"")"),"Louer")</f>
        <v>Louer</v>
      </c>
      <c r="G2496" s="2" t="str">
        <f>IFERROR(__xludf.DUMMYFUNCTION("REGEXEXTRACT(C2496, ""🏘️ \w+ (\w+) .* ✅"")"),"appartement")</f>
        <v>appartement</v>
      </c>
      <c r="H2496" s="4" t="str">
        <f>IFERROR(__xludf.DUMMYFUNCTION("REGEXEXTRACT(A2496, ""/(\w+)-.*?"")"),"lieu")</f>
        <v>lieu</v>
      </c>
      <c r="I2496" s="4" t="str">
        <f>IFERROR(__xludf.DUMMYFUNCTION("if(D2496=""variant"",  substitute(filter(Templates!E:E, Templates!A:A = F2496, Templates!B:B = G2496, Templates!C:C = H2496), ""{{}}"", E2496), B2496)"),"🏘  Vous cherchez un appartement à louer à Rocourt? ✅ Les annonces les plus actuelles sont sur ImmoScout24.ch.")</f>
        <v>🏘  Vous cherchez un appartement à louer à Rocourt? ✅ Les annonces les plus actuelles sont sur ImmoScout24.ch.</v>
      </c>
      <c r="J2496" s="4" t="s">
        <v>7484</v>
      </c>
    </row>
    <row r="2497">
      <c r="A2497" s="5" t="s">
        <v>7485</v>
      </c>
      <c r="B2497" s="2" t="s">
        <v>7486</v>
      </c>
      <c r="C2497" s="4" t="str">
        <f>IFERROR(__xludf.DUMMYFUNCTION("""🏘️ ""&amp;REGEXEXTRACT(B2497, ""^(.*): "")&amp;"" ✅ "" &amp;REGEXEXTRACT(B2497, ""(Trouvez.*)"")"),"🏘️ Vendre maison Seengen ✅ Trouvez le bien immobilier qui correspond idéalement à vos désirs sur ImmoScout24 - La plateforme de l'immobilier en Suisse.")</f>
        <v>🏘️ Vendre maison Seengen ✅ Trouvez le bien immobilier qui correspond idéalement à vos désirs sur ImmoScout24 - La plateforme de l'immobilier en Suisse.</v>
      </c>
      <c r="D2497" s="4" t="str">
        <f>vlookup(A2497, Sheet2!D:E, 2, 0)</f>
        <v>variant</v>
      </c>
      <c r="E2497" s="4" t="str">
        <f>IFERROR(__xludf.DUMMYFUNCTION("if(H2497=""pays"",vlookup(REGEXEXTRACT(C2497, ""🏘️ \w+ \w+ (.*) ✅""),'Country prepositions'!A:B, 2, 0) &amp; "" "" &amp; REGEXEXTRACT(C2497, ""🏘️ \w+ \w+ (.*) ✅"") ,  if(H2497=""quartier"",vlookup(REGEXEXTRACT(C2497, ""🏘️ \w+ \w+ (.*) ✅""),'Quartier prepositio"&amp;"ns'!A:E, 5, 0) ,  if(H2497=""region"",vlookup(REGEXEXTRACT(C2497, ""🏘️ \w+ \w+ (.*) ✅""),'Region prepositions'!B:F, 5, 0),  REGEXEXTRACT(C2497, ""🏘️ \w+ \w+ (.*) ✅""))))"),"Seengen")</f>
        <v>Seengen</v>
      </c>
      <c r="F2497" s="2" t="str">
        <f>IFERROR(__xludf.DUMMYFUNCTION("REGEXEXTRACT(C2497, ""🏘️ (\w+) \w+ .* ✅"")"),"Vendre")</f>
        <v>Vendre</v>
      </c>
      <c r="G2497" s="2" t="str">
        <f>IFERROR(__xludf.DUMMYFUNCTION("REGEXEXTRACT(C2497, ""🏘️ \w+ (\w+) .* ✅"")"),"maison")</f>
        <v>maison</v>
      </c>
      <c r="H2497" s="4" t="str">
        <f>IFERROR(__xludf.DUMMYFUNCTION("REGEXEXTRACT(A2497, ""/(\w+)-.*?"")"),"lieu")</f>
        <v>lieu</v>
      </c>
      <c r="I2497" s="4" t="str">
        <f>IFERROR(__xludf.DUMMYFUNCTION("if(D2497=""variant"",  substitute(filter(Templates!E:E, Templates!A:A = F2497, Templates!B:B = G2497, Templates!C:C = H2497), ""{{}}"", E2497), B2497)"),"🏘  Vous souhaitez acheter une maison à Seengen? ✅ Jetez un œil aux dernières offres sur ImmoScout24.ch.")</f>
        <v>🏘  Vous souhaitez acheter une maison à Seengen? ✅ Jetez un œil aux dernières offres sur ImmoScout24.ch.</v>
      </c>
      <c r="J2497" s="4" t="s">
        <v>7487</v>
      </c>
    </row>
    <row r="2498">
      <c r="A2498" s="5" t="s">
        <v>7488</v>
      </c>
      <c r="B2498" s="2" t="s">
        <v>7489</v>
      </c>
      <c r="C2498" s="4" t="str">
        <f>IFERROR(__xludf.DUMMYFUNCTION("""🏘️ ""&amp;REGEXEXTRACT(B2498, ""^(.*): "")&amp;"" ✅ "" &amp;REGEXEXTRACT(B2498, ""(Trouvez.*)"")"),"🏘️ Louer appartement Spreitenbach ✅ Trouvez le bien immobilier qui correspond idéalement à vos désirs sur ImmoScout24 - La plateforme de l'immobilier en Suisse.")</f>
        <v>🏘️ Louer appartement Spreitenbach ✅ Trouvez le bien immobilier qui correspond idéalement à vos désirs sur ImmoScout24 - La plateforme de l'immobilier en Suisse.</v>
      </c>
      <c r="D2498" s="4" t="str">
        <f>vlookup(A2498, Sheet2!D:E, 2, 0)</f>
        <v>variant</v>
      </c>
      <c r="E2498" s="4" t="str">
        <f>IFERROR(__xludf.DUMMYFUNCTION("if(H2498=""pays"",vlookup(REGEXEXTRACT(C2498, ""🏘️ \w+ \w+ (.*) ✅""),'Country prepositions'!A:B, 2, 0) &amp; "" "" &amp; REGEXEXTRACT(C2498, ""🏘️ \w+ \w+ (.*) ✅"") ,  if(H2498=""quartier"",vlookup(REGEXEXTRACT(C2498, ""🏘️ \w+ \w+ (.*) ✅""),'Quartier prepositio"&amp;"ns'!A:E, 5, 0) ,  if(H2498=""region"",vlookup(REGEXEXTRACT(C2498, ""🏘️ \w+ \w+ (.*) ✅""),'Region prepositions'!B:F, 5, 0),  REGEXEXTRACT(C2498, ""🏘️ \w+ \w+ (.*) ✅""))))"),"Spreitenbach")</f>
        <v>Spreitenbach</v>
      </c>
      <c r="F2498" s="2" t="str">
        <f>IFERROR(__xludf.DUMMYFUNCTION("REGEXEXTRACT(C2498, ""🏘️ (\w+) \w+ .* ✅"")"),"Louer")</f>
        <v>Louer</v>
      </c>
      <c r="G2498" s="2" t="str">
        <f>IFERROR(__xludf.DUMMYFUNCTION("REGEXEXTRACT(C2498, ""🏘️ \w+ (\w+) .* ✅"")"),"appartement")</f>
        <v>appartement</v>
      </c>
      <c r="H2498" s="4" t="str">
        <f>IFERROR(__xludf.DUMMYFUNCTION("REGEXEXTRACT(A2498, ""/(\w+)-.*?"")"),"lieu")</f>
        <v>lieu</v>
      </c>
      <c r="I2498" s="4" t="str">
        <f>IFERROR(__xludf.DUMMYFUNCTION("if(D2498=""variant"",  substitute(filter(Templates!E:E, Templates!A:A = F2498, Templates!B:B = G2498, Templates!C:C = H2498), ""{{}}"", E2498), B2498)"),"🏘  Vous cherchez un appartement à louer à Spreitenbach? ✅ Les annonces les plus actuelles sont sur ImmoScout24.ch.")</f>
        <v>🏘  Vous cherchez un appartement à louer à Spreitenbach? ✅ Les annonces les plus actuelles sont sur ImmoScout24.ch.</v>
      </c>
      <c r="J2498" s="4" t="s">
        <v>7490</v>
      </c>
    </row>
    <row r="2499">
      <c r="A2499" s="5" t="s">
        <v>7491</v>
      </c>
      <c r="B2499" s="2" t="s">
        <v>7492</v>
      </c>
      <c r="C2499" s="4" t="str">
        <f>IFERROR(__xludf.DUMMYFUNCTION("""🏘️ ""&amp;REGEXEXTRACT(B2499, ""^(.*): "")&amp;"" ✅ "" &amp;REGEXEXTRACT(B2499, ""(Trouvez.*)"")"),"🏘️ Louer appartement Sorengo ✅ Trouvez le bien immobilier qui correspond idéalement à vos désirs sur ImmoScout24 - La plateforme de l'immobilier en Suisse.")</f>
        <v>🏘️ Louer appartement Sorengo ✅ Trouvez le bien immobilier qui correspond idéalement à vos désirs sur ImmoScout24 - La plateforme de l'immobilier en Suisse.</v>
      </c>
      <c r="D2499" s="4" t="str">
        <f>vlookup(A2499, Sheet2!D:E, 2, 0)</f>
        <v>variant</v>
      </c>
      <c r="E2499" s="4" t="str">
        <f>IFERROR(__xludf.DUMMYFUNCTION("if(H2499=""pays"",vlookup(REGEXEXTRACT(C2499, ""🏘️ \w+ \w+ (.*) ✅""),'Country prepositions'!A:B, 2, 0) &amp; "" "" &amp; REGEXEXTRACT(C2499, ""🏘️ \w+ \w+ (.*) ✅"") ,  if(H2499=""quartier"",vlookup(REGEXEXTRACT(C2499, ""🏘️ \w+ \w+ (.*) ✅""),'Quartier prepositio"&amp;"ns'!A:E, 5, 0) ,  if(H2499=""region"",vlookup(REGEXEXTRACT(C2499, ""🏘️ \w+ \w+ (.*) ✅""),'Region prepositions'!B:F, 5, 0),  REGEXEXTRACT(C2499, ""🏘️ \w+ \w+ (.*) ✅""))))"),"Sorengo")</f>
        <v>Sorengo</v>
      </c>
      <c r="F2499" s="2" t="str">
        <f>IFERROR(__xludf.DUMMYFUNCTION("REGEXEXTRACT(C2499, ""🏘️ (\w+) \w+ .* ✅"")"),"Louer")</f>
        <v>Louer</v>
      </c>
      <c r="G2499" s="2" t="str">
        <f>IFERROR(__xludf.DUMMYFUNCTION("REGEXEXTRACT(C2499, ""🏘️ \w+ (\w+) .* ✅"")"),"appartement")</f>
        <v>appartement</v>
      </c>
      <c r="H2499" s="4" t="str">
        <f>IFERROR(__xludf.DUMMYFUNCTION("REGEXEXTRACT(A2499, ""/(\w+)-.*?"")"),"lieu")</f>
        <v>lieu</v>
      </c>
      <c r="I2499" s="4" t="str">
        <f>IFERROR(__xludf.DUMMYFUNCTION("if(D2499=""variant"",  substitute(filter(Templates!E:E, Templates!A:A = F2499, Templates!B:B = G2499, Templates!C:C = H2499), ""{{}}"", E2499), B2499)"),"🏘  Vous cherchez un appartement à louer à Sorengo? ✅ Les annonces les plus actuelles sont sur ImmoScout24.ch.")</f>
        <v>🏘  Vous cherchez un appartement à louer à Sorengo? ✅ Les annonces les plus actuelles sont sur ImmoScout24.ch.</v>
      </c>
      <c r="J2499" s="4" t="s">
        <v>7493</v>
      </c>
    </row>
    <row r="2500">
      <c r="A2500" s="5" t="s">
        <v>7494</v>
      </c>
      <c r="B2500" s="2" t="s">
        <v>7495</v>
      </c>
      <c r="C2500" s="4" t="str">
        <f>IFERROR(__xludf.DUMMYFUNCTION("""🏘️ ""&amp;REGEXEXTRACT(B2500, ""^(.*): "")&amp;"" ✅ "" &amp;REGEXEXTRACT(B2500, ""(Trouvez.*)"")"),"🏘️ Louer appartement Illnau ✅ Trouvez le bien immobilier qui correspond idéalement à vos désirs sur ImmoScout24 - La plateforme de l'immobilier en Suisse.")</f>
        <v>🏘️ Louer appartement Illnau ✅ Trouvez le bien immobilier qui correspond idéalement à vos désirs sur ImmoScout24 - La plateforme de l'immobilier en Suisse.</v>
      </c>
      <c r="D2500" s="4" t="str">
        <f>vlookup(A2500, Sheet2!D:E, 2, 0)</f>
        <v>variant</v>
      </c>
      <c r="E2500" s="4" t="str">
        <f>IFERROR(__xludf.DUMMYFUNCTION("if(H2500=""pays"",vlookup(REGEXEXTRACT(C2500, ""🏘️ \w+ \w+ (.*) ✅""),'Country prepositions'!A:B, 2, 0) &amp; "" "" &amp; REGEXEXTRACT(C2500, ""🏘️ \w+ \w+ (.*) ✅"") ,  if(H2500=""quartier"",vlookup(REGEXEXTRACT(C2500, ""🏘️ \w+ \w+ (.*) ✅""),'Quartier prepositio"&amp;"ns'!A:E, 5, 0) ,  if(H2500=""region"",vlookup(REGEXEXTRACT(C2500, ""🏘️ \w+ \w+ (.*) ✅""),'Region prepositions'!B:F, 5, 0),  REGEXEXTRACT(C2500, ""🏘️ \w+ \w+ (.*) ✅""))))"),"Illnau")</f>
        <v>Illnau</v>
      </c>
      <c r="F2500" s="2" t="str">
        <f>IFERROR(__xludf.DUMMYFUNCTION("REGEXEXTRACT(C2500, ""🏘️ (\w+) \w+ .* ✅"")"),"Louer")</f>
        <v>Louer</v>
      </c>
      <c r="G2500" s="2" t="str">
        <f>IFERROR(__xludf.DUMMYFUNCTION("REGEXEXTRACT(C2500, ""🏘️ \w+ (\w+) .* ✅"")"),"appartement")</f>
        <v>appartement</v>
      </c>
      <c r="H2500" s="4" t="str">
        <f>IFERROR(__xludf.DUMMYFUNCTION("REGEXEXTRACT(A2500, ""/(\w+)-.*?"")"),"lieu")</f>
        <v>lieu</v>
      </c>
      <c r="I2500" s="4" t="str">
        <f>IFERROR(__xludf.DUMMYFUNCTION("if(D2500=""variant"",  substitute(filter(Templates!E:E, Templates!A:A = F2500, Templates!B:B = G2500, Templates!C:C = H2500), ""{{}}"", E2500), B2500)"),"🏘  Vous cherchez un appartement à louer à Illnau? ✅ Les annonces les plus actuelles sont sur ImmoScout24.ch.")</f>
        <v>🏘  Vous cherchez un appartement à louer à Illnau? ✅ Les annonces les plus actuelles sont sur ImmoScout24.ch.</v>
      </c>
      <c r="J2500" s="4" t="s">
        <v>7496</v>
      </c>
    </row>
    <row r="2501">
      <c r="A2501" s="5" t="s">
        <v>7497</v>
      </c>
      <c r="B2501" s="2" t="s">
        <v>7498</v>
      </c>
      <c r="C2501" s="4" t="str">
        <f>IFERROR(__xludf.DUMMYFUNCTION("""🏘️ ""&amp;REGEXEXTRACT(B2501, ""^(.*): "")&amp;"" ✅ "" &amp;REGEXEXTRACT(B2501, ""(Trouvez.*)"")"),"🏘️ Vendre appartement Courtelary ✅ Trouvez le bien immobilier qui correspond idéalement à vos désirs sur ImmoScout24 - La plateforme de l'immobilier en Suisse.")</f>
        <v>🏘️ Vendre appartement Courtelary ✅ Trouvez le bien immobilier qui correspond idéalement à vos désirs sur ImmoScout24 - La plateforme de l'immobilier en Suisse.</v>
      </c>
      <c r="D2501" s="4" t="str">
        <f>vlookup(A2501, Sheet2!D:E, 2, 0)</f>
        <v>variant</v>
      </c>
      <c r="E2501" s="4" t="str">
        <f>IFERROR(__xludf.DUMMYFUNCTION("if(H2501=""pays"",vlookup(REGEXEXTRACT(C2501, ""🏘️ \w+ \w+ (.*) ✅""),'Country prepositions'!A:B, 2, 0) &amp; "" "" &amp; REGEXEXTRACT(C2501, ""🏘️ \w+ \w+ (.*) ✅"") ,  if(H2501=""quartier"",vlookup(REGEXEXTRACT(C2501, ""🏘️ \w+ \w+ (.*) ✅""),'Quartier prepositio"&amp;"ns'!A:E, 5, 0) ,  if(H2501=""region"",vlookup(REGEXEXTRACT(C2501, ""🏘️ \w+ \w+ (.*) ✅""),'Region prepositions'!B:F, 5, 0),  REGEXEXTRACT(C2501, ""🏘️ \w+ \w+ (.*) ✅""))))"),"Courtelary")</f>
        <v>Courtelary</v>
      </c>
      <c r="F2501" s="2" t="str">
        <f>IFERROR(__xludf.DUMMYFUNCTION("REGEXEXTRACT(C2501, ""🏘️ (\w+) \w+ .* ✅"")"),"Vendre")</f>
        <v>Vendre</v>
      </c>
      <c r="G2501" s="2" t="str">
        <f>IFERROR(__xludf.DUMMYFUNCTION("REGEXEXTRACT(C2501, ""🏘️ \w+ (\w+) .* ✅"")"),"appartement")</f>
        <v>appartement</v>
      </c>
      <c r="H2501" s="4" t="str">
        <f>IFERROR(__xludf.DUMMYFUNCTION("REGEXEXTRACT(A2501, ""/(\w+)-.*?"")"),"lieu")</f>
        <v>lieu</v>
      </c>
      <c r="I2501" s="4" t="str">
        <f>IFERROR(__xludf.DUMMYFUNCTION("if(D2501=""variant"",  substitute(filter(Templates!E:E, Templates!A:A = F2501, Templates!B:B = G2501, Templates!C:C = H2501), ""{{}}"", E2501), B2501)"),"🏘  L’appartement de vos rêves se trouve sur ImmoScout24.ch ✅ Découvrez les dernières annonces de vente à Courtelary.")</f>
        <v>🏘  L’appartement de vos rêves se trouve sur ImmoScout24.ch ✅ Découvrez les dernières annonces de vente à Courtelary.</v>
      </c>
      <c r="J2501" s="4" t="s">
        <v>7499</v>
      </c>
    </row>
    <row r="2502">
      <c r="A2502" s="5" t="s">
        <v>7500</v>
      </c>
      <c r="B2502" s="2" t="s">
        <v>7501</v>
      </c>
      <c r="C2502" s="4" t="str">
        <f>IFERROR(__xludf.DUMMYFUNCTION("""🏘️ ""&amp;REGEXEXTRACT(B2502, ""^(.*): "")&amp;"" ✅ "" &amp;REGEXEXTRACT(B2502, ""(Trouvez.*)"")"),"🏘️ Vendre appartement Epsach ✅ Trouvez le bien immobilier qui correspond idéalement à vos désirs sur ImmoScout24 - La plateforme de l'immobilier en Suisse.")</f>
        <v>🏘️ Vendre appartement Epsach ✅ Trouvez le bien immobilier qui correspond idéalement à vos désirs sur ImmoScout24 - La plateforme de l'immobilier en Suisse.</v>
      </c>
      <c r="D2502" s="4" t="str">
        <f>vlookup(A2502, Sheet2!D:E, 2, 0)</f>
        <v>variant</v>
      </c>
      <c r="E2502" s="4" t="str">
        <f>IFERROR(__xludf.DUMMYFUNCTION("if(H2502=""pays"",vlookup(REGEXEXTRACT(C2502, ""🏘️ \w+ \w+ (.*) ✅""),'Country prepositions'!A:B, 2, 0) &amp; "" "" &amp; REGEXEXTRACT(C2502, ""🏘️ \w+ \w+ (.*) ✅"") ,  if(H2502=""quartier"",vlookup(REGEXEXTRACT(C2502, ""🏘️ \w+ \w+ (.*) ✅""),'Quartier prepositio"&amp;"ns'!A:E, 5, 0) ,  if(H2502=""region"",vlookup(REGEXEXTRACT(C2502, ""🏘️ \w+ \w+ (.*) ✅""),'Region prepositions'!B:F, 5, 0),  REGEXEXTRACT(C2502, ""🏘️ \w+ \w+ (.*) ✅""))))"),"Epsach")</f>
        <v>Epsach</v>
      </c>
      <c r="F2502" s="2" t="str">
        <f>IFERROR(__xludf.DUMMYFUNCTION("REGEXEXTRACT(C2502, ""🏘️ (\w+) \w+ .* ✅"")"),"Vendre")</f>
        <v>Vendre</v>
      </c>
      <c r="G2502" s="2" t="str">
        <f>IFERROR(__xludf.DUMMYFUNCTION("REGEXEXTRACT(C2502, ""🏘️ \w+ (\w+) .* ✅"")"),"appartement")</f>
        <v>appartement</v>
      </c>
      <c r="H2502" s="4" t="str">
        <f>IFERROR(__xludf.DUMMYFUNCTION("REGEXEXTRACT(A2502, ""/(\w+)-.*?"")"),"lieu")</f>
        <v>lieu</v>
      </c>
      <c r="I2502" s="4" t="str">
        <f>IFERROR(__xludf.DUMMYFUNCTION("if(D2502=""variant"",  substitute(filter(Templates!E:E, Templates!A:A = F2502, Templates!B:B = G2502, Templates!C:C = H2502), ""{{}}"", E2502), B2502)"),"🏘  L’appartement de vos rêves se trouve sur ImmoScout24.ch ✅ Découvrez les dernières annonces de vente à Epsach.")</f>
        <v>🏘  L’appartement de vos rêves se trouve sur ImmoScout24.ch ✅ Découvrez les dernières annonces de vente à Epsach.</v>
      </c>
      <c r="J2502" s="4" t="s">
        <v>7502</v>
      </c>
    </row>
    <row r="2503">
      <c r="A2503" s="5" t="s">
        <v>7503</v>
      </c>
      <c r="B2503" s="2" t="s">
        <v>7504</v>
      </c>
      <c r="C2503" s="4" t="str">
        <f>IFERROR(__xludf.DUMMYFUNCTION("""🏘️ ""&amp;REGEXEXTRACT(B2503, ""^(.*): "")&amp;"" ✅ "" &amp;REGEXEXTRACT(B2503, ""(Trouvez.*)"")"),"🏘️ Louer appartement Bassersdorf ✅ Trouvez le bien immobilier qui correspond idéalement à vos désirs sur ImmoScout24 - La plateforme de l'immobilier en Suisse.")</f>
        <v>🏘️ Louer appartement Bassersdorf ✅ Trouvez le bien immobilier qui correspond idéalement à vos désirs sur ImmoScout24 - La plateforme de l'immobilier en Suisse.</v>
      </c>
      <c r="D2503" s="4" t="str">
        <f>vlookup(A2503, Sheet2!D:E, 2, 0)</f>
        <v>variant</v>
      </c>
      <c r="E2503" s="4" t="str">
        <f>IFERROR(__xludf.DUMMYFUNCTION("if(H2503=""pays"",vlookup(REGEXEXTRACT(C2503, ""🏘️ \w+ \w+ (.*) ✅""),'Country prepositions'!A:B, 2, 0) &amp; "" "" &amp; REGEXEXTRACT(C2503, ""🏘️ \w+ \w+ (.*) ✅"") ,  if(H2503=""quartier"",vlookup(REGEXEXTRACT(C2503, ""🏘️ \w+ \w+ (.*) ✅""),'Quartier prepositio"&amp;"ns'!A:E, 5, 0) ,  if(H2503=""region"",vlookup(REGEXEXTRACT(C2503, ""🏘️ \w+ \w+ (.*) ✅""),'Region prepositions'!B:F, 5, 0),  REGEXEXTRACT(C2503, ""🏘️ \w+ \w+ (.*) ✅""))))"),"Bassersdorf")</f>
        <v>Bassersdorf</v>
      </c>
      <c r="F2503" s="2" t="str">
        <f>IFERROR(__xludf.DUMMYFUNCTION("REGEXEXTRACT(C2503, ""🏘️ (\w+) \w+ .* ✅"")"),"Louer")</f>
        <v>Louer</v>
      </c>
      <c r="G2503" s="2" t="str">
        <f>IFERROR(__xludf.DUMMYFUNCTION("REGEXEXTRACT(C2503, ""🏘️ \w+ (\w+) .* ✅"")"),"appartement")</f>
        <v>appartement</v>
      </c>
      <c r="H2503" s="4" t="str">
        <f>IFERROR(__xludf.DUMMYFUNCTION("REGEXEXTRACT(A2503, ""/(\w+)-.*?"")"),"lieu")</f>
        <v>lieu</v>
      </c>
      <c r="I2503" s="4" t="str">
        <f>IFERROR(__xludf.DUMMYFUNCTION("if(D2503=""variant"",  substitute(filter(Templates!E:E, Templates!A:A = F2503, Templates!B:B = G2503, Templates!C:C = H2503), ""{{}}"", E2503), B2503)"),"🏘  Vous cherchez un appartement à louer à Bassersdorf? ✅ Les annonces les plus actuelles sont sur ImmoScout24.ch.")</f>
        <v>🏘  Vous cherchez un appartement à louer à Bassersdorf? ✅ Les annonces les plus actuelles sont sur ImmoScout24.ch.</v>
      </c>
      <c r="J2503" s="4" t="s">
        <v>7505</v>
      </c>
    </row>
    <row r="2504">
      <c r="A2504" s="5" t="s">
        <v>7506</v>
      </c>
      <c r="B2504" s="2" t="s">
        <v>7507</v>
      </c>
      <c r="C2504" s="4" t="str">
        <f>IFERROR(__xludf.DUMMYFUNCTION("""🏘️ ""&amp;REGEXEXTRACT(B2504, ""^(.*): "")&amp;"" ✅ "" &amp;REGEXEXTRACT(B2504, ""(Trouvez.*)"")"),"🏘️ Louer maison Versoix ✅ Trouvez le bien immobilier qui correspond idéalement à vos désirs sur ImmoScout24 - La plateforme de l'immobilier en Suisse.")</f>
        <v>🏘️ Louer maison Versoix ✅ Trouvez le bien immobilier qui correspond idéalement à vos désirs sur ImmoScout24 - La plateforme de l'immobilier en Suisse.</v>
      </c>
      <c r="D2504" s="4" t="str">
        <f>vlookup(A2504, Sheet2!D:E, 2, 0)</f>
        <v>variant</v>
      </c>
      <c r="E2504" s="4" t="str">
        <f>IFERROR(__xludf.DUMMYFUNCTION("if(H2504=""pays"",vlookup(REGEXEXTRACT(C2504, ""🏘️ \w+ \w+ (.*) ✅""),'Country prepositions'!A:B, 2, 0) &amp; "" "" &amp; REGEXEXTRACT(C2504, ""🏘️ \w+ \w+ (.*) ✅"") ,  if(H2504=""quartier"",vlookup(REGEXEXTRACT(C2504, ""🏘️ \w+ \w+ (.*) ✅""),'Quartier prepositio"&amp;"ns'!A:E, 5, 0) ,  if(H2504=""region"",vlookup(REGEXEXTRACT(C2504, ""🏘️ \w+ \w+ (.*) ✅""),'Region prepositions'!B:F, 5, 0),  REGEXEXTRACT(C2504, ""🏘️ \w+ \w+ (.*) ✅""))))"),"Versoix")</f>
        <v>Versoix</v>
      </c>
      <c r="F2504" s="2" t="str">
        <f>IFERROR(__xludf.DUMMYFUNCTION("REGEXEXTRACT(C2504, ""🏘️ (\w+) \w+ .* ✅"")"),"Louer")</f>
        <v>Louer</v>
      </c>
      <c r="G2504" s="2" t="str">
        <f>IFERROR(__xludf.DUMMYFUNCTION("REGEXEXTRACT(C2504, ""🏘️ \w+ (\w+) .* ✅"")"),"maison")</f>
        <v>maison</v>
      </c>
      <c r="H2504" s="4" t="str">
        <f>IFERROR(__xludf.DUMMYFUNCTION("REGEXEXTRACT(A2504, ""/(\w+)-.*?"")"),"lieu")</f>
        <v>lieu</v>
      </c>
      <c r="I2504" s="4" t="str">
        <f>IFERROR(__xludf.DUMMYFUNCTION("if(D2504=""variant"",  substitute(filter(Templates!E:E, Templates!A:A = F2504, Templates!B:B = G2504, Templates!C:C = H2504), ""{{}}"", E2504), B2504)"),"🏘  Vous cherchez une maison à louer à Versoix? ✅ Découvrez nos nombreuses annonces sur ImmoScout24.ch.")</f>
        <v>🏘  Vous cherchez une maison à louer à Versoix? ✅ Découvrez nos nombreuses annonces sur ImmoScout24.ch.</v>
      </c>
      <c r="J2504" s="4" t="s">
        <v>7508</v>
      </c>
    </row>
    <row r="2505">
      <c r="A2505" s="5" t="s">
        <v>7509</v>
      </c>
      <c r="B2505" s="2" t="s">
        <v>7510</v>
      </c>
      <c r="C2505" s="4" t="str">
        <f>IFERROR(__xludf.DUMMYFUNCTION("""🏘️ ""&amp;REGEXEXTRACT(B2505, ""^(.*): "")&amp;"" ✅ "" &amp;REGEXEXTRACT(B2505, ""(Trouvez.*)"")"),"🏘️ Louer maison Canton de Fribourg ✅ Trouvez le bien immobilier qui correspond idéalement à vos désirs sur ImmoScout24 - La plateforme de l'immobilier en Suisse.")</f>
        <v>🏘️ Louer maison Canton de Fribourg ✅ Trouvez le bien immobilier qui correspond idéalement à vos désirs sur ImmoScout24 - La plateforme de l'immobilier en Suisse.</v>
      </c>
      <c r="D2505" s="4" t="str">
        <f>vlookup(A2505, Sheet2!D:E, 2, 0)</f>
        <v>variant</v>
      </c>
      <c r="E2505" s="4" t="str">
        <f>IFERROR(__xludf.DUMMYFUNCTION("if(H2505=""pays"",vlookup(REGEXEXTRACT(C2505, ""🏘️ \w+ \w+ (.*) ✅""),'Country prepositions'!A:B, 2, 0) &amp; "" "" &amp; REGEXEXTRACT(C2505, ""🏘️ \w+ \w+ (.*) ✅"") ,  if(H2505=""quartier"",vlookup(REGEXEXTRACT(C2505, ""🏘️ \w+ \w+ (.*) ✅""),'Quartier prepositio"&amp;"ns'!A:E, 5, 0) ,  if(H2505=""region"",vlookup(REGEXEXTRACT(C2505, ""🏘️ \w+ \w+ (.*) ✅""),'Region prepositions'!B:F, 5, 0),  REGEXEXTRACT(C2505, ""🏘️ \w+ \w+ (.*) ✅""))))"),"Canton de Fribourg")</f>
        <v>Canton de Fribourg</v>
      </c>
      <c r="F2505" s="2" t="str">
        <f>IFERROR(__xludf.DUMMYFUNCTION("REGEXEXTRACT(C2505, ""🏘️ (\w+) \w+ .* ✅"")"),"Louer")</f>
        <v>Louer</v>
      </c>
      <c r="G2505" s="2" t="str">
        <f>IFERROR(__xludf.DUMMYFUNCTION("REGEXEXTRACT(C2505, ""🏘️ \w+ (\w+) .* ✅"")"),"maison")</f>
        <v>maison</v>
      </c>
      <c r="H2505" s="4" t="str">
        <f>IFERROR(__xludf.DUMMYFUNCTION("REGEXEXTRACT(A2505, ""/(\w+)-.*?"")"),"canton")</f>
        <v>canton</v>
      </c>
      <c r="I2505" s="4" t="str">
        <f>IFERROR(__xludf.DUMMYFUNCTION("if(D2505=""variant"",  substitute(filter(Templates!E:E, Templates!A:A = F2505, Templates!B:B = G2505, Templates!C:C = H2505), ""{{}}"", E2505), B2505)"),"🏘  Vous cherchez une maison à louer dans le Canton de Fribourg? ✅ Découvrez nos nombreuses annonces sur ImmoScout24.ch.")</f>
        <v>🏘  Vous cherchez une maison à louer dans le Canton de Fribourg? ✅ Découvrez nos nombreuses annonces sur ImmoScout24.ch.</v>
      </c>
      <c r="J2505" s="4" t="s">
        <v>7511</v>
      </c>
    </row>
    <row r="2506">
      <c r="A2506" s="5" t="s">
        <v>7512</v>
      </c>
      <c r="B2506" s="2" t="s">
        <v>7513</v>
      </c>
      <c r="C2506" s="4" t="str">
        <f>IFERROR(__xludf.DUMMYFUNCTION("""🏘️ ""&amp;REGEXEXTRACT(B2506, ""^(.*): "")&amp;"" ✅ "" &amp;REGEXEXTRACT(B2506, ""(Trouvez.*)"")"),"🏘️ Vendre maison Areuse ✅ Trouvez le bien immobilier qui correspond idéalement à vos désirs sur ImmoScout24 - La plateforme de l'immobilier en Suisse.")</f>
        <v>🏘️ Vendre maison Areuse ✅ Trouvez le bien immobilier qui correspond idéalement à vos désirs sur ImmoScout24 - La plateforme de l'immobilier en Suisse.</v>
      </c>
      <c r="D2506" s="4" t="str">
        <f>vlookup(A2506, Sheet2!D:E, 2, 0)</f>
        <v>variant</v>
      </c>
      <c r="E2506" s="4" t="str">
        <f>IFERROR(__xludf.DUMMYFUNCTION("if(H2506=""pays"",vlookup(REGEXEXTRACT(C2506, ""🏘️ \w+ \w+ (.*) ✅""),'Country prepositions'!A:B, 2, 0) &amp; "" "" &amp; REGEXEXTRACT(C2506, ""🏘️ \w+ \w+ (.*) ✅"") ,  if(H2506=""quartier"",vlookup(REGEXEXTRACT(C2506, ""🏘️ \w+ \w+ (.*) ✅""),'Quartier prepositio"&amp;"ns'!A:E, 5, 0) ,  if(H2506=""region"",vlookup(REGEXEXTRACT(C2506, ""🏘️ \w+ \w+ (.*) ✅""),'Region prepositions'!B:F, 5, 0),  REGEXEXTRACT(C2506, ""🏘️ \w+ \w+ (.*) ✅""))))"),"Areuse")</f>
        <v>Areuse</v>
      </c>
      <c r="F2506" s="2" t="str">
        <f>IFERROR(__xludf.DUMMYFUNCTION("REGEXEXTRACT(C2506, ""🏘️ (\w+) \w+ .* ✅"")"),"Vendre")</f>
        <v>Vendre</v>
      </c>
      <c r="G2506" s="2" t="str">
        <f>IFERROR(__xludf.DUMMYFUNCTION("REGEXEXTRACT(C2506, ""🏘️ \w+ (\w+) .* ✅"")"),"maison")</f>
        <v>maison</v>
      </c>
      <c r="H2506" s="4" t="str">
        <f>IFERROR(__xludf.DUMMYFUNCTION("REGEXEXTRACT(A2506, ""/(\w+)-.*?"")"),"lieu")</f>
        <v>lieu</v>
      </c>
      <c r="I2506" s="4" t="str">
        <f>IFERROR(__xludf.DUMMYFUNCTION("if(D2506=""variant"",  substitute(filter(Templates!E:E, Templates!A:A = F2506, Templates!B:B = G2506, Templates!C:C = H2506), ""{{}}"", E2506), B2506)"),"🏘  Vous souhaitez acheter une maison à Areuse? ✅ Jetez un œil aux dernières offres sur ImmoScout24.ch.")</f>
        <v>🏘  Vous souhaitez acheter une maison à Areuse? ✅ Jetez un œil aux dernières offres sur ImmoScout24.ch.</v>
      </c>
      <c r="J2506" s="4" t="s">
        <v>7514</v>
      </c>
    </row>
    <row r="2507">
      <c r="A2507" s="5" t="s">
        <v>7515</v>
      </c>
      <c r="B2507" s="2" t="s">
        <v>7516</v>
      </c>
      <c r="C2507" s="4" t="str">
        <f>IFERROR(__xludf.DUMMYFUNCTION("""🏘️ ""&amp;REGEXEXTRACT(B2507, ""^(.*): "")&amp;"" ✅ "" &amp;REGEXEXTRACT(B2507, ""(Trouvez.*)"")"),"🏘️ Vendre appartement Pont-de-la-Morge (Sion) ✅ Trouvez le bien immobilier qui correspond idéalement à vos désirs sur ImmoScout24 - La plateforme de l'immobilier en Suisse.")</f>
        <v>🏘️ Vendre appartement Pont-de-la-Morge (Sion) ✅ Trouvez le bien immobilier qui correspond idéalement à vos désirs sur ImmoScout24 - La plateforme de l'immobilier en Suisse.</v>
      </c>
      <c r="D2507" s="4" t="str">
        <f>vlookup(A2507, Sheet2!D:E, 2, 0)</f>
        <v>variant</v>
      </c>
      <c r="E2507" s="4" t="str">
        <f>IFERROR(__xludf.DUMMYFUNCTION("if(H2507=""pays"",vlookup(REGEXEXTRACT(C2507, ""🏘️ \w+ \w+ (.*) ✅""),'Country prepositions'!A:B, 2, 0) &amp; "" "" &amp; REGEXEXTRACT(C2507, ""🏘️ \w+ \w+ (.*) ✅"") ,  if(H2507=""quartier"",vlookup(REGEXEXTRACT(C2507, ""🏘️ \w+ \w+ (.*) ✅""),'Quartier prepositio"&amp;"ns'!A:E, 5, 0) ,  if(H2507=""region"",vlookup(REGEXEXTRACT(C2507, ""🏘️ \w+ \w+ (.*) ✅""),'Region prepositions'!B:F, 5, 0),  REGEXEXTRACT(C2507, ""🏘️ \w+ \w+ (.*) ✅""))))"),"Pont-de-la-Morge (Sion)")</f>
        <v>Pont-de-la-Morge (Sion)</v>
      </c>
      <c r="F2507" s="2" t="str">
        <f>IFERROR(__xludf.DUMMYFUNCTION("REGEXEXTRACT(C2507, ""🏘️ (\w+) \w+ .* ✅"")"),"Vendre")</f>
        <v>Vendre</v>
      </c>
      <c r="G2507" s="2" t="str">
        <f>IFERROR(__xludf.DUMMYFUNCTION("REGEXEXTRACT(C2507, ""🏘️ \w+ (\w+) .* ✅"")"),"appartement")</f>
        <v>appartement</v>
      </c>
      <c r="H2507" s="4" t="str">
        <f>IFERROR(__xludf.DUMMYFUNCTION("REGEXEXTRACT(A2507, ""/(\w+)-.*?"")"),"lieu")</f>
        <v>lieu</v>
      </c>
      <c r="I2507" s="4" t="str">
        <f>IFERROR(__xludf.DUMMYFUNCTION("if(D2507=""variant"",  substitute(filter(Templates!E:E, Templates!A:A = F2507, Templates!B:B = G2507, Templates!C:C = H2507), ""{{}}"", E2507), B2507)"),"🏘  L’appartement de vos rêves se trouve sur ImmoScout24.ch ✅ Découvrez les dernières annonces de vente à Pont-de-la-Morge (Sion).")</f>
        <v>🏘  L’appartement de vos rêves se trouve sur ImmoScout24.ch ✅ Découvrez les dernières annonces de vente à Pont-de-la-Morge (Sion).</v>
      </c>
      <c r="J2507" s="4" t="s">
        <v>7517</v>
      </c>
    </row>
    <row r="2508">
      <c r="A2508" s="5" t="s">
        <v>7518</v>
      </c>
      <c r="B2508" s="2" t="s">
        <v>7519</v>
      </c>
      <c r="C2508" s="4" t="str">
        <f>IFERROR(__xludf.DUMMYFUNCTION("""🏘️ ""&amp;REGEXEXTRACT(B2508, ""^(.*): "")&amp;"" ✅ "" &amp;REGEXEXTRACT(B2508, ""(Trouvez.*)"")"),"🏘️ Louer appartement Centre-Ville (Lausanne) ✅ Trouvez le bien immobilier qui correspond idéalement à vos désirs sur ImmoScout24 - La plateforme de l'immobilier en Suisse.")</f>
        <v>🏘️ Louer appartement Centre-Ville (Lausanne) ✅ Trouvez le bien immobilier qui correspond idéalement à vos désirs sur ImmoScout24 - La plateforme de l'immobilier en Suisse.</v>
      </c>
      <c r="D2508" s="4" t="str">
        <f>vlookup(A2508, Sheet2!D:E, 2, 0)</f>
        <v>variant</v>
      </c>
      <c r="E2508" s="4" t="str">
        <f>IFERROR(__xludf.DUMMYFUNCTION("if(H2508=""pays"",vlookup(REGEXEXTRACT(C2508, ""🏘️ \w+ \w+ (.*) ✅""),'Country prepositions'!A:B, 2, 0) &amp; "" "" &amp; REGEXEXTRACT(C2508, ""🏘️ \w+ \w+ (.*) ✅"") ,  if(H2508=""quartier"",vlookup(REGEXEXTRACT(C2508, ""🏘️ \w+ \w+ (.*) ✅""),'Quartier prepositio"&amp;"ns'!A:E, 5, 0) ,  if(H2508=""region"",vlookup(REGEXEXTRACT(C2508, ""🏘️ \w+ \w+ (.*) ✅""),'Region prepositions'!B:F, 5, 0),  REGEXEXTRACT(C2508, ""🏘️ \w+ \w+ (.*) ✅""))))"),"au Centre-Ville (Lausanne)")</f>
        <v>au Centre-Ville (Lausanne)</v>
      </c>
      <c r="F2508" s="2" t="str">
        <f>IFERROR(__xludf.DUMMYFUNCTION("REGEXEXTRACT(C2508, ""🏘️ (\w+) \w+ .* ✅"")"),"Louer")</f>
        <v>Louer</v>
      </c>
      <c r="G2508" s="2" t="str">
        <f>IFERROR(__xludf.DUMMYFUNCTION("REGEXEXTRACT(C2508, ""🏘️ \w+ (\w+) .* ✅"")"),"appartement")</f>
        <v>appartement</v>
      </c>
      <c r="H2508" s="4" t="str">
        <f>IFERROR(__xludf.DUMMYFUNCTION("REGEXEXTRACT(A2508, ""/(\w+)-.*?"")"),"quartier")</f>
        <v>quartier</v>
      </c>
      <c r="I2508" s="4" t="str">
        <f>IFERROR(__xludf.DUMMYFUNCTION("if(D2508=""variant"",  substitute(filter(Templates!E:E, Templates!A:A = F2508, Templates!B:B = G2508, Templates!C:C = H2508), ""{{}}"", E2508), B2508)"),"🏘  Vous cherchez un appartement à louer au Centre-Ville (Lausanne)? ✅ Les annonces les plus actuelles sont sur ImmoScout24.ch.")</f>
        <v>🏘  Vous cherchez un appartement à louer au Centre-Ville (Lausanne)? ✅ Les annonces les plus actuelles sont sur ImmoScout24.ch.</v>
      </c>
      <c r="J2508" s="4" t="s">
        <v>7520</v>
      </c>
    </row>
    <row r="2509">
      <c r="A2509" s="5" t="s">
        <v>7521</v>
      </c>
      <c r="B2509" s="2" t="s">
        <v>7522</v>
      </c>
      <c r="C2509" s="4" t="str">
        <f>IFERROR(__xludf.DUMMYFUNCTION("""🏘️ ""&amp;REGEXEXTRACT(B2509, ""^(.*): "")&amp;"" ✅ "" &amp;REGEXEXTRACT(B2509, ""(Trouvez.*)"")"),"🏘️ Louer appartement Eison (St-Martin) ✅ Trouvez le bien immobilier qui correspond idéalement à vos désirs sur ImmoScout24 - La plateforme de l'immobilier en Suisse.")</f>
        <v>🏘️ Louer appartement Eison (St-Martin) ✅ Trouvez le bien immobilier qui correspond idéalement à vos désirs sur ImmoScout24 - La plateforme de l'immobilier en Suisse.</v>
      </c>
      <c r="D2509" s="4" t="str">
        <f>vlookup(A2509, Sheet2!D:E, 2, 0)</f>
        <v>variant</v>
      </c>
      <c r="E2509" s="4" t="str">
        <f>IFERROR(__xludf.DUMMYFUNCTION("if(H2509=""pays"",vlookup(REGEXEXTRACT(C2509, ""🏘️ \w+ \w+ (.*) ✅""),'Country prepositions'!A:B, 2, 0) &amp; "" "" &amp; REGEXEXTRACT(C2509, ""🏘️ \w+ \w+ (.*) ✅"") ,  if(H2509=""quartier"",vlookup(REGEXEXTRACT(C2509, ""🏘️ \w+ \w+ (.*) ✅""),'Quartier prepositio"&amp;"ns'!A:E, 5, 0) ,  if(H2509=""region"",vlookup(REGEXEXTRACT(C2509, ""🏘️ \w+ \w+ (.*) ✅""),'Region prepositions'!B:F, 5, 0),  REGEXEXTRACT(C2509, ""🏘️ \w+ \w+ (.*) ✅""))))"),"Eison (St-Martin)")</f>
        <v>Eison (St-Martin)</v>
      </c>
      <c r="F2509" s="2" t="str">
        <f>IFERROR(__xludf.DUMMYFUNCTION("REGEXEXTRACT(C2509, ""🏘️ (\w+) \w+ .* ✅"")"),"Louer")</f>
        <v>Louer</v>
      </c>
      <c r="G2509" s="2" t="str">
        <f>IFERROR(__xludf.DUMMYFUNCTION("REGEXEXTRACT(C2509, ""🏘️ \w+ (\w+) .* ✅"")"),"appartement")</f>
        <v>appartement</v>
      </c>
      <c r="H2509" s="4" t="str">
        <f>IFERROR(__xludf.DUMMYFUNCTION("REGEXEXTRACT(A2509, ""/(\w+)-.*?"")"),"lieu")</f>
        <v>lieu</v>
      </c>
      <c r="I2509" s="4" t="str">
        <f>IFERROR(__xludf.DUMMYFUNCTION("if(D2509=""variant"",  substitute(filter(Templates!E:E, Templates!A:A = F2509, Templates!B:B = G2509, Templates!C:C = H2509), ""{{}}"", E2509), B2509)"),"🏘  Vous cherchez un appartement à louer à Eison (St-Martin)? ✅ Les annonces les plus actuelles sont sur ImmoScout24.ch.")</f>
        <v>🏘  Vous cherchez un appartement à louer à Eison (St-Martin)? ✅ Les annonces les plus actuelles sont sur ImmoScout24.ch.</v>
      </c>
      <c r="J2509" s="4" t="s">
        <v>7523</v>
      </c>
    </row>
    <row r="2510">
      <c r="A2510" s="5" t="s">
        <v>7524</v>
      </c>
      <c r="B2510" s="2" t="s">
        <v>7525</v>
      </c>
      <c r="C2510" s="4" t="str">
        <f>IFERROR(__xludf.DUMMYFUNCTION("""🏘️ ""&amp;REGEXEXTRACT(B2510, ""^(.*): "")&amp;"" ✅ "" &amp;REGEXEXTRACT(B2510, ""(Trouvez.*)"")"),"🏘️ Louer appartement Surpierre ✅ Trouvez le bien immobilier qui correspond idéalement à vos désirs sur ImmoScout24 - La plateforme de l'immobilier en Suisse.")</f>
        <v>🏘️ Louer appartement Surpierre ✅ Trouvez le bien immobilier qui correspond idéalement à vos désirs sur ImmoScout24 - La plateforme de l'immobilier en Suisse.</v>
      </c>
      <c r="D2510" s="4" t="str">
        <f>vlookup(A2510, Sheet2!D:E, 2, 0)</f>
        <v>variant</v>
      </c>
      <c r="E2510" s="4" t="str">
        <f>IFERROR(__xludf.DUMMYFUNCTION("if(H2510=""pays"",vlookup(REGEXEXTRACT(C2510, ""🏘️ \w+ \w+ (.*) ✅""),'Country prepositions'!A:B, 2, 0) &amp; "" "" &amp; REGEXEXTRACT(C2510, ""🏘️ \w+ \w+ (.*) ✅"") ,  if(H2510=""quartier"",vlookup(REGEXEXTRACT(C2510, ""🏘️ \w+ \w+ (.*) ✅""),'Quartier prepositio"&amp;"ns'!A:E, 5, 0) ,  if(H2510=""region"",vlookup(REGEXEXTRACT(C2510, ""🏘️ \w+ \w+ (.*) ✅""),'Region prepositions'!B:F, 5, 0),  REGEXEXTRACT(C2510, ""🏘️ \w+ \w+ (.*) ✅""))))"),"Surpierre")</f>
        <v>Surpierre</v>
      </c>
      <c r="F2510" s="2" t="str">
        <f>IFERROR(__xludf.DUMMYFUNCTION("REGEXEXTRACT(C2510, ""🏘️ (\w+) \w+ .* ✅"")"),"Louer")</f>
        <v>Louer</v>
      </c>
      <c r="G2510" s="2" t="str">
        <f>IFERROR(__xludf.DUMMYFUNCTION("REGEXEXTRACT(C2510, ""🏘️ \w+ (\w+) .* ✅"")"),"appartement")</f>
        <v>appartement</v>
      </c>
      <c r="H2510" s="4" t="str">
        <f>IFERROR(__xludf.DUMMYFUNCTION("REGEXEXTRACT(A2510, ""/(\w+)-.*?"")"),"lieu")</f>
        <v>lieu</v>
      </c>
      <c r="I2510" s="4" t="str">
        <f>IFERROR(__xludf.DUMMYFUNCTION("if(D2510=""variant"",  substitute(filter(Templates!E:E, Templates!A:A = F2510, Templates!B:B = G2510, Templates!C:C = H2510), ""{{}}"", E2510), B2510)"),"🏘  Vous cherchez un appartement à louer à Surpierre? ✅ Les annonces les plus actuelles sont sur ImmoScout24.ch.")</f>
        <v>🏘  Vous cherchez un appartement à louer à Surpierre? ✅ Les annonces les plus actuelles sont sur ImmoScout24.ch.</v>
      </c>
      <c r="J2510" s="4" t="s">
        <v>7526</v>
      </c>
    </row>
    <row r="2511">
      <c r="A2511" s="5" t="s">
        <v>7527</v>
      </c>
      <c r="B2511" s="2" t="s">
        <v>7528</v>
      </c>
      <c r="C2511" s="4" t="str">
        <f>IFERROR(__xludf.DUMMYFUNCTION("""🏘️ ""&amp;REGEXEXTRACT(B2511, ""^(.*): "")&amp;"" ✅ "" &amp;REGEXEXTRACT(B2511, ""(Trouvez.*)"")"),"🏘️ Louer appartement Fulenbach ✅ Trouvez le bien immobilier qui correspond idéalement à vos désirs sur ImmoScout24 - La plateforme de l'immobilier en Suisse.")</f>
        <v>🏘️ Louer appartement Fulenbach ✅ Trouvez le bien immobilier qui correspond idéalement à vos désirs sur ImmoScout24 - La plateforme de l'immobilier en Suisse.</v>
      </c>
      <c r="D2511" s="4" t="str">
        <f>vlookup(A2511, Sheet2!D:E, 2, 0)</f>
        <v>variant</v>
      </c>
      <c r="E2511" s="4" t="str">
        <f>IFERROR(__xludf.DUMMYFUNCTION("if(H2511=""pays"",vlookup(REGEXEXTRACT(C2511, ""🏘️ \w+ \w+ (.*) ✅""),'Country prepositions'!A:B, 2, 0) &amp; "" "" &amp; REGEXEXTRACT(C2511, ""🏘️ \w+ \w+ (.*) ✅"") ,  if(H2511=""quartier"",vlookup(REGEXEXTRACT(C2511, ""🏘️ \w+ \w+ (.*) ✅""),'Quartier prepositio"&amp;"ns'!A:E, 5, 0) ,  if(H2511=""region"",vlookup(REGEXEXTRACT(C2511, ""🏘️ \w+ \w+ (.*) ✅""),'Region prepositions'!B:F, 5, 0),  REGEXEXTRACT(C2511, ""🏘️ \w+ \w+ (.*) ✅""))))"),"Fulenbach")</f>
        <v>Fulenbach</v>
      </c>
      <c r="F2511" s="2" t="str">
        <f>IFERROR(__xludf.DUMMYFUNCTION("REGEXEXTRACT(C2511, ""🏘️ (\w+) \w+ .* ✅"")"),"Louer")</f>
        <v>Louer</v>
      </c>
      <c r="G2511" s="2" t="str">
        <f>IFERROR(__xludf.DUMMYFUNCTION("REGEXEXTRACT(C2511, ""🏘️ \w+ (\w+) .* ✅"")"),"appartement")</f>
        <v>appartement</v>
      </c>
      <c r="H2511" s="4" t="str">
        <f>IFERROR(__xludf.DUMMYFUNCTION("REGEXEXTRACT(A2511, ""/(\w+)-.*?"")"),"lieu")</f>
        <v>lieu</v>
      </c>
      <c r="I2511" s="4" t="str">
        <f>IFERROR(__xludf.DUMMYFUNCTION("if(D2511=""variant"",  substitute(filter(Templates!E:E, Templates!A:A = F2511, Templates!B:B = G2511, Templates!C:C = H2511), ""{{}}"", E2511), B2511)"),"🏘  Vous cherchez un appartement à louer à Fulenbach? ✅ Les annonces les plus actuelles sont sur ImmoScout24.ch.")</f>
        <v>🏘  Vous cherchez un appartement à louer à Fulenbach? ✅ Les annonces les plus actuelles sont sur ImmoScout24.ch.</v>
      </c>
      <c r="J2511" s="4" t="s">
        <v>7529</v>
      </c>
    </row>
    <row r="2512">
      <c r="A2512" s="5" t="s">
        <v>7530</v>
      </c>
      <c r="B2512" s="2" t="s">
        <v>7531</v>
      </c>
      <c r="C2512" s="4" t="str">
        <f>IFERROR(__xludf.DUMMYFUNCTION("""🏘️ ""&amp;REGEXEXTRACT(B2512, ""^(.*): "")&amp;"" ✅ "" &amp;REGEXEXTRACT(B2512, ""(Trouvez.*)"")"),"🏘️ Vendre appartement Bottmingen ✅ Trouvez le bien immobilier qui correspond idéalement à vos désirs sur ImmoScout24 - La plateforme de l'immobilier en Suisse.")</f>
        <v>🏘️ Vendre appartement Bottmingen ✅ Trouvez le bien immobilier qui correspond idéalement à vos désirs sur ImmoScout24 - La plateforme de l'immobilier en Suisse.</v>
      </c>
      <c r="D2512" s="4" t="str">
        <f>vlookup(A2512, Sheet2!D:E, 2, 0)</f>
        <v>variant</v>
      </c>
      <c r="E2512" s="4" t="str">
        <f>IFERROR(__xludf.DUMMYFUNCTION("if(H2512=""pays"",vlookup(REGEXEXTRACT(C2512, ""🏘️ \w+ \w+ (.*) ✅""),'Country prepositions'!A:B, 2, 0) &amp; "" "" &amp; REGEXEXTRACT(C2512, ""🏘️ \w+ \w+ (.*) ✅"") ,  if(H2512=""quartier"",vlookup(REGEXEXTRACT(C2512, ""🏘️ \w+ \w+ (.*) ✅""),'Quartier prepositio"&amp;"ns'!A:E, 5, 0) ,  if(H2512=""region"",vlookup(REGEXEXTRACT(C2512, ""🏘️ \w+ \w+ (.*) ✅""),'Region prepositions'!B:F, 5, 0),  REGEXEXTRACT(C2512, ""🏘️ \w+ \w+ (.*) ✅""))))"),"Bottmingen")</f>
        <v>Bottmingen</v>
      </c>
      <c r="F2512" s="2" t="str">
        <f>IFERROR(__xludf.DUMMYFUNCTION("REGEXEXTRACT(C2512, ""🏘️ (\w+) \w+ .* ✅"")"),"Vendre")</f>
        <v>Vendre</v>
      </c>
      <c r="G2512" s="2" t="str">
        <f>IFERROR(__xludf.DUMMYFUNCTION("REGEXEXTRACT(C2512, ""🏘️ \w+ (\w+) .* ✅"")"),"appartement")</f>
        <v>appartement</v>
      </c>
      <c r="H2512" s="4" t="str">
        <f>IFERROR(__xludf.DUMMYFUNCTION("REGEXEXTRACT(A2512, ""/(\w+)-.*?"")"),"lieu")</f>
        <v>lieu</v>
      </c>
      <c r="I2512" s="4" t="str">
        <f>IFERROR(__xludf.DUMMYFUNCTION("if(D2512=""variant"",  substitute(filter(Templates!E:E, Templates!A:A = F2512, Templates!B:B = G2512, Templates!C:C = H2512), ""{{}}"", E2512), B2512)"),"🏘  L’appartement de vos rêves se trouve sur ImmoScout24.ch ✅ Découvrez les dernières annonces de vente à Bottmingen.")</f>
        <v>🏘  L’appartement de vos rêves se trouve sur ImmoScout24.ch ✅ Découvrez les dernières annonces de vente à Bottmingen.</v>
      </c>
      <c r="J2512" s="4" t="s">
        <v>7532</v>
      </c>
    </row>
    <row r="2513">
      <c r="A2513" s="5" t="s">
        <v>7533</v>
      </c>
      <c r="B2513" s="2" t="s">
        <v>7534</v>
      </c>
      <c r="C2513" s="4" t="str">
        <f>IFERROR(__xludf.DUMMYFUNCTION("""🏘️ ""&amp;REGEXEXTRACT(B2513, ""^(.*): "")&amp;"" ✅ "" &amp;REGEXEXTRACT(B2513, ""(Trouvez.*)"")"),"🏘️ Louer appartement Liebefeld ✅ Trouvez le bien immobilier qui correspond idéalement à vos désirs sur ImmoScout24 - La plateforme de l'immobilier en Suisse.")</f>
        <v>🏘️ Louer appartement Liebefeld ✅ Trouvez le bien immobilier qui correspond idéalement à vos désirs sur ImmoScout24 - La plateforme de l'immobilier en Suisse.</v>
      </c>
      <c r="D2513" s="4" t="str">
        <f>vlookup(A2513, Sheet2!D:E, 2, 0)</f>
        <v>variant</v>
      </c>
      <c r="E2513" s="4" t="str">
        <f>IFERROR(__xludf.DUMMYFUNCTION("if(H2513=""pays"",vlookup(REGEXEXTRACT(C2513, ""🏘️ \w+ \w+ (.*) ✅""),'Country prepositions'!A:B, 2, 0) &amp; "" "" &amp; REGEXEXTRACT(C2513, ""🏘️ \w+ \w+ (.*) ✅"") ,  if(H2513=""quartier"",vlookup(REGEXEXTRACT(C2513, ""🏘️ \w+ \w+ (.*) ✅""),'Quartier prepositio"&amp;"ns'!A:E, 5, 0) ,  if(H2513=""region"",vlookup(REGEXEXTRACT(C2513, ""🏘️ \w+ \w+ (.*) ✅""),'Region prepositions'!B:F, 5, 0),  REGEXEXTRACT(C2513, ""🏘️ \w+ \w+ (.*) ✅""))))"),"Liebefeld")</f>
        <v>Liebefeld</v>
      </c>
      <c r="F2513" s="2" t="str">
        <f>IFERROR(__xludf.DUMMYFUNCTION("REGEXEXTRACT(C2513, ""🏘️ (\w+) \w+ .* ✅"")"),"Louer")</f>
        <v>Louer</v>
      </c>
      <c r="G2513" s="2" t="str">
        <f>IFERROR(__xludf.DUMMYFUNCTION("REGEXEXTRACT(C2513, ""🏘️ \w+ (\w+) .* ✅"")"),"appartement")</f>
        <v>appartement</v>
      </c>
      <c r="H2513" s="4" t="str">
        <f>IFERROR(__xludf.DUMMYFUNCTION("REGEXEXTRACT(A2513, ""/(\w+)-.*?"")"),"lieu")</f>
        <v>lieu</v>
      </c>
      <c r="I2513" s="4" t="str">
        <f>IFERROR(__xludf.DUMMYFUNCTION("if(D2513=""variant"",  substitute(filter(Templates!E:E, Templates!A:A = F2513, Templates!B:B = G2513, Templates!C:C = H2513), ""{{}}"", E2513), B2513)"),"🏘  Vous cherchez un appartement à louer à Liebefeld? ✅ Les annonces les plus actuelles sont sur ImmoScout24.ch.")</f>
        <v>🏘  Vous cherchez un appartement à louer à Liebefeld? ✅ Les annonces les plus actuelles sont sur ImmoScout24.ch.</v>
      </c>
      <c r="J2513" s="4" t="s">
        <v>7535</v>
      </c>
    </row>
    <row r="2514">
      <c r="A2514" s="5" t="s">
        <v>7536</v>
      </c>
      <c r="B2514" s="2" t="s">
        <v>7537</v>
      </c>
      <c r="C2514" s="4" t="str">
        <f>IFERROR(__xludf.DUMMYFUNCTION("""🏘️ ""&amp;REGEXEXTRACT(B2514, ""^(.*): "")&amp;"" ✅ "" &amp;REGEXEXTRACT(B2514, ""(Trouvez.*)"")"),"🏘️ Vendre maison Martisberg ✅ Trouvez le bien immobilier qui correspond idéalement à vos désirs sur ImmoScout24 - La plateforme de l'immobilier en Suisse.")</f>
        <v>🏘️ Vendre maison Martisberg ✅ Trouvez le bien immobilier qui correspond idéalement à vos désirs sur ImmoScout24 - La plateforme de l'immobilier en Suisse.</v>
      </c>
      <c r="D2514" s="4" t="str">
        <f>vlookup(A2514, Sheet2!D:E, 2, 0)</f>
        <v>variant</v>
      </c>
      <c r="E2514" s="4" t="str">
        <f>IFERROR(__xludf.DUMMYFUNCTION("if(H2514=""pays"",vlookup(REGEXEXTRACT(C2514, ""🏘️ \w+ \w+ (.*) ✅""),'Country prepositions'!A:B, 2, 0) &amp; "" "" &amp; REGEXEXTRACT(C2514, ""🏘️ \w+ \w+ (.*) ✅"") ,  if(H2514=""quartier"",vlookup(REGEXEXTRACT(C2514, ""🏘️ \w+ \w+ (.*) ✅""),'Quartier prepositio"&amp;"ns'!A:E, 5, 0) ,  if(H2514=""region"",vlookup(REGEXEXTRACT(C2514, ""🏘️ \w+ \w+ (.*) ✅""),'Region prepositions'!B:F, 5, 0),  REGEXEXTRACT(C2514, ""🏘️ \w+ \w+ (.*) ✅""))))"),"Martisberg")</f>
        <v>Martisberg</v>
      </c>
      <c r="F2514" s="2" t="str">
        <f>IFERROR(__xludf.DUMMYFUNCTION("REGEXEXTRACT(C2514, ""🏘️ (\w+) \w+ .* ✅"")"),"Vendre")</f>
        <v>Vendre</v>
      </c>
      <c r="G2514" s="2" t="str">
        <f>IFERROR(__xludf.DUMMYFUNCTION("REGEXEXTRACT(C2514, ""🏘️ \w+ (\w+) .* ✅"")"),"maison")</f>
        <v>maison</v>
      </c>
      <c r="H2514" s="4" t="str">
        <f>IFERROR(__xludf.DUMMYFUNCTION("REGEXEXTRACT(A2514, ""/(\w+)-.*?"")"),"lieu")</f>
        <v>lieu</v>
      </c>
      <c r="I2514" s="4" t="str">
        <f>IFERROR(__xludf.DUMMYFUNCTION("if(D2514=""variant"",  substitute(filter(Templates!E:E, Templates!A:A = F2514, Templates!B:B = G2514, Templates!C:C = H2514), ""{{}}"", E2514), B2514)"),"🏘  Vous souhaitez acheter une maison à Martisberg? ✅ Jetez un œil aux dernières offres sur ImmoScout24.ch.")</f>
        <v>🏘  Vous souhaitez acheter une maison à Martisberg? ✅ Jetez un œil aux dernières offres sur ImmoScout24.ch.</v>
      </c>
      <c r="J2514" s="4" t="s">
        <v>7538</v>
      </c>
    </row>
    <row r="2515">
      <c r="A2515" s="5" t="s">
        <v>7539</v>
      </c>
      <c r="B2515" s="2" t="s">
        <v>7540</v>
      </c>
      <c r="C2515" s="4" t="str">
        <f>IFERROR(__xludf.DUMMYFUNCTION("""🏘️ ""&amp;REGEXEXTRACT(B2515, ""^(.*): "")&amp;"" ✅ "" &amp;REGEXEXTRACT(B2515, ""(Trouvez.*)"")"),"🏘️ Louer appartement Emmen ✅ Trouvez le bien immobilier qui correspond idéalement à vos désirs sur ImmoScout24 - La plateforme de l'immobilier en Suisse.")</f>
        <v>🏘️ Louer appartement Emmen ✅ Trouvez le bien immobilier qui correspond idéalement à vos désirs sur ImmoScout24 - La plateforme de l'immobilier en Suisse.</v>
      </c>
      <c r="D2515" s="4" t="str">
        <f>vlookup(A2515, Sheet2!D:E, 2, 0)</f>
        <v>variant</v>
      </c>
      <c r="E2515" s="4" t="str">
        <f>IFERROR(__xludf.DUMMYFUNCTION("if(H2515=""pays"",vlookup(REGEXEXTRACT(C2515, ""🏘️ \w+ \w+ (.*) ✅""),'Country prepositions'!A:B, 2, 0) &amp; "" "" &amp; REGEXEXTRACT(C2515, ""🏘️ \w+ \w+ (.*) ✅"") ,  if(H2515=""quartier"",vlookup(REGEXEXTRACT(C2515, ""🏘️ \w+ \w+ (.*) ✅""),'Quartier prepositio"&amp;"ns'!A:E, 5, 0) ,  if(H2515=""region"",vlookup(REGEXEXTRACT(C2515, ""🏘️ \w+ \w+ (.*) ✅""),'Region prepositions'!B:F, 5, 0),  REGEXEXTRACT(C2515, ""🏘️ \w+ \w+ (.*) ✅""))))"),"Emmen")</f>
        <v>Emmen</v>
      </c>
      <c r="F2515" s="2" t="str">
        <f>IFERROR(__xludf.DUMMYFUNCTION("REGEXEXTRACT(C2515, ""🏘️ (\w+) \w+ .* ✅"")"),"Louer")</f>
        <v>Louer</v>
      </c>
      <c r="G2515" s="2" t="str">
        <f>IFERROR(__xludf.DUMMYFUNCTION("REGEXEXTRACT(C2515, ""🏘️ \w+ (\w+) .* ✅"")"),"appartement")</f>
        <v>appartement</v>
      </c>
      <c r="H2515" s="4" t="str">
        <f>IFERROR(__xludf.DUMMYFUNCTION("REGEXEXTRACT(A2515, ""/(\w+)-.*?"")"),"lieu")</f>
        <v>lieu</v>
      </c>
      <c r="I2515" s="4" t="str">
        <f>IFERROR(__xludf.DUMMYFUNCTION("if(D2515=""variant"",  substitute(filter(Templates!E:E, Templates!A:A = F2515, Templates!B:B = G2515, Templates!C:C = H2515), ""{{}}"", E2515), B2515)"),"🏘  Vous cherchez un appartement à louer à Emmen? ✅ Les annonces les plus actuelles sont sur ImmoScout24.ch.")</f>
        <v>🏘  Vous cherchez un appartement à louer à Emmen? ✅ Les annonces les plus actuelles sont sur ImmoScout24.ch.</v>
      </c>
      <c r="J2515" s="4" t="s">
        <v>7541</v>
      </c>
    </row>
    <row r="2516">
      <c r="A2516" s="5" t="s">
        <v>7542</v>
      </c>
      <c r="B2516" s="2" t="s">
        <v>7543</v>
      </c>
      <c r="C2516" s="4" t="str">
        <f>IFERROR(__xludf.DUMMYFUNCTION("""🏘️ ""&amp;REGEXEXTRACT(B2516, ""^(.*): "")&amp;"" ✅ "" &amp;REGEXEXTRACT(B2516, ""(Trouvez.*)"")"),"🏘️ Vendre maison Cressier FR ✅ Trouvez le bien immobilier qui correspond idéalement à vos désirs sur ImmoScout24 - La plateforme de l'immobilier en Suisse.")</f>
        <v>🏘️ Vendre maison Cressier FR ✅ Trouvez le bien immobilier qui correspond idéalement à vos désirs sur ImmoScout24 - La plateforme de l'immobilier en Suisse.</v>
      </c>
      <c r="D2516" s="4" t="str">
        <f>vlookup(A2516, Sheet2!D:E, 2, 0)</f>
        <v>variant</v>
      </c>
      <c r="E2516" s="4" t="str">
        <f>IFERROR(__xludf.DUMMYFUNCTION("if(H2516=""pays"",vlookup(REGEXEXTRACT(C2516, ""🏘️ \w+ \w+ (.*) ✅""),'Country prepositions'!A:B, 2, 0) &amp; "" "" &amp; REGEXEXTRACT(C2516, ""🏘️ \w+ \w+ (.*) ✅"") ,  if(H2516=""quartier"",vlookup(REGEXEXTRACT(C2516, ""🏘️ \w+ \w+ (.*) ✅""),'Quartier prepositio"&amp;"ns'!A:E, 5, 0) ,  if(H2516=""region"",vlookup(REGEXEXTRACT(C2516, ""🏘️ \w+ \w+ (.*) ✅""),'Region prepositions'!B:F, 5, 0),  REGEXEXTRACT(C2516, ""🏘️ \w+ \w+ (.*) ✅""))))"),"Cressier FR")</f>
        <v>Cressier FR</v>
      </c>
      <c r="F2516" s="2" t="str">
        <f>IFERROR(__xludf.DUMMYFUNCTION("REGEXEXTRACT(C2516, ""🏘️ (\w+) \w+ .* ✅"")"),"Vendre")</f>
        <v>Vendre</v>
      </c>
      <c r="G2516" s="2" t="str">
        <f>IFERROR(__xludf.DUMMYFUNCTION("REGEXEXTRACT(C2516, ""🏘️ \w+ (\w+) .* ✅"")"),"maison")</f>
        <v>maison</v>
      </c>
      <c r="H2516" s="4" t="str">
        <f>IFERROR(__xludf.DUMMYFUNCTION("REGEXEXTRACT(A2516, ""/(\w+)-.*?"")"),"lieu")</f>
        <v>lieu</v>
      </c>
      <c r="I2516" s="4" t="str">
        <f>IFERROR(__xludf.DUMMYFUNCTION("if(D2516=""variant"",  substitute(filter(Templates!E:E, Templates!A:A = F2516, Templates!B:B = G2516, Templates!C:C = H2516), ""{{}}"", E2516), B2516)"),"🏘  Vous souhaitez acheter une maison à Cressier FR? ✅ Jetez un œil aux dernières offres sur ImmoScout24.ch.")</f>
        <v>🏘  Vous souhaitez acheter une maison à Cressier FR? ✅ Jetez un œil aux dernières offres sur ImmoScout24.ch.</v>
      </c>
      <c r="J2516" s="4" t="s">
        <v>7544</v>
      </c>
    </row>
    <row r="2517">
      <c r="A2517" s="5" t="s">
        <v>7545</v>
      </c>
      <c r="B2517" s="2" t="s">
        <v>7546</v>
      </c>
      <c r="C2517" s="4" t="str">
        <f>IFERROR(__xludf.DUMMYFUNCTION("""🏘️ ""&amp;REGEXEXTRACT(B2517, ""^(.*): "")&amp;"" ✅ "" &amp;REGEXEXTRACT(B2517, ""(Trouvez.*)"")"),"🏘️ Louer appartement Bättwil ✅ Trouvez le bien immobilier qui correspond idéalement à vos désirs sur ImmoScout24 - La plateforme de l'immobilier en Suisse.")</f>
        <v>🏘️ Louer appartement Bättwil ✅ Trouvez le bien immobilier qui correspond idéalement à vos désirs sur ImmoScout24 - La plateforme de l'immobilier en Suisse.</v>
      </c>
      <c r="D2517" s="4" t="str">
        <f>vlookup(A2517, Sheet2!D:E, 2, 0)</f>
        <v>variant</v>
      </c>
      <c r="E2517" s="4" t="str">
        <f>IFERROR(__xludf.DUMMYFUNCTION("if(H2517=""pays"",vlookup(REGEXEXTRACT(C2517, ""🏘️ \w+ \w+ (.*) ✅""),'Country prepositions'!A:B, 2, 0) &amp; "" "" &amp; REGEXEXTRACT(C2517, ""🏘️ \w+ \w+ (.*) ✅"") ,  if(H2517=""quartier"",vlookup(REGEXEXTRACT(C2517, ""🏘️ \w+ \w+ (.*) ✅""),'Quartier prepositio"&amp;"ns'!A:E, 5, 0) ,  if(H2517=""region"",vlookup(REGEXEXTRACT(C2517, ""🏘️ \w+ \w+ (.*) ✅""),'Region prepositions'!B:F, 5, 0),  REGEXEXTRACT(C2517, ""🏘️ \w+ \w+ (.*) ✅""))))"),"Bättwil")</f>
        <v>Bättwil</v>
      </c>
      <c r="F2517" s="2" t="str">
        <f>IFERROR(__xludf.DUMMYFUNCTION("REGEXEXTRACT(C2517, ""🏘️ (\w+) \w+ .* ✅"")"),"Louer")</f>
        <v>Louer</v>
      </c>
      <c r="G2517" s="2" t="str">
        <f>IFERROR(__xludf.DUMMYFUNCTION("REGEXEXTRACT(C2517, ""🏘️ \w+ (\w+) .* ✅"")"),"appartement")</f>
        <v>appartement</v>
      </c>
      <c r="H2517" s="4" t="str">
        <f>IFERROR(__xludf.DUMMYFUNCTION("REGEXEXTRACT(A2517, ""/(\w+)-.*?"")"),"lieu")</f>
        <v>lieu</v>
      </c>
      <c r="I2517" s="4" t="str">
        <f>IFERROR(__xludf.DUMMYFUNCTION("if(D2517=""variant"",  substitute(filter(Templates!E:E, Templates!A:A = F2517, Templates!B:B = G2517, Templates!C:C = H2517), ""{{}}"", E2517), B2517)"),"🏘  Vous cherchez un appartement à louer à Bättwil? ✅ Les annonces les plus actuelles sont sur ImmoScout24.ch.")</f>
        <v>🏘  Vous cherchez un appartement à louer à Bättwil? ✅ Les annonces les plus actuelles sont sur ImmoScout24.ch.</v>
      </c>
      <c r="J2517" s="4" t="s">
        <v>7547</v>
      </c>
    </row>
    <row r="2518">
      <c r="A2518" s="5" t="s">
        <v>7548</v>
      </c>
      <c r="B2518" s="2" t="s">
        <v>7549</v>
      </c>
      <c r="C2518" s="4" t="str">
        <f>IFERROR(__xludf.DUMMYFUNCTION("""🏘️ ""&amp;REGEXEXTRACT(B2518, ""^(.*): "")&amp;"" ✅ "" &amp;REGEXEXTRACT(B2518, ""(Trouvez.*)"")"),"🏘️ Vendre maison Roveredo GR ✅ Trouvez le bien immobilier qui correspond idéalement à vos désirs sur ImmoScout24 - La plateforme de l'immobilier en Suisse.")</f>
        <v>🏘️ Vendre maison Roveredo GR ✅ Trouvez le bien immobilier qui correspond idéalement à vos désirs sur ImmoScout24 - La plateforme de l'immobilier en Suisse.</v>
      </c>
      <c r="D2518" s="4" t="str">
        <f>vlookup(A2518, Sheet2!D:E, 2, 0)</f>
        <v>variant</v>
      </c>
      <c r="E2518" s="4" t="str">
        <f>IFERROR(__xludf.DUMMYFUNCTION("if(H2518=""pays"",vlookup(REGEXEXTRACT(C2518, ""🏘️ \w+ \w+ (.*) ✅""),'Country prepositions'!A:B, 2, 0) &amp; "" "" &amp; REGEXEXTRACT(C2518, ""🏘️ \w+ \w+ (.*) ✅"") ,  if(H2518=""quartier"",vlookup(REGEXEXTRACT(C2518, ""🏘️ \w+ \w+ (.*) ✅""),'Quartier prepositio"&amp;"ns'!A:E, 5, 0) ,  if(H2518=""region"",vlookup(REGEXEXTRACT(C2518, ""🏘️ \w+ \w+ (.*) ✅""),'Region prepositions'!B:F, 5, 0),  REGEXEXTRACT(C2518, ""🏘️ \w+ \w+ (.*) ✅""))))"),"Roveredo GR")</f>
        <v>Roveredo GR</v>
      </c>
      <c r="F2518" s="2" t="str">
        <f>IFERROR(__xludf.DUMMYFUNCTION("REGEXEXTRACT(C2518, ""🏘️ (\w+) \w+ .* ✅"")"),"Vendre")</f>
        <v>Vendre</v>
      </c>
      <c r="G2518" s="2" t="str">
        <f>IFERROR(__xludf.DUMMYFUNCTION("REGEXEXTRACT(C2518, ""🏘️ \w+ (\w+) .* ✅"")"),"maison")</f>
        <v>maison</v>
      </c>
      <c r="H2518" s="4" t="str">
        <f>IFERROR(__xludf.DUMMYFUNCTION("REGEXEXTRACT(A2518, ""/(\w+)-.*?"")"),"lieu")</f>
        <v>lieu</v>
      </c>
      <c r="I2518" s="4" t="str">
        <f>IFERROR(__xludf.DUMMYFUNCTION("if(D2518=""variant"",  substitute(filter(Templates!E:E, Templates!A:A = F2518, Templates!B:B = G2518, Templates!C:C = H2518), ""{{}}"", E2518), B2518)"),"🏘  Vous souhaitez acheter une maison à Roveredo GR? ✅ Jetez un œil aux dernières offres sur ImmoScout24.ch.")</f>
        <v>🏘  Vous souhaitez acheter une maison à Roveredo GR? ✅ Jetez un œil aux dernières offres sur ImmoScout24.ch.</v>
      </c>
      <c r="J2518" s="4" t="s">
        <v>7550</v>
      </c>
    </row>
    <row r="2519">
      <c r="A2519" s="5" t="s">
        <v>7551</v>
      </c>
      <c r="B2519" s="2" t="s">
        <v>7552</v>
      </c>
      <c r="C2519" s="4" t="str">
        <f>IFERROR(__xludf.DUMMYFUNCTION("""🏘️ ""&amp;REGEXEXTRACT(B2519, ""^(.*): "")&amp;"" ✅ "" &amp;REGEXEXTRACT(B2519, ""(Trouvez.*)"")"),"🏘️ Louer appartement Chancy ✅ Trouvez le bien immobilier qui correspond idéalement à vos désirs sur ImmoScout24 - La plateforme de l'immobilier en Suisse.")</f>
        <v>🏘️ Louer appartement Chancy ✅ Trouvez le bien immobilier qui correspond idéalement à vos désirs sur ImmoScout24 - La plateforme de l'immobilier en Suisse.</v>
      </c>
      <c r="D2519" s="4" t="str">
        <f>vlookup(A2519, Sheet2!D:E, 2, 0)</f>
        <v>variant</v>
      </c>
      <c r="E2519" s="4" t="str">
        <f>IFERROR(__xludf.DUMMYFUNCTION("if(H2519=""pays"",vlookup(REGEXEXTRACT(C2519, ""🏘️ \w+ \w+ (.*) ✅""),'Country prepositions'!A:B, 2, 0) &amp; "" "" &amp; REGEXEXTRACT(C2519, ""🏘️ \w+ \w+ (.*) ✅"") ,  if(H2519=""quartier"",vlookup(REGEXEXTRACT(C2519, ""🏘️ \w+ \w+ (.*) ✅""),'Quartier prepositio"&amp;"ns'!A:E, 5, 0) ,  if(H2519=""region"",vlookup(REGEXEXTRACT(C2519, ""🏘️ \w+ \w+ (.*) ✅""),'Region prepositions'!B:F, 5, 0),  REGEXEXTRACT(C2519, ""🏘️ \w+ \w+ (.*) ✅""))))"),"Chancy")</f>
        <v>Chancy</v>
      </c>
      <c r="F2519" s="2" t="str">
        <f>IFERROR(__xludf.DUMMYFUNCTION("REGEXEXTRACT(C2519, ""🏘️ (\w+) \w+ .* ✅"")"),"Louer")</f>
        <v>Louer</v>
      </c>
      <c r="G2519" s="2" t="str">
        <f>IFERROR(__xludf.DUMMYFUNCTION("REGEXEXTRACT(C2519, ""🏘️ \w+ (\w+) .* ✅"")"),"appartement")</f>
        <v>appartement</v>
      </c>
      <c r="H2519" s="4" t="str">
        <f>IFERROR(__xludf.DUMMYFUNCTION("REGEXEXTRACT(A2519, ""/(\w+)-.*?"")"),"lieu")</f>
        <v>lieu</v>
      </c>
      <c r="I2519" s="4" t="str">
        <f>IFERROR(__xludf.DUMMYFUNCTION("if(D2519=""variant"",  substitute(filter(Templates!E:E, Templates!A:A = F2519, Templates!B:B = G2519, Templates!C:C = H2519), ""{{}}"", E2519), B2519)"),"🏘  Vous cherchez un appartement à louer à Chancy? ✅ Les annonces les plus actuelles sont sur ImmoScout24.ch.")</f>
        <v>🏘  Vous cherchez un appartement à louer à Chancy? ✅ Les annonces les plus actuelles sont sur ImmoScout24.ch.</v>
      </c>
      <c r="J2519" s="4" t="s">
        <v>7553</v>
      </c>
    </row>
    <row r="2520">
      <c r="A2520" s="5" t="s">
        <v>7554</v>
      </c>
      <c r="B2520" s="2" t="s">
        <v>7555</v>
      </c>
      <c r="C2520" s="4" t="str">
        <f>IFERROR(__xludf.DUMMYFUNCTION("""🏘️ ""&amp;REGEXEXTRACT(B2520, ""^(.*): "")&amp;"" ✅ "" &amp;REGEXEXTRACT(B2520, ""(Trouvez.*)"")"),"🏘️ Vendre maison Plagne ✅ Trouvez le bien immobilier qui correspond idéalement à vos désirs sur ImmoScout24 - La plateforme de l'immobilier en Suisse.")</f>
        <v>🏘️ Vendre maison Plagne ✅ Trouvez le bien immobilier qui correspond idéalement à vos désirs sur ImmoScout24 - La plateforme de l'immobilier en Suisse.</v>
      </c>
      <c r="D2520" s="4" t="str">
        <f>vlookup(A2520, Sheet2!D:E, 2, 0)</f>
        <v>variant</v>
      </c>
      <c r="E2520" s="4" t="str">
        <f>IFERROR(__xludf.DUMMYFUNCTION("if(H2520=""pays"",vlookup(REGEXEXTRACT(C2520, ""🏘️ \w+ \w+ (.*) ✅""),'Country prepositions'!A:B, 2, 0) &amp; "" "" &amp; REGEXEXTRACT(C2520, ""🏘️ \w+ \w+ (.*) ✅"") ,  if(H2520=""quartier"",vlookup(REGEXEXTRACT(C2520, ""🏘️ \w+ \w+ (.*) ✅""),'Quartier prepositio"&amp;"ns'!A:E, 5, 0) ,  if(H2520=""region"",vlookup(REGEXEXTRACT(C2520, ""🏘️ \w+ \w+ (.*) ✅""),'Region prepositions'!B:F, 5, 0),  REGEXEXTRACT(C2520, ""🏘️ \w+ \w+ (.*) ✅""))))"),"Plagne")</f>
        <v>Plagne</v>
      </c>
      <c r="F2520" s="2" t="str">
        <f>IFERROR(__xludf.DUMMYFUNCTION("REGEXEXTRACT(C2520, ""🏘️ (\w+) \w+ .* ✅"")"),"Vendre")</f>
        <v>Vendre</v>
      </c>
      <c r="G2520" s="2" t="str">
        <f>IFERROR(__xludf.DUMMYFUNCTION("REGEXEXTRACT(C2520, ""🏘️ \w+ (\w+) .* ✅"")"),"maison")</f>
        <v>maison</v>
      </c>
      <c r="H2520" s="4" t="str">
        <f>IFERROR(__xludf.DUMMYFUNCTION("REGEXEXTRACT(A2520, ""/(\w+)-.*?"")"),"lieu")</f>
        <v>lieu</v>
      </c>
      <c r="I2520" s="4" t="str">
        <f>IFERROR(__xludf.DUMMYFUNCTION("if(D2520=""variant"",  substitute(filter(Templates!E:E, Templates!A:A = F2520, Templates!B:B = G2520, Templates!C:C = H2520), ""{{}}"", E2520), B2520)"),"🏘  Vous souhaitez acheter une maison à Plagne? ✅ Jetez un œil aux dernières offres sur ImmoScout24.ch.")</f>
        <v>🏘  Vous souhaitez acheter une maison à Plagne? ✅ Jetez un œil aux dernières offres sur ImmoScout24.ch.</v>
      </c>
      <c r="J2520" s="4" t="s">
        <v>7556</v>
      </c>
    </row>
    <row r="2521">
      <c r="A2521" s="5" t="s">
        <v>7557</v>
      </c>
      <c r="B2521" s="2" t="s">
        <v>7558</v>
      </c>
      <c r="C2521" s="4" t="str">
        <f>IFERROR(__xludf.DUMMYFUNCTION("""🏘️ ""&amp;REGEXEXTRACT(B2521, ""^(.*): "")&amp;"" ✅ "" &amp;REGEXEXTRACT(B2521, ""(Trouvez.*)"")"),"🏘️ Vendre maison Rodersdorf ✅ Trouvez le bien immobilier qui correspond idéalement à vos désirs sur ImmoScout24 - La plateforme de l'immobilier en Suisse.")</f>
        <v>🏘️ Vendre maison Rodersdorf ✅ Trouvez le bien immobilier qui correspond idéalement à vos désirs sur ImmoScout24 - La plateforme de l'immobilier en Suisse.</v>
      </c>
      <c r="D2521" s="4" t="str">
        <f>vlookup(A2521, Sheet2!D:E, 2, 0)</f>
        <v>variant</v>
      </c>
      <c r="E2521" s="4" t="str">
        <f>IFERROR(__xludf.DUMMYFUNCTION("if(H2521=""pays"",vlookup(REGEXEXTRACT(C2521, ""🏘️ \w+ \w+ (.*) ✅""),'Country prepositions'!A:B, 2, 0) &amp; "" "" &amp; REGEXEXTRACT(C2521, ""🏘️ \w+ \w+ (.*) ✅"") ,  if(H2521=""quartier"",vlookup(REGEXEXTRACT(C2521, ""🏘️ \w+ \w+ (.*) ✅""),'Quartier prepositio"&amp;"ns'!A:E, 5, 0) ,  if(H2521=""region"",vlookup(REGEXEXTRACT(C2521, ""🏘️ \w+ \w+ (.*) ✅""),'Region prepositions'!B:F, 5, 0),  REGEXEXTRACT(C2521, ""🏘️ \w+ \w+ (.*) ✅""))))"),"Rodersdorf")</f>
        <v>Rodersdorf</v>
      </c>
      <c r="F2521" s="2" t="str">
        <f>IFERROR(__xludf.DUMMYFUNCTION("REGEXEXTRACT(C2521, ""🏘️ (\w+) \w+ .* ✅"")"),"Vendre")</f>
        <v>Vendre</v>
      </c>
      <c r="G2521" s="2" t="str">
        <f>IFERROR(__xludf.DUMMYFUNCTION("REGEXEXTRACT(C2521, ""🏘️ \w+ (\w+) .* ✅"")"),"maison")</f>
        <v>maison</v>
      </c>
      <c r="H2521" s="4" t="str">
        <f>IFERROR(__xludf.DUMMYFUNCTION("REGEXEXTRACT(A2521, ""/(\w+)-.*?"")"),"lieu")</f>
        <v>lieu</v>
      </c>
      <c r="I2521" s="4" t="str">
        <f>IFERROR(__xludf.DUMMYFUNCTION("if(D2521=""variant"",  substitute(filter(Templates!E:E, Templates!A:A = F2521, Templates!B:B = G2521, Templates!C:C = H2521), ""{{}}"", E2521), B2521)"),"🏘  Vous souhaitez acheter une maison à Rodersdorf? ✅ Jetez un œil aux dernières offres sur ImmoScout24.ch.")</f>
        <v>🏘  Vous souhaitez acheter une maison à Rodersdorf? ✅ Jetez un œil aux dernières offres sur ImmoScout24.ch.</v>
      </c>
      <c r="J2521" s="4" t="s">
        <v>7559</v>
      </c>
    </row>
    <row r="2522">
      <c r="A2522" s="5" t="s">
        <v>7560</v>
      </c>
      <c r="B2522" s="2" t="s">
        <v>7561</v>
      </c>
      <c r="C2522" s="4" t="str">
        <f>IFERROR(__xludf.DUMMYFUNCTION("""🏘️ ""&amp;REGEXEXTRACT(B2522, ""^(.*): "")&amp;"" ✅ "" &amp;REGEXEXTRACT(B2522, ""(Trouvez.*)"")"),"🏘️ Louer appartement Bätterkinden ✅ Trouvez le bien immobilier qui correspond idéalement à vos désirs sur ImmoScout24 - La plateforme de l'immobilier en Suisse.")</f>
        <v>🏘️ Louer appartement Bätterkinden ✅ Trouvez le bien immobilier qui correspond idéalement à vos désirs sur ImmoScout24 - La plateforme de l'immobilier en Suisse.</v>
      </c>
      <c r="D2522" s="4" t="str">
        <f>vlookup(A2522, Sheet2!D:E, 2, 0)</f>
        <v>variant</v>
      </c>
      <c r="E2522" s="4" t="str">
        <f>IFERROR(__xludf.DUMMYFUNCTION("if(H2522=""pays"",vlookup(REGEXEXTRACT(C2522, ""🏘️ \w+ \w+ (.*) ✅""),'Country prepositions'!A:B, 2, 0) &amp; "" "" &amp; REGEXEXTRACT(C2522, ""🏘️ \w+ \w+ (.*) ✅"") ,  if(H2522=""quartier"",vlookup(REGEXEXTRACT(C2522, ""🏘️ \w+ \w+ (.*) ✅""),'Quartier prepositio"&amp;"ns'!A:E, 5, 0) ,  if(H2522=""region"",vlookup(REGEXEXTRACT(C2522, ""🏘️ \w+ \w+ (.*) ✅""),'Region prepositions'!B:F, 5, 0),  REGEXEXTRACT(C2522, ""🏘️ \w+ \w+ (.*) ✅""))))"),"Bätterkinden")</f>
        <v>Bätterkinden</v>
      </c>
      <c r="F2522" s="2" t="str">
        <f>IFERROR(__xludf.DUMMYFUNCTION("REGEXEXTRACT(C2522, ""🏘️ (\w+) \w+ .* ✅"")"),"Louer")</f>
        <v>Louer</v>
      </c>
      <c r="G2522" s="2" t="str">
        <f>IFERROR(__xludf.DUMMYFUNCTION("REGEXEXTRACT(C2522, ""🏘️ \w+ (\w+) .* ✅"")"),"appartement")</f>
        <v>appartement</v>
      </c>
      <c r="H2522" s="4" t="str">
        <f>IFERROR(__xludf.DUMMYFUNCTION("REGEXEXTRACT(A2522, ""/(\w+)-.*?"")"),"lieu")</f>
        <v>lieu</v>
      </c>
      <c r="I2522" s="4" t="str">
        <f>IFERROR(__xludf.DUMMYFUNCTION("if(D2522=""variant"",  substitute(filter(Templates!E:E, Templates!A:A = F2522, Templates!B:B = G2522, Templates!C:C = H2522), ""{{}}"", E2522), B2522)"),"🏘  Vous cherchez un appartement à louer à Bätterkinden? ✅ Les annonces les plus actuelles sont sur ImmoScout24.ch.")</f>
        <v>🏘  Vous cherchez un appartement à louer à Bätterkinden? ✅ Les annonces les plus actuelles sont sur ImmoScout24.ch.</v>
      </c>
      <c r="J2522" s="4" t="s">
        <v>7562</v>
      </c>
    </row>
    <row r="2523">
      <c r="A2523" s="5" t="s">
        <v>7563</v>
      </c>
      <c r="B2523" s="2" t="s">
        <v>7564</v>
      </c>
      <c r="C2523" s="4" t="str">
        <f>IFERROR(__xludf.DUMMYFUNCTION("""🏘️ ""&amp;REGEXEXTRACT(B2523, ""^(.*): "")&amp;"" ✅ "" &amp;REGEXEXTRACT(B2523, ""(Trouvez.*)"")"),"🏘️ Vendre maison Ballens ✅ Trouvez le bien immobilier qui correspond idéalement à vos désirs sur ImmoScout24 - La plateforme de l'immobilier en Suisse.")</f>
        <v>🏘️ Vendre maison Ballens ✅ Trouvez le bien immobilier qui correspond idéalement à vos désirs sur ImmoScout24 - La plateforme de l'immobilier en Suisse.</v>
      </c>
      <c r="D2523" s="4" t="str">
        <f>vlookup(A2523, Sheet2!D:E, 2, 0)</f>
        <v>variant</v>
      </c>
      <c r="E2523" s="4" t="str">
        <f>IFERROR(__xludf.DUMMYFUNCTION("if(H2523=""pays"",vlookup(REGEXEXTRACT(C2523, ""🏘️ \w+ \w+ (.*) ✅""),'Country prepositions'!A:B, 2, 0) &amp; "" "" &amp; REGEXEXTRACT(C2523, ""🏘️ \w+ \w+ (.*) ✅"") ,  if(H2523=""quartier"",vlookup(REGEXEXTRACT(C2523, ""🏘️ \w+ \w+ (.*) ✅""),'Quartier prepositio"&amp;"ns'!A:E, 5, 0) ,  if(H2523=""region"",vlookup(REGEXEXTRACT(C2523, ""🏘️ \w+ \w+ (.*) ✅""),'Region prepositions'!B:F, 5, 0),  REGEXEXTRACT(C2523, ""🏘️ \w+ \w+ (.*) ✅""))))"),"Ballens")</f>
        <v>Ballens</v>
      </c>
      <c r="F2523" s="2" t="str">
        <f>IFERROR(__xludf.DUMMYFUNCTION("REGEXEXTRACT(C2523, ""🏘️ (\w+) \w+ .* ✅"")"),"Vendre")</f>
        <v>Vendre</v>
      </c>
      <c r="G2523" s="2" t="str">
        <f>IFERROR(__xludf.DUMMYFUNCTION("REGEXEXTRACT(C2523, ""🏘️ \w+ (\w+) .* ✅"")"),"maison")</f>
        <v>maison</v>
      </c>
      <c r="H2523" s="4" t="str">
        <f>IFERROR(__xludf.DUMMYFUNCTION("REGEXEXTRACT(A2523, ""/(\w+)-.*?"")"),"lieu")</f>
        <v>lieu</v>
      </c>
      <c r="I2523" s="4" t="str">
        <f>IFERROR(__xludf.DUMMYFUNCTION("if(D2523=""variant"",  substitute(filter(Templates!E:E, Templates!A:A = F2523, Templates!B:B = G2523, Templates!C:C = H2523), ""{{}}"", E2523), B2523)"),"🏘  Vous souhaitez acheter une maison à Ballens? ✅ Jetez un œil aux dernières offres sur ImmoScout24.ch.")</f>
        <v>🏘  Vous souhaitez acheter une maison à Ballens? ✅ Jetez un œil aux dernières offres sur ImmoScout24.ch.</v>
      </c>
      <c r="J2523" s="4" t="s">
        <v>7565</v>
      </c>
    </row>
    <row r="2524">
      <c r="A2524" s="5" t="s">
        <v>7566</v>
      </c>
      <c r="B2524" s="2" t="s">
        <v>7567</v>
      </c>
      <c r="C2524" s="4" t="str">
        <f>IFERROR(__xludf.DUMMYFUNCTION("""🏘️ ""&amp;REGEXEXTRACT(B2524, ""^(.*): "")&amp;"" ✅ "" &amp;REGEXEXTRACT(B2524, ""(Trouvez.*)"")"),"🏘️ Vendre maison Saxeten ✅ Trouvez le bien immobilier qui correspond idéalement à vos désirs sur ImmoScout24 - La plateforme de l'immobilier en Suisse.")</f>
        <v>🏘️ Vendre maison Saxeten ✅ Trouvez le bien immobilier qui correspond idéalement à vos désirs sur ImmoScout24 - La plateforme de l'immobilier en Suisse.</v>
      </c>
      <c r="D2524" s="4" t="str">
        <f>vlookup(A2524, Sheet2!D:E, 2, 0)</f>
        <v>variant</v>
      </c>
      <c r="E2524" s="4" t="str">
        <f>IFERROR(__xludf.DUMMYFUNCTION("if(H2524=""pays"",vlookup(REGEXEXTRACT(C2524, ""🏘️ \w+ \w+ (.*) ✅""),'Country prepositions'!A:B, 2, 0) &amp; "" "" &amp; REGEXEXTRACT(C2524, ""🏘️ \w+ \w+ (.*) ✅"") ,  if(H2524=""quartier"",vlookup(REGEXEXTRACT(C2524, ""🏘️ \w+ \w+ (.*) ✅""),'Quartier prepositio"&amp;"ns'!A:E, 5, 0) ,  if(H2524=""region"",vlookup(REGEXEXTRACT(C2524, ""🏘️ \w+ \w+ (.*) ✅""),'Region prepositions'!B:F, 5, 0),  REGEXEXTRACT(C2524, ""🏘️ \w+ \w+ (.*) ✅""))))"),"Saxeten")</f>
        <v>Saxeten</v>
      </c>
      <c r="F2524" s="2" t="str">
        <f>IFERROR(__xludf.DUMMYFUNCTION("REGEXEXTRACT(C2524, ""🏘️ (\w+) \w+ .* ✅"")"),"Vendre")</f>
        <v>Vendre</v>
      </c>
      <c r="G2524" s="2" t="str">
        <f>IFERROR(__xludf.DUMMYFUNCTION("REGEXEXTRACT(C2524, ""🏘️ \w+ (\w+) .* ✅"")"),"maison")</f>
        <v>maison</v>
      </c>
      <c r="H2524" s="4" t="str">
        <f>IFERROR(__xludf.DUMMYFUNCTION("REGEXEXTRACT(A2524, ""/(\w+)-.*?"")"),"lieu")</f>
        <v>lieu</v>
      </c>
      <c r="I2524" s="4" t="str">
        <f>IFERROR(__xludf.DUMMYFUNCTION("if(D2524=""variant"",  substitute(filter(Templates!E:E, Templates!A:A = F2524, Templates!B:B = G2524, Templates!C:C = H2524), ""{{}}"", E2524), B2524)"),"🏘  Vous souhaitez acheter une maison à Saxeten? ✅ Jetez un œil aux dernières offres sur ImmoScout24.ch.")</f>
        <v>🏘  Vous souhaitez acheter une maison à Saxeten? ✅ Jetez un œil aux dernières offres sur ImmoScout24.ch.</v>
      </c>
      <c r="J2524" s="4" t="s">
        <v>7568</v>
      </c>
    </row>
    <row r="2525">
      <c r="A2525" s="5" t="s">
        <v>7569</v>
      </c>
      <c r="B2525" s="2" t="s">
        <v>7570</v>
      </c>
      <c r="C2525" s="4" t="str">
        <f>IFERROR(__xludf.DUMMYFUNCTION("""🏘️ ""&amp;REGEXEXTRACT(B2525, ""^(.*): "")&amp;"" ✅ "" &amp;REGEXEXTRACT(B2525, ""(Trouvez.*)"")"),"🏘️ Vendre maison Saulcy ✅ Trouvez le bien immobilier qui correspond idéalement à vos désirs sur ImmoScout24 - La plateforme de l'immobilier en Suisse.")</f>
        <v>🏘️ Vendre maison Saulcy ✅ Trouvez le bien immobilier qui correspond idéalement à vos désirs sur ImmoScout24 - La plateforme de l'immobilier en Suisse.</v>
      </c>
      <c r="D2525" s="4" t="str">
        <f>vlookup(A2525, Sheet2!D:E, 2, 0)</f>
        <v>variant</v>
      </c>
      <c r="E2525" s="4" t="str">
        <f>IFERROR(__xludf.DUMMYFUNCTION("if(H2525=""pays"",vlookup(REGEXEXTRACT(C2525, ""🏘️ \w+ \w+ (.*) ✅""),'Country prepositions'!A:B, 2, 0) &amp; "" "" &amp; REGEXEXTRACT(C2525, ""🏘️ \w+ \w+ (.*) ✅"") ,  if(H2525=""quartier"",vlookup(REGEXEXTRACT(C2525, ""🏘️ \w+ \w+ (.*) ✅""),'Quartier prepositio"&amp;"ns'!A:E, 5, 0) ,  if(H2525=""region"",vlookup(REGEXEXTRACT(C2525, ""🏘️ \w+ \w+ (.*) ✅""),'Region prepositions'!B:F, 5, 0),  REGEXEXTRACT(C2525, ""🏘️ \w+ \w+ (.*) ✅""))))"),"Saulcy")</f>
        <v>Saulcy</v>
      </c>
      <c r="F2525" s="2" t="str">
        <f>IFERROR(__xludf.DUMMYFUNCTION("REGEXEXTRACT(C2525, ""🏘️ (\w+) \w+ .* ✅"")"),"Vendre")</f>
        <v>Vendre</v>
      </c>
      <c r="G2525" s="2" t="str">
        <f>IFERROR(__xludf.DUMMYFUNCTION("REGEXEXTRACT(C2525, ""🏘️ \w+ (\w+) .* ✅"")"),"maison")</f>
        <v>maison</v>
      </c>
      <c r="H2525" s="4" t="str">
        <f>IFERROR(__xludf.DUMMYFUNCTION("REGEXEXTRACT(A2525, ""/(\w+)-.*?"")"),"lieu")</f>
        <v>lieu</v>
      </c>
      <c r="I2525" s="4" t="str">
        <f>IFERROR(__xludf.DUMMYFUNCTION("if(D2525=""variant"",  substitute(filter(Templates!E:E, Templates!A:A = F2525, Templates!B:B = G2525, Templates!C:C = H2525), ""{{}}"", E2525), B2525)"),"🏘  Vous souhaitez acheter une maison à Saulcy? ✅ Jetez un œil aux dernières offres sur ImmoScout24.ch.")</f>
        <v>🏘  Vous souhaitez acheter une maison à Saulcy? ✅ Jetez un œil aux dernières offres sur ImmoScout24.ch.</v>
      </c>
      <c r="J2525" s="4" t="s">
        <v>7571</v>
      </c>
    </row>
    <row r="2526">
      <c r="A2526" s="5" t="s">
        <v>7572</v>
      </c>
      <c r="B2526" s="2" t="s">
        <v>7573</v>
      </c>
      <c r="C2526" s="4" t="str">
        <f>IFERROR(__xludf.DUMMYFUNCTION("""🏘️ ""&amp;REGEXEXTRACT(B2526, ""^(.*): "")&amp;"" ✅ "" &amp;REGEXEXTRACT(B2526, ""(Trouvez.*)"")"),"🏘️ Vendre appartement Lax ✅ Trouvez le bien immobilier qui correspond idéalement à vos désirs sur ImmoScout24 - La plateforme de l'immobilier en Suisse.")</f>
        <v>🏘️ Vendre appartement Lax ✅ Trouvez le bien immobilier qui correspond idéalement à vos désirs sur ImmoScout24 - La plateforme de l'immobilier en Suisse.</v>
      </c>
      <c r="D2526" s="4" t="str">
        <f>vlookup(A2526, Sheet2!D:E, 2, 0)</f>
        <v>variant</v>
      </c>
      <c r="E2526" s="4" t="str">
        <f>IFERROR(__xludf.DUMMYFUNCTION("if(H2526=""pays"",vlookup(REGEXEXTRACT(C2526, ""🏘️ \w+ \w+ (.*) ✅""),'Country prepositions'!A:B, 2, 0) &amp; "" "" &amp; REGEXEXTRACT(C2526, ""🏘️ \w+ \w+ (.*) ✅"") ,  if(H2526=""quartier"",vlookup(REGEXEXTRACT(C2526, ""🏘️ \w+ \w+ (.*) ✅""),'Quartier prepositio"&amp;"ns'!A:E, 5, 0) ,  if(H2526=""region"",vlookup(REGEXEXTRACT(C2526, ""🏘️ \w+ \w+ (.*) ✅""),'Region prepositions'!B:F, 5, 0),  REGEXEXTRACT(C2526, ""🏘️ \w+ \w+ (.*) ✅""))))"),"Lax")</f>
        <v>Lax</v>
      </c>
      <c r="F2526" s="2" t="str">
        <f>IFERROR(__xludf.DUMMYFUNCTION("REGEXEXTRACT(C2526, ""🏘️ (\w+) \w+ .* ✅"")"),"Vendre")</f>
        <v>Vendre</v>
      </c>
      <c r="G2526" s="2" t="str">
        <f>IFERROR(__xludf.DUMMYFUNCTION("REGEXEXTRACT(C2526, ""🏘️ \w+ (\w+) .* ✅"")"),"appartement")</f>
        <v>appartement</v>
      </c>
      <c r="H2526" s="4" t="str">
        <f>IFERROR(__xludf.DUMMYFUNCTION("REGEXEXTRACT(A2526, ""/(\w+)-.*?"")"),"lieu")</f>
        <v>lieu</v>
      </c>
      <c r="I2526" s="4" t="str">
        <f>IFERROR(__xludf.DUMMYFUNCTION("if(D2526=""variant"",  substitute(filter(Templates!E:E, Templates!A:A = F2526, Templates!B:B = G2526, Templates!C:C = H2526), ""{{}}"", E2526), B2526)"),"🏘  L’appartement de vos rêves se trouve sur ImmoScout24.ch ✅ Découvrez les dernières annonces de vente à Lax.")</f>
        <v>🏘  L’appartement de vos rêves se trouve sur ImmoScout24.ch ✅ Découvrez les dernières annonces de vente à Lax.</v>
      </c>
      <c r="J2526" s="4" t="s">
        <v>7574</v>
      </c>
    </row>
    <row r="2527">
      <c r="A2527" s="5" t="s">
        <v>7575</v>
      </c>
      <c r="B2527" s="2" t="s">
        <v>7576</v>
      </c>
      <c r="C2527" s="4" t="str">
        <f>IFERROR(__xludf.DUMMYFUNCTION("""🏘️ ""&amp;REGEXEXTRACT(B2527, ""^(.*): "")&amp;"" ✅ "" &amp;REGEXEXTRACT(B2527, ""(Trouvez.*)"")"),"🏘️ Louer appartement Vulliens ✅ Trouvez le bien immobilier qui correspond idéalement à vos désirs sur ImmoScout24 - La plateforme de l'immobilier en Suisse.")</f>
        <v>🏘️ Louer appartement Vulliens ✅ Trouvez le bien immobilier qui correspond idéalement à vos désirs sur ImmoScout24 - La plateforme de l'immobilier en Suisse.</v>
      </c>
      <c r="D2527" s="4" t="str">
        <f>vlookup(A2527, Sheet2!D:E, 2, 0)</f>
        <v>variant</v>
      </c>
      <c r="E2527" s="4" t="str">
        <f>IFERROR(__xludf.DUMMYFUNCTION("if(H2527=""pays"",vlookup(REGEXEXTRACT(C2527, ""🏘️ \w+ \w+ (.*) ✅""),'Country prepositions'!A:B, 2, 0) &amp; "" "" &amp; REGEXEXTRACT(C2527, ""🏘️ \w+ \w+ (.*) ✅"") ,  if(H2527=""quartier"",vlookup(REGEXEXTRACT(C2527, ""🏘️ \w+ \w+ (.*) ✅""),'Quartier prepositio"&amp;"ns'!A:E, 5, 0) ,  if(H2527=""region"",vlookup(REGEXEXTRACT(C2527, ""🏘️ \w+ \w+ (.*) ✅""),'Region prepositions'!B:F, 5, 0),  REGEXEXTRACT(C2527, ""🏘️ \w+ \w+ (.*) ✅""))))"),"Vulliens")</f>
        <v>Vulliens</v>
      </c>
      <c r="F2527" s="2" t="str">
        <f>IFERROR(__xludf.DUMMYFUNCTION("REGEXEXTRACT(C2527, ""🏘️ (\w+) \w+ .* ✅"")"),"Louer")</f>
        <v>Louer</v>
      </c>
      <c r="G2527" s="2" t="str">
        <f>IFERROR(__xludf.DUMMYFUNCTION("REGEXEXTRACT(C2527, ""🏘️ \w+ (\w+) .* ✅"")"),"appartement")</f>
        <v>appartement</v>
      </c>
      <c r="H2527" s="4" t="str">
        <f>IFERROR(__xludf.DUMMYFUNCTION("REGEXEXTRACT(A2527, ""/(\w+)-.*?"")"),"lieu")</f>
        <v>lieu</v>
      </c>
      <c r="I2527" s="4" t="str">
        <f>IFERROR(__xludf.DUMMYFUNCTION("if(D2527=""variant"",  substitute(filter(Templates!E:E, Templates!A:A = F2527, Templates!B:B = G2527, Templates!C:C = H2527), ""{{}}"", E2527), B2527)"),"🏘  Vous cherchez un appartement à louer à Vulliens? ✅ Les annonces les plus actuelles sont sur ImmoScout24.ch.")</f>
        <v>🏘  Vous cherchez un appartement à louer à Vulliens? ✅ Les annonces les plus actuelles sont sur ImmoScout24.ch.</v>
      </c>
      <c r="J2527" s="4" t="s">
        <v>7577</v>
      </c>
    </row>
    <row r="2528">
      <c r="A2528" s="5" t="s">
        <v>7578</v>
      </c>
      <c r="B2528" s="2" t="s">
        <v>7579</v>
      </c>
      <c r="C2528" s="4" t="str">
        <f>IFERROR(__xludf.DUMMYFUNCTION("""🏘️ ""&amp;REGEXEXTRACT(B2528, ""^(.*): "")&amp;"" ✅ "" &amp;REGEXEXTRACT(B2528, ""(Trouvez.*)"")"),"🏘️ Louer appartement St. Stephan ✅ Trouvez le bien immobilier qui correspond idéalement à vos désirs sur ImmoScout24 - La plateforme de l'immobilier en Suisse.")</f>
        <v>🏘️ Louer appartement St. Stephan ✅ Trouvez le bien immobilier qui correspond idéalement à vos désirs sur ImmoScout24 - La plateforme de l'immobilier en Suisse.</v>
      </c>
      <c r="D2528" s="4" t="str">
        <f>vlookup(A2528, Sheet2!D:E, 2, 0)</f>
        <v>variant</v>
      </c>
      <c r="E2528" s="4" t="str">
        <f>IFERROR(__xludf.DUMMYFUNCTION("if(H2528=""pays"",vlookup(REGEXEXTRACT(C2528, ""🏘️ \w+ \w+ (.*) ✅""),'Country prepositions'!A:B, 2, 0) &amp; "" "" &amp; REGEXEXTRACT(C2528, ""🏘️ \w+ \w+ (.*) ✅"") ,  if(H2528=""quartier"",vlookup(REGEXEXTRACT(C2528, ""🏘️ \w+ \w+ (.*) ✅""),'Quartier prepositio"&amp;"ns'!A:E, 5, 0) ,  if(H2528=""region"",vlookup(REGEXEXTRACT(C2528, ""🏘️ \w+ \w+ (.*) ✅""),'Region prepositions'!B:F, 5, 0),  REGEXEXTRACT(C2528, ""🏘️ \w+ \w+ (.*) ✅""))))"),"St. Stephan")</f>
        <v>St. Stephan</v>
      </c>
      <c r="F2528" s="2" t="str">
        <f>IFERROR(__xludf.DUMMYFUNCTION("REGEXEXTRACT(C2528, ""🏘️ (\w+) \w+ .* ✅"")"),"Louer")</f>
        <v>Louer</v>
      </c>
      <c r="G2528" s="2" t="str">
        <f>IFERROR(__xludf.DUMMYFUNCTION("REGEXEXTRACT(C2528, ""🏘️ \w+ (\w+) .* ✅"")"),"appartement")</f>
        <v>appartement</v>
      </c>
      <c r="H2528" s="4" t="str">
        <f>IFERROR(__xludf.DUMMYFUNCTION("REGEXEXTRACT(A2528, ""/(\w+)-.*?"")"),"lieu")</f>
        <v>lieu</v>
      </c>
      <c r="I2528" s="4" t="str">
        <f>IFERROR(__xludf.DUMMYFUNCTION("if(D2528=""variant"",  substitute(filter(Templates!E:E, Templates!A:A = F2528, Templates!B:B = G2528, Templates!C:C = H2528), ""{{}}"", E2528), B2528)"),"🏘  Vous cherchez un appartement à louer à St. Stephan? ✅ Les annonces les plus actuelles sont sur ImmoScout24.ch.")</f>
        <v>🏘  Vous cherchez un appartement à louer à St. Stephan? ✅ Les annonces les plus actuelles sont sur ImmoScout24.ch.</v>
      </c>
      <c r="J2528" s="4" t="s">
        <v>7580</v>
      </c>
    </row>
    <row r="2529">
      <c r="A2529" s="5" t="s">
        <v>7581</v>
      </c>
      <c r="B2529" s="2" t="s">
        <v>7582</v>
      </c>
      <c r="C2529" s="4" t="str">
        <f>IFERROR(__xludf.DUMMYFUNCTION("""🏘️ ""&amp;REGEXEXTRACT(B2529, ""^(.*): "")&amp;"" ✅ "" &amp;REGEXEXTRACT(B2529, ""(Trouvez.*)"")"),"🏘️ Vendre maison Fornet-Dessus ✅ Trouvez le bien immobilier qui correspond idéalement à vos désirs sur ImmoScout24 - La plateforme de l'immobilier en Suisse.")</f>
        <v>🏘️ Vendre maison Fornet-Dessus ✅ Trouvez le bien immobilier qui correspond idéalement à vos désirs sur ImmoScout24 - La plateforme de l'immobilier en Suisse.</v>
      </c>
      <c r="D2529" s="4" t="str">
        <f>vlookup(A2529, Sheet2!D:E, 2, 0)</f>
        <v>variant</v>
      </c>
      <c r="E2529" s="4" t="str">
        <f>IFERROR(__xludf.DUMMYFUNCTION("if(H2529=""pays"",vlookup(REGEXEXTRACT(C2529, ""🏘️ \w+ \w+ (.*) ✅""),'Country prepositions'!A:B, 2, 0) &amp; "" "" &amp; REGEXEXTRACT(C2529, ""🏘️ \w+ \w+ (.*) ✅"") ,  if(H2529=""quartier"",vlookup(REGEXEXTRACT(C2529, ""🏘️ \w+ \w+ (.*) ✅""),'Quartier prepositio"&amp;"ns'!A:E, 5, 0) ,  if(H2529=""region"",vlookup(REGEXEXTRACT(C2529, ""🏘️ \w+ \w+ (.*) ✅""),'Region prepositions'!B:F, 5, 0),  REGEXEXTRACT(C2529, ""🏘️ \w+ \w+ (.*) ✅""))))"),"Fornet-Dessus")</f>
        <v>Fornet-Dessus</v>
      </c>
      <c r="F2529" s="2" t="str">
        <f>IFERROR(__xludf.DUMMYFUNCTION("REGEXEXTRACT(C2529, ""🏘️ (\w+) \w+ .* ✅"")"),"Vendre")</f>
        <v>Vendre</v>
      </c>
      <c r="G2529" s="2" t="str">
        <f>IFERROR(__xludf.DUMMYFUNCTION("REGEXEXTRACT(C2529, ""🏘️ \w+ (\w+) .* ✅"")"),"maison")</f>
        <v>maison</v>
      </c>
      <c r="H2529" s="4" t="str">
        <f>IFERROR(__xludf.DUMMYFUNCTION("REGEXEXTRACT(A2529, ""/(\w+)-.*?"")"),"lieu")</f>
        <v>lieu</v>
      </c>
      <c r="I2529" s="4" t="str">
        <f>IFERROR(__xludf.DUMMYFUNCTION("if(D2529=""variant"",  substitute(filter(Templates!E:E, Templates!A:A = F2529, Templates!B:B = G2529, Templates!C:C = H2529), ""{{}}"", E2529), B2529)"),"🏘  Vous souhaitez acheter une maison à Fornet-Dessus? ✅ Jetez un œil aux dernières offres sur ImmoScout24.ch.")</f>
        <v>🏘  Vous souhaitez acheter une maison à Fornet-Dessus? ✅ Jetez un œil aux dernières offres sur ImmoScout24.ch.</v>
      </c>
      <c r="J2529" s="4" t="s">
        <v>7583</v>
      </c>
    </row>
    <row r="2530">
      <c r="A2530" s="5" t="s">
        <v>7584</v>
      </c>
      <c r="B2530" s="2" t="s">
        <v>7585</v>
      </c>
      <c r="C2530" s="4" t="str">
        <f>IFERROR(__xludf.DUMMYFUNCTION("""🏘️ ""&amp;REGEXEXTRACT(B2530, ""^(.*): "")&amp;"" ✅ "" &amp;REGEXEXTRACT(B2530, ""(Trouvez.*)"")"),"🏘️ Vendre maison Isenfluh ✅ Trouvez le bien immobilier qui correspond idéalement à vos désirs sur ImmoScout24 - La plateforme de l'immobilier en Suisse.")</f>
        <v>🏘️ Vendre maison Isenfluh ✅ Trouvez le bien immobilier qui correspond idéalement à vos désirs sur ImmoScout24 - La plateforme de l'immobilier en Suisse.</v>
      </c>
      <c r="D2530" s="4" t="str">
        <f>vlookup(A2530, Sheet2!D:E, 2, 0)</f>
        <v>variant</v>
      </c>
      <c r="E2530" s="4" t="str">
        <f>IFERROR(__xludf.DUMMYFUNCTION("if(H2530=""pays"",vlookup(REGEXEXTRACT(C2530, ""🏘️ \w+ \w+ (.*) ✅""),'Country prepositions'!A:B, 2, 0) &amp; "" "" &amp; REGEXEXTRACT(C2530, ""🏘️ \w+ \w+ (.*) ✅"") ,  if(H2530=""quartier"",vlookup(REGEXEXTRACT(C2530, ""🏘️ \w+ \w+ (.*) ✅""),'Quartier prepositio"&amp;"ns'!A:E, 5, 0) ,  if(H2530=""region"",vlookup(REGEXEXTRACT(C2530, ""🏘️ \w+ \w+ (.*) ✅""),'Region prepositions'!B:F, 5, 0),  REGEXEXTRACT(C2530, ""🏘️ \w+ \w+ (.*) ✅""))))"),"Isenfluh")</f>
        <v>Isenfluh</v>
      </c>
      <c r="F2530" s="2" t="str">
        <f>IFERROR(__xludf.DUMMYFUNCTION("REGEXEXTRACT(C2530, ""🏘️ (\w+) \w+ .* ✅"")"),"Vendre")</f>
        <v>Vendre</v>
      </c>
      <c r="G2530" s="2" t="str">
        <f>IFERROR(__xludf.DUMMYFUNCTION("REGEXEXTRACT(C2530, ""🏘️ \w+ (\w+) .* ✅"")"),"maison")</f>
        <v>maison</v>
      </c>
      <c r="H2530" s="4" t="str">
        <f>IFERROR(__xludf.DUMMYFUNCTION("REGEXEXTRACT(A2530, ""/(\w+)-.*?"")"),"lieu")</f>
        <v>lieu</v>
      </c>
      <c r="I2530" s="4" t="str">
        <f>IFERROR(__xludf.DUMMYFUNCTION("if(D2530=""variant"",  substitute(filter(Templates!E:E, Templates!A:A = F2530, Templates!B:B = G2530, Templates!C:C = H2530), ""{{}}"", E2530), B2530)"),"🏘  Vous souhaitez acheter une maison à Isenfluh? ✅ Jetez un œil aux dernières offres sur ImmoScout24.ch.")</f>
        <v>🏘  Vous souhaitez acheter une maison à Isenfluh? ✅ Jetez un œil aux dernières offres sur ImmoScout24.ch.</v>
      </c>
      <c r="J2530" s="4" t="s">
        <v>7586</v>
      </c>
    </row>
    <row r="2531">
      <c r="A2531" s="5" t="s">
        <v>7587</v>
      </c>
      <c r="B2531" s="2" t="s">
        <v>7588</v>
      </c>
      <c r="C2531" s="4" t="str">
        <f>IFERROR(__xludf.DUMMYFUNCTION("""🏘️ ""&amp;REGEXEXTRACT(B2531, ""^(.*): "")&amp;"" ✅ "" &amp;REGEXEXTRACT(B2531, ""(Trouvez.*)"")"),"🏘️ Vendre appartement Därligen ✅ Trouvez le bien immobilier qui correspond idéalement à vos désirs sur ImmoScout24 - La plateforme de l'immobilier en Suisse.")</f>
        <v>🏘️ Vendre appartement Därligen ✅ Trouvez le bien immobilier qui correspond idéalement à vos désirs sur ImmoScout24 - La plateforme de l'immobilier en Suisse.</v>
      </c>
      <c r="D2531" s="4" t="str">
        <f>vlookup(A2531, Sheet2!D:E, 2, 0)</f>
        <v>variant</v>
      </c>
      <c r="E2531" s="4" t="str">
        <f>IFERROR(__xludf.DUMMYFUNCTION("if(H2531=""pays"",vlookup(REGEXEXTRACT(C2531, ""🏘️ \w+ \w+ (.*) ✅""),'Country prepositions'!A:B, 2, 0) &amp; "" "" &amp; REGEXEXTRACT(C2531, ""🏘️ \w+ \w+ (.*) ✅"") ,  if(H2531=""quartier"",vlookup(REGEXEXTRACT(C2531, ""🏘️ \w+ \w+ (.*) ✅""),'Quartier prepositio"&amp;"ns'!A:E, 5, 0) ,  if(H2531=""region"",vlookup(REGEXEXTRACT(C2531, ""🏘️ \w+ \w+ (.*) ✅""),'Region prepositions'!B:F, 5, 0),  REGEXEXTRACT(C2531, ""🏘️ \w+ \w+ (.*) ✅""))))"),"Därligen")</f>
        <v>Därligen</v>
      </c>
      <c r="F2531" s="2" t="str">
        <f>IFERROR(__xludf.DUMMYFUNCTION("REGEXEXTRACT(C2531, ""🏘️ (\w+) \w+ .* ✅"")"),"Vendre")</f>
        <v>Vendre</v>
      </c>
      <c r="G2531" s="2" t="str">
        <f>IFERROR(__xludf.DUMMYFUNCTION("REGEXEXTRACT(C2531, ""🏘️ \w+ (\w+) .* ✅"")"),"appartement")</f>
        <v>appartement</v>
      </c>
      <c r="H2531" s="4" t="str">
        <f>IFERROR(__xludf.DUMMYFUNCTION("REGEXEXTRACT(A2531, ""/(\w+)-.*?"")"),"lieu")</f>
        <v>lieu</v>
      </c>
      <c r="I2531" s="4" t="str">
        <f>IFERROR(__xludf.DUMMYFUNCTION("if(D2531=""variant"",  substitute(filter(Templates!E:E, Templates!A:A = F2531, Templates!B:B = G2531, Templates!C:C = H2531), ""{{}}"", E2531), B2531)"),"🏘  L’appartement de vos rêves se trouve sur ImmoScout24.ch ✅ Découvrez les dernières annonces de vente à Därligen.")</f>
        <v>🏘  L’appartement de vos rêves se trouve sur ImmoScout24.ch ✅ Découvrez les dernières annonces de vente à Därligen.</v>
      </c>
      <c r="J2531" s="4" t="s">
        <v>7589</v>
      </c>
    </row>
    <row r="2532">
      <c r="A2532" s="5" t="s">
        <v>7590</v>
      </c>
      <c r="B2532" s="2" t="s">
        <v>7591</v>
      </c>
      <c r="C2532" s="4" t="str">
        <f>IFERROR(__xludf.DUMMYFUNCTION("""🏘️ ""&amp;REGEXEXTRACT(B2532, ""^(.*): "")&amp;"" ✅ "" &amp;REGEXEXTRACT(B2532, ""(Trouvez.*)"")"),"🏘️ Louer appartement Val de Travers ✅ Trouvez le bien immobilier qui correspond idéalement à vos désirs sur ImmoScout24 - La plateforme de l'immobilier en Suisse.")</f>
        <v>🏘️ Louer appartement Val de Travers ✅ Trouvez le bien immobilier qui correspond idéalement à vos désirs sur ImmoScout24 - La plateforme de l'immobilier en Suisse.</v>
      </c>
      <c r="D2532" s="4" t="str">
        <f>vlookup(A2532, Sheet2!D:E, 2, 0)</f>
        <v>variant</v>
      </c>
      <c r="E2532" s="4" t="str">
        <f>IFERROR(__xludf.DUMMYFUNCTION("if(H2532=""pays"",vlookup(REGEXEXTRACT(C2532, ""🏘️ \w+ \w+ (.*) ✅""),'Country prepositions'!A:B, 2, 0) &amp; "" "" &amp; REGEXEXTRACT(C2532, ""🏘️ \w+ \w+ (.*) ✅"") ,  if(H2532=""quartier"",vlookup(REGEXEXTRACT(C2532, ""🏘️ \w+ \w+ (.*) ✅""),'Quartier prepositio"&amp;"ns'!A:E, 5, 0) ,  if(H2532=""region"",vlookup(REGEXEXTRACT(C2532, ""🏘️ \w+ \w+ (.*) ✅""),'Region prepositions'!B:F, 5, 0),  REGEXEXTRACT(C2532, ""🏘️ \w+ \w+ (.*) ✅""))))"),"dans le Val-de-Travers")</f>
        <v>dans le Val-de-Travers</v>
      </c>
      <c r="F2532" s="2" t="str">
        <f>IFERROR(__xludf.DUMMYFUNCTION("REGEXEXTRACT(C2532, ""🏘️ (\w+) \w+ .* ✅"")"),"Louer")</f>
        <v>Louer</v>
      </c>
      <c r="G2532" s="2" t="str">
        <f>IFERROR(__xludf.DUMMYFUNCTION("REGEXEXTRACT(C2532, ""🏘️ \w+ (\w+) .* ✅"")"),"appartement")</f>
        <v>appartement</v>
      </c>
      <c r="H2532" s="4" t="str">
        <f>IFERROR(__xludf.DUMMYFUNCTION("REGEXEXTRACT(A2532, ""/(\w+)-.*?"")"),"region")</f>
        <v>region</v>
      </c>
      <c r="I2532" s="4" t="str">
        <f>IFERROR(__xludf.DUMMYFUNCTION("if(D2532=""variant"",  substitute(filter(Templates!E:E, Templates!A:A = F2532, Templates!B:B = G2532, Templates!C:C = H2532), ""{{}}"", E2532), B2532)"),"🏘  Vous cherchez un appartement à louer dans le Val-de-Travers? ✅ Les annonces les plus actuelles sont sur ImmoScout24.ch.")</f>
        <v>🏘  Vous cherchez un appartement à louer dans le Val-de-Travers? ✅ Les annonces les plus actuelles sont sur ImmoScout24.ch.</v>
      </c>
      <c r="J2532" s="4" t="s">
        <v>7592</v>
      </c>
    </row>
    <row r="2533">
      <c r="A2533" s="5" t="s">
        <v>7593</v>
      </c>
      <c r="B2533" s="2" t="s">
        <v>7594</v>
      </c>
      <c r="C2533" s="4" t="str">
        <f>IFERROR(__xludf.DUMMYFUNCTION("""🏘️ ""&amp;REGEXEXTRACT(B2533, ""^(.*): "")&amp;"" ✅ "" &amp;REGEXEXTRACT(B2533, ""(Trouvez.*)"")"),"🏘️ Louer appartement Unteriberg ✅ Trouvez le bien immobilier qui correspond idéalement à vos désirs sur ImmoScout24 - La plateforme de l'immobilier en Suisse.")</f>
        <v>🏘️ Louer appartement Unteriberg ✅ Trouvez le bien immobilier qui correspond idéalement à vos désirs sur ImmoScout24 - La plateforme de l'immobilier en Suisse.</v>
      </c>
      <c r="D2533" s="4" t="str">
        <f>vlookup(A2533, Sheet2!D:E, 2, 0)</f>
        <v>variant</v>
      </c>
      <c r="E2533" s="4" t="str">
        <f>IFERROR(__xludf.DUMMYFUNCTION("if(H2533=""pays"",vlookup(REGEXEXTRACT(C2533, ""🏘️ \w+ \w+ (.*) ✅""),'Country prepositions'!A:B, 2, 0) &amp; "" "" &amp; REGEXEXTRACT(C2533, ""🏘️ \w+ \w+ (.*) ✅"") ,  if(H2533=""quartier"",vlookup(REGEXEXTRACT(C2533, ""🏘️ \w+ \w+ (.*) ✅""),'Quartier prepositio"&amp;"ns'!A:E, 5, 0) ,  if(H2533=""region"",vlookup(REGEXEXTRACT(C2533, ""🏘️ \w+ \w+ (.*) ✅""),'Region prepositions'!B:F, 5, 0),  REGEXEXTRACT(C2533, ""🏘️ \w+ \w+ (.*) ✅""))))"),"Unteriberg")</f>
        <v>Unteriberg</v>
      </c>
      <c r="F2533" s="2" t="str">
        <f>IFERROR(__xludf.DUMMYFUNCTION("REGEXEXTRACT(C2533, ""🏘️ (\w+) \w+ .* ✅"")"),"Louer")</f>
        <v>Louer</v>
      </c>
      <c r="G2533" s="2" t="str">
        <f>IFERROR(__xludf.DUMMYFUNCTION("REGEXEXTRACT(C2533, ""🏘️ \w+ (\w+) .* ✅"")"),"appartement")</f>
        <v>appartement</v>
      </c>
      <c r="H2533" s="4" t="str">
        <f>IFERROR(__xludf.DUMMYFUNCTION("REGEXEXTRACT(A2533, ""/(\w+)-.*?"")"),"lieu")</f>
        <v>lieu</v>
      </c>
      <c r="I2533" s="4" t="str">
        <f>IFERROR(__xludf.DUMMYFUNCTION("if(D2533=""variant"",  substitute(filter(Templates!E:E, Templates!A:A = F2533, Templates!B:B = G2533, Templates!C:C = H2533), ""{{}}"", E2533), B2533)"),"🏘  Vous cherchez un appartement à louer à Unteriberg? ✅ Les annonces les plus actuelles sont sur ImmoScout24.ch.")</f>
        <v>🏘  Vous cherchez un appartement à louer à Unteriberg? ✅ Les annonces les plus actuelles sont sur ImmoScout24.ch.</v>
      </c>
      <c r="J2533" s="4" t="s">
        <v>7595</v>
      </c>
    </row>
    <row r="2534">
      <c r="A2534" s="5" t="s">
        <v>7596</v>
      </c>
      <c r="B2534" s="2" t="s">
        <v>7597</v>
      </c>
      <c r="C2534" s="4" t="str">
        <f>IFERROR(__xludf.DUMMYFUNCTION("""🏘️ ""&amp;REGEXEXTRACT(B2534, ""^(.*): "")&amp;"" ✅ "" &amp;REGEXEXTRACT(B2534, ""(Trouvez.*)"")"),"🏘️ Vendre maison Uruguay ✅ Trouvez le bien immobilier qui correspond idéalement à vos désirs sur ImmoScout24 - La plateforme de l'immobilier en Suisse.")</f>
        <v>🏘️ Vendre maison Uruguay ✅ Trouvez le bien immobilier qui correspond idéalement à vos désirs sur ImmoScout24 - La plateforme de l'immobilier en Suisse.</v>
      </c>
      <c r="D2534" s="4" t="str">
        <f>vlookup(A2534, Sheet2!D:E, 2, 0)</f>
        <v>variant</v>
      </c>
      <c r="E2534" s="4" t="str">
        <f>IFERROR(__xludf.DUMMYFUNCTION("if(H2534=""pays"",vlookup(REGEXEXTRACT(C2534, ""🏘️ \w+ \w+ (.*) ✅""),'Country prepositions'!A:B, 2, 0) &amp; "" "" &amp; REGEXEXTRACT(C2534, ""🏘️ \w+ \w+ (.*) ✅"") ,  if(H2534=""quartier"",vlookup(REGEXEXTRACT(C2534, ""🏘️ \w+ \w+ (.*) ✅""),'Quartier prepositio"&amp;"ns'!A:E, 5, 0) ,  if(H2534=""region"",vlookup(REGEXEXTRACT(C2534, ""🏘️ \w+ \w+ (.*) ✅""),'Region prepositions'!B:F, 5, 0),  REGEXEXTRACT(C2534, ""🏘️ \w+ \w+ (.*) ✅""))))"),"en Uruguay")</f>
        <v>en Uruguay</v>
      </c>
      <c r="F2534" s="2" t="str">
        <f>IFERROR(__xludf.DUMMYFUNCTION("REGEXEXTRACT(C2534, ""🏘️ (\w+) \w+ .* ✅"")"),"Vendre")</f>
        <v>Vendre</v>
      </c>
      <c r="G2534" s="2" t="str">
        <f>IFERROR(__xludf.DUMMYFUNCTION("REGEXEXTRACT(C2534, ""🏘️ \w+ (\w+) .* ✅"")"),"maison")</f>
        <v>maison</v>
      </c>
      <c r="H2534" s="4" t="str">
        <f>IFERROR(__xludf.DUMMYFUNCTION("REGEXEXTRACT(A2534, ""/(\w+)-.*?"")"),"pays")</f>
        <v>pays</v>
      </c>
      <c r="I2534" s="4" t="str">
        <f>IFERROR(__xludf.DUMMYFUNCTION("if(D2534=""variant"",  substitute(filter(Templates!E:E, Templates!A:A = F2534, Templates!B:B = G2534, Templates!C:C = H2534), ""{{}}"", E2534), B2534)"),"🏘  Vous cherchez un appartement à louer en Uruguay? ✅ Les annonces les plus actuelles sont sur ImmoScout24.ch.")</f>
        <v>🏘  Vous cherchez un appartement à louer en Uruguay? ✅ Les annonces les plus actuelles sont sur ImmoScout24.ch.</v>
      </c>
      <c r="J2534" s="4" t="s">
        <v>7598</v>
      </c>
    </row>
    <row r="2535">
      <c r="A2535" s="5" t="s">
        <v>7599</v>
      </c>
      <c r="B2535" s="2" t="s">
        <v>7600</v>
      </c>
      <c r="C2535" s="4" t="str">
        <f>IFERROR(__xludf.DUMMYFUNCTION("""🏘️ ""&amp;REGEXEXTRACT(B2535, ""^(.*): "")&amp;"" ✅ "" &amp;REGEXEXTRACT(B2535, ""(Trouvez.*)"")"),"🏘️ Louer appartement Varen ✅ Trouvez le bien immobilier qui correspond idéalement à vos désirs sur ImmoScout24 - La plateforme de l'immobilier en Suisse.")</f>
        <v>🏘️ Louer appartement Varen ✅ Trouvez le bien immobilier qui correspond idéalement à vos désirs sur ImmoScout24 - La plateforme de l'immobilier en Suisse.</v>
      </c>
      <c r="D2535" s="4" t="str">
        <f>vlookup(A2535, Sheet2!D:E, 2, 0)</f>
        <v>variant</v>
      </c>
      <c r="E2535" s="4" t="str">
        <f>IFERROR(__xludf.DUMMYFUNCTION("if(H2535=""pays"",vlookup(REGEXEXTRACT(C2535, ""🏘️ \w+ \w+ (.*) ✅""),'Country prepositions'!A:B, 2, 0) &amp; "" "" &amp; REGEXEXTRACT(C2535, ""🏘️ \w+ \w+ (.*) ✅"") ,  if(H2535=""quartier"",vlookup(REGEXEXTRACT(C2535, ""🏘️ \w+ \w+ (.*) ✅""),'Quartier prepositio"&amp;"ns'!A:E, 5, 0) ,  if(H2535=""region"",vlookup(REGEXEXTRACT(C2535, ""🏘️ \w+ \w+ (.*) ✅""),'Region prepositions'!B:F, 5, 0),  REGEXEXTRACT(C2535, ""🏘️ \w+ \w+ (.*) ✅""))))"),"Varen")</f>
        <v>Varen</v>
      </c>
      <c r="F2535" s="2" t="str">
        <f>IFERROR(__xludf.DUMMYFUNCTION("REGEXEXTRACT(C2535, ""🏘️ (\w+) \w+ .* ✅"")"),"Louer")</f>
        <v>Louer</v>
      </c>
      <c r="G2535" s="2" t="str">
        <f>IFERROR(__xludf.DUMMYFUNCTION("REGEXEXTRACT(C2535, ""🏘️ \w+ (\w+) .* ✅"")"),"appartement")</f>
        <v>appartement</v>
      </c>
      <c r="H2535" s="4" t="str">
        <f>IFERROR(__xludf.DUMMYFUNCTION("REGEXEXTRACT(A2535, ""/(\w+)-.*?"")"),"lieu")</f>
        <v>lieu</v>
      </c>
      <c r="I2535" s="4" t="str">
        <f>IFERROR(__xludf.DUMMYFUNCTION("if(D2535=""variant"",  substitute(filter(Templates!E:E, Templates!A:A = F2535, Templates!B:B = G2535, Templates!C:C = H2535), ""{{}}"", E2535), B2535)"),"🏘  Vous cherchez un appartement à louer à Varen? ✅ Les annonces les plus actuelles sont sur ImmoScout24.ch.")</f>
        <v>🏘  Vous cherchez un appartement à louer à Varen? ✅ Les annonces les plus actuelles sont sur ImmoScout24.ch.</v>
      </c>
      <c r="J2535" s="4" t="s">
        <v>7601</v>
      </c>
    </row>
    <row r="2536">
      <c r="A2536" s="5" t="s">
        <v>7602</v>
      </c>
      <c r="B2536" s="2" t="s">
        <v>7603</v>
      </c>
      <c r="C2536" s="4" t="str">
        <f>IFERROR(__xludf.DUMMYFUNCTION("""🏘️ ""&amp;REGEXEXTRACT(B2536, ""^(.*): "")&amp;"" ✅ "" &amp;REGEXEXTRACT(B2536, ""(Trouvez.*)"")"),"🏘️ Louer appartement Gimel ✅ Trouvez le bien immobilier qui correspond idéalement à vos désirs sur ImmoScout24 - La plateforme de l'immobilier en Suisse.")</f>
        <v>🏘️ Louer appartement Gimel ✅ Trouvez le bien immobilier qui correspond idéalement à vos désirs sur ImmoScout24 - La plateforme de l'immobilier en Suisse.</v>
      </c>
      <c r="D2536" s="4" t="str">
        <f>vlookup(A2536, Sheet2!D:E, 2, 0)</f>
        <v>variant</v>
      </c>
      <c r="E2536" s="4" t="str">
        <f>IFERROR(__xludf.DUMMYFUNCTION("if(H2536=""pays"",vlookup(REGEXEXTRACT(C2536, ""🏘️ \w+ \w+ (.*) ✅""),'Country prepositions'!A:B, 2, 0) &amp; "" "" &amp; REGEXEXTRACT(C2536, ""🏘️ \w+ \w+ (.*) ✅"") ,  if(H2536=""quartier"",vlookup(REGEXEXTRACT(C2536, ""🏘️ \w+ \w+ (.*) ✅""),'Quartier prepositio"&amp;"ns'!A:E, 5, 0) ,  if(H2536=""region"",vlookup(REGEXEXTRACT(C2536, ""🏘️ \w+ \w+ (.*) ✅""),'Region prepositions'!B:F, 5, 0),  REGEXEXTRACT(C2536, ""🏘️ \w+ \w+ (.*) ✅""))))"),"Gimel")</f>
        <v>Gimel</v>
      </c>
      <c r="F2536" s="2" t="str">
        <f>IFERROR(__xludf.DUMMYFUNCTION("REGEXEXTRACT(C2536, ""🏘️ (\w+) \w+ .* ✅"")"),"Louer")</f>
        <v>Louer</v>
      </c>
      <c r="G2536" s="2" t="str">
        <f>IFERROR(__xludf.DUMMYFUNCTION("REGEXEXTRACT(C2536, ""🏘️ \w+ (\w+) .* ✅"")"),"appartement")</f>
        <v>appartement</v>
      </c>
      <c r="H2536" s="4" t="str">
        <f>IFERROR(__xludf.DUMMYFUNCTION("REGEXEXTRACT(A2536, ""/(\w+)-.*?"")"),"lieu")</f>
        <v>lieu</v>
      </c>
      <c r="I2536" s="4" t="str">
        <f>IFERROR(__xludf.DUMMYFUNCTION("if(D2536=""variant"",  substitute(filter(Templates!E:E, Templates!A:A = F2536, Templates!B:B = G2536, Templates!C:C = H2536), ""{{}}"", E2536), B2536)"),"🏘  Vous cherchez un appartement à louer à Gimel? ✅ Les annonces les plus actuelles sont sur ImmoScout24.ch.")</f>
        <v>🏘  Vous cherchez un appartement à louer à Gimel? ✅ Les annonces les plus actuelles sont sur ImmoScout24.ch.</v>
      </c>
      <c r="J2536" s="4" t="s">
        <v>7604</v>
      </c>
    </row>
    <row r="2537">
      <c r="A2537" s="5" t="s">
        <v>7605</v>
      </c>
      <c r="B2537" s="2" t="s">
        <v>7606</v>
      </c>
      <c r="C2537" s="4" t="str">
        <f>IFERROR(__xludf.DUMMYFUNCTION("""🏘️ ""&amp;REGEXEXTRACT(B2537, ""^(.*): "")&amp;"" ✅ "" &amp;REGEXEXTRACT(B2537, ""(Trouvez.*)"")"),"🏘️ Vendre maison Grattavache ✅ Trouvez le bien immobilier qui correspond idéalement à vos désirs sur ImmoScout24 - La plateforme de l'immobilier en Suisse.")</f>
        <v>🏘️ Vendre maison Grattavache ✅ Trouvez le bien immobilier qui correspond idéalement à vos désirs sur ImmoScout24 - La plateforme de l'immobilier en Suisse.</v>
      </c>
      <c r="D2537" s="4" t="str">
        <f>vlookup(A2537, Sheet2!D:E, 2, 0)</f>
        <v>variant</v>
      </c>
      <c r="E2537" s="4" t="str">
        <f>IFERROR(__xludf.DUMMYFUNCTION("if(H2537=""pays"",vlookup(REGEXEXTRACT(C2537, ""🏘️ \w+ \w+ (.*) ✅""),'Country prepositions'!A:B, 2, 0) &amp; "" "" &amp; REGEXEXTRACT(C2537, ""🏘️ \w+ \w+ (.*) ✅"") ,  if(H2537=""quartier"",vlookup(REGEXEXTRACT(C2537, ""🏘️ \w+ \w+ (.*) ✅""),'Quartier prepositio"&amp;"ns'!A:E, 5, 0) ,  if(H2537=""region"",vlookup(REGEXEXTRACT(C2537, ""🏘️ \w+ \w+ (.*) ✅""),'Region prepositions'!B:F, 5, 0),  REGEXEXTRACT(C2537, ""🏘️ \w+ \w+ (.*) ✅""))))"),"Grattavache")</f>
        <v>Grattavache</v>
      </c>
      <c r="F2537" s="2" t="str">
        <f>IFERROR(__xludf.DUMMYFUNCTION("REGEXEXTRACT(C2537, ""🏘️ (\w+) \w+ .* ✅"")"),"Vendre")</f>
        <v>Vendre</v>
      </c>
      <c r="G2537" s="2" t="str">
        <f>IFERROR(__xludf.DUMMYFUNCTION("REGEXEXTRACT(C2537, ""🏘️ \w+ (\w+) .* ✅"")"),"maison")</f>
        <v>maison</v>
      </c>
      <c r="H2537" s="4" t="str">
        <f>IFERROR(__xludf.DUMMYFUNCTION("REGEXEXTRACT(A2537, ""/(\w+)-.*?"")"),"lieu")</f>
        <v>lieu</v>
      </c>
      <c r="I2537" s="4" t="str">
        <f>IFERROR(__xludf.DUMMYFUNCTION("if(D2537=""variant"",  substitute(filter(Templates!E:E, Templates!A:A = F2537, Templates!B:B = G2537, Templates!C:C = H2537), ""{{}}"", E2537), B2537)"),"🏘  Vous souhaitez acheter une maison à Grattavache? ✅ Jetez un œil aux dernières offres sur ImmoScout24.ch.")</f>
        <v>🏘  Vous souhaitez acheter une maison à Grattavache? ✅ Jetez un œil aux dernières offres sur ImmoScout24.ch.</v>
      </c>
      <c r="J2537" s="4" t="s">
        <v>7607</v>
      </c>
    </row>
    <row r="2538">
      <c r="A2538" s="5" t="s">
        <v>7608</v>
      </c>
      <c r="B2538" s="2" t="s">
        <v>7609</v>
      </c>
      <c r="C2538" s="4" t="str">
        <f>IFERROR(__xludf.DUMMYFUNCTION("""🏘️ ""&amp;REGEXEXTRACT(B2538, ""^(.*): "")&amp;"" ✅ "" &amp;REGEXEXTRACT(B2538, ""(Trouvez.*)"")"),"🏘️ Louer appartement Les Taillères ✅ Trouvez le bien immobilier qui correspond idéalement à vos désirs sur ImmoScout24 - La plateforme de l'immobilier en Suisse.")</f>
        <v>🏘️ Louer appartement Les Taillères ✅ Trouvez le bien immobilier qui correspond idéalement à vos désirs sur ImmoScout24 - La plateforme de l'immobilier en Suisse.</v>
      </c>
      <c r="D2538" s="4" t="str">
        <f>vlookup(A2538, Sheet2!D:E, 2, 0)</f>
        <v>variant</v>
      </c>
      <c r="E2538" s="4" t="str">
        <f>IFERROR(__xludf.DUMMYFUNCTION("if(H2538=""pays"",vlookup(REGEXEXTRACT(C2538, ""🏘️ \w+ \w+ (.*) ✅""),'Country prepositions'!A:B, 2, 0) &amp; "" "" &amp; REGEXEXTRACT(C2538, ""🏘️ \w+ \w+ (.*) ✅"") ,  if(H2538=""quartier"",vlookup(REGEXEXTRACT(C2538, ""🏘️ \w+ \w+ (.*) ✅""),'Quartier prepositio"&amp;"ns'!A:E, 5, 0) ,  if(H2538=""region"",vlookup(REGEXEXTRACT(C2538, ""🏘️ \w+ \w+ (.*) ✅""),'Region prepositions'!B:F, 5, 0),  REGEXEXTRACT(C2538, ""🏘️ \w+ \w+ (.*) ✅""))))"),"Les Taillères")</f>
        <v>Les Taillères</v>
      </c>
      <c r="F2538" s="2" t="str">
        <f>IFERROR(__xludf.DUMMYFUNCTION("REGEXEXTRACT(C2538, ""🏘️ (\w+) \w+ .* ✅"")"),"Louer")</f>
        <v>Louer</v>
      </c>
      <c r="G2538" s="2" t="str">
        <f>IFERROR(__xludf.DUMMYFUNCTION("REGEXEXTRACT(C2538, ""🏘️ \w+ (\w+) .* ✅"")"),"appartement")</f>
        <v>appartement</v>
      </c>
      <c r="H2538" s="4" t="str">
        <f>IFERROR(__xludf.DUMMYFUNCTION("REGEXEXTRACT(A2538, ""/(\w+)-.*?"")"),"lieu")</f>
        <v>lieu</v>
      </c>
      <c r="I2538" s="4" t="str">
        <f>IFERROR(__xludf.DUMMYFUNCTION("if(D2538=""variant"",  substitute(filter(Templates!E:E, Templates!A:A = F2538, Templates!B:B = G2538, Templates!C:C = H2538), ""{{}}"", E2538), B2538)"),"🏘  Vous cherchez un appartement à louer à Les Taillères? ✅ Les annonces les plus actuelles sont sur ImmoScout24.ch.")</f>
        <v>🏘  Vous cherchez un appartement à louer à Les Taillères? ✅ Les annonces les plus actuelles sont sur ImmoScout24.ch.</v>
      </c>
      <c r="J2538" s="2" t="s">
        <v>7610</v>
      </c>
    </row>
    <row r="2539">
      <c r="A2539" s="5" t="s">
        <v>7611</v>
      </c>
      <c r="B2539" s="2" t="s">
        <v>7612</v>
      </c>
      <c r="C2539" s="4" t="str">
        <f>IFERROR(__xludf.DUMMYFUNCTION("""🏘️ ""&amp;REGEXEXTRACT(B2539, ""^(.*): "")&amp;"" ✅ "" &amp;REGEXEXTRACT(B2539, ""(Trouvez.*)"")"),"🏘️ Vendre maison Villars-Bramard ✅ Trouvez le bien immobilier qui correspond idéalement à vos désirs sur ImmoScout24 - La plateforme de l'immobilier en Suisse.")</f>
        <v>🏘️ Vendre maison Villars-Bramard ✅ Trouvez le bien immobilier qui correspond idéalement à vos désirs sur ImmoScout24 - La plateforme de l'immobilier en Suisse.</v>
      </c>
      <c r="D2539" s="4" t="str">
        <f>vlookup(A2539, Sheet2!D:E, 2, 0)</f>
        <v>variant</v>
      </c>
      <c r="E2539" s="4" t="str">
        <f>IFERROR(__xludf.DUMMYFUNCTION("if(H2539=""pays"",vlookup(REGEXEXTRACT(C2539, ""🏘️ \w+ \w+ (.*) ✅""),'Country prepositions'!A:B, 2, 0) &amp; "" "" &amp; REGEXEXTRACT(C2539, ""🏘️ \w+ \w+ (.*) ✅"") ,  if(H2539=""quartier"",vlookup(REGEXEXTRACT(C2539, ""🏘️ \w+ \w+ (.*) ✅""),'Quartier prepositio"&amp;"ns'!A:E, 5, 0) ,  if(H2539=""region"",vlookup(REGEXEXTRACT(C2539, ""🏘️ \w+ \w+ (.*) ✅""),'Region prepositions'!B:F, 5, 0),  REGEXEXTRACT(C2539, ""🏘️ \w+ \w+ (.*) ✅""))))"),"Villars-Bramard")</f>
        <v>Villars-Bramard</v>
      </c>
      <c r="F2539" s="2" t="str">
        <f>IFERROR(__xludf.DUMMYFUNCTION("REGEXEXTRACT(C2539, ""🏘️ (\w+) \w+ .* ✅"")"),"Vendre")</f>
        <v>Vendre</v>
      </c>
      <c r="G2539" s="2" t="str">
        <f>IFERROR(__xludf.DUMMYFUNCTION("REGEXEXTRACT(C2539, ""🏘️ \w+ (\w+) .* ✅"")"),"maison")</f>
        <v>maison</v>
      </c>
      <c r="H2539" s="4" t="str">
        <f>IFERROR(__xludf.DUMMYFUNCTION("REGEXEXTRACT(A2539, ""/(\w+)-.*?"")"),"lieu")</f>
        <v>lieu</v>
      </c>
      <c r="I2539" s="4" t="str">
        <f>IFERROR(__xludf.DUMMYFUNCTION("if(D2539=""variant"",  substitute(filter(Templates!E:E, Templates!A:A = F2539, Templates!B:B = G2539, Templates!C:C = H2539), ""{{}}"", E2539), B2539)"),"🏘  Vous souhaitez acheter une maison à Villars-Bramard? ✅ Jetez un œil aux dernières offres sur ImmoScout24.ch.")</f>
        <v>🏘  Vous souhaitez acheter une maison à Villars-Bramard? ✅ Jetez un œil aux dernières offres sur ImmoScout24.ch.</v>
      </c>
      <c r="J2539" s="4" t="s">
        <v>7613</v>
      </c>
    </row>
    <row r="2540">
      <c r="A2540" s="5" t="s">
        <v>7614</v>
      </c>
      <c r="B2540" s="2" t="s">
        <v>7615</v>
      </c>
      <c r="C2540" s="4" t="str">
        <f>IFERROR(__xludf.DUMMYFUNCTION("""🏘️ ""&amp;REGEXEXTRACT(B2540, ""^(.*): "")&amp;"" ✅ "" &amp;REGEXEXTRACT(B2540, ""(Trouvez.*)"")"),"🏘️ Vendre appartement Bussy-Chardonney ✅ Trouvez le bien immobilier qui correspond idéalement à vos désirs sur ImmoScout24 - La plateforme de l'immobilier en Suisse.")</f>
        <v>🏘️ Vendre appartement Bussy-Chardonney ✅ Trouvez le bien immobilier qui correspond idéalement à vos désirs sur ImmoScout24 - La plateforme de l'immobilier en Suisse.</v>
      </c>
      <c r="D2540" s="4" t="str">
        <f>vlookup(A2540, Sheet2!D:E, 2, 0)</f>
        <v>variant</v>
      </c>
      <c r="E2540" s="4" t="str">
        <f>IFERROR(__xludf.DUMMYFUNCTION("if(H2540=""pays"",vlookup(REGEXEXTRACT(C2540, ""🏘️ \w+ \w+ (.*) ✅""),'Country prepositions'!A:B, 2, 0) &amp; "" "" &amp; REGEXEXTRACT(C2540, ""🏘️ \w+ \w+ (.*) ✅"") ,  if(H2540=""quartier"",vlookup(REGEXEXTRACT(C2540, ""🏘️ \w+ \w+ (.*) ✅""),'Quartier prepositio"&amp;"ns'!A:E, 5, 0) ,  if(H2540=""region"",vlookup(REGEXEXTRACT(C2540, ""🏘️ \w+ \w+ (.*) ✅""),'Region prepositions'!B:F, 5, 0),  REGEXEXTRACT(C2540, ""🏘️ \w+ \w+ (.*) ✅""))))"),"Bussy-Chardonney")</f>
        <v>Bussy-Chardonney</v>
      </c>
      <c r="F2540" s="2" t="str">
        <f>IFERROR(__xludf.DUMMYFUNCTION("REGEXEXTRACT(C2540, ""🏘️ (\w+) \w+ .* ✅"")"),"Vendre")</f>
        <v>Vendre</v>
      </c>
      <c r="G2540" s="2" t="str">
        <f>IFERROR(__xludf.DUMMYFUNCTION("REGEXEXTRACT(C2540, ""🏘️ \w+ (\w+) .* ✅"")"),"appartement")</f>
        <v>appartement</v>
      </c>
      <c r="H2540" s="4" t="str">
        <f>IFERROR(__xludf.DUMMYFUNCTION("REGEXEXTRACT(A2540, ""/(\w+)-.*?"")"),"lieu")</f>
        <v>lieu</v>
      </c>
      <c r="I2540" s="4" t="str">
        <f>IFERROR(__xludf.DUMMYFUNCTION("if(D2540=""variant"",  substitute(filter(Templates!E:E, Templates!A:A = F2540, Templates!B:B = G2540, Templates!C:C = H2540), ""{{}}"", E2540), B2540)"),"🏘  L’appartement de vos rêves se trouve sur ImmoScout24.ch ✅ Découvrez les dernières annonces de vente à Bussy-Chardonney.")</f>
        <v>🏘  L’appartement de vos rêves se trouve sur ImmoScout24.ch ✅ Découvrez les dernières annonces de vente à Bussy-Chardonney.</v>
      </c>
      <c r="J2540" s="4" t="s">
        <v>7616</v>
      </c>
    </row>
    <row r="2541">
      <c r="A2541" s="5" t="s">
        <v>7617</v>
      </c>
      <c r="B2541" s="2" t="s">
        <v>7618</v>
      </c>
      <c r="C2541" s="4" t="str">
        <f>IFERROR(__xludf.DUMMYFUNCTION("""🏘️ ""&amp;REGEXEXTRACT(B2541, ""^(.*): "")&amp;"" ✅ "" &amp;REGEXEXTRACT(B2541, ""(Trouvez.*)"")"),"🏘️ Vendre appartement La Coudre (Neuchâtel) ✅ Trouvez le bien immobilier qui correspond idéalement à vos désirs sur ImmoScout24 - La plateforme de l'immobilier en Suisse.")</f>
        <v>🏘️ Vendre appartement La Coudre (Neuchâtel) ✅ Trouvez le bien immobilier qui correspond idéalement à vos désirs sur ImmoScout24 - La plateforme de l'immobilier en Suisse.</v>
      </c>
      <c r="D2541" s="4" t="str">
        <f>vlookup(A2541, Sheet2!D:E, 2, 0)</f>
        <v>variant</v>
      </c>
      <c r="E2541" s="4" t="str">
        <f>IFERROR(__xludf.DUMMYFUNCTION("if(H2541=""pays"",vlookup(REGEXEXTRACT(C2541, ""🏘️ \w+ \w+ (.*) ✅""),'Country prepositions'!A:B, 2, 0) &amp; "" "" &amp; REGEXEXTRACT(C2541, ""🏘️ \w+ \w+ (.*) ✅"") ,  if(H2541=""quartier"",vlookup(REGEXEXTRACT(C2541, ""🏘️ \w+ \w+ (.*) ✅""),'Quartier prepositio"&amp;"ns'!A:E, 5, 0) ,  if(H2541=""region"",vlookup(REGEXEXTRACT(C2541, ""🏘️ \w+ \w+ (.*) ✅""),'Region prepositions'!B:F, 5, 0),  REGEXEXTRACT(C2541, ""🏘️ \w+ \w+ (.*) ✅""))))"),"dans le quartier de La Coudre (Neuchâtel)")</f>
        <v>dans le quartier de La Coudre (Neuchâtel)</v>
      </c>
      <c r="F2541" s="2" t="str">
        <f>IFERROR(__xludf.DUMMYFUNCTION("REGEXEXTRACT(C2541, ""🏘️ (\w+) \w+ .* ✅"")"),"Vendre")</f>
        <v>Vendre</v>
      </c>
      <c r="G2541" s="2" t="str">
        <f>IFERROR(__xludf.DUMMYFUNCTION("REGEXEXTRACT(C2541, ""🏘️ \w+ (\w+) .* ✅"")"),"appartement")</f>
        <v>appartement</v>
      </c>
      <c r="H2541" s="4" t="str">
        <f>IFERROR(__xludf.DUMMYFUNCTION("REGEXEXTRACT(A2541, ""/(\w+)-.*?"")"),"quartier")</f>
        <v>quartier</v>
      </c>
      <c r="I2541" s="4" t="str">
        <f>IFERROR(__xludf.DUMMYFUNCTION("if(D2541=""variant"",  substitute(filter(Templates!E:E, Templates!A:A = F2541, Templates!B:B = G2541, Templates!C:C = H2541), ""{{}}"", E2541), B2541)"),"🏘  L’appartement de vos rêves se trouve sur ImmoScout24.ch ✅ Découvrez les dernières annonces de vente dans le quartier de La Coudre (Neuchâtel).")</f>
        <v>🏘  L’appartement de vos rêves se trouve sur ImmoScout24.ch ✅ Découvrez les dernières annonces de vente dans le quartier de La Coudre (Neuchâtel).</v>
      </c>
      <c r="J2541" s="4" t="s">
        <v>7619</v>
      </c>
    </row>
    <row r="2542">
      <c r="A2542" s="5" t="s">
        <v>7620</v>
      </c>
      <c r="B2542" s="2" t="s">
        <v>7621</v>
      </c>
      <c r="C2542" s="4" t="str">
        <f>IFERROR(__xludf.DUMMYFUNCTION("""🏘️ ""&amp;REGEXEXTRACT(B2542, ""^(.*): "")&amp;"" ✅ "" &amp;REGEXEXTRACT(B2542, ""(Trouvez.*)"")"),"🏘️ Louer appartement Curio ✅ Trouvez le bien immobilier qui correspond idéalement à vos désirs sur ImmoScout24 - La plateforme de l'immobilier en Suisse.")</f>
        <v>🏘️ Louer appartement Curio ✅ Trouvez le bien immobilier qui correspond idéalement à vos désirs sur ImmoScout24 - La plateforme de l'immobilier en Suisse.</v>
      </c>
      <c r="D2542" s="4" t="str">
        <f>vlookup(A2542, Sheet2!D:E, 2, 0)</f>
        <v>variant</v>
      </c>
      <c r="E2542" s="4" t="str">
        <f>IFERROR(__xludf.DUMMYFUNCTION("if(H2542=""pays"",vlookup(REGEXEXTRACT(C2542, ""🏘️ \w+ \w+ (.*) ✅""),'Country prepositions'!A:B, 2, 0) &amp; "" "" &amp; REGEXEXTRACT(C2542, ""🏘️ \w+ \w+ (.*) ✅"") ,  if(H2542=""quartier"",vlookup(REGEXEXTRACT(C2542, ""🏘️ \w+ \w+ (.*) ✅""),'Quartier prepositio"&amp;"ns'!A:E, 5, 0) ,  if(H2542=""region"",vlookup(REGEXEXTRACT(C2542, ""🏘️ \w+ \w+ (.*) ✅""),'Region prepositions'!B:F, 5, 0),  REGEXEXTRACT(C2542, ""🏘️ \w+ \w+ (.*) ✅""))))"),"Curio")</f>
        <v>Curio</v>
      </c>
      <c r="F2542" s="2" t="str">
        <f>IFERROR(__xludf.DUMMYFUNCTION("REGEXEXTRACT(C2542, ""🏘️ (\w+) \w+ .* ✅"")"),"Louer")</f>
        <v>Louer</v>
      </c>
      <c r="G2542" s="2" t="str">
        <f>IFERROR(__xludf.DUMMYFUNCTION("REGEXEXTRACT(C2542, ""🏘️ \w+ (\w+) .* ✅"")"),"appartement")</f>
        <v>appartement</v>
      </c>
      <c r="H2542" s="4" t="str">
        <f>IFERROR(__xludf.DUMMYFUNCTION("REGEXEXTRACT(A2542, ""/(\w+)-.*?"")"),"lieu")</f>
        <v>lieu</v>
      </c>
      <c r="I2542" s="4" t="str">
        <f>IFERROR(__xludf.DUMMYFUNCTION("if(D2542=""variant"",  substitute(filter(Templates!E:E, Templates!A:A = F2542, Templates!B:B = G2542, Templates!C:C = H2542), ""{{}}"", E2542), B2542)"),"🏘  Vous cherchez un appartement à louer à Curio? ✅ Les annonces les plus actuelles sont sur ImmoScout24.ch.")</f>
        <v>🏘  Vous cherchez un appartement à louer à Curio? ✅ Les annonces les plus actuelles sont sur ImmoScout24.ch.</v>
      </c>
      <c r="J2542" s="4" t="s">
        <v>7622</v>
      </c>
    </row>
    <row r="2543">
      <c r="A2543" s="5" t="s">
        <v>7623</v>
      </c>
      <c r="B2543" s="2" t="s">
        <v>7624</v>
      </c>
      <c r="C2543" s="4" t="str">
        <f>IFERROR(__xludf.DUMMYFUNCTION("""🏘️ ""&amp;REGEXEXTRACT(B2543, ""^(.*): "")&amp;"" ✅ "" &amp;REGEXEXTRACT(B2543, ""(Trouvez.*)"")"),"🏘️ Louer appartement Missy ✅ Trouvez le bien immobilier qui correspond idéalement à vos désirs sur ImmoScout24 - La plateforme de l'immobilier en Suisse.")</f>
        <v>🏘️ Louer appartement Missy ✅ Trouvez le bien immobilier qui correspond idéalement à vos désirs sur ImmoScout24 - La plateforme de l'immobilier en Suisse.</v>
      </c>
      <c r="D2543" s="4" t="str">
        <f>vlookup(A2543, Sheet2!D:E, 2, 0)</f>
        <v>variant</v>
      </c>
      <c r="E2543" s="4" t="str">
        <f>IFERROR(__xludf.DUMMYFUNCTION("if(H2543=""pays"",vlookup(REGEXEXTRACT(C2543, ""🏘️ \w+ \w+ (.*) ✅""),'Country prepositions'!A:B, 2, 0) &amp; "" "" &amp; REGEXEXTRACT(C2543, ""🏘️ \w+ \w+ (.*) ✅"") ,  if(H2543=""quartier"",vlookup(REGEXEXTRACT(C2543, ""🏘️ \w+ \w+ (.*) ✅""),'Quartier prepositio"&amp;"ns'!A:E, 5, 0) ,  if(H2543=""region"",vlookup(REGEXEXTRACT(C2543, ""🏘️ \w+ \w+ (.*) ✅""),'Region prepositions'!B:F, 5, 0),  REGEXEXTRACT(C2543, ""🏘️ \w+ \w+ (.*) ✅""))))"),"Missy")</f>
        <v>Missy</v>
      </c>
      <c r="F2543" s="2" t="str">
        <f>IFERROR(__xludf.DUMMYFUNCTION("REGEXEXTRACT(C2543, ""🏘️ (\w+) \w+ .* ✅"")"),"Louer")</f>
        <v>Louer</v>
      </c>
      <c r="G2543" s="2" t="str">
        <f>IFERROR(__xludf.DUMMYFUNCTION("REGEXEXTRACT(C2543, ""🏘️ \w+ (\w+) .* ✅"")"),"appartement")</f>
        <v>appartement</v>
      </c>
      <c r="H2543" s="4" t="str">
        <f>IFERROR(__xludf.DUMMYFUNCTION("REGEXEXTRACT(A2543, ""/(\w+)-.*?"")"),"lieu")</f>
        <v>lieu</v>
      </c>
      <c r="I2543" s="4" t="str">
        <f>IFERROR(__xludf.DUMMYFUNCTION("if(D2543=""variant"",  substitute(filter(Templates!E:E, Templates!A:A = F2543, Templates!B:B = G2543, Templates!C:C = H2543), ""{{}}"", E2543), B2543)"),"🏘  Vous cherchez un appartement à louer à Missy? ✅ Les annonces les plus actuelles sont sur ImmoScout24.ch.")</f>
        <v>🏘  Vous cherchez un appartement à louer à Missy? ✅ Les annonces les plus actuelles sont sur ImmoScout24.ch.</v>
      </c>
      <c r="J2543" s="4" t="s">
        <v>7625</v>
      </c>
    </row>
    <row r="2544">
      <c r="A2544" s="5" t="s">
        <v>7626</v>
      </c>
      <c r="B2544" s="2" t="s">
        <v>7627</v>
      </c>
      <c r="C2544" s="4" t="str">
        <f>IFERROR(__xludf.DUMMYFUNCTION("""🏘️ ""&amp;REGEXEXTRACT(B2544, ""^(.*): "")&amp;"" ✅ "" &amp;REGEXEXTRACT(B2544, ""(Trouvez.*)"")"),"🏘️ Vendre appartement Onex ✅ Trouvez le bien immobilier qui correspond idéalement à vos désirs sur ImmoScout24 - La plateforme de l'immobilier en Suisse.")</f>
        <v>🏘️ Vendre appartement Onex ✅ Trouvez le bien immobilier qui correspond idéalement à vos désirs sur ImmoScout24 - La plateforme de l'immobilier en Suisse.</v>
      </c>
      <c r="D2544" s="4" t="str">
        <f>vlookup(A2544, Sheet2!D:E, 2, 0)</f>
        <v>variant</v>
      </c>
      <c r="E2544" s="4" t="str">
        <f>IFERROR(__xludf.DUMMYFUNCTION("if(H2544=""pays"",vlookup(REGEXEXTRACT(C2544, ""🏘️ \w+ \w+ (.*) ✅""),'Country prepositions'!A:B, 2, 0) &amp; "" "" &amp; REGEXEXTRACT(C2544, ""🏘️ \w+ \w+ (.*) ✅"") ,  if(H2544=""quartier"",vlookup(REGEXEXTRACT(C2544, ""🏘️ \w+ \w+ (.*) ✅""),'Quartier prepositio"&amp;"ns'!A:E, 5, 0) ,  if(H2544=""region"",vlookup(REGEXEXTRACT(C2544, ""🏘️ \w+ \w+ (.*) ✅""),'Region prepositions'!B:F, 5, 0),  REGEXEXTRACT(C2544, ""🏘️ \w+ \w+ (.*) ✅""))))"),"Onex")</f>
        <v>Onex</v>
      </c>
      <c r="F2544" s="2" t="str">
        <f>IFERROR(__xludf.DUMMYFUNCTION("REGEXEXTRACT(C2544, ""🏘️ (\w+) \w+ .* ✅"")"),"Vendre")</f>
        <v>Vendre</v>
      </c>
      <c r="G2544" s="2" t="str">
        <f>IFERROR(__xludf.DUMMYFUNCTION("REGEXEXTRACT(C2544, ""🏘️ \w+ (\w+) .* ✅"")"),"appartement")</f>
        <v>appartement</v>
      </c>
      <c r="H2544" s="4" t="str">
        <f>IFERROR(__xludf.DUMMYFUNCTION("REGEXEXTRACT(A2544, ""/(\w+)-.*?"")"),"lieu")</f>
        <v>lieu</v>
      </c>
      <c r="I2544" s="4" t="str">
        <f>IFERROR(__xludf.DUMMYFUNCTION("if(D2544=""variant"",  substitute(filter(Templates!E:E, Templates!A:A = F2544, Templates!B:B = G2544, Templates!C:C = H2544), ""{{}}"", E2544), B2544)"),"🏘  L’appartement de vos rêves se trouve sur ImmoScout24.ch ✅ Découvrez les dernières annonces de vente à Onex.")</f>
        <v>🏘  L’appartement de vos rêves se trouve sur ImmoScout24.ch ✅ Découvrez les dernières annonces de vente à Onex.</v>
      </c>
      <c r="J2544" s="4" t="s">
        <v>7628</v>
      </c>
    </row>
    <row r="2545">
      <c r="A2545" s="5" t="s">
        <v>7629</v>
      </c>
      <c r="B2545" s="2" t="s">
        <v>7630</v>
      </c>
      <c r="C2545" s="4" t="str">
        <f>IFERROR(__xludf.DUMMYFUNCTION("""🏘️ ""&amp;REGEXEXTRACT(B2545, ""^(.*): "")&amp;"" ✅ "" &amp;REGEXEXTRACT(B2545, ""(Trouvez.*)"")"),"🏘️ Louer appartement Les Paccots ✅ Trouvez le bien immobilier qui correspond idéalement à vos désirs sur ImmoScout24 - La plateforme de l'immobilier en Suisse.")</f>
        <v>🏘️ Louer appartement Les Paccots ✅ Trouvez le bien immobilier qui correspond idéalement à vos désirs sur ImmoScout24 - La plateforme de l'immobilier en Suisse.</v>
      </c>
      <c r="D2545" s="4" t="str">
        <f>vlookup(A2545, Sheet2!D:E, 2, 0)</f>
        <v>variant</v>
      </c>
      <c r="E2545" s="4" t="str">
        <f>IFERROR(__xludf.DUMMYFUNCTION("if(H2545=""pays"",vlookup(REGEXEXTRACT(C2545, ""🏘️ \w+ \w+ (.*) ✅""),'Country prepositions'!A:B, 2, 0) &amp; "" "" &amp; REGEXEXTRACT(C2545, ""🏘️ \w+ \w+ (.*) ✅"") ,  if(H2545=""quartier"",vlookup(REGEXEXTRACT(C2545, ""🏘️ \w+ \w+ (.*) ✅""),'Quartier prepositio"&amp;"ns'!A:E, 5, 0) ,  if(H2545=""region"",vlookup(REGEXEXTRACT(C2545, ""🏘️ \w+ \w+ (.*) ✅""),'Region prepositions'!B:F, 5, 0),  REGEXEXTRACT(C2545, ""🏘️ \w+ \w+ (.*) ✅""))))"),"Les Paccots")</f>
        <v>Les Paccots</v>
      </c>
      <c r="F2545" s="2" t="str">
        <f>IFERROR(__xludf.DUMMYFUNCTION("REGEXEXTRACT(C2545, ""🏘️ (\w+) \w+ .* ✅"")"),"Louer")</f>
        <v>Louer</v>
      </c>
      <c r="G2545" s="2" t="str">
        <f>IFERROR(__xludf.DUMMYFUNCTION("REGEXEXTRACT(C2545, ""🏘️ \w+ (\w+) .* ✅"")"),"appartement")</f>
        <v>appartement</v>
      </c>
      <c r="H2545" s="4" t="str">
        <f>IFERROR(__xludf.DUMMYFUNCTION("REGEXEXTRACT(A2545, ""/(\w+)-.*?"")"),"lieu")</f>
        <v>lieu</v>
      </c>
      <c r="I2545" s="4" t="str">
        <f>IFERROR(__xludf.DUMMYFUNCTION("if(D2545=""variant"",  substitute(filter(Templates!E:E, Templates!A:A = F2545, Templates!B:B = G2545, Templates!C:C = H2545), ""{{}}"", E2545), B2545)"),"🏘  Vous cherchez un appartement à louer à Les Paccots? ✅ Les annonces les plus actuelles sont sur ImmoScout24.ch.")</f>
        <v>🏘  Vous cherchez un appartement à louer à Les Paccots? ✅ Les annonces les plus actuelles sont sur ImmoScout24.ch.</v>
      </c>
      <c r="J2545" s="2" t="s">
        <v>7631</v>
      </c>
    </row>
    <row r="2546">
      <c r="A2546" s="5" t="s">
        <v>7632</v>
      </c>
      <c r="B2546" s="2" t="s">
        <v>7633</v>
      </c>
      <c r="C2546" s="4" t="str">
        <f>IFERROR(__xludf.DUMMYFUNCTION("""🏘️ ""&amp;REGEXEXTRACT(B2546, ""^(.*): "")&amp;"" ✅ "" &amp;REGEXEXTRACT(B2546, ""(Trouvez.*)"")"),"🏘️ Louer maison Courgevaux ✅ Trouvez le bien immobilier qui correspond idéalement à vos désirs sur ImmoScout24 - La plateforme de l'immobilier en Suisse.")</f>
        <v>🏘️ Louer maison Courgevaux ✅ Trouvez le bien immobilier qui correspond idéalement à vos désirs sur ImmoScout24 - La plateforme de l'immobilier en Suisse.</v>
      </c>
      <c r="D2546" s="4" t="str">
        <f>vlookup(A2546, Sheet2!D:E, 2, 0)</f>
        <v>variant</v>
      </c>
      <c r="E2546" s="4" t="str">
        <f>IFERROR(__xludf.DUMMYFUNCTION("if(H2546=""pays"",vlookup(REGEXEXTRACT(C2546, ""🏘️ \w+ \w+ (.*) ✅""),'Country prepositions'!A:B, 2, 0) &amp; "" "" &amp; REGEXEXTRACT(C2546, ""🏘️ \w+ \w+ (.*) ✅"") ,  if(H2546=""quartier"",vlookup(REGEXEXTRACT(C2546, ""🏘️ \w+ \w+ (.*) ✅""),'Quartier prepositio"&amp;"ns'!A:E, 5, 0) ,  if(H2546=""region"",vlookup(REGEXEXTRACT(C2546, ""🏘️ \w+ \w+ (.*) ✅""),'Region prepositions'!B:F, 5, 0),  REGEXEXTRACT(C2546, ""🏘️ \w+ \w+ (.*) ✅""))))"),"Courgevaux")</f>
        <v>Courgevaux</v>
      </c>
      <c r="F2546" s="2" t="str">
        <f>IFERROR(__xludf.DUMMYFUNCTION("REGEXEXTRACT(C2546, ""🏘️ (\w+) \w+ .* ✅"")"),"Louer")</f>
        <v>Louer</v>
      </c>
      <c r="G2546" s="2" t="str">
        <f>IFERROR(__xludf.DUMMYFUNCTION("REGEXEXTRACT(C2546, ""🏘️ \w+ (\w+) .* ✅"")"),"maison")</f>
        <v>maison</v>
      </c>
      <c r="H2546" s="4" t="str">
        <f>IFERROR(__xludf.DUMMYFUNCTION("REGEXEXTRACT(A2546, ""/(\w+)-.*?"")"),"lieu")</f>
        <v>lieu</v>
      </c>
      <c r="I2546" s="4" t="str">
        <f>IFERROR(__xludf.DUMMYFUNCTION("if(D2546=""variant"",  substitute(filter(Templates!E:E, Templates!A:A = F2546, Templates!B:B = G2546, Templates!C:C = H2546), ""{{}}"", E2546), B2546)"),"🏘  Vous cherchez une maison à louer à Courgevaux? ✅ Découvrez nos nombreuses annonces sur ImmoScout24.ch.")</f>
        <v>🏘  Vous cherchez une maison à louer à Courgevaux? ✅ Découvrez nos nombreuses annonces sur ImmoScout24.ch.</v>
      </c>
      <c r="J2546" s="4" t="s">
        <v>7634</v>
      </c>
    </row>
    <row r="2547">
      <c r="A2547" s="5" t="s">
        <v>7635</v>
      </c>
      <c r="B2547" s="2" t="s">
        <v>7636</v>
      </c>
      <c r="C2547" s="4" t="str">
        <f>IFERROR(__xludf.DUMMYFUNCTION("""🏘️ ""&amp;REGEXEXTRACT(B2547, ""^(.*): "")&amp;"" ✅ "" &amp;REGEXEXTRACT(B2547, ""(Trouvez.*)"")"),"🏘️ Vendre maison Vermes ✅ Trouvez le bien immobilier qui correspond idéalement à vos désirs sur ImmoScout24 - La plateforme de l'immobilier en Suisse.")</f>
        <v>🏘️ Vendre maison Vermes ✅ Trouvez le bien immobilier qui correspond idéalement à vos désirs sur ImmoScout24 - La plateforme de l'immobilier en Suisse.</v>
      </c>
      <c r="D2547" s="4" t="str">
        <f>vlookup(A2547, Sheet2!D:E, 2, 0)</f>
        <v>variant</v>
      </c>
      <c r="E2547" s="4" t="str">
        <f>IFERROR(__xludf.DUMMYFUNCTION("if(H2547=""pays"",vlookup(REGEXEXTRACT(C2547, ""🏘️ \w+ \w+ (.*) ✅""),'Country prepositions'!A:B, 2, 0) &amp; "" "" &amp; REGEXEXTRACT(C2547, ""🏘️ \w+ \w+ (.*) ✅"") ,  if(H2547=""quartier"",vlookup(REGEXEXTRACT(C2547, ""🏘️ \w+ \w+ (.*) ✅""),'Quartier prepositio"&amp;"ns'!A:E, 5, 0) ,  if(H2547=""region"",vlookup(REGEXEXTRACT(C2547, ""🏘️ \w+ \w+ (.*) ✅""),'Region prepositions'!B:F, 5, 0),  REGEXEXTRACT(C2547, ""🏘️ \w+ \w+ (.*) ✅""))))"),"Vermes")</f>
        <v>Vermes</v>
      </c>
      <c r="F2547" s="2" t="str">
        <f>IFERROR(__xludf.DUMMYFUNCTION("REGEXEXTRACT(C2547, ""🏘️ (\w+) \w+ .* ✅"")"),"Vendre")</f>
        <v>Vendre</v>
      </c>
      <c r="G2547" s="2" t="str">
        <f>IFERROR(__xludf.DUMMYFUNCTION("REGEXEXTRACT(C2547, ""🏘️ \w+ (\w+) .* ✅"")"),"maison")</f>
        <v>maison</v>
      </c>
      <c r="H2547" s="4" t="str">
        <f>IFERROR(__xludf.DUMMYFUNCTION("REGEXEXTRACT(A2547, ""/(\w+)-.*?"")"),"lieu")</f>
        <v>lieu</v>
      </c>
      <c r="I2547" s="4" t="str">
        <f>IFERROR(__xludf.DUMMYFUNCTION("if(D2547=""variant"",  substitute(filter(Templates!E:E, Templates!A:A = F2547, Templates!B:B = G2547, Templates!C:C = H2547), ""{{}}"", E2547), B2547)"),"🏘  Vous souhaitez acheter une maison à Vermes? ✅ Jetez un œil aux dernières offres sur ImmoScout24.ch.")</f>
        <v>🏘  Vous souhaitez acheter une maison à Vermes? ✅ Jetez un œil aux dernières offres sur ImmoScout24.ch.</v>
      </c>
      <c r="J2547" s="4" t="s">
        <v>7637</v>
      </c>
    </row>
    <row r="2548">
      <c r="A2548" s="5" t="s">
        <v>7638</v>
      </c>
      <c r="B2548" s="2" t="s">
        <v>7639</v>
      </c>
      <c r="C2548" s="4" t="str">
        <f>IFERROR(__xludf.DUMMYFUNCTION("""🏘️ ""&amp;REGEXEXTRACT(B2548, ""^(.*): "")&amp;"" ✅ "" &amp;REGEXEXTRACT(B2548, ""(Trouvez.*)"")"),"🏘️ Louer appartement Montagny-près-Yverdon ✅ Trouvez le bien immobilier qui correspond idéalement à vos désirs sur ImmoScout24 - La plateforme de l'immobilier en Suisse.")</f>
        <v>🏘️ Louer appartement Montagny-près-Yverdon ✅ Trouvez le bien immobilier qui correspond idéalement à vos désirs sur ImmoScout24 - La plateforme de l'immobilier en Suisse.</v>
      </c>
      <c r="D2548" s="4" t="str">
        <f>vlookup(A2548, Sheet2!D:E, 2, 0)</f>
        <v>variant</v>
      </c>
      <c r="E2548" s="4" t="str">
        <f>IFERROR(__xludf.DUMMYFUNCTION("if(H2548=""pays"",vlookup(REGEXEXTRACT(C2548, ""🏘️ \w+ \w+ (.*) ✅""),'Country prepositions'!A:B, 2, 0) &amp; "" "" &amp; REGEXEXTRACT(C2548, ""🏘️ \w+ \w+ (.*) ✅"") ,  if(H2548=""quartier"",vlookup(REGEXEXTRACT(C2548, ""🏘️ \w+ \w+ (.*) ✅""),'Quartier prepositio"&amp;"ns'!A:E, 5, 0) ,  if(H2548=""region"",vlookup(REGEXEXTRACT(C2548, ""🏘️ \w+ \w+ (.*) ✅""),'Region prepositions'!B:F, 5, 0),  REGEXEXTRACT(C2548, ""🏘️ \w+ \w+ (.*) ✅""))))"),"Montagny-près-Yverdon")</f>
        <v>Montagny-près-Yverdon</v>
      </c>
      <c r="F2548" s="2" t="str">
        <f>IFERROR(__xludf.DUMMYFUNCTION("REGEXEXTRACT(C2548, ""🏘️ (\w+) \w+ .* ✅"")"),"Louer")</f>
        <v>Louer</v>
      </c>
      <c r="G2548" s="2" t="str">
        <f>IFERROR(__xludf.DUMMYFUNCTION("REGEXEXTRACT(C2548, ""🏘️ \w+ (\w+) .* ✅"")"),"appartement")</f>
        <v>appartement</v>
      </c>
      <c r="H2548" s="4" t="str">
        <f>IFERROR(__xludf.DUMMYFUNCTION("REGEXEXTRACT(A2548, ""/(\w+)-.*?"")"),"lieu")</f>
        <v>lieu</v>
      </c>
      <c r="I2548" s="4" t="str">
        <f>IFERROR(__xludf.DUMMYFUNCTION("if(D2548=""variant"",  substitute(filter(Templates!E:E, Templates!A:A = F2548, Templates!B:B = G2548, Templates!C:C = H2548), ""{{}}"", E2548), B2548)"),"🏘  Vous cherchez un appartement à louer à Montagny-près-Yverdon? ✅ Les annonces les plus actuelles sont sur ImmoScout24.ch.")</f>
        <v>🏘  Vous cherchez un appartement à louer à Montagny-près-Yverdon? ✅ Les annonces les plus actuelles sont sur ImmoScout24.ch.</v>
      </c>
      <c r="J2548" s="4" t="s">
        <v>7640</v>
      </c>
    </row>
    <row r="2549">
      <c r="A2549" s="5" t="s">
        <v>7641</v>
      </c>
      <c r="B2549" s="2" t="s">
        <v>7642</v>
      </c>
      <c r="C2549" s="4" t="str">
        <f>IFERROR(__xludf.DUMMYFUNCTION("""🏘️ ""&amp;REGEXEXTRACT(B2549, ""^(.*): "")&amp;"" ✅ "" &amp;REGEXEXTRACT(B2549, ""(Trouvez.*)"")"),"🏘️ Vendre appartement Interlaken ✅ Trouvez le bien immobilier qui correspond idéalement à vos désirs sur ImmoScout24 - La plateforme de l'immobilier en Suisse.")</f>
        <v>🏘️ Vendre appartement Interlaken ✅ Trouvez le bien immobilier qui correspond idéalement à vos désirs sur ImmoScout24 - La plateforme de l'immobilier en Suisse.</v>
      </c>
      <c r="D2549" s="4" t="str">
        <f>vlookup(A2549, Sheet2!D:E, 2, 0)</f>
        <v>variant</v>
      </c>
      <c r="E2549" s="4" t="str">
        <f>IFERROR(__xludf.DUMMYFUNCTION("if(H2549=""pays"",vlookup(REGEXEXTRACT(C2549, ""🏘️ \w+ \w+ (.*) ✅""),'Country prepositions'!A:B, 2, 0) &amp; "" "" &amp; REGEXEXTRACT(C2549, ""🏘️ \w+ \w+ (.*) ✅"") ,  if(H2549=""quartier"",vlookup(REGEXEXTRACT(C2549, ""🏘️ \w+ \w+ (.*) ✅""),'Quartier prepositio"&amp;"ns'!A:E, 5, 0) ,  if(H2549=""region"",vlookup(REGEXEXTRACT(C2549, ""🏘️ \w+ \w+ (.*) ✅""),'Region prepositions'!B:F, 5, 0),  REGEXEXTRACT(C2549, ""🏘️ \w+ \w+ (.*) ✅""))))"),"Interlaken")</f>
        <v>Interlaken</v>
      </c>
      <c r="F2549" s="2" t="str">
        <f>IFERROR(__xludf.DUMMYFUNCTION("REGEXEXTRACT(C2549, ""🏘️ (\w+) \w+ .* ✅"")"),"Vendre")</f>
        <v>Vendre</v>
      </c>
      <c r="G2549" s="2" t="str">
        <f>IFERROR(__xludf.DUMMYFUNCTION("REGEXEXTRACT(C2549, ""🏘️ \w+ (\w+) .* ✅"")"),"appartement")</f>
        <v>appartement</v>
      </c>
      <c r="H2549" s="4" t="str">
        <f>IFERROR(__xludf.DUMMYFUNCTION("REGEXEXTRACT(A2549, ""/(\w+)-.*?"")"),"lieu")</f>
        <v>lieu</v>
      </c>
      <c r="I2549" s="4" t="str">
        <f>IFERROR(__xludf.DUMMYFUNCTION("if(D2549=""variant"",  substitute(filter(Templates!E:E, Templates!A:A = F2549, Templates!B:B = G2549, Templates!C:C = H2549), ""{{}}"", E2549), B2549)"),"🏘  L’appartement de vos rêves se trouve sur ImmoScout24.ch ✅ Découvrez les dernières annonces de vente à Interlaken.")</f>
        <v>🏘  L’appartement de vos rêves se trouve sur ImmoScout24.ch ✅ Découvrez les dernières annonces de vente à Interlaken.</v>
      </c>
      <c r="J2549" s="4" t="s">
        <v>7643</v>
      </c>
    </row>
    <row r="2550">
      <c r="A2550" s="5" t="s">
        <v>7644</v>
      </c>
      <c r="B2550" s="2" t="s">
        <v>7645</v>
      </c>
      <c r="C2550" s="4" t="str">
        <f>IFERROR(__xludf.DUMMYFUNCTION("""🏘️ ""&amp;REGEXEXTRACT(B2550, ""^(.*): "")&amp;"" ✅ "" &amp;REGEXEXTRACT(B2550, ""(Trouvez.*)"")"),"🏘️ Vendre appartement Gryon ✅ Trouvez le bien immobilier qui correspond idéalement à vos désirs sur ImmoScout24 - La plateforme de l'immobilier en Suisse.")</f>
        <v>🏘️ Vendre appartement Gryon ✅ Trouvez le bien immobilier qui correspond idéalement à vos désirs sur ImmoScout24 - La plateforme de l'immobilier en Suisse.</v>
      </c>
      <c r="D2550" s="4" t="str">
        <f>vlookup(A2550, Sheet2!D:E, 2, 0)</f>
        <v>variant</v>
      </c>
      <c r="E2550" s="4" t="str">
        <f>IFERROR(__xludf.DUMMYFUNCTION("if(H2550=""pays"",vlookup(REGEXEXTRACT(C2550, ""🏘️ \w+ \w+ (.*) ✅""),'Country prepositions'!A:B, 2, 0) &amp; "" "" &amp; REGEXEXTRACT(C2550, ""🏘️ \w+ \w+ (.*) ✅"") ,  if(H2550=""quartier"",vlookup(REGEXEXTRACT(C2550, ""🏘️ \w+ \w+ (.*) ✅""),'Quartier prepositio"&amp;"ns'!A:E, 5, 0) ,  if(H2550=""region"",vlookup(REGEXEXTRACT(C2550, ""🏘️ \w+ \w+ (.*) ✅""),'Region prepositions'!B:F, 5, 0),  REGEXEXTRACT(C2550, ""🏘️ \w+ \w+ (.*) ✅""))))"),"Gryon")</f>
        <v>Gryon</v>
      </c>
      <c r="F2550" s="2" t="str">
        <f>IFERROR(__xludf.DUMMYFUNCTION("REGEXEXTRACT(C2550, ""🏘️ (\w+) \w+ .* ✅"")"),"Vendre")</f>
        <v>Vendre</v>
      </c>
      <c r="G2550" s="2" t="str">
        <f>IFERROR(__xludf.DUMMYFUNCTION("REGEXEXTRACT(C2550, ""🏘️ \w+ (\w+) .* ✅"")"),"appartement")</f>
        <v>appartement</v>
      </c>
      <c r="H2550" s="4" t="str">
        <f>IFERROR(__xludf.DUMMYFUNCTION("REGEXEXTRACT(A2550, ""/(\w+)-.*?"")"),"lieu")</f>
        <v>lieu</v>
      </c>
      <c r="I2550" s="4" t="str">
        <f>IFERROR(__xludf.DUMMYFUNCTION("if(D2550=""variant"",  substitute(filter(Templates!E:E, Templates!A:A = F2550, Templates!B:B = G2550, Templates!C:C = H2550), ""{{}}"", E2550), B2550)"),"🏘  L’appartement de vos rêves se trouve sur ImmoScout24.ch ✅ Découvrez les dernières annonces de vente à Gryon.")</f>
        <v>🏘  L’appartement de vos rêves se trouve sur ImmoScout24.ch ✅ Découvrez les dernières annonces de vente à Gryon.</v>
      </c>
      <c r="J2550" s="4" t="s">
        <v>7646</v>
      </c>
    </row>
    <row r="2551">
      <c r="A2551" s="5" t="s">
        <v>7647</v>
      </c>
      <c r="B2551" s="2" t="s">
        <v>7648</v>
      </c>
      <c r="C2551" s="4" t="str">
        <f>IFERROR(__xludf.DUMMYFUNCTION("""🏘️ ""&amp;REGEXEXTRACT(B2551, ""^(.*): "")&amp;"" ✅ "" &amp;REGEXEXTRACT(B2551, ""(Trouvez.*)"")"),"🏘️ Louer appartement Lenzerheide/Lai ✅ Trouvez le bien immobilier qui correspond idéalement à vos désirs sur ImmoScout24 - La plateforme de l'immobilier en Suisse.")</f>
        <v>🏘️ Louer appartement Lenzerheide/Lai ✅ Trouvez le bien immobilier qui correspond idéalement à vos désirs sur ImmoScout24 - La plateforme de l'immobilier en Suisse.</v>
      </c>
      <c r="D2551" s="4" t="str">
        <f>vlookup(A2551, Sheet2!D:E, 2, 0)</f>
        <v>variant</v>
      </c>
      <c r="E2551" s="4" t="str">
        <f>IFERROR(__xludf.DUMMYFUNCTION("if(H2551=""pays"",vlookup(REGEXEXTRACT(C2551, ""🏘️ \w+ \w+ (.*) ✅""),'Country prepositions'!A:B, 2, 0) &amp; "" "" &amp; REGEXEXTRACT(C2551, ""🏘️ \w+ \w+ (.*) ✅"") ,  if(H2551=""quartier"",vlookup(REGEXEXTRACT(C2551, ""🏘️ \w+ \w+ (.*) ✅""),'Quartier prepositio"&amp;"ns'!A:E, 5, 0) ,  if(H2551=""region"",vlookup(REGEXEXTRACT(C2551, ""🏘️ \w+ \w+ (.*) ✅""),'Region prepositions'!B:F, 5, 0),  REGEXEXTRACT(C2551, ""🏘️ \w+ \w+ (.*) ✅""))))"),"Lenzerheide/Lai")</f>
        <v>Lenzerheide/Lai</v>
      </c>
      <c r="F2551" s="2" t="str">
        <f>IFERROR(__xludf.DUMMYFUNCTION("REGEXEXTRACT(C2551, ""🏘️ (\w+) \w+ .* ✅"")"),"Louer")</f>
        <v>Louer</v>
      </c>
      <c r="G2551" s="2" t="str">
        <f>IFERROR(__xludf.DUMMYFUNCTION("REGEXEXTRACT(C2551, ""🏘️ \w+ (\w+) .* ✅"")"),"appartement")</f>
        <v>appartement</v>
      </c>
      <c r="H2551" s="4" t="str">
        <f>IFERROR(__xludf.DUMMYFUNCTION("REGEXEXTRACT(A2551, ""/(\w+)-.*?"")"),"lieu")</f>
        <v>lieu</v>
      </c>
      <c r="I2551" s="4" t="str">
        <f>IFERROR(__xludf.DUMMYFUNCTION("if(D2551=""variant"",  substitute(filter(Templates!E:E, Templates!A:A = F2551, Templates!B:B = G2551, Templates!C:C = H2551), ""{{}}"", E2551), B2551)"),"🏘  Vous cherchez un appartement à louer à Lenzerheide/Lai? ✅ Les annonces les plus actuelles sont sur ImmoScout24.ch.")</f>
        <v>🏘  Vous cherchez un appartement à louer à Lenzerheide/Lai? ✅ Les annonces les plus actuelles sont sur ImmoScout24.ch.</v>
      </c>
      <c r="J2551" s="2" t="s">
        <v>7649</v>
      </c>
    </row>
    <row r="2552">
      <c r="A2552" s="5" t="s">
        <v>7650</v>
      </c>
      <c r="B2552" s="2" t="s">
        <v>7651</v>
      </c>
      <c r="C2552" s="4" t="str">
        <f>IFERROR(__xludf.DUMMYFUNCTION("""🏘️ ""&amp;REGEXEXTRACT(B2552, ""^(.*): "")&amp;"" ✅ "" &amp;REGEXEXTRACT(B2552, ""(Trouvez.*)"")"),"🏘️ Louer appartement Canobbio ✅ Trouvez le bien immobilier qui correspond idéalement à vos désirs sur ImmoScout24 - La plateforme de l'immobilier en Suisse.")</f>
        <v>🏘️ Louer appartement Canobbio ✅ Trouvez le bien immobilier qui correspond idéalement à vos désirs sur ImmoScout24 - La plateforme de l'immobilier en Suisse.</v>
      </c>
      <c r="D2552" s="4" t="str">
        <f>vlookup(A2552, Sheet2!D:E, 2, 0)</f>
        <v>variant</v>
      </c>
      <c r="E2552" s="4" t="str">
        <f>IFERROR(__xludf.DUMMYFUNCTION("if(H2552=""pays"",vlookup(REGEXEXTRACT(C2552, ""🏘️ \w+ \w+ (.*) ✅""),'Country prepositions'!A:B, 2, 0) &amp; "" "" &amp; REGEXEXTRACT(C2552, ""🏘️ \w+ \w+ (.*) ✅"") ,  if(H2552=""quartier"",vlookup(REGEXEXTRACT(C2552, ""🏘️ \w+ \w+ (.*) ✅""),'Quartier prepositio"&amp;"ns'!A:E, 5, 0) ,  if(H2552=""region"",vlookup(REGEXEXTRACT(C2552, ""🏘️ \w+ \w+ (.*) ✅""),'Region prepositions'!B:F, 5, 0),  REGEXEXTRACT(C2552, ""🏘️ \w+ \w+ (.*) ✅""))))"),"Canobbio")</f>
        <v>Canobbio</v>
      </c>
      <c r="F2552" s="2" t="str">
        <f>IFERROR(__xludf.DUMMYFUNCTION("REGEXEXTRACT(C2552, ""🏘️ (\w+) \w+ .* ✅"")"),"Louer")</f>
        <v>Louer</v>
      </c>
      <c r="G2552" s="2" t="str">
        <f>IFERROR(__xludf.DUMMYFUNCTION("REGEXEXTRACT(C2552, ""🏘️ \w+ (\w+) .* ✅"")"),"appartement")</f>
        <v>appartement</v>
      </c>
      <c r="H2552" s="4" t="str">
        <f>IFERROR(__xludf.DUMMYFUNCTION("REGEXEXTRACT(A2552, ""/(\w+)-.*?"")"),"lieu")</f>
        <v>lieu</v>
      </c>
      <c r="I2552" s="4" t="str">
        <f>IFERROR(__xludf.DUMMYFUNCTION("if(D2552=""variant"",  substitute(filter(Templates!E:E, Templates!A:A = F2552, Templates!B:B = G2552, Templates!C:C = H2552), ""{{}}"", E2552), B2552)"),"🏘  Vous cherchez un appartement à louer à Canobbio? ✅ Les annonces les plus actuelles sont sur ImmoScout24.ch.")</f>
        <v>🏘  Vous cherchez un appartement à louer à Canobbio? ✅ Les annonces les plus actuelles sont sur ImmoScout24.ch.</v>
      </c>
      <c r="J2552" s="4" t="s">
        <v>7652</v>
      </c>
    </row>
    <row r="2553">
      <c r="A2553" s="5" t="s">
        <v>7653</v>
      </c>
      <c r="B2553" s="2" t="s">
        <v>7654</v>
      </c>
      <c r="C2553" s="4" t="str">
        <f>IFERROR(__xludf.DUMMYFUNCTION("""🏘️ ""&amp;REGEXEXTRACT(B2553, ""^(.*): "")&amp;"" ✅ "" &amp;REGEXEXTRACT(B2553, ""(Trouvez.*)"")"),"🏘️ Vendre maison Cevio ✅ Trouvez le bien immobilier qui correspond idéalement à vos désirs sur ImmoScout24 - La plateforme de l'immobilier en Suisse.")</f>
        <v>🏘️ Vendre maison Cevio ✅ Trouvez le bien immobilier qui correspond idéalement à vos désirs sur ImmoScout24 - La plateforme de l'immobilier en Suisse.</v>
      </c>
      <c r="D2553" s="4" t="str">
        <f>vlookup(A2553, Sheet2!D:E, 2, 0)</f>
        <v>variant</v>
      </c>
      <c r="E2553" s="4" t="str">
        <f>IFERROR(__xludf.DUMMYFUNCTION("if(H2553=""pays"",vlookup(REGEXEXTRACT(C2553, ""🏘️ \w+ \w+ (.*) ✅""),'Country prepositions'!A:B, 2, 0) &amp; "" "" &amp; REGEXEXTRACT(C2553, ""🏘️ \w+ \w+ (.*) ✅"") ,  if(H2553=""quartier"",vlookup(REGEXEXTRACT(C2553, ""🏘️ \w+ \w+ (.*) ✅""),'Quartier prepositio"&amp;"ns'!A:E, 5, 0) ,  if(H2553=""region"",vlookup(REGEXEXTRACT(C2553, ""🏘️ \w+ \w+ (.*) ✅""),'Region prepositions'!B:F, 5, 0),  REGEXEXTRACT(C2553, ""🏘️ \w+ \w+ (.*) ✅""))))"),"Cevio")</f>
        <v>Cevio</v>
      </c>
      <c r="F2553" s="2" t="str">
        <f>IFERROR(__xludf.DUMMYFUNCTION("REGEXEXTRACT(C2553, ""🏘️ (\w+) \w+ .* ✅"")"),"Vendre")</f>
        <v>Vendre</v>
      </c>
      <c r="G2553" s="2" t="str">
        <f>IFERROR(__xludf.DUMMYFUNCTION("REGEXEXTRACT(C2553, ""🏘️ \w+ (\w+) .* ✅"")"),"maison")</f>
        <v>maison</v>
      </c>
      <c r="H2553" s="4" t="str">
        <f>IFERROR(__xludf.DUMMYFUNCTION("REGEXEXTRACT(A2553, ""/(\w+)-.*?"")"),"lieu")</f>
        <v>lieu</v>
      </c>
      <c r="I2553" s="4" t="str">
        <f>IFERROR(__xludf.DUMMYFUNCTION("if(D2553=""variant"",  substitute(filter(Templates!E:E, Templates!A:A = F2553, Templates!B:B = G2553, Templates!C:C = H2553), ""{{}}"", E2553), B2553)"),"🏘  Vous souhaitez acheter une maison à Cevio? ✅ Jetez un œil aux dernières offres sur ImmoScout24.ch.")</f>
        <v>🏘  Vous souhaitez acheter une maison à Cevio? ✅ Jetez un œil aux dernières offres sur ImmoScout24.ch.</v>
      </c>
      <c r="J2553" s="4" t="s">
        <v>7655</v>
      </c>
    </row>
    <row r="2554">
      <c r="A2554" s="5" t="s">
        <v>7656</v>
      </c>
      <c r="B2554" s="2" t="s">
        <v>7657</v>
      </c>
      <c r="C2554" s="4" t="str">
        <f>IFERROR(__xludf.DUMMYFUNCTION("""🏘️ ""&amp;REGEXEXTRACT(B2554, ""^(.*): "")&amp;"" ✅ "" &amp;REGEXEXTRACT(B2554, ""(Trouvez.*)"")"),"🏘️ Louer appartement Borex ✅ Trouvez le bien immobilier qui correspond idéalement à vos désirs sur ImmoScout24 - La plateforme de l'immobilier en Suisse.")</f>
        <v>🏘️ Louer appartement Borex ✅ Trouvez le bien immobilier qui correspond idéalement à vos désirs sur ImmoScout24 - La plateforme de l'immobilier en Suisse.</v>
      </c>
      <c r="D2554" s="4" t="str">
        <f>vlookup(A2554, Sheet2!D:E, 2, 0)</f>
        <v>variant</v>
      </c>
      <c r="E2554" s="4" t="str">
        <f>IFERROR(__xludf.DUMMYFUNCTION("if(H2554=""pays"",vlookup(REGEXEXTRACT(C2554, ""🏘️ \w+ \w+ (.*) ✅""),'Country prepositions'!A:B, 2, 0) &amp; "" "" &amp; REGEXEXTRACT(C2554, ""🏘️ \w+ \w+ (.*) ✅"") ,  if(H2554=""quartier"",vlookup(REGEXEXTRACT(C2554, ""🏘️ \w+ \w+ (.*) ✅""),'Quartier prepositio"&amp;"ns'!A:E, 5, 0) ,  if(H2554=""region"",vlookup(REGEXEXTRACT(C2554, ""🏘️ \w+ \w+ (.*) ✅""),'Region prepositions'!B:F, 5, 0),  REGEXEXTRACT(C2554, ""🏘️ \w+ \w+ (.*) ✅""))))"),"Borex")</f>
        <v>Borex</v>
      </c>
      <c r="F2554" s="2" t="str">
        <f>IFERROR(__xludf.DUMMYFUNCTION("REGEXEXTRACT(C2554, ""🏘️ (\w+) \w+ .* ✅"")"),"Louer")</f>
        <v>Louer</v>
      </c>
      <c r="G2554" s="2" t="str">
        <f>IFERROR(__xludf.DUMMYFUNCTION("REGEXEXTRACT(C2554, ""🏘️ \w+ (\w+) .* ✅"")"),"appartement")</f>
        <v>appartement</v>
      </c>
      <c r="H2554" s="4" t="str">
        <f>IFERROR(__xludf.DUMMYFUNCTION("REGEXEXTRACT(A2554, ""/(\w+)-.*?"")"),"lieu")</f>
        <v>lieu</v>
      </c>
      <c r="I2554" s="4" t="str">
        <f>IFERROR(__xludf.DUMMYFUNCTION("if(D2554=""variant"",  substitute(filter(Templates!E:E, Templates!A:A = F2554, Templates!B:B = G2554, Templates!C:C = H2554), ""{{}}"", E2554), B2554)"),"🏘  Vous cherchez un appartement à louer à Borex? ✅ Les annonces les plus actuelles sont sur ImmoScout24.ch.")</f>
        <v>🏘  Vous cherchez un appartement à louer à Borex? ✅ Les annonces les plus actuelles sont sur ImmoScout24.ch.</v>
      </c>
      <c r="J2554" s="4" t="s">
        <v>7658</v>
      </c>
    </row>
    <row r="2555">
      <c r="A2555" s="5" t="s">
        <v>7659</v>
      </c>
      <c r="B2555" s="2" t="s">
        <v>7660</v>
      </c>
      <c r="C2555" s="4" t="str">
        <f>IFERROR(__xludf.DUMMYFUNCTION("""🏘️ ""&amp;REGEXEXTRACT(B2555, ""^(.*): "")&amp;"" ✅ "" &amp;REGEXEXTRACT(B2555, ""(Trouvez.*)"")"),"🏘️ Vendre appartement Schwarzsee ✅ Trouvez le bien immobilier qui correspond idéalement à vos désirs sur ImmoScout24 - La plateforme de l'immobilier en Suisse.")</f>
        <v>🏘️ Vendre appartement Schwarzsee ✅ Trouvez le bien immobilier qui correspond idéalement à vos désirs sur ImmoScout24 - La plateforme de l'immobilier en Suisse.</v>
      </c>
      <c r="D2555" s="4" t="str">
        <f>vlookup(A2555, Sheet2!D:E, 2, 0)</f>
        <v>variant</v>
      </c>
      <c r="E2555" s="4" t="str">
        <f>IFERROR(__xludf.DUMMYFUNCTION("if(H2555=""pays"",vlookup(REGEXEXTRACT(C2555, ""🏘️ \w+ \w+ (.*) ✅""),'Country prepositions'!A:B, 2, 0) &amp; "" "" &amp; REGEXEXTRACT(C2555, ""🏘️ \w+ \w+ (.*) ✅"") ,  if(H2555=""quartier"",vlookup(REGEXEXTRACT(C2555, ""🏘️ \w+ \w+ (.*) ✅""),'Quartier prepositio"&amp;"ns'!A:E, 5, 0) ,  if(H2555=""region"",vlookup(REGEXEXTRACT(C2555, ""🏘️ \w+ \w+ (.*) ✅""),'Region prepositions'!B:F, 5, 0),  REGEXEXTRACT(C2555, ""🏘️ \w+ \w+ (.*) ✅""))))"),"Schwarzsee")</f>
        <v>Schwarzsee</v>
      </c>
      <c r="F2555" s="2" t="str">
        <f>IFERROR(__xludf.DUMMYFUNCTION("REGEXEXTRACT(C2555, ""🏘️ (\w+) \w+ .* ✅"")"),"Vendre")</f>
        <v>Vendre</v>
      </c>
      <c r="G2555" s="2" t="str">
        <f>IFERROR(__xludf.DUMMYFUNCTION("REGEXEXTRACT(C2555, ""🏘️ \w+ (\w+) .* ✅"")"),"appartement")</f>
        <v>appartement</v>
      </c>
      <c r="H2555" s="4" t="str">
        <f>IFERROR(__xludf.DUMMYFUNCTION("REGEXEXTRACT(A2555, ""/(\w+)-.*?"")"),"lieu")</f>
        <v>lieu</v>
      </c>
      <c r="I2555" s="4" t="str">
        <f>IFERROR(__xludf.DUMMYFUNCTION("if(D2555=""variant"",  substitute(filter(Templates!E:E, Templates!A:A = F2555, Templates!B:B = G2555, Templates!C:C = H2555), ""{{}}"", E2555), B2555)"),"🏘  L’appartement de vos rêves se trouve sur ImmoScout24.ch ✅ Découvrez les dernières annonces de vente à Schwarzsee.")</f>
        <v>🏘  L’appartement de vos rêves se trouve sur ImmoScout24.ch ✅ Découvrez les dernières annonces de vente à Schwarzsee.</v>
      </c>
      <c r="J2555" s="4" t="s">
        <v>7661</v>
      </c>
    </row>
    <row r="2556">
      <c r="A2556" s="5" t="s">
        <v>7662</v>
      </c>
      <c r="B2556" s="2" t="s">
        <v>7663</v>
      </c>
      <c r="C2556" s="4" t="str">
        <f>IFERROR(__xludf.DUMMYFUNCTION("""🏘️ ""&amp;REGEXEXTRACT(B2556, ""^(.*): "")&amp;"" ✅ "" &amp;REGEXEXTRACT(B2556, ""(Trouvez.*)"")"),"🏘️ Louer appartement St-Saphorin-sur-Morges ✅ Trouvez le bien immobilier qui correspond idéalement à vos désirs sur ImmoScout24 - La plateforme de l'immobilier en Suisse.")</f>
        <v>🏘️ Louer appartement St-Saphorin-sur-Morges ✅ Trouvez le bien immobilier qui correspond idéalement à vos désirs sur ImmoScout24 - La plateforme de l'immobilier en Suisse.</v>
      </c>
      <c r="D2556" s="4" t="str">
        <f>vlookup(A2556, Sheet2!D:E, 2, 0)</f>
        <v>variant</v>
      </c>
      <c r="E2556" s="4" t="str">
        <f>IFERROR(__xludf.DUMMYFUNCTION("if(H2556=""pays"",vlookup(REGEXEXTRACT(C2556, ""🏘️ \w+ \w+ (.*) ✅""),'Country prepositions'!A:B, 2, 0) &amp; "" "" &amp; REGEXEXTRACT(C2556, ""🏘️ \w+ \w+ (.*) ✅"") ,  if(H2556=""quartier"",vlookup(REGEXEXTRACT(C2556, ""🏘️ \w+ \w+ (.*) ✅""),'Quartier prepositio"&amp;"ns'!A:E, 5, 0) ,  if(H2556=""region"",vlookup(REGEXEXTRACT(C2556, ""🏘️ \w+ \w+ (.*) ✅""),'Region prepositions'!B:F, 5, 0),  REGEXEXTRACT(C2556, ""🏘️ \w+ \w+ (.*) ✅""))))"),"St-Saphorin-sur-Morges")</f>
        <v>St-Saphorin-sur-Morges</v>
      </c>
      <c r="F2556" s="2" t="str">
        <f>IFERROR(__xludf.DUMMYFUNCTION("REGEXEXTRACT(C2556, ""🏘️ (\w+) \w+ .* ✅"")"),"Louer")</f>
        <v>Louer</v>
      </c>
      <c r="G2556" s="2" t="str">
        <f>IFERROR(__xludf.DUMMYFUNCTION("REGEXEXTRACT(C2556, ""🏘️ \w+ (\w+) .* ✅"")"),"appartement")</f>
        <v>appartement</v>
      </c>
      <c r="H2556" s="4" t="str">
        <f>IFERROR(__xludf.DUMMYFUNCTION("REGEXEXTRACT(A2556, ""/(\w+)-.*?"")"),"lieu")</f>
        <v>lieu</v>
      </c>
      <c r="I2556" s="4" t="str">
        <f>IFERROR(__xludf.DUMMYFUNCTION("if(D2556=""variant"",  substitute(filter(Templates!E:E, Templates!A:A = F2556, Templates!B:B = G2556, Templates!C:C = H2556), ""{{}}"", E2556), B2556)"),"🏘  Vous cherchez un appartement à louer à St-Saphorin-sur-Morges? ✅ Les annonces les plus actuelles sont sur ImmoScout24.ch.")</f>
        <v>🏘  Vous cherchez un appartement à louer à St-Saphorin-sur-Morges? ✅ Les annonces les plus actuelles sont sur ImmoScout24.ch.</v>
      </c>
      <c r="J2556" s="4" t="s">
        <v>7664</v>
      </c>
    </row>
    <row r="2557">
      <c r="A2557" s="5" t="s">
        <v>7665</v>
      </c>
      <c r="B2557" s="2" t="s">
        <v>7666</v>
      </c>
      <c r="C2557" s="4" t="str">
        <f>IFERROR(__xludf.DUMMYFUNCTION("""🏘️ ""&amp;REGEXEXTRACT(B2557, ""^(.*): "")&amp;"" ✅ "" &amp;REGEXEXTRACT(B2557, ""(Trouvez.*)"")"),"🏘️ Vendre appartement Savosa ✅ Trouvez le bien immobilier qui correspond idéalement à vos désirs sur ImmoScout24 - La plateforme de l'immobilier en Suisse.")</f>
        <v>🏘️ Vendre appartement Savosa ✅ Trouvez le bien immobilier qui correspond idéalement à vos désirs sur ImmoScout24 - La plateforme de l'immobilier en Suisse.</v>
      </c>
      <c r="D2557" s="4" t="str">
        <f>vlookup(A2557, Sheet2!D:E, 2, 0)</f>
        <v>variant</v>
      </c>
      <c r="E2557" s="4" t="str">
        <f>IFERROR(__xludf.DUMMYFUNCTION("if(H2557=""pays"",vlookup(REGEXEXTRACT(C2557, ""🏘️ \w+ \w+ (.*) ✅""),'Country prepositions'!A:B, 2, 0) &amp; "" "" &amp; REGEXEXTRACT(C2557, ""🏘️ \w+ \w+ (.*) ✅"") ,  if(H2557=""quartier"",vlookup(REGEXEXTRACT(C2557, ""🏘️ \w+ \w+ (.*) ✅""),'Quartier prepositio"&amp;"ns'!A:E, 5, 0) ,  if(H2557=""region"",vlookup(REGEXEXTRACT(C2557, ""🏘️ \w+ \w+ (.*) ✅""),'Region prepositions'!B:F, 5, 0),  REGEXEXTRACT(C2557, ""🏘️ \w+ \w+ (.*) ✅""))))"),"Savosa")</f>
        <v>Savosa</v>
      </c>
      <c r="F2557" s="2" t="str">
        <f>IFERROR(__xludf.DUMMYFUNCTION("REGEXEXTRACT(C2557, ""🏘️ (\w+) \w+ .* ✅"")"),"Vendre")</f>
        <v>Vendre</v>
      </c>
      <c r="G2557" s="2" t="str">
        <f>IFERROR(__xludf.DUMMYFUNCTION("REGEXEXTRACT(C2557, ""🏘️ \w+ (\w+) .* ✅"")"),"appartement")</f>
        <v>appartement</v>
      </c>
      <c r="H2557" s="4" t="str">
        <f>IFERROR(__xludf.DUMMYFUNCTION("REGEXEXTRACT(A2557, ""/(\w+)-.*?"")"),"lieu")</f>
        <v>lieu</v>
      </c>
      <c r="I2557" s="4" t="str">
        <f>IFERROR(__xludf.DUMMYFUNCTION("if(D2557=""variant"",  substitute(filter(Templates!E:E, Templates!A:A = F2557, Templates!B:B = G2557, Templates!C:C = H2557), ""{{}}"", E2557), B2557)"),"🏘  L’appartement de vos rêves se trouve sur ImmoScout24.ch ✅ Découvrez les dernières annonces de vente à Savosa.")</f>
        <v>🏘  L’appartement de vos rêves se trouve sur ImmoScout24.ch ✅ Découvrez les dernières annonces de vente à Savosa.</v>
      </c>
      <c r="J2557" s="4" t="s">
        <v>7667</v>
      </c>
    </row>
    <row r="2558">
      <c r="A2558" s="5" t="s">
        <v>7668</v>
      </c>
      <c r="B2558" s="2" t="s">
        <v>7669</v>
      </c>
      <c r="C2558" s="4" t="str">
        <f>IFERROR(__xludf.DUMMYFUNCTION("""🏘️ ""&amp;REGEXEXTRACT(B2558, ""^(.*): "")&amp;"" ✅ "" &amp;REGEXEXTRACT(B2558, ""(Trouvez.*)"")"),"🏘️ Louer maison Cheyres ✅ Trouvez le bien immobilier qui correspond idéalement à vos désirs sur ImmoScout24 - La plateforme de l'immobilier en Suisse.")</f>
        <v>🏘️ Louer maison Cheyres ✅ Trouvez le bien immobilier qui correspond idéalement à vos désirs sur ImmoScout24 - La plateforme de l'immobilier en Suisse.</v>
      </c>
      <c r="D2558" s="4" t="str">
        <f>vlookup(A2558, Sheet2!D:E, 2, 0)</f>
        <v>variant</v>
      </c>
      <c r="E2558" s="4" t="str">
        <f>IFERROR(__xludf.DUMMYFUNCTION("if(H2558=""pays"",vlookup(REGEXEXTRACT(C2558, ""🏘️ \w+ \w+ (.*) ✅""),'Country prepositions'!A:B, 2, 0) &amp; "" "" &amp; REGEXEXTRACT(C2558, ""🏘️ \w+ \w+ (.*) ✅"") ,  if(H2558=""quartier"",vlookup(REGEXEXTRACT(C2558, ""🏘️ \w+ \w+ (.*) ✅""),'Quartier prepositio"&amp;"ns'!A:E, 5, 0) ,  if(H2558=""region"",vlookup(REGEXEXTRACT(C2558, ""🏘️ \w+ \w+ (.*) ✅""),'Region prepositions'!B:F, 5, 0),  REGEXEXTRACT(C2558, ""🏘️ \w+ \w+ (.*) ✅""))))"),"Cheyres")</f>
        <v>Cheyres</v>
      </c>
      <c r="F2558" s="2" t="str">
        <f>IFERROR(__xludf.DUMMYFUNCTION("REGEXEXTRACT(C2558, ""🏘️ (\w+) \w+ .* ✅"")"),"Louer")</f>
        <v>Louer</v>
      </c>
      <c r="G2558" s="2" t="str">
        <f>IFERROR(__xludf.DUMMYFUNCTION("REGEXEXTRACT(C2558, ""🏘️ \w+ (\w+) .* ✅"")"),"maison")</f>
        <v>maison</v>
      </c>
      <c r="H2558" s="4" t="str">
        <f>IFERROR(__xludf.DUMMYFUNCTION("REGEXEXTRACT(A2558, ""/(\w+)-.*?"")"),"lieu")</f>
        <v>lieu</v>
      </c>
      <c r="I2558" s="4" t="str">
        <f>IFERROR(__xludf.DUMMYFUNCTION("if(D2558=""variant"",  substitute(filter(Templates!E:E, Templates!A:A = F2558, Templates!B:B = G2558, Templates!C:C = H2558), ""{{}}"", E2558), B2558)"),"🏘  Vous cherchez une maison à louer à Cheyres? ✅ Découvrez nos nombreuses annonces sur ImmoScout24.ch.")</f>
        <v>🏘  Vous cherchez une maison à louer à Cheyres? ✅ Découvrez nos nombreuses annonces sur ImmoScout24.ch.</v>
      </c>
      <c r="J2558" s="4" t="s">
        <v>7670</v>
      </c>
    </row>
    <row r="2559">
      <c r="A2559" s="5" t="s">
        <v>7671</v>
      </c>
      <c r="B2559" s="2" t="s">
        <v>7672</v>
      </c>
      <c r="C2559" s="4" t="str">
        <f>IFERROR(__xludf.DUMMYFUNCTION("""🏘️ ""&amp;REGEXEXTRACT(B2559, ""^(.*): "")&amp;"" ✅ "" &amp;REGEXEXTRACT(B2559, ""(Trouvez.*)"")"),"🏘️ Vendre appartement Frick ✅ Trouvez le bien immobilier qui correspond idéalement à vos désirs sur ImmoScout24 - La plateforme de l'immobilier en Suisse.")</f>
        <v>🏘️ Vendre appartement Frick ✅ Trouvez le bien immobilier qui correspond idéalement à vos désirs sur ImmoScout24 - La plateforme de l'immobilier en Suisse.</v>
      </c>
      <c r="D2559" s="4" t="str">
        <f>vlookup(A2559, Sheet2!D:E, 2, 0)</f>
        <v>variant</v>
      </c>
      <c r="E2559" s="4" t="str">
        <f>IFERROR(__xludf.DUMMYFUNCTION("if(H2559=""pays"",vlookup(REGEXEXTRACT(C2559, ""🏘️ \w+ \w+ (.*) ✅""),'Country prepositions'!A:B, 2, 0) &amp; "" "" &amp; REGEXEXTRACT(C2559, ""🏘️ \w+ \w+ (.*) ✅"") ,  if(H2559=""quartier"",vlookup(REGEXEXTRACT(C2559, ""🏘️ \w+ \w+ (.*) ✅""),'Quartier prepositio"&amp;"ns'!A:E, 5, 0) ,  if(H2559=""region"",vlookup(REGEXEXTRACT(C2559, ""🏘️ \w+ \w+ (.*) ✅""),'Region prepositions'!B:F, 5, 0),  REGEXEXTRACT(C2559, ""🏘️ \w+ \w+ (.*) ✅""))))"),"Frick")</f>
        <v>Frick</v>
      </c>
      <c r="F2559" s="2" t="str">
        <f>IFERROR(__xludf.DUMMYFUNCTION("REGEXEXTRACT(C2559, ""🏘️ (\w+) \w+ .* ✅"")"),"Vendre")</f>
        <v>Vendre</v>
      </c>
      <c r="G2559" s="2" t="str">
        <f>IFERROR(__xludf.DUMMYFUNCTION("REGEXEXTRACT(C2559, ""🏘️ \w+ (\w+) .* ✅"")"),"appartement")</f>
        <v>appartement</v>
      </c>
      <c r="H2559" s="4" t="str">
        <f>IFERROR(__xludf.DUMMYFUNCTION("REGEXEXTRACT(A2559, ""/(\w+)-.*?"")"),"lieu")</f>
        <v>lieu</v>
      </c>
      <c r="I2559" s="4" t="str">
        <f>IFERROR(__xludf.DUMMYFUNCTION("if(D2559=""variant"",  substitute(filter(Templates!E:E, Templates!A:A = F2559, Templates!B:B = G2559, Templates!C:C = H2559), ""{{}}"", E2559), B2559)"),"🏘  L’appartement de vos rêves se trouve sur ImmoScout24.ch ✅ Découvrez les dernières annonces de vente à Frick.")</f>
        <v>🏘  L’appartement de vos rêves se trouve sur ImmoScout24.ch ✅ Découvrez les dernières annonces de vente à Frick.</v>
      </c>
      <c r="J2559" s="4" t="s">
        <v>7673</v>
      </c>
    </row>
    <row r="2560">
      <c r="A2560" s="5" t="s">
        <v>7674</v>
      </c>
      <c r="B2560" s="2" t="s">
        <v>7675</v>
      </c>
      <c r="C2560" s="4" t="str">
        <f>IFERROR(__xludf.DUMMYFUNCTION("""🏘️ ""&amp;REGEXEXTRACT(B2560, ""^(.*): "")&amp;"" ✅ "" &amp;REGEXEXTRACT(B2560, ""(Trouvez.*)"")"),"🏘️ Vendre appartement Canton d'Obwald ✅ Trouvez le bien immobilier qui correspond idéalement à vos désirs sur ImmoScout24 - La plateforme de l'immobilier en Suisse.")</f>
        <v>🏘️ Vendre appartement Canton d'Obwald ✅ Trouvez le bien immobilier qui correspond idéalement à vos désirs sur ImmoScout24 - La plateforme de l'immobilier en Suisse.</v>
      </c>
      <c r="D2560" s="4" t="str">
        <f>vlookup(A2560, Sheet2!D:E, 2, 0)</f>
        <v>variant</v>
      </c>
      <c r="E2560" s="4" t="str">
        <f>IFERROR(__xludf.DUMMYFUNCTION("if(H2560=""pays"",vlookup(REGEXEXTRACT(C2560, ""🏘️ \w+ \w+ (.*) ✅""),'Country prepositions'!A:B, 2, 0) &amp; "" "" &amp; REGEXEXTRACT(C2560, ""🏘️ \w+ \w+ (.*) ✅"") ,  if(H2560=""quartier"",vlookup(REGEXEXTRACT(C2560, ""🏘️ \w+ \w+ (.*) ✅""),'Quartier prepositio"&amp;"ns'!A:E, 5, 0) ,  if(H2560=""region"",vlookup(REGEXEXTRACT(C2560, ""🏘️ \w+ \w+ (.*) ✅""),'Region prepositions'!B:F, 5, 0),  REGEXEXTRACT(C2560, ""🏘️ \w+ \w+ (.*) ✅""))))"),"Canton d'Obwald")</f>
        <v>Canton d'Obwald</v>
      </c>
      <c r="F2560" s="2" t="str">
        <f>IFERROR(__xludf.DUMMYFUNCTION("REGEXEXTRACT(C2560, ""🏘️ (\w+) \w+ .* ✅"")"),"Vendre")</f>
        <v>Vendre</v>
      </c>
      <c r="G2560" s="2" t="str">
        <f>IFERROR(__xludf.DUMMYFUNCTION("REGEXEXTRACT(C2560, ""🏘️ \w+ (\w+) .* ✅"")"),"appartement")</f>
        <v>appartement</v>
      </c>
      <c r="H2560" s="4" t="str">
        <f>IFERROR(__xludf.DUMMYFUNCTION("REGEXEXTRACT(A2560, ""/(\w+)-.*?"")"),"canton")</f>
        <v>canton</v>
      </c>
      <c r="I2560" s="4" t="str">
        <f>IFERROR(__xludf.DUMMYFUNCTION("if(D2560=""variant"",  substitute(filter(Templates!E:E, Templates!A:A = F2560, Templates!B:B = G2560, Templates!C:C = H2560), ""{{}}"", E2560), B2560)"),"#N/A")</f>
        <v>#N/A</v>
      </c>
      <c r="J2560" s="4" t="s">
        <v>7676</v>
      </c>
    </row>
    <row r="2561">
      <c r="A2561" s="5" t="s">
        <v>7677</v>
      </c>
      <c r="B2561" s="2" t="s">
        <v>7678</v>
      </c>
      <c r="C2561" s="4" t="str">
        <f>IFERROR(__xludf.DUMMYFUNCTION("""🏘️ ""&amp;REGEXEXTRACT(B2561, ""^(.*): "")&amp;"" ✅ "" &amp;REGEXEXTRACT(B2561, ""(Trouvez.*)"")"),"🏘️ Vendre appartement Büsingen ✅ Trouvez le bien immobilier qui correspond idéalement à vos désirs sur ImmoScout24 - La plateforme de l'immobilier en Suisse.")</f>
        <v>🏘️ Vendre appartement Büsingen ✅ Trouvez le bien immobilier qui correspond idéalement à vos désirs sur ImmoScout24 - La plateforme de l'immobilier en Suisse.</v>
      </c>
      <c r="D2561" s="4" t="str">
        <f>vlookup(A2561, Sheet2!D:E, 2, 0)</f>
        <v>variant</v>
      </c>
      <c r="E2561" s="4" t="str">
        <f>IFERROR(__xludf.DUMMYFUNCTION("if(H2561=""pays"",vlookup(REGEXEXTRACT(C2561, ""🏘️ \w+ \w+ (.*) ✅""),'Country prepositions'!A:B, 2, 0) &amp; "" "" &amp; REGEXEXTRACT(C2561, ""🏘️ \w+ \w+ (.*) ✅"") ,  if(H2561=""quartier"",vlookup(REGEXEXTRACT(C2561, ""🏘️ \w+ \w+ (.*) ✅""),'Quartier prepositio"&amp;"ns'!A:E, 5, 0) ,  if(H2561=""region"",vlookup(REGEXEXTRACT(C2561, ""🏘️ \w+ \w+ (.*) ✅""),'Region prepositions'!B:F, 5, 0),  REGEXEXTRACT(C2561, ""🏘️ \w+ \w+ (.*) ✅""))))"),"Büsingen")</f>
        <v>Büsingen</v>
      </c>
      <c r="F2561" s="2" t="str">
        <f>IFERROR(__xludf.DUMMYFUNCTION("REGEXEXTRACT(C2561, ""🏘️ (\w+) \w+ .* ✅"")"),"Vendre")</f>
        <v>Vendre</v>
      </c>
      <c r="G2561" s="2" t="str">
        <f>IFERROR(__xludf.DUMMYFUNCTION("REGEXEXTRACT(C2561, ""🏘️ \w+ (\w+) .* ✅"")"),"appartement")</f>
        <v>appartement</v>
      </c>
      <c r="H2561" s="4" t="str">
        <f>IFERROR(__xludf.DUMMYFUNCTION("REGEXEXTRACT(A2561, ""/(\w+)-.*?"")"),"lieu")</f>
        <v>lieu</v>
      </c>
      <c r="I2561" s="4" t="str">
        <f>IFERROR(__xludf.DUMMYFUNCTION("if(D2561=""variant"",  substitute(filter(Templates!E:E, Templates!A:A = F2561, Templates!B:B = G2561, Templates!C:C = H2561), ""{{}}"", E2561), B2561)"),"🏘  L’appartement de vos rêves se trouve sur ImmoScout24.ch ✅ Découvrez les dernières annonces de vente à Büsingen.")</f>
        <v>🏘  L’appartement de vos rêves se trouve sur ImmoScout24.ch ✅ Découvrez les dernières annonces de vente à Büsingen.</v>
      </c>
      <c r="J2561" s="4" t="s">
        <v>7679</v>
      </c>
    </row>
    <row r="2562">
      <c r="A2562" s="5" t="s">
        <v>7680</v>
      </c>
      <c r="B2562" s="2" t="s">
        <v>7681</v>
      </c>
      <c r="C2562" s="4" t="str">
        <f>IFERROR(__xludf.DUMMYFUNCTION("""🏘️ ""&amp;REGEXEXTRACT(B2562, ""^(.*): "")&amp;"" ✅ "" &amp;REGEXEXTRACT(B2562, ""(Trouvez.*)"")"),"🏘️ Louer appartement Vaux-sur-Morges ✅ Trouvez le bien immobilier qui correspond idéalement à vos désirs sur ImmoScout24 - La plateforme de l'immobilier en Suisse.")</f>
        <v>🏘️ Louer appartement Vaux-sur-Morges ✅ Trouvez le bien immobilier qui correspond idéalement à vos désirs sur ImmoScout24 - La plateforme de l'immobilier en Suisse.</v>
      </c>
      <c r="D2562" s="4" t="str">
        <f>vlookup(A2562, Sheet2!D:E, 2, 0)</f>
        <v>variant</v>
      </c>
      <c r="E2562" s="4" t="str">
        <f>IFERROR(__xludf.DUMMYFUNCTION("if(H2562=""pays"",vlookup(REGEXEXTRACT(C2562, ""🏘️ \w+ \w+ (.*) ✅""),'Country prepositions'!A:B, 2, 0) &amp; "" "" &amp; REGEXEXTRACT(C2562, ""🏘️ \w+ \w+ (.*) ✅"") ,  if(H2562=""quartier"",vlookup(REGEXEXTRACT(C2562, ""🏘️ \w+ \w+ (.*) ✅""),'Quartier prepositio"&amp;"ns'!A:E, 5, 0) ,  if(H2562=""region"",vlookup(REGEXEXTRACT(C2562, ""🏘️ \w+ \w+ (.*) ✅""),'Region prepositions'!B:F, 5, 0),  REGEXEXTRACT(C2562, ""🏘️ \w+ \w+ (.*) ✅""))))"),"Vaux-sur-Morges")</f>
        <v>Vaux-sur-Morges</v>
      </c>
      <c r="F2562" s="2" t="str">
        <f>IFERROR(__xludf.DUMMYFUNCTION("REGEXEXTRACT(C2562, ""🏘️ (\w+) \w+ .* ✅"")"),"Louer")</f>
        <v>Louer</v>
      </c>
      <c r="G2562" s="2" t="str">
        <f>IFERROR(__xludf.DUMMYFUNCTION("REGEXEXTRACT(C2562, ""🏘️ \w+ (\w+) .* ✅"")"),"appartement")</f>
        <v>appartement</v>
      </c>
      <c r="H2562" s="4" t="str">
        <f>IFERROR(__xludf.DUMMYFUNCTION("REGEXEXTRACT(A2562, ""/(\w+)-.*?"")"),"lieu")</f>
        <v>lieu</v>
      </c>
      <c r="I2562" s="4" t="str">
        <f>IFERROR(__xludf.DUMMYFUNCTION("if(D2562=""variant"",  substitute(filter(Templates!E:E, Templates!A:A = F2562, Templates!B:B = G2562, Templates!C:C = H2562), ""{{}}"", E2562), B2562)"),"🏘  Vous cherchez un appartement à louer à Vaux-sur-Morges? ✅ Les annonces les plus actuelles sont sur ImmoScout24.ch.")</f>
        <v>🏘  Vous cherchez un appartement à louer à Vaux-sur-Morges? ✅ Les annonces les plus actuelles sont sur ImmoScout24.ch.</v>
      </c>
      <c r="J2562" s="4" t="s">
        <v>7682</v>
      </c>
    </row>
    <row r="2563">
      <c r="A2563" s="5" t="s">
        <v>7683</v>
      </c>
      <c r="B2563" s="2" t="s">
        <v>7684</v>
      </c>
      <c r="C2563" s="4" t="str">
        <f>IFERROR(__xludf.DUMMYFUNCTION("""🏘️ ""&amp;REGEXEXTRACT(B2563, ""^(.*): "")&amp;"" ✅ "" &amp;REGEXEXTRACT(B2563, ""(Trouvez.*)"")"),"🏘️ Vendre maison Russin ✅ Trouvez le bien immobilier qui correspond idéalement à vos désirs sur ImmoScout24 - La plateforme de l'immobilier en Suisse.")</f>
        <v>🏘️ Vendre maison Russin ✅ Trouvez le bien immobilier qui correspond idéalement à vos désirs sur ImmoScout24 - La plateforme de l'immobilier en Suisse.</v>
      </c>
      <c r="D2563" s="4" t="str">
        <f>vlookup(A2563, Sheet2!D:E, 2, 0)</f>
        <v>variant</v>
      </c>
      <c r="E2563" s="4" t="str">
        <f>IFERROR(__xludf.DUMMYFUNCTION("if(H2563=""pays"",vlookup(REGEXEXTRACT(C2563, ""🏘️ \w+ \w+ (.*) ✅""),'Country prepositions'!A:B, 2, 0) &amp; "" "" &amp; REGEXEXTRACT(C2563, ""🏘️ \w+ \w+ (.*) ✅"") ,  if(H2563=""quartier"",vlookup(REGEXEXTRACT(C2563, ""🏘️ \w+ \w+ (.*) ✅""),'Quartier prepositio"&amp;"ns'!A:E, 5, 0) ,  if(H2563=""region"",vlookup(REGEXEXTRACT(C2563, ""🏘️ \w+ \w+ (.*) ✅""),'Region prepositions'!B:F, 5, 0),  REGEXEXTRACT(C2563, ""🏘️ \w+ \w+ (.*) ✅""))))"),"Russin")</f>
        <v>Russin</v>
      </c>
      <c r="F2563" s="2" t="str">
        <f>IFERROR(__xludf.DUMMYFUNCTION("REGEXEXTRACT(C2563, ""🏘️ (\w+) \w+ .* ✅"")"),"Vendre")</f>
        <v>Vendre</v>
      </c>
      <c r="G2563" s="2" t="str">
        <f>IFERROR(__xludf.DUMMYFUNCTION("REGEXEXTRACT(C2563, ""🏘️ \w+ (\w+) .* ✅"")"),"maison")</f>
        <v>maison</v>
      </c>
      <c r="H2563" s="4" t="str">
        <f>IFERROR(__xludf.DUMMYFUNCTION("REGEXEXTRACT(A2563, ""/(\w+)-.*?"")"),"lieu")</f>
        <v>lieu</v>
      </c>
      <c r="I2563" s="4" t="str">
        <f>IFERROR(__xludf.DUMMYFUNCTION("if(D2563=""variant"",  substitute(filter(Templates!E:E, Templates!A:A = F2563, Templates!B:B = G2563, Templates!C:C = H2563), ""{{}}"", E2563), B2563)"),"🏘  Vous souhaitez acheter une maison à Russin? ✅ Jetez un œil aux dernières offres sur ImmoScout24.ch.")</f>
        <v>🏘  Vous souhaitez acheter une maison à Russin? ✅ Jetez un œil aux dernières offres sur ImmoScout24.ch.</v>
      </c>
      <c r="J2563" s="4" t="s">
        <v>7685</v>
      </c>
    </row>
    <row r="2564">
      <c r="A2564" s="5" t="s">
        <v>7686</v>
      </c>
      <c r="B2564" s="2" t="s">
        <v>7687</v>
      </c>
      <c r="C2564" s="4" t="str">
        <f>IFERROR(__xludf.DUMMYFUNCTION("""🏘️ ""&amp;REGEXEXTRACT(B2564, ""^(.*): "")&amp;"" ✅ "" &amp;REGEXEXTRACT(B2564, ""(Trouvez.*)"")"),"🏘️ Louer appartement Prévonloup ✅ Trouvez le bien immobilier qui correspond idéalement à vos désirs sur ImmoScout24 - La plateforme de l'immobilier en Suisse.")</f>
        <v>🏘️ Louer appartement Prévonloup ✅ Trouvez le bien immobilier qui correspond idéalement à vos désirs sur ImmoScout24 - La plateforme de l'immobilier en Suisse.</v>
      </c>
      <c r="D2564" s="4" t="str">
        <f>vlookup(A2564, Sheet2!D:E, 2, 0)</f>
        <v>variant</v>
      </c>
      <c r="E2564" s="4" t="str">
        <f>IFERROR(__xludf.DUMMYFUNCTION("if(H2564=""pays"",vlookup(REGEXEXTRACT(C2564, ""🏘️ \w+ \w+ (.*) ✅""),'Country prepositions'!A:B, 2, 0) &amp; "" "" &amp; REGEXEXTRACT(C2564, ""🏘️ \w+ \w+ (.*) ✅"") ,  if(H2564=""quartier"",vlookup(REGEXEXTRACT(C2564, ""🏘️ \w+ \w+ (.*) ✅""),'Quartier prepositio"&amp;"ns'!A:E, 5, 0) ,  if(H2564=""region"",vlookup(REGEXEXTRACT(C2564, ""🏘️ \w+ \w+ (.*) ✅""),'Region prepositions'!B:F, 5, 0),  REGEXEXTRACT(C2564, ""🏘️ \w+ \w+ (.*) ✅""))))"),"Prévonloup")</f>
        <v>Prévonloup</v>
      </c>
      <c r="F2564" s="2" t="str">
        <f>IFERROR(__xludf.DUMMYFUNCTION("REGEXEXTRACT(C2564, ""🏘️ (\w+) \w+ .* ✅"")"),"Louer")</f>
        <v>Louer</v>
      </c>
      <c r="G2564" s="2" t="str">
        <f>IFERROR(__xludf.DUMMYFUNCTION("REGEXEXTRACT(C2564, ""🏘️ \w+ (\w+) .* ✅"")"),"appartement")</f>
        <v>appartement</v>
      </c>
      <c r="H2564" s="4" t="str">
        <f>IFERROR(__xludf.DUMMYFUNCTION("REGEXEXTRACT(A2564, ""/(\w+)-.*?"")"),"lieu")</f>
        <v>lieu</v>
      </c>
      <c r="I2564" s="4" t="str">
        <f>IFERROR(__xludf.DUMMYFUNCTION("if(D2564=""variant"",  substitute(filter(Templates!E:E, Templates!A:A = F2564, Templates!B:B = G2564, Templates!C:C = H2564), ""{{}}"", E2564), B2564)"),"🏘  Vous cherchez un appartement à louer à Prévonloup? ✅ Les annonces les plus actuelles sont sur ImmoScout24.ch.")</f>
        <v>🏘  Vous cherchez un appartement à louer à Prévonloup? ✅ Les annonces les plus actuelles sont sur ImmoScout24.ch.</v>
      </c>
      <c r="J2564" s="4" t="s">
        <v>7688</v>
      </c>
    </row>
    <row r="2565">
      <c r="A2565" s="5" t="s">
        <v>7689</v>
      </c>
      <c r="B2565" s="2" t="s">
        <v>7690</v>
      </c>
      <c r="C2565" s="4" t="str">
        <f>IFERROR(__xludf.DUMMYFUNCTION("""🏘️ ""&amp;REGEXEXTRACT(B2565, ""^(.*): "")&amp;"" ✅ "" &amp;REGEXEXTRACT(B2565, ""(Trouvez.*)"")"),"🏘️ Louer appartement Zürcher Unterland ✅ Trouvez le bien immobilier qui correspond idéalement à vos désirs sur ImmoScout24 - La plateforme de l'immobilier en Suisse.")</f>
        <v>🏘️ Louer appartement Zürcher Unterland ✅ Trouvez le bien immobilier qui correspond idéalement à vos désirs sur ImmoScout24 - La plateforme de l'immobilier en Suisse.</v>
      </c>
      <c r="D2565" s="4" t="str">
        <f>vlookup(A2565, Sheet2!D:E, 2, 0)</f>
        <v>variant</v>
      </c>
      <c r="E2565" s="4" t="str">
        <f>IFERROR(__xludf.DUMMYFUNCTION("if(H2565=""pays"",vlookup(REGEXEXTRACT(C2565, ""🏘️ \w+ \w+ (.*) ✅""),'Country prepositions'!A:B, 2, 0) &amp; "" "" &amp; REGEXEXTRACT(C2565, ""🏘️ \w+ \w+ (.*) ✅"") ,  if(H2565=""quartier"",vlookup(REGEXEXTRACT(C2565, ""🏘️ \w+ \w+ (.*) ✅""),'Quartier prepositio"&amp;"ns'!A:E, 5, 0) ,  if(H2565=""region"",vlookup(REGEXEXTRACT(C2565, ""🏘️ \w+ \w+ (.*) ✅""),'Region prepositions'!B:F, 5, 0),  REGEXEXTRACT(C2565, ""🏘️ \w+ \w+ (.*) ✅""))))"),"dans l'Unterland zurichois")</f>
        <v>dans l'Unterland zurichois</v>
      </c>
      <c r="F2565" s="2" t="str">
        <f>IFERROR(__xludf.DUMMYFUNCTION("REGEXEXTRACT(C2565, ""🏘️ (\w+) \w+ .* ✅"")"),"Louer")</f>
        <v>Louer</v>
      </c>
      <c r="G2565" s="2" t="str">
        <f>IFERROR(__xludf.DUMMYFUNCTION("REGEXEXTRACT(C2565, ""🏘️ \w+ (\w+) .* ✅"")"),"appartement")</f>
        <v>appartement</v>
      </c>
      <c r="H2565" s="4" t="str">
        <f>IFERROR(__xludf.DUMMYFUNCTION("REGEXEXTRACT(A2565, ""/(\w+)-.*?"")"),"region")</f>
        <v>region</v>
      </c>
      <c r="I2565" s="4" t="str">
        <f>IFERROR(__xludf.DUMMYFUNCTION("if(D2565=""variant"",  substitute(filter(Templates!E:E, Templates!A:A = F2565, Templates!B:B = G2565, Templates!C:C = H2565), ""{{}}"", E2565), B2565)"),"🏘  Vous cherchez un appartement à louer dans l'Unterland zurichois? ✅ Les annonces les plus actuelles sont sur ImmoScout24.ch.")</f>
        <v>🏘  Vous cherchez un appartement à louer dans l'Unterland zurichois? ✅ Les annonces les plus actuelles sont sur ImmoScout24.ch.</v>
      </c>
      <c r="J2565" s="4" t="s">
        <v>7691</v>
      </c>
    </row>
    <row r="2566">
      <c r="A2566" s="5" t="s">
        <v>7692</v>
      </c>
      <c r="B2566" s="2" t="s">
        <v>7693</v>
      </c>
      <c r="C2566" s="4" t="str">
        <f>IFERROR(__xludf.DUMMYFUNCTION("""🏘️ ""&amp;REGEXEXTRACT(B2566, ""^(.*): "")&amp;"" ✅ "" &amp;REGEXEXTRACT(B2566, ""(Trouvez.*)"")"),"🏘️ Vendre appartement Granges-Paccot ✅ Trouvez le bien immobilier qui correspond idéalement à vos désirs sur ImmoScout24 - La plateforme de l'immobilier en Suisse.")</f>
        <v>🏘️ Vendre appartement Granges-Paccot ✅ Trouvez le bien immobilier qui correspond idéalement à vos désirs sur ImmoScout24 - La plateforme de l'immobilier en Suisse.</v>
      </c>
      <c r="D2566" s="4" t="str">
        <f>vlookup(A2566, Sheet2!D:E, 2, 0)</f>
        <v>variant</v>
      </c>
      <c r="E2566" s="4" t="str">
        <f>IFERROR(__xludf.DUMMYFUNCTION("if(H2566=""pays"",vlookup(REGEXEXTRACT(C2566, ""🏘️ \w+ \w+ (.*) ✅""),'Country prepositions'!A:B, 2, 0) &amp; "" "" &amp; REGEXEXTRACT(C2566, ""🏘️ \w+ \w+ (.*) ✅"") ,  if(H2566=""quartier"",vlookup(REGEXEXTRACT(C2566, ""🏘️ \w+ \w+ (.*) ✅""),'Quartier prepositio"&amp;"ns'!A:E, 5, 0) ,  if(H2566=""region"",vlookup(REGEXEXTRACT(C2566, ""🏘️ \w+ \w+ (.*) ✅""),'Region prepositions'!B:F, 5, 0),  REGEXEXTRACT(C2566, ""🏘️ \w+ \w+ (.*) ✅""))))"),"Granges-Paccot")</f>
        <v>Granges-Paccot</v>
      </c>
      <c r="F2566" s="2" t="str">
        <f>IFERROR(__xludf.DUMMYFUNCTION("REGEXEXTRACT(C2566, ""🏘️ (\w+) \w+ .* ✅"")"),"Vendre")</f>
        <v>Vendre</v>
      </c>
      <c r="G2566" s="2" t="str">
        <f>IFERROR(__xludf.DUMMYFUNCTION("REGEXEXTRACT(C2566, ""🏘️ \w+ (\w+) .* ✅"")"),"appartement")</f>
        <v>appartement</v>
      </c>
      <c r="H2566" s="4" t="str">
        <f>IFERROR(__xludf.DUMMYFUNCTION("REGEXEXTRACT(A2566, ""/(\w+)-.*?"")"),"lieu")</f>
        <v>lieu</v>
      </c>
      <c r="I2566" s="4" t="str">
        <f>IFERROR(__xludf.DUMMYFUNCTION("if(D2566=""variant"",  substitute(filter(Templates!E:E, Templates!A:A = F2566, Templates!B:B = G2566, Templates!C:C = H2566), ""{{}}"", E2566), B2566)"),"🏘  L’appartement de vos rêves se trouve sur ImmoScout24.ch ✅ Découvrez les dernières annonces de vente à Granges-Paccot.")</f>
        <v>🏘  L’appartement de vos rêves se trouve sur ImmoScout24.ch ✅ Découvrez les dernières annonces de vente à Granges-Paccot.</v>
      </c>
      <c r="J2566" s="4" t="s">
        <v>7694</v>
      </c>
    </row>
    <row r="2567">
      <c r="A2567" s="5" t="s">
        <v>7695</v>
      </c>
      <c r="B2567" s="2" t="s">
        <v>7696</v>
      </c>
      <c r="C2567" s="4" t="str">
        <f>IFERROR(__xludf.DUMMYFUNCTION("""🏘️ ""&amp;REGEXEXTRACT(B2567, ""^(.*): "")&amp;"" ✅ "" &amp;REGEXEXTRACT(B2567, ""(Trouvez.*)"")"),"🏘️ Louer appartement Rümlang ✅ Trouvez le bien immobilier qui correspond idéalement à vos désirs sur ImmoScout24 - La plateforme de l'immobilier en Suisse.")</f>
        <v>🏘️ Louer appartement Rümlang ✅ Trouvez le bien immobilier qui correspond idéalement à vos désirs sur ImmoScout24 - La plateforme de l'immobilier en Suisse.</v>
      </c>
      <c r="D2567" s="4" t="str">
        <f>vlookup(A2567, Sheet2!D:E, 2, 0)</f>
        <v>variant</v>
      </c>
      <c r="E2567" s="4" t="str">
        <f>IFERROR(__xludf.DUMMYFUNCTION("if(H2567=""pays"",vlookup(REGEXEXTRACT(C2567, ""🏘️ \w+ \w+ (.*) ✅""),'Country prepositions'!A:B, 2, 0) &amp; "" "" &amp; REGEXEXTRACT(C2567, ""🏘️ \w+ \w+ (.*) ✅"") ,  if(H2567=""quartier"",vlookup(REGEXEXTRACT(C2567, ""🏘️ \w+ \w+ (.*) ✅""),'Quartier prepositio"&amp;"ns'!A:E, 5, 0) ,  if(H2567=""region"",vlookup(REGEXEXTRACT(C2567, ""🏘️ \w+ \w+ (.*) ✅""),'Region prepositions'!B:F, 5, 0),  REGEXEXTRACT(C2567, ""🏘️ \w+ \w+ (.*) ✅""))))"),"Rümlang")</f>
        <v>Rümlang</v>
      </c>
      <c r="F2567" s="2" t="str">
        <f>IFERROR(__xludf.DUMMYFUNCTION("REGEXEXTRACT(C2567, ""🏘️ (\w+) \w+ .* ✅"")"),"Louer")</f>
        <v>Louer</v>
      </c>
      <c r="G2567" s="2" t="str">
        <f>IFERROR(__xludf.DUMMYFUNCTION("REGEXEXTRACT(C2567, ""🏘️ \w+ (\w+) .* ✅"")"),"appartement")</f>
        <v>appartement</v>
      </c>
      <c r="H2567" s="4" t="str">
        <f>IFERROR(__xludf.DUMMYFUNCTION("REGEXEXTRACT(A2567, ""/(\w+)-.*?"")"),"lieu")</f>
        <v>lieu</v>
      </c>
      <c r="I2567" s="4" t="str">
        <f>IFERROR(__xludf.DUMMYFUNCTION("if(D2567=""variant"",  substitute(filter(Templates!E:E, Templates!A:A = F2567, Templates!B:B = G2567, Templates!C:C = H2567), ""{{}}"", E2567), B2567)"),"🏘  Vous cherchez un appartement à louer à Rümlang? ✅ Les annonces les plus actuelles sont sur ImmoScout24.ch.")</f>
        <v>🏘  Vous cherchez un appartement à louer à Rümlang? ✅ Les annonces les plus actuelles sont sur ImmoScout24.ch.</v>
      </c>
      <c r="J2567" s="4" t="s">
        <v>7697</v>
      </c>
    </row>
    <row r="2568">
      <c r="A2568" s="5" t="s">
        <v>7698</v>
      </c>
      <c r="B2568" s="2" t="s">
        <v>7699</v>
      </c>
      <c r="C2568" s="4" t="str">
        <f>IFERROR(__xludf.DUMMYFUNCTION("""🏘️ ""&amp;REGEXEXTRACT(B2568, ""^(.*): "")&amp;"" ✅ "" &amp;REGEXEXTRACT(B2568, ""(Trouvez.*)"")"),"🏘️ Louer appartement Brésil ✅ Trouvez le bien immobilier qui correspond idéalement à vos désirs sur ImmoScout24 - La plateforme de l'immobilier en Suisse.")</f>
        <v>🏘️ Louer appartement Brésil ✅ Trouvez le bien immobilier qui correspond idéalement à vos désirs sur ImmoScout24 - La plateforme de l'immobilier en Suisse.</v>
      </c>
      <c r="D2568" s="4" t="str">
        <f>vlookup(A2568, Sheet2!D:E, 2, 0)</f>
        <v>variant</v>
      </c>
      <c r="E2568" s="4" t="str">
        <f>IFERROR(__xludf.DUMMYFUNCTION("if(H2568=""pays"",vlookup(REGEXEXTRACT(C2568, ""🏘️ \w+ \w+ (.*) ✅""),'Country prepositions'!A:B, 2, 0) &amp; "" "" &amp; REGEXEXTRACT(C2568, ""🏘️ \w+ \w+ (.*) ✅"") ,  if(H2568=""quartier"",vlookup(REGEXEXTRACT(C2568, ""🏘️ \w+ \w+ (.*) ✅""),'Quartier prepositio"&amp;"ns'!A:E, 5, 0) ,  if(H2568=""region"",vlookup(REGEXEXTRACT(C2568, ""🏘️ \w+ \w+ (.*) ✅""),'Region prepositions'!B:F, 5, 0),  REGEXEXTRACT(C2568, ""🏘️ \w+ \w+ (.*) ✅""))))"),"au Brésil")</f>
        <v>au Brésil</v>
      </c>
      <c r="F2568" s="2" t="str">
        <f>IFERROR(__xludf.DUMMYFUNCTION("REGEXEXTRACT(C2568, ""🏘️ (\w+) \w+ .* ✅"")"),"Louer")</f>
        <v>Louer</v>
      </c>
      <c r="G2568" s="2" t="str">
        <f>IFERROR(__xludf.DUMMYFUNCTION("REGEXEXTRACT(C2568, ""🏘️ \w+ (\w+) .* ✅"")"),"appartement")</f>
        <v>appartement</v>
      </c>
      <c r="H2568" s="4" t="str">
        <f>IFERROR(__xludf.DUMMYFUNCTION("REGEXEXTRACT(A2568, ""/(\w+)-.*?"")"),"pays")</f>
        <v>pays</v>
      </c>
      <c r="I2568" s="4" t="str">
        <f>IFERROR(__xludf.DUMMYFUNCTION("if(D2568=""variant"",  substitute(filter(Templates!E:E, Templates!A:A = F2568, Templates!B:B = G2568, Templates!C:C = H2568), ""{{}}"", E2568), B2568)"),"🏘  Vous cherchez un appartement à louer au Brésil? ✅ Les annonces les plus actuelles sont sur ImmoScout24.ch.")</f>
        <v>🏘  Vous cherchez un appartement à louer au Brésil? ✅ Les annonces les plus actuelles sont sur ImmoScout24.ch.</v>
      </c>
      <c r="J2568" s="4" t="s">
        <v>7700</v>
      </c>
    </row>
    <row r="2569">
      <c r="A2569" s="5" t="s">
        <v>7701</v>
      </c>
      <c r="B2569" s="2" t="s">
        <v>7702</v>
      </c>
      <c r="C2569" s="4" t="str">
        <f>IFERROR(__xludf.DUMMYFUNCTION("""🏘️ ""&amp;REGEXEXTRACT(B2569, ""^(.*): "")&amp;"" ✅ "" &amp;REGEXEXTRACT(B2569, ""(Trouvez.*)"")"),"🏘️ Louer maison Cernier ✅ Trouvez le bien immobilier qui correspond idéalement à vos désirs sur ImmoScout24 - La plateforme de l'immobilier en Suisse.")</f>
        <v>🏘️ Louer maison Cernier ✅ Trouvez le bien immobilier qui correspond idéalement à vos désirs sur ImmoScout24 - La plateforme de l'immobilier en Suisse.</v>
      </c>
      <c r="D2569" s="4" t="str">
        <f>vlookup(A2569, Sheet2!D:E, 2, 0)</f>
        <v>variant</v>
      </c>
      <c r="E2569" s="4" t="str">
        <f>IFERROR(__xludf.DUMMYFUNCTION("if(H2569=""pays"",vlookup(REGEXEXTRACT(C2569, ""🏘️ \w+ \w+ (.*) ✅""),'Country prepositions'!A:B, 2, 0) &amp; "" "" &amp; REGEXEXTRACT(C2569, ""🏘️ \w+ \w+ (.*) ✅"") ,  if(H2569=""quartier"",vlookup(REGEXEXTRACT(C2569, ""🏘️ \w+ \w+ (.*) ✅""),'Quartier prepositio"&amp;"ns'!A:E, 5, 0) ,  if(H2569=""region"",vlookup(REGEXEXTRACT(C2569, ""🏘️ \w+ \w+ (.*) ✅""),'Region prepositions'!B:F, 5, 0),  REGEXEXTRACT(C2569, ""🏘️ \w+ \w+ (.*) ✅""))))"),"Cernier")</f>
        <v>Cernier</v>
      </c>
      <c r="F2569" s="2" t="str">
        <f>IFERROR(__xludf.DUMMYFUNCTION("REGEXEXTRACT(C2569, ""🏘️ (\w+) \w+ .* ✅"")"),"Louer")</f>
        <v>Louer</v>
      </c>
      <c r="G2569" s="2" t="str">
        <f>IFERROR(__xludf.DUMMYFUNCTION("REGEXEXTRACT(C2569, ""🏘️ \w+ (\w+) .* ✅"")"),"maison")</f>
        <v>maison</v>
      </c>
      <c r="H2569" s="4" t="str">
        <f>IFERROR(__xludf.DUMMYFUNCTION("REGEXEXTRACT(A2569, ""/(\w+)-.*?"")"),"lieu")</f>
        <v>lieu</v>
      </c>
      <c r="I2569" s="4" t="str">
        <f>IFERROR(__xludf.DUMMYFUNCTION("if(D2569=""variant"",  substitute(filter(Templates!E:E, Templates!A:A = F2569, Templates!B:B = G2569, Templates!C:C = H2569), ""{{}}"", E2569), B2569)"),"🏘  Vous cherchez une maison à louer à Cernier? ✅ Découvrez nos nombreuses annonces sur ImmoScout24.ch.")</f>
        <v>🏘  Vous cherchez une maison à louer à Cernier? ✅ Découvrez nos nombreuses annonces sur ImmoScout24.ch.</v>
      </c>
      <c r="J2569" s="4" t="s">
        <v>7703</v>
      </c>
    </row>
    <row r="2570">
      <c r="A2570" s="5" t="s">
        <v>7704</v>
      </c>
      <c r="B2570" s="2" t="s">
        <v>7705</v>
      </c>
      <c r="C2570" s="4" t="str">
        <f>IFERROR(__xludf.DUMMYFUNCTION("""🏘️ ""&amp;REGEXEXTRACT(B2570, ""^(.*): "")&amp;"" ✅ "" &amp;REGEXEXTRACT(B2570, ""(Trouvez.*)"")"),"🏘️ Louer maison Gockhausen ✅ Trouvez le bien immobilier qui correspond idéalement à vos désirs sur ImmoScout24 - La plateforme de l'immobilier en Suisse.")</f>
        <v>🏘️ Louer maison Gockhausen ✅ Trouvez le bien immobilier qui correspond idéalement à vos désirs sur ImmoScout24 - La plateforme de l'immobilier en Suisse.</v>
      </c>
      <c r="D2570" s="4" t="str">
        <f>vlookup(A2570, Sheet2!D:E, 2, 0)</f>
        <v>variant</v>
      </c>
      <c r="E2570" s="4" t="str">
        <f>IFERROR(__xludf.DUMMYFUNCTION("if(H2570=""pays"",vlookup(REGEXEXTRACT(C2570, ""🏘️ \w+ \w+ (.*) ✅""),'Country prepositions'!A:B, 2, 0) &amp; "" "" &amp; REGEXEXTRACT(C2570, ""🏘️ \w+ \w+ (.*) ✅"") ,  if(H2570=""quartier"",vlookup(REGEXEXTRACT(C2570, ""🏘️ \w+ \w+ (.*) ✅""),'Quartier prepositio"&amp;"ns'!A:E, 5, 0) ,  if(H2570=""region"",vlookup(REGEXEXTRACT(C2570, ""🏘️ \w+ \w+ (.*) ✅""),'Region prepositions'!B:F, 5, 0),  REGEXEXTRACT(C2570, ""🏘️ \w+ \w+ (.*) ✅""))))"),"Gockhausen")</f>
        <v>Gockhausen</v>
      </c>
      <c r="F2570" s="2" t="str">
        <f>IFERROR(__xludf.DUMMYFUNCTION("REGEXEXTRACT(C2570, ""🏘️ (\w+) \w+ .* ✅"")"),"Louer")</f>
        <v>Louer</v>
      </c>
      <c r="G2570" s="2" t="str">
        <f>IFERROR(__xludf.DUMMYFUNCTION("REGEXEXTRACT(C2570, ""🏘️ \w+ (\w+) .* ✅"")"),"maison")</f>
        <v>maison</v>
      </c>
      <c r="H2570" s="4" t="str">
        <f>IFERROR(__xludf.DUMMYFUNCTION("REGEXEXTRACT(A2570, ""/(\w+)-.*?"")"),"lieu")</f>
        <v>lieu</v>
      </c>
      <c r="I2570" s="4" t="str">
        <f>IFERROR(__xludf.DUMMYFUNCTION("if(D2570=""variant"",  substitute(filter(Templates!E:E, Templates!A:A = F2570, Templates!B:B = G2570, Templates!C:C = H2570), ""{{}}"", E2570), B2570)"),"🏘  Vous cherchez une maison à louer à Gockhausen? ✅ Découvrez nos nombreuses annonces sur ImmoScout24.ch.")</f>
        <v>🏘  Vous cherchez une maison à louer à Gockhausen? ✅ Découvrez nos nombreuses annonces sur ImmoScout24.ch.</v>
      </c>
      <c r="J2570" s="4" t="s">
        <v>7706</v>
      </c>
    </row>
    <row r="2571">
      <c r="A2571" s="5" t="s">
        <v>7707</v>
      </c>
      <c r="B2571" s="2" t="s">
        <v>7708</v>
      </c>
      <c r="C2571" s="4" t="str">
        <f>IFERROR(__xludf.DUMMYFUNCTION("""🏘️ ""&amp;REGEXEXTRACT(B2571, ""^(.*): "")&amp;"" ✅ "" &amp;REGEXEXTRACT(B2571, ""(Trouvez.*)"")"),"🏘️ Vendre maison Salavaux ✅ Trouvez le bien immobilier qui correspond idéalement à vos désirs sur ImmoScout24 - La plateforme de l'immobilier en Suisse.")</f>
        <v>🏘️ Vendre maison Salavaux ✅ Trouvez le bien immobilier qui correspond idéalement à vos désirs sur ImmoScout24 - La plateforme de l'immobilier en Suisse.</v>
      </c>
      <c r="D2571" s="4" t="str">
        <f>vlookup(A2571, Sheet2!D:E, 2, 0)</f>
        <v>variant</v>
      </c>
      <c r="E2571" s="4" t="str">
        <f>IFERROR(__xludf.DUMMYFUNCTION("if(H2571=""pays"",vlookup(REGEXEXTRACT(C2571, ""🏘️ \w+ \w+ (.*) ✅""),'Country prepositions'!A:B, 2, 0) &amp; "" "" &amp; REGEXEXTRACT(C2571, ""🏘️ \w+ \w+ (.*) ✅"") ,  if(H2571=""quartier"",vlookup(REGEXEXTRACT(C2571, ""🏘️ \w+ \w+ (.*) ✅""),'Quartier prepositio"&amp;"ns'!A:E, 5, 0) ,  if(H2571=""region"",vlookup(REGEXEXTRACT(C2571, ""🏘️ \w+ \w+ (.*) ✅""),'Region prepositions'!B:F, 5, 0),  REGEXEXTRACT(C2571, ""🏘️ \w+ \w+ (.*) ✅""))))"),"Salavaux")</f>
        <v>Salavaux</v>
      </c>
      <c r="F2571" s="2" t="str">
        <f>IFERROR(__xludf.DUMMYFUNCTION("REGEXEXTRACT(C2571, ""🏘️ (\w+) \w+ .* ✅"")"),"Vendre")</f>
        <v>Vendre</v>
      </c>
      <c r="G2571" s="2" t="str">
        <f>IFERROR(__xludf.DUMMYFUNCTION("REGEXEXTRACT(C2571, ""🏘️ \w+ (\w+) .* ✅"")"),"maison")</f>
        <v>maison</v>
      </c>
      <c r="H2571" s="4" t="str">
        <f>IFERROR(__xludf.DUMMYFUNCTION("REGEXEXTRACT(A2571, ""/(\w+)-.*?"")"),"lieu")</f>
        <v>lieu</v>
      </c>
      <c r="I2571" s="4" t="str">
        <f>IFERROR(__xludf.DUMMYFUNCTION("if(D2571=""variant"",  substitute(filter(Templates!E:E, Templates!A:A = F2571, Templates!B:B = G2571, Templates!C:C = H2571), ""{{}}"", E2571), B2571)"),"🏘  Vous souhaitez acheter une maison à Salavaux? ✅ Jetez un œil aux dernières offres sur ImmoScout24.ch.")</f>
        <v>🏘  Vous souhaitez acheter une maison à Salavaux? ✅ Jetez un œil aux dernières offres sur ImmoScout24.ch.</v>
      </c>
      <c r="J2571" s="4" t="s">
        <v>7709</v>
      </c>
    </row>
    <row r="2572">
      <c r="A2572" s="5" t="s">
        <v>7710</v>
      </c>
      <c r="B2572" s="2" t="s">
        <v>7711</v>
      </c>
      <c r="C2572" s="4" t="str">
        <f>IFERROR(__xludf.DUMMYFUNCTION("""🏘️ ""&amp;REGEXEXTRACT(B2572, ""^(.*): "")&amp;"" ✅ "" &amp;REGEXEXTRACT(B2572, ""(Trouvez.*)"")"),"🏘️ Louer maison Villars-Tiercelin ✅ Trouvez le bien immobilier qui correspond idéalement à vos désirs sur ImmoScout24 - La plateforme de l'immobilier en Suisse.")</f>
        <v>🏘️ Louer maison Villars-Tiercelin ✅ Trouvez le bien immobilier qui correspond idéalement à vos désirs sur ImmoScout24 - La plateforme de l'immobilier en Suisse.</v>
      </c>
      <c r="D2572" s="4" t="str">
        <f>vlookup(A2572, Sheet2!D:E, 2, 0)</f>
        <v>variant</v>
      </c>
      <c r="E2572" s="4" t="str">
        <f>IFERROR(__xludf.DUMMYFUNCTION("if(H2572=""pays"",vlookup(REGEXEXTRACT(C2572, ""🏘️ \w+ \w+ (.*) ✅""),'Country prepositions'!A:B, 2, 0) &amp; "" "" &amp; REGEXEXTRACT(C2572, ""🏘️ \w+ \w+ (.*) ✅"") ,  if(H2572=""quartier"",vlookup(REGEXEXTRACT(C2572, ""🏘️ \w+ \w+ (.*) ✅""),'Quartier prepositio"&amp;"ns'!A:E, 5, 0) ,  if(H2572=""region"",vlookup(REGEXEXTRACT(C2572, ""🏘️ \w+ \w+ (.*) ✅""),'Region prepositions'!B:F, 5, 0),  REGEXEXTRACT(C2572, ""🏘️ \w+ \w+ (.*) ✅""))))"),"Villars-Tiercelin")</f>
        <v>Villars-Tiercelin</v>
      </c>
      <c r="F2572" s="2" t="str">
        <f>IFERROR(__xludf.DUMMYFUNCTION("REGEXEXTRACT(C2572, ""🏘️ (\w+) \w+ .* ✅"")"),"Louer")</f>
        <v>Louer</v>
      </c>
      <c r="G2572" s="2" t="str">
        <f>IFERROR(__xludf.DUMMYFUNCTION("REGEXEXTRACT(C2572, ""🏘️ \w+ (\w+) .* ✅"")"),"maison")</f>
        <v>maison</v>
      </c>
      <c r="H2572" s="4" t="str">
        <f>IFERROR(__xludf.DUMMYFUNCTION("REGEXEXTRACT(A2572, ""/(\w+)-.*?"")"),"lieu")</f>
        <v>lieu</v>
      </c>
      <c r="I2572" s="4" t="str">
        <f>IFERROR(__xludf.DUMMYFUNCTION("if(D2572=""variant"",  substitute(filter(Templates!E:E, Templates!A:A = F2572, Templates!B:B = G2572, Templates!C:C = H2572), ""{{}}"", E2572), B2572)"),"🏘  Vous cherchez une maison à louer à Villars-Tiercelin? ✅ Découvrez nos nombreuses annonces sur ImmoScout24.ch.")</f>
        <v>🏘  Vous cherchez une maison à louer à Villars-Tiercelin? ✅ Découvrez nos nombreuses annonces sur ImmoScout24.ch.</v>
      </c>
      <c r="J2572" s="4" t="s">
        <v>7712</v>
      </c>
    </row>
    <row r="2573">
      <c r="A2573" s="5" t="s">
        <v>7713</v>
      </c>
      <c r="B2573" s="2" t="s">
        <v>7714</v>
      </c>
      <c r="C2573" s="4" t="str">
        <f>IFERROR(__xludf.DUMMYFUNCTION("""🏘️ ""&amp;REGEXEXTRACT(B2573, ""^(.*): "")&amp;"" ✅ "" &amp;REGEXEXTRACT(B2573, ""(Trouvez.*)"")"),"🏘️ Vendre maison Canton de Zurich ✅ Trouvez le bien immobilier qui correspond idéalement à vos désirs sur ImmoScout24 - La plateforme de l'immobilier en Suisse.")</f>
        <v>🏘️ Vendre maison Canton de Zurich ✅ Trouvez le bien immobilier qui correspond idéalement à vos désirs sur ImmoScout24 - La plateforme de l'immobilier en Suisse.</v>
      </c>
      <c r="D2573" s="4" t="str">
        <f>vlookup(A2573, Sheet2!D:E, 2, 0)</f>
        <v>variant</v>
      </c>
      <c r="E2573" s="4" t="str">
        <f>IFERROR(__xludf.DUMMYFUNCTION("if(H2573=""pays"",vlookup(REGEXEXTRACT(C2573, ""🏘️ \w+ \w+ (.*) ✅""),'Country prepositions'!A:B, 2, 0) &amp; "" "" &amp; REGEXEXTRACT(C2573, ""🏘️ \w+ \w+ (.*) ✅"") ,  if(H2573=""quartier"",vlookup(REGEXEXTRACT(C2573, ""🏘️ \w+ \w+ (.*) ✅""),'Quartier prepositio"&amp;"ns'!A:E, 5, 0) ,  if(H2573=""region"",vlookup(REGEXEXTRACT(C2573, ""🏘️ \w+ \w+ (.*) ✅""),'Region prepositions'!B:F, 5, 0),  REGEXEXTRACT(C2573, ""🏘️ \w+ \w+ (.*) ✅""))))"),"Canton de Zurich")</f>
        <v>Canton de Zurich</v>
      </c>
      <c r="F2573" s="2" t="str">
        <f>IFERROR(__xludf.DUMMYFUNCTION("REGEXEXTRACT(C2573, ""🏘️ (\w+) \w+ .* ✅"")"),"Vendre")</f>
        <v>Vendre</v>
      </c>
      <c r="G2573" s="2" t="str">
        <f>IFERROR(__xludf.DUMMYFUNCTION("REGEXEXTRACT(C2573, ""🏘️ \w+ (\w+) .* ✅"")"),"maison")</f>
        <v>maison</v>
      </c>
      <c r="H2573" s="4" t="str">
        <f>IFERROR(__xludf.DUMMYFUNCTION("REGEXEXTRACT(A2573, ""/(\w+)-.*?"")"),"canton")</f>
        <v>canton</v>
      </c>
      <c r="I2573" s="4" t="str">
        <f>IFERROR(__xludf.DUMMYFUNCTION("if(D2573=""variant"",  substitute(filter(Templates!E:E, Templates!A:A = F2573, Templates!B:B = G2573, Templates!C:C = H2573), ""{{}}"", E2573), B2573)"),"🏘  Vous souhaitez acheter une maison dans le Canton de Zurich? ✅ Jetez un œil aux dernières offres sur ImmoScout24.ch.")</f>
        <v>🏘  Vous souhaitez acheter une maison dans le Canton de Zurich? ✅ Jetez un œil aux dernières offres sur ImmoScout24.ch.</v>
      </c>
      <c r="J2573" s="4" t="s">
        <v>7715</v>
      </c>
    </row>
    <row r="2574">
      <c r="A2574" s="5" t="s">
        <v>7716</v>
      </c>
      <c r="B2574" s="2" t="s">
        <v>7717</v>
      </c>
      <c r="C2574" s="4" t="str">
        <f>IFERROR(__xludf.DUMMYFUNCTION("""🏘️ ""&amp;REGEXEXTRACT(B2574, ""^(.*): "")&amp;"" ✅ "" &amp;REGEXEXTRACT(B2574, ""(Trouvez.*)"")"),"🏘️ Louer appartement Aarau ✅ Trouvez le bien immobilier qui correspond idéalement à vos désirs sur ImmoScout24 - La plateforme de l'immobilier en Suisse.")</f>
        <v>🏘️ Louer appartement Aarau ✅ Trouvez le bien immobilier qui correspond idéalement à vos désirs sur ImmoScout24 - La plateforme de l'immobilier en Suisse.</v>
      </c>
      <c r="D2574" s="4" t="str">
        <f>vlookup(A2574, Sheet2!D:E, 2, 0)</f>
        <v>variant</v>
      </c>
      <c r="E2574" s="4" t="str">
        <f>IFERROR(__xludf.DUMMYFUNCTION("if(H2574=""pays"",vlookup(REGEXEXTRACT(C2574, ""🏘️ \w+ \w+ (.*) ✅""),'Country prepositions'!A:B, 2, 0) &amp; "" "" &amp; REGEXEXTRACT(C2574, ""🏘️ \w+ \w+ (.*) ✅"") ,  if(H2574=""quartier"",vlookup(REGEXEXTRACT(C2574, ""🏘️ \w+ \w+ (.*) ✅""),'Quartier prepositio"&amp;"ns'!A:E, 5, 0) ,  if(H2574=""region"",vlookup(REGEXEXTRACT(C2574, ""🏘️ \w+ \w+ (.*) ✅""),'Region prepositions'!B:F, 5, 0),  REGEXEXTRACT(C2574, ""🏘️ \w+ \w+ (.*) ✅""))))"),"Aarau")</f>
        <v>Aarau</v>
      </c>
      <c r="F2574" s="2" t="str">
        <f>IFERROR(__xludf.DUMMYFUNCTION("REGEXEXTRACT(C2574, ""🏘️ (\w+) \w+ .* ✅"")"),"Louer")</f>
        <v>Louer</v>
      </c>
      <c r="G2574" s="2" t="str">
        <f>IFERROR(__xludf.DUMMYFUNCTION("REGEXEXTRACT(C2574, ""🏘️ \w+ (\w+) .* ✅"")"),"appartement")</f>
        <v>appartement</v>
      </c>
      <c r="H2574" s="4" t="str">
        <f>IFERROR(__xludf.DUMMYFUNCTION("REGEXEXTRACT(A2574, ""/(\w+)-.*?"")"),"lieu")</f>
        <v>lieu</v>
      </c>
      <c r="I2574" s="4" t="str">
        <f>IFERROR(__xludf.DUMMYFUNCTION("if(D2574=""variant"",  substitute(filter(Templates!E:E, Templates!A:A = F2574, Templates!B:B = G2574, Templates!C:C = H2574), ""{{}}"", E2574), B2574)"),"🏘  Vous cherchez un appartement à louer à Aarau? ✅ Les annonces les plus actuelles sont sur ImmoScout24.ch.")</f>
        <v>🏘  Vous cherchez un appartement à louer à Aarau? ✅ Les annonces les plus actuelles sont sur ImmoScout24.ch.</v>
      </c>
      <c r="J2574" s="4" t="s">
        <v>7718</v>
      </c>
    </row>
    <row r="2575">
      <c r="A2575" s="5" t="s">
        <v>7719</v>
      </c>
      <c r="B2575" s="2" t="s">
        <v>7720</v>
      </c>
      <c r="C2575" s="4" t="str">
        <f>IFERROR(__xludf.DUMMYFUNCTION("""🏘️ ""&amp;REGEXEXTRACT(B2575, ""^(.*): "")&amp;"" ✅ "" &amp;REGEXEXTRACT(B2575, ""(Trouvez.*)"")"),"🏘️ Vendre maison Blignou (Ayent) ✅ Trouvez le bien immobilier qui correspond idéalement à vos désirs sur ImmoScout24 - La plateforme de l'immobilier en Suisse.")</f>
        <v>🏘️ Vendre maison Blignou (Ayent) ✅ Trouvez le bien immobilier qui correspond idéalement à vos désirs sur ImmoScout24 - La plateforme de l'immobilier en Suisse.</v>
      </c>
      <c r="D2575" s="4" t="str">
        <f>vlookup(A2575, Sheet2!D:E, 2, 0)</f>
        <v>variant</v>
      </c>
      <c r="E2575" s="4" t="str">
        <f>IFERROR(__xludf.DUMMYFUNCTION("if(H2575=""pays"",vlookup(REGEXEXTRACT(C2575, ""🏘️ \w+ \w+ (.*) ✅""),'Country prepositions'!A:B, 2, 0) &amp; "" "" &amp; REGEXEXTRACT(C2575, ""🏘️ \w+ \w+ (.*) ✅"") ,  if(H2575=""quartier"",vlookup(REGEXEXTRACT(C2575, ""🏘️ \w+ \w+ (.*) ✅""),'Quartier prepositio"&amp;"ns'!A:E, 5, 0) ,  if(H2575=""region"",vlookup(REGEXEXTRACT(C2575, ""🏘️ \w+ \w+ (.*) ✅""),'Region prepositions'!B:F, 5, 0),  REGEXEXTRACT(C2575, ""🏘️ \w+ \w+ (.*) ✅""))))"),"Blignou (Ayent)")</f>
        <v>Blignou (Ayent)</v>
      </c>
      <c r="F2575" s="2" t="str">
        <f>IFERROR(__xludf.DUMMYFUNCTION("REGEXEXTRACT(C2575, ""🏘️ (\w+) \w+ .* ✅"")"),"Vendre")</f>
        <v>Vendre</v>
      </c>
      <c r="G2575" s="2" t="str">
        <f>IFERROR(__xludf.DUMMYFUNCTION("REGEXEXTRACT(C2575, ""🏘️ \w+ (\w+) .* ✅"")"),"maison")</f>
        <v>maison</v>
      </c>
      <c r="H2575" s="4" t="str">
        <f>IFERROR(__xludf.DUMMYFUNCTION("REGEXEXTRACT(A2575, ""/(\w+)-.*?"")"),"lieu")</f>
        <v>lieu</v>
      </c>
      <c r="I2575" s="4" t="str">
        <f>IFERROR(__xludf.DUMMYFUNCTION("if(D2575=""variant"",  substitute(filter(Templates!E:E, Templates!A:A = F2575, Templates!B:B = G2575, Templates!C:C = H2575), ""{{}}"", E2575), B2575)"),"🏘  Vous souhaitez acheter une maison à Blignou (Ayent)? ✅ Jetez un œil aux dernières offres sur ImmoScout24.ch.")</f>
        <v>🏘  Vous souhaitez acheter une maison à Blignou (Ayent)? ✅ Jetez un œil aux dernières offres sur ImmoScout24.ch.</v>
      </c>
      <c r="J2575" s="4" t="s">
        <v>7721</v>
      </c>
    </row>
    <row r="2576">
      <c r="A2576" s="5" t="s">
        <v>7722</v>
      </c>
      <c r="B2576" s="2" t="s">
        <v>7723</v>
      </c>
      <c r="C2576" s="4" t="str">
        <f>IFERROR(__xludf.DUMMYFUNCTION("""🏘️ ""&amp;REGEXEXTRACT(B2576, ""^(.*): "")&amp;"" ✅ "" &amp;REGEXEXTRACT(B2576, ""(Trouvez.*)"")"),"🏘️ Vendre maison Seon ✅ Trouvez le bien immobilier qui correspond idéalement à vos désirs sur ImmoScout24 - La plateforme de l'immobilier en Suisse.")</f>
        <v>🏘️ Vendre maison Seon ✅ Trouvez le bien immobilier qui correspond idéalement à vos désirs sur ImmoScout24 - La plateforme de l'immobilier en Suisse.</v>
      </c>
      <c r="D2576" s="4" t="str">
        <f>vlookup(A2576, Sheet2!D:E, 2, 0)</f>
        <v>variant</v>
      </c>
      <c r="E2576" s="4" t="str">
        <f>IFERROR(__xludf.DUMMYFUNCTION("if(H2576=""pays"",vlookup(REGEXEXTRACT(C2576, ""🏘️ \w+ \w+ (.*) ✅""),'Country prepositions'!A:B, 2, 0) &amp; "" "" &amp; REGEXEXTRACT(C2576, ""🏘️ \w+ \w+ (.*) ✅"") ,  if(H2576=""quartier"",vlookup(REGEXEXTRACT(C2576, ""🏘️ \w+ \w+ (.*) ✅""),'Quartier prepositio"&amp;"ns'!A:E, 5, 0) ,  if(H2576=""region"",vlookup(REGEXEXTRACT(C2576, ""🏘️ \w+ \w+ (.*) ✅""),'Region prepositions'!B:F, 5, 0),  REGEXEXTRACT(C2576, ""🏘️ \w+ \w+ (.*) ✅""))))"),"Seon")</f>
        <v>Seon</v>
      </c>
      <c r="F2576" s="2" t="str">
        <f>IFERROR(__xludf.DUMMYFUNCTION("REGEXEXTRACT(C2576, ""🏘️ (\w+) \w+ .* ✅"")"),"Vendre")</f>
        <v>Vendre</v>
      </c>
      <c r="G2576" s="2" t="str">
        <f>IFERROR(__xludf.DUMMYFUNCTION("REGEXEXTRACT(C2576, ""🏘️ \w+ (\w+) .* ✅"")"),"maison")</f>
        <v>maison</v>
      </c>
      <c r="H2576" s="4" t="str">
        <f>IFERROR(__xludf.DUMMYFUNCTION("REGEXEXTRACT(A2576, ""/(\w+)-.*?"")"),"lieu")</f>
        <v>lieu</v>
      </c>
      <c r="I2576" s="4" t="str">
        <f>IFERROR(__xludf.DUMMYFUNCTION("if(D2576=""variant"",  substitute(filter(Templates!E:E, Templates!A:A = F2576, Templates!B:B = G2576, Templates!C:C = H2576), ""{{}}"", E2576), B2576)"),"🏘  Vous souhaitez acheter une maison à Seon? ✅ Jetez un œil aux dernières offres sur ImmoScout24.ch.")</f>
        <v>🏘  Vous souhaitez acheter une maison à Seon? ✅ Jetez un œil aux dernières offres sur ImmoScout24.ch.</v>
      </c>
      <c r="J2576" s="4" t="s">
        <v>7724</v>
      </c>
    </row>
    <row r="2577">
      <c r="A2577" s="5" t="s">
        <v>7725</v>
      </c>
      <c r="B2577" s="2" t="s">
        <v>7726</v>
      </c>
      <c r="C2577" s="4" t="str">
        <f>IFERROR(__xludf.DUMMYFUNCTION("""🏘️ ""&amp;REGEXEXTRACT(B2577, ""^(.*): "")&amp;"" ✅ "" &amp;REGEXEXTRACT(B2577, ""(Trouvez.*)"")"),"🏘️ Vendre appartement Studen BE ✅ Trouvez le bien immobilier qui correspond idéalement à vos désirs sur ImmoScout24 - La plateforme de l'immobilier en Suisse.")</f>
        <v>🏘️ Vendre appartement Studen BE ✅ Trouvez le bien immobilier qui correspond idéalement à vos désirs sur ImmoScout24 - La plateforme de l'immobilier en Suisse.</v>
      </c>
      <c r="D2577" s="4" t="str">
        <f>vlookup(A2577, Sheet2!D:E, 2, 0)</f>
        <v>variant</v>
      </c>
      <c r="E2577" s="4" t="str">
        <f>IFERROR(__xludf.DUMMYFUNCTION("if(H2577=""pays"",vlookup(REGEXEXTRACT(C2577, ""🏘️ \w+ \w+ (.*) ✅""),'Country prepositions'!A:B, 2, 0) &amp; "" "" &amp; REGEXEXTRACT(C2577, ""🏘️ \w+ \w+ (.*) ✅"") ,  if(H2577=""quartier"",vlookup(REGEXEXTRACT(C2577, ""🏘️ \w+ \w+ (.*) ✅""),'Quartier prepositio"&amp;"ns'!A:E, 5, 0) ,  if(H2577=""region"",vlookup(REGEXEXTRACT(C2577, ""🏘️ \w+ \w+ (.*) ✅""),'Region prepositions'!B:F, 5, 0),  REGEXEXTRACT(C2577, ""🏘️ \w+ \w+ (.*) ✅""))))"),"Studen BE")</f>
        <v>Studen BE</v>
      </c>
      <c r="F2577" s="2" t="str">
        <f>IFERROR(__xludf.DUMMYFUNCTION("REGEXEXTRACT(C2577, ""🏘️ (\w+) \w+ .* ✅"")"),"Vendre")</f>
        <v>Vendre</v>
      </c>
      <c r="G2577" s="2" t="str">
        <f>IFERROR(__xludf.DUMMYFUNCTION("REGEXEXTRACT(C2577, ""🏘️ \w+ (\w+) .* ✅"")"),"appartement")</f>
        <v>appartement</v>
      </c>
      <c r="H2577" s="4" t="str">
        <f>IFERROR(__xludf.DUMMYFUNCTION("REGEXEXTRACT(A2577, ""/(\w+)-.*?"")"),"lieu")</f>
        <v>lieu</v>
      </c>
      <c r="I2577" s="4" t="str">
        <f>IFERROR(__xludf.DUMMYFUNCTION("if(D2577=""variant"",  substitute(filter(Templates!E:E, Templates!A:A = F2577, Templates!B:B = G2577, Templates!C:C = H2577), ""{{}}"", E2577), B2577)"),"🏘  L’appartement de vos rêves se trouve sur ImmoScout24.ch ✅ Découvrez les dernières annonces de vente à Studen BE.")</f>
        <v>🏘  L’appartement de vos rêves se trouve sur ImmoScout24.ch ✅ Découvrez les dernières annonces de vente à Studen BE.</v>
      </c>
      <c r="J2577" s="4" t="s">
        <v>7727</v>
      </c>
    </row>
    <row r="2578">
      <c r="A2578" s="5" t="s">
        <v>7728</v>
      </c>
      <c r="B2578" s="2" t="s">
        <v>7729</v>
      </c>
      <c r="C2578" s="4" t="str">
        <f>IFERROR(__xludf.DUMMYFUNCTION("""🏘️ ""&amp;REGEXEXTRACT(B2578, ""^(.*): "")&amp;"" ✅ "" &amp;REGEXEXTRACT(B2578, ""(Trouvez.*)"")"),"🏘️ Louer maison Evilard ✅ Trouvez le bien immobilier qui correspond idéalement à vos désirs sur ImmoScout24 - La plateforme de l'immobilier en Suisse.")</f>
        <v>🏘️ Louer maison Evilard ✅ Trouvez le bien immobilier qui correspond idéalement à vos désirs sur ImmoScout24 - La plateforme de l'immobilier en Suisse.</v>
      </c>
      <c r="D2578" s="4" t="str">
        <f>vlookup(A2578, Sheet2!D:E, 2, 0)</f>
        <v>variant</v>
      </c>
      <c r="E2578" s="4" t="str">
        <f>IFERROR(__xludf.DUMMYFUNCTION("if(H2578=""pays"",vlookup(REGEXEXTRACT(C2578, ""🏘️ \w+ \w+ (.*) ✅""),'Country prepositions'!A:B, 2, 0) &amp; "" "" &amp; REGEXEXTRACT(C2578, ""🏘️ \w+ \w+ (.*) ✅"") ,  if(H2578=""quartier"",vlookup(REGEXEXTRACT(C2578, ""🏘️ \w+ \w+ (.*) ✅""),'Quartier prepositio"&amp;"ns'!A:E, 5, 0) ,  if(H2578=""region"",vlookup(REGEXEXTRACT(C2578, ""🏘️ \w+ \w+ (.*) ✅""),'Region prepositions'!B:F, 5, 0),  REGEXEXTRACT(C2578, ""🏘️ \w+ \w+ (.*) ✅""))))"),"Evilard")</f>
        <v>Evilard</v>
      </c>
      <c r="F2578" s="2" t="str">
        <f>IFERROR(__xludf.DUMMYFUNCTION("REGEXEXTRACT(C2578, ""🏘️ (\w+) \w+ .* ✅"")"),"Louer")</f>
        <v>Louer</v>
      </c>
      <c r="G2578" s="2" t="str">
        <f>IFERROR(__xludf.DUMMYFUNCTION("REGEXEXTRACT(C2578, ""🏘️ \w+ (\w+) .* ✅"")"),"maison")</f>
        <v>maison</v>
      </c>
      <c r="H2578" s="4" t="str">
        <f>IFERROR(__xludf.DUMMYFUNCTION("REGEXEXTRACT(A2578, ""/(\w+)-.*?"")"),"lieu")</f>
        <v>lieu</v>
      </c>
      <c r="I2578" s="4" t="str">
        <f>IFERROR(__xludf.DUMMYFUNCTION("if(D2578=""variant"",  substitute(filter(Templates!E:E, Templates!A:A = F2578, Templates!B:B = G2578, Templates!C:C = H2578), ""{{}}"", E2578), B2578)"),"🏘  Vous cherchez une maison à louer à Evilard? ✅ Découvrez nos nombreuses annonces sur ImmoScout24.ch.")</f>
        <v>🏘  Vous cherchez une maison à louer à Evilard? ✅ Découvrez nos nombreuses annonces sur ImmoScout24.ch.</v>
      </c>
      <c r="J2578" s="4" t="s">
        <v>7730</v>
      </c>
    </row>
    <row r="2579">
      <c r="A2579" s="5" t="s">
        <v>7731</v>
      </c>
      <c r="B2579" s="2" t="s">
        <v>7732</v>
      </c>
      <c r="C2579" s="4" t="str">
        <f>IFERROR(__xludf.DUMMYFUNCTION("""🏘️ ""&amp;REGEXEXTRACT(B2579, ""^(.*): "")&amp;"" ✅ "" &amp;REGEXEXTRACT(B2579, ""(Trouvez.*)"")"),"🏘️ Vendre appartement Aubonne ✅ Trouvez le bien immobilier qui correspond idéalement à vos désirs sur ImmoScout24 - La plateforme de l'immobilier en Suisse.")</f>
        <v>🏘️ Vendre appartement Aubonne ✅ Trouvez le bien immobilier qui correspond idéalement à vos désirs sur ImmoScout24 - La plateforme de l'immobilier en Suisse.</v>
      </c>
      <c r="D2579" s="4" t="str">
        <f>vlookup(A2579, Sheet2!D:E, 2, 0)</f>
        <v>variant</v>
      </c>
      <c r="E2579" s="4" t="str">
        <f>IFERROR(__xludf.DUMMYFUNCTION("if(H2579=""pays"",vlookup(REGEXEXTRACT(C2579, ""🏘️ \w+ \w+ (.*) ✅""),'Country prepositions'!A:B, 2, 0) &amp; "" "" &amp; REGEXEXTRACT(C2579, ""🏘️ \w+ \w+ (.*) ✅"") ,  if(H2579=""quartier"",vlookup(REGEXEXTRACT(C2579, ""🏘️ \w+ \w+ (.*) ✅""),'Quartier prepositio"&amp;"ns'!A:E, 5, 0) ,  if(H2579=""region"",vlookup(REGEXEXTRACT(C2579, ""🏘️ \w+ \w+ (.*) ✅""),'Region prepositions'!B:F, 5, 0),  REGEXEXTRACT(C2579, ""🏘️ \w+ \w+ (.*) ✅""))))"),"Aubonne")</f>
        <v>Aubonne</v>
      </c>
      <c r="F2579" s="2" t="str">
        <f>IFERROR(__xludf.DUMMYFUNCTION("REGEXEXTRACT(C2579, ""🏘️ (\w+) \w+ .* ✅"")"),"Vendre")</f>
        <v>Vendre</v>
      </c>
      <c r="G2579" s="2" t="str">
        <f>IFERROR(__xludf.DUMMYFUNCTION("REGEXEXTRACT(C2579, ""🏘️ \w+ (\w+) .* ✅"")"),"appartement")</f>
        <v>appartement</v>
      </c>
      <c r="H2579" s="4" t="str">
        <f>IFERROR(__xludf.DUMMYFUNCTION("REGEXEXTRACT(A2579, ""/(\w+)-.*?"")"),"lieu")</f>
        <v>lieu</v>
      </c>
      <c r="I2579" s="4" t="str">
        <f>IFERROR(__xludf.DUMMYFUNCTION("if(D2579=""variant"",  substitute(filter(Templates!E:E, Templates!A:A = F2579, Templates!B:B = G2579, Templates!C:C = H2579), ""{{}}"", E2579), B2579)"),"🏘  L’appartement de vos rêves se trouve sur ImmoScout24.ch ✅ Découvrez les dernières annonces de vente à Aubonne.")</f>
        <v>🏘  L’appartement de vos rêves se trouve sur ImmoScout24.ch ✅ Découvrez les dernières annonces de vente à Aubonne.</v>
      </c>
      <c r="J2579" s="4" t="s">
        <v>7733</v>
      </c>
    </row>
    <row r="2580">
      <c r="A2580" s="5" t="s">
        <v>7734</v>
      </c>
      <c r="B2580" s="2" t="s">
        <v>7735</v>
      </c>
      <c r="C2580" s="4" t="str">
        <f>IFERROR(__xludf.DUMMYFUNCTION("""🏘️ ""&amp;REGEXEXTRACT(B2580, ""^(.*): "")&amp;"" ✅ "" &amp;REGEXEXTRACT(B2580, ""(Trouvez.*)"")"),"🏘️ Louer appartement Orzens ✅ Trouvez le bien immobilier qui correspond idéalement à vos désirs sur ImmoScout24 - La plateforme de l'immobilier en Suisse.")</f>
        <v>🏘️ Louer appartement Orzens ✅ Trouvez le bien immobilier qui correspond idéalement à vos désirs sur ImmoScout24 - La plateforme de l'immobilier en Suisse.</v>
      </c>
      <c r="D2580" s="4" t="str">
        <f>vlookup(A2580, Sheet2!D:E, 2, 0)</f>
        <v>variant</v>
      </c>
      <c r="E2580" s="4" t="str">
        <f>IFERROR(__xludf.DUMMYFUNCTION("if(H2580=""pays"",vlookup(REGEXEXTRACT(C2580, ""🏘️ \w+ \w+ (.*) ✅""),'Country prepositions'!A:B, 2, 0) &amp; "" "" &amp; REGEXEXTRACT(C2580, ""🏘️ \w+ \w+ (.*) ✅"") ,  if(H2580=""quartier"",vlookup(REGEXEXTRACT(C2580, ""🏘️ \w+ \w+ (.*) ✅""),'Quartier prepositio"&amp;"ns'!A:E, 5, 0) ,  if(H2580=""region"",vlookup(REGEXEXTRACT(C2580, ""🏘️ \w+ \w+ (.*) ✅""),'Region prepositions'!B:F, 5, 0),  REGEXEXTRACT(C2580, ""🏘️ \w+ \w+ (.*) ✅""))))"),"Orzens")</f>
        <v>Orzens</v>
      </c>
      <c r="F2580" s="2" t="str">
        <f>IFERROR(__xludf.DUMMYFUNCTION("REGEXEXTRACT(C2580, ""🏘️ (\w+) \w+ .* ✅"")"),"Louer")</f>
        <v>Louer</v>
      </c>
      <c r="G2580" s="2" t="str">
        <f>IFERROR(__xludf.DUMMYFUNCTION("REGEXEXTRACT(C2580, ""🏘️ \w+ (\w+) .* ✅"")"),"appartement")</f>
        <v>appartement</v>
      </c>
      <c r="H2580" s="4" t="str">
        <f>IFERROR(__xludf.DUMMYFUNCTION("REGEXEXTRACT(A2580, ""/(\w+)-.*?"")"),"lieu")</f>
        <v>lieu</v>
      </c>
      <c r="I2580" s="4" t="str">
        <f>IFERROR(__xludf.DUMMYFUNCTION("if(D2580=""variant"",  substitute(filter(Templates!E:E, Templates!A:A = F2580, Templates!B:B = G2580, Templates!C:C = H2580), ""{{}}"", E2580), B2580)"),"🏘  Vous cherchez un appartement à louer à Orzens? ✅ Les annonces les plus actuelles sont sur ImmoScout24.ch.")</f>
        <v>🏘  Vous cherchez un appartement à louer à Orzens? ✅ Les annonces les plus actuelles sont sur ImmoScout24.ch.</v>
      </c>
      <c r="J2580" s="4" t="s">
        <v>7736</v>
      </c>
    </row>
    <row r="2581">
      <c r="A2581" s="5" t="s">
        <v>7737</v>
      </c>
      <c r="B2581" s="2" t="s">
        <v>7738</v>
      </c>
      <c r="C2581" s="4" t="str">
        <f>IFERROR(__xludf.DUMMYFUNCTION("""🏘️ ""&amp;REGEXEXTRACT(B2581, ""^(.*): "")&amp;"" ✅ "" &amp;REGEXEXTRACT(B2581, ""(Trouvez.*)"")"),"🏘️ Louer appartement Niederhasli ✅ Trouvez le bien immobilier qui correspond idéalement à vos désirs sur ImmoScout24 - La plateforme de l'immobilier en Suisse.")</f>
        <v>🏘️ Louer appartement Niederhasli ✅ Trouvez le bien immobilier qui correspond idéalement à vos désirs sur ImmoScout24 - La plateforme de l'immobilier en Suisse.</v>
      </c>
      <c r="D2581" s="4" t="str">
        <f>vlookup(A2581, Sheet2!D:E, 2, 0)</f>
        <v>variant</v>
      </c>
      <c r="E2581" s="4" t="str">
        <f>IFERROR(__xludf.DUMMYFUNCTION("if(H2581=""pays"",vlookup(REGEXEXTRACT(C2581, ""🏘️ \w+ \w+ (.*) ✅""),'Country prepositions'!A:B, 2, 0) &amp; "" "" &amp; REGEXEXTRACT(C2581, ""🏘️ \w+ \w+ (.*) ✅"") ,  if(H2581=""quartier"",vlookup(REGEXEXTRACT(C2581, ""🏘️ \w+ \w+ (.*) ✅""),'Quartier prepositio"&amp;"ns'!A:E, 5, 0) ,  if(H2581=""region"",vlookup(REGEXEXTRACT(C2581, ""🏘️ \w+ \w+ (.*) ✅""),'Region prepositions'!B:F, 5, 0),  REGEXEXTRACT(C2581, ""🏘️ \w+ \w+ (.*) ✅""))))"),"Niederhasli")</f>
        <v>Niederhasli</v>
      </c>
      <c r="F2581" s="2" t="str">
        <f>IFERROR(__xludf.DUMMYFUNCTION("REGEXEXTRACT(C2581, ""🏘️ (\w+) \w+ .* ✅"")"),"Louer")</f>
        <v>Louer</v>
      </c>
      <c r="G2581" s="2" t="str">
        <f>IFERROR(__xludf.DUMMYFUNCTION("REGEXEXTRACT(C2581, ""🏘️ \w+ (\w+) .* ✅"")"),"appartement")</f>
        <v>appartement</v>
      </c>
      <c r="H2581" s="4" t="str">
        <f>IFERROR(__xludf.DUMMYFUNCTION("REGEXEXTRACT(A2581, ""/(\w+)-.*?"")"),"lieu")</f>
        <v>lieu</v>
      </c>
      <c r="I2581" s="4" t="str">
        <f>IFERROR(__xludf.DUMMYFUNCTION("if(D2581=""variant"",  substitute(filter(Templates!E:E, Templates!A:A = F2581, Templates!B:B = G2581, Templates!C:C = H2581), ""{{}}"", E2581), B2581)"),"🏘  Vous cherchez un appartement à louer à Niederhasli? ✅ Les annonces les plus actuelles sont sur ImmoScout24.ch.")</f>
        <v>🏘  Vous cherchez un appartement à louer à Niederhasli? ✅ Les annonces les plus actuelles sont sur ImmoScout24.ch.</v>
      </c>
      <c r="J2581" s="4" t="s">
        <v>7739</v>
      </c>
    </row>
    <row r="2582">
      <c r="A2582" s="5" t="s">
        <v>7740</v>
      </c>
      <c r="B2582" s="2" t="s">
        <v>7741</v>
      </c>
      <c r="C2582" s="4" t="str">
        <f>IFERROR(__xludf.DUMMYFUNCTION("""🏘️ ""&amp;REGEXEXTRACT(B2582, ""^(.*): "")&amp;"" ✅ "" &amp;REGEXEXTRACT(B2582, ""(Trouvez.*)"")"),"🏘️ Vendre maison Steckborn ✅ Trouvez le bien immobilier qui correspond idéalement à vos désirs sur ImmoScout24 - La plateforme de l'immobilier en Suisse.")</f>
        <v>🏘️ Vendre maison Steckborn ✅ Trouvez le bien immobilier qui correspond idéalement à vos désirs sur ImmoScout24 - La plateforme de l'immobilier en Suisse.</v>
      </c>
      <c r="D2582" s="4" t="str">
        <f>vlookup(A2582, Sheet2!D:E, 2, 0)</f>
        <v>variant</v>
      </c>
      <c r="E2582" s="4" t="str">
        <f>IFERROR(__xludf.DUMMYFUNCTION("if(H2582=""pays"",vlookup(REGEXEXTRACT(C2582, ""🏘️ \w+ \w+ (.*) ✅""),'Country prepositions'!A:B, 2, 0) &amp; "" "" &amp; REGEXEXTRACT(C2582, ""🏘️ \w+ \w+ (.*) ✅"") ,  if(H2582=""quartier"",vlookup(REGEXEXTRACT(C2582, ""🏘️ \w+ \w+ (.*) ✅""),'Quartier prepositio"&amp;"ns'!A:E, 5, 0) ,  if(H2582=""region"",vlookup(REGEXEXTRACT(C2582, ""🏘️ \w+ \w+ (.*) ✅""),'Region prepositions'!B:F, 5, 0),  REGEXEXTRACT(C2582, ""🏘️ \w+ \w+ (.*) ✅""))))"),"Steckborn")</f>
        <v>Steckborn</v>
      </c>
      <c r="F2582" s="2" t="str">
        <f>IFERROR(__xludf.DUMMYFUNCTION("REGEXEXTRACT(C2582, ""🏘️ (\w+) \w+ .* ✅"")"),"Vendre")</f>
        <v>Vendre</v>
      </c>
      <c r="G2582" s="2" t="str">
        <f>IFERROR(__xludf.DUMMYFUNCTION("REGEXEXTRACT(C2582, ""🏘️ \w+ (\w+) .* ✅"")"),"maison")</f>
        <v>maison</v>
      </c>
      <c r="H2582" s="4" t="str">
        <f>IFERROR(__xludf.DUMMYFUNCTION("REGEXEXTRACT(A2582, ""/(\w+)-.*?"")"),"lieu")</f>
        <v>lieu</v>
      </c>
      <c r="I2582" s="4" t="str">
        <f>IFERROR(__xludf.DUMMYFUNCTION("if(D2582=""variant"",  substitute(filter(Templates!E:E, Templates!A:A = F2582, Templates!B:B = G2582, Templates!C:C = H2582), ""{{}}"", E2582), B2582)"),"🏘  Vous souhaitez acheter une maison à Steckborn? ✅ Jetez un œil aux dernières offres sur ImmoScout24.ch.")</f>
        <v>🏘  Vous souhaitez acheter une maison à Steckborn? ✅ Jetez un œil aux dernières offres sur ImmoScout24.ch.</v>
      </c>
      <c r="J2582" s="4" t="s">
        <v>7742</v>
      </c>
    </row>
    <row r="2583">
      <c r="A2583" s="5" t="s">
        <v>7743</v>
      </c>
      <c r="B2583" s="2" t="s">
        <v>7744</v>
      </c>
      <c r="C2583" s="4" t="str">
        <f>IFERROR(__xludf.DUMMYFUNCTION("""🏘️ ""&amp;REGEXEXTRACT(B2583, ""^(.*): "")&amp;"" ✅ "" &amp;REGEXEXTRACT(B2583, ""(Trouvez.*)"")"),"🏘️ Vendre appartement Montmollin ✅ Trouvez le bien immobilier qui correspond idéalement à vos désirs sur ImmoScout24 - La plateforme de l'immobilier en Suisse.")</f>
        <v>🏘️ Vendre appartement Montmollin ✅ Trouvez le bien immobilier qui correspond idéalement à vos désirs sur ImmoScout24 - La plateforme de l'immobilier en Suisse.</v>
      </c>
      <c r="D2583" s="4" t="str">
        <f>vlookup(A2583, Sheet2!D:E, 2, 0)</f>
        <v>variant</v>
      </c>
      <c r="E2583" s="4" t="str">
        <f>IFERROR(__xludf.DUMMYFUNCTION("if(H2583=""pays"",vlookup(REGEXEXTRACT(C2583, ""🏘️ \w+ \w+ (.*) ✅""),'Country prepositions'!A:B, 2, 0) &amp; "" "" &amp; REGEXEXTRACT(C2583, ""🏘️ \w+ \w+ (.*) ✅"") ,  if(H2583=""quartier"",vlookup(REGEXEXTRACT(C2583, ""🏘️ \w+ \w+ (.*) ✅""),'Quartier prepositio"&amp;"ns'!A:E, 5, 0) ,  if(H2583=""region"",vlookup(REGEXEXTRACT(C2583, ""🏘️ \w+ \w+ (.*) ✅""),'Region prepositions'!B:F, 5, 0),  REGEXEXTRACT(C2583, ""🏘️ \w+ \w+ (.*) ✅""))))"),"Montmollin")</f>
        <v>Montmollin</v>
      </c>
      <c r="F2583" s="2" t="str">
        <f>IFERROR(__xludf.DUMMYFUNCTION("REGEXEXTRACT(C2583, ""🏘️ (\w+) \w+ .* ✅"")"),"Vendre")</f>
        <v>Vendre</v>
      </c>
      <c r="G2583" s="2" t="str">
        <f>IFERROR(__xludf.DUMMYFUNCTION("REGEXEXTRACT(C2583, ""🏘️ \w+ (\w+) .* ✅"")"),"appartement")</f>
        <v>appartement</v>
      </c>
      <c r="H2583" s="4" t="str">
        <f>IFERROR(__xludf.DUMMYFUNCTION("REGEXEXTRACT(A2583, ""/(\w+)-.*?"")"),"lieu")</f>
        <v>lieu</v>
      </c>
      <c r="I2583" s="4" t="str">
        <f>IFERROR(__xludf.DUMMYFUNCTION("if(D2583=""variant"",  substitute(filter(Templates!E:E, Templates!A:A = F2583, Templates!B:B = G2583, Templates!C:C = H2583), ""{{}}"", E2583), B2583)"),"🏘  L’appartement de vos rêves se trouve sur ImmoScout24.ch ✅ Découvrez les dernières annonces de vente à Montmollin.")</f>
        <v>🏘  L’appartement de vos rêves se trouve sur ImmoScout24.ch ✅ Découvrez les dernières annonces de vente à Montmollin.</v>
      </c>
      <c r="J2583" s="4" t="s">
        <v>7745</v>
      </c>
    </row>
    <row r="2584">
      <c r="A2584" s="5" t="s">
        <v>7746</v>
      </c>
      <c r="B2584" s="2" t="s">
        <v>7747</v>
      </c>
      <c r="C2584" s="4" t="str">
        <f>IFERROR(__xludf.DUMMYFUNCTION("""🏘️ ""&amp;REGEXEXTRACT(B2584, ""^(.*): "")&amp;"" ✅ "" &amp;REGEXEXTRACT(B2584, ""(Trouvez.*)"")"),"🏘️ Louer appartement Vernayaz ✅ Trouvez le bien immobilier qui correspond idéalement à vos désirs sur ImmoScout24 - La plateforme de l'immobilier en Suisse.")</f>
        <v>🏘️ Louer appartement Vernayaz ✅ Trouvez le bien immobilier qui correspond idéalement à vos désirs sur ImmoScout24 - La plateforme de l'immobilier en Suisse.</v>
      </c>
      <c r="D2584" s="4" t="str">
        <f>vlookup(A2584, Sheet2!D:E, 2, 0)</f>
        <v>variant</v>
      </c>
      <c r="E2584" s="4" t="str">
        <f>IFERROR(__xludf.DUMMYFUNCTION("if(H2584=""pays"",vlookup(REGEXEXTRACT(C2584, ""🏘️ \w+ \w+ (.*) ✅""),'Country prepositions'!A:B, 2, 0) &amp; "" "" &amp; REGEXEXTRACT(C2584, ""🏘️ \w+ \w+ (.*) ✅"") ,  if(H2584=""quartier"",vlookup(REGEXEXTRACT(C2584, ""🏘️ \w+ \w+ (.*) ✅""),'Quartier prepositio"&amp;"ns'!A:E, 5, 0) ,  if(H2584=""region"",vlookup(REGEXEXTRACT(C2584, ""🏘️ \w+ \w+ (.*) ✅""),'Region prepositions'!B:F, 5, 0),  REGEXEXTRACT(C2584, ""🏘️ \w+ \w+ (.*) ✅""))))"),"Vernayaz")</f>
        <v>Vernayaz</v>
      </c>
      <c r="F2584" s="2" t="str">
        <f>IFERROR(__xludf.DUMMYFUNCTION("REGEXEXTRACT(C2584, ""🏘️ (\w+) \w+ .* ✅"")"),"Louer")</f>
        <v>Louer</v>
      </c>
      <c r="G2584" s="2" t="str">
        <f>IFERROR(__xludf.DUMMYFUNCTION("REGEXEXTRACT(C2584, ""🏘️ \w+ (\w+) .* ✅"")"),"appartement")</f>
        <v>appartement</v>
      </c>
      <c r="H2584" s="4" t="str">
        <f>IFERROR(__xludf.DUMMYFUNCTION("REGEXEXTRACT(A2584, ""/(\w+)-.*?"")"),"lieu")</f>
        <v>lieu</v>
      </c>
      <c r="I2584" s="4" t="str">
        <f>IFERROR(__xludf.DUMMYFUNCTION("if(D2584=""variant"",  substitute(filter(Templates!E:E, Templates!A:A = F2584, Templates!B:B = G2584, Templates!C:C = H2584), ""{{}}"", E2584), B2584)"),"🏘  Vous cherchez un appartement à louer à Vernayaz? ✅ Les annonces les plus actuelles sont sur ImmoScout24.ch.")</f>
        <v>🏘  Vous cherchez un appartement à louer à Vernayaz? ✅ Les annonces les plus actuelles sont sur ImmoScout24.ch.</v>
      </c>
      <c r="J2584" s="4" t="s">
        <v>7748</v>
      </c>
    </row>
    <row r="2585">
      <c r="A2585" s="5" t="s">
        <v>7749</v>
      </c>
      <c r="B2585" s="2" t="s">
        <v>7750</v>
      </c>
      <c r="C2585" s="4" t="str">
        <f>IFERROR(__xludf.DUMMYFUNCTION("""🏘️ ""&amp;REGEXEXTRACT(B2585, ""^(.*): "")&amp;"" ✅ "" &amp;REGEXEXTRACT(B2585, ""(Trouvez.*)"")"),"🏘️ Louer appartement Greifensee ✅ Trouvez le bien immobilier qui correspond idéalement à vos désirs sur ImmoScout24 - La plateforme de l'immobilier en Suisse.")</f>
        <v>🏘️ Louer appartement Greifensee ✅ Trouvez le bien immobilier qui correspond idéalement à vos désirs sur ImmoScout24 - La plateforme de l'immobilier en Suisse.</v>
      </c>
      <c r="D2585" s="4" t="str">
        <f>vlookup(A2585, Sheet2!D:E, 2, 0)</f>
        <v>variant</v>
      </c>
      <c r="E2585" s="4" t="str">
        <f>IFERROR(__xludf.DUMMYFUNCTION("if(H2585=""pays"",vlookup(REGEXEXTRACT(C2585, ""🏘️ \w+ \w+ (.*) ✅""),'Country prepositions'!A:B, 2, 0) &amp; "" "" &amp; REGEXEXTRACT(C2585, ""🏘️ \w+ \w+ (.*) ✅"") ,  if(H2585=""quartier"",vlookup(REGEXEXTRACT(C2585, ""🏘️ \w+ \w+ (.*) ✅""),'Quartier prepositio"&amp;"ns'!A:E, 5, 0) ,  if(H2585=""region"",vlookup(REGEXEXTRACT(C2585, ""🏘️ \w+ \w+ (.*) ✅""),'Region prepositions'!B:F, 5, 0),  REGEXEXTRACT(C2585, ""🏘️ \w+ \w+ (.*) ✅""))))"),"Greifensee")</f>
        <v>Greifensee</v>
      </c>
      <c r="F2585" s="2" t="str">
        <f>IFERROR(__xludf.DUMMYFUNCTION("REGEXEXTRACT(C2585, ""🏘️ (\w+) \w+ .* ✅"")"),"Louer")</f>
        <v>Louer</v>
      </c>
      <c r="G2585" s="2" t="str">
        <f>IFERROR(__xludf.DUMMYFUNCTION("REGEXEXTRACT(C2585, ""🏘️ \w+ (\w+) .* ✅"")"),"appartement")</f>
        <v>appartement</v>
      </c>
      <c r="H2585" s="4" t="str">
        <f>IFERROR(__xludf.DUMMYFUNCTION("REGEXEXTRACT(A2585, ""/(\w+)-.*?"")"),"lieu")</f>
        <v>lieu</v>
      </c>
      <c r="I2585" s="4" t="str">
        <f>IFERROR(__xludf.DUMMYFUNCTION("if(D2585=""variant"",  substitute(filter(Templates!E:E, Templates!A:A = F2585, Templates!B:B = G2585, Templates!C:C = H2585), ""{{}}"", E2585), B2585)"),"🏘  Vous cherchez un appartement à louer à Greifensee? ✅ Les annonces les plus actuelles sont sur ImmoScout24.ch.")</f>
        <v>🏘  Vous cherchez un appartement à louer à Greifensee? ✅ Les annonces les plus actuelles sont sur ImmoScout24.ch.</v>
      </c>
      <c r="J2585" s="4" t="s">
        <v>7751</v>
      </c>
    </row>
    <row r="2586">
      <c r="A2586" s="5" t="s">
        <v>7752</v>
      </c>
      <c r="B2586" s="2" t="s">
        <v>7753</v>
      </c>
      <c r="C2586" s="4" t="str">
        <f>IFERROR(__xludf.DUMMYFUNCTION("""🏘️ ""&amp;REGEXEXTRACT(B2586, ""^(.*): "")&amp;"" ✅ "" &amp;REGEXEXTRACT(B2586, ""(Trouvez.*)"")"),"🏘️ Vendre maison Langensand - Matthof (Lucerne) ✅ Trouvez le bien immobilier qui correspond idéalement à vos désirs sur ImmoScout24 - La plateforme de l'immobilier en Suisse.")</f>
        <v>🏘️ Vendre maison Langensand - Matthof (Lucerne) ✅ Trouvez le bien immobilier qui correspond idéalement à vos désirs sur ImmoScout24 - La plateforme de l'immobilier en Suisse.</v>
      </c>
      <c r="D2586" s="4" t="str">
        <f>vlookup(A2586, Sheet2!D:E, 2, 0)</f>
        <v>variant</v>
      </c>
      <c r="E2586" s="4" t="str">
        <f>IFERROR(__xludf.DUMMYFUNCTION("if(H2586=""pays"",vlookup(REGEXEXTRACT(C2586, ""🏘️ \w+ \w+ (.*) ✅""),'Country prepositions'!A:B, 2, 0) &amp; "" "" &amp; REGEXEXTRACT(C2586, ""🏘️ \w+ \w+ (.*) ✅"") ,  if(H2586=""quartier"",vlookup(REGEXEXTRACT(C2586, ""🏘️ \w+ \w+ (.*) ✅""),'Quartier prepositio"&amp;"ns'!A:E, 5, 0) ,  if(H2586=""region"",vlookup(REGEXEXTRACT(C2586, ""🏘️ \w+ \w+ (.*) ✅""),'Region prepositions'!B:F, 5, 0),  REGEXEXTRACT(C2586, ""🏘️ \w+ \w+ (.*) ✅""))))"),"à Langensand - Matthof (Lucerne)")</f>
        <v>à Langensand - Matthof (Lucerne)</v>
      </c>
      <c r="F2586" s="2" t="str">
        <f>IFERROR(__xludf.DUMMYFUNCTION("REGEXEXTRACT(C2586, ""🏘️ (\w+) \w+ .* ✅"")"),"Vendre")</f>
        <v>Vendre</v>
      </c>
      <c r="G2586" s="2" t="str">
        <f>IFERROR(__xludf.DUMMYFUNCTION("REGEXEXTRACT(C2586, ""🏘️ \w+ (\w+) .* ✅"")"),"maison")</f>
        <v>maison</v>
      </c>
      <c r="H2586" s="4" t="str">
        <f>IFERROR(__xludf.DUMMYFUNCTION("REGEXEXTRACT(A2586, ""/(\w+)-.*?"")"),"quartier")</f>
        <v>quartier</v>
      </c>
      <c r="I2586" s="4" t="str">
        <f>IFERROR(__xludf.DUMMYFUNCTION("if(D2586=""variant"",  substitute(filter(Templates!E:E, Templates!A:A = F2586, Templates!B:B = G2586, Templates!C:C = H2586), ""{{}}"", E2586), B2586)"),"🏘  Vous souhaitez acheter une maison à Langensand - Matthof (Lucerne)? ✅ Jetez un œil aux dernières offres sur ImmoScout24.ch.")</f>
        <v>🏘  Vous souhaitez acheter une maison à Langensand - Matthof (Lucerne)? ✅ Jetez un œil aux dernières offres sur ImmoScout24.ch.</v>
      </c>
      <c r="J2586" s="4" t="s">
        <v>7754</v>
      </c>
    </row>
    <row r="2587">
      <c r="A2587" s="5" t="s">
        <v>7755</v>
      </c>
      <c r="B2587" s="2" t="s">
        <v>7756</v>
      </c>
      <c r="C2587" s="4" t="str">
        <f>IFERROR(__xludf.DUMMYFUNCTION("""🏘️ ""&amp;REGEXEXTRACT(B2587, ""^(.*): "")&amp;"" ✅ "" &amp;REGEXEXTRACT(B2587, ""(Trouvez.*)"")"),"🏘️ Vendre maison Fribourg Glane ✅ Trouvez le bien immobilier qui correspond idéalement à vos désirs sur ImmoScout24 - La plateforme de l'immobilier en Suisse.")</f>
        <v>🏘️ Vendre maison Fribourg Glane ✅ Trouvez le bien immobilier qui correspond idéalement à vos désirs sur ImmoScout24 - La plateforme de l'immobilier en Suisse.</v>
      </c>
      <c r="D2587" s="4" t="str">
        <f>vlookup(A2587, Sheet2!D:E, 2, 0)</f>
        <v>variant</v>
      </c>
      <c r="E2587" s="4" t="str">
        <f>IFERROR(__xludf.DUMMYFUNCTION("if(H2587=""pays"",vlookup(REGEXEXTRACT(C2587, ""🏘️ \w+ \w+ (.*) ✅""),'Country prepositions'!A:B, 2, 0) &amp; "" "" &amp; REGEXEXTRACT(C2587, ""🏘️ \w+ \w+ (.*) ✅"") ,  if(H2587=""quartier"",vlookup(REGEXEXTRACT(C2587, ""🏘️ \w+ \w+ (.*) ✅""),'Quartier prepositio"&amp;"ns'!A:E, 5, 0) ,  if(H2587=""region"",vlookup(REGEXEXTRACT(C2587, ""🏘️ \w+ \w+ (.*) ✅""),'Region prepositions'!B:F, 5, 0),  REGEXEXTRACT(C2587, ""🏘️ \w+ \w+ (.*) ✅""))))"),"dans le district de la Glâne")</f>
        <v>dans le district de la Glâne</v>
      </c>
      <c r="F2587" s="2" t="str">
        <f>IFERROR(__xludf.DUMMYFUNCTION("REGEXEXTRACT(C2587, ""🏘️ (\w+) \w+ .* ✅"")"),"Vendre")</f>
        <v>Vendre</v>
      </c>
      <c r="G2587" s="2" t="str">
        <f>IFERROR(__xludf.DUMMYFUNCTION("REGEXEXTRACT(C2587, ""🏘️ \w+ (\w+) .* ✅"")"),"maison")</f>
        <v>maison</v>
      </c>
      <c r="H2587" s="4" t="str">
        <f>IFERROR(__xludf.DUMMYFUNCTION("REGEXEXTRACT(A2587, ""/(\w+)-.*?"")"),"region")</f>
        <v>region</v>
      </c>
      <c r="I2587" s="4" t="str">
        <f>IFERROR(__xludf.DUMMYFUNCTION("if(D2587=""variant"",  substitute(filter(Templates!E:E, Templates!A:A = F2587, Templates!B:B = G2587, Templates!C:C = H2587), ""{{}}"", E2587), B2587)"),"🏘  Vous souhaitez acheter une maison dans le district de la Glâne? ✅ Jetez un œil aux dernières offres sur ImmoScout24.ch.")</f>
        <v>🏘  Vous souhaitez acheter une maison dans le district de la Glâne? ✅ Jetez un œil aux dernières offres sur ImmoScout24.ch.</v>
      </c>
      <c r="J2587" s="4" t="s">
        <v>7757</v>
      </c>
    </row>
    <row r="2588">
      <c r="A2588" s="5" t="s">
        <v>7758</v>
      </c>
      <c r="B2588" s="2" t="s">
        <v>7759</v>
      </c>
      <c r="C2588" s="4" t="str">
        <f>IFERROR(__xludf.DUMMYFUNCTION("""🏘️ ""&amp;REGEXEXTRACT(B2588, ""^(.*): "")&amp;"" ✅ "" &amp;REGEXEXTRACT(B2588, ""(Trouvez.*)"")"),"🏘️ Louer maison Lonay ✅ Trouvez le bien immobilier qui correspond idéalement à vos désirs sur ImmoScout24 - La plateforme de l'immobilier en Suisse.")</f>
        <v>🏘️ Louer maison Lonay ✅ Trouvez le bien immobilier qui correspond idéalement à vos désirs sur ImmoScout24 - La plateforme de l'immobilier en Suisse.</v>
      </c>
      <c r="D2588" s="4" t="str">
        <f>vlookup(A2588, Sheet2!D:E, 2, 0)</f>
        <v>variant</v>
      </c>
      <c r="E2588" s="4" t="str">
        <f>IFERROR(__xludf.DUMMYFUNCTION("if(H2588=""pays"",vlookup(REGEXEXTRACT(C2588, ""🏘️ \w+ \w+ (.*) ✅""),'Country prepositions'!A:B, 2, 0) &amp; "" "" &amp; REGEXEXTRACT(C2588, ""🏘️ \w+ \w+ (.*) ✅"") ,  if(H2588=""quartier"",vlookup(REGEXEXTRACT(C2588, ""🏘️ \w+ \w+ (.*) ✅""),'Quartier prepositio"&amp;"ns'!A:E, 5, 0) ,  if(H2588=""region"",vlookup(REGEXEXTRACT(C2588, ""🏘️ \w+ \w+ (.*) ✅""),'Region prepositions'!B:F, 5, 0),  REGEXEXTRACT(C2588, ""🏘️ \w+ \w+ (.*) ✅""))))"),"Lonay")</f>
        <v>Lonay</v>
      </c>
      <c r="F2588" s="2" t="str">
        <f>IFERROR(__xludf.DUMMYFUNCTION("REGEXEXTRACT(C2588, ""🏘️ (\w+) \w+ .* ✅"")"),"Louer")</f>
        <v>Louer</v>
      </c>
      <c r="G2588" s="2" t="str">
        <f>IFERROR(__xludf.DUMMYFUNCTION("REGEXEXTRACT(C2588, ""🏘️ \w+ (\w+) .* ✅"")"),"maison")</f>
        <v>maison</v>
      </c>
      <c r="H2588" s="4" t="str">
        <f>IFERROR(__xludf.DUMMYFUNCTION("REGEXEXTRACT(A2588, ""/(\w+)-.*?"")"),"lieu")</f>
        <v>lieu</v>
      </c>
      <c r="I2588" s="4" t="str">
        <f>IFERROR(__xludf.DUMMYFUNCTION("if(D2588=""variant"",  substitute(filter(Templates!E:E, Templates!A:A = F2588, Templates!B:B = G2588, Templates!C:C = H2588), ""{{}}"", E2588), B2588)"),"🏘  Vous cherchez une maison à louer à Lonay? ✅ Découvrez nos nombreuses annonces sur ImmoScout24.ch.")</f>
        <v>🏘  Vous cherchez une maison à louer à Lonay? ✅ Découvrez nos nombreuses annonces sur ImmoScout24.ch.</v>
      </c>
      <c r="J2588" s="4" t="s">
        <v>7760</v>
      </c>
    </row>
    <row r="2589">
      <c r="A2589" s="5" t="s">
        <v>7761</v>
      </c>
      <c r="B2589" s="2" t="s">
        <v>7762</v>
      </c>
      <c r="C2589" s="4" t="str">
        <f>IFERROR(__xludf.DUMMYFUNCTION("""🏘️ ""&amp;REGEXEXTRACT(B2589, ""^(.*): "")&amp;"" ✅ "" &amp;REGEXEXTRACT(B2589, ""(Trouvez.*)"")"),"🏘️ Vendre appartement Founex ✅ Trouvez le bien immobilier qui correspond idéalement à vos désirs sur ImmoScout24 - La plateforme de l'immobilier en Suisse.")</f>
        <v>🏘️ Vendre appartement Founex ✅ Trouvez le bien immobilier qui correspond idéalement à vos désirs sur ImmoScout24 - La plateforme de l'immobilier en Suisse.</v>
      </c>
      <c r="D2589" s="4" t="str">
        <f>vlookup(A2589, Sheet2!D:E, 2, 0)</f>
        <v>variant</v>
      </c>
      <c r="E2589" s="4" t="str">
        <f>IFERROR(__xludf.DUMMYFUNCTION("if(H2589=""pays"",vlookup(REGEXEXTRACT(C2589, ""🏘️ \w+ \w+ (.*) ✅""),'Country prepositions'!A:B, 2, 0) &amp; "" "" &amp; REGEXEXTRACT(C2589, ""🏘️ \w+ \w+ (.*) ✅"") ,  if(H2589=""quartier"",vlookup(REGEXEXTRACT(C2589, ""🏘️ \w+ \w+ (.*) ✅""),'Quartier prepositio"&amp;"ns'!A:E, 5, 0) ,  if(H2589=""region"",vlookup(REGEXEXTRACT(C2589, ""🏘️ \w+ \w+ (.*) ✅""),'Region prepositions'!B:F, 5, 0),  REGEXEXTRACT(C2589, ""🏘️ \w+ \w+ (.*) ✅""))))"),"Founex")</f>
        <v>Founex</v>
      </c>
      <c r="F2589" s="2" t="str">
        <f>IFERROR(__xludf.DUMMYFUNCTION("REGEXEXTRACT(C2589, ""🏘️ (\w+) \w+ .* ✅"")"),"Vendre")</f>
        <v>Vendre</v>
      </c>
      <c r="G2589" s="2" t="str">
        <f>IFERROR(__xludf.DUMMYFUNCTION("REGEXEXTRACT(C2589, ""🏘️ \w+ (\w+) .* ✅"")"),"appartement")</f>
        <v>appartement</v>
      </c>
      <c r="H2589" s="4" t="str">
        <f>IFERROR(__xludf.DUMMYFUNCTION("REGEXEXTRACT(A2589, ""/(\w+)-.*?"")"),"lieu")</f>
        <v>lieu</v>
      </c>
      <c r="I2589" s="4" t="str">
        <f>IFERROR(__xludf.DUMMYFUNCTION("if(D2589=""variant"",  substitute(filter(Templates!E:E, Templates!A:A = F2589, Templates!B:B = G2589, Templates!C:C = H2589), ""{{}}"", E2589), B2589)"),"🏘  L’appartement de vos rêves se trouve sur ImmoScout24.ch ✅ Découvrez les dernières annonces de vente à Founex.")</f>
        <v>🏘  L’appartement de vos rêves se trouve sur ImmoScout24.ch ✅ Découvrez les dernières annonces de vente à Founex.</v>
      </c>
      <c r="J2589" s="4" t="s">
        <v>7763</v>
      </c>
    </row>
    <row r="2590">
      <c r="A2590" s="5" t="s">
        <v>7764</v>
      </c>
      <c r="B2590" s="2" t="s">
        <v>7765</v>
      </c>
      <c r="C2590" s="4" t="str">
        <f>IFERROR(__xludf.DUMMYFUNCTION("""🏘️ ""&amp;REGEXEXTRACT(B2590, ""^(.*): "")&amp;"" ✅ "" &amp;REGEXEXTRACT(B2590, ""(Trouvez.*)"")"),"🏘️ Vendre appartement Donneloye ✅ Trouvez le bien immobilier qui correspond idéalement à vos désirs sur ImmoScout24 - La plateforme de l'immobilier en Suisse.")</f>
        <v>🏘️ Vendre appartement Donneloye ✅ Trouvez le bien immobilier qui correspond idéalement à vos désirs sur ImmoScout24 - La plateforme de l'immobilier en Suisse.</v>
      </c>
      <c r="D2590" s="4" t="str">
        <f>vlookup(A2590, Sheet2!D:E, 2, 0)</f>
        <v>variant</v>
      </c>
      <c r="E2590" s="4" t="str">
        <f>IFERROR(__xludf.DUMMYFUNCTION("if(H2590=""pays"",vlookup(REGEXEXTRACT(C2590, ""🏘️ \w+ \w+ (.*) ✅""),'Country prepositions'!A:B, 2, 0) &amp; "" "" &amp; REGEXEXTRACT(C2590, ""🏘️ \w+ \w+ (.*) ✅"") ,  if(H2590=""quartier"",vlookup(REGEXEXTRACT(C2590, ""🏘️ \w+ \w+ (.*) ✅""),'Quartier prepositio"&amp;"ns'!A:E, 5, 0) ,  if(H2590=""region"",vlookup(REGEXEXTRACT(C2590, ""🏘️ \w+ \w+ (.*) ✅""),'Region prepositions'!B:F, 5, 0),  REGEXEXTRACT(C2590, ""🏘️ \w+ \w+ (.*) ✅""))))"),"Donneloye")</f>
        <v>Donneloye</v>
      </c>
      <c r="F2590" s="2" t="str">
        <f>IFERROR(__xludf.DUMMYFUNCTION("REGEXEXTRACT(C2590, ""🏘️ (\w+) \w+ .* ✅"")"),"Vendre")</f>
        <v>Vendre</v>
      </c>
      <c r="G2590" s="2" t="str">
        <f>IFERROR(__xludf.DUMMYFUNCTION("REGEXEXTRACT(C2590, ""🏘️ \w+ (\w+) .* ✅"")"),"appartement")</f>
        <v>appartement</v>
      </c>
      <c r="H2590" s="4" t="str">
        <f>IFERROR(__xludf.DUMMYFUNCTION("REGEXEXTRACT(A2590, ""/(\w+)-.*?"")"),"lieu")</f>
        <v>lieu</v>
      </c>
      <c r="I2590" s="4" t="str">
        <f>IFERROR(__xludf.DUMMYFUNCTION("if(D2590=""variant"",  substitute(filter(Templates!E:E, Templates!A:A = F2590, Templates!B:B = G2590, Templates!C:C = H2590), ""{{}}"", E2590), B2590)"),"🏘  L’appartement de vos rêves se trouve sur ImmoScout24.ch ✅ Découvrez les dernières annonces de vente à Donneloye.")</f>
        <v>🏘  L’appartement de vos rêves se trouve sur ImmoScout24.ch ✅ Découvrez les dernières annonces de vente à Donneloye.</v>
      </c>
      <c r="J2590" s="4" t="s">
        <v>7766</v>
      </c>
    </row>
    <row r="2591">
      <c r="A2591" s="5" t="s">
        <v>7767</v>
      </c>
      <c r="B2591" s="2" t="s">
        <v>7768</v>
      </c>
      <c r="C2591" s="4" t="str">
        <f>IFERROR(__xludf.DUMMYFUNCTION("""🏘️ ""&amp;REGEXEXTRACT(B2591, ""^(.*): "")&amp;"" ✅ "" &amp;REGEXEXTRACT(B2591, ""(Trouvez.*)"")"),"🏘️ Louer appartement Oberentfelden ✅ Trouvez le bien immobilier qui correspond idéalement à vos désirs sur ImmoScout24 - La plateforme de l'immobilier en Suisse.")</f>
        <v>🏘️ Louer appartement Oberentfelden ✅ Trouvez le bien immobilier qui correspond idéalement à vos désirs sur ImmoScout24 - La plateforme de l'immobilier en Suisse.</v>
      </c>
      <c r="D2591" s="4" t="str">
        <f>vlookup(A2591, Sheet2!D:E, 2, 0)</f>
        <v>variant</v>
      </c>
      <c r="E2591" s="4" t="str">
        <f>IFERROR(__xludf.DUMMYFUNCTION("if(H2591=""pays"",vlookup(REGEXEXTRACT(C2591, ""🏘️ \w+ \w+ (.*) ✅""),'Country prepositions'!A:B, 2, 0) &amp; "" "" &amp; REGEXEXTRACT(C2591, ""🏘️ \w+ \w+ (.*) ✅"") ,  if(H2591=""quartier"",vlookup(REGEXEXTRACT(C2591, ""🏘️ \w+ \w+ (.*) ✅""),'Quartier prepositio"&amp;"ns'!A:E, 5, 0) ,  if(H2591=""region"",vlookup(REGEXEXTRACT(C2591, ""🏘️ \w+ \w+ (.*) ✅""),'Region prepositions'!B:F, 5, 0),  REGEXEXTRACT(C2591, ""🏘️ \w+ \w+ (.*) ✅""))))"),"Oberentfelden")</f>
        <v>Oberentfelden</v>
      </c>
      <c r="F2591" s="2" t="str">
        <f>IFERROR(__xludf.DUMMYFUNCTION("REGEXEXTRACT(C2591, ""🏘️ (\w+) \w+ .* ✅"")"),"Louer")</f>
        <v>Louer</v>
      </c>
      <c r="G2591" s="2" t="str">
        <f>IFERROR(__xludf.DUMMYFUNCTION("REGEXEXTRACT(C2591, ""🏘️ \w+ (\w+) .* ✅"")"),"appartement")</f>
        <v>appartement</v>
      </c>
      <c r="H2591" s="4" t="str">
        <f>IFERROR(__xludf.DUMMYFUNCTION("REGEXEXTRACT(A2591, ""/(\w+)-.*?"")"),"lieu")</f>
        <v>lieu</v>
      </c>
      <c r="I2591" s="4" t="str">
        <f>IFERROR(__xludf.DUMMYFUNCTION("if(D2591=""variant"",  substitute(filter(Templates!E:E, Templates!A:A = F2591, Templates!B:B = G2591, Templates!C:C = H2591), ""{{}}"", E2591), B2591)"),"🏘  Vous cherchez un appartement à louer à Oberentfelden? ✅ Les annonces les plus actuelles sont sur ImmoScout24.ch.")</f>
        <v>🏘  Vous cherchez un appartement à louer à Oberentfelden? ✅ Les annonces les plus actuelles sont sur ImmoScout24.ch.</v>
      </c>
      <c r="J2591" s="4" t="s">
        <v>7769</v>
      </c>
    </row>
    <row r="2592">
      <c r="A2592" s="5" t="s">
        <v>7770</v>
      </c>
      <c r="B2592" s="2" t="s">
        <v>7771</v>
      </c>
      <c r="C2592" s="4" t="str">
        <f>IFERROR(__xludf.DUMMYFUNCTION("""🏘️ ""&amp;REGEXEXTRACT(B2592, ""^(.*): "")&amp;"" ✅ "" &amp;REGEXEXTRACT(B2592, ""(Trouvez.*)"")"),"🏘️ Vendre maison Champlan (Grimisuat) ✅ Trouvez le bien immobilier qui correspond idéalement à vos désirs sur ImmoScout24 - La plateforme de l'immobilier en Suisse.")</f>
        <v>🏘️ Vendre maison Champlan (Grimisuat) ✅ Trouvez le bien immobilier qui correspond idéalement à vos désirs sur ImmoScout24 - La plateforme de l'immobilier en Suisse.</v>
      </c>
      <c r="D2592" s="4" t="str">
        <f>vlookup(A2592, Sheet2!D:E, 2, 0)</f>
        <v>variant</v>
      </c>
      <c r="E2592" s="4" t="str">
        <f>IFERROR(__xludf.DUMMYFUNCTION("if(H2592=""pays"",vlookup(REGEXEXTRACT(C2592, ""🏘️ \w+ \w+ (.*) ✅""),'Country prepositions'!A:B, 2, 0) &amp; "" "" &amp; REGEXEXTRACT(C2592, ""🏘️ \w+ \w+ (.*) ✅"") ,  if(H2592=""quartier"",vlookup(REGEXEXTRACT(C2592, ""🏘️ \w+ \w+ (.*) ✅""),'Quartier prepositio"&amp;"ns'!A:E, 5, 0) ,  if(H2592=""region"",vlookup(REGEXEXTRACT(C2592, ""🏘️ \w+ \w+ (.*) ✅""),'Region prepositions'!B:F, 5, 0),  REGEXEXTRACT(C2592, ""🏘️ \w+ \w+ (.*) ✅""))))"),"Champlan (Grimisuat)")</f>
        <v>Champlan (Grimisuat)</v>
      </c>
      <c r="F2592" s="2" t="str">
        <f>IFERROR(__xludf.DUMMYFUNCTION("REGEXEXTRACT(C2592, ""🏘️ (\w+) \w+ .* ✅"")"),"Vendre")</f>
        <v>Vendre</v>
      </c>
      <c r="G2592" s="2" t="str">
        <f>IFERROR(__xludf.DUMMYFUNCTION("REGEXEXTRACT(C2592, ""🏘️ \w+ (\w+) .* ✅"")"),"maison")</f>
        <v>maison</v>
      </c>
      <c r="H2592" s="4" t="str">
        <f>IFERROR(__xludf.DUMMYFUNCTION("REGEXEXTRACT(A2592, ""/(\w+)-.*?"")"),"lieu")</f>
        <v>lieu</v>
      </c>
      <c r="I2592" s="4" t="str">
        <f>IFERROR(__xludf.DUMMYFUNCTION("if(D2592=""variant"",  substitute(filter(Templates!E:E, Templates!A:A = F2592, Templates!B:B = G2592, Templates!C:C = H2592), ""{{}}"", E2592), B2592)"),"🏘  Vous souhaitez acheter une maison à Champlan (Grimisuat)? ✅ Jetez un œil aux dernières offres sur ImmoScout24.ch.")</f>
        <v>🏘  Vous souhaitez acheter une maison à Champlan (Grimisuat)? ✅ Jetez un œil aux dernières offres sur ImmoScout24.ch.</v>
      </c>
      <c r="J2592" s="4" t="s">
        <v>7772</v>
      </c>
    </row>
    <row r="2593">
      <c r="A2593" s="5" t="s">
        <v>7773</v>
      </c>
      <c r="B2593" s="2" t="s">
        <v>7774</v>
      </c>
      <c r="C2593" s="4" t="str">
        <f>IFERROR(__xludf.DUMMYFUNCTION("""🏘️ ""&amp;REGEXEXTRACT(B2593, ""^(.*): "")&amp;"" ✅ "" &amp;REGEXEXTRACT(B2593, ""(Trouvez.*)"")"),"🏘️ Vendre maison Schönried ✅ Trouvez le bien immobilier qui correspond idéalement à vos désirs sur ImmoScout24 - La plateforme de l'immobilier en Suisse.")</f>
        <v>🏘️ Vendre maison Schönried ✅ Trouvez le bien immobilier qui correspond idéalement à vos désirs sur ImmoScout24 - La plateforme de l'immobilier en Suisse.</v>
      </c>
      <c r="D2593" s="4" t="str">
        <f>vlookup(A2593, Sheet2!D:E, 2, 0)</f>
        <v>variant</v>
      </c>
      <c r="E2593" s="4" t="str">
        <f>IFERROR(__xludf.DUMMYFUNCTION("if(H2593=""pays"",vlookup(REGEXEXTRACT(C2593, ""🏘️ \w+ \w+ (.*) ✅""),'Country prepositions'!A:B, 2, 0) &amp; "" "" &amp; REGEXEXTRACT(C2593, ""🏘️ \w+ \w+ (.*) ✅"") ,  if(H2593=""quartier"",vlookup(REGEXEXTRACT(C2593, ""🏘️ \w+ \w+ (.*) ✅""),'Quartier prepositio"&amp;"ns'!A:E, 5, 0) ,  if(H2593=""region"",vlookup(REGEXEXTRACT(C2593, ""🏘️ \w+ \w+ (.*) ✅""),'Region prepositions'!B:F, 5, 0),  REGEXEXTRACT(C2593, ""🏘️ \w+ \w+ (.*) ✅""))))"),"Schönried")</f>
        <v>Schönried</v>
      </c>
      <c r="F2593" s="2" t="str">
        <f>IFERROR(__xludf.DUMMYFUNCTION("REGEXEXTRACT(C2593, ""🏘️ (\w+) \w+ .* ✅"")"),"Vendre")</f>
        <v>Vendre</v>
      </c>
      <c r="G2593" s="2" t="str">
        <f>IFERROR(__xludf.DUMMYFUNCTION("REGEXEXTRACT(C2593, ""🏘️ \w+ (\w+) .* ✅"")"),"maison")</f>
        <v>maison</v>
      </c>
      <c r="H2593" s="4" t="str">
        <f>IFERROR(__xludf.DUMMYFUNCTION("REGEXEXTRACT(A2593, ""/(\w+)-.*?"")"),"lieu")</f>
        <v>lieu</v>
      </c>
      <c r="I2593" s="4" t="str">
        <f>IFERROR(__xludf.DUMMYFUNCTION("if(D2593=""variant"",  substitute(filter(Templates!E:E, Templates!A:A = F2593, Templates!B:B = G2593, Templates!C:C = H2593), ""{{}}"", E2593), B2593)"),"🏘  Vous souhaitez acheter une maison à Schönried? ✅ Jetez un œil aux dernières offres sur ImmoScout24.ch.")</f>
        <v>🏘  Vous souhaitez acheter une maison à Schönried? ✅ Jetez un œil aux dernières offres sur ImmoScout24.ch.</v>
      </c>
      <c r="J2593" s="4" t="s">
        <v>7775</v>
      </c>
    </row>
    <row r="2594">
      <c r="A2594" s="5" t="s">
        <v>7776</v>
      </c>
      <c r="B2594" s="2" t="s">
        <v>7777</v>
      </c>
      <c r="C2594" s="4" t="str">
        <f>IFERROR(__xludf.DUMMYFUNCTION("""🏘️ ""&amp;REGEXEXTRACT(B2594, ""^(.*): "")&amp;"" ✅ "" &amp;REGEXEXTRACT(B2594, ""(Trouvez.*)"")"),"🏘️ Vendre maison Savognin ✅ Trouvez le bien immobilier qui correspond idéalement à vos désirs sur ImmoScout24 - La plateforme de l'immobilier en Suisse.")</f>
        <v>🏘️ Vendre maison Savognin ✅ Trouvez le bien immobilier qui correspond idéalement à vos désirs sur ImmoScout24 - La plateforme de l'immobilier en Suisse.</v>
      </c>
      <c r="D2594" s="4" t="str">
        <f>vlookup(A2594, Sheet2!D:E, 2, 0)</f>
        <v>variant</v>
      </c>
      <c r="E2594" s="4" t="str">
        <f>IFERROR(__xludf.DUMMYFUNCTION("if(H2594=""pays"",vlookup(REGEXEXTRACT(C2594, ""🏘️ \w+ \w+ (.*) ✅""),'Country prepositions'!A:B, 2, 0) &amp; "" "" &amp; REGEXEXTRACT(C2594, ""🏘️ \w+ \w+ (.*) ✅"") ,  if(H2594=""quartier"",vlookup(REGEXEXTRACT(C2594, ""🏘️ \w+ \w+ (.*) ✅""),'Quartier prepositio"&amp;"ns'!A:E, 5, 0) ,  if(H2594=""region"",vlookup(REGEXEXTRACT(C2594, ""🏘️ \w+ \w+ (.*) ✅""),'Region prepositions'!B:F, 5, 0),  REGEXEXTRACT(C2594, ""🏘️ \w+ \w+ (.*) ✅""))))"),"Savognin")</f>
        <v>Savognin</v>
      </c>
      <c r="F2594" s="2" t="str">
        <f>IFERROR(__xludf.DUMMYFUNCTION("REGEXEXTRACT(C2594, ""🏘️ (\w+) \w+ .* ✅"")"),"Vendre")</f>
        <v>Vendre</v>
      </c>
      <c r="G2594" s="2" t="str">
        <f>IFERROR(__xludf.DUMMYFUNCTION("REGEXEXTRACT(C2594, ""🏘️ \w+ (\w+) .* ✅"")"),"maison")</f>
        <v>maison</v>
      </c>
      <c r="H2594" s="4" t="str">
        <f>IFERROR(__xludf.DUMMYFUNCTION("REGEXEXTRACT(A2594, ""/(\w+)-.*?"")"),"lieu")</f>
        <v>lieu</v>
      </c>
      <c r="I2594" s="4" t="str">
        <f>IFERROR(__xludf.DUMMYFUNCTION("if(D2594=""variant"",  substitute(filter(Templates!E:E, Templates!A:A = F2594, Templates!B:B = G2594, Templates!C:C = H2594), ""{{}}"", E2594), B2594)"),"🏘  Vous souhaitez acheter une maison à Savognin? ✅ Jetez un œil aux dernières offres sur ImmoScout24.ch.")</f>
        <v>🏘  Vous souhaitez acheter une maison à Savognin? ✅ Jetez un œil aux dernières offres sur ImmoScout24.ch.</v>
      </c>
      <c r="J2594" s="4" t="s">
        <v>7778</v>
      </c>
    </row>
    <row r="2595">
      <c r="A2595" s="5" t="s">
        <v>7779</v>
      </c>
      <c r="B2595" s="2" t="s">
        <v>7780</v>
      </c>
      <c r="C2595" s="4" t="str">
        <f>IFERROR(__xludf.DUMMYFUNCTION("""🏘️ ""&amp;REGEXEXTRACT(B2595, ""^(.*): "")&amp;"" ✅ "" &amp;REGEXEXTRACT(B2595, ""(Trouvez.*)"")"),"🏘️ Vendre appartement Madretsch Nord (Biel/Bienne) ✅ Trouvez le bien immobilier qui correspond idéalement à vos désirs sur ImmoScout24 - La plateforme de l'immobilier en Suisse.")</f>
        <v>🏘️ Vendre appartement Madretsch Nord (Biel/Bienne) ✅ Trouvez le bien immobilier qui correspond idéalement à vos désirs sur ImmoScout24 - La plateforme de l'immobilier en Suisse.</v>
      </c>
      <c r="D2595" s="4" t="str">
        <f>vlookup(A2595, Sheet2!D:E, 2, 0)</f>
        <v>variant</v>
      </c>
      <c r="E2595" s="4" t="str">
        <f>IFERROR(__xludf.DUMMYFUNCTION("if(H2595=""pays"",vlookup(REGEXEXTRACT(C2595, ""🏘️ \w+ \w+ (.*) ✅""),'Country prepositions'!A:B, 2, 0) &amp; "" "" &amp; REGEXEXTRACT(C2595, ""🏘️ \w+ \w+ (.*) ✅"") ,  if(H2595=""quartier"",vlookup(REGEXEXTRACT(C2595, ""🏘️ \w+ \w+ (.*) ✅""),'Quartier prepositio"&amp;"ns'!A:E, 5, 0) ,  if(H2595=""region"",vlookup(REGEXEXTRACT(C2595, ""🏘️ \w+ \w+ (.*) ✅""),'Region prepositions'!B:F, 5, 0),  REGEXEXTRACT(C2595, ""🏘️ \w+ \w+ (.*) ✅""))))"),"dans le quartier de Madretsch Nord (Biel/Bienne)")</f>
        <v>dans le quartier de Madretsch Nord (Biel/Bienne)</v>
      </c>
      <c r="F2595" s="2" t="str">
        <f>IFERROR(__xludf.DUMMYFUNCTION("REGEXEXTRACT(C2595, ""🏘️ (\w+) \w+ .* ✅"")"),"Vendre")</f>
        <v>Vendre</v>
      </c>
      <c r="G2595" s="2" t="str">
        <f>IFERROR(__xludf.DUMMYFUNCTION("REGEXEXTRACT(C2595, ""🏘️ \w+ (\w+) .* ✅"")"),"appartement")</f>
        <v>appartement</v>
      </c>
      <c r="H2595" s="4" t="str">
        <f>IFERROR(__xludf.DUMMYFUNCTION("REGEXEXTRACT(A2595, ""/(\w+)-.*?"")"),"quartier")</f>
        <v>quartier</v>
      </c>
      <c r="I2595" s="4" t="str">
        <f>IFERROR(__xludf.DUMMYFUNCTION("if(D2595=""variant"",  substitute(filter(Templates!E:E, Templates!A:A = F2595, Templates!B:B = G2595, Templates!C:C = H2595), ""{{}}"", E2595), B2595)"),"🏘  L’appartement de vos rêves se trouve sur ImmoScout24.ch ✅ Découvrez les dernières annonces de vente dans le quartier de Madretsch Nord (Biel/Bienne).")</f>
        <v>🏘  L’appartement de vos rêves se trouve sur ImmoScout24.ch ✅ Découvrez les dernières annonces de vente dans le quartier de Madretsch Nord (Biel/Bienne).</v>
      </c>
      <c r="J2595" s="4" t="s">
        <v>7781</v>
      </c>
    </row>
    <row r="2596">
      <c r="A2596" s="5" t="s">
        <v>7782</v>
      </c>
      <c r="B2596" s="2" t="s">
        <v>7783</v>
      </c>
      <c r="C2596" s="4" t="str">
        <f>IFERROR(__xludf.DUMMYFUNCTION("""🏘️ ""&amp;REGEXEXTRACT(B2596, ""^(.*): "")&amp;"" ✅ "" &amp;REGEXEXTRACT(B2596, ""(Trouvez.*)"")"),"🏘️ Vendre appartement Adelboden ✅ Trouvez le bien immobilier qui correspond idéalement à vos désirs sur ImmoScout24 - La plateforme de l'immobilier en Suisse.")</f>
        <v>🏘️ Vendre appartement Adelboden ✅ Trouvez le bien immobilier qui correspond idéalement à vos désirs sur ImmoScout24 - La plateforme de l'immobilier en Suisse.</v>
      </c>
      <c r="D2596" s="4" t="str">
        <f>vlookup(A2596, Sheet2!D:E, 2, 0)</f>
        <v>variant</v>
      </c>
      <c r="E2596" s="4" t="str">
        <f>IFERROR(__xludf.DUMMYFUNCTION("if(H2596=""pays"",vlookup(REGEXEXTRACT(C2596, ""🏘️ \w+ \w+ (.*) ✅""),'Country prepositions'!A:B, 2, 0) &amp; "" "" &amp; REGEXEXTRACT(C2596, ""🏘️ \w+ \w+ (.*) ✅"") ,  if(H2596=""quartier"",vlookup(REGEXEXTRACT(C2596, ""🏘️ \w+ \w+ (.*) ✅""),'Quartier prepositio"&amp;"ns'!A:E, 5, 0) ,  if(H2596=""region"",vlookup(REGEXEXTRACT(C2596, ""🏘️ \w+ \w+ (.*) ✅""),'Region prepositions'!B:F, 5, 0),  REGEXEXTRACT(C2596, ""🏘️ \w+ \w+ (.*) ✅""))))"),"Adelboden")</f>
        <v>Adelboden</v>
      </c>
      <c r="F2596" s="2" t="str">
        <f>IFERROR(__xludf.DUMMYFUNCTION("REGEXEXTRACT(C2596, ""🏘️ (\w+) \w+ .* ✅"")"),"Vendre")</f>
        <v>Vendre</v>
      </c>
      <c r="G2596" s="2" t="str">
        <f>IFERROR(__xludf.DUMMYFUNCTION("REGEXEXTRACT(C2596, ""🏘️ \w+ (\w+) .* ✅"")"),"appartement")</f>
        <v>appartement</v>
      </c>
      <c r="H2596" s="4" t="str">
        <f>IFERROR(__xludf.DUMMYFUNCTION("REGEXEXTRACT(A2596, ""/(\w+)-.*?"")"),"lieu")</f>
        <v>lieu</v>
      </c>
      <c r="I2596" s="4" t="str">
        <f>IFERROR(__xludf.DUMMYFUNCTION("if(D2596=""variant"",  substitute(filter(Templates!E:E, Templates!A:A = F2596, Templates!B:B = G2596, Templates!C:C = H2596), ""{{}}"", E2596), B2596)"),"🏘  L’appartement de vos rêves se trouve sur ImmoScout24.ch ✅ Découvrez les dernières annonces de vente à Adelboden.")</f>
        <v>🏘  L’appartement de vos rêves se trouve sur ImmoScout24.ch ✅ Découvrez les dernières annonces de vente à Adelboden.</v>
      </c>
      <c r="J2596" s="4" t="s">
        <v>7784</v>
      </c>
    </row>
    <row r="2597">
      <c r="A2597" s="5" t="s">
        <v>7785</v>
      </c>
      <c r="B2597" s="2" t="s">
        <v>7786</v>
      </c>
      <c r="C2597" s="4" t="str">
        <f>IFERROR(__xludf.DUMMYFUNCTION("""🏘️ ""&amp;REGEXEXTRACT(B2597, ""^(.*): "")&amp;"" ✅ "" &amp;REGEXEXTRACT(B2597, ""(Trouvez.*)"")"),"🏘️ Vendre maison Unterbäch VS ✅ Trouvez le bien immobilier qui correspond idéalement à vos désirs sur ImmoScout24 - La plateforme de l'immobilier en Suisse.")</f>
        <v>🏘️ Vendre maison Unterbäch VS ✅ Trouvez le bien immobilier qui correspond idéalement à vos désirs sur ImmoScout24 - La plateforme de l'immobilier en Suisse.</v>
      </c>
      <c r="D2597" s="4" t="str">
        <f>vlookup(A2597, Sheet2!D:E, 2, 0)</f>
        <v>variant</v>
      </c>
      <c r="E2597" s="4" t="str">
        <f>IFERROR(__xludf.DUMMYFUNCTION("if(H2597=""pays"",vlookup(REGEXEXTRACT(C2597, ""🏘️ \w+ \w+ (.*) ✅""),'Country prepositions'!A:B, 2, 0) &amp; "" "" &amp; REGEXEXTRACT(C2597, ""🏘️ \w+ \w+ (.*) ✅"") ,  if(H2597=""quartier"",vlookup(REGEXEXTRACT(C2597, ""🏘️ \w+ \w+ (.*) ✅""),'Quartier prepositio"&amp;"ns'!A:E, 5, 0) ,  if(H2597=""region"",vlookup(REGEXEXTRACT(C2597, ""🏘️ \w+ \w+ (.*) ✅""),'Region prepositions'!B:F, 5, 0),  REGEXEXTRACT(C2597, ""🏘️ \w+ \w+ (.*) ✅""))))"),"Unterbäch VS")</f>
        <v>Unterbäch VS</v>
      </c>
      <c r="F2597" s="2" t="str">
        <f>IFERROR(__xludf.DUMMYFUNCTION("REGEXEXTRACT(C2597, ""🏘️ (\w+) \w+ .* ✅"")"),"Vendre")</f>
        <v>Vendre</v>
      </c>
      <c r="G2597" s="2" t="str">
        <f>IFERROR(__xludf.DUMMYFUNCTION("REGEXEXTRACT(C2597, ""🏘️ \w+ (\w+) .* ✅"")"),"maison")</f>
        <v>maison</v>
      </c>
      <c r="H2597" s="4" t="str">
        <f>IFERROR(__xludf.DUMMYFUNCTION("REGEXEXTRACT(A2597, ""/(\w+)-.*?"")"),"lieu")</f>
        <v>lieu</v>
      </c>
      <c r="I2597" s="4" t="str">
        <f>IFERROR(__xludf.DUMMYFUNCTION("if(D2597=""variant"",  substitute(filter(Templates!E:E, Templates!A:A = F2597, Templates!B:B = G2597, Templates!C:C = H2597), ""{{}}"", E2597), B2597)"),"🏘  Vous souhaitez acheter une maison à Unterbäch VS? ✅ Jetez un œil aux dernières offres sur ImmoScout24.ch.")</f>
        <v>🏘  Vous souhaitez acheter une maison à Unterbäch VS? ✅ Jetez un œil aux dernières offres sur ImmoScout24.ch.</v>
      </c>
      <c r="J2597" s="4" t="s">
        <v>7787</v>
      </c>
    </row>
    <row r="2598">
      <c r="A2598" s="5" t="s">
        <v>7788</v>
      </c>
      <c r="B2598" s="2" t="s">
        <v>7789</v>
      </c>
      <c r="C2598" s="4" t="str">
        <f>IFERROR(__xludf.DUMMYFUNCTION("""🏘️ ""&amp;REGEXEXTRACT(B2598, ""^(.*): "")&amp;"" ✅ "" &amp;REGEXEXTRACT(B2598, ""(Trouvez.*)"")"),"🏘️ Louer appartement Porrentruy ✅ Trouvez le bien immobilier qui correspond idéalement à vos désirs sur ImmoScout24 - La plateforme de l'immobilier en Suisse.")</f>
        <v>🏘️ Louer appartement Porrentruy ✅ Trouvez le bien immobilier qui correspond idéalement à vos désirs sur ImmoScout24 - La plateforme de l'immobilier en Suisse.</v>
      </c>
      <c r="D2598" s="4" t="str">
        <f>vlookup(A2598, Sheet2!D:E, 2, 0)</f>
        <v>variant</v>
      </c>
      <c r="E2598" s="4" t="str">
        <f>IFERROR(__xludf.DUMMYFUNCTION("if(H2598=""pays"",vlookup(REGEXEXTRACT(C2598, ""🏘️ \w+ \w+ (.*) ✅""),'Country prepositions'!A:B, 2, 0) &amp; "" "" &amp; REGEXEXTRACT(C2598, ""🏘️ \w+ \w+ (.*) ✅"") ,  if(H2598=""quartier"",vlookup(REGEXEXTRACT(C2598, ""🏘️ \w+ \w+ (.*) ✅""),'Quartier prepositio"&amp;"ns'!A:E, 5, 0) ,  if(H2598=""region"",vlookup(REGEXEXTRACT(C2598, ""🏘️ \w+ \w+ (.*) ✅""),'Region prepositions'!B:F, 5, 0),  REGEXEXTRACT(C2598, ""🏘️ \w+ \w+ (.*) ✅""))))"),"Porrentruy")</f>
        <v>Porrentruy</v>
      </c>
      <c r="F2598" s="2" t="str">
        <f>IFERROR(__xludf.DUMMYFUNCTION("REGEXEXTRACT(C2598, ""🏘️ (\w+) \w+ .* ✅"")"),"Louer")</f>
        <v>Louer</v>
      </c>
      <c r="G2598" s="2" t="str">
        <f>IFERROR(__xludf.DUMMYFUNCTION("REGEXEXTRACT(C2598, ""🏘️ \w+ (\w+) .* ✅"")"),"appartement")</f>
        <v>appartement</v>
      </c>
      <c r="H2598" s="4" t="str">
        <f>IFERROR(__xludf.DUMMYFUNCTION("REGEXEXTRACT(A2598, ""/(\w+)-.*?"")"),"lieu")</f>
        <v>lieu</v>
      </c>
      <c r="I2598" s="4" t="str">
        <f>IFERROR(__xludf.DUMMYFUNCTION("if(D2598=""variant"",  substitute(filter(Templates!E:E, Templates!A:A = F2598, Templates!B:B = G2598, Templates!C:C = H2598), ""{{}}"", E2598), B2598)"),"🏘  Vous cherchez un appartement à louer à Porrentruy? ✅ Les annonces les plus actuelles sont sur ImmoScout24.ch.")</f>
        <v>🏘  Vous cherchez un appartement à louer à Porrentruy? ✅ Les annonces les plus actuelles sont sur ImmoScout24.ch.</v>
      </c>
      <c r="J2598" s="4" t="s">
        <v>7790</v>
      </c>
    </row>
    <row r="2599">
      <c r="A2599" s="5" t="s">
        <v>7791</v>
      </c>
      <c r="B2599" s="2" t="s">
        <v>7792</v>
      </c>
      <c r="C2599" s="4" t="str">
        <f>IFERROR(__xludf.DUMMYFUNCTION("""🏘️ ""&amp;REGEXEXTRACT(B2599, ""^(.*): "")&amp;"" ✅ "" &amp;REGEXEXTRACT(B2599, ""(Trouvez.*)"")"),"🏘️ Vendre maison Gürbetal - Voralpen ✅ Trouvez le bien immobilier qui correspond idéalement à vos désirs sur ImmoScout24 - La plateforme de l'immobilier en Suisse.")</f>
        <v>🏘️ Vendre maison Gürbetal - Voralpen ✅ Trouvez le bien immobilier qui correspond idéalement à vos désirs sur ImmoScout24 - La plateforme de l'immobilier en Suisse.</v>
      </c>
      <c r="D2599" s="4" t="str">
        <f>vlookup(A2599, Sheet2!D:E, 2, 0)</f>
        <v>variant</v>
      </c>
      <c r="E2599" s="4" t="str">
        <f>IFERROR(__xludf.DUMMYFUNCTION("if(H2599=""pays"",vlookup(REGEXEXTRACT(C2599, ""🏘️ \w+ \w+ (.*) ✅""),'Country prepositions'!A:B, 2, 0) &amp; "" "" &amp; REGEXEXTRACT(C2599, ""🏘️ \w+ \w+ (.*) ✅"") ,  if(H2599=""quartier"",vlookup(REGEXEXTRACT(C2599, ""🏘️ \w+ \w+ (.*) ✅""),'Quartier prepositio"&amp;"ns'!A:E, 5, 0) ,  if(H2599=""region"",vlookup(REGEXEXTRACT(C2599, ""🏘️ \w+ \w+ (.*) ✅""),'Region prepositions'!B:F, 5, 0),  REGEXEXTRACT(C2599, ""🏘️ \w+ \w+ (.*) ✅""))))"),"à Gürbetal - Voralpen")</f>
        <v>à Gürbetal - Voralpen</v>
      </c>
      <c r="F2599" s="2" t="str">
        <f>IFERROR(__xludf.DUMMYFUNCTION("REGEXEXTRACT(C2599, ""🏘️ (\w+) \w+ .* ✅"")"),"Vendre")</f>
        <v>Vendre</v>
      </c>
      <c r="G2599" s="2" t="str">
        <f>IFERROR(__xludf.DUMMYFUNCTION("REGEXEXTRACT(C2599, ""🏘️ \w+ (\w+) .* ✅"")"),"maison")</f>
        <v>maison</v>
      </c>
      <c r="H2599" s="4" t="str">
        <f>IFERROR(__xludf.DUMMYFUNCTION("REGEXEXTRACT(A2599, ""/(\w+)-.*?"")"),"region")</f>
        <v>region</v>
      </c>
      <c r="I2599" s="4" t="str">
        <f>IFERROR(__xludf.DUMMYFUNCTION("if(D2599=""variant"",  substitute(filter(Templates!E:E, Templates!A:A = F2599, Templates!B:B = G2599, Templates!C:C = H2599), ""{{}}"", E2599), B2599)"),"🏘  Vous souhaitez acheter une maison à Gürbetal - Voralpen? ✅ Jetez un œil aux dernières offres sur ImmoScout24.ch.")</f>
        <v>🏘  Vous souhaitez acheter une maison à Gürbetal - Voralpen? ✅ Jetez un œil aux dernières offres sur ImmoScout24.ch.</v>
      </c>
      <c r="J2599" s="4" t="s">
        <v>7793</v>
      </c>
    </row>
    <row r="2600">
      <c r="A2600" s="5" t="s">
        <v>7794</v>
      </c>
      <c r="B2600" s="2" t="s">
        <v>7795</v>
      </c>
      <c r="C2600" s="4" t="str">
        <f>IFERROR(__xludf.DUMMYFUNCTION("""🏘️ ""&amp;REGEXEXTRACT(B2600, ""^(.*): "")&amp;"" ✅ "" &amp;REGEXEXTRACT(B2600, ""(Trouvez.*)"")"),"🏘️ Vendre appartement Chambrelien ✅ Trouvez le bien immobilier qui correspond idéalement à vos désirs sur ImmoScout24 - La plateforme de l'immobilier en Suisse.")</f>
        <v>🏘️ Vendre appartement Chambrelien ✅ Trouvez le bien immobilier qui correspond idéalement à vos désirs sur ImmoScout24 - La plateforme de l'immobilier en Suisse.</v>
      </c>
      <c r="D2600" s="4" t="str">
        <f>vlookup(A2600, Sheet2!D:E, 2, 0)</f>
        <v>variant</v>
      </c>
      <c r="E2600" s="4" t="str">
        <f>IFERROR(__xludf.DUMMYFUNCTION("if(H2600=""pays"",vlookup(REGEXEXTRACT(C2600, ""🏘️ \w+ \w+ (.*) ✅""),'Country prepositions'!A:B, 2, 0) &amp; "" "" &amp; REGEXEXTRACT(C2600, ""🏘️ \w+ \w+ (.*) ✅"") ,  if(H2600=""quartier"",vlookup(REGEXEXTRACT(C2600, ""🏘️ \w+ \w+ (.*) ✅""),'Quartier prepositio"&amp;"ns'!A:E, 5, 0) ,  if(H2600=""region"",vlookup(REGEXEXTRACT(C2600, ""🏘️ \w+ \w+ (.*) ✅""),'Region prepositions'!B:F, 5, 0),  REGEXEXTRACT(C2600, ""🏘️ \w+ \w+ (.*) ✅""))))"),"Chambrelien")</f>
        <v>Chambrelien</v>
      </c>
      <c r="F2600" s="2" t="str">
        <f>IFERROR(__xludf.DUMMYFUNCTION("REGEXEXTRACT(C2600, ""🏘️ (\w+) \w+ .* ✅"")"),"Vendre")</f>
        <v>Vendre</v>
      </c>
      <c r="G2600" s="2" t="str">
        <f>IFERROR(__xludf.DUMMYFUNCTION("REGEXEXTRACT(C2600, ""🏘️ \w+ (\w+) .* ✅"")"),"appartement")</f>
        <v>appartement</v>
      </c>
      <c r="H2600" s="4" t="str">
        <f>IFERROR(__xludf.DUMMYFUNCTION("REGEXEXTRACT(A2600, ""/(\w+)-.*?"")"),"lieu")</f>
        <v>lieu</v>
      </c>
      <c r="I2600" s="4" t="str">
        <f>IFERROR(__xludf.DUMMYFUNCTION("if(D2600=""variant"",  substitute(filter(Templates!E:E, Templates!A:A = F2600, Templates!B:B = G2600, Templates!C:C = H2600), ""{{}}"", E2600), B2600)"),"🏘  L’appartement de vos rêves se trouve sur ImmoScout24.ch ✅ Découvrez les dernières annonces de vente à Chambrelien.")</f>
        <v>🏘  L’appartement de vos rêves se trouve sur ImmoScout24.ch ✅ Découvrez les dernières annonces de vente à Chambrelien.</v>
      </c>
      <c r="J2600" s="4" t="s">
        <v>7796</v>
      </c>
    </row>
    <row r="2601">
      <c r="A2601" s="5" t="s">
        <v>7797</v>
      </c>
      <c r="B2601" s="2" t="s">
        <v>7798</v>
      </c>
      <c r="C2601" s="4" t="str">
        <f>IFERROR(__xludf.DUMMYFUNCTION("""🏘️ ""&amp;REGEXEXTRACT(B2601, ""^(.*): "")&amp;"" ✅ "" &amp;REGEXEXTRACT(B2601, ""(Trouvez.*)"")"),"🏘️ Vendre appartement Münsingen ✅ Trouvez le bien immobilier qui correspond idéalement à vos désirs sur ImmoScout24 - La plateforme de l'immobilier en Suisse.")</f>
        <v>🏘️ Vendre appartement Münsingen ✅ Trouvez le bien immobilier qui correspond idéalement à vos désirs sur ImmoScout24 - La plateforme de l'immobilier en Suisse.</v>
      </c>
      <c r="D2601" s="4" t="str">
        <f>vlookup(A2601, Sheet2!D:E, 2, 0)</f>
        <v>variant</v>
      </c>
      <c r="E2601" s="4" t="str">
        <f>IFERROR(__xludf.DUMMYFUNCTION("if(H2601=""pays"",vlookup(REGEXEXTRACT(C2601, ""🏘️ \w+ \w+ (.*) ✅""),'Country prepositions'!A:B, 2, 0) &amp; "" "" &amp; REGEXEXTRACT(C2601, ""🏘️ \w+ \w+ (.*) ✅"") ,  if(H2601=""quartier"",vlookup(REGEXEXTRACT(C2601, ""🏘️ \w+ \w+ (.*) ✅""),'Quartier prepositio"&amp;"ns'!A:E, 5, 0) ,  if(H2601=""region"",vlookup(REGEXEXTRACT(C2601, ""🏘️ \w+ \w+ (.*) ✅""),'Region prepositions'!B:F, 5, 0),  REGEXEXTRACT(C2601, ""🏘️ \w+ \w+ (.*) ✅""))))"),"Münsingen")</f>
        <v>Münsingen</v>
      </c>
      <c r="F2601" s="2" t="str">
        <f>IFERROR(__xludf.DUMMYFUNCTION("REGEXEXTRACT(C2601, ""🏘️ (\w+) \w+ .* ✅"")"),"Vendre")</f>
        <v>Vendre</v>
      </c>
      <c r="G2601" s="2" t="str">
        <f>IFERROR(__xludf.DUMMYFUNCTION("REGEXEXTRACT(C2601, ""🏘️ \w+ (\w+) .* ✅"")"),"appartement")</f>
        <v>appartement</v>
      </c>
      <c r="H2601" s="4" t="str">
        <f>IFERROR(__xludf.DUMMYFUNCTION("REGEXEXTRACT(A2601, ""/(\w+)-.*?"")"),"lieu")</f>
        <v>lieu</v>
      </c>
      <c r="I2601" s="4" t="str">
        <f>IFERROR(__xludf.DUMMYFUNCTION("if(D2601=""variant"",  substitute(filter(Templates!E:E, Templates!A:A = F2601, Templates!B:B = G2601, Templates!C:C = H2601), ""{{}}"", E2601), B2601)"),"🏘  L’appartement de vos rêves se trouve sur ImmoScout24.ch ✅ Découvrez les dernières annonces de vente à Münsingen.")</f>
        <v>🏘  L’appartement de vos rêves se trouve sur ImmoScout24.ch ✅ Découvrez les dernières annonces de vente à Münsingen.</v>
      </c>
      <c r="J2601" s="4" t="s">
        <v>7799</v>
      </c>
    </row>
    <row r="2602">
      <c r="A2602" s="5" t="s">
        <v>7800</v>
      </c>
      <c r="B2602" s="2" t="s">
        <v>7801</v>
      </c>
      <c r="C2602" s="4" t="str">
        <f>IFERROR(__xludf.DUMMYFUNCTION("""🏘️ ""&amp;REGEXEXTRACT(B2602, ""^(.*): "")&amp;"" ✅ "" &amp;REGEXEXTRACT(B2602, ""(Trouvez.*)"")"),"🏘️ Vendre maison Mörel ✅ Trouvez le bien immobilier qui correspond idéalement à vos désirs sur ImmoScout24 - La plateforme de l'immobilier en Suisse.")</f>
        <v>🏘️ Vendre maison Mörel ✅ Trouvez le bien immobilier qui correspond idéalement à vos désirs sur ImmoScout24 - La plateforme de l'immobilier en Suisse.</v>
      </c>
      <c r="D2602" s="4" t="str">
        <f>vlookup(A2602, Sheet2!D:E, 2, 0)</f>
        <v>variant</v>
      </c>
      <c r="E2602" s="4" t="str">
        <f>IFERROR(__xludf.DUMMYFUNCTION("if(H2602=""pays"",vlookup(REGEXEXTRACT(C2602, ""🏘️ \w+ \w+ (.*) ✅""),'Country prepositions'!A:B, 2, 0) &amp; "" "" &amp; REGEXEXTRACT(C2602, ""🏘️ \w+ \w+ (.*) ✅"") ,  if(H2602=""quartier"",vlookup(REGEXEXTRACT(C2602, ""🏘️ \w+ \w+ (.*) ✅""),'Quartier prepositio"&amp;"ns'!A:E, 5, 0) ,  if(H2602=""region"",vlookup(REGEXEXTRACT(C2602, ""🏘️ \w+ \w+ (.*) ✅""),'Region prepositions'!B:F, 5, 0),  REGEXEXTRACT(C2602, ""🏘️ \w+ \w+ (.*) ✅""))))"),"Mörel")</f>
        <v>Mörel</v>
      </c>
      <c r="F2602" s="2" t="str">
        <f>IFERROR(__xludf.DUMMYFUNCTION("REGEXEXTRACT(C2602, ""🏘️ (\w+) \w+ .* ✅"")"),"Vendre")</f>
        <v>Vendre</v>
      </c>
      <c r="G2602" s="2" t="str">
        <f>IFERROR(__xludf.DUMMYFUNCTION("REGEXEXTRACT(C2602, ""🏘️ \w+ (\w+) .* ✅"")"),"maison")</f>
        <v>maison</v>
      </c>
      <c r="H2602" s="4" t="str">
        <f>IFERROR(__xludf.DUMMYFUNCTION("REGEXEXTRACT(A2602, ""/(\w+)-.*?"")"),"lieu")</f>
        <v>lieu</v>
      </c>
      <c r="I2602" s="4" t="str">
        <f>IFERROR(__xludf.DUMMYFUNCTION("if(D2602=""variant"",  substitute(filter(Templates!E:E, Templates!A:A = F2602, Templates!B:B = G2602, Templates!C:C = H2602), ""{{}}"", E2602), B2602)"),"🏘  Vous souhaitez acheter une maison à Mörel? ✅ Jetez un œil aux dernières offres sur ImmoScout24.ch.")</f>
        <v>🏘  Vous souhaitez acheter une maison à Mörel? ✅ Jetez un œil aux dernières offres sur ImmoScout24.ch.</v>
      </c>
      <c r="J2602" s="4" t="s">
        <v>7802</v>
      </c>
    </row>
    <row r="2603">
      <c r="A2603" s="5" t="s">
        <v>7803</v>
      </c>
      <c r="B2603" s="2" t="s">
        <v>7804</v>
      </c>
      <c r="C2603" s="4" t="str">
        <f>IFERROR(__xludf.DUMMYFUNCTION("""🏘️ ""&amp;REGEXEXTRACT(B2603, ""^(.*): "")&amp;"" ✅ "" &amp;REGEXEXTRACT(B2603, ""(Trouvez.*)"")"),"🏘️ Vendre maison Les Avants ✅ Trouvez le bien immobilier qui correspond idéalement à vos désirs sur ImmoScout24 - La plateforme de l'immobilier en Suisse.")</f>
        <v>🏘️ Vendre maison Les Avants ✅ Trouvez le bien immobilier qui correspond idéalement à vos désirs sur ImmoScout24 - La plateforme de l'immobilier en Suisse.</v>
      </c>
      <c r="D2603" s="4" t="str">
        <f>vlookup(A2603, Sheet2!D:E, 2, 0)</f>
        <v>variant</v>
      </c>
      <c r="E2603" s="4" t="str">
        <f>IFERROR(__xludf.DUMMYFUNCTION("if(H2603=""pays"",vlookup(REGEXEXTRACT(C2603, ""🏘️ \w+ \w+ (.*) ✅""),'Country prepositions'!A:B, 2, 0) &amp; "" "" &amp; REGEXEXTRACT(C2603, ""🏘️ \w+ \w+ (.*) ✅"") ,  if(H2603=""quartier"",vlookup(REGEXEXTRACT(C2603, ""🏘️ \w+ \w+ (.*) ✅""),'Quartier prepositio"&amp;"ns'!A:E, 5, 0) ,  if(H2603=""region"",vlookup(REGEXEXTRACT(C2603, ""🏘️ \w+ \w+ (.*) ✅""),'Region prepositions'!B:F, 5, 0),  REGEXEXTRACT(C2603, ""🏘️ \w+ \w+ (.*) ✅""))))"),"Les Avants")</f>
        <v>Les Avants</v>
      </c>
      <c r="F2603" s="2" t="str">
        <f>IFERROR(__xludf.DUMMYFUNCTION("REGEXEXTRACT(C2603, ""🏘️ (\w+) \w+ .* ✅"")"),"Vendre")</f>
        <v>Vendre</v>
      </c>
      <c r="G2603" s="2" t="str">
        <f>IFERROR(__xludf.DUMMYFUNCTION("REGEXEXTRACT(C2603, ""🏘️ \w+ (\w+) .* ✅"")"),"maison")</f>
        <v>maison</v>
      </c>
      <c r="H2603" s="4" t="str">
        <f>IFERROR(__xludf.DUMMYFUNCTION("REGEXEXTRACT(A2603, ""/(\w+)-.*?"")"),"lieu")</f>
        <v>lieu</v>
      </c>
      <c r="I2603" s="4" t="str">
        <f>IFERROR(__xludf.DUMMYFUNCTION("if(D2603=""variant"",  substitute(filter(Templates!E:E, Templates!A:A = F2603, Templates!B:B = G2603, Templates!C:C = H2603), ""{{}}"", E2603), B2603)"),"🏘  Vous souhaitez acheter une maison à Les Avants? ✅ Jetez un œil aux dernières offres sur ImmoScout24.ch.")</f>
        <v>🏘  Vous souhaitez acheter une maison à Les Avants? ✅ Jetez un œil aux dernières offres sur ImmoScout24.ch.</v>
      </c>
      <c r="J2603" s="2" t="s">
        <v>7805</v>
      </c>
    </row>
    <row r="2604">
      <c r="A2604" s="5" t="s">
        <v>7806</v>
      </c>
      <c r="B2604" s="2" t="s">
        <v>7807</v>
      </c>
      <c r="C2604" s="4" t="str">
        <f>IFERROR(__xludf.DUMMYFUNCTION("""🏘️ ""&amp;REGEXEXTRACT(B2604, ""^(.*): "")&amp;"" ✅ "" &amp;REGEXEXTRACT(B2604, ""(Trouvez.*)"")"),"🏘️ Vendre appartement Yverdon - Grandson ✅ Trouvez le bien immobilier qui correspond idéalement à vos désirs sur ImmoScout24 - La plateforme de l'immobilier en Suisse.")</f>
        <v>🏘️ Vendre appartement Yverdon - Grandson ✅ Trouvez le bien immobilier qui correspond idéalement à vos désirs sur ImmoScout24 - La plateforme de l'immobilier en Suisse.</v>
      </c>
      <c r="D2604" s="4" t="str">
        <f>vlookup(A2604, Sheet2!D:E, 2, 0)</f>
        <v>variant</v>
      </c>
      <c r="E2604" s="4" t="str">
        <f>IFERROR(__xludf.DUMMYFUNCTION("if(H2604=""pays"",vlookup(REGEXEXTRACT(C2604, ""🏘️ \w+ \w+ (.*) ✅""),'Country prepositions'!A:B, 2, 0) &amp; "" "" &amp; REGEXEXTRACT(C2604, ""🏘️ \w+ \w+ (.*) ✅"") ,  if(H2604=""quartier"",vlookup(REGEXEXTRACT(C2604, ""🏘️ \w+ \w+ (.*) ✅""),'Quartier prepositio"&amp;"ns'!A:E, 5, 0) ,  if(H2604=""region"",vlookup(REGEXEXTRACT(C2604, ""🏘️ \w+ \w+ (.*) ✅""),'Region prepositions'!B:F, 5, 0),  REGEXEXTRACT(C2604, ""🏘️ \w+ \w+ (.*) ✅""))))"),"dans la région d'Yverdon - Grandson")</f>
        <v>dans la région d'Yverdon - Grandson</v>
      </c>
      <c r="F2604" s="2" t="str">
        <f>IFERROR(__xludf.DUMMYFUNCTION("REGEXEXTRACT(C2604, ""🏘️ (\w+) \w+ .* ✅"")"),"Vendre")</f>
        <v>Vendre</v>
      </c>
      <c r="G2604" s="2" t="str">
        <f>IFERROR(__xludf.DUMMYFUNCTION("REGEXEXTRACT(C2604, ""🏘️ \w+ (\w+) .* ✅"")"),"appartement")</f>
        <v>appartement</v>
      </c>
      <c r="H2604" s="4" t="str">
        <f>IFERROR(__xludf.DUMMYFUNCTION("REGEXEXTRACT(A2604, ""/(\w+)-.*?"")"),"region")</f>
        <v>region</v>
      </c>
      <c r="I2604" s="4" t="str">
        <f>IFERROR(__xludf.DUMMYFUNCTION("if(D2604=""variant"",  substitute(filter(Templates!E:E, Templates!A:A = F2604, Templates!B:B = G2604, Templates!C:C = H2604), ""{{}}"", E2604), B2604)"),"🏘  L’appartement de vos rêves se trouve sur ImmoScout24.ch ✅ Découvrez les dernières annonces de vente dans la région d'Yverdon - Grandson.")</f>
        <v>🏘  L’appartement de vos rêves se trouve sur ImmoScout24.ch ✅ Découvrez les dernières annonces de vente dans la région d'Yverdon - Grandson.</v>
      </c>
      <c r="J2604" s="4" t="s">
        <v>7808</v>
      </c>
    </row>
    <row r="2605">
      <c r="A2605" s="5" t="s">
        <v>7809</v>
      </c>
      <c r="B2605" s="2" t="s">
        <v>7810</v>
      </c>
      <c r="C2605" s="4" t="str">
        <f>IFERROR(__xludf.DUMMYFUNCTION("""🏘️ ""&amp;REGEXEXTRACT(B2605, ""^(.*): "")&amp;"" ✅ "" &amp;REGEXEXTRACT(B2605, ""(Trouvez.*)"")"),"🏘️ Louer appartement Les Giettes ✅ Trouvez le bien immobilier qui correspond idéalement à vos désirs sur ImmoScout24 - La plateforme de l'immobilier en Suisse.")</f>
        <v>🏘️ Louer appartement Les Giettes ✅ Trouvez le bien immobilier qui correspond idéalement à vos désirs sur ImmoScout24 - La plateforme de l'immobilier en Suisse.</v>
      </c>
      <c r="D2605" s="4" t="str">
        <f>vlookup(A2605, Sheet2!D:E, 2, 0)</f>
        <v>variant</v>
      </c>
      <c r="E2605" s="4" t="str">
        <f>IFERROR(__xludf.DUMMYFUNCTION("if(H2605=""pays"",vlookup(REGEXEXTRACT(C2605, ""🏘️ \w+ \w+ (.*) ✅""),'Country prepositions'!A:B, 2, 0) &amp; "" "" &amp; REGEXEXTRACT(C2605, ""🏘️ \w+ \w+ (.*) ✅"") ,  if(H2605=""quartier"",vlookup(REGEXEXTRACT(C2605, ""🏘️ \w+ \w+ (.*) ✅""),'Quartier prepositio"&amp;"ns'!A:E, 5, 0) ,  if(H2605=""region"",vlookup(REGEXEXTRACT(C2605, ""🏘️ \w+ \w+ (.*) ✅""),'Region prepositions'!B:F, 5, 0),  REGEXEXTRACT(C2605, ""🏘️ \w+ \w+ (.*) ✅""))))"),"Les Giettes")</f>
        <v>Les Giettes</v>
      </c>
      <c r="F2605" s="2" t="str">
        <f>IFERROR(__xludf.DUMMYFUNCTION("REGEXEXTRACT(C2605, ""🏘️ (\w+) \w+ .* ✅"")"),"Louer")</f>
        <v>Louer</v>
      </c>
      <c r="G2605" s="2" t="str">
        <f>IFERROR(__xludf.DUMMYFUNCTION("REGEXEXTRACT(C2605, ""🏘️ \w+ (\w+) .* ✅"")"),"appartement")</f>
        <v>appartement</v>
      </c>
      <c r="H2605" s="4" t="str">
        <f>IFERROR(__xludf.DUMMYFUNCTION("REGEXEXTRACT(A2605, ""/(\w+)-.*?"")"),"lieu")</f>
        <v>lieu</v>
      </c>
      <c r="I2605" s="4" t="str">
        <f>IFERROR(__xludf.DUMMYFUNCTION("if(D2605=""variant"",  substitute(filter(Templates!E:E, Templates!A:A = F2605, Templates!B:B = G2605, Templates!C:C = H2605), ""{{}}"", E2605), B2605)"),"🏘  Vous cherchez un appartement à louer à Les Giettes? ✅ Les annonces les plus actuelles sont sur ImmoScout24.ch.")</f>
        <v>🏘  Vous cherchez un appartement à louer à Les Giettes? ✅ Les annonces les plus actuelles sont sur ImmoScout24.ch.</v>
      </c>
      <c r="J2605" s="2" t="s">
        <v>7811</v>
      </c>
    </row>
    <row r="2606">
      <c r="A2606" s="5" t="s">
        <v>7812</v>
      </c>
      <c r="B2606" s="2" t="s">
        <v>7813</v>
      </c>
      <c r="C2606" s="4" t="str">
        <f>IFERROR(__xludf.DUMMYFUNCTION("""🏘️ ""&amp;REGEXEXTRACT(B2606, ""^(.*): "")&amp;"" ✅ "" &amp;REGEXEXTRACT(B2606, ""(Trouvez.*)"")"),"🏘️ Louer appartement Rosenberg (Winterthur) ✅ Trouvez le bien immobilier qui correspond idéalement à vos désirs sur ImmoScout24 - La plateforme de l'immobilier en Suisse.")</f>
        <v>🏘️ Louer appartement Rosenberg (Winterthur) ✅ Trouvez le bien immobilier qui correspond idéalement à vos désirs sur ImmoScout24 - La plateforme de l'immobilier en Suisse.</v>
      </c>
      <c r="D2606" s="4" t="str">
        <f>vlookup(A2606, Sheet2!D:E, 2, 0)</f>
        <v>variant</v>
      </c>
      <c r="E2606" s="4" t="str">
        <f>IFERROR(__xludf.DUMMYFUNCTION("if(H2606=""pays"",vlookup(REGEXEXTRACT(C2606, ""🏘️ \w+ \w+ (.*) ✅""),'Country prepositions'!A:B, 2, 0) &amp; "" "" &amp; REGEXEXTRACT(C2606, ""🏘️ \w+ \w+ (.*) ✅"") ,  if(H2606=""quartier"",vlookup(REGEXEXTRACT(C2606, ""🏘️ \w+ \w+ (.*) ✅""),'Quartier prepositio"&amp;"ns'!A:E, 5, 0) ,  if(H2606=""region"",vlookup(REGEXEXTRACT(C2606, ""🏘️ \w+ \w+ (.*) ✅""),'Region prepositions'!B:F, 5, 0),  REGEXEXTRACT(C2606, ""🏘️ \w+ \w+ (.*) ✅""))))"),"dans le quartier de Rosenberg (Winterthur)")</f>
        <v>dans le quartier de Rosenberg (Winterthur)</v>
      </c>
      <c r="F2606" s="2" t="str">
        <f>IFERROR(__xludf.DUMMYFUNCTION("REGEXEXTRACT(C2606, ""🏘️ (\w+) \w+ .* ✅"")"),"Louer")</f>
        <v>Louer</v>
      </c>
      <c r="G2606" s="2" t="str">
        <f>IFERROR(__xludf.DUMMYFUNCTION("REGEXEXTRACT(C2606, ""🏘️ \w+ (\w+) .* ✅"")"),"appartement")</f>
        <v>appartement</v>
      </c>
      <c r="H2606" s="4" t="str">
        <f>IFERROR(__xludf.DUMMYFUNCTION("REGEXEXTRACT(A2606, ""/(\w+)-.*?"")"),"quartier")</f>
        <v>quartier</v>
      </c>
      <c r="I2606" s="4" t="str">
        <f>IFERROR(__xludf.DUMMYFUNCTION("if(D2606=""variant"",  substitute(filter(Templates!E:E, Templates!A:A = F2606, Templates!B:B = G2606, Templates!C:C = H2606), ""{{}}"", E2606), B2606)"),"🏘  Vous cherchez un appartement à louer dans le quartier de Rosenberg (Winterthur)? ✅ Les annonces les plus actuelles sont sur ImmoScout24.ch.")</f>
        <v>🏘  Vous cherchez un appartement à louer dans le quartier de Rosenberg (Winterthur)? ✅ Les annonces les plus actuelles sont sur ImmoScout24.ch.</v>
      </c>
      <c r="J2606" s="4" t="s">
        <v>7814</v>
      </c>
    </row>
    <row r="2607">
      <c r="A2607" s="5" t="s">
        <v>7815</v>
      </c>
      <c r="B2607" s="2" t="s">
        <v>7816</v>
      </c>
      <c r="C2607" s="4" t="str">
        <f>IFERROR(__xludf.DUMMYFUNCTION("""🏘️ ""&amp;REGEXEXTRACT(B2607, ""^(.*): "")&amp;"" ✅ "" &amp;REGEXEXTRACT(B2607, ""(Trouvez.*)"")"),"🏘️ Louer appartement Möhlin ✅ Trouvez le bien immobilier qui correspond idéalement à vos désirs sur ImmoScout24 - La plateforme de l'immobilier en Suisse.")</f>
        <v>🏘️ Louer appartement Möhlin ✅ Trouvez le bien immobilier qui correspond idéalement à vos désirs sur ImmoScout24 - La plateforme de l'immobilier en Suisse.</v>
      </c>
      <c r="D2607" s="4" t="str">
        <f>vlookup(A2607, Sheet2!D:E, 2, 0)</f>
        <v>variant</v>
      </c>
      <c r="E2607" s="4" t="str">
        <f>IFERROR(__xludf.DUMMYFUNCTION("if(H2607=""pays"",vlookup(REGEXEXTRACT(C2607, ""🏘️ \w+ \w+ (.*) ✅""),'Country prepositions'!A:B, 2, 0) &amp; "" "" &amp; REGEXEXTRACT(C2607, ""🏘️ \w+ \w+ (.*) ✅"") ,  if(H2607=""quartier"",vlookup(REGEXEXTRACT(C2607, ""🏘️ \w+ \w+ (.*) ✅""),'Quartier prepositio"&amp;"ns'!A:E, 5, 0) ,  if(H2607=""region"",vlookup(REGEXEXTRACT(C2607, ""🏘️ \w+ \w+ (.*) ✅""),'Region prepositions'!B:F, 5, 0),  REGEXEXTRACT(C2607, ""🏘️ \w+ \w+ (.*) ✅""))))"),"Möhlin")</f>
        <v>Möhlin</v>
      </c>
      <c r="F2607" s="2" t="str">
        <f>IFERROR(__xludf.DUMMYFUNCTION("REGEXEXTRACT(C2607, ""🏘️ (\w+) \w+ .* ✅"")"),"Louer")</f>
        <v>Louer</v>
      </c>
      <c r="G2607" s="2" t="str">
        <f>IFERROR(__xludf.DUMMYFUNCTION("REGEXEXTRACT(C2607, ""🏘️ \w+ (\w+) .* ✅"")"),"appartement")</f>
        <v>appartement</v>
      </c>
      <c r="H2607" s="4" t="str">
        <f>IFERROR(__xludf.DUMMYFUNCTION("REGEXEXTRACT(A2607, ""/(\w+)-.*?"")"),"lieu")</f>
        <v>lieu</v>
      </c>
      <c r="I2607" s="4" t="str">
        <f>IFERROR(__xludf.DUMMYFUNCTION("if(D2607=""variant"",  substitute(filter(Templates!E:E, Templates!A:A = F2607, Templates!B:B = G2607, Templates!C:C = H2607), ""{{}}"", E2607), B2607)"),"🏘  Vous cherchez un appartement à louer à Möhlin? ✅ Les annonces les plus actuelles sont sur ImmoScout24.ch.")</f>
        <v>🏘  Vous cherchez un appartement à louer à Möhlin? ✅ Les annonces les plus actuelles sont sur ImmoScout24.ch.</v>
      </c>
      <c r="J2607" s="4" t="s">
        <v>7817</v>
      </c>
    </row>
    <row r="2608">
      <c r="A2608" s="5" t="s">
        <v>7818</v>
      </c>
      <c r="B2608" s="2" t="s">
        <v>7819</v>
      </c>
      <c r="C2608" s="4" t="str">
        <f>IFERROR(__xludf.DUMMYFUNCTION("""🏘️ ""&amp;REGEXEXTRACT(B2608, ""^(.*): "")&amp;"" ✅ "" &amp;REGEXEXTRACT(B2608, ""(Trouvez.*)"")"),"🏘️ Vendre maison Morges ✅ Trouvez le bien immobilier qui correspond idéalement à vos désirs sur ImmoScout24 - La plateforme de l'immobilier en Suisse.")</f>
        <v>🏘️ Vendre maison Morges ✅ Trouvez le bien immobilier qui correspond idéalement à vos désirs sur ImmoScout24 - La plateforme de l'immobilier en Suisse.</v>
      </c>
      <c r="D2608" s="4" t="str">
        <f>vlookup(A2608, Sheet2!D:E, 2, 0)</f>
        <v>variant</v>
      </c>
      <c r="E2608" s="4" t="str">
        <f>IFERROR(__xludf.DUMMYFUNCTION("if(H2608=""pays"",vlookup(REGEXEXTRACT(C2608, ""🏘️ \w+ \w+ (.*) ✅""),'Country prepositions'!A:B, 2, 0) &amp; "" "" &amp; REGEXEXTRACT(C2608, ""🏘️ \w+ \w+ (.*) ✅"") ,  if(H2608=""quartier"",vlookup(REGEXEXTRACT(C2608, ""🏘️ \w+ \w+ (.*) ✅""),'Quartier prepositio"&amp;"ns'!A:E, 5, 0) ,  if(H2608=""region"",vlookup(REGEXEXTRACT(C2608, ""🏘️ \w+ \w+ (.*) ✅""),'Region prepositions'!B:F, 5, 0),  REGEXEXTRACT(C2608, ""🏘️ \w+ \w+ (.*) ✅""))))"),"Morges")</f>
        <v>Morges</v>
      </c>
      <c r="F2608" s="2" t="str">
        <f>IFERROR(__xludf.DUMMYFUNCTION("REGEXEXTRACT(C2608, ""🏘️ (\w+) \w+ .* ✅"")"),"Vendre")</f>
        <v>Vendre</v>
      </c>
      <c r="G2608" s="2" t="str">
        <f>IFERROR(__xludf.DUMMYFUNCTION("REGEXEXTRACT(C2608, ""🏘️ \w+ (\w+) .* ✅"")"),"maison")</f>
        <v>maison</v>
      </c>
      <c r="H2608" s="4" t="str">
        <f>IFERROR(__xludf.DUMMYFUNCTION("REGEXEXTRACT(A2608, ""/(\w+)-.*?"")"),"lieu")</f>
        <v>lieu</v>
      </c>
      <c r="I2608" s="4" t="str">
        <f>IFERROR(__xludf.DUMMYFUNCTION("if(D2608=""variant"",  substitute(filter(Templates!E:E, Templates!A:A = F2608, Templates!B:B = G2608, Templates!C:C = H2608), ""{{}}"", E2608), B2608)"),"🏘  Vous souhaitez acheter une maison à Morges? ✅ Jetez un œil aux dernières offres sur ImmoScout24.ch.")</f>
        <v>🏘  Vous souhaitez acheter une maison à Morges? ✅ Jetez un œil aux dernières offres sur ImmoScout24.ch.</v>
      </c>
      <c r="J2608" s="4" t="s">
        <v>7820</v>
      </c>
    </row>
    <row r="2609">
      <c r="A2609" s="5" t="s">
        <v>7821</v>
      </c>
      <c r="B2609" s="2" t="s">
        <v>7822</v>
      </c>
      <c r="C2609" s="4" t="str">
        <f>IFERROR(__xludf.DUMMYFUNCTION("""🏘️ ""&amp;REGEXEXTRACT(B2609, ""^(.*): "")&amp;"" ✅ "" &amp;REGEXEXTRACT(B2609, ""(Trouvez.*)"")"),"🏘️ Louer maison Mathod ✅ Trouvez le bien immobilier qui correspond idéalement à vos désirs sur ImmoScout24 - La plateforme de l'immobilier en Suisse.")</f>
        <v>🏘️ Louer maison Mathod ✅ Trouvez le bien immobilier qui correspond idéalement à vos désirs sur ImmoScout24 - La plateforme de l'immobilier en Suisse.</v>
      </c>
      <c r="D2609" s="4" t="str">
        <f>vlookup(A2609, Sheet2!D:E, 2, 0)</f>
        <v>variant</v>
      </c>
      <c r="E2609" s="4" t="str">
        <f>IFERROR(__xludf.DUMMYFUNCTION("if(H2609=""pays"",vlookup(REGEXEXTRACT(C2609, ""🏘️ \w+ \w+ (.*) ✅""),'Country prepositions'!A:B, 2, 0) &amp; "" "" &amp; REGEXEXTRACT(C2609, ""🏘️ \w+ \w+ (.*) ✅"") ,  if(H2609=""quartier"",vlookup(REGEXEXTRACT(C2609, ""🏘️ \w+ \w+ (.*) ✅""),'Quartier prepositio"&amp;"ns'!A:E, 5, 0) ,  if(H2609=""region"",vlookup(REGEXEXTRACT(C2609, ""🏘️ \w+ \w+ (.*) ✅""),'Region prepositions'!B:F, 5, 0),  REGEXEXTRACT(C2609, ""🏘️ \w+ \w+ (.*) ✅""))))"),"Mathod")</f>
        <v>Mathod</v>
      </c>
      <c r="F2609" s="2" t="str">
        <f>IFERROR(__xludf.DUMMYFUNCTION("REGEXEXTRACT(C2609, ""🏘️ (\w+) \w+ .* ✅"")"),"Louer")</f>
        <v>Louer</v>
      </c>
      <c r="G2609" s="2" t="str">
        <f>IFERROR(__xludf.DUMMYFUNCTION("REGEXEXTRACT(C2609, ""🏘️ \w+ (\w+) .* ✅"")"),"maison")</f>
        <v>maison</v>
      </c>
      <c r="H2609" s="4" t="str">
        <f>IFERROR(__xludf.DUMMYFUNCTION("REGEXEXTRACT(A2609, ""/(\w+)-.*?"")"),"lieu")</f>
        <v>lieu</v>
      </c>
      <c r="I2609" s="4" t="str">
        <f>IFERROR(__xludf.DUMMYFUNCTION("if(D2609=""variant"",  substitute(filter(Templates!E:E, Templates!A:A = F2609, Templates!B:B = G2609, Templates!C:C = H2609), ""{{}}"", E2609), B2609)"),"🏘  Vous cherchez une maison à louer à Mathod? ✅ Découvrez nos nombreuses annonces sur ImmoScout24.ch.")</f>
        <v>🏘  Vous cherchez une maison à louer à Mathod? ✅ Découvrez nos nombreuses annonces sur ImmoScout24.ch.</v>
      </c>
      <c r="J2609" s="4" t="s">
        <v>7823</v>
      </c>
    </row>
    <row r="2610">
      <c r="A2610" s="5" t="s">
        <v>7824</v>
      </c>
      <c r="B2610" s="2" t="s">
        <v>7825</v>
      </c>
      <c r="C2610" s="4" t="str">
        <f>IFERROR(__xludf.DUMMYFUNCTION("""🏘️ ""&amp;REGEXEXTRACT(B2610, ""^(.*): "")&amp;"" ✅ "" &amp;REGEXEXTRACT(B2610, ""(Trouvez.*)"")"),"🏘️ Louer appartement Les Brenets ✅ Trouvez le bien immobilier qui correspond idéalement à vos désirs sur ImmoScout24 - La plateforme de l'immobilier en Suisse.")</f>
        <v>🏘️ Louer appartement Les Brenets ✅ Trouvez le bien immobilier qui correspond idéalement à vos désirs sur ImmoScout24 - La plateforme de l'immobilier en Suisse.</v>
      </c>
      <c r="D2610" s="4" t="str">
        <f>vlookup(A2610, Sheet2!D:E, 2, 0)</f>
        <v>variant</v>
      </c>
      <c r="E2610" s="4" t="str">
        <f>IFERROR(__xludf.DUMMYFUNCTION("if(H2610=""pays"",vlookup(REGEXEXTRACT(C2610, ""🏘️ \w+ \w+ (.*) ✅""),'Country prepositions'!A:B, 2, 0) &amp; "" "" &amp; REGEXEXTRACT(C2610, ""🏘️ \w+ \w+ (.*) ✅"") ,  if(H2610=""quartier"",vlookup(REGEXEXTRACT(C2610, ""🏘️ \w+ \w+ (.*) ✅""),'Quartier prepositio"&amp;"ns'!A:E, 5, 0) ,  if(H2610=""region"",vlookup(REGEXEXTRACT(C2610, ""🏘️ \w+ \w+ (.*) ✅""),'Region prepositions'!B:F, 5, 0),  REGEXEXTRACT(C2610, ""🏘️ \w+ \w+ (.*) ✅""))))"),"Les Brenets")</f>
        <v>Les Brenets</v>
      </c>
      <c r="F2610" s="2" t="str">
        <f>IFERROR(__xludf.DUMMYFUNCTION("REGEXEXTRACT(C2610, ""🏘️ (\w+) \w+ .* ✅"")"),"Louer")</f>
        <v>Louer</v>
      </c>
      <c r="G2610" s="2" t="str">
        <f>IFERROR(__xludf.DUMMYFUNCTION("REGEXEXTRACT(C2610, ""🏘️ \w+ (\w+) .* ✅"")"),"appartement")</f>
        <v>appartement</v>
      </c>
      <c r="H2610" s="4" t="str">
        <f>IFERROR(__xludf.DUMMYFUNCTION("REGEXEXTRACT(A2610, ""/(\w+)-.*?"")"),"lieu")</f>
        <v>lieu</v>
      </c>
      <c r="I2610" s="4" t="str">
        <f>IFERROR(__xludf.DUMMYFUNCTION("if(D2610=""variant"",  substitute(filter(Templates!E:E, Templates!A:A = F2610, Templates!B:B = G2610, Templates!C:C = H2610), ""{{}}"", E2610), B2610)"),"🏘  Vous cherchez un appartement à louer à Les Brenets? ✅ Les annonces les plus actuelles sont sur ImmoScout24.ch.")</f>
        <v>🏘  Vous cherchez un appartement à louer à Les Brenets? ✅ Les annonces les plus actuelles sont sur ImmoScout24.ch.</v>
      </c>
      <c r="J2610" s="2" t="s">
        <v>7826</v>
      </c>
    </row>
    <row r="2611">
      <c r="A2611" s="5" t="s">
        <v>7827</v>
      </c>
      <c r="B2611" s="2" t="s">
        <v>7828</v>
      </c>
      <c r="C2611" s="4" t="str">
        <f>IFERROR(__xludf.DUMMYFUNCTION("""🏘️ ""&amp;REGEXEXTRACT(B2611, ""^(.*): "")&amp;"" ✅ "" &amp;REGEXEXTRACT(B2611, ""(Trouvez.*)"")"),"🏘️ Vendre maison Bursins ✅ Trouvez le bien immobilier qui correspond idéalement à vos désirs sur ImmoScout24 - La plateforme de l'immobilier en Suisse.")</f>
        <v>🏘️ Vendre maison Bursins ✅ Trouvez le bien immobilier qui correspond idéalement à vos désirs sur ImmoScout24 - La plateforme de l'immobilier en Suisse.</v>
      </c>
      <c r="D2611" s="4" t="str">
        <f>vlookup(A2611, Sheet2!D:E, 2, 0)</f>
        <v>variant</v>
      </c>
      <c r="E2611" s="4" t="str">
        <f>IFERROR(__xludf.DUMMYFUNCTION("if(H2611=""pays"",vlookup(REGEXEXTRACT(C2611, ""🏘️ \w+ \w+ (.*) ✅""),'Country prepositions'!A:B, 2, 0) &amp; "" "" &amp; REGEXEXTRACT(C2611, ""🏘️ \w+ \w+ (.*) ✅"") ,  if(H2611=""quartier"",vlookup(REGEXEXTRACT(C2611, ""🏘️ \w+ \w+ (.*) ✅""),'Quartier prepositio"&amp;"ns'!A:E, 5, 0) ,  if(H2611=""region"",vlookup(REGEXEXTRACT(C2611, ""🏘️ \w+ \w+ (.*) ✅""),'Region prepositions'!B:F, 5, 0),  REGEXEXTRACT(C2611, ""🏘️ \w+ \w+ (.*) ✅""))))"),"Bursins")</f>
        <v>Bursins</v>
      </c>
      <c r="F2611" s="2" t="str">
        <f>IFERROR(__xludf.DUMMYFUNCTION("REGEXEXTRACT(C2611, ""🏘️ (\w+) \w+ .* ✅"")"),"Vendre")</f>
        <v>Vendre</v>
      </c>
      <c r="G2611" s="2" t="str">
        <f>IFERROR(__xludf.DUMMYFUNCTION("REGEXEXTRACT(C2611, ""🏘️ \w+ (\w+) .* ✅"")"),"maison")</f>
        <v>maison</v>
      </c>
      <c r="H2611" s="4" t="str">
        <f>IFERROR(__xludf.DUMMYFUNCTION("REGEXEXTRACT(A2611, ""/(\w+)-.*?"")"),"lieu")</f>
        <v>lieu</v>
      </c>
      <c r="I2611" s="4" t="str">
        <f>IFERROR(__xludf.DUMMYFUNCTION("if(D2611=""variant"",  substitute(filter(Templates!E:E, Templates!A:A = F2611, Templates!B:B = G2611, Templates!C:C = H2611), ""{{}}"", E2611), B2611)"),"🏘  Vous souhaitez acheter une maison à Bursins? ✅ Jetez un œil aux dernières offres sur ImmoScout24.ch.")</f>
        <v>🏘  Vous souhaitez acheter une maison à Bursins? ✅ Jetez un œil aux dernières offres sur ImmoScout24.ch.</v>
      </c>
      <c r="J2611" s="4" t="s">
        <v>7829</v>
      </c>
    </row>
    <row r="2612">
      <c r="A2612" s="5" t="s">
        <v>7830</v>
      </c>
      <c r="B2612" s="2" t="s">
        <v>7831</v>
      </c>
      <c r="C2612" s="4" t="str">
        <f>IFERROR(__xludf.DUMMYFUNCTION("""🏘️ ""&amp;REGEXEXTRACT(B2612, ""^(.*): "")&amp;"" ✅ "" &amp;REGEXEXTRACT(B2612, ""(Trouvez.*)"")"),"🏘️ Louer maison Satigny ✅ Trouvez le bien immobilier qui correspond idéalement à vos désirs sur ImmoScout24 - La plateforme de l'immobilier en Suisse.")</f>
        <v>🏘️ Louer maison Satigny ✅ Trouvez le bien immobilier qui correspond idéalement à vos désirs sur ImmoScout24 - La plateforme de l'immobilier en Suisse.</v>
      </c>
      <c r="D2612" s="4" t="str">
        <f>vlookup(A2612, Sheet2!D:E, 2, 0)</f>
        <v>variant</v>
      </c>
      <c r="E2612" s="4" t="str">
        <f>IFERROR(__xludf.DUMMYFUNCTION("if(H2612=""pays"",vlookup(REGEXEXTRACT(C2612, ""🏘️ \w+ \w+ (.*) ✅""),'Country prepositions'!A:B, 2, 0) &amp; "" "" &amp; REGEXEXTRACT(C2612, ""🏘️ \w+ \w+ (.*) ✅"") ,  if(H2612=""quartier"",vlookup(REGEXEXTRACT(C2612, ""🏘️ \w+ \w+ (.*) ✅""),'Quartier prepositio"&amp;"ns'!A:E, 5, 0) ,  if(H2612=""region"",vlookup(REGEXEXTRACT(C2612, ""🏘️ \w+ \w+ (.*) ✅""),'Region prepositions'!B:F, 5, 0),  REGEXEXTRACT(C2612, ""🏘️ \w+ \w+ (.*) ✅""))))"),"Satigny")</f>
        <v>Satigny</v>
      </c>
      <c r="F2612" s="2" t="str">
        <f>IFERROR(__xludf.DUMMYFUNCTION("REGEXEXTRACT(C2612, ""🏘️ (\w+) \w+ .* ✅"")"),"Louer")</f>
        <v>Louer</v>
      </c>
      <c r="G2612" s="2" t="str">
        <f>IFERROR(__xludf.DUMMYFUNCTION("REGEXEXTRACT(C2612, ""🏘️ \w+ (\w+) .* ✅"")"),"maison")</f>
        <v>maison</v>
      </c>
      <c r="H2612" s="4" t="str">
        <f>IFERROR(__xludf.DUMMYFUNCTION("REGEXEXTRACT(A2612, ""/(\w+)-.*?"")"),"lieu")</f>
        <v>lieu</v>
      </c>
      <c r="I2612" s="4" t="str">
        <f>IFERROR(__xludf.DUMMYFUNCTION("if(D2612=""variant"",  substitute(filter(Templates!E:E, Templates!A:A = F2612, Templates!B:B = G2612, Templates!C:C = H2612), ""{{}}"", E2612), B2612)"),"🏘  Vous cherchez une maison à louer à Satigny? ✅ Découvrez nos nombreuses annonces sur ImmoScout24.ch.")</f>
        <v>🏘  Vous cherchez une maison à louer à Satigny? ✅ Découvrez nos nombreuses annonces sur ImmoScout24.ch.</v>
      </c>
      <c r="J2612" s="4" t="s">
        <v>7832</v>
      </c>
    </row>
    <row r="2613">
      <c r="A2613" s="5" t="s">
        <v>7833</v>
      </c>
      <c r="B2613" s="2" t="s">
        <v>7834</v>
      </c>
      <c r="C2613" s="4" t="str">
        <f>IFERROR(__xludf.DUMMYFUNCTION("""🏘️ ""&amp;REGEXEXTRACT(B2613, ""^(.*): "")&amp;"" ✅ "" &amp;REGEXEXTRACT(B2613, ""(Trouvez.*)"")"),"🏘️ Vendre maison Lengnau BE ✅ Trouvez le bien immobilier qui correspond idéalement à vos désirs sur ImmoScout24 - La plateforme de l'immobilier en Suisse.")</f>
        <v>🏘️ Vendre maison Lengnau BE ✅ Trouvez le bien immobilier qui correspond idéalement à vos désirs sur ImmoScout24 - La plateforme de l'immobilier en Suisse.</v>
      </c>
      <c r="D2613" s="4" t="str">
        <f>vlookup(A2613, Sheet2!D:E, 2, 0)</f>
        <v>variant</v>
      </c>
      <c r="E2613" s="4" t="str">
        <f>IFERROR(__xludf.DUMMYFUNCTION("if(H2613=""pays"",vlookup(REGEXEXTRACT(C2613, ""🏘️ \w+ \w+ (.*) ✅""),'Country prepositions'!A:B, 2, 0) &amp; "" "" &amp; REGEXEXTRACT(C2613, ""🏘️ \w+ \w+ (.*) ✅"") ,  if(H2613=""quartier"",vlookup(REGEXEXTRACT(C2613, ""🏘️ \w+ \w+ (.*) ✅""),'Quartier prepositio"&amp;"ns'!A:E, 5, 0) ,  if(H2613=""region"",vlookup(REGEXEXTRACT(C2613, ""🏘️ \w+ \w+ (.*) ✅""),'Region prepositions'!B:F, 5, 0),  REGEXEXTRACT(C2613, ""🏘️ \w+ \w+ (.*) ✅""))))"),"Lengnau BE")</f>
        <v>Lengnau BE</v>
      </c>
      <c r="F2613" s="2" t="str">
        <f>IFERROR(__xludf.DUMMYFUNCTION("REGEXEXTRACT(C2613, ""🏘️ (\w+) \w+ .* ✅"")"),"Vendre")</f>
        <v>Vendre</v>
      </c>
      <c r="G2613" s="2" t="str">
        <f>IFERROR(__xludf.DUMMYFUNCTION("REGEXEXTRACT(C2613, ""🏘️ \w+ (\w+) .* ✅"")"),"maison")</f>
        <v>maison</v>
      </c>
      <c r="H2613" s="4" t="str">
        <f>IFERROR(__xludf.DUMMYFUNCTION("REGEXEXTRACT(A2613, ""/(\w+)-.*?"")"),"lieu")</f>
        <v>lieu</v>
      </c>
      <c r="I2613" s="4" t="str">
        <f>IFERROR(__xludf.DUMMYFUNCTION("if(D2613=""variant"",  substitute(filter(Templates!E:E, Templates!A:A = F2613, Templates!B:B = G2613, Templates!C:C = H2613), ""{{}}"", E2613), B2613)"),"🏘  Vous souhaitez acheter une maison à Lengnau BE? ✅ Jetez un œil aux dernières offres sur ImmoScout24.ch.")</f>
        <v>🏘  Vous souhaitez acheter une maison à Lengnau BE? ✅ Jetez un œil aux dernières offres sur ImmoScout24.ch.</v>
      </c>
      <c r="J2613" s="2" t="s">
        <v>7835</v>
      </c>
    </row>
    <row r="2614">
      <c r="A2614" s="5" t="s">
        <v>7836</v>
      </c>
      <c r="B2614" s="2" t="s">
        <v>7837</v>
      </c>
      <c r="C2614" s="4" t="str">
        <f>IFERROR(__xludf.DUMMYFUNCTION("""🏘️ ""&amp;REGEXEXTRACT(B2614, ""^(.*): "")&amp;"" ✅ "" &amp;REGEXEXTRACT(B2614, ""(Trouvez.*)"")"),"🏘️ Louer maison Ste-Croix ✅ Trouvez le bien immobilier qui correspond idéalement à vos désirs sur ImmoScout24 - La plateforme de l'immobilier en Suisse.")</f>
        <v>🏘️ Louer maison Ste-Croix ✅ Trouvez le bien immobilier qui correspond idéalement à vos désirs sur ImmoScout24 - La plateforme de l'immobilier en Suisse.</v>
      </c>
      <c r="D2614" s="4" t="str">
        <f>vlookup(A2614, Sheet2!D:E, 2, 0)</f>
        <v>variant</v>
      </c>
      <c r="E2614" s="4" t="str">
        <f>IFERROR(__xludf.DUMMYFUNCTION("if(H2614=""pays"",vlookup(REGEXEXTRACT(C2614, ""🏘️ \w+ \w+ (.*) ✅""),'Country prepositions'!A:B, 2, 0) &amp; "" "" &amp; REGEXEXTRACT(C2614, ""🏘️ \w+ \w+ (.*) ✅"") ,  if(H2614=""quartier"",vlookup(REGEXEXTRACT(C2614, ""🏘️ \w+ \w+ (.*) ✅""),'Quartier prepositio"&amp;"ns'!A:E, 5, 0) ,  if(H2614=""region"",vlookup(REGEXEXTRACT(C2614, ""🏘️ \w+ \w+ (.*) ✅""),'Region prepositions'!B:F, 5, 0),  REGEXEXTRACT(C2614, ""🏘️ \w+ \w+ (.*) ✅""))))"),"Ste-Croix")</f>
        <v>Ste-Croix</v>
      </c>
      <c r="F2614" s="2" t="str">
        <f>IFERROR(__xludf.DUMMYFUNCTION("REGEXEXTRACT(C2614, ""🏘️ (\w+) \w+ .* ✅"")"),"Louer")</f>
        <v>Louer</v>
      </c>
      <c r="G2614" s="2" t="str">
        <f>IFERROR(__xludf.DUMMYFUNCTION("REGEXEXTRACT(C2614, ""🏘️ \w+ (\w+) .* ✅"")"),"maison")</f>
        <v>maison</v>
      </c>
      <c r="H2614" s="4" t="str">
        <f>IFERROR(__xludf.DUMMYFUNCTION("REGEXEXTRACT(A2614, ""/(\w+)-.*?"")"),"lieu")</f>
        <v>lieu</v>
      </c>
      <c r="I2614" s="4" t="str">
        <f>IFERROR(__xludf.DUMMYFUNCTION("if(D2614=""variant"",  substitute(filter(Templates!E:E, Templates!A:A = F2614, Templates!B:B = G2614, Templates!C:C = H2614), ""{{}}"", E2614), B2614)"),"🏘  Vous cherchez une maison à louer à Ste-Croix? ✅ Découvrez nos nombreuses annonces sur ImmoScout24.ch.")</f>
        <v>🏘  Vous cherchez une maison à louer à Ste-Croix? ✅ Découvrez nos nombreuses annonces sur ImmoScout24.ch.</v>
      </c>
      <c r="J2614" s="4" t="s">
        <v>7838</v>
      </c>
    </row>
    <row r="2615">
      <c r="A2615" s="5" t="s">
        <v>7839</v>
      </c>
      <c r="B2615" s="2" t="s">
        <v>7840</v>
      </c>
      <c r="C2615" s="4" t="str">
        <f>IFERROR(__xludf.DUMMYFUNCTION("""🏘️ ""&amp;REGEXEXTRACT(B2615, ""^(.*): "")&amp;"" ✅ "" &amp;REGEXEXTRACT(B2615, ""(Trouvez.*)"")"),"🏘️ Vendre appartement Adlikon b. Regensdorf ✅ Trouvez le bien immobilier qui correspond idéalement à vos désirs sur ImmoScout24 - La plateforme de l'immobilier en Suisse.")</f>
        <v>🏘️ Vendre appartement Adlikon b. Regensdorf ✅ Trouvez le bien immobilier qui correspond idéalement à vos désirs sur ImmoScout24 - La plateforme de l'immobilier en Suisse.</v>
      </c>
      <c r="D2615" s="4" t="str">
        <f>vlookup(A2615, Sheet2!D:E, 2, 0)</f>
        <v>variant</v>
      </c>
      <c r="E2615" s="4" t="str">
        <f>IFERROR(__xludf.DUMMYFUNCTION("if(H2615=""pays"",vlookup(REGEXEXTRACT(C2615, ""🏘️ \w+ \w+ (.*) ✅""),'Country prepositions'!A:B, 2, 0) &amp; "" "" &amp; REGEXEXTRACT(C2615, ""🏘️ \w+ \w+ (.*) ✅"") ,  if(H2615=""quartier"",vlookup(REGEXEXTRACT(C2615, ""🏘️ \w+ \w+ (.*) ✅""),'Quartier prepositio"&amp;"ns'!A:E, 5, 0) ,  if(H2615=""region"",vlookup(REGEXEXTRACT(C2615, ""🏘️ \w+ \w+ (.*) ✅""),'Region prepositions'!B:F, 5, 0),  REGEXEXTRACT(C2615, ""🏘️ \w+ \w+ (.*) ✅""))))"),"Adlikon b. Regensdorf")</f>
        <v>Adlikon b. Regensdorf</v>
      </c>
      <c r="F2615" s="2" t="str">
        <f>IFERROR(__xludf.DUMMYFUNCTION("REGEXEXTRACT(C2615, ""🏘️ (\w+) \w+ .* ✅"")"),"Vendre")</f>
        <v>Vendre</v>
      </c>
      <c r="G2615" s="2" t="str">
        <f>IFERROR(__xludf.DUMMYFUNCTION("REGEXEXTRACT(C2615, ""🏘️ \w+ (\w+) .* ✅"")"),"appartement")</f>
        <v>appartement</v>
      </c>
      <c r="H2615" s="4" t="str">
        <f>IFERROR(__xludf.DUMMYFUNCTION("REGEXEXTRACT(A2615, ""/(\w+)-.*?"")"),"lieu")</f>
        <v>lieu</v>
      </c>
      <c r="I2615" s="4" t="str">
        <f>IFERROR(__xludf.DUMMYFUNCTION("if(D2615=""variant"",  substitute(filter(Templates!E:E, Templates!A:A = F2615, Templates!B:B = G2615, Templates!C:C = H2615), ""{{}}"", E2615), B2615)"),"🏘  L’appartement de vos rêves se trouve sur ImmoScout24.ch ✅ Découvrez les dernières annonces de vente à Adlikon b. Regensdorf.")</f>
        <v>🏘  L’appartement de vos rêves se trouve sur ImmoScout24.ch ✅ Découvrez les dernières annonces de vente à Adlikon b. Regensdorf.</v>
      </c>
      <c r="J2615" s="4" t="s">
        <v>7841</v>
      </c>
    </row>
    <row r="2616">
      <c r="A2616" s="5" t="s">
        <v>7842</v>
      </c>
      <c r="B2616" s="2" t="s">
        <v>7843</v>
      </c>
      <c r="C2616" s="4" t="str">
        <f>IFERROR(__xludf.DUMMYFUNCTION("""🏘️ ""&amp;REGEXEXTRACT(B2616, ""^(.*): "")&amp;"" ✅ "" &amp;REGEXEXTRACT(B2616, ""(Trouvez.*)"")"),"🏘️ Louer maison Val de Travers ✅ Trouvez le bien immobilier qui correspond idéalement à vos désirs sur ImmoScout24 - La plateforme de l'immobilier en Suisse.")</f>
        <v>🏘️ Louer maison Val de Travers ✅ Trouvez le bien immobilier qui correspond idéalement à vos désirs sur ImmoScout24 - La plateforme de l'immobilier en Suisse.</v>
      </c>
      <c r="D2616" s="4" t="str">
        <f>vlookup(A2616, Sheet2!D:E, 2, 0)</f>
        <v>variant</v>
      </c>
      <c r="E2616" s="4" t="str">
        <f>IFERROR(__xludf.DUMMYFUNCTION("if(H2616=""pays"",vlookup(REGEXEXTRACT(C2616, ""🏘️ \w+ \w+ (.*) ✅""),'Country prepositions'!A:B, 2, 0) &amp; "" "" &amp; REGEXEXTRACT(C2616, ""🏘️ \w+ \w+ (.*) ✅"") ,  if(H2616=""quartier"",vlookup(REGEXEXTRACT(C2616, ""🏘️ \w+ \w+ (.*) ✅""),'Quartier prepositio"&amp;"ns'!A:E, 5, 0) ,  if(H2616=""region"",vlookup(REGEXEXTRACT(C2616, ""🏘️ \w+ \w+ (.*) ✅""),'Region prepositions'!B:F, 5, 0),  REGEXEXTRACT(C2616, ""🏘️ \w+ \w+ (.*) ✅""))))"),"dans le Val-de-Travers")</f>
        <v>dans le Val-de-Travers</v>
      </c>
      <c r="F2616" s="2" t="str">
        <f>IFERROR(__xludf.DUMMYFUNCTION("REGEXEXTRACT(C2616, ""🏘️ (\w+) \w+ .* ✅"")"),"Louer")</f>
        <v>Louer</v>
      </c>
      <c r="G2616" s="2" t="str">
        <f>IFERROR(__xludf.DUMMYFUNCTION("REGEXEXTRACT(C2616, ""🏘️ \w+ (\w+) .* ✅"")"),"maison")</f>
        <v>maison</v>
      </c>
      <c r="H2616" s="4" t="str">
        <f>IFERROR(__xludf.DUMMYFUNCTION("REGEXEXTRACT(A2616, ""/(\w+)-.*?"")"),"region")</f>
        <v>region</v>
      </c>
      <c r="I2616" s="4" t="str">
        <f>IFERROR(__xludf.DUMMYFUNCTION("if(D2616=""variant"",  substitute(filter(Templates!E:E, Templates!A:A = F2616, Templates!B:B = G2616, Templates!C:C = H2616), ""{{}}"", E2616), B2616)"),"🏘  Vous cherchez une maison à louer dans le Val-de-Travers? ✅ Découvrez nos nombreuses annonces sur ImmoScout24.ch.")</f>
        <v>🏘  Vous cherchez une maison à louer dans le Val-de-Travers? ✅ Découvrez nos nombreuses annonces sur ImmoScout24.ch.</v>
      </c>
      <c r="J2616" s="4" t="s">
        <v>7844</v>
      </c>
    </row>
    <row r="2617">
      <c r="A2617" s="5" t="s">
        <v>7845</v>
      </c>
      <c r="B2617" s="2" t="s">
        <v>7846</v>
      </c>
      <c r="C2617" s="4" t="str">
        <f>IFERROR(__xludf.DUMMYFUNCTION("""🏘️ ""&amp;REGEXEXTRACT(B2617, ""^(.*): "")&amp;"" ✅ "" &amp;REGEXEXTRACT(B2617, ""(Trouvez.*)"")"),"🏘️ Vendre maison Villeneuve VD ✅ Trouvez le bien immobilier qui correspond idéalement à vos désirs sur ImmoScout24 - La plateforme de l'immobilier en Suisse.")</f>
        <v>🏘️ Vendre maison Villeneuve VD ✅ Trouvez le bien immobilier qui correspond idéalement à vos désirs sur ImmoScout24 - La plateforme de l'immobilier en Suisse.</v>
      </c>
      <c r="D2617" s="4" t="str">
        <f>vlookup(A2617, Sheet2!D:E, 2, 0)</f>
        <v>variant</v>
      </c>
      <c r="E2617" s="4" t="str">
        <f>IFERROR(__xludf.DUMMYFUNCTION("if(H2617=""pays"",vlookup(REGEXEXTRACT(C2617, ""🏘️ \w+ \w+ (.*) ✅""),'Country prepositions'!A:B, 2, 0) &amp; "" "" &amp; REGEXEXTRACT(C2617, ""🏘️ \w+ \w+ (.*) ✅"") ,  if(H2617=""quartier"",vlookup(REGEXEXTRACT(C2617, ""🏘️ \w+ \w+ (.*) ✅""),'Quartier prepositio"&amp;"ns'!A:E, 5, 0) ,  if(H2617=""region"",vlookup(REGEXEXTRACT(C2617, ""🏘️ \w+ \w+ (.*) ✅""),'Region prepositions'!B:F, 5, 0),  REGEXEXTRACT(C2617, ""🏘️ \w+ \w+ (.*) ✅""))))"),"Villeneuve VD")</f>
        <v>Villeneuve VD</v>
      </c>
      <c r="F2617" s="2" t="str">
        <f>IFERROR(__xludf.DUMMYFUNCTION("REGEXEXTRACT(C2617, ""🏘️ (\w+) \w+ .* ✅"")"),"Vendre")</f>
        <v>Vendre</v>
      </c>
      <c r="G2617" s="2" t="str">
        <f>IFERROR(__xludf.DUMMYFUNCTION("REGEXEXTRACT(C2617, ""🏘️ \w+ (\w+) .* ✅"")"),"maison")</f>
        <v>maison</v>
      </c>
      <c r="H2617" s="4" t="str">
        <f>IFERROR(__xludf.DUMMYFUNCTION("REGEXEXTRACT(A2617, ""/(\w+)-.*?"")"),"lieu")</f>
        <v>lieu</v>
      </c>
      <c r="I2617" s="4" t="str">
        <f>IFERROR(__xludf.DUMMYFUNCTION("if(D2617=""variant"",  substitute(filter(Templates!E:E, Templates!A:A = F2617, Templates!B:B = G2617, Templates!C:C = H2617), ""{{}}"", E2617), B2617)"),"🏘  Vous souhaitez acheter une maison à Villeneuve VD? ✅ Jetez un œil aux dernières offres sur ImmoScout24.ch.")</f>
        <v>🏘  Vous souhaitez acheter une maison à Villeneuve VD? ✅ Jetez un œil aux dernières offres sur ImmoScout24.ch.</v>
      </c>
      <c r="J2617" s="4" t="s">
        <v>7847</v>
      </c>
    </row>
    <row r="2618">
      <c r="A2618" s="5" t="s">
        <v>7848</v>
      </c>
      <c r="B2618" s="2" t="s">
        <v>7849</v>
      </c>
      <c r="C2618" s="4" t="str">
        <f>IFERROR(__xludf.DUMMYFUNCTION("""🏘️ ""&amp;REGEXEXTRACT(B2618, ""^(.*): "")&amp;"" ✅ "" &amp;REGEXEXTRACT(B2618, ""(Trouvez.*)"")"),"🏘️ Louer appartement Coeuve ✅ Trouvez le bien immobilier qui correspond idéalement à vos désirs sur ImmoScout24 - La plateforme de l'immobilier en Suisse.")</f>
        <v>🏘️ Louer appartement Coeuve ✅ Trouvez le bien immobilier qui correspond idéalement à vos désirs sur ImmoScout24 - La plateforme de l'immobilier en Suisse.</v>
      </c>
      <c r="D2618" s="4" t="str">
        <f>vlookup(A2618, Sheet2!D:E, 2, 0)</f>
        <v>variant</v>
      </c>
      <c r="E2618" s="4" t="str">
        <f>IFERROR(__xludf.DUMMYFUNCTION("if(H2618=""pays"",vlookup(REGEXEXTRACT(C2618, ""🏘️ \w+ \w+ (.*) ✅""),'Country prepositions'!A:B, 2, 0) &amp; "" "" &amp; REGEXEXTRACT(C2618, ""🏘️ \w+ \w+ (.*) ✅"") ,  if(H2618=""quartier"",vlookup(REGEXEXTRACT(C2618, ""🏘️ \w+ \w+ (.*) ✅""),'Quartier prepositio"&amp;"ns'!A:E, 5, 0) ,  if(H2618=""region"",vlookup(REGEXEXTRACT(C2618, ""🏘️ \w+ \w+ (.*) ✅""),'Region prepositions'!B:F, 5, 0),  REGEXEXTRACT(C2618, ""🏘️ \w+ \w+ (.*) ✅""))))"),"Coeuve")</f>
        <v>Coeuve</v>
      </c>
      <c r="F2618" s="2" t="str">
        <f>IFERROR(__xludf.DUMMYFUNCTION("REGEXEXTRACT(C2618, ""🏘️ (\w+) \w+ .* ✅"")"),"Louer")</f>
        <v>Louer</v>
      </c>
      <c r="G2618" s="2" t="str">
        <f>IFERROR(__xludf.DUMMYFUNCTION("REGEXEXTRACT(C2618, ""🏘️ \w+ (\w+) .* ✅"")"),"appartement")</f>
        <v>appartement</v>
      </c>
      <c r="H2618" s="4" t="str">
        <f>IFERROR(__xludf.DUMMYFUNCTION("REGEXEXTRACT(A2618, ""/(\w+)-.*?"")"),"lieu")</f>
        <v>lieu</v>
      </c>
      <c r="I2618" s="4" t="str">
        <f>IFERROR(__xludf.DUMMYFUNCTION("if(D2618=""variant"",  substitute(filter(Templates!E:E, Templates!A:A = F2618, Templates!B:B = G2618, Templates!C:C = H2618), ""{{}}"", E2618), B2618)"),"🏘  Vous cherchez un appartement à louer à Coeuve? ✅ Les annonces les plus actuelles sont sur ImmoScout24.ch.")</f>
        <v>🏘  Vous cherchez un appartement à louer à Coeuve? ✅ Les annonces les plus actuelles sont sur ImmoScout24.ch.</v>
      </c>
      <c r="J2618" s="4" t="s">
        <v>7850</v>
      </c>
    </row>
    <row r="2619">
      <c r="A2619" s="5" t="s">
        <v>7851</v>
      </c>
      <c r="B2619" s="2" t="s">
        <v>7852</v>
      </c>
      <c r="C2619" s="4" t="str">
        <f>IFERROR(__xludf.DUMMYFUNCTION("""🏘️ ""&amp;REGEXEXTRACT(B2619, ""^(.*): "")&amp;"" ✅ "" &amp;REGEXEXTRACT(B2619, ""(Trouvez.*)"")"),"🏘️ Louer appartement Places (Fribourg) ✅ Trouvez le bien immobilier qui correspond idéalement à vos désirs sur ImmoScout24 - La plateforme de l'immobilier en Suisse.")</f>
        <v>🏘️ Louer appartement Places (Fribourg) ✅ Trouvez le bien immobilier qui correspond idéalement à vos désirs sur ImmoScout24 - La plateforme de l'immobilier en Suisse.</v>
      </c>
      <c r="D2619" s="4" t="str">
        <f>vlookup(A2619, Sheet2!D:E, 2, 0)</f>
        <v>variant</v>
      </c>
      <c r="E2619" s="4" t="str">
        <f>IFERROR(__xludf.DUMMYFUNCTION("if(H2619=""pays"",vlookup(REGEXEXTRACT(C2619, ""🏘️ \w+ \w+ (.*) ✅""),'Country prepositions'!A:B, 2, 0) &amp; "" "" &amp; REGEXEXTRACT(C2619, ""🏘️ \w+ \w+ (.*) ✅"") ,  if(H2619=""quartier"",vlookup(REGEXEXTRACT(C2619, ""🏘️ \w+ \w+ (.*) ✅""),'Quartier prepositio"&amp;"ns'!A:E, 5, 0) ,  if(H2619=""region"",vlookup(REGEXEXTRACT(C2619, ""🏘️ \w+ \w+ (.*) ✅""),'Region prepositions'!B:F, 5, 0),  REGEXEXTRACT(C2619, ""🏘️ \w+ \w+ (.*) ✅""))))"),"dans le quartier des Places (Fribourg)")</f>
        <v>dans le quartier des Places (Fribourg)</v>
      </c>
      <c r="F2619" s="2" t="str">
        <f>IFERROR(__xludf.DUMMYFUNCTION("REGEXEXTRACT(C2619, ""🏘️ (\w+) \w+ .* ✅"")"),"Louer")</f>
        <v>Louer</v>
      </c>
      <c r="G2619" s="2" t="str">
        <f>IFERROR(__xludf.DUMMYFUNCTION("REGEXEXTRACT(C2619, ""🏘️ \w+ (\w+) .* ✅"")"),"appartement")</f>
        <v>appartement</v>
      </c>
      <c r="H2619" s="4" t="str">
        <f>IFERROR(__xludf.DUMMYFUNCTION("REGEXEXTRACT(A2619, ""/(\w+)-.*?"")"),"quartier")</f>
        <v>quartier</v>
      </c>
      <c r="I2619" s="4" t="str">
        <f>IFERROR(__xludf.DUMMYFUNCTION("if(D2619=""variant"",  substitute(filter(Templates!E:E, Templates!A:A = F2619, Templates!B:B = G2619, Templates!C:C = H2619), ""{{}}"", E2619), B2619)"),"🏘  Vous cherchez un appartement à louer dans le quartier des Places (Fribourg)? ✅ Les annonces les plus actuelles sont sur ImmoScout24.ch.")</f>
        <v>🏘  Vous cherchez un appartement à louer dans le quartier des Places (Fribourg)? ✅ Les annonces les plus actuelles sont sur ImmoScout24.ch.</v>
      </c>
      <c r="J2619" s="4" t="s">
        <v>7853</v>
      </c>
    </row>
    <row r="2620">
      <c r="A2620" s="5" t="s">
        <v>7854</v>
      </c>
      <c r="B2620" s="2" t="s">
        <v>7855</v>
      </c>
      <c r="C2620" s="4" t="str">
        <f>IFERROR(__xludf.DUMMYFUNCTION("""🏘️ ""&amp;REGEXEXTRACT(B2620, ""^(.*): "")&amp;"" ✅ "" &amp;REGEXEXTRACT(B2620, ""(Trouvez.*)"")"),"🏘️ Louer appartement Goldau ✅ Trouvez le bien immobilier qui correspond idéalement à vos désirs sur ImmoScout24 - La plateforme de l'immobilier en Suisse.")</f>
        <v>🏘️ Louer appartement Goldau ✅ Trouvez le bien immobilier qui correspond idéalement à vos désirs sur ImmoScout24 - La plateforme de l'immobilier en Suisse.</v>
      </c>
      <c r="D2620" s="4" t="str">
        <f>vlookup(A2620, Sheet2!D:E, 2, 0)</f>
        <v>variant</v>
      </c>
      <c r="E2620" s="4" t="str">
        <f>IFERROR(__xludf.DUMMYFUNCTION("if(H2620=""pays"",vlookup(REGEXEXTRACT(C2620, ""🏘️ \w+ \w+ (.*) ✅""),'Country prepositions'!A:B, 2, 0) &amp; "" "" &amp; REGEXEXTRACT(C2620, ""🏘️ \w+ \w+ (.*) ✅"") ,  if(H2620=""quartier"",vlookup(REGEXEXTRACT(C2620, ""🏘️ \w+ \w+ (.*) ✅""),'Quartier prepositio"&amp;"ns'!A:E, 5, 0) ,  if(H2620=""region"",vlookup(REGEXEXTRACT(C2620, ""🏘️ \w+ \w+ (.*) ✅""),'Region prepositions'!B:F, 5, 0),  REGEXEXTRACT(C2620, ""🏘️ \w+ \w+ (.*) ✅""))))"),"Goldau")</f>
        <v>Goldau</v>
      </c>
      <c r="F2620" s="2" t="str">
        <f>IFERROR(__xludf.DUMMYFUNCTION("REGEXEXTRACT(C2620, ""🏘️ (\w+) \w+ .* ✅"")"),"Louer")</f>
        <v>Louer</v>
      </c>
      <c r="G2620" s="2" t="str">
        <f>IFERROR(__xludf.DUMMYFUNCTION("REGEXEXTRACT(C2620, ""🏘️ \w+ (\w+) .* ✅"")"),"appartement")</f>
        <v>appartement</v>
      </c>
      <c r="H2620" s="4" t="str">
        <f>IFERROR(__xludf.DUMMYFUNCTION("REGEXEXTRACT(A2620, ""/(\w+)-.*?"")"),"lieu")</f>
        <v>lieu</v>
      </c>
      <c r="I2620" s="4" t="str">
        <f>IFERROR(__xludf.DUMMYFUNCTION("if(D2620=""variant"",  substitute(filter(Templates!E:E, Templates!A:A = F2620, Templates!B:B = G2620, Templates!C:C = H2620), ""{{}}"", E2620), B2620)"),"🏘  Vous cherchez un appartement à louer à Goldau? ✅ Les annonces les plus actuelles sont sur ImmoScout24.ch.")</f>
        <v>🏘  Vous cherchez un appartement à louer à Goldau? ✅ Les annonces les plus actuelles sont sur ImmoScout24.ch.</v>
      </c>
      <c r="J2620" s="4" t="s">
        <v>7856</v>
      </c>
    </row>
    <row r="2621">
      <c r="A2621" s="5" t="s">
        <v>7857</v>
      </c>
      <c r="B2621" s="2" t="s">
        <v>7858</v>
      </c>
      <c r="C2621" s="4" t="str">
        <f>IFERROR(__xludf.DUMMYFUNCTION("""🏘️ ""&amp;REGEXEXTRACT(B2621, ""^(.*): "")&amp;"" ✅ "" &amp;REGEXEXTRACT(B2621, ""(Trouvez.*)"")"),"🏘️ Vendre maison Magliaso ✅ Trouvez le bien immobilier qui correspond idéalement à vos désirs sur ImmoScout24 - La plateforme de l'immobilier en Suisse.")</f>
        <v>🏘️ Vendre maison Magliaso ✅ Trouvez le bien immobilier qui correspond idéalement à vos désirs sur ImmoScout24 - La plateforme de l'immobilier en Suisse.</v>
      </c>
      <c r="D2621" s="4" t="str">
        <f>vlookup(A2621, Sheet2!D:E, 2, 0)</f>
        <v>variant</v>
      </c>
      <c r="E2621" s="4" t="str">
        <f>IFERROR(__xludf.DUMMYFUNCTION("if(H2621=""pays"",vlookup(REGEXEXTRACT(C2621, ""🏘️ \w+ \w+ (.*) ✅""),'Country prepositions'!A:B, 2, 0) &amp; "" "" &amp; REGEXEXTRACT(C2621, ""🏘️ \w+ \w+ (.*) ✅"") ,  if(H2621=""quartier"",vlookup(REGEXEXTRACT(C2621, ""🏘️ \w+ \w+ (.*) ✅""),'Quartier prepositio"&amp;"ns'!A:E, 5, 0) ,  if(H2621=""region"",vlookup(REGEXEXTRACT(C2621, ""🏘️ \w+ \w+ (.*) ✅""),'Region prepositions'!B:F, 5, 0),  REGEXEXTRACT(C2621, ""🏘️ \w+ \w+ (.*) ✅""))))"),"Magliaso")</f>
        <v>Magliaso</v>
      </c>
      <c r="F2621" s="2" t="str">
        <f>IFERROR(__xludf.DUMMYFUNCTION("REGEXEXTRACT(C2621, ""🏘️ (\w+) \w+ .* ✅"")"),"Vendre")</f>
        <v>Vendre</v>
      </c>
      <c r="G2621" s="2" t="str">
        <f>IFERROR(__xludf.DUMMYFUNCTION("REGEXEXTRACT(C2621, ""🏘️ \w+ (\w+) .* ✅"")"),"maison")</f>
        <v>maison</v>
      </c>
      <c r="H2621" s="4" t="str">
        <f>IFERROR(__xludf.DUMMYFUNCTION("REGEXEXTRACT(A2621, ""/(\w+)-.*?"")"),"lieu")</f>
        <v>lieu</v>
      </c>
      <c r="I2621" s="4" t="str">
        <f>IFERROR(__xludf.DUMMYFUNCTION("if(D2621=""variant"",  substitute(filter(Templates!E:E, Templates!A:A = F2621, Templates!B:B = G2621, Templates!C:C = H2621), ""{{}}"", E2621), B2621)"),"🏘  Vous souhaitez acheter une maison à Magliaso? ✅ Jetez un œil aux dernières offres sur ImmoScout24.ch.")</f>
        <v>🏘  Vous souhaitez acheter une maison à Magliaso? ✅ Jetez un œil aux dernières offres sur ImmoScout24.ch.</v>
      </c>
      <c r="J2621" s="4" t="s">
        <v>7859</v>
      </c>
    </row>
    <row r="2622">
      <c r="A2622" s="5" t="s">
        <v>7860</v>
      </c>
      <c r="B2622" s="2" t="s">
        <v>7861</v>
      </c>
      <c r="C2622" s="4" t="str">
        <f>IFERROR(__xludf.DUMMYFUNCTION("""🏘️ ""&amp;REGEXEXTRACT(B2622, ""^(.*): "")&amp;"" ✅ "" &amp;REGEXEXTRACT(B2622, ""(Trouvez.*)"")"),"🏘️ Louer appartement Centre (Neuchâtel) ✅ Trouvez le bien immobilier qui correspond idéalement à vos désirs sur ImmoScout24 - La plateforme de l'immobilier en Suisse.")</f>
        <v>🏘️ Louer appartement Centre (Neuchâtel) ✅ Trouvez le bien immobilier qui correspond idéalement à vos désirs sur ImmoScout24 - La plateforme de l'immobilier en Suisse.</v>
      </c>
      <c r="D2622" s="4" t="str">
        <f>vlookup(A2622, Sheet2!D:E, 2, 0)</f>
        <v>variant</v>
      </c>
      <c r="E2622" s="4" t="str">
        <f>IFERROR(__xludf.DUMMYFUNCTION("if(H2622=""pays"",vlookup(REGEXEXTRACT(C2622, ""🏘️ \w+ \w+ (.*) ✅""),'Country prepositions'!A:B, 2, 0) &amp; "" "" &amp; REGEXEXTRACT(C2622, ""🏘️ \w+ \w+ (.*) ✅"") ,  if(H2622=""quartier"",vlookup(REGEXEXTRACT(C2622, ""🏘️ \w+ \w+ (.*) ✅""),'Quartier prepositio"&amp;"ns'!A:E, 5, 0) ,  if(H2622=""region"",vlookup(REGEXEXTRACT(C2622, ""🏘️ \w+ \w+ (.*) ✅""),'Region prepositions'!B:F, 5, 0),  REGEXEXTRACT(C2622, ""🏘️ \w+ \w+ (.*) ✅""))))"),"dans le Centre de Neuchâtel")</f>
        <v>dans le Centre de Neuchâtel</v>
      </c>
      <c r="F2622" s="2" t="str">
        <f>IFERROR(__xludf.DUMMYFUNCTION("REGEXEXTRACT(C2622, ""🏘️ (\w+) \w+ .* ✅"")"),"Louer")</f>
        <v>Louer</v>
      </c>
      <c r="G2622" s="2" t="str">
        <f>IFERROR(__xludf.DUMMYFUNCTION("REGEXEXTRACT(C2622, ""🏘️ \w+ (\w+) .* ✅"")"),"appartement")</f>
        <v>appartement</v>
      </c>
      <c r="H2622" s="4" t="str">
        <f>IFERROR(__xludf.DUMMYFUNCTION("REGEXEXTRACT(A2622, ""/(\w+)-.*?"")"),"quartier")</f>
        <v>quartier</v>
      </c>
      <c r="I2622" s="4" t="str">
        <f>IFERROR(__xludf.DUMMYFUNCTION("if(D2622=""variant"",  substitute(filter(Templates!E:E, Templates!A:A = F2622, Templates!B:B = G2622, Templates!C:C = H2622), ""{{}}"", E2622), B2622)"),"🏘  Vous cherchez un appartement à louer dans le Centre de Neuchâtel? ✅ Les annonces les plus actuelles sont sur ImmoScout24.ch.")</f>
        <v>🏘  Vous cherchez un appartement à louer dans le Centre de Neuchâtel? ✅ Les annonces les plus actuelles sont sur ImmoScout24.ch.</v>
      </c>
      <c r="J2622" s="4" t="s">
        <v>7862</v>
      </c>
    </row>
    <row r="2623">
      <c r="A2623" s="5" t="s">
        <v>7863</v>
      </c>
      <c r="B2623" s="2" t="s">
        <v>7864</v>
      </c>
      <c r="C2623" s="4" t="str">
        <f>IFERROR(__xludf.DUMMYFUNCTION("""🏘️ ""&amp;REGEXEXTRACT(B2623, ""^(.*): "")&amp;"" ✅ "" &amp;REGEXEXTRACT(B2623, ""(Trouvez.*)"")"),"🏘️ Louer appartement Arbon ✅ Trouvez le bien immobilier qui correspond idéalement à vos désirs sur ImmoScout24 - La plateforme de l'immobilier en Suisse.")</f>
        <v>🏘️ Louer appartement Arbon ✅ Trouvez le bien immobilier qui correspond idéalement à vos désirs sur ImmoScout24 - La plateforme de l'immobilier en Suisse.</v>
      </c>
      <c r="D2623" s="4" t="str">
        <f>vlookup(A2623, Sheet2!D:E, 2, 0)</f>
        <v>variant</v>
      </c>
      <c r="E2623" s="4" t="str">
        <f>IFERROR(__xludf.DUMMYFUNCTION("if(H2623=""pays"",vlookup(REGEXEXTRACT(C2623, ""🏘️ \w+ \w+ (.*) ✅""),'Country prepositions'!A:B, 2, 0) &amp; "" "" &amp; REGEXEXTRACT(C2623, ""🏘️ \w+ \w+ (.*) ✅"") ,  if(H2623=""quartier"",vlookup(REGEXEXTRACT(C2623, ""🏘️ \w+ \w+ (.*) ✅""),'Quartier prepositio"&amp;"ns'!A:E, 5, 0) ,  if(H2623=""region"",vlookup(REGEXEXTRACT(C2623, ""🏘️ \w+ \w+ (.*) ✅""),'Region prepositions'!B:F, 5, 0),  REGEXEXTRACT(C2623, ""🏘️ \w+ \w+ (.*) ✅""))))"),"Arbon")</f>
        <v>Arbon</v>
      </c>
      <c r="F2623" s="2" t="str">
        <f>IFERROR(__xludf.DUMMYFUNCTION("REGEXEXTRACT(C2623, ""🏘️ (\w+) \w+ .* ✅"")"),"Louer")</f>
        <v>Louer</v>
      </c>
      <c r="G2623" s="2" t="str">
        <f>IFERROR(__xludf.DUMMYFUNCTION("REGEXEXTRACT(C2623, ""🏘️ \w+ (\w+) .* ✅"")"),"appartement")</f>
        <v>appartement</v>
      </c>
      <c r="H2623" s="4" t="str">
        <f>IFERROR(__xludf.DUMMYFUNCTION("REGEXEXTRACT(A2623, ""/(\w+)-.*?"")"),"lieu")</f>
        <v>lieu</v>
      </c>
      <c r="I2623" s="4" t="str">
        <f>IFERROR(__xludf.DUMMYFUNCTION("if(D2623=""variant"",  substitute(filter(Templates!E:E, Templates!A:A = F2623, Templates!B:B = G2623, Templates!C:C = H2623), ""{{}}"", E2623), B2623)"),"🏘  Vous cherchez un appartement à louer à Arbon? ✅ Les annonces les plus actuelles sont sur ImmoScout24.ch.")</f>
        <v>🏘  Vous cherchez un appartement à louer à Arbon? ✅ Les annonces les plus actuelles sont sur ImmoScout24.ch.</v>
      </c>
      <c r="J2623" s="4" t="s">
        <v>7865</v>
      </c>
    </row>
    <row r="2624">
      <c r="A2624" s="5" t="s">
        <v>7866</v>
      </c>
      <c r="B2624" s="2" t="s">
        <v>7867</v>
      </c>
      <c r="C2624" s="4" t="str">
        <f>IFERROR(__xludf.DUMMYFUNCTION("""🏘️ ""&amp;REGEXEXTRACT(B2624, ""^(.*): "")&amp;"" ✅ "" &amp;REGEXEXTRACT(B2624, ""(Trouvez.*)"")"),"🏘️ Louer appartement Oberwil b. Büren ✅ Trouvez le bien immobilier qui correspond idéalement à vos désirs sur ImmoScout24 - La plateforme de l'immobilier en Suisse.")</f>
        <v>🏘️ Louer appartement Oberwil b. Büren ✅ Trouvez le bien immobilier qui correspond idéalement à vos désirs sur ImmoScout24 - La plateforme de l'immobilier en Suisse.</v>
      </c>
      <c r="D2624" s="4" t="str">
        <f>vlookup(A2624, Sheet2!D:E, 2, 0)</f>
        <v>variant</v>
      </c>
      <c r="E2624" s="4" t="str">
        <f>IFERROR(__xludf.DUMMYFUNCTION("if(H2624=""pays"",vlookup(REGEXEXTRACT(C2624, ""🏘️ \w+ \w+ (.*) ✅""),'Country prepositions'!A:B, 2, 0) &amp; "" "" &amp; REGEXEXTRACT(C2624, ""🏘️ \w+ \w+ (.*) ✅"") ,  if(H2624=""quartier"",vlookup(REGEXEXTRACT(C2624, ""🏘️ \w+ \w+ (.*) ✅""),'Quartier prepositio"&amp;"ns'!A:E, 5, 0) ,  if(H2624=""region"",vlookup(REGEXEXTRACT(C2624, ""🏘️ \w+ \w+ (.*) ✅""),'Region prepositions'!B:F, 5, 0),  REGEXEXTRACT(C2624, ""🏘️ \w+ \w+ (.*) ✅""))))"),"Oberwil b. Büren")</f>
        <v>Oberwil b. Büren</v>
      </c>
      <c r="F2624" s="2" t="str">
        <f>IFERROR(__xludf.DUMMYFUNCTION("REGEXEXTRACT(C2624, ""🏘️ (\w+) \w+ .* ✅"")"),"Louer")</f>
        <v>Louer</v>
      </c>
      <c r="G2624" s="2" t="str">
        <f>IFERROR(__xludf.DUMMYFUNCTION("REGEXEXTRACT(C2624, ""🏘️ \w+ (\w+) .* ✅"")"),"appartement")</f>
        <v>appartement</v>
      </c>
      <c r="H2624" s="4" t="str">
        <f>IFERROR(__xludf.DUMMYFUNCTION("REGEXEXTRACT(A2624, ""/(\w+)-.*?"")"),"lieu")</f>
        <v>lieu</v>
      </c>
      <c r="I2624" s="4" t="str">
        <f>IFERROR(__xludf.DUMMYFUNCTION("if(D2624=""variant"",  substitute(filter(Templates!E:E, Templates!A:A = F2624, Templates!B:B = G2624, Templates!C:C = H2624), ""{{}}"", E2624), B2624)"),"🏘  Vous cherchez un appartement à louer à Oberwil b. Büren? ✅ Les annonces les plus actuelles sont sur ImmoScout24.ch.")</f>
        <v>🏘  Vous cherchez un appartement à louer à Oberwil b. Büren? ✅ Les annonces les plus actuelles sont sur ImmoScout24.ch.</v>
      </c>
      <c r="J2624" s="4" t="s">
        <v>7868</v>
      </c>
    </row>
    <row r="2625">
      <c r="A2625" s="5" t="s">
        <v>7869</v>
      </c>
      <c r="B2625" s="2" t="s">
        <v>7870</v>
      </c>
      <c r="C2625" s="4" t="str">
        <f>IFERROR(__xludf.DUMMYFUNCTION("""🏘️ ""&amp;REGEXEXTRACT(B2625, ""^(.*): "")&amp;"" ✅ "" &amp;REGEXEXTRACT(B2625, ""(Trouvez.*)"")"),"🏘️ Louer appartement Mels ✅ Trouvez le bien immobilier qui correspond idéalement à vos désirs sur ImmoScout24 - La plateforme de l'immobilier en Suisse.")</f>
        <v>🏘️ Louer appartement Mels ✅ Trouvez le bien immobilier qui correspond idéalement à vos désirs sur ImmoScout24 - La plateforme de l'immobilier en Suisse.</v>
      </c>
      <c r="D2625" s="4" t="str">
        <f>vlookup(A2625, Sheet2!D:E, 2, 0)</f>
        <v>variant</v>
      </c>
      <c r="E2625" s="4" t="str">
        <f>IFERROR(__xludf.DUMMYFUNCTION("if(H2625=""pays"",vlookup(REGEXEXTRACT(C2625, ""🏘️ \w+ \w+ (.*) ✅""),'Country prepositions'!A:B, 2, 0) &amp; "" "" &amp; REGEXEXTRACT(C2625, ""🏘️ \w+ \w+ (.*) ✅"") ,  if(H2625=""quartier"",vlookup(REGEXEXTRACT(C2625, ""🏘️ \w+ \w+ (.*) ✅""),'Quartier prepositio"&amp;"ns'!A:E, 5, 0) ,  if(H2625=""region"",vlookup(REGEXEXTRACT(C2625, ""🏘️ \w+ \w+ (.*) ✅""),'Region prepositions'!B:F, 5, 0),  REGEXEXTRACT(C2625, ""🏘️ \w+ \w+ (.*) ✅""))))"),"Mels")</f>
        <v>Mels</v>
      </c>
      <c r="F2625" s="2" t="str">
        <f>IFERROR(__xludf.DUMMYFUNCTION("REGEXEXTRACT(C2625, ""🏘️ (\w+) \w+ .* ✅"")"),"Louer")</f>
        <v>Louer</v>
      </c>
      <c r="G2625" s="2" t="str">
        <f>IFERROR(__xludf.DUMMYFUNCTION("REGEXEXTRACT(C2625, ""🏘️ \w+ (\w+) .* ✅"")"),"appartement")</f>
        <v>appartement</v>
      </c>
      <c r="H2625" s="4" t="str">
        <f>IFERROR(__xludf.DUMMYFUNCTION("REGEXEXTRACT(A2625, ""/(\w+)-.*?"")"),"lieu")</f>
        <v>lieu</v>
      </c>
      <c r="I2625" s="4" t="str">
        <f>IFERROR(__xludf.DUMMYFUNCTION("if(D2625=""variant"",  substitute(filter(Templates!E:E, Templates!A:A = F2625, Templates!B:B = G2625, Templates!C:C = H2625), ""{{}}"", E2625), B2625)"),"🏘  Vous cherchez un appartement à louer à Mels? ✅ Les annonces les plus actuelles sont sur ImmoScout24.ch.")</f>
        <v>🏘  Vous cherchez un appartement à louer à Mels? ✅ Les annonces les plus actuelles sont sur ImmoScout24.ch.</v>
      </c>
      <c r="J2625" s="4" t="s">
        <v>7871</v>
      </c>
    </row>
    <row r="2626">
      <c r="A2626" s="5" t="s">
        <v>7872</v>
      </c>
      <c r="B2626" s="2" t="s">
        <v>7873</v>
      </c>
      <c r="C2626" s="4" t="str">
        <f>IFERROR(__xludf.DUMMYFUNCTION("""🏘️ ""&amp;REGEXEXTRACT(B2626, ""^(.*): "")&amp;"" ✅ "" &amp;REGEXEXTRACT(B2626, ""(Trouvez.*)"")"),"🏘️ Louer appartement Genève 15 Aéroport ✅ Trouvez le bien immobilier qui correspond idéalement à vos désirs sur ImmoScout24 - La plateforme de l'immobilier en Suisse.")</f>
        <v>🏘️ Louer appartement Genève 15 Aéroport ✅ Trouvez le bien immobilier qui correspond idéalement à vos désirs sur ImmoScout24 - La plateforme de l'immobilier en Suisse.</v>
      </c>
      <c r="D2626" s="4" t="str">
        <f>vlookup(A2626, Sheet2!D:E, 2, 0)</f>
        <v>variant</v>
      </c>
      <c r="E2626" s="4" t="str">
        <f>IFERROR(__xludf.DUMMYFUNCTION("if(H2626=""pays"",vlookup(REGEXEXTRACT(C2626, ""🏘️ \w+ \w+ (.*) ✅""),'Country prepositions'!A:B, 2, 0) &amp; "" "" &amp; REGEXEXTRACT(C2626, ""🏘️ \w+ \w+ (.*) ✅"") ,  if(H2626=""quartier"",vlookup(REGEXEXTRACT(C2626, ""🏘️ \w+ \w+ (.*) ✅""),'Quartier prepositio"&amp;"ns'!A:E, 5, 0) ,  if(H2626=""region"",vlookup(REGEXEXTRACT(C2626, ""🏘️ \w+ \w+ (.*) ✅""),'Region prepositions'!B:F, 5, 0),  REGEXEXTRACT(C2626, ""🏘️ \w+ \w+ (.*) ✅""))))"),"Genève 15 Aéroport")</f>
        <v>Genève 15 Aéroport</v>
      </c>
      <c r="F2626" s="2" t="str">
        <f>IFERROR(__xludf.DUMMYFUNCTION("REGEXEXTRACT(C2626, ""🏘️ (\w+) \w+ .* ✅"")"),"Louer")</f>
        <v>Louer</v>
      </c>
      <c r="G2626" s="2" t="str">
        <f>IFERROR(__xludf.DUMMYFUNCTION("REGEXEXTRACT(C2626, ""🏘️ \w+ (\w+) .* ✅"")"),"appartement")</f>
        <v>appartement</v>
      </c>
      <c r="H2626" s="4" t="str">
        <f>IFERROR(__xludf.DUMMYFUNCTION("REGEXEXTRACT(A2626, ""/(\w+)-.*?"")"),"lieu")</f>
        <v>lieu</v>
      </c>
      <c r="I2626" s="4" t="str">
        <f>IFERROR(__xludf.DUMMYFUNCTION("if(D2626=""variant"",  substitute(filter(Templates!E:E, Templates!A:A = F2626, Templates!B:B = G2626, Templates!C:C = H2626), ""{{}}"", E2626), B2626)"),"🏘  Vous cherchez un appartement à louer à Genève 15 Aéroport? ✅ Les annonces les plus actuelles sont sur ImmoScout24.ch.")</f>
        <v>🏘  Vous cherchez un appartement à louer à Genève 15 Aéroport? ✅ Les annonces les plus actuelles sont sur ImmoScout24.ch.</v>
      </c>
      <c r="J2626" s="4" t="s">
        <v>7874</v>
      </c>
    </row>
    <row r="2627">
      <c r="A2627" s="5" t="s">
        <v>7875</v>
      </c>
      <c r="B2627" s="2" t="s">
        <v>7876</v>
      </c>
      <c r="C2627" s="4" t="str">
        <f>IFERROR(__xludf.DUMMYFUNCTION("""🏘️ ""&amp;REGEXEXTRACT(B2627, ""^(.*): "")&amp;"" ✅ "" &amp;REGEXEXTRACT(B2627, ""(Trouvez.*)"")"),"🏘️ Vendre maison Fiez ✅ Trouvez le bien immobilier qui correspond idéalement à vos désirs sur ImmoScout24 - La plateforme de l'immobilier en Suisse.")</f>
        <v>🏘️ Vendre maison Fiez ✅ Trouvez le bien immobilier qui correspond idéalement à vos désirs sur ImmoScout24 - La plateforme de l'immobilier en Suisse.</v>
      </c>
      <c r="D2627" s="4" t="str">
        <f>vlookup(A2627, Sheet2!D:E, 2, 0)</f>
        <v>variant</v>
      </c>
      <c r="E2627" s="4" t="str">
        <f>IFERROR(__xludf.DUMMYFUNCTION("if(H2627=""pays"",vlookup(REGEXEXTRACT(C2627, ""🏘️ \w+ \w+ (.*) ✅""),'Country prepositions'!A:B, 2, 0) &amp; "" "" &amp; REGEXEXTRACT(C2627, ""🏘️ \w+ \w+ (.*) ✅"") ,  if(H2627=""quartier"",vlookup(REGEXEXTRACT(C2627, ""🏘️ \w+ \w+ (.*) ✅""),'Quartier prepositio"&amp;"ns'!A:E, 5, 0) ,  if(H2627=""region"",vlookup(REGEXEXTRACT(C2627, ""🏘️ \w+ \w+ (.*) ✅""),'Region prepositions'!B:F, 5, 0),  REGEXEXTRACT(C2627, ""🏘️ \w+ \w+ (.*) ✅""))))"),"Fiez")</f>
        <v>Fiez</v>
      </c>
      <c r="F2627" s="2" t="str">
        <f>IFERROR(__xludf.DUMMYFUNCTION("REGEXEXTRACT(C2627, ""🏘️ (\w+) \w+ .* ✅"")"),"Vendre")</f>
        <v>Vendre</v>
      </c>
      <c r="G2627" s="2" t="str">
        <f>IFERROR(__xludf.DUMMYFUNCTION("REGEXEXTRACT(C2627, ""🏘️ \w+ (\w+) .* ✅"")"),"maison")</f>
        <v>maison</v>
      </c>
      <c r="H2627" s="4" t="str">
        <f>IFERROR(__xludf.DUMMYFUNCTION("REGEXEXTRACT(A2627, ""/(\w+)-.*?"")"),"lieu")</f>
        <v>lieu</v>
      </c>
      <c r="I2627" s="4" t="str">
        <f>IFERROR(__xludf.DUMMYFUNCTION("if(D2627=""variant"",  substitute(filter(Templates!E:E, Templates!A:A = F2627, Templates!B:B = G2627, Templates!C:C = H2627), ""{{}}"", E2627), B2627)"),"🏘  Vous souhaitez acheter une maison à Fiez? ✅ Jetez un œil aux dernières offres sur ImmoScout24.ch.")</f>
        <v>🏘  Vous souhaitez acheter une maison à Fiez? ✅ Jetez un œil aux dernières offres sur ImmoScout24.ch.</v>
      </c>
      <c r="J2627" s="4" t="s">
        <v>7877</v>
      </c>
    </row>
    <row r="2628">
      <c r="A2628" s="5" t="s">
        <v>7878</v>
      </c>
      <c r="B2628" s="2" t="s">
        <v>7879</v>
      </c>
      <c r="C2628" s="4" t="str">
        <f>IFERROR(__xludf.DUMMYFUNCTION("""🏘️ ""&amp;REGEXEXTRACT(B2628, ""^(.*): "")&amp;"" ✅ "" &amp;REGEXEXTRACT(B2628, ""(Trouvez.*)"")"),"🏘️ Louer appartement Aarau et environs ✅ Trouvez le bien immobilier qui correspond idéalement à vos désirs sur ImmoScout24 - La plateforme de l'immobilier en Suisse.")</f>
        <v>🏘️ Louer appartement Aarau et environs ✅ Trouvez le bien immobilier qui correspond idéalement à vos désirs sur ImmoScout24 - La plateforme de l'immobilier en Suisse.</v>
      </c>
      <c r="D2628" s="4" t="str">
        <f>vlookup(A2628, Sheet2!D:E, 2, 0)</f>
        <v>variant</v>
      </c>
      <c r="E2628" s="4" t="str">
        <f>IFERROR(__xludf.DUMMYFUNCTION("if(H2628=""pays"",vlookup(REGEXEXTRACT(C2628, ""🏘️ \w+ \w+ (.*) ✅""),'Country prepositions'!A:B, 2, 0) &amp; "" "" &amp; REGEXEXTRACT(C2628, ""🏘️ \w+ \w+ (.*) ✅"") ,  if(H2628=""quartier"",vlookup(REGEXEXTRACT(C2628, ""🏘️ \w+ \w+ (.*) ✅""),'Quartier prepositio"&amp;"ns'!A:E, 5, 0) ,  if(H2628=""region"",vlookup(REGEXEXTRACT(C2628, ""🏘️ \w+ \w+ (.*) ✅""),'Region prepositions'!B:F, 5, 0),  REGEXEXTRACT(C2628, ""🏘️ \w+ \w+ (.*) ✅""))))"),"à Aarau et environs")</f>
        <v>à Aarau et environs</v>
      </c>
      <c r="F2628" s="2" t="str">
        <f>IFERROR(__xludf.DUMMYFUNCTION("REGEXEXTRACT(C2628, ""🏘️ (\w+) \w+ .* ✅"")"),"Louer")</f>
        <v>Louer</v>
      </c>
      <c r="G2628" s="2" t="str">
        <f>IFERROR(__xludf.DUMMYFUNCTION("REGEXEXTRACT(C2628, ""🏘️ \w+ (\w+) .* ✅"")"),"appartement")</f>
        <v>appartement</v>
      </c>
      <c r="H2628" s="4" t="str">
        <f>IFERROR(__xludf.DUMMYFUNCTION("REGEXEXTRACT(A2628, ""/(\w+)-.*?"")"),"region")</f>
        <v>region</v>
      </c>
      <c r="I2628" s="4" t="str">
        <f>IFERROR(__xludf.DUMMYFUNCTION("if(D2628=""variant"",  substitute(filter(Templates!E:E, Templates!A:A = F2628, Templates!B:B = G2628, Templates!C:C = H2628), ""{{}}"", E2628), B2628)"),"🏘  Vous cherchez un appartement à louer à Aarau et environs? ✅ Les annonces les plus actuelles sont sur ImmoScout24.ch.")</f>
        <v>🏘  Vous cherchez un appartement à louer à Aarau et environs? ✅ Les annonces les plus actuelles sont sur ImmoScout24.ch.</v>
      </c>
      <c r="J2628" s="4" t="s">
        <v>7880</v>
      </c>
    </row>
    <row r="2629">
      <c r="A2629" s="5" t="s">
        <v>7881</v>
      </c>
      <c r="B2629" s="2" t="s">
        <v>7882</v>
      </c>
      <c r="C2629" s="4" t="str">
        <f>IFERROR(__xludf.DUMMYFUNCTION("""🏘️ ""&amp;REGEXEXTRACT(B2629, ""^(.*): "")&amp;"" ✅ "" &amp;REGEXEXTRACT(B2629, ""(Trouvez.*)"")"),"🏘️ Louer appartement Mumpf ✅ Trouvez le bien immobilier qui correspond idéalement à vos désirs sur ImmoScout24 - La plateforme de l'immobilier en Suisse.")</f>
        <v>🏘️ Louer appartement Mumpf ✅ Trouvez le bien immobilier qui correspond idéalement à vos désirs sur ImmoScout24 - La plateforme de l'immobilier en Suisse.</v>
      </c>
      <c r="D2629" s="4" t="str">
        <f>vlookup(A2629, Sheet2!D:E, 2, 0)</f>
        <v>variant</v>
      </c>
      <c r="E2629" s="4" t="str">
        <f>IFERROR(__xludf.DUMMYFUNCTION("if(H2629=""pays"",vlookup(REGEXEXTRACT(C2629, ""🏘️ \w+ \w+ (.*) ✅""),'Country prepositions'!A:B, 2, 0) &amp; "" "" &amp; REGEXEXTRACT(C2629, ""🏘️ \w+ \w+ (.*) ✅"") ,  if(H2629=""quartier"",vlookup(REGEXEXTRACT(C2629, ""🏘️ \w+ \w+ (.*) ✅""),'Quartier prepositio"&amp;"ns'!A:E, 5, 0) ,  if(H2629=""region"",vlookup(REGEXEXTRACT(C2629, ""🏘️ \w+ \w+ (.*) ✅""),'Region prepositions'!B:F, 5, 0),  REGEXEXTRACT(C2629, ""🏘️ \w+ \w+ (.*) ✅""))))"),"Mumpf")</f>
        <v>Mumpf</v>
      </c>
      <c r="F2629" s="2" t="str">
        <f>IFERROR(__xludf.DUMMYFUNCTION("REGEXEXTRACT(C2629, ""🏘️ (\w+) \w+ .* ✅"")"),"Louer")</f>
        <v>Louer</v>
      </c>
      <c r="G2629" s="2" t="str">
        <f>IFERROR(__xludf.DUMMYFUNCTION("REGEXEXTRACT(C2629, ""🏘️ \w+ (\w+) .* ✅"")"),"appartement")</f>
        <v>appartement</v>
      </c>
      <c r="H2629" s="4" t="str">
        <f>IFERROR(__xludf.DUMMYFUNCTION("REGEXEXTRACT(A2629, ""/(\w+)-.*?"")"),"lieu")</f>
        <v>lieu</v>
      </c>
      <c r="I2629" s="4" t="str">
        <f>IFERROR(__xludf.DUMMYFUNCTION("if(D2629=""variant"",  substitute(filter(Templates!E:E, Templates!A:A = F2629, Templates!B:B = G2629, Templates!C:C = H2629), ""{{}}"", E2629), B2629)"),"🏘  Vous cherchez un appartement à louer à Mumpf? ✅ Les annonces les plus actuelles sont sur ImmoScout24.ch.")</f>
        <v>🏘  Vous cherchez un appartement à louer à Mumpf? ✅ Les annonces les plus actuelles sont sur ImmoScout24.ch.</v>
      </c>
      <c r="J2629" s="4" t="s">
        <v>7883</v>
      </c>
    </row>
    <row r="2630">
      <c r="A2630" s="5" t="s">
        <v>7884</v>
      </c>
      <c r="B2630" s="2" t="s">
        <v>7885</v>
      </c>
      <c r="C2630" s="4" t="str">
        <f>IFERROR(__xludf.DUMMYFUNCTION("""🏘️ ""&amp;REGEXEXTRACT(B2630, ""^(.*): "")&amp;"" ✅ "" &amp;REGEXEXTRACT(B2630, ""(Trouvez.*)"")"),"🏘️ Louer appartement Assens ✅ Trouvez le bien immobilier qui correspond idéalement à vos désirs sur ImmoScout24 - La plateforme de l'immobilier en Suisse.")</f>
        <v>🏘️ Louer appartement Assens ✅ Trouvez le bien immobilier qui correspond idéalement à vos désirs sur ImmoScout24 - La plateforme de l'immobilier en Suisse.</v>
      </c>
      <c r="D2630" s="4" t="str">
        <f>vlookup(A2630, Sheet2!D:E, 2, 0)</f>
        <v>variant</v>
      </c>
      <c r="E2630" s="4" t="str">
        <f>IFERROR(__xludf.DUMMYFUNCTION("if(H2630=""pays"",vlookup(REGEXEXTRACT(C2630, ""🏘️ \w+ \w+ (.*) ✅""),'Country prepositions'!A:B, 2, 0) &amp; "" "" &amp; REGEXEXTRACT(C2630, ""🏘️ \w+ \w+ (.*) ✅"") ,  if(H2630=""quartier"",vlookup(REGEXEXTRACT(C2630, ""🏘️ \w+ \w+ (.*) ✅""),'Quartier prepositio"&amp;"ns'!A:E, 5, 0) ,  if(H2630=""region"",vlookup(REGEXEXTRACT(C2630, ""🏘️ \w+ \w+ (.*) ✅""),'Region prepositions'!B:F, 5, 0),  REGEXEXTRACT(C2630, ""🏘️ \w+ \w+ (.*) ✅""))))"),"Assens")</f>
        <v>Assens</v>
      </c>
      <c r="F2630" s="2" t="str">
        <f>IFERROR(__xludf.DUMMYFUNCTION("REGEXEXTRACT(C2630, ""🏘️ (\w+) \w+ .* ✅"")"),"Louer")</f>
        <v>Louer</v>
      </c>
      <c r="G2630" s="2" t="str">
        <f>IFERROR(__xludf.DUMMYFUNCTION("REGEXEXTRACT(C2630, ""🏘️ \w+ (\w+) .* ✅"")"),"appartement")</f>
        <v>appartement</v>
      </c>
      <c r="H2630" s="4" t="str">
        <f>IFERROR(__xludf.DUMMYFUNCTION("REGEXEXTRACT(A2630, ""/(\w+)-.*?"")"),"lieu")</f>
        <v>lieu</v>
      </c>
      <c r="I2630" s="4" t="str">
        <f>IFERROR(__xludf.DUMMYFUNCTION("if(D2630=""variant"",  substitute(filter(Templates!E:E, Templates!A:A = F2630, Templates!B:B = G2630, Templates!C:C = H2630), ""{{}}"", E2630), B2630)"),"🏘  Vous cherchez un appartement à louer à Assens? ✅ Les annonces les plus actuelles sont sur ImmoScout24.ch.")</f>
        <v>🏘  Vous cherchez un appartement à louer à Assens? ✅ Les annonces les plus actuelles sont sur ImmoScout24.ch.</v>
      </c>
      <c r="J2630" s="4" t="s">
        <v>7886</v>
      </c>
    </row>
    <row r="2631">
      <c r="A2631" s="5" t="s">
        <v>7887</v>
      </c>
      <c r="B2631" s="2" t="s">
        <v>7888</v>
      </c>
      <c r="C2631" s="4" t="str">
        <f>IFERROR(__xludf.DUMMYFUNCTION("""🏘️ ""&amp;REGEXEXTRACT(B2631, ""^(.*): "")&amp;"" ✅ "" &amp;REGEXEXTRACT(B2631, ""(Trouvez.*)"")"),"🏘️ Louer appartement Ponthaux ✅ Trouvez le bien immobilier qui correspond idéalement à vos désirs sur ImmoScout24 - La plateforme de l'immobilier en Suisse.")</f>
        <v>🏘️ Louer appartement Ponthaux ✅ Trouvez le bien immobilier qui correspond idéalement à vos désirs sur ImmoScout24 - La plateforme de l'immobilier en Suisse.</v>
      </c>
      <c r="D2631" s="4" t="str">
        <f>vlookup(A2631, Sheet2!D:E, 2, 0)</f>
        <v>variant</v>
      </c>
      <c r="E2631" s="4" t="str">
        <f>IFERROR(__xludf.DUMMYFUNCTION("if(H2631=""pays"",vlookup(REGEXEXTRACT(C2631, ""🏘️ \w+ \w+ (.*) ✅""),'Country prepositions'!A:B, 2, 0) &amp; "" "" &amp; REGEXEXTRACT(C2631, ""🏘️ \w+ \w+ (.*) ✅"") ,  if(H2631=""quartier"",vlookup(REGEXEXTRACT(C2631, ""🏘️ \w+ \w+ (.*) ✅""),'Quartier prepositio"&amp;"ns'!A:E, 5, 0) ,  if(H2631=""region"",vlookup(REGEXEXTRACT(C2631, ""🏘️ \w+ \w+ (.*) ✅""),'Region prepositions'!B:F, 5, 0),  REGEXEXTRACT(C2631, ""🏘️ \w+ \w+ (.*) ✅""))))"),"Ponthaux")</f>
        <v>Ponthaux</v>
      </c>
      <c r="F2631" s="2" t="str">
        <f>IFERROR(__xludf.DUMMYFUNCTION("REGEXEXTRACT(C2631, ""🏘️ (\w+) \w+ .* ✅"")"),"Louer")</f>
        <v>Louer</v>
      </c>
      <c r="G2631" s="2" t="str">
        <f>IFERROR(__xludf.DUMMYFUNCTION("REGEXEXTRACT(C2631, ""🏘️ \w+ (\w+) .* ✅"")"),"appartement")</f>
        <v>appartement</v>
      </c>
      <c r="H2631" s="4" t="str">
        <f>IFERROR(__xludf.DUMMYFUNCTION("REGEXEXTRACT(A2631, ""/(\w+)-.*?"")"),"lieu")</f>
        <v>lieu</v>
      </c>
      <c r="I2631" s="4" t="str">
        <f>IFERROR(__xludf.DUMMYFUNCTION("if(D2631=""variant"",  substitute(filter(Templates!E:E, Templates!A:A = F2631, Templates!B:B = G2631, Templates!C:C = H2631), ""{{}}"", E2631), B2631)"),"🏘  Vous cherchez un appartement à louer à Ponthaux? ✅ Les annonces les plus actuelles sont sur ImmoScout24.ch.")</f>
        <v>🏘  Vous cherchez un appartement à louer à Ponthaux? ✅ Les annonces les plus actuelles sont sur ImmoScout24.ch.</v>
      </c>
      <c r="J2631" s="4" t="s">
        <v>7889</v>
      </c>
    </row>
    <row r="2632">
      <c r="A2632" s="5" t="s">
        <v>7890</v>
      </c>
      <c r="B2632" s="2" t="s">
        <v>7891</v>
      </c>
      <c r="C2632" s="4" t="str">
        <f>IFERROR(__xludf.DUMMYFUNCTION("""🏘️ ""&amp;REGEXEXTRACT(B2632, ""^(.*): "")&amp;"" ✅ "" &amp;REGEXEXTRACT(B2632, ""(Trouvez.*)"")"),"🏘️ Vendre maison La Chaux-du-Milieu ✅ Trouvez le bien immobilier qui correspond idéalement à vos désirs sur ImmoScout24 - La plateforme de l'immobilier en Suisse.")</f>
        <v>🏘️ Vendre maison La Chaux-du-Milieu ✅ Trouvez le bien immobilier qui correspond idéalement à vos désirs sur ImmoScout24 - La plateforme de l'immobilier en Suisse.</v>
      </c>
      <c r="D2632" s="4" t="str">
        <f>vlookup(A2632, Sheet2!D:E, 2, 0)</f>
        <v>variant</v>
      </c>
      <c r="E2632" s="4" t="str">
        <f>IFERROR(__xludf.DUMMYFUNCTION("if(H2632=""pays"",vlookup(REGEXEXTRACT(C2632, ""🏘️ \w+ \w+ (.*) ✅""),'Country prepositions'!A:B, 2, 0) &amp; "" "" &amp; REGEXEXTRACT(C2632, ""🏘️ \w+ \w+ (.*) ✅"") ,  if(H2632=""quartier"",vlookup(REGEXEXTRACT(C2632, ""🏘️ \w+ \w+ (.*) ✅""),'Quartier prepositio"&amp;"ns'!A:E, 5, 0) ,  if(H2632=""region"",vlookup(REGEXEXTRACT(C2632, ""🏘️ \w+ \w+ (.*) ✅""),'Region prepositions'!B:F, 5, 0),  REGEXEXTRACT(C2632, ""🏘️ \w+ \w+ (.*) ✅""))))"),"La Chaux-du-Milieu")</f>
        <v>La Chaux-du-Milieu</v>
      </c>
      <c r="F2632" s="2" t="str">
        <f>IFERROR(__xludf.DUMMYFUNCTION("REGEXEXTRACT(C2632, ""🏘️ (\w+) \w+ .* ✅"")"),"Vendre")</f>
        <v>Vendre</v>
      </c>
      <c r="G2632" s="2" t="str">
        <f>IFERROR(__xludf.DUMMYFUNCTION("REGEXEXTRACT(C2632, ""🏘️ \w+ (\w+) .* ✅"")"),"maison")</f>
        <v>maison</v>
      </c>
      <c r="H2632" s="4" t="str">
        <f>IFERROR(__xludf.DUMMYFUNCTION("REGEXEXTRACT(A2632, ""/(\w+)-.*?"")"),"lieu")</f>
        <v>lieu</v>
      </c>
      <c r="I2632" s="4" t="str">
        <f>IFERROR(__xludf.DUMMYFUNCTION("if(D2632=""variant"",  substitute(filter(Templates!E:E, Templates!A:A = F2632, Templates!B:B = G2632, Templates!C:C = H2632), ""{{}}"", E2632), B2632)"),"🏘  Vous souhaitez acheter une maison à La Chaux-du-Milieu? ✅ Jetez un œil aux dernières offres sur ImmoScout24.ch.")</f>
        <v>🏘  Vous souhaitez acheter une maison à La Chaux-du-Milieu? ✅ Jetez un œil aux dernières offres sur ImmoScout24.ch.</v>
      </c>
      <c r="J2632" s="4" t="s">
        <v>7892</v>
      </c>
    </row>
    <row r="2633">
      <c r="A2633" s="5" t="s">
        <v>7893</v>
      </c>
      <c r="B2633" s="2" t="s">
        <v>7894</v>
      </c>
      <c r="C2633" s="4" t="str">
        <f>IFERROR(__xludf.DUMMYFUNCTION("""🏘️ ""&amp;REGEXEXTRACT(B2633, ""^(.*): "")&amp;"" ✅ "" &amp;REGEXEXTRACT(B2633, ""(Trouvez.*)"")"),"🏘️ Louer appartement Les Evouettes ✅ Trouvez le bien immobilier qui correspond idéalement à vos désirs sur ImmoScout24 - La plateforme de l'immobilier en Suisse.")</f>
        <v>🏘️ Louer appartement Les Evouettes ✅ Trouvez le bien immobilier qui correspond idéalement à vos désirs sur ImmoScout24 - La plateforme de l'immobilier en Suisse.</v>
      </c>
      <c r="D2633" s="4" t="str">
        <f>vlookup(A2633, Sheet2!D:E, 2, 0)</f>
        <v>variant</v>
      </c>
      <c r="E2633" s="4" t="str">
        <f>IFERROR(__xludf.DUMMYFUNCTION("if(H2633=""pays"",vlookup(REGEXEXTRACT(C2633, ""🏘️ \w+ \w+ (.*) ✅""),'Country prepositions'!A:B, 2, 0) &amp; "" "" &amp; REGEXEXTRACT(C2633, ""🏘️ \w+ \w+ (.*) ✅"") ,  if(H2633=""quartier"",vlookup(REGEXEXTRACT(C2633, ""🏘️ \w+ \w+ (.*) ✅""),'Quartier prepositio"&amp;"ns'!A:E, 5, 0) ,  if(H2633=""region"",vlookup(REGEXEXTRACT(C2633, ""🏘️ \w+ \w+ (.*) ✅""),'Region prepositions'!B:F, 5, 0),  REGEXEXTRACT(C2633, ""🏘️ \w+ \w+ (.*) ✅""))))"),"Les Evouettes")</f>
        <v>Les Evouettes</v>
      </c>
      <c r="F2633" s="2" t="str">
        <f>IFERROR(__xludf.DUMMYFUNCTION("REGEXEXTRACT(C2633, ""🏘️ (\w+) \w+ .* ✅"")"),"Louer")</f>
        <v>Louer</v>
      </c>
      <c r="G2633" s="2" t="str">
        <f>IFERROR(__xludf.DUMMYFUNCTION("REGEXEXTRACT(C2633, ""🏘️ \w+ (\w+) .* ✅"")"),"appartement")</f>
        <v>appartement</v>
      </c>
      <c r="H2633" s="4" t="str">
        <f>IFERROR(__xludf.DUMMYFUNCTION("REGEXEXTRACT(A2633, ""/(\w+)-.*?"")"),"lieu")</f>
        <v>lieu</v>
      </c>
      <c r="I2633" s="4" t="str">
        <f>IFERROR(__xludf.DUMMYFUNCTION("if(D2633=""variant"",  substitute(filter(Templates!E:E, Templates!A:A = F2633, Templates!B:B = G2633, Templates!C:C = H2633), ""{{}}"", E2633), B2633)"),"🏘  Vous cherchez un appartement à louer à Les Evouettes? ✅ Les annonces les plus actuelles sont sur ImmoScout24.ch.")</f>
        <v>🏘  Vous cherchez un appartement à louer à Les Evouettes? ✅ Les annonces les plus actuelles sont sur ImmoScout24.ch.</v>
      </c>
      <c r="J2633" s="2" t="s">
        <v>7895</v>
      </c>
    </row>
    <row r="2634">
      <c r="A2634" s="5" t="s">
        <v>7896</v>
      </c>
      <c r="B2634" s="2" t="s">
        <v>7897</v>
      </c>
      <c r="C2634" s="4" t="str">
        <f>IFERROR(__xludf.DUMMYFUNCTION("""🏘️ ""&amp;REGEXEXTRACT(B2634, ""^(.*): "")&amp;"" ✅ "" &amp;REGEXEXTRACT(B2634, ""(Trouvez.*)"")"),"🏘️ Vendre maison Chalais ✅ Trouvez le bien immobilier qui correspond idéalement à vos désirs sur ImmoScout24 - La plateforme de l'immobilier en Suisse.")</f>
        <v>🏘️ Vendre maison Chalais ✅ Trouvez le bien immobilier qui correspond idéalement à vos désirs sur ImmoScout24 - La plateforme de l'immobilier en Suisse.</v>
      </c>
      <c r="D2634" s="4" t="str">
        <f>vlookup(A2634, Sheet2!D:E, 2, 0)</f>
        <v>variant</v>
      </c>
      <c r="E2634" s="4" t="str">
        <f>IFERROR(__xludf.DUMMYFUNCTION("if(H2634=""pays"",vlookup(REGEXEXTRACT(C2634, ""🏘️ \w+ \w+ (.*) ✅""),'Country prepositions'!A:B, 2, 0) &amp; "" "" &amp; REGEXEXTRACT(C2634, ""🏘️ \w+ \w+ (.*) ✅"") ,  if(H2634=""quartier"",vlookup(REGEXEXTRACT(C2634, ""🏘️ \w+ \w+ (.*) ✅""),'Quartier prepositio"&amp;"ns'!A:E, 5, 0) ,  if(H2634=""region"",vlookup(REGEXEXTRACT(C2634, ""🏘️ \w+ \w+ (.*) ✅""),'Region prepositions'!B:F, 5, 0),  REGEXEXTRACT(C2634, ""🏘️ \w+ \w+ (.*) ✅""))))"),"Chalais")</f>
        <v>Chalais</v>
      </c>
      <c r="F2634" s="2" t="str">
        <f>IFERROR(__xludf.DUMMYFUNCTION("REGEXEXTRACT(C2634, ""🏘️ (\w+) \w+ .* ✅"")"),"Vendre")</f>
        <v>Vendre</v>
      </c>
      <c r="G2634" s="2" t="str">
        <f>IFERROR(__xludf.DUMMYFUNCTION("REGEXEXTRACT(C2634, ""🏘️ \w+ (\w+) .* ✅"")"),"maison")</f>
        <v>maison</v>
      </c>
      <c r="H2634" s="4" t="str">
        <f>IFERROR(__xludf.DUMMYFUNCTION("REGEXEXTRACT(A2634, ""/(\w+)-.*?"")"),"lieu")</f>
        <v>lieu</v>
      </c>
      <c r="I2634" s="4" t="str">
        <f>IFERROR(__xludf.DUMMYFUNCTION("if(D2634=""variant"",  substitute(filter(Templates!E:E, Templates!A:A = F2634, Templates!B:B = G2634, Templates!C:C = H2634), ""{{}}"", E2634), B2634)"),"🏘  Vous souhaitez acheter une maison à Chalais? ✅ Jetez un œil aux dernières offres sur ImmoScout24.ch.")</f>
        <v>🏘  Vous souhaitez acheter une maison à Chalais? ✅ Jetez un œil aux dernières offres sur ImmoScout24.ch.</v>
      </c>
      <c r="J2634" s="4" t="s">
        <v>7898</v>
      </c>
    </row>
    <row r="2635">
      <c r="A2635" s="5" t="s">
        <v>7899</v>
      </c>
      <c r="B2635" s="2" t="s">
        <v>7900</v>
      </c>
      <c r="C2635" s="4" t="str">
        <f>IFERROR(__xludf.DUMMYFUNCTION("""🏘️ ""&amp;REGEXEXTRACT(B2635, ""^(.*): "")&amp;"" ✅ "" &amp;REGEXEXTRACT(B2635, ""(Trouvez.*)"")"),"🏘️ Louer maison Zürich ✅ Trouvez le bien immobilier qui correspond idéalement à vos désirs sur ImmoScout24 - La plateforme de l'immobilier en Suisse.")</f>
        <v>🏘️ Louer maison Zürich ✅ Trouvez le bien immobilier qui correspond idéalement à vos désirs sur ImmoScout24 - La plateforme de l'immobilier en Suisse.</v>
      </c>
      <c r="D2635" s="4" t="str">
        <f>vlookup(A2635, Sheet2!D:E, 2, 0)</f>
        <v>variant</v>
      </c>
      <c r="E2635" s="4" t="str">
        <f>IFERROR(__xludf.DUMMYFUNCTION("if(H2635=""pays"",vlookup(REGEXEXTRACT(C2635, ""🏘️ \w+ \w+ (.*) ✅""),'Country prepositions'!A:B, 2, 0) &amp; "" "" &amp; REGEXEXTRACT(C2635, ""🏘️ \w+ \w+ (.*) ✅"") ,  if(H2635=""quartier"",vlookup(REGEXEXTRACT(C2635, ""🏘️ \w+ \w+ (.*) ✅""),'Quartier prepositio"&amp;"ns'!A:E, 5, 0) ,  if(H2635=""region"",vlookup(REGEXEXTRACT(C2635, ""🏘️ \w+ \w+ (.*) ✅""),'Region prepositions'!B:F, 5, 0),  REGEXEXTRACT(C2635, ""🏘️ \w+ \w+ (.*) ✅""))))"),"Zürich")</f>
        <v>Zürich</v>
      </c>
      <c r="F2635" s="2" t="str">
        <f>IFERROR(__xludf.DUMMYFUNCTION("REGEXEXTRACT(C2635, ""🏘️ (\w+) \w+ .* ✅"")"),"Louer")</f>
        <v>Louer</v>
      </c>
      <c r="G2635" s="2" t="str">
        <f>IFERROR(__xludf.DUMMYFUNCTION("REGEXEXTRACT(C2635, ""🏘️ \w+ (\w+) .* ✅"")"),"maison")</f>
        <v>maison</v>
      </c>
      <c r="H2635" s="4" t="str">
        <f>IFERROR(__xludf.DUMMYFUNCTION("REGEXEXTRACT(A2635, ""/(\w+)-.*?"")"),"lieu")</f>
        <v>lieu</v>
      </c>
      <c r="I2635" s="4" t="str">
        <f>IFERROR(__xludf.DUMMYFUNCTION("if(D2635=""variant"",  substitute(filter(Templates!E:E, Templates!A:A = F2635, Templates!B:B = G2635, Templates!C:C = H2635), ""{{}}"", E2635), B2635)"),"🏘  Vous cherchez une maison à louer à Zürich? ✅ Découvrez nos nombreuses annonces sur ImmoScout24.ch.")</f>
        <v>🏘  Vous cherchez une maison à louer à Zürich? ✅ Découvrez nos nombreuses annonces sur ImmoScout24.ch.</v>
      </c>
      <c r="J2635" s="4" t="s">
        <v>7901</v>
      </c>
    </row>
    <row r="2636">
      <c r="A2636" s="5" t="s">
        <v>7902</v>
      </c>
      <c r="B2636" s="2" t="s">
        <v>7903</v>
      </c>
      <c r="C2636" s="4" t="str">
        <f>IFERROR(__xludf.DUMMYFUNCTION("""🏘️ ""&amp;REGEXEXTRACT(B2636, ""^(.*): "")&amp;"" ✅ "" &amp;REGEXEXTRACT(B2636, ""(Trouvez.*)"")"),"🏘️ Louer maison Eisten ✅ Trouvez le bien immobilier qui correspond idéalement à vos désirs sur ImmoScout24 - La plateforme de l'immobilier en Suisse.")</f>
        <v>🏘️ Louer maison Eisten ✅ Trouvez le bien immobilier qui correspond idéalement à vos désirs sur ImmoScout24 - La plateforme de l'immobilier en Suisse.</v>
      </c>
      <c r="D2636" s="4" t="str">
        <f>vlookup(A2636, Sheet2!D:E, 2, 0)</f>
        <v>variant</v>
      </c>
      <c r="E2636" s="4" t="str">
        <f>IFERROR(__xludf.DUMMYFUNCTION("if(H2636=""pays"",vlookup(REGEXEXTRACT(C2636, ""🏘️ \w+ \w+ (.*) ✅""),'Country prepositions'!A:B, 2, 0) &amp; "" "" &amp; REGEXEXTRACT(C2636, ""🏘️ \w+ \w+ (.*) ✅"") ,  if(H2636=""quartier"",vlookup(REGEXEXTRACT(C2636, ""🏘️ \w+ \w+ (.*) ✅""),'Quartier prepositio"&amp;"ns'!A:E, 5, 0) ,  if(H2636=""region"",vlookup(REGEXEXTRACT(C2636, ""🏘️ \w+ \w+ (.*) ✅""),'Region prepositions'!B:F, 5, 0),  REGEXEXTRACT(C2636, ""🏘️ \w+ \w+ (.*) ✅""))))"),"Eisten")</f>
        <v>Eisten</v>
      </c>
      <c r="F2636" s="2" t="str">
        <f>IFERROR(__xludf.DUMMYFUNCTION("REGEXEXTRACT(C2636, ""🏘️ (\w+) \w+ .* ✅"")"),"Louer")</f>
        <v>Louer</v>
      </c>
      <c r="G2636" s="2" t="str">
        <f>IFERROR(__xludf.DUMMYFUNCTION("REGEXEXTRACT(C2636, ""🏘️ \w+ (\w+) .* ✅"")"),"maison")</f>
        <v>maison</v>
      </c>
      <c r="H2636" s="4" t="str">
        <f>IFERROR(__xludf.DUMMYFUNCTION("REGEXEXTRACT(A2636, ""/(\w+)-.*?"")"),"lieu")</f>
        <v>lieu</v>
      </c>
      <c r="I2636" s="4" t="str">
        <f>IFERROR(__xludf.DUMMYFUNCTION("if(D2636=""variant"",  substitute(filter(Templates!E:E, Templates!A:A = F2636, Templates!B:B = G2636, Templates!C:C = H2636), ""{{}}"", E2636), B2636)"),"🏘  Vous cherchez une maison à louer à Eisten? ✅ Découvrez nos nombreuses annonces sur ImmoScout24.ch.")</f>
        <v>🏘  Vous cherchez une maison à louer à Eisten? ✅ Découvrez nos nombreuses annonces sur ImmoScout24.ch.</v>
      </c>
      <c r="J2636" s="4" t="s">
        <v>7904</v>
      </c>
    </row>
    <row r="2637">
      <c r="A2637" s="5" t="s">
        <v>7905</v>
      </c>
      <c r="B2637" s="2" t="s">
        <v>7906</v>
      </c>
      <c r="C2637" s="4" t="str">
        <f>IFERROR(__xludf.DUMMYFUNCTION("""🏘️ ""&amp;REGEXEXTRACT(B2637, ""^(.*): "")&amp;"" ✅ "" &amp;REGEXEXTRACT(B2637, ""(Trouvez.*)"")"),"🏘️ Louer appartement Altstätten SG ✅ Trouvez le bien immobilier qui correspond idéalement à vos désirs sur ImmoScout24 - La plateforme de l'immobilier en Suisse.")</f>
        <v>🏘️ Louer appartement Altstätten SG ✅ Trouvez le bien immobilier qui correspond idéalement à vos désirs sur ImmoScout24 - La plateforme de l'immobilier en Suisse.</v>
      </c>
      <c r="D2637" s="4" t="str">
        <f>vlookup(A2637, Sheet2!D:E, 2, 0)</f>
        <v>variant</v>
      </c>
      <c r="E2637" s="4" t="str">
        <f>IFERROR(__xludf.DUMMYFUNCTION("if(H2637=""pays"",vlookup(REGEXEXTRACT(C2637, ""🏘️ \w+ \w+ (.*) ✅""),'Country prepositions'!A:B, 2, 0) &amp; "" "" &amp; REGEXEXTRACT(C2637, ""🏘️ \w+ \w+ (.*) ✅"") ,  if(H2637=""quartier"",vlookup(REGEXEXTRACT(C2637, ""🏘️ \w+ \w+ (.*) ✅""),'Quartier prepositio"&amp;"ns'!A:E, 5, 0) ,  if(H2637=""region"",vlookup(REGEXEXTRACT(C2637, ""🏘️ \w+ \w+ (.*) ✅""),'Region prepositions'!B:F, 5, 0),  REGEXEXTRACT(C2637, ""🏘️ \w+ \w+ (.*) ✅""))))"),"Altstätten SG")</f>
        <v>Altstätten SG</v>
      </c>
      <c r="F2637" s="2" t="str">
        <f>IFERROR(__xludf.DUMMYFUNCTION("REGEXEXTRACT(C2637, ""🏘️ (\w+) \w+ .* ✅"")"),"Louer")</f>
        <v>Louer</v>
      </c>
      <c r="G2637" s="2" t="str">
        <f>IFERROR(__xludf.DUMMYFUNCTION("REGEXEXTRACT(C2637, ""🏘️ \w+ (\w+) .* ✅"")"),"appartement")</f>
        <v>appartement</v>
      </c>
      <c r="H2637" s="4" t="str">
        <f>IFERROR(__xludf.DUMMYFUNCTION("REGEXEXTRACT(A2637, ""/(\w+)-.*?"")"),"lieu")</f>
        <v>lieu</v>
      </c>
      <c r="I2637" s="4" t="str">
        <f>IFERROR(__xludf.DUMMYFUNCTION("if(D2637=""variant"",  substitute(filter(Templates!E:E, Templates!A:A = F2637, Templates!B:B = G2637, Templates!C:C = H2637), ""{{}}"", E2637), B2637)"),"🏘  Vous cherchez un appartement à louer à Altstätten SG? ✅ Les annonces les plus actuelles sont sur ImmoScout24.ch.")</f>
        <v>🏘  Vous cherchez un appartement à louer à Altstätten SG? ✅ Les annonces les plus actuelles sont sur ImmoScout24.ch.</v>
      </c>
      <c r="J2637" s="4" t="s">
        <v>7907</v>
      </c>
    </row>
    <row r="2638">
      <c r="A2638" s="5" t="s">
        <v>7908</v>
      </c>
      <c r="B2638" s="2" t="s">
        <v>7909</v>
      </c>
      <c r="C2638" s="4" t="str">
        <f>IFERROR(__xludf.DUMMYFUNCTION("""🏘️ ""&amp;REGEXEXTRACT(B2638, ""^(.*): "")&amp;"" ✅ "" &amp;REGEXEXTRACT(B2638, ""(Trouvez.*)"")"),"🏘️ Vendre maison Bern ✅ Trouvez le bien immobilier qui correspond idéalement à vos désirs sur ImmoScout24 - La plateforme de l'immobilier en Suisse.")</f>
        <v>🏘️ Vendre maison Bern ✅ Trouvez le bien immobilier qui correspond idéalement à vos désirs sur ImmoScout24 - La plateforme de l'immobilier en Suisse.</v>
      </c>
      <c r="D2638" s="4" t="str">
        <f>vlookup(A2638, Sheet2!D:E, 2, 0)</f>
        <v>variant</v>
      </c>
      <c r="E2638" s="4" t="str">
        <f>IFERROR(__xludf.DUMMYFUNCTION("if(H2638=""pays"",vlookup(REGEXEXTRACT(C2638, ""🏘️ \w+ \w+ (.*) ✅""),'Country prepositions'!A:B, 2, 0) &amp; "" "" &amp; REGEXEXTRACT(C2638, ""🏘️ \w+ \w+ (.*) ✅"") ,  if(H2638=""quartier"",vlookup(REGEXEXTRACT(C2638, ""🏘️ \w+ \w+ (.*) ✅""),'Quartier prepositio"&amp;"ns'!A:E, 5, 0) ,  if(H2638=""region"",vlookup(REGEXEXTRACT(C2638, ""🏘️ \w+ \w+ (.*) ✅""),'Region prepositions'!B:F, 5, 0),  REGEXEXTRACT(C2638, ""🏘️ \w+ \w+ (.*) ✅""))))"),"Bern")</f>
        <v>Bern</v>
      </c>
      <c r="F2638" s="2" t="str">
        <f>IFERROR(__xludf.DUMMYFUNCTION("REGEXEXTRACT(C2638, ""🏘️ (\w+) \w+ .* ✅"")"),"Vendre")</f>
        <v>Vendre</v>
      </c>
      <c r="G2638" s="2" t="str">
        <f>IFERROR(__xludf.DUMMYFUNCTION("REGEXEXTRACT(C2638, ""🏘️ \w+ (\w+) .* ✅"")"),"maison")</f>
        <v>maison</v>
      </c>
      <c r="H2638" s="4" t="str">
        <f>IFERROR(__xludf.DUMMYFUNCTION("REGEXEXTRACT(A2638, ""/(\w+)-.*?"")"),"lieu")</f>
        <v>lieu</v>
      </c>
      <c r="I2638" s="4" t="str">
        <f>IFERROR(__xludf.DUMMYFUNCTION("if(D2638=""variant"",  substitute(filter(Templates!E:E, Templates!A:A = F2638, Templates!B:B = G2638, Templates!C:C = H2638), ""{{}}"", E2638), B2638)"),"🏘  Vous souhaitez acheter une maison à Bern? ✅ Jetez un œil aux dernières offres sur ImmoScout24.ch.")</f>
        <v>🏘  Vous souhaitez acheter une maison à Bern? ✅ Jetez un œil aux dernières offres sur ImmoScout24.ch.</v>
      </c>
      <c r="J2638" s="4" t="s">
        <v>7910</v>
      </c>
    </row>
    <row r="2639">
      <c r="A2639" s="5" t="s">
        <v>7911</v>
      </c>
      <c r="B2639" s="2" t="s">
        <v>7912</v>
      </c>
      <c r="C2639" s="4" t="str">
        <f>IFERROR(__xludf.DUMMYFUNCTION("""🏘️ ""&amp;REGEXEXTRACT(B2639, ""^(.*): "")&amp;"" ✅ "" &amp;REGEXEXTRACT(B2639, ""(Trouvez.*)"")"),"🏘️ Vendre maison Varen ✅ Trouvez le bien immobilier qui correspond idéalement à vos désirs sur ImmoScout24 - La plateforme de l'immobilier en Suisse.")</f>
        <v>🏘️ Vendre maison Varen ✅ Trouvez le bien immobilier qui correspond idéalement à vos désirs sur ImmoScout24 - La plateforme de l'immobilier en Suisse.</v>
      </c>
      <c r="D2639" s="4" t="str">
        <f>vlookup(A2639, Sheet2!D:E, 2, 0)</f>
        <v>variant</v>
      </c>
      <c r="E2639" s="4" t="str">
        <f>IFERROR(__xludf.DUMMYFUNCTION("if(H2639=""pays"",vlookup(REGEXEXTRACT(C2639, ""🏘️ \w+ \w+ (.*) ✅""),'Country prepositions'!A:B, 2, 0) &amp; "" "" &amp; REGEXEXTRACT(C2639, ""🏘️ \w+ \w+ (.*) ✅"") ,  if(H2639=""quartier"",vlookup(REGEXEXTRACT(C2639, ""🏘️ \w+ \w+ (.*) ✅""),'Quartier prepositio"&amp;"ns'!A:E, 5, 0) ,  if(H2639=""region"",vlookup(REGEXEXTRACT(C2639, ""🏘️ \w+ \w+ (.*) ✅""),'Region prepositions'!B:F, 5, 0),  REGEXEXTRACT(C2639, ""🏘️ \w+ \w+ (.*) ✅""))))"),"Varen")</f>
        <v>Varen</v>
      </c>
      <c r="F2639" s="2" t="str">
        <f>IFERROR(__xludf.DUMMYFUNCTION("REGEXEXTRACT(C2639, ""🏘️ (\w+) \w+ .* ✅"")"),"Vendre")</f>
        <v>Vendre</v>
      </c>
      <c r="G2639" s="2" t="str">
        <f>IFERROR(__xludf.DUMMYFUNCTION("REGEXEXTRACT(C2639, ""🏘️ \w+ (\w+) .* ✅"")"),"maison")</f>
        <v>maison</v>
      </c>
      <c r="H2639" s="4" t="str">
        <f>IFERROR(__xludf.DUMMYFUNCTION("REGEXEXTRACT(A2639, ""/(\w+)-.*?"")"),"lieu")</f>
        <v>lieu</v>
      </c>
      <c r="I2639" s="4" t="str">
        <f>IFERROR(__xludf.DUMMYFUNCTION("if(D2639=""variant"",  substitute(filter(Templates!E:E, Templates!A:A = F2639, Templates!B:B = G2639, Templates!C:C = H2639), ""{{}}"", E2639), B2639)"),"🏘  Vous souhaitez acheter une maison à Varen? ✅ Jetez un œil aux dernières offres sur ImmoScout24.ch.")</f>
        <v>🏘  Vous souhaitez acheter une maison à Varen? ✅ Jetez un œil aux dernières offres sur ImmoScout24.ch.</v>
      </c>
      <c r="J2639" s="4" t="s">
        <v>7913</v>
      </c>
    </row>
    <row r="2640">
      <c r="A2640" s="5" t="s">
        <v>7914</v>
      </c>
      <c r="B2640" s="2" t="s">
        <v>7915</v>
      </c>
      <c r="C2640" s="4" t="str">
        <f>IFERROR(__xludf.DUMMYFUNCTION("""🏘️ ""&amp;REGEXEXTRACT(B2640, ""^(.*): "")&amp;"" ✅ "" &amp;REGEXEXTRACT(B2640, ""(Trouvez.*)"")"),"🏘️ Vendre appartement Dottikon ✅ Trouvez le bien immobilier qui correspond idéalement à vos désirs sur ImmoScout24 - La plateforme de l'immobilier en Suisse.")</f>
        <v>🏘️ Vendre appartement Dottikon ✅ Trouvez le bien immobilier qui correspond idéalement à vos désirs sur ImmoScout24 - La plateforme de l'immobilier en Suisse.</v>
      </c>
      <c r="D2640" s="4" t="str">
        <f>vlookup(A2640, Sheet2!D:E, 2, 0)</f>
        <v>variant</v>
      </c>
      <c r="E2640" s="4" t="str">
        <f>IFERROR(__xludf.DUMMYFUNCTION("if(H2640=""pays"",vlookup(REGEXEXTRACT(C2640, ""🏘️ \w+ \w+ (.*) ✅""),'Country prepositions'!A:B, 2, 0) &amp; "" "" &amp; REGEXEXTRACT(C2640, ""🏘️ \w+ \w+ (.*) ✅"") ,  if(H2640=""quartier"",vlookup(REGEXEXTRACT(C2640, ""🏘️ \w+ \w+ (.*) ✅""),'Quartier prepositio"&amp;"ns'!A:E, 5, 0) ,  if(H2640=""region"",vlookup(REGEXEXTRACT(C2640, ""🏘️ \w+ \w+ (.*) ✅""),'Region prepositions'!B:F, 5, 0),  REGEXEXTRACT(C2640, ""🏘️ \w+ \w+ (.*) ✅""))))"),"Dottikon")</f>
        <v>Dottikon</v>
      </c>
      <c r="F2640" s="2" t="str">
        <f>IFERROR(__xludf.DUMMYFUNCTION("REGEXEXTRACT(C2640, ""🏘️ (\w+) \w+ .* ✅"")"),"Vendre")</f>
        <v>Vendre</v>
      </c>
      <c r="G2640" s="2" t="str">
        <f>IFERROR(__xludf.DUMMYFUNCTION("REGEXEXTRACT(C2640, ""🏘️ \w+ (\w+) .* ✅"")"),"appartement")</f>
        <v>appartement</v>
      </c>
      <c r="H2640" s="4" t="str">
        <f>IFERROR(__xludf.DUMMYFUNCTION("REGEXEXTRACT(A2640, ""/(\w+)-.*?"")"),"lieu")</f>
        <v>lieu</v>
      </c>
      <c r="I2640" s="4" t="str">
        <f>IFERROR(__xludf.DUMMYFUNCTION("if(D2640=""variant"",  substitute(filter(Templates!E:E, Templates!A:A = F2640, Templates!B:B = G2640, Templates!C:C = H2640), ""{{}}"", E2640), B2640)"),"🏘  L’appartement de vos rêves se trouve sur ImmoScout24.ch ✅ Découvrez les dernières annonces de vente à Dottikon.")</f>
        <v>🏘  L’appartement de vos rêves se trouve sur ImmoScout24.ch ✅ Découvrez les dernières annonces de vente à Dottikon.</v>
      </c>
      <c r="J2640" s="4" t="s">
        <v>7916</v>
      </c>
    </row>
    <row r="2641">
      <c r="A2641" s="5" t="s">
        <v>7917</v>
      </c>
      <c r="B2641" s="2" t="s">
        <v>7918</v>
      </c>
      <c r="C2641" s="4" t="str">
        <f>IFERROR(__xludf.DUMMYFUNCTION("""🏘️ ""&amp;REGEXEXTRACT(B2641, ""^(.*): "")&amp;"" ✅ "" &amp;REGEXEXTRACT(B2641, ""(Trouvez.*)"")"),"🏘️ Vendre maison Renan BE ✅ Trouvez le bien immobilier qui correspond idéalement à vos désirs sur ImmoScout24 - La plateforme de l'immobilier en Suisse.")</f>
        <v>🏘️ Vendre maison Renan BE ✅ Trouvez le bien immobilier qui correspond idéalement à vos désirs sur ImmoScout24 - La plateforme de l'immobilier en Suisse.</v>
      </c>
      <c r="D2641" s="4" t="str">
        <f>vlookup(A2641, Sheet2!D:E, 2, 0)</f>
        <v>variant</v>
      </c>
      <c r="E2641" s="4" t="str">
        <f>IFERROR(__xludf.DUMMYFUNCTION("if(H2641=""pays"",vlookup(REGEXEXTRACT(C2641, ""🏘️ \w+ \w+ (.*) ✅""),'Country prepositions'!A:B, 2, 0) &amp; "" "" &amp; REGEXEXTRACT(C2641, ""🏘️ \w+ \w+ (.*) ✅"") ,  if(H2641=""quartier"",vlookup(REGEXEXTRACT(C2641, ""🏘️ \w+ \w+ (.*) ✅""),'Quartier prepositio"&amp;"ns'!A:E, 5, 0) ,  if(H2641=""region"",vlookup(REGEXEXTRACT(C2641, ""🏘️ \w+ \w+ (.*) ✅""),'Region prepositions'!B:F, 5, 0),  REGEXEXTRACT(C2641, ""🏘️ \w+ \w+ (.*) ✅""))))"),"Renan BE")</f>
        <v>Renan BE</v>
      </c>
      <c r="F2641" s="2" t="str">
        <f>IFERROR(__xludf.DUMMYFUNCTION("REGEXEXTRACT(C2641, ""🏘️ (\w+) \w+ .* ✅"")"),"Vendre")</f>
        <v>Vendre</v>
      </c>
      <c r="G2641" s="2" t="str">
        <f>IFERROR(__xludf.DUMMYFUNCTION("REGEXEXTRACT(C2641, ""🏘️ \w+ (\w+) .* ✅"")"),"maison")</f>
        <v>maison</v>
      </c>
      <c r="H2641" s="4" t="str">
        <f>IFERROR(__xludf.DUMMYFUNCTION("REGEXEXTRACT(A2641, ""/(\w+)-.*?"")"),"lieu")</f>
        <v>lieu</v>
      </c>
      <c r="I2641" s="4" t="str">
        <f>IFERROR(__xludf.DUMMYFUNCTION("if(D2641=""variant"",  substitute(filter(Templates!E:E, Templates!A:A = F2641, Templates!B:B = G2641, Templates!C:C = H2641), ""{{}}"", E2641), B2641)"),"🏘  Vous souhaitez acheter une maison à Renan BE? ✅ Jetez un œil aux dernières offres sur ImmoScout24.ch.")</f>
        <v>🏘  Vous souhaitez acheter une maison à Renan BE? ✅ Jetez un œil aux dernières offres sur ImmoScout24.ch.</v>
      </c>
      <c r="J2641" s="4" t="s">
        <v>7919</v>
      </c>
    </row>
    <row r="2642">
      <c r="A2642" s="5" t="s">
        <v>7920</v>
      </c>
      <c r="B2642" s="2" t="s">
        <v>7921</v>
      </c>
      <c r="C2642" s="4" t="str">
        <f>IFERROR(__xludf.DUMMYFUNCTION("""🏘️ ""&amp;REGEXEXTRACT(B2642, ""^(.*): "")&amp;"" ✅ "" &amp;REGEXEXTRACT(B2642, ""(Trouvez.*)"")"),"🏘️ Vendre appartement Villars-Tiercelin ✅ Trouvez le bien immobilier qui correspond idéalement à vos désirs sur ImmoScout24 - La plateforme de l'immobilier en Suisse.")</f>
        <v>🏘️ Vendre appartement Villars-Tiercelin ✅ Trouvez le bien immobilier qui correspond idéalement à vos désirs sur ImmoScout24 - La plateforme de l'immobilier en Suisse.</v>
      </c>
      <c r="D2642" s="4" t="str">
        <f>vlookup(A2642, Sheet2!D:E, 2, 0)</f>
        <v>variant</v>
      </c>
      <c r="E2642" s="4" t="str">
        <f>IFERROR(__xludf.DUMMYFUNCTION("if(H2642=""pays"",vlookup(REGEXEXTRACT(C2642, ""🏘️ \w+ \w+ (.*) ✅""),'Country prepositions'!A:B, 2, 0) &amp; "" "" &amp; REGEXEXTRACT(C2642, ""🏘️ \w+ \w+ (.*) ✅"") ,  if(H2642=""quartier"",vlookup(REGEXEXTRACT(C2642, ""🏘️ \w+ \w+ (.*) ✅""),'Quartier prepositio"&amp;"ns'!A:E, 5, 0) ,  if(H2642=""region"",vlookup(REGEXEXTRACT(C2642, ""🏘️ \w+ \w+ (.*) ✅""),'Region prepositions'!B:F, 5, 0),  REGEXEXTRACT(C2642, ""🏘️ \w+ \w+ (.*) ✅""))))"),"Villars-Tiercelin")</f>
        <v>Villars-Tiercelin</v>
      </c>
      <c r="F2642" s="2" t="str">
        <f>IFERROR(__xludf.DUMMYFUNCTION("REGEXEXTRACT(C2642, ""🏘️ (\w+) \w+ .* ✅"")"),"Vendre")</f>
        <v>Vendre</v>
      </c>
      <c r="G2642" s="2" t="str">
        <f>IFERROR(__xludf.DUMMYFUNCTION("REGEXEXTRACT(C2642, ""🏘️ \w+ (\w+) .* ✅"")"),"appartement")</f>
        <v>appartement</v>
      </c>
      <c r="H2642" s="4" t="str">
        <f>IFERROR(__xludf.DUMMYFUNCTION("REGEXEXTRACT(A2642, ""/(\w+)-.*?"")"),"lieu")</f>
        <v>lieu</v>
      </c>
      <c r="I2642" s="4" t="str">
        <f>IFERROR(__xludf.DUMMYFUNCTION("if(D2642=""variant"",  substitute(filter(Templates!E:E, Templates!A:A = F2642, Templates!B:B = G2642, Templates!C:C = H2642), ""{{}}"", E2642), B2642)"),"🏘  L’appartement de vos rêves se trouve sur ImmoScout24.ch ✅ Découvrez les dernières annonces de vente à Villars-Tiercelin.")</f>
        <v>🏘  L’appartement de vos rêves se trouve sur ImmoScout24.ch ✅ Découvrez les dernières annonces de vente à Villars-Tiercelin.</v>
      </c>
      <c r="J2642" s="4" t="s">
        <v>7922</v>
      </c>
    </row>
    <row r="2643">
      <c r="A2643" s="5" t="s">
        <v>7923</v>
      </c>
      <c r="B2643" s="2" t="s">
        <v>7924</v>
      </c>
      <c r="C2643" s="4" t="str">
        <f>IFERROR(__xludf.DUMMYFUNCTION("""🏘️ ""&amp;REGEXEXTRACT(B2643, ""^(.*): "")&amp;"" ✅ "" &amp;REGEXEXTRACT(B2643, ""(Trouvez.*)"")"),"🏘️ Louer appartement Rickenbach b. Schwyz ✅ Trouvez le bien immobilier qui correspond idéalement à vos désirs sur ImmoScout24 - La plateforme de l'immobilier en Suisse.")</f>
        <v>🏘️ Louer appartement Rickenbach b. Schwyz ✅ Trouvez le bien immobilier qui correspond idéalement à vos désirs sur ImmoScout24 - La plateforme de l'immobilier en Suisse.</v>
      </c>
      <c r="D2643" s="4" t="str">
        <f>vlookup(A2643, Sheet2!D:E, 2, 0)</f>
        <v>variant</v>
      </c>
      <c r="E2643" s="4" t="str">
        <f>IFERROR(__xludf.DUMMYFUNCTION("if(H2643=""pays"",vlookup(REGEXEXTRACT(C2643, ""🏘️ \w+ \w+ (.*) ✅""),'Country prepositions'!A:B, 2, 0) &amp; "" "" &amp; REGEXEXTRACT(C2643, ""🏘️ \w+ \w+ (.*) ✅"") ,  if(H2643=""quartier"",vlookup(REGEXEXTRACT(C2643, ""🏘️ \w+ \w+ (.*) ✅""),'Quartier prepositio"&amp;"ns'!A:E, 5, 0) ,  if(H2643=""region"",vlookup(REGEXEXTRACT(C2643, ""🏘️ \w+ \w+ (.*) ✅""),'Region prepositions'!B:F, 5, 0),  REGEXEXTRACT(C2643, ""🏘️ \w+ \w+ (.*) ✅""))))"),"Rickenbach b. Schwyz")</f>
        <v>Rickenbach b. Schwyz</v>
      </c>
      <c r="F2643" s="2" t="str">
        <f>IFERROR(__xludf.DUMMYFUNCTION("REGEXEXTRACT(C2643, ""🏘️ (\w+) \w+ .* ✅"")"),"Louer")</f>
        <v>Louer</v>
      </c>
      <c r="G2643" s="2" t="str">
        <f>IFERROR(__xludf.DUMMYFUNCTION("REGEXEXTRACT(C2643, ""🏘️ \w+ (\w+) .* ✅"")"),"appartement")</f>
        <v>appartement</v>
      </c>
      <c r="H2643" s="4" t="str">
        <f>IFERROR(__xludf.DUMMYFUNCTION("REGEXEXTRACT(A2643, ""/(\w+)-.*?"")"),"lieu")</f>
        <v>lieu</v>
      </c>
      <c r="I2643" s="4" t="str">
        <f>IFERROR(__xludf.DUMMYFUNCTION("if(D2643=""variant"",  substitute(filter(Templates!E:E, Templates!A:A = F2643, Templates!B:B = G2643, Templates!C:C = H2643), ""{{}}"", E2643), B2643)"),"🏘  Vous cherchez un appartement à louer à Rickenbach b. Schwyz? ✅ Les annonces les plus actuelles sont sur ImmoScout24.ch.")</f>
        <v>🏘  Vous cherchez un appartement à louer à Rickenbach b. Schwyz? ✅ Les annonces les plus actuelles sont sur ImmoScout24.ch.</v>
      </c>
      <c r="J2643" s="4" t="s">
        <v>7925</v>
      </c>
    </row>
    <row r="2644">
      <c r="A2644" s="5" t="s">
        <v>7926</v>
      </c>
      <c r="B2644" s="2" t="s">
        <v>7927</v>
      </c>
      <c r="C2644" s="4" t="str">
        <f>IFERROR(__xludf.DUMMYFUNCTION("""🏘️ ""&amp;REGEXEXTRACT(B2644, ""^(.*): "")&amp;"" ✅ "" &amp;REGEXEXTRACT(B2644, ""(Trouvez.*)"")"),"🏘️ Louer appartement Cournillens ✅ Trouvez le bien immobilier qui correspond idéalement à vos désirs sur ImmoScout24 - La plateforme de l'immobilier en Suisse.")</f>
        <v>🏘️ Louer appartement Cournillens ✅ Trouvez le bien immobilier qui correspond idéalement à vos désirs sur ImmoScout24 - La plateforme de l'immobilier en Suisse.</v>
      </c>
      <c r="D2644" s="4" t="str">
        <f>vlookup(A2644, Sheet2!D:E, 2, 0)</f>
        <v>variant</v>
      </c>
      <c r="E2644" s="4" t="str">
        <f>IFERROR(__xludf.DUMMYFUNCTION("if(H2644=""pays"",vlookup(REGEXEXTRACT(C2644, ""🏘️ \w+ \w+ (.*) ✅""),'Country prepositions'!A:B, 2, 0) &amp; "" "" &amp; REGEXEXTRACT(C2644, ""🏘️ \w+ \w+ (.*) ✅"") ,  if(H2644=""quartier"",vlookup(REGEXEXTRACT(C2644, ""🏘️ \w+ \w+ (.*) ✅""),'Quartier prepositio"&amp;"ns'!A:E, 5, 0) ,  if(H2644=""region"",vlookup(REGEXEXTRACT(C2644, ""🏘️ \w+ \w+ (.*) ✅""),'Region prepositions'!B:F, 5, 0),  REGEXEXTRACT(C2644, ""🏘️ \w+ \w+ (.*) ✅""))))"),"Cournillens")</f>
        <v>Cournillens</v>
      </c>
      <c r="F2644" s="2" t="str">
        <f>IFERROR(__xludf.DUMMYFUNCTION("REGEXEXTRACT(C2644, ""🏘️ (\w+) \w+ .* ✅"")"),"Louer")</f>
        <v>Louer</v>
      </c>
      <c r="G2644" s="2" t="str">
        <f>IFERROR(__xludf.DUMMYFUNCTION("REGEXEXTRACT(C2644, ""🏘️ \w+ (\w+) .* ✅"")"),"appartement")</f>
        <v>appartement</v>
      </c>
      <c r="H2644" s="4" t="str">
        <f>IFERROR(__xludf.DUMMYFUNCTION("REGEXEXTRACT(A2644, ""/(\w+)-.*?"")"),"lieu")</f>
        <v>lieu</v>
      </c>
      <c r="I2644" s="4" t="str">
        <f>IFERROR(__xludf.DUMMYFUNCTION("if(D2644=""variant"",  substitute(filter(Templates!E:E, Templates!A:A = F2644, Templates!B:B = G2644, Templates!C:C = H2644), ""{{}}"", E2644), B2644)"),"🏘  Vous cherchez un appartement à louer à Cournillens? ✅ Les annonces les plus actuelles sont sur ImmoScout24.ch.")</f>
        <v>🏘  Vous cherchez un appartement à louer à Cournillens? ✅ Les annonces les plus actuelles sont sur ImmoScout24.ch.</v>
      </c>
      <c r="J2644" s="4" t="s">
        <v>7928</v>
      </c>
    </row>
    <row r="2645">
      <c r="A2645" s="5" t="s">
        <v>7929</v>
      </c>
      <c r="B2645" s="2" t="s">
        <v>7930</v>
      </c>
      <c r="C2645" s="4" t="str">
        <f>IFERROR(__xludf.DUMMYFUNCTION("""🏘️ ""&amp;REGEXEXTRACT(B2645, ""^(.*): "")&amp;"" ✅ "" &amp;REGEXEXTRACT(B2645, ""(Trouvez.*)"")"),"🏘️ Louer appartement Sarnen ✅ Trouvez le bien immobilier qui correspond idéalement à vos désirs sur ImmoScout24 - La plateforme de l'immobilier en Suisse.")</f>
        <v>🏘️ Louer appartement Sarnen ✅ Trouvez le bien immobilier qui correspond idéalement à vos désirs sur ImmoScout24 - La plateforme de l'immobilier en Suisse.</v>
      </c>
      <c r="D2645" s="4" t="str">
        <f>vlookup(A2645, Sheet2!D:E, 2, 0)</f>
        <v>variant</v>
      </c>
      <c r="E2645" s="4" t="str">
        <f>IFERROR(__xludf.DUMMYFUNCTION("if(H2645=""pays"",vlookup(REGEXEXTRACT(C2645, ""🏘️ \w+ \w+ (.*) ✅""),'Country prepositions'!A:B, 2, 0) &amp; "" "" &amp; REGEXEXTRACT(C2645, ""🏘️ \w+ \w+ (.*) ✅"") ,  if(H2645=""quartier"",vlookup(REGEXEXTRACT(C2645, ""🏘️ \w+ \w+ (.*) ✅""),'Quartier prepositio"&amp;"ns'!A:E, 5, 0) ,  if(H2645=""region"",vlookup(REGEXEXTRACT(C2645, ""🏘️ \w+ \w+ (.*) ✅""),'Region prepositions'!B:F, 5, 0),  REGEXEXTRACT(C2645, ""🏘️ \w+ \w+ (.*) ✅""))))"),"Sarnen")</f>
        <v>Sarnen</v>
      </c>
      <c r="F2645" s="2" t="str">
        <f>IFERROR(__xludf.DUMMYFUNCTION("REGEXEXTRACT(C2645, ""🏘️ (\w+) \w+ .* ✅"")"),"Louer")</f>
        <v>Louer</v>
      </c>
      <c r="G2645" s="2" t="str">
        <f>IFERROR(__xludf.DUMMYFUNCTION("REGEXEXTRACT(C2645, ""🏘️ \w+ (\w+) .* ✅"")"),"appartement")</f>
        <v>appartement</v>
      </c>
      <c r="H2645" s="4" t="str">
        <f>IFERROR(__xludf.DUMMYFUNCTION("REGEXEXTRACT(A2645, ""/(\w+)-.*?"")"),"lieu")</f>
        <v>lieu</v>
      </c>
      <c r="I2645" s="4" t="str">
        <f>IFERROR(__xludf.DUMMYFUNCTION("if(D2645=""variant"",  substitute(filter(Templates!E:E, Templates!A:A = F2645, Templates!B:B = G2645, Templates!C:C = H2645), ""{{}}"", E2645), B2645)"),"🏘  Vous cherchez un appartement à louer à Sarnen? ✅ Les annonces les plus actuelles sont sur ImmoScout24.ch.")</f>
        <v>🏘  Vous cherchez un appartement à louer à Sarnen? ✅ Les annonces les plus actuelles sont sur ImmoScout24.ch.</v>
      </c>
      <c r="J2645" s="4" t="s">
        <v>7931</v>
      </c>
    </row>
    <row r="2646">
      <c r="A2646" s="5" t="s">
        <v>7932</v>
      </c>
      <c r="B2646" s="2" t="s">
        <v>7933</v>
      </c>
      <c r="C2646" s="4" t="str">
        <f>IFERROR(__xludf.DUMMYFUNCTION("""🏘️ ""&amp;REGEXEXTRACT(B2646, ""^(.*): "")&amp;"" ✅ "" &amp;REGEXEXTRACT(B2646, ""(Trouvez.*)"")"),"🏘️ Vendre appartement Dompierre FR ✅ Trouvez le bien immobilier qui correspond idéalement à vos désirs sur ImmoScout24 - La plateforme de l'immobilier en Suisse.")</f>
        <v>🏘️ Vendre appartement Dompierre FR ✅ Trouvez le bien immobilier qui correspond idéalement à vos désirs sur ImmoScout24 - La plateforme de l'immobilier en Suisse.</v>
      </c>
      <c r="D2646" s="4" t="str">
        <f>vlookup(A2646, Sheet2!D:E, 2, 0)</f>
        <v>variant</v>
      </c>
      <c r="E2646" s="4" t="str">
        <f>IFERROR(__xludf.DUMMYFUNCTION("if(H2646=""pays"",vlookup(REGEXEXTRACT(C2646, ""🏘️ \w+ \w+ (.*) ✅""),'Country prepositions'!A:B, 2, 0) &amp; "" "" &amp; REGEXEXTRACT(C2646, ""🏘️ \w+ \w+ (.*) ✅"") ,  if(H2646=""quartier"",vlookup(REGEXEXTRACT(C2646, ""🏘️ \w+ \w+ (.*) ✅""),'Quartier prepositio"&amp;"ns'!A:E, 5, 0) ,  if(H2646=""region"",vlookup(REGEXEXTRACT(C2646, ""🏘️ \w+ \w+ (.*) ✅""),'Region prepositions'!B:F, 5, 0),  REGEXEXTRACT(C2646, ""🏘️ \w+ \w+ (.*) ✅""))))"),"Dompierre FR")</f>
        <v>Dompierre FR</v>
      </c>
      <c r="F2646" s="2" t="str">
        <f>IFERROR(__xludf.DUMMYFUNCTION("REGEXEXTRACT(C2646, ""🏘️ (\w+) \w+ .* ✅"")"),"Vendre")</f>
        <v>Vendre</v>
      </c>
      <c r="G2646" s="2" t="str">
        <f>IFERROR(__xludf.DUMMYFUNCTION("REGEXEXTRACT(C2646, ""🏘️ \w+ (\w+) .* ✅"")"),"appartement")</f>
        <v>appartement</v>
      </c>
      <c r="H2646" s="4" t="str">
        <f>IFERROR(__xludf.DUMMYFUNCTION("REGEXEXTRACT(A2646, ""/(\w+)-.*?"")"),"lieu")</f>
        <v>lieu</v>
      </c>
      <c r="I2646" s="4" t="str">
        <f>IFERROR(__xludf.DUMMYFUNCTION("if(D2646=""variant"",  substitute(filter(Templates!E:E, Templates!A:A = F2646, Templates!B:B = G2646, Templates!C:C = H2646), ""{{}}"", E2646), B2646)"),"🏘  L’appartement de vos rêves se trouve sur ImmoScout24.ch ✅ Découvrez les dernières annonces de vente à Dompierre FR.")</f>
        <v>🏘  L’appartement de vos rêves se trouve sur ImmoScout24.ch ✅ Découvrez les dernières annonces de vente à Dompierre FR.</v>
      </c>
      <c r="J2646" s="4" t="s">
        <v>7934</v>
      </c>
    </row>
    <row r="2647">
      <c r="A2647" s="5" t="s">
        <v>7935</v>
      </c>
      <c r="B2647" s="2" t="s">
        <v>7936</v>
      </c>
      <c r="C2647" s="4" t="str">
        <f>IFERROR(__xludf.DUMMYFUNCTION("""🏘️ ""&amp;REGEXEXTRACT(B2647, ""^(.*): "")&amp;"" ✅ "" &amp;REGEXEXTRACT(B2647, ""(Trouvez.*)"")"),"🏘️ Louer appartement Suchy ✅ Trouvez le bien immobilier qui correspond idéalement à vos désirs sur ImmoScout24 - La plateforme de l'immobilier en Suisse.")</f>
        <v>🏘️ Louer appartement Suchy ✅ Trouvez le bien immobilier qui correspond idéalement à vos désirs sur ImmoScout24 - La plateforme de l'immobilier en Suisse.</v>
      </c>
      <c r="D2647" s="4" t="str">
        <f>vlookup(A2647, Sheet2!D:E, 2, 0)</f>
        <v>variant</v>
      </c>
      <c r="E2647" s="4" t="str">
        <f>IFERROR(__xludf.DUMMYFUNCTION("if(H2647=""pays"",vlookup(REGEXEXTRACT(C2647, ""🏘️ \w+ \w+ (.*) ✅""),'Country prepositions'!A:B, 2, 0) &amp; "" "" &amp; REGEXEXTRACT(C2647, ""🏘️ \w+ \w+ (.*) ✅"") ,  if(H2647=""quartier"",vlookup(REGEXEXTRACT(C2647, ""🏘️ \w+ \w+ (.*) ✅""),'Quartier prepositio"&amp;"ns'!A:E, 5, 0) ,  if(H2647=""region"",vlookup(REGEXEXTRACT(C2647, ""🏘️ \w+ \w+ (.*) ✅""),'Region prepositions'!B:F, 5, 0),  REGEXEXTRACT(C2647, ""🏘️ \w+ \w+ (.*) ✅""))))"),"Suchy")</f>
        <v>Suchy</v>
      </c>
      <c r="F2647" s="2" t="str">
        <f>IFERROR(__xludf.DUMMYFUNCTION("REGEXEXTRACT(C2647, ""🏘️ (\w+) \w+ .* ✅"")"),"Louer")</f>
        <v>Louer</v>
      </c>
      <c r="G2647" s="2" t="str">
        <f>IFERROR(__xludf.DUMMYFUNCTION("REGEXEXTRACT(C2647, ""🏘️ \w+ (\w+) .* ✅"")"),"appartement")</f>
        <v>appartement</v>
      </c>
      <c r="H2647" s="4" t="str">
        <f>IFERROR(__xludf.DUMMYFUNCTION("REGEXEXTRACT(A2647, ""/(\w+)-.*?"")"),"lieu")</f>
        <v>lieu</v>
      </c>
      <c r="I2647" s="4" t="str">
        <f>IFERROR(__xludf.DUMMYFUNCTION("if(D2647=""variant"",  substitute(filter(Templates!E:E, Templates!A:A = F2647, Templates!B:B = G2647, Templates!C:C = H2647), ""{{}}"", E2647), B2647)"),"🏘  Vous cherchez un appartement à louer à Suchy? ✅ Les annonces les plus actuelles sont sur ImmoScout24.ch.")</f>
        <v>🏘  Vous cherchez un appartement à louer à Suchy? ✅ Les annonces les plus actuelles sont sur ImmoScout24.ch.</v>
      </c>
      <c r="J2647" s="4" t="s">
        <v>7937</v>
      </c>
    </row>
    <row r="2648">
      <c r="A2648" s="5" t="s">
        <v>7938</v>
      </c>
      <c r="B2648" s="2" t="s">
        <v>7939</v>
      </c>
      <c r="C2648" s="4" t="str">
        <f>IFERROR(__xludf.DUMMYFUNCTION("""🏘️ ""&amp;REGEXEXTRACT(B2648, ""^(.*): "")&amp;"" ✅ "" &amp;REGEXEXTRACT(B2648, ""(Trouvez.*)"")"),"🏘️ Louer appartement Gorduno ✅ Trouvez le bien immobilier qui correspond idéalement à vos désirs sur ImmoScout24 - La plateforme de l'immobilier en Suisse.")</f>
        <v>🏘️ Louer appartement Gorduno ✅ Trouvez le bien immobilier qui correspond idéalement à vos désirs sur ImmoScout24 - La plateforme de l'immobilier en Suisse.</v>
      </c>
      <c r="D2648" s="4" t="str">
        <f>vlookup(A2648, Sheet2!D:E, 2, 0)</f>
        <v>variant</v>
      </c>
      <c r="E2648" s="4" t="str">
        <f>IFERROR(__xludf.DUMMYFUNCTION("if(H2648=""pays"",vlookup(REGEXEXTRACT(C2648, ""🏘️ \w+ \w+ (.*) ✅""),'Country prepositions'!A:B, 2, 0) &amp; "" "" &amp; REGEXEXTRACT(C2648, ""🏘️ \w+ \w+ (.*) ✅"") ,  if(H2648=""quartier"",vlookup(REGEXEXTRACT(C2648, ""🏘️ \w+ \w+ (.*) ✅""),'Quartier prepositio"&amp;"ns'!A:E, 5, 0) ,  if(H2648=""region"",vlookup(REGEXEXTRACT(C2648, ""🏘️ \w+ \w+ (.*) ✅""),'Region prepositions'!B:F, 5, 0),  REGEXEXTRACT(C2648, ""🏘️ \w+ \w+ (.*) ✅""))))"),"Gorduno")</f>
        <v>Gorduno</v>
      </c>
      <c r="F2648" s="2" t="str">
        <f>IFERROR(__xludf.DUMMYFUNCTION("REGEXEXTRACT(C2648, ""🏘️ (\w+) \w+ .* ✅"")"),"Louer")</f>
        <v>Louer</v>
      </c>
      <c r="G2648" s="2" t="str">
        <f>IFERROR(__xludf.DUMMYFUNCTION("REGEXEXTRACT(C2648, ""🏘️ \w+ (\w+) .* ✅"")"),"appartement")</f>
        <v>appartement</v>
      </c>
      <c r="H2648" s="4" t="str">
        <f>IFERROR(__xludf.DUMMYFUNCTION("REGEXEXTRACT(A2648, ""/(\w+)-.*?"")"),"lieu")</f>
        <v>lieu</v>
      </c>
      <c r="I2648" s="4" t="str">
        <f>IFERROR(__xludf.DUMMYFUNCTION("if(D2648=""variant"",  substitute(filter(Templates!E:E, Templates!A:A = F2648, Templates!B:B = G2648, Templates!C:C = H2648), ""{{}}"", E2648), B2648)"),"🏘  Vous cherchez un appartement à louer à Gorduno? ✅ Les annonces les plus actuelles sont sur ImmoScout24.ch.")</f>
        <v>🏘  Vous cherchez un appartement à louer à Gorduno? ✅ Les annonces les plus actuelles sont sur ImmoScout24.ch.</v>
      </c>
      <c r="J2648" s="4" t="s">
        <v>7940</v>
      </c>
    </row>
    <row r="2649">
      <c r="A2649" s="5" t="s">
        <v>7941</v>
      </c>
      <c r="B2649" s="2" t="s">
        <v>7942</v>
      </c>
      <c r="C2649" s="4" t="str">
        <f>IFERROR(__xludf.DUMMYFUNCTION("""🏘️ ""&amp;REGEXEXTRACT(B2649, ""^(.*): "")&amp;"" ✅ "" &amp;REGEXEXTRACT(B2649, ""(Trouvez.*)"")"),"🏘️ Louer appartement Vufflens-le-Château ✅ Trouvez le bien immobilier qui correspond idéalement à vos désirs sur ImmoScout24 - La plateforme de l'immobilier en Suisse.")</f>
        <v>🏘️ Louer appartement Vufflens-le-Château ✅ Trouvez le bien immobilier qui correspond idéalement à vos désirs sur ImmoScout24 - La plateforme de l'immobilier en Suisse.</v>
      </c>
      <c r="D2649" s="4" t="str">
        <f>vlookup(A2649, Sheet2!D:E, 2, 0)</f>
        <v>variant</v>
      </c>
      <c r="E2649" s="4" t="str">
        <f>IFERROR(__xludf.DUMMYFUNCTION("if(H2649=""pays"",vlookup(REGEXEXTRACT(C2649, ""🏘️ \w+ \w+ (.*) ✅""),'Country prepositions'!A:B, 2, 0) &amp; "" "" &amp; REGEXEXTRACT(C2649, ""🏘️ \w+ \w+ (.*) ✅"") ,  if(H2649=""quartier"",vlookup(REGEXEXTRACT(C2649, ""🏘️ \w+ \w+ (.*) ✅""),'Quartier prepositio"&amp;"ns'!A:E, 5, 0) ,  if(H2649=""region"",vlookup(REGEXEXTRACT(C2649, ""🏘️ \w+ \w+ (.*) ✅""),'Region prepositions'!B:F, 5, 0),  REGEXEXTRACT(C2649, ""🏘️ \w+ \w+ (.*) ✅""))))"),"Vufflens-le-Château")</f>
        <v>Vufflens-le-Château</v>
      </c>
      <c r="F2649" s="2" t="str">
        <f>IFERROR(__xludf.DUMMYFUNCTION("REGEXEXTRACT(C2649, ""🏘️ (\w+) \w+ .* ✅"")"),"Louer")</f>
        <v>Louer</v>
      </c>
      <c r="G2649" s="2" t="str">
        <f>IFERROR(__xludf.DUMMYFUNCTION("REGEXEXTRACT(C2649, ""🏘️ \w+ (\w+) .* ✅"")"),"appartement")</f>
        <v>appartement</v>
      </c>
      <c r="H2649" s="4" t="str">
        <f>IFERROR(__xludf.DUMMYFUNCTION("REGEXEXTRACT(A2649, ""/(\w+)-.*?"")"),"lieu")</f>
        <v>lieu</v>
      </c>
      <c r="I2649" s="4" t="str">
        <f>IFERROR(__xludf.DUMMYFUNCTION("if(D2649=""variant"",  substitute(filter(Templates!E:E, Templates!A:A = F2649, Templates!B:B = G2649, Templates!C:C = H2649), ""{{}}"", E2649), B2649)"),"🏘  Vous cherchez un appartement à louer à Vufflens-le-Château? ✅ Les annonces les plus actuelles sont sur ImmoScout24.ch.")</f>
        <v>🏘  Vous cherchez un appartement à louer à Vufflens-le-Château? ✅ Les annonces les plus actuelles sont sur ImmoScout24.ch.</v>
      </c>
      <c r="J2649" s="4" t="s">
        <v>7943</v>
      </c>
    </row>
    <row r="2650">
      <c r="A2650" s="5" t="s">
        <v>7944</v>
      </c>
      <c r="B2650" s="2" t="s">
        <v>7945</v>
      </c>
      <c r="C2650" s="4" t="str">
        <f>IFERROR(__xludf.DUMMYFUNCTION("""🏘️ ""&amp;REGEXEXTRACT(B2650, ""^(.*): "")&amp;"" ✅ "" &amp;REGEXEXTRACT(B2650, ""(Trouvez.*)"")"),"🏘️ Louer appartement Corin-de-la-Crête ✅ Trouvez le bien immobilier qui correspond idéalement à vos désirs sur ImmoScout24 - La plateforme de l'immobilier en Suisse.")</f>
        <v>🏘️ Louer appartement Corin-de-la-Crête ✅ Trouvez le bien immobilier qui correspond idéalement à vos désirs sur ImmoScout24 - La plateforme de l'immobilier en Suisse.</v>
      </c>
      <c r="D2650" s="4" t="str">
        <f>vlookup(A2650, Sheet2!D:E, 2, 0)</f>
        <v>variant</v>
      </c>
      <c r="E2650" s="4" t="str">
        <f>IFERROR(__xludf.DUMMYFUNCTION("if(H2650=""pays"",vlookup(REGEXEXTRACT(C2650, ""🏘️ \w+ \w+ (.*) ✅""),'Country prepositions'!A:B, 2, 0) &amp; "" "" &amp; REGEXEXTRACT(C2650, ""🏘️ \w+ \w+ (.*) ✅"") ,  if(H2650=""quartier"",vlookup(REGEXEXTRACT(C2650, ""🏘️ \w+ \w+ (.*) ✅""),'Quartier prepositio"&amp;"ns'!A:E, 5, 0) ,  if(H2650=""region"",vlookup(REGEXEXTRACT(C2650, ""🏘️ \w+ \w+ (.*) ✅""),'Region prepositions'!B:F, 5, 0),  REGEXEXTRACT(C2650, ""🏘️ \w+ \w+ (.*) ✅""))))"),"Corin-de-la-Crête")</f>
        <v>Corin-de-la-Crête</v>
      </c>
      <c r="F2650" s="2" t="str">
        <f>IFERROR(__xludf.DUMMYFUNCTION("REGEXEXTRACT(C2650, ""🏘️ (\w+) \w+ .* ✅"")"),"Louer")</f>
        <v>Louer</v>
      </c>
      <c r="G2650" s="2" t="str">
        <f>IFERROR(__xludf.DUMMYFUNCTION("REGEXEXTRACT(C2650, ""🏘️ \w+ (\w+) .* ✅"")"),"appartement")</f>
        <v>appartement</v>
      </c>
      <c r="H2650" s="4" t="str">
        <f>IFERROR(__xludf.DUMMYFUNCTION("REGEXEXTRACT(A2650, ""/(\w+)-.*?"")"),"lieu")</f>
        <v>lieu</v>
      </c>
      <c r="I2650" s="4" t="str">
        <f>IFERROR(__xludf.DUMMYFUNCTION("if(D2650=""variant"",  substitute(filter(Templates!E:E, Templates!A:A = F2650, Templates!B:B = G2650, Templates!C:C = H2650), ""{{}}"", E2650), B2650)"),"🏘  Vous cherchez un appartement à louer à Corin-de-la-Crête? ✅ Les annonces les plus actuelles sont sur ImmoScout24.ch.")</f>
        <v>🏘  Vous cherchez un appartement à louer à Corin-de-la-Crête? ✅ Les annonces les plus actuelles sont sur ImmoScout24.ch.</v>
      </c>
      <c r="J2650" s="4" t="s">
        <v>7946</v>
      </c>
    </row>
    <row r="2651">
      <c r="A2651" s="5" t="s">
        <v>7947</v>
      </c>
      <c r="B2651" s="2" t="s">
        <v>7948</v>
      </c>
      <c r="C2651" s="4" t="str">
        <f>IFERROR(__xludf.DUMMYFUNCTION("""🏘️ ""&amp;REGEXEXTRACT(B2651, ""^(.*): "")&amp;"" ✅ "" &amp;REGEXEXTRACT(B2651, ""(Trouvez.*)"")"),"🏘️ Vendre appartement Rheinfelden ✅ Trouvez le bien immobilier qui correspond idéalement à vos désirs sur ImmoScout24 - La plateforme de l'immobilier en Suisse.")</f>
        <v>🏘️ Vendre appartement Rheinfelden ✅ Trouvez le bien immobilier qui correspond idéalement à vos désirs sur ImmoScout24 - La plateforme de l'immobilier en Suisse.</v>
      </c>
      <c r="D2651" s="4" t="str">
        <f>vlookup(A2651, Sheet2!D:E, 2, 0)</f>
        <v>variant</v>
      </c>
      <c r="E2651" s="4" t="str">
        <f>IFERROR(__xludf.DUMMYFUNCTION("if(H2651=""pays"",vlookup(REGEXEXTRACT(C2651, ""🏘️ \w+ \w+ (.*) ✅""),'Country prepositions'!A:B, 2, 0) &amp; "" "" &amp; REGEXEXTRACT(C2651, ""🏘️ \w+ \w+ (.*) ✅"") ,  if(H2651=""quartier"",vlookup(REGEXEXTRACT(C2651, ""🏘️ \w+ \w+ (.*) ✅""),'Quartier prepositio"&amp;"ns'!A:E, 5, 0) ,  if(H2651=""region"",vlookup(REGEXEXTRACT(C2651, ""🏘️ \w+ \w+ (.*) ✅""),'Region prepositions'!B:F, 5, 0),  REGEXEXTRACT(C2651, ""🏘️ \w+ \w+ (.*) ✅""))))"),"Rheinfelden")</f>
        <v>Rheinfelden</v>
      </c>
      <c r="F2651" s="2" t="str">
        <f>IFERROR(__xludf.DUMMYFUNCTION("REGEXEXTRACT(C2651, ""🏘️ (\w+) \w+ .* ✅"")"),"Vendre")</f>
        <v>Vendre</v>
      </c>
      <c r="G2651" s="2" t="str">
        <f>IFERROR(__xludf.DUMMYFUNCTION("REGEXEXTRACT(C2651, ""🏘️ \w+ (\w+) .* ✅"")"),"appartement")</f>
        <v>appartement</v>
      </c>
      <c r="H2651" s="4" t="str">
        <f>IFERROR(__xludf.DUMMYFUNCTION("REGEXEXTRACT(A2651, ""/(\w+)-.*?"")"),"lieu")</f>
        <v>lieu</v>
      </c>
      <c r="I2651" s="4" t="str">
        <f>IFERROR(__xludf.DUMMYFUNCTION("if(D2651=""variant"",  substitute(filter(Templates!E:E, Templates!A:A = F2651, Templates!B:B = G2651, Templates!C:C = H2651), ""{{}}"", E2651), B2651)"),"🏘  L’appartement de vos rêves se trouve sur ImmoScout24.ch ✅ Découvrez les dernières annonces de vente à Rheinfelden.")</f>
        <v>🏘  L’appartement de vos rêves se trouve sur ImmoScout24.ch ✅ Découvrez les dernières annonces de vente à Rheinfelden.</v>
      </c>
      <c r="J2651" s="4" t="s">
        <v>7949</v>
      </c>
    </row>
    <row r="2652">
      <c r="A2652" s="5" t="s">
        <v>7950</v>
      </c>
      <c r="B2652" s="2" t="s">
        <v>7951</v>
      </c>
      <c r="C2652" s="4" t="str">
        <f>IFERROR(__xludf.DUMMYFUNCTION("""🏘️ ""&amp;REGEXEXTRACT(B2652, ""^(.*): "")&amp;"" ✅ "" &amp;REGEXEXTRACT(B2652, ""(Trouvez.*)"")"),"🏘️ Louer appartement Horgen ✅ Trouvez le bien immobilier qui correspond idéalement à vos désirs sur ImmoScout24 - La plateforme de l'immobilier en Suisse.")</f>
        <v>🏘️ Louer appartement Horgen ✅ Trouvez le bien immobilier qui correspond idéalement à vos désirs sur ImmoScout24 - La plateforme de l'immobilier en Suisse.</v>
      </c>
      <c r="D2652" s="4" t="str">
        <f>vlookup(A2652, Sheet2!D:E, 2, 0)</f>
        <v>variant</v>
      </c>
      <c r="E2652" s="4" t="str">
        <f>IFERROR(__xludf.DUMMYFUNCTION("if(H2652=""pays"",vlookup(REGEXEXTRACT(C2652, ""🏘️ \w+ \w+ (.*) ✅""),'Country prepositions'!A:B, 2, 0) &amp; "" "" &amp; REGEXEXTRACT(C2652, ""🏘️ \w+ \w+ (.*) ✅"") ,  if(H2652=""quartier"",vlookup(REGEXEXTRACT(C2652, ""🏘️ \w+ \w+ (.*) ✅""),'Quartier prepositio"&amp;"ns'!A:E, 5, 0) ,  if(H2652=""region"",vlookup(REGEXEXTRACT(C2652, ""🏘️ \w+ \w+ (.*) ✅""),'Region prepositions'!B:F, 5, 0),  REGEXEXTRACT(C2652, ""🏘️ \w+ \w+ (.*) ✅""))))"),"Horgen")</f>
        <v>Horgen</v>
      </c>
      <c r="F2652" s="2" t="str">
        <f>IFERROR(__xludf.DUMMYFUNCTION("REGEXEXTRACT(C2652, ""🏘️ (\w+) \w+ .* ✅"")"),"Louer")</f>
        <v>Louer</v>
      </c>
      <c r="G2652" s="2" t="str">
        <f>IFERROR(__xludf.DUMMYFUNCTION("REGEXEXTRACT(C2652, ""🏘️ \w+ (\w+) .* ✅"")"),"appartement")</f>
        <v>appartement</v>
      </c>
      <c r="H2652" s="4" t="str">
        <f>IFERROR(__xludf.DUMMYFUNCTION("REGEXEXTRACT(A2652, ""/(\w+)-.*?"")"),"lieu")</f>
        <v>lieu</v>
      </c>
      <c r="I2652" s="4" t="str">
        <f>IFERROR(__xludf.DUMMYFUNCTION("if(D2652=""variant"",  substitute(filter(Templates!E:E, Templates!A:A = F2652, Templates!B:B = G2652, Templates!C:C = H2652), ""{{}}"", E2652), B2652)"),"🏘  Vous cherchez un appartement à louer à Horgen? ✅ Les annonces les plus actuelles sont sur ImmoScout24.ch.")</f>
        <v>🏘  Vous cherchez un appartement à louer à Horgen? ✅ Les annonces les plus actuelles sont sur ImmoScout24.ch.</v>
      </c>
      <c r="J2652" s="4" t="s">
        <v>7952</v>
      </c>
    </row>
    <row r="2653">
      <c r="A2653" s="5" t="s">
        <v>7953</v>
      </c>
      <c r="B2653" s="2" t="s">
        <v>7954</v>
      </c>
      <c r="C2653" s="4" t="str">
        <f>IFERROR(__xludf.DUMMYFUNCTION("""🏘️ ""&amp;REGEXEXTRACT(B2653, ""^(.*): "")&amp;"" ✅ "" &amp;REGEXEXTRACT(B2653, ""(Trouvez.*)"")"),"🏘️ Louer appartement Frauenfeld - Münchwilen ✅ Trouvez le bien immobilier qui correspond idéalement à vos désirs sur ImmoScout24 - La plateforme de l'immobilier en Suisse.")</f>
        <v>🏘️ Louer appartement Frauenfeld - Münchwilen ✅ Trouvez le bien immobilier qui correspond idéalement à vos désirs sur ImmoScout24 - La plateforme de l'immobilier en Suisse.</v>
      </c>
      <c r="D2653" s="4" t="str">
        <f>vlookup(A2653, Sheet2!D:E, 2, 0)</f>
        <v>variant</v>
      </c>
      <c r="E2653" s="4" t="str">
        <f>IFERROR(__xludf.DUMMYFUNCTION("if(H2653=""pays"",vlookup(REGEXEXTRACT(C2653, ""🏘️ \w+ \w+ (.*) ✅""),'Country prepositions'!A:B, 2, 0) &amp; "" "" &amp; REGEXEXTRACT(C2653, ""🏘️ \w+ \w+ (.*) ✅"") ,  if(H2653=""quartier"",vlookup(REGEXEXTRACT(C2653, ""🏘️ \w+ \w+ (.*) ✅""),'Quartier prepositio"&amp;"ns'!A:E, 5, 0) ,  if(H2653=""region"",vlookup(REGEXEXTRACT(C2653, ""🏘️ \w+ \w+ (.*) ✅""),'Region prepositions'!B:F, 5, 0),  REGEXEXTRACT(C2653, ""🏘️ \w+ \w+ (.*) ✅""))))"),"dans la région de Frauenfeld - Münchwilen")</f>
        <v>dans la région de Frauenfeld - Münchwilen</v>
      </c>
      <c r="F2653" s="2" t="str">
        <f>IFERROR(__xludf.DUMMYFUNCTION("REGEXEXTRACT(C2653, ""🏘️ (\w+) \w+ .* ✅"")"),"Louer")</f>
        <v>Louer</v>
      </c>
      <c r="G2653" s="2" t="str">
        <f>IFERROR(__xludf.DUMMYFUNCTION("REGEXEXTRACT(C2653, ""🏘️ \w+ (\w+) .* ✅"")"),"appartement")</f>
        <v>appartement</v>
      </c>
      <c r="H2653" s="4" t="str">
        <f>IFERROR(__xludf.DUMMYFUNCTION("REGEXEXTRACT(A2653, ""/(\w+)-.*?"")"),"region")</f>
        <v>region</v>
      </c>
      <c r="I2653" s="4" t="str">
        <f>IFERROR(__xludf.DUMMYFUNCTION("if(D2653=""variant"",  substitute(filter(Templates!E:E, Templates!A:A = F2653, Templates!B:B = G2653, Templates!C:C = H2653), ""{{}}"", E2653), B2653)"),"🏘  Vous cherchez un appartement à louer dans la région de Frauenfeld - Münchwilen? ✅ Les annonces les plus actuelles sont sur ImmoScout24.ch.")</f>
        <v>🏘  Vous cherchez un appartement à louer dans la région de Frauenfeld - Münchwilen? ✅ Les annonces les plus actuelles sont sur ImmoScout24.ch.</v>
      </c>
      <c r="J2653" s="4" t="s">
        <v>7955</v>
      </c>
    </row>
    <row r="2654">
      <c r="A2654" s="5" t="s">
        <v>7956</v>
      </c>
      <c r="B2654" s="2" t="s">
        <v>7957</v>
      </c>
      <c r="C2654" s="4" t="str">
        <f>IFERROR(__xludf.DUMMYFUNCTION("""🏘️ ""&amp;REGEXEXTRACT(B2654, ""^(.*): "")&amp;"" ✅ "" &amp;REGEXEXTRACT(B2654, ""(Trouvez.*)"")"),"🏘️ Louer maison Yvonand ✅ Trouvez le bien immobilier qui correspond idéalement à vos désirs sur ImmoScout24 - La plateforme de l'immobilier en Suisse.")</f>
        <v>🏘️ Louer maison Yvonand ✅ Trouvez le bien immobilier qui correspond idéalement à vos désirs sur ImmoScout24 - La plateforme de l'immobilier en Suisse.</v>
      </c>
      <c r="D2654" s="4" t="str">
        <f>vlookup(A2654, Sheet2!D:E, 2, 0)</f>
        <v>variant</v>
      </c>
      <c r="E2654" s="4" t="str">
        <f>IFERROR(__xludf.DUMMYFUNCTION("if(H2654=""pays"",vlookup(REGEXEXTRACT(C2654, ""🏘️ \w+ \w+ (.*) ✅""),'Country prepositions'!A:B, 2, 0) &amp; "" "" &amp; REGEXEXTRACT(C2654, ""🏘️ \w+ \w+ (.*) ✅"") ,  if(H2654=""quartier"",vlookup(REGEXEXTRACT(C2654, ""🏘️ \w+ \w+ (.*) ✅""),'Quartier prepositio"&amp;"ns'!A:E, 5, 0) ,  if(H2654=""region"",vlookup(REGEXEXTRACT(C2654, ""🏘️ \w+ \w+ (.*) ✅""),'Region prepositions'!B:F, 5, 0),  REGEXEXTRACT(C2654, ""🏘️ \w+ \w+ (.*) ✅""))))"),"Yvonand")</f>
        <v>Yvonand</v>
      </c>
      <c r="F2654" s="2" t="str">
        <f>IFERROR(__xludf.DUMMYFUNCTION("REGEXEXTRACT(C2654, ""🏘️ (\w+) \w+ .* ✅"")"),"Louer")</f>
        <v>Louer</v>
      </c>
      <c r="G2654" s="2" t="str">
        <f>IFERROR(__xludf.DUMMYFUNCTION("REGEXEXTRACT(C2654, ""🏘️ \w+ (\w+) .* ✅"")"),"maison")</f>
        <v>maison</v>
      </c>
      <c r="H2654" s="4" t="str">
        <f>IFERROR(__xludf.DUMMYFUNCTION("REGEXEXTRACT(A2654, ""/(\w+)-.*?"")"),"lieu")</f>
        <v>lieu</v>
      </c>
      <c r="I2654" s="4" t="str">
        <f>IFERROR(__xludf.DUMMYFUNCTION("if(D2654=""variant"",  substitute(filter(Templates!E:E, Templates!A:A = F2654, Templates!B:B = G2654, Templates!C:C = H2654), ""{{}}"", E2654), B2654)"),"🏘  Vous cherchez une maison à louer à Yvonand? ✅ Découvrez nos nombreuses annonces sur ImmoScout24.ch.")</f>
        <v>🏘  Vous cherchez une maison à louer à Yvonand? ✅ Découvrez nos nombreuses annonces sur ImmoScout24.ch.</v>
      </c>
      <c r="J2654" s="4" t="s">
        <v>7958</v>
      </c>
    </row>
    <row r="2655">
      <c r="A2655" s="5" t="s">
        <v>7959</v>
      </c>
      <c r="B2655" s="2" t="s">
        <v>7960</v>
      </c>
      <c r="C2655" s="4" t="str">
        <f>IFERROR(__xludf.DUMMYFUNCTION("""🏘️ ""&amp;REGEXEXTRACT(B2655, ""^(.*): "")&amp;"" ✅ "" &amp;REGEXEXTRACT(B2655, ""(Trouvez.*)"")"),"🏘️ Vendre maison Neuchâtel ✅ Trouvez le bien immobilier qui correspond idéalement à vos désirs sur ImmoScout24 - La plateforme de l'immobilier en Suisse.")</f>
        <v>🏘️ Vendre maison Neuchâtel ✅ Trouvez le bien immobilier qui correspond idéalement à vos désirs sur ImmoScout24 - La plateforme de l'immobilier en Suisse.</v>
      </c>
      <c r="D2655" s="4" t="str">
        <f>vlookup(A2655, Sheet2!D:E, 2, 0)</f>
        <v>variant</v>
      </c>
      <c r="E2655" s="4" t="str">
        <f>IFERROR(__xludf.DUMMYFUNCTION("if(H2655=""pays"",vlookup(REGEXEXTRACT(C2655, ""🏘️ \w+ \w+ (.*) ✅""),'Country prepositions'!A:B, 2, 0) &amp; "" "" &amp; REGEXEXTRACT(C2655, ""🏘️ \w+ \w+ (.*) ✅"") ,  if(H2655=""quartier"",vlookup(REGEXEXTRACT(C2655, ""🏘️ \w+ \w+ (.*) ✅""),'Quartier prepositio"&amp;"ns'!A:E, 5, 0) ,  if(H2655=""region"",vlookup(REGEXEXTRACT(C2655, ""🏘️ \w+ \w+ (.*) ✅""),'Region prepositions'!B:F, 5, 0),  REGEXEXTRACT(C2655, ""🏘️ \w+ \w+ (.*) ✅""))))"),"Neuchâtel")</f>
        <v>Neuchâtel</v>
      </c>
      <c r="F2655" s="2" t="str">
        <f>IFERROR(__xludf.DUMMYFUNCTION("REGEXEXTRACT(C2655, ""🏘️ (\w+) \w+ .* ✅"")"),"Vendre")</f>
        <v>Vendre</v>
      </c>
      <c r="G2655" s="2" t="str">
        <f>IFERROR(__xludf.DUMMYFUNCTION("REGEXEXTRACT(C2655, ""🏘️ \w+ (\w+) .* ✅"")"),"maison")</f>
        <v>maison</v>
      </c>
      <c r="H2655" s="4" t="str">
        <f>IFERROR(__xludf.DUMMYFUNCTION("REGEXEXTRACT(A2655, ""/(\w+)-.*?"")"),"lieu")</f>
        <v>lieu</v>
      </c>
      <c r="I2655" s="4" t="str">
        <f>IFERROR(__xludf.DUMMYFUNCTION("if(D2655=""variant"",  substitute(filter(Templates!E:E, Templates!A:A = F2655, Templates!B:B = G2655, Templates!C:C = H2655), ""{{}}"", E2655), B2655)"),"🏘  Vous souhaitez acheter une maison à Neuchâtel? ✅ Jetez un œil aux dernières offres sur ImmoScout24.ch.")</f>
        <v>🏘  Vous souhaitez acheter une maison à Neuchâtel? ✅ Jetez un œil aux dernières offres sur ImmoScout24.ch.</v>
      </c>
      <c r="J2655" s="4" t="s">
        <v>7961</v>
      </c>
    </row>
    <row r="2656">
      <c r="A2656" s="5" t="s">
        <v>7962</v>
      </c>
      <c r="B2656" s="2" t="s">
        <v>7963</v>
      </c>
      <c r="C2656" s="4" t="str">
        <f>IFERROR(__xludf.DUMMYFUNCTION("""🏘️ ""&amp;REGEXEXTRACT(B2656, ""^(.*): "")&amp;"" ✅ "" &amp;REGEXEXTRACT(B2656, ""(Trouvez.*)"")"),"🏘️ Vendre appartement Saas-Almagell ✅ Trouvez le bien immobilier qui correspond idéalement à vos désirs sur ImmoScout24 - La plateforme de l'immobilier en Suisse.")</f>
        <v>🏘️ Vendre appartement Saas-Almagell ✅ Trouvez le bien immobilier qui correspond idéalement à vos désirs sur ImmoScout24 - La plateforme de l'immobilier en Suisse.</v>
      </c>
      <c r="D2656" s="4" t="str">
        <f>vlookup(A2656, Sheet2!D:E, 2, 0)</f>
        <v>variant</v>
      </c>
      <c r="E2656" s="4" t="str">
        <f>IFERROR(__xludf.DUMMYFUNCTION("if(H2656=""pays"",vlookup(REGEXEXTRACT(C2656, ""🏘️ \w+ \w+ (.*) ✅""),'Country prepositions'!A:B, 2, 0) &amp; "" "" &amp; REGEXEXTRACT(C2656, ""🏘️ \w+ \w+ (.*) ✅"") ,  if(H2656=""quartier"",vlookup(REGEXEXTRACT(C2656, ""🏘️ \w+ \w+ (.*) ✅""),'Quartier prepositio"&amp;"ns'!A:E, 5, 0) ,  if(H2656=""region"",vlookup(REGEXEXTRACT(C2656, ""🏘️ \w+ \w+ (.*) ✅""),'Region prepositions'!B:F, 5, 0),  REGEXEXTRACT(C2656, ""🏘️ \w+ \w+ (.*) ✅""))))"),"Saas-Almagell")</f>
        <v>Saas-Almagell</v>
      </c>
      <c r="F2656" s="2" t="str">
        <f>IFERROR(__xludf.DUMMYFUNCTION("REGEXEXTRACT(C2656, ""🏘️ (\w+) \w+ .* ✅"")"),"Vendre")</f>
        <v>Vendre</v>
      </c>
      <c r="G2656" s="2" t="str">
        <f>IFERROR(__xludf.DUMMYFUNCTION("REGEXEXTRACT(C2656, ""🏘️ \w+ (\w+) .* ✅"")"),"appartement")</f>
        <v>appartement</v>
      </c>
      <c r="H2656" s="4" t="str">
        <f>IFERROR(__xludf.DUMMYFUNCTION("REGEXEXTRACT(A2656, ""/(\w+)-.*?"")"),"lieu")</f>
        <v>lieu</v>
      </c>
      <c r="I2656" s="4" t="str">
        <f>IFERROR(__xludf.DUMMYFUNCTION("if(D2656=""variant"",  substitute(filter(Templates!E:E, Templates!A:A = F2656, Templates!B:B = G2656, Templates!C:C = H2656), ""{{}}"", E2656), B2656)"),"🏘  L’appartement de vos rêves se trouve sur ImmoScout24.ch ✅ Découvrez les dernières annonces de vente à Saas-Almagell.")</f>
        <v>🏘  L’appartement de vos rêves se trouve sur ImmoScout24.ch ✅ Découvrez les dernières annonces de vente à Saas-Almagell.</v>
      </c>
      <c r="J2656" s="4" t="s">
        <v>7964</v>
      </c>
    </row>
    <row r="2657">
      <c r="A2657" s="5" t="s">
        <v>7965</v>
      </c>
      <c r="B2657" s="2" t="s">
        <v>7966</v>
      </c>
      <c r="C2657" s="4" t="str">
        <f>IFERROR(__xludf.DUMMYFUNCTION("""🏘️ ""&amp;REGEXEXTRACT(B2657, ""^(.*): "")&amp;"" ✅ "" &amp;REGEXEXTRACT(B2657, ""(Trouvez.*)"")"),"🏘️ Louer appartement Luterbach ✅ Trouvez le bien immobilier qui correspond idéalement à vos désirs sur ImmoScout24 - La plateforme de l'immobilier en Suisse.")</f>
        <v>🏘️ Louer appartement Luterbach ✅ Trouvez le bien immobilier qui correspond idéalement à vos désirs sur ImmoScout24 - La plateforme de l'immobilier en Suisse.</v>
      </c>
      <c r="D2657" s="4" t="str">
        <f>vlookup(A2657, Sheet2!D:E, 2, 0)</f>
        <v>variant</v>
      </c>
      <c r="E2657" s="4" t="str">
        <f>IFERROR(__xludf.DUMMYFUNCTION("if(H2657=""pays"",vlookup(REGEXEXTRACT(C2657, ""🏘️ \w+ \w+ (.*) ✅""),'Country prepositions'!A:B, 2, 0) &amp; "" "" &amp; REGEXEXTRACT(C2657, ""🏘️ \w+ \w+ (.*) ✅"") ,  if(H2657=""quartier"",vlookup(REGEXEXTRACT(C2657, ""🏘️ \w+ \w+ (.*) ✅""),'Quartier prepositio"&amp;"ns'!A:E, 5, 0) ,  if(H2657=""region"",vlookup(REGEXEXTRACT(C2657, ""🏘️ \w+ \w+ (.*) ✅""),'Region prepositions'!B:F, 5, 0),  REGEXEXTRACT(C2657, ""🏘️ \w+ \w+ (.*) ✅""))))"),"Luterbach")</f>
        <v>Luterbach</v>
      </c>
      <c r="F2657" s="2" t="str">
        <f>IFERROR(__xludf.DUMMYFUNCTION("REGEXEXTRACT(C2657, ""🏘️ (\w+) \w+ .* ✅"")"),"Louer")</f>
        <v>Louer</v>
      </c>
      <c r="G2657" s="2" t="str">
        <f>IFERROR(__xludf.DUMMYFUNCTION("REGEXEXTRACT(C2657, ""🏘️ \w+ (\w+) .* ✅"")"),"appartement")</f>
        <v>appartement</v>
      </c>
      <c r="H2657" s="4" t="str">
        <f>IFERROR(__xludf.DUMMYFUNCTION("REGEXEXTRACT(A2657, ""/(\w+)-.*?"")"),"lieu")</f>
        <v>lieu</v>
      </c>
      <c r="I2657" s="4" t="str">
        <f>IFERROR(__xludf.DUMMYFUNCTION("if(D2657=""variant"",  substitute(filter(Templates!E:E, Templates!A:A = F2657, Templates!B:B = G2657, Templates!C:C = H2657), ""{{}}"", E2657), B2657)"),"🏘  Vous cherchez un appartement à louer à Luterbach? ✅ Les annonces les plus actuelles sont sur ImmoScout24.ch.")</f>
        <v>🏘  Vous cherchez un appartement à louer à Luterbach? ✅ Les annonces les plus actuelles sont sur ImmoScout24.ch.</v>
      </c>
      <c r="J2657" s="4" t="s">
        <v>7967</v>
      </c>
    </row>
    <row r="2658">
      <c r="A2658" s="5" t="s">
        <v>7968</v>
      </c>
      <c r="B2658" s="2" t="s">
        <v>7969</v>
      </c>
      <c r="C2658" s="4" t="str">
        <f>IFERROR(__xludf.DUMMYFUNCTION("""🏘️ ""&amp;REGEXEXTRACT(B2658, ""^(.*): "")&amp;"" ✅ "" &amp;REGEXEXTRACT(B2658, ""(Trouvez.*)"")"),"🏘️ Louer appartement Dietlikon ✅ Trouvez le bien immobilier qui correspond idéalement à vos désirs sur ImmoScout24 - La plateforme de l'immobilier en Suisse.")</f>
        <v>🏘️ Louer appartement Dietlikon ✅ Trouvez le bien immobilier qui correspond idéalement à vos désirs sur ImmoScout24 - La plateforme de l'immobilier en Suisse.</v>
      </c>
      <c r="D2658" s="4" t="str">
        <f>vlookup(A2658, Sheet2!D:E, 2, 0)</f>
        <v>variant</v>
      </c>
      <c r="E2658" s="4" t="str">
        <f>IFERROR(__xludf.DUMMYFUNCTION("if(H2658=""pays"",vlookup(REGEXEXTRACT(C2658, ""🏘️ \w+ \w+ (.*) ✅""),'Country prepositions'!A:B, 2, 0) &amp; "" "" &amp; REGEXEXTRACT(C2658, ""🏘️ \w+ \w+ (.*) ✅"") ,  if(H2658=""quartier"",vlookup(REGEXEXTRACT(C2658, ""🏘️ \w+ \w+ (.*) ✅""),'Quartier prepositio"&amp;"ns'!A:E, 5, 0) ,  if(H2658=""region"",vlookup(REGEXEXTRACT(C2658, ""🏘️ \w+ \w+ (.*) ✅""),'Region prepositions'!B:F, 5, 0),  REGEXEXTRACT(C2658, ""🏘️ \w+ \w+ (.*) ✅""))))"),"Dietlikon")</f>
        <v>Dietlikon</v>
      </c>
      <c r="F2658" s="2" t="str">
        <f>IFERROR(__xludf.DUMMYFUNCTION("REGEXEXTRACT(C2658, ""🏘️ (\w+) \w+ .* ✅"")"),"Louer")</f>
        <v>Louer</v>
      </c>
      <c r="G2658" s="2" t="str">
        <f>IFERROR(__xludf.DUMMYFUNCTION("REGEXEXTRACT(C2658, ""🏘️ \w+ (\w+) .* ✅"")"),"appartement")</f>
        <v>appartement</v>
      </c>
      <c r="H2658" s="4" t="str">
        <f>IFERROR(__xludf.DUMMYFUNCTION("REGEXEXTRACT(A2658, ""/(\w+)-.*?"")"),"lieu")</f>
        <v>lieu</v>
      </c>
      <c r="I2658" s="4" t="str">
        <f>IFERROR(__xludf.DUMMYFUNCTION("if(D2658=""variant"",  substitute(filter(Templates!E:E, Templates!A:A = F2658, Templates!B:B = G2658, Templates!C:C = H2658), ""{{}}"", E2658), B2658)"),"🏘  Vous cherchez un appartement à louer à Dietlikon? ✅ Les annonces les plus actuelles sont sur ImmoScout24.ch.")</f>
        <v>🏘  Vous cherchez un appartement à louer à Dietlikon? ✅ Les annonces les plus actuelles sont sur ImmoScout24.ch.</v>
      </c>
      <c r="J2658" s="4" t="s">
        <v>7970</v>
      </c>
    </row>
    <row r="2659">
      <c r="A2659" s="5" t="s">
        <v>7971</v>
      </c>
      <c r="B2659" s="2" t="s">
        <v>7972</v>
      </c>
      <c r="C2659" s="4" t="str">
        <f>IFERROR(__xludf.DUMMYFUNCTION("""🏘️ ""&amp;REGEXEXTRACT(B2659, ""^(.*): "")&amp;"" ✅ "" &amp;REGEXEXTRACT(B2659, ""(Trouvez.*)"")"),"🏘️ Vendre appartement Rüschlikon ✅ Trouvez le bien immobilier qui correspond idéalement à vos désirs sur ImmoScout24 - La plateforme de l'immobilier en Suisse.")</f>
        <v>🏘️ Vendre appartement Rüschlikon ✅ Trouvez le bien immobilier qui correspond idéalement à vos désirs sur ImmoScout24 - La plateforme de l'immobilier en Suisse.</v>
      </c>
      <c r="D2659" s="4" t="str">
        <f>vlookup(A2659, Sheet2!D:E, 2, 0)</f>
        <v>variant</v>
      </c>
      <c r="E2659" s="4" t="str">
        <f>IFERROR(__xludf.DUMMYFUNCTION("if(H2659=""pays"",vlookup(REGEXEXTRACT(C2659, ""🏘️ \w+ \w+ (.*) ✅""),'Country prepositions'!A:B, 2, 0) &amp; "" "" &amp; REGEXEXTRACT(C2659, ""🏘️ \w+ \w+ (.*) ✅"") ,  if(H2659=""quartier"",vlookup(REGEXEXTRACT(C2659, ""🏘️ \w+ \w+ (.*) ✅""),'Quartier prepositio"&amp;"ns'!A:E, 5, 0) ,  if(H2659=""region"",vlookup(REGEXEXTRACT(C2659, ""🏘️ \w+ \w+ (.*) ✅""),'Region prepositions'!B:F, 5, 0),  REGEXEXTRACT(C2659, ""🏘️ \w+ \w+ (.*) ✅""))))"),"Rüschlikon")</f>
        <v>Rüschlikon</v>
      </c>
      <c r="F2659" s="2" t="str">
        <f>IFERROR(__xludf.DUMMYFUNCTION("REGEXEXTRACT(C2659, ""🏘️ (\w+) \w+ .* ✅"")"),"Vendre")</f>
        <v>Vendre</v>
      </c>
      <c r="G2659" s="2" t="str">
        <f>IFERROR(__xludf.DUMMYFUNCTION("REGEXEXTRACT(C2659, ""🏘️ \w+ (\w+) .* ✅"")"),"appartement")</f>
        <v>appartement</v>
      </c>
      <c r="H2659" s="4" t="str">
        <f>IFERROR(__xludf.DUMMYFUNCTION("REGEXEXTRACT(A2659, ""/(\w+)-.*?"")"),"lieu")</f>
        <v>lieu</v>
      </c>
      <c r="I2659" s="4" t="str">
        <f>IFERROR(__xludf.DUMMYFUNCTION("if(D2659=""variant"",  substitute(filter(Templates!E:E, Templates!A:A = F2659, Templates!B:B = G2659, Templates!C:C = H2659), ""{{}}"", E2659), B2659)"),"🏘  L’appartement de vos rêves se trouve sur ImmoScout24.ch ✅ Découvrez les dernières annonces de vente à Rüschlikon.")</f>
        <v>🏘  L’appartement de vos rêves se trouve sur ImmoScout24.ch ✅ Découvrez les dernières annonces de vente à Rüschlikon.</v>
      </c>
      <c r="J2659" s="4" t="s">
        <v>7973</v>
      </c>
    </row>
    <row r="2660">
      <c r="A2660" s="5" t="s">
        <v>7974</v>
      </c>
      <c r="B2660" s="2" t="s">
        <v>7975</v>
      </c>
      <c r="C2660" s="4" t="str">
        <f>IFERROR(__xludf.DUMMYFUNCTION("""🏘️ ""&amp;REGEXEXTRACT(B2660, ""^(.*): "")&amp;"" ✅ "" &amp;REGEXEXTRACT(B2660, ""(Trouvez.*)"")"),"🏘️ Vendre maison Le Brassus ✅ Trouvez le bien immobilier qui correspond idéalement à vos désirs sur ImmoScout24 - La plateforme de l'immobilier en Suisse.")</f>
        <v>🏘️ Vendre maison Le Brassus ✅ Trouvez le bien immobilier qui correspond idéalement à vos désirs sur ImmoScout24 - La plateforme de l'immobilier en Suisse.</v>
      </c>
      <c r="D2660" s="4" t="str">
        <f>vlookup(A2660, Sheet2!D:E, 2, 0)</f>
        <v>variant</v>
      </c>
      <c r="E2660" s="4" t="str">
        <f>IFERROR(__xludf.DUMMYFUNCTION("if(H2660=""pays"",vlookup(REGEXEXTRACT(C2660, ""🏘️ \w+ \w+ (.*) ✅""),'Country prepositions'!A:B, 2, 0) &amp; "" "" &amp; REGEXEXTRACT(C2660, ""🏘️ \w+ \w+ (.*) ✅"") ,  if(H2660=""quartier"",vlookup(REGEXEXTRACT(C2660, ""🏘️ \w+ \w+ (.*) ✅""),'Quartier prepositio"&amp;"ns'!A:E, 5, 0) ,  if(H2660=""region"",vlookup(REGEXEXTRACT(C2660, ""🏘️ \w+ \w+ (.*) ✅""),'Region prepositions'!B:F, 5, 0),  REGEXEXTRACT(C2660, ""🏘️ \w+ \w+ (.*) ✅""))))"),"Le Brassus")</f>
        <v>Le Brassus</v>
      </c>
      <c r="F2660" s="2" t="str">
        <f>IFERROR(__xludf.DUMMYFUNCTION("REGEXEXTRACT(C2660, ""🏘️ (\w+) \w+ .* ✅"")"),"Vendre")</f>
        <v>Vendre</v>
      </c>
      <c r="G2660" s="2" t="str">
        <f>IFERROR(__xludf.DUMMYFUNCTION("REGEXEXTRACT(C2660, ""🏘️ \w+ (\w+) .* ✅"")"),"maison")</f>
        <v>maison</v>
      </c>
      <c r="H2660" s="4" t="str">
        <f>IFERROR(__xludf.DUMMYFUNCTION("REGEXEXTRACT(A2660, ""/(\w+)-.*?"")"),"lieu")</f>
        <v>lieu</v>
      </c>
      <c r="I2660" s="4" t="str">
        <f>IFERROR(__xludf.DUMMYFUNCTION("if(D2660=""variant"",  substitute(filter(Templates!E:E, Templates!A:A = F2660, Templates!B:B = G2660, Templates!C:C = H2660), ""{{}}"", E2660), B2660)"),"🏘  Vous souhaitez acheter une maison à Le Brassus? ✅ Jetez un œil aux dernières offres sur ImmoScout24.ch.")</f>
        <v>🏘  Vous souhaitez acheter une maison à Le Brassus? ✅ Jetez un œil aux dernières offres sur ImmoScout24.ch.</v>
      </c>
      <c r="J2660" s="2" t="s">
        <v>7976</v>
      </c>
    </row>
    <row r="2661">
      <c r="A2661" s="5" t="s">
        <v>7977</v>
      </c>
      <c r="B2661" s="2" t="s">
        <v>7978</v>
      </c>
      <c r="C2661" s="4" t="str">
        <f>IFERROR(__xludf.DUMMYFUNCTION("""🏘️ ""&amp;REGEXEXTRACT(B2661, ""^(.*): "")&amp;"" ✅ "" &amp;REGEXEXTRACT(B2661, ""(Trouvez.*)"")"),"🏘️ Vendre appartement Ipsach ✅ Trouvez le bien immobilier qui correspond idéalement à vos désirs sur ImmoScout24 - La plateforme de l'immobilier en Suisse.")</f>
        <v>🏘️ Vendre appartement Ipsach ✅ Trouvez le bien immobilier qui correspond idéalement à vos désirs sur ImmoScout24 - La plateforme de l'immobilier en Suisse.</v>
      </c>
      <c r="D2661" s="4" t="str">
        <f>vlookup(A2661, Sheet2!D:E, 2, 0)</f>
        <v>variant</v>
      </c>
      <c r="E2661" s="4" t="str">
        <f>IFERROR(__xludf.DUMMYFUNCTION("if(H2661=""pays"",vlookup(REGEXEXTRACT(C2661, ""🏘️ \w+ \w+ (.*) ✅""),'Country prepositions'!A:B, 2, 0) &amp; "" "" &amp; REGEXEXTRACT(C2661, ""🏘️ \w+ \w+ (.*) ✅"") ,  if(H2661=""quartier"",vlookup(REGEXEXTRACT(C2661, ""🏘️ \w+ \w+ (.*) ✅""),'Quartier prepositio"&amp;"ns'!A:E, 5, 0) ,  if(H2661=""region"",vlookup(REGEXEXTRACT(C2661, ""🏘️ \w+ \w+ (.*) ✅""),'Region prepositions'!B:F, 5, 0),  REGEXEXTRACT(C2661, ""🏘️ \w+ \w+ (.*) ✅""))))"),"Ipsach")</f>
        <v>Ipsach</v>
      </c>
      <c r="F2661" s="2" t="str">
        <f>IFERROR(__xludf.DUMMYFUNCTION("REGEXEXTRACT(C2661, ""🏘️ (\w+) \w+ .* ✅"")"),"Vendre")</f>
        <v>Vendre</v>
      </c>
      <c r="G2661" s="2" t="str">
        <f>IFERROR(__xludf.DUMMYFUNCTION("REGEXEXTRACT(C2661, ""🏘️ \w+ (\w+) .* ✅"")"),"appartement")</f>
        <v>appartement</v>
      </c>
      <c r="H2661" s="4" t="str">
        <f>IFERROR(__xludf.DUMMYFUNCTION("REGEXEXTRACT(A2661, ""/(\w+)-.*?"")"),"lieu")</f>
        <v>lieu</v>
      </c>
      <c r="I2661" s="4" t="str">
        <f>IFERROR(__xludf.DUMMYFUNCTION("if(D2661=""variant"",  substitute(filter(Templates!E:E, Templates!A:A = F2661, Templates!B:B = G2661, Templates!C:C = H2661), ""{{}}"", E2661), B2661)"),"🏘  L’appartement de vos rêves se trouve sur ImmoScout24.ch ✅ Découvrez les dernières annonces de vente à Ipsach.")</f>
        <v>🏘  L’appartement de vos rêves se trouve sur ImmoScout24.ch ✅ Découvrez les dernières annonces de vente à Ipsach.</v>
      </c>
      <c r="J2661" s="4" t="s">
        <v>7979</v>
      </c>
    </row>
    <row r="2662">
      <c r="A2662" s="5" t="s">
        <v>7980</v>
      </c>
      <c r="B2662" s="2" t="s">
        <v>7981</v>
      </c>
      <c r="C2662" s="4" t="str">
        <f>IFERROR(__xludf.DUMMYFUNCTION("""🏘️ ""&amp;REGEXEXTRACT(B2662, ""^(.*): "")&amp;"" ✅ "" &amp;REGEXEXTRACT(B2662, ""(Trouvez.*)"")"),"🏘️ Louer appartement Schlieren ✅ Trouvez le bien immobilier qui correspond idéalement à vos désirs sur ImmoScout24 - La plateforme de l'immobilier en Suisse.")</f>
        <v>🏘️ Louer appartement Schlieren ✅ Trouvez le bien immobilier qui correspond idéalement à vos désirs sur ImmoScout24 - La plateforme de l'immobilier en Suisse.</v>
      </c>
      <c r="D2662" s="4" t="str">
        <f>vlookup(A2662, Sheet2!D:E, 2, 0)</f>
        <v>variant</v>
      </c>
      <c r="E2662" s="4" t="str">
        <f>IFERROR(__xludf.DUMMYFUNCTION("if(H2662=""pays"",vlookup(REGEXEXTRACT(C2662, ""🏘️ \w+ \w+ (.*) ✅""),'Country prepositions'!A:B, 2, 0) &amp; "" "" &amp; REGEXEXTRACT(C2662, ""🏘️ \w+ \w+ (.*) ✅"") ,  if(H2662=""quartier"",vlookup(REGEXEXTRACT(C2662, ""🏘️ \w+ \w+ (.*) ✅""),'Quartier prepositio"&amp;"ns'!A:E, 5, 0) ,  if(H2662=""region"",vlookup(REGEXEXTRACT(C2662, ""🏘️ \w+ \w+ (.*) ✅""),'Region prepositions'!B:F, 5, 0),  REGEXEXTRACT(C2662, ""🏘️ \w+ \w+ (.*) ✅""))))"),"Schlieren")</f>
        <v>Schlieren</v>
      </c>
      <c r="F2662" s="2" t="str">
        <f>IFERROR(__xludf.DUMMYFUNCTION("REGEXEXTRACT(C2662, ""🏘️ (\w+) \w+ .* ✅"")"),"Louer")</f>
        <v>Louer</v>
      </c>
      <c r="G2662" s="2" t="str">
        <f>IFERROR(__xludf.DUMMYFUNCTION("REGEXEXTRACT(C2662, ""🏘️ \w+ (\w+) .* ✅"")"),"appartement")</f>
        <v>appartement</v>
      </c>
      <c r="H2662" s="4" t="str">
        <f>IFERROR(__xludf.DUMMYFUNCTION("REGEXEXTRACT(A2662, ""/(\w+)-.*?"")"),"lieu")</f>
        <v>lieu</v>
      </c>
      <c r="I2662" s="4" t="str">
        <f>IFERROR(__xludf.DUMMYFUNCTION("if(D2662=""variant"",  substitute(filter(Templates!E:E, Templates!A:A = F2662, Templates!B:B = G2662, Templates!C:C = H2662), ""{{}}"", E2662), B2662)"),"🏘  Vous cherchez un appartement à louer à Schlieren? ✅ Les annonces les plus actuelles sont sur ImmoScout24.ch.")</f>
        <v>🏘  Vous cherchez un appartement à louer à Schlieren? ✅ Les annonces les plus actuelles sont sur ImmoScout24.ch.</v>
      </c>
      <c r="J2662" s="4" t="s">
        <v>7982</v>
      </c>
    </row>
    <row r="2663">
      <c r="A2663" s="5" t="s">
        <v>7983</v>
      </c>
      <c r="B2663" s="2" t="s">
        <v>7984</v>
      </c>
      <c r="C2663" s="4" t="str">
        <f>IFERROR(__xludf.DUMMYFUNCTION("""🏘️ ""&amp;REGEXEXTRACT(B2663, ""^(.*): "")&amp;"" ✅ "" &amp;REGEXEXTRACT(B2663, ""(Trouvez.*)"")"),"🏘️ Vendre maison Uttwil ✅ Trouvez le bien immobilier qui correspond idéalement à vos désirs sur ImmoScout24 - La plateforme de l'immobilier en Suisse.")</f>
        <v>🏘️ Vendre maison Uttwil ✅ Trouvez le bien immobilier qui correspond idéalement à vos désirs sur ImmoScout24 - La plateforme de l'immobilier en Suisse.</v>
      </c>
      <c r="D2663" s="4" t="str">
        <f>vlookup(A2663, Sheet2!D:E, 2, 0)</f>
        <v>variant</v>
      </c>
      <c r="E2663" s="4" t="str">
        <f>IFERROR(__xludf.DUMMYFUNCTION("if(H2663=""pays"",vlookup(REGEXEXTRACT(C2663, ""🏘️ \w+ \w+ (.*) ✅""),'Country prepositions'!A:B, 2, 0) &amp; "" "" &amp; REGEXEXTRACT(C2663, ""🏘️ \w+ \w+ (.*) ✅"") ,  if(H2663=""quartier"",vlookup(REGEXEXTRACT(C2663, ""🏘️ \w+ \w+ (.*) ✅""),'Quartier prepositio"&amp;"ns'!A:E, 5, 0) ,  if(H2663=""region"",vlookup(REGEXEXTRACT(C2663, ""🏘️ \w+ \w+ (.*) ✅""),'Region prepositions'!B:F, 5, 0),  REGEXEXTRACT(C2663, ""🏘️ \w+ \w+ (.*) ✅""))))"),"Uttwil")</f>
        <v>Uttwil</v>
      </c>
      <c r="F2663" s="2" t="str">
        <f>IFERROR(__xludf.DUMMYFUNCTION("REGEXEXTRACT(C2663, ""🏘️ (\w+) \w+ .* ✅"")"),"Vendre")</f>
        <v>Vendre</v>
      </c>
      <c r="G2663" s="2" t="str">
        <f>IFERROR(__xludf.DUMMYFUNCTION("REGEXEXTRACT(C2663, ""🏘️ \w+ (\w+) .* ✅"")"),"maison")</f>
        <v>maison</v>
      </c>
      <c r="H2663" s="4" t="str">
        <f>IFERROR(__xludf.DUMMYFUNCTION("REGEXEXTRACT(A2663, ""/(\w+)-.*?"")"),"lieu")</f>
        <v>lieu</v>
      </c>
      <c r="I2663" s="4" t="str">
        <f>IFERROR(__xludf.DUMMYFUNCTION("if(D2663=""variant"",  substitute(filter(Templates!E:E, Templates!A:A = F2663, Templates!B:B = G2663, Templates!C:C = H2663), ""{{}}"", E2663), B2663)"),"🏘  Vous souhaitez acheter une maison à Uttwil? ✅ Jetez un œil aux dernières offres sur ImmoScout24.ch.")</f>
        <v>🏘  Vous souhaitez acheter une maison à Uttwil? ✅ Jetez un œil aux dernières offres sur ImmoScout24.ch.</v>
      </c>
      <c r="J2663" s="4" t="s">
        <v>7985</v>
      </c>
    </row>
    <row r="2664">
      <c r="A2664" s="5" t="s">
        <v>7986</v>
      </c>
      <c r="B2664" s="2" t="s">
        <v>7987</v>
      </c>
      <c r="C2664" s="4" t="str">
        <f>IFERROR(__xludf.DUMMYFUNCTION("""🏘️ ""&amp;REGEXEXTRACT(B2664, ""^(.*): "")&amp;"" ✅ "" &amp;REGEXEXTRACT(B2664, ""(Trouvez.*)"")"),"🏘️ Louer appartement Bogis-Bossey ✅ Trouvez le bien immobilier qui correspond idéalement à vos désirs sur ImmoScout24 - La plateforme de l'immobilier en Suisse.")</f>
        <v>🏘️ Louer appartement Bogis-Bossey ✅ Trouvez le bien immobilier qui correspond idéalement à vos désirs sur ImmoScout24 - La plateforme de l'immobilier en Suisse.</v>
      </c>
      <c r="D2664" s="4" t="str">
        <f>vlookup(A2664, Sheet2!D:E, 2, 0)</f>
        <v>variant</v>
      </c>
      <c r="E2664" s="4" t="str">
        <f>IFERROR(__xludf.DUMMYFUNCTION("if(H2664=""pays"",vlookup(REGEXEXTRACT(C2664, ""🏘️ \w+ \w+ (.*) ✅""),'Country prepositions'!A:B, 2, 0) &amp; "" "" &amp; REGEXEXTRACT(C2664, ""🏘️ \w+ \w+ (.*) ✅"") ,  if(H2664=""quartier"",vlookup(REGEXEXTRACT(C2664, ""🏘️ \w+ \w+ (.*) ✅""),'Quartier prepositio"&amp;"ns'!A:E, 5, 0) ,  if(H2664=""region"",vlookup(REGEXEXTRACT(C2664, ""🏘️ \w+ \w+ (.*) ✅""),'Region prepositions'!B:F, 5, 0),  REGEXEXTRACT(C2664, ""🏘️ \w+ \w+ (.*) ✅""))))"),"Bogis-Bossey")</f>
        <v>Bogis-Bossey</v>
      </c>
      <c r="F2664" s="2" t="str">
        <f>IFERROR(__xludf.DUMMYFUNCTION("REGEXEXTRACT(C2664, ""🏘️ (\w+) \w+ .* ✅"")"),"Louer")</f>
        <v>Louer</v>
      </c>
      <c r="G2664" s="2" t="str">
        <f>IFERROR(__xludf.DUMMYFUNCTION("REGEXEXTRACT(C2664, ""🏘️ \w+ (\w+) .* ✅"")"),"appartement")</f>
        <v>appartement</v>
      </c>
      <c r="H2664" s="4" t="str">
        <f>IFERROR(__xludf.DUMMYFUNCTION("REGEXEXTRACT(A2664, ""/(\w+)-.*?"")"),"lieu")</f>
        <v>lieu</v>
      </c>
      <c r="I2664" s="4" t="str">
        <f>IFERROR(__xludf.DUMMYFUNCTION("if(D2664=""variant"",  substitute(filter(Templates!E:E, Templates!A:A = F2664, Templates!B:B = G2664, Templates!C:C = H2664), ""{{}}"", E2664), B2664)"),"🏘  Vous cherchez un appartement à louer à Bogis-Bossey? ✅ Les annonces les plus actuelles sont sur ImmoScout24.ch.")</f>
        <v>🏘  Vous cherchez un appartement à louer à Bogis-Bossey? ✅ Les annonces les plus actuelles sont sur ImmoScout24.ch.</v>
      </c>
      <c r="J2664" s="4" t="s">
        <v>7988</v>
      </c>
    </row>
    <row r="2665">
      <c r="A2665" s="5" t="s">
        <v>7989</v>
      </c>
      <c r="B2665" s="2" t="s">
        <v>7990</v>
      </c>
      <c r="C2665" s="4" t="str">
        <f>IFERROR(__xludf.DUMMYFUNCTION("""🏘️ ""&amp;REGEXEXTRACT(B2665, ""^(.*): "")&amp;"" ✅ "" &amp;REGEXEXTRACT(B2665, ""(Trouvez.*)"")"),"🏘️ Vendre appartement Uzwil ✅ Trouvez le bien immobilier qui correspond idéalement à vos désirs sur ImmoScout24 - La plateforme de l'immobilier en Suisse.")</f>
        <v>🏘️ Vendre appartement Uzwil ✅ Trouvez le bien immobilier qui correspond idéalement à vos désirs sur ImmoScout24 - La plateforme de l'immobilier en Suisse.</v>
      </c>
      <c r="D2665" s="4" t="str">
        <f>vlookup(A2665, Sheet2!D:E, 2, 0)</f>
        <v>variant</v>
      </c>
      <c r="E2665" s="4" t="str">
        <f>IFERROR(__xludf.DUMMYFUNCTION("if(H2665=""pays"",vlookup(REGEXEXTRACT(C2665, ""🏘️ \w+ \w+ (.*) ✅""),'Country prepositions'!A:B, 2, 0) &amp; "" "" &amp; REGEXEXTRACT(C2665, ""🏘️ \w+ \w+ (.*) ✅"") ,  if(H2665=""quartier"",vlookup(REGEXEXTRACT(C2665, ""🏘️ \w+ \w+ (.*) ✅""),'Quartier prepositio"&amp;"ns'!A:E, 5, 0) ,  if(H2665=""region"",vlookup(REGEXEXTRACT(C2665, ""🏘️ \w+ \w+ (.*) ✅""),'Region prepositions'!B:F, 5, 0),  REGEXEXTRACT(C2665, ""🏘️ \w+ \w+ (.*) ✅""))))"),"Uzwil")</f>
        <v>Uzwil</v>
      </c>
      <c r="F2665" s="2" t="str">
        <f>IFERROR(__xludf.DUMMYFUNCTION("REGEXEXTRACT(C2665, ""🏘️ (\w+) \w+ .* ✅"")"),"Vendre")</f>
        <v>Vendre</v>
      </c>
      <c r="G2665" s="2" t="str">
        <f>IFERROR(__xludf.DUMMYFUNCTION("REGEXEXTRACT(C2665, ""🏘️ \w+ (\w+) .* ✅"")"),"appartement")</f>
        <v>appartement</v>
      </c>
      <c r="H2665" s="4" t="str">
        <f>IFERROR(__xludf.DUMMYFUNCTION("REGEXEXTRACT(A2665, ""/(\w+)-.*?"")"),"lieu")</f>
        <v>lieu</v>
      </c>
      <c r="I2665" s="4" t="str">
        <f>IFERROR(__xludf.DUMMYFUNCTION("if(D2665=""variant"",  substitute(filter(Templates!E:E, Templates!A:A = F2665, Templates!B:B = G2665, Templates!C:C = H2665), ""{{}}"", E2665), B2665)"),"🏘  L’appartement de vos rêves se trouve sur ImmoScout24.ch ✅ Découvrez les dernières annonces de vente à Uzwil.")</f>
        <v>🏘  L’appartement de vos rêves se trouve sur ImmoScout24.ch ✅ Découvrez les dernières annonces de vente à Uzwil.</v>
      </c>
      <c r="J2665" s="4" t="s">
        <v>7991</v>
      </c>
    </row>
    <row r="2666">
      <c r="A2666" s="5" t="s">
        <v>7992</v>
      </c>
      <c r="B2666" s="2" t="s">
        <v>7993</v>
      </c>
      <c r="C2666" s="4" t="str">
        <f>IFERROR(__xludf.DUMMYFUNCTION("""🏘️ ""&amp;REGEXEXTRACT(B2666, ""^(.*): "")&amp;"" ✅ "" &amp;REGEXEXTRACT(B2666, ""(Trouvez.*)"")"),"🏘️ Louer maison Erlinsbach ✅ Trouvez le bien immobilier qui correspond idéalement à vos désirs sur ImmoScout24 - La plateforme de l'immobilier en Suisse.")</f>
        <v>🏘️ Louer maison Erlinsbach ✅ Trouvez le bien immobilier qui correspond idéalement à vos désirs sur ImmoScout24 - La plateforme de l'immobilier en Suisse.</v>
      </c>
      <c r="D2666" s="4" t="str">
        <f>vlookup(A2666, Sheet2!D:E, 2, 0)</f>
        <v>variant</v>
      </c>
      <c r="E2666" s="4" t="str">
        <f>IFERROR(__xludf.DUMMYFUNCTION("if(H2666=""pays"",vlookup(REGEXEXTRACT(C2666, ""🏘️ \w+ \w+ (.*) ✅""),'Country prepositions'!A:B, 2, 0) &amp; "" "" &amp; REGEXEXTRACT(C2666, ""🏘️ \w+ \w+ (.*) ✅"") ,  if(H2666=""quartier"",vlookup(REGEXEXTRACT(C2666, ""🏘️ \w+ \w+ (.*) ✅""),'Quartier prepositio"&amp;"ns'!A:E, 5, 0) ,  if(H2666=""region"",vlookup(REGEXEXTRACT(C2666, ""🏘️ \w+ \w+ (.*) ✅""),'Region prepositions'!B:F, 5, 0),  REGEXEXTRACT(C2666, ""🏘️ \w+ \w+ (.*) ✅""))))"),"Erlinsbach")</f>
        <v>Erlinsbach</v>
      </c>
      <c r="F2666" s="2" t="str">
        <f>IFERROR(__xludf.DUMMYFUNCTION("REGEXEXTRACT(C2666, ""🏘️ (\w+) \w+ .* ✅"")"),"Louer")</f>
        <v>Louer</v>
      </c>
      <c r="G2666" s="2" t="str">
        <f>IFERROR(__xludf.DUMMYFUNCTION("REGEXEXTRACT(C2666, ""🏘️ \w+ (\w+) .* ✅"")"),"maison")</f>
        <v>maison</v>
      </c>
      <c r="H2666" s="4" t="str">
        <f>IFERROR(__xludf.DUMMYFUNCTION("REGEXEXTRACT(A2666, ""/(\w+)-.*?"")"),"lieu")</f>
        <v>lieu</v>
      </c>
      <c r="I2666" s="4" t="str">
        <f>IFERROR(__xludf.DUMMYFUNCTION("if(D2666=""variant"",  substitute(filter(Templates!E:E, Templates!A:A = F2666, Templates!B:B = G2666, Templates!C:C = H2666), ""{{}}"", E2666), B2666)"),"🏘  Vous cherchez une maison à louer à Erlinsbach? ✅ Découvrez nos nombreuses annonces sur ImmoScout24.ch.")</f>
        <v>🏘  Vous cherchez une maison à louer à Erlinsbach? ✅ Découvrez nos nombreuses annonces sur ImmoScout24.ch.</v>
      </c>
      <c r="J2666" s="4" t="s">
        <v>7994</v>
      </c>
    </row>
    <row r="2667">
      <c r="A2667" s="5" t="s">
        <v>7995</v>
      </c>
      <c r="B2667" s="2" t="s">
        <v>7996</v>
      </c>
      <c r="C2667" s="4" t="str">
        <f>IFERROR(__xludf.DUMMYFUNCTION("""🏘️ ""&amp;REGEXEXTRACT(B2667, ""^(.*): "")&amp;"" ✅ "" &amp;REGEXEXTRACT(B2667, ""(Trouvez.*)"")"),"🏘️ Louer appartement Châtel-St-Denis ✅ Trouvez le bien immobilier qui correspond idéalement à vos désirs sur ImmoScout24 - La plateforme de l'immobilier en Suisse.")</f>
        <v>🏘️ Louer appartement Châtel-St-Denis ✅ Trouvez le bien immobilier qui correspond idéalement à vos désirs sur ImmoScout24 - La plateforme de l'immobilier en Suisse.</v>
      </c>
      <c r="D2667" s="4" t="str">
        <f>vlookup(A2667, Sheet2!D:E, 2, 0)</f>
        <v>variant</v>
      </c>
      <c r="E2667" s="4" t="str">
        <f>IFERROR(__xludf.DUMMYFUNCTION("if(H2667=""pays"",vlookup(REGEXEXTRACT(C2667, ""🏘️ \w+ \w+ (.*) ✅""),'Country prepositions'!A:B, 2, 0) &amp; "" "" &amp; REGEXEXTRACT(C2667, ""🏘️ \w+ \w+ (.*) ✅"") ,  if(H2667=""quartier"",vlookup(REGEXEXTRACT(C2667, ""🏘️ \w+ \w+ (.*) ✅""),'Quartier prepositio"&amp;"ns'!A:E, 5, 0) ,  if(H2667=""region"",vlookup(REGEXEXTRACT(C2667, ""🏘️ \w+ \w+ (.*) ✅""),'Region prepositions'!B:F, 5, 0),  REGEXEXTRACT(C2667, ""🏘️ \w+ \w+ (.*) ✅""))))"),"Châtel-St-Denis")</f>
        <v>Châtel-St-Denis</v>
      </c>
      <c r="F2667" s="2" t="str">
        <f>IFERROR(__xludf.DUMMYFUNCTION("REGEXEXTRACT(C2667, ""🏘️ (\w+) \w+ .* ✅"")"),"Louer")</f>
        <v>Louer</v>
      </c>
      <c r="G2667" s="2" t="str">
        <f>IFERROR(__xludf.DUMMYFUNCTION("REGEXEXTRACT(C2667, ""🏘️ \w+ (\w+) .* ✅"")"),"appartement")</f>
        <v>appartement</v>
      </c>
      <c r="H2667" s="4" t="str">
        <f>IFERROR(__xludf.DUMMYFUNCTION("REGEXEXTRACT(A2667, ""/(\w+)-.*?"")"),"lieu")</f>
        <v>lieu</v>
      </c>
      <c r="I2667" s="4" t="str">
        <f>IFERROR(__xludf.DUMMYFUNCTION("if(D2667=""variant"",  substitute(filter(Templates!E:E, Templates!A:A = F2667, Templates!B:B = G2667, Templates!C:C = H2667), ""{{}}"", E2667), B2667)"),"🏘  Vous cherchez un appartement à louer à Châtel-St-Denis? ✅ Les annonces les plus actuelles sont sur ImmoScout24.ch.")</f>
        <v>🏘  Vous cherchez un appartement à louer à Châtel-St-Denis? ✅ Les annonces les plus actuelles sont sur ImmoScout24.ch.</v>
      </c>
      <c r="J2667" s="4" t="s">
        <v>7997</v>
      </c>
    </row>
    <row r="2668">
      <c r="A2668" s="5" t="s">
        <v>7998</v>
      </c>
      <c r="B2668" s="2" t="s">
        <v>7999</v>
      </c>
      <c r="C2668" s="4" t="str">
        <f>IFERROR(__xludf.DUMMYFUNCTION("""🏘️ ""&amp;REGEXEXTRACT(B2668, ""^(.*): "")&amp;"" ✅ "" &amp;REGEXEXTRACT(B2668, ""(Trouvez.*)"")"),"🏘️ Vendre maison Kreuzlingen ✅ Trouvez le bien immobilier qui correspond idéalement à vos désirs sur ImmoScout24 - La plateforme de l'immobilier en Suisse.")</f>
        <v>🏘️ Vendre maison Kreuzlingen ✅ Trouvez le bien immobilier qui correspond idéalement à vos désirs sur ImmoScout24 - La plateforme de l'immobilier en Suisse.</v>
      </c>
      <c r="D2668" s="4" t="str">
        <f>vlookup(A2668, Sheet2!D:E, 2, 0)</f>
        <v>variant</v>
      </c>
      <c r="E2668" s="4" t="str">
        <f>IFERROR(__xludf.DUMMYFUNCTION("if(H2668=""pays"",vlookup(REGEXEXTRACT(C2668, ""🏘️ \w+ \w+ (.*) ✅""),'Country prepositions'!A:B, 2, 0) &amp; "" "" &amp; REGEXEXTRACT(C2668, ""🏘️ \w+ \w+ (.*) ✅"") ,  if(H2668=""quartier"",vlookup(REGEXEXTRACT(C2668, ""🏘️ \w+ \w+ (.*) ✅""),'Quartier prepositio"&amp;"ns'!A:E, 5, 0) ,  if(H2668=""region"",vlookup(REGEXEXTRACT(C2668, ""🏘️ \w+ \w+ (.*) ✅""),'Region prepositions'!B:F, 5, 0),  REGEXEXTRACT(C2668, ""🏘️ \w+ \w+ (.*) ✅""))))"),"Kreuzlingen")</f>
        <v>Kreuzlingen</v>
      </c>
      <c r="F2668" s="2" t="str">
        <f>IFERROR(__xludf.DUMMYFUNCTION("REGEXEXTRACT(C2668, ""🏘️ (\w+) \w+ .* ✅"")"),"Vendre")</f>
        <v>Vendre</v>
      </c>
      <c r="G2668" s="2" t="str">
        <f>IFERROR(__xludf.DUMMYFUNCTION("REGEXEXTRACT(C2668, ""🏘️ \w+ (\w+) .* ✅"")"),"maison")</f>
        <v>maison</v>
      </c>
      <c r="H2668" s="4" t="str">
        <f>IFERROR(__xludf.DUMMYFUNCTION("REGEXEXTRACT(A2668, ""/(\w+)-.*?"")"),"lieu")</f>
        <v>lieu</v>
      </c>
      <c r="I2668" s="4" t="str">
        <f>IFERROR(__xludf.DUMMYFUNCTION("if(D2668=""variant"",  substitute(filter(Templates!E:E, Templates!A:A = F2668, Templates!B:B = G2668, Templates!C:C = H2668), ""{{}}"", E2668), B2668)"),"🏘  Vous souhaitez acheter une maison à Kreuzlingen? ✅ Jetez un œil aux dernières offres sur ImmoScout24.ch.")</f>
        <v>🏘  Vous souhaitez acheter une maison à Kreuzlingen? ✅ Jetez un œil aux dernières offres sur ImmoScout24.ch.</v>
      </c>
      <c r="J2668" s="4" t="s">
        <v>8000</v>
      </c>
    </row>
    <row r="2669">
      <c r="A2669" s="5" t="s">
        <v>8001</v>
      </c>
      <c r="B2669" s="2" t="s">
        <v>8002</v>
      </c>
      <c r="C2669" s="4" t="str">
        <f>IFERROR(__xludf.DUMMYFUNCTION("""🏘️ ""&amp;REGEXEXTRACT(B2669, ""^(.*): "")&amp;"" ✅ "" &amp;REGEXEXTRACT(B2669, ""(Trouvez.*)"")"),"🏘️ Louer appartement Lengnau AG ✅ Trouvez le bien immobilier qui correspond idéalement à vos désirs sur ImmoScout24 - La plateforme de l'immobilier en Suisse.")</f>
        <v>🏘️ Louer appartement Lengnau AG ✅ Trouvez le bien immobilier qui correspond idéalement à vos désirs sur ImmoScout24 - La plateforme de l'immobilier en Suisse.</v>
      </c>
      <c r="D2669" s="4" t="str">
        <f>vlookup(A2669, Sheet2!D:E, 2, 0)</f>
        <v>variant</v>
      </c>
      <c r="E2669" s="4" t="str">
        <f>IFERROR(__xludf.DUMMYFUNCTION("if(H2669=""pays"",vlookup(REGEXEXTRACT(C2669, ""🏘️ \w+ \w+ (.*) ✅""),'Country prepositions'!A:B, 2, 0) &amp; "" "" &amp; REGEXEXTRACT(C2669, ""🏘️ \w+ \w+ (.*) ✅"") ,  if(H2669=""quartier"",vlookup(REGEXEXTRACT(C2669, ""🏘️ \w+ \w+ (.*) ✅""),'Quartier prepositio"&amp;"ns'!A:E, 5, 0) ,  if(H2669=""region"",vlookup(REGEXEXTRACT(C2669, ""🏘️ \w+ \w+ (.*) ✅""),'Region prepositions'!B:F, 5, 0),  REGEXEXTRACT(C2669, ""🏘️ \w+ \w+ (.*) ✅""))))"),"Lengnau AG")</f>
        <v>Lengnau AG</v>
      </c>
      <c r="F2669" s="2" t="str">
        <f>IFERROR(__xludf.DUMMYFUNCTION("REGEXEXTRACT(C2669, ""🏘️ (\w+) \w+ .* ✅"")"),"Louer")</f>
        <v>Louer</v>
      </c>
      <c r="G2669" s="2" t="str">
        <f>IFERROR(__xludf.DUMMYFUNCTION("REGEXEXTRACT(C2669, ""🏘️ \w+ (\w+) .* ✅"")"),"appartement")</f>
        <v>appartement</v>
      </c>
      <c r="H2669" s="4" t="str">
        <f>IFERROR(__xludf.DUMMYFUNCTION("REGEXEXTRACT(A2669, ""/(\w+)-.*?"")"),"lieu")</f>
        <v>lieu</v>
      </c>
      <c r="I2669" s="4" t="str">
        <f>IFERROR(__xludf.DUMMYFUNCTION("if(D2669=""variant"",  substitute(filter(Templates!E:E, Templates!A:A = F2669, Templates!B:B = G2669, Templates!C:C = H2669), ""{{}}"", E2669), B2669)"),"🏘  Vous cherchez un appartement à louer à Lengnau AG? ✅ Les annonces les plus actuelles sont sur ImmoScout24.ch.")</f>
        <v>🏘  Vous cherchez un appartement à louer à Lengnau AG? ✅ Les annonces les plus actuelles sont sur ImmoScout24.ch.</v>
      </c>
      <c r="J2669" s="2" t="s">
        <v>8003</v>
      </c>
    </row>
    <row r="2670">
      <c r="A2670" s="5" t="s">
        <v>8004</v>
      </c>
      <c r="B2670" s="2" t="s">
        <v>8005</v>
      </c>
      <c r="C2670" s="4" t="str">
        <f>IFERROR(__xludf.DUMMYFUNCTION("""🏘️ ""&amp;REGEXEXTRACT(B2670, ""^(.*): "")&amp;"" ✅ "" &amp;REGEXEXTRACT(B2670, ""(Trouvez.*)"")"),"🏘️ Vendre maison Cotterd ✅ Trouvez le bien immobilier qui correspond idéalement à vos désirs sur ImmoScout24 - La plateforme de l'immobilier en Suisse.")</f>
        <v>🏘️ Vendre maison Cotterd ✅ Trouvez le bien immobilier qui correspond idéalement à vos désirs sur ImmoScout24 - La plateforme de l'immobilier en Suisse.</v>
      </c>
      <c r="D2670" s="4" t="str">
        <f>vlookup(A2670, Sheet2!D:E, 2, 0)</f>
        <v>variant</v>
      </c>
      <c r="E2670" s="4" t="str">
        <f>IFERROR(__xludf.DUMMYFUNCTION("if(H2670=""pays"",vlookup(REGEXEXTRACT(C2670, ""🏘️ \w+ \w+ (.*) ✅""),'Country prepositions'!A:B, 2, 0) &amp; "" "" &amp; REGEXEXTRACT(C2670, ""🏘️ \w+ \w+ (.*) ✅"") ,  if(H2670=""quartier"",vlookup(REGEXEXTRACT(C2670, ""🏘️ \w+ \w+ (.*) ✅""),'Quartier prepositio"&amp;"ns'!A:E, 5, 0) ,  if(H2670=""region"",vlookup(REGEXEXTRACT(C2670, ""🏘️ \w+ \w+ (.*) ✅""),'Region prepositions'!B:F, 5, 0),  REGEXEXTRACT(C2670, ""🏘️ \w+ \w+ (.*) ✅""))))"),"Cotterd")</f>
        <v>Cotterd</v>
      </c>
      <c r="F2670" s="2" t="str">
        <f>IFERROR(__xludf.DUMMYFUNCTION("REGEXEXTRACT(C2670, ""🏘️ (\w+) \w+ .* ✅"")"),"Vendre")</f>
        <v>Vendre</v>
      </c>
      <c r="G2670" s="2" t="str">
        <f>IFERROR(__xludf.DUMMYFUNCTION("REGEXEXTRACT(C2670, ""🏘️ \w+ (\w+) .* ✅"")"),"maison")</f>
        <v>maison</v>
      </c>
      <c r="H2670" s="4" t="str">
        <f>IFERROR(__xludf.DUMMYFUNCTION("REGEXEXTRACT(A2670, ""/(\w+)-.*?"")"),"lieu")</f>
        <v>lieu</v>
      </c>
      <c r="I2670" s="4" t="str">
        <f>IFERROR(__xludf.DUMMYFUNCTION("if(D2670=""variant"",  substitute(filter(Templates!E:E, Templates!A:A = F2670, Templates!B:B = G2670, Templates!C:C = H2670), ""{{}}"", E2670), B2670)"),"🏘  Vous souhaitez acheter une maison à Cotterd? ✅ Jetez un œil aux dernières offres sur ImmoScout24.ch.")</f>
        <v>🏘  Vous souhaitez acheter une maison à Cotterd? ✅ Jetez un œil aux dernières offres sur ImmoScout24.ch.</v>
      </c>
      <c r="J2670" s="4" t="s">
        <v>8006</v>
      </c>
    </row>
    <row r="2671">
      <c r="A2671" s="5" t="s">
        <v>8007</v>
      </c>
      <c r="B2671" s="2" t="s">
        <v>8008</v>
      </c>
      <c r="C2671" s="4" t="str">
        <f>IFERROR(__xludf.DUMMYFUNCTION("""🏘️ ""&amp;REGEXEXTRACT(B2671, ""^(.*): "")&amp;"" ✅ "" &amp;REGEXEXTRACT(B2671, ""(Trouvez.*)"")"),"🏘️ Louer appartement Cormérod ✅ Trouvez le bien immobilier qui correspond idéalement à vos désirs sur ImmoScout24 - La plateforme de l'immobilier en Suisse.")</f>
        <v>🏘️ Louer appartement Cormérod ✅ Trouvez le bien immobilier qui correspond idéalement à vos désirs sur ImmoScout24 - La plateforme de l'immobilier en Suisse.</v>
      </c>
      <c r="D2671" s="4" t="str">
        <f>vlookup(A2671, Sheet2!D:E, 2, 0)</f>
        <v>variant</v>
      </c>
      <c r="E2671" s="4" t="str">
        <f>IFERROR(__xludf.DUMMYFUNCTION("if(H2671=""pays"",vlookup(REGEXEXTRACT(C2671, ""🏘️ \w+ \w+ (.*) ✅""),'Country prepositions'!A:B, 2, 0) &amp; "" "" &amp; REGEXEXTRACT(C2671, ""🏘️ \w+ \w+ (.*) ✅"") ,  if(H2671=""quartier"",vlookup(REGEXEXTRACT(C2671, ""🏘️ \w+ \w+ (.*) ✅""),'Quartier prepositio"&amp;"ns'!A:E, 5, 0) ,  if(H2671=""region"",vlookup(REGEXEXTRACT(C2671, ""🏘️ \w+ \w+ (.*) ✅""),'Region prepositions'!B:F, 5, 0),  REGEXEXTRACT(C2671, ""🏘️ \w+ \w+ (.*) ✅""))))"),"Cormérod")</f>
        <v>Cormérod</v>
      </c>
      <c r="F2671" s="2" t="str">
        <f>IFERROR(__xludf.DUMMYFUNCTION("REGEXEXTRACT(C2671, ""🏘️ (\w+) \w+ .* ✅"")"),"Louer")</f>
        <v>Louer</v>
      </c>
      <c r="G2671" s="2" t="str">
        <f>IFERROR(__xludf.DUMMYFUNCTION("REGEXEXTRACT(C2671, ""🏘️ \w+ (\w+) .* ✅"")"),"appartement")</f>
        <v>appartement</v>
      </c>
      <c r="H2671" s="4" t="str">
        <f>IFERROR(__xludf.DUMMYFUNCTION("REGEXEXTRACT(A2671, ""/(\w+)-.*?"")"),"lieu")</f>
        <v>lieu</v>
      </c>
      <c r="I2671" s="4" t="str">
        <f>IFERROR(__xludf.DUMMYFUNCTION("if(D2671=""variant"",  substitute(filter(Templates!E:E, Templates!A:A = F2671, Templates!B:B = G2671, Templates!C:C = H2671), ""{{}}"", E2671), B2671)"),"🏘  Vous cherchez un appartement à louer à Cormérod? ✅ Les annonces les plus actuelles sont sur ImmoScout24.ch.")</f>
        <v>🏘  Vous cherchez un appartement à louer à Cormérod? ✅ Les annonces les plus actuelles sont sur ImmoScout24.ch.</v>
      </c>
      <c r="J2671" s="4" t="s">
        <v>8009</v>
      </c>
    </row>
    <row r="2672">
      <c r="A2672" s="5" t="s">
        <v>8010</v>
      </c>
      <c r="B2672" s="2" t="s">
        <v>8011</v>
      </c>
      <c r="C2672" s="4" t="str">
        <f>IFERROR(__xludf.DUMMYFUNCTION("""🏘️ ""&amp;REGEXEXTRACT(B2672, ""^(.*): "")&amp;"" ✅ "" &amp;REGEXEXTRACT(B2672, ""(Trouvez.*)"")"),"🏘️ Louer maison Alle ✅ Trouvez le bien immobilier qui correspond idéalement à vos désirs sur ImmoScout24 - La plateforme de l'immobilier en Suisse.")</f>
        <v>🏘️ Louer maison Alle ✅ Trouvez le bien immobilier qui correspond idéalement à vos désirs sur ImmoScout24 - La plateforme de l'immobilier en Suisse.</v>
      </c>
      <c r="D2672" s="4" t="str">
        <f>vlookup(A2672, Sheet2!D:E, 2, 0)</f>
        <v>variant</v>
      </c>
      <c r="E2672" s="4" t="str">
        <f>IFERROR(__xludf.DUMMYFUNCTION("if(H2672=""pays"",vlookup(REGEXEXTRACT(C2672, ""🏘️ \w+ \w+ (.*) ✅""),'Country prepositions'!A:B, 2, 0) &amp; "" "" &amp; REGEXEXTRACT(C2672, ""🏘️ \w+ \w+ (.*) ✅"") ,  if(H2672=""quartier"",vlookup(REGEXEXTRACT(C2672, ""🏘️ \w+ \w+ (.*) ✅""),'Quartier prepositio"&amp;"ns'!A:E, 5, 0) ,  if(H2672=""region"",vlookup(REGEXEXTRACT(C2672, ""🏘️ \w+ \w+ (.*) ✅""),'Region prepositions'!B:F, 5, 0),  REGEXEXTRACT(C2672, ""🏘️ \w+ \w+ (.*) ✅""))))"),"Alle")</f>
        <v>Alle</v>
      </c>
      <c r="F2672" s="2" t="str">
        <f>IFERROR(__xludf.DUMMYFUNCTION("REGEXEXTRACT(C2672, ""🏘️ (\w+) \w+ .* ✅"")"),"Louer")</f>
        <v>Louer</v>
      </c>
      <c r="G2672" s="2" t="str">
        <f>IFERROR(__xludf.DUMMYFUNCTION("REGEXEXTRACT(C2672, ""🏘️ \w+ (\w+) .* ✅"")"),"maison")</f>
        <v>maison</v>
      </c>
      <c r="H2672" s="4" t="str">
        <f>IFERROR(__xludf.DUMMYFUNCTION("REGEXEXTRACT(A2672, ""/(\w+)-.*?"")"),"lieu")</f>
        <v>lieu</v>
      </c>
      <c r="I2672" s="4" t="str">
        <f>IFERROR(__xludf.DUMMYFUNCTION("if(D2672=""variant"",  substitute(filter(Templates!E:E, Templates!A:A = F2672, Templates!B:B = G2672, Templates!C:C = H2672), ""{{}}"", E2672), B2672)"),"🏘  Vous cherchez une maison à louer à Alle? ✅ Découvrez nos nombreuses annonces sur ImmoScout24.ch.")</f>
        <v>🏘  Vous cherchez une maison à louer à Alle? ✅ Découvrez nos nombreuses annonces sur ImmoScout24.ch.</v>
      </c>
      <c r="J2672" s="4" t="s">
        <v>8012</v>
      </c>
    </row>
    <row r="2673">
      <c r="A2673" s="5" t="s">
        <v>8013</v>
      </c>
      <c r="B2673" s="2" t="s">
        <v>8014</v>
      </c>
      <c r="C2673" s="4" t="str">
        <f>IFERROR(__xludf.DUMMYFUNCTION("""🏘️ ""&amp;REGEXEXTRACT(B2673, ""^(.*): "")&amp;"" ✅ "" &amp;REGEXEXTRACT(B2673, ""(Trouvez.*)"")"),"🏘️ Louer appartement Oberschrot ✅ Trouvez le bien immobilier qui correspond idéalement à vos désirs sur ImmoScout24 - La plateforme de l'immobilier en Suisse.")</f>
        <v>🏘️ Louer appartement Oberschrot ✅ Trouvez le bien immobilier qui correspond idéalement à vos désirs sur ImmoScout24 - La plateforme de l'immobilier en Suisse.</v>
      </c>
      <c r="D2673" s="4" t="str">
        <f>vlookup(A2673, Sheet2!D:E, 2, 0)</f>
        <v>variant</v>
      </c>
      <c r="E2673" s="4" t="str">
        <f>IFERROR(__xludf.DUMMYFUNCTION("if(H2673=""pays"",vlookup(REGEXEXTRACT(C2673, ""🏘️ \w+ \w+ (.*) ✅""),'Country prepositions'!A:B, 2, 0) &amp; "" "" &amp; REGEXEXTRACT(C2673, ""🏘️ \w+ \w+ (.*) ✅"") ,  if(H2673=""quartier"",vlookup(REGEXEXTRACT(C2673, ""🏘️ \w+ \w+ (.*) ✅""),'Quartier prepositio"&amp;"ns'!A:E, 5, 0) ,  if(H2673=""region"",vlookup(REGEXEXTRACT(C2673, ""🏘️ \w+ \w+ (.*) ✅""),'Region prepositions'!B:F, 5, 0),  REGEXEXTRACT(C2673, ""🏘️ \w+ \w+ (.*) ✅""))))"),"Oberschrot")</f>
        <v>Oberschrot</v>
      </c>
      <c r="F2673" s="2" t="str">
        <f>IFERROR(__xludf.DUMMYFUNCTION("REGEXEXTRACT(C2673, ""🏘️ (\w+) \w+ .* ✅"")"),"Louer")</f>
        <v>Louer</v>
      </c>
      <c r="G2673" s="2" t="str">
        <f>IFERROR(__xludf.DUMMYFUNCTION("REGEXEXTRACT(C2673, ""🏘️ \w+ (\w+) .* ✅"")"),"appartement")</f>
        <v>appartement</v>
      </c>
      <c r="H2673" s="4" t="str">
        <f>IFERROR(__xludf.DUMMYFUNCTION("REGEXEXTRACT(A2673, ""/(\w+)-.*?"")"),"lieu")</f>
        <v>lieu</v>
      </c>
      <c r="I2673" s="4" t="str">
        <f>IFERROR(__xludf.DUMMYFUNCTION("if(D2673=""variant"",  substitute(filter(Templates!E:E, Templates!A:A = F2673, Templates!B:B = G2673, Templates!C:C = H2673), ""{{}}"", E2673), B2673)"),"🏘  Vous cherchez un appartement à louer à Oberschrot? ✅ Les annonces les plus actuelles sont sur ImmoScout24.ch.")</f>
        <v>🏘  Vous cherchez un appartement à louer à Oberschrot? ✅ Les annonces les plus actuelles sont sur ImmoScout24.ch.</v>
      </c>
      <c r="J2673" s="4" t="s">
        <v>8015</v>
      </c>
    </row>
    <row r="2674">
      <c r="A2674" s="5" t="s">
        <v>8016</v>
      </c>
      <c r="B2674" s="2" t="s">
        <v>8017</v>
      </c>
      <c r="C2674" s="4" t="str">
        <f>IFERROR(__xludf.DUMMYFUNCTION("""🏘️ ""&amp;REGEXEXTRACT(B2674, ""^(.*): "")&amp;"" ✅ "" &amp;REGEXEXTRACT(B2674, ""(Trouvez.*)"")"),"🏘️ Louer appartement Zell LU ✅ Trouvez le bien immobilier qui correspond idéalement à vos désirs sur ImmoScout24 - La plateforme de l'immobilier en Suisse.")</f>
        <v>🏘️ Louer appartement Zell LU ✅ Trouvez le bien immobilier qui correspond idéalement à vos désirs sur ImmoScout24 - La plateforme de l'immobilier en Suisse.</v>
      </c>
      <c r="D2674" s="4" t="str">
        <f>vlookup(A2674, Sheet2!D:E, 2, 0)</f>
        <v>variant</v>
      </c>
      <c r="E2674" s="4" t="str">
        <f>IFERROR(__xludf.DUMMYFUNCTION("if(H2674=""pays"",vlookup(REGEXEXTRACT(C2674, ""🏘️ \w+ \w+ (.*) ✅""),'Country prepositions'!A:B, 2, 0) &amp; "" "" &amp; REGEXEXTRACT(C2674, ""🏘️ \w+ \w+ (.*) ✅"") ,  if(H2674=""quartier"",vlookup(REGEXEXTRACT(C2674, ""🏘️ \w+ \w+ (.*) ✅""),'Quartier prepositio"&amp;"ns'!A:E, 5, 0) ,  if(H2674=""region"",vlookup(REGEXEXTRACT(C2674, ""🏘️ \w+ \w+ (.*) ✅""),'Region prepositions'!B:F, 5, 0),  REGEXEXTRACT(C2674, ""🏘️ \w+ \w+ (.*) ✅""))))"),"Zell LU")</f>
        <v>Zell LU</v>
      </c>
      <c r="F2674" s="2" t="str">
        <f>IFERROR(__xludf.DUMMYFUNCTION("REGEXEXTRACT(C2674, ""🏘️ (\w+) \w+ .* ✅"")"),"Louer")</f>
        <v>Louer</v>
      </c>
      <c r="G2674" s="2" t="str">
        <f>IFERROR(__xludf.DUMMYFUNCTION("REGEXEXTRACT(C2674, ""🏘️ \w+ (\w+) .* ✅"")"),"appartement")</f>
        <v>appartement</v>
      </c>
      <c r="H2674" s="4" t="str">
        <f>IFERROR(__xludf.DUMMYFUNCTION("REGEXEXTRACT(A2674, ""/(\w+)-.*?"")"),"lieu")</f>
        <v>lieu</v>
      </c>
      <c r="I2674" s="4" t="str">
        <f>IFERROR(__xludf.DUMMYFUNCTION("if(D2674=""variant"",  substitute(filter(Templates!E:E, Templates!A:A = F2674, Templates!B:B = G2674, Templates!C:C = H2674), ""{{}}"", E2674), B2674)"),"🏘  Vous cherchez un appartement à louer à Zell LU? ✅ Les annonces les plus actuelles sont sur ImmoScout24.ch.")</f>
        <v>🏘  Vous cherchez un appartement à louer à Zell LU? ✅ Les annonces les plus actuelles sont sur ImmoScout24.ch.</v>
      </c>
      <c r="J2674" s="4" t="s">
        <v>8018</v>
      </c>
    </row>
    <row r="2675">
      <c r="A2675" s="5" t="s">
        <v>8019</v>
      </c>
      <c r="B2675" s="2" t="s">
        <v>8020</v>
      </c>
      <c r="C2675" s="4" t="str">
        <f>IFERROR(__xludf.DUMMYFUNCTION("""🏘️ ""&amp;REGEXEXTRACT(B2675, ""^(.*): "")&amp;"" ✅ "" &amp;REGEXEXTRACT(B2675, ""(Trouvez.*)"")"),"🏘️ Vendre maison Gstaad ✅ Trouvez le bien immobilier qui correspond idéalement à vos désirs sur ImmoScout24 - La plateforme de l'immobilier en Suisse.")</f>
        <v>🏘️ Vendre maison Gstaad ✅ Trouvez le bien immobilier qui correspond idéalement à vos désirs sur ImmoScout24 - La plateforme de l'immobilier en Suisse.</v>
      </c>
      <c r="D2675" s="4" t="str">
        <f>vlookup(A2675, Sheet2!D:E, 2, 0)</f>
        <v>variant</v>
      </c>
      <c r="E2675" s="4" t="str">
        <f>IFERROR(__xludf.DUMMYFUNCTION("if(H2675=""pays"",vlookup(REGEXEXTRACT(C2675, ""🏘️ \w+ \w+ (.*) ✅""),'Country prepositions'!A:B, 2, 0) &amp; "" "" &amp; REGEXEXTRACT(C2675, ""🏘️ \w+ \w+ (.*) ✅"") ,  if(H2675=""quartier"",vlookup(REGEXEXTRACT(C2675, ""🏘️ \w+ \w+ (.*) ✅""),'Quartier prepositio"&amp;"ns'!A:E, 5, 0) ,  if(H2675=""region"",vlookup(REGEXEXTRACT(C2675, ""🏘️ \w+ \w+ (.*) ✅""),'Region prepositions'!B:F, 5, 0),  REGEXEXTRACT(C2675, ""🏘️ \w+ \w+ (.*) ✅""))))"),"Gstaad")</f>
        <v>Gstaad</v>
      </c>
      <c r="F2675" s="2" t="str">
        <f>IFERROR(__xludf.DUMMYFUNCTION("REGEXEXTRACT(C2675, ""🏘️ (\w+) \w+ .* ✅"")"),"Vendre")</f>
        <v>Vendre</v>
      </c>
      <c r="G2675" s="2" t="str">
        <f>IFERROR(__xludf.DUMMYFUNCTION("REGEXEXTRACT(C2675, ""🏘️ \w+ (\w+) .* ✅"")"),"maison")</f>
        <v>maison</v>
      </c>
      <c r="H2675" s="4" t="str">
        <f>IFERROR(__xludf.DUMMYFUNCTION("REGEXEXTRACT(A2675, ""/(\w+)-.*?"")"),"lieu")</f>
        <v>lieu</v>
      </c>
      <c r="I2675" s="4" t="str">
        <f>IFERROR(__xludf.DUMMYFUNCTION("if(D2675=""variant"",  substitute(filter(Templates!E:E, Templates!A:A = F2675, Templates!B:B = G2675, Templates!C:C = H2675), ""{{}}"", E2675), B2675)"),"🏘  Vous souhaitez acheter une maison à Gstaad? ✅ Jetez un œil aux dernières offres sur ImmoScout24.ch.")</f>
        <v>🏘  Vous souhaitez acheter une maison à Gstaad? ✅ Jetez un œil aux dernières offres sur ImmoScout24.ch.</v>
      </c>
      <c r="J2675" s="4" t="s">
        <v>8021</v>
      </c>
    </row>
    <row r="2676">
      <c r="A2676" s="5" t="s">
        <v>8022</v>
      </c>
      <c r="B2676" s="2" t="s">
        <v>8023</v>
      </c>
      <c r="C2676" s="4" t="str">
        <f>IFERROR(__xludf.DUMMYFUNCTION("""🏘️ ""&amp;REGEXEXTRACT(B2676, ""^(.*): "")&amp;"" ✅ "" &amp;REGEXEXTRACT(B2676, ""(Trouvez.*)"")"),"🏘️ Louer appartement Perrefitte ✅ Trouvez le bien immobilier qui correspond idéalement à vos désirs sur ImmoScout24 - La plateforme de l'immobilier en Suisse.")</f>
        <v>🏘️ Louer appartement Perrefitte ✅ Trouvez le bien immobilier qui correspond idéalement à vos désirs sur ImmoScout24 - La plateforme de l'immobilier en Suisse.</v>
      </c>
      <c r="D2676" s="4" t="str">
        <f>vlookup(A2676, Sheet2!D:E, 2, 0)</f>
        <v>variant</v>
      </c>
      <c r="E2676" s="4" t="str">
        <f>IFERROR(__xludf.DUMMYFUNCTION("if(H2676=""pays"",vlookup(REGEXEXTRACT(C2676, ""🏘️ \w+ \w+ (.*) ✅""),'Country prepositions'!A:B, 2, 0) &amp; "" "" &amp; REGEXEXTRACT(C2676, ""🏘️ \w+ \w+ (.*) ✅"") ,  if(H2676=""quartier"",vlookup(REGEXEXTRACT(C2676, ""🏘️ \w+ \w+ (.*) ✅""),'Quartier prepositio"&amp;"ns'!A:E, 5, 0) ,  if(H2676=""region"",vlookup(REGEXEXTRACT(C2676, ""🏘️ \w+ \w+ (.*) ✅""),'Region prepositions'!B:F, 5, 0),  REGEXEXTRACT(C2676, ""🏘️ \w+ \w+ (.*) ✅""))))"),"Perrefitte")</f>
        <v>Perrefitte</v>
      </c>
      <c r="F2676" s="2" t="str">
        <f>IFERROR(__xludf.DUMMYFUNCTION("REGEXEXTRACT(C2676, ""🏘️ (\w+) \w+ .* ✅"")"),"Louer")</f>
        <v>Louer</v>
      </c>
      <c r="G2676" s="2" t="str">
        <f>IFERROR(__xludf.DUMMYFUNCTION("REGEXEXTRACT(C2676, ""🏘️ \w+ (\w+) .* ✅"")"),"appartement")</f>
        <v>appartement</v>
      </c>
      <c r="H2676" s="4" t="str">
        <f>IFERROR(__xludf.DUMMYFUNCTION("REGEXEXTRACT(A2676, ""/(\w+)-.*?"")"),"lieu")</f>
        <v>lieu</v>
      </c>
      <c r="I2676" s="4" t="str">
        <f>IFERROR(__xludf.DUMMYFUNCTION("if(D2676=""variant"",  substitute(filter(Templates!E:E, Templates!A:A = F2676, Templates!B:B = G2676, Templates!C:C = H2676), ""{{}}"", E2676), B2676)"),"🏘  Vous cherchez un appartement à louer à Perrefitte? ✅ Les annonces les plus actuelles sont sur ImmoScout24.ch.")</f>
        <v>🏘  Vous cherchez un appartement à louer à Perrefitte? ✅ Les annonces les plus actuelles sont sur ImmoScout24.ch.</v>
      </c>
      <c r="J2676" s="4" t="s">
        <v>8024</v>
      </c>
    </row>
    <row r="2677">
      <c r="A2677" s="5" t="s">
        <v>8025</v>
      </c>
      <c r="B2677" s="2" t="s">
        <v>8026</v>
      </c>
      <c r="C2677" s="4" t="str">
        <f>IFERROR(__xludf.DUMMYFUNCTION("""🏘️ ""&amp;REGEXEXTRACT(B2677, ""^(.*): "")&amp;"" ✅ "" &amp;REGEXEXTRACT(B2677, ""(Trouvez.*)"")"),"🏘️ Vendre maison Zollikerberg ✅ Trouvez le bien immobilier qui correspond idéalement à vos désirs sur ImmoScout24 - La plateforme de l'immobilier en Suisse.")</f>
        <v>🏘️ Vendre maison Zollikerberg ✅ Trouvez le bien immobilier qui correspond idéalement à vos désirs sur ImmoScout24 - La plateforme de l'immobilier en Suisse.</v>
      </c>
      <c r="D2677" s="4" t="str">
        <f>vlookup(A2677, Sheet2!D:E, 2, 0)</f>
        <v>variant</v>
      </c>
      <c r="E2677" s="4" t="str">
        <f>IFERROR(__xludf.DUMMYFUNCTION("if(H2677=""pays"",vlookup(REGEXEXTRACT(C2677, ""🏘️ \w+ \w+ (.*) ✅""),'Country prepositions'!A:B, 2, 0) &amp; "" "" &amp; REGEXEXTRACT(C2677, ""🏘️ \w+ \w+ (.*) ✅"") ,  if(H2677=""quartier"",vlookup(REGEXEXTRACT(C2677, ""🏘️ \w+ \w+ (.*) ✅""),'Quartier prepositio"&amp;"ns'!A:E, 5, 0) ,  if(H2677=""region"",vlookup(REGEXEXTRACT(C2677, ""🏘️ \w+ \w+ (.*) ✅""),'Region prepositions'!B:F, 5, 0),  REGEXEXTRACT(C2677, ""🏘️ \w+ \w+ (.*) ✅""))))"),"Zollikerberg")</f>
        <v>Zollikerberg</v>
      </c>
      <c r="F2677" s="2" t="str">
        <f>IFERROR(__xludf.DUMMYFUNCTION("REGEXEXTRACT(C2677, ""🏘️ (\w+) \w+ .* ✅"")"),"Vendre")</f>
        <v>Vendre</v>
      </c>
      <c r="G2677" s="2" t="str">
        <f>IFERROR(__xludf.DUMMYFUNCTION("REGEXEXTRACT(C2677, ""🏘️ \w+ (\w+) .* ✅"")"),"maison")</f>
        <v>maison</v>
      </c>
      <c r="H2677" s="4" t="str">
        <f>IFERROR(__xludf.DUMMYFUNCTION("REGEXEXTRACT(A2677, ""/(\w+)-.*?"")"),"lieu")</f>
        <v>lieu</v>
      </c>
      <c r="I2677" s="4" t="str">
        <f>IFERROR(__xludf.DUMMYFUNCTION("if(D2677=""variant"",  substitute(filter(Templates!E:E, Templates!A:A = F2677, Templates!B:B = G2677, Templates!C:C = H2677), ""{{}}"", E2677), B2677)"),"🏘  Vous souhaitez acheter une maison à Zollikerberg? ✅ Jetez un œil aux dernières offres sur ImmoScout24.ch.")</f>
        <v>🏘  Vous souhaitez acheter une maison à Zollikerberg? ✅ Jetez un œil aux dernières offres sur ImmoScout24.ch.</v>
      </c>
      <c r="J2677" s="4" t="s">
        <v>8027</v>
      </c>
    </row>
    <row r="2678">
      <c r="A2678" s="5" t="s">
        <v>8028</v>
      </c>
      <c r="B2678" s="2" t="s">
        <v>8029</v>
      </c>
      <c r="C2678" s="4" t="str">
        <f>IFERROR(__xludf.DUMMYFUNCTION("""🏘️ ""&amp;REGEXEXTRACT(B2678, ""^(.*): "")&amp;"" ✅ "" &amp;REGEXEXTRACT(B2678, ""(Trouvez.*)"")"),"🏘️ Louer appartement Les Monts-de-Corsier ✅ Trouvez le bien immobilier qui correspond idéalement à vos désirs sur ImmoScout24 - La plateforme de l'immobilier en Suisse.")</f>
        <v>🏘️ Louer appartement Les Monts-de-Corsier ✅ Trouvez le bien immobilier qui correspond idéalement à vos désirs sur ImmoScout24 - La plateforme de l'immobilier en Suisse.</v>
      </c>
      <c r="D2678" s="4" t="str">
        <f>vlookup(A2678, Sheet2!D:E, 2, 0)</f>
        <v>variant</v>
      </c>
      <c r="E2678" s="4" t="str">
        <f>IFERROR(__xludf.DUMMYFUNCTION("if(H2678=""pays"",vlookup(REGEXEXTRACT(C2678, ""🏘️ \w+ \w+ (.*) ✅""),'Country prepositions'!A:B, 2, 0) &amp; "" "" &amp; REGEXEXTRACT(C2678, ""🏘️ \w+ \w+ (.*) ✅"") ,  if(H2678=""quartier"",vlookup(REGEXEXTRACT(C2678, ""🏘️ \w+ \w+ (.*) ✅""),'Quartier prepositio"&amp;"ns'!A:E, 5, 0) ,  if(H2678=""region"",vlookup(REGEXEXTRACT(C2678, ""🏘️ \w+ \w+ (.*) ✅""),'Region prepositions'!B:F, 5, 0),  REGEXEXTRACT(C2678, ""🏘️ \w+ \w+ (.*) ✅""))))"),"Les Monts-de-Corsier")</f>
        <v>Les Monts-de-Corsier</v>
      </c>
      <c r="F2678" s="2" t="str">
        <f>IFERROR(__xludf.DUMMYFUNCTION("REGEXEXTRACT(C2678, ""🏘️ (\w+) \w+ .* ✅"")"),"Louer")</f>
        <v>Louer</v>
      </c>
      <c r="G2678" s="2" t="str">
        <f>IFERROR(__xludf.DUMMYFUNCTION("REGEXEXTRACT(C2678, ""🏘️ \w+ (\w+) .* ✅"")"),"appartement")</f>
        <v>appartement</v>
      </c>
      <c r="H2678" s="4" t="str">
        <f>IFERROR(__xludf.DUMMYFUNCTION("REGEXEXTRACT(A2678, ""/(\w+)-.*?"")"),"lieu")</f>
        <v>lieu</v>
      </c>
      <c r="I2678" s="4" t="str">
        <f>IFERROR(__xludf.DUMMYFUNCTION("if(D2678=""variant"",  substitute(filter(Templates!E:E, Templates!A:A = F2678, Templates!B:B = G2678, Templates!C:C = H2678), ""{{}}"", E2678), B2678)"),"🏘  Vous cherchez un appartement à louer à Les Monts-de-Corsier? ✅ Les annonces les plus actuelles sont sur ImmoScout24.ch.")</f>
        <v>🏘  Vous cherchez un appartement à louer à Les Monts-de-Corsier? ✅ Les annonces les plus actuelles sont sur ImmoScout24.ch.</v>
      </c>
      <c r="J2678" s="2" t="s">
        <v>8030</v>
      </c>
    </row>
    <row r="2679">
      <c r="A2679" s="5" t="s">
        <v>8031</v>
      </c>
      <c r="B2679" s="2" t="s">
        <v>8032</v>
      </c>
      <c r="C2679" s="4" t="str">
        <f>IFERROR(__xludf.DUMMYFUNCTION("""🏘️ ""&amp;REGEXEXTRACT(B2679, ""^(.*): "")&amp;"" ✅ "" &amp;REGEXEXTRACT(B2679, ""(Trouvez.*)"")"),"🏘️ Vendre appartement Dagmersellen ✅ Trouvez le bien immobilier qui correspond idéalement à vos désirs sur ImmoScout24 - La plateforme de l'immobilier en Suisse.")</f>
        <v>🏘️ Vendre appartement Dagmersellen ✅ Trouvez le bien immobilier qui correspond idéalement à vos désirs sur ImmoScout24 - La plateforme de l'immobilier en Suisse.</v>
      </c>
      <c r="D2679" s="4" t="str">
        <f>vlookup(A2679, Sheet2!D:E, 2, 0)</f>
        <v>variant</v>
      </c>
      <c r="E2679" s="4" t="str">
        <f>IFERROR(__xludf.DUMMYFUNCTION("if(H2679=""pays"",vlookup(REGEXEXTRACT(C2679, ""🏘️ \w+ \w+ (.*) ✅""),'Country prepositions'!A:B, 2, 0) &amp; "" "" &amp; REGEXEXTRACT(C2679, ""🏘️ \w+ \w+ (.*) ✅"") ,  if(H2679=""quartier"",vlookup(REGEXEXTRACT(C2679, ""🏘️ \w+ \w+ (.*) ✅""),'Quartier prepositio"&amp;"ns'!A:E, 5, 0) ,  if(H2679=""region"",vlookup(REGEXEXTRACT(C2679, ""🏘️ \w+ \w+ (.*) ✅""),'Region prepositions'!B:F, 5, 0),  REGEXEXTRACT(C2679, ""🏘️ \w+ \w+ (.*) ✅""))))"),"Dagmersellen")</f>
        <v>Dagmersellen</v>
      </c>
      <c r="F2679" s="2" t="str">
        <f>IFERROR(__xludf.DUMMYFUNCTION("REGEXEXTRACT(C2679, ""🏘️ (\w+) \w+ .* ✅"")"),"Vendre")</f>
        <v>Vendre</v>
      </c>
      <c r="G2679" s="2" t="str">
        <f>IFERROR(__xludf.DUMMYFUNCTION("REGEXEXTRACT(C2679, ""🏘️ \w+ (\w+) .* ✅"")"),"appartement")</f>
        <v>appartement</v>
      </c>
      <c r="H2679" s="4" t="str">
        <f>IFERROR(__xludf.DUMMYFUNCTION("REGEXEXTRACT(A2679, ""/(\w+)-.*?"")"),"lieu")</f>
        <v>lieu</v>
      </c>
      <c r="I2679" s="4" t="str">
        <f>IFERROR(__xludf.DUMMYFUNCTION("if(D2679=""variant"",  substitute(filter(Templates!E:E, Templates!A:A = F2679, Templates!B:B = G2679, Templates!C:C = H2679), ""{{}}"", E2679), B2679)"),"🏘  L’appartement de vos rêves se trouve sur ImmoScout24.ch ✅ Découvrez les dernières annonces de vente à Dagmersellen.")</f>
        <v>🏘  L’appartement de vos rêves se trouve sur ImmoScout24.ch ✅ Découvrez les dernières annonces de vente à Dagmersellen.</v>
      </c>
      <c r="J2679" s="4" t="s">
        <v>8033</v>
      </c>
    </row>
    <row r="2680">
      <c r="A2680" s="5" t="s">
        <v>8034</v>
      </c>
      <c r="B2680" s="2" t="s">
        <v>8035</v>
      </c>
      <c r="C2680" s="4" t="str">
        <f>IFERROR(__xludf.DUMMYFUNCTION("""🏘️ ""&amp;REGEXEXTRACT(B2680, ""^(.*): "")&amp;"" ✅ "" &amp;REGEXEXTRACT(B2680, ""(Trouvez.*)"")"),"🏘️ Louer maison Saxon ✅ Trouvez le bien immobilier qui correspond idéalement à vos désirs sur ImmoScout24 - La plateforme de l'immobilier en Suisse.")</f>
        <v>🏘️ Louer maison Saxon ✅ Trouvez le bien immobilier qui correspond idéalement à vos désirs sur ImmoScout24 - La plateforme de l'immobilier en Suisse.</v>
      </c>
      <c r="D2680" s="4" t="str">
        <f>vlookup(A2680, Sheet2!D:E, 2, 0)</f>
        <v>variant</v>
      </c>
      <c r="E2680" s="4" t="str">
        <f>IFERROR(__xludf.DUMMYFUNCTION("if(H2680=""pays"",vlookup(REGEXEXTRACT(C2680, ""🏘️ \w+ \w+ (.*) ✅""),'Country prepositions'!A:B, 2, 0) &amp; "" "" &amp; REGEXEXTRACT(C2680, ""🏘️ \w+ \w+ (.*) ✅"") ,  if(H2680=""quartier"",vlookup(REGEXEXTRACT(C2680, ""🏘️ \w+ \w+ (.*) ✅""),'Quartier prepositio"&amp;"ns'!A:E, 5, 0) ,  if(H2680=""region"",vlookup(REGEXEXTRACT(C2680, ""🏘️ \w+ \w+ (.*) ✅""),'Region prepositions'!B:F, 5, 0),  REGEXEXTRACT(C2680, ""🏘️ \w+ \w+ (.*) ✅""))))"),"Saxon")</f>
        <v>Saxon</v>
      </c>
      <c r="F2680" s="2" t="str">
        <f>IFERROR(__xludf.DUMMYFUNCTION("REGEXEXTRACT(C2680, ""🏘️ (\w+) \w+ .* ✅"")"),"Louer")</f>
        <v>Louer</v>
      </c>
      <c r="G2680" s="2" t="str">
        <f>IFERROR(__xludf.DUMMYFUNCTION("REGEXEXTRACT(C2680, ""🏘️ \w+ (\w+) .* ✅"")"),"maison")</f>
        <v>maison</v>
      </c>
      <c r="H2680" s="4" t="str">
        <f>IFERROR(__xludf.DUMMYFUNCTION("REGEXEXTRACT(A2680, ""/(\w+)-.*?"")"),"lieu")</f>
        <v>lieu</v>
      </c>
      <c r="I2680" s="4" t="str">
        <f>IFERROR(__xludf.DUMMYFUNCTION("if(D2680=""variant"",  substitute(filter(Templates!E:E, Templates!A:A = F2680, Templates!B:B = G2680, Templates!C:C = H2680), ""{{}}"", E2680), B2680)"),"🏘  Vous cherchez une maison à louer à Saxon? ✅ Découvrez nos nombreuses annonces sur ImmoScout24.ch.")</f>
        <v>🏘  Vous cherchez une maison à louer à Saxon? ✅ Découvrez nos nombreuses annonces sur ImmoScout24.ch.</v>
      </c>
      <c r="J2680" s="4" t="s">
        <v>8036</v>
      </c>
    </row>
    <row r="2681">
      <c r="A2681" s="5" t="s">
        <v>8037</v>
      </c>
      <c r="B2681" s="2" t="s">
        <v>8038</v>
      </c>
      <c r="C2681" s="4" t="str">
        <f>IFERROR(__xludf.DUMMYFUNCTION("""🏘️ ""&amp;REGEXEXTRACT(B2681, ""^(.*): "")&amp;"" ✅ "" &amp;REGEXEXTRACT(B2681, ""(Trouvez.*)"")"),"🏘️ Louer maison Caux ✅ Trouvez le bien immobilier qui correspond idéalement à vos désirs sur ImmoScout24 - La plateforme de l'immobilier en Suisse.")</f>
        <v>🏘️ Louer maison Caux ✅ Trouvez le bien immobilier qui correspond idéalement à vos désirs sur ImmoScout24 - La plateforme de l'immobilier en Suisse.</v>
      </c>
      <c r="D2681" s="4" t="str">
        <f>vlookup(A2681, Sheet2!D:E, 2, 0)</f>
        <v>variant</v>
      </c>
      <c r="E2681" s="4" t="str">
        <f>IFERROR(__xludf.DUMMYFUNCTION("if(H2681=""pays"",vlookup(REGEXEXTRACT(C2681, ""🏘️ \w+ \w+ (.*) ✅""),'Country prepositions'!A:B, 2, 0) &amp; "" "" &amp; REGEXEXTRACT(C2681, ""🏘️ \w+ \w+ (.*) ✅"") ,  if(H2681=""quartier"",vlookup(REGEXEXTRACT(C2681, ""🏘️ \w+ \w+ (.*) ✅""),'Quartier prepositio"&amp;"ns'!A:E, 5, 0) ,  if(H2681=""region"",vlookup(REGEXEXTRACT(C2681, ""🏘️ \w+ \w+ (.*) ✅""),'Region prepositions'!B:F, 5, 0),  REGEXEXTRACT(C2681, ""🏘️ \w+ \w+ (.*) ✅""))))"),"Caux")</f>
        <v>Caux</v>
      </c>
      <c r="F2681" s="2" t="str">
        <f>IFERROR(__xludf.DUMMYFUNCTION("REGEXEXTRACT(C2681, ""🏘️ (\w+) \w+ .* ✅"")"),"Louer")</f>
        <v>Louer</v>
      </c>
      <c r="G2681" s="2" t="str">
        <f>IFERROR(__xludf.DUMMYFUNCTION("REGEXEXTRACT(C2681, ""🏘️ \w+ (\w+) .* ✅"")"),"maison")</f>
        <v>maison</v>
      </c>
      <c r="H2681" s="4" t="str">
        <f>IFERROR(__xludf.DUMMYFUNCTION("REGEXEXTRACT(A2681, ""/(\w+)-.*?"")"),"lieu")</f>
        <v>lieu</v>
      </c>
      <c r="I2681" s="4" t="str">
        <f>IFERROR(__xludf.DUMMYFUNCTION("if(D2681=""variant"",  substitute(filter(Templates!E:E, Templates!A:A = F2681, Templates!B:B = G2681, Templates!C:C = H2681), ""{{}}"", E2681), B2681)"),"🏘  Vous cherchez une maison à louer à Caux? ✅ Découvrez nos nombreuses annonces sur ImmoScout24.ch.")</f>
        <v>🏘  Vous cherchez une maison à louer à Caux? ✅ Découvrez nos nombreuses annonces sur ImmoScout24.ch.</v>
      </c>
      <c r="J2681" s="4" t="s">
        <v>8039</v>
      </c>
    </row>
    <row r="2682">
      <c r="A2682" s="5" t="s">
        <v>8040</v>
      </c>
      <c r="B2682" s="2" t="s">
        <v>8041</v>
      </c>
      <c r="C2682" s="4" t="str">
        <f>IFERROR(__xludf.DUMMYFUNCTION("""🏘️ ""&amp;REGEXEXTRACT(B2682, ""^(.*): "")&amp;"" ✅ "" &amp;REGEXEXTRACT(B2682, ""(Trouvez.*)"")"),"🏘️ Louer appartement Galmiz ✅ Trouvez le bien immobilier qui correspond idéalement à vos désirs sur ImmoScout24 - La plateforme de l'immobilier en Suisse.")</f>
        <v>🏘️ Louer appartement Galmiz ✅ Trouvez le bien immobilier qui correspond idéalement à vos désirs sur ImmoScout24 - La plateforme de l'immobilier en Suisse.</v>
      </c>
      <c r="D2682" s="4" t="str">
        <f>vlookup(A2682, Sheet2!D:E, 2, 0)</f>
        <v>variant</v>
      </c>
      <c r="E2682" s="4" t="str">
        <f>IFERROR(__xludf.DUMMYFUNCTION("if(H2682=""pays"",vlookup(REGEXEXTRACT(C2682, ""🏘️ \w+ \w+ (.*) ✅""),'Country prepositions'!A:B, 2, 0) &amp; "" "" &amp; REGEXEXTRACT(C2682, ""🏘️ \w+ \w+ (.*) ✅"") ,  if(H2682=""quartier"",vlookup(REGEXEXTRACT(C2682, ""🏘️ \w+ \w+ (.*) ✅""),'Quartier prepositio"&amp;"ns'!A:E, 5, 0) ,  if(H2682=""region"",vlookup(REGEXEXTRACT(C2682, ""🏘️ \w+ \w+ (.*) ✅""),'Region prepositions'!B:F, 5, 0),  REGEXEXTRACT(C2682, ""🏘️ \w+ \w+ (.*) ✅""))))"),"Galmiz")</f>
        <v>Galmiz</v>
      </c>
      <c r="F2682" s="2" t="str">
        <f>IFERROR(__xludf.DUMMYFUNCTION("REGEXEXTRACT(C2682, ""🏘️ (\w+) \w+ .* ✅"")"),"Louer")</f>
        <v>Louer</v>
      </c>
      <c r="G2682" s="2" t="str">
        <f>IFERROR(__xludf.DUMMYFUNCTION("REGEXEXTRACT(C2682, ""🏘️ \w+ (\w+) .* ✅"")"),"appartement")</f>
        <v>appartement</v>
      </c>
      <c r="H2682" s="4" t="str">
        <f>IFERROR(__xludf.DUMMYFUNCTION("REGEXEXTRACT(A2682, ""/(\w+)-.*?"")"),"lieu")</f>
        <v>lieu</v>
      </c>
      <c r="I2682" s="4" t="str">
        <f>IFERROR(__xludf.DUMMYFUNCTION("if(D2682=""variant"",  substitute(filter(Templates!E:E, Templates!A:A = F2682, Templates!B:B = G2682, Templates!C:C = H2682), ""{{}}"", E2682), B2682)"),"🏘  Vous cherchez un appartement à louer à Galmiz? ✅ Les annonces les plus actuelles sont sur ImmoScout24.ch.")</f>
        <v>🏘  Vous cherchez un appartement à louer à Galmiz? ✅ Les annonces les plus actuelles sont sur ImmoScout24.ch.</v>
      </c>
      <c r="J2682" s="4" t="s">
        <v>8042</v>
      </c>
    </row>
    <row r="2683">
      <c r="A2683" s="5" t="s">
        <v>8043</v>
      </c>
      <c r="B2683" s="2" t="s">
        <v>8044</v>
      </c>
      <c r="C2683" s="4" t="str">
        <f>IFERROR(__xludf.DUMMYFUNCTION("""🏘️ ""&amp;REGEXEXTRACT(B2683, ""^(.*): "")&amp;"" ✅ "" &amp;REGEXEXTRACT(B2683, ""(Trouvez.*)"")"),"🏘️ Louer appartement Melide ✅ Trouvez le bien immobilier qui correspond idéalement à vos désirs sur ImmoScout24 - La plateforme de l'immobilier en Suisse.")</f>
        <v>🏘️ Louer appartement Melide ✅ Trouvez le bien immobilier qui correspond idéalement à vos désirs sur ImmoScout24 - La plateforme de l'immobilier en Suisse.</v>
      </c>
      <c r="D2683" s="4" t="str">
        <f>vlookup(A2683, Sheet2!D:E, 2, 0)</f>
        <v>variant</v>
      </c>
      <c r="E2683" s="4" t="str">
        <f>IFERROR(__xludf.DUMMYFUNCTION("if(H2683=""pays"",vlookup(REGEXEXTRACT(C2683, ""🏘️ \w+ \w+ (.*) ✅""),'Country prepositions'!A:B, 2, 0) &amp; "" "" &amp; REGEXEXTRACT(C2683, ""🏘️ \w+ \w+ (.*) ✅"") ,  if(H2683=""quartier"",vlookup(REGEXEXTRACT(C2683, ""🏘️ \w+ \w+ (.*) ✅""),'Quartier prepositio"&amp;"ns'!A:E, 5, 0) ,  if(H2683=""region"",vlookup(REGEXEXTRACT(C2683, ""🏘️ \w+ \w+ (.*) ✅""),'Region prepositions'!B:F, 5, 0),  REGEXEXTRACT(C2683, ""🏘️ \w+ \w+ (.*) ✅""))))"),"Melide")</f>
        <v>Melide</v>
      </c>
      <c r="F2683" s="2" t="str">
        <f>IFERROR(__xludf.DUMMYFUNCTION("REGEXEXTRACT(C2683, ""🏘️ (\w+) \w+ .* ✅"")"),"Louer")</f>
        <v>Louer</v>
      </c>
      <c r="G2683" s="2" t="str">
        <f>IFERROR(__xludf.DUMMYFUNCTION("REGEXEXTRACT(C2683, ""🏘️ \w+ (\w+) .* ✅"")"),"appartement")</f>
        <v>appartement</v>
      </c>
      <c r="H2683" s="4" t="str">
        <f>IFERROR(__xludf.DUMMYFUNCTION("REGEXEXTRACT(A2683, ""/(\w+)-.*?"")"),"lieu")</f>
        <v>lieu</v>
      </c>
      <c r="I2683" s="4" t="str">
        <f>IFERROR(__xludf.DUMMYFUNCTION("if(D2683=""variant"",  substitute(filter(Templates!E:E, Templates!A:A = F2683, Templates!B:B = G2683, Templates!C:C = H2683), ""{{}}"", E2683), B2683)"),"🏘  Vous cherchez un appartement à louer à Melide? ✅ Les annonces les plus actuelles sont sur ImmoScout24.ch.")</f>
        <v>🏘  Vous cherchez un appartement à louer à Melide? ✅ Les annonces les plus actuelles sont sur ImmoScout24.ch.</v>
      </c>
      <c r="J2683" s="4" t="s">
        <v>8045</v>
      </c>
    </row>
    <row r="2684">
      <c r="A2684" s="5" t="s">
        <v>8046</v>
      </c>
      <c r="B2684" s="2" t="s">
        <v>8047</v>
      </c>
      <c r="C2684" s="4" t="str">
        <f>IFERROR(__xludf.DUMMYFUNCTION("""🏘️ ""&amp;REGEXEXTRACT(B2684, ""^(.*): "")&amp;"" ✅ "" &amp;REGEXEXTRACT(B2684, ""(Trouvez.*)"")"),"🏘️ Louer appartement Littau Dorf (Lucerne) ✅ Trouvez le bien immobilier qui correspond idéalement à vos désirs sur ImmoScout24 - La plateforme de l'immobilier en Suisse.")</f>
        <v>🏘️ Louer appartement Littau Dorf (Lucerne) ✅ Trouvez le bien immobilier qui correspond idéalement à vos désirs sur ImmoScout24 - La plateforme de l'immobilier en Suisse.</v>
      </c>
      <c r="D2684" s="4" t="str">
        <f>vlookup(A2684, Sheet2!D:E, 2, 0)</f>
        <v>variant</v>
      </c>
      <c r="E2684" s="4" t="str">
        <f>IFERROR(__xludf.DUMMYFUNCTION("if(H2684=""pays"",vlookup(REGEXEXTRACT(C2684, ""🏘️ \w+ \w+ (.*) ✅""),'Country prepositions'!A:B, 2, 0) &amp; "" "" &amp; REGEXEXTRACT(C2684, ""🏘️ \w+ \w+ (.*) ✅"") ,  if(H2684=""quartier"",vlookup(REGEXEXTRACT(C2684, ""🏘️ \w+ \w+ (.*) ✅""),'Quartier prepositio"&amp;"ns'!A:E, 5, 0) ,  if(H2684=""region"",vlookup(REGEXEXTRACT(C2684, ""🏘️ \w+ \w+ (.*) ✅""),'Region prepositions'!B:F, 5, 0),  REGEXEXTRACT(C2684, ""🏘️ \w+ \w+ (.*) ✅""))))"),"dans le quartier de Littau Dorf (Lucerne)")</f>
        <v>dans le quartier de Littau Dorf (Lucerne)</v>
      </c>
      <c r="F2684" s="2" t="str">
        <f>IFERROR(__xludf.DUMMYFUNCTION("REGEXEXTRACT(C2684, ""🏘️ (\w+) \w+ .* ✅"")"),"Louer")</f>
        <v>Louer</v>
      </c>
      <c r="G2684" s="2" t="str">
        <f>IFERROR(__xludf.DUMMYFUNCTION("REGEXEXTRACT(C2684, ""🏘️ \w+ (\w+) .* ✅"")"),"appartement")</f>
        <v>appartement</v>
      </c>
      <c r="H2684" s="4" t="str">
        <f>IFERROR(__xludf.DUMMYFUNCTION("REGEXEXTRACT(A2684, ""/(\w+)-.*?"")"),"quartier")</f>
        <v>quartier</v>
      </c>
      <c r="I2684" s="4" t="str">
        <f>IFERROR(__xludf.DUMMYFUNCTION("if(D2684=""variant"",  substitute(filter(Templates!E:E, Templates!A:A = F2684, Templates!B:B = G2684, Templates!C:C = H2684), ""{{}}"", E2684), B2684)"),"🏘  Vous cherchez un appartement à louer dans le quartier de Littau Dorf (Lucerne)? ✅ Les annonces les plus actuelles sont sur ImmoScout24.ch.")</f>
        <v>🏘  Vous cherchez un appartement à louer dans le quartier de Littau Dorf (Lucerne)? ✅ Les annonces les plus actuelles sont sur ImmoScout24.ch.</v>
      </c>
      <c r="J2684" s="4" t="s">
        <v>8048</v>
      </c>
    </row>
    <row r="2685">
      <c r="A2685" s="5" t="s">
        <v>8049</v>
      </c>
      <c r="B2685" s="2" t="s">
        <v>8050</v>
      </c>
      <c r="C2685" s="4" t="str">
        <f>IFERROR(__xludf.DUMMYFUNCTION("""🏘️ ""&amp;REGEXEXTRACT(B2685, ""^(.*): "")&amp;"" ✅ "" &amp;REGEXEXTRACT(B2685, ""(Trouvez.*)"")"),"🏘️ Louer appartement Corsier GE ✅ Trouvez le bien immobilier qui correspond idéalement à vos désirs sur ImmoScout24 - La plateforme de l'immobilier en Suisse.")</f>
        <v>🏘️ Louer appartement Corsier GE ✅ Trouvez le bien immobilier qui correspond idéalement à vos désirs sur ImmoScout24 - La plateforme de l'immobilier en Suisse.</v>
      </c>
      <c r="D2685" s="4" t="str">
        <f>vlookup(A2685, Sheet2!D:E, 2, 0)</f>
        <v>variant</v>
      </c>
      <c r="E2685" s="4" t="str">
        <f>IFERROR(__xludf.DUMMYFUNCTION("if(H2685=""pays"",vlookup(REGEXEXTRACT(C2685, ""🏘️ \w+ \w+ (.*) ✅""),'Country prepositions'!A:B, 2, 0) &amp; "" "" &amp; REGEXEXTRACT(C2685, ""🏘️ \w+ \w+ (.*) ✅"") ,  if(H2685=""quartier"",vlookup(REGEXEXTRACT(C2685, ""🏘️ \w+ \w+ (.*) ✅""),'Quartier prepositio"&amp;"ns'!A:E, 5, 0) ,  if(H2685=""region"",vlookup(REGEXEXTRACT(C2685, ""🏘️ \w+ \w+ (.*) ✅""),'Region prepositions'!B:F, 5, 0),  REGEXEXTRACT(C2685, ""🏘️ \w+ \w+ (.*) ✅""))))"),"Corsier GE")</f>
        <v>Corsier GE</v>
      </c>
      <c r="F2685" s="2" t="str">
        <f>IFERROR(__xludf.DUMMYFUNCTION("REGEXEXTRACT(C2685, ""🏘️ (\w+) \w+ .* ✅"")"),"Louer")</f>
        <v>Louer</v>
      </c>
      <c r="G2685" s="2" t="str">
        <f>IFERROR(__xludf.DUMMYFUNCTION("REGEXEXTRACT(C2685, ""🏘️ \w+ (\w+) .* ✅"")"),"appartement")</f>
        <v>appartement</v>
      </c>
      <c r="H2685" s="4" t="str">
        <f>IFERROR(__xludf.DUMMYFUNCTION("REGEXEXTRACT(A2685, ""/(\w+)-.*?"")"),"lieu")</f>
        <v>lieu</v>
      </c>
      <c r="I2685" s="4" t="str">
        <f>IFERROR(__xludf.DUMMYFUNCTION("if(D2685=""variant"",  substitute(filter(Templates!E:E, Templates!A:A = F2685, Templates!B:B = G2685, Templates!C:C = H2685), ""{{}}"", E2685), B2685)"),"🏘  Vous cherchez un appartement à louer à Corsier GE? ✅ Les annonces les plus actuelles sont sur ImmoScout24.ch.")</f>
        <v>🏘  Vous cherchez un appartement à louer à Corsier GE? ✅ Les annonces les plus actuelles sont sur ImmoScout24.ch.</v>
      </c>
      <c r="J2685" s="4" t="s">
        <v>8051</v>
      </c>
    </row>
    <row r="2686">
      <c r="A2686" s="5" t="s">
        <v>8052</v>
      </c>
      <c r="B2686" s="2" t="s">
        <v>8053</v>
      </c>
      <c r="C2686" s="4" t="str">
        <f>IFERROR(__xludf.DUMMYFUNCTION("""🏘️ ""&amp;REGEXEXTRACT(B2686, ""^(.*): "")&amp;"" ✅ "" &amp;REGEXEXTRACT(B2686, ""(Trouvez.*)"")"),"🏘️ Vendre maison Chambrelien ✅ Trouvez le bien immobilier qui correspond idéalement à vos désirs sur ImmoScout24 - La plateforme de l'immobilier en Suisse.")</f>
        <v>🏘️ Vendre maison Chambrelien ✅ Trouvez le bien immobilier qui correspond idéalement à vos désirs sur ImmoScout24 - La plateforme de l'immobilier en Suisse.</v>
      </c>
      <c r="D2686" s="4" t="str">
        <f>vlookup(A2686, Sheet2!D:E, 2, 0)</f>
        <v>variant</v>
      </c>
      <c r="E2686" s="4" t="str">
        <f>IFERROR(__xludf.DUMMYFUNCTION("if(H2686=""pays"",vlookup(REGEXEXTRACT(C2686, ""🏘️ \w+ \w+ (.*) ✅""),'Country prepositions'!A:B, 2, 0) &amp; "" "" &amp; REGEXEXTRACT(C2686, ""🏘️ \w+ \w+ (.*) ✅"") ,  if(H2686=""quartier"",vlookup(REGEXEXTRACT(C2686, ""🏘️ \w+ \w+ (.*) ✅""),'Quartier prepositio"&amp;"ns'!A:E, 5, 0) ,  if(H2686=""region"",vlookup(REGEXEXTRACT(C2686, ""🏘️ \w+ \w+ (.*) ✅""),'Region prepositions'!B:F, 5, 0),  REGEXEXTRACT(C2686, ""🏘️ \w+ \w+ (.*) ✅""))))"),"Chambrelien")</f>
        <v>Chambrelien</v>
      </c>
      <c r="F2686" s="2" t="str">
        <f>IFERROR(__xludf.DUMMYFUNCTION("REGEXEXTRACT(C2686, ""🏘️ (\w+) \w+ .* ✅"")"),"Vendre")</f>
        <v>Vendre</v>
      </c>
      <c r="G2686" s="2" t="str">
        <f>IFERROR(__xludf.DUMMYFUNCTION("REGEXEXTRACT(C2686, ""🏘️ \w+ (\w+) .* ✅"")"),"maison")</f>
        <v>maison</v>
      </c>
      <c r="H2686" s="4" t="str">
        <f>IFERROR(__xludf.DUMMYFUNCTION("REGEXEXTRACT(A2686, ""/(\w+)-.*?"")"),"lieu")</f>
        <v>lieu</v>
      </c>
      <c r="I2686" s="4" t="str">
        <f>IFERROR(__xludf.DUMMYFUNCTION("if(D2686=""variant"",  substitute(filter(Templates!E:E, Templates!A:A = F2686, Templates!B:B = G2686, Templates!C:C = H2686), ""{{}}"", E2686), B2686)"),"🏘  Vous souhaitez acheter une maison à Chambrelien? ✅ Jetez un œil aux dernières offres sur ImmoScout24.ch.")</f>
        <v>🏘  Vous souhaitez acheter une maison à Chambrelien? ✅ Jetez un œil aux dernières offres sur ImmoScout24.ch.</v>
      </c>
      <c r="J2686" s="4" t="s">
        <v>8054</v>
      </c>
    </row>
    <row r="2687">
      <c r="A2687" s="5" t="s">
        <v>8055</v>
      </c>
      <c r="B2687" s="2" t="s">
        <v>8056</v>
      </c>
      <c r="C2687" s="4" t="str">
        <f>IFERROR(__xludf.DUMMYFUNCTION("""🏘️ ""&amp;REGEXEXTRACT(B2687, ""^(.*): "")&amp;"" ✅ "" &amp;REGEXEXTRACT(B2687, ""(Trouvez.*)"")"),"🏘️ Vendre maison Fruthwilen ✅ Trouvez le bien immobilier qui correspond idéalement à vos désirs sur ImmoScout24 - La plateforme de l'immobilier en Suisse.")</f>
        <v>🏘️ Vendre maison Fruthwilen ✅ Trouvez le bien immobilier qui correspond idéalement à vos désirs sur ImmoScout24 - La plateforme de l'immobilier en Suisse.</v>
      </c>
      <c r="D2687" s="4" t="str">
        <f>vlookup(A2687, Sheet2!D:E, 2, 0)</f>
        <v>variant</v>
      </c>
      <c r="E2687" s="4" t="str">
        <f>IFERROR(__xludf.DUMMYFUNCTION("if(H2687=""pays"",vlookup(REGEXEXTRACT(C2687, ""🏘️ \w+ \w+ (.*) ✅""),'Country prepositions'!A:B, 2, 0) &amp; "" "" &amp; REGEXEXTRACT(C2687, ""🏘️ \w+ \w+ (.*) ✅"") ,  if(H2687=""quartier"",vlookup(REGEXEXTRACT(C2687, ""🏘️ \w+ \w+ (.*) ✅""),'Quartier prepositio"&amp;"ns'!A:E, 5, 0) ,  if(H2687=""region"",vlookup(REGEXEXTRACT(C2687, ""🏘️ \w+ \w+ (.*) ✅""),'Region prepositions'!B:F, 5, 0),  REGEXEXTRACT(C2687, ""🏘️ \w+ \w+ (.*) ✅""))))"),"Fruthwilen")</f>
        <v>Fruthwilen</v>
      </c>
      <c r="F2687" s="2" t="str">
        <f>IFERROR(__xludf.DUMMYFUNCTION("REGEXEXTRACT(C2687, ""🏘️ (\w+) \w+ .* ✅"")"),"Vendre")</f>
        <v>Vendre</v>
      </c>
      <c r="G2687" s="2" t="str">
        <f>IFERROR(__xludf.DUMMYFUNCTION("REGEXEXTRACT(C2687, ""🏘️ \w+ (\w+) .* ✅"")"),"maison")</f>
        <v>maison</v>
      </c>
      <c r="H2687" s="4" t="str">
        <f>IFERROR(__xludf.DUMMYFUNCTION("REGEXEXTRACT(A2687, ""/(\w+)-.*?"")"),"lieu")</f>
        <v>lieu</v>
      </c>
      <c r="I2687" s="4" t="str">
        <f>IFERROR(__xludf.DUMMYFUNCTION("if(D2687=""variant"",  substitute(filter(Templates!E:E, Templates!A:A = F2687, Templates!B:B = G2687, Templates!C:C = H2687), ""{{}}"", E2687), B2687)"),"🏘  Vous souhaitez acheter une maison à Fruthwilen? ✅ Jetez un œil aux dernières offres sur ImmoScout24.ch.")</f>
        <v>🏘  Vous souhaitez acheter une maison à Fruthwilen? ✅ Jetez un œil aux dernières offres sur ImmoScout24.ch.</v>
      </c>
      <c r="J2687" s="4" t="s">
        <v>8057</v>
      </c>
    </row>
    <row r="2688">
      <c r="A2688" s="5" t="s">
        <v>8058</v>
      </c>
      <c r="B2688" s="2" t="s">
        <v>8059</v>
      </c>
      <c r="C2688" s="4" t="str">
        <f>IFERROR(__xludf.DUMMYFUNCTION("""🏘️ ""&amp;REGEXEXTRACT(B2688, ""^(.*): "")&amp;"" ✅ "" &amp;REGEXEXTRACT(B2688, ""(Trouvez.*)"")"),"🏘️ Louer appartement Uettligen ✅ Trouvez le bien immobilier qui correspond idéalement à vos désirs sur ImmoScout24 - La plateforme de l'immobilier en Suisse.")</f>
        <v>🏘️ Louer appartement Uettligen ✅ Trouvez le bien immobilier qui correspond idéalement à vos désirs sur ImmoScout24 - La plateforme de l'immobilier en Suisse.</v>
      </c>
      <c r="D2688" s="4" t="str">
        <f>vlookup(A2688, Sheet2!D:E, 2, 0)</f>
        <v>variant</v>
      </c>
      <c r="E2688" s="4" t="str">
        <f>IFERROR(__xludf.DUMMYFUNCTION("if(H2688=""pays"",vlookup(REGEXEXTRACT(C2688, ""🏘️ \w+ \w+ (.*) ✅""),'Country prepositions'!A:B, 2, 0) &amp; "" "" &amp; REGEXEXTRACT(C2688, ""🏘️ \w+ \w+ (.*) ✅"") ,  if(H2688=""quartier"",vlookup(REGEXEXTRACT(C2688, ""🏘️ \w+ \w+ (.*) ✅""),'Quartier prepositio"&amp;"ns'!A:E, 5, 0) ,  if(H2688=""region"",vlookup(REGEXEXTRACT(C2688, ""🏘️ \w+ \w+ (.*) ✅""),'Region prepositions'!B:F, 5, 0),  REGEXEXTRACT(C2688, ""🏘️ \w+ \w+ (.*) ✅""))))"),"Uettligen")</f>
        <v>Uettligen</v>
      </c>
      <c r="F2688" s="2" t="str">
        <f>IFERROR(__xludf.DUMMYFUNCTION("REGEXEXTRACT(C2688, ""🏘️ (\w+) \w+ .* ✅"")"),"Louer")</f>
        <v>Louer</v>
      </c>
      <c r="G2688" s="2" t="str">
        <f>IFERROR(__xludf.DUMMYFUNCTION("REGEXEXTRACT(C2688, ""🏘️ \w+ (\w+) .* ✅"")"),"appartement")</f>
        <v>appartement</v>
      </c>
      <c r="H2688" s="4" t="str">
        <f>IFERROR(__xludf.DUMMYFUNCTION("REGEXEXTRACT(A2688, ""/(\w+)-.*?"")"),"lieu")</f>
        <v>lieu</v>
      </c>
      <c r="I2688" s="4" t="str">
        <f>IFERROR(__xludf.DUMMYFUNCTION("if(D2688=""variant"",  substitute(filter(Templates!E:E, Templates!A:A = F2688, Templates!B:B = G2688, Templates!C:C = H2688), ""{{}}"", E2688), B2688)"),"🏘  Vous cherchez un appartement à louer à Uettligen? ✅ Les annonces les plus actuelles sont sur ImmoScout24.ch.")</f>
        <v>🏘  Vous cherchez un appartement à louer à Uettligen? ✅ Les annonces les plus actuelles sont sur ImmoScout24.ch.</v>
      </c>
      <c r="J2688" s="4" t="s">
        <v>8060</v>
      </c>
    </row>
    <row r="2689">
      <c r="A2689" s="5" t="s">
        <v>8061</v>
      </c>
      <c r="B2689" s="2" t="s">
        <v>8062</v>
      </c>
      <c r="C2689" s="4" t="str">
        <f>IFERROR(__xludf.DUMMYFUNCTION("""🏘️ ""&amp;REGEXEXTRACT(B2689, ""^(.*): "")&amp;"" ✅ "" &amp;REGEXEXTRACT(B2689, ""(Trouvez.*)"")"),"🏘️ Vendre maison Finsterhennen ✅ Trouvez le bien immobilier qui correspond idéalement à vos désirs sur ImmoScout24 - La plateforme de l'immobilier en Suisse.")</f>
        <v>🏘️ Vendre maison Finsterhennen ✅ Trouvez le bien immobilier qui correspond idéalement à vos désirs sur ImmoScout24 - La plateforme de l'immobilier en Suisse.</v>
      </c>
      <c r="D2689" s="4" t="str">
        <f>vlookup(A2689, Sheet2!D:E, 2, 0)</f>
        <v>variant</v>
      </c>
      <c r="E2689" s="4" t="str">
        <f>IFERROR(__xludf.DUMMYFUNCTION("if(H2689=""pays"",vlookup(REGEXEXTRACT(C2689, ""🏘️ \w+ \w+ (.*) ✅""),'Country prepositions'!A:B, 2, 0) &amp; "" "" &amp; REGEXEXTRACT(C2689, ""🏘️ \w+ \w+ (.*) ✅"") ,  if(H2689=""quartier"",vlookup(REGEXEXTRACT(C2689, ""🏘️ \w+ \w+ (.*) ✅""),'Quartier prepositio"&amp;"ns'!A:E, 5, 0) ,  if(H2689=""region"",vlookup(REGEXEXTRACT(C2689, ""🏘️ \w+ \w+ (.*) ✅""),'Region prepositions'!B:F, 5, 0),  REGEXEXTRACT(C2689, ""🏘️ \w+ \w+ (.*) ✅""))))"),"Finsterhennen")</f>
        <v>Finsterhennen</v>
      </c>
      <c r="F2689" s="2" t="str">
        <f>IFERROR(__xludf.DUMMYFUNCTION("REGEXEXTRACT(C2689, ""🏘️ (\w+) \w+ .* ✅"")"),"Vendre")</f>
        <v>Vendre</v>
      </c>
      <c r="G2689" s="2" t="str">
        <f>IFERROR(__xludf.DUMMYFUNCTION("REGEXEXTRACT(C2689, ""🏘️ \w+ (\w+) .* ✅"")"),"maison")</f>
        <v>maison</v>
      </c>
      <c r="H2689" s="4" t="str">
        <f>IFERROR(__xludf.DUMMYFUNCTION("REGEXEXTRACT(A2689, ""/(\w+)-.*?"")"),"lieu")</f>
        <v>lieu</v>
      </c>
      <c r="I2689" s="4" t="str">
        <f>IFERROR(__xludf.DUMMYFUNCTION("if(D2689=""variant"",  substitute(filter(Templates!E:E, Templates!A:A = F2689, Templates!B:B = G2689, Templates!C:C = H2689), ""{{}}"", E2689), B2689)"),"🏘  Vous souhaitez acheter une maison à Finsterhennen? ✅ Jetez un œil aux dernières offres sur ImmoScout24.ch.")</f>
        <v>🏘  Vous souhaitez acheter une maison à Finsterhennen? ✅ Jetez un œil aux dernières offres sur ImmoScout24.ch.</v>
      </c>
      <c r="J2689" s="4" t="s">
        <v>8063</v>
      </c>
    </row>
    <row r="2690">
      <c r="A2690" s="5" t="s">
        <v>8064</v>
      </c>
      <c r="B2690" s="2" t="s">
        <v>8065</v>
      </c>
      <c r="C2690" s="4" t="str">
        <f>IFERROR(__xludf.DUMMYFUNCTION("""🏘️ ""&amp;REGEXEXTRACT(B2690, ""^(.*): "")&amp;"" ✅ "" &amp;REGEXEXTRACT(B2690, ""(Trouvez.*)"")"),"🏘️ Vendre maison Monnaz ✅ Trouvez le bien immobilier qui correspond idéalement à vos désirs sur ImmoScout24 - La plateforme de l'immobilier en Suisse.")</f>
        <v>🏘️ Vendre maison Monnaz ✅ Trouvez le bien immobilier qui correspond idéalement à vos désirs sur ImmoScout24 - La plateforme de l'immobilier en Suisse.</v>
      </c>
      <c r="D2690" s="4" t="str">
        <f>vlookup(A2690, Sheet2!D:E, 2, 0)</f>
        <v>variant</v>
      </c>
      <c r="E2690" s="4" t="str">
        <f>IFERROR(__xludf.DUMMYFUNCTION("if(H2690=""pays"",vlookup(REGEXEXTRACT(C2690, ""🏘️ \w+ \w+ (.*) ✅""),'Country prepositions'!A:B, 2, 0) &amp; "" "" &amp; REGEXEXTRACT(C2690, ""🏘️ \w+ \w+ (.*) ✅"") ,  if(H2690=""quartier"",vlookup(REGEXEXTRACT(C2690, ""🏘️ \w+ \w+ (.*) ✅""),'Quartier prepositio"&amp;"ns'!A:E, 5, 0) ,  if(H2690=""region"",vlookup(REGEXEXTRACT(C2690, ""🏘️ \w+ \w+ (.*) ✅""),'Region prepositions'!B:F, 5, 0),  REGEXEXTRACT(C2690, ""🏘️ \w+ \w+ (.*) ✅""))))"),"Monnaz")</f>
        <v>Monnaz</v>
      </c>
      <c r="F2690" s="2" t="str">
        <f>IFERROR(__xludf.DUMMYFUNCTION("REGEXEXTRACT(C2690, ""🏘️ (\w+) \w+ .* ✅"")"),"Vendre")</f>
        <v>Vendre</v>
      </c>
      <c r="G2690" s="2" t="str">
        <f>IFERROR(__xludf.DUMMYFUNCTION("REGEXEXTRACT(C2690, ""🏘️ \w+ (\w+) .* ✅"")"),"maison")</f>
        <v>maison</v>
      </c>
      <c r="H2690" s="4" t="str">
        <f>IFERROR(__xludf.DUMMYFUNCTION("REGEXEXTRACT(A2690, ""/(\w+)-.*?"")"),"lieu")</f>
        <v>lieu</v>
      </c>
      <c r="I2690" s="4" t="str">
        <f>IFERROR(__xludf.DUMMYFUNCTION("if(D2690=""variant"",  substitute(filter(Templates!E:E, Templates!A:A = F2690, Templates!B:B = G2690, Templates!C:C = H2690), ""{{}}"", E2690), B2690)"),"🏘  Vous souhaitez acheter une maison à Monnaz? ✅ Jetez un œil aux dernières offres sur ImmoScout24.ch.")</f>
        <v>🏘  Vous souhaitez acheter une maison à Monnaz? ✅ Jetez un œil aux dernières offres sur ImmoScout24.ch.</v>
      </c>
      <c r="J2690" s="4" t="s">
        <v>8066</v>
      </c>
    </row>
    <row r="2691">
      <c r="A2691" s="5" t="s">
        <v>8067</v>
      </c>
      <c r="B2691" s="2" t="s">
        <v>8068</v>
      </c>
      <c r="C2691" s="4" t="str">
        <f>IFERROR(__xludf.DUMMYFUNCTION("""🏘️ ""&amp;REGEXEXTRACT(B2691, ""^(.*): "")&amp;"" ✅ "" &amp;REGEXEXTRACT(B2691, ""(Trouvez.*)"")"),"🏘️ Vendre maison Safnern ✅ Trouvez le bien immobilier qui correspond idéalement à vos désirs sur ImmoScout24 - La plateforme de l'immobilier en Suisse.")</f>
        <v>🏘️ Vendre maison Safnern ✅ Trouvez le bien immobilier qui correspond idéalement à vos désirs sur ImmoScout24 - La plateforme de l'immobilier en Suisse.</v>
      </c>
      <c r="D2691" s="4" t="str">
        <f>vlookup(A2691, Sheet2!D:E, 2, 0)</f>
        <v>variant</v>
      </c>
      <c r="E2691" s="4" t="str">
        <f>IFERROR(__xludf.DUMMYFUNCTION("if(H2691=""pays"",vlookup(REGEXEXTRACT(C2691, ""🏘️ \w+ \w+ (.*) ✅""),'Country prepositions'!A:B, 2, 0) &amp; "" "" &amp; REGEXEXTRACT(C2691, ""🏘️ \w+ \w+ (.*) ✅"") ,  if(H2691=""quartier"",vlookup(REGEXEXTRACT(C2691, ""🏘️ \w+ \w+ (.*) ✅""),'Quartier prepositio"&amp;"ns'!A:E, 5, 0) ,  if(H2691=""region"",vlookup(REGEXEXTRACT(C2691, ""🏘️ \w+ \w+ (.*) ✅""),'Region prepositions'!B:F, 5, 0),  REGEXEXTRACT(C2691, ""🏘️ \w+ \w+ (.*) ✅""))))"),"Safnern")</f>
        <v>Safnern</v>
      </c>
      <c r="F2691" s="2" t="str">
        <f>IFERROR(__xludf.DUMMYFUNCTION("REGEXEXTRACT(C2691, ""🏘️ (\w+) \w+ .* ✅"")"),"Vendre")</f>
        <v>Vendre</v>
      </c>
      <c r="G2691" s="2" t="str">
        <f>IFERROR(__xludf.DUMMYFUNCTION("REGEXEXTRACT(C2691, ""🏘️ \w+ (\w+) .* ✅"")"),"maison")</f>
        <v>maison</v>
      </c>
      <c r="H2691" s="4" t="str">
        <f>IFERROR(__xludf.DUMMYFUNCTION("REGEXEXTRACT(A2691, ""/(\w+)-.*?"")"),"lieu")</f>
        <v>lieu</v>
      </c>
      <c r="I2691" s="4" t="str">
        <f>IFERROR(__xludf.DUMMYFUNCTION("if(D2691=""variant"",  substitute(filter(Templates!E:E, Templates!A:A = F2691, Templates!B:B = G2691, Templates!C:C = H2691), ""{{}}"", E2691), B2691)"),"🏘  Vous souhaitez acheter une maison à Safnern? ✅ Jetez un œil aux dernières offres sur ImmoScout24.ch.")</f>
        <v>🏘  Vous souhaitez acheter une maison à Safnern? ✅ Jetez un œil aux dernières offres sur ImmoScout24.ch.</v>
      </c>
      <c r="J2691" s="4" t="s">
        <v>8069</v>
      </c>
    </row>
    <row r="2692">
      <c r="A2692" s="5" t="s">
        <v>8070</v>
      </c>
      <c r="B2692" s="2" t="s">
        <v>8071</v>
      </c>
      <c r="C2692" s="4" t="str">
        <f>IFERROR(__xludf.DUMMYFUNCTION("""🏘️ ""&amp;REGEXEXTRACT(B2692, ""^(.*): "")&amp;"" ✅ "" &amp;REGEXEXTRACT(B2692, ""(Trouvez.*)"")"),"🏘️ Vendre appartement Fontainemelon ✅ Trouvez le bien immobilier qui correspond idéalement à vos désirs sur ImmoScout24 - La plateforme de l'immobilier en Suisse.")</f>
        <v>🏘️ Vendre appartement Fontainemelon ✅ Trouvez le bien immobilier qui correspond idéalement à vos désirs sur ImmoScout24 - La plateforme de l'immobilier en Suisse.</v>
      </c>
      <c r="D2692" s="4" t="str">
        <f>vlookup(A2692, Sheet2!D:E, 2, 0)</f>
        <v>variant</v>
      </c>
      <c r="E2692" s="4" t="str">
        <f>IFERROR(__xludf.DUMMYFUNCTION("if(H2692=""pays"",vlookup(REGEXEXTRACT(C2692, ""🏘️ \w+ \w+ (.*) ✅""),'Country prepositions'!A:B, 2, 0) &amp; "" "" &amp; REGEXEXTRACT(C2692, ""🏘️ \w+ \w+ (.*) ✅"") ,  if(H2692=""quartier"",vlookup(REGEXEXTRACT(C2692, ""🏘️ \w+ \w+ (.*) ✅""),'Quartier prepositio"&amp;"ns'!A:E, 5, 0) ,  if(H2692=""region"",vlookup(REGEXEXTRACT(C2692, ""🏘️ \w+ \w+ (.*) ✅""),'Region prepositions'!B:F, 5, 0),  REGEXEXTRACT(C2692, ""🏘️ \w+ \w+ (.*) ✅""))))"),"Fontainemelon")</f>
        <v>Fontainemelon</v>
      </c>
      <c r="F2692" s="2" t="str">
        <f>IFERROR(__xludf.DUMMYFUNCTION("REGEXEXTRACT(C2692, ""🏘️ (\w+) \w+ .* ✅"")"),"Vendre")</f>
        <v>Vendre</v>
      </c>
      <c r="G2692" s="2" t="str">
        <f>IFERROR(__xludf.DUMMYFUNCTION("REGEXEXTRACT(C2692, ""🏘️ \w+ (\w+) .* ✅"")"),"appartement")</f>
        <v>appartement</v>
      </c>
      <c r="H2692" s="4" t="str">
        <f>IFERROR(__xludf.DUMMYFUNCTION("REGEXEXTRACT(A2692, ""/(\w+)-.*?"")"),"lieu")</f>
        <v>lieu</v>
      </c>
      <c r="I2692" s="4" t="str">
        <f>IFERROR(__xludf.DUMMYFUNCTION("if(D2692=""variant"",  substitute(filter(Templates!E:E, Templates!A:A = F2692, Templates!B:B = G2692, Templates!C:C = H2692), ""{{}}"", E2692), B2692)"),"🏘  L’appartement de vos rêves se trouve sur ImmoScout24.ch ✅ Découvrez les dernières annonces de vente à Fontainemelon.")</f>
        <v>🏘  L’appartement de vos rêves se trouve sur ImmoScout24.ch ✅ Découvrez les dernières annonces de vente à Fontainemelon.</v>
      </c>
      <c r="J2692" s="4" t="s">
        <v>8072</v>
      </c>
    </row>
    <row r="2693">
      <c r="A2693" s="5" t="s">
        <v>8073</v>
      </c>
      <c r="B2693" s="2" t="s">
        <v>8074</v>
      </c>
      <c r="C2693" s="4" t="str">
        <f>IFERROR(__xludf.DUMMYFUNCTION("""🏘️ ""&amp;REGEXEXTRACT(B2693, ""^(.*): "")&amp;"" ✅ "" &amp;REGEXEXTRACT(B2693, ""(Trouvez.*)"")"),"🏘️ Vendre maison Buchs AG ✅ Trouvez le bien immobilier qui correspond idéalement à vos désirs sur ImmoScout24 - La plateforme de l'immobilier en Suisse.")</f>
        <v>🏘️ Vendre maison Buchs AG ✅ Trouvez le bien immobilier qui correspond idéalement à vos désirs sur ImmoScout24 - La plateforme de l'immobilier en Suisse.</v>
      </c>
      <c r="D2693" s="4" t="str">
        <f>vlookup(A2693, Sheet2!D:E, 2, 0)</f>
        <v>variant</v>
      </c>
      <c r="E2693" s="4" t="str">
        <f>IFERROR(__xludf.DUMMYFUNCTION("if(H2693=""pays"",vlookup(REGEXEXTRACT(C2693, ""🏘️ \w+ \w+ (.*) ✅""),'Country prepositions'!A:B, 2, 0) &amp; "" "" &amp; REGEXEXTRACT(C2693, ""🏘️ \w+ \w+ (.*) ✅"") ,  if(H2693=""quartier"",vlookup(REGEXEXTRACT(C2693, ""🏘️ \w+ \w+ (.*) ✅""),'Quartier prepositio"&amp;"ns'!A:E, 5, 0) ,  if(H2693=""region"",vlookup(REGEXEXTRACT(C2693, ""🏘️ \w+ \w+ (.*) ✅""),'Region prepositions'!B:F, 5, 0),  REGEXEXTRACT(C2693, ""🏘️ \w+ \w+ (.*) ✅""))))"),"Buchs AG")</f>
        <v>Buchs AG</v>
      </c>
      <c r="F2693" s="2" t="str">
        <f>IFERROR(__xludf.DUMMYFUNCTION("REGEXEXTRACT(C2693, ""🏘️ (\w+) \w+ .* ✅"")"),"Vendre")</f>
        <v>Vendre</v>
      </c>
      <c r="G2693" s="2" t="str">
        <f>IFERROR(__xludf.DUMMYFUNCTION("REGEXEXTRACT(C2693, ""🏘️ \w+ (\w+) .* ✅"")"),"maison")</f>
        <v>maison</v>
      </c>
      <c r="H2693" s="4" t="str">
        <f>IFERROR(__xludf.DUMMYFUNCTION("REGEXEXTRACT(A2693, ""/(\w+)-.*?"")"),"lieu")</f>
        <v>lieu</v>
      </c>
      <c r="I2693" s="4" t="str">
        <f>IFERROR(__xludf.DUMMYFUNCTION("if(D2693=""variant"",  substitute(filter(Templates!E:E, Templates!A:A = F2693, Templates!B:B = G2693, Templates!C:C = H2693), ""{{}}"", E2693), B2693)"),"🏘  Vous souhaitez acheter une maison à Buchs AG? ✅ Jetez un œil aux dernières offres sur ImmoScout24.ch.")</f>
        <v>🏘  Vous souhaitez acheter une maison à Buchs AG? ✅ Jetez un œil aux dernières offres sur ImmoScout24.ch.</v>
      </c>
      <c r="J2693" s="4" t="s">
        <v>8075</v>
      </c>
    </row>
    <row r="2694">
      <c r="A2694" s="5" t="s">
        <v>8076</v>
      </c>
      <c r="B2694" s="2" t="s">
        <v>8077</v>
      </c>
      <c r="C2694" s="4" t="str">
        <f>IFERROR(__xludf.DUMMYFUNCTION("""🏘️ ""&amp;REGEXEXTRACT(B2694, ""^(.*): "")&amp;"" ✅ "" &amp;REGEXEXTRACT(B2694, ""(Trouvez.*)"")"),"🏘️ Louer appartement Port ✅ Trouvez le bien immobilier qui correspond idéalement à vos désirs sur ImmoScout24 - La plateforme de l'immobilier en Suisse.")</f>
        <v>🏘️ Louer appartement Port ✅ Trouvez le bien immobilier qui correspond idéalement à vos désirs sur ImmoScout24 - La plateforme de l'immobilier en Suisse.</v>
      </c>
      <c r="D2694" s="4" t="str">
        <f>vlookup(A2694, Sheet2!D:E, 2, 0)</f>
        <v>variant</v>
      </c>
      <c r="E2694" s="4" t="str">
        <f>IFERROR(__xludf.DUMMYFUNCTION("if(H2694=""pays"",vlookup(REGEXEXTRACT(C2694, ""🏘️ \w+ \w+ (.*) ✅""),'Country prepositions'!A:B, 2, 0) &amp; "" "" &amp; REGEXEXTRACT(C2694, ""🏘️ \w+ \w+ (.*) ✅"") ,  if(H2694=""quartier"",vlookup(REGEXEXTRACT(C2694, ""🏘️ \w+ \w+ (.*) ✅""),'Quartier prepositio"&amp;"ns'!A:E, 5, 0) ,  if(H2694=""region"",vlookup(REGEXEXTRACT(C2694, ""🏘️ \w+ \w+ (.*) ✅""),'Region prepositions'!B:F, 5, 0),  REGEXEXTRACT(C2694, ""🏘️ \w+ \w+ (.*) ✅""))))"),"Port")</f>
        <v>Port</v>
      </c>
      <c r="F2694" s="2" t="str">
        <f>IFERROR(__xludf.DUMMYFUNCTION("REGEXEXTRACT(C2694, ""🏘️ (\w+) \w+ .* ✅"")"),"Louer")</f>
        <v>Louer</v>
      </c>
      <c r="G2694" s="2" t="str">
        <f>IFERROR(__xludf.DUMMYFUNCTION("REGEXEXTRACT(C2694, ""🏘️ \w+ (\w+) .* ✅"")"),"appartement")</f>
        <v>appartement</v>
      </c>
      <c r="H2694" s="4" t="str">
        <f>IFERROR(__xludf.DUMMYFUNCTION("REGEXEXTRACT(A2694, ""/(\w+)-.*?"")"),"lieu")</f>
        <v>lieu</v>
      </c>
      <c r="I2694" s="4" t="str">
        <f>IFERROR(__xludf.DUMMYFUNCTION("if(D2694=""variant"",  substitute(filter(Templates!E:E, Templates!A:A = F2694, Templates!B:B = G2694, Templates!C:C = H2694), ""{{}}"", E2694), B2694)"),"🏘  Vous cherchez un appartement à louer à Port? ✅ Les annonces les plus actuelles sont sur ImmoScout24.ch.")</f>
        <v>🏘  Vous cherchez un appartement à louer à Port? ✅ Les annonces les plus actuelles sont sur ImmoScout24.ch.</v>
      </c>
      <c r="J2694" s="4" t="s">
        <v>8078</v>
      </c>
    </row>
    <row r="2695">
      <c r="A2695" s="5" t="s">
        <v>8079</v>
      </c>
      <c r="B2695" s="2" t="s">
        <v>8080</v>
      </c>
      <c r="C2695" s="4" t="str">
        <f>IFERROR(__xludf.DUMMYFUNCTION("""🏘️ ""&amp;REGEXEXTRACT(B2695, ""^(.*): "")&amp;"" ✅ "" &amp;REGEXEXTRACT(B2695, ""(Trouvez.*)"")"),"🏘️ Vendre maison Corminboeuf ✅ Trouvez le bien immobilier qui correspond idéalement à vos désirs sur ImmoScout24 - La plateforme de l'immobilier en Suisse.")</f>
        <v>🏘️ Vendre maison Corminboeuf ✅ Trouvez le bien immobilier qui correspond idéalement à vos désirs sur ImmoScout24 - La plateforme de l'immobilier en Suisse.</v>
      </c>
      <c r="D2695" s="4" t="str">
        <f>vlookup(A2695, Sheet2!D:E, 2, 0)</f>
        <v>variant</v>
      </c>
      <c r="E2695" s="4" t="str">
        <f>IFERROR(__xludf.DUMMYFUNCTION("if(H2695=""pays"",vlookup(REGEXEXTRACT(C2695, ""🏘️ \w+ \w+ (.*) ✅""),'Country prepositions'!A:B, 2, 0) &amp; "" "" &amp; REGEXEXTRACT(C2695, ""🏘️ \w+ \w+ (.*) ✅"") ,  if(H2695=""quartier"",vlookup(REGEXEXTRACT(C2695, ""🏘️ \w+ \w+ (.*) ✅""),'Quartier prepositio"&amp;"ns'!A:E, 5, 0) ,  if(H2695=""region"",vlookup(REGEXEXTRACT(C2695, ""🏘️ \w+ \w+ (.*) ✅""),'Region prepositions'!B:F, 5, 0),  REGEXEXTRACT(C2695, ""🏘️ \w+ \w+ (.*) ✅""))))"),"Corminboeuf")</f>
        <v>Corminboeuf</v>
      </c>
      <c r="F2695" s="2" t="str">
        <f>IFERROR(__xludf.DUMMYFUNCTION("REGEXEXTRACT(C2695, ""🏘️ (\w+) \w+ .* ✅"")"),"Vendre")</f>
        <v>Vendre</v>
      </c>
      <c r="G2695" s="2" t="str">
        <f>IFERROR(__xludf.DUMMYFUNCTION("REGEXEXTRACT(C2695, ""🏘️ \w+ (\w+) .* ✅"")"),"maison")</f>
        <v>maison</v>
      </c>
      <c r="H2695" s="4" t="str">
        <f>IFERROR(__xludf.DUMMYFUNCTION("REGEXEXTRACT(A2695, ""/(\w+)-.*?"")"),"lieu")</f>
        <v>lieu</v>
      </c>
      <c r="I2695" s="4" t="str">
        <f>IFERROR(__xludf.DUMMYFUNCTION("if(D2695=""variant"",  substitute(filter(Templates!E:E, Templates!A:A = F2695, Templates!B:B = G2695, Templates!C:C = H2695), ""{{}}"", E2695), B2695)"),"🏘  Vous souhaitez acheter une maison à Corminboeuf? ✅ Jetez un œil aux dernières offres sur ImmoScout24.ch.")</f>
        <v>🏘  Vous souhaitez acheter une maison à Corminboeuf? ✅ Jetez un œil aux dernières offres sur ImmoScout24.ch.</v>
      </c>
      <c r="J2695" s="4" t="s">
        <v>8081</v>
      </c>
    </row>
    <row r="2696">
      <c r="A2696" s="5" t="s">
        <v>8082</v>
      </c>
      <c r="B2696" s="2" t="s">
        <v>8083</v>
      </c>
      <c r="C2696" s="4" t="str">
        <f>IFERROR(__xludf.DUMMYFUNCTION("""🏘️ ""&amp;REGEXEXTRACT(B2696, ""^(.*): "")&amp;"" ✅ "" &amp;REGEXEXTRACT(B2696, ""(Trouvez.*)"")"),"🏘️ Vendre maison Faulensee ✅ Trouvez le bien immobilier qui correspond idéalement à vos désirs sur ImmoScout24 - La plateforme de l'immobilier en Suisse.")</f>
        <v>🏘️ Vendre maison Faulensee ✅ Trouvez le bien immobilier qui correspond idéalement à vos désirs sur ImmoScout24 - La plateforme de l'immobilier en Suisse.</v>
      </c>
      <c r="D2696" s="4" t="str">
        <f>vlookup(A2696, Sheet2!D:E, 2, 0)</f>
        <v>variant</v>
      </c>
      <c r="E2696" s="4" t="str">
        <f>IFERROR(__xludf.DUMMYFUNCTION("if(H2696=""pays"",vlookup(REGEXEXTRACT(C2696, ""🏘️ \w+ \w+ (.*) ✅""),'Country prepositions'!A:B, 2, 0) &amp; "" "" &amp; REGEXEXTRACT(C2696, ""🏘️ \w+ \w+ (.*) ✅"") ,  if(H2696=""quartier"",vlookup(REGEXEXTRACT(C2696, ""🏘️ \w+ \w+ (.*) ✅""),'Quartier prepositio"&amp;"ns'!A:E, 5, 0) ,  if(H2696=""region"",vlookup(REGEXEXTRACT(C2696, ""🏘️ \w+ \w+ (.*) ✅""),'Region prepositions'!B:F, 5, 0),  REGEXEXTRACT(C2696, ""🏘️ \w+ \w+ (.*) ✅""))))"),"Faulensee")</f>
        <v>Faulensee</v>
      </c>
      <c r="F2696" s="2" t="str">
        <f>IFERROR(__xludf.DUMMYFUNCTION("REGEXEXTRACT(C2696, ""🏘️ (\w+) \w+ .* ✅"")"),"Vendre")</f>
        <v>Vendre</v>
      </c>
      <c r="G2696" s="2" t="str">
        <f>IFERROR(__xludf.DUMMYFUNCTION("REGEXEXTRACT(C2696, ""🏘️ \w+ (\w+) .* ✅"")"),"maison")</f>
        <v>maison</v>
      </c>
      <c r="H2696" s="4" t="str">
        <f>IFERROR(__xludf.DUMMYFUNCTION("REGEXEXTRACT(A2696, ""/(\w+)-.*?"")"),"lieu")</f>
        <v>lieu</v>
      </c>
      <c r="I2696" s="4" t="str">
        <f>IFERROR(__xludf.DUMMYFUNCTION("if(D2696=""variant"",  substitute(filter(Templates!E:E, Templates!A:A = F2696, Templates!B:B = G2696, Templates!C:C = H2696), ""{{}}"", E2696), B2696)"),"🏘  Vous souhaitez acheter une maison à Faulensee? ✅ Jetez un œil aux dernières offres sur ImmoScout24.ch.")</f>
        <v>🏘  Vous souhaitez acheter une maison à Faulensee? ✅ Jetez un œil aux dernières offres sur ImmoScout24.ch.</v>
      </c>
      <c r="J2696" s="4" t="s">
        <v>8084</v>
      </c>
    </row>
    <row r="2697">
      <c r="A2697" s="5" t="s">
        <v>8085</v>
      </c>
      <c r="B2697" s="2" t="s">
        <v>8086</v>
      </c>
      <c r="C2697" s="4" t="str">
        <f>IFERROR(__xludf.DUMMYFUNCTION("""🏘️ ""&amp;REGEXEXTRACT(B2697, ""^(.*): "")&amp;"" ✅ "" &amp;REGEXEXTRACT(B2697, ""(Trouvez.*)"")"),"🏘️ Louer appartement Guggenbühl (Winterthur) ✅ Trouvez le bien immobilier qui correspond idéalement à vos désirs sur ImmoScout24 - La plateforme de l'immobilier en Suisse.")</f>
        <v>🏘️ Louer appartement Guggenbühl (Winterthur) ✅ Trouvez le bien immobilier qui correspond idéalement à vos désirs sur ImmoScout24 - La plateforme de l'immobilier en Suisse.</v>
      </c>
      <c r="D2697" s="4" t="str">
        <f>vlookup(A2697, Sheet2!D:E, 2, 0)</f>
        <v>variant</v>
      </c>
      <c r="E2697" s="4" t="str">
        <f>IFERROR(__xludf.DUMMYFUNCTION("if(H2697=""pays"",vlookup(REGEXEXTRACT(C2697, ""🏘️ \w+ \w+ (.*) ✅""),'Country prepositions'!A:B, 2, 0) &amp; "" "" &amp; REGEXEXTRACT(C2697, ""🏘️ \w+ \w+ (.*) ✅"") ,  if(H2697=""quartier"",vlookup(REGEXEXTRACT(C2697, ""🏘️ \w+ \w+ (.*) ✅""),'Quartier prepositio"&amp;"ns'!A:E, 5, 0) ,  if(H2697=""region"",vlookup(REGEXEXTRACT(C2697, ""🏘️ \w+ \w+ (.*) ✅""),'Region prepositions'!B:F, 5, 0),  REGEXEXTRACT(C2697, ""🏘️ \w+ \w+ (.*) ✅""))))"),"dans le quartier de Guggenbühl (Winterthur)")</f>
        <v>dans le quartier de Guggenbühl (Winterthur)</v>
      </c>
      <c r="F2697" s="2" t="str">
        <f>IFERROR(__xludf.DUMMYFUNCTION("REGEXEXTRACT(C2697, ""🏘️ (\w+) \w+ .* ✅"")"),"Louer")</f>
        <v>Louer</v>
      </c>
      <c r="G2697" s="2" t="str">
        <f>IFERROR(__xludf.DUMMYFUNCTION("REGEXEXTRACT(C2697, ""🏘️ \w+ (\w+) .* ✅"")"),"appartement")</f>
        <v>appartement</v>
      </c>
      <c r="H2697" s="4" t="str">
        <f>IFERROR(__xludf.DUMMYFUNCTION("REGEXEXTRACT(A2697, ""/(\w+)-.*?"")"),"quartier")</f>
        <v>quartier</v>
      </c>
      <c r="I2697" s="4" t="str">
        <f>IFERROR(__xludf.DUMMYFUNCTION("if(D2697=""variant"",  substitute(filter(Templates!E:E, Templates!A:A = F2697, Templates!B:B = G2697, Templates!C:C = H2697), ""{{}}"", E2697), B2697)"),"🏘  Vous cherchez un appartement à louer dans le quartier de Guggenbühl (Winterthur)? ✅ Les annonces les plus actuelles sont sur ImmoScout24.ch.")</f>
        <v>🏘  Vous cherchez un appartement à louer dans le quartier de Guggenbühl (Winterthur)? ✅ Les annonces les plus actuelles sont sur ImmoScout24.ch.</v>
      </c>
      <c r="J2697" s="4" t="s">
        <v>8087</v>
      </c>
    </row>
    <row r="2698">
      <c r="A2698" s="5" t="s">
        <v>8088</v>
      </c>
      <c r="B2698" s="2" t="s">
        <v>8089</v>
      </c>
      <c r="C2698" s="4" t="str">
        <f>IFERROR(__xludf.DUMMYFUNCTION("""🏘️ ""&amp;REGEXEXTRACT(B2698, ""^(.*): "")&amp;"" ✅ "" &amp;REGEXEXTRACT(B2698, ""(Trouvez.*)"")"),"🏘️ Louer appartement Sassel ✅ Trouvez le bien immobilier qui correspond idéalement à vos désirs sur ImmoScout24 - La plateforme de l'immobilier en Suisse.")</f>
        <v>🏘️ Louer appartement Sassel ✅ Trouvez le bien immobilier qui correspond idéalement à vos désirs sur ImmoScout24 - La plateforme de l'immobilier en Suisse.</v>
      </c>
      <c r="D2698" s="4" t="str">
        <f>vlookup(A2698, Sheet2!D:E, 2, 0)</f>
        <v>variant</v>
      </c>
      <c r="E2698" s="4" t="str">
        <f>IFERROR(__xludf.DUMMYFUNCTION("if(H2698=""pays"",vlookup(REGEXEXTRACT(C2698, ""🏘️ \w+ \w+ (.*) ✅""),'Country prepositions'!A:B, 2, 0) &amp; "" "" &amp; REGEXEXTRACT(C2698, ""🏘️ \w+ \w+ (.*) ✅"") ,  if(H2698=""quartier"",vlookup(REGEXEXTRACT(C2698, ""🏘️ \w+ \w+ (.*) ✅""),'Quartier prepositio"&amp;"ns'!A:E, 5, 0) ,  if(H2698=""region"",vlookup(REGEXEXTRACT(C2698, ""🏘️ \w+ \w+ (.*) ✅""),'Region prepositions'!B:F, 5, 0),  REGEXEXTRACT(C2698, ""🏘️ \w+ \w+ (.*) ✅""))))"),"Sassel")</f>
        <v>Sassel</v>
      </c>
      <c r="F2698" s="2" t="str">
        <f>IFERROR(__xludf.DUMMYFUNCTION("REGEXEXTRACT(C2698, ""🏘️ (\w+) \w+ .* ✅"")"),"Louer")</f>
        <v>Louer</v>
      </c>
      <c r="G2698" s="2" t="str">
        <f>IFERROR(__xludf.DUMMYFUNCTION("REGEXEXTRACT(C2698, ""🏘️ \w+ (\w+) .* ✅"")"),"appartement")</f>
        <v>appartement</v>
      </c>
      <c r="H2698" s="4" t="str">
        <f>IFERROR(__xludf.DUMMYFUNCTION("REGEXEXTRACT(A2698, ""/(\w+)-.*?"")"),"lieu")</f>
        <v>lieu</v>
      </c>
      <c r="I2698" s="4" t="str">
        <f>IFERROR(__xludf.DUMMYFUNCTION("if(D2698=""variant"",  substitute(filter(Templates!E:E, Templates!A:A = F2698, Templates!B:B = G2698, Templates!C:C = H2698), ""{{}}"", E2698), B2698)"),"🏘  Vous cherchez un appartement à louer à Sassel? ✅ Les annonces les plus actuelles sont sur ImmoScout24.ch.")</f>
        <v>🏘  Vous cherchez un appartement à louer à Sassel? ✅ Les annonces les plus actuelles sont sur ImmoScout24.ch.</v>
      </c>
      <c r="J2698" s="4" t="s">
        <v>8090</v>
      </c>
    </row>
    <row r="2699">
      <c r="A2699" s="5" t="s">
        <v>8091</v>
      </c>
      <c r="B2699" s="2" t="s">
        <v>8092</v>
      </c>
      <c r="C2699" s="4" t="str">
        <f>IFERROR(__xludf.DUMMYFUNCTION("""🏘️ ""&amp;REGEXEXTRACT(B2699, ""^(.*): "")&amp;"" ✅ "" &amp;REGEXEXTRACT(B2699, ""(Trouvez.*)"")"),"🏘️ Vendre maison Crans-Montana ✅ Trouvez le bien immobilier qui correspond idéalement à vos désirs sur ImmoScout24 - La plateforme de l'immobilier en Suisse.")</f>
        <v>🏘️ Vendre maison Crans-Montana ✅ Trouvez le bien immobilier qui correspond idéalement à vos désirs sur ImmoScout24 - La plateforme de l'immobilier en Suisse.</v>
      </c>
      <c r="D2699" s="4" t="str">
        <f>vlookup(A2699, Sheet2!D:E, 2, 0)</f>
        <v>variant</v>
      </c>
      <c r="E2699" s="4" t="str">
        <f>IFERROR(__xludf.DUMMYFUNCTION("if(H2699=""pays"",vlookup(REGEXEXTRACT(C2699, ""🏘️ \w+ \w+ (.*) ✅""),'Country prepositions'!A:B, 2, 0) &amp; "" "" &amp; REGEXEXTRACT(C2699, ""🏘️ \w+ \w+ (.*) ✅"") ,  if(H2699=""quartier"",vlookup(REGEXEXTRACT(C2699, ""🏘️ \w+ \w+ (.*) ✅""),'Quartier prepositio"&amp;"ns'!A:E, 5, 0) ,  if(H2699=""region"",vlookup(REGEXEXTRACT(C2699, ""🏘️ \w+ \w+ (.*) ✅""),'Region prepositions'!B:F, 5, 0),  REGEXEXTRACT(C2699, ""🏘️ \w+ \w+ (.*) ✅""))))"),"Crans-Montana")</f>
        <v>Crans-Montana</v>
      </c>
      <c r="F2699" s="2" t="str">
        <f>IFERROR(__xludf.DUMMYFUNCTION("REGEXEXTRACT(C2699, ""🏘️ (\w+) \w+ .* ✅"")"),"Vendre")</f>
        <v>Vendre</v>
      </c>
      <c r="G2699" s="2" t="str">
        <f>IFERROR(__xludf.DUMMYFUNCTION("REGEXEXTRACT(C2699, ""🏘️ \w+ (\w+) .* ✅"")"),"maison")</f>
        <v>maison</v>
      </c>
      <c r="H2699" s="4" t="str">
        <f>IFERROR(__xludf.DUMMYFUNCTION("REGEXEXTRACT(A2699, ""/(\w+)-.*?"")"),"lieu")</f>
        <v>lieu</v>
      </c>
      <c r="I2699" s="4" t="str">
        <f>IFERROR(__xludf.DUMMYFUNCTION("if(D2699=""variant"",  substitute(filter(Templates!E:E, Templates!A:A = F2699, Templates!B:B = G2699, Templates!C:C = H2699), ""{{}}"", E2699), B2699)"),"🏘  Vous souhaitez acheter une maison à Crans-Montana? ✅ Jetez un œil aux dernières offres sur ImmoScout24.ch.")</f>
        <v>🏘  Vous souhaitez acheter une maison à Crans-Montana? ✅ Jetez un œil aux dernières offres sur ImmoScout24.ch.</v>
      </c>
      <c r="J2699" s="4" t="s">
        <v>8093</v>
      </c>
    </row>
    <row r="2700">
      <c r="A2700" s="5" t="s">
        <v>8094</v>
      </c>
      <c r="B2700" s="2" t="s">
        <v>8095</v>
      </c>
      <c r="C2700" s="4" t="str">
        <f>IFERROR(__xludf.DUMMYFUNCTION("""🏘️ ""&amp;REGEXEXTRACT(B2700, ""^(.*): "")&amp;"" ✅ "" &amp;REGEXEXTRACT(B2700, ""(Trouvez.*)"")"),"🏘️ Vendre maison Avry-devant-Pont ✅ Trouvez le bien immobilier qui correspond idéalement à vos désirs sur ImmoScout24 - La plateforme de l'immobilier en Suisse.")</f>
        <v>🏘️ Vendre maison Avry-devant-Pont ✅ Trouvez le bien immobilier qui correspond idéalement à vos désirs sur ImmoScout24 - La plateforme de l'immobilier en Suisse.</v>
      </c>
      <c r="D2700" s="4" t="str">
        <f>vlookup(A2700, Sheet2!D:E, 2, 0)</f>
        <v>variant</v>
      </c>
      <c r="E2700" s="4" t="str">
        <f>IFERROR(__xludf.DUMMYFUNCTION("if(H2700=""pays"",vlookup(REGEXEXTRACT(C2700, ""🏘️ \w+ \w+ (.*) ✅""),'Country prepositions'!A:B, 2, 0) &amp; "" "" &amp; REGEXEXTRACT(C2700, ""🏘️ \w+ \w+ (.*) ✅"") ,  if(H2700=""quartier"",vlookup(REGEXEXTRACT(C2700, ""🏘️ \w+ \w+ (.*) ✅""),'Quartier prepositio"&amp;"ns'!A:E, 5, 0) ,  if(H2700=""region"",vlookup(REGEXEXTRACT(C2700, ""🏘️ \w+ \w+ (.*) ✅""),'Region prepositions'!B:F, 5, 0),  REGEXEXTRACT(C2700, ""🏘️ \w+ \w+ (.*) ✅""))))"),"Avry-devant-Pont")</f>
        <v>Avry-devant-Pont</v>
      </c>
      <c r="F2700" s="2" t="str">
        <f>IFERROR(__xludf.DUMMYFUNCTION("REGEXEXTRACT(C2700, ""🏘️ (\w+) \w+ .* ✅"")"),"Vendre")</f>
        <v>Vendre</v>
      </c>
      <c r="G2700" s="2" t="str">
        <f>IFERROR(__xludf.DUMMYFUNCTION("REGEXEXTRACT(C2700, ""🏘️ \w+ (\w+) .* ✅"")"),"maison")</f>
        <v>maison</v>
      </c>
      <c r="H2700" s="4" t="str">
        <f>IFERROR(__xludf.DUMMYFUNCTION("REGEXEXTRACT(A2700, ""/(\w+)-.*?"")"),"lieu")</f>
        <v>lieu</v>
      </c>
      <c r="I2700" s="4" t="str">
        <f>IFERROR(__xludf.DUMMYFUNCTION("if(D2700=""variant"",  substitute(filter(Templates!E:E, Templates!A:A = F2700, Templates!B:B = G2700, Templates!C:C = H2700), ""{{}}"", E2700), B2700)"),"🏘  Vous souhaitez acheter une maison à Avry-devant-Pont? ✅ Jetez un œil aux dernières offres sur ImmoScout24.ch.")</f>
        <v>🏘  Vous souhaitez acheter une maison à Avry-devant-Pont? ✅ Jetez un œil aux dernières offres sur ImmoScout24.ch.</v>
      </c>
      <c r="J2700" s="4" t="s">
        <v>8096</v>
      </c>
    </row>
    <row r="2701">
      <c r="A2701" s="5" t="s">
        <v>8097</v>
      </c>
      <c r="B2701" s="2" t="s">
        <v>8098</v>
      </c>
      <c r="C2701" s="4" t="str">
        <f>IFERROR(__xludf.DUMMYFUNCTION("""🏘️ ""&amp;REGEXEXTRACT(B2701, ""^(.*): "")&amp;"" ✅ "" &amp;REGEXEXTRACT(B2701, ""(Trouvez.*)"")"),"🏘️ Louer appartement Sonceboz-Sombeval ✅ Trouvez le bien immobilier qui correspond idéalement à vos désirs sur ImmoScout24 - La plateforme de l'immobilier en Suisse.")</f>
        <v>🏘️ Louer appartement Sonceboz-Sombeval ✅ Trouvez le bien immobilier qui correspond idéalement à vos désirs sur ImmoScout24 - La plateforme de l'immobilier en Suisse.</v>
      </c>
      <c r="D2701" s="4" t="str">
        <f>vlookup(A2701, Sheet2!D:E, 2, 0)</f>
        <v>variant</v>
      </c>
      <c r="E2701" s="4" t="str">
        <f>IFERROR(__xludf.DUMMYFUNCTION("if(H2701=""pays"",vlookup(REGEXEXTRACT(C2701, ""🏘️ \w+ \w+ (.*) ✅""),'Country prepositions'!A:B, 2, 0) &amp; "" "" &amp; REGEXEXTRACT(C2701, ""🏘️ \w+ \w+ (.*) ✅"") ,  if(H2701=""quartier"",vlookup(REGEXEXTRACT(C2701, ""🏘️ \w+ \w+ (.*) ✅""),'Quartier prepositio"&amp;"ns'!A:E, 5, 0) ,  if(H2701=""region"",vlookup(REGEXEXTRACT(C2701, ""🏘️ \w+ \w+ (.*) ✅""),'Region prepositions'!B:F, 5, 0),  REGEXEXTRACT(C2701, ""🏘️ \w+ \w+ (.*) ✅""))))"),"Sonceboz-Sombeval")</f>
        <v>Sonceboz-Sombeval</v>
      </c>
      <c r="F2701" s="2" t="str">
        <f>IFERROR(__xludf.DUMMYFUNCTION("REGEXEXTRACT(C2701, ""🏘️ (\w+) \w+ .* ✅"")"),"Louer")</f>
        <v>Louer</v>
      </c>
      <c r="G2701" s="2" t="str">
        <f>IFERROR(__xludf.DUMMYFUNCTION("REGEXEXTRACT(C2701, ""🏘️ \w+ (\w+) .* ✅"")"),"appartement")</f>
        <v>appartement</v>
      </c>
      <c r="H2701" s="4" t="str">
        <f>IFERROR(__xludf.DUMMYFUNCTION("REGEXEXTRACT(A2701, ""/(\w+)-.*?"")"),"lieu")</f>
        <v>lieu</v>
      </c>
      <c r="I2701" s="4" t="str">
        <f>IFERROR(__xludf.DUMMYFUNCTION("if(D2701=""variant"",  substitute(filter(Templates!E:E, Templates!A:A = F2701, Templates!B:B = G2701, Templates!C:C = H2701), ""{{}}"", E2701), B2701)"),"🏘  Vous cherchez un appartement à louer à Sonceboz-Sombeval? ✅ Les annonces les plus actuelles sont sur ImmoScout24.ch.")</f>
        <v>🏘  Vous cherchez un appartement à louer à Sonceboz-Sombeval? ✅ Les annonces les plus actuelles sont sur ImmoScout24.ch.</v>
      </c>
      <c r="J2701" s="4" t="s">
        <v>8099</v>
      </c>
    </row>
    <row r="2702">
      <c r="A2702" s="5" t="s">
        <v>8100</v>
      </c>
      <c r="B2702" s="2" t="s">
        <v>8101</v>
      </c>
      <c r="C2702" s="4" t="str">
        <f>IFERROR(__xludf.DUMMYFUNCTION("""🏘️ ""&amp;REGEXEXTRACT(B2702, ""^(.*): "")&amp;"" ✅ "" &amp;REGEXEXTRACT(B2702, ""(Trouvez.*)"")"),"🏘️ Vendre maison Mont-la-Ville ✅ Trouvez le bien immobilier qui correspond idéalement à vos désirs sur ImmoScout24 - La plateforme de l'immobilier en Suisse.")</f>
        <v>🏘️ Vendre maison Mont-la-Ville ✅ Trouvez le bien immobilier qui correspond idéalement à vos désirs sur ImmoScout24 - La plateforme de l'immobilier en Suisse.</v>
      </c>
      <c r="D2702" s="4" t="str">
        <f>vlookup(A2702, Sheet2!D:E, 2, 0)</f>
        <v>variant</v>
      </c>
      <c r="E2702" s="4" t="str">
        <f>IFERROR(__xludf.DUMMYFUNCTION("if(H2702=""pays"",vlookup(REGEXEXTRACT(C2702, ""🏘️ \w+ \w+ (.*) ✅""),'Country prepositions'!A:B, 2, 0) &amp; "" "" &amp; REGEXEXTRACT(C2702, ""🏘️ \w+ \w+ (.*) ✅"") ,  if(H2702=""quartier"",vlookup(REGEXEXTRACT(C2702, ""🏘️ \w+ \w+ (.*) ✅""),'Quartier prepositio"&amp;"ns'!A:E, 5, 0) ,  if(H2702=""region"",vlookup(REGEXEXTRACT(C2702, ""🏘️ \w+ \w+ (.*) ✅""),'Region prepositions'!B:F, 5, 0),  REGEXEXTRACT(C2702, ""🏘️ \w+ \w+ (.*) ✅""))))"),"Mont-la-Ville")</f>
        <v>Mont-la-Ville</v>
      </c>
      <c r="F2702" s="2" t="str">
        <f>IFERROR(__xludf.DUMMYFUNCTION("REGEXEXTRACT(C2702, ""🏘️ (\w+) \w+ .* ✅"")"),"Vendre")</f>
        <v>Vendre</v>
      </c>
      <c r="G2702" s="2" t="str">
        <f>IFERROR(__xludf.DUMMYFUNCTION("REGEXEXTRACT(C2702, ""🏘️ \w+ (\w+) .* ✅"")"),"maison")</f>
        <v>maison</v>
      </c>
      <c r="H2702" s="4" t="str">
        <f>IFERROR(__xludf.DUMMYFUNCTION("REGEXEXTRACT(A2702, ""/(\w+)-.*?"")"),"lieu")</f>
        <v>lieu</v>
      </c>
      <c r="I2702" s="4" t="str">
        <f>IFERROR(__xludf.DUMMYFUNCTION("if(D2702=""variant"",  substitute(filter(Templates!E:E, Templates!A:A = F2702, Templates!B:B = G2702, Templates!C:C = H2702), ""{{}}"", E2702), B2702)"),"🏘  Vous souhaitez acheter une maison à Mont-la-Ville? ✅ Jetez un œil aux dernières offres sur ImmoScout24.ch.")</f>
        <v>🏘  Vous souhaitez acheter une maison à Mont-la-Ville? ✅ Jetez un œil aux dernières offres sur ImmoScout24.ch.</v>
      </c>
      <c r="J2702" s="4" t="s">
        <v>8102</v>
      </c>
    </row>
    <row r="2703">
      <c r="A2703" s="5" t="s">
        <v>8103</v>
      </c>
      <c r="B2703" s="2" t="s">
        <v>8104</v>
      </c>
      <c r="C2703" s="4" t="str">
        <f>IFERROR(__xludf.DUMMYFUNCTION("""🏘️ ""&amp;REGEXEXTRACT(B2703, ""^(.*): "")&amp;"" ✅ "" &amp;REGEXEXTRACT(B2703, ""(Trouvez.*)"")"),"🏘️ Vendre maison Cernier ✅ Trouvez le bien immobilier qui correspond idéalement à vos désirs sur ImmoScout24 - La plateforme de l'immobilier en Suisse.")</f>
        <v>🏘️ Vendre maison Cernier ✅ Trouvez le bien immobilier qui correspond idéalement à vos désirs sur ImmoScout24 - La plateforme de l'immobilier en Suisse.</v>
      </c>
      <c r="D2703" s="4" t="str">
        <f>vlookup(A2703, Sheet2!D:E, 2, 0)</f>
        <v>variant</v>
      </c>
      <c r="E2703" s="4" t="str">
        <f>IFERROR(__xludf.DUMMYFUNCTION("if(H2703=""pays"",vlookup(REGEXEXTRACT(C2703, ""🏘️ \w+ \w+ (.*) ✅""),'Country prepositions'!A:B, 2, 0) &amp; "" "" &amp; REGEXEXTRACT(C2703, ""🏘️ \w+ \w+ (.*) ✅"") ,  if(H2703=""quartier"",vlookup(REGEXEXTRACT(C2703, ""🏘️ \w+ \w+ (.*) ✅""),'Quartier prepositio"&amp;"ns'!A:E, 5, 0) ,  if(H2703=""region"",vlookup(REGEXEXTRACT(C2703, ""🏘️ \w+ \w+ (.*) ✅""),'Region prepositions'!B:F, 5, 0),  REGEXEXTRACT(C2703, ""🏘️ \w+ \w+ (.*) ✅""))))"),"Cernier")</f>
        <v>Cernier</v>
      </c>
      <c r="F2703" s="2" t="str">
        <f>IFERROR(__xludf.DUMMYFUNCTION("REGEXEXTRACT(C2703, ""🏘️ (\w+) \w+ .* ✅"")"),"Vendre")</f>
        <v>Vendre</v>
      </c>
      <c r="G2703" s="2" t="str">
        <f>IFERROR(__xludf.DUMMYFUNCTION("REGEXEXTRACT(C2703, ""🏘️ \w+ (\w+) .* ✅"")"),"maison")</f>
        <v>maison</v>
      </c>
      <c r="H2703" s="4" t="str">
        <f>IFERROR(__xludf.DUMMYFUNCTION("REGEXEXTRACT(A2703, ""/(\w+)-.*?"")"),"lieu")</f>
        <v>lieu</v>
      </c>
      <c r="I2703" s="4" t="str">
        <f>IFERROR(__xludf.DUMMYFUNCTION("if(D2703=""variant"",  substitute(filter(Templates!E:E, Templates!A:A = F2703, Templates!B:B = G2703, Templates!C:C = H2703), ""{{}}"", E2703), B2703)"),"🏘  Vous souhaitez acheter une maison à Cernier? ✅ Jetez un œil aux dernières offres sur ImmoScout24.ch.")</f>
        <v>🏘  Vous souhaitez acheter une maison à Cernier? ✅ Jetez un œil aux dernières offres sur ImmoScout24.ch.</v>
      </c>
      <c r="J2703" s="4" t="s">
        <v>8105</v>
      </c>
    </row>
    <row r="2704">
      <c r="A2704" s="5" t="s">
        <v>8106</v>
      </c>
      <c r="B2704" s="2" t="s">
        <v>8107</v>
      </c>
      <c r="C2704" s="4" t="str">
        <f>IFERROR(__xludf.DUMMYFUNCTION("""🏘️ ""&amp;REGEXEXTRACT(B2704, ""^(.*): "")&amp;"" ✅ "" &amp;REGEXEXTRACT(B2704, ""(Trouvez.*)"")"),"🏘️ Vendre maison Praz-de-Fort ✅ Trouvez le bien immobilier qui correspond idéalement à vos désirs sur ImmoScout24 - La plateforme de l'immobilier en Suisse.")</f>
        <v>🏘️ Vendre maison Praz-de-Fort ✅ Trouvez le bien immobilier qui correspond idéalement à vos désirs sur ImmoScout24 - La plateforme de l'immobilier en Suisse.</v>
      </c>
      <c r="D2704" s="4" t="str">
        <f>vlookup(A2704, Sheet2!D:E, 2, 0)</f>
        <v>variant</v>
      </c>
      <c r="E2704" s="4" t="str">
        <f>IFERROR(__xludf.DUMMYFUNCTION("if(H2704=""pays"",vlookup(REGEXEXTRACT(C2704, ""🏘️ \w+ \w+ (.*) ✅""),'Country prepositions'!A:B, 2, 0) &amp; "" "" &amp; REGEXEXTRACT(C2704, ""🏘️ \w+ \w+ (.*) ✅"") ,  if(H2704=""quartier"",vlookup(REGEXEXTRACT(C2704, ""🏘️ \w+ \w+ (.*) ✅""),'Quartier prepositio"&amp;"ns'!A:E, 5, 0) ,  if(H2704=""region"",vlookup(REGEXEXTRACT(C2704, ""🏘️ \w+ \w+ (.*) ✅""),'Region prepositions'!B:F, 5, 0),  REGEXEXTRACT(C2704, ""🏘️ \w+ \w+ (.*) ✅""))))"),"Praz-de-Fort")</f>
        <v>Praz-de-Fort</v>
      </c>
      <c r="F2704" s="2" t="str">
        <f>IFERROR(__xludf.DUMMYFUNCTION("REGEXEXTRACT(C2704, ""🏘️ (\w+) \w+ .* ✅"")"),"Vendre")</f>
        <v>Vendre</v>
      </c>
      <c r="G2704" s="2" t="str">
        <f>IFERROR(__xludf.DUMMYFUNCTION("REGEXEXTRACT(C2704, ""🏘️ \w+ (\w+) .* ✅"")"),"maison")</f>
        <v>maison</v>
      </c>
      <c r="H2704" s="4" t="str">
        <f>IFERROR(__xludf.DUMMYFUNCTION("REGEXEXTRACT(A2704, ""/(\w+)-.*?"")"),"lieu")</f>
        <v>lieu</v>
      </c>
      <c r="I2704" s="4" t="str">
        <f>IFERROR(__xludf.DUMMYFUNCTION("if(D2704=""variant"",  substitute(filter(Templates!E:E, Templates!A:A = F2704, Templates!B:B = G2704, Templates!C:C = H2704), ""{{}}"", E2704), B2704)"),"🏘  Vous souhaitez acheter une maison à Praz-de-Fort? ✅ Jetez un œil aux dernières offres sur ImmoScout24.ch.")</f>
        <v>🏘  Vous souhaitez acheter une maison à Praz-de-Fort? ✅ Jetez un œil aux dernières offres sur ImmoScout24.ch.</v>
      </c>
      <c r="J2704" s="4" t="s">
        <v>8108</v>
      </c>
    </row>
    <row r="2705">
      <c r="A2705" s="5" t="s">
        <v>8109</v>
      </c>
      <c r="B2705" s="2" t="s">
        <v>8110</v>
      </c>
      <c r="C2705" s="4" t="str">
        <f>IFERROR(__xludf.DUMMYFUNCTION("""🏘️ ""&amp;REGEXEXTRACT(B2705, ""^(.*): "")&amp;"" ✅ "" &amp;REGEXEXTRACT(B2705, ""(Trouvez.*)"")"),"🏘️ Vendre maison Vallemaggia ✅ Trouvez le bien immobilier qui correspond idéalement à vos désirs sur ImmoScout24 - La plateforme de l'immobilier en Suisse.")</f>
        <v>🏘️ Vendre maison Vallemaggia ✅ Trouvez le bien immobilier qui correspond idéalement à vos désirs sur ImmoScout24 - La plateforme de l'immobilier en Suisse.</v>
      </c>
      <c r="D2705" s="4" t="str">
        <f>vlookup(A2705, Sheet2!D:E, 2, 0)</f>
        <v>variant</v>
      </c>
      <c r="E2705" s="4" t="str">
        <f>IFERROR(__xludf.DUMMYFUNCTION("if(H2705=""pays"",vlookup(REGEXEXTRACT(C2705, ""🏘️ \w+ \w+ (.*) ✅""),'Country prepositions'!A:B, 2, 0) &amp; "" "" &amp; REGEXEXTRACT(C2705, ""🏘️ \w+ \w+ (.*) ✅"") ,  if(H2705=""quartier"",vlookup(REGEXEXTRACT(C2705, ""🏘️ \w+ \w+ (.*) ✅""),'Quartier prepositio"&amp;"ns'!A:E, 5, 0) ,  if(H2705=""region"",vlookup(REGEXEXTRACT(C2705, ""🏘️ \w+ \w+ (.*) ✅""),'Region prepositions'!B:F, 5, 0),  REGEXEXTRACT(C2705, ""🏘️ \w+ \w+ (.*) ✅""))))"),"dans la région de Vallemaggia")</f>
        <v>dans la région de Vallemaggia</v>
      </c>
      <c r="F2705" s="2" t="str">
        <f>IFERROR(__xludf.DUMMYFUNCTION("REGEXEXTRACT(C2705, ""🏘️ (\w+) \w+ .* ✅"")"),"Vendre")</f>
        <v>Vendre</v>
      </c>
      <c r="G2705" s="2" t="str">
        <f>IFERROR(__xludf.DUMMYFUNCTION("REGEXEXTRACT(C2705, ""🏘️ \w+ (\w+) .* ✅"")"),"maison")</f>
        <v>maison</v>
      </c>
      <c r="H2705" s="4" t="str">
        <f>IFERROR(__xludf.DUMMYFUNCTION("REGEXEXTRACT(A2705, ""/(\w+)-.*?"")"),"region")</f>
        <v>region</v>
      </c>
      <c r="I2705" s="4" t="str">
        <f>IFERROR(__xludf.DUMMYFUNCTION("if(D2705=""variant"",  substitute(filter(Templates!E:E, Templates!A:A = F2705, Templates!B:B = G2705, Templates!C:C = H2705), ""{{}}"", E2705), B2705)"),"🏘  Vous souhaitez acheter une maison dans la région de Vallemaggia? ✅ Jetez un œil aux dernières offres sur ImmoScout24.ch.")</f>
        <v>🏘  Vous souhaitez acheter une maison dans la région de Vallemaggia? ✅ Jetez un œil aux dernières offres sur ImmoScout24.ch.</v>
      </c>
      <c r="J2705" s="4" t="s">
        <v>8111</v>
      </c>
    </row>
    <row r="2706">
      <c r="A2706" s="5" t="s">
        <v>8112</v>
      </c>
      <c r="B2706" s="2" t="s">
        <v>8113</v>
      </c>
      <c r="C2706" s="4" t="str">
        <f>IFERROR(__xludf.DUMMYFUNCTION("""🏘️ ""&amp;REGEXEXTRACT(B2706, ""^(.*): "")&amp;"" ✅ "" &amp;REGEXEXTRACT(B2706, ""(Trouvez.*)"")"),"🏘️ Louer appartement Zernez ✅ Trouvez le bien immobilier qui correspond idéalement à vos désirs sur ImmoScout24 - La plateforme de l'immobilier en Suisse.")</f>
        <v>🏘️ Louer appartement Zernez ✅ Trouvez le bien immobilier qui correspond idéalement à vos désirs sur ImmoScout24 - La plateforme de l'immobilier en Suisse.</v>
      </c>
      <c r="D2706" s="4" t="str">
        <f>vlookup(A2706, Sheet2!D:E, 2, 0)</f>
        <v>variant</v>
      </c>
      <c r="E2706" s="4" t="str">
        <f>IFERROR(__xludf.DUMMYFUNCTION("if(H2706=""pays"",vlookup(REGEXEXTRACT(C2706, ""🏘️ \w+ \w+ (.*) ✅""),'Country prepositions'!A:B, 2, 0) &amp; "" "" &amp; REGEXEXTRACT(C2706, ""🏘️ \w+ \w+ (.*) ✅"") ,  if(H2706=""quartier"",vlookup(REGEXEXTRACT(C2706, ""🏘️ \w+ \w+ (.*) ✅""),'Quartier prepositio"&amp;"ns'!A:E, 5, 0) ,  if(H2706=""region"",vlookup(REGEXEXTRACT(C2706, ""🏘️ \w+ \w+ (.*) ✅""),'Region prepositions'!B:F, 5, 0),  REGEXEXTRACT(C2706, ""🏘️ \w+ \w+ (.*) ✅""))))"),"Zernez")</f>
        <v>Zernez</v>
      </c>
      <c r="F2706" s="2" t="str">
        <f>IFERROR(__xludf.DUMMYFUNCTION("REGEXEXTRACT(C2706, ""🏘️ (\w+) \w+ .* ✅"")"),"Louer")</f>
        <v>Louer</v>
      </c>
      <c r="G2706" s="2" t="str">
        <f>IFERROR(__xludf.DUMMYFUNCTION("REGEXEXTRACT(C2706, ""🏘️ \w+ (\w+) .* ✅"")"),"appartement")</f>
        <v>appartement</v>
      </c>
      <c r="H2706" s="4" t="str">
        <f>IFERROR(__xludf.DUMMYFUNCTION("REGEXEXTRACT(A2706, ""/(\w+)-.*?"")"),"lieu")</f>
        <v>lieu</v>
      </c>
      <c r="I2706" s="4" t="str">
        <f>IFERROR(__xludf.DUMMYFUNCTION("if(D2706=""variant"",  substitute(filter(Templates!E:E, Templates!A:A = F2706, Templates!B:B = G2706, Templates!C:C = H2706), ""{{}}"", E2706), B2706)"),"🏘  Vous cherchez un appartement à louer à Zernez? ✅ Les annonces les plus actuelles sont sur ImmoScout24.ch.")</f>
        <v>🏘  Vous cherchez un appartement à louer à Zernez? ✅ Les annonces les plus actuelles sont sur ImmoScout24.ch.</v>
      </c>
      <c r="J2706" s="4" t="s">
        <v>8114</v>
      </c>
    </row>
    <row r="2707">
      <c r="A2707" s="5" t="s">
        <v>8115</v>
      </c>
      <c r="B2707" s="2" t="s">
        <v>8116</v>
      </c>
      <c r="C2707" s="4" t="str">
        <f>IFERROR(__xludf.DUMMYFUNCTION("""🏘️ ""&amp;REGEXEXTRACT(B2707, ""^(.*): "")&amp;"" ✅ "" &amp;REGEXEXTRACT(B2707, ""(Trouvez.*)"")"),"🏘️ Vendre maison Montricher ✅ Trouvez le bien immobilier qui correspond idéalement à vos désirs sur ImmoScout24 - La plateforme de l'immobilier en Suisse.")</f>
        <v>🏘️ Vendre maison Montricher ✅ Trouvez le bien immobilier qui correspond idéalement à vos désirs sur ImmoScout24 - La plateforme de l'immobilier en Suisse.</v>
      </c>
      <c r="D2707" s="4" t="str">
        <f>vlookup(A2707, Sheet2!D:E, 2, 0)</f>
        <v>variant</v>
      </c>
      <c r="E2707" s="4" t="str">
        <f>IFERROR(__xludf.DUMMYFUNCTION("if(H2707=""pays"",vlookup(REGEXEXTRACT(C2707, ""🏘️ \w+ \w+ (.*) ✅""),'Country prepositions'!A:B, 2, 0) &amp; "" "" &amp; REGEXEXTRACT(C2707, ""🏘️ \w+ \w+ (.*) ✅"") ,  if(H2707=""quartier"",vlookup(REGEXEXTRACT(C2707, ""🏘️ \w+ \w+ (.*) ✅""),'Quartier prepositio"&amp;"ns'!A:E, 5, 0) ,  if(H2707=""region"",vlookup(REGEXEXTRACT(C2707, ""🏘️ \w+ \w+ (.*) ✅""),'Region prepositions'!B:F, 5, 0),  REGEXEXTRACT(C2707, ""🏘️ \w+ \w+ (.*) ✅""))))"),"Montricher")</f>
        <v>Montricher</v>
      </c>
      <c r="F2707" s="2" t="str">
        <f>IFERROR(__xludf.DUMMYFUNCTION("REGEXEXTRACT(C2707, ""🏘️ (\w+) \w+ .* ✅"")"),"Vendre")</f>
        <v>Vendre</v>
      </c>
      <c r="G2707" s="2" t="str">
        <f>IFERROR(__xludf.DUMMYFUNCTION("REGEXEXTRACT(C2707, ""🏘️ \w+ (\w+) .* ✅"")"),"maison")</f>
        <v>maison</v>
      </c>
      <c r="H2707" s="4" t="str">
        <f>IFERROR(__xludf.DUMMYFUNCTION("REGEXEXTRACT(A2707, ""/(\w+)-.*?"")"),"lieu")</f>
        <v>lieu</v>
      </c>
      <c r="I2707" s="4" t="str">
        <f>IFERROR(__xludf.DUMMYFUNCTION("if(D2707=""variant"",  substitute(filter(Templates!E:E, Templates!A:A = F2707, Templates!B:B = G2707, Templates!C:C = H2707), ""{{}}"", E2707), B2707)"),"🏘  Vous souhaitez acheter une maison à Montricher? ✅ Jetez un œil aux dernières offres sur ImmoScout24.ch.")</f>
        <v>🏘  Vous souhaitez acheter une maison à Montricher? ✅ Jetez un œil aux dernières offres sur ImmoScout24.ch.</v>
      </c>
      <c r="J2707" s="4" t="s">
        <v>8117</v>
      </c>
    </row>
    <row r="2708">
      <c r="A2708" s="5" t="s">
        <v>8118</v>
      </c>
      <c r="B2708" s="2" t="s">
        <v>8119</v>
      </c>
      <c r="C2708" s="4" t="str">
        <f>IFERROR(__xludf.DUMMYFUNCTION("""🏘️ ""&amp;REGEXEXTRACT(B2708, ""^(.*): "")&amp;"" ✅ "" &amp;REGEXEXTRACT(B2708, ""(Trouvez.*)"")"),"🏘️ Louer appartement Tumegl/Tomils ✅ Trouvez le bien immobilier qui correspond idéalement à vos désirs sur ImmoScout24 - La plateforme de l'immobilier en Suisse.")</f>
        <v>🏘️ Louer appartement Tumegl/Tomils ✅ Trouvez le bien immobilier qui correspond idéalement à vos désirs sur ImmoScout24 - La plateforme de l'immobilier en Suisse.</v>
      </c>
      <c r="D2708" s="4" t="str">
        <f>vlookup(A2708, Sheet2!D:E, 2, 0)</f>
        <v>variant</v>
      </c>
      <c r="E2708" s="4" t="str">
        <f>IFERROR(__xludf.DUMMYFUNCTION("if(H2708=""pays"",vlookup(REGEXEXTRACT(C2708, ""🏘️ \w+ \w+ (.*) ✅""),'Country prepositions'!A:B, 2, 0) &amp; "" "" &amp; REGEXEXTRACT(C2708, ""🏘️ \w+ \w+ (.*) ✅"") ,  if(H2708=""quartier"",vlookup(REGEXEXTRACT(C2708, ""🏘️ \w+ \w+ (.*) ✅""),'Quartier prepositio"&amp;"ns'!A:E, 5, 0) ,  if(H2708=""region"",vlookup(REGEXEXTRACT(C2708, ""🏘️ \w+ \w+ (.*) ✅""),'Region prepositions'!B:F, 5, 0),  REGEXEXTRACT(C2708, ""🏘️ \w+ \w+ (.*) ✅""))))"),"Tumegl/Tomils")</f>
        <v>Tumegl/Tomils</v>
      </c>
      <c r="F2708" s="2" t="str">
        <f>IFERROR(__xludf.DUMMYFUNCTION("REGEXEXTRACT(C2708, ""🏘️ (\w+) \w+ .* ✅"")"),"Louer")</f>
        <v>Louer</v>
      </c>
      <c r="G2708" s="2" t="str">
        <f>IFERROR(__xludf.DUMMYFUNCTION("REGEXEXTRACT(C2708, ""🏘️ \w+ (\w+) .* ✅"")"),"appartement")</f>
        <v>appartement</v>
      </c>
      <c r="H2708" s="4" t="str">
        <f>IFERROR(__xludf.DUMMYFUNCTION("REGEXEXTRACT(A2708, ""/(\w+)-.*?"")"),"lieu")</f>
        <v>lieu</v>
      </c>
      <c r="I2708" s="4" t="str">
        <f>IFERROR(__xludf.DUMMYFUNCTION("if(D2708=""variant"",  substitute(filter(Templates!E:E, Templates!A:A = F2708, Templates!B:B = G2708, Templates!C:C = H2708), ""{{}}"", E2708), B2708)"),"🏘  Vous cherchez un appartement à louer à Tumegl/Tomils? ✅ Les annonces les plus actuelles sont sur ImmoScout24.ch.")</f>
        <v>🏘  Vous cherchez un appartement à louer à Tumegl/Tomils? ✅ Les annonces les plus actuelles sont sur ImmoScout24.ch.</v>
      </c>
      <c r="J2708" s="4" t="s">
        <v>8120</v>
      </c>
    </row>
    <row r="2709">
      <c r="A2709" s="5" t="s">
        <v>8121</v>
      </c>
      <c r="B2709" s="2" t="s">
        <v>8122</v>
      </c>
      <c r="C2709" s="4" t="str">
        <f>IFERROR(__xludf.DUMMYFUNCTION("""🏘️ ""&amp;REGEXEXTRACT(B2709, ""^(.*): "")&amp;"" ✅ "" &amp;REGEXEXTRACT(B2709, ""(Trouvez.*)"")"),"🏘️ Vendre appartement Hauterive NE ✅ Trouvez le bien immobilier qui correspond idéalement à vos désirs sur ImmoScout24 - La plateforme de l'immobilier en Suisse.")</f>
        <v>🏘️ Vendre appartement Hauterive NE ✅ Trouvez le bien immobilier qui correspond idéalement à vos désirs sur ImmoScout24 - La plateforme de l'immobilier en Suisse.</v>
      </c>
      <c r="D2709" s="4" t="str">
        <f>vlookup(A2709, Sheet2!D:E, 2, 0)</f>
        <v>variant</v>
      </c>
      <c r="E2709" s="4" t="str">
        <f>IFERROR(__xludf.DUMMYFUNCTION("if(H2709=""pays"",vlookup(REGEXEXTRACT(C2709, ""🏘️ \w+ \w+ (.*) ✅""),'Country prepositions'!A:B, 2, 0) &amp; "" "" &amp; REGEXEXTRACT(C2709, ""🏘️ \w+ \w+ (.*) ✅"") ,  if(H2709=""quartier"",vlookup(REGEXEXTRACT(C2709, ""🏘️ \w+ \w+ (.*) ✅""),'Quartier prepositio"&amp;"ns'!A:E, 5, 0) ,  if(H2709=""region"",vlookup(REGEXEXTRACT(C2709, ""🏘️ \w+ \w+ (.*) ✅""),'Region prepositions'!B:F, 5, 0),  REGEXEXTRACT(C2709, ""🏘️ \w+ \w+ (.*) ✅""))))"),"Hauterive NE")</f>
        <v>Hauterive NE</v>
      </c>
      <c r="F2709" s="2" t="str">
        <f>IFERROR(__xludf.DUMMYFUNCTION("REGEXEXTRACT(C2709, ""🏘️ (\w+) \w+ .* ✅"")"),"Vendre")</f>
        <v>Vendre</v>
      </c>
      <c r="G2709" s="2" t="str">
        <f>IFERROR(__xludf.DUMMYFUNCTION("REGEXEXTRACT(C2709, ""🏘️ \w+ (\w+) .* ✅"")"),"appartement")</f>
        <v>appartement</v>
      </c>
      <c r="H2709" s="4" t="str">
        <f>IFERROR(__xludf.DUMMYFUNCTION("REGEXEXTRACT(A2709, ""/(\w+)-.*?"")"),"lieu")</f>
        <v>lieu</v>
      </c>
      <c r="I2709" s="4" t="str">
        <f>IFERROR(__xludf.DUMMYFUNCTION("if(D2709=""variant"",  substitute(filter(Templates!E:E, Templates!A:A = F2709, Templates!B:B = G2709, Templates!C:C = H2709), ""{{}}"", E2709), B2709)"),"🏘  L’appartement de vos rêves se trouve sur ImmoScout24.ch ✅ Découvrez les dernières annonces de vente à Hauterive NE.")</f>
        <v>🏘  L’appartement de vos rêves se trouve sur ImmoScout24.ch ✅ Découvrez les dernières annonces de vente à Hauterive NE.</v>
      </c>
      <c r="J2709" s="4" t="s">
        <v>8123</v>
      </c>
    </row>
    <row r="2710">
      <c r="A2710" s="5" t="s">
        <v>8124</v>
      </c>
      <c r="B2710" s="2" t="s">
        <v>8125</v>
      </c>
      <c r="C2710" s="4" t="str">
        <f>IFERROR(__xludf.DUMMYFUNCTION("""🏘️ ""&amp;REGEXEXTRACT(B2710, ""^(.*): "")&amp;"" ✅ "" &amp;REGEXEXTRACT(B2710, ""(Trouvez.*)"")"),"🏘️ Vendre maison Oberbalm ✅ Trouvez le bien immobilier qui correspond idéalement à vos désirs sur ImmoScout24 - La plateforme de l'immobilier en Suisse.")</f>
        <v>🏘️ Vendre maison Oberbalm ✅ Trouvez le bien immobilier qui correspond idéalement à vos désirs sur ImmoScout24 - La plateforme de l'immobilier en Suisse.</v>
      </c>
      <c r="D2710" s="4" t="str">
        <f>vlookup(A2710, Sheet2!D:E, 2, 0)</f>
        <v>variant</v>
      </c>
      <c r="E2710" s="4" t="str">
        <f>IFERROR(__xludf.DUMMYFUNCTION("if(H2710=""pays"",vlookup(REGEXEXTRACT(C2710, ""🏘️ \w+ \w+ (.*) ✅""),'Country prepositions'!A:B, 2, 0) &amp; "" "" &amp; REGEXEXTRACT(C2710, ""🏘️ \w+ \w+ (.*) ✅"") ,  if(H2710=""quartier"",vlookup(REGEXEXTRACT(C2710, ""🏘️ \w+ \w+ (.*) ✅""),'Quartier prepositio"&amp;"ns'!A:E, 5, 0) ,  if(H2710=""region"",vlookup(REGEXEXTRACT(C2710, ""🏘️ \w+ \w+ (.*) ✅""),'Region prepositions'!B:F, 5, 0),  REGEXEXTRACT(C2710, ""🏘️ \w+ \w+ (.*) ✅""))))"),"Oberbalm")</f>
        <v>Oberbalm</v>
      </c>
      <c r="F2710" s="2" t="str">
        <f>IFERROR(__xludf.DUMMYFUNCTION("REGEXEXTRACT(C2710, ""🏘️ (\w+) \w+ .* ✅"")"),"Vendre")</f>
        <v>Vendre</v>
      </c>
      <c r="G2710" s="2" t="str">
        <f>IFERROR(__xludf.DUMMYFUNCTION("REGEXEXTRACT(C2710, ""🏘️ \w+ (\w+) .* ✅"")"),"maison")</f>
        <v>maison</v>
      </c>
      <c r="H2710" s="4" t="str">
        <f>IFERROR(__xludf.DUMMYFUNCTION("REGEXEXTRACT(A2710, ""/(\w+)-.*?"")"),"lieu")</f>
        <v>lieu</v>
      </c>
      <c r="I2710" s="4" t="str">
        <f>IFERROR(__xludf.DUMMYFUNCTION("if(D2710=""variant"",  substitute(filter(Templates!E:E, Templates!A:A = F2710, Templates!B:B = G2710, Templates!C:C = H2710), ""{{}}"", E2710), B2710)"),"🏘  Vous souhaitez acheter une maison à Oberbalm? ✅ Jetez un œil aux dernières offres sur ImmoScout24.ch.")</f>
        <v>🏘  Vous souhaitez acheter une maison à Oberbalm? ✅ Jetez un œil aux dernières offres sur ImmoScout24.ch.</v>
      </c>
      <c r="J2710" s="4" t="s">
        <v>8126</v>
      </c>
    </row>
    <row r="2711">
      <c r="A2711" s="5" t="s">
        <v>8127</v>
      </c>
      <c r="B2711" s="2" t="s">
        <v>8128</v>
      </c>
      <c r="C2711" s="4" t="str">
        <f>IFERROR(__xludf.DUMMYFUNCTION("""🏘️ ""&amp;REGEXEXTRACT(B2711, ""^(.*): "")&amp;"" ✅ "" &amp;REGEXEXTRACT(B2711, ""(Trouvez.*)"")"),"🏘️ Vendre appartement Yverdon-les-Bains ✅ Trouvez le bien immobilier qui correspond idéalement à vos désirs sur ImmoScout24 - La plateforme de l'immobilier en Suisse.")</f>
        <v>🏘️ Vendre appartement Yverdon-les-Bains ✅ Trouvez le bien immobilier qui correspond idéalement à vos désirs sur ImmoScout24 - La plateforme de l'immobilier en Suisse.</v>
      </c>
      <c r="D2711" s="4" t="str">
        <f>vlookup(A2711, Sheet2!D:E, 2, 0)</f>
        <v>variant</v>
      </c>
      <c r="E2711" s="4" t="str">
        <f>IFERROR(__xludf.DUMMYFUNCTION("if(H2711=""pays"",vlookup(REGEXEXTRACT(C2711, ""🏘️ \w+ \w+ (.*) ✅""),'Country prepositions'!A:B, 2, 0) &amp; "" "" &amp; REGEXEXTRACT(C2711, ""🏘️ \w+ \w+ (.*) ✅"") ,  if(H2711=""quartier"",vlookup(REGEXEXTRACT(C2711, ""🏘️ \w+ \w+ (.*) ✅""),'Quartier prepositio"&amp;"ns'!A:E, 5, 0) ,  if(H2711=""region"",vlookup(REGEXEXTRACT(C2711, ""🏘️ \w+ \w+ (.*) ✅""),'Region prepositions'!B:F, 5, 0),  REGEXEXTRACT(C2711, ""🏘️ \w+ \w+ (.*) ✅""))))"),"Yverdon-les-Bains")</f>
        <v>Yverdon-les-Bains</v>
      </c>
      <c r="F2711" s="2" t="str">
        <f>IFERROR(__xludf.DUMMYFUNCTION("REGEXEXTRACT(C2711, ""🏘️ (\w+) \w+ .* ✅"")"),"Vendre")</f>
        <v>Vendre</v>
      </c>
      <c r="G2711" s="2" t="str">
        <f>IFERROR(__xludf.DUMMYFUNCTION("REGEXEXTRACT(C2711, ""🏘️ \w+ (\w+) .* ✅"")"),"appartement")</f>
        <v>appartement</v>
      </c>
      <c r="H2711" s="4" t="str">
        <f>IFERROR(__xludf.DUMMYFUNCTION("REGEXEXTRACT(A2711, ""/(\w+)-.*?"")"),"lieu")</f>
        <v>lieu</v>
      </c>
      <c r="I2711" s="4" t="str">
        <f>IFERROR(__xludf.DUMMYFUNCTION("if(D2711=""variant"",  substitute(filter(Templates!E:E, Templates!A:A = F2711, Templates!B:B = G2711, Templates!C:C = H2711), ""{{}}"", E2711), B2711)"),"🏘  L’appartement de vos rêves se trouve sur ImmoScout24.ch ✅ Découvrez les dernières annonces de vente à Yverdon-les-Bains.")</f>
        <v>🏘  L’appartement de vos rêves se trouve sur ImmoScout24.ch ✅ Découvrez les dernières annonces de vente à Yverdon-les-Bains.</v>
      </c>
      <c r="J2711" s="4" t="s">
        <v>8129</v>
      </c>
    </row>
    <row r="2712">
      <c r="A2712" s="5" t="s">
        <v>8130</v>
      </c>
      <c r="B2712" s="2" t="s">
        <v>8131</v>
      </c>
      <c r="C2712" s="4" t="str">
        <f>IFERROR(__xludf.DUMMYFUNCTION("""🏘️ ""&amp;REGEXEXTRACT(B2712, ""^(.*): "")&amp;"" ✅ "" &amp;REGEXEXTRACT(B2712, ""(Trouvez.*)"")"),"🏘️ Vendre appartement Kilchberg ZH ✅ Trouvez le bien immobilier qui correspond idéalement à vos désirs sur ImmoScout24 - La plateforme de l'immobilier en Suisse.")</f>
        <v>🏘️ Vendre appartement Kilchberg ZH ✅ Trouvez le bien immobilier qui correspond idéalement à vos désirs sur ImmoScout24 - La plateforme de l'immobilier en Suisse.</v>
      </c>
      <c r="D2712" s="4" t="str">
        <f>vlookup(A2712, Sheet2!D:E, 2, 0)</f>
        <v>variant</v>
      </c>
      <c r="E2712" s="4" t="str">
        <f>IFERROR(__xludf.DUMMYFUNCTION("if(H2712=""pays"",vlookup(REGEXEXTRACT(C2712, ""🏘️ \w+ \w+ (.*) ✅""),'Country prepositions'!A:B, 2, 0) &amp; "" "" &amp; REGEXEXTRACT(C2712, ""🏘️ \w+ \w+ (.*) ✅"") ,  if(H2712=""quartier"",vlookup(REGEXEXTRACT(C2712, ""🏘️ \w+ \w+ (.*) ✅""),'Quartier prepositio"&amp;"ns'!A:E, 5, 0) ,  if(H2712=""region"",vlookup(REGEXEXTRACT(C2712, ""🏘️ \w+ \w+ (.*) ✅""),'Region prepositions'!B:F, 5, 0),  REGEXEXTRACT(C2712, ""🏘️ \w+ \w+ (.*) ✅""))))"),"Kilchberg ZH")</f>
        <v>Kilchberg ZH</v>
      </c>
      <c r="F2712" s="2" t="str">
        <f>IFERROR(__xludf.DUMMYFUNCTION("REGEXEXTRACT(C2712, ""🏘️ (\w+) \w+ .* ✅"")"),"Vendre")</f>
        <v>Vendre</v>
      </c>
      <c r="G2712" s="2" t="str">
        <f>IFERROR(__xludf.DUMMYFUNCTION("REGEXEXTRACT(C2712, ""🏘️ \w+ (\w+) .* ✅"")"),"appartement")</f>
        <v>appartement</v>
      </c>
      <c r="H2712" s="4" t="str">
        <f>IFERROR(__xludf.DUMMYFUNCTION("REGEXEXTRACT(A2712, ""/(\w+)-.*?"")"),"lieu")</f>
        <v>lieu</v>
      </c>
      <c r="I2712" s="4" t="str">
        <f>IFERROR(__xludf.DUMMYFUNCTION("if(D2712=""variant"",  substitute(filter(Templates!E:E, Templates!A:A = F2712, Templates!B:B = G2712, Templates!C:C = H2712), ""{{}}"", E2712), B2712)"),"🏘  L’appartement de vos rêves se trouve sur ImmoScout24.ch ✅ Découvrez les dernières annonces de vente à Kilchberg ZH.")</f>
        <v>🏘  L’appartement de vos rêves se trouve sur ImmoScout24.ch ✅ Découvrez les dernières annonces de vente à Kilchberg ZH.</v>
      </c>
      <c r="J2712" s="4" t="s">
        <v>8132</v>
      </c>
    </row>
    <row r="2713">
      <c r="A2713" s="5" t="s">
        <v>8133</v>
      </c>
      <c r="B2713" s="2" t="s">
        <v>8134</v>
      </c>
      <c r="C2713" s="4" t="str">
        <f>IFERROR(__xludf.DUMMYFUNCTION("""🏘️ ""&amp;REGEXEXTRACT(B2713, ""^(.*): "")&amp;"" ✅ "" &amp;REGEXEXTRACT(B2713, ""(Trouvez.*)"")"),"🏘️ Louer maison Le Pont ✅ Trouvez le bien immobilier qui correspond idéalement à vos désirs sur ImmoScout24 - La plateforme de l'immobilier en Suisse.")</f>
        <v>🏘️ Louer maison Le Pont ✅ Trouvez le bien immobilier qui correspond idéalement à vos désirs sur ImmoScout24 - La plateforme de l'immobilier en Suisse.</v>
      </c>
      <c r="D2713" s="4" t="str">
        <f>vlookup(A2713, Sheet2!D:E, 2, 0)</f>
        <v>variant</v>
      </c>
      <c r="E2713" s="4" t="str">
        <f>IFERROR(__xludf.DUMMYFUNCTION("if(H2713=""pays"",vlookup(REGEXEXTRACT(C2713, ""🏘️ \w+ \w+ (.*) ✅""),'Country prepositions'!A:B, 2, 0) &amp; "" "" &amp; REGEXEXTRACT(C2713, ""🏘️ \w+ \w+ (.*) ✅"") ,  if(H2713=""quartier"",vlookup(REGEXEXTRACT(C2713, ""🏘️ \w+ \w+ (.*) ✅""),'Quartier prepositio"&amp;"ns'!A:E, 5, 0) ,  if(H2713=""region"",vlookup(REGEXEXTRACT(C2713, ""🏘️ \w+ \w+ (.*) ✅""),'Region prepositions'!B:F, 5, 0),  REGEXEXTRACT(C2713, ""🏘️ \w+ \w+ (.*) ✅""))))"),"Le Pont")</f>
        <v>Le Pont</v>
      </c>
      <c r="F2713" s="2" t="str">
        <f>IFERROR(__xludf.DUMMYFUNCTION("REGEXEXTRACT(C2713, ""🏘️ (\w+) \w+ .* ✅"")"),"Louer")</f>
        <v>Louer</v>
      </c>
      <c r="G2713" s="2" t="str">
        <f>IFERROR(__xludf.DUMMYFUNCTION("REGEXEXTRACT(C2713, ""🏘️ \w+ (\w+) .* ✅"")"),"maison")</f>
        <v>maison</v>
      </c>
      <c r="H2713" s="4" t="str">
        <f>IFERROR(__xludf.DUMMYFUNCTION("REGEXEXTRACT(A2713, ""/(\w+)-.*?"")"),"lieu")</f>
        <v>lieu</v>
      </c>
      <c r="I2713" s="4" t="str">
        <f>IFERROR(__xludf.DUMMYFUNCTION("if(D2713=""variant"",  substitute(filter(Templates!E:E, Templates!A:A = F2713, Templates!B:B = G2713, Templates!C:C = H2713), ""{{}}"", E2713), B2713)"),"🏘  Vous cherchez une maison à louer à Le Pont? ✅ Découvrez nos nombreuses annonces sur ImmoScout24.ch.")</f>
        <v>🏘  Vous cherchez une maison à louer à Le Pont? ✅ Découvrez nos nombreuses annonces sur ImmoScout24.ch.</v>
      </c>
      <c r="J2713" s="2" t="s">
        <v>8135</v>
      </c>
    </row>
    <row r="2714">
      <c r="A2714" s="5" t="s">
        <v>8136</v>
      </c>
      <c r="B2714" s="2" t="s">
        <v>8137</v>
      </c>
      <c r="C2714" s="4" t="str">
        <f>IFERROR(__xludf.DUMMYFUNCTION("""🏘️ ""&amp;REGEXEXTRACT(B2714, ""^(.*): "")&amp;"" ✅ "" &amp;REGEXEXTRACT(B2714, ""(Trouvez.*)"")"),"🏘️ Vendre appartement Le Grand-Saconnex ✅ Trouvez le bien immobilier qui correspond idéalement à vos désirs sur ImmoScout24 - La plateforme de l'immobilier en Suisse.")</f>
        <v>🏘️ Vendre appartement Le Grand-Saconnex ✅ Trouvez le bien immobilier qui correspond idéalement à vos désirs sur ImmoScout24 - La plateforme de l'immobilier en Suisse.</v>
      </c>
      <c r="D2714" s="4" t="str">
        <f>vlookup(A2714, Sheet2!D:E, 2, 0)</f>
        <v>variant</v>
      </c>
      <c r="E2714" s="4" t="str">
        <f>IFERROR(__xludf.DUMMYFUNCTION("if(H2714=""pays"",vlookup(REGEXEXTRACT(C2714, ""🏘️ \w+ \w+ (.*) ✅""),'Country prepositions'!A:B, 2, 0) &amp; "" "" &amp; REGEXEXTRACT(C2714, ""🏘️ \w+ \w+ (.*) ✅"") ,  if(H2714=""quartier"",vlookup(REGEXEXTRACT(C2714, ""🏘️ \w+ \w+ (.*) ✅""),'Quartier prepositio"&amp;"ns'!A:E, 5, 0) ,  if(H2714=""region"",vlookup(REGEXEXTRACT(C2714, ""🏘️ \w+ \w+ (.*) ✅""),'Region prepositions'!B:F, 5, 0),  REGEXEXTRACT(C2714, ""🏘️ \w+ \w+ (.*) ✅""))))"),"Le Grand-Saconnex")</f>
        <v>Le Grand-Saconnex</v>
      </c>
      <c r="F2714" s="2" t="str">
        <f>IFERROR(__xludf.DUMMYFUNCTION("REGEXEXTRACT(C2714, ""🏘️ (\w+) \w+ .* ✅"")"),"Vendre")</f>
        <v>Vendre</v>
      </c>
      <c r="G2714" s="2" t="str">
        <f>IFERROR(__xludf.DUMMYFUNCTION("REGEXEXTRACT(C2714, ""🏘️ \w+ (\w+) .* ✅"")"),"appartement")</f>
        <v>appartement</v>
      </c>
      <c r="H2714" s="4" t="str">
        <f>IFERROR(__xludf.DUMMYFUNCTION("REGEXEXTRACT(A2714, ""/(\w+)-.*?"")"),"lieu")</f>
        <v>lieu</v>
      </c>
      <c r="I2714" s="4" t="str">
        <f>IFERROR(__xludf.DUMMYFUNCTION("if(D2714=""variant"",  substitute(filter(Templates!E:E, Templates!A:A = F2714, Templates!B:B = G2714, Templates!C:C = H2714), ""{{}}"", E2714), B2714)"),"🏘  L’appartement de vos rêves se trouve sur ImmoScout24.ch ✅ Découvrez les dernières annonces de vente à Le Grand-Saconnex.")</f>
        <v>🏘  L’appartement de vos rêves se trouve sur ImmoScout24.ch ✅ Découvrez les dernières annonces de vente à Le Grand-Saconnex.</v>
      </c>
      <c r="J2714" s="2" t="s">
        <v>8138</v>
      </c>
    </row>
    <row r="2715">
      <c r="A2715" s="5" t="s">
        <v>8139</v>
      </c>
      <c r="B2715" s="2" t="s">
        <v>8140</v>
      </c>
      <c r="C2715" s="4" t="str">
        <f>IFERROR(__xludf.DUMMYFUNCTION("""🏘️ ""&amp;REGEXEXTRACT(B2715, ""^(.*): "")&amp;"" ✅ "" &amp;REGEXEXTRACT(B2715, ""(Trouvez.*)"")"),"🏘️ Vendre maison Hägendorf ✅ Trouvez le bien immobilier qui correspond idéalement à vos désirs sur ImmoScout24 - La plateforme de l'immobilier en Suisse.")</f>
        <v>🏘️ Vendre maison Hägendorf ✅ Trouvez le bien immobilier qui correspond idéalement à vos désirs sur ImmoScout24 - La plateforme de l'immobilier en Suisse.</v>
      </c>
      <c r="D2715" s="4" t="str">
        <f>vlookup(A2715, Sheet2!D:E, 2, 0)</f>
        <v>variant</v>
      </c>
      <c r="E2715" s="4" t="str">
        <f>IFERROR(__xludf.DUMMYFUNCTION("if(H2715=""pays"",vlookup(REGEXEXTRACT(C2715, ""🏘️ \w+ \w+ (.*) ✅""),'Country prepositions'!A:B, 2, 0) &amp; "" "" &amp; REGEXEXTRACT(C2715, ""🏘️ \w+ \w+ (.*) ✅"") ,  if(H2715=""quartier"",vlookup(REGEXEXTRACT(C2715, ""🏘️ \w+ \w+ (.*) ✅""),'Quartier prepositio"&amp;"ns'!A:E, 5, 0) ,  if(H2715=""region"",vlookup(REGEXEXTRACT(C2715, ""🏘️ \w+ \w+ (.*) ✅""),'Region prepositions'!B:F, 5, 0),  REGEXEXTRACT(C2715, ""🏘️ \w+ \w+ (.*) ✅""))))"),"Hägendorf")</f>
        <v>Hägendorf</v>
      </c>
      <c r="F2715" s="2" t="str">
        <f>IFERROR(__xludf.DUMMYFUNCTION("REGEXEXTRACT(C2715, ""🏘️ (\w+) \w+ .* ✅"")"),"Vendre")</f>
        <v>Vendre</v>
      </c>
      <c r="G2715" s="2" t="str">
        <f>IFERROR(__xludf.DUMMYFUNCTION("REGEXEXTRACT(C2715, ""🏘️ \w+ (\w+) .* ✅"")"),"maison")</f>
        <v>maison</v>
      </c>
      <c r="H2715" s="4" t="str">
        <f>IFERROR(__xludf.DUMMYFUNCTION("REGEXEXTRACT(A2715, ""/(\w+)-.*?"")"),"lieu")</f>
        <v>lieu</v>
      </c>
      <c r="I2715" s="4" t="str">
        <f>IFERROR(__xludf.DUMMYFUNCTION("if(D2715=""variant"",  substitute(filter(Templates!E:E, Templates!A:A = F2715, Templates!B:B = G2715, Templates!C:C = H2715), ""{{}}"", E2715), B2715)"),"🏘  Vous souhaitez acheter une maison à Hägendorf? ✅ Jetez un œil aux dernières offres sur ImmoScout24.ch.")</f>
        <v>🏘  Vous souhaitez acheter une maison à Hägendorf? ✅ Jetez un œil aux dernières offres sur ImmoScout24.ch.</v>
      </c>
      <c r="J2715" s="4" t="s">
        <v>8141</v>
      </c>
    </row>
    <row r="2716">
      <c r="A2716" s="5" t="s">
        <v>8142</v>
      </c>
      <c r="B2716" s="2" t="s">
        <v>8143</v>
      </c>
      <c r="C2716" s="4" t="str">
        <f>IFERROR(__xludf.DUMMYFUNCTION("""🏘️ ""&amp;REGEXEXTRACT(B2716, ""^(.*): "")&amp;"" ✅ "" &amp;REGEXEXTRACT(B2716, ""(Trouvez.*)"")"),"🏘️ Vendre maison Oron-le-Châtel ✅ Trouvez le bien immobilier qui correspond idéalement à vos désirs sur ImmoScout24 - La plateforme de l'immobilier en Suisse.")</f>
        <v>🏘️ Vendre maison Oron-le-Châtel ✅ Trouvez le bien immobilier qui correspond idéalement à vos désirs sur ImmoScout24 - La plateforme de l'immobilier en Suisse.</v>
      </c>
      <c r="D2716" s="4" t="str">
        <f>vlookup(A2716, Sheet2!D:E, 2, 0)</f>
        <v>variant</v>
      </c>
      <c r="E2716" s="4" t="str">
        <f>IFERROR(__xludf.DUMMYFUNCTION("if(H2716=""pays"",vlookup(REGEXEXTRACT(C2716, ""🏘️ \w+ \w+ (.*) ✅""),'Country prepositions'!A:B, 2, 0) &amp; "" "" &amp; REGEXEXTRACT(C2716, ""🏘️ \w+ \w+ (.*) ✅"") ,  if(H2716=""quartier"",vlookup(REGEXEXTRACT(C2716, ""🏘️ \w+ \w+ (.*) ✅""),'Quartier prepositio"&amp;"ns'!A:E, 5, 0) ,  if(H2716=""region"",vlookup(REGEXEXTRACT(C2716, ""🏘️ \w+ \w+ (.*) ✅""),'Region prepositions'!B:F, 5, 0),  REGEXEXTRACT(C2716, ""🏘️ \w+ \w+ (.*) ✅""))))"),"Oron-le-Châtel")</f>
        <v>Oron-le-Châtel</v>
      </c>
      <c r="F2716" s="2" t="str">
        <f>IFERROR(__xludf.DUMMYFUNCTION("REGEXEXTRACT(C2716, ""🏘️ (\w+) \w+ .* ✅"")"),"Vendre")</f>
        <v>Vendre</v>
      </c>
      <c r="G2716" s="2" t="str">
        <f>IFERROR(__xludf.DUMMYFUNCTION("REGEXEXTRACT(C2716, ""🏘️ \w+ (\w+) .* ✅"")"),"maison")</f>
        <v>maison</v>
      </c>
      <c r="H2716" s="4" t="str">
        <f>IFERROR(__xludf.DUMMYFUNCTION("REGEXEXTRACT(A2716, ""/(\w+)-.*?"")"),"lieu")</f>
        <v>lieu</v>
      </c>
      <c r="I2716" s="4" t="str">
        <f>IFERROR(__xludf.DUMMYFUNCTION("if(D2716=""variant"",  substitute(filter(Templates!E:E, Templates!A:A = F2716, Templates!B:B = G2716, Templates!C:C = H2716), ""{{}}"", E2716), B2716)"),"🏘  Vous souhaitez acheter une maison à Oron-le-Châtel? ✅ Jetez un œil aux dernières offres sur ImmoScout24.ch.")</f>
        <v>🏘  Vous souhaitez acheter une maison à Oron-le-Châtel? ✅ Jetez un œil aux dernières offres sur ImmoScout24.ch.</v>
      </c>
      <c r="J2716" s="4" t="s">
        <v>8144</v>
      </c>
    </row>
    <row r="2717">
      <c r="A2717" s="5" t="s">
        <v>8145</v>
      </c>
      <c r="B2717" s="2" t="s">
        <v>8146</v>
      </c>
      <c r="C2717" s="4" t="str">
        <f>IFERROR(__xludf.DUMMYFUNCTION("""🏘️ ""&amp;REGEXEXTRACT(B2717, ""^(.*): "")&amp;"" ✅ "" &amp;REGEXEXTRACT(B2717, ""(Trouvez.*)"")"),"🏘️ Vendre appartement Grünes Quartier (Berne) ✅ Trouvez le bien immobilier qui correspond idéalement à vos désirs sur ImmoScout24 - La plateforme de l'immobilier en Suisse.")</f>
        <v>🏘️ Vendre appartement Grünes Quartier (Berne) ✅ Trouvez le bien immobilier qui correspond idéalement à vos désirs sur ImmoScout24 - La plateforme de l'immobilier en Suisse.</v>
      </c>
      <c r="D2717" s="4" t="str">
        <f>vlookup(A2717, Sheet2!D:E, 2, 0)</f>
        <v>variant</v>
      </c>
      <c r="E2717" s="4" t="str">
        <f>IFERROR(__xludf.DUMMYFUNCTION("if(H2717=""pays"",vlookup(REGEXEXTRACT(C2717, ""🏘️ \w+ \w+ (.*) ✅""),'Country prepositions'!A:B, 2, 0) &amp; "" "" &amp; REGEXEXTRACT(C2717, ""🏘️ \w+ \w+ (.*) ✅"") ,  if(H2717=""quartier"",vlookup(REGEXEXTRACT(C2717, ""🏘️ \w+ \w+ (.*) ✅""),'Quartier prepositio"&amp;"ns'!A:E, 5, 0) ,  if(H2717=""region"",vlookup(REGEXEXTRACT(C2717, ""🏘️ \w+ \w+ (.*) ✅""),'Region prepositions'!B:F, 5, 0),  REGEXEXTRACT(C2717, ""🏘️ \w+ \w+ (.*) ✅""))))"),"dans le Grünes Quartier")</f>
        <v>dans le Grünes Quartier</v>
      </c>
      <c r="F2717" s="2" t="str">
        <f>IFERROR(__xludf.DUMMYFUNCTION("REGEXEXTRACT(C2717, ""🏘️ (\w+) \w+ .* ✅"")"),"Vendre")</f>
        <v>Vendre</v>
      </c>
      <c r="G2717" s="2" t="str">
        <f>IFERROR(__xludf.DUMMYFUNCTION("REGEXEXTRACT(C2717, ""🏘️ \w+ (\w+) .* ✅"")"),"appartement")</f>
        <v>appartement</v>
      </c>
      <c r="H2717" s="4" t="str">
        <f>IFERROR(__xludf.DUMMYFUNCTION("REGEXEXTRACT(A2717, ""/(\w+)-.*?"")"),"quartier")</f>
        <v>quartier</v>
      </c>
      <c r="I2717" s="4" t="str">
        <f>IFERROR(__xludf.DUMMYFUNCTION("if(D2717=""variant"",  substitute(filter(Templates!E:E, Templates!A:A = F2717, Templates!B:B = G2717, Templates!C:C = H2717), ""{{}}"", E2717), B2717)"),"🏘  L’appartement de vos rêves se trouve sur ImmoScout24.ch ✅ Découvrez les dernières annonces de vente dans le Grünes Quartier.")</f>
        <v>🏘  L’appartement de vos rêves se trouve sur ImmoScout24.ch ✅ Découvrez les dernières annonces de vente dans le Grünes Quartier.</v>
      </c>
      <c r="J2717" s="4" t="s">
        <v>8147</v>
      </c>
    </row>
    <row r="2718">
      <c r="A2718" s="5" t="s">
        <v>8148</v>
      </c>
      <c r="B2718" s="2" t="s">
        <v>8149</v>
      </c>
      <c r="C2718" s="4" t="str">
        <f>IFERROR(__xludf.DUMMYFUNCTION("""🏘️ ""&amp;REGEXEXTRACT(B2718, ""^(.*): "")&amp;"" ✅ "" &amp;REGEXEXTRACT(B2718, ""(Trouvez.*)"")"),"🏘️ Vendre maison Samedan ✅ Trouvez le bien immobilier qui correspond idéalement à vos désirs sur ImmoScout24 - La plateforme de l'immobilier en Suisse.")</f>
        <v>🏘️ Vendre maison Samedan ✅ Trouvez le bien immobilier qui correspond idéalement à vos désirs sur ImmoScout24 - La plateforme de l'immobilier en Suisse.</v>
      </c>
      <c r="D2718" s="4" t="str">
        <f>vlookup(A2718, Sheet2!D:E, 2, 0)</f>
        <v>variant</v>
      </c>
      <c r="E2718" s="4" t="str">
        <f>IFERROR(__xludf.DUMMYFUNCTION("if(H2718=""pays"",vlookup(REGEXEXTRACT(C2718, ""🏘️ \w+ \w+ (.*) ✅""),'Country prepositions'!A:B, 2, 0) &amp; "" "" &amp; REGEXEXTRACT(C2718, ""🏘️ \w+ \w+ (.*) ✅"") ,  if(H2718=""quartier"",vlookup(REGEXEXTRACT(C2718, ""🏘️ \w+ \w+ (.*) ✅""),'Quartier prepositio"&amp;"ns'!A:E, 5, 0) ,  if(H2718=""region"",vlookup(REGEXEXTRACT(C2718, ""🏘️ \w+ \w+ (.*) ✅""),'Region prepositions'!B:F, 5, 0),  REGEXEXTRACT(C2718, ""🏘️ \w+ \w+ (.*) ✅""))))"),"Samedan")</f>
        <v>Samedan</v>
      </c>
      <c r="F2718" s="2" t="str">
        <f>IFERROR(__xludf.DUMMYFUNCTION("REGEXEXTRACT(C2718, ""🏘️ (\w+) \w+ .* ✅"")"),"Vendre")</f>
        <v>Vendre</v>
      </c>
      <c r="G2718" s="2" t="str">
        <f>IFERROR(__xludf.DUMMYFUNCTION("REGEXEXTRACT(C2718, ""🏘️ \w+ (\w+) .* ✅"")"),"maison")</f>
        <v>maison</v>
      </c>
      <c r="H2718" s="4" t="str">
        <f>IFERROR(__xludf.DUMMYFUNCTION("REGEXEXTRACT(A2718, ""/(\w+)-.*?"")"),"lieu")</f>
        <v>lieu</v>
      </c>
      <c r="I2718" s="4" t="str">
        <f>IFERROR(__xludf.DUMMYFUNCTION("if(D2718=""variant"",  substitute(filter(Templates!E:E, Templates!A:A = F2718, Templates!B:B = G2718, Templates!C:C = H2718), ""{{}}"", E2718), B2718)"),"🏘  Vous souhaitez acheter une maison à Samedan? ✅ Jetez un œil aux dernières offres sur ImmoScout24.ch.")</f>
        <v>🏘  Vous souhaitez acheter une maison à Samedan? ✅ Jetez un œil aux dernières offres sur ImmoScout24.ch.</v>
      </c>
      <c r="J2718" s="4" t="s">
        <v>8150</v>
      </c>
    </row>
    <row r="2719">
      <c r="A2719" s="5" t="s">
        <v>8151</v>
      </c>
      <c r="B2719" s="2" t="s">
        <v>8152</v>
      </c>
      <c r="C2719" s="4" t="str">
        <f>IFERROR(__xludf.DUMMYFUNCTION("""🏘️ ""&amp;REGEXEXTRACT(B2719, ""^(.*): "")&amp;"" ✅ "" &amp;REGEXEXTRACT(B2719, ""(Trouvez.*)"")"),"🏘️ Louer appartement S-chanf ✅ Trouvez le bien immobilier qui correspond idéalement à vos désirs sur ImmoScout24 - La plateforme de l'immobilier en Suisse.")</f>
        <v>🏘️ Louer appartement S-chanf ✅ Trouvez le bien immobilier qui correspond idéalement à vos désirs sur ImmoScout24 - La plateforme de l'immobilier en Suisse.</v>
      </c>
      <c r="D2719" s="4" t="str">
        <f>vlookup(A2719, Sheet2!D:E, 2, 0)</f>
        <v>variant</v>
      </c>
      <c r="E2719" s="4" t="str">
        <f>IFERROR(__xludf.DUMMYFUNCTION("if(H2719=""pays"",vlookup(REGEXEXTRACT(C2719, ""🏘️ \w+ \w+ (.*) ✅""),'Country prepositions'!A:B, 2, 0) &amp; "" "" &amp; REGEXEXTRACT(C2719, ""🏘️ \w+ \w+ (.*) ✅"") ,  if(H2719=""quartier"",vlookup(REGEXEXTRACT(C2719, ""🏘️ \w+ \w+ (.*) ✅""),'Quartier prepositio"&amp;"ns'!A:E, 5, 0) ,  if(H2719=""region"",vlookup(REGEXEXTRACT(C2719, ""🏘️ \w+ \w+ (.*) ✅""),'Region prepositions'!B:F, 5, 0),  REGEXEXTRACT(C2719, ""🏘️ \w+ \w+ (.*) ✅""))))"),"S-chanf")</f>
        <v>S-chanf</v>
      </c>
      <c r="F2719" s="2" t="str">
        <f>IFERROR(__xludf.DUMMYFUNCTION("REGEXEXTRACT(C2719, ""🏘️ (\w+) \w+ .* ✅"")"),"Louer")</f>
        <v>Louer</v>
      </c>
      <c r="G2719" s="2" t="str">
        <f>IFERROR(__xludf.DUMMYFUNCTION("REGEXEXTRACT(C2719, ""🏘️ \w+ (\w+) .* ✅"")"),"appartement")</f>
        <v>appartement</v>
      </c>
      <c r="H2719" s="4" t="str">
        <f>IFERROR(__xludf.DUMMYFUNCTION("REGEXEXTRACT(A2719, ""/(\w+)-.*?"")"),"lieu")</f>
        <v>lieu</v>
      </c>
      <c r="I2719" s="4" t="str">
        <f>IFERROR(__xludf.DUMMYFUNCTION("if(D2719=""variant"",  substitute(filter(Templates!E:E, Templates!A:A = F2719, Templates!B:B = G2719, Templates!C:C = H2719), ""{{}}"", E2719), B2719)"),"🏘  Vous cherchez un appartement à louer à S-chanf? ✅ Les annonces les plus actuelles sont sur ImmoScout24.ch.")</f>
        <v>🏘  Vous cherchez un appartement à louer à S-chanf? ✅ Les annonces les plus actuelles sont sur ImmoScout24.ch.</v>
      </c>
      <c r="J2719" s="4" t="s">
        <v>8153</v>
      </c>
    </row>
    <row r="2720">
      <c r="A2720" s="5" t="s">
        <v>8154</v>
      </c>
      <c r="B2720" s="2" t="s">
        <v>8155</v>
      </c>
      <c r="C2720" s="4" t="str">
        <f>IFERROR(__xludf.DUMMYFUNCTION("""🏘️ ""&amp;REGEXEXTRACT(B2720, ""^(.*): "")&amp;"" ✅ "" &amp;REGEXEXTRACT(B2720, ""(Trouvez.*)"")"),"🏘️ Louer maison Charmey (Gruyère) ✅ Trouvez le bien immobilier qui correspond idéalement à vos désirs sur ImmoScout24 - La plateforme de l'immobilier en Suisse.")</f>
        <v>🏘️ Louer maison Charmey (Gruyère) ✅ Trouvez le bien immobilier qui correspond idéalement à vos désirs sur ImmoScout24 - La plateforme de l'immobilier en Suisse.</v>
      </c>
      <c r="D2720" s="4" t="str">
        <f>vlookup(A2720, Sheet2!D:E, 2, 0)</f>
        <v>variant</v>
      </c>
      <c r="E2720" s="4" t="str">
        <f>IFERROR(__xludf.DUMMYFUNCTION("if(H2720=""pays"",vlookup(REGEXEXTRACT(C2720, ""🏘️ \w+ \w+ (.*) ✅""),'Country prepositions'!A:B, 2, 0) &amp; "" "" &amp; REGEXEXTRACT(C2720, ""🏘️ \w+ \w+ (.*) ✅"") ,  if(H2720=""quartier"",vlookup(REGEXEXTRACT(C2720, ""🏘️ \w+ \w+ (.*) ✅""),'Quartier prepositio"&amp;"ns'!A:E, 5, 0) ,  if(H2720=""region"",vlookup(REGEXEXTRACT(C2720, ""🏘️ \w+ \w+ (.*) ✅""),'Region prepositions'!B:F, 5, 0),  REGEXEXTRACT(C2720, ""🏘️ \w+ \w+ (.*) ✅""))))"),"Charmey (Gruyère)")</f>
        <v>Charmey (Gruyère)</v>
      </c>
      <c r="F2720" s="2" t="str">
        <f>IFERROR(__xludf.DUMMYFUNCTION("REGEXEXTRACT(C2720, ""🏘️ (\w+) \w+ .* ✅"")"),"Louer")</f>
        <v>Louer</v>
      </c>
      <c r="G2720" s="2" t="str">
        <f>IFERROR(__xludf.DUMMYFUNCTION("REGEXEXTRACT(C2720, ""🏘️ \w+ (\w+) .* ✅"")"),"maison")</f>
        <v>maison</v>
      </c>
      <c r="H2720" s="4" t="str">
        <f>IFERROR(__xludf.DUMMYFUNCTION("REGEXEXTRACT(A2720, ""/(\w+)-.*?"")"),"lieu")</f>
        <v>lieu</v>
      </c>
      <c r="I2720" s="4" t="str">
        <f>IFERROR(__xludf.DUMMYFUNCTION("if(D2720=""variant"",  substitute(filter(Templates!E:E, Templates!A:A = F2720, Templates!B:B = G2720, Templates!C:C = H2720), ""{{}}"", E2720), B2720)"),"🏘  Vous cherchez une maison à louer à Charmey (Gruyère)? ✅ Découvrez nos nombreuses annonces sur ImmoScout24.ch.")</f>
        <v>🏘  Vous cherchez une maison à louer à Charmey (Gruyère)? ✅ Découvrez nos nombreuses annonces sur ImmoScout24.ch.</v>
      </c>
      <c r="J2720" s="4" t="s">
        <v>8156</v>
      </c>
    </row>
    <row r="2721">
      <c r="A2721" s="5" t="s">
        <v>8157</v>
      </c>
      <c r="B2721" s="2" t="s">
        <v>8158</v>
      </c>
      <c r="C2721" s="4" t="str">
        <f>IFERROR(__xludf.DUMMYFUNCTION("""🏘️ ""&amp;REGEXEXTRACT(B2721, ""^(.*): "")&amp;"" ✅ "" &amp;REGEXEXTRACT(B2721, ""(Trouvez.*)"")"),"🏘️ Louer appartement Volketswil ✅ Trouvez le bien immobilier qui correspond idéalement à vos désirs sur ImmoScout24 - La plateforme de l'immobilier en Suisse.")</f>
        <v>🏘️ Louer appartement Volketswil ✅ Trouvez le bien immobilier qui correspond idéalement à vos désirs sur ImmoScout24 - La plateforme de l'immobilier en Suisse.</v>
      </c>
      <c r="D2721" s="4" t="str">
        <f>vlookup(A2721, Sheet2!D:E, 2, 0)</f>
        <v>variant</v>
      </c>
      <c r="E2721" s="4" t="str">
        <f>IFERROR(__xludf.DUMMYFUNCTION("if(H2721=""pays"",vlookup(REGEXEXTRACT(C2721, ""🏘️ \w+ \w+ (.*) ✅""),'Country prepositions'!A:B, 2, 0) &amp; "" "" &amp; REGEXEXTRACT(C2721, ""🏘️ \w+ \w+ (.*) ✅"") ,  if(H2721=""quartier"",vlookup(REGEXEXTRACT(C2721, ""🏘️ \w+ \w+ (.*) ✅""),'Quartier prepositio"&amp;"ns'!A:E, 5, 0) ,  if(H2721=""region"",vlookup(REGEXEXTRACT(C2721, ""🏘️ \w+ \w+ (.*) ✅""),'Region prepositions'!B:F, 5, 0),  REGEXEXTRACT(C2721, ""🏘️ \w+ \w+ (.*) ✅""))))"),"Volketswil")</f>
        <v>Volketswil</v>
      </c>
      <c r="F2721" s="2" t="str">
        <f>IFERROR(__xludf.DUMMYFUNCTION("REGEXEXTRACT(C2721, ""🏘️ (\w+) \w+ .* ✅"")"),"Louer")</f>
        <v>Louer</v>
      </c>
      <c r="G2721" s="2" t="str">
        <f>IFERROR(__xludf.DUMMYFUNCTION("REGEXEXTRACT(C2721, ""🏘️ \w+ (\w+) .* ✅"")"),"appartement")</f>
        <v>appartement</v>
      </c>
      <c r="H2721" s="4" t="str">
        <f>IFERROR(__xludf.DUMMYFUNCTION("REGEXEXTRACT(A2721, ""/(\w+)-.*?"")"),"lieu")</f>
        <v>lieu</v>
      </c>
      <c r="I2721" s="4" t="str">
        <f>IFERROR(__xludf.DUMMYFUNCTION("if(D2721=""variant"",  substitute(filter(Templates!E:E, Templates!A:A = F2721, Templates!B:B = G2721, Templates!C:C = H2721), ""{{}}"", E2721), B2721)"),"🏘  Vous cherchez un appartement à louer à Volketswil? ✅ Les annonces les plus actuelles sont sur ImmoScout24.ch.")</f>
        <v>🏘  Vous cherchez un appartement à louer à Volketswil? ✅ Les annonces les plus actuelles sont sur ImmoScout24.ch.</v>
      </c>
      <c r="J2721" s="4" t="s">
        <v>8159</v>
      </c>
    </row>
    <row r="2722">
      <c r="A2722" s="11" t="s">
        <v>8160</v>
      </c>
      <c r="B2722" s="12" t="s">
        <v>8161</v>
      </c>
      <c r="C2722" s="10" t="str">
        <f>IFERROR(__xludf.DUMMYFUNCTION("""🏘️ ""&amp;REGEXEXTRACT(B2722, ""^(.*): "")&amp;"" ✅ "" &amp;REGEXEXTRACT(B2722, ""(Trouvez.*)"")"),"🏘️ Louer appartement Canton de Liechtenstein ✅ Trouvez le bien immobilier qui correspond idéalement à vos désirs sur ImmoScout24 - La plateforme de l'immobilier en Suisse.")</f>
        <v>🏘️ Louer appartement Canton de Liechtenstein ✅ Trouvez le bien immobilier qui correspond idéalement à vos désirs sur ImmoScout24 - La plateforme de l'immobilier en Suisse.</v>
      </c>
      <c r="D2722" s="10" t="str">
        <f>vlookup(A2722, Sheet2!D:E, 2, 0)</f>
        <v>variant</v>
      </c>
      <c r="E2722" s="10" t="str">
        <f>IFERROR(__xludf.DUMMYFUNCTION("if(H2722=""pays"",vlookup(REGEXEXTRACT(C2722, ""🏘️ \w+ \w+ (.*) ✅""),'Country prepositions'!A:B, 2, 0) &amp; "" "" &amp; REGEXEXTRACT(C2722, ""🏘️ \w+ \w+ (.*) ✅"") ,  if(H2722=""quartier"",vlookup(REGEXEXTRACT(C2722, ""🏘️ \w+ \w+ (.*) ✅""),'Quartier prepositio"&amp;"ns'!A:E, 5, 0) ,  if(H2722=""region"",vlookup(REGEXEXTRACT(C2722, ""🏘️ \w+ \w+ (.*) ✅""),'Region prepositions'!B:F, 5, 0),  REGEXEXTRACT(C2722, ""🏘️ \w+ \w+ (.*) ✅""))))"),"Canton de Liechtenstein")</f>
        <v>Canton de Liechtenstein</v>
      </c>
      <c r="F2722" s="12" t="str">
        <f>IFERROR(__xludf.DUMMYFUNCTION("REGEXEXTRACT(C2722, ""🏘️ (\w+) \w+ .* ✅"")"),"Louer")</f>
        <v>Louer</v>
      </c>
      <c r="G2722" s="12" t="str">
        <f>IFERROR(__xludf.DUMMYFUNCTION("REGEXEXTRACT(C2722, ""🏘️ \w+ (\w+) .* ✅"")"),"appartement")</f>
        <v>appartement</v>
      </c>
      <c r="H2722" s="10" t="str">
        <f>IFERROR(__xludf.DUMMYFUNCTION("REGEXEXTRACT(A2722, ""/(\w+)-.*?"")"),"canton")</f>
        <v>canton</v>
      </c>
      <c r="I2722" s="10" t="str">
        <f>IFERROR(__xludf.DUMMYFUNCTION("if(D2722=""variant"",  substitute(filter(Templates!E:E, Templates!A:A = F2722, Templates!B:B = G2722, Templates!C:C = H2722), ""{{}}"", E2722), B2722)"),"🏘  Vous cherchez un appartement à louer dans le Canton de Liechtenstein? ✅ Les annonces les plus actuelles sont sur ImmoScout24.ch.")</f>
        <v>🏘  Vous cherchez un appartement à louer dans le Canton de Liechtenstein? ✅ Les annonces les plus actuelles sont sur ImmoScout24.ch.</v>
      </c>
      <c r="J2722" s="13" t="s">
        <v>8162</v>
      </c>
      <c r="K2722" s="10"/>
      <c r="L2722" s="10"/>
      <c r="M2722" s="10"/>
      <c r="N2722" s="10"/>
      <c r="O2722" s="10"/>
      <c r="P2722" s="10"/>
      <c r="Q2722" s="10"/>
      <c r="R2722" s="10"/>
      <c r="S2722" s="10"/>
      <c r="T2722" s="10"/>
    </row>
    <row r="2723">
      <c r="A2723" s="5" t="s">
        <v>8163</v>
      </c>
      <c r="B2723" s="2" t="s">
        <v>8164</v>
      </c>
      <c r="C2723" s="4" t="str">
        <f>IFERROR(__xludf.DUMMYFUNCTION("""🏘️ ""&amp;REGEXEXTRACT(B2723, ""^(.*): "")&amp;"" ✅ "" &amp;REGEXEXTRACT(B2723, ""(Trouvez.*)"")"),"🏘️ Vendre appartement Vilars NE ✅ Trouvez le bien immobilier qui correspond idéalement à vos désirs sur ImmoScout24 - La plateforme de l'immobilier en Suisse.")</f>
        <v>🏘️ Vendre appartement Vilars NE ✅ Trouvez le bien immobilier qui correspond idéalement à vos désirs sur ImmoScout24 - La plateforme de l'immobilier en Suisse.</v>
      </c>
      <c r="D2723" s="4" t="str">
        <f>vlookup(A2723, Sheet2!D:E, 2, 0)</f>
        <v>variant</v>
      </c>
      <c r="E2723" s="4" t="str">
        <f>IFERROR(__xludf.DUMMYFUNCTION("if(H2723=""pays"",vlookup(REGEXEXTRACT(C2723, ""🏘️ \w+ \w+ (.*) ✅""),'Country prepositions'!A:B, 2, 0) &amp; "" "" &amp; REGEXEXTRACT(C2723, ""🏘️ \w+ \w+ (.*) ✅"") ,  if(H2723=""quartier"",vlookup(REGEXEXTRACT(C2723, ""🏘️ \w+ \w+ (.*) ✅""),'Quartier prepositio"&amp;"ns'!A:E, 5, 0) ,  if(H2723=""region"",vlookup(REGEXEXTRACT(C2723, ""🏘️ \w+ \w+ (.*) ✅""),'Region prepositions'!B:F, 5, 0),  REGEXEXTRACT(C2723, ""🏘️ \w+ \w+ (.*) ✅""))))"),"Vilars NE")</f>
        <v>Vilars NE</v>
      </c>
      <c r="F2723" s="2" t="str">
        <f>IFERROR(__xludf.DUMMYFUNCTION("REGEXEXTRACT(C2723, ""🏘️ (\w+) \w+ .* ✅"")"),"Vendre")</f>
        <v>Vendre</v>
      </c>
      <c r="G2723" s="2" t="str">
        <f>IFERROR(__xludf.DUMMYFUNCTION("REGEXEXTRACT(C2723, ""🏘️ \w+ (\w+) .* ✅"")"),"appartement")</f>
        <v>appartement</v>
      </c>
      <c r="H2723" s="4" t="str">
        <f>IFERROR(__xludf.DUMMYFUNCTION("REGEXEXTRACT(A2723, ""/(\w+)-.*?"")"),"lieu")</f>
        <v>lieu</v>
      </c>
      <c r="I2723" s="4" t="str">
        <f>IFERROR(__xludf.DUMMYFUNCTION("if(D2723=""variant"",  substitute(filter(Templates!E:E, Templates!A:A = F2723, Templates!B:B = G2723, Templates!C:C = H2723), ""{{}}"", E2723), B2723)"),"🏘  L’appartement de vos rêves se trouve sur ImmoScout24.ch ✅ Découvrez les dernières annonces de vente à Vilars NE.")</f>
        <v>🏘  L’appartement de vos rêves se trouve sur ImmoScout24.ch ✅ Découvrez les dernières annonces de vente à Vilars NE.</v>
      </c>
      <c r="J2723" s="4" t="s">
        <v>8165</v>
      </c>
    </row>
    <row r="2724">
      <c r="A2724" s="5" t="s">
        <v>8166</v>
      </c>
      <c r="B2724" s="2" t="s">
        <v>8167</v>
      </c>
      <c r="C2724" s="4" t="str">
        <f>IFERROR(__xludf.DUMMYFUNCTION("""🏘️ ""&amp;REGEXEXTRACT(B2724, ""^(.*): "")&amp;"" ✅ "" &amp;REGEXEXTRACT(B2724, ""(Trouvez.*)"")"),"🏘️ Louer appartement Gelterkinden ✅ Trouvez le bien immobilier qui correspond idéalement à vos désirs sur ImmoScout24 - La plateforme de l'immobilier en Suisse.")</f>
        <v>🏘️ Louer appartement Gelterkinden ✅ Trouvez le bien immobilier qui correspond idéalement à vos désirs sur ImmoScout24 - La plateforme de l'immobilier en Suisse.</v>
      </c>
      <c r="D2724" s="4" t="str">
        <f>vlookup(A2724, Sheet2!D:E, 2, 0)</f>
        <v>variant</v>
      </c>
      <c r="E2724" s="4" t="str">
        <f>IFERROR(__xludf.DUMMYFUNCTION("if(H2724=""pays"",vlookup(REGEXEXTRACT(C2724, ""🏘️ \w+ \w+ (.*) ✅""),'Country prepositions'!A:B, 2, 0) &amp; "" "" &amp; REGEXEXTRACT(C2724, ""🏘️ \w+ \w+ (.*) ✅"") ,  if(H2724=""quartier"",vlookup(REGEXEXTRACT(C2724, ""🏘️ \w+ \w+ (.*) ✅""),'Quartier prepositio"&amp;"ns'!A:E, 5, 0) ,  if(H2724=""region"",vlookup(REGEXEXTRACT(C2724, ""🏘️ \w+ \w+ (.*) ✅""),'Region prepositions'!B:F, 5, 0),  REGEXEXTRACT(C2724, ""🏘️ \w+ \w+ (.*) ✅""))))"),"Gelterkinden")</f>
        <v>Gelterkinden</v>
      </c>
      <c r="F2724" s="2" t="str">
        <f>IFERROR(__xludf.DUMMYFUNCTION("REGEXEXTRACT(C2724, ""🏘️ (\w+) \w+ .* ✅"")"),"Louer")</f>
        <v>Louer</v>
      </c>
      <c r="G2724" s="2" t="str">
        <f>IFERROR(__xludf.DUMMYFUNCTION("REGEXEXTRACT(C2724, ""🏘️ \w+ (\w+) .* ✅"")"),"appartement")</f>
        <v>appartement</v>
      </c>
      <c r="H2724" s="4" t="str">
        <f>IFERROR(__xludf.DUMMYFUNCTION("REGEXEXTRACT(A2724, ""/(\w+)-.*?"")"),"lieu")</f>
        <v>lieu</v>
      </c>
      <c r="I2724" s="4" t="str">
        <f>IFERROR(__xludf.DUMMYFUNCTION("if(D2724=""variant"",  substitute(filter(Templates!E:E, Templates!A:A = F2724, Templates!B:B = G2724, Templates!C:C = H2724), ""{{}}"", E2724), B2724)"),"🏘  Vous cherchez un appartement à louer à Gelterkinden? ✅ Les annonces les plus actuelles sont sur ImmoScout24.ch.")</f>
        <v>🏘  Vous cherchez un appartement à louer à Gelterkinden? ✅ Les annonces les plus actuelles sont sur ImmoScout24.ch.</v>
      </c>
      <c r="J2724" s="4" t="s">
        <v>8168</v>
      </c>
    </row>
    <row r="2725">
      <c r="A2725" s="5" t="s">
        <v>8169</v>
      </c>
      <c r="B2725" s="2" t="s">
        <v>8170</v>
      </c>
      <c r="C2725" s="4" t="str">
        <f>IFERROR(__xludf.DUMMYFUNCTION("""🏘️ ""&amp;REGEXEXTRACT(B2725, ""^(.*): "")&amp;"" ✅ "" &amp;REGEXEXTRACT(B2725, ""(Trouvez.*)"")"),"🏘️ Vendre appartement Lufingen ✅ Trouvez le bien immobilier qui correspond idéalement à vos désirs sur ImmoScout24 - La plateforme de l'immobilier en Suisse.")</f>
        <v>🏘️ Vendre appartement Lufingen ✅ Trouvez le bien immobilier qui correspond idéalement à vos désirs sur ImmoScout24 - La plateforme de l'immobilier en Suisse.</v>
      </c>
      <c r="D2725" s="4" t="str">
        <f>vlookup(A2725, Sheet2!D:E, 2, 0)</f>
        <v>variant</v>
      </c>
      <c r="E2725" s="4" t="str">
        <f>IFERROR(__xludf.DUMMYFUNCTION("if(H2725=""pays"",vlookup(REGEXEXTRACT(C2725, ""🏘️ \w+ \w+ (.*) ✅""),'Country prepositions'!A:B, 2, 0) &amp; "" "" &amp; REGEXEXTRACT(C2725, ""🏘️ \w+ \w+ (.*) ✅"") ,  if(H2725=""quartier"",vlookup(REGEXEXTRACT(C2725, ""🏘️ \w+ \w+ (.*) ✅""),'Quartier prepositio"&amp;"ns'!A:E, 5, 0) ,  if(H2725=""region"",vlookup(REGEXEXTRACT(C2725, ""🏘️ \w+ \w+ (.*) ✅""),'Region prepositions'!B:F, 5, 0),  REGEXEXTRACT(C2725, ""🏘️ \w+ \w+ (.*) ✅""))))"),"Lufingen")</f>
        <v>Lufingen</v>
      </c>
      <c r="F2725" s="2" t="str">
        <f>IFERROR(__xludf.DUMMYFUNCTION("REGEXEXTRACT(C2725, ""🏘️ (\w+) \w+ .* ✅"")"),"Vendre")</f>
        <v>Vendre</v>
      </c>
      <c r="G2725" s="2" t="str">
        <f>IFERROR(__xludf.DUMMYFUNCTION("REGEXEXTRACT(C2725, ""🏘️ \w+ (\w+) .* ✅"")"),"appartement")</f>
        <v>appartement</v>
      </c>
      <c r="H2725" s="4" t="str">
        <f>IFERROR(__xludf.DUMMYFUNCTION("REGEXEXTRACT(A2725, ""/(\w+)-.*?"")"),"lieu")</f>
        <v>lieu</v>
      </c>
      <c r="I2725" s="4" t="str">
        <f>IFERROR(__xludf.DUMMYFUNCTION("if(D2725=""variant"",  substitute(filter(Templates!E:E, Templates!A:A = F2725, Templates!B:B = G2725, Templates!C:C = H2725), ""{{}}"", E2725), B2725)"),"🏘  L’appartement de vos rêves se trouve sur ImmoScout24.ch ✅ Découvrez les dernières annonces de vente à Lufingen.")</f>
        <v>🏘  L’appartement de vos rêves se trouve sur ImmoScout24.ch ✅ Découvrez les dernières annonces de vente à Lufingen.</v>
      </c>
      <c r="J2725" s="4" t="s">
        <v>8171</v>
      </c>
    </row>
    <row r="2726">
      <c r="A2726" s="5" t="s">
        <v>8172</v>
      </c>
      <c r="B2726" s="2" t="s">
        <v>8173</v>
      </c>
      <c r="C2726" s="4" t="str">
        <f>IFERROR(__xludf.DUMMYFUNCTION("""🏘️ ""&amp;REGEXEXTRACT(B2726, ""^(.*): "")&amp;"" ✅ "" &amp;REGEXEXTRACT(B2726, ""(Trouvez.*)"")"),"🏘️ Louer maison Cortébert ✅ Trouvez le bien immobilier qui correspond idéalement à vos désirs sur ImmoScout24 - La plateforme de l'immobilier en Suisse.")</f>
        <v>🏘️ Louer maison Cortébert ✅ Trouvez le bien immobilier qui correspond idéalement à vos désirs sur ImmoScout24 - La plateforme de l'immobilier en Suisse.</v>
      </c>
      <c r="D2726" s="4" t="str">
        <f>vlookup(A2726, Sheet2!D:E, 2, 0)</f>
        <v>variant</v>
      </c>
      <c r="E2726" s="4" t="str">
        <f>IFERROR(__xludf.DUMMYFUNCTION("if(H2726=""pays"",vlookup(REGEXEXTRACT(C2726, ""🏘️ \w+ \w+ (.*) ✅""),'Country prepositions'!A:B, 2, 0) &amp; "" "" &amp; REGEXEXTRACT(C2726, ""🏘️ \w+ \w+ (.*) ✅"") ,  if(H2726=""quartier"",vlookup(REGEXEXTRACT(C2726, ""🏘️ \w+ \w+ (.*) ✅""),'Quartier prepositio"&amp;"ns'!A:E, 5, 0) ,  if(H2726=""region"",vlookup(REGEXEXTRACT(C2726, ""🏘️ \w+ \w+ (.*) ✅""),'Region prepositions'!B:F, 5, 0),  REGEXEXTRACT(C2726, ""🏘️ \w+ \w+ (.*) ✅""))))"),"Cortébert")</f>
        <v>Cortébert</v>
      </c>
      <c r="F2726" s="2" t="str">
        <f>IFERROR(__xludf.DUMMYFUNCTION("REGEXEXTRACT(C2726, ""🏘️ (\w+) \w+ .* ✅"")"),"Louer")</f>
        <v>Louer</v>
      </c>
      <c r="G2726" s="2" t="str">
        <f>IFERROR(__xludf.DUMMYFUNCTION("REGEXEXTRACT(C2726, ""🏘️ \w+ (\w+) .* ✅"")"),"maison")</f>
        <v>maison</v>
      </c>
      <c r="H2726" s="4" t="str">
        <f>IFERROR(__xludf.DUMMYFUNCTION("REGEXEXTRACT(A2726, ""/(\w+)-.*?"")"),"lieu")</f>
        <v>lieu</v>
      </c>
      <c r="I2726" s="4" t="str">
        <f>IFERROR(__xludf.DUMMYFUNCTION("if(D2726=""variant"",  substitute(filter(Templates!E:E, Templates!A:A = F2726, Templates!B:B = G2726, Templates!C:C = H2726), ""{{}}"", E2726), B2726)"),"🏘  Vous cherchez une maison à louer à Cortébert? ✅ Découvrez nos nombreuses annonces sur ImmoScout24.ch.")</f>
        <v>🏘  Vous cherchez une maison à louer à Cortébert? ✅ Découvrez nos nombreuses annonces sur ImmoScout24.ch.</v>
      </c>
      <c r="J2726" s="4" t="s">
        <v>8174</v>
      </c>
    </row>
    <row r="2727">
      <c r="A2727" s="5" t="s">
        <v>8175</v>
      </c>
      <c r="B2727" s="2" t="s">
        <v>8176</v>
      </c>
      <c r="C2727" s="4" t="str">
        <f>IFERROR(__xludf.DUMMYFUNCTION("""🏘️ ""&amp;REGEXEXTRACT(B2727, ""^(.*): "")&amp;"" ✅ "" &amp;REGEXEXTRACT(B2727, ""(Trouvez.*)"")"),"🏘️ Vendre maison Conches ✅ Trouvez le bien immobilier qui correspond idéalement à vos désirs sur ImmoScout24 - La plateforme de l'immobilier en Suisse.")</f>
        <v>🏘️ Vendre maison Conches ✅ Trouvez le bien immobilier qui correspond idéalement à vos désirs sur ImmoScout24 - La plateforme de l'immobilier en Suisse.</v>
      </c>
      <c r="D2727" s="4" t="str">
        <f>vlookup(A2727, Sheet2!D:E, 2, 0)</f>
        <v>variant</v>
      </c>
      <c r="E2727" s="4" t="str">
        <f>IFERROR(__xludf.DUMMYFUNCTION("if(H2727=""pays"",vlookup(REGEXEXTRACT(C2727, ""🏘️ \w+ \w+ (.*) ✅""),'Country prepositions'!A:B, 2, 0) &amp; "" "" &amp; REGEXEXTRACT(C2727, ""🏘️ \w+ \w+ (.*) ✅"") ,  if(H2727=""quartier"",vlookup(REGEXEXTRACT(C2727, ""🏘️ \w+ \w+ (.*) ✅""),'Quartier prepositio"&amp;"ns'!A:E, 5, 0) ,  if(H2727=""region"",vlookup(REGEXEXTRACT(C2727, ""🏘️ \w+ \w+ (.*) ✅""),'Region prepositions'!B:F, 5, 0),  REGEXEXTRACT(C2727, ""🏘️ \w+ \w+ (.*) ✅""))))"),"Conches")</f>
        <v>Conches</v>
      </c>
      <c r="F2727" s="2" t="str">
        <f>IFERROR(__xludf.DUMMYFUNCTION("REGEXEXTRACT(C2727, ""🏘️ (\w+) \w+ .* ✅"")"),"Vendre")</f>
        <v>Vendre</v>
      </c>
      <c r="G2727" s="2" t="str">
        <f>IFERROR(__xludf.DUMMYFUNCTION("REGEXEXTRACT(C2727, ""🏘️ \w+ (\w+) .* ✅"")"),"maison")</f>
        <v>maison</v>
      </c>
      <c r="H2727" s="4" t="str">
        <f>IFERROR(__xludf.DUMMYFUNCTION("REGEXEXTRACT(A2727, ""/(\w+)-.*?"")"),"lieu")</f>
        <v>lieu</v>
      </c>
      <c r="I2727" s="4" t="str">
        <f>IFERROR(__xludf.DUMMYFUNCTION("if(D2727=""variant"",  substitute(filter(Templates!E:E, Templates!A:A = F2727, Templates!B:B = G2727, Templates!C:C = H2727), ""{{}}"", E2727), B2727)"),"🏘  Vous souhaitez acheter une maison à Conches? ✅ Jetez un œil aux dernières offres sur ImmoScout24.ch.")</f>
        <v>🏘  Vous souhaitez acheter une maison à Conches? ✅ Jetez un œil aux dernières offres sur ImmoScout24.ch.</v>
      </c>
      <c r="J2727" s="4" t="s">
        <v>8177</v>
      </c>
    </row>
    <row r="2728">
      <c r="A2728" s="5" t="s">
        <v>8178</v>
      </c>
      <c r="B2728" s="2" t="s">
        <v>8179</v>
      </c>
      <c r="C2728" s="4" t="str">
        <f>IFERROR(__xludf.DUMMYFUNCTION("""🏘️ ""&amp;REGEXEXTRACT(B2728, ""^(.*): "")&amp;"" ✅ "" &amp;REGEXEXTRACT(B2728, ""(Trouvez.*)"")"),"🏘️ Louer appartement Leuzigen ✅ Trouvez le bien immobilier qui correspond idéalement à vos désirs sur ImmoScout24 - La plateforme de l'immobilier en Suisse.")</f>
        <v>🏘️ Louer appartement Leuzigen ✅ Trouvez le bien immobilier qui correspond idéalement à vos désirs sur ImmoScout24 - La plateforme de l'immobilier en Suisse.</v>
      </c>
      <c r="D2728" s="4" t="str">
        <f>vlookup(A2728, Sheet2!D:E, 2, 0)</f>
        <v>variant</v>
      </c>
      <c r="E2728" s="4" t="str">
        <f>IFERROR(__xludf.DUMMYFUNCTION("if(H2728=""pays"",vlookup(REGEXEXTRACT(C2728, ""🏘️ \w+ \w+ (.*) ✅""),'Country prepositions'!A:B, 2, 0) &amp; "" "" &amp; REGEXEXTRACT(C2728, ""🏘️ \w+ \w+ (.*) ✅"") ,  if(H2728=""quartier"",vlookup(REGEXEXTRACT(C2728, ""🏘️ \w+ \w+ (.*) ✅""),'Quartier prepositio"&amp;"ns'!A:E, 5, 0) ,  if(H2728=""region"",vlookup(REGEXEXTRACT(C2728, ""🏘️ \w+ \w+ (.*) ✅""),'Region prepositions'!B:F, 5, 0),  REGEXEXTRACT(C2728, ""🏘️ \w+ \w+ (.*) ✅""))))"),"Leuzigen")</f>
        <v>Leuzigen</v>
      </c>
      <c r="F2728" s="2" t="str">
        <f>IFERROR(__xludf.DUMMYFUNCTION("REGEXEXTRACT(C2728, ""🏘️ (\w+) \w+ .* ✅"")"),"Louer")</f>
        <v>Louer</v>
      </c>
      <c r="G2728" s="2" t="str">
        <f>IFERROR(__xludf.DUMMYFUNCTION("REGEXEXTRACT(C2728, ""🏘️ \w+ (\w+) .* ✅"")"),"appartement")</f>
        <v>appartement</v>
      </c>
      <c r="H2728" s="4" t="str">
        <f>IFERROR(__xludf.DUMMYFUNCTION("REGEXEXTRACT(A2728, ""/(\w+)-.*?"")"),"lieu")</f>
        <v>lieu</v>
      </c>
      <c r="I2728" s="4" t="str">
        <f>IFERROR(__xludf.DUMMYFUNCTION("if(D2728=""variant"",  substitute(filter(Templates!E:E, Templates!A:A = F2728, Templates!B:B = G2728, Templates!C:C = H2728), ""{{}}"", E2728), B2728)"),"🏘  Vous cherchez un appartement à louer à Leuzigen? ✅ Les annonces les plus actuelles sont sur ImmoScout24.ch.")</f>
        <v>🏘  Vous cherchez un appartement à louer à Leuzigen? ✅ Les annonces les plus actuelles sont sur ImmoScout24.ch.</v>
      </c>
      <c r="J2728" s="2" t="s">
        <v>8180</v>
      </c>
    </row>
    <row r="2729">
      <c r="A2729" s="5" t="s">
        <v>8181</v>
      </c>
      <c r="B2729" s="2" t="s">
        <v>8182</v>
      </c>
      <c r="C2729" s="4" t="str">
        <f>IFERROR(__xludf.DUMMYFUNCTION("""🏘️ ""&amp;REGEXEXTRACT(B2729, ""^(.*): "")&amp;"" ✅ "" &amp;REGEXEXTRACT(B2729, ""(Trouvez.*)"")"),"🏘️ Louer appartement Bercher ✅ Trouvez le bien immobilier qui correspond idéalement à vos désirs sur ImmoScout24 - La plateforme de l'immobilier en Suisse.")</f>
        <v>🏘️ Louer appartement Bercher ✅ Trouvez le bien immobilier qui correspond idéalement à vos désirs sur ImmoScout24 - La plateforme de l'immobilier en Suisse.</v>
      </c>
      <c r="D2729" s="4" t="str">
        <f>vlookup(A2729, Sheet2!D:E, 2, 0)</f>
        <v>variant</v>
      </c>
      <c r="E2729" s="4" t="str">
        <f>IFERROR(__xludf.DUMMYFUNCTION("if(H2729=""pays"",vlookup(REGEXEXTRACT(C2729, ""🏘️ \w+ \w+ (.*) ✅""),'Country prepositions'!A:B, 2, 0) &amp; "" "" &amp; REGEXEXTRACT(C2729, ""🏘️ \w+ \w+ (.*) ✅"") ,  if(H2729=""quartier"",vlookup(REGEXEXTRACT(C2729, ""🏘️ \w+ \w+ (.*) ✅""),'Quartier prepositio"&amp;"ns'!A:E, 5, 0) ,  if(H2729=""region"",vlookup(REGEXEXTRACT(C2729, ""🏘️ \w+ \w+ (.*) ✅""),'Region prepositions'!B:F, 5, 0),  REGEXEXTRACT(C2729, ""🏘️ \w+ \w+ (.*) ✅""))))"),"Bercher")</f>
        <v>Bercher</v>
      </c>
      <c r="F2729" s="2" t="str">
        <f>IFERROR(__xludf.DUMMYFUNCTION("REGEXEXTRACT(C2729, ""🏘️ (\w+) \w+ .* ✅"")"),"Louer")</f>
        <v>Louer</v>
      </c>
      <c r="G2729" s="2" t="str">
        <f>IFERROR(__xludf.DUMMYFUNCTION("REGEXEXTRACT(C2729, ""🏘️ \w+ (\w+) .* ✅"")"),"appartement")</f>
        <v>appartement</v>
      </c>
      <c r="H2729" s="4" t="str">
        <f>IFERROR(__xludf.DUMMYFUNCTION("REGEXEXTRACT(A2729, ""/(\w+)-.*?"")"),"lieu")</f>
        <v>lieu</v>
      </c>
      <c r="I2729" s="4" t="str">
        <f>IFERROR(__xludf.DUMMYFUNCTION("if(D2729=""variant"",  substitute(filter(Templates!E:E, Templates!A:A = F2729, Templates!B:B = G2729, Templates!C:C = H2729), ""{{}}"", E2729), B2729)"),"🏘  Vous cherchez un appartement à louer à Bercher? ✅ Les annonces les plus actuelles sont sur ImmoScout24.ch.")</f>
        <v>🏘  Vous cherchez un appartement à louer à Bercher? ✅ Les annonces les plus actuelles sont sur ImmoScout24.ch.</v>
      </c>
      <c r="J2729" s="4" t="s">
        <v>8183</v>
      </c>
    </row>
    <row r="2730">
      <c r="A2730" s="5" t="s">
        <v>8184</v>
      </c>
      <c r="B2730" s="2" t="s">
        <v>8185</v>
      </c>
      <c r="C2730" s="4" t="str">
        <f>IFERROR(__xludf.DUMMYFUNCTION("""🏘️ ""&amp;REGEXEXTRACT(B2730, ""^(.*): "")&amp;"" ✅ "" &amp;REGEXEXTRACT(B2730, ""(Trouvez.*)"")"),"🏘️ Vendre maison Deitingen ✅ Trouvez le bien immobilier qui correspond idéalement à vos désirs sur ImmoScout24 - La plateforme de l'immobilier en Suisse.")</f>
        <v>🏘️ Vendre maison Deitingen ✅ Trouvez le bien immobilier qui correspond idéalement à vos désirs sur ImmoScout24 - La plateforme de l'immobilier en Suisse.</v>
      </c>
      <c r="D2730" s="4" t="str">
        <f>vlookup(A2730, Sheet2!D:E, 2, 0)</f>
        <v>variant</v>
      </c>
      <c r="E2730" s="4" t="str">
        <f>IFERROR(__xludf.DUMMYFUNCTION("if(H2730=""pays"",vlookup(REGEXEXTRACT(C2730, ""🏘️ \w+ \w+ (.*) ✅""),'Country prepositions'!A:B, 2, 0) &amp; "" "" &amp; REGEXEXTRACT(C2730, ""🏘️ \w+ \w+ (.*) ✅"") ,  if(H2730=""quartier"",vlookup(REGEXEXTRACT(C2730, ""🏘️ \w+ \w+ (.*) ✅""),'Quartier prepositio"&amp;"ns'!A:E, 5, 0) ,  if(H2730=""region"",vlookup(REGEXEXTRACT(C2730, ""🏘️ \w+ \w+ (.*) ✅""),'Region prepositions'!B:F, 5, 0),  REGEXEXTRACT(C2730, ""🏘️ \w+ \w+ (.*) ✅""))))"),"Deitingen")</f>
        <v>Deitingen</v>
      </c>
      <c r="F2730" s="2" t="str">
        <f>IFERROR(__xludf.DUMMYFUNCTION("REGEXEXTRACT(C2730, ""🏘️ (\w+) \w+ .* ✅"")"),"Vendre")</f>
        <v>Vendre</v>
      </c>
      <c r="G2730" s="2" t="str">
        <f>IFERROR(__xludf.DUMMYFUNCTION("REGEXEXTRACT(C2730, ""🏘️ \w+ (\w+) .* ✅"")"),"maison")</f>
        <v>maison</v>
      </c>
      <c r="H2730" s="4" t="str">
        <f>IFERROR(__xludf.DUMMYFUNCTION("REGEXEXTRACT(A2730, ""/(\w+)-.*?"")"),"lieu")</f>
        <v>lieu</v>
      </c>
      <c r="I2730" s="4" t="str">
        <f>IFERROR(__xludf.DUMMYFUNCTION("if(D2730=""variant"",  substitute(filter(Templates!E:E, Templates!A:A = F2730, Templates!B:B = G2730, Templates!C:C = H2730), ""{{}}"", E2730), B2730)"),"🏘  Vous souhaitez acheter une maison à Deitingen? ✅ Jetez un œil aux dernières offres sur ImmoScout24.ch.")</f>
        <v>🏘  Vous souhaitez acheter une maison à Deitingen? ✅ Jetez un œil aux dernières offres sur ImmoScout24.ch.</v>
      </c>
      <c r="J2730" s="4" t="s">
        <v>8186</v>
      </c>
    </row>
    <row r="2731">
      <c r="A2731" s="5" t="s">
        <v>8187</v>
      </c>
      <c r="B2731" s="2" t="s">
        <v>8188</v>
      </c>
      <c r="C2731" s="4" t="str">
        <f>IFERROR(__xludf.DUMMYFUNCTION("""🏘️ ""&amp;REGEXEXTRACT(B2731, ""^(.*): "")&amp;"" ✅ "" &amp;REGEXEXTRACT(B2731, ""(Trouvez.*)"")"),"🏘️ Vendre maison Langenthal ✅ Trouvez le bien immobilier qui correspond idéalement à vos désirs sur ImmoScout24 - La plateforme de l'immobilier en Suisse.")</f>
        <v>🏘️ Vendre maison Langenthal ✅ Trouvez le bien immobilier qui correspond idéalement à vos désirs sur ImmoScout24 - La plateforme de l'immobilier en Suisse.</v>
      </c>
      <c r="D2731" s="4" t="str">
        <f>vlookup(A2731, Sheet2!D:E, 2, 0)</f>
        <v>variant</v>
      </c>
      <c r="E2731" s="4" t="str">
        <f>IFERROR(__xludf.DUMMYFUNCTION("if(H2731=""pays"",vlookup(REGEXEXTRACT(C2731, ""🏘️ \w+ \w+ (.*) ✅""),'Country prepositions'!A:B, 2, 0) &amp; "" "" &amp; REGEXEXTRACT(C2731, ""🏘️ \w+ \w+ (.*) ✅"") ,  if(H2731=""quartier"",vlookup(REGEXEXTRACT(C2731, ""🏘️ \w+ \w+ (.*) ✅""),'Quartier prepositio"&amp;"ns'!A:E, 5, 0) ,  if(H2731=""region"",vlookup(REGEXEXTRACT(C2731, ""🏘️ \w+ \w+ (.*) ✅""),'Region prepositions'!B:F, 5, 0),  REGEXEXTRACT(C2731, ""🏘️ \w+ \w+ (.*) ✅""))))"),"Langenthal")</f>
        <v>Langenthal</v>
      </c>
      <c r="F2731" s="2" t="str">
        <f>IFERROR(__xludf.DUMMYFUNCTION("REGEXEXTRACT(C2731, ""🏘️ (\w+) \w+ .* ✅"")"),"Vendre")</f>
        <v>Vendre</v>
      </c>
      <c r="G2731" s="2" t="str">
        <f>IFERROR(__xludf.DUMMYFUNCTION("REGEXEXTRACT(C2731, ""🏘️ \w+ (\w+) .* ✅"")"),"maison")</f>
        <v>maison</v>
      </c>
      <c r="H2731" s="4" t="str">
        <f>IFERROR(__xludf.DUMMYFUNCTION("REGEXEXTRACT(A2731, ""/(\w+)-.*?"")"),"lieu")</f>
        <v>lieu</v>
      </c>
      <c r="I2731" s="4" t="str">
        <f>IFERROR(__xludf.DUMMYFUNCTION("if(D2731=""variant"",  substitute(filter(Templates!E:E, Templates!A:A = F2731, Templates!B:B = G2731, Templates!C:C = H2731), ""{{}}"", E2731), B2731)"),"🏘  Vous souhaitez acheter une maison à Langenthal? ✅ Jetez un œil aux dernières offres sur ImmoScout24.ch.")</f>
        <v>🏘  Vous souhaitez acheter une maison à Langenthal? ✅ Jetez un œil aux dernières offres sur ImmoScout24.ch.</v>
      </c>
      <c r="J2731" s="4" t="s">
        <v>8189</v>
      </c>
    </row>
    <row r="2732">
      <c r="A2732" s="5" t="s">
        <v>8190</v>
      </c>
      <c r="B2732" s="2" t="s">
        <v>8191</v>
      </c>
      <c r="C2732" s="4" t="str">
        <f>IFERROR(__xludf.DUMMYFUNCTION("""🏘️ ""&amp;REGEXEXTRACT(B2732, ""^(.*): "")&amp;"" ✅ "" &amp;REGEXEXTRACT(B2732, ""(Trouvez.*)"")"),"🏘️ Vendre maison Cortaillod ✅ Trouvez le bien immobilier qui correspond idéalement à vos désirs sur ImmoScout24 - La plateforme de l'immobilier en Suisse.")</f>
        <v>🏘️ Vendre maison Cortaillod ✅ Trouvez le bien immobilier qui correspond idéalement à vos désirs sur ImmoScout24 - La plateforme de l'immobilier en Suisse.</v>
      </c>
      <c r="D2732" s="4" t="str">
        <f>vlookup(A2732, Sheet2!D:E, 2, 0)</f>
        <v>variant</v>
      </c>
      <c r="E2732" s="4" t="str">
        <f>IFERROR(__xludf.DUMMYFUNCTION("if(H2732=""pays"",vlookup(REGEXEXTRACT(C2732, ""🏘️ \w+ \w+ (.*) ✅""),'Country prepositions'!A:B, 2, 0) &amp; "" "" &amp; REGEXEXTRACT(C2732, ""🏘️ \w+ \w+ (.*) ✅"") ,  if(H2732=""quartier"",vlookup(REGEXEXTRACT(C2732, ""🏘️ \w+ \w+ (.*) ✅""),'Quartier prepositio"&amp;"ns'!A:E, 5, 0) ,  if(H2732=""region"",vlookup(REGEXEXTRACT(C2732, ""🏘️ \w+ \w+ (.*) ✅""),'Region prepositions'!B:F, 5, 0),  REGEXEXTRACT(C2732, ""🏘️ \w+ \w+ (.*) ✅""))))"),"Cortaillod")</f>
        <v>Cortaillod</v>
      </c>
      <c r="F2732" s="2" t="str">
        <f>IFERROR(__xludf.DUMMYFUNCTION("REGEXEXTRACT(C2732, ""🏘️ (\w+) \w+ .* ✅"")"),"Vendre")</f>
        <v>Vendre</v>
      </c>
      <c r="G2732" s="2" t="str">
        <f>IFERROR(__xludf.DUMMYFUNCTION("REGEXEXTRACT(C2732, ""🏘️ \w+ (\w+) .* ✅"")"),"maison")</f>
        <v>maison</v>
      </c>
      <c r="H2732" s="4" t="str">
        <f>IFERROR(__xludf.DUMMYFUNCTION("REGEXEXTRACT(A2732, ""/(\w+)-.*?"")"),"lieu")</f>
        <v>lieu</v>
      </c>
      <c r="I2732" s="4" t="str">
        <f>IFERROR(__xludf.DUMMYFUNCTION("if(D2732=""variant"",  substitute(filter(Templates!E:E, Templates!A:A = F2732, Templates!B:B = G2732, Templates!C:C = H2732), ""{{}}"", E2732), B2732)"),"🏘  Vous souhaitez acheter une maison à Cortaillod? ✅ Jetez un œil aux dernières offres sur ImmoScout24.ch.")</f>
        <v>🏘  Vous souhaitez acheter une maison à Cortaillod? ✅ Jetez un œil aux dernières offres sur ImmoScout24.ch.</v>
      </c>
      <c r="J2732" s="4" t="s">
        <v>8192</v>
      </c>
    </row>
    <row r="2733">
      <c r="A2733" s="5" t="s">
        <v>8193</v>
      </c>
      <c r="B2733" s="2" t="s">
        <v>8194</v>
      </c>
      <c r="C2733" s="4" t="str">
        <f>IFERROR(__xludf.DUMMYFUNCTION("""🏘️ ""&amp;REGEXEXTRACT(B2733, ""^(.*): "")&amp;"" ✅ "" &amp;REGEXEXTRACT(B2733, ""(Trouvez.*)"")"),"🏘️ Louer maison Cortaillod ✅ Trouvez le bien immobilier qui correspond idéalement à vos désirs sur ImmoScout24 - La plateforme de l'immobilier en Suisse.")</f>
        <v>🏘️ Louer maison Cortaillod ✅ Trouvez le bien immobilier qui correspond idéalement à vos désirs sur ImmoScout24 - La plateforme de l'immobilier en Suisse.</v>
      </c>
      <c r="D2733" s="4" t="str">
        <f>vlookup(A2733, Sheet2!D:E, 2, 0)</f>
        <v>variant</v>
      </c>
      <c r="E2733" s="4" t="str">
        <f>IFERROR(__xludf.DUMMYFUNCTION("if(H2733=""pays"",vlookup(REGEXEXTRACT(C2733, ""🏘️ \w+ \w+ (.*) ✅""),'Country prepositions'!A:B, 2, 0) &amp; "" "" &amp; REGEXEXTRACT(C2733, ""🏘️ \w+ \w+ (.*) ✅"") ,  if(H2733=""quartier"",vlookup(REGEXEXTRACT(C2733, ""🏘️ \w+ \w+ (.*) ✅""),'Quartier prepositio"&amp;"ns'!A:E, 5, 0) ,  if(H2733=""region"",vlookup(REGEXEXTRACT(C2733, ""🏘️ \w+ \w+ (.*) ✅""),'Region prepositions'!B:F, 5, 0),  REGEXEXTRACT(C2733, ""🏘️ \w+ \w+ (.*) ✅""))))"),"Cortaillod")</f>
        <v>Cortaillod</v>
      </c>
      <c r="F2733" s="2" t="str">
        <f>IFERROR(__xludf.DUMMYFUNCTION("REGEXEXTRACT(C2733, ""🏘️ (\w+) \w+ .* ✅"")"),"Louer")</f>
        <v>Louer</v>
      </c>
      <c r="G2733" s="2" t="str">
        <f>IFERROR(__xludf.DUMMYFUNCTION("REGEXEXTRACT(C2733, ""🏘️ \w+ (\w+) .* ✅"")"),"maison")</f>
        <v>maison</v>
      </c>
      <c r="H2733" s="4" t="str">
        <f>IFERROR(__xludf.DUMMYFUNCTION("REGEXEXTRACT(A2733, ""/(\w+)-.*?"")"),"lieu")</f>
        <v>lieu</v>
      </c>
      <c r="I2733" s="4" t="str">
        <f>IFERROR(__xludf.DUMMYFUNCTION("if(D2733=""variant"",  substitute(filter(Templates!E:E, Templates!A:A = F2733, Templates!B:B = G2733, Templates!C:C = H2733), ""{{}}"", E2733), B2733)"),"🏘  Vous cherchez une maison à louer à Cortaillod? ✅ Découvrez nos nombreuses annonces sur ImmoScout24.ch.")</f>
        <v>🏘  Vous cherchez une maison à louer à Cortaillod? ✅ Découvrez nos nombreuses annonces sur ImmoScout24.ch.</v>
      </c>
      <c r="J2733" s="4" t="s">
        <v>8195</v>
      </c>
    </row>
    <row r="2734">
      <c r="A2734" s="5" t="s">
        <v>8196</v>
      </c>
      <c r="B2734" s="2" t="s">
        <v>8197</v>
      </c>
      <c r="C2734" s="4" t="str">
        <f>IFERROR(__xludf.DUMMYFUNCTION("""🏘️ ""&amp;REGEXEXTRACT(B2734, ""^(.*): "")&amp;"" ✅ "" &amp;REGEXEXTRACT(B2734, ""(Trouvez.*)"")"),"🏘️ Vendre appartement Vignoble (Biel/Bienne) ✅ Trouvez le bien immobilier qui correspond idéalement à vos désirs sur ImmoScout24 - La plateforme de l'immobilier en Suisse.")</f>
        <v>🏘️ Vendre appartement Vignoble (Biel/Bienne) ✅ Trouvez le bien immobilier qui correspond idéalement à vos désirs sur ImmoScout24 - La plateforme de l'immobilier en Suisse.</v>
      </c>
      <c r="D2734" s="4" t="str">
        <f>vlookup(A2734, Sheet2!D:E, 2, 0)</f>
        <v>variant</v>
      </c>
      <c r="E2734" s="4" t="str">
        <f>IFERROR(__xludf.DUMMYFUNCTION("if(H2734=""pays"",vlookup(REGEXEXTRACT(C2734, ""🏘️ \w+ \w+ (.*) ✅""),'Country prepositions'!A:B, 2, 0) &amp; "" "" &amp; REGEXEXTRACT(C2734, ""🏘️ \w+ \w+ (.*) ✅"") ,  if(H2734=""quartier"",vlookup(REGEXEXTRACT(C2734, ""🏘️ \w+ \w+ (.*) ✅""),'Quartier prepositio"&amp;"ns'!A:E, 5, 0) ,  if(H2734=""region"",vlookup(REGEXEXTRACT(C2734, ""🏘️ \w+ \w+ (.*) ✅""),'Region prepositions'!B:F, 5, 0),  REGEXEXTRACT(C2734, ""🏘️ \w+ \w+ (.*) ✅""))))"),"dans le quartier du Vignoble (Biel/Bienne)")</f>
        <v>dans le quartier du Vignoble (Biel/Bienne)</v>
      </c>
      <c r="F2734" s="2" t="str">
        <f>IFERROR(__xludf.DUMMYFUNCTION("REGEXEXTRACT(C2734, ""🏘️ (\w+) \w+ .* ✅"")"),"Vendre")</f>
        <v>Vendre</v>
      </c>
      <c r="G2734" s="2" t="str">
        <f>IFERROR(__xludf.DUMMYFUNCTION("REGEXEXTRACT(C2734, ""🏘️ \w+ (\w+) .* ✅"")"),"appartement")</f>
        <v>appartement</v>
      </c>
      <c r="H2734" s="4" t="str">
        <f>IFERROR(__xludf.DUMMYFUNCTION("REGEXEXTRACT(A2734, ""/(\w+)-.*?"")"),"quartier")</f>
        <v>quartier</v>
      </c>
      <c r="I2734" s="4" t="str">
        <f>IFERROR(__xludf.DUMMYFUNCTION("if(D2734=""variant"",  substitute(filter(Templates!E:E, Templates!A:A = F2734, Templates!B:B = G2734, Templates!C:C = H2734), ""{{}}"", E2734), B2734)"),"🏘  L’appartement de vos rêves se trouve sur ImmoScout24.ch ✅ Découvrez les dernières annonces de vente dans le quartier du Vignoble (Biel/Bienne).")</f>
        <v>🏘  L’appartement de vos rêves se trouve sur ImmoScout24.ch ✅ Découvrez les dernières annonces de vente dans le quartier du Vignoble (Biel/Bienne).</v>
      </c>
      <c r="J2734" s="4" t="s">
        <v>8198</v>
      </c>
    </row>
    <row r="2735">
      <c r="A2735" s="5" t="s">
        <v>8199</v>
      </c>
      <c r="B2735" s="2" t="s">
        <v>8200</v>
      </c>
      <c r="C2735" s="4" t="str">
        <f>IFERROR(__xludf.DUMMYFUNCTION("""🏘️ ""&amp;REGEXEXTRACT(B2735, ""^(.*): "")&amp;"" ✅ "" &amp;REGEXEXTRACT(B2735, ""(Trouvez.*)"")"),"🏘️ Louer appartement Lonay ✅ Trouvez le bien immobilier qui correspond idéalement à vos désirs sur ImmoScout24 - La plateforme de l'immobilier en Suisse.")</f>
        <v>🏘️ Louer appartement Lonay ✅ Trouvez le bien immobilier qui correspond idéalement à vos désirs sur ImmoScout24 - La plateforme de l'immobilier en Suisse.</v>
      </c>
      <c r="D2735" s="4" t="str">
        <f>vlookup(A2735, Sheet2!D:E, 2, 0)</f>
        <v>variant</v>
      </c>
      <c r="E2735" s="4" t="str">
        <f>IFERROR(__xludf.DUMMYFUNCTION("if(H2735=""pays"",vlookup(REGEXEXTRACT(C2735, ""🏘️ \w+ \w+ (.*) ✅""),'Country prepositions'!A:B, 2, 0) &amp; "" "" &amp; REGEXEXTRACT(C2735, ""🏘️ \w+ \w+ (.*) ✅"") ,  if(H2735=""quartier"",vlookup(REGEXEXTRACT(C2735, ""🏘️ \w+ \w+ (.*) ✅""),'Quartier prepositio"&amp;"ns'!A:E, 5, 0) ,  if(H2735=""region"",vlookup(REGEXEXTRACT(C2735, ""🏘️ \w+ \w+ (.*) ✅""),'Region prepositions'!B:F, 5, 0),  REGEXEXTRACT(C2735, ""🏘️ \w+ \w+ (.*) ✅""))))"),"Lonay")</f>
        <v>Lonay</v>
      </c>
      <c r="F2735" s="2" t="str">
        <f>IFERROR(__xludf.DUMMYFUNCTION("REGEXEXTRACT(C2735, ""🏘️ (\w+) \w+ .* ✅"")"),"Louer")</f>
        <v>Louer</v>
      </c>
      <c r="G2735" s="2" t="str">
        <f>IFERROR(__xludf.DUMMYFUNCTION("REGEXEXTRACT(C2735, ""🏘️ \w+ (\w+) .* ✅"")"),"appartement")</f>
        <v>appartement</v>
      </c>
      <c r="H2735" s="4" t="str">
        <f>IFERROR(__xludf.DUMMYFUNCTION("REGEXEXTRACT(A2735, ""/(\w+)-.*?"")"),"lieu")</f>
        <v>lieu</v>
      </c>
      <c r="I2735" s="4" t="str">
        <f>IFERROR(__xludf.DUMMYFUNCTION("if(D2735=""variant"",  substitute(filter(Templates!E:E, Templates!A:A = F2735, Templates!B:B = G2735, Templates!C:C = H2735), ""{{}}"", E2735), B2735)"),"🏘  Vous cherchez un appartement à louer à Lonay? ✅ Les annonces les plus actuelles sont sur ImmoScout24.ch.")</f>
        <v>🏘  Vous cherchez un appartement à louer à Lonay? ✅ Les annonces les plus actuelles sont sur ImmoScout24.ch.</v>
      </c>
      <c r="J2735" s="4" t="s">
        <v>8201</v>
      </c>
    </row>
    <row r="2736">
      <c r="A2736" s="5" t="s">
        <v>8202</v>
      </c>
      <c r="B2736" s="2" t="s">
        <v>8203</v>
      </c>
      <c r="C2736" s="4" t="str">
        <f>IFERROR(__xludf.DUMMYFUNCTION("""🏘️ ""&amp;REGEXEXTRACT(B2736, ""^(.*): "")&amp;"" ✅ "" &amp;REGEXEXTRACT(B2736, ""(Trouvez.*)"")"),"🏘️ Louer maison La Cibourg ✅ Trouvez le bien immobilier qui correspond idéalement à vos désirs sur ImmoScout24 - La plateforme de l'immobilier en Suisse.")</f>
        <v>🏘️ Louer maison La Cibourg ✅ Trouvez le bien immobilier qui correspond idéalement à vos désirs sur ImmoScout24 - La plateforme de l'immobilier en Suisse.</v>
      </c>
      <c r="D2736" s="4" t="str">
        <f>vlookup(A2736, Sheet2!D:E, 2, 0)</f>
        <v>variant</v>
      </c>
      <c r="E2736" s="4" t="str">
        <f>IFERROR(__xludf.DUMMYFUNCTION("if(H2736=""pays"",vlookup(REGEXEXTRACT(C2736, ""🏘️ \w+ \w+ (.*) ✅""),'Country prepositions'!A:B, 2, 0) &amp; "" "" &amp; REGEXEXTRACT(C2736, ""🏘️ \w+ \w+ (.*) ✅"") ,  if(H2736=""quartier"",vlookup(REGEXEXTRACT(C2736, ""🏘️ \w+ \w+ (.*) ✅""),'Quartier prepositio"&amp;"ns'!A:E, 5, 0) ,  if(H2736=""region"",vlookup(REGEXEXTRACT(C2736, ""🏘️ \w+ \w+ (.*) ✅""),'Region prepositions'!B:F, 5, 0),  REGEXEXTRACT(C2736, ""🏘️ \w+ \w+ (.*) ✅""))))"),"La Cibourg")</f>
        <v>La Cibourg</v>
      </c>
      <c r="F2736" s="2" t="str">
        <f>IFERROR(__xludf.DUMMYFUNCTION("REGEXEXTRACT(C2736, ""🏘️ (\w+) \w+ .* ✅"")"),"Louer")</f>
        <v>Louer</v>
      </c>
      <c r="G2736" s="2" t="str">
        <f>IFERROR(__xludf.DUMMYFUNCTION("REGEXEXTRACT(C2736, ""🏘️ \w+ (\w+) .* ✅"")"),"maison")</f>
        <v>maison</v>
      </c>
      <c r="H2736" s="4" t="str">
        <f>IFERROR(__xludf.DUMMYFUNCTION("REGEXEXTRACT(A2736, ""/(\w+)-.*?"")"),"lieu")</f>
        <v>lieu</v>
      </c>
      <c r="I2736" s="4" t="str">
        <f>IFERROR(__xludf.DUMMYFUNCTION("if(D2736=""variant"",  substitute(filter(Templates!E:E, Templates!A:A = F2736, Templates!B:B = G2736, Templates!C:C = H2736), ""{{}}"", E2736), B2736)"),"🏘  Vous cherchez une maison à louer à La Cibourg? ✅ Découvrez nos nombreuses annonces sur ImmoScout24.ch.")</f>
        <v>🏘  Vous cherchez une maison à louer à La Cibourg? ✅ Découvrez nos nombreuses annonces sur ImmoScout24.ch.</v>
      </c>
      <c r="J2736" s="4" t="s">
        <v>8204</v>
      </c>
    </row>
    <row r="2737">
      <c r="A2737" s="5" t="s">
        <v>8205</v>
      </c>
      <c r="B2737" s="2" t="s">
        <v>8206</v>
      </c>
      <c r="C2737" s="4" t="str">
        <f>IFERROR(__xludf.DUMMYFUNCTION("""🏘️ ""&amp;REGEXEXTRACT(B2737, ""^(.*): "")&amp;"" ✅ "" &amp;REGEXEXTRACT(B2737, ""(Trouvez.*)"")"),"🏘️ Louer appartement Wiggiswil ✅ Trouvez le bien immobilier qui correspond idéalement à vos désirs sur ImmoScout24 - La plateforme de l'immobilier en Suisse.")</f>
        <v>🏘️ Louer appartement Wiggiswil ✅ Trouvez le bien immobilier qui correspond idéalement à vos désirs sur ImmoScout24 - La plateforme de l'immobilier en Suisse.</v>
      </c>
      <c r="D2737" s="4" t="str">
        <f>vlookup(A2737, Sheet2!D:E, 2, 0)</f>
        <v>variant</v>
      </c>
      <c r="E2737" s="4" t="str">
        <f>IFERROR(__xludf.DUMMYFUNCTION("if(H2737=""pays"",vlookup(REGEXEXTRACT(C2737, ""🏘️ \w+ \w+ (.*) ✅""),'Country prepositions'!A:B, 2, 0) &amp; "" "" &amp; REGEXEXTRACT(C2737, ""🏘️ \w+ \w+ (.*) ✅"") ,  if(H2737=""quartier"",vlookup(REGEXEXTRACT(C2737, ""🏘️ \w+ \w+ (.*) ✅""),'Quartier prepositio"&amp;"ns'!A:E, 5, 0) ,  if(H2737=""region"",vlookup(REGEXEXTRACT(C2737, ""🏘️ \w+ \w+ (.*) ✅""),'Region prepositions'!B:F, 5, 0),  REGEXEXTRACT(C2737, ""🏘️ \w+ \w+ (.*) ✅""))))"),"Wiggiswil")</f>
        <v>Wiggiswil</v>
      </c>
      <c r="F2737" s="2" t="str">
        <f>IFERROR(__xludf.DUMMYFUNCTION("REGEXEXTRACT(C2737, ""🏘️ (\w+) \w+ .* ✅"")"),"Louer")</f>
        <v>Louer</v>
      </c>
      <c r="G2737" s="2" t="str">
        <f>IFERROR(__xludf.DUMMYFUNCTION("REGEXEXTRACT(C2737, ""🏘️ \w+ (\w+) .* ✅"")"),"appartement")</f>
        <v>appartement</v>
      </c>
      <c r="H2737" s="4" t="str">
        <f>IFERROR(__xludf.DUMMYFUNCTION("REGEXEXTRACT(A2737, ""/(\w+)-.*?"")"),"lieu")</f>
        <v>lieu</v>
      </c>
      <c r="I2737" s="4" t="str">
        <f>IFERROR(__xludf.DUMMYFUNCTION("if(D2737=""variant"",  substitute(filter(Templates!E:E, Templates!A:A = F2737, Templates!B:B = G2737, Templates!C:C = H2737), ""{{}}"", E2737), B2737)"),"🏘  Vous cherchez un appartement à louer à Wiggiswil? ✅ Les annonces les plus actuelles sont sur ImmoScout24.ch.")</f>
        <v>🏘  Vous cherchez un appartement à louer à Wiggiswil? ✅ Les annonces les plus actuelles sont sur ImmoScout24.ch.</v>
      </c>
      <c r="J2737" s="4" t="s">
        <v>8207</v>
      </c>
    </row>
    <row r="2738">
      <c r="A2738" s="5" t="s">
        <v>8208</v>
      </c>
      <c r="B2738" s="2" t="s">
        <v>8209</v>
      </c>
      <c r="C2738" s="4" t="str">
        <f>IFERROR(__xludf.DUMMYFUNCTION("""🏘️ ""&amp;REGEXEXTRACT(B2738, ""^(.*): "")&amp;"" ✅ "" &amp;REGEXEXTRACT(B2738, ""(Trouvez.*)"")"),"🏘️ Louer maison Villeneuve VD ✅ Trouvez le bien immobilier qui correspond idéalement à vos désirs sur ImmoScout24 - La plateforme de l'immobilier en Suisse.")</f>
        <v>🏘️ Louer maison Villeneuve VD ✅ Trouvez le bien immobilier qui correspond idéalement à vos désirs sur ImmoScout24 - La plateforme de l'immobilier en Suisse.</v>
      </c>
      <c r="D2738" s="4" t="str">
        <f>vlookup(A2738, Sheet2!D:E, 2, 0)</f>
        <v>variant</v>
      </c>
      <c r="E2738" s="4" t="str">
        <f>IFERROR(__xludf.DUMMYFUNCTION("if(H2738=""pays"",vlookup(REGEXEXTRACT(C2738, ""🏘️ \w+ \w+ (.*) ✅""),'Country prepositions'!A:B, 2, 0) &amp; "" "" &amp; REGEXEXTRACT(C2738, ""🏘️ \w+ \w+ (.*) ✅"") ,  if(H2738=""quartier"",vlookup(REGEXEXTRACT(C2738, ""🏘️ \w+ \w+ (.*) ✅""),'Quartier prepositio"&amp;"ns'!A:E, 5, 0) ,  if(H2738=""region"",vlookup(REGEXEXTRACT(C2738, ""🏘️ \w+ \w+ (.*) ✅""),'Region prepositions'!B:F, 5, 0),  REGEXEXTRACT(C2738, ""🏘️ \w+ \w+ (.*) ✅""))))"),"Villeneuve VD")</f>
        <v>Villeneuve VD</v>
      </c>
      <c r="F2738" s="2" t="str">
        <f>IFERROR(__xludf.DUMMYFUNCTION("REGEXEXTRACT(C2738, ""🏘️ (\w+) \w+ .* ✅"")"),"Louer")</f>
        <v>Louer</v>
      </c>
      <c r="G2738" s="2" t="str">
        <f>IFERROR(__xludf.DUMMYFUNCTION("REGEXEXTRACT(C2738, ""🏘️ \w+ (\w+) .* ✅"")"),"maison")</f>
        <v>maison</v>
      </c>
      <c r="H2738" s="4" t="str">
        <f>IFERROR(__xludf.DUMMYFUNCTION("REGEXEXTRACT(A2738, ""/(\w+)-.*?"")"),"lieu")</f>
        <v>lieu</v>
      </c>
      <c r="I2738" s="4" t="str">
        <f>IFERROR(__xludf.DUMMYFUNCTION("if(D2738=""variant"",  substitute(filter(Templates!E:E, Templates!A:A = F2738, Templates!B:B = G2738, Templates!C:C = H2738), ""{{}}"", E2738), B2738)"),"🏘  Vous cherchez une maison à louer à Villeneuve VD? ✅ Découvrez nos nombreuses annonces sur ImmoScout24.ch.")</f>
        <v>🏘  Vous cherchez une maison à louer à Villeneuve VD? ✅ Découvrez nos nombreuses annonces sur ImmoScout24.ch.</v>
      </c>
      <c r="J2738" s="4" t="s">
        <v>8210</v>
      </c>
    </row>
    <row r="2739">
      <c r="A2739" s="5" t="s">
        <v>8211</v>
      </c>
      <c r="B2739" s="2" t="s">
        <v>8212</v>
      </c>
      <c r="C2739" s="4" t="str">
        <f>IFERROR(__xludf.DUMMYFUNCTION("""🏘️ ""&amp;REGEXEXTRACT(B2739, ""^(.*): "")&amp;"" ✅ "" &amp;REGEXEXTRACT(B2739, ""(Trouvez.*)"")"),"🏘️ Louer appartement Monthey ✅ Trouvez le bien immobilier qui correspond idéalement à vos désirs sur ImmoScout24 - La plateforme de l'immobilier en Suisse.")</f>
        <v>🏘️ Louer appartement Monthey ✅ Trouvez le bien immobilier qui correspond idéalement à vos désirs sur ImmoScout24 - La plateforme de l'immobilier en Suisse.</v>
      </c>
      <c r="D2739" s="4" t="str">
        <f>vlookup(A2739, Sheet2!D:E, 2, 0)</f>
        <v>variant</v>
      </c>
      <c r="E2739" s="4" t="str">
        <f>IFERROR(__xludf.DUMMYFUNCTION("if(H2739=""pays"",vlookup(REGEXEXTRACT(C2739, ""🏘️ \w+ \w+ (.*) ✅""),'Country prepositions'!A:B, 2, 0) &amp; "" "" &amp; REGEXEXTRACT(C2739, ""🏘️ \w+ \w+ (.*) ✅"") ,  if(H2739=""quartier"",vlookup(REGEXEXTRACT(C2739, ""🏘️ \w+ \w+ (.*) ✅""),'Quartier prepositio"&amp;"ns'!A:E, 5, 0) ,  if(H2739=""region"",vlookup(REGEXEXTRACT(C2739, ""🏘️ \w+ \w+ (.*) ✅""),'Region prepositions'!B:F, 5, 0),  REGEXEXTRACT(C2739, ""🏘️ \w+ \w+ (.*) ✅""))))"),"Monthey")</f>
        <v>Monthey</v>
      </c>
      <c r="F2739" s="2" t="str">
        <f>IFERROR(__xludf.DUMMYFUNCTION("REGEXEXTRACT(C2739, ""🏘️ (\w+) \w+ .* ✅"")"),"Louer")</f>
        <v>Louer</v>
      </c>
      <c r="G2739" s="2" t="str">
        <f>IFERROR(__xludf.DUMMYFUNCTION("REGEXEXTRACT(C2739, ""🏘️ \w+ (\w+) .* ✅"")"),"appartement")</f>
        <v>appartement</v>
      </c>
      <c r="H2739" s="4" t="str">
        <f>IFERROR(__xludf.DUMMYFUNCTION("REGEXEXTRACT(A2739, ""/(\w+)-.*?"")"),"lieu")</f>
        <v>lieu</v>
      </c>
      <c r="I2739" s="4" t="str">
        <f>IFERROR(__xludf.DUMMYFUNCTION("if(D2739=""variant"",  substitute(filter(Templates!E:E, Templates!A:A = F2739, Templates!B:B = G2739, Templates!C:C = H2739), ""{{}}"", E2739), B2739)"),"🏘  Vous cherchez un appartement à louer à Monthey? ✅ Les annonces les plus actuelles sont sur ImmoScout24.ch.")</f>
        <v>🏘  Vous cherchez un appartement à louer à Monthey? ✅ Les annonces les plus actuelles sont sur ImmoScout24.ch.</v>
      </c>
      <c r="J2739" s="4" t="s">
        <v>8213</v>
      </c>
    </row>
    <row r="2740">
      <c r="A2740" s="5" t="s">
        <v>8214</v>
      </c>
      <c r="B2740" s="2" t="s">
        <v>8215</v>
      </c>
      <c r="C2740" s="4" t="str">
        <f>IFERROR(__xludf.DUMMYFUNCTION("""🏘️ ""&amp;REGEXEXTRACT(B2740, ""^(.*): "")&amp;"" ✅ "" &amp;REGEXEXTRACT(B2740, ""(Trouvez.*)"")"),"🏘️ Louer appartement Loveresse ✅ Trouvez le bien immobilier qui correspond idéalement à vos désirs sur ImmoScout24 - La plateforme de l'immobilier en Suisse.")</f>
        <v>🏘️ Louer appartement Loveresse ✅ Trouvez le bien immobilier qui correspond idéalement à vos désirs sur ImmoScout24 - La plateforme de l'immobilier en Suisse.</v>
      </c>
      <c r="D2740" s="4" t="str">
        <f>vlookup(A2740, Sheet2!D:E, 2, 0)</f>
        <v>variant</v>
      </c>
      <c r="E2740" s="4" t="str">
        <f>IFERROR(__xludf.DUMMYFUNCTION("if(H2740=""pays"",vlookup(REGEXEXTRACT(C2740, ""🏘️ \w+ \w+ (.*) ✅""),'Country prepositions'!A:B, 2, 0) &amp; "" "" &amp; REGEXEXTRACT(C2740, ""🏘️ \w+ \w+ (.*) ✅"") ,  if(H2740=""quartier"",vlookup(REGEXEXTRACT(C2740, ""🏘️ \w+ \w+ (.*) ✅""),'Quartier prepositio"&amp;"ns'!A:E, 5, 0) ,  if(H2740=""region"",vlookup(REGEXEXTRACT(C2740, ""🏘️ \w+ \w+ (.*) ✅""),'Region prepositions'!B:F, 5, 0),  REGEXEXTRACT(C2740, ""🏘️ \w+ \w+ (.*) ✅""))))"),"Loveresse")</f>
        <v>Loveresse</v>
      </c>
      <c r="F2740" s="2" t="str">
        <f>IFERROR(__xludf.DUMMYFUNCTION("REGEXEXTRACT(C2740, ""🏘️ (\w+) \w+ .* ✅"")"),"Louer")</f>
        <v>Louer</v>
      </c>
      <c r="G2740" s="2" t="str">
        <f>IFERROR(__xludf.DUMMYFUNCTION("REGEXEXTRACT(C2740, ""🏘️ \w+ (\w+) .* ✅"")"),"appartement")</f>
        <v>appartement</v>
      </c>
      <c r="H2740" s="4" t="str">
        <f>IFERROR(__xludf.DUMMYFUNCTION("REGEXEXTRACT(A2740, ""/(\w+)-.*?"")"),"lieu")</f>
        <v>lieu</v>
      </c>
      <c r="I2740" s="4" t="str">
        <f>IFERROR(__xludf.DUMMYFUNCTION("if(D2740=""variant"",  substitute(filter(Templates!E:E, Templates!A:A = F2740, Templates!B:B = G2740, Templates!C:C = H2740), ""{{}}"", E2740), B2740)"),"🏘  Vous cherchez un appartement à louer à Loveresse? ✅ Les annonces les plus actuelles sont sur ImmoScout24.ch.")</f>
        <v>🏘  Vous cherchez un appartement à louer à Loveresse? ✅ Les annonces les plus actuelles sont sur ImmoScout24.ch.</v>
      </c>
      <c r="J2740" s="4" t="s">
        <v>8216</v>
      </c>
    </row>
    <row r="2741">
      <c r="A2741" s="5" t="s">
        <v>8217</v>
      </c>
      <c r="B2741" s="2" t="s">
        <v>8218</v>
      </c>
      <c r="C2741" s="4" t="str">
        <f>IFERROR(__xludf.DUMMYFUNCTION("""🏘️ ""&amp;REGEXEXTRACT(B2741, ""^(.*): "")&amp;"" ✅ "" &amp;REGEXEXTRACT(B2741, ""(Trouvez.*)"")"),"🏘️ Vendre appartement Vicques ✅ Trouvez le bien immobilier qui correspond idéalement à vos désirs sur ImmoScout24 - La plateforme de l'immobilier en Suisse.")</f>
        <v>🏘️ Vendre appartement Vicques ✅ Trouvez le bien immobilier qui correspond idéalement à vos désirs sur ImmoScout24 - La plateforme de l'immobilier en Suisse.</v>
      </c>
      <c r="D2741" s="4" t="str">
        <f>vlookup(A2741, Sheet2!D:E, 2, 0)</f>
        <v>variant</v>
      </c>
      <c r="E2741" s="4" t="str">
        <f>IFERROR(__xludf.DUMMYFUNCTION("if(H2741=""pays"",vlookup(REGEXEXTRACT(C2741, ""🏘️ \w+ \w+ (.*) ✅""),'Country prepositions'!A:B, 2, 0) &amp; "" "" &amp; REGEXEXTRACT(C2741, ""🏘️ \w+ \w+ (.*) ✅"") ,  if(H2741=""quartier"",vlookup(REGEXEXTRACT(C2741, ""🏘️ \w+ \w+ (.*) ✅""),'Quartier prepositio"&amp;"ns'!A:E, 5, 0) ,  if(H2741=""region"",vlookup(REGEXEXTRACT(C2741, ""🏘️ \w+ \w+ (.*) ✅""),'Region prepositions'!B:F, 5, 0),  REGEXEXTRACT(C2741, ""🏘️ \w+ \w+ (.*) ✅""))))"),"Vicques")</f>
        <v>Vicques</v>
      </c>
      <c r="F2741" s="2" t="str">
        <f>IFERROR(__xludf.DUMMYFUNCTION("REGEXEXTRACT(C2741, ""🏘️ (\w+) \w+ .* ✅"")"),"Vendre")</f>
        <v>Vendre</v>
      </c>
      <c r="G2741" s="2" t="str">
        <f>IFERROR(__xludf.DUMMYFUNCTION("REGEXEXTRACT(C2741, ""🏘️ \w+ (\w+) .* ✅"")"),"appartement")</f>
        <v>appartement</v>
      </c>
      <c r="H2741" s="4" t="str">
        <f>IFERROR(__xludf.DUMMYFUNCTION("REGEXEXTRACT(A2741, ""/(\w+)-.*?"")"),"lieu")</f>
        <v>lieu</v>
      </c>
      <c r="I2741" s="4" t="str">
        <f>IFERROR(__xludf.DUMMYFUNCTION("if(D2741=""variant"",  substitute(filter(Templates!E:E, Templates!A:A = F2741, Templates!B:B = G2741, Templates!C:C = H2741), ""{{}}"", E2741), B2741)"),"🏘  L’appartement de vos rêves se trouve sur ImmoScout24.ch ✅ Découvrez les dernières annonces de vente à Vicques.")</f>
        <v>🏘  L’appartement de vos rêves se trouve sur ImmoScout24.ch ✅ Découvrez les dernières annonces de vente à Vicques.</v>
      </c>
      <c r="J2741" s="4" t="s">
        <v>8219</v>
      </c>
    </row>
    <row r="2742">
      <c r="A2742" s="5" t="s">
        <v>8220</v>
      </c>
      <c r="B2742" s="2" t="s">
        <v>8221</v>
      </c>
      <c r="C2742" s="4" t="str">
        <f>IFERROR(__xludf.DUMMYFUNCTION("""🏘️ ""&amp;REGEXEXTRACT(B2742, ""^(.*): "")&amp;"" ✅ "" &amp;REGEXEXTRACT(B2742, ""(Trouvez.*)"")"),"🏘️ Vendre appartement St-Prex ✅ Trouvez le bien immobilier qui correspond idéalement à vos désirs sur ImmoScout24 - La plateforme de l'immobilier en Suisse.")</f>
        <v>🏘️ Vendre appartement St-Prex ✅ Trouvez le bien immobilier qui correspond idéalement à vos désirs sur ImmoScout24 - La plateforme de l'immobilier en Suisse.</v>
      </c>
      <c r="D2742" s="4" t="str">
        <f>vlookup(A2742, Sheet2!D:E, 2, 0)</f>
        <v>variant</v>
      </c>
      <c r="E2742" s="4" t="str">
        <f>IFERROR(__xludf.DUMMYFUNCTION("if(H2742=""pays"",vlookup(REGEXEXTRACT(C2742, ""🏘️ \w+ \w+ (.*) ✅""),'Country prepositions'!A:B, 2, 0) &amp; "" "" &amp; REGEXEXTRACT(C2742, ""🏘️ \w+ \w+ (.*) ✅"") ,  if(H2742=""quartier"",vlookup(REGEXEXTRACT(C2742, ""🏘️ \w+ \w+ (.*) ✅""),'Quartier prepositio"&amp;"ns'!A:E, 5, 0) ,  if(H2742=""region"",vlookup(REGEXEXTRACT(C2742, ""🏘️ \w+ \w+ (.*) ✅""),'Region prepositions'!B:F, 5, 0),  REGEXEXTRACT(C2742, ""🏘️ \w+ \w+ (.*) ✅""))))"),"St-Prex")</f>
        <v>St-Prex</v>
      </c>
      <c r="F2742" s="2" t="str">
        <f>IFERROR(__xludf.DUMMYFUNCTION("REGEXEXTRACT(C2742, ""🏘️ (\w+) \w+ .* ✅"")"),"Vendre")</f>
        <v>Vendre</v>
      </c>
      <c r="G2742" s="2" t="str">
        <f>IFERROR(__xludf.DUMMYFUNCTION("REGEXEXTRACT(C2742, ""🏘️ \w+ (\w+) .* ✅"")"),"appartement")</f>
        <v>appartement</v>
      </c>
      <c r="H2742" s="4" t="str">
        <f>IFERROR(__xludf.DUMMYFUNCTION("REGEXEXTRACT(A2742, ""/(\w+)-.*?"")"),"lieu")</f>
        <v>lieu</v>
      </c>
      <c r="I2742" s="4" t="str">
        <f>IFERROR(__xludf.DUMMYFUNCTION("if(D2742=""variant"",  substitute(filter(Templates!E:E, Templates!A:A = F2742, Templates!B:B = G2742, Templates!C:C = H2742), ""{{}}"", E2742), B2742)"),"🏘  L’appartement de vos rêves se trouve sur ImmoScout24.ch ✅ Découvrez les dernières annonces de vente à St-Prex.")</f>
        <v>🏘  L’appartement de vos rêves se trouve sur ImmoScout24.ch ✅ Découvrez les dernières annonces de vente à St-Prex.</v>
      </c>
      <c r="J2742" s="4" t="s">
        <v>8222</v>
      </c>
    </row>
    <row r="2743">
      <c r="A2743" s="5" t="s">
        <v>8223</v>
      </c>
      <c r="B2743" s="2" t="s">
        <v>8224</v>
      </c>
      <c r="C2743" s="4" t="str">
        <f>IFERROR(__xludf.DUMMYFUNCTION("""🏘️ ""&amp;REGEXEXTRACT(B2743, ""^(.*): "")&amp;"" ✅ "" &amp;REGEXEXTRACT(B2743, ""(Trouvez.*)"")"),"🏘️ Louer appartement Glaris et environs ✅ Trouvez le bien immobilier qui correspond idéalement à vos désirs sur ImmoScout24 - La plateforme de l'immobilier en Suisse.")</f>
        <v>🏘️ Louer appartement Glaris et environs ✅ Trouvez le bien immobilier qui correspond idéalement à vos désirs sur ImmoScout24 - La plateforme de l'immobilier en Suisse.</v>
      </c>
      <c r="D2743" s="4" t="str">
        <f>vlookup(A2743, Sheet2!D:E, 2, 0)</f>
        <v>variant</v>
      </c>
      <c r="E2743" s="4" t="str">
        <f>IFERROR(__xludf.DUMMYFUNCTION("if(H2743=""pays"",vlookup(REGEXEXTRACT(C2743, ""🏘️ \w+ \w+ (.*) ✅""),'Country prepositions'!A:B, 2, 0) &amp; "" "" &amp; REGEXEXTRACT(C2743, ""🏘️ \w+ \w+ (.*) ✅"") ,  if(H2743=""quartier"",vlookup(REGEXEXTRACT(C2743, ""🏘️ \w+ \w+ (.*) ✅""),'Quartier prepositio"&amp;"ns'!A:E, 5, 0) ,  if(H2743=""region"",vlookup(REGEXEXTRACT(C2743, ""🏘️ \w+ \w+ (.*) ✅""),'Region prepositions'!B:F, 5, 0),  REGEXEXTRACT(C2743, ""🏘️ \w+ \w+ (.*) ✅""))))"),"à Glaris et environs")</f>
        <v>à Glaris et environs</v>
      </c>
      <c r="F2743" s="2" t="str">
        <f>IFERROR(__xludf.DUMMYFUNCTION("REGEXEXTRACT(C2743, ""🏘️ (\w+) \w+ .* ✅"")"),"Louer")</f>
        <v>Louer</v>
      </c>
      <c r="G2743" s="2" t="str">
        <f>IFERROR(__xludf.DUMMYFUNCTION("REGEXEXTRACT(C2743, ""🏘️ \w+ (\w+) .* ✅"")"),"appartement")</f>
        <v>appartement</v>
      </c>
      <c r="H2743" s="4" t="str">
        <f>IFERROR(__xludf.DUMMYFUNCTION("REGEXEXTRACT(A2743, ""/(\w+)-.*?"")"),"region")</f>
        <v>region</v>
      </c>
      <c r="I2743" s="4" t="str">
        <f>IFERROR(__xludf.DUMMYFUNCTION("if(D2743=""variant"",  substitute(filter(Templates!E:E, Templates!A:A = F2743, Templates!B:B = G2743, Templates!C:C = H2743), ""{{}}"", E2743), B2743)"),"🏘  Vous cherchez un appartement à louer à Glaris et environs? ✅ Les annonces les plus actuelles sont sur ImmoScout24.ch.")</f>
        <v>🏘  Vous cherchez un appartement à louer à Glaris et environs? ✅ Les annonces les plus actuelles sont sur ImmoScout24.ch.</v>
      </c>
      <c r="J2743" s="4" t="s">
        <v>8225</v>
      </c>
    </row>
    <row r="2744">
      <c r="A2744" s="5" t="s">
        <v>8226</v>
      </c>
      <c r="B2744" s="2" t="s">
        <v>8227</v>
      </c>
      <c r="C2744" s="4" t="str">
        <f>IFERROR(__xludf.DUMMYFUNCTION("""🏘️ ""&amp;REGEXEXTRACT(B2744, ""^(.*): "")&amp;"" ✅ "" &amp;REGEXEXTRACT(B2744, ""(Trouvez.*)"")"),"🏘️ Louer appartement Montchoisi (Lausanne) ✅ Trouvez le bien immobilier qui correspond idéalement à vos désirs sur ImmoScout24 - La plateforme de l'immobilier en Suisse.")</f>
        <v>🏘️ Louer appartement Montchoisi (Lausanne) ✅ Trouvez le bien immobilier qui correspond idéalement à vos désirs sur ImmoScout24 - La plateforme de l'immobilier en Suisse.</v>
      </c>
      <c r="D2744" s="4" t="str">
        <f>vlookup(A2744, Sheet2!D:E, 2, 0)</f>
        <v>variant</v>
      </c>
      <c r="E2744" s="4" t="str">
        <f>IFERROR(__xludf.DUMMYFUNCTION("if(H2744=""pays"",vlookup(REGEXEXTRACT(C2744, ""🏘️ \w+ \w+ (.*) ✅""),'Country prepositions'!A:B, 2, 0) &amp; "" "" &amp; REGEXEXTRACT(C2744, ""🏘️ \w+ \w+ (.*) ✅"") ,  if(H2744=""quartier"",vlookup(REGEXEXTRACT(C2744, ""🏘️ \w+ \w+ (.*) ✅""),'Quartier prepositio"&amp;"ns'!A:E, 5, 0) ,  if(H2744=""region"",vlookup(REGEXEXTRACT(C2744, ""🏘️ \w+ \w+ (.*) ✅""),'Region prepositions'!B:F, 5, 0),  REGEXEXTRACT(C2744, ""🏘️ \w+ \w+ (.*) ✅""))))"),"dans le quartier de Montchoisi (Lausanne)")</f>
        <v>dans le quartier de Montchoisi (Lausanne)</v>
      </c>
      <c r="F2744" s="2" t="str">
        <f>IFERROR(__xludf.DUMMYFUNCTION("REGEXEXTRACT(C2744, ""🏘️ (\w+) \w+ .* ✅"")"),"Louer")</f>
        <v>Louer</v>
      </c>
      <c r="G2744" s="2" t="str">
        <f>IFERROR(__xludf.DUMMYFUNCTION("REGEXEXTRACT(C2744, ""🏘️ \w+ (\w+) .* ✅"")"),"appartement")</f>
        <v>appartement</v>
      </c>
      <c r="H2744" s="4" t="str">
        <f>IFERROR(__xludf.DUMMYFUNCTION("REGEXEXTRACT(A2744, ""/(\w+)-.*?"")"),"quartier")</f>
        <v>quartier</v>
      </c>
      <c r="I2744" s="4" t="str">
        <f>IFERROR(__xludf.DUMMYFUNCTION("if(D2744=""variant"",  substitute(filter(Templates!E:E, Templates!A:A = F2744, Templates!B:B = G2744, Templates!C:C = H2744), ""{{}}"", E2744), B2744)"),"🏘  Vous cherchez un appartement à louer dans le quartier de Montchoisi (Lausanne)? ✅ Les annonces les plus actuelles sont sur ImmoScout24.ch.")</f>
        <v>🏘  Vous cherchez un appartement à louer dans le quartier de Montchoisi (Lausanne)? ✅ Les annonces les plus actuelles sont sur ImmoScout24.ch.</v>
      </c>
      <c r="J2744" s="4" t="s">
        <v>8228</v>
      </c>
    </row>
    <row r="2745">
      <c r="A2745" s="5" t="s">
        <v>8229</v>
      </c>
      <c r="B2745" s="2" t="s">
        <v>8230</v>
      </c>
      <c r="C2745" s="4" t="str">
        <f>IFERROR(__xludf.DUMMYFUNCTION("""🏘️ ""&amp;REGEXEXTRACT(B2745, ""^(.*): "")&amp;"" ✅ "" &amp;REGEXEXTRACT(B2745, ""(Trouvez.*)"")"),"🏘️ Louer appartement Aigle ✅ Trouvez le bien immobilier qui correspond idéalement à vos désirs sur ImmoScout24 - La plateforme de l'immobilier en Suisse.")</f>
        <v>🏘️ Louer appartement Aigle ✅ Trouvez le bien immobilier qui correspond idéalement à vos désirs sur ImmoScout24 - La plateforme de l'immobilier en Suisse.</v>
      </c>
      <c r="D2745" s="4" t="str">
        <f>vlookup(A2745, Sheet2!D:E, 2, 0)</f>
        <v>variant</v>
      </c>
      <c r="E2745" s="4" t="str">
        <f>IFERROR(__xludf.DUMMYFUNCTION("if(H2745=""pays"",vlookup(REGEXEXTRACT(C2745, ""🏘️ \w+ \w+ (.*) ✅""),'Country prepositions'!A:B, 2, 0) &amp; "" "" &amp; REGEXEXTRACT(C2745, ""🏘️ \w+ \w+ (.*) ✅"") ,  if(H2745=""quartier"",vlookup(REGEXEXTRACT(C2745, ""🏘️ \w+ \w+ (.*) ✅""),'Quartier prepositio"&amp;"ns'!A:E, 5, 0) ,  if(H2745=""region"",vlookup(REGEXEXTRACT(C2745, ""🏘️ \w+ \w+ (.*) ✅""),'Region prepositions'!B:F, 5, 0),  REGEXEXTRACT(C2745, ""🏘️ \w+ \w+ (.*) ✅""))))"),"Aigle")</f>
        <v>Aigle</v>
      </c>
      <c r="F2745" s="2" t="str">
        <f>IFERROR(__xludf.DUMMYFUNCTION("REGEXEXTRACT(C2745, ""🏘️ (\w+) \w+ .* ✅"")"),"Louer")</f>
        <v>Louer</v>
      </c>
      <c r="G2745" s="2" t="str">
        <f>IFERROR(__xludf.DUMMYFUNCTION("REGEXEXTRACT(C2745, ""🏘️ \w+ (\w+) .* ✅"")"),"appartement")</f>
        <v>appartement</v>
      </c>
      <c r="H2745" s="4" t="str">
        <f>IFERROR(__xludf.DUMMYFUNCTION("REGEXEXTRACT(A2745, ""/(\w+)-.*?"")"),"lieu")</f>
        <v>lieu</v>
      </c>
      <c r="I2745" s="4" t="str">
        <f>IFERROR(__xludf.DUMMYFUNCTION("if(D2745=""variant"",  substitute(filter(Templates!E:E, Templates!A:A = F2745, Templates!B:B = G2745, Templates!C:C = H2745), ""{{}}"", E2745), B2745)"),"🏘  Vous cherchez un appartement à louer à Aigle? ✅ Les annonces les plus actuelles sont sur ImmoScout24.ch.")</f>
        <v>🏘  Vous cherchez un appartement à louer à Aigle? ✅ Les annonces les plus actuelles sont sur ImmoScout24.ch.</v>
      </c>
      <c r="J2745" s="4" t="s">
        <v>8231</v>
      </c>
    </row>
    <row r="2746">
      <c r="A2746" s="5" t="s">
        <v>8232</v>
      </c>
      <c r="B2746" s="2" t="s">
        <v>8233</v>
      </c>
      <c r="C2746" s="4" t="str">
        <f>IFERROR(__xludf.DUMMYFUNCTION("""🏘️ ""&amp;REGEXEXTRACT(B2746, ""^(.*): "")&amp;"" ✅ "" &amp;REGEXEXTRACT(B2746, ""(Trouvez.*)"")"),"🏘️ Louer appartement Esmonts ✅ Trouvez le bien immobilier qui correspond idéalement à vos désirs sur ImmoScout24 - La plateforme de l'immobilier en Suisse.")</f>
        <v>🏘️ Louer appartement Esmonts ✅ Trouvez le bien immobilier qui correspond idéalement à vos désirs sur ImmoScout24 - La plateforme de l'immobilier en Suisse.</v>
      </c>
      <c r="D2746" s="4" t="str">
        <f>vlookup(A2746, Sheet2!D:E, 2, 0)</f>
        <v>variant</v>
      </c>
      <c r="E2746" s="4" t="str">
        <f>IFERROR(__xludf.DUMMYFUNCTION("if(H2746=""pays"",vlookup(REGEXEXTRACT(C2746, ""🏘️ \w+ \w+ (.*) ✅""),'Country prepositions'!A:B, 2, 0) &amp; "" "" &amp; REGEXEXTRACT(C2746, ""🏘️ \w+ \w+ (.*) ✅"") ,  if(H2746=""quartier"",vlookup(REGEXEXTRACT(C2746, ""🏘️ \w+ \w+ (.*) ✅""),'Quartier prepositio"&amp;"ns'!A:E, 5, 0) ,  if(H2746=""region"",vlookup(REGEXEXTRACT(C2746, ""🏘️ \w+ \w+ (.*) ✅""),'Region prepositions'!B:F, 5, 0),  REGEXEXTRACT(C2746, ""🏘️ \w+ \w+ (.*) ✅""))))"),"Esmonts")</f>
        <v>Esmonts</v>
      </c>
      <c r="F2746" s="2" t="str">
        <f>IFERROR(__xludf.DUMMYFUNCTION("REGEXEXTRACT(C2746, ""🏘️ (\w+) \w+ .* ✅"")"),"Louer")</f>
        <v>Louer</v>
      </c>
      <c r="G2746" s="2" t="str">
        <f>IFERROR(__xludf.DUMMYFUNCTION("REGEXEXTRACT(C2746, ""🏘️ \w+ (\w+) .* ✅"")"),"appartement")</f>
        <v>appartement</v>
      </c>
      <c r="H2746" s="4" t="str">
        <f>IFERROR(__xludf.DUMMYFUNCTION("REGEXEXTRACT(A2746, ""/(\w+)-.*?"")"),"lieu")</f>
        <v>lieu</v>
      </c>
      <c r="I2746" s="4" t="str">
        <f>IFERROR(__xludf.DUMMYFUNCTION("if(D2746=""variant"",  substitute(filter(Templates!E:E, Templates!A:A = F2746, Templates!B:B = G2746, Templates!C:C = H2746), ""{{}}"", E2746), B2746)"),"🏘  Vous cherchez un appartement à louer à Esmonts? ✅ Les annonces les plus actuelles sont sur ImmoScout24.ch.")</f>
        <v>🏘  Vous cherchez un appartement à louer à Esmonts? ✅ Les annonces les plus actuelles sont sur ImmoScout24.ch.</v>
      </c>
      <c r="J2746" s="4" t="s">
        <v>8234</v>
      </c>
    </row>
    <row r="2747">
      <c r="A2747" s="5" t="s">
        <v>8235</v>
      </c>
      <c r="B2747" s="2" t="s">
        <v>8236</v>
      </c>
      <c r="C2747" s="4" t="str">
        <f>IFERROR(__xludf.DUMMYFUNCTION("""🏘️ ""&amp;REGEXEXTRACT(B2747, ""^(.*): "")&amp;"" ✅ "" &amp;REGEXEXTRACT(B2747, ""(Trouvez.*)"")"),"🏘️ Vendre maison Thörishaus (Köniz) ✅ Trouvez le bien immobilier qui correspond idéalement à vos désirs sur ImmoScout24 - La plateforme de l'immobilier en Suisse.")</f>
        <v>🏘️ Vendre maison Thörishaus (Köniz) ✅ Trouvez le bien immobilier qui correspond idéalement à vos désirs sur ImmoScout24 - La plateforme de l'immobilier en Suisse.</v>
      </c>
      <c r="D2747" s="4" t="str">
        <f>vlookup(A2747, Sheet2!D:E, 2, 0)</f>
        <v>variant</v>
      </c>
      <c r="E2747" s="4" t="str">
        <f>IFERROR(__xludf.DUMMYFUNCTION("if(H2747=""pays"",vlookup(REGEXEXTRACT(C2747, ""🏘️ \w+ \w+ (.*) ✅""),'Country prepositions'!A:B, 2, 0) &amp; "" "" &amp; REGEXEXTRACT(C2747, ""🏘️ \w+ \w+ (.*) ✅"") ,  if(H2747=""quartier"",vlookup(REGEXEXTRACT(C2747, ""🏘️ \w+ \w+ (.*) ✅""),'Quartier prepositio"&amp;"ns'!A:E, 5, 0) ,  if(H2747=""region"",vlookup(REGEXEXTRACT(C2747, ""🏘️ \w+ \w+ (.*) ✅""),'Region prepositions'!B:F, 5, 0),  REGEXEXTRACT(C2747, ""🏘️ \w+ \w+ (.*) ✅""))))"),"à Thörishaus (Köniz)")</f>
        <v>à Thörishaus (Köniz)</v>
      </c>
      <c r="F2747" s="2" t="str">
        <f>IFERROR(__xludf.DUMMYFUNCTION("REGEXEXTRACT(C2747, ""🏘️ (\w+) \w+ .* ✅"")"),"Vendre")</f>
        <v>Vendre</v>
      </c>
      <c r="G2747" s="2" t="str">
        <f>IFERROR(__xludf.DUMMYFUNCTION("REGEXEXTRACT(C2747, ""🏘️ \w+ (\w+) .* ✅"")"),"maison")</f>
        <v>maison</v>
      </c>
      <c r="H2747" s="4" t="str">
        <f>IFERROR(__xludf.DUMMYFUNCTION("REGEXEXTRACT(A2747, ""/(\w+)-.*?"")"),"quartier")</f>
        <v>quartier</v>
      </c>
      <c r="I2747" s="4" t="str">
        <f>IFERROR(__xludf.DUMMYFUNCTION("if(D2747=""variant"",  substitute(filter(Templates!E:E, Templates!A:A = F2747, Templates!B:B = G2747, Templates!C:C = H2747), ""{{}}"", E2747), B2747)"),"🏘  Vous souhaitez acheter une maison à Thörishaus (Köniz)? ✅ Jetez un œil aux dernières offres sur ImmoScout24.ch.")</f>
        <v>🏘  Vous souhaitez acheter une maison à Thörishaus (Köniz)? ✅ Jetez un œil aux dernières offres sur ImmoScout24.ch.</v>
      </c>
      <c r="J2747" s="4" t="s">
        <v>8237</v>
      </c>
    </row>
    <row r="2748">
      <c r="A2748" s="5" t="s">
        <v>8238</v>
      </c>
      <c r="B2748" s="2" t="s">
        <v>8239</v>
      </c>
      <c r="C2748" s="4" t="str">
        <f>IFERROR(__xludf.DUMMYFUNCTION("""🏘️ ""&amp;REGEXEXTRACT(B2748, ""^(.*): "")&amp;"" ✅ "" &amp;REGEXEXTRACT(B2748, ""(Trouvez.*)"")"),"🏘️ Vendre maison Laupersdorf ✅ Trouvez le bien immobilier qui correspond idéalement à vos désirs sur ImmoScout24 - La plateforme de l'immobilier en Suisse.")</f>
        <v>🏘️ Vendre maison Laupersdorf ✅ Trouvez le bien immobilier qui correspond idéalement à vos désirs sur ImmoScout24 - La plateforme de l'immobilier en Suisse.</v>
      </c>
      <c r="D2748" s="4" t="str">
        <f>vlookup(A2748, Sheet2!D:E, 2, 0)</f>
        <v>variant</v>
      </c>
      <c r="E2748" s="4" t="str">
        <f>IFERROR(__xludf.DUMMYFUNCTION("if(H2748=""pays"",vlookup(REGEXEXTRACT(C2748, ""🏘️ \w+ \w+ (.*) ✅""),'Country prepositions'!A:B, 2, 0) &amp; "" "" &amp; REGEXEXTRACT(C2748, ""🏘️ \w+ \w+ (.*) ✅"") ,  if(H2748=""quartier"",vlookup(REGEXEXTRACT(C2748, ""🏘️ \w+ \w+ (.*) ✅""),'Quartier prepositio"&amp;"ns'!A:E, 5, 0) ,  if(H2748=""region"",vlookup(REGEXEXTRACT(C2748, ""🏘️ \w+ \w+ (.*) ✅""),'Region prepositions'!B:F, 5, 0),  REGEXEXTRACT(C2748, ""🏘️ \w+ \w+ (.*) ✅""))))"),"Laupersdorf")</f>
        <v>Laupersdorf</v>
      </c>
      <c r="F2748" s="2" t="str">
        <f>IFERROR(__xludf.DUMMYFUNCTION("REGEXEXTRACT(C2748, ""🏘️ (\w+) \w+ .* ✅"")"),"Vendre")</f>
        <v>Vendre</v>
      </c>
      <c r="G2748" s="2" t="str">
        <f>IFERROR(__xludf.DUMMYFUNCTION("REGEXEXTRACT(C2748, ""🏘️ \w+ (\w+) .* ✅"")"),"maison")</f>
        <v>maison</v>
      </c>
      <c r="H2748" s="4" t="str">
        <f>IFERROR(__xludf.DUMMYFUNCTION("REGEXEXTRACT(A2748, ""/(\w+)-.*?"")"),"lieu")</f>
        <v>lieu</v>
      </c>
      <c r="I2748" s="4" t="str">
        <f>IFERROR(__xludf.DUMMYFUNCTION("if(D2748=""variant"",  substitute(filter(Templates!E:E, Templates!A:A = F2748, Templates!B:B = G2748, Templates!C:C = H2748), ""{{}}"", E2748), B2748)"),"🏘  Vous souhaitez acheter une maison à Laupersdorf? ✅ Jetez un œil aux dernières offres sur ImmoScout24.ch.")</f>
        <v>🏘  Vous souhaitez acheter une maison à Laupersdorf? ✅ Jetez un œil aux dernières offres sur ImmoScout24.ch.</v>
      </c>
      <c r="J2748" s="4" t="s">
        <v>8240</v>
      </c>
    </row>
    <row r="2749">
      <c r="A2749" s="5" t="s">
        <v>8241</v>
      </c>
      <c r="B2749" s="2" t="s">
        <v>8242</v>
      </c>
      <c r="C2749" s="4" t="str">
        <f>IFERROR(__xludf.DUMMYFUNCTION("""🏘️ ""&amp;REGEXEXTRACT(B2749, ""^(.*): "")&amp;"" ✅ "" &amp;REGEXEXTRACT(B2749, ""(Trouvez.*)"")"),"🏘️ Louer appartement Château-d'Oex ✅ Trouvez le bien immobilier qui correspond idéalement à vos désirs sur ImmoScout24 - La plateforme de l'immobilier en Suisse.")</f>
        <v>🏘️ Louer appartement Château-d'Oex ✅ Trouvez le bien immobilier qui correspond idéalement à vos désirs sur ImmoScout24 - La plateforme de l'immobilier en Suisse.</v>
      </c>
      <c r="D2749" s="4" t="str">
        <f>vlookup(A2749, Sheet2!D:E, 2, 0)</f>
        <v>variant</v>
      </c>
      <c r="E2749" s="4" t="str">
        <f>IFERROR(__xludf.DUMMYFUNCTION("if(H2749=""pays"",vlookup(REGEXEXTRACT(C2749, ""🏘️ \w+ \w+ (.*) ✅""),'Country prepositions'!A:B, 2, 0) &amp; "" "" &amp; REGEXEXTRACT(C2749, ""🏘️ \w+ \w+ (.*) ✅"") ,  if(H2749=""quartier"",vlookup(REGEXEXTRACT(C2749, ""🏘️ \w+ \w+ (.*) ✅""),'Quartier prepositio"&amp;"ns'!A:E, 5, 0) ,  if(H2749=""region"",vlookup(REGEXEXTRACT(C2749, ""🏘️ \w+ \w+ (.*) ✅""),'Region prepositions'!B:F, 5, 0),  REGEXEXTRACT(C2749, ""🏘️ \w+ \w+ (.*) ✅""))))"),"Château-d'Oex")</f>
        <v>Château-d'Oex</v>
      </c>
      <c r="F2749" s="2" t="str">
        <f>IFERROR(__xludf.DUMMYFUNCTION("REGEXEXTRACT(C2749, ""🏘️ (\w+) \w+ .* ✅"")"),"Louer")</f>
        <v>Louer</v>
      </c>
      <c r="G2749" s="2" t="str">
        <f>IFERROR(__xludf.DUMMYFUNCTION("REGEXEXTRACT(C2749, ""🏘️ \w+ (\w+) .* ✅"")"),"appartement")</f>
        <v>appartement</v>
      </c>
      <c r="H2749" s="4" t="str">
        <f>IFERROR(__xludf.DUMMYFUNCTION("REGEXEXTRACT(A2749, ""/(\w+)-.*?"")"),"lieu")</f>
        <v>lieu</v>
      </c>
      <c r="I2749" s="4" t="str">
        <f>IFERROR(__xludf.DUMMYFUNCTION("if(D2749=""variant"",  substitute(filter(Templates!E:E, Templates!A:A = F2749, Templates!B:B = G2749, Templates!C:C = H2749), ""{{}}"", E2749), B2749)"),"🏘  Vous cherchez un appartement à louer à Château-d'Oex? ✅ Les annonces les plus actuelles sont sur ImmoScout24.ch.")</f>
        <v>🏘  Vous cherchez un appartement à louer à Château-d'Oex? ✅ Les annonces les plus actuelles sont sur ImmoScout24.ch.</v>
      </c>
      <c r="J2749" s="4" t="s">
        <v>8243</v>
      </c>
    </row>
    <row r="2750">
      <c r="A2750" s="5" t="s">
        <v>8244</v>
      </c>
      <c r="B2750" s="2" t="s">
        <v>8245</v>
      </c>
      <c r="C2750" s="4" t="str">
        <f>IFERROR(__xludf.DUMMYFUNCTION("""🏘️ ""&amp;REGEXEXTRACT(B2750, ""^(.*): "")&amp;"" ✅ "" &amp;REGEXEXTRACT(B2750, ""(Trouvez.*)"")"),"🏘️ Vendre appartement Chez-le-Bart ✅ Trouvez le bien immobilier qui correspond idéalement à vos désirs sur ImmoScout24 - La plateforme de l'immobilier en Suisse.")</f>
        <v>🏘️ Vendre appartement Chez-le-Bart ✅ Trouvez le bien immobilier qui correspond idéalement à vos désirs sur ImmoScout24 - La plateforme de l'immobilier en Suisse.</v>
      </c>
      <c r="D2750" s="4" t="str">
        <f>vlookup(A2750, Sheet2!D:E, 2, 0)</f>
        <v>variant</v>
      </c>
      <c r="E2750" s="4" t="str">
        <f>IFERROR(__xludf.DUMMYFUNCTION("if(H2750=""pays"",vlookup(REGEXEXTRACT(C2750, ""🏘️ \w+ \w+ (.*) ✅""),'Country prepositions'!A:B, 2, 0) &amp; "" "" &amp; REGEXEXTRACT(C2750, ""🏘️ \w+ \w+ (.*) ✅"") ,  if(H2750=""quartier"",vlookup(REGEXEXTRACT(C2750, ""🏘️ \w+ \w+ (.*) ✅""),'Quartier prepositio"&amp;"ns'!A:E, 5, 0) ,  if(H2750=""region"",vlookup(REGEXEXTRACT(C2750, ""🏘️ \w+ \w+ (.*) ✅""),'Region prepositions'!B:F, 5, 0),  REGEXEXTRACT(C2750, ""🏘️ \w+ \w+ (.*) ✅""))))"),"Chez-le-Bart")</f>
        <v>Chez-le-Bart</v>
      </c>
      <c r="F2750" s="2" t="str">
        <f>IFERROR(__xludf.DUMMYFUNCTION("REGEXEXTRACT(C2750, ""🏘️ (\w+) \w+ .* ✅"")"),"Vendre")</f>
        <v>Vendre</v>
      </c>
      <c r="G2750" s="2" t="str">
        <f>IFERROR(__xludf.DUMMYFUNCTION("REGEXEXTRACT(C2750, ""🏘️ \w+ (\w+) .* ✅"")"),"appartement")</f>
        <v>appartement</v>
      </c>
      <c r="H2750" s="4" t="str">
        <f>IFERROR(__xludf.DUMMYFUNCTION("REGEXEXTRACT(A2750, ""/(\w+)-.*?"")"),"lieu")</f>
        <v>lieu</v>
      </c>
      <c r="I2750" s="4" t="str">
        <f>IFERROR(__xludf.DUMMYFUNCTION("if(D2750=""variant"",  substitute(filter(Templates!E:E, Templates!A:A = F2750, Templates!B:B = G2750, Templates!C:C = H2750), ""{{}}"", E2750), B2750)"),"🏘  L’appartement de vos rêves se trouve sur ImmoScout24.ch ✅ Découvrez les dernières annonces de vente à Chez-le-Bart.")</f>
        <v>🏘  L’appartement de vos rêves se trouve sur ImmoScout24.ch ✅ Découvrez les dernières annonces de vente à Chez-le-Bart.</v>
      </c>
      <c r="J2750" s="4" t="s">
        <v>8246</v>
      </c>
    </row>
    <row r="2751">
      <c r="A2751" s="5" t="s">
        <v>8247</v>
      </c>
      <c r="B2751" s="2" t="s">
        <v>8248</v>
      </c>
      <c r="C2751" s="4" t="str">
        <f>IFERROR(__xludf.DUMMYFUNCTION("""🏘️ ""&amp;REGEXEXTRACT(B2751, ""^(.*): "")&amp;"" ✅ "" &amp;REGEXEXTRACT(B2751, ""(Trouvez.*)"")"),"🏘️ Vendre maison Bönigen b. Interlaken ✅ Trouvez le bien immobilier qui correspond idéalement à vos désirs sur ImmoScout24 - La plateforme de l'immobilier en Suisse.")</f>
        <v>🏘️ Vendre maison Bönigen b. Interlaken ✅ Trouvez le bien immobilier qui correspond idéalement à vos désirs sur ImmoScout24 - La plateforme de l'immobilier en Suisse.</v>
      </c>
      <c r="D2751" s="4" t="str">
        <f>vlookup(A2751, Sheet2!D:E, 2, 0)</f>
        <v>variant</v>
      </c>
      <c r="E2751" s="4" t="str">
        <f>IFERROR(__xludf.DUMMYFUNCTION("if(H2751=""pays"",vlookup(REGEXEXTRACT(C2751, ""🏘️ \w+ \w+ (.*) ✅""),'Country prepositions'!A:B, 2, 0) &amp; "" "" &amp; REGEXEXTRACT(C2751, ""🏘️ \w+ \w+ (.*) ✅"") ,  if(H2751=""quartier"",vlookup(REGEXEXTRACT(C2751, ""🏘️ \w+ \w+ (.*) ✅""),'Quartier prepositio"&amp;"ns'!A:E, 5, 0) ,  if(H2751=""region"",vlookup(REGEXEXTRACT(C2751, ""🏘️ \w+ \w+ (.*) ✅""),'Region prepositions'!B:F, 5, 0),  REGEXEXTRACT(C2751, ""🏘️ \w+ \w+ (.*) ✅""))))"),"Bönigen b. Interlaken")</f>
        <v>Bönigen b. Interlaken</v>
      </c>
      <c r="F2751" s="2" t="str">
        <f>IFERROR(__xludf.DUMMYFUNCTION("REGEXEXTRACT(C2751, ""🏘️ (\w+) \w+ .* ✅"")"),"Vendre")</f>
        <v>Vendre</v>
      </c>
      <c r="G2751" s="2" t="str">
        <f>IFERROR(__xludf.DUMMYFUNCTION("REGEXEXTRACT(C2751, ""🏘️ \w+ (\w+) .* ✅"")"),"maison")</f>
        <v>maison</v>
      </c>
      <c r="H2751" s="4" t="str">
        <f>IFERROR(__xludf.DUMMYFUNCTION("REGEXEXTRACT(A2751, ""/(\w+)-.*?"")"),"lieu")</f>
        <v>lieu</v>
      </c>
      <c r="I2751" s="4" t="str">
        <f>IFERROR(__xludf.DUMMYFUNCTION("if(D2751=""variant"",  substitute(filter(Templates!E:E, Templates!A:A = F2751, Templates!B:B = G2751, Templates!C:C = H2751), ""{{}}"", E2751), B2751)"),"🏘  Vous souhaitez acheter une maison à Bönigen b. Interlaken? ✅ Jetez un œil aux dernières offres sur ImmoScout24.ch.")</f>
        <v>🏘  Vous souhaitez acheter une maison à Bönigen b. Interlaken? ✅ Jetez un œil aux dernières offres sur ImmoScout24.ch.</v>
      </c>
      <c r="J2751" s="4" t="s">
        <v>8249</v>
      </c>
    </row>
    <row r="2752">
      <c r="A2752" s="5" t="s">
        <v>8250</v>
      </c>
      <c r="B2752" s="2" t="s">
        <v>8251</v>
      </c>
      <c r="C2752" s="4" t="str">
        <f>IFERROR(__xludf.DUMMYFUNCTION("""🏘️ ""&amp;REGEXEXTRACT(B2752, ""^(.*): "")&amp;"" ✅ "" &amp;REGEXEXTRACT(B2752, ""(Trouvez.*)"")"),"🏘️ Louer maison Safenwil ✅ Trouvez le bien immobilier qui correspond idéalement à vos désirs sur ImmoScout24 - La plateforme de l'immobilier en Suisse.")</f>
        <v>🏘️ Louer maison Safenwil ✅ Trouvez le bien immobilier qui correspond idéalement à vos désirs sur ImmoScout24 - La plateforme de l'immobilier en Suisse.</v>
      </c>
      <c r="D2752" s="4" t="str">
        <f>vlookup(A2752, Sheet2!D:E, 2, 0)</f>
        <v>variant</v>
      </c>
      <c r="E2752" s="4" t="str">
        <f>IFERROR(__xludf.DUMMYFUNCTION("if(H2752=""pays"",vlookup(REGEXEXTRACT(C2752, ""🏘️ \w+ \w+ (.*) ✅""),'Country prepositions'!A:B, 2, 0) &amp; "" "" &amp; REGEXEXTRACT(C2752, ""🏘️ \w+ \w+ (.*) ✅"") ,  if(H2752=""quartier"",vlookup(REGEXEXTRACT(C2752, ""🏘️ \w+ \w+ (.*) ✅""),'Quartier prepositio"&amp;"ns'!A:E, 5, 0) ,  if(H2752=""region"",vlookup(REGEXEXTRACT(C2752, ""🏘️ \w+ \w+ (.*) ✅""),'Region prepositions'!B:F, 5, 0),  REGEXEXTRACT(C2752, ""🏘️ \w+ \w+ (.*) ✅""))))"),"Safenwil")</f>
        <v>Safenwil</v>
      </c>
      <c r="F2752" s="2" t="str">
        <f>IFERROR(__xludf.DUMMYFUNCTION("REGEXEXTRACT(C2752, ""🏘️ (\w+) \w+ .* ✅"")"),"Louer")</f>
        <v>Louer</v>
      </c>
      <c r="G2752" s="2" t="str">
        <f>IFERROR(__xludf.DUMMYFUNCTION("REGEXEXTRACT(C2752, ""🏘️ \w+ (\w+) .* ✅"")"),"maison")</f>
        <v>maison</v>
      </c>
      <c r="H2752" s="4" t="str">
        <f>IFERROR(__xludf.DUMMYFUNCTION("REGEXEXTRACT(A2752, ""/(\w+)-.*?"")"),"lieu")</f>
        <v>lieu</v>
      </c>
      <c r="I2752" s="4" t="str">
        <f>IFERROR(__xludf.DUMMYFUNCTION("if(D2752=""variant"",  substitute(filter(Templates!E:E, Templates!A:A = F2752, Templates!B:B = G2752, Templates!C:C = H2752), ""{{}}"", E2752), B2752)"),"🏘  Vous cherchez une maison à louer à Safenwil? ✅ Découvrez nos nombreuses annonces sur ImmoScout24.ch.")</f>
        <v>🏘  Vous cherchez une maison à louer à Safenwil? ✅ Découvrez nos nombreuses annonces sur ImmoScout24.ch.</v>
      </c>
      <c r="J2752" s="4" t="s">
        <v>8252</v>
      </c>
    </row>
    <row r="2753">
      <c r="A2753" s="5" t="s">
        <v>8253</v>
      </c>
      <c r="B2753" s="2" t="s">
        <v>8254</v>
      </c>
      <c r="C2753" s="4" t="str">
        <f>IFERROR(__xludf.DUMMYFUNCTION("""🏘️ ""&amp;REGEXEXTRACT(B2753, ""^(.*): "")&amp;"" ✅ "" &amp;REGEXEXTRACT(B2753, ""(Trouvez.*)"")"),"🏘️ Vendre appartement Weggis ✅ Trouvez le bien immobilier qui correspond idéalement à vos désirs sur ImmoScout24 - La plateforme de l'immobilier en Suisse.")</f>
        <v>🏘️ Vendre appartement Weggis ✅ Trouvez le bien immobilier qui correspond idéalement à vos désirs sur ImmoScout24 - La plateforme de l'immobilier en Suisse.</v>
      </c>
      <c r="D2753" s="4" t="str">
        <f>vlookup(A2753, Sheet2!D:E, 2, 0)</f>
        <v>variant</v>
      </c>
      <c r="E2753" s="4" t="str">
        <f>IFERROR(__xludf.DUMMYFUNCTION("if(H2753=""pays"",vlookup(REGEXEXTRACT(C2753, ""🏘️ \w+ \w+ (.*) ✅""),'Country prepositions'!A:B, 2, 0) &amp; "" "" &amp; REGEXEXTRACT(C2753, ""🏘️ \w+ \w+ (.*) ✅"") ,  if(H2753=""quartier"",vlookup(REGEXEXTRACT(C2753, ""🏘️ \w+ \w+ (.*) ✅""),'Quartier prepositio"&amp;"ns'!A:E, 5, 0) ,  if(H2753=""region"",vlookup(REGEXEXTRACT(C2753, ""🏘️ \w+ \w+ (.*) ✅""),'Region prepositions'!B:F, 5, 0),  REGEXEXTRACT(C2753, ""🏘️ \w+ \w+ (.*) ✅""))))"),"Weggis")</f>
        <v>Weggis</v>
      </c>
      <c r="F2753" s="2" t="str">
        <f>IFERROR(__xludf.DUMMYFUNCTION("REGEXEXTRACT(C2753, ""🏘️ (\w+) \w+ .* ✅"")"),"Vendre")</f>
        <v>Vendre</v>
      </c>
      <c r="G2753" s="2" t="str">
        <f>IFERROR(__xludf.DUMMYFUNCTION("REGEXEXTRACT(C2753, ""🏘️ \w+ (\w+) .* ✅"")"),"appartement")</f>
        <v>appartement</v>
      </c>
      <c r="H2753" s="4" t="str">
        <f>IFERROR(__xludf.DUMMYFUNCTION("REGEXEXTRACT(A2753, ""/(\w+)-.*?"")"),"lieu")</f>
        <v>lieu</v>
      </c>
      <c r="I2753" s="4" t="str">
        <f>IFERROR(__xludf.DUMMYFUNCTION("if(D2753=""variant"",  substitute(filter(Templates!E:E, Templates!A:A = F2753, Templates!B:B = G2753, Templates!C:C = H2753), ""{{}}"", E2753), B2753)"),"🏘  L’appartement de vos rêves se trouve sur ImmoScout24.ch ✅ Découvrez les dernières annonces de vente à Weggis.")</f>
        <v>🏘  L’appartement de vos rêves se trouve sur ImmoScout24.ch ✅ Découvrez les dernières annonces de vente à Weggis.</v>
      </c>
      <c r="J2753" s="4" t="s">
        <v>8255</v>
      </c>
    </row>
    <row r="2754">
      <c r="A2754" s="5" t="s">
        <v>8256</v>
      </c>
      <c r="B2754" s="2" t="s">
        <v>8257</v>
      </c>
      <c r="C2754" s="4" t="str">
        <f>IFERROR(__xludf.DUMMYFUNCTION("""🏘️ ""&amp;REGEXEXTRACT(B2754, ""^(.*): "")&amp;"" ✅ "" &amp;REGEXEXTRACT(B2754, ""(Trouvez.*)"")"),"🏘️ Louer appartement Gunten ✅ Trouvez le bien immobilier qui correspond idéalement à vos désirs sur ImmoScout24 - La plateforme de l'immobilier en Suisse.")</f>
        <v>🏘️ Louer appartement Gunten ✅ Trouvez le bien immobilier qui correspond idéalement à vos désirs sur ImmoScout24 - La plateforme de l'immobilier en Suisse.</v>
      </c>
      <c r="D2754" s="4" t="str">
        <f>vlookup(A2754, Sheet2!D:E, 2, 0)</f>
        <v>variant</v>
      </c>
      <c r="E2754" s="4" t="str">
        <f>IFERROR(__xludf.DUMMYFUNCTION("if(H2754=""pays"",vlookup(REGEXEXTRACT(C2754, ""🏘️ \w+ \w+ (.*) ✅""),'Country prepositions'!A:B, 2, 0) &amp; "" "" &amp; REGEXEXTRACT(C2754, ""🏘️ \w+ \w+ (.*) ✅"") ,  if(H2754=""quartier"",vlookup(REGEXEXTRACT(C2754, ""🏘️ \w+ \w+ (.*) ✅""),'Quartier prepositio"&amp;"ns'!A:E, 5, 0) ,  if(H2754=""region"",vlookup(REGEXEXTRACT(C2754, ""🏘️ \w+ \w+ (.*) ✅""),'Region prepositions'!B:F, 5, 0),  REGEXEXTRACT(C2754, ""🏘️ \w+ \w+ (.*) ✅""))))"),"Gunten")</f>
        <v>Gunten</v>
      </c>
      <c r="F2754" s="2" t="str">
        <f>IFERROR(__xludf.DUMMYFUNCTION("REGEXEXTRACT(C2754, ""🏘️ (\w+) \w+ .* ✅"")"),"Louer")</f>
        <v>Louer</v>
      </c>
      <c r="G2754" s="2" t="str">
        <f>IFERROR(__xludf.DUMMYFUNCTION("REGEXEXTRACT(C2754, ""🏘️ \w+ (\w+) .* ✅"")"),"appartement")</f>
        <v>appartement</v>
      </c>
      <c r="H2754" s="4" t="str">
        <f>IFERROR(__xludf.DUMMYFUNCTION("REGEXEXTRACT(A2754, ""/(\w+)-.*?"")"),"lieu")</f>
        <v>lieu</v>
      </c>
      <c r="I2754" s="4" t="str">
        <f>IFERROR(__xludf.DUMMYFUNCTION("if(D2754=""variant"",  substitute(filter(Templates!E:E, Templates!A:A = F2754, Templates!B:B = G2754, Templates!C:C = H2754), ""{{}}"", E2754), B2754)"),"🏘  Vous cherchez un appartement à louer à Gunten? ✅ Les annonces les plus actuelles sont sur ImmoScout24.ch.")</f>
        <v>🏘  Vous cherchez un appartement à louer à Gunten? ✅ Les annonces les plus actuelles sont sur ImmoScout24.ch.</v>
      </c>
      <c r="J2754" s="4" t="s">
        <v>8258</v>
      </c>
    </row>
    <row r="2755">
      <c r="A2755" s="5" t="s">
        <v>8259</v>
      </c>
      <c r="B2755" s="2" t="s">
        <v>8260</v>
      </c>
      <c r="C2755" s="4" t="str">
        <f>IFERROR(__xludf.DUMMYFUNCTION("""🏘️ ""&amp;REGEXEXTRACT(B2755, ""^(.*): "")&amp;"" ✅ "" &amp;REGEXEXTRACT(B2755, ""(Trouvez.*)"")"),"🏘️ Louer appartement Bassecourt ✅ Trouvez le bien immobilier qui correspond idéalement à vos désirs sur ImmoScout24 - La plateforme de l'immobilier en Suisse.")</f>
        <v>🏘️ Louer appartement Bassecourt ✅ Trouvez le bien immobilier qui correspond idéalement à vos désirs sur ImmoScout24 - La plateforme de l'immobilier en Suisse.</v>
      </c>
      <c r="D2755" s="4" t="str">
        <f>vlookup(A2755, Sheet2!D:E, 2, 0)</f>
        <v>variant</v>
      </c>
      <c r="E2755" s="4" t="str">
        <f>IFERROR(__xludf.DUMMYFUNCTION("if(H2755=""pays"",vlookup(REGEXEXTRACT(C2755, ""🏘️ \w+ \w+ (.*) ✅""),'Country prepositions'!A:B, 2, 0) &amp; "" "" &amp; REGEXEXTRACT(C2755, ""🏘️ \w+ \w+ (.*) ✅"") ,  if(H2755=""quartier"",vlookup(REGEXEXTRACT(C2755, ""🏘️ \w+ \w+ (.*) ✅""),'Quartier prepositio"&amp;"ns'!A:E, 5, 0) ,  if(H2755=""region"",vlookup(REGEXEXTRACT(C2755, ""🏘️ \w+ \w+ (.*) ✅""),'Region prepositions'!B:F, 5, 0),  REGEXEXTRACT(C2755, ""🏘️ \w+ \w+ (.*) ✅""))))"),"Bassecourt")</f>
        <v>Bassecourt</v>
      </c>
      <c r="F2755" s="2" t="str">
        <f>IFERROR(__xludf.DUMMYFUNCTION("REGEXEXTRACT(C2755, ""🏘️ (\w+) \w+ .* ✅"")"),"Louer")</f>
        <v>Louer</v>
      </c>
      <c r="G2755" s="2" t="str">
        <f>IFERROR(__xludf.DUMMYFUNCTION("REGEXEXTRACT(C2755, ""🏘️ \w+ (\w+) .* ✅"")"),"appartement")</f>
        <v>appartement</v>
      </c>
      <c r="H2755" s="4" t="str">
        <f>IFERROR(__xludf.DUMMYFUNCTION("REGEXEXTRACT(A2755, ""/(\w+)-.*?"")"),"lieu")</f>
        <v>lieu</v>
      </c>
      <c r="I2755" s="4" t="str">
        <f>IFERROR(__xludf.DUMMYFUNCTION("if(D2755=""variant"",  substitute(filter(Templates!E:E, Templates!A:A = F2755, Templates!B:B = G2755, Templates!C:C = H2755), ""{{}}"", E2755), B2755)"),"🏘  Vous cherchez un appartement à louer à Bassecourt? ✅ Les annonces les plus actuelles sont sur ImmoScout24.ch.")</f>
        <v>🏘  Vous cherchez un appartement à louer à Bassecourt? ✅ Les annonces les plus actuelles sont sur ImmoScout24.ch.</v>
      </c>
      <c r="J2755" s="4" t="s">
        <v>8261</v>
      </c>
    </row>
    <row r="2756">
      <c r="A2756" s="5" t="s">
        <v>8262</v>
      </c>
      <c r="B2756" s="2" t="s">
        <v>8263</v>
      </c>
      <c r="C2756" s="4" t="str">
        <f>IFERROR(__xludf.DUMMYFUNCTION("""🏘️ ""&amp;REGEXEXTRACT(B2756, ""^(.*): "")&amp;"" ✅ "" &amp;REGEXEXTRACT(B2756, ""(Trouvez.*)"")"),"🏘️ Vendre maison Noës ✅ Trouvez le bien immobilier qui correspond idéalement à vos désirs sur ImmoScout24 - La plateforme de l'immobilier en Suisse.")</f>
        <v>🏘️ Vendre maison Noës ✅ Trouvez le bien immobilier qui correspond idéalement à vos désirs sur ImmoScout24 - La plateforme de l'immobilier en Suisse.</v>
      </c>
      <c r="D2756" s="4" t="str">
        <f>vlookup(A2756, Sheet2!D:E, 2, 0)</f>
        <v>variant</v>
      </c>
      <c r="E2756" s="4" t="str">
        <f>IFERROR(__xludf.DUMMYFUNCTION("if(H2756=""pays"",vlookup(REGEXEXTRACT(C2756, ""🏘️ \w+ \w+ (.*) ✅""),'Country prepositions'!A:B, 2, 0) &amp; "" "" &amp; REGEXEXTRACT(C2756, ""🏘️ \w+ \w+ (.*) ✅"") ,  if(H2756=""quartier"",vlookup(REGEXEXTRACT(C2756, ""🏘️ \w+ \w+ (.*) ✅""),'Quartier prepositio"&amp;"ns'!A:E, 5, 0) ,  if(H2756=""region"",vlookup(REGEXEXTRACT(C2756, ""🏘️ \w+ \w+ (.*) ✅""),'Region prepositions'!B:F, 5, 0),  REGEXEXTRACT(C2756, ""🏘️ \w+ \w+ (.*) ✅""))))"),"Noës")</f>
        <v>Noës</v>
      </c>
      <c r="F2756" s="2" t="str">
        <f>IFERROR(__xludf.DUMMYFUNCTION("REGEXEXTRACT(C2756, ""🏘️ (\w+) \w+ .* ✅"")"),"Vendre")</f>
        <v>Vendre</v>
      </c>
      <c r="G2756" s="2" t="str">
        <f>IFERROR(__xludf.DUMMYFUNCTION("REGEXEXTRACT(C2756, ""🏘️ \w+ (\w+) .* ✅"")"),"maison")</f>
        <v>maison</v>
      </c>
      <c r="H2756" s="4" t="str">
        <f>IFERROR(__xludf.DUMMYFUNCTION("REGEXEXTRACT(A2756, ""/(\w+)-.*?"")"),"lieu")</f>
        <v>lieu</v>
      </c>
      <c r="I2756" s="4" t="str">
        <f>IFERROR(__xludf.DUMMYFUNCTION("if(D2756=""variant"",  substitute(filter(Templates!E:E, Templates!A:A = F2756, Templates!B:B = G2756, Templates!C:C = H2756), ""{{}}"", E2756), B2756)"),"🏘  Vous souhaitez acheter une maison à Noës? ✅ Jetez un œil aux dernières offres sur ImmoScout24.ch.")</f>
        <v>🏘  Vous souhaitez acheter une maison à Noës? ✅ Jetez un œil aux dernières offres sur ImmoScout24.ch.</v>
      </c>
      <c r="J2756" s="4" t="s">
        <v>8264</v>
      </c>
    </row>
    <row r="2757">
      <c r="A2757" s="5" t="s">
        <v>8265</v>
      </c>
      <c r="B2757" s="2" t="s">
        <v>8266</v>
      </c>
      <c r="C2757" s="4" t="str">
        <f>IFERROR(__xludf.DUMMYFUNCTION("""🏘️ ""&amp;REGEXEXTRACT(B2757, ""^(.*): "")&amp;"" ✅ "" &amp;REGEXEXTRACT(B2757, ""(Trouvez.*)"")"),"🏘️ Louer appartement Chapelle-sur-Moudon ✅ Trouvez le bien immobilier qui correspond idéalement à vos désirs sur ImmoScout24 - La plateforme de l'immobilier en Suisse.")</f>
        <v>🏘️ Louer appartement Chapelle-sur-Moudon ✅ Trouvez le bien immobilier qui correspond idéalement à vos désirs sur ImmoScout24 - La plateforme de l'immobilier en Suisse.</v>
      </c>
      <c r="D2757" s="4" t="str">
        <f>vlookup(A2757, Sheet2!D:E, 2, 0)</f>
        <v>variant</v>
      </c>
      <c r="E2757" s="4" t="str">
        <f>IFERROR(__xludf.DUMMYFUNCTION("if(H2757=""pays"",vlookup(REGEXEXTRACT(C2757, ""🏘️ \w+ \w+ (.*) ✅""),'Country prepositions'!A:B, 2, 0) &amp; "" "" &amp; REGEXEXTRACT(C2757, ""🏘️ \w+ \w+ (.*) ✅"") ,  if(H2757=""quartier"",vlookup(REGEXEXTRACT(C2757, ""🏘️ \w+ \w+ (.*) ✅""),'Quartier prepositio"&amp;"ns'!A:E, 5, 0) ,  if(H2757=""region"",vlookup(REGEXEXTRACT(C2757, ""🏘️ \w+ \w+ (.*) ✅""),'Region prepositions'!B:F, 5, 0),  REGEXEXTRACT(C2757, ""🏘️ \w+ \w+ (.*) ✅""))))"),"Chapelle-sur-Moudon")</f>
        <v>Chapelle-sur-Moudon</v>
      </c>
      <c r="F2757" s="2" t="str">
        <f>IFERROR(__xludf.DUMMYFUNCTION("REGEXEXTRACT(C2757, ""🏘️ (\w+) \w+ .* ✅"")"),"Louer")</f>
        <v>Louer</v>
      </c>
      <c r="G2757" s="2" t="str">
        <f>IFERROR(__xludf.DUMMYFUNCTION("REGEXEXTRACT(C2757, ""🏘️ \w+ (\w+) .* ✅"")"),"appartement")</f>
        <v>appartement</v>
      </c>
      <c r="H2757" s="4" t="str">
        <f>IFERROR(__xludf.DUMMYFUNCTION("REGEXEXTRACT(A2757, ""/(\w+)-.*?"")"),"lieu")</f>
        <v>lieu</v>
      </c>
      <c r="I2757" s="4" t="str">
        <f>IFERROR(__xludf.DUMMYFUNCTION("if(D2757=""variant"",  substitute(filter(Templates!E:E, Templates!A:A = F2757, Templates!B:B = G2757, Templates!C:C = H2757), ""{{}}"", E2757), B2757)"),"🏘  Vous cherchez un appartement à louer à Chapelle-sur-Moudon? ✅ Les annonces les plus actuelles sont sur ImmoScout24.ch.")</f>
        <v>🏘  Vous cherchez un appartement à louer à Chapelle-sur-Moudon? ✅ Les annonces les plus actuelles sont sur ImmoScout24.ch.</v>
      </c>
      <c r="J2757" s="4" t="s">
        <v>8267</v>
      </c>
    </row>
    <row r="2758">
      <c r="A2758" s="5" t="s">
        <v>8268</v>
      </c>
      <c r="B2758" s="2" t="s">
        <v>8269</v>
      </c>
      <c r="C2758" s="4" t="str">
        <f>IFERROR(__xludf.DUMMYFUNCTION("""🏘️ ""&amp;REGEXEXTRACT(B2758, ""^(.*): "")&amp;"" ✅ "" &amp;REGEXEXTRACT(B2758, ""(Trouvez.*)"")"),"🏘️ Vendre maison Ried b. Kerzers ✅ Trouvez le bien immobilier qui correspond idéalement à vos désirs sur ImmoScout24 - La plateforme de l'immobilier en Suisse.")</f>
        <v>🏘️ Vendre maison Ried b. Kerzers ✅ Trouvez le bien immobilier qui correspond idéalement à vos désirs sur ImmoScout24 - La plateforme de l'immobilier en Suisse.</v>
      </c>
      <c r="D2758" s="4" t="str">
        <f>vlookup(A2758, Sheet2!D:E, 2, 0)</f>
        <v>variant</v>
      </c>
      <c r="E2758" s="4" t="str">
        <f>IFERROR(__xludf.DUMMYFUNCTION("if(H2758=""pays"",vlookup(REGEXEXTRACT(C2758, ""🏘️ \w+ \w+ (.*) ✅""),'Country prepositions'!A:B, 2, 0) &amp; "" "" &amp; REGEXEXTRACT(C2758, ""🏘️ \w+ \w+ (.*) ✅"") ,  if(H2758=""quartier"",vlookup(REGEXEXTRACT(C2758, ""🏘️ \w+ \w+ (.*) ✅""),'Quartier prepositio"&amp;"ns'!A:E, 5, 0) ,  if(H2758=""region"",vlookup(REGEXEXTRACT(C2758, ""🏘️ \w+ \w+ (.*) ✅""),'Region prepositions'!B:F, 5, 0),  REGEXEXTRACT(C2758, ""🏘️ \w+ \w+ (.*) ✅""))))"),"Ried b. Kerzers")</f>
        <v>Ried b. Kerzers</v>
      </c>
      <c r="F2758" s="2" t="str">
        <f>IFERROR(__xludf.DUMMYFUNCTION("REGEXEXTRACT(C2758, ""🏘️ (\w+) \w+ .* ✅"")"),"Vendre")</f>
        <v>Vendre</v>
      </c>
      <c r="G2758" s="2" t="str">
        <f>IFERROR(__xludf.DUMMYFUNCTION("REGEXEXTRACT(C2758, ""🏘️ \w+ (\w+) .* ✅"")"),"maison")</f>
        <v>maison</v>
      </c>
      <c r="H2758" s="4" t="str">
        <f>IFERROR(__xludf.DUMMYFUNCTION("REGEXEXTRACT(A2758, ""/(\w+)-.*?"")"),"lieu")</f>
        <v>lieu</v>
      </c>
      <c r="I2758" s="4" t="str">
        <f>IFERROR(__xludf.DUMMYFUNCTION("if(D2758=""variant"",  substitute(filter(Templates!E:E, Templates!A:A = F2758, Templates!B:B = G2758, Templates!C:C = H2758), ""{{}}"", E2758), B2758)"),"🏘  Vous souhaitez acheter une maison à Ried b. Kerzers? ✅ Jetez un œil aux dernières offres sur ImmoScout24.ch.")</f>
        <v>🏘  Vous souhaitez acheter une maison à Ried b. Kerzers? ✅ Jetez un œil aux dernières offres sur ImmoScout24.ch.</v>
      </c>
      <c r="J2758" s="4" t="s">
        <v>8270</v>
      </c>
    </row>
    <row r="2759">
      <c r="A2759" s="5" t="s">
        <v>8271</v>
      </c>
      <c r="B2759" s="2" t="s">
        <v>8272</v>
      </c>
      <c r="C2759" s="4" t="str">
        <f>IFERROR(__xludf.DUMMYFUNCTION("""🏘️ ""&amp;REGEXEXTRACT(B2759, ""^(.*): "")&amp;"" ✅ "" &amp;REGEXEXTRACT(B2759, ""(Trouvez.*)"")"),"🏘️ Louer maison Brè sopra Lugano ✅ Trouvez le bien immobilier qui correspond idéalement à vos désirs sur ImmoScout24 - La plateforme de l'immobilier en Suisse.")</f>
        <v>🏘️ Louer maison Brè sopra Lugano ✅ Trouvez le bien immobilier qui correspond idéalement à vos désirs sur ImmoScout24 - La plateforme de l'immobilier en Suisse.</v>
      </c>
      <c r="D2759" s="4" t="str">
        <f>vlookup(A2759, Sheet2!D:E, 2, 0)</f>
        <v>variant</v>
      </c>
      <c r="E2759" s="4" t="str">
        <f>IFERROR(__xludf.DUMMYFUNCTION("if(H2759=""pays"",vlookup(REGEXEXTRACT(C2759, ""🏘️ \w+ \w+ (.*) ✅""),'Country prepositions'!A:B, 2, 0) &amp; "" "" &amp; REGEXEXTRACT(C2759, ""🏘️ \w+ \w+ (.*) ✅"") ,  if(H2759=""quartier"",vlookup(REGEXEXTRACT(C2759, ""🏘️ \w+ \w+ (.*) ✅""),'Quartier prepositio"&amp;"ns'!A:E, 5, 0) ,  if(H2759=""region"",vlookup(REGEXEXTRACT(C2759, ""🏘️ \w+ \w+ (.*) ✅""),'Region prepositions'!B:F, 5, 0),  REGEXEXTRACT(C2759, ""🏘️ \w+ \w+ (.*) ✅""))))"),"Brè sopra Lugano")</f>
        <v>Brè sopra Lugano</v>
      </c>
      <c r="F2759" s="2" t="str">
        <f>IFERROR(__xludf.DUMMYFUNCTION("REGEXEXTRACT(C2759, ""🏘️ (\w+) \w+ .* ✅"")"),"Louer")</f>
        <v>Louer</v>
      </c>
      <c r="G2759" s="2" t="str">
        <f>IFERROR(__xludf.DUMMYFUNCTION("REGEXEXTRACT(C2759, ""🏘️ \w+ (\w+) .* ✅"")"),"maison")</f>
        <v>maison</v>
      </c>
      <c r="H2759" s="4" t="str">
        <f>IFERROR(__xludf.DUMMYFUNCTION("REGEXEXTRACT(A2759, ""/(\w+)-.*?"")"),"lieu")</f>
        <v>lieu</v>
      </c>
      <c r="I2759" s="4" t="str">
        <f>IFERROR(__xludf.DUMMYFUNCTION("if(D2759=""variant"",  substitute(filter(Templates!E:E, Templates!A:A = F2759, Templates!B:B = G2759, Templates!C:C = H2759), ""{{}}"", E2759), B2759)"),"🏘  Vous cherchez une maison à louer à Brè sopra Lugano? ✅ Découvrez nos nombreuses annonces sur ImmoScout24.ch.")</f>
        <v>🏘  Vous cherchez une maison à louer à Brè sopra Lugano? ✅ Découvrez nos nombreuses annonces sur ImmoScout24.ch.</v>
      </c>
      <c r="J2759" s="4" t="s">
        <v>8273</v>
      </c>
    </row>
    <row r="2760">
      <c r="A2760" s="5" t="s">
        <v>8274</v>
      </c>
      <c r="B2760" s="2" t="s">
        <v>8275</v>
      </c>
      <c r="C2760" s="4" t="str">
        <f>IFERROR(__xludf.DUMMYFUNCTION("""🏘️ ""&amp;REGEXEXTRACT(B2760, ""^(.*): "")&amp;"" ✅ "" &amp;REGEXEXTRACT(B2760, ""(Trouvez.*)"")"),"🏘️ Louer appartement Peseux ✅ Trouvez le bien immobilier qui correspond idéalement à vos désirs sur ImmoScout24 - La plateforme de l'immobilier en Suisse.")</f>
        <v>🏘️ Louer appartement Peseux ✅ Trouvez le bien immobilier qui correspond idéalement à vos désirs sur ImmoScout24 - La plateforme de l'immobilier en Suisse.</v>
      </c>
      <c r="D2760" s="4" t="str">
        <f>vlookup(A2760, Sheet2!D:E, 2, 0)</f>
        <v>variant</v>
      </c>
      <c r="E2760" s="4" t="str">
        <f>IFERROR(__xludf.DUMMYFUNCTION("if(H2760=""pays"",vlookup(REGEXEXTRACT(C2760, ""🏘️ \w+ \w+ (.*) ✅""),'Country prepositions'!A:B, 2, 0) &amp; "" "" &amp; REGEXEXTRACT(C2760, ""🏘️ \w+ \w+ (.*) ✅"") ,  if(H2760=""quartier"",vlookup(REGEXEXTRACT(C2760, ""🏘️ \w+ \w+ (.*) ✅""),'Quartier prepositio"&amp;"ns'!A:E, 5, 0) ,  if(H2760=""region"",vlookup(REGEXEXTRACT(C2760, ""🏘️ \w+ \w+ (.*) ✅""),'Region prepositions'!B:F, 5, 0),  REGEXEXTRACT(C2760, ""🏘️ \w+ \w+ (.*) ✅""))))"),"Peseux")</f>
        <v>Peseux</v>
      </c>
      <c r="F2760" s="2" t="str">
        <f>IFERROR(__xludf.DUMMYFUNCTION("REGEXEXTRACT(C2760, ""🏘️ (\w+) \w+ .* ✅"")"),"Louer")</f>
        <v>Louer</v>
      </c>
      <c r="G2760" s="2" t="str">
        <f>IFERROR(__xludf.DUMMYFUNCTION("REGEXEXTRACT(C2760, ""🏘️ \w+ (\w+) .* ✅"")"),"appartement")</f>
        <v>appartement</v>
      </c>
      <c r="H2760" s="4" t="str">
        <f>IFERROR(__xludf.DUMMYFUNCTION("REGEXEXTRACT(A2760, ""/(\w+)-.*?"")"),"lieu")</f>
        <v>lieu</v>
      </c>
      <c r="I2760" s="4" t="str">
        <f>IFERROR(__xludf.DUMMYFUNCTION("if(D2760=""variant"",  substitute(filter(Templates!E:E, Templates!A:A = F2760, Templates!B:B = G2760, Templates!C:C = H2760), ""{{}}"", E2760), B2760)"),"🏘  Vous cherchez un appartement à louer à Peseux? ✅ Les annonces les plus actuelles sont sur ImmoScout24.ch.")</f>
        <v>🏘  Vous cherchez un appartement à louer à Peseux? ✅ Les annonces les plus actuelles sont sur ImmoScout24.ch.</v>
      </c>
      <c r="J2760" s="4" t="s">
        <v>8276</v>
      </c>
    </row>
    <row r="2761">
      <c r="A2761" s="5" t="s">
        <v>8277</v>
      </c>
      <c r="B2761" s="2" t="s">
        <v>8278</v>
      </c>
      <c r="C2761" s="4" t="str">
        <f>IFERROR(__xludf.DUMMYFUNCTION("""🏘️ ""&amp;REGEXEXTRACT(B2761, ""^(.*): "")&amp;"" ✅ "" &amp;REGEXEXTRACT(B2761, ""(Trouvez.*)"")"),"🏘️ Vendre maison Le Landeron ✅ Trouvez le bien immobilier qui correspond idéalement à vos désirs sur ImmoScout24 - La plateforme de l'immobilier en Suisse.")</f>
        <v>🏘️ Vendre maison Le Landeron ✅ Trouvez le bien immobilier qui correspond idéalement à vos désirs sur ImmoScout24 - La plateforme de l'immobilier en Suisse.</v>
      </c>
      <c r="D2761" s="4" t="str">
        <f>vlookup(A2761, Sheet2!D:E, 2, 0)</f>
        <v>variant</v>
      </c>
      <c r="E2761" s="4" t="str">
        <f>IFERROR(__xludf.DUMMYFUNCTION("if(H2761=""pays"",vlookup(REGEXEXTRACT(C2761, ""🏘️ \w+ \w+ (.*) ✅""),'Country prepositions'!A:B, 2, 0) &amp; "" "" &amp; REGEXEXTRACT(C2761, ""🏘️ \w+ \w+ (.*) ✅"") ,  if(H2761=""quartier"",vlookup(REGEXEXTRACT(C2761, ""🏘️ \w+ \w+ (.*) ✅""),'Quartier prepositio"&amp;"ns'!A:E, 5, 0) ,  if(H2761=""region"",vlookup(REGEXEXTRACT(C2761, ""🏘️ \w+ \w+ (.*) ✅""),'Region prepositions'!B:F, 5, 0),  REGEXEXTRACT(C2761, ""🏘️ \w+ \w+ (.*) ✅""))))"),"Le Landeron")</f>
        <v>Le Landeron</v>
      </c>
      <c r="F2761" s="2" t="str">
        <f>IFERROR(__xludf.DUMMYFUNCTION("REGEXEXTRACT(C2761, ""🏘️ (\w+) \w+ .* ✅"")"),"Vendre")</f>
        <v>Vendre</v>
      </c>
      <c r="G2761" s="2" t="str">
        <f>IFERROR(__xludf.DUMMYFUNCTION("REGEXEXTRACT(C2761, ""🏘️ \w+ (\w+) .* ✅"")"),"maison")</f>
        <v>maison</v>
      </c>
      <c r="H2761" s="4" t="str">
        <f>IFERROR(__xludf.DUMMYFUNCTION("REGEXEXTRACT(A2761, ""/(\w+)-.*?"")"),"lieu")</f>
        <v>lieu</v>
      </c>
      <c r="I2761" s="4" t="str">
        <f>IFERROR(__xludf.DUMMYFUNCTION("if(D2761=""variant"",  substitute(filter(Templates!E:E, Templates!A:A = F2761, Templates!B:B = G2761, Templates!C:C = H2761), ""{{}}"", E2761), B2761)"),"🏘  Vous souhaitez acheter une maison à Le Landeron? ✅ Jetez un œil aux dernières offres sur ImmoScout24.ch.")</f>
        <v>🏘  Vous souhaitez acheter une maison à Le Landeron? ✅ Jetez un œil aux dernières offres sur ImmoScout24.ch.</v>
      </c>
      <c r="J2761" s="2" t="s">
        <v>8279</v>
      </c>
    </row>
    <row r="2762">
      <c r="A2762" s="5" t="s">
        <v>8280</v>
      </c>
      <c r="B2762" s="2" t="s">
        <v>8281</v>
      </c>
      <c r="C2762" s="4" t="str">
        <f>IFERROR(__xludf.DUMMYFUNCTION("""🏘️ ""&amp;REGEXEXTRACT(B2762, ""^(.*): "")&amp;"" ✅ "" &amp;REGEXEXTRACT(B2762, ""(Trouvez.*)"")"),"🏘️ Vendre appartement Surselva ✅ Trouvez le bien immobilier qui correspond idéalement à vos désirs sur ImmoScout24 - La plateforme de l'immobilier en Suisse.")</f>
        <v>🏘️ Vendre appartement Surselva ✅ Trouvez le bien immobilier qui correspond idéalement à vos désirs sur ImmoScout24 - La plateforme de l'immobilier en Suisse.</v>
      </c>
      <c r="D2762" s="4" t="str">
        <f>vlookup(A2762, Sheet2!D:E, 2, 0)</f>
        <v>variant</v>
      </c>
      <c r="E2762" s="4" t="str">
        <f>IFERROR(__xludf.DUMMYFUNCTION("if(H2762=""pays"",vlookup(REGEXEXTRACT(C2762, ""🏘️ \w+ \w+ (.*) ✅""),'Country prepositions'!A:B, 2, 0) &amp; "" "" &amp; REGEXEXTRACT(C2762, ""🏘️ \w+ \w+ (.*) ✅"") ,  if(H2762=""quartier"",vlookup(REGEXEXTRACT(C2762, ""🏘️ \w+ \w+ (.*) ✅""),'Quartier prepositio"&amp;"ns'!A:E, 5, 0) ,  if(H2762=""region"",vlookup(REGEXEXTRACT(C2762, ""🏘️ \w+ \w+ (.*) ✅""),'Region prepositions'!B:F, 5, 0),  REGEXEXTRACT(C2762, ""🏘️ \w+ \w+ (.*) ✅""))))"),"dans la région de Surselva")</f>
        <v>dans la région de Surselva</v>
      </c>
      <c r="F2762" s="2" t="str">
        <f>IFERROR(__xludf.DUMMYFUNCTION("REGEXEXTRACT(C2762, ""🏘️ (\w+) \w+ .* ✅"")"),"Vendre")</f>
        <v>Vendre</v>
      </c>
      <c r="G2762" s="2" t="str">
        <f>IFERROR(__xludf.DUMMYFUNCTION("REGEXEXTRACT(C2762, ""🏘️ \w+ (\w+) .* ✅"")"),"appartement")</f>
        <v>appartement</v>
      </c>
      <c r="H2762" s="4" t="str">
        <f>IFERROR(__xludf.DUMMYFUNCTION("REGEXEXTRACT(A2762, ""/(\w+)-.*?"")"),"region")</f>
        <v>region</v>
      </c>
      <c r="I2762" s="4" t="str">
        <f>IFERROR(__xludf.DUMMYFUNCTION("if(D2762=""variant"",  substitute(filter(Templates!E:E, Templates!A:A = F2762, Templates!B:B = G2762, Templates!C:C = H2762), ""{{}}"", E2762), B2762)"),"🏘  L’appartement de vos rêves se trouve sur ImmoScout24.ch ✅ Découvrez les dernières annonces de vente dans la région de Surselva.")</f>
        <v>🏘  L’appartement de vos rêves se trouve sur ImmoScout24.ch ✅ Découvrez les dernières annonces de vente dans la région de Surselva.</v>
      </c>
      <c r="J2762" s="4" t="s">
        <v>8282</v>
      </c>
    </row>
    <row r="2763">
      <c r="A2763" s="5" t="s">
        <v>8283</v>
      </c>
      <c r="B2763" s="2" t="s">
        <v>8284</v>
      </c>
      <c r="C2763" s="4" t="str">
        <f>IFERROR(__xludf.DUMMYFUNCTION("""🏘️ ""&amp;REGEXEXTRACT(B2763, ""^(.*): "")&amp;"" ✅ "" &amp;REGEXEXTRACT(B2763, ""(Trouvez.*)"")"),"🏘️ Louer appartement Bure ✅ Trouvez le bien immobilier qui correspond idéalement à vos désirs sur ImmoScout24 - La plateforme de l'immobilier en Suisse.")</f>
        <v>🏘️ Louer appartement Bure ✅ Trouvez le bien immobilier qui correspond idéalement à vos désirs sur ImmoScout24 - La plateforme de l'immobilier en Suisse.</v>
      </c>
      <c r="D2763" s="4" t="str">
        <f>vlookup(A2763, Sheet2!D:E, 2, 0)</f>
        <v>variant</v>
      </c>
      <c r="E2763" s="4" t="str">
        <f>IFERROR(__xludf.DUMMYFUNCTION("if(H2763=""pays"",vlookup(REGEXEXTRACT(C2763, ""🏘️ \w+ \w+ (.*) ✅""),'Country prepositions'!A:B, 2, 0) &amp; "" "" &amp; REGEXEXTRACT(C2763, ""🏘️ \w+ \w+ (.*) ✅"") ,  if(H2763=""quartier"",vlookup(REGEXEXTRACT(C2763, ""🏘️ \w+ \w+ (.*) ✅""),'Quartier prepositio"&amp;"ns'!A:E, 5, 0) ,  if(H2763=""region"",vlookup(REGEXEXTRACT(C2763, ""🏘️ \w+ \w+ (.*) ✅""),'Region prepositions'!B:F, 5, 0),  REGEXEXTRACT(C2763, ""🏘️ \w+ \w+ (.*) ✅""))))"),"Bure")</f>
        <v>Bure</v>
      </c>
      <c r="F2763" s="2" t="str">
        <f>IFERROR(__xludf.DUMMYFUNCTION("REGEXEXTRACT(C2763, ""🏘️ (\w+) \w+ .* ✅"")"),"Louer")</f>
        <v>Louer</v>
      </c>
      <c r="G2763" s="2" t="str">
        <f>IFERROR(__xludf.DUMMYFUNCTION("REGEXEXTRACT(C2763, ""🏘️ \w+ (\w+) .* ✅"")"),"appartement")</f>
        <v>appartement</v>
      </c>
      <c r="H2763" s="4" t="str">
        <f>IFERROR(__xludf.DUMMYFUNCTION("REGEXEXTRACT(A2763, ""/(\w+)-.*?"")"),"lieu")</f>
        <v>lieu</v>
      </c>
      <c r="I2763" s="4" t="str">
        <f>IFERROR(__xludf.DUMMYFUNCTION("if(D2763=""variant"",  substitute(filter(Templates!E:E, Templates!A:A = F2763, Templates!B:B = G2763, Templates!C:C = H2763), ""{{}}"", E2763), B2763)"),"🏘  Vous cherchez un appartement à louer à Bure? ✅ Les annonces les plus actuelles sont sur ImmoScout24.ch.")</f>
        <v>🏘  Vous cherchez un appartement à louer à Bure? ✅ Les annonces les plus actuelles sont sur ImmoScout24.ch.</v>
      </c>
      <c r="J2763" s="4" t="s">
        <v>8285</v>
      </c>
    </row>
    <row r="2764">
      <c r="A2764" s="5" t="s">
        <v>8286</v>
      </c>
      <c r="B2764" s="2" t="s">
        <v>8287</v>
      </c>
      <c r="C2764" s="4" t="str">
        <f>IFERROR(__xludf.DUMMYFUNCTION("""🏘️ ""&amp;REGEXEXTRACT(B2764, ""^(.*): "")&amp;"" ✅ "" &amp;REGEXEXTRACT(B2764, ""(Trouvez.*)"")"),"🏘️ Vendre maison Ronco sopra Ascona ✅ Trouvez le bien immobilier qui correspond idéalement à vos désirs sur ImmoScout24 - La plateforme de l'immobilier en Suisse.")</f>
        <v>🏘️ Vendre maison Ronco sopra Ascona ✅ Trouvez le bien immobilier qui correspond idéalement à vos désirs sur ImmoScout24 - La plateforme de l'immobilier en Suisse.</v>
      </c>
      <c r="D2764" s="4" t="str">
        <f>vlookup(A2764, Sheet2!D:E, 2, 0)</f>
        <v>variant</v>
      </c>
      <c r="E2764" s="4" t="str">
        <f>IFERROR(__xludf.DUMMYFUNCTION("if(H2764=""pays"",vlookup(REGEXEXTRACT(C2764, ""🏘️ \w+ \w+ (.*) ✅""),'Country prepositions'!A:B, 2, 0) &amp; "" "" &amp; REGEXEXTRACT(C2764, ""🏘️ \w+ \w+ (.*) ✅"") ,  if(H2764=""quartier"",vlookup(REGEXEXTRACT(C2764, ""🏘️ \w+ \w+ (.*) ✅""),'Quartier prepositio"&amp;"ns'!A:E, 5, 0) ,  if(H2764=""region"",vlookup(REGEXEXTRACT(C2764, ""🏘️ \w+ \w+ (.*) ✅""),'Region prepositions'!B:F, 5, 0),  REGEXEXTRACT(C2764, ""🏘️ \w+ \w+ (.*) ✅""))))"),"Ronco sopra Ascona")</f>
        <v>Ronco sopra Ascona</v>
      </c>
      <c r="F2764" s="2" t="str">
        <f>IFERROR(__xludf.DUMMYFUNCTION("REGEXEXTRACT(C2764, ""🏘️ (\w+) \w+ .* ✅"")"),"Vendre")</f>
        <v>Vendre</v>
      </c>
      <c r="G2764" s="2" t="str">
        <f>IFERROR(__xludf.DUMMYFUNCTION("REGEXEXTRACT(C2764, ""🏘️ \w+ (\w+) .* ✅"")"),"maison")</f>
        <v>maison</v>
      </c>
      <c r="H2764" s="4" t="str">
        <f>IFERROR(__xludf.DUMMYFUNCTION("REGEXEXTRACT(A2764, ""/(\w+)-.*?"")"),"lieu")</f>
        <v>lieu</v>
      </c>
      <c r="I2764" s="4" t="str">
        <f>IFERROR(__xludf.DUMMYFUNCTION("if(D2764=""variant"",  substitute(filter(Templates!E:E, Templates!A:A = F2764, Templates!B:B = G2764, Templates!C:C = H2764), ""{{}}"", E2764), B2764)"),"🏘  Vous souhaitez acheter une maison à Ronco sopra Ascona? ✅ Jetez un œil aux dernières offres sur ImmoScout24.ch.")</f>
        <v>🏘  Vous souhaitez acheter une maison à Ronco sopra Ascona? ✅ Jetez un œil aux dernières offres sur ImmoScout24.ch.</v>
      </c>
      <c r="J2764" s="4" t="s">
        <v>8288</v>
      </c>
    </row>
    <row r="2765">
      <c r="A2765" s="5" t="s">
        <v>8289</v>
      </c>
      <c r="B2765" s="2" t="s">
        <v>8290</v>
      </c>
      <c r="C2765" s="4" t="str">
        <f>IFERROR(__xludf.DUMMYFUNCTION("""🏘️ ""&amp;REGEXEXTRACT(B2765, ""^(.*): "")&amp;"" ✅ "" &amp;REGEXEXTRACT(B2765, ""(Trouvez.*)"")"),"🏘️ Louer appartement Veysonnaz ✅ Trouvez le bien immobilier qui correspond idéalement à vos désirs sur ImmoScout24 - La plateforme de l'immobilier en Suisse.")</f>
        <v>🏘️ Louer appartement Veysonnaz ✅ Trouvez le bien immobilier qui correspond idéalement à vos désirs sur ImmoScout24 - La plateforme de l'immobilier en Suisse.</v>
      </c>
      <c r="D2765" s="4" t="str">
        <f>vlookup(A2765, Sheet2!D:E, 2, 0)</f>
        <v>variant</v>
      </c>
      <c r="E2765" s="4" t="str">
        <f>IFERROR(__xludf.DUMMYFUNCTION("if(H2765=""pays"",vlookup(REGEXEXTRACT(C2765, ""🏘️ \w+ \w+ (.*) ✅""),'Country prepositions'!A:B, 2, 0) &amp; "" "" &amp; REGEXEXTRACT(C2765, ""🏘️ \w+ \w+ (.*) ✅"") ,  if(H2765=""quartier"",vlookup(REGEXEXTRACT(C2765, ""🏘️ \w+ \w+ (.*) ✅""),'Quartier prepositio"&amp;"ns'!A:E, 5, 0) ,  if(H2765=""region"",vlookup(REGEXEXTRACT(C2765, ""🏘️ \w+ \w+ (.*) ✅""),'Region prepositions'!B:F, 5, 0),  REGEXEXTRACT(C2765, ""🏘️ \w+ \w+ (.*) ✅""))))"),"Veysonnaz")</f>
        <v>Veysonnaz</v>
      </c>
      <c r="F2765" s="2" t="str">
        <f>IFERROR(__xludf.DUMMYFUNCTION("REGEXEXTRACT(C2765, ""🏘️ (\w+) \w+ .* ✅"")"),"Louer")</f>
        <v>Louer</v>
      </c>
      <c r="G2765" s="2" t="str">
        <f>IFERROR(__xludf.DUMMYFUNCTION("REGEXEXTRACT(C2765, ""🏘️ \w+ (\w+) .* ✅"")"),"appartement")</f>
        <v>appartement</v>
      </c>
      <c r="H2765" s="4" t="str">
        <f>IFERROR(__xludf.DUMMYFUNCTION("REGEXEXTRACT(A2765, ""/(\w+)-.*?"")"),"lieu")</f>
        <v>lieu</v>
      </c>
      <c r="I2765" s="4" t="str">
        <f>IFERROR(__xludf.DUMMYFUNCTION("if(D2765=""variant"",  substitute(filter(Templates!E:E, Templates!A:A = F2765, Templates!B:B = G2765, Templates!C:C = H2765), ""{{}}"", E2765), B2765)"),"🏘  Vous cherchez un appartement à louer à Veysonnaz? ✅ Les annonces les plus actuelles sont sur ImmoScout24.ch.")</f>
        <v>🏘  Vous cherchez un appartement à louer à Veysonnaz? ✅ Les annonces les plus actuelles sont sur ImmoScout24.ch.</v>
      </c>
      <c r="J2765" s="4" t="s">
        <v>8291</v>
      </c>
    </row>
    <row r="2766">
      <c r="A2766" s="5" t="s">
        <v>8292</v>
      </c>
      <c r="B2766" s="2" t="s">
        <v>8293</v>
      </c>
      <c r="C2766" s="4" t="str">
        <f>IFERROR(__xludf.DUMMYFUNCTION("""🏘️ ""&amp;REGEXEXTRACT(B2766, ""^(.*): "")&amp;"" ✅ "" &amp;REGEXEXTRACT(B2766, ""(Trouvez.*)"")"),"🏘️ Vendre maison Lavaux - Vevey ✅ Trouvez le bien immobilier qui correspond idéalement à vos désirs sur ImmoScout24 - La plateforme de l'immobilier en Suisse.")</f>
        <v>🏘️ Vendre maison Lavaux - Vevey ✅ Trouvez le bien immobilier qui correspond idéalement à vos désirs sur ImmoScout24 - La plateforme de l'immobilier en Suisse.</v>
      </c>
      <c r="D2766" s="4" t="str">
        <f>vlookup(A2766, Sheet2!D:E, 2, 0)</f>
        <v>variant</v>
      </c>
      <c r="E2766" s="4" t="str">
        <f>IFERROR(__xludf.DUMMYFUNCTION("if(H2766=""pays"",vlookup(REGEXEXTRACT(C2766, ""🏘️ \w+ \w+ (.*) ✅""),'Country prepositions'!A:B, 2, 0) &amp; "" "" &amp; REGEXEXTRACT(C2766, ""🏘️ \w+ \w+ (.*) ✅"") ,  if(H2766=""quartier"",vlookup(REGEXEXTRACT(C2766, ""🏘️ \w+ \w+ (.*) ✅""),'Quartier prepositio"&amp;"ns'!A:E, 5, 0) ,  if(H2766=""region"",vlookup(REGEXEXTRACT(C2766, ""🏘️ \w+ \w+ (.*) ✅""),'Region prepositions'!B:F, 5, 0),  REGEXEXTRACT(C2766, ""🏘️ \w+ \w+ (.*) ✅""))))"),"dans la région de Lavaux - Vevey")</f>
        <v>dans la région de Lavaux - Vevey</v>
      </c>
      <c r="F2766" s="2" t="str">
        <f>IFERROR(__xludf.DUMMYFUNCTION("REGEXEXTRACT(C2766, ""🏘️ (\w+) \w+ .* ✅"")"),"Vendre")</f>
        <v>Vendre</v>
      </c>
      <c r="G2766" s="2" t="str">
        <f>IFERROR(__xludf.DUMMYFUNCTION("REGEXEXTRACT(C2766, ""🏘️ \w+ (\w+) .* ✅"")"),"maison")</f>
        <v>maison</v>
      </c>
      <c r="H2766" s="4" t="str">
        <f>IFERROR(__xludf.DUMMYFUNCTION("REGEXEXTRACT(A2766, ""/(\w+)-.*?"")"),"region")</f>
        <v>region</v>
      </c>
      <c r="I2766" s="4" t="str">
        <f>IFERROR(__xludf.DUMMYFUNCTION("if(D2766=""variant"",  substitute(filter(Templates!E:E, Templates!A:A = F2766, Templates!B:B = G2766, Templates!C:C = H2766), ""{{}}"", E2766), B2766)"),"🏘  Vous souhaitez acheter une maison dans la région de Lavaux - Vevey? ✅ Jetez un œil aux dernières offres sur ImmoScout24.ch.")</f>
        <v>🏘  Vous souhaitez acheter une maison dans la région de Lavaux - Vevey? ✅ Jetez un œil aux dernières offres sur ImmoScout24.ch.</v>
      </c>
      <c r="J2766" s="4" t="s">
        <v>8294</v>
      </c>
    </row>
    <row r="2767">
      <c r="A2767" s="5" t="s">
        <v>8295</v>
      </c>
      <c r="B2767" s="2" t="s">
        <v>8296</v>
      </c>
      <c r="C2767" s="4" t="str">
        <f>IFERROR(__xludf.DUMMYFUNCTION("""🏘️ ""&amp;REGEXEXTRACT(B2767, ""^(.*): "")&amp;"" ✅ "" &amp;REGEXEXTRACT(B2767, ""(Trouvez.*)"")"),"🏘️ Louer appartement Naz ✅ Trouvez le bien immobilier qui correspond idéalement à vos désirs sur ImmoScout24 - La plateforme de l'immobilier en Suisse.")</f>
        <v>🏘️ Louer appartement Naz ✅ Trouvez le bien immobilier qui correspond idéalement à vos désirs sur ImmoScout24 - La plateforme de l'immobilier en Suisse.</v>
      </c>
      <c r="D2767" s="4" t="str">
        <f>vlookup(A2767, Sheet2!D:E, 2, 0)</f>
        <v>variant</v>
      </c>
      <c r="E2767" s="4" t="str">
        <f>IFERROR(__xludf.DUMMYFUNCTION("if(H2767=""pays"",vlookup(REGEXEXTRACT(C2767, ""🏘️ \w+ \w+ (.*) ✅""),'Country prepositions'!A:B, 2, 0) &amp; "" "" &amp; REGEXEXTRACT(C2767, ""🏘️ \w+ \w+ (.*) ✅"") ,  if(H2767=""quartier"",vlookup(REGEXEXTRACT(C2767, ""🏘️ \w+ \w+ (.*) ✅""),'Quartier prepositio"&amp;"ns'!A:E, 5, 0) ,  if(H2767=""region"",vlookup(REGEXEXTRACT(C2767, ""🏘️ \w+ \w+ (.*) ✅""),'Region prepositions'!B:F, 5, 0),  REGEXEXTRACT(C2767, ""🏘️ \w+ \w+ (.*) ✅""))))"),"Naz")</f>
        <v>Naz</v>
      </c>
      <c r="F2767" s="2" t="str">
        <f>IFERROR(__xludf.DUMMYFUNCTION("REGEXEXTRACT(C2767, ""🏘️ (\w+) \w+ .* ✅"")"),"Louer")</f>
        <v>Louer</v>
      </c>
      <c r="G2767" s="2" t="str">
        <f>IFERROR(__xludf.DUMMYFUNCTION("REGEXEXTRACT(C2767, ""🏘️ \w+ (\w+) .* ✅"")"),"appartement")</f>
        <v>appartement</v>
      </c>
      <c r="H2767" s="4" t="str">
        <f>IFERROR(__xludf.DUMMYFUNCTION("REGEXEXTRACT(A2767, ""/(\w+)-.*?"")"),"lieu")</f>
        <v>lieu</v>
      </c>
      <c r="I2767" s="4" t="str">
        <f>IFERROR(__xludf.DUMMYFUNCTION("if(D2767=""variant"",  substitute(filter(Templates!E:E, Templates!A:A = F2767, Templates!B:B = G2767, Templates!C:C = H2767), ""{{}}"", E2767), B2767)"),"🏘  Vous cherchez un appartement à louer à Naz? ✅ Les annonces les plus actuelles sont sur ImmoScout24.ch.")</f>
        <v>🏘  Vous cherchez un appartement à louer à Naz? ✅ Les annonces les plus actuelles sont sur ImmoScout24.ch.</v>
      </c>
      <c r="J2767" s="4" t="s">
        <v>8297</v>
      </c>
    </row>
    <row r="2768">
      <c r="A2768" s="5" t="s">
        <v>8298</v>
      </c>
      <c r="B2768" s="2" t="s">
        <v>8299</v>
      </c>
      <c r="C2768" s="4" t="str">
        <f>IFERROR(__xludf.DUMMYFUNCTION("""🏘️ ""&amp;REGEXEXTRACT(B2768, ""^(.*): "")&amp;"" ✅ "" &amp;REGEXEXTRACT(B2768, ""(Trouvez.*)"")"),"🏘️ Vendre appartement Breitenbach ✅ Trouvez le bien immobilier qui correspond idéalement à vos désirs sur ImmoScout24 - La plateforme de l'immobilier en Suisse.")</f>
        <v>🏘️ Vendre appartement Breitenbach ✅ Trouvez le bien immobilier qui correspond idéalement à vos désirs sur ImmoScout24 - La plateforme de l'immobilier en Suisse.</v>
      </c>
      <c r="D2768" s="4" t="str">
        <f>vlookup(A2768, Sheet2!D:E, 2, 0)</f>
        <v>variant</v>
      </c>
      <c r="E2768" s="4" t="str">
        <f>IFERROR(__xludf.DUMMYFUNCTION("if(H2768=""pays"",vlookup(REGEXEXTRACT(C2768, ""🏘️ \w+ \w+ (.*) ✅""),'Country prepositions'!A:B, 2, 0) &amp; "" "" &amp; REGEXEXTRACT(C2768, ""🏘️ \w+ \w+ (.*) ✅"") ,  if(H2768=""quartier"",vlookup(REGEXEXTRACT(C2768, ""🏘️ \w+ \w+ (.*) ✅""),'Quartier prepositio"&amp;"ns'!A:E, 5, 0) ,  if(H2768=""region"",vlookup(REGEXEXTRACT(C2768, ""🏘️ \w+ \w+ (.*) ✅""),'Region prepositions'!B:F, 5, 0),  REGEXEXTRACT(C2768, ""🏘️ \w+ \w+ (.*) ✅""))))"),"Breitenbach")</f>
        <v>Breitenbach</v>
      </c>
      <c r="F2768" s="2" t="str">
        <f>IFERROR(__xludf.DUMMYFUNCTION("REGEXEXTRACT(C2768, ""🏘️ (\w+) \w+ .* ✅"")"),"Vendre")</f>
        <v>Vendre</v>
      </c>
      <c r="G2768" s="2" t="str">
        <f>IFERROR(__xludf.DUMMYFUNCTION("REGEXEXTRACT(C2768, ""🏘️ \w+ (\w+) .* ✅"")"),"appartement")</f>
        <v>appartement</v>
      </c>
      <c r="H2768" s="4" t="str">
        <f>IFERROR(__xludf.DUMMYFUNCTION("REGEXEXTRACT(A2768, ""/(\w+)-.*?"")"),"lieu")</f>
        <v>lieu</v>
      </c>
      <c r="I2768" s="4" t="str">
        <f>IFERROR(__xludf.DUMMYFUNCTION("if(D2768=""variant"",  substitute(filter(Templates!E:E, Templates!A:A = F2768, Templates!B:B = G2768, Templates!C:C = H2768), ""{{}}"", E2768), B2768)"),"🏘  L’appartement de vos rêves se trouve sur ImmoScout24.ch ✅ Découvrez les dernières annonces de vente à Breitenbach.")</f>
        <v>🏘  L’appartement de vos rêves se trouve sur ImmoScout24.ch ✅ Découvrez les dernières annonces de vente à Breitenbach.</v>
      </c>
      <c r="J2768" s="4" t="s">
        <v>8300</v>
      </c>
    </row>
    <row r="2769">
      <c r="A2769" s="5" t="s">
        <v>8301</v>
      </c>
      <c r="B2769" s="2" t="s">
        <v>8302</v>
      </c>
      <c r="C2769" s="4" t="str">
        <f>IFERROR(__xludf.DUMMYFUNCTION("""🏘️ ""&amp;REGEXEXTRACT(B2769, ""^(.*): "")&amp;"" ✅ "" &amp;REGEXEXTRACT(B2769, ""(Trouvez.*)"")"),"🏘️ Vendre maison Röthenbach im Emmental ✅ Trouvez le bien immobilier qui correspond idéalement à vos désirs sur ImmoScout24 - La plateforme de l'immobilier en Suisse.")</f>
        <v>🏘️ Vendre maison Röthenbach im Emmental ✅ Trouvez le bien immobilier qui correspond idéalement à vos désirs sur ImmoScout24 - La plateforme de l'immobilier en Suisse.</v>
      </c>
      <c r="D2769" s="4" t="str">
        <f>vlookup(A2769, Sheet2!D:E, 2, 0)</f>
        <v>variant</v>
      </c>
      <c r="E2769" s="4" t="str">
        <f>IFERROR(__xludf.DUMMYFUNCTION("if(H2769=""pays"",vlookup(REGEXEXTRACT(C2769, ""🏘️ \w+ \w+ (.*) ✅""),'Country prepositions'!A:B, 2, 0) &amp; "" "" &amp; REGEXEXTRACT(C2769, ""🏘️ \w+ \w+ (.*) ✅"") ,  if(H2769=""quartier"",vlookup(REGEXEXTRACT(C2769, ""🏘️ \w+ \w+ (.*) ✅""),'Quartier prepositio"&amp;"ns'!A:E, 5, 0) ,  if(H2769=""region"",vlookup(REGEXEXTRACT(C2769, ""🏘️ \w+ \w+ (.*) ✅""),'Region prepositions'!B:F, 5, 0),  REGEXEXTRACT(C2769, ""🏘️ \w+ \w+ (.*) ✅""))))"),"Röthenbach im Emmental")</f>
        <v>Röthenbach im Emmental</v>
      </c>
      <c r="F2769" s="2" t="str">
        <f>IFERROR(__xludf.DUMMYFUNCTION("REGEXEXTRACT(C2769, ""🏘️ (\w+) \w+ .* ✅"")"),"Vendre")</f>
        <v>Vendre</v>
      </c>
      <c r="G2769" s="2" t="str">
        <f>IFERROR(__xludf.DUMMYFUNCTION("REGEXEXTRACT(C2769, ""🏘️ \w+ (\w+) .* ✅"")"),"maison")</f>
        <v>maison</v>
      </c>
      <c r="H2769" s="4" t="str">
        <f>IFERROR(__xludf.DUMMYFUNCTION("REGEXEXTRACT(A2769, ""/(\w+)-.*?"")"),"lieu")</f>
        <v>lieu</v>
      </c>
      <c r="I2769" s="4" t="str">
        <f>IFERROR(__xludf.DUMMYFUNCTION("if(D2769=""variant"",  substitute(filter(Templates!E:E, Templates!A:A = F2769, Templates!B:B = G2769, Templates!C:C = H2769), ""{{}}"", E2769), B2769)"),"🏘  Vous souhaitez acheter une maison à Röthenbach im Emmental? ✅ Jetez un œil aux dernières offres sur ImmoScout24.ch.")</f>
        <v>🏘  Vous souhaitez acheter une maison à Röthenbach im Emmental? ✅ Jetez un œil aux dernières offres sur ImmoScout24.ch.</v>
      </c>
      <c r="J2769" s="4" t="s">
        <v>8303</v>
      </c>
    </row>
    <row r="2770">
      <c r="A2770" s="5" t="s">
        <v>8304</v>
      </c>
      <c r="B2770" s="2" t="s">
        <v>8305</v>
      </c>
      <c r="C2770" s="4" t="str">
        <f>IFERROR(__xludf.DUMMYFUNCTION("""🏘️ ""&amp;REGEXEXTRACT(B2770, ""^(.*): "")&amp;"" ✅ "" &amp;REGEXEXTRACT(B2770, ""(Trouvez.*)"")"),"🏘️ Vendre maison Noiraigue ✅ Trouvez le bien immobilier qui correspond idéalement à vos désirs sur ImmoScout24 - La plateforme de l'immobilier en Suisse.")</f>
        <v>🏘️ Vendre maison Noiraigue ✅ Trouvez le bien immobilier qui correspond idéalement à vos désirs sur ImmoScout24 - La plateforme de l'immobilier en Suisse.</v>
      </c>
      <c r="D2770" s="4" t="str">
        <f>vlookup(A2770, Sheet2!D:E, 2, 0)</f>
        <v>variant</v>
      </c>
      <c r="E2770" s="4" t="str">
        <f>IFERROR(__xludf.DUMMYFUNCTION("if(H2770=""pays"",vlookup(REGEXEXTRACT(C2770, ""🏘️ \w+ \w+ (.*) ✅""),'Country prepositions'!A:B, 2, 0) &amp; "" "" &amp; REGEXEXTRACT(C2770, ""🏘️ \w+ \w+ (.*) ✅"") ,  if(H2770=""quartier"",vlookup(REGEXEXTRACT(C2770, ""🏘️ \w+ \w+ (.*) ✅""),'Quartier prepositio"&amp;"ns'!A:E, 5, 0) ,  if(H2770=""region"",vlookup(REGEXEXTRACT(C2770, ""🏘️ \w+ \w+ (.*) ✅""),'Region prepositions'!B:F, 5, 0),  REGEXEXTRACT(C2770, ""🏘️ \w+ \w+ (.*) ✅""))))"),"Noiraigue")</f>
        <v>Noiraigue</v>
      </c>
      <c r="F2770" s="2" t="str">
        <f>IFERROR(__xludf.DUMMYFUNCTION("REGEXEXTRACT(C2770, ""🏘️ (\w+) \w+ .* ✅"")"),"Vendre")</f>
        <v>Vendre</v>
      </c>
      <c r="G2770" s="2" t="str">
        <f>IFERROR(__xludf.DUMMYFUNCTION("REGEXEXTRACT(C2770, ""🏘️ \w+ (\w+) .* ✅"")"),"maison")</f>
        <v>maison</v>
      </c>
      <c r="H2770" s="4" t="str">
        <f>IFERROR(__xludf.DUMMYFUNCTION("REGEXEXTRACT(A2770, ""/(\w+)-.*?"")"),"lieu")</f>
        <v>lieu</v>
      </c>
      <c r="I2770" s="4" t="str">
        <f>IFERROR(__xludf.DUMMYFUNCTION("if(D2770=""variant"",  substitute(filter(Templates!E:E, Templates!A:A = F2770, Templates!B:B = G2770, Templates!C:C = H2770), ""{{}}"", E2770), B2770)"),"🏘  Vous souhaitez acheter une maison à Noiraigue? ✅ Jetez un œil aux dernières offres sur ImmoScout24.ch.")</f>
        <v>🏘  Vous souhaitez acheter une maison à Noiraigue? ✅ Jetez un œil aux dernières offres sur ImmoScout24.ch.</v>
      </c>
      <c r="J2770" s="4" t="s">
        <v>8306</v>
      </c>
    </row>
    <row r="2771">
      <c r="A2771" s="5" t="s">
        <v>8307</v>
      </c>
      <c r="B2771" s="2" t="s">
        <v>8308</v>
      </c>
      <c r="C2771" s="4" t="str">
        <f>IFERROR(__xludf.DUMMYFUNCTION("""🏘️ ""&amp;REGEXEXTRACT(B2771, ""^(.*): "")&amp;"" ✅ "" &amp;REGEXEXTRACT(B2771, ""(Trouvez.*)"")"),"🏘️ Vendre appartement Villars-sur-Glâne ✅ Trouvez le bien immobilier qui correspond idéalement à vos désirs sur ImmoScout24 - La plateforme de l'immobilier en Suisse.")</f>
        <v>🏘️ Vendre appartement Villars-sur-Glâne ✅ Trouvez le bien immobilier qui correspond idéalement à vos désirs sur ImmoScout24 - La plateforme de l'immobilier en Suisse.</v>
      </c>
      <c r="D2771" s="4" t="str">
        <f>vlookup(A2771, Sheet2!D:E, 2, 0)</f>
        <v>variant</v>
      </c>
      <c r="E2771" s="4" t="str">
        <f>IFERROR(__xludf.DUMMYFUNCTION("if(H2771=""pays"",vlookup(REGEXEXTRACT(C2771, ""🏘️ \w+ \w+ (.*) ✅""),'Country prepositions'!A:B, 2, 0) &amp; "" "" &amp; REGEXEXTRACT(C2771, ""🏘️ \w+ \w+ (.*) ✅"") ,  if(H2771=""quartier"",vlookup(REGEXEXTRACT(C2771, ""🏘️ \w+ \w+ (.*) ✅""),'Quartier prepositio"&amp;"ns'!A:E, 5, 0) ,  if(H2771=""region"",vlookup(REGEXEXTRACT(C2771, ""🏘️ \w+ \w+ (.*) ✅""),'Region prepositions'!B:F, 5, 0),  REGEXEXTRACT(C2771, ""🏘️ \w+ \w+ (.*) ✅""))))"),"Villars-sur-Glâne")</f>
        <v>Villars-sur-Glâne</v>
      </c>
      <c r="F2771" s="2" t="str">
        <f>IFERROR(__xludf.DUMMYFUNCTION("REGEXEXTRACT(C2771, ""🏘️ (\w+) \w+ .* ✅"")"),"Vendre")</f>
        <v>Vendre</v>
      </c>
      <c r="G2771" s="2" t="str">
        <f>IFERROR(__xludf.DUMMYFUNCTION("REGEXEXTRACT(C2771, ""🏘️ \w+ (\w+) .* ✅"")"),"appartement")</f>
        <v>appartement</v>
      </c>
      <c r="H2771" s="4" t="str">
        <f>IFERROR(__xludf.DUMMYFUNCTION("REGEXEXTRACT(A2771, ""/(\w+)-.*?"")"),"lieu")</f>
        <v>lieu</v>
      </c>
      <c r="I2771" s="4" t="str">
        <f>IFERROR(__xludf.DUMMYFUNCTION("if(D2771=""variant"",  substitute(filter(Templates!E:E, Templates!A:A = F2771, Templates!B:B = G2771, Templates!C:C = H2771), ""{{}}"", E2771), B2771)"),"🏘  L’appartement de vos rêves se trouve sur ImmoScout24.ch ✅ Découvrez les dernières annonces de vente à Villars-sur-Glâne.")</f>
        <v>🏘  L’appartement de vos rêves se trouve sur ImmoScout24.ch ✅ Découvrez les dernières annonces de vente à Villars-sur-Glâne.</v>
      </c>
      <c r="J2771" s="4" t="s">
        <v>8309</v>
      </c>
    </row>
    <row r="2772">
      <c r="A2772" s="5" t="s">
        <v>8310</v>
      </c>
      <c r="B2772" s="2" t="s">
        <v>8311</v>
      </c>
      <c r="C2772" s="4" t="str">
        <f>IFERROR(__xludf.DUMMYFUNCTION("""🏘️ ""&amp;REGEXEXTRACT(B2772, ""^(.*): "")&amp;"" ✅ "" &amp;REGEXEXTRACT(B2772, ""(Trouvez.*)"")"),"🏘️ Louer appartement St. Margrethen SG ✅ Trouvez le bien immobilier qui correspond idéalement à vos désirs sur ImmoScout24 - La plateforme de l'immobilier en Suisse.")</f>
        <v>🏘️ Louer appartement St. Margrethen SG ✅ Trouvez le bien immobilier qui correspond idéalement à vos désirs sur ImmoScout24 - La plateforme de l'immobilier en Suisse.</v>
      </c>
      <c r="D2772" s="4" t="str">
        <f>vlookup(A2772, Sheet2!D:E, 2, 0)</f>
        <v>variant</v>
      </c>
      <c r="E2772" s="4" t="str">
        <f>IFERROR(__xludf.DUMMYFUNCTION("if(H2772=""pays"",vlookup(REGEXEXTRACT(C2772, ""🏘️ \w+ \w+ (.*) ✅""),'Country prepositions'!A:B, 2, 0) &amp; "" "" &amp; REGEXEXTRACT(C2772, ""🏘️ \w+ \w+ (.*) ✅"") ,  if(H2772=""quartier"",vlookup(REGEXEXTRACT(C2772, ""🏘️ \w+ \w+ (.*) ✅""),'Quartier prepositio"&amp;"ns'!A:E, 5, 0) ,  if(H2772=""region"",vlookup(REGEXEXTRACT(C2772, ""🏘️ \w+ \w+ (.*) ✅""),'Region prepositions'!B:F, 5, 0),  REGEXEXTRACT(C2772, ""🏘️ \w+ \w+ (.*) ✅""))))"),"St. Margrethen SG")</f>
        <v>St. Margrethen SG</v>
      </c>
      <c r="F2772" s="2" t="str">
        <f>IFERROR(__xludf.DUMMYFUNCTION("REGEXEXTRACT(C2772, ""🏘️ (\w+) \w+ .* ✅"")"),"Louer")</f>
        <v>Louer</v>
      </c>
      <c r="G2772" s="2" t="str">
        <f>IFERROR(__xludf.DUMMYFUNCTION("REGEXEXTRACT(C2772, ""🏘️ \w+ (\w+) .* ✅"")"),"appartement")</f>
        <v>appartement</v>
      </c>
      <c r="H2772" s="4" t="str">
        <f>IFERROR(__xludf.DUMMYFUNCTION("REGEXEXTRACT(A2772, ""/(\w+)-.*?"")"),"lieu")</f>
        <v>lieu</v>
      </c>
      <c r="I2772" s="4" t="str">
        <f>IFERROR(__xludf.DUMMYFUNCTION("if(D2772=""variant"",  substitute(filter(Templates!E:E, Templates!A:A = F2772, Templates!B:B = G2772, Templates!C:C = H2772), ""{{}}"", E2772), B2772)"),"🏘  Vous cherchez un appartement à louer à St. Margrethen SG? ✅ Les annonces les plus actuelles sont sur ImmoScout24.ch.")</f>
        <v>🏘  Vous cherchez un appartement à louer à St. Margrethen SG? ✅ Les annonces les plus actuelles sont sur ImmoScout24.ch.</v>
      </c>
      <c r="J2772" s="4" t="s">
        <v>8312</v>
      </c>
    </row>
    <row r="2773">
      <c r="A2773" s="5" t="s">
        <v>8313</v>
      </c>
      <c r="B2773" s="2" t="s">
        <v>8314</v>
      </c>
      <c r="C2773" s="4" t="str">
        <f>IFERROR(__xludf.DUMMYFUNCTION("""🏘️ ""&amp;REGEXEXTRACT(B2773, ""^(.*): "")&amp;"" ✅ "" &amp;REGEXEXTRACT(B2773, ""(Trouvez.*)"")"),"🏘️ Vendre maison Luzern ✅ Trouvez le bien immobilier qui correspond idéalement à vos désirs sur ImmoScout24 - La plateforme de l'immobilier en Suisse.")</f>
        <v>🏘️ Vendre maison Luzern ✅ Trouvez le bien immobilier qui correspond idéalement à vos désirs sur ImmoScout24 - La plateforme de l'immobilier en Suisse.</v>
      </c>
      <c r="D2773" s="4" t="str">
        <f>vlookup(A2773, Sheet2!D:E, 2, 0)</f>
        <v>variant</v>
      </c>
      <c r="E2773" s="4" t="str">
        <f>IFERROR(__xludf.DUMMYFUNCTION("if(H2773=""pays"",vlookup(REGEXEXTRACT(C2773, ""🏘️ \w+ \w+ (.*) ✅""),'Country prepositions'!A:B, 2, 0) &amp; "" "" &amp; REGEXEXTRACT(C2773, ""🏘️ \w+ \w+ (.*) ✅"") ,  if(H2773=""quartier"",vlookup(REGEXEXTRACT(C2773, ""🏘️ \w+ \w+ (.*) ✅""),'Quartier prepositio"&amp;"ns'!A:E, 5, 0) ,  if(H2773=""region"",vlookup(REGEXEXTRACT(C2773, ""🏘️ \w+ \w+ (.*) ✅""),'Region prepositions'!B:F, 5, 0),  REGEXEXTRACT(C2773, ""🏘️ \w+ \w+ (.*) ✅""))))"),"Luzern")</f>
        <v>Luzern</v>
      </c>
      <c r="F2773" s="2" t="str">
        <f>IFERROR(__xludf.DUMMYFUNCTION("REGEXEXTRACT(C2773, ""🏘️ (\w+) \w+ .* ✅"")"),"Vendre")</f>
        <v>Vendre</v>
      </c>
      <c r="G2773" s="2" t="str">
        <f>IFERROR(__xludf.DUMMYFUNCTION("REGEXEXTRACT(C2773, ""🏘️ \w+ (\w+) .* ✅"")"),"maison")</f>
        <v>maison</v>
      </c>
      <c r="H2773" s="4" t="str">
        <f>IFERROR(__xludf.DUMMYFUNCTION("REGEXEXTRACT(A2773, ""/(\w+)-.*?"")"),"lieu")</f>
        <v>lieu</v>
      </c>
      <c r="I2773" s="4" t="str">
        <f>IFERROR(__xludf.DUMMYFUNCTION("if(D2773=""variant"",  substitute(filter(Templates!E:E, Templates!A:A = F2773, Templates!B:B = G2773, Templates!C:C = H2773), ""{{}}"", E2773), B2773)"),"🏘  Vous souhaitez acheter une maison à Luzern? ✅ Jetez un œil aux dernières offres sur ImmoScout24.ch.")</f>
        <v>🏘  Vous souhaitez acheter une maison à Luzern? ✅ Jetez un œil aux dernières offres sur ImmoScout24.ch.</v>
      </c>
      <c r="J2773" s="4" t="s">
        <v>8315</v>
      </c>
    </row>
    <row r="2774">
      <c r="A2774" s="5" t="s">
        <v>8316</v>
      </c>
      <c r="B2774" s="2" t="s">
        <v>8317</v>
      </c>
      <c r="C2774" s="4" t="str">
        <f>IFERROR(__xludf.DUMMYFUNCTION("""🏘️ ""&amp;REGEXEXTRACT(B2774, ""^(.*): "")&amp;"" ✅ "" &amp;REGEXEXTRACT(B2774, ""(Trouvez.*)"")"),"🏘️ Louer appartement Réchy ✅ Trouvez le bien immobilier qui correspond idéalement à vos désirs sur ImmoScout24 - La plateforme de l'immobilier en Suisse.")</f>
        <v>🏘️ Louer appartement Réchy ✅ Trouvez le bien immobilier qui correspond idéalement à vos désirs sur ImmoScout24 - La plateforme de l'immobilier en Suisse.</v>
      </c>
      <c r="D2774" s="4" t="str">
        <f>vlookup(A2774, Sheet2!D:E, 2, 0)</f>
        <v>variant</v>
      </c>
      <c r="E2774" s="4" t="str">
        <f>IFERROR(__xludf.DUMMYFUNCTION("if(H2774=""pays"",vlookup(REGEXEXTRACT(C2774, ""🏘️ \w+ \w+ (.*) ✅""),'Country prepositions'!A:B, 2, 0) &amp; "" "" &amp; REGEXEXTRACT(C2774, ""🏘️ \w+ \w+ (.*) ✅"") ,  if(H2774=""quartier"",vlookup(REGEXEXTRACT(C2774, ""🏘️ \w+ \w+ (.*) ✅""),'Quartier prepositio"&amp;"ns'!A:E, 5, 0) ,  if(H2774=""region"",vlookup(REGEXEXTRACT(C2774, ""🏘️ \w+ \w+ (.*) ✅""),'Region prepositions'!B:F, 5, 0),  REGEXEXTRACT(C2774, ""🏘️ \w+ \w+ (.*) ✅""))))"),"Réchy")</f>
        <v>Réchy</v>
      </c>
      <c r="F2774" s="2" t="str">
        <f>IFERROR(__xludf.DUMMYFUNCTION("REGEXEXTRACT(C2774, ""🏘️ (\w+) \w+ .* ✅"")"),"Louer")</f>
        <v>Louer</v>
      </c>
      <c r="G2774" s="2" t="str">
        <f>IFERROR(__xludf.DUMMYFUNCTION("REGEXEXTRACT(C2774, ""🏘️ \w+ (\w+) .* ✅"")"),"appartement")</f>
        <v>appartement</v>
      </c>
      <c r="H2774" s="4" t="str">
        <f>IFERROR(__xludf.DUMMYFUNCTION("REGEXEXTRACT(A2774, ""/(\w+)-.*?"")"),"lieu")</f>
        <v>lieu</v>
      </c>
      <c r="I2774" s="4" t="str">
        <f>IFERROR(__xludf.DUMMYFUNCTION("if(D2774=""variant"",  substitute(filter(Templates!E:E, Templates!A:A = F2774, Templates!B:B = G2774, Templates!C:C = H2774), ""{{}}"", E2774), B2774)"),"🏘  Vous cherchez un appartement à louer à Réchy? ✅ Les annonces les plus actuelles sont sur ImmoScout24.ch.")</f>
        <v>🏘  Vous cherchez un appartement à louer à Réchy? ✅ Les annonces les plus actuelles sont sur ImmoScout24.ch.</v>
      </c>
      <c r="J2774" s="4" t="s">
        <v>8318</v>
      </c>
    </row>
    <row r="2775">
      <c r="A2775" s="5" t="s">
        <v>8319</v>
      </c>
      <c r="B2775" s="2" t="s">
        <v>8320</v>
      </c>
      <c r="C2775" s="4" t="str">
        <f>IFERROR(__xludf.DUMMYFUNCTION("""🏘️ ""&amp;REGEXEXTRACT(B2775, ""^(.*): "")&amp;"" ✅ "" &amp;REGEXEXTRACT(B2775, ""(Trouvez.*)"")"),"🏘️ Louer appartement Ipsach ✅ Trouvez le bien immobilier qui correspond idéalement à vos désirs sur ImmoScout24 - La plateforme de l'immobilier en Suisse.")</f>
        <v>🏘️ Louer appartement Ipsach ✅ Trouvez le bien immobilier qui correspond idéalement à vos désirs sur ImmoScout24 - La plateforme de l'immobilier en Suisse.</v>
      </c>
      <c r="D2775" s="4" t="str">
        <f>vlookup(A2775, Sheet2!D:E, 2, 0)</f>
        <v>variant</v>
      </c>
      <c r="E2775" s="4" t="str">
        <f>IFERROR(__xludf.DUMMYFUNCTION("if(H2775=""pays"",vlookup(REGEXEXTRACT(C2775, ""🏘️ \w+ \w+ (.*) ✅""),'Country prepositions'!A:B, 2, 0) &amp; "" "" &amp; REGEXEXTRACT(C2775, ""🏘️ \w+ \w+ (.*) ✅"") ,  if(H2775=""quartier"",vlookup(REGEXEXTRACT(C2775, ""🏘️ \w+ \w+ (.*) ✅""),'Quartier prepositio"&amp;"ns'!A:E, 5, 0) ,  if(H2775=""region"",vlookup(REGEXEXTRACT(C2775, ""🏘️ \w+ \w+ (.*) ✅""),'Region prepositions'!B:F, 5, 0),  REGEXEXTRACT(C2775, ""🏘️ \w+ \w+ (.*) ✅""))))"),"Ipsach")</f>
        <v>Ipsach</v>
      </c>
      <c r="F2775" s="2" t="str">
        <f>IFERROR(__xludf.DUMMYFUNCTION("REGEXEXTRACT(C2775, ""🏘️ (\w+) \w+ .* ✅"")"),"Louer")</f>
        <v>Louer</v>
      </c>
      <c r="G2775" s="2" t="str">
        <f>IFERROR(__xludf.DUMMYFUNCTION("REGEXEXTRACT(C2775, ""🏘️ \w+ (\w+) .* ✅"")"),"appartement")</f>
        <v>appartement</v>
      </c>
      <c r="H2775" s="4" t="str">
        <f>IFERROR(__xludf.DUMMYFUNCTION("REGEXEXTRACT(A2775, ""/(\w+)-.*?"")"),"lieu")</f>
        <v>lieu</v>
      </c>
      <c r="I2775" s="4" t="str">
        <f>IFERROR(__xludf.DUMMYFUNCTION("if(D2775=""variant"",  substitute(filter(Templates!E:E, Templates!A:A = F2775, Templates!B:B = G2775, Templates!C:C = H2775), ""{{}}"", E2775), B2775)"),"🏘  Vous cherchez un appartement à louer à Ipsach? ✅ Les annonces les plus actuelles sont sur ImmoScout24.ch.")</f>
        <v>🏘  Vous cherchez un appartement à louer à Ipsach? ✅ Les annonces les plus actuelles sont sur ImmoScout24.ch.</v>
      </c>
      <c r="J2775" s="4" t="s">
        <v>8321</v>
      </c>
    </row>
    <row r="2776">
      <c r="A2776" s="5" t="s">
        <v>8322</v>
      </c>
      <c r="B2776" s="2" t="s">
        <v>8323</v>
      </c>
      <c r="C2776" s="4" t="str">
        <f>IFERROR(__xludf.DUMMYFUNCTION("""🏘️ ""&amp;REGEXEXTRACT(B2776, ""^(.*): "")&amp;"" ✅ "" &amp;REGEXEXTRACT(B2776, ""(Trouvez.*)"")"),"🏘️ Vendre maison Heerbrugg ✅ Trouvez le bien immobilier qui correspond idéalement à vos désirs sur ImmoScout24 - La plateforme de l'immobilier en Suisse.")</f>
        <v>🏘️ Vendre maison Heerbrugg ✅ Trouvez le bien immobilier qui correspond idéalement à vos désirs sur ImmoScout24 - La plateforme de l'immobilier en Suisse.</v>
      </c>
      <c r="D2776" s="4" t="str">
        <f>vlookup(A2776, Sheet2!D:E, 2, 0)</f>
        <v>variant</v>
      </c>
      <c r="E2776" s="4" t="str">
        <f>IFERROR(__xludf.DUMMYFUNCTION("if(H2776=""pays"",vlookup(REGEXEXTRACT(C2776, ""🏘️ \w+ \w+ (.*) ✅""),'Country prepositions'!A:B, 2, 0) &amp; "" "" &amp; REGEXEXTRACT(C2776, ""🏘️ \w+ \w+ (.*) ✅"") ,  if(H2776=""quartier"",vlookup(REGEXEXTRACT(C2776, ""🏘️ \w+ \w+ (.*) ✅""),'Quartier prepositio"&amp;"ns'!A:E, 5, 0) ,  if(H2776=""region"",vlookup(REGEXEXTRACT(C2776, ""🏘️ \w+ \w+ (.*) ✅""),'Region prepositions'!B:F, 5, 0),  REGEXEXTRACT(C2776, ""🏘️ \w+ \w+ (.*) ✅""))))"),"Heerbrugg")</f>
        <v>Heerbrugg</v>
      </c>
      <c r="F2776" s="2" t="str">
        <f>IFERROR(__xludf.DUMMYFUNCTION("REGEXEXTRACT(C2776, ""🏘️ (\w+) \w+ .* ✅"")"),"Vendre")</f>
        <v>Vendre</v>
      </c>
      <c r="G2776" s="2" t="str">
        <f>IFERROR(__xludf.DUMMYFUNCTION("REGEXEXTRACT(C2776, ""🏘️ \w+ (\w+) .* ✅"")"),"maison")</f>
        <v>maison</v>
      </c>
      <c r="H2776" s="4" t="str">
        <f>IFERROR(__xludf.DUMMYFUNCTION("REGEXEXTRACT(A2776, ""/(\w+)-.*?"")"),"lieu")</f>
        <v>lieu</v>
      </c>
      <c r="I2776" s="4" t="str">
        <f>IFERROR(__xludf.DUMMYFUNCTION("if(D2776=""variant"",  substitute(filter(Templates!E:E, Templates!A:A = F2776, Templates!B:B = G2776, Templates!C:C = H2776), ""{{}}"", E2776), B2776)"),"🏘  Vous souhaitez acheter une maison à Heerbrugg? ✅ Jetez un œil aux dernières offres sur ImmoScout24.ch.")</f>
        <v>🏘  Vous souhaitez acheter une maison à Heerbrugg? ✅ Jetez un œil aux dernières offres sur ImmoScout24.ch.</v>
      </c>
      <c r="J2776" s="4" t="s">
        <v>8324</v>
      </c>
    </row>
    <row r="2777">
      <c r="A2777" s="5" t="s">
        <v>8325</v>
      </c>
      <c r="B2777" s="2" t="s">
        <v>8326</v>
      </c>
      <c r="C2777" s="4" t="str">
        <f>IFERROR(__xludf.DUMMYFUNCTION("""🏘️ ""&amp;REGEXEXTRACT(B2777, ""^(.*): "")&amp;"" ✅ "" &amp;REGEXEXTRACT(B2777, ""(Trouvez.*)"")"),"🏘️ Vendre appartement Lausanne et environs ✅ Trouvez le bien immobilier qui correspond idéalement à vos désirs sur ImmoScout24 - La plateforme de l'immobilier en Suisse.")</f>
        <v>🏘️ Vendre appartement Lausanne et environs ✅ Trouvez le bien immobilier qui correspond idéalement à vos désirs sur ImmoScout24 - La plateforme de l'immobilier en Suisse.</v>
      </c>
      <c r="D2777" s="4" t="str">
        <f>vlookup(A2777, Sheet2!D:E, 2, 0)</f>
        <v>variant</v>
      </c>
      <c r="E2777" s="4" t="str">
        <f>IFERROR(__xludf.DUMMYFUNCTION("if(H2777=""pays"",vlookup(REGEXEXTRACT(C2777, ""🏘️ \w+ \w+ (.*) ✅""),'Country prepositions'!A:B, 2, 0) &amp; "" "" &amp; REGEXEXTRACT(C2777, ""🏘️ \w+ \w+ (.*) ✅"") ,  if(H2777=""quartier"",vlookup(REGEXEXTRACT(C2777, ""🏘️ \w+ \w+ (.*) ✅""),'Quartier prepositio"&amp;"ns'!A:E, 5, 0) ,  if(H2777=""region"",vlookup(REGEXEXTRACT(C2777, ""🏘️ \w+ \w+ (.*) ✅""),'Region prepositions'!B:F, 5, 0),  REGEXEXTRACT(C2777, ""🏘️ \w+ \w+ (.*) ✅""))))"),"à Lausanne et environs")</f>
        <v>à Lausanne et environs</v>
      </c>
      <c r="F2777" s="2" t="str">
        <f>IFERROR(__xludf.DUMMYFUNCTION("REGEXEXTRACT(C2777, ""🏘️ (\w+) \w+ .* ✅"")"),"Vendre")</f>
        <v>Vendre</v>
      </c>
      <c r="G2777" s="2" t="str">
        <f>IFERROR(__xludf.DUMMYFUNCTION("REGEXEXTRACT(C2777, ""🏘️ \w+ (\w+) .* ✅"")"),"appartement")</f>
        <v>appartement</v>
      </c>
      <c r="H2777" s="4" t="str">
        <f>IFERROR(__xludf.DUMMYFUNCTION("REGEXEXTRACT(A2777, ""/(\w+)-.*?"")"),"region")</f>
        <v>region</v>
      </c>
      <c r="I2777" s="4" t="str">
        <f>IFERROR(__xludf.DUMMYFUNCTION("if(D2777=""variant"",  substitute(filter(Templates!E:E, Templates!A:A = F2777, Templates!B:B = G2777, Templates!C:C = H2777), ""{{}}"", E2777), B2777)"),"🏘  L’appartement de vos rêves se trouve sur ImmoScout24.ch ✅ Découvrez les dernières annonces de vente à Lausanne et environs.")</f>
        <v>🏘  L’appartement de vos rêves se trouve sur ImmoScout24.ch ✅ Découvrez les dernières annonces de vente à Lausanne et environs.</v>
      </c>
      <c r="J2777" s="4" t="s">
        <v>8327</v>
      </c>
    </row>
    <row r="2778">
      <c r="A2778" s="5" t="s">
        <v>8328</v>
      </c>
      <c r="B2778" s="2" t="s">
        <v>8329</v>
      </c>
      <c r="C2778" s="4" t="str">
        <f>IFERROR(__xludf.DUMMYFUNCTION("""🏘️ ""&amp;REGEXEXTRACT(B2778, ""^(.*): "")&amp;"" ✅ "" &amp;REGEXEXTRACT(B2778, ""(Trouvez.*)"")"),"🏘️ Vendre maison Castagnola (Lugano) ✅ Trouvez le bien immobilier qui correspond idéalement à vos désirs sur ImmoScout24 - La plateforme de l'immobilier en Suisse.")</f>
        <v>🏘️ Vendre maison Castagnola (Lugano) ✅ Trouvez le bien immobilier qui correspond idéalement à vos désirs sur ImmoScout24 - La plateforme de l'immobilier en Suisse.</v>
      </c>
      <c r="D2778" s="4" t="str">
        <f>vlookup(A2778, Sheet2!D:E, 2, 0)</f>
        <v>variant</v>
      </c>
      <c r="E2778" s="4" t="str">
        <f>IFERROR(__xludf.DUMMYFUNCTION("if(H2778=""pays"",vlookup(REGEXEXTRACT(C2778, ""🏘️ \w+ \w+ (.*) ✅""),'Country prepositions'!A:B, 2, 0) &amp; "" "" &amp; REGEXEXTRACT(C2778, ""🏘️ \w+ \w+ (.*) ✅"") ,  if(H2778=""quartier"",vlookup(REGEXEXTRACT(C2778, ""🏘️ \w+ \w+ (.*) ✅""),'Quartier prepositio"&amp;"ns'!A:E, 5, 0) ,  if(H2778=""region"",vlookup(REGEXEXTRACT(C2778, ""🏘️ \w+ \w+ (.*) ✅""),'Region prepositions'!B:F, 5, 0),  REGEXEXTRACT(C2778, ""🏘️ \w+ \w+ (.*) ✅""))))"),"dans le quartier de Castagnola (Lugano)")</f>
        <v>dans le quartier de Castagnola (Lugano)</v>
      </c>
      <c r="F2778" s="2" t="str">
        <f>IFERROR(__xludf.DUMMYFUNCTION("REGEXEXTRACT(C2778, ""🏘️ (\w+) \w+ .* ✅"")"),"Vendre")</f>
        <v>Vendre</v>
      </c>
      <c r="G2778" s="2" t="str">
        <f>IFERROR(__xludf.DUMMYFUNCTION("REGEXEXTRACT(C2778, ""🏘️ \w+ (\w+) .* ✅"")"),"maison")</f>
        <v>maison</v>
      </c>
      <c r="H2778" s="4" t="str">
        <f>IFERROR(__xludf.DUMMYFUNCTION("REGEXEXTRACT(A2778, ""/(\w+)-.*?"")"),"quartier")</f>
        <v>quartier</v>
      </c>
      <c r="I2778" s="4" t="str">
        <f>IFERROR(__xludf.DUMMYFUNCTION("if(D2778=""variant"",  substitute(filter(Templates!E:E, Templates!A:A = F2778, Templates!B:B = G2778, Templates!C:C = H2778), ""{{}}"", E2778), B2778)"),"🏘  Vous souhaitez acheter une maison dans le quartier de Castagnola (Lugano)? ✅ Jetez un œil aux dernières offres sur ImmoScout24.ch.")</f>
        <v>🏘  Vous souhaitez acheter une maison dans le quartier de Castagnola (Lugano)? ✅ Jetez un œil aux dernières offres sur ImmoScout24.ch.</v>
      </c>
      <c r="J2778" s="4" t="s">
        <v>8330</v>
      </c>
    </row>
    <row r="2779">
      <c r="A2779" s="5" t="s">
        <v>8331</v>
      </c>
      <c r="B2779" s="2" t="s">
        <v>8332</v>
      </c>
      <c r="C2779" s="4" t="str">
        <f>IFERROR(__xludf.DUMMYFUNCTION("""🏘️ ""&amp;REGEXEXTRACT(B2779, ""^(.*): "")&amp;"" ✅ "" &amp;REGEXEXTRACT(B2779, ""(Trouvez.*)"")"),"🏘️ Vendre appartement Piazzogna ✅ Trouvez le bien immobilier qui correspond idéalement à vos désirs sur ImmoScout24 - La plateforme de l'immobilier en Suisse.")</f>
        <v>🏘️ Vendre appartement Piazzogna ✅ Trouvez le bien immobilier qui correspond idéalement à vos désirs sur ImmoScout24 - La plateforme de l'immobilier en Suisse.</v>
      </c>
      <c r="D2779" s="4" t="str">
        <f>vlookup(A2779, Sheet2!D:E, 2, 0)</f>
        <v>variant</v>
      </c>
      <c r="E2779" s="4" t="str">
        <f>IFERROR(__xludf.DUMMYFUNCTION("if(H2779=""pays"",vlookup(REGEXEXTRACT(C2779, ""🏘️ \w+ \w+ (.*) ✅""),'Country prepositions'!A:B, 2, 0) &amp; "" "" &amp; REGEXEXTRACT(C2779, ""🏘️ \w+ \w+ (.*) ✅"") ,  if(H2779=""quartier"",vlookup(REGEXEXTRACT(C2779, ""🏘️ \w+ \w+ (.*) ✅""),'Quartier prepositio"&amp;"ns'!A:E, 5, 0) ,  if(H2779=""region"",vlookup(REGEXEXTRACT(C2779, ""🏘️ \w+ \w+ (.*) ✅""),'Region prepositions'!B:F, 5, 0),  REGEXEXTRACT(C2779, ""🏘️ \w+ \w+ (.*) ✅""))))"),"Piazzogna")</f>
        <v>Piazzogna</v>
      </c>
      <c r="F2779" s="2" t="str">
        <f>IFERROR(__xludf.DUMMYFUNCTION("REGEXEXTRACT(C2779, ""🏘️ (\w+) \w+ .* ✅"")"),"Vendre")</f>
        <v>Vendre</v>
      </c>
      <c r="G2779" s="2" t="str">
        <f>IFERROR(__xludf.DUMMYFUNCTION("REGEXEXTRACT(C2779, ""🏘️ \w+ (\w+) .* ✅"")"),"appartement")</f>
        <v>appartement</v>
      </c>
      <c r="H2779" s="4" t="str">
        <f>IFERROR(__xludf.DUMMYFUNCTION("REGEXEXTRACT(A2779, ""/(\w+)-.*?"")"),"lieu")</f>
        <v>lieu</v>
      </c>
      <c r="I2779" s="4" t="str">
        <f>IFERROR(__xludf.DUMMYFUNCTION("if(D2779=""variant"",  substitute(filter(Templates!E:E, Templates!A:A = F2779, Templates!B:B = G2779, Templates!C:C = H2779), ""{{}}"", E2779), B2779)"),"🏘  L’appartement de vos rêves se trouve sur ImmoScout24.ch ✅ Découvrez les dernières annonces de vente à Piazzogna.")</f>
        <v>🏘  L’appartement de vos rêves se trouve sur ImmoScout24.ch ✅ Découvrez les dernières annonces de vente à Piazzogna.</v>
      </c>
      <c r="J2779" s="4" t="s">
        <v>8333</v>
      </c>
    </row>
    <row r="2780">
      <c r="A2780" s="5" t="s">
        <v>8334</v>
      </c>
      <c r="B2780" s="2" t="s">
        <v>8335</v>
      </c>
      <c r="C2780" s="4" t="str">
        <f>IFERROR(__xludf.DUMMYFUNCTION("""🏘️ ""&amp;REGEXEXTRACT(B2780, ""^(.*): "")&amp;"" ✅ "" &amp;REGEXEXTRACT(B2780, ""(Trouvez.*)"")"),"🏘️ Louer appartement Russy ✅ Trouvez le bien immobilier qui correspond idéalement à vos désirs sur ImmoScout24 - La plateforme de l'immobilier en Suisse.")</f>
        <v>🏘️ Louer appartement Russy ✅ Trouvez le bien immobilier qui correspond idéalement à vos désirs sur ImmoScout24 - La plateforme de l'immobilier en Suisse.</v>
      </c>
      <c r="D2780" s="4" t="str">
        <f>vlookup(A2780, Sheet2!D:E, 2, 0)</f>
        <v>variant</v>
      </c>
      <c r="E2780" s="4" t="str">
        <f>IFERROR(__xludf.DUMMYFUNCTION("if(H2780=""pays"",vlookup(REGEXEXTRACT(C2780, ""🏘️ \w+ \w+ (.*) ✅""),'Country prepositions'!A:B, 2, 0) &amp; "" "" &amp; REGEXEXTRACT(C2780, ""🏘️ \w+ \w+ (.*) ✅"") ,  if(H2780=""quartier"",vlookup(REGEXEXTRACT(C2780, ""🏘️ \w+ \w+ (.*) ✅""),'Quartier prepositio"&amp;"ns'!A:E, 5, 0) ,  if(H2780=""region"",vlookup(REGEXEXTRACT(C2780, ""🏘️ \w+ \w+ (.*) ✅""),'Region prepositions'!B:F, 5, 0),  REGEXEXTRACT(C2780, ""🏘️ \w+ \w+ (.*) ✅""))))"),"Russy")</f>
        <v>Russy</v>
      </c>
      <c r="F2780" s="2" t="str">
        <f>IFERROR(__xludf.DUMMYFUNCTION("REGEXEXTRACT(C2780, ""🏘️ (\w+) \w+ .* ✅"")"),"Louer")</f>
        <v>Louer</v>
      </c>
      <c r="G2780" s="2" t="str">
        <f>IFERROR(__xludf.DUMMYFUNCTION("REGEXEXTRACT(C2780, ""🏘️ \w+ (\w+) .* ✅"")"),"appartement")</f>
        <v>appartement</v>
      </c>
      <c r="H2780" s="4" t="str">
        <f>IFERROR(__xludf.DUMMYFUNCTION("REGEXEXTRACT(A2780, ""/(\w+)-.*?"")"),"lieu")</f>
        <v>lieu</v>
      </c>
      <c r="I2780" s="4" t="str">
        <f>IFERROR(__xludf.DUMMYFUNCTION("if(D2780=""variant"",  substitute(filter(Templates!E:E, Templates!A:A = F2780, Templates!B:B = G2780, Templates!C:C = H2780), ""{{}}"", E2780), B2780)"),"🏘  Vous cherchez un appartement à louer à Russy? ✅ Les annonces les plus actuelles sont sur ImmoScout24.ch.")</f>
        <v>🏘  Vous cherchez un appartement à louer à Russy? ✅ Les annonces les plus actuelles sont sur ImmoScout24.ch.</v>
      </c>
      <c r="J2780" s="4" t="s">
        <v>8336</v>
      </c>
    </row>
    <row r="2781">
      <c r="A2781" s="5" t="s">
        <v>8337</v>
      </c>
      <c r="B2781" s="2" t="s">
        <v>8338</v>
      </c>
      <c r="C2781" s="4" t="str">
        <f>IFERROR(__xludf.DUMMYFUNCTION("""🏘️ ""&amp;REGEXEXTRACT(B2781, ""^(.*): "")&amp;"" ✅ "" &amp;REGEXEXTRACT(B2781, ""(Trouvez.*)"")"),"🏘️ Louer appartement Mies ✅ Trouvez le bien immobilier qui correspond idéalement à vos désirs sur ImmoScout24 - La plateforme de l'immobilier en Suisse.")</f>
        <v>🏘️ Louer appartement Mies ✅ Trouvez le bien immobilier qui correspond idéalement à vos désirs sur ImmoScout24 - La plateforme de l'immobilier en Suisse.</v>
      </c>
      <c r="D2781" s="4" t="str">
        <f>vlookup(A2781, Sheet2!D:E, 2, 0)</f>
        <v>variant</v>
      </c>
      <c r="E2781" s="4" t="str">
        <f>IFERROR(__xludf.DUMMYFUNCTION("if(H2781=""pays"",vlookup(REGEXEXTRACT(C2781, ""🏘️ \w+ \w+ (.*) ✅""),'Country prepositions'!A:B, 2, 0) &amp; "" "" &amp; REGEXEXTRACT(C2781, ""🏘️ \w+ \w+ (.*) ✅"") ,  if(H2781=""quartier"",vlookup(REGEXEXTRACT(C2781, ""🏘️ \w+ \w+ (.*) ✅""),'Quartier prepositio"&amp;"ns'!A:E, 5, 0) ,  if(H2781=""region"",vlookup(REGEXEXTRACT(C2781, ""🏘️ \w+ \w+ (.*) ✅""),'Region prepositions'!B:F, 5, 0),  REGEXEXTRACT(C2781, ""🏘️ \w+ \w+ (.*) ✅""))))"),"Mies")</f>
        <v>Mies</v>
      </c>
      <c r="F2781" s="2" t="str">
        <f>IFERROR(__xludf.DUMMYFUNCTION("REGEXEXTRACT(C2781, ""🏘️ (\w+) \w+ .* ✅"")"),"Louer")</f>
        <v>Louer</v>
      </c>
      <c r="G2781" s="2" t="str">
        <f>IFERROR(__xludf.DUMMYFUNCTION("REGEXEXTRACT(C2781, ""🏘️ \w+ (\w+) .* ✅"")"),"appartement")</f>
        <v>appartement</v>
      </c>
      <c r="H2781" s="4" t="str">
        <f>IFERROR(__xludf.DUMMYFUNCTION("REGEXEXTRACT(A2781, ""/(\w+)-.*?"")"),"lieu")</f>
        <v>lieu</v>
      </c>
      <c r="I2781" s="4" t="str">
        <f>IFERROR(__xludf.DUMMYFUNCTION("if(D2781=""variant"",  substitute(filter(Templates!E:E, Templates!A:A = F2781, Templates!B:B = G2781, Templates!C:C = H2781), ""{{}}"", E2781), B2781)"),"🏘  Vous cherchez un appartement à louer à Mies? ✅ Les annonces les plus actuelles sont sur ImmoScout24.ch.")</f>
        <v>🏘  Vous cherchez un appartement à louer à Mies? ✅ Les annonces les plus actuelles sont sur ImmoScout24.ch.</v>
      </c>
      <c r="J2781" s="4" t="s">
        <v>8339</v>
      </c>
    </row>
    <row r="2782">
      <c r="A2782" s="5" t="s">
        <v>8340</v>
      </c>
      <c r="B2782" s="2" t="s">
        <v>8341</v>
      </c>
      <c r="C2782" s="4" t="str">
        <f>IFERROR(__xludf.DUMMYFUNCTION("""🏘️ ""&amp;REGEXEXTRACT(B2782, ""^(.*): "")&amp;"" ✅ "" &amp;REGEXEXTRACT(B2782, ""(Trouvez.*)"")"),"🏘️ Vendre maison Diesse ✅ Trouvez le bien immobilier qui correspond idéalement à vos désirs sur ImmoScout24 - La plateforme de l'immobilier en Suisse.")</f>
        <v>🏘️ Vendre maison Diesse ✅ Trouvez le bien immobilier qui correspond idéalement à vos désirs sur ImmoScout24 - La plateforme de l'immobilier en Suisse.</v>
      </c>
      <c r="D2782" s="4" t="str">
        <f>vlookup(A2782, Sheet2!D:E, 2, 0)</f>
        <v>variant</v>
      </c>
      <c r="E2782" s="4" t="str">
        <f>IFERROR(__xludf.DUMMYFUNCTION("if(H2782=""pays"",vlookup(REGEXEXTRACT(C2782, ""🏘️ \w+ \w+ (.*) ✅""),'Country prepositions'!A:B, 2, 0) &amp; "" "" &amp; REGEXEXTRACT(C2782, ""🏘️ \w+ \w+ (.*) ✅"") ,  if(H2782=""quartier"",vlookup(REGEXEXTRACT(C2782, ""🏘️ \w+ \w+ (.*) ✅""),'Quartier prepositio"&amp;"ns'!A:E, 5, 0) ,  if(H2782=""region"",vlookup(REGEXEXTRACT(C2782, ""🏘️ \w+ \w+ (.*) ✅""),'Region prepositions'!B:F, 5, 0),  REGEXEXTRACT(C2782, ""🏘️ \w+ \w+ (.*) ✅""))))"),"Diesse")</f>
        <v>Diesse</v>
      </c>
      <c r="F2782" s="2" t="str">
        <f>IFERROR(__xludf.DUMMYFUNCTION("REGEXEXTRACT(C2782, ""🏘️ (\w+) \w+ .* ✅"")"),"Vendre")</f>
        <v>Vendre</v>
      </c>
      <c r="G2782" s="2" t="str">
        <f>IFERROR(__xludf.DUMMYFUNCTION("REGEXEXTRACT(C2782, ""🏘️ \w+ (\w+) .* ✅"")"),"maison")</f>
        <v>maison</v>
      </c>
      <c r="H2782" s="4" t="str">
        <f>IFERROR(__xludf.DUMMYFUNCTION("REGEXEXTRACT(A2782, ""/(\w+)-.*?"")"),"lieu")</f>
        <v>lieu</v>
      </c>
      <c r="I2782" s="4" t="str">
        <f>IFERROR(__xludf.DUMMYFUNCTION("if(D2782=""variant"",  substitute(filter(Templates!E:E, Templates!A:A = F2782, Templates!B:B = G2782, Templates!C:C = H2782), ""{{}}"", E2782), B2782)"),"🏘  Vous souhaitez acheter une maison à Diesse? ✅ Jetez un œil aux dernières offres sur ImmoScout24.ch.")</f>
        <v>🏘  Vous souhaitez acheter une maison à Diesse? ✅ Jetez un œil aux dernières offres sur ImmoScout24.ch.</v>
      </c>
      <c r="J2782" s="4" t="s">
        <v>8342</v>
      </c>
    </row>
    <row r="2783">
      <c r="A2783" s="5" t="s">
        <v>8343</v>
      </c>
      <c r="B2783" s="2" t="s">
        <v>8344</v>
      </c>
      <c r="C2783" s="4" t="str">
        <f>IFERROR(__xludf.DUMMYFUNCTION("""🏘️ ""&amp;REGEXEXTRACT(B2783, ""^(.*): "")&amp;"" ✅ "" &amp;REGEXEXTRACT(B2783, ""(Trouvez.*)"")"),"🏘️ Louer appartement Gempen ✅ Trouvez le bien immobilier qui correspond idéalement à vos désirs sur ImmoScout24 - La plateforme de l'immobilier en Suisse.")</f>
        <v>🏘️ Louer appartement Gempen ✅ Trouvez le bien immobilier qui correspond idéalement à vos désirs sur ImmoScout24 - La plateforme de l'immobilier en Suisse.</v>
      </c>
      <c r="D2783" s="4" t="str">
        <f>vlookup(A2783, Sheet2!D:E, 2, 0)</f>
        <v>variant</v>
      </c>
      <c r="E2783" s="4" t="str">
        <f>IFERROR(__xludf.DUMMYFUNCTION("if(H2783=""pays"",vlookup(REGEXEXTRACT(C2783, ""🏘️ \w+ \w+ (.*) ✅""),'Country prepositions'!A:B, 2, 0) &amp; "" "" &amp; REGEXEXTRACT(C2783, ""🏘️ \w+ \w+ (.*) ✅"") ,  if(H2783=""quartier"",vlookup(REGEXEXTRACT(C2783, ""🏘️ \w+ \w+ (.*) ✅""),'Quartier prepositio"&amp;"ns'!A:E, 5, 0) ,  if(H2783=""region"",vlookup(REGEXEXTRACT(C2783, ""🏘️ \w+ \w+ (.*) ✅""),'Region prepositions'!B:F, 5, 0),  REGEXEXTRACT(C2783, ""🏘️ \w+ \w+ (.*) ✅""))))"),"Gempen")</f>
        <v>Gempen</v>
      </c>
      <c r="F2783" s="2" t="str">
        <f>IFERROR(__xludf.DUMMYFUNCTION("REGEXEXTRACT(C2783, ""🏘️ (\w+) \w+ .* ✅"")"),"Louer")</f>
        <v>Louer</v>
      </c>
      <c r="G2783" s="2" t="str">
        <f>IFERROR(__xludf.DUMMYFUNCTION("REGEXEXTRACT(C2783, ""🏘️ \w+ (\w+) .* ✅"")"),"appartement")</f>
        <v>appartement</v>
      </c>
      <c r="H2783" s="4" t="str">
        <f>IFERROR(__xludf.DUMMYFUNCTION("REGEXEXTRACT(A2783, ""/(\w+)-.*?"")"),"lieu")</f>
        <v>lieu</v>
      </c>
      <c r="I2783" s="4" t="str">
        <f>IFERROR(__xludf.DUMMYFUNCTION("if(D2783=""variant"",  substitute(filter(Templates!E:E, Templates!A:A = F2783, Templates!B:B = G2783, Templates!C:C = H2783), ""{{}}"", E2783), B2783)"),"🏘  Vous cherchez un appartement à louer à Gempen? ✅ Les annonces les plus actuelles sont sur ImmoScout24.ch.")</f>
        <v>🏘  Vous cherchez un appartement à louer à Gempen? ✅ Les annonces les plus actuelles sont sur ImmoScout24.ch.</v>
      </c>
      <c r="J2783" s="4" t="s">
        <v>8345</v>
      </c>
    </row>
    <row r="2784">
      <c r="A2784" s="5" t="s">
        <v>8346</v>
      </c>
      <c r="B2784" s="2" t="s">
        <v>8347</v>
      </c>
      <c r="C2784" s="4" t="str">
        <f>IFERROR(__xludf.DUMMYFUNCTION("""🏘️ ""&amp;REGEXEXTRACT(B2784, ""^(.*): "")&amp;"" ✅ "" &amp;REGEXEXTRACT(B2784, ""(Trouvez.*)"")"),"🏘️ Louer appartement Lanzenhäusern ✅ Trouvez le bien immobilier qui correspond idéalement à vos désirs sur ImmoScout24 - La plateforme de l'immobilier en Suisse.")</f>
        <v>🏘️ Louer appartement Lanzenhäusern ✅ Trouvez le bien immobilier qui correspond idéalement à vos désirs sur ImmoScout24 - La plateforme de l'immobilier en Suisse.</v>
      </c>
      <c r="D2784" s="4" t="str">
        <f>vlookup(A2784, Sheet2!D:E, 2, 0)</f>
        <v>variant</v>
      </c>
      <c r="E2784" s="4" t="str">
        <f>IFERROR(__xludf.DUMMYFUNCTION("if(H2784=""pays"",vlookup(REGEXEXTRACT(C2784, ""🏘️ \w+ \w+ (.*) ✅""),'Country prepositions'!A:B, 2, 0) &amp; "" "" &amp; REGEXEXTRACT(C2784, ""🏘️ \w+ \w+ (.*) ✅"") ,  if(H2784=""quartier"",vlookup(REGEXEXTRACT(C2784, ""🏘️ \w+ \w+ (.*) ✅""),'Quartier prepositio"&amp;"ns'!A:E, 5, 0) ,  if(H2784=""region"",vlookup(REGEXEXTRACT(C2784, ""🏘️ \w+ \w+ (.*) ✅""),'Region prepositions'!B:F, 5, 0),  REGEXEXTRACT(C2784, ""🏘️ \w+ \w+ (.*) ✅""))))"),"Lanzenhäusern")</f>
        <v>Lanzenhäusern</v>
      </c>
      <c r="F2784" s="2" t="str">
        <f>IFERROR(__xludf.DUMMYFUNCTION("REGEXEXTRACT(C2784, ""🏘️ (\w+) \w+ .* ✅"")"),"Louer")</f>
        <v>Louer</v>
      </c>
      <c r="G2784" s="2" t="str">
        <f>IFERROR(__xludf.DUMMYFUNCTION("REGEXEXTRACT(C2784, ""🏘️ \w+ (\w+) .* ✅"")"),"appartement")</f>
        <v>appartement</v>
      </c>
      <c r="H2784" s="4" t="str">
        <f>IFERROR(__xludf.DUMMYFUNCTION("REGEXEXTRACT(A2784, ""/(\w+)-.*?"")"),"lieu")</f>
        <v>lieu</v>
      </c>
      <c r="I2784" s="4" t="str">
        <f>IFERROR(__xludf.DUMMYFUNCTION("if(D2784=""variant"",  substitute(filter(Templates!E:E, Templates!A:A = F2784, Templates!B:B = G2784, Templates!C:C = H2784), ""{{}}"", E2784), B2784)"),"🏘  Vous cherchez un appartement à louer à Lanzenhäusern? ✅ Les annonces les plus actuelles sont sur ImmoScout24.ch.")</f>
        <v>🏘  Vous cherchez un appartement à louer à Lanzenhäusern? ✅ Les annonces les plus actuelles sont sur ImmoScout24.ch.</v>
      </c>
      <c r="J2784" s="4" t="s">
        <v>8348</v>
      </c>
    </row>
    <row r="2785">
      <c r="A2785" s="5" t="s">
        <v>8349</v>
      </c>
      <c r="B2785" s="2" t="s">
        <v>8350</v>
      </c>
      <c r="C2785" s="4" t="str">
        <f>IFERROR(__xludf.DUMMYFUNCTION("""🏘️ ""&amp;REGEXEXTRACT(B2785, ""^(.*): "")&amp;"" ✅ "" &amp;REGEXEXTRACT(B2785, ""(Trouvez.*)"")"),"🏘️ Louer maison Bouveret ✅ Trouvez le bien immobilier qui correspond idéalement à vos désirs sur ImmoScout24 - La plateforme de l'immobilier en Suisse.")</f>
        <v>🏘️ Louer maison Bouveret ✅ Trouvez le bien immobilier qui correspond idéalement à vos désirs sur ImmoScout24 - La plateforme de l'immobilier en Suisse.</v>
      </c>
      <c r="D2785" s="4" t="str">
        <f>vlookup(A2785, Sheet2!D:E, 2, 0)</f>
        <v>variant</v>
      </c>
      <c r="E2785" s="4" t="str">
        <f>IFERROR(__xludf.DUMMYFUNCTION("if(H2785=""pays"",vlookup(REGEXEXTRACT(C2785, ""🏘️ \w+ \w+ (.*) ✅""),'Country prepositions'!A:B, 2, 0) &amp; "" "" &amp; REGEXEXTRACT(C2785, ""🏘️ \w+ \w+ (.*) ✅"") ,  if(H2785=""quartier"",vlookup(REGEXEXTRACT(C2785, ""🏘️ \w+ \w+ (.*) ✅""),'Quartier prepositio"&amp;"ns'!A:E, 5, 0) ,  if(H2785=""region"",vlookup(REGEXEXTRACT(C2785, ""🏘️ \w+ \w+ (.*) ✅""),'Region prepositions'!B:F, 5, 0),  REGEXEXTRACT(C2785, ""🏘️ \w+ \w+ (.*) ✅""))))"),"Bouveret")</f>
        <v>Bouveret</v>
      </c>
      <c r="F2785" s="2" t="str">
        <f>IFERROR(__xludf.DUMMYFUNCTION("REGEXEXTRACT(C2785, ""🏘️ (\w+) \w+ .* ✅"")"),"Louer")</f>
        <v>Louer</v>
      </c>
      <c r="G2785" s="2" t="str">
        <f>IFERROR(__xludf.DUMMYFUNCTION("REGEXEXTRACT(C2785, ""🏘️ \w+ (\w+) .* ✅"")"),"maison")</f>
        <v>maison</v>
      </c>
      <c r="H2785" s="4" t="str">
        <f>IFERROR(__xludf.DUMMYFUNCTION("REGEXEXTRACT(A2785, ""/(\w+)-.*?"")"),"lieu")</f>
        <v>lieu</v>
      </c>
      <c r="I2785" s="4" t="str">
        <f>IFERROR(__xludf.DUMMYFUNCTION("if(D2785=""variant"",  substitute(filter(Templates!E:E, Templates!A:A = F2785, Templates!B:B = G2785, Templates!C:C = H2785), ""{{}}"", E2785), B2785)"),"🏘  Vous cherchez une maison à louer à Bouveret? ✅ Découvrez nos nombreuses annonces sur ImmoScout24.ch.")</f>
        <v>🏘  Vous cherchez une maison à louer à Bouveret? ✅ Découvrez nos nombreuses annonces sur ImmoScout24.ch.</v>
      </c>
      <c r="J2785" s="4" t="s">
        <v>8351</v>
      </c>
    </row>
    <row r="2786">
      <c r="A2786" s="5" t="s">
        <v>8352</v>
      </c>
      <c r="B2786" s="2" t="s">
        <v>8353</v>
      </c>
      <c r="C2786" s="4" t="str">
        <f>IFERROR(__xludf.DUMMYFUNCTION("""🏘️ ""&amp;REGEXEXTRACT(B2786, ""^(.*): "")&amp;"" ✅ "" &amp;REGEXEXTRACT(B2786, ""(Trouvez.*)"")"),"🏘️ Vendre maison Echandens ✅ Trouvez le bien immobilier qui correspond idéalement à vos désirs sur ImmoScout24 - La plateforme de l'immobilier en Suisse.")</f>
        <v>🏘️ Vendre maison Echandens ✅ Trouvez le bien immobilier qui correspond idéalement à vos désirs sur ImmoScout24 - La plateforme de l'immobilier en Suisse.</v>
      </c>
      <c r="D2786" s="4" t="str">
        <f>vlookup(A2786, Sheet2!D:E, 2, 0)</f>
        <v>variant</v>
      </c>
      <c r="E2786" s="4" t="str">
        <f>IFERROR(__xludf.DUMMYFUNCTION("if(H2786=""pays"",vlookup(REGEXEXTRACT(C2786, ""🏘️ \w+ \w+ (.*) ✅""),'Country prepositions'!A:B, 2, 0) &amp; "" "" &amp; REGEXEXTRACT(C2786, ""🏘️ \w+ \w+ (.*) ✅"") ,  if(H2786=""quartier"",vlookup(REGEXEXTRACT(C2786, ""🏘️ \w+ \w+ (.*) ✅""),'Quartier prepositio"&amp;"ns'!A:E, 5, 0) ,  if(H2786=""region"",vlookup(REGEXEXTRACT(C2786, ""🏘️ \w+ \w+ (.*) ✅""),'Region prepositions'!B:F, 5, 0),  REGEXEXTRACT(C2786, ""🏘️ \w+ \w+ (.*) ✅""))))"),"Echandens")</f>
        <v>Echandens</v>
      </c>
      <c r="F2786" s="2" t="str">
        <f>IFERROR(__xludf.DUMMYFUNCTION("REGEXEXTRACT(C2786, ""🏘️ (\w+) \w+ .* ✅"")"),"Vendre")</f>
        <v>Vendre</v>
      </c>
      <c r="G2786" s="2" t="str">
        <f>IFERROR(__xludf.DUMMYFUNCTION("REGEXEXTRACT(C2786, ""🏘️ \w+ (\w+) .* ✅"")"),"maison")</f>
        <v>maison</v>
      </c>
      <c r="H2786" s="4" t="str">
        <f>IFERROR(__xludf.DUMMYFUNCTION("REGEXEXTRACT(A2786, ""/(\w+)-.*?"")"),"lieu")</f>
        <v>lieu</v>
      </c>
      <c r="I2786" s="4" t="str">
        <f>IFERROR(__xludf.DUMMYFUNCTION("if(D2786=""variant"",  substitute(filter(Templates!E:E, Templates!A:A = F2786, Templates!B:B = G2786, Templates!C:C = H2786), ""{{}}"", E2786), B2786)"),"🏘  Vous souhaitez acheter une maison à Echandens? ✅ Jetez un œil aux dernières offres sur ImmoScout24.ch.")</f>
        <v>🏘  Vous souhaitez acheter une maison à Echandens? ✅ Jetez un œil aux dernières offres sur ImmoScout24.ch.</v>
      </c>
      <c r="J2786" s="4" t="s">
        <v>8354</v>
      </c>
    </row>
    <row r="2787">
      <c r="A2787" s="5" t="s">
        <v>8355</v>
      </c>
      <c r="B2787" s="2" t="s">
        <v>8356</v>
      </c>
      <c r="C2787" s="4" t="str">
        <f>IFERROR(__xludf.DUMMYFUNCTION("""🏘️ ""&amp;REGEXEXTRACT(B2787, ""^(.*): "")&amp;"" ✅ "" &amp;REGEXEXTRACT(B2787, ""(Trouvez.*)"")"),"🏘️ Louer maison Bruggen (St-Gall) ✅ Trouvez le bien immobilier qui correspond idéalement à vos désirs sur ImmoScout24 - La plateforme de l'immobilier en Suisse.")</f>
        <v>🏘️ Louer maison Bruggen (St-Gall) ✅ Trouvez le bien immobilier qui correspond idéalement à vos désirs sur ImmoScout24 - La plateforme de l'immobilier en Suisse.</v>
      </c>
      <c r="D2787" s="4" t="str">
        <f>vlookup(A2787, Sheet2!D:E, 2, 0)</f>
        <v>variant</v>
      </c>
      <c r="E2787" s="4" t="str">
        <f>IFERROR(__xludf.DUMMYFUNCTION("if(H2787=""pays"",vlookup(REGEXEXTRACT(C2787, ""🏘️ \w+ \w+ (.*) ✅""),'Country prepositions'!A:B, 2, 0) &amp; "" "" &amp; REGEXEXTRACT(C2787, ""🏘️ \w+ \w+ (.*) ✅"") ,  if(H2787=""quartier"",vlookup(REGEXEXTRACT(C2787, ""🏘️ \w+ \w+ (.*) ✅""),'Quartier prepositio"&amp;"ns'!A:E, 5, 0) ,  if(H2787=""region"",vlookup(REGEXEXTRACT(C2787, ""🏘️ \w+ \w+ (.*) ✅""),'Region prepositions'!B:F, 5, 0),  REGEXEXTRACT(C2787, ""🏘️ \w+ \w+ (.*) ✅""))))"),"dans le quartier de Bruggen (St-Gall)")</f>
        <v>dans le quartier de Bruggen (St-Gall)</v>
      </c>
      <c r="F2787" s="2" t="str">
        <f>IFERROR(__xludf.DUMMYFUNCTION("REGEXEXTRACT(C2787, ""🏘️ (\w+) \w+ .* ✅"")"),"Louer")</f>
        <v>Louer</v>
      </c>
      <c r="G2787" s="2" t="str">
        <f>IFERROR(__xludf.DUMMYFUNCTION("REGEXEXTRACT(C2787, ""🏘️ \w+ (\w+) .* ✅"")"),"maison")</f>
        <v>maison</v>
      </c>
      <c r="H2787" s="4" t="str">
        <f>IFERROR(__xludf.DUMMYFUNCTION("REGEXEXTRACT(A2787, ""/(\w+)-.*?"")"),"quartier")</f>
        <v>quartier</v>
      </c>
      <c r="I2787" s="4" t="str">
        <f>IFERROR(__xludf.DUMMYFUNCTION("if(D2787=""variant"",  substitute(filter(Templates!E:E, Templates!A:A = F2787, Templates!B:B = G2787, Templates!C:C = H2787), ""{{}}"", E2787), B2787)"),"🏘  Vous cherchez une maison à louer dans le quartier de Bruggen (St-Gall)? ✅ Découvrez nos nombreuses annonces sur ImmoScout24.ch.")</f>
        <v>🏘  Vous cherchez une maison à louer dans le quartier de Bruggen (St-Gall)? ✅ Découvrez nos nombreuses annonces sur ImmoScout24.ch.</v>
      </c>
      <c r="J2787" s="4" t="s">
        <v>8357</v>
      </c>
    </row>
    <row r="2788">
      <c r="A2788" s="5" t="s">
        <v>8358</v>
      </c>
      <c r="B2788" s="2" t="s">
        <v>8359</v>
      </c>
      <c r="C2788" s="4" t="str">
        <f>IFERROR(__xludf.DUMMYFUNCTION("""🏘️ ""&amp;REGEXEXTRACT(B2788, ""^(.*): "")&amp;"" ✅ "" &amp;REGEXEXTRACT(B2788, ""(Trouvez.*)"")"),"🏘️ Vendre maison Saubraz ✅ Trouvez le bien immobilier qui correspond idéalement à vos désirs sur ImmoScout24 - La plateforme de l'immobilier en Suisse.")</f>
        <v>🏘️ Vendre maison Saubraz ✅ Trouvez le bien immobilier qui correspond idéalement à vos désirs sur ImmoScout24 - La plateforme de l'immobilier en Suisse.</v>
      </c>
      <c r="D2788" s="4" t="str">
        <f>vlookup(A2788, Sheet2!D:E, 2, 0)</f>
        <v>variant</v>
      </c>
      <c r="E2788" s="4" t="str">
        <f>IFERROR(__xludf.DUMMYFUNCTION("if(H2788=""pays"",vlookup(REGEXEXTRACT(C2788, ""🏘️ \w+ \w+ (.*) ✅""),'Country prepositions'!A:B, 2, 0) &amp; "" "" &amp; REGEXEXTRACT(C2788, ""🏘️ \w+ \w+ (.*) ✅"") ,  if(H2788=""quartier"",vlookup(REGEXEXTRACT(C2788, ""🏘️ \w+ \w+ (.*) ✅""),'Quartier prepositio"&amp;"ns'!A:E, 5, 0) ,  if(H2788=""region"",vlookup(REGEXEXTRACT(C2788, ""🏘️ \w+ \w+ (.*) ✅""),'Region prepositions'!B:F, 5, 0),  REGEXEXTRACT(C2788, ""🏘️ \w+ \w+ (.*) ✅""))))"),"Saubraz")</f>
        <v>Saubraz</v>
      </c>
      <c r="F2788" s="2" t="str">
        <f>IFERROR(__xludf.DUMMYFUNCTION("REGEXEXTRACT(C2788, ""🏘️ (\w+) \w+ .* ✅"")"),"Vendre")</f>
        <v>Vendre</v>
      </c>
      <c r="G2788" s="2" t="str">
        <f>IFERROR(__xludf.DUMMYFUNCTION("REGEXEXTRACT(C2788, ""🏘️ \w+ (\w+) .* ✅"")"),"maison")</f>
        <v>maison</v>
      </c>
      <c r="H2788" s="4" t="str">
        <f>IFERROR(__xludf.DUMMYFUNCTION("REGEXEXTRACT(A2788, ""/(\w+)-.*?"")"),"lieu")</f>
        <v>lieu</v>
      </c>
      <c r="I2788" s="4" t="str">
        <f>IFERROR(__xludf.DUMMYFUNCTION("if(D2788=""variant"",  substitute(filter(Templates!E:E, Templates!A:A = F2788, Templates!B:B = G2788, Templates!C:C = H2788), ""{{}}"", E2788), B2788)"),"🏘  Vous souhaitez acheter une maison à Saubraz? ✅ Jetez un œil aux dernières offres sur ImmoScout24.ch.")</f>
        <v>🏘  Vous souhaitez acheter une maison à Saubraz? ✅ Jetez un œil aux dernières offres sur ImmoScout24.ch.</v>
      </c>
      <c r="J2788" s="4" t="s">
        <v>8360</v>
      </c>
    </row>
    <row r="2789">
      <c r="A2789" s="5" t="s">
        <v>8361</v>
      </c>
      <c r="B2789" s="2" t="s">
        <v>8362</v>
      </c>
      <c r="C2789" s="4" t="str">
        <f>IFERROR(__xludf.DUMMYFUNCTION("""🏘️ ""&amp;REGEXEXTRACT(B2789, ""^(.*): "")&amp;"" ✅ "" &amp;REGEXEXTRACT(B2789, ""(Trouvez.*)"")"),"🏘️ Louer appartement Blitzingen ✅ Trouvez le bien immobilier qui correspond idéalement à vos désirs sur ImmoScout24 - La plateforme de l'immobilier en Suisse.")</f>
        <v>🏘️ Louer appartement Blitzingen ✅ Trouvez le bien immobilier qui correspond idéalement à vos désirs sur ImmoScout24 - La plateforme de l'immobilier en Suisse.</v>
      </c>
      <c r="D2789" s="4" t="str">
        <f>vlookup(A2789, Sheet2!D:E, 2, 0)</f>
        <v>variant</v>
      </c>
      <c r="E2789" s="4" t="str">
        <f>IFERROR(__xludf.DUMMYFUNCTION("if(H2789=""pays"",vlookup(REGEXEXTRACT(C2789, ""🏘️ \w+ \w+ (.*) ✅""),'Country prepositions'!A:B, 2, 0) &amp; "" "" &amp; REGEXEXTRACT(C2789, ""🏘️ \w+ \w+ (.*) ✅"") ,  if(H2789=""quartier"",vlookup(REGEXEXTRACT(C2789, ""🏘️ \w+ \w+ (.*) ✅""),'Quartier prepositio"&amp;"ns'!A:E, 5, 0) ,  if(H2789=""region"",vlookup(REGEXEXTRACT(C2789, ""🏘️ \w+ \w+ (.*) ✅""),'Region prepositions'!B:F, 5, 0),  REGEXEXTRACT(C2789, ""🏘️ \w+ \w+ (.*) ✅""))))"),"Blitzingen")</f>
        <v>Blitzingen</v>
      </c>
      <c r="F2789" s="2" t="str">
        <f>IFERROR(__xludf.DUMMYFUNCTION("REGEXEXTRACT(C2789, ""🏘️ (\w+) \w+ .* ✅"")"),"Louer")</f>
        <v>Louer</v>
      </c>
      <c r="G2789" s="2" t="str">
        <f>IFERROR(__xludf.DUMMYFUNCTION("REGEXEXTRACT(C2789, ""🏘️ \w+ (\w+) .* ✅"")"),"appartement")</f>
        <v>appartement</v>
      </c>
      <c r="H2789" s="4" t="str">
        <f>IFERROR(__xludf.DUMMYFUNCTION("REGEXEXTRACT(A2789, ""/(\w+)-.*?"")"),"lieu")</f>
        <v>lieu</v>
      </c>
      <c r="I2789" s="4" t="str">
        <f>IFERROR(__xludf.DUMMYFUNCTION("if(D2789=""variant"",  substitute(filter(Templates!E:E, Templates!A:A = F2789, Templates!B:B = G2789, Templates!C:C = H2789), ""{{}}"", E2789), B2789)"),"🏘  Vous cherchez un appartement à louer à Blitzingen? ✅ Les annonces les plus actuelles sont sur ImmoScout24.ch.")</f>
        <v>🏘  Vous cherchez un appartement à louer à Blitzingen? ✅ Les annonces les plus actuelles sont sur ImmoScout24.ch.</v>
      </c>
      <c r="J2789" s="4" t="s">
        <v>8363</v>
      </c>
    </row>
    <row r="2790">
      <c r="A2790" s="5" t="s">
        <v>8364</v>
      </c>
      <c r="B2790" s="2" t="s">
        <v>8365</v>
      </c>
      <c r="C2790" s="4" t="str">
        <f>IFERROR(__xludf.DUMMYFUNCTION("""🏘️ ""&amp;REGEXEXTRACT(B2790, ""^(.*): "")&amp;"" ✅ "" &amp;REGEXEXTRACT(B2790, ""(Trouvez.*)"")"),"🏘️ Vendre appartement Cartigny ✅ Trouvez le bien immobilier qui correspond idéalement à vos désirs sur ImmoScout24 - La plateforme de l'immobilier en Suisse.")</f>
        <v>🏘️ Vendre appartement Cartigny ✅ Trouvez le bien immobilier qui correspond idéalement à vos désirs sur ImmoScout24 - La plateforme de l'immobilier en Suisse.</v>
      </c>
      <c r="D2790" s="4" t="str">
        <f>vlookup(A2790, Sheet2!D:E, 2, 0)</f>
        <v>variant</v>
      </c>
      <c r="E2790" s="4" t="str">
        <f>IFERROR(__xludf.DUMMYFUNCTION("if(H2790=""pays"",vlookup(REGEXEXTRACT(C2790, ""🏘️ \w+ \w+ (.*) ✅""),'Country prepositions'!A:B, 2, 0) &amp; "" "" &amp; REGEXEXTRACT(C2790, ""🏘️ \w+ \w+ (.*) ✅"") ,  if(H2790=""quartier"",vlookup(REGEXEXTRACT(C2790, ""🏘️ \w+ \w+ (.*) ✅""),'Quartier prepositio"&amp;"ns'!A:E, 5, 0) ,  if(H2790=""region"",vlookup(REGEXEXTRACT(C2790, ""🏘️ \w+ \w+ (.*) ✅""),'Region prepositions'!B:F, 5, 0),  REGEXEXTRACT(C2790, ""🏘️ \w+ \w+ (.*) ✅""))))"),"Cartigny")</f>
        <v>Cartigny</v>
      </c>
      <c r="F2790" s="2" t="str">
        <f>IFERROR(__xludf.DUMMYFUNCTION("REGEXEXTRACT(C2790, ""🏘️ (\w+) \w+ .* ✅"")"),"Vendre")</f>
        <v>Vendre</v>
      </c>
      <c r="G2790" s="2" t="str">
        <f>IFERROR(__xludf.DUMMYFUNCTION("REGEXEXTRACT(C2790, ""🏘️ \w+ (\w+) .* ✅"")"),"appartement")</f>
        <v>appartement</v>
      </c>
      <c r="H2790" s="4" t="str">
        <f>IFERROR(__xludf.DUMMYFUNCTION("REGEXEXTRACT(A2790, ""/(\w+)-.*?"")"),"lieu")</f>
        <v>lieu</v>
      </c>
      <c r="I2790" s="4" t="str">
        <f>IFERROR(__xludf.DUMMYFUNCTION("if(D2790=""variant"",  substitute(filter(Templates!E:E, Templates!A:A = F2790, Templates!B:B = G2790, Templates!C:C = H2790), ""{{}}"", E2790), B2790)"),"🏘  L’appartement de vos rêves se trouve sur ImmoScout24.ch ✅ Découvrez les dernières annonces de vente à Cartigny.")</f>
        <v>🏘  L’appartement de vos rêves se trouve sur ImmoScout24.ch ✅ Découvrez les dernières annonces de vente à Cartigny.</v>
      </c>
      <c r="J2790" s="4" t="s">
        <v>8366</v>
      </c>
    </row>
    <row r="2791">
      <c r="A2791" s="5" t="s">
        <v>8367</v>
      </c>
      <c r="B2791" s="2" t="s">
        <v>8368</v>
      </c>
      <c r="C2791" s="4" t="str">
        <f>IFERROR(__xludf.DUMMYFUNCTION("""🏘️ ""&amp;REGEXEXTRACT(B2791, ""^(.*): "")&amp;"" ✅ "" &amp;REGEXEXTRACT(B2791, ""(Trouvez.*)"")"),"🏘️ Louer appartement Reutigen ✅ Trouvez le bien immobilier qui correspond idéalement à vos désirs sur ImmoScout24 - La plateforme de l'immobilier en Suisse.")</f>
        <v>🏘️ Louer appartement Reutigen ✅ Trouvez le bien immobilier qui correspond idéalement à vos désirs sur ImmoScout24 - La plateforme de l'immobilier en Suisse.</v>
      </c>
      <c r="D2791" s="4" t="str">
        <f>vlookup(A2791, Sheet2!D:E, 2, 0)</f>
        <v>variant</v>
      </c>
      <c r="E2791" s="4" t="str">
        <f>IFERROR(__xludf.DUMMYFUNCTION("if(H2791=""pays"",vlookup(REGEXEXTRACT(C2791, ""🏘️ \w+ \w+ (.*) ✅""),'Country prepositions'!A:B, 2, 0) &amp; "" "" &amp; REGEXEXTRACT(C2791, ""🏘️ \w+ \w+ (.*) ✅"") ,  if(H2791=""quartier"",vlookup(REGEXEXTRACT(C2791, ""🏘️ \w+ \w+ (.*) ✅""),'Quartier prepositio"&amp;"ns'!A:E, 5, 0) ,  if(H2791=""region"",vlookup(REGEXEXTRACT(C2791, ""🏘️ \w+ \w+ (.*) ✅""),'Region prepositions'!B:F, 5, 0),  REGEXEXTRACT(C2791, ""🏘️ \w+ \w+ (.*) ✅""))))"),"Reutigen")</f>
        <v>Reutigen</v>
      </c>
      <c r="F2791" s="2" t="str">
        <f>IFERROR(__xludf.DUMMYFUNCTION("REGEXEXTRACT(C2791, ""🏘️ (\w+) \w+ .* ✅"")"),"Louer")</f>
        <v>Louer</v>
      </c>
      <c r="G2791" s="2" t="str">
        <f>IFERROR(__xludf.DUMMYFUNCTION("REGEXEXTRACT(C2791, ""🏘️ \w+ (\w+) .* ✅"")"),"appartement")</f>
        <v>appartement</v>
      </c>
      <c r="H2791" s="4" t="str">
        <f>IFERROR(__xludf.DUMMYFUNCTION("REGEXEXTRACT(A2791, ""/(\w+)-.*?"")"),"lieu")</f>
        <v>lieu</v>
      </c>
      <c r="I2791" s="4" t="str">
        <f>IFERROR(__xludf.DUMMYFUNCTION("if(D2791=""variant"",  substitute(filter(Templates!E:E, Templates!A:A = F2791, Templates!B:B = G2791, Templates!C:C = H2791), ""{{}}"", E2791), B2791)"),"🏘  Vous cherchez un appartement à louer à Reutigen? ✅ Les annonces les plus actuelles sont sur ImmoScout24.ch.")</f>
        <v>🏘  Vous cherchez un appartement à louer à Reutigen? ✅ Les annonces les plus actuelles sont sur ImmoScout24.ch.</v>
      </c>
      <c r="J2791" s="4" t="s">
        <v>8369</v>
      </c>
    </row>
    <row r="2792">
      <c r="A2792" s="5" t="s">
        <v>8370</v>
      </c>
      <c r="B2792" s="2" t="s">
        <v>8371</v>
      </c>
      <c r="C2792" s="4" t="str">
        <f>IFERROR(__xludf.DUMMYFUNCTION("""🏘️ ""&amp;REGEXEXTRACT(B2792, ""^(.*): "")&amp;"" ✅ "" &amp;REGEXEXTRACT(B2792, ""(Trouvez.*)"")"),"🏘️ Vendre maison Henniez ✅ Trouvez le bien immobilier qui correspond idéalement à vos désirs sur ImmoScout24 - La plateforme de l'immobilier en Suisse.")</f>
        <v>🏘️ Vendre maison Henniez ✅ Trouvez le bien immobilier qui correspond idéalement à vos désirs sur ImmoScout24 - La plateforme de l'immobilier en Suisse.</v>
      </c>
      <c r="D2792" s="4" t="str">
        <f>vlookup(A2792, Sheet2!D:E, 2, 0)</f>
        <v>variant</v>
      </c>
      <c r="E2792" s="4" t="str">
        <f>IFERROR(__xludf.DUMMYFUNCTION("if(H2792=""pays"",vlookup(REGEXEXTRACT(C2792, ""🏘️ \w+ \w+ (.*) ✅""),'Country prepositions'!A:B, 2, 0) &amp; "" "" &amp; REGEXEXTRACT(C2792, ""🏘️ \w+ \w+ (.*) ✅"") ,  if(H2792=""quartier"",vlookup(REGEXEXTRACT(C2792, ""🏘️ \w+ \w+ (.*) ✅""),'Quartier prepositio"&amp;"ns'!A:E, 5, 0) ,  if(H2792=""region"",vlookup(REGEXEXTRACT(C2792, ""🏘️ \w+ \w+ (.*) ✅""),'Region prepositions'!B:F, 5, 0),  REGEXEXTRACT(C2792, ""🏘️ \w+ \w+ (.*) ✅""))))"),"Henniez")</f>
        <v>Henniez</v>
      </c>
      <c r="F2792" s="2" t="str">
        <f>IFERROR(__xludf.DUMMYFUNCTION("REGEXEXTRACT(C2792, ""🏘️ (\w+) \w+ .* ✅"")"),"Vendre")</f>
        <v>Vendre</v>
      </c>
      <c r="G2792" s="2" t="str">
        <f>IFERROR(__xludf.DUMMYFUNCTION("REGEXEXTRACT(C2792, ""🏘️ \w+ (\w+) .* ✅"")"),"maison")</f>
        <v>maison</v>
      </c>
      <c r="H2792" s="4" t="str">
        <f>IFERROR(__xludf.DUMMYFUNCTION("REGEXEXTRACT(A2792, ""/(\w+)-.*?"")"),"lieu")</f>
        <v>lieu</v>
      </c>
      <c r="I2792" s="4" t="str">
        <f>IFERROR(__xludf.DUMMYFUNCTION("if(D2792=""variant"",  substitute(filter(Templates!E:E, Templates!A:A = F2792, Templates!B:B = G2792, Templates!C:C = H2792), ""{{}}"", E2792), B2792)"),"🏘  Vous souhaitez acheter une maison à Henniez? ✅ Jetez un œil aux dernières offres sur ImmoScout24.ch.")</f>
        <v>🏘  Vous souhaitez acheter une maison à Henniez? ✅ Jetez un œil aux dernières offres sur ImmoScout24.ch.</v>
      </c>
      <c r="J2792" s="4" t="s">
        <v>8372</v>
      </c>
    </row>
    <row r="2793">
      <c r="A2793" s="5" t="s">
        <v>8373</v>
      </c>
      <c r="B2793" s="2" t="s">
        <v>8374</v>
      </c>
      <c r="C2793" s="4" t="str">
        <f>IFERROR(__xludf.DUMMYFUNCTION("""🏘️ ""&amp;REGEXEXTRACT(B2793, ""^(.*): "")&amp;"" ✅ "" &amp;REGEXEXTRACT(B2793, ""(Trouvez.*)"")"),"🏘️ Vendre maison Wilen (Sarnen) ✅ Trouvez le bien immobilier qui correspond idéalement à vos désirs sur ImmoScout24 - La plateforme de l'immobilier en Suisse.")</f>
        <v>🏘️ Vendre maison Wilen (Sarnen) ✅ Trouvez le bien immobilier qui correspond idéalement à vos désirs sur ImmoScout24 - La plateforme de l'immobilier en Suisse.</v>
      </c>
      <c r="D2793" s="4" t="str">
        <f>vlookup(A2793, Sheet2!D:E, 2, 0)</f>
        <v>variant</v>
      </c>
      <c r="E2793" s="4" t="str">
        <f>IFERROR(__xludf.DUMMYFUNCTION("if(H2793=""pays"",vlookup(REGEXEXTRACT(C2793, ""🏘️ \w+ \w+ (.*) ✅""),'Country prepositions'!A:B, 2, 0) &amp; "" "" &amp; REGEXEXTRACT(C2793, ""🏘️ \w+ \w+ (.*) ✅"") ,  if(H2793=""quartier"",vlookup(REGEXEXTRACT(C2793, ""🏘️ \w+ \w+ (.*) ✅""),'Quartier prepositio"&amp;"ns'!A:E, 5, 0) ,  if(H2793=""region"",vlookup(REGEXEXTRACT(C2793, ""🏘️ \w+ \w+ (.*) ✅""),'Region prepositions'!B:F, 5, 0),  REGEXEXTRACT(C2793, ""🏘️ \w+ \w+ (.*) ✅""))))"),"Wilen (Sarnen)")</f>
        <v>Wilen (Sarnen)</v>
      </c>
      <c r="F2793" s="2" t="str">
        <f>IFERROR(__xludf.DUMMYFUNCTION("REGEXEXTRACT(C2793, ""🏘️ (\w+) \w+ .* ✅"")"),"Vendre")</f>
        <v>Vendre</v>
      </c>
      <c r="G2793" s="2" t="str">
        <f>IFERROR(__xludf.DUMMYFUNCTION("REGEXEXTRACT(C2793, ""🏘️ \w+ (\w+) .* ✅"")"),"maison")</f>
        <v>maison</v>
      </c>
      <c r="H2793" s="4" t="str">
        <f>IFERROR(__xludf.DUMMYFUNCTION("REGEXEXTRACT(A2793, ""/(\w+)-.*?"")"),"lieu")</f>
        <v>lieu</v>
      </c>
      <c r="I2793" s="4" t="str">
        <f>IFERROR(__xludf.DUMMYFUNCTION("if(D2793=""variant"",  substitute(filter(Templates!E:E, Templates!A:A = F2793, Templates!B:B = G2793, Templates!C:C = H2793), ""{{}}"", E2793), B2793)"),"🏘  Vous souhaitez acheter une maison à Wilen (Sarnen)? ✅ Jetez un œil aux dernières offres sur ImmoScout24.ch.")</f>
        <v>🏘  Vous souhaitez acheter une maison à Wilen (Sarnen)? ✅ Jetez un œil aux dernières offres sur ImmoScout24.ch.</v>
      </c>
      <c r="J2793" s="4" t="s">
        <v>8375</v>
      </c>
    </row>
    <row r="2794">
      <c r="A2794" s="5" t="s">
        <v>8376</v>
      </c>
      <c r="B2794" s="2" t="s">
        <v>8377</v>
      </c>
      <c r="C2794" s="4" t="str">
        <f>IFERROR(__xludf.DUMMYFUNCTION("""🏘️ ""&amp;REGEXEXTRACT(B2794, ""^(.*): "")&amp;"" ✅ "" &amp;REGEXEXTRACT(B2794, ""(Trouvez.*)"")"),"🏘️ Vendre maison Burg im Leimental ✅ Trouvez le bien immobilier qui correspond idéalement à vos désirs sur ImmoScout24 - La plateforme de l'immobilier en Suisse.")</f>
        <v>🏘️ Vendre maison Burg im Leimental ✅ Trouvez le bien immobilier qui correspond idéalement à vos désirs sur ImmoScout24 - La plateforme de l'immobilier en Suisse.</v>
      </c>
      <c r="D2794" s="4" t="str">
        <f>vlookup(A2794, Sheet2!D:E, 2, 0)</f>
        <v>variant</v>
      </c>
      <c r="E2794" s="4" t="str">
        <f>IFERROR(__xludf.DUMMYFUNCTION("if(H2794=""pays"",vlookup(REGEXEXTRACT(C2794, ""🏘️ \w+ \w+ (.*) ✅""),'Country prepositions'!A:B, 2, 0) &amp; "" "" &amp; REGEXEXTRACT(C2794, ""🏘️ \w+ \w+ (.*) ✅"") ,  if(H2794=""quartier"",vlookup(REGEXEXTRACT(C2794, ""🏘️ \w+ \w+ (.*) ✅""),'Quartier prepositio"&amp;"ns'!A:E, 5, 0) ,  if(H2794=""region"",vlookup(REGEXEXTRACT(C2794, ""🏘️ \w+ \w+ (.*) ✅""),'Region prepositions'!B:F, 5, 0),  REGEXEXTRACT(C2794, ""🏘️ \w+ \w+ (.*) ✅""))))"),"Burg im Leimental")</f>
        <v>Burg im Leimental</v>
      </c>
      <c r="F2794" s="2" t="str">
        <f>IFERROR(__xludf.DUMMYFUNCTION("REGEXEXTRACT(C2794, ""🏘️ (\w+) \w+ .* ✅"")"),"Vendre")</f>
        <v>Vendre</v>
      </c>
      <c r="G2794" s="2" t="str">
        <f>IFERROR(__xludf.DUMMYFUNCTION("REGEXEXTRACT(C2794, ""🏘️ \w+ (\w+) .* ✅"")"),"maison")</f>
        <v>maison</v>
      </c>
      <c r="H2794" s="4" t="str">
        <f>IFERROR(__xludf.DUMMYFUNCTION("REGEXEXTRACT(A2794, ""/(\w+)-.*?"")"),"lieu")</f>
        <v>lieu</v>
      </c>
      <c r="I2794" s="4" t="str">
        <f>IFERROR(__xludf.DUMMYFUNCTION("if(D2794=""variant"",  substitute(filter(Templates!E:E, Templates!A:A = F2794, Templates!B:B = G2794, Templates!C:C = H2794), ""{{}}"", E2794), B2794)"),"🏘  Vous souhaitez acheter une maison à Burg im Leimental? ✅ Jetez un œil aux dernières offres sur ImmoScout24.ch.")</f>
        <v>🏘  Vous souhaitez acheter une maison à Burg im Leimental? ✅ Jetez un œil aux dernières offres sur ImmoScout24.ch.</v>
      </c>
      <c r="J2794" s="4" t="s">
        <v>8378</v>
      </c>
    </row>
    <row r="2795">
      <c r="A2795" s="5" t="s">
        <v>8379</v>
      </c>
      <c r="B2795" s="2" t="s">
        <v>8380</v>
      </c>
      <c r="C2795" s="4" t="str">
        <f>IFERROR(__xludf.DUMMYFUNCTION("""🏘️ ""&amp;REGEXEXTRACT(B2795, ""^(.*): "")&amp;"" ✅ "" &amp;REGEXEXTRACT(B2795, ""(Trouvez.*)"")"),"🏘️ Louer maison Montreux ✅ Trouvez le bien immobilier qui correspond idéalement à vos désirs sur ImmoScout24 - La plateforme de l'immobilier en Suisse.")</f>
        <v>🏘️ Louer maison Montreux ✅ Trouvez le bien immobilier qui correspond idéalement à vos désirs sur ImmoScout24 - La plateforme de l'immobilier en Suisse.</v>
      </c>
      <c r="D2795" s="4" t="str">
        <f>vlookup(A2795, Sheet2!D:E, 2, 0)</f>
        <v>variant</v>
      </c>
      <c r="E2795" s="4" t="str">
        <f>IFERROR(__xludf.DUMMYFUNCTION("if(H2795=""pays"",vlookup(REGEXEXTRACT(C2795, ""🏘️ \w+ \w+ (.*) ✅""),'Country prepositions'!A:B, 2, 0) &amp; "" "" &amp; REGEXEXTRACT(C2795, ""🏘️ \w+ \w+ (.*) ✅"") ,  if(H2795=""quartier"",vlookup(REGEXEXTRACT(C2795, ""🏘️ \w+ \w+ (.*) ✅""),'Quartier prepositio"&amp;"ns'!A:E, 5, 0) ,  if(H2795=""region"",vlookup(REGEXEXTRACT(C2795, ""🏘️ \w+ \w+ (.*) ✅""),'Region prepositions'!B:F, 5, 0),  REGEXEXTRACT(C2795, ""🏘️ \w+ \w+ (.*) ✅""))))"),"Montreux")</f>
        <v>Montreux</v>
      </c>
      <c r="F2795" s="2" t="str">
        <f>IFERROR(__xludf.DUMMYFUNCTION("REGEXEXTRACT(C2795, ""🏘️ (\w+) \w+ .* ✅"")"),"Louer")</f>
        <v>Louer</v>
      </c>
      <c r="G2795" s="2" t="str">
        <f>IFERROR(__xludf.DUMMYFUNCTION("REGEXEXTRACT(C2795, ""🏘️ \w+ (\w+) .* ✅"")"),"maison")</f>
        <v>maison</v>
      </c>
      <c r="H2795" s="4" t="str">
        <f>IFERROR(__xludf.DUMMYFUNCTION("REGEXEXTRACT(A2795, ""/(\w+)-.*?"")"),"lieu")</f>
        <v>lieu</v>
      </c>
      <c r="I2795" s="4" t="str">
        <f>IFERROR(__xludf.DUMMYFUNCTION("if(D2795=""variant"",  substitute(filter(Templates!E:E, Templates!A:A = F2795, Templates!B:B = G2795, Templates!C:C = H2795), ""{{}}"", E2795), B2795)"),"🏘  Vous cherchez une maison à louer à Montreux? ✅ Découvrez nos nombreuses annonces sur ImmoScout24.ch.")</f>
        <v>🏘  Vous cherchez une maison à louer à Montreux? ✅ Découvrez nos nombreuses annonces sur ImmoScout24.ch.</v>
      </c>
      <c r="J2795" s="4" t="s">
        <v>8381</v>
      </c>
    </row>
    <row r="2796">
      <c r="A2796" s="5" t="s">
        <v>8382</v>
      </c>
      <c r="B2796" s="2" t="s">
        <v>8383</v>
      </c>
      <c r="C2796" s="4" t="str">
        <f>IFERROR(__xludf.DUMMYFUNCTION("""🏘️ ""&amp;REGEXEXTRACT(B2796, ""^(.*): "")&amp;"" ✅ "" &amp;REGEXEXTRACT(B2796, ""(Trouvez.*)"")"),"🏘️ Louer maison Beuson (Nendaz) ✅ Trouvez le bien immobilier qui correspond idéalement à vos désirs sur ImmoScout24 - La plateforme de l'immobilier en Suisse.")</f>
        <v>🏘️ Louer maison Beuson (Nendaz) ✅ Trouvez le bien immobilier qui correspond idéalement à vos désirs sur ImmoScout24 - La plateforme de l'immobilier en Suisse.</v>
      </c>
      <c r="D2796" s="4" t="str">
        <f>vlookup(A2796, Sheet2!D:E, 2, 0)</f>
        <v>variant</v>
      </c>
      <c r="E2796" s="4" t="str">
        <f>IFERROR(__xludf.DUMMYFUNCTION("if(H2796=""pays"",vlookup(REGEXEXTRACT(C2796, ""🏘️ \w+ \w+ (.*) ✅""),'Country prepositions'!A:B, 2, 0) &amp; "" "" &amp; REGEXEXTRACT(C2796, ""🏘️ \w+ \w+ (.*) ✅"") ,  if(H2796=""quartier"",vlookup(REGEXEXTRACT(C2796, ""🏘️ \w+ \w+ (.*) ✅""),'Quartier prepositio"&amp;"ns'!A:E, 5, 0) ,  if(H2796=""region"",vlookup(REGEXEXTRACT(C2796, ""🏘️ \w+ \w+ (.*) ✅""),'Region prepositions'!B:F, 5, 0),  REGEXEXTRACT(C2796, ""🏘️ \w+ \w+ (.*) ✅""))))"),"Beuson (Nendaz)")</f>
        <v>Beuson (Nendaz)</v>
      </c>
      <c r="F2796" s="2" t="str">
        <f>IFERROR(__xludf.DUMMYFUNCTION("REGEXEXTRACT(C2796, ""🏘️ (\w+) \w+ .* ✅"")"),"Louer")</f>
        <v>Louer</v>
      </c>
      <c r="G2796" s="2" t="str">
        <f>IFERROR(__xludf.DUMMYFUNCTION("REGEXEXTRACT(C2796, ""🏘️ \w+ (\w+) .* ✅"")"),"maison")</f>
        <v>maison</v>
      </c>
      <c r="H2796" s="4" t="str">
        <f>IFERROR(__xludf.DUMMYFUNCTION("REGEXEXTRACT(A2796, ""/(\w+)-.*?"")"),"lieu")</f>
        <v>lieu</v>
      </c>
      <c r="I2796" s="4" t="str">
        <f>IFERROR(__xludf.DUMMYFUNCTION("if(D2796=""variant"",  substitute(filter(Templates!E:E, Templates!A:A = F2796, Templates!B:B = G2796, Templates!C:C = H2796), ""{{}}"", E2796), B2796)"),"🏘  Vous cherchez une maison à louer à Beuson (Nendaz)? ✅ Découvrez nos nombreuses annonces sur ImmoScout24.ch.")</f>
        <v>🏘  Vous cherchez une maison à louer à Beuson (Nendaz)? ✅ Découvrez nos nombreuses annonces sur ImmoScout24.ch.</v>
      </c>
      <c r="J2796" s="4" t="s">
        <v>8384</v>
      </c>
    </row>
    <row r="2797">
      <c r="A2797" s="5" t="s">
        <v>8385</v>
      </c>
      <c r="B2797" s="2" t="s">
        <v>8386</v>
      </c>
      <c r="C2797" s="4" t="str">
        <f>IFERROR(__xludf.DUMMYFUNCTION("""🏘️ ""&amp;REGEXEXTRACT(B2797, ""^(.*): "")&amp;"" ✅ "" &amp;REGEXEXTRACT(B2797, ""(Trouvez.*)"")"),"🏘️ Vendre maison Biezwil ✅ Trouvez le bien immobilier qui correspond idéalement à vos désirs sur ImmoScout24 - La plateforme de l'immobilier en Suisse.")</f>
        <v>🏘️ Vendre maison Biezwil ✅ Trouvez le bien immobilier qui correspond idéalement à vos désirs sur ImmoScout24 - La plateforme de l'immobilier en Suisse.</v>
      </c>
      <c r="D2797" s="4" t="str">
        <f>vlookup(A2797, Sheet2!D:E, 2, 0)</f>
        <v>variant</v>
      </c>
      <c r="E2797" s="4" t="str">
        <f>IFERROR(__xludf.DUMMYFUNCTION("if(H2797=""pays"",vlookup(REGEXEXTRACT(C2797, ""🏘️ \w+ \w+ (.*) ✅""),'Country prepositions'!A:B, 2, 0) &amp; "" "" &amp; REGEXEXTRACT(C2797, ""🏘️ \w+ \w+ (.*) ✅"") ,  if(H2797=""quartier"",vlookup(REGEXEXTRACT(C2797, ""🏘️ \w+ \w+ (.*) ✅""),'Quartier prepositio"&amp;"ns'!A:E, 5, 0) ,  if(H2797=""region"",vlookup(REGEXEXTRACT(C2797, ""🏘️ \w+ \w+ (.*) ✅""),'Region prepositions'!B:F, 5, 0),  REGEXEXTRACT(C2797, ""🏘️ \w+ \w+ (.*) ✅""))))"),"Biezwil")</f>
        <v>Biezwil</v>
      </c>
      <c r="F2797" s="2" t="str">
        <f>IFERROR(__xludf.DUMMYFUNCTION("REGEXEXTRACT(C2797, ""🏘️ (\w+) \w+ .* ✅"")"),"Vendre")</f>
        <v>Vendre</v>
      </c>
      <c r="G2797" s="2" t="str">
        <f>IFERROR(__xludf.DUMMYFUNCTION("REGEXEXTRACT(C2797, ""🏘️ \w+ (\w+) .* ✅"")"),"maison")</f>
        <v>maison</v>
      </c>
      <c r="H2797" s="4" t="str">
        <f>IFERROR(__xludf.DUMMYFUNCTION("REGEXEXTRACT(A2797, ""/(\w+)-.*?"")"),"lieu")</f>
        <v>lieu</v>
      </c>
      <c r="I2797" s="4" t="str">
        <f>IFERROR(__xludf.DUMMYFUNCTION("if(D2797=""variant"",  substitute(filter(Templates!E:E, Templates!A:A = F2797, Templates!B:B = G2797, Templates!C:C = H2797), ""{{}}"", E2797), B2797)"),"🏘  Vous souhaitez acheter une maison à Biezwil? ✅ Jetez un œil aux dernières offres sur ImmoScout24.ch.")</f>
        <v>🏘  Vous souhaitez acheter une maison à Biezwil? ✅ Jetez un œil aux dernières offres sur ImmoScout24.ch.</v>
      </c>
      <c r="J2797" s="4" t="s">
        <v>8387</v>
      </c>
    </row>
    <row r="2798">
      <c r="A2798" s="5" t="s">
        <v>8388</v>
      </c>
      <c r="B2798" s="2" t="s">
        <v>8389</v>
      </c>
      <c r="C2798" s="4" t="str">
        <f>IFERROR(__xludf.DUMMYFUNCTION("""🏘️ ""&amp;REGEXEXTRACT(B2798, ""^(.*): "")&amp;"" ✅ "" &amp;REGEXEXTRACT(B2798, ""(Trouvez.*)"")"),"🏘️ Louer appartement Villette (Lavaux) ✅ Trouvez le bien immobilier qui correspond idéalement à vos désirs sur ImmoScout24 - La plateforme de l'immobilier en Suisse.")</f>
        <v>🏘️ Louer appartement Villette (Lavaux) ✅ Trouvez le bien immobilier qui correspond idéalement à vos désirs sur ImmoScout24 - La plateforme de l'immobilier en Suisse.</v>
      </c>
      <c r="D2798" s="4" t="str">
        <f>vlookup(A2798, Sheet2!D:E, 2, 0)</f>
        <v>variant</v>
      </c>
      <c r="E2798" s="4" t="str">
        <f>IFERROR(__xludf.DUMMYFUNCTION("if(H2798=""pays"",vlookup(REGEXEXTRACT(C2798, ""🏘️ \w+ \w+ (.*) ✅""),'Country prepositions'!A:B, 2, 0) &amp; "" "" &amp; REGEXEXTRACT(C2798, ""🏘️ \w+ \w+ (.*) ✅"") ,  if(H2798=""quartier"",vlookup(REGEXEXTRACT(C2798, ""🏘️ \w+ \w+ (.*) ✅""),'Quartier prepositio"&amp;"ns'!A:E, 5, 0) ,  if(H2798=""region"",vlookup(REGEXEXTRACT(C2798, ""🏘️ \w+ \w+ (.*) ✅""),'Region prepositions'!B:F, 5, 0),  REGEXEXTRACT(C2798, ""🏘️ \w+ \w+ (.*) ✅""))))"),"Villette (Lavaux)")</f>
        <v>Villette (Lavaux)</v>
      </c>
      <c r="F2798" s="2" t="str">
        <f>IFERROR(__xludf.DUMMYFUNCTION("REGEXEXTRACT(C2798, ""🏘️ (\w+) \w+ .* ✅"")"),"Louer")</f>
        <v>Louer</v>
      </c>
      <c r="G2798" s="2" t="str">
        <f>IFERROR(__xludf.DUMMYFUNCTION("REGEXEXTRACT(C2798, ""🏘️ \w+ (\w+) .* ✅"")"),"appartement")</f>
        <v>appartement</v>
      </c>
      <c r="H2798" s="4" t="str">
        <f>IFERROR(__xludf.DUMMYFUNCTION("REGEXEXTRACT(A2798, ""/(\w+)-.*?"")"),"lieu")</f>
        <v>lieu</v>
      </c>
      <c r="I2798" s="4" t="str">
        <f>IFERROR(__xludf.DUMMYFUNCTION("if(D2798=""variant"",  substitute(filter(Templates!E:E, Templates!A:A = F2798, Templates!B:B = G2798, Templates!C:C = H2798), ""{{}}"", E2798), B2798)"),"🏘  Vous cherchez un appartement à louer à Villette (Lavaux)? ✅ Les annonces les plus actuelles sont sur ImmoScout24.ch.")</f>
        <v>🏘  Vous cherchez un appartement à louer à Villette (Lavaux)? ✅ Les annonces les plus actuelles sont sur ImmoScout24.ch.</v>
      </c>
      <c r="J2798" s="4" t="s">
        <v>8390</v>
      </c>
    </row>
    <row r="2799">
      <c r="A2799" s="5" t="s">
        <v>8391</v>
      </c>
      <c r="B2799" s="2" t="s">
        <v>8392</v>
      </c>
      <c r="C2799" s="4" t="str">
        <f>IFERROR(__xludf.DUMMYFUNCTION("""🏘️ ""&amp;REGEXEXTRACT(B2799, ""^(.*): "")&amp;"" ✅ "" &amp;REGEXEXTRACT(B2799, ""(Trouvez.*)"")"),"🏘️ Vendre appartement Sigriswil ✅ Trouvez le bien immobilier qui correspond idéalement à vos désirs sur ImmoScout24 - La plateforme de l'immobilier en Suisse.")</f>
        <v>🏘️ Vendre appartement Sigriswil ✅ Trouvez le bien immobilier qui correspond idéalement à vos désirs sur ImmoScout24 - La plateforme de l'immobilier en Suisse.</v>
      </c>
      <c r="D2799" s="4" t="str">
        <f>vlookup(A2799, Sheet2!D:E, 2, 0)</f>
        <v>variant</v>
      </c>
      <c r="E2799" s="4" t="str">
        <f>IFERROR(__xludf.DUMMYFUNCTION("if(H2799=""pays"",vlookup(REGEXEXTRACT(C2799, ""🏘️ \w+ \w+ (.*) ✅""),'Country prepositions'!A:B, 2, 0) &amp; "" "" &amp; REGEXEXTRACT(C2799, ""🏘️ \w+ \w+ (.*) ✅"") ,  if(H2799=""quartier"",vlookup(REGEXEXTRACT(C2799, ""🏘️ \w+ \w+ (.*) ✅""),'Quartier prepositio"&amp;"ns'!A:E, 5, 0) ,  if(H2799=""region"",vlookup(REGEXEXTRACT(C2799, ""🏘️ \w+ \w+ (.*) ✅""),'Region prepositions'!B:F, 5, 0),  REGEXEXTRACT(C2799, ""🏘️ \w+ \w+ (.*) ✅""))))"),"Sigriswil")</f>
        <v>Sigriswil</v>
      </c>
      <c r="F2799" s="2" t="str">
        <f>IFERROR(__xludf.DUMMYFUNCTION("REGEXEXTRACT(C2799, ""🏘️ (\w+) \w+ .* ✅"")"),"Vendre")</f>
        <v>Vendre</v>
      </c>
      <c r="G2799" s="2" t="str">
        <f>IFERROR(__xludf.DUMMYFUNCTION("REGEXEXTRACT(C2799, ""🏘️ \w+ (\w+) .* ✅"")"),"appartement")</f>
        <v>appartement</v>
      </c>
      <c r="H2799" s="4" t="str">
        <f>IFERROR(__xludf.DUMMYFUNCTION("REGEXEXTRACT(A2799, ""/(\w+)-.*?"")"),"lieu")</f>
        <v>lieu</v>
      </c>
      <c r="I2799" s="4" t="str">
        <f>IFERROR(__xludf.DUMMYFUNCTION("if(D2799=""variant"",  substitute(filter(Templates!E:E, Templates!A:A = F2799, Templates!B:B = G2799, Templates!C:C = H2799), ""{{}}"", E2799), B2799)"),"🏘  L’appartement de vos rêves se trouve sur ImmoScout24.ch ✅ Découvrez les dernières annonces de vente à Sigriswil.")</f>
        <v>🏘  L’appartement de vos rêves se trouve sur ImmoScout24.ch ✅ Découvrez les dernières annonces de vente à Sigriswil.</v>
      </c>
      <c r="J2799" s="4" t="s">
        <v>8393</v>
      </c>
    </row>
    <row r="2800">
      <c r="A2800" s="5" t="s">
        <v>8394</v>
      </c>
      <c r="B2800" s="2" t="s">
        <v>8395</v>
      </c>
      <c r="C2800" s="4" t="str">
        <f>IFERROR(__xludf.DUMMYFUNCTION("""🏘️ ""&amp;REGEXEXTRACT(B2800, ""^(.*): "")&amp;"" ✅ "" &amp;REGEXEXTRACT(B2800, ""(Trouvez.*)"")"),"🏘️ Louer appartement Les Geneveys-sur-Coffrane ✅ Trouvez le bien immobilier qui correspond idéalement à vos désirs sur ImmoScout24 - La plateforme de l'immobilier en Suisse.")</f>
        <v>🏘️ Louer appartement Les Geneveys-sur-Coffrane ✅ Trouvez le bien immobilier qui correspond idéalement à vos désirs sur ImmoScout24 - La plateforme de l'immobilier en Suisse.</v>
      </c>
      <c r="D2800" s="4" t="str">
        <f>vlookup(A2800, Sheet2!D:E, 2, 0)</f>
        <v>variant</v>
      </c>
      <c r="E2800" s="4" t="str">
        <f>IFERROR(__xludf.DUMMYFUNCTION("if(H2800=""pays"",vlookup(REGEXEXTRACT(C2800, ""🏘️ \w+ \w+ (.*) ✅""),'Country prepositions'!A:B, 2, 0) &amp; "" "" &amp; REGEXEXTRACT(C2800, ""🏘️ \w+ \w+ (.*) ✅"") ,  if(H2800=""quartier"",vlookup(REGEXEXTRACT(C2800, ""🏘️ \w+ \w+ (.*) ✅""),'Quartier prepositio"&amp;"ns'!A:E, 5, 0) ,  if(H2800=""region"",vlookup(REGEXEXTRACT(C2800, ""🏘️ \w+ \w+ (.*) ✅""),'Region prepositions'!B:F, 5, 0),  REGEXEXTRACT(C2800, ""🏘️ \w+ \w+ (.*) ✅""))))"),"Les Geneveys-sur-Coffrane")</f>
        <v>Les Geneveys-sur-Coffrane</v>
      </c>
      <c r="F2800" s="2" t="str">
        <f>IFERROR(__xludf.DUMMYFUNCTION("REGEXEXTRACT(C2800, ""🏘️ (\w+) \w+ .* ✅"")"),"Louer")</f>
        <v>Louer</v>
      </c>
      <c r="G2800" s="2" t="str">
        <f>IFERROR(__xludf.DUMMYFUNCTION("REGEXEXTRACT(C2800, ""🏘️ \w+ (\w+) .* ✅"")"),"appartement")</f>
        <v>appartement</v>
      </c>
      <c r="H2800" s="4" t="str">
        <f>IFERROR(__xludf.DUMMYFUNCTION("REGEXEXTRACT(A2800, ""/(\w+)-.*?"")"),"lieu")</f>
        <v>lieu</v>
      </c>
      <c r="I2800" s="4" t="str">
        <f>IFERROR(__xludf.DUMMYFUNCTION("if(D2800=""variant"",  substitute(filter(Templates!E:E, Templates!A:A = F2800, Templates!B:B = G2800, Templates!C:C = H2800), ""{{}}"", E2800), B2800)"),"🏘  Vous cherchez un appartement à louer à Les Geneveys-sur-Coffrane? ✅ Les annonces les plus actuelles sont sur ImmoScout24.ch.")</f>
        <v>🏘  Vous cherchez un appartement à louer à Les Geneveys-sur-Coffrane? ✅ Les annonces les plus actuelles sont sur ImmoScout24.ch.</v>
      </c>
      <c r="J2800" s="2" t="s">
        <v>8396</v>
      </c>
    </row>
    <row r="2801">
      <c r="A2801" s="5" t="s">
        <v>8397</v>
      </c>
      <c r="B2801" s="2" t="s">
        <v>8398</v>
      </c>
      <c r="C2801" s="4" t="str">
        <f>IFERROR(__xludf.DUMMYFUNCTION("""🏘️ ""&amp;REGEXEXTRACT(B2801, ""^(.*): "")&amp;"" ✅ "" &amp;REGEXEXTRACT(B2801, ""(Trouvez.*)"")"),"🏘️ Vendre maison Mund ✅ Trouvez le bien immobilier qui correspond idéalement à vos désirs sur ImmoScout24 - La plateforme de l'immobilier en Suisse.")</f>
        <v>🏘️ Vendre maison Mund ✅ Trouvez le bien immobilier qui correspond idéalement à vos désirs sur ImmoScout24 - La plateforme de l'immobilier en Suisse.</v>
      </c>
      <c r="D2801" s="4" t="str">
        <f>vlookup(A2801, Sheet2!D:E, 2, 0)</f>
        <v>variant</v>
      </c>
      <c r="E2801" s="4" t="str">
        <f>IFERROR(__xludf.DUMMYFUNCTION("if(H2801=""pays"",vlookup(REGEXEXTRACT(C2801, ""🏘️ \w+ \w+ (.*) ✅""),'Country prepositions'!A:B, 2, 0) &amp; "" "" &amp; REGEXEXTRACT(C2801, ""🏘️ \w+ \w+ (.*) ✅"") ,  if(H2801=""quartier"",vlookup(REGEXEXTRACT(C2801, ""🏘️ \w+ \w+ (.*) ✅""),'Quartier prepositio"&amp;"ns'!A:E, 5, 0) ,  if(H2801=""region"",vlookup(REGEXEXTRACT(C2801, ""🏘️ \w+ \w+ (.*) ✅""),'Region prepositions'!B:F, 5, 0),  REGEXEXTRACT(C2801, ""🏘️ \w+ \w+ (.*) ✅""))))"),"Mund")</f>
        <v>Mund</v>
      </c>
      <c r="F2801" s="2" t="str">
        <f>IFERROR(__xludf.DUMMYFUNCTION("REGEXEXTRACT(C2801, ""🏘️ (\w+) \w+ .* ✅"")"),"Vendre")</f>
        <v>Vendre</v>
      </c>
      <c r="G2801" s="2" t="str">
        <f>IFERROR(__xludf.DUMMYFUNCTION("REGEXEXTRACT(C2801, ""🏘️ \w+ (\w+) .* ✅"")"),"maison")</f>
        <v>maison</v>
      </c>
      <c r="H2801" s="4" t="str">
        <f>IFERROR(__xludf.DUMMYFUNCTION("REGEXEXTRACT(A2801, ""/(\w+)-.*?"")"),"lieu")</f>
        <v>lieu</v>
      </c>
      <c r="I2801" s="4" t="str">
        <f>IFERROR(__xludf.DUMMYFUNCTION("if(D2801=""variant"",  substitute(filter(Templates!E:E, Templates!A:A = F2801, Templates!B:B = G2801, Templates!C:C = H2801), ""{{}}"", E2801), B2801)"),"🏘  Vous souhaitez acheter une maison à Mund? ✅ Jetez un œil aux dernières offres sur ImmoScout24.ch.")</f>
        <v>🏘  Vous souhaitez acheter une maison à Mund? ✅ Jetez un œil aux dernières offres sur ImmoScout24.ch.</v>
      </c>
      <c r="J2801" s="4" t="s">
        <v>8399</v>
      </c>
    </row>
    <row r="2802">
      <c r="A2802" s="5" t="s">
        <v>8400</v>
      </c>
      <c r="B2802" s="2" t="s">
        <v>8401</v>
      </c>
      <c r="C2802" s="4" t="str">
        <f>IFERROR(__xludf.DUMMYFUNCTION("""🏘️ ""&amp;REGEXEXTRACT(B2802, ""^(.*): "")&amp;"" ✅ "" &amp;REGEXEXTRACT(B2802, ""(Trouvez.*)"")"),"🏘️ Vendre maison Arlesheim ✅ Trouvez le bien immobilier qui correspond idéalement à vos désirs sur ImmoScout24 - La plateforme de l'immobilier en Suisse.")</f>
        <v>🏘️ Vendre maison Arlesheim ✅ Trouvez le bien immobilier qui correspond idéalement à vos désirs sur ImmoScout24 - La plateforme de l'immobilier en Suisse.</v>
      </c>
      <c r="D2802" s="4" t="str">
        <f>vlookup(A2802, Sheet2!D:E, 2, 0)</f>
        <v>variant</v>
      </c>
      <c r="E2802" s="4" t="str">
        <f>IFERROR(__xludf.DUMMYFUNCTION("if(H2802=""pays"",vlookup(REGEXEXTRACT(C2802, ""🏘️ \w+ \w+ (.*) ✅""),'Country prepositions'!A:B, 2, 0) &amp; "" "" &amp; REGEXEXTRACT(C2802, ""🏘️ \w+ \w+ (.*) ✅"") ,  if(H2802=""quartier"",vlookup(REGEXEXTRACT(C2802, ""🏘️ \w+ \w+ (.*) ✅""),'Quartier prepositio"&amp;"ns'!A:E, 5, 0) ,  if(H2802=""region"",vlookup(REGEXEXTRACT(C2802, ""🏘️ \w+ \w+ (.*) ✅""),'Region prepositions'!B:F, 5, 0),  REGEXEXTRACT(C2802, ""🏘️ \w+ \w+ (.*) ✅""))))"),"Arlesheim")</f>
        <v>Arlesheim</v>
      </c>
      <c r="F2802" s="2" t="str">
        <f>IFERROR(__xludf.DUMMYFUNCTION("REGEXEXTRACT(C2802, ""🏘️ (\w+) \w+ .* ✅"")"),"Vendre")</f>
        <v>Vendre</v>
      </c>
      <c r="G2802" s="2" t="str">
        <f>IFERROR(__xludf.DUMMYFUNCTION("REGEXEXTRACT(C2802, ""🏘️ \w+ (\w+) .* ✅"")"),"maison")</f>
        <v>maison</v>
      </c>
      <c r="H2802" s="4" t="str">
        <f>IFERROR(__xludf.DUMMYFUNCTION("REGEXEXTRACT(A2802, ""/(\w+)-.*?"")"),"lieu")</f>
        <v>lieu</v>
      </c>
      <c r="I2802" s="4" t="str">
        <f>IFERROR(__xludf.DUMMYFUNCTION("if(D2802=""variant"",  substitute(filter(Templates!E:E, Templates!A:A = F2802, Templates!B:B = G2802, Templates!C:C = H2802), ""{{}}"", E2802), B2802)"),"🏘  Vous souhaitez acheter une maison à Arlesheim? ✅ Jetez un œil aux dernières offres sur ImmoScout24.ch.")</f>
        <v>🏘  Vous souhaitez acheter une maison à Arlesheim? ✅ Jetez un œil aux dernières offres sur ImmoScout24.ch.</v>
      </c>
      <c r="J2802" s="4" t="s">
        <v>8402</v>
      </c>
    </row>
    <row r="2803">
      <c r="A2803" s="5" t="s">
        <v>8403</v>
      </c>
      <c r="B2803" s="2" t="s">
        <v>8404</v>
      </c>
      <c r="C2803" s="4" t="str">
        <f>IFERROR(__xludf.DUMMYFUNCTION("""🏘️ ""&amp;REGEXEXTRACT(B2803, ""^(.*): "")&amp;"" ✅ "" &amp;REGEXEXTRACT(B2803, ""(Trouvez.*)"")"),"🏘️ Louer appartement Cheseaux-sur-Lausanne ✅ Trouvez le bien immobilier qui correspond idéalement à vos désirs sur ImmoScout24 - La plateforme de l'immobilier en Suisse.")</f>
        <v>🏘️ Louer appartement Cheseaux-sur-Lausanne ✅ Trouvez le bien immobilier qui correspond idéalement à vos désirs sur ImmoScout24 - La plateforme de l'immobilier en Suisse.</v>
      </c>
      <c r="D2803" s="4" t="str">
        <f>vlookup(A2803, Sheet2!D:E, 2, 0)</f>
        <v>variant</v>
      </c>
      <c r="E2803" s="4" t="str">
        <f>IFERROR(__xludf.DUMMYFUNCTION("if(H2803=""pays"",vlookup(REGEXEXTRACT(C2803, ""🏘️ \w+ \w+ (.*) ✅""),'Country prepositions'!A:B, 2, 0) &amp; "" "" &amp; REGEXEXTRACT(C2803, ""🏘️ \w+ \w+ (.*) ✅"") ,  if(H2803=""quartier"",vlookup(REGEXEXTRACT(C2803, ""🏘️ \w+ \w+ (.*) ✅""),'Quartier prepositio"&amp;"ns'!A:E, 5, 0) ,  if(H2803=""region"",vlookup(REGEXEXTRACT(C2803, ""🏘️ \w+ \w+ (.*) ✅""),'Region prepositions'!B:F, 5, 0),  REGEXEXTRACT(C2803, ""🏘️ \w+ \w+ (.*) ✅""))))"),"Cheseaux-sur-Lausanne")</f>
        <v>Cheseaux-sur-Lausanne</v>
      </c>
      <c r="F2803" s="2" t="str">
        <f>IFERROR(__xludf.DUMMYFUNCTION("REGEXEXTRACT(C2803, ""🏘️ (\w+) \w+ .* ✅"")"),"Louer")</f>
        <v>Louer</v>
      </c>
      <c r="G2803" s="2" t="str">
        <f>IFERROR(__xludf.DUMMYFUNCTION("REGEXEXTRACT(C2803, ""🏘️ \w+ (\w+) .* ✅"")"),"appartement")</f>
        <v>appartement</v>
      </c>
      <c r="H2803" s="4" t="str">
        <f>IFERROR(__xludf.DUMMYFUNCTION("REGEXEXTRACT(A2803, ""/(\w+)-.*?"")"),"lieu")</f>
        <v>lieu</v>
      </c>
      <c r="I2803" s="4" t="str">
        <f>IFERROR(__xludf.DUMMYFUNCTION("if(D2803=""variant"",  substitute(filter(Templates!E:E, Templates!A:A = F2803, Templates!B:B = G2803, Templates!C:C = H2803), ""{{}}"", E2803), B2803)"),"🏘  Vous cherchez un appartement à louer à Cheseaux-sur-Lausanne? ✅ Les annonces les plus actuelles sont sur ImmoScout24.ch.")</f>
        <v>🏘  Vous cherchez un appartement à louer à Cheseaux-sur-Lausanne? ✅ Les annonces les plus actuelles sont sur ImmoScout24.ch.</v>
      </c>
      <c r="J2803" s="4" t="s">
        <v>8405</v>
      </c>
    </row>
    <row r="2804">
      <c r="A2804" s="5" t="s">
        <v>8406</v>
      </c>
      <c r="B2804" s="2" t="s">
        <v>8407</v>
      </c>
      <c r="C2804" s="4" t="str">
        <f>IFERROR(__xludf.DUMMYFUNCTION("""🏘️ ""&amp;REGEXEXTRACT(B2804, ""^(.*): "")&amp;"" ✅ "" &amp;REGEXEXTRACT(B2804, ""(Trouvez.*)"")"),"🏘️ Louer appartement Les Verrières ✅ Trouvez le bien immobilier qui correspond idéalement à vos désirs sur ImmoScout24 - La plateforme de l'immobilier en Suisse.")</f>
        <v>🏘️ Louer appartement Les Verrières ✅ Trouvez le bien immobilier qui correspond idéalement à vos désirs sur ImmoScout24 - La plateforme de l'immobilier en Suisse.</v>
      </c>
      <c r="D2804" s="4" t="str">
        <f>vlookup(A2804, Sheet2!D:E, 2, 0)</f>
        <v>variant</v>
      </c>
      <c r="E2804" s="4" t="str">
        <f>IFERROR(__xludf.DUMMYFUNCTION("if(H2804=""pays"",vlookup(REGEXEXTRACT(C2804, ""🏘️ \w+ \w+ (.*) ✅""),'Country prepositions'!A:B, 2, 0) &amp; "" "" &amp; REGEXEXTRACT(C2804, ""🏘️ \w+ \w+ (.*) ✅"") ,  if(H2804=""quartier"",vlookup(REGEXEXTRACT(C2804, ""🏘️ \w+ \w+ (.*) ✅""),'Quartier prepositio"&amp;"ns'!A:E, 5, 0) ,  if(H2804=""region"",vlookup(REGEXEXTRACT(C2804, ""🏘️ \w+ \w+ (.*) ✅""),'Region prepositions'!B:F, 5, 0),  REGEXEXTRACT(C2804, ""🏘️ \w+ \w+ (.*) ✅""))))"),"Les Verrières")</f>
        <v>Les Verrières</v>
      </c>
      <c r="F2804" s="2" t="str">
        <f>IFERROR(__xludf.DUMMYFUNCTION("REGEXEXTRACT(C2804, ""🏘️ (\w+) \w+ .* ✅"")"),"Louer")</f>
        <v>Louer</v>
      </c>
      <c r="G2804" s="2" t="str">
        <f>IFERROR(__xludf.DUMMYFUNCTION("REGEXEXTRACT(C2804, ""🏘️ \w+ (\w+) .* ✅"")"),"appartement")</f>
        <v>appartement</v>
      </c>
      <c r="H2804" s="4" t="str">
        <f>IFERROR(__xludf.DUMMYFUNCTION("REGEXEXTRACT(A2804, ""/(\w+)-.*?"")"),"lieu")</f>
        <v>lieu</v>
      </c>
      <c r="I2804" s="4" t="str">
        <f>IFERROR(__xludf.DUMMYFUNCTION("if(D2804=""variant"",  substitute(filter(Templates!E:E, Templates!A:A = F2804, Templates!B:B = G2804, Templates!C:C = H2804), ""{{}}"", E2804), B2804)"),"🏘  Vous cherchez un appartement à louer à Les Verrières? ✅ Les annonces les plus actuelles sont sur ImmoScout24.ch.")</f>
        <v>🏘  Vous cherchez un appartement à louer à Les Verrières? ✅ Les annonces les plus actuelles sont sur ImmoScout24.ch.</v>
      </c>
      <c r="J2804" s="2" t="s">
        <v>8408</v>
      </c>
    </row>
    <row r="2805">
      <c r="A2805" s="5" t="s">
        <v>8409</v>
      </c>
      <c r="B2805" s="2" t="s">
        <v>8410</v>
      </c>
      <c r="C2805" s="4" t="str">
        <f>IFERROR(__xludf.DUMMYFUNCTION("""🏘️ ""&amp;REGEXEXTRACT(B2805, ""^(.*): "")&amp;"" ✅ "" &amp;REGEXEXTRACT(B2805, ""(Trouvez.*)"")"),"🏘️ Vendre maison Interlaken ✅ Trouvez le bien immobilier qui correspond idéalement à vos désirs sur ImmoScout24 - La plateforme de l'immobilier en Suisse.")</f>
        <v>🏘️ Vendre maison Interlaken ✅ Trouvez le bien immobilier qui correspond idéalement à vos désirs sur ImmoScout24 - La plateforme de l'immobilier en Suisse.</v>
      </c>
      <c r="D2805" s="4" t="str">
        <f>vlookup(A2805, Sheet2!D:E, 2, 0)</f>
        <v>variant</v>
      </c>
      <c r="E2805" s="4" t="str">
        <f>IFERROR(__xludf.DUMMYFUNCTION("if(H2805=""pays"",vlookup(REGEXEXTRACT(C2805, ""🏘️ \w+ \w+ (.*) ✅""),'Country prepositions'!A:B, 2, 0) &amp; "" "" &amp; REGEXEXTRACT(C2805, ""🏘️ \w+ \w+ (.*) ✅"") ,  if(H2805=""quartier"",vlookup(REGEXEXTRACT(C2805, ""🏘️ \w+ \w+ (.*) ✅""),'Quartier prepositio"&amp;"ns'!A:E, 5, 0) ,  if(H2805=""region"",vlookup(REGEXEXTRACT(C2805, ""🏘️ \w+ \w+ (.*) ✅""),'Region prepositions'!B:F, 5, 0),  REGEXEXTRACT(C2805, ""🏘️ \w+ \w+ (.*) ✅""))))"),"Interlaken")</f>
        <v>Interlaken</v>
      </c>
      <c r="F2805" s="2" t="str">
        <f>IFERROR(__xludf.DUMMYFUNCTION("REGEXEXTRACT(C2805, ""🏘️ (\w+) \w+ .* ✅"")"),"Vendre")</f>
        <v>Vendre</v>
      </c>
      <c r="G2805" s="2" t="str">
        <f>IFERROR(__xludf.DUMMYFUNCTION("REGEXEXTRACT(C2805, ""🏘️ \w+ (\w+) .* ✅"")"),"maison")</f>
        <v>maison</v>
      </c>
      <c r="H2805" s="4" t="str">
        <f>IFERROR(__xludf.DUMMYFUNCTION("REGEXEXTRACT(A2805, ""/(\w+)-.*?"")"),"lieu")</f>
        <v>lieu</v>
      </c>
      <c r="I2805" s="4" t="str">
        <f>IFERROR(__xludf.DUMMYFUNCTION("if(D2805=""variant"",  substitute(filter(Templates!E:E, Templates!A:A = F2805, Templates!B:B = G2805, Templates!C:C = H2805), ""{{}}"", E2805), B2805)"),"🏘  Vous souhaitez acheter une maison à Interlaken? ✅ Jetez un œil aux dernières offres sur ImmoScout24.ch.")</f>
        <v>🏘  Vous souhaitez acheter une maison à Interlaken? ✅ Jetez un œil aux dernières offres sur ImmoScout24.ch.</v>
      </c>
      <c r="J2805" s="4" t="s">
        <v>8411</v>
      </c>
    </row>
    <row r="2806">
      <c r="A2806" s="5" t="s">
        <v>8412</v>
      </c>
      <c r="B2806" s="2" t="s">
        <v>8413</v>
      </c>
      <c r="C2806" s="4" t="str">
        <f>IFERROR(__xludf.DUMMYFUNCTION("""🏘️ ""&amp;REGEXEXTRACT(B2806, ""^(.*): "")&amp;"" ✅ "" &amp;REGEXEXTRACT(B2806, ""(Trouvez.*)"")"),"🏘️ Louer appartement Endingen ✅ Trouvez le bien immobilier qui correspond idéalement à vos désirs sur ImmoScout24 - La plateforme de l'immobilier en Suisse.")</f>
        <v>🏘️ Louer appartement Endingen ✅ Trouvez le bien immobilier qui correspond idéalement à vos désirs sur ImmoScout24 - La plateforme de l'immobilier en Suisse.</v>
      </c>
      <c r="D2806" s="4" t="str">
        <f>vlookup(A2806, Sheet2!D:E, 2, 0)</f>
        <v>variant</v>
      </c>
      <c r="E2806" s="4" t="str">
        <f>IFERROR(__xludf.DUMMYFUNCTION("if(H2806=""pays"",vlookup(REGEXEXTRACT(C2806, ""🏘️ \w+ \w+ (.*) ✅""),'Country prepositions'!A:B, 2, 0) &amp; "" "" &amp; REGEXEXTRACT(C2806, ""🏘️ \w+ \w+ (.*) ✅"") ,  if(H2806=""quartier"",vlookup(REGEXEXTRACT(C2806, ""🏘️ \w+ \w+ (.*) ✅""),'Quartier prepositio"&amp;"ns'!A:E, 5, 0) ,  if(H2806=""region"",vlookup(REGEXEXTRACT(C2806, ""🏘️ \w+ \w+ (.*) ✅""),'Region prepositions'!B:F, 5, 0),  REGEXEXTRACT(C2806, ""🏘️ \w+ \w+ (.*) ✅""))))"),"Endingen")</f>
        <v>Endingen</v>
      </c>
      <c r="F2806" s="2" t="str">
        <f>IFERROR(__xludf.DUMMYFUNCTION("REGEXEXTRACT(C2806, ""🏘️ (\w+) \w+ .* ✅"")"),"Louer")</f>
        <v>Louer</v>
      </c>
      <c r="G2806" s="2" t="str">
        <f>IFERROR(__xludf.DUMMYFUNCTION("REGEXEXTRACT(C2806, ""🏘️ \w+ (\w+) .* ✅"")"),"appartement")</f>
        <v>appartement</v>
      </c>
      <c r="H2806" s="4" t="str">
        <f>IFERROR(__xludf.DUMMYFUNCTION("REGEXEXTRACT(A2806, ""/(\w+)-.*?"")"),"lieu")</f>
        <v>lieu</v>
      </c>
      <c r="I2806" s="4" t="str">
        <f>IFERROR(__xludf.DUMMYFUNCTION("if(D2806=""variant"",  substitute(filter(Templates!E:E, Templates!A:A = F2806, Templates!B:B = G2806, Templates!C:C = H2806), ""{{}}"", E2806), B2806)"),"🏘  Vous cherchez un appartement à louer à Endingen? ✅ Les annonces les plus actuelles sont sur ImmoScout24.ch.")</f>
        <v>🏘  Vous cherchez un appartement à louer à Endingen? ✅ Les annonces les plus actuelles sont sur ImmoScout24.ch.</v>
      </c>
      <c r="J2806" s="4" t="s">
        <v>8414</v>
      </c>
    </row>
    <row r="2807">
      <c r="A2807" s="5" t="s">
        <v>8415</v>
      </c>
      <c r="B2807" s="2" t="s">
        <v>8416</v>
      </c>
      <c r="C2807" s="4" t="str">
        <f>IFERROR(__xludf.DUMMYFUNCTION("""🏘️ ""&amp;REGEXEXTRACT(B2807, ""^(.*): "")&amp;"" ✅ "" &amp;REGEXEXTRACT(B2807, ""(Trouvez.*)"")"),"🏘️ Vendre maison Würenlingen ✅ Trouvez le bien immobilier qui correspond idéalement à vos désirs sur ImmoScout24 - La plateforme de l'immobilier en Suisse.")</f>
        <v>🏘️ Vendre maison Würenlingen ✅ Trouvez le bien immobilier qui correspond idéalement à vos désirs sur ImmoScout24 - La plateforme de l'immobilier en Suisse.</v>
      </c>
      <c r="D2807" s="4" t="str">
        <f>vlookup(A2807, Sheet2!D:E, 2, 0)</f>
        <v>variant</v>
      </c>
      <c r="E2807" s="4" t="str">
        <f>IFERROR(__xludf.DUMMYFUNCTION("if(H2807=""pays"",vlookup(REGEXEXTRACT(C2807, ""🏘️ \w+ \w+ (.*) ✅""),'Country prepositions'!A:B, 2, 0) &amp; "" "" &amp; REGEXEXTRACT(C2807, ""🏘️ \w+ \w+ (.*) ✅"") ,  if(H2807=""quartier"",vlookup(REGEXEXTRACT(C2807, ""🏘️ \w+ \w+ (.*) ✅""),'Quartier prepositio"&amp;"ns'!A:E, 5, 0) ,  if(H2807=""region"",vlookup(REGEXEXTRACT(C2807, ""🏘️ \w+ \w+ (.*) ✅""),'Region prepositions'!B:F, 5, 0),  REGEXEXTRACT(C2807, ""🏘️ \w+ \w+ (.*) ✅""))))"),"Würenlingen")</f>
        <v>Würenlingen</v>
      </c>
      <c r="F2807" s="2" t="str">
        <f>IFERROR(__xludf.DUMMYFUNCTION("REGEXEXTRACT(C2807, ""🏘️ (\w+) \w+ .* ✅"")"),"Vendre")</f>
        <v>Vendre</v>
      </c>
      <c r="G2807" s="2" t="str">
        <f>IFERROR(__xludf.DUMMYFUNCTION("REGEXEXTRACT(C2807, ""🏘️ \w+ (\w+) .* ✅"")"),"maison")</f>
        <v>maison</v>
      </c>
      <c r="H2807" s="4" t="str">
        <f>IFERROR(__xludf.DUMMYFUNCTION("REGEXEXTRACT(A2807, ""/(\w+)-.*?"")"),"lieu")</f>
        <v>lieu</v>
      </c>
      <c r="I2807" s="4" t="str">
        <f>IFERROR(__xludf.DUMMYFUNCTION("if(D2807=""variant"",  substitute(filter(Templates!E:E, Templates!A:A = F2807, Templates!B:B = G2807, Templates!C:C = H2807), ""{{}}"", E2807), B2807)"),"🏘  Vous souhaitez acheter une maison à Würenlingen? ✅ Jetez un œil aux dernières offres sur ImmoScout24.ch.")</f>
        <v>🏘  Vous souhaitez acheter une maison à Würenlingen? ✅ Jetez un œil aux dernières offres sur ImmoScout24.ch.</v>
      </c>
      <c r="J2807" s="4" t="s">
        <v>8417</v>
      </c>
    </row>
    <row r="2808">
      <c r="A2808" s="5" t="s">
        <v>8418</v>
      </c>
      <c r="B2808" s="2" t="s">
        <v>8419</v>
      </c>
      <c r="C2808" s="4" t="str">
        <f>IFERROR(__xludf.DUMMYFUNCTION("""🏘️ ""&amp;REGEXEXTRACT(B2808, ""^(.*): "")&amp;"" ✅ "" &amp;REGEXEXTRACT(B2808, ""(Trouvez.*)"")"),"🏘️ Louer appartement Fiesch ✅ Trouvez le bien immobilier qui correspond idéalement à vos désirs sur ImmoScout24 - La plateforme de l'immobilier en Suisse.")</f>
        <v>🏘️ Louer appartement Fiesch ✅ Trouvez le bien immobilier qui correspond idéalement à vos désirs sur ImmoScout24 - La plateforme de l'immobilier en Suisse.</v>
      </c>
      <c r="D2808" s="4" t="str">
        <f>vlookup(A2808, Sheet2!D:E, 2, 0)</f>
        <v>variant</v>
      </c>
      <c r="E2808" s="4" t="str">
        <f>IFERROR(__xludf.DUMMYFUNCTION("if(H2808=""pays"",vlookup(REGEXEXTRACT(C2808, ""🏘️ \w+ \w+ (.*) ✅""),'Country prepositions'!A:B, 2, 0) &amp; "" "" &amp; REGEXEXTRACT(C2808, ""🏘️ \w+ \w+ (.*) ✅"") ,  if(H2808=""quartier"",vlookup(REGEXEXTRACT(C2808, ""🏘️ \w+ \w+ (.*) ✅""),'Quartier prepositio"&amp;"ns'!A:E, 5, 0) ,  if(H2808=""region"",vlookup(REGEXEXTRACT(C2808, ""🏘️ \w+ \w+ (.*) ✅""),'Region prepositions'!B:F, 5, 0),  REGEXEXTRACT(C2808, ""🏘️ \w+ \w+ (.*) ✅""))))"),"Fiesch")</f>
        <v>Fiesch</v>
      </c>
      <c r="F2808" s="2" t="str">
        <f>IFERROR(__xludf.DUMMYFUNCTION("REGEXEXTRACT(C2808, ""🏘️ (\w+) \w+ .* ✅"")"),"Louer")</f>
        <v>Louer</v>
      </c>
      <c r="G2808" s="2" t="str">
        <f>IFERROR(__xludf.DUMMYFUNCTION("REGEXEXTRACT(C2808, ""🏘️ \w+ (\w+) .* ✅"")"),"appartement")</f>
        <v>appartement</v>
      </c>
      <c r="H2808" s="4" t="str">
        <f>IFERROR(__xludf.DUMMYFUNCTION("REGEXEXTRACT(A2808, ""/(\w+)-.*?"")"),"lieu")</f>
        <v>lieu</v>
      </c>
      <c r="I2808" s="4" t="str">
        <f>IFERROR(__xludf.DUMMYFUNCTION("if(D2808=""variant"",  substitute(filter(Templates!E:E, Templates!A:A = F2808, Templates!B:B = G2808, Templates!C:C = H2808), ""{{}}"", E2808), B2808)"),"🏘  Vous cherchez un appartement à louer à Fiesch? ✅ Les annonces les plus actuelles sont sur ImmoScout24.ch.")</f>
        <v>🏘  Vous cherchez un appartement à louer à Fiesch? ✅ Les annonces les plus actuelles sont sur ImmoScout24.ch.</v>
      </c>
      <c r="J2808" s="4" t="s">
        <v>8420</v>
      </c>
    </row>
    <row r="2809">
      <c r="A2809" s="5" t="s">
        <v>8421</v>
      </c>
      <c r="B2809" s="2" t="s">
        <v>8422</v>
      </c>
      <c r="C2809" s="4" t="str">
        <f>IFERROR(__xludf.DUMMYFUNCTION("""🏘️ ""&amp;REGEXEXTRACT(B2809, ""^(.*): "")&amp;"" ✅ "" &amp;REGEXEXTRACT(B2809, ""(Trouvez.*)"")"),"🏘️ Vendre maison Canton de Neuchâtel ✅ Trouvez le bien immobilier qui correspond idéalement à vos désirs sur ImmoScout24 - La plateforme de l'immobilier en Suisse.")</f>
        <v>🏘️ Vendre maison Canton de Neuchâtel ✅ Trouvez le bien immobilier qui correspond idéalement à vos désirs sur ImmoScout24 - La plateforme de l'immobilier en Suisse.</v>
      </c>
      <c r="D2809" s="4" t="str">
        <f>vlookup(A2809, Sheet2!D:E, 2, 0)</f>
        <v>variant</v>
      </c>
      <c r="E2809" s="4" t="str">
        <f>IFERROR(__xludf.DUMMYFUNCTION("if(H2809=""pays"",vlookup(REGEXEXTRACT(C2809, ""🏘️ \w+ \w+ (.*) ✅""),'Country prepositions'!A:B, 2, 0) &amp; "" "" &amp; REGEXEXTRACT(C2809, ""🏘️ \w+ \w+ (.*) ✅"") ,  if(H2809=""quartier"",vlookup(REGEXEXTRACT(C2809, ""🏘️ \w+ \w+ (.*) ✅""),'Quartier prepositio"&amp;"ns'!A:E, 5, 0) ,  if(H2809=""region"",vlookup(REGEXEXTRACT(C2809, ""🏘️ \w+ \w+ (.*) ✅""),'Region prepositions'!B:F, 5, 0),  REGEXEXTRACT(C2809, ""🏘️ \w+ \w+ (.*) ✅""))))"),"Canton de Neuchâtel")</f>
        <v>Canton de Neuchâtel</v>
      </c>
      <c r="F2809" s="2" t="str">
        <f>IFERROR(__xludf.DUMMYFUNCTION("REGEXEXTRACT(C2809, ""🏘️ (\w+) \w+ .* ✅"")"),"Vendre")</f>
        <v>Vendre</v>
      </c>
      <c r="G2809" s="2" t="str">
        <f>IFERROR(__xludf.DUMMYFUNCTION("REGEXEXTRACT(C2809, ""🏘️ \w+ (\w+) .* ✅"")"),"maison")</f>
        <v>maison</v>
      </c>
      <c r="H2809" s="4" t="str">
        <f>IFERROR(__xludf.DUMMYFUNCTION("REGEXEXTRACT(A2809, ""/(\w+)-.*?"")"),"canton")</f>
        <v>canton</v>
      </c>
      <c r="I2809" s="4" t="str">
        <f>IFERROR(__xludf.DUMMYFUNCTION("if(D2809=""variant"",  substitute(filter(Templates!E:E, Templates!A:A = F2809, Templates!B:B = G2809, Templates!C:C = H2809), ""{{}}"", E2809), B2809)"),"🏘  Vous souhaitez acheter une maison dans le Canton de Neuchâtel? ✅ Jetez un œil aux dernières offres sur ImmoScout24.ch.")</f>
        <v>🏘  Vous souhaitez acheter une maison dans le Canton de Neuchâtel? ✅ Jetez un œil aux dernières offres sur ImmoScout24.ch.</v>
      </c>
      <c r="J2809" s="4" t="s">
        <v>8423</v>
      </c>
    </row>
    <row r="2810">
      <c r="A2810" s="5" t="s">
        <v>8424</v>
      </c>
      <c r="B2810" s="2" t="s">
        <v>8425</v>
      </c>
      <c r="C2810" s="4" t="str">
        <f>IFERROR(__xludf.DUMMYFUNCTION("""🏘️ ""&amp;REGEXEXTRACT(B2810, ""^(.*): "")&amp;"" ✅ "" &amp;REGEXEXTRACT(B2810, ""(Trouvez.*)"")"),"🏘️ Vendre appartement Vallon - Béthusy (Lausanne) ✅ Trouvez le bien immobilier qui correspond idéalement à vos désirs sur ImmoScout24 - La plateforme de l'immobilier en Suisse.")</f>
        <v>🏘️ Vendre appartement Vallon - Béthusy (Lausanne) ✅ Trouvez le bien immobilier qui correspond idéalement à vos désirs sur ImmoScout24 - La plateforme de l'immobilier en Suisse.</v>
      </c>
      <c r="D2810" s="4" t="str">
        <f>vlookup(A2810, Sheet2!D:E, 2, 0)</f>
        <v>variant</v>
      </c>
      <c r="E2810" s="4" t="str">
        <f>IFERROR(__xludf.DUMMYFUNCTION("if(H2810=""pays"",vlookup(REGEXEXTRACT(C2810, ""🏘️ \w+ \w+ (.*) ✅""),'Country prepositions'!A:B, 2, 0) &amp; "" "" &amp; REGEXEXTRACT(C2810, ""🏘️ \w+ \w+ (.*) ✅"") ,  if(H2810=""quartier"",vlookup(REGEXEXTRACT(C2810, ""🏘️ \w+ \w+ (.*) ✅""),'Quartier prepositio"&amp;"ns'!A:E, 5, 0) ,  if(H2810=""region"",vlookup(REGEXEXTRACT(C2810, ""🏘️ \w+ \w+ (.*) ✅""),'Region prepositions'!B:F, 5, 0),  REGEXEXTRACT(C2810, ""🏘️ \w+ \w+ (.*) ✅""))))"),"dans le quartier de Vallon - Béthusy (Lausanne)")</f>
        <v>dans le quartier de Vallon - Béthusy (Lausanne)</v>
      </c>
      <c r="F2810" s="2" t="str">
        <f>IFERROR(__xludf.DUMMYFUNCTION("REGEXEXTRACT(C2810, ""🏘️ (\w+) \w+ .* ✅"")"),"Vendre")</f>
        <v>Vendre</v>
      </c>
      <c r="G2810" s="2" t="str">
        <f>IFERROR(__xludf.DUMMYFUNCTION("REGEXEXTRACT(C2810, ""🏘️ \w+ (\w+) .* ✅"")"),"appartement")</f>
        <v>appartement</v>
      </c>
      <c r="H2810" s="4" t="str">
        <f>IFERROR(__xludf.DUMMYFUNCTION("REGEXEXTRACT(A2810, ""/(\w+)-.*?"")"),"quartier")</f>
        <v>quartier</v>
      </c>
      <c r="I2810" s="4" t="str">
        <f>IFERROR(__xludf.DUMMYFUNCTION("if(D2810=""variant"",  substitute(filter(Templates!E:E, Templates!A:A = F2810, Templates!B:B = G2810, Templates!C:C = H2810), ""{{}}"", E2810), B2810)"),"🏘  L’appartement de vos rêves se trouve sur ImmoScout24.ch ✅ Découvrez les dernières annonces de vente dans le quartier de Vallon - Béthusy (Lausanne).")</f>
        <v>🏘  L’appartement de vos rêves se trouve sur ImmoScout24.ch ✅ Découvrez les dernières annonces de vente dans le quartier de Vallon - Béthusy (Lausanne).</v>
      </c>
      <c r="J2810" s="4" t="s">
        <v>8426</v>
      </c>
    </row>
    <row r="2811">
      <c r="A2811" s="5" t="s">
        <v>8427</v>
      </c>
      <c r="B2811" s="2" t="s">
        <v>8428</v>
      </c>
      <c r="C2811" s="4" t="str">
        <f>IFERROR(__xludf.DUMMYFUNCTION("""🏘️ ""&amp;REGEXEXTRACT(B2811, ""^(.*): "")&amp;"" ✅ "" &amp;REGEXEXTRACT(B2811, ""(Trouvez.*)"")"),"🏘️ Vendre maison St-Cergue ✅ Trouvez le bien immobilier qui correspond idéalement à vos désirs sur ImmoScout24 - La plateforme de l'immobilier en Suisse.")</f>
        <v>🏘️ Vendre maison St-Cergue ✅ Trouvez le bien immobilier qui correspond idéalement à vos désirs sur ImmoScout24 - La plateforme de l'immobilier en Suisse.</v>
      </c>
      <c r="D2811" s="4" t="str">
        <f>vlookup(A2811, Sheet2!D:E, 2, 0)</f>
        <v>variant</v>
      </c>
      <c r="E2811" s="4" t="str">
        <f>IFERROR(__xludf.DUMMYFUNCTION("if(H2811=""pays"",vlookup(REGEXEXTRACT(C2811, ""🏘️ \w+ \w+ (.*) ✅""),'Country prepositions'!A:B, 2, 0) &amp; "" "" &amp; REGEXEXTRACT(C2811, ""🏘️ \w+ \w+ (.*) ✅"") ,  if(H2811=""quartier"",vlookup(REGEXEXTRACT(C2811, ""🏘️ \w+ \w+ (.*) ✅""),'Quartier prepositio"&amp;"ns'!A:E, 5, 0) ,  if(H2811=""region"",vlookup(REGEXEXTRACT(C2811, ""🏘️ \w+ \w+ (.*) ✅""),'Region prepositions'!B:F, 5, 0),  REGEXEXTRACT(C2811, ""🏘️ \w+ \w+ (.*) ✅""))))"),"St-Cergue")</f>
        <v>St-Cergue</v>
      </c>
      <c r="F2811" s="2" t="str">
        <f>IFERROR(__xludf.DUMMYFUNCTION("REGEXEXTRACT(C2811, ""🏘️ (\w+) \w+ .* ✅"")"),"Vendre")</f>
        <v>Vendre</v>
      </c>
      <c r="G2811" s="2" t="str">
        <f>IFERROR(__xludf.DUMMYFUNCTION("REGEXEXTRACT(C2811, ""🏘️ \w+ (\w+) .* ✅"")"),"maison")</f>
        <v>maison</v>
      </c>
      <c r="H2811" s="4" t="str">
        <f>IFERROR(__xludf.DUMMYFUNCTION("REGEXEXTRACT(A2811, ""/(\w+)-.*?"")"),"lieu")</f>
        <v>lieu</v>
      </c>
      <c r="I2811" s="4" t="str">
        <f>IFERROR(__xludf.DUMMYFUNCTION("if(D2811=""variant"",  substitute(filter(Templates!E:E, Templates!A:A = F2811, Templates!B:B = G2811, Templates!C:C = H2811), ""{{}}"", E2811), B2811)"),"🏘  Vous souhaitez acheter une maison à St-Cergue? ✅ Jetez un œil aux dernières offres sur ImmoScout24.ch.")</f>
        <v>🏘  Vous souhaitez acheter une maison à St-Cergue? ✅ Jetez un œil aux dernières offres sur ImmoScout24.ch.</v>
      </c>
      <c r="J2811" s="4" t="s">
        <v>8429</v>
      </c>
    </row>
    <row r="2812">
      <c r="A2812" s="5" t="s">
        <v>8430</v>
      </c>
      <c r="B2812" s="2" t="s">
        <v>8431</v>
      </c>
      <c r="C2812" s="4" t="str">
        <f>IFERROR(__xludf.DUMMYFUNCTION("""🏘️ ""&amp;REGEXEXTRACT(B2812, ""^(.*): "")&amp;"" ✅ "" &amp;REGEXEXTRACT(B2812, ""(Trouvez.*)"")"),"🏘️ Louer appartement Les Collons ✅ Trouvez le bien immobilier qui correspond idéalement à vos désirs sur ImmoScout24 - La plateforme de l'immobilier en Suisse.")</f>
        <v>🏘️ Louer appartement Les Collons ✅ Trouvez le bien immobilier qui correspond idéalement à vos désirs sur ImmoScout24 - La plateforme de l'immobilier en Suisse.</v>
      </c>
      <c r="D2812" s="4" t="str">
        <f>vlookup(A2812, Sheet2!D:E, 2, 0)</f>
        <v>variant</v>
      </c>
      <c r="E2812" s="4" t="str">
        <f>IFERROR(__xludf.DUMMYFUNCTION("if(H2812=""pays"",vlookup(REGEXEXTRACT(C2812, ""🏘️ \w+ \w+ (.*) ✅""),'Country prepositions'!A:B, 2, 0) &amp; "" "" &amp; REGEXEXTRACT(C2812, ""🏘️ \w+ \w+ (.*) ✅"") ,  if(H2812=""quartier"",vlookup(REGEXEXTRACT(C2812, ""🏘️ \w+ \w+ (.*) ✅""),'Quartier prepositio"&amp;"ns'!A:E, 5, 0) ,  if(H2812=""region"",vlookup(REGEXEXTRACT(C2812, ""🏘️ \w+ \w+ (.*) ✅""),'Region prepositions'!B:F, 5, 0),  REGEXEXTRACT(C2812, ""🏘️ \w+ \w+ (.*) ✅""))))"),"Les Collons")</f>
        <v>Les Collons</v>
      </c>
      <c r="F2812" s="2" t="str">
        <f>IFERROR(__xludf.DUMMYFUNCTION("REGEXEXTRACT(C2812, ""🏘️ (\w+) \w+ .* ✅"")"),"Louer")</f>
        <v>Louer</v>
      </c>
      <c r="G2812" s="2" t="str">
        <f>IFERROR(__xludf.DUMMYFUNCTION("REGEXEXTRACT(C2812, ""🏘️ \w+ (\w+) .* ✅"")"),"appartement")</f>
        <v>appartement</v>
      </c>
      <c r="H2812" s="4" t="str">
        <f>IFERROR(__xludf.DUMMYFUNCTION("REGEXEXTRACT(A2812, ""/(\w+)-.*?"")"),"lieu")</f>
        <v>lieu</v>
      </c>
      <c r="I2812" s="4" t="str">
        <f>IFERROR(__xludf.DUMMYFUNCTION("if(D2812=""variant"",  substitute(filter(Templates!E:E, Templates!A:A = F2812, Templates!B:B = G2812, Templates!C:C = H2812), ""{{}}"", E2812), B2812)"),"🏘  Vous cherchez un appartement à louer à Les Collons? ✅ Les annonces les plus actuelles sont sur ImmoScout24.ch.")</f>
        <v>🏘  Vous cherchez un appartement à louer à Les Collons? ✅ Les annonces les plus actuelles sont sur ImmoScout24.ch.</v>
      </c>
      <c r="J2812" s="2" t="s">
        <v>8432</v>
      </c>
    </row>
    <row r="2813">
      <c r="A2813" s="5" t="s">
        <v>8433</v>
      </c>
      <c r="B2813" s="2" t="s">
        <v>8434</v>
      </c>
      <c r="C2813" s="4" t="str">
        <f>IFERROR(__xludf.DUMMYFUNCTION("""🏘️ ""&amp;REGEXEXTRACT(B2813, ""^(.*): "")&amp;"" ✅ "" &amp;REGEXEXTRACT(B2813, ""(Trouvez.*)"")"),"🏘️ Vendre maison Oberhallau ✅ Trouvez le bien immobilier qui correspond idéalement à vos désirs sur ImmoScout24 - La plateforme de l'immobilier en Suisse.")</f>
        <v>🏘️ Vendre maison Oberhallau ✅ Trouvez le bien immobilier qui correspond idéalement à vos désirs sur ImmoScout24 - La plateforme de l'immobilier en Suisse.</v>
      </c>
      <c r="D2813" s="4" t="str">
        <f>vlookup(A2813, Sheet2!D:E, 2, 0)</f>
        <v>variant</v>
      </c>
      <c r="E2813" s="4" t="str">
        <f>IFERROR(__xludf.DUMMYFUNCTION("if(H2813=""pays"",vlookup(REGEXEXTRACT(C2813, ""🏘️ \w+ \w+ (.*) ✅""),'Country prepositions'!A:B, 2, 0) &amp; "" "" &amp; REGEXEXTRACT(C2813, ""🏘️ \w+ \w+ (.*) ✅"") ,  if(H2813=""quartier"",vlookup(REGEXEXTRACT(C2813, ""🏘️ \w+ \w+ (.*) ✅""),'Quartier prepositio"&amp;"ns'!A:E, 5, 0) ,  if(H2813=""region"",vlookup(REGEXEXTRACT(C2813, ""🏘️ \w+ \w+ (.*) ✅""),'Region prepositions'!B:F, 5, 0),  REGEXEXTRACT(C2813, ""🏘️ \w+ \w+ (.*) ✅""))))"),"Oberhallau")</f>
        <v>Oberhallau</v>
      </c>
      <c r="F2813" s="2" t="str">
        <f>IFERROR(__xludf.DUMMYFUNCTION("REGEXEXTRACT(C2813, ""🏘️ (\w+) \w+ .* ✅"")"),"Vendre")</f>
        <v>Vendre</v>
      </c>
      <c r="G2813" s="2" t="str">
        <f>IFERROR(__xludf.DUMMYFUNCTION("REGEXEXTRACT(C2813, ""🏘️ \w+ (\w+) .* ✅"")"),"maison")</f>
        <v>maison</v>
      </c>
      <c r="H2813" s="4" t="str">
        <f>IFERROR(__xludf.DUMMYFUNCTION("REGEXEXTRACT(A2813, ""/(\w+)-.*?"")"),"lieu")</f>
        <v>lieu</v>
      </c>
      <c r="I2813" s="4" t="str">
        <f>IFERROR(__xludf.DUMMYFUNCTION("if(D2813=""variant"",  substitute(filter(Templates!E:E, Templates!A:A = F2813, Templates!B:B = G2813, Templates!C:C = H2813), ""{{}}"", E2813), B2813)"),"🏘  Vous souhaitez acheter une maison à Oberhallau? ✅ Jetez un œil aux dernières offres sur ImmoScout24.ch.")</f>
        <v>🏘  Vous souhaitez acheter une maison à Oberhallau? ✅ Jetez un œil aux dernières offres sur ImmoScout24.ch.</v>
      </c>
      <c r="J2813" s="4" t="s">
        <v>8435</v>
      </c>
    </row>
    <row r="2814">
      <c r="A2814" s="5" t="s">
        <v>8436</v>
      </c>
      <c r="B2814" s="2" t="s">
        <v>8437</v>
      </c>
      <c r="C2814" s="4" t="str">
        <f>IFERROR(__xludf.DUMMYFUNCTION("""🏘️ ""&amp;REGEXEXTRACT(B2814, ""^(.*): "")&amp;"" ✅ "" &amp;REGEXEXTRACT(B2814, ""(Trouvez.*)"")"),"🏘️ Vendre maison Champvent ✅ Trouvez le bien immobilier qui correspond idéalement à vos désirs sur ImmoScout24 - La plateforme de l'immobilier en Suisse.")</f>
        <v>🏘️ Vendre maison Champvent ✅ Trouvez le bien immobilier qui correspond idéalement à vos désirs sur ImmoScout24 - La plateforme de l'immobilier en Suisse.</v>
      </c>
      <c r="D2814" s="4" t="str">
        <f>vlookup(A2814, Sheet2!D:E, 2, 0)</f>
        <v>variant</v>
      </c>
      <c r="E2814" s="4" t="str">
        <f>IFERROR(__xludf.DUMMYFUNCTION("if(H2814=""pays"",vlookup(REGEXEXTRACT(C2814, ""🏘️ \w+ \w+ (.*) ✅""),'Country prepositions'!A:B, 2, 0) &amp; "" "" &amp; REGEXEXTRACT(C2814, ""🏘️ \w+ \w+ (.*) ✅"") ,  if(H2814=""quartier"",vlookup(REGEXEXTRACT(C2814, ""🏘️ \w+ \w+ (.*) ✅""),'Quartier prepositio"&amp;"ns'!A:E, 5, 0) ,  if(H2814=""region"",vlookup(REGEXEXTRACT(C2814, ""🏘️ \w+ \w+ (.*) ✅""),'Region prepositions'!B:F, 5, 0),  REGEXEXTRACT(C2814, ""🏘️ \w+ \w+ (.*) ✅""))))"),"Champvent")</f>
        <v>Champvent</v>
      </c>
      <c r="F2814" s="2" t="str">
        <f>IFERROR(__xludf.DUMMYFUNCTION("REGEXEXTRACT(C2814, ""🏘️ (\w+) \w+ .* ✅"")"),"Vendre")</f>
        <v>Vendre</v>
      </c>
      <c r="G2814" s="2" t="str">
        <f>IFERROR(__xludf.DUMMYFUNCTION("REGEXEXTRACT(C2814, ""🏘️ \w+ (\w+) .* ✅"")"),"maison")</f>
        <v>maison</v>
      </c>
      <c r="H2814" s="4" t="str">
        <f>IFERROR(__xludf.DUMMYFUNCTION("REGEXEXTRACT(A2814, ""/(\w+)-.*?"")"),"lieu")</f>
        <v>lieu</v>
      </c>
      <c r="I2814" s="4" t="str">
        <f>IFERROR(__xludf.DUMMYFUNCTION("if(D2814=""variant"",  substitute(filter(Templates!E:E, Templates!A:A = F2814, Templates!B:B = G2814, Templates!C:C = H2814), ""{{}}"", E2814), B2814)"),"🏘  Vous souhaitez acheter une maison à Champvent? ✅ Jetez un œil aux dernières offres sur ImmoScout24.ch.")</f>
        <v>🏘  Vous souhaitez acheter une maison à Champvent? ✅ Jetez un œil aux dernières offres sur ImmoScout24.ch.</v>
      </c>
      <c r="J2814" s="4" t="s">
        <v>8438</v>
      </c>
    </row>
    <row r="2815">
      <c r="A2815" s="5" t="s">
        <v>8439</v>
      </c>
      <c r="B2815" s="2" t="s">
        <v>8440</v>
      </c>
      <c r="C2815" s="4" t="str">
        <f>IFERROR(__xludf.DUMMYFUNCTION("""🏘️ ""&amp;REGEXEXTRACT(B2815, ""^(.*): "")&amp;"" ✅ "" &amp;REGEXEXTRACT(B2815, ""(Trouvez.*)"")"),"🏘️ Louer appartement Wallenwil ✅ Trouvez le bien immobilier qui correspond idéalement à vos désirs sur ImmoScout24 - La plateforme de l'immobilier en Suisse.")</f>
        <v>🏘️ Louer appartement Wallenwil ✅ Trouvez le bien immobilier qui correspond idéalement à vos désirs sur ImmoScout24 - La plateforme de l'immobilier en Suisse.</v>
      </c>
      <c r="D2815" s="4" t="str">
        <f>vlookup(A2815, Sheet2!D:E, 2, 0)</f>
        <v>variant</v>
      </c>
      <c r="E2815" s="4" t="str">
        <f>IFERROR(__xludf.DUMMYFUNCTION("if(H2815=""pays"",vlookup(REGEXEXTRACT(C2815, ""🏘️ \w+ \w+ (.*) ✅""),'Country prepositions'!A:B, 2, 0) &amp; "" "" &amp; REGEXEXTRACT(C2815, ""🏘️ \w+ \w+ (.*) ✅"") ,  if(H2815=""quartier"",vlookup(REGEXEXTRACT(C2815, ""🏘️ \w+ \w+ (.*) ✅""),'Quartier prepositio"&amp;"ns'!A:E, 5, 0) ,  if(H2815=""region"",vlookup(REGEXEXTRACT(C2815, ""🏘️ \w+ \w+ (.*) ✅""),'Region prepositions'!B:F, 5, 0),  REGEXEXTRACT(C2815, ""🏘️ \w+ \w+ (.*) ✅""))))"),"Wallenwil")</f>
        <v>Wallenwil</v>
      </c>
      <c r="F2815" s="2" t="str">
        <f>IFERROR(__xludf.DUMMYFUNCTION("REGEXEXTRACT(C2815, ""🏘️ (\w+) \w+ .* ✅"")"),"Louer")</f>
        <v>Louer</v>
      </c>
      <c r="G2815" s="2" t="str">
        <f>IFERROR(__xludf.DUMMYFUNCTION("REGEXEXTRACT(C2815, ""🏘️ \w+ (\w+) .* ✅"")"),"appartement")</f>
        <v>appartement</v>
      </c>
      <c r="H2815" s="4" t="str">
        <f>IFERROR(__xludf.DUMMYFUNCTION("REGEXEXTRACT(A2815, ""/(\w+)-.*?"")"),"lieu")</f>
        <v>lieu</v>
      </c>
      <c r="I2815" s="4" t="str">
        <f>IFERROR(__xludf.DUMMYFUNCTION("if(D2815=""variant"",  substitute(filter(Templates!E:E, Templates!A:A = F2815, Templates!B:B = G2815, Templates!C:C = H2815), ""{{}}"", E2815), B2815)"),"🏘  Vous cherchez un appartement à louer à Wallenwil? ✅ Les annonces les plus actuelles sont sur ImmoScout24.ch.")</f>
        <v>🏘  Vous cherchez un appartement à louer à Wallenwil? ✅ Les annonces les plus actuelles sont sur ImmoScout24.ch.</v>
      </c>
      <c r="J2815" s="4" t="s">
        <v>8441</v>
      </c>
    </row>
    <row r="2816">
      <c r="A2816" s="5" t="s">
        <v>8442</v>
      </c>
      <c r="B2816" s="2" t="s">
        <v>8443</v>
      </c>
      <c r="C2816" s="4" t="str">
        <f>IFERROR(__xludf.DUMMYFUNCTION("""🏘️ ""&amp;REGEXEXTRACT(B2816, ""^(.*): "")&amp;"" ✅ "" &amp;REGEXEXTRACT(B2816, ""(Trouvez.*)"")"),"🏘️ Louer maison Monthey ✅ Trouvez le bien immobilier qui correspond idéalement à vos désirs sur ImmoScout24 - La plateforme de l'immobilier en Suisse.")</f>
        <v>🏘️ Louer maison Monthey ✅ Trouvez le bien immobilier qui correspond idéalement à vos désirs sur ImmoScout24 - La plateforme de l'immobilier en Suisse.</v>
      </c>
      <c r="D2816" s="4" t="str">
        <f>vlookup(A2816, Sheet2!D:E, 2, 0)</f>
        <v>variant</v>
      </c>
      <c r="E2816" s="4" t="str">
        <f>IFERROR(__xludf.DUMMYFUNCTION("if(H2816=""pays"",vlookup(REGEXEXTRACT(C2816, ""🏘️ \w+ \w+ (.*) ✅""),'Country prepositions'!A:B, 2, 0) &amp; "" "" &amp; REGEXEXTRACT(C2816, ""🏘️ \w+ \w+ (.*) ✅"") ,  if(H2816=""quartier"",vlookup(REGEXEXTRACT(C2816, ""🏘️ \w+ \w+ (.*) ✅""),'Quartier prepositio"&amp;"ns'!A:E, 5, 0) ,  if(H2816=""region"",vlookup(REGEXEXTRACT(C2816, ""🏘️ \w+ \w+ (.*) ✅""),'Region prepositions'!B:F, 5, 0),  REGEXEXTRACT(C2816, ""🏘️ \w+ \w+ (.*) ✅""))))"),"Monthey")</f>
        <v>Monthey</v>
      </c>
      <c r="F2816" s="2" t="str">
        <f>IFERROR(__xludf.DUMMYFUNCTION("REGEXEXTRACT(C2816, ""🏘️ (\w+) \w+ .* ✅"")"),"Louer")</f>
        <v>Louer</v>
      </c>
      <c r="G2816" s="2" t="str">
        <f>IFERROR(__xludf.DUMMYFUNCTION("REGEXEXTRACT(C2816, ""🏘️ \w+ (\w+) .* ✅"")"),"maison")</f>
        <v>maison</v>
      </c>
      <c r="H2816" s="4" t="str">
        <f>IFERROR(__xludf.DUMMYFUNCTION("REGEXEXTRACT(A2816, ""/(\w+)-.*?"")"),"lieu")</f>
        <v>lieu</v>
      </c>
      <c r="I2816" s="4" t="str">
        <f>IFERROR(__xludf.DUMMYFUNCTION("if(D2816=""variant"",  substitute(filter(Templates!E:E, Templates!A:A = F2816, Templates!B:B = G2816, Templates!C:C = H2816), ""{{}}"", E2816), B2816)"),"🏘  Vous cherchez une maison à louer à Monthey? ✅ Découvrez nos nombreuses annonces sur ImmoScout24.ch.")</f>
        <v>🏘  Vous cherchez une maison à louer à Monthey? ✅ Découvrez nos nombreuses annonces sur ImmoScout24.ch.</v>
      </c>
      <c r="J2816" s="4" t="s">
        <v>8444</v>
      </c>
    </row>
    <row r="2817">
      <c r="A2817" s="5" t="s">
        <v>8445</v>
      </c>
      <c r="B2817" s="2" t="s">
        <v>8446</v>
      </c>
      <c r="C2817" s="4" t="str">
        <f>IFERROR(__xludf.DUMMYFUNCTION("""🏘️ ""&amp;REGEXEXTRACT(B2817, ""^(.*): "")&amp;"" ✅ "" &amp;REGEXEXTRACT(B2817, ""(Trouvez.*)"")"),"🏘️ Vendre appartement Allemagne ✅ Trouvez le bien immobilier qui correspond idéalement à vos désirs sur ImmoScout24 - La plateforme de l'immobilier en Suisse.")</f>
        <v>🏘️ Vendre appartement Allemagne ✅ Trouvez le bien immobilier qui correspond idéalement à vos désirs sur ImmoScout24 - La plateforme de l'immobilier en Suisse.</v>
      </c>
      <c r="D2817" s="4" t="str">
        <f>vlookup(A2817, Sheet2!D:E, 2, 0)</f>
        <v>variant</v>
      </c>
      <c r="E2817" s="4" t="str">
        <f>IFERROR(__xludf.DUMMYFUNCTION("if(H2817=""pays"",vlookup(REGEXEXTRACT(C2817, ""🏘️ \w+ \w+ (.*) ✅""),'Country prepositions'!A:B, 2, 0) &amp; "" "" &amp; REGEXEXTRACT(C2817, ""🏘️ \w+ \w+ (.*) ✅"") ,  if(H2817=""quartier"",vlookup(REGEXEXTRACT(C2817, ""🏘️ \w+ \w+ (.*) ✅""),'Quartier prepositio"&amp;"ns'!A:E, 5, 0) ,  if(H2817=""region"",vlookup(REGEXEXTRACT(C2817, ""🏘️ \w+ \w+ (.*) ✅""),'Region prepositions'!B:F, 5, 0),  REGEXEXTRACT(C2817, ""🏘️ \w+ \w+ (.*) ✅""))))"),"en Allemagne")</f>
        <v>en Allemagne</v>
      </c>
      <c r="F2817" s="2" t="str">
        <f>IFERROR(__xludf.DUMMYFUNCTION("REGEXEXTRACT(C2817, ""🏘️ (\w+) \w+ .* ✅"")"),"Vendre")</f>
        <v>Vendre</v>
      </c>
      <c r="G2817" s="2" t="str">
        <f>IFERROR(__xludf.DUMMYFUNCTION("REGEXEXTRACT(C2817, ""🏘️ \w+ (\w+) .* ✅"")"),"appartement")</f>
        <v>appartement</v>
      </c>
      <c r="H2817" s="4" t="str">
        <f>IFERROR(__xludf.DUMMYFUNCTION("REGEXEXTRACT(A2817, ""/(\w+)-.*?"")"),"pays")</f>
        <v>pays</v>
      </c>
      <c r="I2817" s="4" t="str">
        <f>IFERROR(__xludf.DUMMYFUNCTION("if(D2817=""variant"",  substitute(filter(Templates!E:E, Templates!A:A = F2817, Templates!B:B = G2817, Templates!C:C = H2817), ""{{}}"", E2817), B2817)"),"🏘  Vous cherchez un appartement à louer en Allemagne? ✅ Les annonces les plus actuelles sont sur ImmoScout24.ch.")</f>
        <v>🏘  Vous cherchez un appartement à louer en Allemagne? ✅ Les annonces les plus actuelles sont sur ImmoScout24.ch.</v>
      </c>
      <c r="J2817" s="4" t="s">
        <v>8447</v>
      </c>
    </row>
    <row r="2818">
      <c r="A2818" s="5" t="s">
        <v>8448</v>
      </c>
      <c r="B2818" s="2" t="s">
        <v>8449</v>
      </c>
      <c r="C2818" s="4" t="str">
        <f>IFERROR(__xludf.DUMMYFUNCTION("""🏘️ ""&amp;REGEXEXTRACT(B2818, ""^(.*): "")&amp;"" ✅ "" &amp;REGEXEXTRACT(B2818, ""(Trouvez.*)"")"),"🏘️ Louer appartement Fey ✅ Trouvez le bien immobilier qui correspond idéalement à vos désirs sur ImmoScout24 - La plateforme de l'immobilier en Suisse.")</f>
        <v>🏘️ Louer appartement Fey ✅ Trouvez le bien immobilier qui correspond idéalement à vos désirs sur ImmoScout24 - La plateforme de l'immobilier en Suisse.</v>
      </c>
      <c r="D2818" s="4" t="str">
        <f>vlookup(A2818, Sheet2!D:E, 2, 0)</f>
        <v>variant</v>
      </c>
      <c r="E2818" s="4" t="str">
        <f>IFERROR(__xludf.DUMMYFUNCTION("if(H2818=""pays"",vlookup(REGEXEXTRACT(C2818, ""🏘️ \w+ \w+ (.*) ✅""),'Country prepositions'!A:B, 2, 0) &amp; "" "" &amp; REGEXEXTRACT(C2818, ""🏘️ \w+ \w+ (.*) ✅"") ,  if(H2818=""quartier"",vlookup(REGEXEXTRACT(C2818, ""🏘️ \w+ \w+ (.*) ✅""),'Quartier prepositio"&amp;"ns'!A:E, 5, 0) ,  if(H2818=""region"",vlookup(REGEXEXTRACT(C2818, ""🏘️ \w+ \w+ (.*) ✅""),'Region prepositions'!B:F, 5, 0),  REGEXEXTRACT(C2818, ""🏘️ \w+ \w+ (.*) ✅""))))"),"Fey")</f>
        <v>Fey</v>
      </c>
      <c r="F2818" s="2" t="str">
        <f>IFERROR(__xludf.DUMMYFUNCTION("REGEXEXTRACT(C2818, ""🏘️ (\w+) \w+ .* ✅"")"),"Louer")</f>
        <v>Louer</v>
      </c>
      <c r="G2818" s="2" t="str">
        <f>IFERROR(__xludf.DUMMYFUNCTION("REGEXEXTRACT(C2818, ""🏘️ \w+ (\w+) .* ✅"")"),"appartement")</f>
        <v>appartement</v>
      </c>
      <c r="H2818" s="4" t="str">
        <f>IFERROR(__xludf.DUMMYFUNCTION("REGEXEXTRACT(A2818, ""/(\w+)-.*?"")"),"lieu")</f>
        <v>lieu</v>
      </c>
      <c r="I2818" s="4" t="str">
        <f>IFERROR(__xludf.DUMMYFUNCTION("if(D2818=""variant"",  substitute(filter(Templates!E:E, Templates!A:A = F2818, Templates!B:B = G2818, Templates!C:C = H2818), ""{{}}"", E2818), B2818)"),"🏘  Vous cherchez un appartement à louer à Fey? ✅ Les annonces les plus actuelles sont sur ImmoScout24.ch.")</f>
        <v>🏘  Vous cherchez un appartement à louer à Fey? ✅ Les annonces les plus actuelles sont sur ImmoScout24.ch.</v>
      </c>
      <c r="J2818" s="4" t="s">
        <v>8450</v>
      </c>
    </row>
    <row r="2819">
      <c r="A2819" s="5" t="s">
        <v>8451</v>
      </c>
      <c r="B2819" s="2" t="s">
        <v>8452</v>
      </c>
      <c r="C2819" s="4" t="str">
        <f>IFERROR(__xludf.DUMMYFUNCTION("""🏘️ ""&amp;REGEXEXTRACT(B2819, ""^(.*): "")&amp;"" ✅ "" &amp;REGEXEXTRACT(B2819, ""(Trouvez.*)"")"),"🏘️ Louer appartement Bettens ✅ Trouvez le bien immobilier qui correspond idéalement à vos désirs sur ImmoScout24 - La plateforme de l'immobilier en Suisse.")</f>
        <v>🏘️ Louer appartement Bettens ✅ Trouvez le bien immobilier qui correspond idéalement à vos désirs sur ImmoScout24 - La plateforme de l'immobilier en Suisse.</v>
      </c>
      <c r="D2819" s="4" t="str">
        <f>vlookup(A2819, Sheet2!D:E, 2, 0)</f>
        <v>variant</v>
      </c>
      <c r="E2819" s="4" t="str">
        <f>IFERROR(__xludf.DUMMYFUNCTION("if(H2819=""pays"",vlookup(REGEXEXTRACT(C2819, ""🏘️ \w+ \w+ (.*) ✅""),'Country prepositions'!A:B, 2, 0) &amp; "" "" &amp; REGEXEXTRACT(C2819, ""🏘️ \w+ \w+ (.*) ✅"") ,  if(H2819=""quartier"",vlookup(REGEXEXTRACT(C2819, ""🏘️ \w+ \w+ (.*) ✅""),'Quartier prepositio"&amp;"ns'!A:E, 5, 0) ,  if(H2819=""region"",vlookup(REGEXEXTRACT(C2819, ""🏘️ \w+ \w+ (.*) ✅""),'Region prepositions'!B:F, 5, 0),  REGEXEXTRACT(C2819, ""🏘️ \w+ \w+ (.*) ✅""))))"),"Bettens")</f>
        <v>Bettens</v>
      </c>
      <c r="F2819" s="2" t="str">
        <f>IFERROR(__xludf.DUMMYFUNCTION("REGEXEXTRACT(C2819, ""🏘️ (\w+) \w+ .* ✅"")"),"Louer")</f>
        <v>Louer</v>
      </c>
      <c r="G2819" s="2" t="str">
        <f>IFERROR(__xludf.DUMMYFUNCTION("REGEXEXTRACT(C2819, ""🏘️ \w+ (\w+) .* ✅"")"),"appartement")</f>
        <v>appartement</v>
      </c>
      <c r="H2819" s="4" t="str">
        <f>IFERROR(__xludf.DUMMYFUNCTION("REGEXEXTRACT(A2819, ""/(\w+)-.*?"")"),"lieu")</f>
        <v>lieu</v>
      </c>
      <c r="I2819" s="4" t="str">
        <f>IFERROR(__xludf.DUMMYFUNCTION("if(D2819=""variant"",  substitute(filter(Templates!E:E, Templates!A:A = F2819, Templates!B:B = G2819, Templates!C:C = H2819), ""{{}}"", E2819), B2819)"),"🏘  Vous cherchez un appartement à louer à Bettens? ✅ Les annonces les plus actuelles sont sur ImmoScout24.ch.")</f>
        <v>🏘  Vous cherchez un appartement à louer à Bettens? ✅ Les annonces les plus actuelles sont sur ImmoScout24.ch.</v>
      </c>
      <c r="J2819" s="4" t="s">
        <v>8453</v>
      </c>
    </row>
    <row r="2820">
      <c r="A2820" s="5" t="s">
        <v>8454</v>
      </c>
      <c r="B2820" s="2" t="s">
        <v>8455</v>
      </c>
      <c r="C2820" s="4" t="str">
        <f>IFERROR(__xludf.DUMMYFUNCTION("""🏘️ ""&amp;REGEXEXTRACT(B2820, ""^(.*): "")&amp;"" ✅ "" &amp;REGEXEXTRACT(B2820, ""(Trouvez.*)"")"),"🏘️ Vendre maison Gansingen ✅ Trouvez le bien immobilier qui correspond idéalement à vos désirs sur ImmoScout24 - La plateforme de l'immobilier en Suisse.")</f>
        <v>🏘️ Vendre maison Gansingen ✅ Trouvez le bien immobilier qui correspond idéalement à vos désirs sur ImmoScout24 - La plateforme de l'immobilier en Suisse.</v>
      </c>
      <c r="D2820" s="4" t="str">
        <f>vlookup(A2820, Sheet2!D:E, 2, 0)</f>
        <v>variant</v>
      </c>
      <c r="E2820" s="4" t="str">
        <f>IFERROR(__xludf.DUMMYFUNCTION("if(H2820=""pays"",vlookup(REGEXEXTRACT(C2820, ""🏘️ \w+ \w+ (.*) ✅""),'Country prepositions'!A:B, 2, 0) &amp; "" "" &amp; REGEXEXTRACT(C2820, ""🏘️ \w+ \w+ (.*) ✅"") ,  if(H2820=""quartier"",vlookup(REGEXEXTRACT(C2820, ""🏘️ \w+ \w+ (.*) ✅""),'Quartier prepositio"&amp;"ns'!A:E, 5, 0) ,  if(H2820=""region"",vlookup(REGEXEXTRACT(C2820, ""🏘️ \w+ \w+ (.*) ✅""),'Region prepositions'!B:F, 5, 0),  REGEXEXTRACT(C2820, ""🏘️ \w+ \w+ (.*) ✅""))))"),"Gansingen")</f>
        <v>Gansingen</v>
      </c>
      <c r="F2820" s="2" t="str">
        <f>IFERROR(__xludf.DUMMYFUNCTION("REGEXEXTRACT(C2820, ""🏘️ (\w+) \w+ .* ✅"")"),"Vendre")</f>
        <v>Vendre</v>
      </c>
      <c r="G2820" s="2" t="str">
        <f>IFERROR(__xludf.DUMMYFUNCTION("REGEXEXTRACT(C2820, ""🏘️ \w+ (\w+) .* ✅"")"),"maison")</f>
        <v>maison</v>
      </c>
      <c r="H2820" s="4" t="str">
        <f>IFERROR(__xludf.DUMMYFUNCTION("REGEXEXTRACT(A2820, ""/(\w+)-.*?"")"),"lieu")</f>
        <v>lieu</v>
      </c>
      <c r="I2820" s="4" t="str">
        <f>IFERROR(__xludf.DUMMYFUNCTION("if(D2820=""variant"",  substitute(filter(Templates!E:E, Templates!A:A = F2820, Templates!B:B = G2820, Templates!C:C = H2820), ""{{}}"", E2820), B2820)"),"🏘  Vous souhaitez acheter une maison à Gansingen? ✅ Jetez un œil aux dernières offres sur ImmoScout24.ch.")</f>
        <v>🏘  Vous souhaitez acheter une maison à Gansingen? ✅ Jetez un œil aux dernières offres sur ImmoScout24.ch.</v>
      </c>
      <c r="J2820" s="4" t="s">
        <v>8456</v>
      </c>
    </row>
    <row r="2821">
      <c r="A2821" s="5" t="s">
        <v>8457</v>
      </c>
      <c r="B2821" s="2" t="s">
        <v>8458</v>
      </c>
      <c r="C2821" s="4" t="str">
        <f>IFERROR(__xludf.DUMMYFUNCTION("""🏘️ ""&amp;REGEXEXTRACT(B2821, ""^(.*): "")&amp;"" ✅ "" &amp;REGEXEXTRACT(B2821, ""(Trouvez.*)"")"),"🏘️ Vendre appartement Malans GR ✅ Trouvez le bien immobilier qui correspond idéalement à vos désirs sur ImmoScout24 - La plateforme de l'immobilier en Suisse.")</f>
        <v>🏘️ Vendre appartement Malans GR ✅ Trouvez le bien immobilier qui correspond idéalement à vos désirs sur ImmoScout24 - La plateforme de l'immobilier en Suisse.</v>
      </c>
      <c r="D2821" s="4" t="str">
        <f>vlookup(A2821, Sheet2!D:E, 2, 0)</f>
        <v>variant</v>
      </c>
      <c r="E2821" s="4" t="str">
        <f>IFERROR(__xludf.DUMMYFUNCTION("if(H2821=""pays"",vlookup(REGEXEXTRACT(C2821, ""🏘️ \w+ \w+ (.*) ✅""),'Country prepositions'!A:B, 2, 0) &amp; "" "" &amp; REGEXEXTRACT(C2821, ""🏘️ \w+ \w+ (.*) ✅"") ,  if(H2821=""quartier"",vlookup(REGEXEXTRACT(C2821, ""🏘️ \w+ \w+ (.*) ✅""),'Quartier prepositio"&amp;"ns'!A:E, 5, 0) ,  if(H2821=""region"",vlookup(REGEXEXTRACT(C2821, ""🏘️ \w+ \w+ (.*) ✅""),'Region prepositions'!B:F, 5, 0),  REGEXEXTRACT(C2821, ""🏘️ \w+ \w+ (.*) ✅""))))"),"Malans GR")</f>
        <v>Malans GR</v>
      </c>
      <c r="F2821" s="2" t="str">
        <f>IFERROR(__xludf.DUMMYFUNCTION("REGEXEXTRACT(C2821, ""🏘️ (\w+) \w+ .* ✅"")"),"Vendre")</f>
        <v>Vendre</v>
      </c>
      <c r="G2821" s="2" t="str">
        <f>IFERROR(__xludf.DUMMYFUNCTION("REGEXEXTRACT(C2821, ""🏘️ \w+ (\w+) .* ✅"")"),"appartement")</f>
        <v>appartement</v>
      </c>
      <c r="H2821" s="4" t="str">
        <f>IFERROR(__xludf.DUMMYFUNCTION("REGEXEXTRACT(A2821, ""/(\w+)-.*?"")"),"lieu")</f>
        <v>lieu</v>
      </c>
      <c r="I2821" s="4" t="str">
        <f>IFERROR(__xludf.DUMMYFUNCTION("if(D2821=""variant"",  substitute(filter(Templates!E:E, Templates!A:A = F2821, Templates!B:B = G2821, Templates!C:C = H2821), ""{{}}"", E2821), B2821)"),"🏘  L’appartement de vos rêves se trouve sur ImmoScout24.ch ✅ Découvrez les dernières annonces de vente à Malans GR.")</f>
        <v>🏘  L’appartement de vos rêves se trouve sur ImmoScout24.ch ✅ Découvrez les dernières annonces de vente à Malans GR.</v>
      </c>
      <c r="J2821" s="4" t="s">
        <v>8459</v>
      </c>
    </row>
    <row r="2822">
      <c r="A2822" s="5" t="s">
        <v>8460</v>
      </c>
      <c r="B2822" s="2" t="s">
        <v>8461</v>
      </c>
      <c r="C2822" s="4" t="str">
        <f>IFERROR(__xludf.DUMMYFUNCTION("""🏘️ ""&amp;REGEXEXTRACT(B2822, ""^(.*): "")&amp;"" ✅ "" &amp;REGEXEXTRACT(B2822, ""(Trouvez.*)"")"),"🏘️ Louer appartement Küsnacht ZH ✅ Trouvez le bien immobilier qui correspond idéalement à vos désirs sur ImmoScout24 - La plateforme de l'immobilier en Suisse.")</f>
        <v>🏘️ Louer appartement Küsnacht ZH ✅ Trouvez le bien immobilier qui correspond idéalement à vos désirs sur ImmoScout24 - La plateforme de l'immobilier en Suisse.</v>
      </c>
      <c r="D2822" s="4" t="str">
        <f>vlookup(A2822, Sheet2!D:E, 2, 0)</f>
        <v>variant</v>
      </c>
      <c r="E2822" s="4" t="str">
        <f>IFERROR(__xludf.DUMMYFUNCTION("if(H2822=""pays"",vlookup(REGEXEXTRACT(C2822, ""🏘️ \w+ \w+ (.*) ✅""),'Country prepositions'!A:B, 2, 0) &amp; "" "" &amp; REGEXEXTRACT(C2822, ""🏘️ \w+ \w+ (.*) ✅"") ,  if(H2822=""quartier"",vlookup(REGEXEXTRACT(C2822, ""🏘️ \w+ \w+ (.*) ✅""),'Quartier prepositio"&amp;"ns'!A:E, 5, 0) ,  if(H2822=""region"",vlookup(REGEXEXTRACT(C2822, ""🏘️ \w+ \w+ (.*) ✅""),'Region prepositions'!B:F, 5, 0),  REGEXEXTRACT(C2822, ""🏘️ \w+ \w+ (.*) ✅""))))"),"Küsnacht ZH")</f>
        <v>Küsnacht ZH</v>
      </c>
      <c r="F2822" s="2" t="str">
        <f>IFERROR(__xludf.DUMMYFUNCTION("REGEXEXTRACT(C2822, ""🏘️ (\w+) \w+ .* ✅"")"),"Louer")</f>
        <v>Louer</v>
      </c>
      <c r="G2822" s="2" t="str">
        <f>IFERROR(__xludf.DUMMYFUNCTION("REGEXEXTRACT(C2822, ""🏘️ \w+ (\w+) .* ✅"")"),"appartement")</f>
        <v>appartement</v>
      </c>
      <c r="H2822" s="4" t="str">
        <f>IFERROR(__xludf.DUMMYFUNCTION("REGEXEXTRACT(A2822, ""/(\w+)-.*?"")"),"lieu")</f>
        <v>lieu</v>
      </c>
      <c r="I2822" s="4" t="str">
        <f>IFERROR(__xludf.DUMMYFUNCTION("if(D2822=""variant"",  substitute(filter(Templates!E:E, Templates!A:A = F2822, Templates!B:B = G2822, Templates!C:C = H2822), ""{{}}"", E2822), B2822)"),"🏘  Vous cherchez un appartement à louer à Küsnacht ZH? ✅ Les annonces les plus actuelles sont sur ImmoScout24.ch.")</f>
        <v>🏘  Vous cherchez un appartement à louer à Küsnacht ZH? ✅ Les annonces les plus actuelles sont sur ImmoScout24.ch.</v>
      </c>
      <c r="J2822" s="4" t="s">
        <v>8462</v>
      </c>
    </row>
    <row r="2823">
      <c r="A2823" s="5" t="s">
        <v>8463</v>
      </c>
      <c r="B2823" s="2" t="s">
        <v>8464</v>
      </c>
      <c r="C2823" s="4" t="str">
        <f>IFERROR(__xludf.DUMMYFUNCTION("""🏘️ ""&amp;REGEXEXTRACT(B2823, ""^(.*): "")&amp;"" ✅ "" &amp;REGEXEXTRACT(B2823, ""(Trouvez.*)"")"),"🏘️ Louer appartement Effretikon ✅ Trouvez le bien immobilier qui correspond idéalement à vos désirs sur ImmoScout24 - La plateforme de l'immobilier en Suisse.")</f>
        <v>🏘️ Louer appartement Effretikon ✅ Trouvez le bien immobilier qui correspond idéalement à vos désirs sur ImmoScout24 - La plateforme de l'immobilier en Suisse.</v>
      </c>
      <c r="D2823" s="4" t="str">
        <f>vlookup(A2823, Sheet2!D:E, 2, 0)</f>
        <v>variant</v>
      </c>
      <c r="E2823" s="4" t="str">
        <f>IFERROR(__xludf.DUMMYFUNCTION("if(H2823=""pays"",vlookup(REGEXEXTRACT(C2823, ""🏘️ \w+ \w+ (.*) ✅""),'Country prepositions'!A:B, 2, 0) &amp; "" "" &amp; REGEXEXTRACT(C2823, ""🏘️ \w+ \w+ (.*) ✅"") ,  if(H2823=""quartier"",vlookup(REGEXEXTRACT(C2823, ""🏘️ \w+ \w+ (.*) ✅""),'Quartier prepositio"&amp;"ns'!A:E, 5, 0) ,  if(H2823=""region"",vlookup(REGEXEXTRACT(C2823, ""🏘️ \w+ \w+ (.*) ✅""),'Region prepositions'!B:F, 5, 0),  REGEXEXTRACT(C2823, ""🏘️ \w+ \w+ (.*) ✅""))))"),"Effretikon")</f>
        <v>Effretikon</v>
      </c>
      <c r="F2823" s="2" t="str">
        <f>IFERROR(__xludf.DUMMYFUNCTION("REGEXEXTRACT(C2823, ""🏘️ (\w+) \w+ .* ✅"")"),"Louer")</f>
        <v>Louer</v>
      </c>
      <c r="G2823" s="2" t="str">
        <f>IFERROR(__xludf.DUMMYFUNCTION("REGEXEXTRACT(C2823, ""🏘️ \w+ (\w+) .* ✅"")"),"appartement")</f>
        <v>appartement</v>
      </c>
      <c r="H2823" s="4" t="str">
        <f>IFERROR(__xludf.DUMMYFUNCTION("REGEXEXTRACT(A2823, ""/(\w+)-.*?"")"),"lieu")</f>
        <v>lieu</v>
      </c>
      <c r="I2823" s="4" t="str">
        <f>IFERROR(__xludf.DUMMYFUNCTION("if(D2823=""variant"",  substitute(filter(Templates!E:E, Templates!A:A = F2823, Templates!B:B = G2823, Templates!C:C = H2823), ""{{}}"", E2823), B2823)"),"🏘  Vous cherchez un appartement à louer à Effretikon? ✅ Les annonces les plus actuelles sont sur ImmoScout24.ch.")</f>
        <v>🏘  Vous cherchez un appartement à louer à Effretikon? ✅ Les annonces les plus actuelles sont sur ImmoScout24.ch.</v>
      </c>
      <c r="J2823" s="4" t="s">
        <v>8465</v>
      </c>
    </row>
    <row r="2824">
      <c r="A2824" s="5" t="s">
        <v>8466</v>
      </c>
      <c r="B2824" s="2" t="s">
        <v>8467</v>
      </c>
      <c r="C2824" s="4" t="str">
        <f>IFERROR(__xludf.DUMMYFUNCTION("""🏘️ ""&amp;REGEXEXTRACT(B2824, ""^(.*): "")&amp;"" ✅ "" &amp;REGEXEXTRACT(B2824, ""(Trouvez.*)"")"),"🏘️ Louer maison Füllinsdorf ✅ Trouvez le bien immobilier qui correspond idéalement à vos désirs sur ImmoScout24 - La plateforme de l'immobilier en Suisse.")</f>
        <v>🏘️ Louer maison Füllinsdorf ✅ Trouvez le bien immobilier qui correspond idéalement à vos désirs sur ImmoScout24 - La plateforme de l'immobilier en Suisse.</v>
      </c>
      <c r="D2824" s="4" t="str">
        <f>vlookup(A2824, Sheet2!D:E, 2, 0)</f>
        <v>variant</v>
      </c>
      <c r="E2824" s="4" t="str">
        <f>IFERROR(__xludf.DUMMYFUNCTION("if(H2824=""pays"",vlookup(REGEXEXTRACT(C2824, ""🏘️ \w+ \w+ (.*) ✅""),'Country prepositions'!A:B, 2, 0) &amp; "" "" &amp; REGEXEXTRACT(C2824, ""🏘️ \w+ \w+ (.*) ✅"") ,  if(H2824=""quartier"",vlookup(REGEXEXTRACT(C2824, ""🏘️ \w+ \w+ (.*) ✅""),'Quartier prepositio"&amp;"ns'!A:E, 5, 0) ,  if(H2824=""region"",vlookup(REGEXEXTRACT(C2824, ""🏘️ \w+ \w+ (.*) ✅""),'Region prepositions'!B:F, 5, 0),  REGEXEXTRACT(C2824, ""🏘️ \w+ \w+ (.*) ✅""))))"),"Füllinsdorf")</f>
        <v>Füllinsdorf</v>
      </c>
      <c r="F2824" s="2" t="str">
        <f>IFERROR(__xludf.DUMMYFUNCTION("REGEXEXTRACT(C2824, ""🏘️ (\w+) \w+ .* ✅"")"),"Louer")</f>
        <v>Louer</v>
      </c>
      <c r="G2824" s="2" t="str">
        <f>IFERROR(__xludf.DUMMYFUNCTION("REGEXEXTRACT(C2824, ""🏘️ \w+ (\w+) .* ✅"")"),"maison")</f>
        <v>maison</v>
      </c>
      <c r="H2824" s="4" t="str">
        <f>IFERROR(__xludf.DUMMYFUNCTION("REGEXEXTRACT(A2824, ""/(\w+)-.*?"")"),"lieu")</f>
        <v>lieu</v>
      </c>
      <c r="I2824" s="4" t="str">
        <f>IFERROR(__xludf.DUMMYFUNCTION("if(D2824=""variant"",  substitute(filter(Templates!E:E, Templates!A:A = F2824, Templates!B:B = G2824, Templates!C:C = H2824), ""{{}}"", E2824), B2824)"),"🏘  Vous cherchez une maison à louer à Füllinsdorf? ✅ Découvrez nos nombreuses annonces sur ImmoScout24.ch.")</f>
        <v>🏘  Vous cherchez une maison à louer à Füllinsdorf? ✅ Découvrez nos nombreuses annonces sur ImmoScout24.ch.</v>
      </c>
      <c r="J2824" s="4" t="s">
        <v>8468</v>
      </c>
    </row>
    <row r="2825">
      <c r="A2825" s="5" t="s">
        <v>8469</v>
      </c>
      <c r="B2825" s="2" t="s">
        <v>8470</v>
      </c>
      <c r="C2825" s="4" t="str">
        <f>IFERROR(__xludf.DUMMYFUNCTION("""🏘️ ""&amp;REGEXEXTRACT(B2825, ""^(.*): "")&amp;"" ✅ "" &amp;REGEXEXTRACT(B2825, ""(Trouvez.*)"")"),"🏘️ Vendre appartement Bonaduz ✅ Trouvez le bien immobilier qui correspond idéalement à vos désirs sur ImmoScout24 - La plateforme de l'immobilier en Suisse.")</f>
        <v>🏘️ Vendre appartement Bonaduz ✅ Trouvez le bien immobilier qui correspond idéalement à vos désirs sur ImmoScout24 - La plateforme de l'immobilier en Suisse.</v>
      </c>
      <c r="D2825" s="4" t="str">
        <f>vlookup(A2825, Sheet2!D:E, 2, 0)</f>
        <v>variant</v>
      </c>
      <c r="E2825" s="4" t="str">
        <f>IFERROR(__xludf.DUMMYFUNCTION("if(H2825=""pays"",vlookup(REGEXEXTRACT(C2825, ""🏘️ \w+ \w+ (.*) ✅""),'Country prepositions'!A:B, 2, 0) &amp; "" "" &amp; REGEXEXTRACT(C2825, ""🏘️ \w+ \w+ (.*) ✅"") ,  if(H2825=""quartier"",vlookup(REGEXEXTRACT(C2825, ""🏘️ \w+ \w+ (.*) ✅""),'Quartier prepositio"&amp;"ns'!A:E, 5, 0) ,  if(H2825=""region"",vlookup(REGEXEXTRACT(C2825, ""🏘️ \w+ \w+ (.*) ✅""),'Region prepositions'!B:F, 5, 0),  REGEXEXTRACT(C2825, ""🏘️ \w+ \w+ (.*) ✅""))))"),"Bonaduz")</f>
        <v>Bonaduz</v>
      </c>
      <c r="F2825" s="2" t="str">
        <f>IFERROR(__xludf.DUMMYFUNCTION("REGEXEXTRACT(C2825, ""🏘️ (\w+) \w+ .* ✅"")"),"Vendre")</f>
        <v>Vendre</v>
      </c>
      <c r="G2825" s="2" t="str">
        <f>IFERROR(__xludf.DUMMYFUNCTION("REGEXEXTRACT(C2825, ""🏘️ \w+ (\w+) .* ✅"")"),"appartement")</f>
        <v>appartement</v>
      </c>
      <c r="H2825" s="4" t="str">
        <f>IFERROR(__xludf.DUMMYFUNCTION("REGEXEXTRACT(A2825, ""/(\w+)-.*?"")"),"lieu")</f>
        <v>lieu</v>
      </c>
      <c r="I2825" s="4" t="str">
        <f>IFERROR(__xludf.DUMMYFUNCTION("if(D2825=""variant"",  substitute(filter(Templates!E:E, Templates!A:A = F2825, Templates!B:B = G2825, Templates!C:C = H2825), ""{{}}"", E2825), B2825)"),"🏘  L’appartement de vos rêves se trouve sur ImmoScout24.ch ✅ Découvrez les dernières annonces de vente à Bonaduz.")</f>
        <v>🏘  L’appartement de vos rêves se trouve sur ImmoScout24.ch ✅ Découvrez les dernières annonces de vente à Bonaduz.</v>
      </c>
      <c r="J2825" s="4" t="s">
        <v>8471</v>
      </c>
    </row>
    <row r="2826">
      <c r="A2826" s="5" t="s">
        <v>8472</v>
      </c>
      <c r="B2826" s="2" t="s">
        <v>8473</v>
      </c>
      <c r="C2826" s="4" t="str">
        <f>IFERROR(__xludf.DUMMYFUNCTION("""🏘️ ""&amp;REGEXEXTRACT(B2826, ""^(.*): "")&amp;"" ✅ "" &amp;REGEXEXTRACT(B2826, ""(Trouvez.*)"")"),"🏘️ Louer maison Montoie - Bourdonette (Lausanne) ✅ Trouvez le bien immobilier qui correspond idéalement à vos désirs sur ImmoScout24 - La plateforme de l'immobilier en Suisse.")</f>
        <v>🏘️ Louer maison Montoie - Bourdonette (Lausanne) ✅ Trouvez le bien immobilier qui correspond idéalement à vos désirs sur ImmoScout24 - La plateforme de l'immobilier en Suisse.</v>
      </c>
      <c r="D2826" s="4" t="str">
        <f>vlookup(A2826, Sheet2!D:E, 2, 0)</f>
        <v>variant</v>
      </c>
      <c r="E2826" s="4" t="str">
        <f>IFERROR(__xludf.DUMMYFUNCTION("if(H2826=""pays"",vlookup(REGEXEXTRACT(C2826, ""🏘️ \w+ \w+ (.*) ✅""),'Country prepositions'!A:B, 2, 0) &amp; "" "" &amp; REGEXEXTRACT(C2826, ""🏘️ \w+ \w+ (.*) ✅"") ,  if(H2826=""quartier"",vlookup(REGEXEXTRACT(C2826, ""🏘️ \w+ \w+ (.*) ✅""),'Quartier prepositio"&amp;"ns'!A:E, 5, 0) ,  if(H2826=""region"",vlookup(REGEXEXTRACT(C2826, ""🏘️ \w+ \w+ (.*) ✅""),'Region prepositions'!B:F, 5, 0),  REGEXEXTRACT(C2826, ""🏘️ \w+ \w+ (.*) ✅""))))"),"dans le quartier de Montoie - Bourdonette (Lausanne)")</f>
        <v>dans le quartier de Montoie - Bourdonette (Lausanne)</v>
      </c>
      <c r="F2826" s="2" t="str">
        <f>IFERROR(__xludf.DUMMYFUNCTION("REGEXEXTRACT(C2826, ""🏘️ (\w+) \w+ .* ✅"")"),"Louer")</f>
        <v>Louer</v>
      </c>
      <c r="G2826" s="2" t="str">
        <f>IFERROR(__xludf.DUMMYFUNCTION("REGEXEXTRACT(C2826, ""🏘️ \w+ (\w+) .* ✅"")"),"maison")</f>
        <v>maison</v>
      </c>
      <c r="H2826" s="4" t="str">
        <f>IFERROR(__xludf.DUMMYFUNCTION("REGEXEXTRACT(A2826, ""/(\w+)-.*?"")"),"quartier")</f>
        <v>quartier</v>
      </c>
      <c r="I2826" s="4" t="str">
        <f>IFERROR(__xludf.DUMMYFUNCTION("if(D2826=""variant"",  substitute(filter(Templates!E:E, Templates!A:A = F2826, Templates!B:B = G2826, Templates!C:C = H2826), ""{{}}"", E2826), B2826)"),"🏘  Vous cherchez une maison à louer dans le quartier de Montoie - Bourdonette (Lausanne)? ✅ Découvrez nos nombreuses annonces sur ImmoScout24.ch.")</f>
        <v>🏘  Vous cherchez une maison à louer dans le quartier de Montoie - Bourdonette (Lausanne)? ✅ Découvrez nos nombreuses annonces sur ImmoScout24.ch.</v>
      </c>
      <c r="J2826" s="4" t="s">
        <v>8474</v>
      </c>
    </row>
    <row r="2827">
      <c r="A2827" s="5" t="s">
        <v>8475</v>
      </c>
      <c r="B2827" s="2" t="s">
        <v>8476</v>
      </c>
      <c r="C2827" s="4" t="str">
        <f>IFERROR(__xludf.DUMMYFUNCTION("""🏘️ ""&amp;REGEXEXTRACT(B2827, ""^(.*): "")&amp;"" ✅ "" &amp;REGEXEXTRACT(B2827, ""(Trouvez.*)"")"),"🏘️ Louer appartement Beatenberg ✅ Trouvez le bien immobilier qui correspond idéalement à vos désirs sur ImmoScout24 - La plateforme de l'immobilier en Suisse.")</f>
        <v>🏘️ Louer appartement Beatenberg ✅ Trouvez le bien immobilier qui correspond idéalement à vos désirs sur ImmoScout24 - La plateforme de l'immobilier en Suisse.</v>
      </c>
      <c r="D2827" s="4" t="str">
        <f>vlookup(A2827, Sheet2!D:E, 2, 0)</f>
        <v>variant</v>
      </c>
      <c r="E2827" s="4" t="str">
        <f>IFERROR(__xludf.DUMMYFUNCTION("if(H2827=""pays"",vlookup(REGEXEXTRACT(C2827, ""🏘️ \w+ \w+ (.*) ✅""),'Country prepositions'!A:B, 2, 0) &amp; "" "" &amp; REGEXEXTRACT(C2827, ""🏘️ \w+ \w+ (.*) ✅"") ,  if(H2827=""quartier"",vlookup(REGEXEXTRACT(C2827, ""🏘️ \w+ \w+ (.*) ✅""),'Quartier prepositio"&amp;"ns'!A:E, 5, 0) ,  if(H2827=""region"",vlookup(REGEXEXTRACT(C2827, ""🏘️ \w+ \w+ (.*) ✅""),'Region prepositions'!B:F, 5, 0),  REGEXEXTRACT(C2827, ""🏘️ \w+ \w+ (.*) ✅""))))"),"Beatenberg")</f>
        <v>Beatenberg</v>
      </c>
      <c r="F2827" s="2" t="str">
        <f>IFERROR(__xludf.DUMMYFUNCTION("REGEXEXTRACT(C2827, ""🏘️ (\w+) \w+ .* ✅"")"),"Louer")</f>
        <v>Louer</v>
      </c>
      <c r="G2827" s="2" t="str">
        <f>IFERROR(__xludf.DUMMYFUNCTION("REGEXEXTRACT(C2827, ""🏘️ \w+ (\w+) .* ✅"")"),"appartement")</f>
        <v>appartement</v>
      </c>
      <c r="H2827" s="4" t="str">
        <f>IFERROR(__xludf.DUMMYFUNCTION("REGEXEXTRACT(A2827, ""/(\w+)-.*?"")"),"lieu")</f>
        <v>lieu</v>
      </c>
      <c r="I2827" s="4" t="str">
        <f>IFERROR(__xludf.DUMMYFUNCTION("if(D2827=""variant"",  substitute(filter(Templates!E:E, Templates!A:A = F2827, Templates!B:B = G2827, Templates!C:C = H2827), ""{{}}"", E2827), B2827)"),"🏘  Vous cherchez un appartement à louer à Beatenberg? ✅ Les annonces les plus actuelles sont sur ImmoScout24.ch.")</f>
        <v>🏘  Vous cherchez un appartement à louer à Beatenberg? ✅ Les annonces les plus actuelles sont sur ImmoScout24.ch.</v>
      </c>
      <c r="J2827" s="4" t="s">
        <v>8477</v>
      </c>
    </row>
    <row r="2828">
      <c r="A2828" s="5" t="s">
        <v>8478</v>
      </c>
      <c r="B2828" s="2" t="s">
        <v>8479</v>
      </c>
      <c r="C2828" s="4" t="str">
        <f>IFERROR(__xludf.DUMMYFUNCTION("""🏘️ ""&amp;REGEXEXTRACT(B2828, ""^(.*): "")&amp;"" ✅ "" &amp;REGEXEXTRACT(B2828, ""(Trouvez.*)"")"),"🏘️ Vendre maison Niederwil AG ✅ Trouvez le bien immobilier qui correspond idéalement à vos désirs sur ImmoScout24 - La plateforme de l'immobilier en Suisse.")</f>
        <v>🏘️ Vendre maison Niederwil AG ✅ Trouvez le bien immobilier qui correspond idéalement à vos désirs sur ImmoScout24 - La plateforme de l'immobilier en Suisse.</v>
      </c>
      <c r="D2828" s="4" t="str">
        <f>vlookup(A2828, Sheet2!D:E, 2, 0)</f>
        <v>variant</v>
      </c>
      <c r="E2828" s="4" t="str">
        <f>IFERROR(__xludf.DUMMYFUNCTION("if(H2828=""pays"",vlookup(REGEXEXTRACT(C2828, ""🏘️ \w+ \w+ (.*) ✅""),'Country prepositions'!A:B, 2, 0) &amp; "" "" &amp; REGEXEXTRACT(C2828, ""🏘️ \w+ \w+ (.*) ✅"") ,  if(H2828=""quartier"",vlookup(REGEXEXTRACT(C2828, ""🏘️ \w+ \w+ (.*) ✅""),'Quartier prepositio"&amp;"ns'!A:E, 5, 0) ,  if(H2828=""region"",vlookup(REGEXEXTRACT(C2828, ""🏘️ \w+ \w+ (.*) ✅""),'Region prepositions'!B:F, 5, 0),  REGEXEXTRACT(C2828, ""🏘️ \w+ \w+ (.*) ✅""))))"),"Niederwil AG")</f>
        <v>Niederwil AG</v>
      </c>
      <c r="F2828" s="2" t="str">
        <f>IFERROR(__xludf.DUMMYFUNCTION("REGEXEXTRACT(C2828, ""🏘️ (\w+) \w+ .* ✅"")"),"Vendre")</f>
        <v>Vendre</v>
      </c>
      <c r="G2828" s="2" t="str">
        <f>IFERROR(__xludf.DUMMYFUNCTION("REGEXEXTRACT(C2828, ""🏘️ \w+ (\w+) .* ✅"")"),"maison")</f>
        <v>maison</v>
      </c>
      <c r="H2828" s="4" t="str">
        <f>IFERROR(__xludf.DUMMYFUNCTION("REGEXEXTRACT(A2828, ""/(\w+)-.*?"")"),"lieu")</f>
        <v>lieu</v>
      </c>
      <c r="I2828" s="4" t="str">
        <f>IFERROR(__xludf.DUMMYFUNCTION("if(D2828=""variant"",  substitute(filter(Templates!E:E, Templates!A:A = F2828, Templates!B:B = G2828, Templates!C:C = H2828), ""{{}}"", E2828), B2828)"),"🏘  Vous souhaitez acheter une maison à Niederwil AG? ✅ Jetez un œil aux dernières offres sur ImmoScout24.ch.")</f>
        <v>🏘  Vous souhaitez acheter une maison à Niederwil AG? ✅ Jetez un œil aux dernières offres sur ImmoScout24.ch.</v>
      </c>
      <c r="J2828" s="4" t="s">
        <v>8480</v>
      </c>
    </row>
    <row r="2829">
      <c r="A2829" s="5" t="s">
        <v>8481</v>
      </c>
      <c r="B2829" s="2" t="s">
        <v>8482</v>
      </c>
      <c r="C2829" s="4" t="str">
        <f>IFERROR(__xludf.DUMMYFUNCTION("""🏘️ ""&amp;REGEXEXTRACT(B2829, ""^(.*): "")&amp;"" ✅ "" &amp;REGEXEXTRACT(B2829, ""(Trouvez.*)"")"),"🏘️ Louer appartement Zumholz ✅ Trouvez le bien immobilier qui correspond idéalement à vos désirs sur ImmoScout24 - La plateforme de l'immobilier en Suisse.")</f>
        <v>🏘️ Louer appartement Zumholz ✅ Trouvez le bien immobilier qui correspond idéalement à vos désirs sur ImmoScout24 - La plateforme de l'immobilier en Suisse.</v>
      </c>
      <c r="D2829" s="4" t="str">
        <f>vlookup(A2829, Sheet2!D:E, 2, 0)</f>
        <v>variant</v>
      </c>
      <c r="E2829" s="4" t="str">
        <f>IFERROR(__xludf.DUMMYFUNCTION("if(H2829=""pays"",vlookup(REGEXEXTRACT(C2829, ""🏘️ \w+ \w+ (.*) ✅""),'Country prepositions'!A:B, 2, 0) &amp; "" "" &amp; REGEXEXTRACT(C2829, ""🏘️ \w+ \w+ (.*) ✅"") ,  if(H2829=""quartier"",vlookup(REGEXEXTRACT(C2829, ""🏘️ \w+ \w+ (.*) ✅""),'Quartier prepositio"&amp;"ns'!A:E, 5, 0) ,  if(H2829=""region"",vlookup(REGEXEXTRACT(C2829, ""🏘️ \w+ \w+ (.*) ✅""),'Region prepositions'!B:F, 5, 0),  REGEXEXTRACT(C2829, ""🏘️ \w+ \w+ (.*) ✅""))))"),"Zumholz")</f>
        <v>Zumholz</v>
      </c>
      <c r="F2829" s="2" t="str">
        <f>IFERROR(__xludf.DUMMYFUNCTION("REGEXEXTRACT(C2829, ""🏘️ (\w+) \w+ .* ✅"")"),"Louer")</f>
        <v>Louer</v>
      </c>
      <c r="G2829" s="2" t="str">
        <f>IFERROR(__xludf.DUMMYFUNCTION("REGEXEXTRACT(C2829, ""🏘️ \w+ (\w+) .* ✅"")"),"appartement")</f>
        <v>appartement</v>
      </c>
      <c r="H2829" s="4" t="str">
        <f>IFERROR(__xludf.DUMMYFUNCTION("REGEXEXTRACT(A2829, ""/(\w+)-.*?"")"),"lieu")</f>
        <v>lieu</v>
      </c>
      <c r="I2829" s="4" t="str">
        <f>IFERROR(__xludf.DUMMYFUNCTION("if(D2829=""variant"",  substitute(filter(Templates!E:E, Templates!A:A = F2829, Templates!B:B = G2829, Templates!C:C = H2829), ""{{}}"", E2829), B2829)"),"🏘  Vous cherchez un appartement à louer à Zumholz? ✅ Les annonces les plus actuelles sont sur ImmoScout24.ch.")</f>
        <v>🏘  Vous cherchez un appartement à louer à Zumholz? ✅ Les annonces les plus actuelles sont sur ImmoScout24.ch.</v>
      </c>
      <c r="J2829" s="4" t="s">
        <v>8483</v>
      </c>
    </row>
    <row r="2830">
      <c r="A2830" s="5" t="s">
        <v>8484</v>
      </c>
      <c r="B2830" s="2" t="s">
        <v>8485</v>
      </c>
      <c r="C2830" s="4" t="str">
        <f>IFERROR(__xludf.DUMMYFUNCTION("""🏘️ ""&amp;REGEXEXTRACT(B2830, ""^(.*): "")&amp;"" ✅ "" &amp;REGEXEXTRACT(B2830, ""(Trouvez.*)"")"),"🏘️ Louer appartement Villars-sous-Champvent ✅ Trouvez le bien immobilier qui correspond idéalement à vos désirs sur ImmoScout24 - La plateforme de l'immobilier en Suisse.")</f>
        <v>🏘️ Louer appartement Villars-sous-Champvent ✅ Trouvez le bien immobilier qui correspond idéalement à vos désirs sur ImmoScout24 - La plateforme de l'immobilier en Suisse.</v>
      </c>
      <c r="D2830" s="4" t="str">
        <f>vlookup(A2830, Sheet2!D:E, 2, 0)</f>
        <v>variant</v>
      </c>
      <c r="E2830" s="4" t="str">
        <f>IFERROR(__xludf.DUMMYFUNCTION("if(H2830=""pays"",vlookup(REGEXEXTRACT(C2830, ""🏘️ \w+ \w+ (.*) ✅""),'Country prepositions'!A:B, 2, 0) &amp; "" "" &amp; REGEXEXTRACT(C2830, ""🏘️ \w+ \w+ (.*) ✅"") ,  if(H2830=""quartier"",vlookup(REGEXEXTRACT(C2830, ""🏘️ \w+ \w+ (.*) ✅""),'Quartier prepositio"&amp;"ns'!A:E, 5, 0) ,  if(H2830=""region"",vlookup(REGEXEXTRACT(C2830, ""🏘️ \w+ \w+ (.*) ✅""),'Region prepositions'!B:F, 5, 0),  REGEXEXTRACT(C2830, ""🏘️ \w+ \w+ (.*) ✅""))))"),"Villars-sous-Champvent")</f>
        <v>Villars-sous-Champvent</v>
      </c>
      <c r="F2830" s="2" t="str">
        <f>IFERROR(__xludf.DUMMYFUNCTION("REGEXEXTRACT(C2830, ""🏘️ (\w+) \w+ .* ✅"")"),"Louer")</f>
        <v>Louer</v>
      </c>
      <c r="G2830" s="2" t="str">
        <f>IFERROR(__xludf.DUMMYFUNCTION("REGEXEXTRACT(C2830, ""🏘️ \w+ (\w+) .* ✅"")"),"appartement")</f>
        <v>appartement</v>
      </c>
      <c r="H2830" s="4" t="str">
        <f>IFERROR(__xludf.DUMMYFUNCTION("REGEXEXTRACT(A2830, ""/(\w+)-.*?"")"),"lieu")</f>
        <v>lieu</v>
      </c>
      <c r="I2830" s="4" t="str">
        <f>IFERROR(__xludf.DUMMYFUNCTION("if(D2830=""variant"",  substitute(filter(Templates!E:E, Templates!A:A = F2830, Templates!B:B = G2830, Templates!C:C = H2830), ""{{}}"", E2830), B2830)"),"🏘  Vous cherchez un appartement à louer à Villars-sous-Champvent? ✅ Les annonces les plus actuelles sont sur ImmoScout24.ch.")</f>
        <v>🏘  Vous cherchez un appartement à louer à Villars-sous-Champvent? ✅ Les annonces les plus actuelles sont sur ImmoScout24.ch.</v>
      </c>
      <c r="J2830" s="4" t="s">
        <v>8486</v>
      </c>
    </row>
    <row r="2831">
      <c r="A2831" s="5" t="s">
        <v>8487</v>
      </c>
      <c r="B2831" s="2" t="s">
        <v>8488</v>
      </c>
      <c r="C2831" s="4" t="str">
        <f>IFERROR(__xludf.DUMMYFUNCTION("""🏘️ ""&amp;REGEXEXTRACT(B2831, ""^(.*): "")&amp;"" ✅ "" &amp;REGEXEXTRACT(B2831, ""(Trouvez.*)"")"),"🏘️ Vendre appartement Belmont-sur-Lausanne ✅ Trouvez le bien immobilier qui correspond idéalement à vos désirs sur ImmoScout24 - La plateforme de l'immobilier en Suisse.")</f>
        <v>🏘️ Vendre appartement Belmont-sur-Lausanne ✅ Trouvez le bien immobilier qui correspond idéalement à vos désirs sur ImmoScout24 - La plateforme de l'immobilier en Suisse.</v>
      </c>
      <c r="D2831" s="4" t="str">
        <f>vlookup(A2831, Sheet2!D:E, 2, 0)</f>
        <v>variant</v>
      </c>
      <c r="E2831" s="4" t="str">
        <f>IFERROR(__xludf.DUMMYFUNCTION("if(H2831=""pays"",vlookup(REGEXEXTRACT(C2831, ""🏘️ \w+ \w+ (.*) ✅""),'Country prepositions'!A:B, 2, 0) &amp; "" "" &amp; REGEXEXTRACT(C2831, ""🏘️ \w+ \w+ (.*) ✅"") ,  if(H2831=""quartier"",vlookup(REGEXEXTRACT(C2831, ""🏘️ \w+ \w+ (.*) ✅""),'Quartier prepositio"&amp;"ns'!A:E, 5, 0) ,  if(H2831=""region"",vlookup(REGEXEXTRACT(C2831, ""🏘️ \w+ \w+ (.*) ✅""),'Region prepositions'!B:F, 5, 0),  REGEXEXTRACT(C2831, ""🏘️ \w+ \w+ (.*) ✅""))))"),"Belmont-sur-Lausanne")</f>
        <v>Belmont-sur-Lausanne</v>
      </c>
      <c r="F2831" s="2" t="str">
        <f>IFERROR(__xludf.DUMMYFUNCTION("REGEXEXTRACT(C2831, ""🏘️ (\w+) \w+ .* ✅"")"),"Vendre")</f>
        <v>Vendre</v>
      </c>
      <c r="G2831" s="2" t="str">
        <f>IFERROR(__xludf.DUMMYFUNCTION("REGEXEXTRACT(C2831, ""🏘️ \w+ (\w+) .* ✅"")"),"appartement")</f>
        <v>appartement</v>
      </c>
      <c r="H2831" s="4" t="str">
        <f>IFERROR(__xludf.DUMMYFUNCTION("REGEXEXTRACT(A2831, ""/(\w+)-.*?"")"),"lieu")</f>
        <v>lieu</v>
      </c>
      <c r="I2831" s="4" t="str">
        <f>IFERROR(__xludf.DUMMYFUNCTION("if(D2831=""variant"",  substitute(filter(Templates!E:E, Templates!A:A = F2831, Templates!B:B = G2831, Templates!C:C = H2831), ""{{}}"", E2831), B2831)"),"🏘  L’appartement de vos rêves se trouve sur ImmoScout24.ch ✅ Découvrez les dernières annonces de vente à Belmont-sur-Lausanne.")</f>
        <v>🏘  L’appartement de vos rêves se trouve sur ImmoScout24.ch ✅ Découvrez les dernières annonces de vente à Belmont-sur-Lausanne.</v>
      </c>
      <c r="J2831" s="4" t="s">
        <v>8489</v>
      </c>
    </row>
    <row r="2832">
      <c r="A2832" s="5" t="s">
        <v>8490</v>
      </c>
      <c r="B2832" s="2" t="s">
        <v>8491</v>
      </c>
      <c r="C2832" s="4" t="str">
        <f>IFERROR(__xludf.DUMMYFUNCTION("""🏘️ ""&amp;REGEXEXTRACT(B2832, ""^(.*): "")&amp;"" ✅ "" &amp;REGEXEXTRACT(B2832, ""(Trouvez.*)"")"),"🏘️ Vendre appartement Villars-sur-Ollon ✅ Trouvez le bien immobilier qui correspond idéalement à vos désirs sur ImmoScout24 - La plateforme de l'immobilier en Suisse.")</f>
        <v>🏘️ Vendre appartement Villars-sur-Ollon ✅ Trouvez le bien immobilier qui correspond idéalement à vos désirs sur ImmoScout24 - La plateforme de l'immobilier en Suisse.</v>
      </c>
      <c r="D2832" s="4" t="str">
        <f>vlookup(A2832, Sheet2!D:E, 2, 0)</f>
        <v>variant</v>
      </c>
      <c r="E2832" s="4" t="str">
        <f>IFERROR(__xludf.DUMMYFUNCTION("if(H2832=""pays"",vlookup(REGEXEXTRACT(C2832, ""🏘️ \w+ \w+ (.*) ✅""),'Country prepositions'!A:B, 2, 0) &amp; "" "" &amp; REGEXEXTRACT(C2832, ""🏘️ \w+ \w+ (.*) ✅"") ,  if(H2832=""quartier"",vlookup(REGEXEXTRACT(C2832, ""🏘️ \w+ \w+ (.*) ✅""),'Quartier prepositio"&amp;"ns'!A:E, 5, 0) ,  if(H2832=""region"",vlookup(REGEXEXTRACT(C2832, ""🏘️ \w+ \w+ (.*) ✅""),'Region prepositions'!B:F, 5, 0),  REGEXEXTRACT(C2832, ""🏘️ \w+ \w+ (.*) ✅""))))"),"Villars-sur-Ollon")</f>
        <v>Villars-sur-Ollon</v>
      </c>
      <c r="F2832" s="2" t="str">
        <f>IFERROR(__xludf.DUMMYFUNCTION("REGEXEXTRACT(C2832, ""🏘️ (\w+) \w+ .* ✅"")"),"Vendre")</f>
        <v>Vendre</v>
      </c>
      <c r="G2832" s="2" t="str">
        <f>IFERROR(__xludf.DUMMYFUNCTION("REGEXEXTRACT(C2832, ""🏘️ \w+ (\w+) .* ✅"")"),"appartement")</f>
        <v>appartement</v>
      </c>
      <c r="H2832" s="4" t="str">
        <f>IFERROR(__xludf.DUMMYFUNCTION("REGEXEXTRACT(A2832, ""/(\w+)-.*?"")"),"lieu")</f>
        <v>lieu</v>
      </c>
      <c r="I2832" s="4" t="str">
        <f>IFERROR(__xludf.DUMMYFUNCTION("if(D2832=""variant"",  substitute(filter(Templates!E:E, Templates!A:A = F2832, Templates!B:B = G2832, Templates!C:C = H2832), ""{{}}"", E2832), B2832)"),"🏘  L’appartement de vos rêves se trouve sur ImmoScout24.ch ✅ Découvrez les dernières annonces de vente à Villars-sur-Ollon.")</f>
        <v>🏘  L’appartement de vos rêves se trouve sur ImmoScout24.ch ✅ Découvrez les dernières annonces de vente à Villars-sur-Ollon.</v>
      </c>
      <c r="J2832" s="4" t="s">
        <v>8492</v>
      </c>
    </row>
    <row r="2833">
      <c r="A2833" s="5" t="s">
        <v>8493</v>
      </c>
      <c r="B2833" s="2" t="s">
        <v>8494</v>
      </c>
      <c r="C2833" s="4" t="str">
        <f>IFERROR(__xludf.DUMMYFUNCTION("""🏘️ ""&amp;REGEXEXTRACT(B2833, ""^(.*): "")&amp;"" ✅ "" &amp;REGEXEXTRACT(B2833, ""(Trouvez.*)"")"),"🏘️ Vendre maison Arbedo ✅ Trouvez le bien immobilier qui correspond idéalement à vos désirs sur ImmoScout24 - La plateforme de l'immobilier en Suisse.")</f>
        <v>🏘️ Vendre maison Arbedo ✅ Trouvez le bien immobilier qui correspond idéalement à vos désirs sur ImmoScout24 - La plateforme de l'immobilier en Suisse.</v>
      </c>
      <c r="D2833" s="4" t="str">
        <f>vlookup(A2833, Sheet2!D:E, 2, 0)</f>
        <v>variant</v>
      </c>
      <c r="E2833" s="4" t="str">
        <f>IFERROR(__xludf.DUMMYFUNCTION("if(H2833=""pays"",vlookup(REGEXEXTRACT(C2833, ""🏘️ \w+ \w+ (.*) ✅""),'Country prepositions'!A:B, 2, 0) &amp; "" "" &amp; REGEXEXTRACT(C2833, ""🏘️ \w+ \w+ (.*) ✅"") ,  if(H2833=""quartier"",vlookup(REGEXEXTRACT(C2833, ""🏘️ \w+ \w+ (.*) ✅""),'Quartier prepositio"&amp;"ns'!A:E, 5, 0) ,  if(H2833=""region"",vlookup(REGEXEXTRACT(C2833, ""🏘️ \w+ \w+ (.*) ✅""),'Region prepositions'!B:F, 5, 0),  REGEXEXTRACT(C2833, ""🏘️ \w+ \w+ (.*) ✅""))))"),"Arbedo")</f>
        <v>Arbedo</v>
      </c>
      <c r="F2833" s="2" t="str">
        <f>IFERROR(__xludf.DUMMYFUNCTION("REGEXEXTRACT(C2833, ""🏘️ (\w+) \w+ .* ✅"")"),"Vendre")</f>
        <v>Vendre</v>
      </c>
      <c r="G2833" s="2" t="str">
        <f>IFERROR(__xludf.DUMMYFUNCTION("REGEXEXTRACT(C2833, ""🏘️ \w+ (\w+) .* ✅"")"),"maison")</f>
        <v>maison</v>
      </c>
      <c r="H2833" s="4" t="str">
        <f>IFERROR(__xludf.DUMMYFUNCTION("REGEXEXTRACT(A2833, ""/(\w+)-.*?"")"),"lieu")</f>
        <v>lieu</v>
      </c>
      <c r="I2833" s="4" t="str">
        <f>IFERROR(__xludf.DUMMYFUNCTION("if(D2833=""variant"",  substitute(filter(Templates!E:E, Templates!A:A = F2833, Templates!B:B = G2833, Templates!C:C = H2833), ""{{}}"", E2833), B2833)"),"🏘  Vous souhaitez acheter une maison à Arbedo? ✅ Jetez un œil aux dernières offres sur ImmoScout24.ch.")</f>
        <v>🏘  Vous souhaitez acheter une maison à Arbedo? ✅ Jetez un œil aux dernières offres sur ImmoScout24.ch.</v>
      </c>
      <c r="J2833" s="4" t="s">
        <v>8495</v>
      </c>
    </row>
    <row r="2834">
      <c r="A2834" s="5" t="s">
        <v>8496</v>
      </c>
      <c r="B2834" s="2" t="s">
        <v>8497</v>
      </c>
      <c r="C2834" s="4" t="str">
        <f>IFERROR(__xludf.DUMMYFUNCTION("""🏘️ ""&amp;REGEXEXTRACT(B2834, ""^(.*): "")&amp;"" ✅ "" &amp;REGEXEXTRACT(B2834, ""(Trouvez.*)"")"),"🏘️ Louer appartement Trient ✅ Trouvez le bien immobilier qui correspond idéalement à vos désirs sur ImmoScout24 - La plateforme de l'immobilier en Suisse.")</f>
        <v>🏘️ Louer appartement Trient ✅ Trouvez le bien immobilier qui correspond idéalement à vos désirs sur ImmoScout24 - La plateforme de l'immobilier en Suisse.</v>
      </c>
      <c r="D2834" s="4" t="str">
        <f>vlookup(A2834, Sheet2!D:E, 2, 0)</f>
        <v>variant</v>
      </c>
      <c r="E2834" s="4" t="str">
        <f>IFERROR(__xludf.DUMMYFUNCTION("if(H2834=""pays"",vlookup(REGEXEXTRACT(C2834, ""🏘️ \w+ \w+ (.*) ✅""),'Country prepositions'!A:B, 2, 0) &amp; "" "" &amp; REGEXEXTRACT(C2834, ""🏘️ \w+ \w+ (.*) ✅"") ,  if(H2834=""quartier"",vlookup(REGEXEXTRACT(C2834, ""🏘️ \w+ \w+ (.*) ✅""),'Quartier prepositio"&amp;"ns'!A:E, 5, 0) ,  if(H2834=""region"",vlookup(REGEXEXTRACT(C2834, ""🏘️ \w+ \w+ (.*) ✅""),'Region prepositions'!B:F, 5, 0),  REGEXEXTRACT(C2834, ""🏘️ \w+ \w+ (.*) ✅""))))"),"Trient")</f>
        <v>Trient</v>
      </c>
      <c r="F2834" s="2" t="str">
        <f>IFERROR(__xludf.DUMMYFUNCTION("REGEXEXTRACT(C2834, ""🏘️ (\w+) \w+ .* ✅"")"),"Louer")</f>
        <v>Louer</v>
      </c>
      <c r="G2834" s="2" t="str">
        <f>IFERROR(__xludf.DUMMYFUNCTION("REGEXEXTRACT(C2834, ""🏘️ \w+ (\w+) .* ✅"")"),"appartement")</f>
        <v>appartement</v>
      </c>
      <c r="H2834" s="4" t="str">
        <f>IFERROR(__xludf.DUMMYFUNCTION("REGEXEXTRACT(A2834, ""/(\w+)-.*?"")"),"lieu")</f>
        <v>lieu</v>
      </c>
      <c r="I2834" s="4" t="str">
        <f>IFERROR(__xludf.DUMMYFUNCTION("if(D2834=""variant"",  substitute(filter(Templates!E:E, Templates!A:A = F2834, Templates!B:B = G2834, Templates!C:C = H2834), ""{{}}"", E2834), B2834)"),"🏘  Vous cherchez un appartement à louer à Trient? ✅ Les annonces les plus actuelles sont sur ImmoScout24.ch.")</f>
        <v>🏘  Vous cherchez un appartement à louer à Trient? ✅ Les annonces les plus actuelles sont sur ImmoScout24.ch.</v>
      </c>
      <c r="J2834" s="4" t="s">
        <v>8498</v>
      </c>
    </row>
    <row r="2835">
      <c r="A2835" s="5" t="s">
        <v>8499</v>
      </c>
      <c r="B2835" s="2" t="s">
        <v>8500</v>
      </c>
      <c r="C2835" s="4" t="str">
        <f>IFERROR(__xludf.DUMMYFUNCTION("""🏘️ ""&amp;REGEXEXTRACT(B2835, ""^(.*): "")&amp;"" ✅ "" &amp;REGEXEXTRACT(B2835, ""(Trouvez.*)"")"),"🏘️ Vendre appartement Loveresse ✅ Trouvez le bien immobilier qui correspond idéalement à vos désirs sur ImmoScout24 - La plateforme de l'immobilier en Suisse.")</f>
        <v>🏘️ Vendre appartement Loveresse ✅ Trouvez le bien immobilier qui correspond idéalement à vos désirs sur ImmoScout24 - La plateforme de l'immobilier en Suisse.</v>
      </c>
      <c r="D2835" s="4" t="str">
        <f>vlookup(A2835, Sheet2!D:E, 2, 0)</f>
        <v>variant</v>
      </c>
      <c r="E2835" s="4" t="str">
        <f>IFERROR(__xludf.DUMMYFUNCTION("if(H2835=""pays"",vlookup(REGEXEXTRACT(C2835, ""🏘️ \w+ \w+ (.*) ✅""),'Country prepositions'!A:B, 2, 0) &amp; "" "" &amp; REGEXEXTRACT(C2835, ""🏘️ \w+ \w+ (.*) ✅"") ,  if(H2835=""quartier"",vlookup(REGEXEXTRACT(C2835, ""🏘️ \w+ \w+ (.*) ✅""),'Quartier prepositio"&amp;"ns'!A:E, 5, 0) ,  if(H2835=""region"",vlookup(REGEXEXTRACT(C2835, ""🏘️ \w+ \w+ (.*) ✅""),'Region prepositions'!B:F, 5, 0),  REGEXEXTRACT(C2835, ""🏘️ \w+ \w+ (.*) ✅""))))"),"Loveresse")</f>
        <v>Loveresse</v>
      </c>
      <c r="F2835" s="2" t="str">
        <f>IFERROR(__xludf.DUMMYFUNCTION("REGEXEXTRACT(C2835, ""🏘️ (\w+) \w+ .* ✅"")"),"Vendre")</f>
        <v>Vendre</v>
      </c>
      <c r="G2835" s="2" t="str">
        <f>IFERROR(__xludf.DUMMYFUNCTION("REGEXEXTRACT(C2835, ""🏘️ \w+ (\w+) .* ✅"")"),"appartement")</f>
        <v>appartement</v>
      </c>
      <c r="H2835" s="4" t="str">
        <f>IFERROR(__xludf.DUMMYFUNCTION("REGEXEXTRACT(A2835, ""/(\w+)-.*?"")"),"lieu")</f>
        <v>lieu</v>
      </c>
      <c r="I2835" s="4" t="str">
        <f>IFERROR(__xludf.DUMMYFUNCTION("if(D2835=""variant"",  substitute(filter(Templates!E:E, Templates!A:A = F2835, Templates!B:B = G2835, Templates!C:C = H2835), ""{{}}"", E2835), B2835)"),"🏘  L’appartement de vos rêves se trouve sur ImmoScout24.ch ✅ Découvrez les dernières annonces de vente à Loveresse.")</f>
        <v>🏘  L’appartement de vos rêves se trouve sur ImmoScout24.ch ✅ Découvrez les dernières annonces de vente à Loveresse.</v>
      </c>
      <c r="J2835" s="4" t="s">
        <v>8501</v>
      </c>
    </row>
    <row r="2836">
      <c r="A2836" s="5" t="s">
        <v>8502</v>
      </c>
      <c r="B2836" s="2" t="s">
        <v>8503</v>
      </c>
      <c r="C2836" s="4" t="str">
        <f>IFERROR(__xludf.DUMMYFUNCTION("""🏘️ ""&amp;REGEXEXTRACT(B2836, ""^(.*): "")&amp;"" ✅ "" &amp;REGEXEXTRACT(B2836, ""(Trouvez.*)"")"),"🏘️ Vendre maison L'Abergement ✅ Trouvez le bien immobilier qui correspond idéalement à vos désirs sur ImmoScout24 - La plateforme de l'immobilier en Suisse.")</f>
        <v>🏘️ Vendre maison L'Abergement ✅ Trouvez le bien immobilier qui correspond idéalement à vos désirs sur ImmoScout24 - La plateforme de l'immobilier en Suisse.</v>
      </c>
      <c r="D2836" s="4" t="str">
        <f>vlookup(A2836, Sheet2!D:E, 2, 0)</f>
        <v>variant</v>
      </c>
      <c r="E2836" s="4" t="str">
        <f>IFERROR(__xludf.DUMMYFUNCTION("if(H2836=""pays"",vlookup(REGEXEXTRACT(C2836, ""🏘️ \w+ \w+ (.*) ✅""),'Country prepositions'!A:B, 2, 0) &amp; "" "" &amp; REGEXEXTRACT(C2836, ""🏘️ \w+ \w+ (.*) ✅"") ,  if(H2836=""quartier"",vlookup(REGEXEXTRACT(C2836, ""🏘️ \w+ \w+ (.*) ✅""),'Quartier prepositio"&amp;"ns'!A:E, 5, 0) ,  if(H2836=""region"",vlookup(REGEXEXTRACT(C2836, ""🏘️ \w+ \w+ (.*) ✅""),'Region prepositions'!B:F, 5, 0),  REGEXEXTRACT(C2836, ""🏘️ \w+ \w+ (.*) ✅""))))"),"L'Abergement")</f>
        <v>L'Abergement</v>
      </c>
      <c r="F2836" s="2" t="str">
        <f>IFERROR(__xludf.DUMMYFUNCTION("REGEXEXTRACT(C2836, ""🏘️ (\w+) \w+ .* ✅"")"),"Vendre")</f>
        <v>Vendre</v>
      </c>
      <c r="G2836" s="2" t="str">
        <f>IFERROR(__xludf.DUMMYFUNCTION("REGEXEXTRACT(C2836, ""🏘️ \w+ (\w+) .* ✅"")"),"maison")</f>
        <v>maison</v>
      </c>
      <c r="H2836" s="4" t="str">
        <f>IFERROR(__xludf.DUMMYFUNCTION("REGEXEXTRACT(A2836, ""/(\w+)-.*?"")"),"lieu")</f>
        <v>lieu</v>
      </c>
      <c r="I2836" s="4" t="str">
        <f>IFERROR(__xludf.DUMMYFUNCTION("if(D2836=""variant"",  substitute(filter(Templates!E:E, Templates!A:A = F2836, Templates!B:B = G2836, Templates!C:C = H2836), ""{{}}"", E2836), B2836)"),"🏘  Vous souhaitez acheter une maison à L'Abergement? ✅ Jetez un œil aux dernières offres sur ImmoScout24.ch.")</f>
        <v>🏘  Vous souhaitez acheter une maison à L'Abergement? ✅ Jetez un œil aux dernières offres sur ImmoScout24.ch.</v>
      </c>
      <c r="J2836" s="4" t="s">
        <v>8504</v>
      </c>
    </row>
    <row r="2837">
      <c r="A2837" s="5" t="s">
        <v>8505</v>
      </c>
      <c r="B2837" s="2" t="s">
        <v>8506</v>
      </c>
      <c r="C2837" s="4" t="str">
        <f>IFERROR(__xludf.DUMMYFUNCTION("""🏘️ ""&amp;REGEXEXTRACT(B2837, ""^(.*): "")&amp;"" ✅ "" &amp;REGEXEXTRACT(B2837, ""(Trouvez.*)"")"),"🏘️ Vendre appartement Palézieux ✅ Trouvez le bien immobilier qui correspond idéalement à vos désirs sur ImmoScout24 - La plateforme de l'immobilier en Suisse.")</f>
        <v>🏘️ Vendre appartement Palézieux ✅ Trouvez le bien immobilier qui correspond idéalement à vos désirs sur ImmoScout24 - La plateforme de l'immobilier en Suisse.</v>
      </c>
      <c r="D2837" s="4" t="str">
        <f>vlookup(A2837, Sheet2!D:E, 2, 0)</f>
        <v>variant</v>
      </c>
      <c r="E2837" s="4" t="str">
        <f>IFERROR(__xludf.DUMMYFUNCTION("if(H2837=""pays"",vlookup(REGEXEXTRACT(C2837, ""🏘️ \w+ \w+ (.*) ✅""),'Country prepositions'!A:B, 2, 0) &amp; "" "" &amp; REGEXEXTRACT(C2837, ""🏘️ \w+ \w+ (.*) ✅"") ,  if(H2837=""quartier"",vlookup(REGEXEXTRACT(C2837, ""🏘️ \w+ \w+ (.*) ✅""),'Quartier prepositio"&amp;"ns'!A:E, 5, 0) ,  if(H2837=""region"",vlookup(REGEXEXTRACT(C2837, ""🏘️ \w+ \w+ (.*) ✅""),'Region prepositions'!B:F, 5, 0),  REGEXEXTRACT(C2837, ""🏘️ \w+ \w+ (.*) ✅""))))"),"Palézieux")</f>
        <v>Palézieux</v>
      </c>
      <c r="F2837" s="2" t="str">
        <f>IFERROR(__xludf.DUMMYFUNCTION("REGEXEXTRACT(C2837, ""🏘️ (\w+) \w+ .* ✅"")"),"Vendre")</f>
        <v>Vendre</v>
      </c>
      <c r="G2837" s="2" t="str">
        <f>IFERROR(__xludf.DUMMYFUNCTION("REGEXEXTRACT(C2837, ""🏘️ \w+ (\w+) .* ✅"")"),"appartement")</f>
        <v>appartement</v>
      </c>
      <c r="H2837" s="4" t="str">
        <f>IFERROR(__xludf.DUMMYFUNCTION("REGEXEXTRACT(A2837, ""/(\w+)-.*?"")"),"lieu")</f>
        <v>lieu</v>
      </c>
      <c r="I2837" s="4" t="str">
        <f>IFERROR(__xludf.DUMMYFUNCTION("if(D2837=""variant"",  substitute(filter(Templates!E:E, Templates!A:A = F2837, Templates!B:B = G2837, Templates!C:C = H2837), ""{{}}"", E2837), B2837)"),"🏘  L’appartement de vos rêves se trouve sur ImmoScout24.ch ✅ Découvrez les dernières annonces de vente à Palézieux.")</f>
        <v>🏘  L’appartement de vos rêves se trouve sur ImmoScout24.ch ✅ Découvrez les dernières annonces de vente à Palézieux.</v>
      </c>
      <c r="J2837" s="4" t="s">
        <v>8507</v>
      </c>
    </row>
    <row r="2838">
      <c r="A2838" s="5" t="s">
        <v>8508</v>
      </c>
      <c r="B2838" s="2" t="s">
        <v>8509</v>
      </c>
      <c r="C2838" s="4" t="str">
        <f>IFERROR(__xludf.DUMMYFUNCTION("""🏘️ ""&amp;REGEXEXTRACT(B2838, ""^(.*): "")&amp;"" ✅ "" &amp;REGEXEXTRACT(B2838, ""(Trouvez.*)"")"),"🏘️ Louer appartement Bauma ✅ Trouvez le bien immobilier qui correspond idéalement à vos désirs sur ImmoScout24 - La plateforme de l'immobilier en Suisse.")</f>
        <v>🏘️ Louer appartement Bauma ✅ Trouvez le bien immobilier qui correspond idéalement à vos désirs sur ImmoScout24 - La plateforme de l'immobilier en Suisse.</v>
      </c>
      <c r="D2838" s="4" t="str">
        <f>vlookup(A2838, Sheet2!D:E, 2, 0)</f>
        <v>variant</v>
      </c>
      <c r="E2838" s="4" t="str">
        <f>IFERROR(__xludf.DUMMYFUNCTION("if(H2838=""pays"",vlookup(REGEXEXTRACT(C2838, ""🏘️ \w+ \w+ (.*) ✅""),'Country prepositions'!A:B, 2, 0) &amp; "" "" &amp; REGEXEXTRACT(C2838, ""🏘️ \w+ \w+ (.*) ✅"") ,  if(H2838=""quartier"",vlookup(REGEXEXTRACT(C2838, ""🏘️ \w+ \w+ (.*) ✅""),'Quartier prepositio"&amp;"ns'!A:E, 5, 0) ,  if(H2838=""region"",vlookup(REGEXEXTRACT(C2838, ""🏘️ \w+ \w+ (.*) ✅""),'Region prepositions'!B:F, 5, 0),  REGEXEXTRACT(C2838, ""🏘️ \w+ \w+ (.*) ✅""))))"),"Bauma")</f>
        <v>Bauma</v>
      </c>
      <c r="F2838" s="2" t="str">
        <f>IFERROR(__xludf.DUMMYFUNCTION("REGEXEXTRACT(C2838, ""🏘️ (\w+) \w+ .* ✅"")"),"Louer")</f>
        <v>Louer</v>
      </c>
      <c r="G2838" s="2" t="str">
        <f>IFERROR(__xludf.DUMMYFUNCTION("REGEXEXTRACT(C2838, ""🏘️ \w+ (\w+) .* ✅"")"),"appartement")</f>
        <v>appartement</v>
      </c>
      <c r="H2838" s="4" t="str">
        <f>IFERROR(__xludf.DUMMYFUNCTION("REGEXEXTRACT(A2838, ""/(\w+)-.*?"")"),"lieu")</f>
        <v>lieu</v>
      </c>
      <c r="I2838" s="4" t="str">
        <f>IFERROR(__xludf.DUMMYFUNCTION("if(D2838=""variant"",  substitute(filter(Templates!E:E, Templates!A:A = F2838, Templates!B:B = G2838, Templates!C:C = H2838), ""{{}}"", E2838), B2838)"),"🏘  Vous cherchez un appartement à louer à Bauma? ✅ Les annonces les plus actuelles sont sur ImmoScout24.ch.")</f>
        <v>🏘  Vous cherchez un appartement à louer à Bauma? ✅ Les annonces les plus actuelles sont sur ImmoScout24.ch.</v>
      </c>
      <c r="J2838" s="4" t="s">
        <v>8510</v>
      </c>
    </row>
    <row r="2839">
      <c r="A2839" s="5" t="s">
        <v>8511</v>
      </c>
      <c r="B2839" s="2" t="s">
        <v>8512</v>
      </c>
      <c r="C2839" s="4" t="str">
        <f>IFERROR(__xludf.DUMMYFUNCTION("""🏘️ ""&amp;REGEXEXTRACT(B2839, ""^(.*): "")&amp;"" ✅ "" &amp;REGEXEXTRACT(B2839, ""(Trouvez.*)"")"),"🏘️ Vendre appartement Nax ✅ Trouvez le bien immobilier qui correspond idéalement à vos désirs sur ImmoScout24 - La plateforme de l'immobilier en Suisse.")</f>
        <v>🏘️ Vendre appartement Nax ✅ Trouvez le bien immobilier qui correspond idéalement à vos désirs sur ImmoScout24 - La plateforme de l'immobilier en Suisse.</v>
      </c>
      <c r="D2839" s="4" t="str">
        <f>vlookup(A2839, Sheet2!D:E, 2, 0)</f>
        <v>variant</v>
      </c>
      <c r="E2839" s="4" t="str">
        <f>IFERROR(__xludf.DUMMYFUNCTION("if(H2839=""pays"",vlookup(REGEXEXTRACT(C2839, ""🏘️ \w+ \w+ (.*) ✅""),'Country prepositions'!A:B, 2, 0) &amp; "" "" &amp; REGEXEXTRACT(C2839, ""🏘️ \w+ \w+ (.*) ✅"") ,  if(H2839=""quartier"",vlookup(REGEXEXTRACT(C2839, ""🏘️ \w+ \w+ (.*) ✅""),'Quartier prepositio"&amp;"ns'!A:E, 5, 0) ,  if(H2839=""region"",vlookup(REGEXEXTRACT(C2839, ""🏘️ \w+ \w+ (.*) ✅""),'Region prepositions'!B:F, 5, 0),  REGEXEXTRACT(C2839, ""🏘️ \w+ \w+ (.*) ✅""))))"),"Nax")</f>
        <v>Nax</v>
      </c>
      <c r="F2839" s="2" t="str">
        <f>IFERROR(__xludf.DUMMYFUNCTION("REGEXEXTRACT(C2839, ""🏘️ (\w+) \w+ .* ✅"")"),"Vendre")</f>
        <v>Vendre</v>
      </c>
      <c r="G2839" s="2" t="str">
        <f>IFERROR(__xludf.DUMMYFUNCTION("REGEXEXTRACT(C2839, ""🏘️ \w+ (\w+) .* ✅"")"),"appartement")</f>
        <v>appartement</v>
      </c>
      <c r="H2839" s="4" t="str">
        <f>IFERROR(__xludf.DUMMYFUNCTION("REGEXEXTRACT(A2839, ""/(\w+)-.*?"")"),"lieu")</f>
        <v>lieu</v>
      </c>
      <c r="I2839" s="4" t="str">
        <f>IFERROR(__xludf.DUMMYFUNCTION("if(D2839=""variant"",  substitute(filter(Templates!E:E, Templates!A:A = F2839, Templates!B:B = G2839, Templates!C:C = H2839), ""{{}}"", E2839), B2839)"),"🏘  L’appartement de vos rêves se trouve sur ImmoScout24.ch ✅ Découvrez les dernières annonces de vente à Nax.")</f>
        <v>🏘  L’appartement de vos rêves se trouve sur ImmoScout24.ch ✅ Découvrez les dernières annonces de vente à Nax.</v>
      </c>
      <c r="J2839" s="4" t="s">
        <v>8513</v>
      </c>
    </row>
    <row r="2840">
      <c r="A2840" s="5" t="s">
        <v>8514</v>
      </c>
      <c r="B2840" s="2" t="s">
        <v>8515</v>
      </c>
      <c r="C2840" s="4" t="str">
        <f>IFERROR(__xludf.DUMMYFUNCTION("""🏘️ ""&amp;REGEXEXTRACT(B2840, ""^(.*): "")&amp;"" ✅ "" &amp;REGEXEXTRACT(B2840, ""(Trouvez.*)"")"),"🏘️ Louer appartement Cartigny ✅ Trouvez le bien immobilier qui correspond idéalement à vos désirs sur ImmoScout24 - La plateforme de l'immobilier en Suisse.")</f>
        <v>🏘️ Louer appartement Cartigny ✅ Trouvez le bien immobilier qui correspond idéalement à vos désirs sur ImmoScout24 - La plateforme de l'immobilier en Suisse.</v>
      </c>
      <c r="D2840" s="4" t="str">
        <f>vlookup(A2840, Sheet2!D:E, 2, 0)</f>
        <v>variant</v>
      </c>
      <c r="E2840" s="4" t="str">
        <f>IFERROR(__xludf.DUMMYFUNCTION("if(H2840=""pays"",vlookup(REGEXEXTRACT(C2840, ""🏘️ \w+ \w+ (.*) ✅""),'Country prepositions'!A:B, 2, 0) &amp; "" "" &amp; REGEXEXTRACT(C2840, ""🏘️ \w+ \w+ (.*) ✅"") ,  if(H2840=""quartier"",vlookup(REGEXEXTRACT(C2840, ""🏘️ \w+ \w+ (.*) ✅""),'Quartier prepositio"&amp;"ns'!A:E, 5, 0) ,  if(H2840=""region"",vlookup(REGEXEXTRACT(C2840, ""🏘️ \w+ \w+ (.*) ✅""),'Region prepositions'!B:F, 5, 0),  REGEXEXTRACT(C2840, ""🏘️ \w+ \w+ (.*) ✅""))))"),"Cartigny")</f>
        <v>Cartigny</v>
      </c>
      <c r="F2840" s="2" t="str">
        <f>IFERROR(__xludf.DUMMYFUNCTION("REGEXEXTRACT(C2840, ""🏘️ (\w+) \w+ .* ✅"")"),"Louer")</f>
        <v>Louer</v>
      </c>
      <c r="G2840" s="2" t="str">
        <f>IFERROR(__xludf.DUMMYFUNCTION("REGEXEXTRACT(C2840, ""🏘️ \w+ (\w+) .* ✅"")"),"appartement")</f>
        <v>appartement</v>
      </c>
      <c r="H2840" s="4" t="str">
        <f>IFERROR(__xludf.DUMMYFUNCTION("REGEXEXTRACT(A2840, ""/(\w+)-.*?"")"),"lieu")</f>
        <v>lieu</v>
      </c>
      <c r="I2840" s="4" t="str">
        <f>IFERROR(__xludf.DUMMYFUNCTION("if(D2840=""variant"",  substitute(filter(Templates!E:E, Templates!A:A = F2840, Templates!B:B = G2840, Templates!C:C = H2840), ""{{}}"", E2840), B2840)"),"🏘  Vous cherchez un appartement à louer à Cartigny? ✅ Les annonces les plus actuelles sont sur ImmoScout24.ch.")</f>
        <v>🏘  Vous cherchez un appartement à louer à Cartigny? ✅ Les annonces les plus actuelles sont sur ImmoScout24.ch.</v>
      </c>
      <c r="J2840" s="4" t="s">
        <v>8516</v>
      </c>
    </row>
    <row r="2841">
      <c r="A2841" s="5" t="s">
        <v>8517</v>
      </c>
      <c r="B2841" s="2" t="s">
        <v>8518</v>
      </c>
      <c r="C2841" s="4" t="str">
        <f>IFERROR(__xludf.DUMMYFUNCTION("""🏘️ ""&amp;REGEXEXTRACT(B2841, ""^(.*): "")&amp;"" ✅ "" &amp;REGEXEXTRACT(B2841, ""(Trouvez.*)"")"),"🏘️ Vendre maison Chermignon ✅ Trouvez le bien immobilier qui correspond idéalement à vos désirs sur ImmoScout24 - La plateforme de l'immobilier en Suisse.")</f>
        <v>🏘️ Vendre maison Chermignon ✅ Trouvez le bien immobilier qui correspond idéalement à vos désirs sur ImmoScout24 - La plateforme de l'immobilier en Suisse.</v>
      </c>
      <c r="D2841" s="4" t="str">
        <f>vlookup(A2841, Sheet2!D:E, 2, 0)</f>
        <v>variant</v>
      </c>
      <c r="E2841" s="4" t="str">
        <f>IFERROR(__xludf.DUMMYFUNCTION("if(H2841=""pays"",vlookup(REGEXEXTRACT(C2841, ""🏘️ \w+ \w+ (.*) ✅""),'Country prepositions'!A:B, 2, 0) &amp; "" "" &amp; REGEXEXTRACT(C2841, ""🏘️ \w+ \w+ (.*) ✅"") ,  if(H2841=""quartier"",vlookup(REGEXEXTRACT(C2841, ""🏘️ \w+ \w+ (.*) ✅""),'Quartier prepositio"&amp;"ns'!A:E, 5, 0) ,  if(H2841=""region"",vlookup(REGEXEXTRACT(C2841, ""🏘️ \w+ \w+ (.*) ✅""),'Region prepositions'!B:F, 5, 0),  REGEXEXTRACT(C2841, ""🏘️ \w+ \w+ (.*) ✅""))))"),"Chermignon")</f>
        <v>Chermignon</v>
      </c>
      <c r="F2841" s="2" t="str">
        <f>IFERROR(__xludf.DUMMYFUNCTION("REGEXEXTRACT(C2841, ""🏘️ (\w+) \w+ .* ✅"")"),"Vendre")</f>
        <v>Vendre</v>
      </c>
      <c r="G2841" s="2" t="str">
        <f>IFERROR(__xludf.DUMMYFUNCTION("REGEXEXTRACT(C2841, ""🏘️ \w+ (\w+) .* ✅"")"),"maison")</f>
        <v>maison</v>
      </c>
      <c r="H2841" s="4" t="str">
        <f>IFERROR(__xludf.DUMMYFUNCTION("REGEXEXTRACT(A2841, ""/(\w+)-.*?"")"),"lieu")</f>
        <v>lieu</v>
      </c>
      <c r="I2841" s="4" t="str">
        <f>IFERROR(__xludf.DUMMYFUNCTION("if(D2841=""variant"",  substitute(filter(Templates!E:E, Templates!A:A = F2841, Templates!B:B = G2841, Templates!C:C = H2841), ""{{}}"", E2841), B2841)"),"🏘  Vous souhaitez acheter une maison à Chermignon? ✅ Jetez un œil aux dernières offres sur ImmoScout24.ch.")</f>
        <v>🏘  Vous souhaitez acheter une maison à Chermignon? ✅ Jetez un œil aux dernières offres sur ImmoScout24.ch.</v>
      </c>
      <c r="J2841" s="4" t="s">
        <v>8519</v>
      </c>
    </row>
    <row r="2842">
      <c r="A2842" s="5" t="s">
        <v>8520</v>
      </c>
      <c r="B2842" s="2" t="s">
        <v>8521</v>
      </c>
      <c r="C2842" s="4" t="str">
        <f>IFERROR(__xludf.DUMMYFUNCTION("""🏘️ ""&amp;REGEXEXTRACT(B2842, ""^(.*): "")&amp;"" ✅ "" &amp;REGEXEXTRACT(B2842, ""(Trouvez.*)"")"),"🏘️ Vendre appartement Steffisburg ✅ Trouvez le bien immobilier qui correspond idéalement à vos désirs sur ImmoScout24 - La plateforme de l'immobilier en Suisse.")</f>
        <v>🏘️ Vendre appartement Steffisburg ✅ Trouvez le bien immobilier qui correspond idéalement à vos désirs sur ImmoScout24 - La plateforme de l'immobilier en Suisse.</v>
      </c>
      <c r="D2842" s="4" t="str">
        <f>vlookup(A2842, Sheet2!D:E, 2, 0)</f>
        <v>variant</v>
      </c>
      <c r="E2842" s="4" t="str">
        <f>IFERROR(__xludf.DUMMYFUNCTION("if(H2842=""pays"",vlookup(REGEXEXTRACT(C2842, ""🏘️ \w+ \w+ (.*) ✅""),'Country prepositions'!A:B, 2, 0) &amp; "" "" &amp; REGEXEXTRACT(C2842, ""🏘️ \w+ \w+ (.*) ✅"") ,  if(H2842=""quartier"",vlookup(REGEXEXTRACT(C2842, ""🏘️ \w+ \w+ (.*) ✅""),'Quartier prepositio"&amp;"ns'!A:E, 5, 0) ,  if(H2842=""region"",vlookup(REGEXEXTRACT(C2842, ""🏘️ \w+ \w+ (.*) ✅""),'Region prepositions'!B:F, 5, 0),  REGEXEXTRACT(C2842, ""🏘️ \w+ \w+ (.*) ✅""))))"),"Steffisburg")</f>
        <v>Steffisburg</v>
      </c>
      <c r="F2842" s="2" t="str">
        <f>IFERROR(__xludf.DUMMYFUNCTION("REGEXEXTRACT(C2842, ""🏘️ (\w+) \w+ .* ✅"")"),"Vendre")</f>
        <v>Vendre</v>
      </c>
      <c r="G2842" s="2" t="str">
        <f>IFERROR(__xludf.DUMMYFUNCTION("REGEXEXTRACT(C2842, ""🏘️ \w+ (\w+) .* ✅"")"),"appartement")</f>
        <v>appartement</v>
      </c>
      <c r="H2842" s="4" t="str">
        <f>IFERROR(__xludf.DUMMYFUNCTION("REGEXEXTRACT(A2842, ""/(\w+)-.*?"")"),"lieu")</f>
        <v>lieu</v>
      </c>
      <c r="I2842" s="4" t="str">
        <f>IFERROR(__xludf.DUMMYFUNCTION("if(D2842=""variant"",  substitute(filter(Templates!E:E, Templates!A:A = F2842, Templates!B:B = G2842, Templates!C:C = H2842), ""{{}}"", E2842), B2842)"),"🏘  L’appartement de vos rêves se trouve sur ImmoScout24.ch ✅ Découvrez les dernières annonces de vente à Steffisburg.")</f>
        <v>🏘  L’appartement de vos rêves se trouve sur ImmoScout24.ch ✅ Découvrez les dernières annonces de vente à Steffisburg.</v>
      </c>
      <c r="J2842" s="4" t="s">
        <v>8522</v>
      </c>
    </row>
    <row r="2843">
      <c r="A2843" s="5" t="s">
        <v>8523</v>
      </c>
      <c r="B2843" s="2" t="s">
        <v>8524</v>
      </c>
      <c r="C2843" s="4" t="str">
        <f>IFERROR(__xludf.DUMMYFUNCTION("""🏘️ ""&amp;REGEXEXTRACT(B2843, ""^(.*): "")&amp;"" ✅ "" &amp;REGEXEXTRACT(B2843, ""(Trouvez.*)"")"),"🏘️ Louer appartement Seon ✅ Trouvez le bien immobilier qui correspond idéalement à vos désirs sur ImmoScout24 - La plateforme de l'immobilier en Suisse.")</f>
        <v>🏘️ Louer appartement Seon ✅ Trouvez le bien immobilier qui correspond idéalement à vos désirs sur ImmoScout24 - La plateforme de l'immobilier en Suisse.</v>
      </c>
      <c r="D2843" s="4" t="str">
        <f>vlookup(A2843, Sheet2!D:E, 2, 0)</f>
        <v>variant</v>
      </c>
      <c r="E2843" s="4" t="str">
        <f>IFERROR(__xludf.DUMMYFUNCTION("if(H2843=""pays"",vlookup(REGEXEXTRACT(C2843, ""🏘️ \w+ \w+ (.*) ✅""),'Country prepositions'!A:B, 2, 0) &amp; "" "" &amp; REGEXEXTRACT(C2843, ""🏘️ \w+ \w+ (.*) ✅"") ,  if(H2843=""quartier"",vlookup(REGEXEXTRACT(C2843, ""🏘️ \w+ \w+ (.*) ✅""),'Quartier prepositio"&amp;"ns'!A:E, 5, 0) ,  if(H2843=""region"",vlookup(REGEXEXTRACT(C2843, ""🏘️ \w+ \w+ (.*) ✅""),'Region prepositions'!B:F, 5, 0),  REGEXEXTRACT(C2843, ""🏘️ \w+ \w+ (.*) ✅""))))"),"Seon")</f>
        <v>Seon</v>
      </c>
      <c r="F2843" s="2" t="str">
        <f>IFERROR(__xludf.DUMMYFUNCTION("REGEXEXTRACT(C2843, ""🏘️ (\w+) \w+ .* ✅"")"),"Louer")</f>
        <v>Louer</v>
      </c>
      <c r="G2843" s="2" t="str">
        <f>IFERROR(__xludf.DUMMYFUNCTION("REGEXEXTRACT(C2843, ""🏘️ \w+ (\w+) .* ✅"")"),"appartement")</f>
        <v>appartement</v>
      </c>
      <c r="H2843" s="4" t="str">
        <f>IFERROR(__xludf.DUMMYFUNCTION("REGEXEXTRACT(A2843, ""/(\w+)-.*?"")"),"lieu")</f>
        <v>lieu</v>
      </c>
      <c r="I2843" s="4" t="str">
        <f>IFERROR(__xludf.DUMMYFUNCTION("if(D2843=""variant"",  substitute(filter(Templates!E:E, Templates!A:A = F2843, Templates!B:B = G2843, Templates!C:C = H2843), ""{{}}"", E2843), B2843)"),"🏘  Vous cherchez un appartement à louer à Seon? ✅ Les annonces les plus actuelles sont sur ImmoScout24.ch.")</f>
        <v>🏘  Vous cherchez un appartement à louer à Seon? ✅ Les annonces les plus actuelles sont sur ImmoScout24.ch.</v>
      </c>
      <c r="J2843" s="4" t="s">
        <v>8525</v>
      </c>
    </row>
    <row r="2844">
      <c r="A2844" s="5" t="s">
        <v>8526</v>
      </c>
      <c r="B2844" s="2" t="s">
        <v>8527</v>
      </c>
      <c r="C2844" s="4" t="str">
        <f>IFERROR(__xludf.DUMMYFUNCTION("""🏘️ ""&amp;REGEXEXTRACT(B2844, ""^(.*): "")&amp;"" ✅ "" &amp;REGEXEXTRACT(B2844, ""(Trouvez.*)"")"),"🏘️ Vendre maison Flaach ✅ Trouvez le bien immobilier qui correspond idéalement à vos désirs sur ImmoScout24 - La plateforme de l'immobilier en Suisse.")</f>
        <v>🏘️ Vendre maison Flaach ✅ Trouvez le bien immobilier qui correspond idéalement à vos désirs sur ImmoScout24 - La plateforme de l'immobilier en Suisse.</v>
      </c>
      <c r="D2844" s="4" t="str">
        <f>vlookup(A2844, Sheet2!D:E, 2, 0)</f>
        <v>variant</v>
      </c>
      <c r="E2844" s="4" t="str">
        <f>IFERROR(__xludf.DUMMYFUNCTION("if(H2844=""pays"",vlookup(REGEXEXTRACT(C2844, ""🏘️ \w+ \w+ (.*) ✅""),'Country prepositions'!A:B, 2, 0) &amp; "" "" &amp; REGEXEXTRACT(C2844, ""🏘️ \w+ \w+ (.*) ✅"") ,  if(H2844=""quartier"",vlookup(REGEXEXTRACT(C2844, ""🏘️ \w+ \w+ (.*) ✅""),'Quartier prepositio"&amp;"ns'!A:E, 5, 0) ,  if(H2844=""region"",vlookup(REGEXEXTRACT(C2844, ""🏘️ \w+ \w+ (.*) ✅""),'Region prepositions'!B:F, 5, 0),  REGEXEXTRACT(C2844, ""🏘️ \w+ \w+ (.*) ✅""))))"),"Flaach")</f>
        <v>Flaach</v>
      </c>
      <c r="F2844" s="2" t="str">
        <f>IFERROR(__xludf.DUMMYFUNCTION("REGEXEXTRACT(C2844, ""🏘️ (\w+) \w+ .* ✅"")"),"Vendre")</f>
        <v>Vendre</v>
      </c>
      <c r="G2844" s="2" t="str">
        <f>IFERROR(__xludf.DUMMYFUNCTION("REGEXEXTRACT(C2844, ""🏘️ \w+ (\w+) .* ✅"")"),"maison")</f>
        <v>maison</v>
      </c>
      <c r="H2844" s="4" t="str">
        <f>IFERROR(__xludf.DUMMYFUNCTION("REGEXEXTRACT(A2844, ""/(\w+)-.*?"")"),"lieu")</f>
        <v>lieu</v>
      </c>
      <c r="I2844" s="4" t="str">
        <f>IFERROR(__xludf.DUMMYFUNCTION("if(D2844=""variant"",  substitute(filter(Templates!E:E, Templates!A:A = F2844, Templates!B:B = G2844, Templates!C:C = H2844), ""{{}}"", E2844), B2844)"),"🏘  Vous souhaitez acheter une maison à Flaach? ✅ Jetez un œil aux dernières offres sur ImmoScout24.ch.")</f>
        <v>🏘  Vous souhaitez acheter une maison à Flaach? ✅ Jetez un œil aux dernières offres sur ImmoScout24.ch.</v>
      </c>
      <c r="J2844" s="4" t="s">
        <v>8528</v>
      </c>
    </row>
    <row r="2845">
      <c r="A2845" s="5" t="s">
        <v>8529</v>
      </c>
      <c r="B2845" s="2" t="s">
        <v>8530</v>
      </c>
      <c r="C2845" s="4" t="str">
        <f>IFERROR(__xludf.DUMMYFUNCTION("""🏘️ ""&amp;REGEXEXTRACT(B2845, ""^(.*): "")&amp;"" ✅ "" &amp;REGEXEXTRACT(B2845, ""(Trouvez.*)"")"),"🏘️ Louer maison Lully FR ✅ Trouvez le bien immobilier qui correspond idéalement à vos désirs sur ImmoScout24 - La plateforme de l'immobilier en Suisse.")</f>
        <v>🏘️ Louer maison Lully FR ✅ Trouvez le bien immobilier qui correspond idéalement à vos désirs sur ImmoScout24 - La plateforme de l'immobilier en Suisse.</v>
      </c>
      <c r="D2845" s="4" t="str">
        <f>vlookup(A2845, Sheet2!D:E, 2, 0)</f>
        <v>variant</v>
      </c>
      <c r="E2845" s="4" t="str">
        <f>IFERROR(__xludf.DUMMYFUNCTION("if(H2845=""pays"",vlookup(REGEXEXTRACT(C2845, ""🏘️ \w+ \w+ (.*) ✅""),'Country prepositions'!A:B, 2, 0) &amp; "" "" &amp; REGEXEXTRACT(C2845, ""🏘️ \w+ \w+ (.*) ✅"") ,  if(H2845=""quartier"",vlookup(REGEXEXTRACT(C2845, ""🏘️ \w+ \w+ (.*) ✅""),'Quartier prepositio"&amp;"ns'!A:E, 5, 0) ,  if(H2845=""region"",vlookup(REGEXEXTRACT(C2845, ""🏘️ \w+ \w+ (.*) ✅""),'Region prepositions'!B:F, 5, 0),  REGEXEXTRACT(C2845, ""🏘️ \w+ \w+ (.*) ✅""))))"),"Lully FR")</f>
        <v>Lully FR</v>
      </c>
      <c r="F2845" s="2" t="str">
        <f>IFERROR(__xludf.DUMMYFUNCTION("REGEXEXTRACT(C2845, ""🏘️ (\w+) \w+ .* ✅"")"),"Louer")</f>
        <v>Louer</v>
      </c>
      <c r="G2845" s="2" t="str">
        <f>IFERROR(__xludf.DUMMYFUNCTION("REGEXEXTRACT(C2845, ""🏘️ \w+ (\w+) .* ✅"")"),"maison")</f>
        <v>maison</v>
      </c>
      <c r="H2845" s="4" t="str">
        <f>IFERROR(__xludf.DUMMYFUNCTION("REGEXEXTRACT(A2845, ""/(\w+)-.*?"")"),"lieu")</f>
        <v>lieu</v>
      </c>
      <c r="I2845" s="4" t="str">
        <f>IFERROR(__xludf.DUMMYFUNCTION("if(D2845=""variant"",  substitute(filter(Templates!E:E, Templates!A:A = F2845, Templates!B:B = G2845, Templates!C:C = H2845), ""{{}}"", E2845), B2845)"),"🏘  Vous cherchez une maison à louer à Lully FR? ✅ Découvrez nos nombreuses annonces sur ImmoScout24.ch.")</f>
        <v>🏘  Vous cherchez une maison à louer à Lully FR? ✅ Découvrez nos nombreuses annonces sur ImmoScout24.ch.</v>
      </c>
      <c r="J2845" s="4" t="s">
        <v>8531</v>
      </c>
    </row>
    <row r="2846">
      <c r="A2846" s="5" t="s">
        <v>8532</v>
      </c>
      <c r="B2846" s="2" t="s">
        <v>8533</v>
      </c>
      <c r="C2846" s="4" t="str">
        <f>IFERROR(__xludf.DUMMYFUNCTION("""🏘️ ""&amp;REGEXEXTRACT(B2846, ""^(.*): "")&amp;"" ✅ "" &amp;REGEXEXTRACT(B2846, ""(Trouvez.*)"")"),"🏘️ Vendre appartement Canton d'Uri ✅ Trouvez le bien immobilier qui correspond idéalement à vos désirs sur ImmoScout24 - La plateforme de l'immobilier en Suisse.")</f>
        <v>🏘️ Vendre appartement Canton d'Uri ✅ Trouvez le bien immobilier qui correspond idéalement à vos désirs sur ImmoScout24 - La plateforme de l'immobilier en Suisse.</v>
      </c>
      <c r="D2846" s="4" t="str">
        <f>vlookup(A2846, Sheet2!D:E, 2, 0)</f>
        <v>variant</v>
      </c>
      <c r="E2846" s="4" t="str">
        <f>IFERROR(__xludf.DUMMYFUNCTION("if(H2846=""pays"",vlookup(REGEXEXTRACT(C2846, ""🏘️ \w+ \w+ (.*) ✅""),'Country prepositions'!A:B, 2, 0) &amp; "" "" &amp; REGEXEXTRACT(C2846, ""🏘️ \w+ \w+ (.*) ✅"") ,  if(H2846=""quartier"",vlookup(REGEXEXTRACT(C2846, ""🏘️ \w+ \w+ (.*) ✅""),'Quartier prepositio"&amp;"ns'!A:E, 5, 0) ,  if(H2846=""region"",vlookup(REGEXEXTRACT(C2846, ""🏘️ \w+ \w+ (.*) ✅""),'Region prepositions'!B:F, 5, 0),  REGEXEXTRACT(C2846, ""🏘️ \w+ \w+ (.*) ✅""))))"),"Canton d'Uri")</f>
        <v>Canton d'Uri</v>
      </c>
      <c r="F2846" s="2" t="str">
        <f>IFERROR(__xludf.DUMMYFUNCTION("REGEXEXTRACT(C2846, ""🏘️ (\w+) \w+ .* ✅"")"),"Vendre")</f>
        <v>Vendre</v>
      </c>
      <c r="G2846" s="2" t="str">
        <f>IFERROR(__xludf.DUMMYFUNCTION("REGEXEXTRACT(C2846, ""🏘️ \w+ (\w+) .* ✅"")"),"appartement")</f>
        <v>appartement</v>
      </c>
      <c r="H2846" s="4" t="str">
        <f>IFERROR(__xludf.DUMMYFUNCTION("REGEXEXTRACT(A2846, ""/(\w+)-.*?"")"),"canton")</f>
        <v>canton</v>
      </c>
      <c r="I2846" s="4" t="str">
        <f>IFERROR(__xludf.DUMMYFUNCTION("if(D2846=""variant"",  substitute(filter(Templates!E:E, Templates!A:A = F2846, Templates!B:B = G2846, Templates!C:C = H2846), ""{{}}"", E2846), B2846)"),"#N/A")</f>
        <v>#N/A</v>
      </c>
      <c r="J2846" s="4" t="s">
        <v>8534</v>
      </c>
    </row>
    <row r="2847">
      <c r="A2847" s="5" t="s">
        <v>8535</v>
      </c>
      <c r="B2847" s="2" t="s">
        <v>8536</v>
      </c>
      <c r="C2847" s="4" t="str">
        <f>IFERROR(__xludf.DUMMYFUNCTION("""🏘️ ""&amp;REGEXEXTRACT(B2847, ""^(.*): "")&amp;"" ✅ "" &amp;REGEXEXTRACT(B2847, ""(Trouvez.*)"")"),"🏘️ Louer appartement Fontainemelon ✅ Trouvez le bien immobilier qui correspond idéalement à vos désirs sur ImmoScout24 - La plateforme de l'immobilier en Suisse.")</f>
        <v>🏘️ Louer appartement Fontainemelon ✅ Trouvez le bien immobilier qui correspond idéalement à vos désirs sur ImmoScout24 - La plateforme de l'immobilier en Suisse.</v>
      </c>
      <c r="D2847" s="4" t="str">
        <f>vlookup(A2847, Sheet2!D:E, 2, 0)</f>
        <v>variant</v>
      </c>
      <c r="E2847" s="4" t="str">
        <f>IFERROR(__xludf.DUMMYFUNCTION("if(H2847=""pays"",vlookup(REGEXEXTRACT(C2847, ""🏘️ \w+ \w+ (.*) ✅""),'Country prepositions'!A:B, 2, 0) &amp; "" "" &amp; REGEXEXTRACT(C2847, ""🏘️ \w+ \w+ (.*) ✅"") ,  if(H2847=""quartier"",vlookup(REGEXEXTRACT(C2847, ""🏘️ \w+ \w+ (.*) ✅""),'Quartier prepositio"&amp;"ns'!A:E, 5, 0) ,  if(H2847=""region"",vlookup(REGEXEXTRACT(C2847, ""🏘️ \w+ \w+ (.*) ✅""),'Region prepositions'!B:F, 5, 0),  REGEXEXTRACT(C2847, ""🏘️ \w+ \w+ (.*) ✅""))))"),"Fontainemelon")</f>
        <v>Fontainemelon</v>
      </c>
      <c r="F2847" s="2" t="str">
        <f>IFERROR(__xludf.DUMMYFUNCTION("REGEXEXTRACT(C2847, ""🏘️ (\w+) \w+ .* ✅"")"),"Louer")</f>
        <v>Louer</v>
      </c>
      <c r="G2847" s="2" t="str">
        <f>IFERROR(__xludf.DUMMYFUNCTION("REGEXEXTRACT(C2847, ""🏘️ \w+ (\w+) .* ✅"")"),"appartement")</f>
        <v>appartement</v>
      </c>
      <c r="H2847" s="4" t="str">
        <f>IFERROR(__xludf.DUMMYFUNCTION("REGEXEXTRACT(A2847, ""/(\w+)-.*?"")"),"lieu")</f>
        <v>lieu</v>
      </c>
      <c r="I2847" s="4" t="str">
        <f>IFERROR(__xludf.DUMMYFUNCTION("if(D2847=""variant"",  substitute(filter(Templates!E:E, Templates!A:A = F2847, Templates!B:B = G2847, Templates!C:C = H2847), ""{{}}"", E2847), B2847)"),"🏘  Vous cherchez un appartement à louer à Fontainemelon? ✅ Les annonces les plus actuelles sont sur ImmoScout24.ch.")</f>
        <v>🏘  Vous cherchez un appartement à louer à Fontainemelon? ✅ Les annonces les plus actuelles sont sur ImmoScout24.ch.</v>
      </c>
      <c r="J2847" s="4" t="s">
        <v>8537</v>
      </c>
    </row>
    <row r="2848">
      <c r="A2848" s="5" t="s">
        <v>8538</v>
      </c>
      <c r="B2848" s="2" t="s">
        <v>8539</v>
      </c>
      <c r="C2848" s="4" t="str">
        <f>IFERROR(__xludf.DUMMYFUNCTION("""🏘️ ""&amp;REGEXEXTRACT(B2848, ""^(.*): "")&amp;"" ✅ "" &amp;REGEXEXTRACT(B2848, ""(Trouvez.*)"")"),"🏘️ Louer appartement Faoug ✅ Trouvez le bien immobilier qui correspond idéalement à vos désirs sur ImmoScout24 - La plateforme de l'immobilier en Suisse.")</f>
        <v>🏘️ Louer appartement Faoug ✅ Trouvez le bien immobilier qui correspond idéalement à vos désirs sur ImmoScout24 - La plateforme de l'immobilier en Suisse.</v>
      </c>
      <c r="D2848" s="4" t="str">
        <f>vlookup(A2848, Sheet2!D:E, 2, 0)</f>
        <v>variant</v>
      </c>
      <c r="E2848" s="4" t="str">
        <f>IFERROR(__xludf.DUMMYFUNCTION("if(H2848=""pays"",vlookup(REGEXEXTRACT(C2848, ""🏘️ \w+ \w+ (.*) ✅""),'Country prepositions'!A:B, 2, 0) &amp; "" "" &amp; REGEXEXTRACT(C2848, ""🏘️ \w+ \w+ (.*) ✅"") ,  if(H2848=""quartier"",vlookup(REGEXEXTRACT(C2848, ""🏘️ \w+ \w+ (.*) ✅""),'Quartier prepositio"&amp;"ns'!A:E, 5, 0) ,  if(H2848=""region"",vlookup(REGEXEXTRACT(C2848, ""🏘️ \w+ \w+ (.*) ✅""),'Region prepositions'!B:F, 5, 0),  REGEXEXTRACT(C2848, ""🏘️ \w+ \w+ (.*) ✅""))))"),"Faoug")</f>
        <v>Faoug</v>
      </c>
      <c r="F2848" s="2" t="str">
        <f>IFERROR(__xludf.DUMMYFUNCTION("REGEXEXTRACT(C2848, ""🏘️ (\w+) \w+ .* ✅"")"),"Louer")</f>
        <v>Louer</v>
      </c>
      <c r="G2848" s="2" t="str">
        <f>IFERROR(__xludf.DUMMYFUNCTION("REGEXEXTRACT(C2848, ""🏘️ \w+ (\w+) .* ✅"")"),"appartement")</f>
        <v>appartement</v>
      </c>
      <c r="H2848" s="4" t="str">
        <f>IFERROR(__xludf.DUMMYFUNCTION("REGEXEXTRACT(A2848, ""/(\w+)-.*?"")"),"lieu")</f>
        <v>lieu</v>
      </c>
      <c r="I2848" s="4" t="str">
        <f>IFERROR(__xludf.DUMMYFUNCTION("if(D2848=""variant"",  substitute(filter(Templates!E:E, Templates!A:A = F2848, Templates!B:B = G2848, Templates!C:C = H2848), ""{{}}"", E2848), B2848)"),"🏘  Vous cherchez un appartement à louer à Faoug? ✅ Les annonces les plus actuelles sont sur ImmoScout24.ch.")</f>
        <v>🏘  Vous cherchez un appartement à louer à Faoug? ✅ Les annonces les plus actuelles sont sur ImmoScout24.ch.</v>
      </c>
      <c r="J2848" s="4" t="s">
        <v>8540</v>
      </c>
    </row>
    <row r="2849">
      <c r="A2849" s="5" t="s">
        <v>8541</v>
      </c>
      <c r="B2849" s="2" t="s">
        <v>8542</v>
      </c>
      <c r="C2849" s="4" t="str">
        <f>IFERROR(__xludf.DUMMYFUNCTION("""🏘️ ""&amp;REGEXEXTRACT(B2849, ""^(.*): "")&amp;"" ✅ "" &amp;REGEXEXTRACT(B2849, ""(Trouvez.*)"")"),"🏘️ Vendre maison Lauterbrunnen ✅ Trouvez le bien immobilier qui correspond idéalement à vos désirs sur ImmoScout24 - La plateforme de l'immobilier en Suisse.")</f>
        <v>🏘️ Vendre maison Lauterbrunnen ✅ Trouvez le bien immobilier qui correspond idéalement à vos désirs sur ImmoScout24 - La plateforme de l'immobilier en Suisse.</v>
      </c>
      <c r="D2849" s="4" t="str">
        <f>vlookup(A2849, Sheet2!D:E, 2, 0)</f>
        <v>variant</v>
      </c>
      <c r="E2849" s="4" t="str">
        <f>IFERROR(__xludf.DUMMYFUNCTION("if(H2849=""pays"",vlookup(REGEXEXTRACT(C2849, ""🏘️ \w+ \w+ (.*) ✅""),'Country prepositions'!A:B, 2, 0) &amp; "" "" &amp; REGEXEXTRACT(C2849, ""🏘️ \w+ \w+ (.*) ✅"") ,  if(H2849=""quartier"",vlookup(REGEXEXTRACT(C2849, ""🏘️ \w+ \w+ (.*) ✅""),'Quartier prepositio"&amp;"ns'!A:E, 5, 0) ,  if(H2849=""region"",vlookup(REGEXEXTRACT(C2849, ""🏘️ \w+ \w+ (.*) ✅""),'Region prepositions'!B:F, 5, 0),  REGEXEXTRACT(C2849, ""🏘️ \w+ \w+ (.*) ✅""))))"),"Lauterbrunnen")</f>
        <v>Lauterbrunnen</v>
      </c>
      <c r="F2849" s="2" t="str">
        <f>IFERROR(__xludf.DUMMYFUNCTION("REGEXEXTRACT(C2849, ""🏘️ (\w+) \w+ .* ✅"")"),"Vendre")</f>
        <v>Vendre</v>
      </c>
      <c r="G2849" s="2" t="str">
        <f>IFERROR(__xludf.DUMMYFUNCTION("REGEXEXTRACT(C2849, ""🏘️ \w+ (\w+) .* ✅"")"),"maison")</f>
        <v>maison</v>
      </c>
      <c r="H2849" s="4" t="str">
        <f>IFERROR(__xludf.DUMMYFUNCTION("REGEXEXTRACT(A2849, ""/(\w+)-.*?"")"),"lieu")</f>
        <v>lieu</v>
      </c>
      <c r="I2849" s="4" t="str">
        <f>IFERROR(__xludf.DUMMYFUNCTION("if(D2849=""variant"",  substitute(filter(Templates!E:E, Templates!A:A = F2849, Templates!B:B = G2849, Templates!C:C = H2849), ""{{}}"", E2849), B2849)"),"🏘  Vous souhaitez acheter une maison à Lauterbrunnen? ✅ Jetez un œil aux dernières offres sur ImmoScout24.ch.")</f>
        <v>🏘  Vous souhaitez acheter une maison à Lauterbrunnen? ✅ Jetez un œil aux dernières offres sur ImmoScout24.ch.</v>
      </c>
      <c r="J2849" s="4" t="s">
        <v>8543</v>
      </c>
    </row>
    <row r="2850">
      <c r="A2850" s="5" t="s">
        <v>8544</v>
      </c>
      <c r="B2850" s="2" t="s">
        <v>8545</v>
      </c>
      <c r="C2850" s="4" t="str">
        <f>IFERROR(__xludf.DUMMYFUNCTION("""🏘️ ""&amp;REGEXEXTRACT(B2850, ""^(.*): "")&amp;"" ✅ "" &amp;REGEXEXTRACT(B2850, ""(Trouvez.*)"")"),"🏘️ Vendre maison Guttet-Feschel ✅ Trouvez le bien immobilier qui correspond idéalement à vos désirs sur ImmoScout24 - La plateforme de l'immobilier en Suisse.")</f>
        <v>🏘️ Vendre maison Guttet-Feschel ✅ Trouvez le bien immobilier qui correspond idéalement à vos désirs sur ImmoScout24 - La plateforme de l'immobilier en Suisse.</v>
      </c>
      <c r="D2850" s="4" t="str">
        <f>vlookup(A2850, Sheet2!D:E, 2, 0)</f>
        <v>variant</v>
      </c>
      <c r="E2850" s="4" t="str">
        <f>IFERROR(__xludf.DUMMYFUNCTION("if(H2850=""pays"",vlookup(REGEXEXTRACT(C2850, ""🏘️ \w+ \w+ (.*) ✅""),'Country prepositions'!A:B, 2, 0) &amp; "" "" &amp; REGEXEXTRACT(C2850, ""🏘️ \w+ \w+ (.*) ✅"") ,  if(H2850=""quartier"",vlookup(REGEXEXTRACT(C2850, ""🏘️ \w+ \w+ (.*) ✅""),'Quartier prepositio"&amp;"ns'!A:E, 5, 0) ,  if(H2850=""region"",vlookup(REGEXEXTRACT(C2850, ""🏘️ \w+ \w+ (.*) ✅""),'Region prepositions'!B:F, 5, 0),  REGEXEXTRACT(C2850, ""🏘️ \w+ \w+ (.*) ✅""))))"),"Guttet-Feschel")</f>
        <v>Guttet-Feschel</v>
      </c>
      <c r="F2850" s="2" t="str">
        <f>IFERROR(__xludf.DUMMYFUNCTION("REGEXEXTRACT(C2850, ""🏘️ (\w+) \w+ .* ✅"")"),"Vendre")</f>
        <v>Vendre</v>
      </c>
      <c r="G2850" s="2" t="str">
        <f>IFERROR(__xludf.DUMMYFUNCTION("REGEXEXTRACT(C2850, ""🏘️ \w+ (\w+) .* ✅"")"),"maison")</f>
        <v>maison</v>
      </c>
      <c r="H2850" s="4" t="str">
        <f>IFERROR(__xludf.DUMMYFUNCTION("REGEXEXTRACT(A2850, ""/(\w+)-.*?"")"),"lieu")</f>
        <v>lieu</v>
      </c>
      <c r="I2850" s="4" t="str">
        <f>IFERROR(__xludf.DUMMYFUNCTION("if(D2850=""variant"",  substitute(filter(Templates!E:E, Templates!A:A = F2850, Templates!B:B = G2850, Templates!C:C = H2850), ""{{}}"", E2850), B2850)"),"🏘  Vous souhaitez acheter une maison à Guttet-Feschel? ✅ Jetez un œil aux dernières offres sur ImmoScout24.ch.")</f>
        <v>🏘  Vous souhaitez acheter une maison à Guttet-Feschel? ✅ Jetez un œil aux dernières offres sur ImmoScout24.ch.</v>
      </c>
      <c r="J2850" s="4" t="s">
        <v>8546</v>
      </c>
    </row>
    <row r="2851">
      <c r="A2851" s="5" t="s">
        <v>8547</v>
      </c>
      <c r="B2851" s="2" t="s">
        <v>8548</v>
      </c>
      <c r="C2851" s="4" t="str">
        <f>IFERROR(__xludf.DUMMYFUNCTION("""🏘️ ""&amp;REGEXEXTRACT(B2851, ""^(.*): "")&amp;"" ✅ "" &amp;REGEXEXTRACT(B2851, ""(Trouvez.*)"")"),"🏘️ Vendre maison Fontaine Dessous (Liddes) ✅ Trouvez le bien immobilier qui correspond idéalement à vos désirs sur ImmoScout24 - La plateforme de l'immobilier en Suisse.")</f>
        <v>🏘️ Vendre maison Fontaine Dessous (Liddes) ✅ Trouvez le bien immobilier qui correspond idéalement à vos désirs sur ImmoScout24 - La plateforme de l'immobilier en Suisse.</v>
      </c>
      <c r="D2851" s="4" t="str">
        <f>vlookup(A2851, Sheet2!D:E, 2, 0)</f>
        <v>variant</v>
      </c>
      <c r="E2851" s="4" t="str">
        <f>IFERROR(__xludf.DUMMYFUNCTION("if(H2851=""pays"",vlookup(REGEXEXTRACT(C2851, ""🏘️ \w+ \w+ (.*) ✅""),'Country prepositions'!A:B, 2, 0) &amp; "" "" &amp; REGEXEXTRACT(C2851, ""🏘️ \w+ \w+ (.*) ✅"") ,  if(H2851=""quartier"",vlookup(REGEXEXTRACT(C2851, ""🏘️ \w+ \w+ (.*) ✅""),'Quartier prepositio"&amp;"ns'!A:E, 5, 0) ,  if(H2851=""region"",vlookup(REGEXEXTRACT(C2851, ""🏘️ \w+ \w+ (.*) ✅""),'Region prepositions'!B:F, 5, 0),  REGEXEXTRACT(C2851, ""🏘️ \w+ \w+ (.*) ✅""))))"),"Fontaine Dessous (Liddes)")</f>
        <v>Fontaine Dessous (Liddes)</v>
      </c>
      <c r="F2851" s="2" t="str">
        <f>IFERROR(__xludf.DUMMYFUNCTION("REGEXEXTRACT(C2851, ""🏘️ (\w+) \w+ .* ✅"")"),"Vendre")</f>
        <v>Vendre</v>
      </c>
      <c r="G2851" s="2" t="str">
        <f>IFERROR(__xludf.DUMMYFUNCTION("REGEXEXTRACT(C2851, ""🏘️ \w+ (\w+) .* ✅"")"),"maison")</f>
        <v>maison</v>
      </c>
      <c r="H2851" s="4" t="str">
        <f>IFERROR(__xludf.DUMMYFUNCTION("REGEXEXTRACT(A2851, ""/(\w+)-.*?"")"),"lieu")</f>
        <v>lieu</v>
      </c>
      <c r="I2851" s="4" t="str">
        <f>IFERROR(__xludf.DUMMYFUNCTION("if(D2851=""variant"",  substitute(filter(Templates!E:E, Templates!A:A = F2851, Templates!B:B = G2851, Templates!C:C = H2851), ""{{}}"", E2851), B2851)"),"🏘  Vous souhaitez acheter une maison à Fontaine Dessous (Liddes)? ✅ Jetez un œil aux dernières offres sur ImmoScout24.ch.")</f>
        <v>🏘  Vous souhaitez acheter une maison à Fontaine Dessous (Liddes)? ✅ Jetez un œil aux dernières offres sur ImmoScout24.ch.</v>
      </c>
      <c r="J2851" s="4" t="s">
        <v>8549</v>
      </c>
    </row>
    <row r="2852">
      <c r="A2852" s="5" t="s">
        <v>8550</v>
      </c>
      <c r="B2852" s="2" t="s">
        <v>8551</v>
      </c>
      <c r="C2852" s="4" t="str">
        <f>IFERROR(__xludf.DUMMYFUNCTION("""🏘️ ""&amp;REGEXEXTRACT(B2852, ""^(.*): "")&amp;"" ✅ "" &amp;REGEXEXTRACT(B2852, ""(Trouvez.*)"")"),"🏘️ Louer appartement Cassarate (Lugano) ✅ Trouvez le bien immobilier qui correspond idéalement à vos désirs sur ImmoScout24 - La plateforme de l'immobilier en Suisse.")</f>
        <v>🏘️ Louer appartement Cassarate (Lugano) ✅ Trouvez le bien immobilier qui correspond idéalement à vos désirs sur ImmoScout24 - La plateforme de l'immobilier en Suisse.</v>
      </c>
      <c r="D2852" s="4" t="str">
        <f>vlookup(A2852, Sheet2!D:E, 2, 0)</f>
        <v>variant</v>
      </c>
      <c r="E2852" s="4" t="str">
        <f>IFERROR(__xludf.DUMMYFUNCTION("if(H2852=""pays"",vlookup(REGEXEXTRACT(C2852, ""🏘️ \w+ \w+ (.*) ✅""),'Country prepositions'!A:B, 2, 0) &amp; "" "" &amp; REGEXEXTRACT(C2852, ""🏘️ \w+ \w+ (.*) ✅"") ,  if(H2852=""quartier"",vlookup(REGEXEXTRACT(C2852, ""🏘️ \w+ \w+ (.*) ✅""),'Quartier prepositio"&amp;"ns'!A:E, 5, 0) ,  if(H2852=""region"",vlookup(REGEXEXTRACT(C2852, ""🏘️ \w+ \w+ (.*) ✅""),'Region prepositions'!B:F, 5, 0),  REGEXEXTRACT(C2852, ""🏘️ \w+ \w+ (.*) ✅""))))"),"dans le quartier de Cassarate (Lugano)")</f>
        <v>dans le quartier de Cassarate (Lugano)</v>
      </c>
      <c r="F2852" s="2" t="str">
        <f>IFERROR(__xludf.DUMMYFUNCTION("REGEXEXTRACT(C2852, ""🏘️ (\w+) \w+ .* ✅"")"),"Louer")</f>
        <v>Louer</v>
      </c>
      <c r="G2852" s="2" t="str">
        <f>IFERROR(__xludf.DUMMYFUNCTION("REGEXEXTRACT(C2852, ""🏘️ \w+ (\w+) .* ✅"")"),"appartement")</f>
        <v>appartement</v>
      </c>
      <c r="H2852" s="4" t="str">
        <f>IFERROR(__xludf.DUMMYFUNCTION("REGEXEXTRACT(A2852, ""/(\w+)-.*?"")"),"quartier")</f>
        <v>quartier</v>
      </c>
      <c r="I2852" s="4" t="str">
        <f>IFERROR(__xludf.DUMMYFUNCTION("if(D2852=""variant"",  substitute(filter(Templates!E:E, Templates!A:A = F2852, Templates!B:B = G2852, Templates!C:C = H2852), ""{{}}"", E2852), B2852)"),"🏘  Vous cherchez un appartement à louer dans le quartier de Cassarate (Lugano)? ✅ Les annonces les plus actuelles sont sur ImmoScout24.ch.")</f>
        <v>🏘  Vous cherchez un appartement à louer dans le quartier de Cassarate (Lugano)? ✅ Les annonces les plus actuelles sont sur ImmoScout24.ch.</v>
      </c>
      <c r="J2852" s="4" t="s">
        <v>8552</v>
      </c>
    </row>
    <row r="2853">
      <c r="A2853" s="5" t="s">
        <v>8553</v>
      </c>
      <c r="B2853" s="2" t="s">
        <v>8554</v>
      </c>
      <c r="C2853" s="4" t="str">
        <f>IFERROR(__xludf.DUMMYFUNCTION("""🏘️ ""&amp;REGEXEXTRACT(B2853, ""^(.*): "")&amp;"" ✅ "" &amp;REGEXEXTRACT(B2853, ""(Trouvez.*)"")"),"🏘️ Louer appartement Linthebene - See ✅ Trouvez le bien immobilier qui correspond idéalement à vos désirs sur ImmoScout24 - La plateforme de l'immobilier en Suisse.")</f>
        <v>🏘️ Louer appartement Linthebene - See ✅ Trouvez le bien immobilier qui correspond idéalement à vos désirs sur ImmoScout24 - La plateforme de l'immobilier en Suisse.</v>
      </c>
      <c r="D2853" s="4" t="str">
        <f>vlookup(A2853, Sheet2!D:E, 2, 0)</f>
        <v>variant</v>
      </c>
      <c r="E2853" s="4" t="str">
        <f>IFERROR(__xludf.DUMMYFUNCTION("if(H2853=""pays"",vlookup(REGEXEXTRACT(C2853, ""🏘️ \w+ \w+ (.*) ✅""),'Country prepositions'!A:B, 2, 0) &amp; "" "" &amp; REGEXEXTRACT(C2853, ""🏘️ \w+ \w+ (.*) ✅"") ,  if(H2853=""quartier"",vlookup(REGEXEXTRACT(C2853, ""🏘️ \w+ \w+ (.*) ✅""),'Quartier prepositio"&amp;"ns'!A:E, 5, 0) ,  if(H2853=""region"",vlookup(REGEXEXTRACT(C2853, ""🏘️ \w+ \w+ (.*) ✅""),'Region prepositions'!B:F, 5, 0),  REGEXEXTRACT(C2853, ""🏘️ \w+ \w+ (.*) ✅""))))"),"dans la vallée de la Linth")</f>
        <v>dans la vallée de la Linth</v>
      </c>
      <c r="F2853" s="2" t="str">
        <f>IFERROR(__xludf.DUMMYFUNCTION("REGEXEXTRACT(C2853, ""🏘️ (\w+) \w+ .* ✅"")"),"Louer")</f>
        <v>Louer</v>
      </c>
      <c r="G2853" s="2" t="str">
        <f>IFERROR(__xludf.DUMMYFUNCTION("REGEXEXTRACT(C2853, ""🏘️ \w+ (\w+) .* ✅"")"),"appartement")</f>
        <v>appartement</v>
      </c>
      <c r="H2853" s="4" t="str">
        <f>IFERROR(__xludf.DUMMYFUNCTION("REGEXEXTRACT(A2853, ""/(\w+)-.*?"")"),"region")</f>
        <v>region</v>
      </c>
      <c r="I2853" s="4" t="str">
        <f>IFERROR(__xludf.DUMMYFUNCTION("if(D2853=""variant"",  substitute(filter(Templates!E:E, Templates!A:A = F2853, Templates!B:B = G2853, Templates!C:C = H2853), ""{{}}"", E2853), B2853)"),"🏘  Vous cherchez un appartement à louer dans la vallée de la Linth? ✅ Les annonces les plus actuelles sont sur ImmoScout24.ch.")</f>
        <v>🏘  Vous cherchez un appartement à louer dans la vallée de la Linth? ✅ Les annonces les plus actuelles sont sur ImmoScout24.ch.</v>
      </c>
      <c r="J2853" s="4" t="s">
        <v>8555</v>
      </c>
    </row>
    <row r="2854">
      <c r="A2854" s="5" t="s">
        <v>8556</v>
      </c>
      <c r="B2854" s="2" t="s">
        <v>8557</v>
      </c>
      <c r="C2854" s="4" t="str">
        <f>IFERROR(__xludf.DUMMYFUNCTION("""🏘️ ""&amp;REGEXEXTRACT(B2854, ""^(.*): "")&amp;"" ✅ "" &amp;REGEXEXTRACT(B2854, ""(Trouvez.*)"")"),"🏘️ Vendre maison Brienz BE ✅ Trouvez le bien immobilier qui correspond idéalement à vos désirs sur ImmoScout24 - La plateforme de l'immobilier en Suisse.")</f>
        <v>🏘️ Vendre maison Brienz BE ✅ Trouvez le bien immobilier qui correspond idéalement à vos désirs sur ImmoScout24 - La plateforme de l'immobilier en Suisse.</v>
      </c>
      <c r="D2854" s="4" t="str">
        <f>vlookup(A2854, Sheet2!D:E, 2, 0)</f>
        <v>variant</v>
      </c>
      <c r="E2854" s="4" t="str">
        <f>IFERROR(__xludf.DUMMYFUNCTION("if(H2854=""pays"",vlookup(REGEXEXTRACT(C2854, ""🏘️ \w+ \w+ (.*) ✅""),'Country prepositions'!A:B, 2, 0) &amp; "" "" &amp; REGEXEXTRACT(C2854, ""🏘️ \w+ \w+ (.*) ✅"") ,  if(H2854=""quartier"",vlookup(REGEXEXTRACT(C2854, ""🏘️ \w+ \w+ (.*) ✅""),'Quartier prepositio"&amp;"ns'!A:E, 5, 0) ,  if(H2854=""region"",vlookup(REGEXEXTRACT(C2854, ""🏘️ \w+ \w+ (.*) ✅""),'Region prepositions'!B:F, 5, 0),  REGEXEXTRACT(C2854, ""🏘️ \w+ \w+ (.*) ✅""))))"),"Brienz BE")</f>
        <v>Brienz BE</v>
      </c>
      <c r="F2854" s="2" t="str">
        <f>IFERROR(__xludf.DUMMYFUNCTION("REGEXEXTRACT(C2854, ""🏘️ (\w+) \w+ .* ✅"")"),"Vendre")</f>
        <v>Vendre</v>
      </c>
      <c r="G2854" s="2" t="str">
        <f>IFERROR(__xludf.DUMMYFUNCTION("REGEXEXTRACT(C2854, ""🏘️ \w+ (\w+) .* ✅"")"),"maison")</f>
        <v>maison</v>
      </c>
      <c r="H2854" s="4" t="str">
        <f>IFERROR(__xludf.DUMMYFUNCTION("REGEXEXTRACT(A2854, ""/(\w+)-.*?"")"),"lieu")</f>
        <v>lieu</v>
      </c>
      <c r="I2854" s="4" t="str">
        <f>IFERROR(__xludf.DUMMYFUNCTION("if(D2854=""variant"",  substitute(filter(Templates!E:E, Templates!A:A = F2854, Templates!B:B = G2854, Templates!C:C = H2854), ""{{}}"", E2854), B2854)"),"🏘  Vous souhaitez acheter une maison à Brienz BE? ✅ Jetez un œil aux dernières offres sur ImmoScout24.ch.")</f>
        <v>🏘  Vous souhaitez acheter une maison à Brienz BE? ✅ Jetez un œil aux dernières offres sur ImmoScout24.ch.</v>
      </c>
      <c r="J2854" s="4" t="s">
        <v>8558</v>
      </c>
    </row>
    <row r="2855">
      <c r="A2855" s="5" t="s">
        <v>8559</v>
      </c>
      <c r="B2855" s="2" t="s">
        <v>8560</v>
      </c>
      <c r="C2855" s="4" t="str">
        <f>IFERROR(__xludf.DUMMYFUNCTION("""🏘️ ""&amp;REGEXEXTRACT(B2855, ""^(.*): "")&amp;"" ✅ "" &amp;REGEXEXTRACT(B2855, ""(Trouvez.*)"")"),"🏘️ Vendre appartement Unterstrass (Zurich) ✅ Trouvez le bien immobilier qui correspond idéalement à vos désirs sur ImmoScout24 - La plateforme de l'immobilier en Suisse.")</f>
        <v>🏘️ Vendre appartement Unterstrass (Zurich) ✅ Trouvez le bien immobilier qui correspond idéalement à vos désirs sur ImmoScout24 - La plateforme de l'immobilier en Suisse.</v>
      </c>
      <c r="D2855" s="4" t="str">
        <f>vlookup(A2855, Sheet2!D:E, 2, 0)</f>
        <v>variant</v>
      </c>
      <c r="E2855" s="4" t="str">
        <f>IFERROR(__xludf.DUMMYFUNCTION("if(H2855=""pays"",vlookup(REGEXEXTRACT(C2855, ""🏘️ \w+ \w+ (.*) ✅""),'Country prepositions'!A:B, 2, 0) &amp; "" "" &amp; REGEXEXTRACT(C2855, ""🏘️ \w+ \w+ (.*) ✅"") ,  if(H2855=""quartier"",vlookup(REGEXEXTRACT(C2855, ""🏘️ \w+ \w+ (.*) ✅""),'Quartier prepositio"&amp;"ns'!A:E, 5, 0) ,  if(H2855=""region"",vlookup(REGEXEXTRACT(C2855, ""🏘️ \w+ \w+ (.*) ✅""),'Region prepositions'!B:F, 5, 0),  REGEXEXTRACT(C2855, ""🏘️ \w+ \w+ (.*) ✅""))))"),"dans le quartier d'Unterstrass (Zurich)")</f>
        <v>dans le quartier d'Unterstrass (Zurich)</v>
      </c>
      <c r="F2855" s="2" t="str">
        <f>IFERROR(__xludf.DUMMYFUNCTION("REGEXEXTRACT(C2855, ""🏘️ (\w+) \w+ .* ✅"")"),"Vendre")</f>
        <v>Vendre</v>
      </c>
      <c r="G2855" s="2" t="str">
        <f>IFERROR(__xludf.DUMMYFUNCTION("REGEXEXTRACT(C2855, ""🏘️ \w+ (\w+) .* ✅"")"),"appartement")</f>
        <v>appartement</v>
      </c>
      <c r="H2855" s="4" t="str">
        <f>IFERROR(__xludf.DUMMYFUNCTION("REGEXEXTRACT(A2855, ""/(\w+)-.*?"")"),"quartier")</f>
        <v>quartier</v>
      </c>
      <c r="I2855" s="4" t="str">
        <f>IFERROR(__xludf.DUMMYFUNCTION("if(D2855=""variant"",  substitute(filter(Templates!E:E, Templates!A:A = F2855, Templates!B:B = G2855, Templates!C:C = H2855), ""{{}}"", E2855), B2855)"),"🏘  L’appartement de vos rêves se trouve sur ImmoScout24.ch ✅ Découvrez les dernières annonces de vente dans le quartier d'Unterstrass (Zurich).")</f>
        <v>🏘  L’appartement de vos rêves se trouve sur ImmoScout24.ch ✅ Découvrez les dernières annonces de vente dans le quartier d'Unterstrass (Zurich).</v>
      </c>
      <c r="J2855" s="4" t="s">
        <v>8561</v>
      </c>
    </row>
    <row r="2856">
      <c r="A2856" s="5" t="s">
        <v>8562</v>
      </c>
      <c r="B2856" s="2" t="s">
        <v>8563</v>
      </c>
      <c r="C2856" s="4" t="str">
        <f>IFERROR(__xludf.DUMMYFUNCTION("""🏘️ ""&amp;REGEXEXTRACT(B2856, ""^(.*): "")&amp;"" ✅ "" &amp;REGEXEXTRACT(B2856, ""(Trouvez.*)"")"),"🏘️ Vendre maison Bourguillon ✅ Trouvez le bien immobilier qui correspond idéalement à vos désirs sur ImmoScout24 - La plateforme de l'immobilier en Suisse.")</f>
        <v>🏘️ Vendre maison Bourguillon ✅ Trouvez le bien immobilier qui correspond idéalement à vos désirs sur ImmoScout24 - La plateforme de l'immobilier en Suisse.</v>
      </c>
      <c r="D2856" s="4" t="str">
        <f>vlookup(A2856, Sheet2!D:E, 2, 0)</f>
        <v>variant</v>
      </c>
      <c r="E2856" s="4" t="str">
        <f>IFERROR(__xludf.DUMMYFUNCTION("if(H2856=""pays"",vlookup(REGEXEXTRACT(C2856, ""🏘️ \w+ \w+ (.*) ✅""),'Country prepositions'!A:B, 2, 0) &amp; "" "" &amp; REGEXEXTRACT(C2856, ""🏘️ \w+ \w+ (.*) ✅"") ,  if(H2856=""quartier"",vlookup(REGEXEXTRACT(C2856, ""🏘️ \w+ \w+ (.*) ✅""),'Quartier prepositio"&amp;"ns'!A:E, 5, 0) ,  if(H2856=""region"",vlookup(REGEXEXTRACT(C2856, ""🏘️ \w+ \w+ (.*) ✅""),'Region prepositions'!B:F, 5, 0),  REGEXEXTRACT(C2856, ""🏘️ \w+ \w+ (.*) ✅""))))"),"Bourguillon")</f>
        <v>Bourguillon</v>
      </c>
      <c r="F2856" s="2" t="str">
        <f>IFERROR(__xludf.DUMMYFUNCTION("REGEXEXTRACT(C2856, ""🏘️ (\w+) \w+ .* ✅"")"),"Vendre")</f>
        <v>Vendre</v>
      </c>
      <c r="G2856" s="2" t="str">
        <f>IFERROR(__xludf.DUMMYFUNCTION("REGEXEXTRACT(C2856, ""🏘️ \w+ (\w+) .* ✅"")"),"maison")</f>
        <v>maison</v>
      </c>
      <c r="H2856" s="4" t="str">
        <f>IFERROR(__xludf.DUMMYFUNCTION("REGEXEXTRACT(A2856, ""/(\w+)-.*?"")"),"lieu")</f>
        <v>lieu</v>
      </c>
      <c r="I2856" s="4" t="str">
        <f>IFERROR(__xludf.DUMMYFUNCTION("if(D2856=""variant"",  substitute(filter(Templates!E:E, Templates!A:A = F2856, Templates!B:B = G2856, Templates!C:C = H2856), ""{{}}"", E2856), B2856)"),"🏘  Vous souhaitez acheter une maison à Bourguillon? ✅ Jetez un œil aux dernières offres sur ImmoScout24.ch.")</f>
        <v>🏘  Vous souhaitez acheter une maison à Bourguillon? ✅ Jetez un œil aux dernières offres sur ImmoScout24.ch.</v>
      </c>
      <c r="J2856" s="4" t="s">
        <v>8564</v>
      </c>
    </row>
    <row r="2857">
      <c r="A2857" s="5" t="s">
        <v>8565</v>
      </c>
      <c r="B2857" s="2" t="s">
        <v>8566</v>
      </c>
      <c r="C2857" s="4" t="str">
        <f>IFERROR(__xludf.DUMMYFUNCTION("""🏘️ ""&amp;REGEXEXTRACT(B2857, ""^(.*): "")&amp;"" ✅ "" &amp;REGEXEXTRACT(B2857, ""(Trouvez.*)"")"),"🏘️ Louer maison Bellach ✅ Trouvez le bien immobilier qui correspond idéalement à vos désirs sur ImmoScout24 - La plateforme de l'immobilier en Suisse.")</f>
        <v>🏘️ Louer maison Bellach ✅ Trouvez le bien immobilier qui correspond idéalement à vos désirs sur ImmoScout24 - La plateforme de l'immobilier en Suisse.</v>
      </c>
      <c r="D2857" s="4" t="str">
        <f>vlookup(A2857, Sheet2!D:E, 2, 0)</f>
        <v>variant</v>
      </c>
      <c r="E2857" s="4" t="str">
        <f>IFERROR(__xludf.DUMMYFUNCTION("if(H2857=""pays"",vlookup(REGEXEXTRACT(C2857, ""🏘️ \w+ \w+ (.*) ✅""),'Country prepositions'!A:B, 2, 0) &amp; "" "" &amp; REGEXEXTRACT(C2857, ""🏘️ \w+ \w+ (.*) ✅"") ,  if(H2857=""quartier"",vlookup(REGEXEXTRACT(C2857, ""🏘️ \w+ \w+ (.*) ✅""),'Quartier prepositio"&amp;"ns'!A:E, 5, 0) ,  if(H2857=""region"",vlookup(REGEXEXTRACT(C2857, ""🏘️ \w+ \w+ (.*) ✅""),'Region prepositions'!B:F, 5, 0),  REGEXEXTRACT(C2857, ""🏘️ \w+ \w+ (.*) ✅""))))"),"Bellach")</f>
        <v>Bellach</v>
      </c>
      <c r="F2857" s="2" t="str">
        <f>IFERROR(__xludf.DUMMYFUNCTION("REGEXEXTRACT(C2857, ""🏘️ (\w+) \w+ .* ✅"")"),"Louer")</f>
        <v>Louer</v>
      </c>
      <c r="G2857" s="2" t="str">
        <f>IFERROR(__xludf.DUMMYFUNCTION("REGEXEXTRACT(C2857, ""🏘️ \w+ (\w+) .* ✅"")"),"maison")</f>
        <v>maison</v>
      </c>
      <c r="H2857" s="4" t="str">
        <f>IFERROR(__xludf.DUMMYFUNCTION("REGEXEXTRACT(A2857, ""/(\w+)-.*?"")"),"lieu")</f>
        <v>lieu</v>
      </c>
      <c r="I2857" s="4" t="str">
        <f>IFERROR(__xludf.DUMMYFUNCTION("if(D2857=""variant"",  substitute(filter(Templates!E:E, Templates!A:A = F2857, Templates!B:B = G2857, Templates!C:C = H2857), ""{{}}"", E2857), B2857)"),"🏘  Vous cherchez une maison à louer à Bellach? ✅ Découvrez nos nombreuses annonces sur ImmoScout24.ch.")</f>
        <v>🏘  Vous cherchez une maison à louer à Bellach? ✅ Découvrez nos nombreuses annonces sur ImmoScout24.ch.</v>
      </c>
      <c r="J2857" s="4" t="s">
        <v>8567</v>
      </c>
    </row>
    <row r="2858">
      <c r="A2858" s="5" t="s">
        <v>8568</v>
      </c>
      <c r="B2858" s="2" t="s">
        <v>8569</v>
      </c>
      <c r="C2858" s="4" t="str">
        <f>IFERROR(__xludf.DUMMYFUNCTION("""🏘️ ""&amp;REGEXEXTRACT(B2858, ""^(.*): "")&amp;"" ✅ "" &amp;REGEXEXTRACT(B2858, ""(Trouvez.*)"")"),"🏘️ Vendre maison Saignelégier ✅ Trouvez le bien immobilier qui correspond idéalement à vos désirs sur ImmoScout24 - La plateforme de l'immobilier en Suisse.")</f>
        <v>🏘️ Vendre maison Saignelégier ✅ Trouvez le bien immobilier qui correspond idéalement à vos désirs sur ImmoScout24 - La plateforme de l'immobilier en Suisse.</v>
      </c>
      <c r="D2858" s="4" t="str">
        <f>vlookup(A2858, Sheet2!D:E, 2, 0)</f>
        <v>variant</v>
      </c>
      <c r="E2858" s="4" t="str">
        <f>IFERROR(__xludf.DUMMYFUNCTION("if(H2858=""pays"",vlookup(REGEXEXTRACT(C2858, ""🏘️ \w+ \w+ (.*) ✅""),'Country prepositions'!A:B, 2, 0) &amp; "" "" &amp; REGEXEXTRACT(C2858, ""🏘️ \w+ \w+ (.*) ✅"") ,  if(H2858=""quartier"",vlookup(REGEXEXTRACT(C2858, ""🏘️ \w+ \w+ (.*) ✅""),'Quartier prepositio"&amp;"ns'!A:E, 5, 0) ,  if(H2858=""region"",vlookup(REGEXEXTRACT(C2858, ""🏘️ \w+ \w+ (.*) ✅""),'Region prepositions'!B:F, 5, 0),  REGEXEXTRACT(C2858, ""🏘️ \w+ \w+ (.*) ✅""))))"),"Saignelégier")</f>
        <v>Saignelégier</v>
      </c>
      <c r="F2858" s="2" t="str">
        <f>IFERROR(__xludf.DUMMYFUNCTION("REGEXEXTRACT(C2858, ""🏘️ (\w+) \w+ .* ✅"")"),"Vendre")</f>
        <v>Vendre</v>
      </c>
      <c r="G2858" s="2" t="str">
        <f>IFERROR(__xludf.DUMMYFUNCTION("REGEXEXTRACT(C2858, ""🏘️ \w+ (\w+) .* ✅"")"),"maison")</f>
        <v>maison</v>
      </c>
      <c r="H2858" s="4" t="str">
        <f>IFERROR(__xludf.DUMMYFUNCTION("REGEXEXTRACT(A2858, ""/(\w+)-.*?"")"),"lieu")</f>
        <v>lieu</v>
      </c>
      <c r="I2858" s="4" t="str">
        <f>IFERROR(__xludf.DUMMYFUNCTION("if(D2858=""variant"",  substitute(filter(Templates!E:E, Templates!A:A = F2858, Templates!B:B = G2858, Templates!C:C = H2858), ""{{}}"", E2858), B2858)"),"🏘  Vous souhaitez acheter une maison à Saignelégier? ✅ Jetez un œil aux dernières offres sur ImmoScout24.ch.")</f>
        <v>🏘  Vous souhaitez acheter une maison à Saignelégier? ✅ Jetez un œil aux dernières offres sur ImmoScout24.ch.</v>
      </c>
      <c r="J2858" s="4" t="s">
        <v>8570</v>
      </c>
    </row>
    <row r="2859">
      <c r="A2859" s="5" t="s">
        <v>8571</v>
      </c>
      <c r="B2859" s="2" t="s">
        <v>8572</v>
      </c>
      <c r="C2859" s="4" t="str">
        <f>IFERROR(__xludf.DUMMYFUNCTION("""🏘️ ""&amp;REGEXEXTRACT(B2859, ""^(.*): "")&amp;"" ✅ "" &amp;REGEXEXTRACT(B2859, ""(Trouvez.*)"")"),"🏘️ Louer maison Colombier NE ✅ Trouvez le bien immobilier qui correspond idéalement à vos désirs sur ImmoScout24 - La plateforme de l'immobilier en Suisse.")</f>
        <v>🏘️ Louer maison Colombier NE ✅ Trouvez le bien immobilier qui correspond idéalement à vos désirs sur ImmoScout24 - La plateforme de l'immobilier en Suisse.</v>
      </c>
      <c r="D2859" s="4" t="str">
        <f>vlookup(A2859, Sheet2!D:E, 2, 0)</f>
        <v>variant</v>
      </c>
      <c r="E2859" s="4" t="str">
        <f>IFERROR(__xludf.DUMMYFUNCTION("if(H2859=""pays"",vlookup(REGEXEXTRACT(C2859, ""🏘️ \w+ \w+ (.*) ✅""),'Country prepositions'!A:B, 2, 0) &amp; "" "" &amp; REGEXEXTRACT(C2859, ""🏘️ \w+ \w+ (.*) ✅"") ,  if(H2859=""quartier"",vlookup(REGEXEXTRACT(C2859, ""🏘️ \w+ \w+ (.*) ✅""),'Quartier prepositio"&amp;"ns'!A:E, 5, 0) ,  if(H2859=""region"",vlookup(REGEXEXTRACT(C2859, ""🏘️ \w+ \w+ (.*) ✅""),'Region prepositions'!B:F, 5, 0),  REGEXEXTRACT(C2859, ""🏘️ \w+ \w+ (.*) ✅""))))"),"Colombier NE")</f>
        <v>Colombier NE</v>
      </c>
      <c r="F2859" s="2" t="str">
        <f>IFERROR(__xludf.DUMMYFUNCTION("REGEXEXTRACT(C2859, ""🏘️ (\w+) \w+ .* ✅"")"),"Louer")</f>
        <v>Louer</v>
      </c>
      <c r="G2859" s="2" t="str">
        <f>IFERROR(__xludf.DUMMYFUNCTION("REGEXEXTRACT(C2859, ""🏘️ \w+ (\w+) .* ✅"")"),"maison")</f>
        <v>maison</v>
      </c>
      <c r="H2859" s="4" t="str">
        <f>IFERROR(__xludf.DUMMYFUNCTION("REGEXEXTRACT(A2859, ""/(\w+)-.*?"")"),"lieu")</f>
        <v>lieu</v>
      </c>
      <c r="I2859" s="4" t="str">
        <f>IFERROR(__xludf.DUMMYFUNCTION("if(D2859=""variant"",  substitute(filter(Templates!E:E, Templates!A:A = F2859, Templates!B:B = G2859, Templates!C:C = H2859), ""{{}}"", E2859), B2859)"),"🏘  Vous cherchez une maison à louer à Colombier NE? ✅ Découvrez nos nombreuses annonces sur ImmoScout24.ch.")</f>
        <v>🏘  Vous cherchez une maison à louer à Colombier NE? ✅ Découvrez nos nombreuses annonces sur ImmoScout24.ch.</v>
      </c>
      <c r="J2859" s="4" t="s">
        <v>8573</v>
      </c>
    </row>
    <row r="2860">
      <c r="A2860" s="5" t="s">
        <v>8574</v>
      </c>
      <c r="B2860" s="2" t="s">
        <v>8575</v>
      </c>
      <c r="C2860" s="4" t="str">
        <f>IFERROR(__xludf.DUMMYFUNCTION("""🏘️ ""&amp;REGEXEXTRACT(B2860, ""^(.*): "")&amp;"" ✅ "" &amp;REGEXEXTRACT(B2860, ""(Trouvez.*)"")"),"🏘️ Vendre appartement Ennetbürgen ✅ Trouvez le bien immobilier qui correspond idéalement à vos désirs sur ImmoScout24 - La plateforme de l'immobilier en Suisse.")</f>
        <v>🏘️ Vendre appartement Ennetbürgen ✅ Trouvez le bien immobilier qui correspond idéalement à vos désirs sur ImmoScout24 - La plateforme de l'immobilier en Suisse.</v>
      </c>
      <c r="D2860" s="4" t="str">
        <f>vlookup(A2860, Sheet2!D:E, 2, 0)</f>
        <v>variant</v>
      </c>
      <c r="E2860" s="4" t="str">
        <f>IFERROR(__xludf.DUMMYFUNCTION("if(H2860=""pays"",vlookup(REGEXEXTRACT(C2860, ""🏘️ \w+ \w+ (.*) ✅""),'Country prepositions'!A:B, 2, 0) &amp; "" "" &amp; REGEXEXTRACT(C2860, ""🏘️ \w+ \w+ (.*) ✅"") ,  if(H2860=""quartier"",vlookup(REGEXEXTRACT(C2860, ""🏘️ \w+ \w+ (.*) ✅""),'Quartier prepositio"&amp;"ns'!A:E, 5, 0) ,  if(H2860=""region"",vlookup(REGEXEXTRACT(C2860, ""🏘️ \w+ \w+ (.*) ✅""),'Region prepositions'!B:F, 5, 0),  REGEXEXTRACT(C2860, ""🏘️ \w+ \w+ (.*) ✅""))))"),"Ennetbürgen")</f>
        <v>Ennetbürgen</v>
      </c>
      <c r="F2860" s="2" t="str">
        <f>IFERROR(__xludf.DUMMYFUNCTION("REGEXEXTRACT(C2860, ""🏘️ (\w+) \w+ .* ✅"")"),"Vendre")</f>
        <v>Vendre</v>
      </c>
      <c r="G2860" s="2" t="str">
        <f>IFERROR(__xludf.DUMMYFUNCTION("REGEXEXTRACT(C2860, ""🏘️ \w+ (\w+) .* ✅"")"),"appartement")</f>
        <v>appartement</v>
      </c>
      <c r="H2860" s="4" t="str">
        <f>IFERROR(__xludf.DUMMYFUNCTION("REGEXEXTRACT(A2860, ""/(\w+)-.*?"")"),"lieu")</f>
        <v>lieu</v>
      </c>
      <c r="I2860" s="4" t="str">
        <f>IFERROR(__xludf.DUMMYFUNCTION("if(D2860=""variant"",  substitute(filter(Templates!E:E, Templates!A:A = F2860, Templates!B:B = G2860, Templates!C:C = H2860), ""{{}}"", E2860), B2860)"),"🏘  L’appartement de vos rêves se trouve sur ImmoScout24.ch ✅ Découvrez les dernières annonces de vente à Ennetbürgen.")</f>
        <v>🏘  L’appartement de vos rêves se trouve sur ImmoScout24.ch ✅ Découvrez les dernières annonces de vente à Ennetbürgen.</v>
      </c>
      <c r="J2860" s="4" t="s">
        <v>8576</v>
      </c>
    </row>
    <row r="2861">
      <c r="A2861" s="5" t="s">
        <v>8577</v>
      </c>
      <c r="B2861" s="2" t="s">
        <v>8578</v>
      </c>
      <c r="C2861" s="4" t="str">
        <f>IFERROR(__xludf.DUMMYFUNCTION("""🏘️ ""&amp;REGEXEXTRACT(B2861, ""^(.*): "")&amp;"" ✅ "" &amp;REGEXEXTRACT(B2861, ""(Trouvez.*)"")"),"🏘️ Louer appartement Couvet ✅ Trouvez le bien immobilier qui correspond idéalement à vos désirs sur ImmoScout24 - La plateforme de l'immobilier en Suisse.")</f>
        <v>🏘️ Louer appartement Couvet ✅ Trouvez le bien immobilier qui correspond idéalement à vos désirs sur ImmoScout24 - La plateforme de l'immobilier en Suisse.</v>
      </c>
      <c r="D2861" s="4" t="str">
        <f>vlookup(A2861, Sheet2!D:E, 2, 0)</f>
        <v>variant</v>
      </c>
      <c r="E2861" s="4" t="str">
        <f>IFERROR(__xludf.DUMMYFUNCTION("if(H2861=""pays"",vlookup(REGEXEXTRACT(C2861, ""🏘️ \w+ \w+ (.*) ✅""),'Country prepositions'!A:B, 2, 0) &amp; "" "" &amp; REGEXEXTRACT(C2861, ""🏘️ \w+ \w+ (.*) ✅"") ,  if(H2861=""quartier"",vlookup(REGEXEXTRACT(C2861, ""🏘️ \w+ \w+ (.*) ✅""),'Quartier prepositio"&amp;"ns'!A:E, 5, 0) ,  if(H2861=""region"",vlookup(REGEXEXTRACT(C2861, ""🏘️ \w+ \w+ (.*) ✅""),'Region prepositions'!B:F, 5, 0),  REGEXEXTRACT(C2861, ""🏘️ \w+ \w+ (.*) ✅""))))"),"Couvet")</f>
        <v>Couvet</v>
      </c>
      <c r="F2861" s="2" t="str">
        <f>IFERROR(__xludf.DUMMYFUNCTION("REGEXEXTRACT(C2861, ""🏘️ (\w+) \w+ .* ✅"")"),"Louer")</f>
        <v>Louer</v>
      </c>
      <c r="G2861" s="2" t="str">
        <f>IFERROR(__xludf.DUMMYFUNCTION("REGEXEXTRACT(C2861, ""🏘️ \w+ (\w+) .* ✅"")"),"appartement")</f>
        <v>appartement</v>
      </c>
      <c r="H2861" s="4" t="str">
        <f>IFERROR(__xludf.DUMMYFUNCTION("REGEXEXTRACT(A2861, ""/(\w+)-.*?"")"),"lieu")</f>
        <v>lieu</v>
      </c>
      <c r="I2861" s="4" t="str">
        <f>IFERROR(__xludf.DUMMYFUNCTION("if(D2861=""variant"",  substitute(filter(Templates!E:E, Templates!A:A = F2861, Templates!B:B = G2861, Templates!C:C = H2861), ""{{}}"", E2861), B2861)"),"🏘  Vous cherchez un appartement à louer à Couvet? ✅ Les annonces les plus actuelles sont sur ImmoScout24.ch.")</f>
        <v>🏘  Vous cherchez un appartement à louer à Couvet? ✅ Les annonces les plus actuelles sont sur ImmoScout24.ch.</v>
      </c>
      <c r="J2861" s="4" t="s">
        <v>8579</v>
      </c>
    </row>
    <row r="2862">
      <c r="A2862" s="5" t="s">
        <v>8580</v>
      </c>
      <c r="B2862" s="2" t="s">
        <v>8581</v>
      </c>
      <c r="C2862" s="4" t="str">
        <f>IFERROR(__xludf.DUMMYFUNCTION("""🏘️ ""&amp;REGEXEXTRACT(B2862, ""^(.*): "")&amp;"" ✅ "" &amp;REGEXEXTRACT(B2862, ""(Trouvez.*)"")"),"🏘️ Louer appartement Brig ✅ Trouvez le bien immobilier qui correspond idéalement à vos désirs sur ImmoScout24 - La plateforme de l'immobilier en Suisse.")</f>
        <v>🏘️ Louer appartement Brig ✅ Trouvez le bien immobilier qui correspond idéalement à vos désirs sur ImmoScout24 - La plateforme de l'immobilier en Suisse.</v>
      </c>
      <c r="D2862" s="4" t="str">
        <f>vlookup(A2862, Sheet2!D:E, 2, 0)</f>
        <v>variant</v>
      </c>
      <c r="E2862" s="4" t="str">
        <f>IFERROR(__xludf.DUMMYFUNCTION("if(H2862=""pays"",vlookup(REGEXEXTRACT(C2862, ""🏘️ \w+ \w+ (.*) ✅""),'Country prepositions'!A:B, 2, 0) &amp; "" "" &amp; REGEXEXTRACT(C2862, ""🏘️ \w+ \w+ (.*) ✅"") ,  if(H2862=""quartier"",vlookup(REGEXEXTRACT(C2862, ""🏘️ \w+ \w+ (.*) ✅""),'Quartier prepositio"&amp;"ns'!A:E, 5, 0) ,  if(H2862=""region"",vlookup(REGEXEXTRACT(C2862, ""🏘️ \w+ \w+ (.*) ✅""),'Region prepositions'!B:F, 5, 0),  REGEXEXTRACT(C2862, ""🏘️ \w+ \w+ (.*) ✅""))))"),"Brig")</f>
        <v>Brig</v>
      </c>
      <c r="F2862" s="2" t="str">
        <f>IFERROR(__xludf.DUMMYFUNCTION("REGEXEXTRACT(C2862, ""🏘️ (\w+) \w+ .* ✅"")"),"Louer")</f>
        <v>Louer</v>
      </c>
      <c r="G2862" s="2" t="str">
        <f>IFERROR(__xludf.DUMMYFUNCTION("REGEXEXTRACT(C2862, ""🏘️ \w+ (\w+) .* ✅"")"),"appartement")</f>
        <v>appartement</v>
      </c>
      <c r="H2862" s="4" t="str">
        <f>IFERROR(__xludf.DUMMYFUNCTION("REGEXEXTRACT(A2862, ""/(\w+)-.*?"")"),"lieu")</f>
        <v>lieu</v>
      </c>
      <c r="I2862" s="4" t="str">
        <f>IFERROR(__xludf.DUMMYFUNCTION("if(D2862=""variant"",  substitute(filter(Templates!E:E, Templates!A:A = F2862, Templates!B:B = G2862, Templates!C:C = H2862), ""{{}}"", E2862), B2862)"),"🏘  Vous cherchez un appartement à louer à Brig? ✅ Les annonces les plus actuelles sont sur ImmoScout24.ch.")</f>
        <v>🏘  Vous cherchez un appartement à louer à Brig? ✅ Les annonces les plus actuelles sont sur ImmoScout24.ch.</v>
      </c>
      <c r="J2862" s="4" t="s">
        <v>8582</v>
      </c>
    </row>
    <row r="2863">
      <c r="A2863" s="5" t="s">
        <v>8583</v>
      </c>
      <c r="B2863" s="2" t="s">
        <v>8584</v>
      </c>
      <c r="C2863" s="4" t="str">
        <f>IFERROR(__xludf.DUMMYFUNCTION("""🏘️ ""&amp;REGEXEXTRACT(B2863, ""^(.*): "")&amp;"" ✅ "" &amp;REGEXEXTRACT(B2863, ""(Trouvez.*)"")"),"🏘️ Vendre appartement Samnaun-Compatsch ✅ Trouvez le bien immobilier qui correspond idéalement à vos désirs sur ImmoScout24 - La plateforme de l'immobilier en Suisse.")</f>
        <v>🏘️ Vendre appartement Samnaun-Compatsch ✅ Trouvez le bien immobilier qui correspond idéalement à vos désirs sur ImmoScout24 - La plateforme de l'immobilier en Suisse.</v>
      </c>
      <c r="D2863" s="4" t="str">
        <f>vlookup(A2863, Sheet2!D:E, 2, 0)</f>
        <v>variant</v>
      </c>
      <c r="E2863" s="4" t="str">
        <f>IFERROR(__xludf.DUMMYFUNCTION("if(H2863=""pays"",vlookup(REGEXEXTRACT(C2863, ""🏘️ \w+ \w+ (.*) ✅""),'Country prepositions'!A:B, 2, 0) &amp; "" "" &amp; REGEXEXTRACT(C2863, ""🏘️ \w+ \w+ (.*) ✅"") ,  if(H2863=""quartier"",vlookup(REGEXEXTRACT(C2863, ""🏘️ \w+ \w+ (.*) ✅""),'Quartier prepositio"&amp;"ns'!A:E, 5, 0) ,  if(H2863=""region"",vlookup(REGEXEXTRACT(C2863, ""🏘️ \w+ \w+ (.*) ✅""),'Region prepositions'!B:F, 5, 0),  REGEXEXTRACT(C2863, ""🏘️ \w+ \w+ (.*) ✅""))))"),"Samnaun-Compatsch")</f>
        <v>Samnaun-Compatsch</v>
      </c>
      <c r="F2863" s="2" t="str">
        <f>IFERROR(__xludf.DUMMYFUNCTION("REGEXEXTRACT(C2863, ""🏘️ (\w+) \w+ .* ✅"")"),"Vendre")</f>
        <v>Vendre</v>
      </c>
      <c r="G2863" s="2" t="str">
        <f>IFERROR(__xludf.DUMMYFUNCTION("REGEXEXTRACT(C2863, ""🏘️ \w+ (\w+) .* ✅"")"),"appartement")</f>
        <v>appartement</v>
      </c>
      <c r="H2863" s="4" t="str">
        <f>IFERROR(__xludf.DUMMYFUNCTION("REGEXEXTRACT(A2863, ""/(\w+)-.*?"")"),"lieu")</f>
        <v>lieu</v>
      </c>
      <c r="I2863" s="4" t="str">
        <f>IFERROR(__xludf.DUMMYFUNCTION("if(D2863=""variant"",  substitute(filter(Templates!E:E, Templates!A:A = F2863, Templates!B:B = G2863, Templates!C:C = H2863), ""{{}}"", E2863), B2863)"),"🏘  L’appartement de vos rêves se trouve sur ImmoScout24.ch ✅ Découvrez les dernières annonces de vente à Samnaun-Compatsch.")</f>
        <v>🏘  L’appartement de vos rêves se trouve sur ImmoScout24.ch ✅ Découvrez les dernières annonces de vente à Samnaun-Compatsch.</v>
      </c>
      <c r="J2863" s="4" t="s">
        <v>8585</v>
      </c>
    </row>
    <row r="2864">
      <c r="A2864" s="5" t="s">
        <v>8586</v>
      </c>
      <c r="B2864" s="2" t="s">
        <v>8587</v>
      </c>
      <c r="C2864" s="4" t="str">
        <f>IFERROR(__xludf.DUMMYFUNCTION("""🏘️ ""&amp;REGEXEXTRACT(B2864, ""^(.*): "")&amp;"" ✅ "" &amp;REGEXEXTRACT(B2864, ""(Trouvez.*)"")"),"🏘️ Vendre maison Italie ✅ Trouvez le bien immobilier qui correspond idéalement à vos désirs sur ImmoScout24 - La plateforme de l'immobilier en Suisse.")</f>
        <v>🏘️ Vendre maison Italie ✅ Trouvez le bien immobilier qui correspond idéalement à vos désirs sur ImmoScout24 - La plateforme de l'immobilier en Suisse.</v>
      </c>
      <c r="D2864" s="4" t="str">
        <f>vlookup(A2864, Sheet2!D:E, 2, 0)</f>
        <v>variant</v>
      </c>
      <c r="E2864" s="4" t="str">
        <f>IFERROR(__xludf.DUMMYFUNCTION("if(H2864=""pays"",vlookup(REGEXEXTRACT(C2864, ""🏘️ \w+ \w+ (.*) ✅""),'Country prepositions'!A:B, 2, 0) &amp; "" "" &amp; REGEXEXTRACT(C2864, ""🏘️ \w+ \w+ (.*) ✅"") ,  if(H2864=""quartier"",vlookup(REGEXEXTRACT(C2864, ""🏘️ \w+ \w+ (.*) ✅""),'Quartier prepositio"&amp;"ns'!A:E, 5, 0) ,  if(H2864=""region"",vlookup(REGEXEXTRACT(C2864, ""🏘️ \w+ \w+ (.*) ✅""),'Region prepositions'!B:F, 5, 0),  REGEXEXTRACT(C2864, ""🏘️ \w+ \w+ (.*) ✅""))))"),"en Italie")</f>
        <v>en Italie</v>
      </c>
      <c r="F2864" s="2" t="str">
        <f>IFERROR(__xludf.DUMMYFUNCTION("REGEXEXTRACT(C2864, ""🏘️ (\w+) \w+ .* ✅"")"),"Vendre")</f>
        <v>Vendre</v>
      </c>
      <c r="G2864" s="2" t="str">
        <f>IFERROR(__xludf.DUMMYFUNCTION("REGEXEXTRACT(C2864, ""🏘️ \w+ (\w+) .* ✅"")"),"maison")</f>
        <v>maison</v>
      </c>
      <c r="H2864" s="4" t="str">
        <f>IFERROR(__xludf.DUMMYFUNCTION("REGEXEXTRACT(A2864, ""/(\w+)-.*?"")"),"pays")</f>
        <v>pays</v>
      </c>
      <c r="I2864" s="4" t="str">
        <f>IFERROR(__xludf.DUMMYFUNCTION("if(D2864=""variant"",  substitute(filter(Templates!E:E, Templates!A:A = F2864, Templates!B:B = G2864, Templates!C:C = H2864), ""{{}}"", E2864), B2864)"),"🏘  Vous cherchez un appartement à louer en Italie? ✅ Les annonces les plus actuelles sont sur ImmoScout24.ch.")</f>
        <v>🏘  Vous cherchez un appartement à louer en Italie? ✅ Les annonces les plus actuelles sont sur ImmoScout24.ch.</v>
      </c>
      <c r="J2864" s="4" t="s">
        <v>1427</v>
      </c>
    </row>
    <row r="2865">
      <c r="A2865" s="5" t="s">
        <v>8588</v>
      </c>
      <c r="B2865" s="2" t="s">
        <v>8589</v>
      </c>
      <c r="C2865" s="4" t="str">
        <f>IFERROR(__xludf.DUMMYFUNCTION("""🏘️ ""&amp;REGEXEXTRACT(B2865, ""^(.*): "")&amp;"" ✅ "" &amp;REGEXEXTRACT(B2865, ""(Trouvez.*)"")"),"🏘️ Vendre appartement Kaltbrunn ✅ Trouvez le bien immobilier qui correspond idéalement à vos désirs sur ImmoScout24 - La plateforme de l'immobilier en Suisse.")</f>
        <v>🏘️ Vendre appartement Kaltbrunn ✅ Trouvez le bien immobilier qui correspond idéalement à vos désirs sur ImmoScout24 - La plateforme de l'immobilier en Suisse.</v>
      </c>
      <c r="D2865" s="4" t="str">
        <f>vlookup(A2865, Sheet2!D:E, 2, 0)</f>
        <v>variant</v>
      </c>
      <c r="E2865" s="4" t="str">
        <f>IFERROR(__xludf.DUMMYFUNCTION("if(H2865=""pays"",vlookup(REGEXEXTRACT(C2865, ""🏘️ \w+ \w+ (.*) ✅""),'Country prepositions'!A:B, 2, 0) &amp; "" "" &amp; REGEXEXTRACT(C2865, ""🏘️ \w+ \w+ (.*) ✅"") ,  if(H2865=""quartier"",vlookup(REGEXEXTRACT(C2865, ""🏘️ \w+ \w+ (.*) ✅""),'Quartier prepositio"&amp;"ns'!A:E, 5, 0) ,  if(H2865=""region"",vlookup(REGEXEXTRACT(C2865, ""🏘️ \w+ \w+ (.*) ✅""),'Region prepositions'!B:F, 5, 0),  REGEXEXTRACT(C2865, ""🏘️ \w+ \w+ (.*) ✅""))))"),"Kaltbrunn")</f>
        <v>Kaltbrunn</v>
      </c>
      <c r="F2865" s="2" t="str">
        <f>IFERROR(__xludf.DUMMYFUNCTION("REGEXEXTRACT(C2865, ""🏘️ (\w+) \w+ .* ✅"")"),"Vendre")</f>
        <v>Vendre</v>
      </c>
      <c r="G2865" s="2" t="str">
        <f>IFERROR(__xludf.DUMMYFUNCTION("REGEXEXTRACT(C2865, ""🏘️ \w+ (\w+) .* ✅"")"),"appartement")</f>
        <v>appartement</v>
      </c>
      <c r="H2865" s="4" t="str">
        <f>IFERROR(__xludf.DUMMYFUNCTION("REGEXEXTRACT(A2865, ""/(\w+)-.*?"")"),"lieu")</f>
        <v>lieu</v>
      </c>
      <c r="I2865" s="4" t="str">
        <f>IFERROR(__xludf.DUMMYFUNCTION("if(D2865=""variant"",  substitute(filter(Templates!E:E, Templates!A:A = F2865, Templates!B:B = G2865, Templates!C:C = H2865), ""{{}}"", E2865), B2865)"),"🏘  L’appartement de vos rêves se trouve sur ImmoScout24.ch ✅ Découvrez les dernières annonces de vente à Kaltbrunn.")</f>
        <v>🏘  L’appartement de vos rêves se trouve sur ImmoScout24.ch ✅ Découvrez les dernières annonces de vente à Kaltbrunn.</v>
      </c>
      <c r="J2865" s="4" t="s">
        <v>8590</v>
      </c>
    </row>
    <row r="2866">
      <c r="A2866" s="5" t="s">
        <v>8591</v>
      </c>
      <c r="B2866" s="2" t="s">
        <v>8592</v>
      </c>
      <c r="C2866" s="4" t="str">
        <f>IFERROR(__xludf.DUMMYFUNCTION("""🏘️ ""&amp;REGEXEXTRACT(B2866, ""^(.*): "")&amp;"" ✅ "" &amp;REGEXEXTRACT(B2866, ""(Trouvez.*)"")"),"🏘️ Louer appartement Döttingen ✅ Trouvez le bien immobilier qui correspond idéalement à vos désirs sur ImmoScout24 - La plateforme de l'immobilier en Suisse.")</f>
        <v>🏘️ Louer appartement Döttingen ✅ Trouvez le bien immobilier qui correspond idéalement à vos désirs sur ImmoScout24 - La plateforme de l'immobilier en Suisse.</v>
      </c>
      <c r="D2866" s="4" t="str">
        <f>vlookup(A2866, Sheet2!D:E, 2, 0)</f>
        <v>variant</v>
      </c>
      <c r="E2866" s="4" t="str">
        <f>IFERROR(__xludf.DUMMYFUNCTION("if(H2866=""pays"",vlookup(REGEXEXTRACT(C2866, ""🏘️ \w+ \w+ (.*) ✅""),'Country prepositions'!A:B, 2, 0) &amp; "" "" &amp; REGEXEXTRACT(C2866, ""🏘️ \w+ \w+ (.*) ✅"") ,  if(H2866=""quartier"",vlookup(REGEXEXTRACT(C2866, ""🏘️ \w+ \w+ (.*) ✅""),'Quartier prepositio"&amp;"ns'!A:E, 5, 0) ,  if(H2866=""region"",vlookup(REGEXEXTRACT(C2866, ""🏘️ \w+ \w+ (.*) ✅""),'Region prepositions'!B:F, 5, 0),  REGEXEXTRACT(C2866, ""🏘️ \w+ \w+ (.*) ✅""))))"),"Döttingen")</f>
        <v>Döttingen</v>
      </c>
      <c r="F2866" s="2" t="str">
        <f>IFERROR(__xludf.DUMMYFUNCTION("REGEXEXTRACT(C2866, ""🏘️ (\w+) \w+ .* ✅"")"),"Louer")</f>
        <v>Louer</v>
      </c>
      <c r="G2866" s="2" t="str">
        <f>IFERROR(__xludf.DUMMYFUNCTION("REGEXEXTRACT(C2866, ""🏘️ \w+ (\w+) .* ✅"")"),"appartement")</f>
        <v>appartement</v>
      </c>
      <c r="H2866" s="4" t="str">
        <f>IFERROR(__xludf.DUMMYFUNCTION("REGEXEXTRACT(A2866, ""/(\w+)-.*?"")"),"lieu")</f>
        <v>lieu</v>
      </c>
      <c r="I2866" s="4" t="str">
        <f>IFERROR(__xludf.DUMMYFUNCTION("if(D2866=""variant"",  substitute(filter(Templates!E:E, Templates!A:A = F2866, Templates!B:B = G2866, Templates!C:C = H2866), ""{{}}"", E2866), B2866)"),"🏘  Vous cherchez un appartement à louer à Döttingen? ✅ Les annonces les plus actuelles sont sur ImmoScout24.ch.")</f>
        <v>🏘  Vous cherchez un appartement à louer à Döttingen? ✅ Les annonces les plus actuelles sont sur ImmoScout24.ch.</v>
      </c>
      <c r="J2866" s="4" t="s">
        <v>8593</v>
      </c>
    </row>
    <row r="2867">
      <c r="A2867" s="5" t="s">
        <v>8594</v>
      </c>
      <c r="B2867" s="2" t="s">
        <v>8595</v>
      </c>
      <c r="C2867" s="4" t="str">
        <f>IFERROR(__xludf.DUMMYFUNCTION("""🏘️ ""&amp;REGEXEXTRACT(B2867, ""^(.*): "")&amp;"" ✅ "" &amp;REGEXEXTRACT(B2867, ""(Trouvez.*)"")"),"🏘️ Louer maison Appenzell ✅ Trouvez le bien immobilier qui correspond idéalement à vos désirs sur ImmoScout24 - La plateforme de l'immobilier en Suisse.")</f>
        <v>🏘️ Louer maison Appenzell ✅ Trouvez le bien immobilier qui correspond idéalement à vos désirs sur ImmoScout24 - La plateforme de l'immobilier en Suisse.</v>
      </c>
      <c r="D2867" s="4" t="str">
        <f>vlookup(A2867, Sheet2!D:E, 2, 0)</f>
        <v>variant</v>
      </c>
      <c r="E2867" s="4" t="str">
        <f>IFERROR(__xludf.DUMMYFUNCTION("if(H2867=""pays"",vlookup(REGEXEXTRACT(C2867, ""🏘️ \w+ \w+ (.*) ✅""),'Country prepositions'!A:B, 2, 0) &amp; "" "" &amp; REGEXEXTRACT(C2867, ""🏘️ \w+ \w+ (.*) ✅"") ,  if(H2867=""quartier"",vlookup(REGEXEXTRACT(C2867, ""🏘️ \w+ \w+ (.*) ✅""),'Quartier prepositio"&amp;"ns'!A:E, 5, 0) ,  if(H2867=""region"",vlookup(REGEXEXTRACT(C2867, ""🏘️ \w+ \w+ (.*) ✅""),'Region prepositions'!B:F, 5, 0),  REGEXEXTRACT(C2867, ""🏘️ \w+ \w+ (.*) ✅""))))"),"Appenzell")</f>
        <v>Appenzell</v>
      </c>
      <c r="F2867" s="2" t="str">
        <f>IFERROR(__xludf.DUMMYFUNCTION("REGEXEXTRACT(C2867, ""🏘️ (\w+) \w+ .* ✅"")"),"Louer")</f>
        <v>Louer</v>
      </c>
      <c r="G2867" s="2" t="str">
        <f>IFERROR(__xludf.DUMMYFUNCTION("REGEXEXTRACT(C2867, ""🏘️ \w+ (\w+) .* ✅"")"),"maison")</f>
        <v>maison</v>
      </c>
      <c r="H2867" s="4" t="str">
        <f>IFERROR(__xludf.DUMMYFUNCTION("REGEXEXTRACT(A2867, ""/(\w+)-.*?"")"),"lieu")</f>
        <v>lieu</v>
      </c>
      <c r="I2867" s="4" t="str">
        <f>IFERROR(__xludf.DUMMYFUNCTION("if(D2867=""variant"",  substitute(filter(Templates!E:E, Templates!A:A = F2867, Templates!B:B = G2867, Templates!C:C = H2867), ""{{}}"", E2867), B2867)"),"🏘  Vous cherchez une maison à louer à Appenzell? ✅ Découvrez nos nombreuses annonces sur ImmoScout24.ch.")</f>
        <v>🏘  Vous cherchez une maison à louer à Appenzell? ✅ Découvrez nos nombreuses annonces sur ImmoScout24.ch.</v>
      </c>
      <c r="J2867" s="4" t="s">
        <v>8596</v>
      </c>
    </row>
    <row r="2868">
      <c r="A2868" s="5" t="s">
        <v>8597</v>
      </c>
      <c r="B2868" s="2" t="s">
        <v>8598</v>
      </c>
      <c r="C2868" s="4" t="str">
        <f>IFERROR(__xludf.DUMMYFUNCTION("""🏘️ ""&amp;REGEXEXTRACT(B2868, ""^(.*): "")&amp;"" ✅ "" &amp;REGEXEXTRACT(B2868, ""(Trouvez.*)"")"),"🏘️ Vendre appartement Monte Carasso ✅ Trouvez le bien immobilier qui correspond idéalement à vos désirs sur ImmoScout24 - La plateforme de l'immobilier en Suisse.")</f>
        <v>🏘️ Vendre appartement Monte Carasso ✅ Trouvez le bien immobilier qui correspond idéalement à vos désirs sur ImmoScout24 - La plateforme de l'immobilier en Suisse.</v>
      </c>
      <c r="D2868" s="4" t="str">
        <f>vlookup(A2868, Sheet2!D:E, 2, 0)</f>
        <v>variant</v>
      </c>
      <c r="E2868" s="4" t="str">
        <f>IFERROR(__xludf.DUMMYFUNCTION("if(H2868=""pays"",vlookup(REGEXEXTRACT(C2868, ""🏘️ \w+ \w+ (.*) ✅""),'Country prepositions'!A:B, 2, 0) &amp; "" "" &amp; REGEXEXTRACT(C2868, ""🏘️ \w+ \w+ (.*) ✅"") ,  if(H2868=""quartier"",vlookup(REGEXEXTRACT(C2868, ""🏘️ \w+ \w+ (.*) ✅""),'Quartier prepositio"&amp;"ns'!A:E, 5, 0) ,  if(H2868=""region"",vlookup(REGEXEXTRACT(C2868, ""🏘️ \w+ \w+ (.*) ✅""),'Region prepositions'!B:F, 5, 0),  REGEXEXTRACT(C2868, ""🏘️ \w+ \w+ (.*) ✅""))))"),"Monte Carasso")</f>
        <v>Monte Carasso</v>
      </c>
      <c r="F2868" s="2" t="str">
        <f>IFERROR(__xludf.DUMMYFUNCTION("REGEXEXTRACT(C2868, ""🏘️ (\w+) \w+ .* ✅"")"),"Vendre")</f>
        <v>Vendre</v>
      </c>
      <c r="G2868" s="2" t="str">
        <f>IFERROR(__xludf.DUMMYFUNCTION("REGEXEXTRACT(C2868, ""🏘️ \w+ (\w+) .* ✅"")"),"appartement")</f>
        <v>appartement</v>
      </c>
      <c r="H2868" s="4" t="str">
        <f>IFERROR(__xludf.DUMMYFUNCTION("REGEXEXTRACT(A2868, ""/(\w+)-.*?"")"),"lieu")</f>
        <v>lieu</v>
      </c>
      <c r="I2868" s="4" t="str">
        <f>IFERROR(__xludf.DUMMYFUNCTION("if(D2868=""variant"",  substitute(filter(Templates!E:E, Templates!A:A = F2868, Templates!B:B = G2868, Templates!C:C = H2868), ""{{}}"", E2868), B2868)"),"🏘  L’appartement de vos rêves se trouve sur ImmoScout24.ch ✅ Découvrez les dernières annonces de vente à Monte Carasso.")</f>
        <v>🏘  L’appartement de vos rêves se trouve sur ImmoScout24.ch ✅ Découvrez les dernières annonces de vente à Monte Carasso.</v>
      </c>
      <c r="J2868" s="4" t="s">
        <v>8599</v>
      </c>
    </row>
    <row r="2869">
      <c r="A2869" s="5" t="s">
        <v>8600</v>
      </c>
      <c r="B2869" s="2" t="s">
        <v>8601</v>
      </c>
      <c r="C2869" s="4" t="str">
        <f>IFERROR(__xludf.DUMMYFUNCTION("""🏘️ ""&amp;REGEXEXTRACT(B2869, ""^(.*): "")&amp;"" ✅ "" &amp;REGEXEXTRACT(B2869, ""(Trouvez.*)"")"),"🏘️ Vendre maison Charmey (Gruyère) ✅ Trouvez le bien immobilier qui correspond idéalement à vos désirs sur ImmoScout24 - La plateforme de l'immobilier en Suisse.")</f>
        <v>🏘️ Vendre maison Charmey (Gruyère) ✅ Trouvez le bien immobilier qui correspond idéalement à vos désirs sur ImmoScout24 - La plateforme de l'immobilier en Suisse.</v>
      </c>
      <c r="D2869" s="4" t="str">
        <f>vlookup(A2869, Sheet2!D:E, 2, 0)</f>
        <v>variant</v>
      </c>
      <c r="E2869" s="4" t="str">
        <f>IFERROR(__xludf.DUMMYFUNCTION("if(H2869=""pays"",vlookup(REGEXEXTRACT(C2869, ""🏘️ \w+ \w+ (.*) ✅""),'Country prepositions'!A:B, 2, 0) &amp; "" "" &amp; REGEXEXTRACT(C2869, ""🏘️ \w+ \w+ (.*) ✅"") ,  if(H2869=""quartier"",vlookup(REGEXEXTRACT(C2869, ""🏘️ \w+ \w+ (.*) ✅""),'Quartier prepositio"&amp;"ns'!A:E, 5, 0) ,  if(H2869=""region"",vlookup(REGEXEXTRACT(C2869, ""🏘️ \w+ \w+ (.*) ✅""),'Region prepositions'!B:F, 5, 0),  REGEXEXTRACT(C2869, ""🏘️ \w+ \w+ (.*) ✅""))))"),"Charmey (Gruyère)")</f>
        <v>Charmey (Gruyère)</v>
      </c>
      <c r="F2869" s="2" t="str">
        <f>IFERROR(__xludf.DUMMYFUNCTION("REGEXEXTRACT(C2869, ""🏘️ (\w+) \w+ .* ✅"")"),"Vendre")</f>
        <v>Vendre</v>
      </c>
      <c r="G2869" s="2" t="str">
        <f>IFERROR(__xludf.DUMMYFUNCTION("REGEXEXTRACT(C2869, ""🏘️ \w+ (\w+) .* ✅"")"),"maison")</f>
        <v>maison</v>
      </c>
      <c r="H2869" s="4" t="str">
        <f>IFERROR(__xludf.DUMMYFUNCTION("REGEXEXTRACT(A2869, ""/(\w+)-.*?"")"),"lieu")</f>
        <v>lieu</v>
      </c>
      <c r="I2869" s="4" t="str">
        <f>IFERROR(__xludf.DUMMYFUNCTION("if(D2869=""variant"",  substitute(filter(Templates!E:E, Templates!A:A = F2869, Templates!B:B = G2869, Templates!C:C = H2869), ""{{}}"", E2869), B2869)"),"🏘  Vous souhaitez acheter une maison à Charmey (Gruyère)? ✅ Jetez un œil aux dernières offres sur ImmoScout24.ch.")</f>
        <v>🏘  Vous souhaitez acheter une maison à Charmey (Gruyère)? ✅ Jetez un œil aux dernières offres sur ImmoScout24.ch.</v>
      </c>
      <c r="J2869" s="4" t="s">
        <v>8602</v>
      </c>
    </row>
    <row r="2870">
      <c r="A2870" s="5" t="s">
        <v>8603</v>
      </c>
      <c r="B2870" s="2" t="s">
        <v>8604</v>
      </c>
      <c r="C2870" s="4" t="str">
        <f>IFERROR(__xludf.DUMMYFUNCTION("""🏘️ ""&amp;REGEXEXTRACT(B2870, ""^(.*): "")&amp;"" ✅ "" &amp;REGEXEXTRACT(B2870, ""(Trouvez.*)"")"),"🏘️ Vendre maison Martigny-Croix ✅ Trouvez le bien immobilier qui correspond idéalement à vos désirs sur ImmoScout24 - La plateforme de l'immobilier en Suisse.")</f>
        <v>🏘️ Vendre maison Martigny-Croix ✅ Trouvez le bien immobilier qui correspond idéalement à vos désirs sur ImmoScout24 - La plateforme de l'immobilier en Suisse.</v>
      </c>
      <c r="D2870" s="4" t="str">
        <f>vlookup(A2870, Sheet2!D:E, 2, 0)</f>
        <v>variant</v>
      </c>
      <c r="E2870" s="4" t="str">
        <f>IFERROR(__xludf.DUMMYFUNCTION("if(H2870=""pays"",vlookup(REGEXEXTRACT(C2870, ""🏘️ \w+ \w+ (.*) ✅""),'Country prepositions'!A:B, 2, 0) &amp; "" "" &amp; REGEXEXTRACT(C2870, ""🏘️ \w+ \w+ (.*) ✅"") ,  if(H2870=""quartier"",vlookup(REGEXEXTRACT(C2870, ""🏘️ \w+ \w+ (.*) ✅""),'Quartier prepositio"&amp;"ns'!A:E, 5, 0) ,  if(H2870=""region"",vlookup(REGEXEXTRACT(C2870, ""🏘️ \w+ \w+ (.*) ✅""),'Region prepositions'!B:F, 5, 0),  REGEXEXTRACT(C2870, ""🏘️ \w+ \w+ (.*) ✅""))))"),"Martigny-Croix")</f>
        <v>Martigny-Croix</v>
      </c>
      <c r="F2870" s="2" t="str">
        <f>IFERROR(__xludf.DUMMYFUNCTION("REGEXEXTRACT(C2870, ""🏘️ (\w+) \w+ .* ✅"")"),"Vendre")</f>
        <v>Vendre</v>
      </c>
      <c r="G2870" s="2" t="str">
        <f>IFERROR(__xludf.DUMMYFUNCTION("REGEXEXTRACT(C2870, ""🏘️ \w+ (\w+) .* ✅"")"),"maison")</f>
        <v>maison</v>
      </c>
      <c r="H2870" s="4" t="str">
        <f>IFERROR(__xludf.DUMMYFUNCTION("REGEXEXTRACT(A2870, ""/(\w+)-.*?"")"),"lieu")</f>
        <v>lieu</v>
      </c>
      <c r="I2870" s="4" t="str">
        <f>IFERROR(__xludf.DUMMYFUNCTION("if(D2870=""variant"",  substitute(filter(Templates!E:E, Templates!A:A = F2870, Templates!B:B = G2870, Templates!C:C = H2870), ""{{}}"", E2870), B2870)"),"🏘  Vous souhaitez acheter une maison à Martigny-Croix? ✅ Jetez un œil aux dernières offres sur ImmoScout24.ch.")</f>
        <v>🏘  Vous souhaitez acheter une maison à Martigny-Croix? ✅ Jetez un œil aux dernières offres sur ImmoScout24.ch.</v>
      </c>
      <c r="J2870" s="4" t="s">
        <v>8605</v>
      </c>
    </row>
    <row r="2871">
      <c r="A2871" s="5" t="s">
        <v>8606</v>
      </c>
      <c r="B2871" s="2" t="s">
        <v>8607</v>
      </c>
      <c r="C2871" s="4" t="str">
        <f>IFERROR(__xludf.DUMMYFUNCTION("""🏘️ ""&amp;REGEXEXTRACT(B2871, ""^(.*): "")&amp;"" ✅ "" &amp;REGEXEXTRACT(B2871, ""(Trouvez.*)"")"),"🏘️ Vendre maison Sierre ✅ Trouvez le bien immobilier qui correspond idéalement à vos désirs sur ImmoScout24 - La plateforme de l'immobilier en Suisse.")</f>
        <v>🏘️ Vendre maison Sierre ✅ Trouvez le bien immobilier qui correspond idéalement à vos désirs sur ImmoScout24 - La plateforme de l'immobilier en Suisse.</v>
      </c>
      <c r="D2871" s="4" t="str">
        <f>vlookup(A2871, Sheet2!D:E, 2, 0)</f>
        <v>variant</v>
      </c>
      <c r="E2871" s="4" t="str">
        <f>IFERROR(__xludf.DUMMYFUNCTION("if(H2871=""pays"",vlookup(REGEXEXTRACT(C2871, ""🏘️ \w+ \w+ (.*) ✅""),'Country prepositions'!A:B, 2, 0) &amp; "" "" &amp; REGEXEXTRACT(C2871, ""🏘️ \w+ \w+ (.*) ✅"") ,  if(H2871=""quartier"",vlookup(REGEXEXTRACT(C2871, ""🏘️ \w+ \w+ (.*) ✅""),'Quartier prepositio"&amp;"ns'!A:E, 5, 0) ,  if(H2871=""region"",vlookup(REGEXEXTRACT(C2871, ""🏘️ \w+ \w+ (.*) ✅""),'Region prepositions'!B:F, 5, 0),  REGEXEXTRACT(C2871, ""🏘️ \w+ \w+ (.*) ✅""))))"),"Sierre")</f>
        <v>Sierre</v>
      </c>
      <c r="F2871" s="2" t="str">
        <f>IFERROR(__xludf.DUMMYFUNCTION("REGEXEXTRACT(C2871, ""🏘️ (\w+) \w+ .* ✅"")"),"Vendre")</f>
        <v>Vendre</v>
      </c>
      <c r="G2871" s="2" t="str">
        <f>IFERROR(__xludf.DUMMYFUNCTION("REGEXEXTRACT(C2871, ""🏘️ \w+ (\w+) .* ✅"")"),"maison")</f>
        <v>maison</v>
      </c>
      <c r="H2871" s="4" t="str">
        <f>IFERROR(__xludf.DUMMYFUNCTION("REGEXEXTRACT(A2871, ""/(\w+)-.*?"")"),"lieu")</f>
        <v>lieu</v>
      </c>
      <c r="I2871" s="4" t="str">
        <f>IFERROR(__xludf.DUMMYFUNCTION("if(D2871=""variant"",  substitute(filter(Templates!E:E, Templates!A:A = F2871, Templates!B:B = G2871, Templates!C:C = H2871), ""{{}}"", E2871), B2871)"),"🏘  Vous souhaitez acheter une maison à Sierre? ✅ Jetez un œil aux dernières offres sur ImmoScout24.ch.")</f>
        <v>🏘  Vous souhaitez acheter une maison à Sierre? ✅ Jetez un œil aux dernières offres sur ImmoScout24.ch.</v>
      </c>
      <c r="J2871" s="4" t="s">
        <v>8608</v>
      </c>
    </row>
    <row r="2872">
      <c r="A2872" s="5" t="s">
        <v>8609</v>
      </c>
      <c r="B2872" s="2" t="s">
        <v>8610</v>
      </c>
      <c r="C2872" s="4" t="str">
        <f>IFERROR(__xludf.DUMMYFUNCTION("""🏘️ ""&amp;REGEXEXTRACT(B2872, ""^(.*): "")&amp;"" ✅ "" &amp;REGEXEXTRACT(B2872, ""(Trouvez.*)"")"),"🏘️ Louer appartement Ménières ✅ Trouvez le bien immobilier qui correspond idéalement à vos désirs sur ImmoScout24 - La plateforme de l'immobilier en Suisse.")</f>
        <v>🏘️ Louer appartement Ménières ✅ Trouvez le bien immobilier qui correspond idéalement à vos désirs sur ImmoScout24 - La plateforme de l'immobilier en Suisse.</v>
      </c>
      <c r="D2872" s="4" t="str">
        <f>vlookup(A2872, Sheet2!D:E, 2, 0)</f>
        <v>variant</v>
      </c>
      <c r="E2872" s="4" t="str">
        <f>IFERROR(__xludf.DUMMYFUNCTION("if(H2872=""pays"",vlookup(REGEXEXTRACT(C2872, ""🏘️ \w+ \w+ (.*) ✅""),'Country prepositions'!A:B, 2, 0) &amp; "" "" &amp; REGEXEXTRACT(C2872, ""🏘️ \w+ \w+ (.*) ✅"") ,  if(H2872=""quartier"",vlookup(REGEXEXTRACT(C2872, ""🏘️ \w+ \w+ (.*) ✅""),'Quartier prepositio"&amp;"ns'!A:E, 5, 0) ,  if(H2872=""region"",vlookup(REGEXEXTRACT(C2872, ""🏘️ \w+ \w+ (.*) ✅""),'Region prepositions'!B:F, 5, 0),  REGEXEXTRACT(C2872, ""🏘️ \w+ \w+ (.*) ✅""))))"),"Ménières")</f>
        <v>Ménières</v>
      </c>
      <c r="F2872" s="2" t="str">
        <f>IFERROR(__xludf.DUMMYFUNCTION("REGEXEXTRACT(C2872, ""🏘️ (\w+) \w+ .* ✅"")"),"Louer")</f>
        <v>Louer</v>
      </c>
      <c r="G2872" s="2" t="str">
        <f>IFERROR(__xludf.DUMMYFUNCTION("REGEXEXTRACT(C2872, ""🏘️ \w+ (\w+) .* ✅"")"),"appartement")</f>
        <v>appartement</v>
      </c>
      <c r="H2872" s="4" t="str">
        <f>IFERROR(__xludf.DUMMYFUNCTION("REGEXEXTRACT(A2872, ""/(\w+)-.*?"")"),"lieu")</f>
        <v>lieu</v>
      </c>
      <c r="I2872" s="4" t="str">
        <f>IFERROR(__xludf.DUMMYFUNCTION("if(D2872=""variant"",  substitute(filter(Templates!E:E, Templates!A:A = F2872, Templates!B:B = G2872, Templates!C:C = H2872), ""{{}}"", E2872), B2872)"),"🏘  Vous cherchez un appartement à louer à Ménières? ✅ Les annonces les plus actuelles sont sur ImmoScout24.ch.")</f>
        <v>🏘  Vous cherchez un appartement à louer à Ménières? ✅ Les annonces les plus actuelles sont sur ImmoScout24.ch.</v>
      </c>
      <c r="J2872" s="4" t="s">
        <v>8611</v>
      </c>
    </row>
    <row r="2873">
      <c r="A2873" s="5" t="s">
        <v>8612</v>
      </c>
      <c r="B2873" s="2" t="s">
        <v>8613</v>
      </c>
      <c r="C2873" s="4" t="str">
        <f>IFERROR(__xludf.DUMMYFUNCTION("""🏘️ ""&amp;REGEXEXTRACT(B2873, ""^(.*): "")&amp;"" ✅ "" &amp;REGEXEXTRACT(B2873, ""(Trouvez.*)"")"),"🏘️ Vendre appartement Bevaix ✅ Trouvez le bien immobilier qui correspond idéalement à vos désirs sur ImmoScout24 - La plateforme de l'immobilier en Suisse.")</f>
        <v>🏘️ Vendre appartement Bevaix ✅ Trouvez le bien immobilier qui correspond idéalement à vos désirs sur ImmoScout24 - La plateforme de l'immobilier en Suisse.</v>
      </c>
      <c r="D2873" s="4" t="str">
        <f>vlookup(A2873, Sheet2!D:E, 2, 0)</f>
        <v>variant</v>
      </c>
      <c r="E2873" s="4" t="str">
        <f>IFERROR(__xludf.DUMMYFUNCTION("if(H2873=""pays"",vlookup(REGEXEXTRACT(C2873, ""🏘️ \w+ \w+ (.*) ✅""),'Country prepositions'!A:B, 2, 0) &amp; "" "" &amp; REGEXEXTRACT(C2873, ""🏘️ \w+ \w+ (.*) ✅"") ,  if(H2873=""quartier"",vlookup(REGEXEXTRACT(C2873, ""🏘️ \w+ \w+ (.*) ✅""),'Quartier prepositio"&amp;"ns'!A:E, 5, 0) ,  if(H2873=""region"",vlookup(REGEXEXTRACT(C2873, ""🏘️ \w+ \w+ (.*) ✅""),'Region prepositions'!B:F, 5, 0),  REGEXEXTRACT(C2873, ""🏘️ \w+ \w+ (.*) ✅""))))"),"Bevaix")</f>
        <v>Bevaix</v>
      </c>
      <c r="F2873" s="2" t="str">
        <f>IFERROR(__xludf.DUMMYFUNCTION("REGEXEXTRACT(C2873, ""🏘️ (\w+) \w+ .* ✅"")"),"Vendre")</f>
        <v>Vendre</v>
      </c>
      <c r="G2873" s="2" t="str">
        <f>IFERROR(__xludf.DUMMYFUNCTION("REGEXEXTRACT(C2873, ""🏘️ \w+ (\w+) .* ✅"")"),"appartement")</f>
        <v>appartement</v>
      </c>
      <c r="H2873" s="4" t="str">
        <f>IFERROR(__xludf.DUMMYFUNCTION("REGEXEXTRACT(A2873, ""/(\w+)-.*?"")"),"lieu")</f>
        <v>lieu</v>
      </c>
      <c r="I2873" s="4" t="str">
        <f>IFERROR(__xludf.DUMMYFUNCTION("if(D2873=""variant"",  substitute(filter(Templates!E:E, Templates!A:A = F2873, Templates!B:B = G2873, Templates!C:C = H2873), ""{{}}"", E2873), B2873)"),"🏘  L’appartement de vos rêves se trouve sur ImmoScout24.ch ✅ Découvrez les dernières annonces de vente à Bevaix.")</f>
        <v>🏘  L’appartement de vos rêves se trouve sur ImmoScout24.ch ✅ Découvrez les dernières annonces de vente à Bevaix.</v>
      </c>
      <c r="J2873" s="4" t="s">
        <v>8614</v>
      </c>
    </row>
    <row r="2874">
      <c r="A2874" s="5" t="s">
        <v>8615</v>
      </c>
      <c r="B2874" s="2" t="s">
        <v>8616</v>
      </c>
      <c r="C2874" s="4" t="str">
        <f>IFERROR(__xludf.DUMMYFUNCTION("""🏘️ ""&amp;REGEXEXTRACT(B2874, ""^(.*): "")&amp;"" ✅ "" &amp;REGEXEXTRACT(B2874, ""(Trouvez.*)"")"),"🏘️ Louer appartement Gelbes Quartier (Berne) ✅ Trouvez le bien immobilier qui correspond idéalement à vos désirs sur ImmoScout24 - La plateforme de l'immobilier en Suisse.")</f>
        <v>🏘️ Louer appartement Gelbes Quartier (Berne) ✅ Trouvez le bien immobilier qui correspond idéalement à vos désirs sur ImmoScout24 - La plateforme de l'immobilier en Suisse.</v>
      </c>
      <c r="D2874" s="4" t="str">
        <f>vlookup(A2874, Sheet2!D:E, 2, 0)</f>
        <v>variant</v>
      </c>
      <c r="E2874" s="4" t="str">
        <f>IFERROR(__xludf.DUMMYFUNCTION("if(H2874=""pays"",vlookup(REGEXEXTRACT(C2874, ""🏘️ \w+ \w+ (.*) ✅""),'Country prepositions'!A:B, 2, 0) &amp; "" "" &amp; REGEXEXTRACT(C2874, ""🏘️ \w+ \w+ (.*) ✅"") ,  if(H2874=""quartier"",vlookup(REGEXEXTRACT(C2874, ""🏘️ \w+ \w+ (.*) ✅""),'Quartier prepositio"&amp;"ns'!A:E, 5, 0) ,  if(H2874=""region"",vlookup(REGEXEXTRACT(C2874, ""🏘️ \w+ \w+ (.*) ✅""),'Region prepositions'!B:F, 5, 0),  REGEXEXTRACT(C2874, ""🏘️ \w+ \w+ (.*) ✅""))))"),"dans le Gelbes Quartier")</f>
        <v>dans le Gelbes Quartier</v>
      </c>
      <c r="F2874" s="2" t="str">
        <f>IFERROR(__xludf.DUMMYFUNCTION("REGEXEXTRACT(C2874, ""🏘️ (\w+) \w+ .* ✅"")"),"Louer")</f>
        <v>Louer</v>
      </c>
      <c r="G2874" s="2" t="str">
        <f>IFERROR(__xludf.DUMMYFUNCTION("REGEXEXTRACT(C2874, ""🏘️ \w+ (\w+) .* ✅"")"),"appartement")</f>
        <v>appartement</v>
      </c>
      <c r="H2874" s="4" t="str">
        <f>IFERROR(__xludf.DUMMYFUNCTION("REGEXEXTRACT(A2874, ""/(\w+)-.*?"")"),"quartier")</f>
        <v>quartier</v>
      </c>
      <c r="I2874" s="4" t="str">
        <f>IFERROR(__xludf.DUMMYFUNCTION("if(D2874=""variant"",  substitute(filter(Templates!E:E, Templates!A:A = F2874, Templates!B:B = G2874, Templates!C:C = H2874), ""{{}}"", E2874), B2874)"),"🏘  Vous cherchez un appartement à louer dans le Gelbes Quartier? ✅ Les annonces les plus actuelles sont sur ImmoScout24.ch.")</f>
        <v>🏘  Vous cherchez un appartement à louer dans le Gelbes Quartier? ✅ Les annonces les plus actuelles sont sur ImmoScout24.ch.</v>
      </c>
      <c r="J2874" s="4" t="s">
        <v>8617</v>
      </c>
    </row>
    <row r="2875">
      <c r="A2875" s="5" t="s">
        <v>8618</v>
      </c>
      <c r="B2875" s="2" t="s">
        <v>8619</v>
      </c>
      <c r="C2875" s="4" t="str">
        <f>IFERROR(__xludf.DUMMYFUNCTION("""🏘️ ""&amp;REGEXEXTRACT(B2875, ""^(.*): "")&amp;"" ✅ "" &amp;REGEXEXTRACT(B2875, ""(Trouvez.*)"")"),"🏘️ Louer appartement Le Brouillet ✅ Trouvez le bien immobilier qui correspond idéalement à vos désirs sur ImmoScout24 - La plateforme de l'immobilier en Suisse.")</f>
        <v>🏘️ Louer appartement Le Brouillet ✅ Trouvez le bien immobilier qui correspond idéalement à vos désirs sur ImmoScout24 - La plateforme de l'immobilier en Suisse.</v>
      </c>
      <c r="D2875" s="4" t="str">
        <f>vlookup(A2875, Sheet2!D:E, 2, 0)</f>
        <v>variant</v>
      </c>
      <c r="E2875" s="4" t="str">
        <f>IFERROR(__xludf.DUMMYFUNCTION("if(H2875=""pays"",vlookup(REGEXEXTRACT(C2875, ""🏘️ \w+ \w+ (.*) ✅""),'Country prepositions'!A:B, 2, 0) &amp; "" "" &amp; REGEXEXTRACT(C2875, ""🏘️ \w+ \w+ (.*) ✅"") ,  if(H2875=""quartier"",vlookup(REGEXEXTRACT(C2875, ""🏘️ \w+ \w+ (.*) ✅""),'Quartier prepositio"&amp;"ns'!A:E, 5, 0) ,  if(H2875=""region"",vlookup(REGEXEXTRACT(C2875, ""🏘️ \w+ \w+ (.*) ✅""),'Region prepositions'!B:F, 5, 0),  REGEXEXTRACT(C2875, ""🏘️ \w+ \w+ (.*) ✅""))))"),"Le Brouillet")</f>
        <v>Le Brouillet</v>
      </c>
      <c r="F2875" s="2" t="str">
        <f>IFERROR(__xludf.DUMMYFUNCTION("REGEXEXTRACT(C2875, ""🏘️ (\w+) \w+ .* ✅"")"),"Louer")</f>
        <v>Louer</v>
      </c>
      <c r="G2875" s="2" t="str">
        <f>IFERROR(__xludf.DUMMYFUNCTION("REGEXEXTRACT(C2875, ""🏘️ \w+ (\w+) .* ✅"")"),"appartement")</f>
        <v>appartement</v>
      </c>
      <c r="H2875" s="4" t="str">
        <f>IFERROR(__xludf.DUMMYFUNCTION("REGEXEXTRACT(A2875, ""/(\w+)-.*?"")"),"lieu")</f>
        <v>lieu</v>
      </c>
      <c r="I2875" s="4" t="str">
        <f>IFERROR(__xludf.DUMMYFUNCTION("if(D2875=""variant"",  substitute(filter(Templates!E:E, Templates!A:A = F2875, Templates!B:B = G2875, Templates!C:C = H2875), ""{{}}"", E2875), B2875)"),"🏘  Vous cherchez un appartement à louer à Le Brouillet? ✅ Les annonces les plus actuelles sont sur ImmoScout24.ch.")</f>
        <v>🏘  Vous cherchez un appartement à louer à Le Brouillet? ✅ Les annonces les plus actuelles sont sur ImmoScout24.ch.</v>
      </c>
      <c r="J2875" s="2" t="s">
        <v>8620</v>
      </c>
    </row>
    <row r="2876">
      <c r="A2876" s="5" t="s">
        <v>8621</v>
      </c>
      <c r="B2876" s="2" t="s">
        <v>8622</v>
      </c>
      <c r="C2876" s="4" t="str">
        <f>IFERROR(__xludf.DUMMYFUNCTION("""🏘️ ""&amp;REGEXEXTRACT(B2876, ""^(.*): "")&amp;"" ✅ "" &amp;REGEXEXTRACT(B2876, ""(Trouvez.*)"")"),"🏘️ Louer appartement Oberwil b. Zug ✅ Trouvez le bien immobilier qui correspond idéalement à vos désirs sur ImmoScout24 - La plateforme de l'immobilier en Suisse.")</f>
        <v>🏘️ Louer appartement Oberwil b. Zug ✅ Trouvez le bien immobilier qui correspond idéalement à vos désirs sur ImmoScout24 - La plateforme de l'immobilier en Suisse.</v>
      </c>
      <c r="D2876" s="4" t="str">
        <f>vlookup(A2876, Sheet2!D:E, 2, 0)</f>
        <v>variant</v>
      </c>
      <c r="E2876" s="4" t="str">
        <f>IFERROR(__xludf.DUMMYFUNCTION("if(H2876=""pays"",vlookup(REGEXEXTRACT(C2876, ""🏘️ \w+ \w+ (.*) ✅""),'Country prepositions'!A:B, 2, 0) &amp; "" "" &amp; REGEXEXTRACT(C2876, ""🏘️ \w+ \w+ (.*) ✅"") ,  if(H2876=""quartier"",vlookup(REGEXEXTRACT(C2876, ""🏘️ \w+ \w+ (.*) ✅""),'Quartier prepositio"&amp;"ns'!A:E, 5, 0) ,  if(H2876=""region"",vlookup(REGEXEXTRACT(C2876, ""🏘️ \w+ \w+ (.*) ✅""),'Region prepositions'!B:F, 5, 0),  REGEXEXTRACT(C2876, ""🏘️ \w+ \w+ (.*) ✅""))))"),"Oberwil b. Zug")</f>
        <v>Oberwil b. Zug</v>
      </c>
      <c r="F2876" s="2" t="str">
        <f>IFERROR(__xludf.DUMMYFUNCTION("REGEXEXTRACT(C2876, ""🏘️ (\w+) \w+ .* ✅"")"),"Louer")</f>
        <v>Louer</v>
      </c>
      <c r="G2876" s="2" t="str">
        <f>IFERROR(__xludf.DUMMYFUNCTION("REGEXEXTRACT(C2876, ""🏘️ \w+ (\w+) .* ✅"")"),"appartement")</f>
        <v>appartement</v>
      </c>
      <c r="H2876" s="4" t="str">
        <f>IFERROR(__xludf.DUMMYFUNCTION("REGEXEXTRACT(A2876, ""/(\w+)-.*?"")"),"lieu")</f>
        <v>lieu</v>
      </c>
      <c r="I2876" s="4" t="str">
        <f>IFERROR(__xludf.DUMMYFUNCTION("if(D2876=""variant"",  substitute(filter(Templates!E:E, Templates!A:A = F2876, Templates!B:B = G2876, Templates!C:C = H2876), ""{{}}"", E2876), B2876)"),"🏘  Vous cherchez un appartement à louer à Oberwil b. Zug? ✅ Les annonces les plus actuelles sont sur ImmoScout24.ch.")</f>
        <v>🏘  Vous cherchez un appartement à louer à Oberwil b. Zug? ✅ Les annonces les plus actuelles sont sur ImmoScout24.ch.</v>
      </c>
      <c r="J2876" s="4" t="s">
        <v>8623</v>
      </c>
    </row>
    <row r="2877">
      <c r="A2877" s="5" t="s">
        <v>8624</v>
      </c>
      <c r="B2877" s="2" t="s">
        <v>8625</v>
      </c>
      <c r="C2877" s="4" t="str">
        <f>IFERROR(__xludf.DUMMYFUNCTION("""🏘️ ""&amp;REGEXEXTRACT(B2877, ""^(.*): "")&amp;"" ✅ "" &amp;REGEXEXTRACT(B2877, ""(Trouvez.*)"")"),"🏘️ Louer appartement St-Imier ✅ Trouvez le bien immobilier qui correspond idéalement à vos désirs sur ImmoScout24 - La plateforme de l'immobilier en Suisse.")</f>
        <v>🏘️ Louer appartement St-Imier ✅ Trouvez le bien immobilier qui correspond idéalement à vos désirs sur ImmoScout24 - La plateforme de l'immobilier en Suisse.</v>
      </c>
      <c r="D2877" s="4" t="str">
        <f>vlookup(A2877, Sheet2!D:E, 2, 0)</f>
        <v>variant</v>
      </c>
      <c r="E2877" s="4" t="str">
        <f>IFERROR(__xludf.DUMMYFUNCTION("if(H2877=""pays"",vlookup(REGEXEXTRACT(C2877, ""🏘️ \w+ \w+ (.*) ✅""),'Country prepositions'!A:B, 2, 0) &amp; "" "" &amp; REGEXEXTRACT(C2877, ""🏘️ \w+ \w+ (.*) ✅"") ,  if(H2877=""quartier"",vlookup(REGEXEXTRACT(C2877, ""🏘️ \w+ \w+ (.*) ✅""),'Quartier prepositio"&amp;"ns'!A:E, 5, 0) ,  if(H2877=""region"",vlookup(REGEXEXTRACT(C2877, ""🏘️ \w+ \w+ (.*) ✅""),'Region prepositions'!B:F, 5, 0),  REGEXEXTRACT(C2877, ""🏘️ \w+ \w+ (.*) ✅""))))"),"St-Imier")</f>
        <v>St-Imier</v>
      </c>
      <c r="F2877" s="2" t="str">
        <f>IFERROR(__xludf.DUMMYFUNCTION("REGEXEXTRACT(C2877, ""🏘️ (\w+) \w+ .* ✅"")"),"Louer")</f>
        <v>Louer</v>
      </c>
      <c r="G2877" s="2" t="str">
        <f>IFERROR(__xludf.DUMMYFUNCTION("REGEXEXTRACT(C2877, ""🏘️ \w+ (\w+) .* ✅"")"),"appartement")</f>
        <v>appartement</v>
      </c>
      <c r="H2877" s="4" t="str">
        <f>IFERROR(__xludf.DUMMYFUNCTION("REGEXEXTRACT(A2877, ""/(\w+)-.*?"")"),"lieu")</f>
        <v>lieu</v>
      </c>
      <c r="I2877" s="4" t="str">
        <f>IFERROR(__xludf.DUMMYFUNCTION("if(D2877=""variant"",  substitute(filter(Templates!E:E, Templates!A:A = F2877, Templates!B:B = G2877, Templates!C:C = H2877), ""{{}}"", E2877), B2877)"),"🏘  Vous cherchez un appartement à louer à St-Imier? ✅ Les annonces les plus actuelles sont sur ImmoScout24.ch.")</f>
        <v>🏘  Vous cherchez un appartement à louer à St-Imier? ✅ Les annonces les plus actuelles sont sur ImmoScout24.ch.</v>
      </c>
      <c r="J2877" s="4" t="s">
        <v>8626</v>
      </c>
    </row>
    <row r="2878">
      <c r="A2878" s="5" t="s">
        <v>8627</v>
      </c>
      <c r="B2878" s="2" t="s">
        <v>8628</v>
      </c>
      <c r="C2878" s="4" t="str">
        <f>IFERROR(__xludf.DUMMYFUNCTION("""🏘️ ""&amp;REGEXEXTRACT(B2878, ""^(.*): "")&amp;"" ✅ "" &amp;REGEXEXTRACT(B2878, ""(Trouvez.*)"")"),"🏘️ Louer appartement Wallenried ✅ Trouvez le bien immobilier qui correspond idéalement à vos désirs sur ImmoScout24 - La plateforme de l'immobilier en Suisse.")</f>
        <v>🏘️ Louer appartement Wallenried ✅ Trouvez le bien immobilier qui correspond idéalement à vos désirs sur ImmoScout24 - La plateforme de l'immobilier en Suisse.</v>
      </c>
      <c r="D2878" s="4" t="str">
        <f>vlookup(A2878, Sheet2!D:E, 2, 0)</f>
        <v>variant</v>
      </c>
      <c r="E2878" s="4" t="str">
        <f>IFERROR(__xludf.DUMMYFUNCTION("if(H2878=""pays"",vlookup(REGEXEXTRACT(C2878, ""🏘️ \w+ \w+ (.*) ✅""),'Country prepositions'!A:B, 2, 0) &amp; "" "" &amp; REGEXEXTRACT(C2878, ""🏘️ \w+ \w+ (.*) ✅"") ,  if(H2878=""quartier"",vlookup(REGEXEXTRACT(C2878, ""🏘️ \w+ \w+ (.*) ✅""),'Quartier prepositio"&amp;"ns'!A:E, 5, 0) ,  if(H2878=""region"",vlookup(REGEXEXTRACT(C2878, ""🏘️ \w+ \w+ (.*) ✅""),'Region prepositions'!B:F, 5, 0),  REGEXEXTRACT(C2878, ""🏘️ \w+ \w+ (.*) ✅""))))"),"Wallenried")</f>
        <v>Wallenried</v>
      </c>
      <c r="F2878" s="2" t="str">
        <f>IFERROR(__xludf.DUMMYFUNCTION("REGEXEXTRACT(C2878, ""🏘️ (\w+) \w+ .* ✅"")"),"Louer")</f>
        <v>Louer</v>
      </c>
      <c r="G2878" s="2" t="str">
        <f>IFERROR(__xludf.DUMMYFUNCTION("REGEXEXTRACT(C2878, ""🏘️ \w+ (\w+) .* ✅"")"),"appartement")</f>
        <v>appartement</v>
      </c>
      <c r="H2878" s="4" t="str">
        <f>IFERROR(__xludf.DUMMYFUNCTION("REGEXEXTRACT(A2878, ""/(\w+)-.*?"")"),"lieu")</f>
        <v>lieu</v>
      </c>
      <c r="I2878" s="4" t="str">
        <f>IFERROR(__xludf.DUMMYFUNCTION("if(D2878=""variant"",  substitute(filter(Templates!E:E, Templates!A:A = F2878, Templates!B:B = G2878, Templates!C:C = H2878), ""{{}}"", E2878), B2878)"),"🏘  Vous cherchez un appartement à louer à Wallenried? ✅ Les annonces les plus actuelles sont sur ImmoScout24.ch.")</f>
        <v>🏘  Vous cherchez un appartement à louer à Wallenried? ✅ Les annonces les plus actuelles sont sur ImmoScout24.ch.</v>
      </c>
      <c r="J2878" s="4" t="s">
        <v>8629</v>
      </c>
    </row>
    <row r="2879">
      <c r="A2879" s="5" t="s">
        <v>8630</v>
      </c>
      <c r="B2879" s="2" t="s">
        <v>8631</v>
      </c>
      <c r="C2879" s="4" t="str">
        <f>IFERROR(__xludf.DUMMYFUNCTION("""🏘️ ""&amp;REGEXEXTRACT(B2879, ""^(.*): "")&amp;"" ✅ "" &amp;REGEXEXTRACT(B2879, ""(Trouvez.*)"")"),"🏘️ Louer appartement La Chaux-des-Breuleux ✅ Trouvez le bien immobilier qui correspond idéalement à vos désirs sur ImmoScout24 - La plateforme de l'immobilier en Suisse.")</f>
        <v>🏘️ Louer appartement La Chaux-des-Breuleux ✅ Trouvez le bien immobilier qui correspond idéalement à vos désirs sur ImmoScout24 - La plateforme de l'immobilier en Suisse.</v>
      </c>
      <c r="D2879" s="4" t="str">
        <f>vlookup(A2879, Sheet2!D:E, 2, 0)</f>
        <v>variant</v>
      </c>
      <c r="E2879" s="4" t="str">
        <f>IFERROR(__xludf.DUMMYFUNCTION("if(H2879=""pays"",vlookup(REGEXEXTRACT(C2879, ""🏘️ \w+ \w+ (.*) ✅""),'Country prepositions'!A:B, 2, 0) &amp; "" "" &amp; REGEXEXTRACT(C2879, ""🏘️ \w+ \w+ (.*) ✅"") ,  if(H2879=""quartier"",vlookup(REGEXEXTRACT(C2879, ""🏘️ \w+ \w+ (.*) ✅""),'Quartier prepositio"&amp;"ns'!A:E, 5, 0) ,  if(H2879=""region"",vlookup(REGEXEXTRACT(C2879, ""🏘️ \w+ \w+ (.*) ✅""),'Region prepositions'!B:F, 5, 0),  REGEXEXTRACT(C2879, ""🏘️ \w+ \w+ (.*) ✅""))))"),"La Chaux-des-Breuleux")</f>
        <v>La Chaux-des-Breuleux</v>
      </c>
      <c r="F2879" s="2" t="str">
        <f>IFERROR(__xludf.DUMMYFUNCTION("REGEXEXTRACT(C2879, ""🏘️ (\w+) \w+ .* ✅"")"),"Louer")</f>
        <v>Louer</v>
      </c>
      <c r="G2879" s="2" t="str">
        <f>IFERROR(__xludf.DUMMYFUNCTION("REGEXEXTRACT(C2879, ""🏘️ \w+ (\w+) .* ✅"")"),"appartement")</f>
        <v>appartement</v>
      </c>
      <c r="H2879" s="4" t="str">
        <f>IFERROR(__xludf.DUMMYFUNCTION("REGEXEXTRACT(A2879, ""/(\w+)-.*?"")"),"lieu")</f>
        <v>lieu</v>
      </c>
      <c r="I2879" s="4" t="str">
        <f>IFERROR(__xludf.DUMMYFUNCTION("if(D2879=""variant"",  substitute(filter(Templates!E:E, Templates!A:A = F2879, Templates!B:B = G2879, Templates!C:C = H2879), ""{{}}"", E2879), B2879)"),"🏘  Vous cherchez un appartement à louer à La Chaux-des-Breuleux? ✅ Les annonces les plus actuelles sont sur ImmoScout24.ch.")</f>
        <v>🏘  Vous cherchez un appartement à louer à La Chaux-des-Breuleux? ✅ Les annonces les plus actuelles sont sur ImmoScout24.ch.</v>
      </c>
      <c r="J2879" s="4" t="s">
        <v>8632</v>
      </c>
    </row>
    <row r="2880">
      <c r="A2880" s="5" t="s">
        <v>8633</v>
      </c>
      <c r="B2880" s="2" t="s">
        <v>8634</v>
      </c>
      <c r="C2880" s="4" t="str">
        <f>IFERROR(__xludf.DUMMYFUNCTION("""🏘️ ""&amp;REGEXEXTRACT(B2880, ""^(.*): "")&amp;"" ✅ "" &amp;REGEXEXTRACT(B2880, ""(Trouvez.*)"")"),"🏘️ Vendre maison Alle ✅ Trouvez le bien immobilier qui correspond idéalement à vos désirs sur ImmoScout24 - La plateforme de l'immobilier en Suisse.")</f>
        <v>🏘️ Vendre maison Alle ✅ Trouvez le bien immobilier qui correspond idéalement à vos désirs sur ImmoScout24 - La plateforme de l'immobilier en Suisse.</v>
      </c>
      <c r="D2880" s="4" t="str">
        <f>vlookup(A2880, Sheet2!D:E, 2, 0)</f>
        <v>variant</v>
      </c>
      <c r="E2880" s="4" t="str">
        <f>IFERROR(__xludf.DUMMYFUNCTION("if(H2880=""pays"",vlookup(REGEXEXTRACT(C2880, ""🏘️ \w+ \w+ (.*) ✅""),'Country prepositions'!A:B, 2, 0) &amp; "" "" &amp; REGEXEXTRACT(C2880, ""🏘️ \w+ \w+ (.*) ✅"") ,  if(H2880=""quartier"",vlookup(REGEXEXTRACT(C2880, ""🏘️ \w+ \w+ (.*) ✅""),'Quartier prepositio"&amp;"ns'!A:E, 5, 0) ,  if(H2880=""region"",vlookup(REGEXEXTRACT(C2880, ""🏘️ \w+ \w+ (.*) ✅""),'Region prepositions'!B:F, 5, 0),  REGEXEXTRACT(C2880, ""🏘️ \w+ \w+ (.*) ✅""))))"),"Alle")</f>
        <v>Alle</v>
      </c>
      <c r="F2880" s="2" t="str">
        <f>IFERROR(__xludf.DUMMYFUNCTION("REGEXEXTRACT(C2880, ""🏘️ (\w+) \w+ .* ✅"")"),"Vendre")</f>
        <v>Vendre</v>
      </c>
      <c r="G2880" s="2" t="str">
        <f>IFERROR(__xludf.DUMMYFUNCTION("REGEXEXTRACT(C2880, ""🏘️ \w+ (\w+) .* ✅"")"),"maison")</f>
        <v>maison</v>
      </c>
      <c r="H2880" s="4" t="str">
        <f>IFERROR(__xludf.DUMMYFUNCTION("REGEXEXTRACT(A2880, ""/(\w+)-.*?"")"),"lieu")</f>
        <v>lieu</v>
      </c>
      <c r="I2880" s="4" t="str">
        <f>IFERROR(__xludf.DUMMYFUNCTION("if(D2880=""variant"",  substitute(filter(Templates!E:E, Templates!A:A = F2880, Templates!B:B = G2880, Templates!C:C = H2880), ""{{}}"", E2880), B2880)"),"🏘  Vous souhaitez acheter une maison à Alle? ✅ Jetez un œil aux dernières offres sur ImmoScout24.ch.")</f>
        <v>🏘  Vous souhaitez acheter une maison à Alle? ✅ Jetez un œil aux dernières offres sur ImmoScout24.ch.</v>
      </c>
      <c r="J2880" s="4" t="s">
        <v>8635</v>
      </c>
    </row>
    <row r="2881">
      <c r="A2881" s="5" t="s">
        <v>8636</v>
      </c>
      <c r="B2881" s="2" t="s">
        <v>8637</v>
      </c>
      <c r="C2881" s="4" t="str">
        <f>IFERROR(__xludf.DUMMYFUNCTION("""🏘️ ""&amp;REGEXEXTRACT(B2881, ""^(.*): "")&amp;"" ✅ "" &amp;REGEXEXTRACT(B2881, ""(Trouvez.*)"")"),"🏘️ Vendre appartement St-Saphorin (Lavaux) ✅ Trouvez le bien immobilier qui correspond idéalement à vos désirs sur ImmoScout24 - La plateforme de l'immobilier en Suisse.")</f>
        <v>🏘️ Vendre appartement St-Saphorin (Lavaux) ✅ Trouvez le bien immobilier qui correspond idéalement à vos désirs sur ImmoScout24 - La plateforme de l'immobilier en Suisse.</v>
      </c>
      <c r="D2881" s="4" t="str">
        <f>vlookup(A2881, Sheet2!D:E, 2, 0)</f>
        <v>variant</v>
      </c>
      <c r="E2881" s="4" t="str">
        <f>IFERROR(__xludf.DUMMYFUNCTION("if(H2881=""pays"",vlookup(REGEXEXTRACT(C2881, ""🏘️ \w+ \w+ (.*) ✅""),'Country prepositions'!A:B, 2, 0) &amp; "" "" &amp; REGEXEXTRACT(C2881, ""🏘️ \w+ \w+ (.*) ✅"") ,  if(H2881=""quartier"",vlookup(REGEXEXTRACT(C2881, ""🏘️ \w+ \w+ (.*) ✅""),'Quartier prepositio"&amp;"ns'!A:E, 5, 0) ,  if(H2881=""region"",vlookup(REGEXEXTRACT(C2881, ""🏘️ \w+ \w+ (.*) ✅""),'Region prepositions'!B:F, 5, 0),  REGEXEXTRACT(C2881, ""🏘️ \w+ \w+ (.*) ✅""))))"),"St-Saphorin (Lavaux)")</f>
        <v>St-Saphorin (Lavaux)</v>
      </c>
      <c r="F2881" s="2" t="str">
        <f>IFERROR(__xludf.DUMMYFUNCTION("REGEXEXTRACT(C2881, ""🏘️ (\w+) \w+ .* ✅"")"),"Vendre")</f>
        <v>Vendre</v>
      </c>
      <c r="G2881" s="2" t="str">
        <f>IFERROR(__xludf.DUMMYFUNCTION("REGEXEXTRACT(C2881, ""🏘️ \w+ (\w+) .* ✅"")"),"appartement")</f>
        <v>appartement</v>
      </c>
      <c r="H2881" s="4" t="str">
        <f>IFERROR(__xludf.DUMMYFUNCTION("REGEXEXTRACT(A2881, ""/(\w+)-.*?"")"),"lieu")</f>
        <v>lieu</v>
      </c>
      <c r="I2881" s="4" t="str">
        <f>IFERROR(__xludf.DUMMYFUNCTION("if(D2881=""variant"",  substitute(filter(Templates!E:E, Templates!A:A = F2881, Templates!B:B = G2881, Templates!C:C = H2881), ""{{}}"", E2881), B2881)"),"🏘  L’appartement de vos rêves se trouve sur ImmoScout24.ch ✅ Découvrez les dernières annonces de vente à St-Saphorin (Lavaux).")</f>
        <v>🏘  L’appartement de vos rêves se trouve sur ImmoScout24.ch ✅ Découvrez les dernières annonces de vente à St-Saphorin (Lavaux).</v>
      </c>
      <c r="J2881" s="4" t="s">
        <v>8638</v>
      </c>
    </row>
    <row r="2882">
      <c r="A2882" s="5" t="s">
        <v>8639</v>
      </c>
      <c r="B2882" s="2" t="s">
        <v>8640</v>
      </c>
      <c r="C2882" s="4" t="str">
        <f>IFERROR(__xludf.DUMMYFUNCTION("""🏘️ ""&amp;REGEXEXTRACT(B2882, ""^(.*): "")&amp;"" ✅ "" &amp;REGEXEXTRACT(B2882, ""(Trouvez.*)"")"),"🏘️ Vendre appartement Güttingen ✅ Trouvez le bien immobilier qui correspond idéalement à vos désirs sur ImmoScout24 - La plateforme de l'immobilier en Suisse.")</f>
        <v>🏘️ Vendre appartement Güttingen ✅ Trouvez le bien immobilier qui correspond idéalement à vos désirs sur ImmoScout24 - La plateforme de l'immobilier en Suisse.</v>
      </c>
      <c r="D2882" s="4" t="str">
        <f>vlookup(A2882, Sheet2!D:E, 2, 0)</f>
        <v>variant</v>
      </c>
      <c r="E2882" s="4" t="str">
        <f>IFERROR(__xludf.DUMMYFUNCTION("if(H2882=""pays"",vlookup(REGEXEXTRACT(C2882, ""🏘️ \w+ \w+ (.*) ✅""),'Country prepositions'!A:B, 2, 0) &amp; "" "" &amp; REGEXEXTRACT(C2882, ""🏘️ \w+ \w+ (.*) ✅"") ,  if(H2882=""quartier"",vlookup(REGEXEXTRACT(C2882, ""🏘️ \w+ \w+ (.*) ✅""),'Quartier prepositio"&amp;"ns'!A:E, 5, 0) ,  if(H2882=""region"",vlookup(REGEXEXTRACT(C2882, ""🏘️ \w+ \w+ (.*) ✅""),'Region prepositions'!B:F, 5, 0),  REGEXEXTRACT(C2882, ""🏘️ \w+ \w+ (.*) ✅""))))"),"Güttingen")</f>
        <v>Güttingen</v>
      </c>
      <c r="F2882" s="2" t="str">
        <f>IFERROR(__xludf.DUMMYFUNCTION("REGEXEXTRACT(C2882, ""🏘️ (\w+) \w+ .* ✅"")"),"Vendre")</f>
        <v>Vendre</v>
      </c>
      <c r="G2882" s="2" t="str">
        <f>IFERROR(__xludf.DUMMYFUNCTION("REGEXEXTRACT(C2882, ""🏘️ \w+ (\w+) .* ✅"")"),"appartement")</f>
        <v>appartement</v>
      </c>
      <c r="H2882" s="4" t="str">
        <f>IFERROR(__xludf.DUMMYFUNCTION("REGEXEXTRACT(A2882, ""/(\w+)-.*?"")"),"lieu")</f>
        <v>lieu</v>
      </c>
      <c r="I2882" s="4" t="str">
        <f>IFERROR(__xludf.DUMMYFUNCTION("if(D2882=""variant"",  substitute(filter(Templates!E:E, Templates!A:A = F2882, Templates!B:B = G2882, Templates!C:C = H2882), ""{{}}"", E2882), B2882)"),"🏘  L’appartement de vos rêves se trouve sur ImmoScout24.ch ✅ Découvrez les dernières annonces de vente à Güttingen.")</f>
        <v>🏘  L’appartement de vos rêves se trouve sur ImmoScout24.ch ✅ Découvrez les dernières annonces de vente à Güttingen.</v>
      </c>
      <c r="J2882" s="4" t="s">
        <v>8641</v>
      </c>
    </row>
    <row r="2883">
      <c r="A2883" s="5" t="s">
        <v>8642</v>
      </c>
      <c r="B2883" s="2" t="s">
        <v>8643</v>
      </c>
      <c r="C2883" s="4" t="str">
        <f>IFERROR(__xludf.DUMMYFUNCTION("""🏘️ ""&amp;REGEXEXTRACT(B2883, ""^(.*): "")&amp;"" ✅ "" &amp;REGEXEXTRACT(B2883, ""(Trouvez.*)"")"),"🏘️ Vendre appartement Carouge GE ✅ Trouvez le bien immobilier qui correspond idéalement à vos désirs sur ImmoScout24 - La plateforme de l'immobilier en Suisse.")</f>
        <v>🏘️ Vendre appartement Carouge GE ✅ Trouvez le bien immobilier qui correspond idéalement à vos désirs sur ImmoScout24 - La plateforme de l'immobilier en Suisse.</v>
      </c>
      <c r="D2883" s="4" t="str">
        <f>vlookup(A2883, Sheet2!D:E, 2, 0)</f>
        <v>variant</v>
      </c>
      <c r="E2883" s="4" t="str">
        <f>IFERROR(__xludf.DUMMYFUNCTION("if(H2883=""pays"",vlookup(REGEXEXTRACT(C2883, ""🏘️ \w+ \w+ (.*) ✅""),'Country prepositions'!A:B, 2, 0) &amp; "" "" &amp; REGEXEXTRACT(C2883, ""🏘️ \w+ \w+ (.*) ✅"") ,  if(H2883=""quartier"",vlookup(REGEXEXTRACT(C2883, ""🏘️ \w+ \w+ (.*) ✅""),'Quartier prepositio"&amp;"ns'!A:E, 5, 0) ,  if(H2883=""region"",vlookup(REGEXEXTRACT(C2883, ""🏘️ \w+ \w+ (.*) ✅""),'Region prepositions'!B:F, 5, 0),  REGEXEXTRACT(C2883, ""🏘️ \w+ \w+ (.*) ✅""))))"),"Carouge GE")</f>
        <v>Carouge GE</v>
      </c>
      <c r="F2883" s="2" t="str">
        <f>IFERROR(__xludf.DUMMYFUNCTION("REGEXEXTRACT(C2883, ""🏘️ (\w+) \w+ .* ✅"")"),"Vendre")</f>
        <v>Vendre</v>
      </c>
      <c r="G2883" s="2" t="str">
        <f>IFERROR(__xludf.DUMMYFUNCTION("REGEXEXTRACT(C2883, ""🏘️ \w+ (\w+) .* ✅"")"),"appartement")</f>
        <v>appartement</v>
      </c>
      <c r="H2883" s="4" t="str">
        <f>IFERROR(__xludf.DUMMYFUNCTION("REGEXEXTRACT(A2883, ""/(\w+)-.*?"")"),"lieu")</f>
        <v>lieu</v>
      </c>
      <c r="I2883" s="4" t="str">
        <f>IFERROR(__xludf.DUMMYFUNCTION("if(D2883=""variant"",  substitute(filter(Templates!E:E, Templates!A:A = F2883, Templates!B:B = G2883, Templates!C:C = H2883), ""{{}}"", E2883), B2883)"),"🏘  L’appartement de vos rêves se trouve sur ImmoScout24.ch ✅ Découvrez les dernières annonces de vente à Carouge GE.")</f>
        <v>🏘  L’appartement de vos rêves se trouve sur ImmoScout24.ch ✅ Découvrez les dernières annonces de vente à Carouge GE.</v>
      </c>
      <c r="J2883" s="4" t="s">
        <v>8644</v>
      </c>
    </row>
    <row r="2884">
      <c r="A2884" s="5" t="s">
        <v>8645</v>
      </c>
      <c r="B2884" s="2" t="s">
        <v>8646</v>
      </c>
      <c r="C2884" s="4" t="str">
        <f>IFERROR(__xludf.DUMMYFUNCTION("""🏘️ ""&amp;REGEXEXTRACT(B2884, ""^(.*): "")&amp;"" ✅ "" &amp;REGEXEXTRACT(B2884, ""(Trouvez.*)"")"),"🏘️ Vendre appartement Pieterlen ✅ Trouvez le bien immobilier qui correspond idéalement à vos désirs sur ImmoScout24 - La plateforme de l'immobilier en Suisse.")</f>
        <v>🏘️ Vendre appartement Pieterlen ✅ Trouvez le bien immobilier qui correspond idéalement à vos désirs sur ImmoScout24 - La plateforme de l'immobilier en Suisse.</v>
      </c>
      <c r="D2884" s="4" t="str">
        <f>vlookup(A2884, Sheet2!D:E, 2, 0)</f>
        <v>variant</v>
      </c>
      <c r="E2884" s="4" t="str">
        <f>IFERROR(__xludf.DUMMYFUNCTION("if(H2884=""pays"",vlookup(REGEXEXTRACT(C2884, ""🏘️ \w+ \w+ (.*) ✅""),'Country prepositions'!A:B, 2, 0) &amp; "" "" &amp; REGEXEXTRACT(C2884, ""🏘️ \w+ \w+ (.*) ✅"") ,  if(H2884=""quartier"",vlookup(REGEXEXTRACT(C2884, ""🏘️ \w+ \w+ (.*) ✅""),'Quartier prepositio"&amp;"ns'!A:E, 5, 0) ,  if(H2884=""region"",vlookup(REGEXEXTRACT(C2884, ""🏘️ \w+ \w+ (.*) ✅""),'Region prepositions'!B:F, 5, 0),  REGEXEXTRACT(C2884, ""🏘️ \w+ \w+ (.*) ✅""))))"),"Pieterlen")</f>
        <v>Pieterlen</v>
      </c>
      <c r="F2884" s="2" t="str">
        <f>IFERROR(__xludf.DUMMYFUNCTION("REGEXEXTRACT(C2884, ""🏘️ (\w+) \w+ .* ✅"")"),"Vendre")</f>
        <v>Vendre</v>
      </c>
      <c r="G2884" s="2" t="str">
        <f>IFERROR(__xludf.DUMMYFUNCTION("REGEXEXTRACT(C2884, ""🏘️ \w+ (\w+) .* ✅"")"),"appartement")</f>
        <v>appartement</v>
      </c>
      <c r="H2884" s="4" t="str">
        <f>IFERROR(__xludf.DUMMYFUNCTION("REGEXEXTRACT(A2884, ""/(\w+)-.*?"")"),"lieu")</f>
        <v>lieu</v>
      </c>
      <c r="I2884" s="4" t="str">
        <f>IFERROR(__xludf.DUMMYFUNCTION("if(D2884=""variant"",  substitute(filter(Templates!E:E, Templates!A:A = F2884, Templates!B:B = G2884, Templates!C:C = H2884), ""{{}}"", E2884), B2884)"),"🏘  L’appartement de vos rêves se trouve sur ImmoScout24.ch ✅ Découvrez les dernières annonces de vente à Pieterlen.")</f>
        <v>🏘  L’appartement de vos rêves se trouve sur ImmoScout24.ch ✅ Découvrez les dernières annonces de vente à Pieterlen.</v>
      </c>
      <c r="J2884" s="4" t="s">
        <v>8647</v>
      </c>
    </row>
    <row r="2885">
      <c r="A2885" s="5" t="s">
        <v>8648</v>
      </c>
      <c r="B2885" s="2" t="s">
        <v>8649</v>
      </c>
      <c r="C2885" s="4" t="str">
        <f>IFERROR(__xludf.DUMMYFUNCTION("""🏘️ ""&amp;REGEXEXTRACT(B2885, ""^(.*): "")&amp;"" ✅ "" &amp;REGEXEXTRACT(B2885, ""(Trouvez.*)"")"),"🏘️ Vendre appartement Hergiswil NW ✅ Trouvez le bien immobilier qui correspond idéalement à vos désirs sur ImmoScout24 - La plateforme de l'immobilier en Suisse.")</f>
        <v>🏘️ Vendre appartement Hergiswil NW ✅ Trouvez le bien immobilier qui correspond idéalement à vos désirs sur ImmoScout24 - La plateforme de l'immobilier en Suisse.</v>
      </c>
      <c r="D2885" s="4" t="str">
        <f>vlookup(A2885, Sheet2!D:E, 2, 0)</f>
        <v>variant</v>
      </c>
      <c r="E2885" s="4" t="str">
        <f>IFERROR(__xludf.DUMMYFUNCTION("if(H2885=""pays"",vlookup(REGEXEXTRACT(C2885, ""🏘️ \w+ \w+ (.*) ✅""),'Country prepositions'!A:B, 2, 0) &amp; "" "" &amp; REGEXEXTRACT(C2885, ""🏘️ \w+ \w+ (.*) ✅"") ,  if(H2885=""quartier"",vlookup(REGEXEXTRACT(C2885, ""🏘️ \w+ \w+ (.*) ✅""),'Quartier prepositio"&amp;"ns'!A:E, 5, 0) ,  if(H2885=""region"",vlookup(REGEXEXTRACT(C2885, ""🏘️ \w+ \w+ (.*) ✅""),'Region prepositions'!B:F, 5, 0),  REGEXEXTRACT(C2885, ""🏘️ \w+ \w+ (.*) ✅""))))"),"Hergiswil NW")</f>
        <v>Hergiswil NW</v>
      </c>
      <c r="F2885" s="2" t="str">
        <f>IFERROR(__xludf.DUMMYFUNCTION("REGEXEXTRACT(C2885, ""🏘️ (\w+) \w+ .* ✅"")"),"Vendre")</f>
        <v>Vendre</v>
      </c>
      <c r="G2885" s="2" t="str">
        <f>IFERROR(__xludf.DUMMYFUNCTION("REGEXEXTRACT(C2885, ""🏘️ \w+ (\w+) .* ✅"")"),"appartement")</f>
        <v>appartement</v>
      </c>
      <c r="H2885" s="4" t="str">
        <f>IFERROR(__xludf.DUMMYFUNCTION("REGEXEXTRACT(A2885, ""/(\w+)-.*?"")"),"lieu")</f>
        <v>lieu</v>
      </c>
      <c r="I2885" s="4" t="str">
        <f>IFERROR(__xludf.DUMMYFUNCTION("if(D2885=""variant"",  substitute(filter(Templates!E:E, Templates!A:A = F2885, Templates!B:B = G2885, Templates!C:C = H2885), ""{{}}"", E2885), B2885)"),"🏘  L’appartement de vos rêves se trouve sur ImmoScout24.ch ✅ Découvrez les dernières annonces de vente à Hergiswil NW.")</f>
        <v>🏘  L’appartement de vos rêves se trouve sur ImmoScout24.ch ✅ Découvrez les dernières annonces de vente à Hergiswil NW.</v>
      </c>
      <c r="J2885" s="4" t="s">
        <v>8650</v>
      </c>
    </row>
    <row r="2886">
      <c r="A2886" s="5" t="s">
        <v>8651</v>
      </c>
      <c r="B2886" s="2" t="s">
        <v>8652</v>
      </c>
      <c r="C2886" s="4" t="str">
        <f>IFERROR(__xludf.DUMMYFUNCTION("""🏘️ ""&amp;REGEXEXTRACT(B2886, ""^(.*): "")&amp;"" ✅ "" &amp;REGEXEXTRACT(B2886, ""(Trouvez.*)"")"),"🏘️ Louer appartement Vauderens ✅ Trouvez le bien immobilier qui correspond idéalement à vos désirs sur ImmoScout24 - La plateforme de l'immobilier en Suisse.")</f>
        <v>🏘️ Louer appartement Vauderens ✅ Trouvez le bien immobilier qui correspond idéalement à vos désirs sur ImmoScout24 - La plateforme de l'immobilier en Suisse.</v>
      </c>
      <c r="D2886" s="4" t="str">
        <f>vlookup(A2886, Sheet2!D:E, 2, 0)</f>
        <v>variant</v>
      </c>
      <c r="E2886" s="4" t="str">
        <f>IFERROR(__xludf.DUMMYFUNCTION("if(H2886=""pays"",vlookup(REGEXEXTRACT(C2886, ""🏘️ \w+ \w+ (.*) ✅""),'Country prepositions'!A:B, 2, 0) &amp; "" "" &amp; REGEXEXTRACT(C2886, ""🏘️ \w+ \w+ (.*) ✅"") ,  if(H2886=""quartier"",vlookup(REGEXEXTRACT(C2886, ""🏘️ \w+ \w+ (.*) ✅""),'Quartier prepositio"&amp;"ns'!A:E, 5, 0) ,  if(H2886=""region"",vlookup(REGEXEXTRACT(C2886, ""🏘️ \w+ \w+ (.*) ✅""),'Region prepositions'!B:F, 5, 0),  REGEXEXTRACT(C2886, ""🏘️ \w+ \w+ (.*) ✅""))))"),"Vauderens")</f>
        <v>Vauderens</v>
      </c>
      <c r="F2886" s="2" t="str">
        <f>IFERROR(__xludf.DUMMYFUNCTION("REGEXEXTRACT(C2886, ""🏘️ (\w+) \w+ .* ✅"")"),"Louer")</f>
        <v>Louer</v>
      </c>
      <c r="G2886" s="2" t="str">
        <f>IFERROR(__xludf.DUMMYFUNCTION("REGEXEXTRACT(C2886, ""🏘️ \w+ (\w+) .* ✅"")"),"appartement")</f>
        <v>appartement</v>
      </c>
      <c r="H2886" s="4" t="str">
        <f>IFERROR(__xludf.DUMMYFUNCTION("REGEXEXTRACT(A2886, ""/(\w+)-.*?"")"),"lieu")</f>
        <v>lieu</v>
      </c>
      <c r="I2886" s="4" t="str">
        <f>IFERROR(__xludf.DUMMYFUNCTION("if(D2886=""variant"",  substitute(filter(Templates!E:E, Templates!A:A = F2886, Templates!B:B = G2886, Templates!C:C = H2886), ""{{}}"", E2886), B2886)"),"🏘  Vous cherchez un appartement à louer à Vauderens? ✅ Les annonces les plus actuelles sont sur ImmoScout24.ch.")</f>
        <v>🏘  Vous cherchez un appartement à louer à Vauderens? ✅ Les annonces les plus actuelles sont sur ImmoScout24.ch.</v>
      </c>
      <c r="J2886" s="4" t="s">
        <v>8653</v>
      </c>
    </row>
    <row r="2887">
      <c r="A2887" s="5" t="s">
        <v>8654</v>
      </c>
      <c r="B2887" s="2" t="s">
        <v>8655</v>
      </c>
      <c r="C2887" s="4" t="str">
        <f>IFERROR(__xludf.DUMMYFUNCTION("""🏘️ ""&amp;REGEXEXTRACT(B2887, ""^(.*): "")&amp;"" ✅ "" &amp;REGEXEXTRACT(B2887, ""(Trouvez.*)"")"),"🏘️ Vendre maison Mayens-de-Chamoson ✅ Trouvez le bien immobilier qui correspond idéalement à vos désirs sur ImmoScout24 - La plateforme de l'immobilier en Suisse.")</f>
        <v>🏘️ Vendre maison Mayens-de-Chamoson ✅ Trouvez le bien immobilier qui correspond idéalement à vos désirs sur ImmoScout24 - La plateforme de l'immobilier en Suisse.</v>
      </c>
      <c r="D2887" s="4" t="str">
        <f>vlookup(A2887, Sheet2!D:E, 2, 0)</f>
        <v>variant</v>
      </c>
      <c r="E2887" s="4" t="str">
        <f>IFERROR(__xludf.DUMMYFUNCTION("if(H2887=""pays"",vlookup(REGEXEXTRACT(C2887, ""🏘️ \w+ \w+ (.*) ✅""),'Country prepositions'!A:B, 2, 0) &amp; "" "" &amp; REGEXEXTRACT(C2887, ""🏘️ \w+ \w+ (.*) ✅"") ,  if(H2887=""quartier"",vlookup(REGEXEXTRACT(C2887, ""🏘️ \w+ \w+ (.*) ✅""),'Quartier prepositio"&amp;"ns'!A:E, 5, 0) ,  if(H2887=""region"",vlookup(REGEXEXTRACT(C2887, ""🏘️ \w+ \w+ (.*) ✅""),'Region prepositions'!B:F, 5, 0),  REGEXEXTRACT(C2887, ""🏘️ \w+ \w+ (.*) ✅""))))"),"Mayens-de-Chamoson")</f>
        <v>Mayens-de-Chamoson</v>
      </c>
      <c r="F2887" s="2" t="str">
        <f>IFERROR(__xludf.DUMMYFUNCTION("REGEXEXTRACT(C2887, ""🏘️ (\w+) \w+ .* ✅"")"),"Vendre")</f>
        <v>Vendre</v>
      </c>
      <c r="G2887" s="2" t="str">
        <f>IFERROR(__xludf.DUMMYFUNCTION("REGEXEXTRACT(C2887, ""🏘️ \w+ (\w+) .* ✅"")"),"maison")</f>
        <v>maison</v>
      </c>
      <c r="H2887" s="4" t="str">
        <f>IFERROR(__xludf.DUMMYFUNCTION("REGEXEXTRACT(A2887, ""/(\w+)-.*?"")"),"lieu")</f>
        <v>lieu</v>
      </c>
      <c r="I2887" s="4" t="str">
        <f>IFERROR(__xludf.DUMMYFUNCTION("if(D2887=""variant"",  substitute(filter(Templates!E:E, Templates!A:A = F2887, Templates!B:B = G2887, Templates!C:C = H2887), ""{{}}"", E2887), B2887)"),"🏘  Vous souhaitez acheter une maison à Mayens-de-Chamoson? ✅ Jetez un œil aux dernières offres sur ImmoScout24.ch.")</f>
        <v>🏘  Vous souhaitez acheter une maison à Mayens-de-Chamoson? ✅ Jetez un œil aux dernières offres sur ImmoScout24.ch.</v>
      </c>
      <c r="J2887" s="4" t="s">
        <v>8656</v>
      </c>
    </row>
    <row r="2888">
      <c r="A2888" s="5" t="s">
        <v>8657</v>
      </c>
      <c r="B2888" s="2" t="s">
        <v>8658</v>
      </c>
      <c r="C2888" s="4" t="str">
        <f>IFERROR(__xludf.DUMMYFUNCTION("""🏘️ ""&amp;REGEXEXTRACT(B2888, ""^(.*): "")&amp;"" ✅ "" &amp;REGEXEXTRACT(B2888, ""(Trouvez.*)"")"),"🏘️ Louer appartement Court ✅ Trouvez le bien immobilier qui correspond idéalement à vos désirs sur ImmoScout24 - La plateforme de l'immobilier en Suisse.")</f>
        <v>🏘️ Louer appartement Court ✅ Trouvez le bien immobilier qui correspond idéalement à vos désirs sur ImmoScout24 - La plateforme de l'immobilier en Suisse.</v>
      </c>
      <c r="D2888" s="4" t="str">
        <f>vlookup(A2888, Sheet2!D:E, 2, 0)</f>
        <v>variant</v>
      </c>
      <c r="E2888" s="4" t="str">
        <f>IFERROR(__xludf.DUMMYFUNCTION("if(H2888=""pays"",vlookup(REGEXEXTRACT(C2888, ""🏘️ \w+ \w+ (.*) ✅""),'Country prepositions'!A:B, 2, 0) &amp; "" "" &amp; REGEXEXTRACT(C2888, ""🏘️ \w+ \w+ (.*) ✅"") ,  if(H2888=""quartier"",vlookup(REGEXEXTRACT(C2888, ""🏘️ \w+ \w+ (.*) ✅""),'Quartier prepositio"&amp;"ns'!A:E, 5, 0) ,  if(H2888=""region"",vlookup(REGEXEXTRACT(C2888, ""🏘️ \w+ \w+ (.*) ✅""),'Region prepositions'!B:F, 5, 0),  REGEXEXTRACT(C2888, ""🏘️ \w+ \w+ (.*) ✅""))))"),"Court")</f>
        <v>Court</v>
      </c>
      <c r="F2888" s="2" t="str">
        <f>IFERROR(__xludf.DUMMYFUNCTION("REGEXEXTRACT(C2888, ""🏘️ (\w+) \w+ .* ✅"")"),"Louer")</f>
        <v>Louer</v>
      </c>
      <c r="G2888" s="2" t="str">
        <f>IFERROR(__xludf.DUMMYFUNCTION("REGEXEXTRACT(C2888, ""🏘️ \w+ (\w+) .* ✅"")"),"appartement")</f>
        <v>appartement</v>
      </c>
      <c r="H2888" s="4" t="str">
        <f>IFERROR(__xludf.DUMMYFUNCTION("REGEXEXTRACT(A2888, ""/(\w+)-.*?"")"),"lieu")</f>
        <v>lieu</v>
      </c>
      <c r="I2888" s="4" t="str">
        <f>IFERROR(__xludf.DUMMYFUNCTION("if(D2888=""variant"",  substitute(filter(Templates!E:E, Templates!A:A = F2888, Templates!B:B = G2888, Templates!C:C = H2888), ""{{}}"", E2888), B2888)"),"🏘  Vous cherchez un appartement à louer à Court? ✅ Les annonces les plus actuelles sont sur ImmoScout24.ch.")</f>
        <v>🏘  Vous cherchez un appartement à louer à Court? ✅ Les annonces les plus actuelles sont sur ImmoScout24.ch.</v>
      </c>
      <c r="J2888" s="4" t="s">
        <v>8659</v>
      </c>
    </row>
    <row r="2889">
      <c r="A2889" s="5" t="s">
        <v>8660</v>
      </c>
      <c r="B2889" s="2" t="s">
        <v>8661</v>
      </c>
      <c r="C2889" s="4" t="str">
        <f>IFERROR(__xludf.DUMMYFUNCTION("""🏘️ ""&amp;REGEXEXTRACT(B2889, ""^(.*): "")&amp;"" ✅ "" &amp;REGEXEXTRACT(B2889, ""(Trouvez.*)"")"),"🏘️ Vendre maison Elsau ✅ Trouvez le bien immobilier qui correspond idéalement à vos désirs sur ImmoScout24 - La plateforme de l'immobilier en Suisse.")</f>
        <v>🏘️ Vendre maison Elsau ✅ Trouvez le bien immobilier qui correspond idéalement à vos désirs sur ImmoScout24 - La plateforme de l'immobilier en Suisse.</v>
      </c>
      <c r="D2889" s="4" t="str">
        <f>vlookup(A2889, Sheet2!D:E, 2, 0)</f>
        <v>variant</v>
      </c>
      <c r="E2889" s="4" t="str">
        <f>IFERROR(__xludf.DUMMYFUNCTION("if(H2889=""pays"",vlookup(REGEXEXTRACT(C2889, ""🏘️ \w+ \w+ (.*) ✅""),'Country prepositions'!A:B, 2, 0) &amp; "" "" &amp; REGEXEXTRACT(C2889, ""🏘️ \w+ \w+ (.*) ✅"") ,  if(H2889=""quartier"",vlookup(REGEXEXTRACT(C2889, ""🏘️ \w+ \w+ (.*) ✅""),'Quartier prepositio"&amp;"ns'!A:E, 5, 0) ,  if(H2889=""region"",vlookup(REGEXEXTRACT(C2889, ""🏘️ \w+ \w+ (.*) ✅""),'Region prepositions'!B:F, 5, 0),  REGEXEXTRACT(C2889, ""🏘️ \w+ \w+ (.*) ✅""))))"),"Elsau")</f>
        <v>Elsau</v>
      </c>
      <c r="F2889" s="2" t="str">
        <f>IFERROR(__xludf.DUMMYFUNCTION("REGEXEXTRACT(C2889, ""🏘️ (\w+) \w+ .* ✅"")"),"Vendre")</f>
        <v>Vendre</v>
      </c>
      <c r="G2889" s="2" t="str">
        <f>IFERROR(__xludf.DUMMYFUNCTION("REGEXEXTRACT(C2889, ""🏘️ \w+ (\w+) .* ✅"")"),"maison")</f>
        <v>maison</v>
      </c>
      <c r="H2889" s="4" t="str">
        <f>IFERROR(__xludf.DUMMYFUNCTION("REGEXEXTRACT(A2889, ""/(\w+)-.*?"")"),"lieu")</f>
        <v>lieu</v>
      </c>
      <c r="I2889" s="4" t="str">
        <f>IFERROR(__xludf.DUMMYFUNCTION("if(D2889=""variant"",  substitute(filter(Templates!E:E, Templates!A:A = F2889, Templates!B:B = G2889, Templates!C:C = H2889), ""{{}}"", E2889), B2889)"),"🏘  Vous souhaitez acheter une maison à Elsau? ✅ Jetez un œil aux dernières offres sur ImmoScout24.ch.")</f>
        <v>🏘  Vous souhaitez acheter une maison à Elsau? ✅ Jetez un œil aux dernières offres sur ImmoScout24.ch.</v>
      </c>
      <c r="J2889" s="4" t="s">
        <v>8662</v>
      </c>
    </row>
    <row r="2890">
      <c r="A2890" s="5" t="s">
        <v>8663</v>
      </c>
      <c r="B2890" s="2" t="s">
        <v>8664</v>
      </c>
      <c r="C2890" s="4" t="str">
        <f>IFERROR(__xludf.DUMMYFUNCTION("""🏘️ ""&amp;REGEXEXTRACT(B2890, ""^(.*): "")&amp;"" ✅ "" &amp;REGEXEXTRACT(B2890, ""(Trouvez.*)"")"),"🏘️ Vendre appartement Knonaueramt ✅ Trouvez le bien immobilier qui correspond idéalement à vos désirs sur ImmoScout24 - La plateforme de l'immobilier en Suisse.")</f>
        <v>🏘️ Vendre appartement Knonaueramt ✅ Trouvez le bien immobilier qui correspond idéalement à vos désirs sur ImmoScout24 - La plateforme de l'immobilier en Suisse.</v>
      </c>
      <c r="D2890" s="4" t="str">
        <f>vlookup(A2890, Sheet2!D:E, 2, 0)</f>
        <v>variant</v>
      </c>
      <c r="E2890" s="4" t="str">
        <f>IFERROR(__xludf.DUMMYFUNCTION("if(H2890=""pays"",vlookup(REGEXEXTRACT(C2890, ""🏘️ \w+ \w+ (.*) ✅""),'Country prepositions'!A:B, 2, 0) &amp; "" "" &amp; REGEXEXTRACT(C2890, ""🏘️ \w+ \w+ (.*) ✅"") ,  if(H2890=""quartier"",vlookup(REGEXEXTRACT(C2890, ""🏘️ \w+ \w+ (.*) ✅""),'Quartier prepositio"&amp;"ns'!A:E, 5, 0) ,  if(H2890=""region"",vlookup(REGEXEXTRACT(C2890, ""🏘️ \w+ \w+ (.*) ✅""),'Region prepositions'!B:F, 5, 0),  REGEXEXTRACT(C2890, ""🏘️ \w+ \w+ (.*) ✅""))))"),"dans le district d'Affoltern")</f>
        <v>dans le district d'Affoltern</v>
      </c>
      <c r="F2890" s="2" t="str">
        <f>IFERROR(__xludf.DUMMYFUNCTION("REGEXEXTRACT(C2890, ""🏘️ (\w+) \w+ .* ✅"")"),"Vendre")</f>
        <v>Vendre</v>
      </c>
      <c r="G2890" s="2" t="str">
        <f>IFERROR(__xludf.DUMMYFUNCTION("REGEXEXTRACT(C2890, ""🏘️ \w+ (\w+) .* ✅"")"),"appartement")</f>
        <v>appartement</v>
      </c>
      <c r="H2890" s="4" t="str">
        <f>IFERROR(__xludf.DUMMYFUNCTION("REGEXEXTRACT(A2890, ""/(\w+)-.*?"")"),"region")</f>
        <v>region</v>
      </c>
      <c r="I2890" s="4" t="str">
        <f>IFERROR(__xludf.DUMMYFUNCTION("if(D2890=""variant"",  substitute(filter(Templates!E:E, Templates!A:A = F2890, Templates!B:B = G2890, Templates!C:C = H2890), ""{{}}"", E2890), B2890)"),"🏘  L’appartement de vos rêves se trouve sur ImmoScout24.ch ✅ Découvrez les dernières annonces de vente dans le district d'Affoltern.")</f>
        <v>🏘  L’appartement de vos rêves se trouve sur ImmoScout24.ch ✅ Découvrez les dernières annonces de vente dans le district d'Affoltern.</v>
      </c>
      <c r="J2890" s="4" t="s">
        <v>8665</v>
      </c>
    </row>
    <row r="2891">
      <c r="A2891" s="5" t="s">
        <v>8666</v>
      </c>
      <c r="B2891" s="2" t="s">
        <v>8667</v>
      </c>
      <c r="C2891" s="4" t="str">
        <f>IFERROR(__xludf.DUMMYFUNCTION("""🏘️ ""&amp;REGEXEXTRACT(B2891, ""^(.*): "")&amp;"" ✅ "" &amp;REGEXEXTRACT(B2891, ""(Trouvez.*)"")"),"🏘️ Louer appartement Epauvillers ✅ Trouvez le bien immobilier qui correspond idéalement à vos désirs sur ImmoScout24 - La plateforme de l'immobilier en Suisse.")</f>
        <v>🏘️ Louer appartement Epauvillers ✅ Trouvez le bien immobilier qui correspond idéalement à vos désirs sur ImmoScout24 - La plateforme de l'immobilier en Suisse.</v>
      </c>
      <c r="D2891" s="4" t="str">
        <f>vlookup(A2891, Sheet2!D:E, 2, 0)</f>
        <v>variant</v>
      </c>
      <c r="E2891" s="4" t="str">
        <f>IFERROR(__xludf.DUMMYFUNCTION("if(H2891=""pays"",vlookup(REGEXEXTRACT(C2891, ""🏘️ \w+ \w+ (.*) ✅""),'Country prepositions'!A:B, 2, 0) &amp; "" "" &amp; REGEXEXTRACT(C2891, ""🏘️ \w+ \w+ (.*) ✅"") ,  if(H2891=""quartier"",vlookup(REGEXEXTRACT(C2891, ""🏘️ \w+ \w+ (.*) ✅""),'Quartier prepositio"&amp;"ns'!A:E, 5, 0) ,  if(H2891=""region"",vlookup(REGEXEXTRACT(C2891, ""🏘️ \w+ \w+ (.*) ✅""),'Region prepositions'!B:F, 5, 0),  REGEXEXTRACT(C2891, ""🏘️ \w+ \w+ (.*) ✅""))))"),"Epauvillers")</f>
        <v>Epauvillers</v>
      </c>
      <c r="F2891" s="2" t="str">
        <f>IFERROR(__xludf.DUMMYFUNCTION("REGEXEXTRACT(C2891, ""🏘️ (\w+) \w+ .* ✅"")"),"Louer")</f>
        <v>Louer</v>
      </c>
      <c r="G2891" s="2" t="str">
        <f>IFERROR(__xludf.DUMMYFUNCTION("REGEXEXTRACT(C2891, ""🏘️ \w+ (\w+) .* ✅"")"),"appartement")</f>
        <v>appartement</v>
      </c>
      <c r="H2891" s="4" t="str">
        <f>IFERROR(__xludf.DUMMYFUNCTION("REGEXEXTRACT(A2891, ""/(\w+)-.*?"")"),"lieu")</f>
        <v>lieu</v>
      </c>
      <c r="I2891" s="4" t="str">
        <f>IFERROR(__xludf.DUMMYFUNCTION("if(D2891=""variant"",  substitute(filter(Templates!E:E, Templates!A:A = F2891, Templates!B:B = G2891, Templates!C:C = H2891), ""{{}}"", E2891), B2891)"),"🏘  Vous cherchez un appartement à louer à Epauvillers? ✅ Les annonces les plus actuelles sont sur ImmoScout24.ch.")</f>
        <v>🏘  Vous cherchez un appartement à louer à Epauvillers? ✅ Les annonces les plus actuelles sont sur ImmoScout24.ch.</v>
      </c>
      <c r="J2891" s="4" t="s">
        <v>8668</v>
      </c>
    </row>
    <row r="2892">
      <c r="A2892" s="5" t="s">
        <v>8669</v>
      </c>
      <c r="B2892" s="2" t="s">
        <v>8670</v>
      </c>
      <c r="C2892" s="4" t="str">
        <f>IFERROR(__xludf.DUMMYFUNCTION("""🏘️ ""&amp;REGEXEXTRACT(B2892, ""^(.*): "")&amp;"" ✅ "" &amp;REGEXEXTRACT(B2892, ""(Trouvez.*)"")"),"🏘️ Louer maison Bournens ✅ Trouvez le bien immobilier qui correspond idéalement à vos désirs sur ImmoScout24 - La plateforme de l'immobilier en Suisse.")</f>
        <v>🏘️ Louer maison Bournens ✅ Trouvez le bien immobilier qui correspond idéalement à vos désirs sur ImmoScout24 - La plateforme de l'immobilier en Suisse.</v>
      </c>
      <c r="D2892" s="4" t="str">
        <f>vlookup(A2892, Sheet2!D:E, 2, 0)</f>
        <v>variant</v>
      </c>
      <c r="E2892" s="4" t="str">
        <f>IFERROR(__xludf.DUMMYFUNCTION("if(H2892=""pays"",vlookup(REGEXEXTRACT(C2892, ""🏘️ \w+ \w+ (.*) ✅""),'Country prepositions'!A:B, 2, 0) &amp; "" "" &amp; REGEXEXTRACT(C2892, ""🏘️ \w+ \w+ (.*) ✅"") ,  if(H2892=""quartier"",vlookup(REGEXEXTRACT(C2892, ""🏘️ \w+ \w+ (.*) ✅""),'Quartier prepositio"&amp;"ns'!A:E, 5, 0) ,  if(H2892=""region"",vlookup(REGEXEXTRACT(C2892, ""🏘️ \w+ \w+ (.*) ✅""),'Region prepositions'!B:F, 5, 0),  REGEXEXTRACT(C2892, ""🏘️ \w+ \w+ (.*) ✅""))))"),"Bournens")</f>
        <v>Bournens</v>
      </c>
      <c r="F2892" s="2" t="str">
        <f>IFERROR(__xludf.DUMMYFUNCTION("REGEXEXTRACT(C2892, ""🏘️ (\w+) \w+ .* ✅"")"),"Louer")</f>
        <v>Louer</v>
      </c>
      <c r="G2892" s="2" t="str">
        <f>IFERROR(__xludf.DUMMYFUNCTION("REGEXEXTRACT(C2892, ""🏘️ \w+ (\w+) .* ✅"")"),"maison")</f>
        <v>maison</v>
      </c>
      <c r="H2892" s="4" t="str">
        <f>IFERROR(__xludf.DUMMYFUNCTION("REGEXEXTRACT(A2892, ""/(\w+)-.*?"")"),"lieu")</f>
        <v>lieu</v>
      </c>
      <c r="I2892" s="4" t="str">
        <f>IFERROR(__xludf.DUMMYFUNCTION("if(D2892=""variant"",  substitute(filter(Templates!E:E, Templates!A:A = F2892, Templates!B:B = G2892, Templates!C:C = H2892), ""{{}}"", E2892), B2892)"),"🏘  Vous cherchez une maison à louer à Bournens? ✅ Découvrez nos nombreuses annonces sur ImmoScout24.ch.")</f>
        <v>🏘  Vous cherchez une maison à louer à Bournens? ✅ Découvrez nos nombreuses annonces sur ImmoScout24.ch.</v>
      </c>
      <c r="J2892" s="4" t="s">
        <v>8671</v>
      </c>
    </row>
    <row r="2893">
      <c r="A2893" s="5" t="s">
        <v>8672</v>
      </c>
      <c r="B2893" s="2" t="s">
        <v>8673</v>
      </c>
      <c r="C2893" s="4" t="str">
        <f>IFERROR(__xludf.DUMMYFUNCTION("""🏘️ ""&amp;REGEXEXTRACT(B2893, ""^(.*): "")&amp;"" ✅ "" &amp;REGEXEXTRACT(B2893, ""(Trouvez.*)"")"),"🏘️ Louer appartement Chavannes-le-Chêne ✅ Trouvez le bien immobilier qui correspond idéalement à vos désirs sur ImmoScout24 - La plateforme de l'immobilier en Suisse.")</f>
        <v>🏘️ Louer appartement Chavannes-le-Chêne ✅ Trouvez le bien immobilier qui correspond idéalement à vos désirs sur ImmoScout24 - La plateforme de l'immobilier en Suisse.</v>
      </c>
      <c r="D2893" s="4" t="str">
        <f>vlookup(A2893, Sheet2!D:E, 2, 0)</f>
        <v>variant</v>
      </c>
      <c r="E2893" s="4" t="str">
        <f>IFERROR(__xludf.DUMMYFUNCTION("if(H2893=""pays"",vlookup(REGEXEXTRACT(C2893, ""🏘️ \w+ \w+ (.*) ✅""),'Country prepositions'!A:B, 2, 0) &amp; "" "" &amp; REGEXEXTRACT(C2893, ""🏘️ \w+ \w+ (.*) ✅"") ,  if(H2893=""quartier"",vlookup(REGEXEXTRACT(C2893, ""🏘️ \w+ \w+ (.*) ✅""),'Quartier prepositio"&amp;"ns'!A:E, 5, 0) ,  if(H2893=""region"",vlookup(REGEXEXTRACT(C2893, ""🏘️ \w+ \w+ (.*) ✅""),'Region prepositions'!B:F, 5, 0),  REGEXEXTRACT(C2893, ""🏘️ \w+ \w+ (.*) ✅""))))"),"Chavannes-le-Chêne")</f>
        <v>Chavannes-le-Chêne</v>
      </c>
      <c r="F2893" s="2" t="str">
        <f>IFERROR(__xludf.DUMMYFUNCTION("REGEXEXTRACT(C2893, ""🏘️ (\w+) \w+ .* ✅"")"),"Louer")</f>
        <v>Louer</v>
      </c>
      <c r="G2893" s="2" t="str">
        <f>IFERROR(__xludf.DUMMYFUNCTION("REGEXEXTRACT(C2893, ""🏘️ \w+ (\w+) .* ✅"")"),"appartement")</f>
        <v>appartement</v>
      </c>
      <c r="H2893" s="4" t="str">
        <f>IFERROR(__xludf.DUMMYFUNCTION("REGEXEXTRACT(A2893, ""/(\w+)-.*?"")"),"lieu")</f>
        <v>lieu</v>
      </c>
      <c r="I2893" s="4" t="str">
        <f>IFERROR(__xludf.DUMMYFUNCTION("if(D2893=""variant"",  substitute(filter(Templates!E:E, Templates!A:A = F2893, Templates!B:B = G2893, Templates!C:C = H2893), ""{{}}"", E2893), B2893)"),"🏘  Vous cherchez un appartement à louer à Chavannes-le-Chêne? ✅ Les annonces les plus actuelles sont sur ImmoScout24.ch.")</f>
        <v>🏘  Vous cherchez un appartement à louer à Chavannes-le-Chêne? ✅ Les annonces les plus actuelles sont sur ImmoScout24.ch.</v>
      </c>
      <c r="J2893" s="4" t="s">
        <v>8674</v>
      </c>
    </row>
    <row r="2894">
      <c r="A2894" s="5" t="s">
        <v>8675</v>
      </c>
      <c r="B2894" s="2" t="s">
        <v>8676</v>
      </c>
      <c r="C2894" s="4" t="str">
        <f>IFERROR(__xludf.DUMMYFUNCTION("""🏘️ ""&amp;REGEXEXTRACT(B2894, ""^(.*): "")&amp;"" ✅ "" &amp;REGEXEXTRACT(B2894, ""(Trouvez.*)"")"),"🏘️ Louer appartement Romanel-sur-Lausanne ✅ Trouvez le bien immobilier qui correspond idéalement à vos désirs sur ImmoScout24 - La plateforme de l'immobilier en Suisse.")</f>
        <v>🏘️ Louer appartement Romanel-sur-Lausanne ✅ Trouvez le bien immobilier qui correspond idéalement à vos désirs sur ImmoScout24 - La plateforme de l'immobilier en Suisse.</v>
      </c>
      <c r="D2894" s="4" t="str">
        <f>vlookup(A2894, Sheet2!D:E, 2, 0)</f>
        <v>variant</v>
      </c>
      <c r="E2894" s="4" t="str">
        <f>IFERROR(__xludf.DUMMYFUNCTION("if(H2894=""pays"",vlookup(REGEXEXTRACT(C2894, ""🏘️ \w+ \w+ (.*) ✅""),'Country prepositions'!A:B, 2, 0) &amp; "" "" &amp; REGEXEXTRACT(C2894, ""🏘️ \w+ \w+ (.*) ✅"") ,  if(H2894=""quartier"",vlookup(REGEXEXTRACT(C2894, ""🏘️ \w+ \w+ (.*) ✅""),'Quartier prepositio"&amp;"ns'!A:E, 5, 0) ,  if(H2894=""region"",vlookup(REGEXEXTRACT(C2894, ""🏘️ \w+ \w+ (.*) ✅""),'Region prepositions'!B:F, 5, 0),  REGEXEXTRACT(C2894, ""🏘️ \w+ \w+ (.*) ✅""))))"),"Romanel-sur-Lausanne")</f>
        <v>Romanel-sur-Lausanne</v>
      </c>
      <c r="F2894" s="2" t="str">
        <f>IFERROR(__xludf.DUMMYFUNCTION("REGEXEXTRACT(C2894, ""🏘️ (\w+) \w+ .* ✅"")"),"Louer")</f>
        <v>Louer</v>
      </c>
      <c r="G2894" s="2" t="str">
        <f>IFERROR(__xludf.DUMMYFUNCTION("REGEXEXTRACT(C2894, ""🏘️ \w+ (\w+) .* ✅"")"),"appartement")</f>
        <v>appartement</v>
      </c>
      <c r="H2894" s="4" t="str">
        <f>IFERROR(__xludf.DUMMYFUNCTION("REGEXEXTRACT(A2894, ""/(\w+)-.*?"")"),"lieu")</f>
        <v>lieu</v>
      </c>
      <c r="I2894" s="4" t="str">
        <f>IFERROR(__xludf.DUMMYFUNCTION("if(D2894=""variant"",  substitute(filter(Templates!E:E, Templates!A:A = F2894, Templates!B:B = G2894, Templates!C:C = H2894), ""{{}}"", E2894), B2894)"),"🏘  Vous cherchez un appartement à louer à Romanel-sur-Lausanne? ✅ Les annonces les plus actuelles sont sur ImmoScout24.ch.")</f>
        <v>🏘  Vous cherchez un appartement à louer à Romanel-sur-Lausanne? ✅ Les annonces les plus actuelles sont sur ImmoScout24.ch.</v>
      </c>
      <c r="J2894" s="4" t="s">
        <v>8677</v>
      </c>
    </row>
    <row r="2895">
      <c r="A2895" s="5" t="s">
        <v>8678</v>
      </c>
      <c r="B2895" s="2" t="s">
        <v>8679</v>
      </c>
      <c r="C2895" s="4" t="str">
        <f>IFERROR(__xludf.DUMMYFUNCTION("""🏘️ ""&amp;REGEXEXTRACT(B2895, ""^(.*): "")&amp;"" ✅ "" &amp;REGEXEXTRACT(B2895, ""(Trouvez.*)"")"),"🏘️ Vendre appartement Suchy ✅ Trouvez le bien immobilier qui correspond idéalement à vos désirs sur ImmoScout24 - La plateforme de l'immobilier en Suisse.")</f>
        <v>🏘️ Vendre appartement Suchy ✅ Trouvez le bien immobilier qui correspond idéalement à vos désirs sur ImmoScout24 - La plateforme de l'immobilier en Suisse.</v>
      </c>
      <c r="D2895" s="4" t="str">
        <f>vlookup(A2895, Sheet2!D:E, 2, 0)</f>
        <v>variant</v>
      </c>
      <c r="E2895" s="4" t="str">
        <f>IFERROR(__xludf.DUMMYFUNCTION("if(H2895=""pays"",vlookup(REGEXEXTRACT(C2895, ""🏘️ \w+ \w+ (.*) ✅""),'Country prepositions'!A:B, 2, 0) &amp; "" "" &amp; REGEXEXTRACT(C2895, ""🏘️ \w+ \w+ (.*) ✅"") ,  if(H2895=""quartier"",vlookup(REGEXEXTRACT(C2895, ""🏘️ \w+ \w+ (.*) ✅""),'Quartier prepositio"&amp;"ns'!A:E, 5, 0) ,  if(H2895=""region"",vlookup(REGEXEXTRACT(C2895, ""🏘️ \w+ \w+ (.*) ✅""),'Region prepositions'!B:F, 5, 0),  REGEXEXTRACT(C2895, ""🏘️ \w+ \w+ (.*) ✅""))))"),"Suchy")</f>
        <v>Suchy</v>
      </c>
      <c r="F2895" s="2" t="str">
        <f>IFERROR(__xludf.DUMMYFUNCTION("REGEXEXTRACT(C2895, ""🏘️ (\w+) \w+ .* ✅"")"),"Vendre")</f>
        <v>Vendre</v>
      </c>
      <c r="G2895" s="2" t="str">
        <f>IFERROR(__xludf.DUMMYFUNCTION("REGEXEXTRACT(C2895, ""🏘️ \w+ (\w+) .* ✅"")"),"appartement")</f>
        <v>appartement</v>
      </c>
      <c r="H2895" s="4" t="str">
        <f>IFERROR(__xludf.DUMMYFUNCTION("REGEXEXTRACT(A2895, ""/(\w+)-.*?"")"),"lieu")</f>
        <v>lieu</v>
      </c>
      <c r="I2895" s="4" t="str">
        <f>IFERROR(__xludf.DUMMYFUNCTION("if(D2895=""variant"",  substitute(filter(Templates!E:E, Templates!A:A = F2895, Templates!B:B = G2895, Templates!C:C = H2895), ""{{}}"", E2895), B2895)"),"🏘  L’appartement de vos rêves se trouve sur ImmoScout24.ch ✅ Découvrez les dernières annonces de vente à Suchy.")</f>
        <v>🏘  L’appartement de vos rêves se trouve sur ImmoScout24.ch ✅ Découvrez les dernières annonces de vente à Suchy.</v>
      </c>
      <c r="J2895" s="4" t="s">
        <v>8680</v>
      </c>
    </row>
    <row r="2896">
      <c r="A2896" s="5" t="s">
        <v>8681</v>
      </c>
      <c r="B2896" s="2" t="s">
        <v>8682</v>
      </c>
      <c r="C2896" s="4" t="str">
        <f>IFERROR(__xludf.DUMMYFUNCTION("""🏘️ ""&amp;REGEXEXTRACT(B2896, ""^(.*): "")&amp;"" ✅ "" &amp;REGEXEXTRACT(B2896, ""(Trouvez.*)"")"),"🏘️ Louer appartement St-Aubin-Sauges ✅ Trouvez le bien immobilier qui correspond idéalement à vos désirs sur ImmoScout24 - La plateforme de l'immobilier en Suisse.")</f>
        <v>🏘️ Louer appartement St-Aubin-Sauges ✅ Trouvez le bien immobilier qui correspond idéalement à vos désirs sur ImmoScout24 - La plateforme de l'immobilier en Suisse.</v>
      </c>
      <c r="D2896" s="4" t="str">
        <f>vlookup(A2896, Sheet2!D:E, 2, 0)</f>
        <v>variant</v>
      </c>
      <c r="E2896" s="4" t="str">
        <f>IFERROR(__xludf.DUMMYFUNCTION("if(H2896=""pays"",vlookup(REGEXEXTRACT(C2896, ""🏘️ \w+ \w+ (.*) ✅""),'Country prepositions'!A:B, 2, 0) &amp; "" "" &amp; REGEXEXTRACT(C2896, ""🏘️ \w+ \w+ (.*) ✅"") ,  if(H2896=""quartier"",vlookup(REGEXEXTRACT(C2896, ""🏘️ \w+ \w+ (.*) ✅""),'Quartier prepositio"&amp;"ns'!A:E, 5, 0) ,  if(H2896=""region"",vlookup(REGEXEXTRACT(C2896, ""🏘️ \w+ \w+ (.*) ✅""),'Region prepositions'!B:F, 5, 0),  REGEXEXTRACT(C2896, ""🏘️ \w+ \w+ (.*) ✅""))))"),"St-Aubin-Sauges")</f>
        <v>St-Aubin-Sauges</v>
      </c>
      <c r="F2896" s="2" t="str">
        <f>IFERROR(__xludf.DUMMYFUNCTION("REGEXEXTRACT(C2896, ""🏘️ (\w+) \w+ .* ✅"")"),"Louer")</f>
        <v>Louer</v>
      </c>
      <c r="G2896" s="2" t="str">
        <f>IFERROR(__xludf.DUMMYFUNCTION("REGEXEXTRACT(C2896, ""🏘️ \w+ (\w+) .* ✅"")"),"appartement")</f>
        <v>appartement</v>
      </c>
      <c r="H2896" s="4" t="str">
        <f>IFERROR(__xludf.DUMMYFUNCTION("REGEXEXTRACT(A2896, ""/(\w+)-.*?"")"),"lieu")</f>
        <v>lieu</v>
      </c>
      <c r="I2896" s="4" t="str">
        <f>IFERROR(__xludf.DUMMYFUNCTION("if(D2896=""variant"",  substitute(filter(Templates!E:E, Templates!A:A = F2896, Templates!B:B = G2896, Templates!C:C = H2896), ""{{}}"", E2896), B2896)"),"🏘  Vous cherchez un appartement à louer à St-Aubin-Sauges? ✅ Les annonces les plus actuelles sont sur ImmoScout24.ch.")</f>
        <v>🏘  Vous cherchez un appartement à louer à St-Aubin-Sauges? ✅ Les annonces les plus actuelles sont sur ImmoScout24.ch.</v>
      </c>
      <c r="J2896" s="4" t="s">
        <v>8683</v>
      </c>
    </row>
    <row r="2897">
      <c r="A2897" s="5" t="s">
        <v>8684</v>
      </c>
      <c r="B2897" s="2" t="s">
        <v>8685</v>
      </c>
      <c r="C2897" s="4" t="str">
        <f>IFERROR(__xludf.DUMMYFUNCTION("""🏘️ ""&amp;REGEXEXTRACT(B2897, ""^(.*): "")&amp;"" ✅ "" &amp;REGEXEXTRACT(B2897, ""(Trouvez.*)"")"),"🏘️ Vendre maison Verbier ✅ Trouvez le bien immobilier qui correspond idéalement à vos désirs sur ImmoScout24 - La plateforme de l'immobilier en Suisse.")</f>
        <v>🏘️ Vendre maison Verbier ✅ Trouvez le bien immobilier qui correspond idéalement à vos désirs sur ImmoScout24 - La plateforme de l'immobilier en Suisse.</v>
      </c>
      <c r="D2897" s="4" t="str">
        <f>vlookup(A2897, Sheet2!D:E, 2, 0)</f>
        <v>variant</v>
      </c>
      <c r="E2897" s="4" t="str">
        <f>IFERROR(__xludf.DUMMYFUNCTION("if(H2897=""pays"",vlookup(REGEXEXTRACT(C2897, ""🏘️ \w+ \w+ (.*) ✅""),'Country prepositions'!A:B, 2, 0) &amp; "" "" &amp; REGEXEXTRACT(C2897, ""🏘️ \w+ \w+ (.*) ✅"") ,  if(H2897=""quartier"",vlookup(REGEXEXTRACT(C2897, ""🏘️ \w+ \w+ (.*) ✅""),'Quartier prepositio"&amp;"ns'!A:E, 5, 0) ,  if(H2897=""region"",vlookup(REGEXEXTRACT(C2897, ""🏘️ \w+ \w+ (.*) ✅""),'Region prepositions'!B:F, 5, 0),  REGEXEXTRACT(C2897, ""🏘️ \w+ \w+ (.*) ✅""))))"),"Verbier")</f>
        <v>Verbier</v>
      </c>
      <c r="F2897" s="2" t="str">
        <f>IFERROR(__xludf.DUMMYFUNCTION("REGEXEXTRACT(C2897, ""🏘️ (\w+) \w+ .* ✅"")"),"Vendre")</f>
        <v>Vendre</v>
      </c>
      <c r="G2897" s="2" t="str">
        <f>IFERROR(__xludf.DUMMYFUNCTION("REGEXEXTRACT(C2897, ""🏘️ \w+ (\w+) .* ✅"")"),"maison")</f>
        <v>maison</v>
      </c>
      <c r="H2897" s="4" t="str">
        <f>IFERROR(__xludf.DUMMYFUNCTION("REGEXEXTRACT(A2897, ""/(\w+)-.*?"")"),"lieu")</f>
        <v>lieu</v>
      </c>
      <c r="I2897" s="4" t="str">
        <f>IFERROR(__xludf.DUMMYFUNCTION("if(D2897=""variant"",  substitute(filter(Templates!E:E, Templates!A:A = F2897, Templates!B:B = G2897, Templates!C:C = H2897), ""{{}}"", E2897), B2897)"),"🏘  Vous souhaitez acheter une maison à Verbier? ✅ Jetez un œil aux dernières offres sur ImmoScout24.ch.")</f>
        <v>🏘  Vous souhaitez acheter une maison à Verbier? ✅ Jetez un œil aux dernières offres sur ImmoScout24.ch.</v>
      </c>
      <c r="J2897" s="4" t="s">
        <v>8686</v>
      </c>
    </row>
    <row r="2898">
      <c r="A2898" s="5" t="s">
        <v>8687</v>
      </c>
      <c r="B2898" s="2" t="s">
        <v>8688</v>
      </c>
      <c r="C2898" s="4" t="str">
        <f>IFERROR(__xludf.DUMMYFUNCTION("""🏘️ ""&amp;REGEXEXTRACT(B2898, ""^(.*): "")&amp;"" ✅ "" &amp;REGEXEXTRACT(B2898, ""(Trouvez.*)"")"),"🏘️ Vendre maison Morlon ✅ Trouvez le bien immobilier qui correspond idéalement à vos désirs sur ImmoScout24 - La plateforme de l'immobilier en Suisse.")</f>
        <v>🏘️ Vendre maison Morlon ✅ Trouvez le bien immobilier qui correspond idéalement à vos désirs sur ImmoScout24 - La plateforme de l'immobilier en Suisse.</v>
      </c>
      <c r="D2898" s="4" t="str">
        <f>vlookup(A2898, Sheet2!D:E, 2, 0)</f>
        <v>variant</v>
      </c>
      <c r="E2898" s="4" t="str">
        <f>IFERROR(__xludf.DUMMYFUNCTION("if(H2898=""pays"",vlookup(REGEXEXTRACT(C2898, ""🏘️ \w+ \w+ (.*) ✅""),'Country prepositions'!A:B, 2, 0) &amp; "" "" &amp; REGEXEXTRACT(C2898, ""🏘️ \w+ \w+ (.*) ✅"") ,  if(H2898=""quartier"",vlookup(REGEXEXTRACT(C2898, ""🏘️ \w+ \w+ (.*) ✅""),'Quartier prepositio"&amp;"ns'!A:E, 5, 0) ,  if(H2898=""region"",vlookup(REGEXEXTRACT(C2898, ""🏘️ \w+ \w+ (.*) ✅""),'Region prepositions'!B:F, 5, 0),  REGEXEXTRACT(C2898, ""🏘️ \w+ \w+ (.*) ✅""))))"),"Morlon")</f>
        <v>Morlon</v>
      </c>
      <c r="F2898" s="2" t="str">
        <f>IFERROR(__xludf.DUMMYFUNCTION("REGEXEXTRACT(C2898, ""🏘️ (\w+) \w+ .* ✅"")"),"Vendre")</f>
        <v>Vendre</v>
      </c>
      <c r="G2898" s="2" t="str">
        <f>IFERROR(__xludf.DUMMYFUNCTION("REGEXEXTRACT(C2898, ""🏘️ \w+ (\w+) .* ✅"")"),"maison")</f>
        <v>maison</v>
      </c>
      <c r="H2898" s="4" t="str">
        <f>IFERROR(__xludf.DUMMYFUNCTION("REGEXEXTRACT(A2898, ""/(\w+)-.*?"")"),"lieu")</f>
        <v>lieu</v>
      </c>
      <c r="I2898" s="4" t="str">
        <f>IFERROR(__xludf.DUMMYFUNCTION("if(D2898=""variant"",  substitute(filter(Templates!E:E, Templates!A:A = F2898, Templates!B:B = G2898, Templates!C:C = H2898), ""{{}}"", E2898), B2898)"),"🏘  Vous souhaitez acheter une maison à Morlon? ✅ Jetez un œil aux dernières offres sur ImmoScout24.ch.")</f>
        <v>🏘  Vous souhaitez acheter une maison à Morlon? ✅ Jetez un œil aux dernières offres sur ImmoScout24.ch.</v>
      </c>
      <c r="J2898" s="4" t="s">
        <v>8689</v>
      </c>
    </row>
    <row r="2899">
      <c r="A2899" s="5" t="s">
        <v>8690</v>
      </c>
      <c r="B2899" s="2" t="s">
        <v>8691</v>
      </c>
      <c r="C2899" s="4" t="str">
        <f>IFERROR(__xludf.DUMMYFUNCTION("""🏘️ ""&amp;REGEXEXTRACT(B2899, ""^(.*): "")&amp;"" ✅ "" &amp;REGEXEXTRACT(B2899, ""(Trouvez.*)"")"),"🏘️ Louer maison Basse-Nendaz ✅ Trouvez le bien immobilier qui correspond idéalement à vos désirs sur ImmoScout24 - La plateforme de l'immobilier en Suisse.")</f>
        <v>🏘️ Louer maison Basse-Nendaz ✅ Trouvez le bien immobilier qui correspond idéalement à vos désirs sur ImmoScout24 - La plateforme de l'immobilier en Suisse.</v>
      </c>
      <c r="D2899" s="4" t="str">
        <f>vlookup(A2899, Sheet2!D:E, 2, 0)</f>
        <v>variant</v>
      </c>
      <c r="E2899" s="4" t="str">
        <f>IFERROR(__xludf.DUMMYFUNCTION("if(H2899=""pays"",vlookup(REGEXEXTRACT(C2899, ""🏘️ \w+ \w+ (.*) ✅""),'Country prepositions'!A:B, 2, 0) &amp; "" "" &amp; REGEXEXTRACT(C2899, ""🏘️ \w+ \w+ (.*) ✅"") ,  if(H2899=""quartier"",vlookup(REGEXEXTRACT(C2899, ""🏘️ \w+ \w+ (.*) ✅""),'Quartier prepositio"&amp;"ns'!A:E, 5, 0) ,  if(H2899=""region"",vlookup(REGEXEXTRACT(C2899, ""🏘️ \w+ \w+ (.*) ✅""),'Region prepositions'!B:F, 5, 0),  REGEXEXTRACT(C2899, ""🏘️ \w+ \w+ (.*) ✅""))))"),"Basse-Nendaz")</f>
        <v>Basse-Nendaz</v>
      </c>
      <c r="F2899" s="2" t="str">
        <f>IFERROR(__xludf.DUMMYFUNCTION("REGEXEXTRACT(C2899, ""🏘️ (\w+) \w+ .* ✅"")"),"Louer")</f>
        <v>Louer</v>
      </c>
      <c r="G2899" s="2" t="str">
        <f>IFERROR(__xludf.DUMMYFUNCTION("REGEXEXTRACT(C2899, ""🏘️ \w+ (\w+) .* ✅"")"),"maison")</f>
        <v>maison</v>
      </c>
      <c r="H2899" s="4" t="str">
        <f>IFERROR(__xludf.DUMMYFUNCTION("REGEXEXTRACT(A2899, ""/(\w+)-.*?"")"),"lieu")</f>
        <v>lieu</v>
      </c>
      <c r="I2899" s="4" t="str">
        <f>IFERROR(__xludf.DUMMYFUNCTION("if(D2899=""variant"",  substitute(filter(Templates!E:E, Templates!A:A = F2899, Templates!B:B = G2899, Templates!C:C = H2899), ""{{}}"", E2899), B2899)"),"🏘  Vous cherchez une maison à louer à Basse-Nendaz? ✅ Découvrez nos nombreuses annonces sur ImmoScout24.ch.")</f>
        <v>🏘  Vous cherchez une maison à louer à Basse-Nendaz? ✅ Découvrez nos nombreuses annonces sur ImmoScout24.ch.</v>
      </c>
      <c r="J2899" s="4" t="s">
        <v>8692</v>
      </c>
    </row>
    <row r="2900">
      <c r="A2900" s="5" t="s">
        <v>8693</v>
      </c>
      <c r="B2900" s="2" t="s">
        <v>8694</v>
      </c>
      <c r="C2900" s="4" t="str">
        <f>IFERROR(__xludf.DUMMYFUNCTION("""🏘️ ""&amp;REGEXEXTRACT(B2900, ""^(.*): "")&amp;"" ✅ "" &amp;REGEXEXTRACT(B2900, ""(Trouvez.*)"")"),"🏘️ Vendre maison Courtion ✅ Trouvez le bien immobilier qui correspond idéalement à vos désirs sur ImmoScout24 - La plateforme de l'immobilier en Suisse.")</f>
        <v>🏘️ Vendre maison Courtion ✅ Trouvez le bien immobilier qui correspond idéalement à vos désirs sur ImmoScout24 - La plateforme de l'immobilier en Suisse.</v>
      </c>
      <c r="D2900" s="4" t="str">
        <f>vlookup(A2900, Sheet2!D:E, 2, 0)</f>
        <v>variant</v>
      </c>
      <c r="E2900" s="4" t="str">
        <f>IFERROR(__xludf.DUMMYFUNCTION("if(H2900=""pays"",vlookup(REGEXEXTRACT(C2900, ""🏘️ \w+ \w+ (.*) ✅""),'Country prepositions'!A:B, 2, 0) &amp; "" "" &amp; REGEXEXTRACT(C2900, ""🏘️ \w+ \w+ (.*) ✅"") ,  if(H2900=""quartier"",vlookup(REGEXEXTRACT(C2900, ""🏘️ \w+ \w+ (.*) ✅""),'Quartier prepositio"&amp;"ns'!A:E, 5, 0) ,  if(H2900=""region"",vlookup(REGEXEXTRACT(C2900, ""🏘️ \w+ \w+ (.*) ✅""),'Region prepositions'!B:F, 5, 0),  REGEXEXTRACT(C2900, ""🏘️ \w+ \w+ (.*) ✅""))))"),"Courtion")</f>
        <v>Courtion</v>
      </c>
      <c r="F2900" s="2" t="str">
        <f>IFERROR(__xludf.DUMMYFUNCTION("REGEXEXTRACT(C2900, ""🏘️ (\w+) \w+ .* ✅"")"),"Vendre")</f>
        <v>Vendre</v>
      </c>
      <c r="G2900" s="2" t="str">
        <f>IFERROR(__xludf.DUMMYFUNCTION("REGEXEXTRACT(C2900, ""🏘️ \w+ (\w+) .* ✅"")"),"maison")</f>
        <v>maison</v>
      </c>
      <c r="H2900" s="4" t="str">
        <f>IFERROR(__xludf.DUMMYFUNCTION("REGEXEXTRACT(A2900, ""/(\w+)-.*?"")"),"lieu")</f>
        <v>lieu</v>
      </c>
      <c r="I2900" s="4" t="str">
        <f>IFERROR(__xludf.DUMMYFUNCTION("if(D2900=""variant"",  substitute(filter(Templates!E:E, Templates!A:A = F2900, Templates!B:B = G2900, Templates!C:C = H2900), ""{{}}"", E2900), B2900)"),"🏘  Vous souhaitez acheter une maison à Courtion? ✅ Jetez un œil aux dernières offres sur ImmoScout24.ch.")</f>
        <v>🏘  Vous souhaitez acheter une maison à Courtion? ✅ Jetez un œil aux dernières offres sur ImmoScout24.ch.</v>
      </c>
      <c r="J2900" s="4" t="s">
        <v>8695</v>
      </c>
    </row>
    <row r="2901">
      <c r="A2901" s="5" t="s">
        <v>8696</v>
      </c>
      <c r="B2901" s="2" t="s">
        <v>8697</v>
      </c>
      <c r="C2901" s="4" t="str">
        <f>IFERROR(__xludf.DUMMYFUNCTION("""🏘️ ""&amp;REGEXEXTRACT(B2901, ""^(.*): "")&amp;"" ✅ "" &amp;REGEXEXTRACT(B2901, ""(Trouvez.*)"")"),"🏘️ Louer maison Canton d'Uri ✅ Trouvez le bien immobilier qui correspond idéalement à vos désirs sur ImmoScout24 - La plateforme de l'immobilier en Suisse.")</f>
        <v>🏘️ Louer maison Canton d'Uri ✅ Trouvez le bien immobilier qui correspond idéalement à vos désirs sur ImmoScout24 - La plateforme de l'immobilier en Suisse.</v>
      </c>
      <c r="D2901" s="4" t="str">
        <f>vlookup(A2901, Sheet2!D:E, 2, 0)</f>
        <v>variant</v>
      </c>
      <c r="E2901" s="4" t="str">
        <f>IFERROR(__xludf.DUMMYFUNCTION("if(H2901=""pays"",vlookup(REGEXEXTRACT(C2901, ""🏘️ \w+ \w+ (.*) ✅""),'Country prepositions'!A:B, 2, 0) &amp; "" "" &amp; REGEXEXTRACT(C2901, ""🏘️ \w+ \w+ (.*) ✅"") ,  if(H2901=""quartier"",vlookup(REGEXEXTRACT(C2901, ""🏘️ \w+ \w+ (.*) ✅""),'Quartier prepositio"&amp;"ns'!A:E, 5, 0) ,  if(H2901=""region"",vlookup(REGEXEXTRACT(C2901, ""🏘️ \w+ \w+ (.*) ✅""),'Region prepositions'!B:F, 5, 0),  REGEXEXTRACT(C2901, ""🏘️ \w+ \w+ (.*) ✅""))))"),"Canton d'Uri")</f>
        <v>Canton d'Uri</v>
      </c>
      <c r="F2901" s="2" t="str">
        <f>IFERROR(__xludf.DUMMYFUNCTION("REGEXEXTRACT(C2901, ""🏘️ (\w+) \w+ .* ✅"")"),"Louer")</f>
        <v>Louer</v>
      </c>
      <c r="G2901" s="2" t="str">
        <f>IFERROR(__xludf.DUMMYFUNCTION("REGEXEXTRACT(C2901, ""🏘️ \w+ (\w+) .* ✅"")"),"maison")</f>
        <v>maison</v>
      </c>
      <c r="H2901" s="4" t="str">
        <f>IFERROR(__xludf.DUMMYFUNCTION("REGEXEXTRACT(A2901, ""/(\w+)-.*?"")"),"canton")</f>
        <v>canton</v>
      </c>
      <c r="I2901" s="4" t="str">
        <f>IFERROR(__xludf.DUMMYFUNCTION("if(D2901=""variant"",  substitute(filter(Templates!E:E, Templates!A:A = F2901, Templates!B:B = G2901, Templates!C:C = H2901), ""{{}}"", E2901), B2901)"),"🏘  Vous cherchez une maison à louer dans le Canton d'Uri? ✅ Découvrez nos nombreuses annonces sur ImmoScout24.ch.")</f>
        <v>🏘  Vous cherchez une maison à louer dans le Canton d'Uri? ✅ Découvrez nos nombreuses annonces sur ImmoScout24.ch.</v>
      </c>
      <c r="J2901" s="4" t="s">
        <v>8698</v>
      </c>
    </row>
    <row r="2902">
      <c r="A2902" s="5" t="s">
        <v>8699</v>
      </c>
      <c r="B2902" s="2" t="s">
        <v>8700</v>
      </c>
      <c r="C2902" s="4" t="str">
        <f>IFERROR(__xludf.DUMMYFUNCTION("""🏘️ ""&amp;REGEXEXTRACT(B2902, ""^(.*): "")&amp;"" ✅ "" &amp;REGEXEXTRACT(B2902, ""(Trouvez.*)"")"),"🏘️ Louer appartement Reinach AG ✅ Trouvez le bien immobilier qui correspond idéalement à vos désirs sur ImmoScout24 - La plateforme de l'immobilier en Suisse.")</f>
        <v>🏘️ Louer appartement Reinach AG ✅ Trouvez le bien immobilier qui correspond idéalement à vos désirs sur ImmoScout24 - La plateforme de l'immobilier en Suisse.</v>
      </c>
      <c r="D2902" s="4" t="str">
        <f>vlookup(A2902, Sheet2!D:E, 2, 0)</f>
        <v>variant</v>
      </c>
      <c r="E2902" s="4" t="str">
        <f>IFERROR(__xludf.DUMMYFUNCTION("if(H2902=""pays"",vlookup(REGEXEXTRACT(C2902, ""🏘️ \w+ \w+ (.*) ✅""),'Country prepositions'!A:B, 2, 0) &amp; "" "" &amp; REGEXEXTRACT(C2902, ""🏘️ \w+ \w+ (.*) ✅"") ,  if(H2902=""quartier"",vlookup(REGEXEXTRACT(C2902, ""🏘️ \w+ \w+ (.*) ✅""),'Quartier prepositio"&amp;"ns'!A:E, 5, 0) ,  if(H2902=""region"",vlookup(REGEXEXTRACT(C2902, ""🏘️ \w+ \w+ (.*) ✅""),'Region prepositions'!B:F, 5, 0),  REGEXEXTRACT(C2902, ""🏘️ \w+ \w+ (.*) ✅""))))"),"Reinach AG")</f>
        <v>Reinach AG</v>
      </c>
      <c r="F2902" s="2" t="str">
        <f>IFERROR(__xludf.DUMMYFUNCTION("REGEXEXTRACT(C2902, ""🏘️ (\w+) \w+ .* ✅"")"),"Louer")</f>
        <v>Louer</v>
      </c>
      <c r="G2902" s="2" t="str">
        <f>IFERROR(__xludf.DUMMYFUNCTION("REGEXEXTRACT(C2902, ""🏘️ \w+ (\w+) .* ✅"")"),"appartement")</f>
        <v>appartement</v>
      </c>
      <c r="H2902" s="4" t="str">
        <f>IFERROR(__xludf.DUMMYFUNCTION("REGEXEXTRACT(A2902, ""/(\w+)-.*?"")"),"lieu")</f>
        <v>lieu</v>
      </c>
      <c r="I2902" s="4" t="str">
        <f>IFERROR(__xludf.DUMMYFUNCTION("if(D2902=""variant"",  substitute(filter(Templates!E:E, Templates!A:A = F2902, Templates!B:B = G2902, Templates!C:C = H2902), ""{{}}"", E2902), B2902)"),"🏘  Vous cherchez un appartement à louer à Reinach AG? ✅ Les annonces les plus actuelles sont sur ImmoScout24.ch.")</f>
        <v>🏘  Vous cherchez un appartement à louer à Reinach AG? ✅ Les annonces les plus actuelles sont sur ImmoScout24.ch.</v>
      </c>
      <c r="J2902" s="4" t="s">
        <v>8701</v>
      </c>
    </row>
    <row r="2903">
      <c r="A2903" s="5" t="s">
        <v>8702</v>
      </c>
      <c r="B2903" s="2" t="s">
        <v>8703</v>
      </c>
      <c r="C2903" s="4" t="str">
        <f>IFERROR(__xludf.DUMMYFUNCTION("""🏘️ ""&amp;REGEXEXTRACT(B2903, ""^(.*): "")&amp;"" ✅ "" &amp;REGEXEXTRACT(B2903, ""(Trouvez.*)"")"),"🏘️ Vendre appartement Inden ✅ Trouvez le bien immobilier qui correspond idéalement à vos désirs sur ImmoScout24 - La plateforme de l'immobilier en Suisse.")</f>
        <v>🏘️ Vendre appartement Inden ✅ Trouvez le bien immobilier qui correspond idéalement à vos désirs sur ImmoScout24 - La plateforme de l'immobilier en Suisse.</v>
      </c>
      <c r="D2903" s="4" t="str">
        <f>vlookup(A2903, Sheet2!D:E, 2, 0)</f>
        <v>variant</v>
      </c>
      <c r="E2903" s="4" t="str">
        <f>IFERROR(__xludf.DUMMYFUNCTION("if(H2903=""pays"",vlookup(REGEXEXTRACT(C2903, ""🏘️ \w+ \w+ (.*) ✅""),'Country prepositions'!A:B, 2, 0) &amp; "" "" &amp; REGEXEXTRACT(C2903, ""🏘️ \w+ \w+ (.*) ✅"") ,  if(H2903=""quartier"",vlookup(REGEXEXTRACT(C2903, ""🏘️ \w+ \w+ (.*) ✅""),'Quartier prepositio"&amp;"ns'!A:E, 5, 0) ,  if(H2903=""region"",vlookup(REGEXEXTRACT(C2903, ""🏘️ \w+ \w+ (.*) ✅""),'Region prepositions'!B:F, 5, 0),  REGEXEXTRACT(C2903, ""🏘️ \w+ \w+ (.*) ✅""))))"),"Inden")</f>
        <v>Inden</v>
      </c>
      <c r="F2903" s="2" t="str">
        <f>IFERROR(__xludf.DUMMYFUNCTION("REGEXEXTRACT(C2903, ""🏘️ (\w+) \w+ .* ✅"")"),"Vendre")</f>
        <v>Vendre</v>
      </c>
      <c r="G2903" s="2" t="str">
        <f>IFERROR(__xludf.DUMMYFUNCTION("REGEXEXTRACT(C2903, ""🏘️ \w+ (\w+) .* ✅"")"),"appartement")</f>
        <v>appartement</v>
      </c>
      <c r="H2903" s="4" t="str">
        <f>IFERROR(__xludf.DUMMYFUNCTION("REGEXEXTRACT(A2903, ""/(\w+)-.*?"")"),"lieu")</f>
        <v>lieu</v>
      </c>
      <c r="I2903" s="4" t="str">
        <f>IFERROR(__xludf.DUMMYFUNCTION("if(D2903=""variant"",  substitute(filter(Templates!E:E, Templates!A:A = F2903, Templates!B:B = G2903, Templates!C:C = H2903), ""{{}}"", E2903), B2903)"),"🏘  L’appartement de vos rêves se trouve sur ImmoScout24.ch ✅ Découvrez les dernières annonces de vente à Inden.")</f>
        <v>🏘  L’appartement de vos rêves se trouve sur ImmoScout24.ch ✅ Découvrez les dernières annonces de vente à Inden.</v>
      </c>
      <c r="J2903" s="4" t="s">
        <v>8704</v>
      </c>
    </row>
    <row r="2904">
      <c r="A2904" s="5" t="s">
        <v>8705</v>
      </c>
      <c r="B2904" s="2" t="s">
        <v>8706</v>
      </c>
      <c r="C2904" s="4" t="str">
        <f>IFERROR(__xludf.DUMMYFUNCTION("""🏘️ ""&amp;REGEXEXTRACT(B2904, ""^(.*): "")&amp;"" ✅ "" &amp;REGEXEXTRACT(B2904, ""(Trouvez.*)"")"),"🏘️ Louer appartement Grattavache ✅ Trouvez le bien immobilier qui correspond idéalement à vos désirs sur ImmoScout24 - La plateforme de l'immobilier en Suisse.")</f>
        <v>🏘️ Louer appartement Grattavache ✅ Trouvez le bien immobilier qui correspond idéalement à vos désirs sur ImmoScout24 - La plateforme de l'immobilier en Suisse.</v>
      </c>
      <c r="D2904" s="4" t="str">
        <f>vlookup(A2904, Sheet2!D:E, 2, 0)</f>
        <v>variant</v>
      </c>
      <c r="E2904" s="4" t="str">
        <f>IFERROR(__xludf.DUMMYFUNCTION("if(H2904=""pays"",vlookup(REGEXEXTRACT(C2904, ""🏘️ \w+ \w+ (.*) ✅""),'Country prepositions'!A:B, 2, 0) &amp; "" "" &amp; REGEXEXTRACT(C2904, ""🏘️ \w+ \w+ (.*) ✅"") ,  if(H2904=""quartier"",vlookup(REGEXEXTRACT(C2904, ""🏘️ \w+ \w+ (.*) ✅""),'Quartier prepositio"&amp;"ns'!A:E, 5, 0) ,  if(H2904=""region"",vlookup(REGEXEXTRACT(C2904, ""🏘️ \w+ \w+ (.*) ✅""),'Region prepositions'!B:F, 5, 0),  REGEXEXTRACT(C2904, ""🏘️ \w+ \w+ (.*) ✅""))))"),"Grattavache")</f>
        <v>Grattavache</v>
      </c>
      <c r="F2904" s="2" t="str">
        <f>IFERROR(__xludf.DUMMYFUNCTION("REGEXEXTRACT(C2904, ""🏘️ (\w+) \w+ .* ✅"")"),"Louer")</f>
        <v>Louer</v>
      </c>
      <c r="G2904" s="2" t="str">
        <f>IFERROR(__xludf.DUMMYFUNCTION("REGEXEXTRACT(C2904, ""🏘️ \w+ (\w+) .* ✅"")"),"appartement")</f>
        <v>appartement</v>
      </c>
      <c r="H2904" s="4" t="str">
        <f>IFERROR(__xludf.DUMMYFUNCTION("REGEXEXTRACT(A2904, ""/(\w+)-.*?"")"),"lieu")</f>
        <v>lieu</v>
      </c>
      <c r="I2904" s="4" t="str">
        <f>IFERROR(__xludf.DUMMYFUNCTION("if(D2904=""variant"",  substitute(filter(Templates!E:E, Templates!A:A = F2904, Templates!B:B = G2904, Templates!C:C = H2904), ""{{}}"", E2904), B2904)"),"🏘  Vous cherchez un appartement à louer à Grattavache? ✅ Les annonces les plus actuelles sont sur ImmoScout24.ch.")</f>
        <v>🏘  Vous cherchez un appartement à louer à Grattavache? ✅ Les annonces les plus actuelles sont sur ImmoScout24.ch.</v>
      </c>
      <c r="J2904" s="4" t="s">
        <v>8707</v>
      </c>
    </row>
    <row r="2905">
      <c r="A2905" s="5" t="s">
        <v>8708</v>
      </c>
      <c r="B2905" s="2" t="s">
        <v>8709</v>
      </c>
      <c r="C2905" s="4" t="str">
        <f>IFERROR(__xludf.DUMMYFUNCTION("""🏘️ ""&amp;REGEXEXTRACT(B2905, ""^(.*): "")&amp;"" ✅ "" &amp;REGEXEXTRACT(B2905, ""(Trouvez.*)"")"),"🏘️ Vendre appartement Rolle ✅ Trouvez le bien immobilier qui correspond idéalement à vos désirs sur ImmoScout24 - La plateforme de l'immobilier en Suisse.")</f>
        <v>🏘️ Vendre appartement Rolle ✅ Trouvez le bien immobilier qui correspond idéalement à vos désirs sur ImmoScout24 - La plateforme de l'immobilier en Suisse.</v>
      </c>
      <c r="D2905" s="4" t="str">
        <f>vlookup(A2905, Sheet2!D:E, 2, 0)</f>
        <v>variant</v>
      </c>
      <c r="E2905" s="4" t="str">
        <f>IFERROR(__xludf.DUMMYFUNCTION("if(H2905=""pays"",vlookup(REGEXEXTRACT(C2905, ""🏘️ \w+ \w+ (.*) ✅""),'Country prepositions'!A:B, 2, 0) &amp; "" "" &amp; REGEXEXTRACT(C2905, ""🏘️ \w+ \w+ (.*) ✅"") ,  if(H2905=""quartier"",vlookup(REGEXEXTRACT(C2905, ""🏘️ \w+ \w+ (.*) ✅""),'Quartier prepositio"&amp;"ns'!A:E, 5, 0) ,  if(H2905=""region"",vlookup(REGEXEXTRACT(C2905, ""🏘️ \w+ \w+ (.*) ✅""),'Region prepositions'!B:F, 5, 0),  REGEXEXTRACT(C2905, ""🏘️ \w+ \w+ (.*) ✅""))))"),"Rolle")</f>
        <v>Rolle</v>
      </c>
      <c r="F2905" s="2" t="str">
        <f>IFERROR(__xludf.DUMMYFUNCTION("REGEXEXTRACT(C2905, ""🏘️ (\w+) \w+ .* ✅"")"),"Vendre")</f>
        <v>Vendre</v>
      </c>
      <c r="G2905" s="2" t="str">
        <f>IFERROR(__xludf.DUMMYFUNCTION("REGEXEXTRACT(C2905, ""🏘️ \w+ (\w+) .* ✅"")"),"appartement")</f>
        <v>appartement</v>
      </c>
      <c r="H2905" s="4" t="str">
        <f>IFERROR(__xludf.DUMMYFUNCTION("REGEXEXTRACT(A2905, ""/(\w+)-.*?"")"),"lieu")</f>
        <v>lieu</v>
      </c>
      <c r="I2905" s="4" t="str">
        <f>IFERROR(__xludf.DUMMYFUNCTION("if(D2905=""variant"",  substitute(filter(Templates!E:E, Templates!A:A = F2905, Templates!B:B = G2905, Templates!C:C = H2905), ""{{}}"", E2905), B2905)"),"🏘  L’appartement de vos rêves se trouve sur ImmoScout24.ch ✅ Découvrez les dernières annonces de vente à Rolle.")</f>
        <v>🏘  L’appartement de vos rêves se trouve sur ImmoScout24.ch ✅ Découvrez les dernières annonces de vente à Rolle.</v>
      </c>
      <c r="J2905" s="4" t="s">
        <v>8710</v>
      </c>
    </row>
    <row r="2906">
      <c r="A2906" s="5" t="s">
        <v>8711</v>
      </c>
      <c r="B2906" s="2" t="s">
        <v>8712</v>
      </c>
      <c r="C2906" s="4" t="str">
        <f>IFERROR(__xludf.DUMMYFUNCTION("""🏘️ ""&amp;REGEXEXTRACT(B2906, ""^(.*): "")&amp;"" ✅ "" &amp;REGEXEXTRACT(B2906, ""(Trouvez.*)"")"),"🏘️ Louer appartement Satigny ✅ Trouvez le bien immobilier qui correspond idéalement à vos désirs sur ImmoScout24 - La plateforme de l'immobilier en Suisse.")</f>
        <v>🏘️ Louer appartement Satigny ✅ Trouvez le bien immobilier qui correspond idéalement à vos désirs sur ImmoScout24 - La plateforme de l'immobilier en Suisse.</v>
      </c>
      <c r="D2906" s="4" t="str">
        <f>vlookup(A2906, Sheet2!D:E, 2, 0)</f>
        <v>variant</v>
      </c>
      <c r="E2906" s="4" t="str">
        <f>IFERROR(__xludf.DUMMYFUNCTION("if(H2906=""pays"",vlookup(REGEXEXTRACT(C2906, ""🏘️ \w+ \w+ (.*) ✅""),'Country prepositions'!A:B, 2, 0) &amp; "" "" &amp; REGEXEXTRACT(C2906, ""🏘️ \w+ \w+ (.*) ✅"") ,  if(H2906=""quartier"",vlookup(REGEXEXTRACT(C2906, ""🏘️ \w+ \w+ (.*) ✅""),'Quartier prepositio"&amp;"ns'!A:E, 5, 0) ,  if(H2906=""region"",vlookup(REGEXEXTRACT(C2906, ""🏘️ \w+ \w+ (.*) ✅""),'Region prepositions'!B:F, 5, 0),  REGEXEXTRACT(C2906, ""🏘️ \w+ \w+ (.*) ✅""))))"),"Satigny")</f>
        <v>Satigny</v>
      </c>
      <c r="F2906" s="2" t="str">
        <f>IFERROR(__xludf.DUMMYFUNCTION("REGEXEXTRACT(C2906, ""🏘️ (\w+) \w+ .* ✅"")"),"Louer")</f>
        <v>Louer</v>
      </c>
      <c r="G2906" s="2" t="str">
        <f>IFERROR(__xludf.DUMMYFUNCTION("REGEXEXTRACT(C2906, ""🏘️ \w+ (\w+) .* ✅"")"),"appartement")</f>
        <v>appartement</v>
      </c>
      <c r="H2906" s="4" t="str">
        <f>IFERROR(__xludf.DUMMYFUNCTION("REGEXEXTRACT(A2906, ""/(\w+)-.*?"")"),"lieu")</f>
        <v>lieu</v>
      </c>
      <c r="I2906" s="4" t="str">
        <f>IFERROR(__xludf.DUMMYFUNCTION("if(D2906=""variant"",  substitute(filter(Templates!E:E, Templates!A:A = F2906, Templates!B:B = G2906, Templates!C:C = H2906), ""{{}}"", E2906), B2906)"),"🏘  Vous cherchez un appartement à louer à Satigny? ✅ Les annonces les plus actuelles sont sur ImmoScout24.ch.")</f>
        <v>🏘  Vous cherchez un appartement à louer à Satigny? ✅ Les annonces les plus actuelles sont sur ImmoScout24.ch.</v>
      </c>
      <c r="J2906" s="4" t="s">
        <v>8713</v>
      </c>
    </row>
    <row r="2907">
      <c r="A2907" s="5" t="s">
        <v>8714</v>
      </c>
      <c r="B2907" s="2" t="s">
        <v>8715</v>
      </c>
      <c r="C2907" s="4" t="str">
        <f>IFERROR(__xludf.DUMMYFUNCTION("""🏘️ ""&amp;REGEXEXTRACT(B2907, ""^(.*): "")&amp;"" ✅ "" &amp;REGEXEXTRACT(B2907, ""(Trouvez.*)"")"),"🏘️ Vendre maison Palézieux-Village ✅ Trouvez le bien immobilier qui correspond idéalement à vos désirs sur ImmoScout24 - La plateforme de l'immobilier en Suisse.")</f>
        <v>🏘️ Vendre maison Palézieux-Village ✅ Trouvez le bien immobilier qui correspond idéalement à vos désirs sur ImmoScout24 - La plateforme de l'immobilier en Suisse.</v>
      </c>
      <c r="D2907" s="4" t="str">
        <f>vlookup(A2907, Sheet2!D:E, 2, 0)</f>
        <v>variant</v>
      </c>
      <c r="E2907" s="4" t="str">
        <f>IFERROR(__xludf.DUMMYFUNCTION("if(H2907=""pays"",vlookup(REGEXEXTRACT(C2907, ""🏘️ \w+ \w+ (.*) ✅""),'Country prepositions'!A:B, 2, 0) &amp; "" "" &amp; REGEXEXTRACT(C2907, ""🏘️ \w+ \w+ (.*) ✅"") ,  if(H2907=""quartier"",vlookup(REGEXEXTRACT(C2907, ""🏘️ \w+ \w+ (.*) ✅""),'Quartier prepositio"&amp;"ns'!A:E, 5, 0) ,  if(H2907=""region"",vlookup(REGEXEXTRACT(C2907, ""🏘️ \w+ \w+ (.*) ✅""),'Region prepositions'!B:F, 5, 0),  REGEXEXTRACT(C2907, ""🏘️ \w+ \w+ (.*) ✅""))))"),"Palézieux-Village")</f>
        <v>Palézieux-Village</v>
      </c>
      <c r="F2907" s="2" t="str">
        <f>IFERROR(__xludf.DUMMYFUNCTION("REGEXEXTRACT(C2907, ""🏘️ (\w+) \w+ .* ✅"")"),"Vendre")</f>
        <v>Vendre</v>
      </c>
      <c r="G2907" s="2" t="str">
        <f>IFERROR(__xludf.DUMMYFUNCTION("REGEXEXTRACT(C2907, ""🏘️ \w+ (\w+) .* ✅"")"),"maison")</f>
        <v>maison</v>
      </c>
      <c r="H2907" s="4" t="str">
        <f>IFERROR(__xludf.DUMMYFUNCTION("REGEXEXTRACT(A2907, ""/(\w+)-.*?"")"),"lieu")</f>
        <v>lieu</v>
      </c>
      <c r="I2907" s="4" t="str">
        <f>IFERROR(__xludf.DUMMYFUNCTION("if(D2907=""variant"",  substitute(filter(Templates!E:E, Templates!A:A = F2907, Templates!B:B = G2907, Templates!C:C = H2907), ""{{}}"", E2907), B2907)"),"🏘  Vous souhaitez acheter une maison à Palézieux-Village? ✅ Jetez un œil aux dernières offres sur ImmoScout24.ch.")</f>
        <v>🏘  Vous souhaitez acheter une maison à Palézieux-Village? ✅ Jetez un œil aux dernières offres sur ImmoScout24.ch.</v>
      </c>
      <c r="J2907" s="4" t="s">
        <v>8716</v>
      </c>
    </row>
    <row r="2908">
      <c r="A2908" s="5" t="s">
        <v>8717</v>
      </c>
      <c r="B2908" s="2" t="s">
        <v>8718</v>
      </c>
      <c r="C2908" s="4" t="str">
        <f>IFERROR(__xludf.DUMMYFUNCTION("""🏘️ ""&amp;REGEXEXTRACT(B2908, ""^(.*): "")&amp;"" ✅ "" &amp;REGEXEXTRACT(B2908, ""(Trouvez.*)"")"),"🏘️ Vendre maison Moesa ✅ Trouvez le bien immobilier qui correspond idéalement à vos désirs sur ImmoScout24 - La plateforme de l'immobilier en Suisse.")</f>
        <v>🏘️ Vendre maison Moesa ✅ Trouvez le bien immobilier qui correspond idéalement à vos désirs sur ImmoScout24 - La plateforme de l'immobilier en Suisse.</v>
      </c>
      <c r="D2908" s="4" t="str">
        <f>vlookup(A2908, Sheet2!D:E, 2, 0)</f>
        <v>variant</v>
      </c>
      <c r="E2908" s="4" t="str">
        <f>IFERROR(__xludf.DUMMYFUNCTION("if(H2908=""pays"",vlookup(REGEXEXTRACT(C2908, ""🏘️ \w+ \w+ (.*) ✅""),'Country prepositions'!A:B, 2, 0) &amp; "" "" &amp; REGEXEXTRACT(C2908, ""🏘️ \w+ \w+ (.*) ✅"") ,  if(H2908=""quartier"",vlookup(REGEXEXTRACT(C2908, ""🏘️ \w+ \w+ (.*) ✅""),'Quartier prepositio"&amp;"ns'!A:E, 5, 0) ,  if(H2908=""region"",vlookup(REGEXEXTRACT(C2908, ""🏘️ \w+ \w+ (.*) ✅""),'Region prepositions'!B:F, 5, 0),  REGEXEXTRACT(C2908, ""🏘️ \w+ \w+ (.*) ✅""))))"),"dans la région de Moesa")</f>
        <v>dans la région de Moesa</v>
      </c>
      <c r="F2908" s="2" t="str">
        <f>IFERROR(__xludf.DUMMYFUNCTION("REGEXEXTRACT(C2908, ""🏘️ (\w+) \w+ .* ✅"")"),"Vendre")</f>
        <v>Vendre</v>
      </c>
      <c r="G2908" s="2" t="str">
        <f>IFERROR(__xludf.DUMMYFUNCTION("REGEXEXTRACT(C2908, ""🏘️ \w+ (\w+) .* ✅"")"),"maison")</f>
        <v>maison</v>
      </c>
      <c r="H2908" s="4" t="str">
        <f>IFERROR(__xludf.DUMMYFUNCTION("REGEXEXTRACT(A2908, ""/(\w+)-.*?"")"),"region")</f>
        <v>region</v>
      </c>
      <c r="I2908" s="4" t="str">
        <f>IFERROR(__xludf.DUMMYFUNCTION("if(D2908=""variant"",  substitute(filter(Templates!E:E, Templates!A:A = F2908, Templates!B:B = G2908, Templates!C:C = H2908), ""{{}}"", E2908), B2908)"),"🏘  Vous souhaitez acheter une maison dans la région de Moesa? ✅ Jetez un œil aux dernières offres sur ImmoScout24.ch.")</f>
        <v>🏘  Vous souhaitez acheter une maison dans la région de Moesa? ✅ Jetez un œil aux dernières offres sur ImmoScout24.ch.</v>
      </c>
      <c r="J2908" s="4" t="s">
        <v>8719</v>
      </c>
    </row>
    <row r="2909">
      <c r="A2909" s="5" t="s">
        <v>8720</v>
      </c>
      <c r="B2909" s="2" t="s">
        <v>8721</v>
      </c>
      <c r="C2909" s="4" t="str">
        <f>IFERROR(__xludf.DUMMYFUNCTION("""🏘️ ""&amp;REGEXEXTRACT(B2909, ""^(.*): "")&amp;"" ✅ "" &amp;REGEXEXTRACT(B2909, ""(Trouvez.*)"")"),"🏘️ Vendre appartement Cormondrèche ✅ Trouvez le bien immobilier qui correspond idéalement à vos désirs sur ImmoScout24 - La plateforme de l'immobilier en Suisse.")</f>
        <v>🏘️ Vendre appartement Cormondrèche ✅ Trouvez le bien immobilier qui correspond idéalement à vos désirs sur ImmoScout24 - La plateforme de l'immobilier en Suisse.</v>
      </c>
      <c r="D2909" s="4" t="str">
        <f>vlookup(A2909, Sheet2!D:E, 2, 0)</f>
        <v>variant</v>
      </c>
      <c r="E2909" s="4" t="str">
        <f>IFERROR(__xludf.DUMMYFUNCTION("if(H2909=""pays"",vlookup(REGEXEXTRACT(C2909, ""🏘️ \w+ \w+ (.*) ✅""),'Country prepositions'!A:B, 2, 0) &amp; "" "" &amp; REGEXEXTRACT(C2909, ""🏘️ \w+ \w+ (.*) ✅"") ,  if(H2909=""quartier"",vlookup(REGEXEXTRACT(C2909, ""🏘️ \w+ \w+ (.*) ✅""),'Quartier prepositio"&amp;"ns'!A:E, 5, 0) ,  if(H2909=""region"",vlookup(REGEXEXTRACT(C2909, ""🏘️ \w+ \w+ (.*) ✅""),'Region prepositions'!B:F, 5, 0),  REGEXEXTRACT(C2909, ""🏘️ \w+ \w+ (.*) ✅""))))"),"Cormondrèche")</f>
        <v>Cormondrèche</v>
      </c>
      <c r="F2909" s="2" t="str">
        <f>IFERROR(__xludf.DUMMYFUNCTION("REGEXEXTRACT(C2909, ""🏘️ (\w+) \w+ .* ✅"")"),"Vendre")</f>
        <v>Vendre</v>
      </c>
      <c r="G2909" s="2" t="str">
        <f>IFERROR(__xludf.DUMMYFUNCTION("REGEXEXTRACT(C2909, ""🏘️ \w+ (\w+) .* ✅"")"),"appartement")</f>
        <v>appartement</v>
      </c>
      <c r="H2909" s="4" t="str">
        <f>IFERROR(__xludf.DUMMYFUNCTION("REGEXEXTRACT(A2909, ""/(\w+)-.*?"")"),"lieu")</f>
        <v>lieu</v>
      </c>
      <c r="I2909" s="4" t="str">
        <f>IFERROR(__xludf.DUMMYFUNCTION("if(D2909=""variant"",  substitute(filter(Templates!E:E, Templates!A:A = F2909, Templates!B:B = G2909, Templates!C:C = H2909), ""{{}}"", E2909), B2909)"),"🏘  L’appartement de vos rêves se trouve sur ImmoScout24.ch ✅ Découvrez les dernières annonces de vente à Cormondrèche.")</f>
        <v>🏘  L’appartement de vos rêves se trouve sur ImmoScout24.ch ✅ Découvrez les dernières annonces de vente à Cormondrèche.</v>
      </c>
      <c r="J2909" s="4" t="s">
        <v>8722</v>
      </c>
    </row>
    <row r="2910">
      <c r="A2910" s="5" t="s">
        <v>8723</v>
      </c>
      <c r="B2910" s="2" t="s">
        <v>8724</v>
      </c>
      <c r="C2910" s="4" t="str">
        <f>IFERROR(__xludf.DUMMYFUNCTION("""🏘️ ""&amp;REGEXEXTRACT(B2910, ""^(.*): "")&amp;"" ✅ "" &amp;REGEXEXTRACT(B2910, ""(Trouvez.*)"")"),"🏘️ Louer appartement Bevaix ✅ Trouvez le bien immobilier qui correspond idéalement à vos désirs sur ImmoScout24 - La plateforme de l'immobilier en Suisse.")</f>
        <v>🏘️ Louer appartement Bevaix ✅ Trouvez le bien immobilier qui correspond idéalement à vos désirs sur ImmoScout24 - La plateforme de l'immobilier en Suisse.</v>
      </c>
      <c r="D2910" s="4" t="str">
        <f>vlookup(A2910, Sheet2!D:E, 2, 0)</f>
        <v>variant</v>
      </c>
      <c r="E2910" s="4" t="str">
        <f>IFERROR(__xludf.DUMMYFUNCTION("if(H2910=""pays"",vlookup(REGEXEXTRACT(C2910, ""🏘️ \w+ \w+ (.*) ✅""),'Country prepositions'!A:B, 2, 0) &amp; "" "" &amp; REGEXEXTRACT(C2910, ""🏘️ \w+ \w+ (.*) ✅"") ,  if(H2910=""quartier"",vlookup(REGEXEXTRACT(C2910, ""🏘️ \w+ \w+ (.*) ✅""),'Quartier prepositio"&amp;"ns'!A:E, 5, 0) ,  if(H2910=""region"",vlookup(REGEXEXTRACT(C2910, ""🏘️ \w+ \w+ (.*) ✅""),'Region prepositions'!B:F, 5, 0),  REGEXEXTRACT(C2910, ""🏘️ \w+ \w+ (.*) ✅""))))"),"Bevaix")</f>
        <v>Bevaix</v>
      </c>
      <c r="F2910" s="2" t="str">
        <f>IFERROR(__xludf.DUMMYFUNCTION("REGEXEXTRACT(C2910, ""🏘️ (\w+) \w+ .* ✅"")"),"Louer")</f>
        <v>Louer</v>
      </c>
      <c r="G2910" s="2" t="str">
        <f>IFERROR(__xludf.DUMMYFUNCTION("REGEXEXTRACT(C2910, ""🏘️ \w+ (\w+) .* ✅"")"),"appartement")</f>
        <v>appartement</v>
      </c>
      <c r="H2910" s="4" t="str">
        <f>IFERROR(__xludf.DUMMYFUNCTION("REGEXEXTRACT(A2910, ""/(\w+)-.*?"")"),"lieu")</f>
        <v>lieu</v>
      </c>
      <c r="I2910" s="4" t="str">
        <f>IFERROR(__xludf.DUMMYFUNCTION("if(D2910=""variant"",  substitute(filter(Templates!E:E, Templates!A:A = F2910, Templates!B:B = G2910, Templates!C:C = H2910), ""{{}}"", E2910), B2910)"),"🏘  Vous cherchez un appartement à louer à Bevaix? ✅ Les annonces les plus actuelles sont sur ImmoScout24.ch.")</f>
        <v>🏘  Vous cherchez un appartement à louer à Bevaix? ✅ Les annonces les plus actuelles sont sur ImmoScout24.ch.</v>
      </c>
      <c r="J2910" s="4" t="s">
        <v>8725</v>
      </c>
    </row>
    <row r="2911">
      <c r="A2911" s="5" t="s">
        <v>8726</v>
      </c>
      <c r="B2911" s="2" t="s">
        <v>8727</v>
      </c>
      <c r="C2911" s="4" t="str">
        <f>IFERROR(__xludf.DUMMYFUNCTION("""🏘️ ""&amp;REGEXEXTRACT(B2911, ""^(.*): "")&amp;"" ✅ "" &amp;REGEXEXTRACT(B2911, ""(Trouvez.*)"")"),"🏘️ Louer maison Mâche (Biel/Bienne) ✅ Trouvez le bien immobilier qui correspond idéalement à vos désirs sur ImmoScout24 - La plateforme de l'immobilier en Suisse.")</f>
        <v>🏘️ Louer maison Mâche (Biel/Bienne) ✅ Trouvez le bien immobilier qui correspond idéalement à vos désirs sur ImmoScout24 - La plateforme de l'immobilier en Suisse.</v>
      </c>
      <c r="D2911" s="4" t="str">
        <f>vlookup(A2911, Sheet2!D:E, 2, 0)</f>
        <v>variant</v>
      </c>
      <c r="E2911" s="4" t="str">
        <f>IFERROR(__xludf.DUMMYFUNCTION("if(H2911=""pays"",vlookup(REGEXEXTRACT(C2911, ""🏘️ \w+ \w+ (.*) ✅""),'Country prepositions'!A:B, 2, 0) &amp; "" "" &amp; REGEXEXTRACT(C2911, ""🏘️ \w+ \w+ (.*) ✅"") ,  if(H2911=""quartier"",vlookup(REGEXEXTRACT(C2911, ""🏘️ \w+ \w+ (.*) ✅""),'Quartier prepositio"&amp;"ns'!A:E, 5, 0) ,  if(H2911=""region"",vlookup(REGEXEXTRACT(C2911, ""🏘️ \w+ \w+ (.*) ✅""),'Region prepositions'!B:F, 5, 0),  REGEXEXTRACT(C2911, ""🏘️ \w+ \w+ (.*) ✅""))))"),"dans le quartier de Mâche (Biel/Bienne)")</f>
        <v>dans le quartier de Mâche (Biel/Bienne)</v>
      </c>
      <c r="F2911" s="2" t="str">
        <f>IFERROR(__xludf.DUMMYFUNCTION("REGEXEXTRACT(C2911, ""🏘️ (\w+) \w+ .* ✅"")"),"Louer")</f>
        <v>Louer</v>
      </c>
      <c r="G2911" s="2" t="str">
        <f>IFERROR(__xludf.DUMMYFUNCTION("REGEXEXTRACT(C2911, ""🏘️ \w+ (\w+) .* ✅"")"),"maison")</f>
        <v>maison</v>
      </c>
      <c r="H2911" s="4" t="str">
        <f>IFERROR(__xludf.DUMMYFUNCTION("REGEXEXTRACT(A2911, ""/(\w+)-.*?"")"),"quartier")</f>
        <v>quartier</v>
      </c>
      <c r="I2911" s="4" t="str">
        <f>IFERROR(__xludf.DUMMYFUNCTION("if(D2911=""variant"",  substitute(filter(Templates!E:E, Templates!A:A = F2911, Templates!B:B = G2911, Templates!C:C = H2911), ""{{}}"", E2911), B2911)"),"🏘  Vous cherchez une maison à louer dans le quartier de Mâche (Biel/Bienne)? ✅ Découvrez nos nombreuses annonces sur ImmoScout24.ch.")</f>
        <v>🏘  Vous cherchez une maison à louer dans le quartier de Mâche (Biel/Bienne)? ✅ Découvrez nos nombreuses annonces sur ImmoScout24.ch.</v>
      </c>
      <c r="J2911" s="4" t="s">
        <v>8728</v>
      </c>
    </row>
    <row r="2912">
      <c r="A2912" s="5" t="s">
        <v>8729</v>
      </c>
      <c r="B2912" s="2" t="s">
        <v>8730</v>
      </c>
      <c r="C2912" s="4" t="str">
        <f>IFERROR(__xludf.DUMMYFUNCTION("""🏘️ ""&amp;REGEXEXTRACT(B2912, ""^(.*): "")&amp;"" ✅ "" &amp;REGEXEXTRACT(B2912, ""(Trouvez.*)"")"),"🏘️ Vendre maison Jonction - Plainpalais (Genève) ✅ Trouvez le bien immobilier qui correspond idéalement à vos désirs sur ImmoScout24 - La plateforme de l'immobilier en Suisse.")</f>
        <v>🏘️ Vendre maison Jonction - Plainpalais (Genève) ✅ Trouvez le bien immobilier qui correspond idéalement à vos désirs sur ImmoScout24 - La plateforme de l'immobilier en Suisse.</v>
      </c>
      <c r="D2912" s="4" t="str">
        <f>vlookup(A2912, Sheet2!D:E, 2, 0)</f>
        <v>variant</v>
      </c>
      <c r="E2912" s="4" t="str">
        <f>IFERROR(__xludf.DUMMYFUNCTION("if(H2912=""pays"",vlookup(REGEXEXTRACT(C2912, ""🏘️ \w+ \w+ (.*) ✅""),'Country prepositions'!A:B, 2, 0) &amp; "" "" &amp; REGEXEXTRACT(C2912, ""🏘️ \w+ \w+ (.*) ✅"") ,  if(H2912=""quartier"",vlookup(REGEXEXTRACT(C2912, ""🏘️ \w+ \w+ (.*) ✅""),'Quartier prepositio"&amp;"ns'!A:E, 5, 0) ,  if(H2912=""region"",vlookup(REGEXEXTRACT(C2912, ""🏘️ \w+ \w+ (.*) ✅""),'Region prepositions'!B:F, 5, 0),  REGEXEXTRACT(C2912, ""🏘️ \w+ \w+ (.*) ✅""))))"),"dans le quartier de la Jonction - Plainpalais (Genève)")</f>
        <v>dans le quartier de la Jonction - Plainpalais (Genève)</v>
      </c>
      <c r="F2912" s="2" t="str">
        <f>IFERROR(__xludf.DUMMYFUNCTION("REGEXEXTRACT(C2912, ""🏘️ (\w+) \w+ .* ✅"")"),"Vendre")</f>
        <v>Vendre</v>
      </c>
      <c r="G2912" s="2" t="str">
        <f>IFERROR(__xludf.DUMMYFUNCTION("REGEXEXTRACT(C2912, ""🏘️ \w+ (\w+) .* ✅"")"),"maison")</f>
        <v>maison</v>
      </c>
      <c r="H2912" s="4" t="str">
        <f>IFERROR(__xludf.DUMMYFUNCTION("REGEXEXTRACT(A2912, ""/(\w+)-.*?"")"),"quartier")</f>
        <v>quartier</v>
      </c>
      <c r="I2912" s="4" t="str">
        <f>IFERROR(__xludf.DUMMYFUNCTION("if(D2912=""variant"",  substitute(filter(Templates!E:E, Templates!A:A = F2912, Templates!B:B = G2912, Templates!C:C = H2912), ""{{}}"", E2912), B2912)"),"🏘  Vous souhaitez acheter une maison dans le quartier de la Jonction - Plainpalais (Genève)? ✅ Jetez un œil aux dernières offres sur ImmoScout24.ch.")</f>
        <v>🏘  Vous souhaitez acheter une maison dans le quartier de la Jonction - Plainpalais (Genève)? ✅ Jetez un œil aux dernières offres sur ImmoScout24.ch.</v>
      </c>
      <c r="J2912" s="4" t="s">
        <v>8731</v>
      </c>
    </row>
    <row r="2913">
      <c r="A2913" s="5" t="s">
        <v>8732</v>
      </c>
      <c r="B2913" s="2" t="s">
        <v>8733</v>
      </c>
      <c r="C2913" s="4" t="str">
        <f>IFERROR(__xludf.DUMMYFUNCTION("""🏘️ ""&amp;REGEXEXTRACT(B2913, ""^(.*): "")&amp;"" ✅ "" &amp;REGEXEXTRACT(B2913, ""(Trouvez.*)"")"),"🏘️ Louer appartement Würenlingen ✅ Trouvez le bien immobilier qui correspond idéalement à vos désirs sur ImmoScout24 - La plateforme de l'immobilier en Suisse.")</f>
        <v>🏘️ Louer appartement Würenlingen ✅ Trouvez le bien immobilier qui correspond idéalement à vos désirs sur ImmoScout24 - La plateforme de l'immobilier en Suisse.</v>
      </c>
      <c r="D2913" s="4" t="str">
        <f>vlookup(A2913, Sheet2!D:E, 2, 0)</f>
        <v>variant</v>
      </c>
      <c r="E2913" s="4" t="str">
        <f>IFERROR(__xludf.DUMMYFUNCTION("if(H2913=""pays"",vlookup(REGEXEXTRACT(C2913, ""🏘️ \w+ \w+ (.*) ✅""),'Country prepositions'!A:B, 2, 0) &amp; "" "" &amp; REGEXEXTRACT(C2913, ""🏘️ \w+ \w+ (.*) ✅"") ,  if(H2913=""quartier"",vlookup(REGEXEXTRACT(C2913, ""🏘️ \w+ \w+ (.*) ✅""),'Quartier prepositio"&amp;"ns'!A:E, 5, 0) ,  if(H2913=""region"",vlookup(REGEXEXTRACT(C2913, ""🏘️ \w+ \w+ (.*) ✅""),'Region prepositions'!B:F, 5, 0),  REGEXEXTRACT(C2913, ""🏘️ \w+ \w+ (.*) ✅""))))"),"Würenlingen")</f>
        <v>Würenlingen</v>
      </c>
      <c r="F2913" s="2" t="str">
        <f>IFERROR(__xludf.DUMMYFUNCTION("REGEXEXTRACT(C2913, ""🏘️ (\w+) \w+ .* ✅"")"),"Louer")</f>
        <v>Louer</v>
      </c>
      <c r="G2913" s="2" t="str">
        <f>IFERROR(__xludf.DUMMYFUNCTION("REGEXEXTRACT(C2913, ""🏘️ \w+ (\w+) .* ✅"")"),"appartement")</f>
        <v>appartement</v>
      </c>
      <c r="H2913" s="4" t="str">
        <f>IFERROR(__xludf.DUMMYFUNCTION("REGEXEXTRACT(A2913, ""/(\w+)-.*?"")"),"lieu")</f>
        <v>lieu</v>
      </c>
      <c r="I2913" s="4" t="str">
        <f>IFERROR(__xludf.DUMMYFUNCTION("if(D2913=""variant"",  substitute(filter(Templates!E:E, Templates!A:A = F2913, Templates!B:B = G2913, Templates!C:C = H2913), ""{{}}"", E2913), B2913)"),"🏘  Vous cherchez un appartement à louer à Würenlingen? ✅ Les annonces les plus actuelles sont sur ImmoScout24.ch.")</f>
        <v>🏘  Vous cherchez un appartement à louer à Würenlingen? ✅ Les annonces les plus actuelles sont sur ImmoScout24.ch.</v>
      </c>
      <c r="J2913" s="4" t="s">
        <v>8734</v>
      </c>
    </row>
    <row r="2914">
      <c r="A2914" s="5" t="s">
        <v>8735</v>
      </c>
      <c r="B2914" s="2" t="s">
        <v>8736</v>
      </c>
      <c r="C2914" s="4" t="str">
        <f>IFERROR(__xludf.DUMMYFUNCTION("""🏘️ ""&amp;REGEXEXTRACT(B2914, ""^(.*): "")&amp;"" ✅ "" &amp;REGEXEXTRACT(B2914, ""(Trouvez.*)"")"),"🏘️ Louer appartement Mülligen ✅ Trouvez le bien immobilier qui correspond idéalement à vos désirs sur ImmoScout24 - La plateforme de l'immobilier en Suisse.")</f>
        <v>🏘️ Louer appartement Mülligen ✅ Trouvez le bien immobilier qui correspond idéalement à vos désirs sur ImmoScout24 - La plateforme de l'immobilier en Suisse.</v>
      </c>
      <c r="D2914" s="4" t="str">
        <f>vlookup(A2914, Sheet2!D:E, 2, 0)</f>
        <v>variant</v>
      </c>
      <c r="E2914" s="4" t="str">
        <f>IFERROR(__xludf.DUMMYFUNCTION("if(H2914=""pays"",vlookup(REGEXEXTRACT(C2914, ""🏘️ \w+ \w+ (.*) ✅""),'Country prepositions'!A:B, 2, 0) &amp; "" "" &amp; REGEXEXTRACT(C2914, ""🏘️ \w+ \w+ (.*) ✅"") ,  if(H2914=""quartier"",vlookup(REGEXEXTRACT(C2914, ""🏘️ \w+ \w+ (.*) ✅""),'Quartier prepositio"&amp;"ns'!A:E, 5, 0) ,  if(H2914=""region"",vlookup(REGEXEXTRACT(C2914, ""🏘️ \w+ \w+ (.*) ✅""),'Region prepositions'!B:F, 5, 0),  REGEXEXTRACT(C2914, ""🏘️ \w+ \w+ (.*) ✅""))))"),"Mülligen")</f>
        <v>Mülligen</v>
      </c>
      <c r="F2914" s="2" t="str">
        <f>IFERROR(__xludf.DUMMYFUNCTION("REGEXEXTRACT(C2914, ""🏘️ (\w+) \w+ .* ✅"")"),"Louer")</f>
        <v>Louer</v>
      </c>
      <c r="G2914" s="2" t="str">
        <f>IFERROR(__xludf.DUMMYFUNCTION("REGEXEXTRACT(C2914, ""🏘️ \w+ (\w+) .* ✅"")"),"appartement")</f>
        <v>appartement</v>
      </c>
      <c r="H2914" s="4" t="str">
        <f>IFERROR(__xludf.DUMMYFUNCTION("REGEXEXTRACT(A2914, ""/(\w+)-.*?"")"),"lieu")</f>
        <v>lieu</v>
      </c>
      <c r="I2914" s="4" t="str">
        <f>IFERROR(__xludf.DUMMYFUNCTION("if(D2914=""variant"",  substitute(filter(Templates!E:E, Templates!A:A = F2914, Templates!B:B = G2914, Templates!C:C = H2914), ""{{}}"", E2914), B2914)"),"🏘  Vous cherchez un appartement à louer à Mülligen? ✅ Les annonces les plus actuelles sont sur ImmoScout24.ch.")</f>
        <v>🏘  Vous cherchez un appartement à louer à Mülligen? ✅ Les annonces les plus actuelles sont sur ImmoScout24.ch.</v>
      </c>
      <c r="J2914" s="4" t="s">
        <v>8737</v>
      </c>
    </row>
    <row r="2915">
      <c r="A2915" s="5" t="s">
        <v>8738</v>
      </c>
      <c r="B2915" s="2" t="s">
        <v>8739</v>
      </c>
      <c r="C2915" s="4" t="str">
        <f>IFERROR(__xludf.DUMMYFUNCTION("""🏘️ ""&amp;REGEXEXTRACT(B2915, ""^(.*): "")&amp;"" ✅ "" &amp;REGEXEXTRACT(B2915, ""(Trouvez.*)"")"),"🏘️ Vendre maison Frasses ✅ Trouvez le bien immobilier qui correspond idéalement à vos désirs sur ImmoScout24 - La plateforme de l'immobilier en Suisse.")</f>
        <v>🏘️ Vendre maison Frasses ✅ Trouvez le bien immobilier qui correspond idéalement à vos désirs sur ImmoScout24 - La plateforme de l'immobilier en Suisse.</v>
      </c>
      <c r="D2915" s="4" t="str">
        <f>vlookup(A2915, Sheet2!D:E, 2, 0)</f>
        <v>variant</v>
      </c>
      <c r="E2915" s="4" t="str">
        <f>IFERROR(__xludf.DUMMYFUNCTION("if(H2915=""pays"",vlookup(REGEXEXTRACT(C2915, ""🏘️ \w+ \w+ (.*) ✅""),'Country prepositions'!A:B, 2, 0) &amp; "" "" &amp; REGEXEXTRACT(C2915, ""🏘️ \w+ \w+ (.*) ✅"") ,  if(H2915=""quartier"",vlookup(REGEXEXTRACT(C2915, ""🏘️ \w+ \w+ (.*) ✅""),'Quartier prepositio"&amp;"ns'!A:E, 5, 0) ,  if(H2915=""region"",vlookup(REGEXEXTRACT(C2915, ""🏘️ \w+ \w+ (.*) ✅""),'Region prepositions'!B:F, 5, 0),  REGEXEXTRACT(C2915, ""🏘️ \w+ \w+ (.*) ✅""))))"),"Frasses")</f>
        <v>Frasses</v>
      </c>
      <c r="F2915" s="2" t="str">
        <f>IFERROR(__xludf.DUMMYFUNCTION("REGEXEXTRACT(C2915, ""🏘️ (\w+) \w+ .* ✅"")"),"Vendre")</f>
        <v>Vendre</v>
      </c>
      <c r="G2915" s="2" t="str">
        <f>IFERROR(__xludf.DUMMYFUNCTION("REGEXEXTRACT(C2915, ""🏘️ \w+ (\w+) .* ✅"")"),"maison")</f>
        <v>maison</v>
      </c>
      <c r="H2915" s="4" t="str">
        <f>IFERROR(__xludf.DUMMYFUNCTION("REGEXEXTRACT(A2915, ""/(\w+)-.*?"")"),"lieu")</f>
        <v>lieu</v>
      </c>
      <c r="I2915" s="4" t="str">
        <f>IFERROR(__xludf.DUMMYFUNCTION("if(D2915=""variant"",  substitute(filter(Templates!E:E, Templates!A:A = F2915, Templates!B:B = G2915, Templates!C:C = H2915), ""{{}}"", E2915), B2915)"),"🏘  Vous souhaitez acheter une maison à Frasses? ✅ Jetez un œil aux dernières offres sur ImmoScout24.ch.")</f>
        <v>🏘  Vous souhaitez acheter une maison à Frasses? ✅ Jetez un œil aux dernières offres sur ImmoScout24.ch.</v>
      </c>
      <c r="J2915" s="4" t="s">
        <v>8740</v>
      </c>
    </row>
    <row r="2916">
      <c r="A2916" s="5" t="s">
        <v>8741</v>
      </c>
      <c r="B2916" s="2" t="s">
        <v>8742</v>
      </c>
      <c r="C2916" s="4" t="str">
        <f>IFERROR(__xludf.DUMMYFUNCTION("""🏘️ ""&amp;REGEXEXTRACT(B2916, ""^(.*): "")&amp;"" ✅ "" &amp;REGEXEXTRACT(B2916, ""(Trouvez.*)"")"),"🏘️ Vendre appartement Gampel ✅ Trouvez le bien immobilier qui correspond idéalement à vos désirs sur ImmoScout24 - La plateforme de l'immobilier en Suisse.")</f>
        <v>🏘️ Vendre appartement Gampel ✅ Trouvez le bien immobilier qui correspond idéalement à vos désirs sur ImmoScout24 - La plateforme de l'immobilier en Suisse.</v>
      </c>
      <c r="D2916" s="4" t="str">
        <f>vlookup(A2916, Sheet2!D:E, 2, 0)</f>
        <v>variant</v>
      </c>
      <c r="E2916" s="4" t="str">
        <f>IFERROR(__xludf.DUMMYFUNCTION("if(H2916=""pays"",vlookup(REGEXEXTRACT(C2916, ""🏘️ \w+ \w+ (.*) ✅""),'Country prepositions'!A:B, 2, 0) &amp; "" "" &amp; REGEXEXTRACT(C2916, ""🏘️ \w+ \w+ (.*) ✅"") ,  if(H2916=""quartier"",vlookup(REGEXEXTRACT(C2916, ""🏘️ \w+ \w+ (.*) ✅""),'Quartier prepositio"&amp;"ns'!A:E, 5, 0) ,  if(H2916=""region"",vlookup(REGEXEXTRACT(C2916, ""🏘️ \w+ \w+ (.*) ✅""),'Region prepositions'!B:F, 5, 0),  REGEXEXTRACT(C2916, ""🏘️ \w+ \w+ (.*) ✅""))))"),"Gampel")</f>
        <v>Gampel</v>
      </c>
      <c r="F2916" s="2" t="str">
        <f>IFERROR(__xludf.DUMMYFUNCTION("REGEXEXTRACT(C2916, ""🏘️ (\w+) \w+ .* ✅"")"),"Vendre")</f>
        <v>Vendre</v>
      </c>
      <c r="G2916" s="2" t="str">
        <f>IFERROR(__xludf.DUMMYFUNCTION("REGEXEXTRACT(C2916, ""🏘️ \w+ (\w+) .* ✅"")"),"appartement")</f>
        <v>appartement</v>
      </c>
      <c r="H2916" s="4" t="str">
        <f>IFERROR(__xludf.DUMMYFUNCTION("REGEXEXTRACT(A2916, ""/(\w+)-.*?"")"),"lieu")</f>
        <v>lieu</v>
      </c>
      <c r="I2916" s="4" t="str">
        <f>IFERROR(__xludf.DUMMYFUNCTION("if(D2916=""variant"",  substitute(filter(Templates!E:E, Templates!A:A = F2916, Templates!B:B = G2916, Templates!C:C = H2916), ""{{}}"", E2916), B2916)"),"🏘  L’appartement de vos rêves se trouve sur ImmoScout24.ch ✅ Découvrez les dernières annonces de vente à Gampel.")</f>
        <v>🏘  L’appartement de vos rêves se trouve sur ImmoScout24.ch ✅ Découvrez les dernières annonces de vente à Gampel.</v>
      </c>
      <c r="J2916" s="4" t="s">
        <v>8743</v>
      </c>
    </row>
    <row r="2917">
      <c r="A2917" s="5" t="s">
        <v>8744</v>
      </c>
      <c r="B2917" s="2" t="s">
        <v>8745</v>
      </c>
      <c r="C2917" s="4" t="str">
        <f>IFERROR(__xludf.DUMMYFUNCTION("""🏘️ ""&amp;REGEXEXTRACT(B2917, ""^(.*): "")&amp;"" ✅ "" &amp;REGEXEXTRACT(B2917, ""(Trouvez.*)"")"),"🏘️ Vendre maison Delley ✅ Trouvez le bien immobilier qui correspond idéalement à vos désirs sur ImmoScout24 - La plateforme de l'immobilier en Suisse.")</f>
        <v>🏘️ Vendre maison Delley ✅ Trouvez le bien immobilier qui correspond idéalement à vos désirs sur ImmoScout24 - La plateforme de l'immobilier en Suisse.</v>
      </c>
      <c r="D2917" s="4" t="str">
        <f>vlookup(A2917, Sheet2!D:E, 2, 0)</f>
        <v>variant</v>
      </c>
      <c r="E2917" s="4" t="str">
        <f>IFERROR(__xludf.DUMMYFUNCTION("if(H2917=""pays"",vlookup(REGEXEXTRACT(C2917, ""🏘️ \w+ \w+ (.*) ✅""),'Country prepositions'!A:B, 2, 0) &amp; "" "" &amp; REGEXEXTRACT(C2917, ""🏘️ \w+ \w+ (.*) ✅"") ,  if(H2917=""quartier"",vlookup(REGEXEXTRACT(C2917, ""🏘️ \w+ \w+ (.*) ✅""),'Quartier prepositio"&amp;"ns'!A:E, 5, 0) ,  if(H2917=""region"",vlookup(REGEXEXTRACT(C2917, ""🏘️ \w+ \w+ (.*) ✅""),'Region prepositions'!B:F, 5, 0),  REGEXEXTRACT(C2917, ""🏘️ \w+ \w+ (.*) ✅""))))"),"Delley")</f>
        <v>Delley</v>
      </c>
      <c r="F2917" s="2" t="str">
        <f>IFERROR(__xludf.DUMMYFUNCTION("REGEXEXTRACT(C2917, ""🏘️ (\w+) \w+ .* ✅"")"),"Vendre")</f>
        <v>Vendre</v>
      </c>
      <c r="G2917" s="2" t="str">
        <f>IFERROR(__xludf.DUMMYFUNCTION("REGEXEXTRACT(C2917, ""🏘️ \w+ (\w+) .* ✅"")"),"maison")</f>
        <v>maison</v>
      </c>
      <c r="H2917" s="4" t="str">
        <f>IFERROR(__xludf.DUMMYFUNCTION("REGEXEXTRACT(A2917, ""/(\w+)-.*?"")"),"lieu")</f>
        <v>lieu</v>
      </c>
      <c r="I2917" s="4" t="str">
        <f>IFERROR(__xludf.DUMMYFUNCTION("if(D2917=""variant"",  substitute(filter(Templates!E:E, Templates!A:A = F2917, Templates!B:B = G2917, Templates!C:C = H2917), ""{{}}"", E2917), B2917)"),"🏘  Vous souhaitez acheter une maison à Delley? ✅ Jetez un œil aux dernières offres sur ImmoScout24.ch.")</f>
        <v>🏘  Vous souhaitez acheter une maison à Delley? ✅ Jetez un œil aux dernières offres sur ImmoScout24.ch.</v>
      </c>
      <c r="J2917" s="4" t="s">
        <v>8746</v>
      </c>
    </row>
    <row r="2918">
      <c r="A2918" s="5" t="s">
        <v>8747</v>
      </c>
      <c r="B2918" s="2" t="s">
        <v>8748</v>
      </c>
      <c r="C2918" s="4" t="str">
        <f>IFERROR(__xludf.DUMMYFUNCTION("""🏘️ ""&amp;REGEXEXTRACT(B2918, ""^(.*): "")&amp;"" ✅ "" &amp;REGEXEXTRACT(B2918, ""(Trouvez.*)"")"),"🏘️ Vendre maison Prez-vers-Siviriez ✅ Trouvez le bien immobilier qui correspond idéalement à vos désirs sur ImmoScout24 - La plateforme de l'immobilier en Suisse.")</f>
        <v>🏘️ Vendre maison Prez-vers-Siviriez ✅ Trouvez le bien immobilier qui correspond idéalement à vos désirs sur ImmoScout24 - La plateforme de l'immobilier en Suisse.</v>
      </c>
      <c r="D2918" s="4" t="str">
        <f>vlookup(A2918, Sheet2!D:E, 2, 0)</f>
        <v>variant</v>
      </c>
      <c r="E2918" s="4" t="str">
        <f>IFERROR(__xludf.DUMMYFUNCTION("if(H2918=""pays"",vlookup(REGEXEXTRACT(C2918, ""🏘️ \w+ \w+ (.*) ✅""),'Country prepositions'!A:B, 2, 0) &amp; "" "" &amp; REGEXEXTRACT(C2918, ""🏘️ \w+ \w+ (.*) ✅"") ,  if(H2918=""quartier"",vlookup(REGEXEXTRACT(C2918, ""🏘️ \w+ \w+ (.*) ✅""),'Quartier prepositio"&amp;"ns'!A:E, 5, 0) ,  if(H2918=""region"",vlookup(REGEXEXTRACT(C2918, ""🏘️ \w+ \w+ (.*) ✅""),'Region prepositions'!B:F, 5, 0),  REGEXEXTRACT(C2918, ""🏘️ \w+ \w+ (.*) ✅""))))"),"Prez-vers-Siviriez")</f>
        <v>Prez-vers-Siviriez</v>
      </c>
      <c r="F2918" s="2" t="str">
        <f>IFERROR(__xludf.DUMMYFUNCTION("REGEXEXTRACT(C2918, ""🏘️ (\w+) \w+ .* ✅"")"),"Vendre")</f>
        <v>Vendre</v>
      </c>
      <c r="G2918" s="2" t="str">
        <f>IFERROR(__xludf.DUMMYFUNCTION("REGEXEXTRACT(C2918, ""🏘️ \w+ (\w+) .* ✅"")"),"maison")</f>
        <v>maison</v>
      </c>
      <c r="H2918" s="4" t="str">
        <f>IFERROR(__xludf.DUMMYFUNCTION("REGEXEXTRACT(A2918, ""/(\w+)-.*?"")"),"lieu")</f>
        <v>lieu</v>
      </c>
      <c r="I2918" s="4" t="str">
        <f>IFERROR(__xludf.DUMMYFUNCTION("if(D2918=""variant"",  substitute(filter(Templates!E:E, Templates!A:A = F2918, Templates!B:B = G2918, Templates!C:C = H2918), ""{{}}"", E2918), B2918)"),"🏘  Vous souhaitez acheter une maison à Prez-vers-Siviriez? ✅ Jetez un œil aux dernières offres sur ImmoScout24.ch.")</f>
        <v>🏘  Vous souhaitez acheter une maison à Prez-vers-Siviriez? ✅ Jetez un œil aux dernières offres sur ImmoScout24.ch.</v>
      </c>
      <c r="J2918" s="4" t="s">
        <v>8749</v>
      </c>
    </row>
    <row r="2919">
      <c r="A2919" s="5" t="s">
        <v>8750</v>
      </c>
      <c r="B2919" s="2" t="s">
        <v>8751</v>
      </c>
      <c r="C2919" s="4" t="str">
        <f>IFERROR(__xludf.DUMMYFUNCTION("""🏘️ ""&amp;REGEXEXTRACT(B2919, ""^(.*): "")&amp;"" ✅ "" &amp;REGEXEXTRACT(B2919, ""(Trouvez.*)"")"),"🏘️ Vendre appartement Canton du Valais ✅ Trouvez le bien immobilier qui correspond idéalement à vos désirs sur ImmoScout24 - La plateforme de l'immobilier en Suisse.")</f>
        <v>🏘️ Vendre appartement Canton du Valais ✅ Trouvez le bien immobilier qui correspond idéalement à vos désirs sur ImmoScout24 - La plateforme de l'immobilier en Suisse.</v>
      </c>
      <c r="D2919" s="4" t="str">
        <f>vlookup(A2919, Sheet2!D:E, 2, 0)</f>
        <v>variant</v>
      </c>
      <c r="E2919" s="4" t="str">
        <f>IFERROR(__xludf.DUMMYFUNCTION("if(H2919=""pays"",vlookup(REGEXEXTRACT(C2919, ""🏘️ \w+ \w+ (.*) ✅""),'Country prepositions'!A:B, 2, 0) &amp; "" "" &amp; REGEXEXTRACT(C2919, ""🏘️ \w+ \w+ (.*) ✅"") ,  if(H2919=""quartier"",vlookup(REGEXEXTRACT(C2919, ""🏘️ \w+ \w+ (.*) ✅""),'Quartier prepositio"&amp;"ns'!A:E, 5, 0) ,  if(H2919=""region"",vlookup(REGEXEXTRACT(C2919, ""🏘️ \w+ \w+ (.*) ✅""),'Region prepositions'!B:F, 5, 0),  REGEXEXTRACT(C2919, ""🏘️ \w+ \w+ (.*) ✅""))))"),"Canton du Valais")</f>
        <v>Canton du Valais</v>
      </c>
      <c r="F2919" s="2" t="str">
        <f>IFERROR(__xludf.DUMMYFUNCTION("REGEXEXTRACT(C2919, ""🏘️ (\w+) \w+ .* ✅"")"),"Vendre")</f>
        <v>Vendre</v>
      </c>
      <c r="G2919" s="2" t="str">
        <f>IFERROR(__xludf.DUMMYFUNCTION("REGEXEXTRACT(C2919, ""🏘️ \w+ (\w+) .* ✅"")"),"appartement")</f>
        <v>appartement</v>
      </c>
      <c r="H2919" s="4" t="str">
        <f>IFERROR(__xludf.DUMMYFUNCTION("REGEXEXTRACT(A2919, ""/(\w+)-.*?"")"),"canton")</f>
        <v>canton</v>
      </c>
      <c r="I2919" s="4" t="str">
        <f>IFERROR(__xludf.DUMMYFUNCTION("if(D2919=""variant"",  substitute(filter(Templates!E:E, Templates!A:A = F2919, Templates!B:B = G2919, Templates!C:C = H2919), ""{{}}"", E2919), B2919)"),"#N/A")</f>
        <v>#N/A</v>
      </c>
      <c r="J2919" s="4" t="s">
        <v>8752</v>
      </c>
    </row>
    <row r="2920">
      <c r="A2920" s="5" t="s">
        <v>8753</v>
      </c>
      <c r="B2920" s="2" t="s">
        <v>8754</v>
      </c>
      <c r="C2920" s="4" t="str">
        <f>IFERROR(__xludf.DUMMYFUNCTION("""🏘️ ""&amp;REGEXEXTRACT(B2920, ""^(.*): "")&amp;"" ✅ "" &amp;REGEXEXTRACT(B2920, ""(Trouvez.*)"")"),"🏘️ Vendre maison Melchtal ✅ Trouvez le bien immobilier qui correspond idéalement à vos désirs sur ImmoScout24 - La plateforme de l'immobilier en Suisse.")</f>
        <v>🏘️ Vendre maison Melchtal ✅ Trouvez le bien immobilier qui correspond idéalement à vos désirs sur ImmoScout24 - La plateforme de l'immobilier en Suisse.</v>
      </c>
      <c r="D2920" s="4" t="str">
        <f>vlookup(A2920, Sheet2!D:E, 2, 0)</f>
        <v>variant</v>
      </c>
      <c r="E2920" s="4" t="str">
        <f>IFERROR(__xludf.DUMMYFUNCTION("if(H2920=""pays"",vlookup(REGEXEXTRACT(C2920, ""🏘️ \w+ \w+ (.*) ✅""),'Country prepositions'!A:B, 2, 0) &amp; "" "" &amp; REGEXEXTRACT(C2920, ""🏘️ \w+ \w+ (.*) ✅"") ,  if(H2920=""quartier"",vlookup(REGEXEXTRACT(C2920, ""🏘️ \w+ \w+ (.*) ✅""),'Quartier prepositio"&amp;"ns'!A:E, 5, 0) ,  if(H2920=""region"",vlookup(REGEXEXTRACT(C2920, ""🏘️ \w+ \w+ (.*) ✅""),'Region prepositions'!B:F, 5, 0),  REGEXEXTRACT(C2920, ""🏘️ \w+ \w+ (.*) ✅""))))"),"Melchtal")</f>
        <v>Melchtal</v>
      </c>
      <c r="F2920" s="2" t="str">
        <f>IFERROR(__xludf.DUMMYFUNCTION("REGEXEXTRACT(C2920, ""🏘️ (\w+) \w+ .* ✅"")"),"Vendre")</f>
        <v>Vendre</v>
      </c>
      <c r="G2920" s="2" t="str">
        <f>IFERROR(__xludf.DUMMYFUNCTION("REGEXEXTRACT(C2920, ""🏘️ \w+ (\w+) .* ✅"")"),"maison")</f>
        <v>maison</v>
      </c>
      <c r="H2920" s="4" t="str">
        <f>IFERROR(__xludf.DUMMYFUNCTION("REGEXEXTRACT(A2920, ""/(\w+)-.*?"")"),"lieu")</f>
        <v>lieu</v>
      </c>
      <c r="I2920" s="4" t="str">
        <f>IFERROR(__xludf.DUMMYFUNCTION("if(D2920=""variant"",  substitute(filter(Templates!E:E, Templates!A:A = F2920, Templates!B:B = G2920, Templates!C:C = H2920), ""{{}}"", E2920), B2920)"),"🏘  Vous souhaitez acheter une maison à Melchtal? ✅ Jetez un œil aux dernières offres sur ImmoScout24.ch.")</f>
        <v>🏘  Vous souhaitez acheter une maison à Melchtal? ✅ Jetez un œil aux dernières offres sur ImmoScout24.ch.</v>
      </c>
      <c r="J2920" s="4" t="s">
        <v>8755</v>
      </c>
    </row>
    <row r="2921">
      <c r="A2921" s="5" t="s">
        <v>8756</v>
      </c>
      <c r="B2921" s="2" t="s">
        <v>8757</v>
      </c>
      <c r="C2921" s="4" t="str">
        <f>IFERROR(__xludf.DUMMYFUNCTION("""🏘️ ""&amp;REGEXEXTRACT(B2921, ""^(.*): "")&amp;"" ✅ "" &amp;REGEXEXTRACT(B2921, ""(Trouvez.*)"")"),"🏘️ Vendre maison Muzzano ✅ Trouvez le bien immobilier qui correspond idéalement à vos désirs sur ImmoScout24 - La plateforme de l'immobilier en Suisse.")</f>
        <v>🏘️ Vendre maison Muzzano ✅ Trouvez le bien immobilier qui correspond idéalement à vos désirs sur ImmoScout24 - La plateforme de l'immobilier en Suisse.</v>
      </c>
      <c r="D2921" s="4" t="str">
        <f>vlookup(A2921, Sheet2!D:E, 2, 0)</f>
        <v>variant</v>
      </c>
      <c r="E2921" s="4" t="str">
        <f>IFERROR(__xludf.DUMMYFUNCTION("if(H2921=""pays"",vlookup(REGEXEXTRACT(C2921, ""🏘️ \w+ \w+ (.*) ✅""),'Country prepositions'!A:B, 2, 0) &amp; "" "" &amp; REGEXEXTRACT(C2921, ""🏘️ \w+ \w+ (.*) ✅"") ,  if(H2921=""quartier"",vlookup(REGEXEXTRACT(C2921, ""🏘️ \w+ \w+ (.*) ✅""),'Quartier prepositio"&amp;"ns'!A:E, 5, 0) ,  if(H2921=""region"",vlookup(REGEXEXTRACT(C2921, ""🏘️ \w+ \w+ (.*) ✅""),'Region prepositions'!B:F, 5, 0),  REGEXEXTRACT(C2921, ""🏘️ \w+ \w+ (.*) ✅""))))"),"Muzzano")</f>
        <v>Muzzano</v>
      </c>
      <c r="F2921" s="2" t="str">
        <f>IFERROR(__xludf.DUMMYFUNCTION("REGEXEXTRACT(C2921, ""🏘️ (\w+) \w+ .* ✅"")"),"Vendre")</f>
        <v>Vendre</v>
      </c>
      <c r="G2921" s="2" t="str">
        <f>IFERROR(__xludf.DUMMYFUNCTION("REGEXEXTRACT(C2921, ""🏘️ \w+ (\w+) .* ✅"")"),"maison")</f>
        <v>maison</v>
      </c>
      <c r="H2921" s="4" t="str">
        <f>IFERROR(__xludf.DUMMYFUNCTION("REGEXEXTRACT(A2921, ""/(\w+)-.*?"")"),"lieu")</f>
        <v>lieu</v>
      </c>
      <c r="I2921" s="4" t="str">
        <f>IFERROR(__xludf.DUMMYFUNCTION("if(D2921=""variant"",  substitute(filter(Templates!E:E, Templates!A:A = F2921, Templates!B:B = G2921, Templates!C:C = H2921), ""{{}}"", E2921), B2921)"),"🏘  Vous souhaitez acheter une maison à Muzzano? ✅ Jetez un œil aux dernières offres sur ImmoScout24.ch.")</f>
        <v>🏘  Vous souhaitez acheter une maison à Muzzano? ✅ Jetez un œil aux dernières offres sur ImmoScout24.ch.</v>
      </c>
      <c r="J2921" s="4" t="s">
        <v>8758</v>
      </c>
    </row>
    <row r="2922">
      <c r="A2922" s="5" t="s">
        <v>8759</v>
      </c>
      <c r="B2922" s="2" t="s">
        <v>8760</v>
      </c>
      <c r="C2922" s="4" t="str">
        <f>IFERROR(__xludf.DUMMYFUNCTION("""🏘️ ""&amp;REGEXEXTRACT(B2922, ""^(.*): "")&amp;"" ✅ "" &amp;REGEXEXTRACT(B2922, ""(Trouvez.*)"")"),"🏘️ Vendre maison Bogis-Bossey ✅ Trouvez le bien immobilier qui correspond idéalement à vos désirs sur ImmoScout24 - La plateforme de l'immobilier en Suisse.")</f>
        <v>🏘️ Vendre maison Bogis-Bossey ✅ Trouvez le bien immobilier qui correspond idéalement à vos désirs sur ImmoScout24 - La plateforme de l'immobilier en Suisse.</v>
      </c>
      <c r="D2922" s="4" t="str">
        <f>vlookup(A2922, Sheet2!D:E, 2, 0)</f>
        <v>variant</v>
      </c>
      <c r="E2922" s="4" t="str">
        <f>IFERROR(__xludf.DUMMYFUNCTION("if(H2922=""pays"",vlookup(REGEXEXTRACT(C2922, ""🏘️ \w+ \w+ (.*) ✅""),'Country prepositions'!A:B, 2, 0) &amp; "" "" &amp; REGEXEXTRACT(C2922, ""🏘️ \w+ \w+ (.*) ✅"") ,  if(H2922=""quartier"",vlookup(REGEXEXTRACT(C2922, ""🏘️ \w+ \w+ (.*) ✅""),'Quartier prepositio"&amp;"ns'!A:E, 5, 0) ,  if(H2922=""region"",vlookup(REGEXEXTRACT(C2922, ""🏘️ \w+ \w+ (.*) ✅""),'Region prepositions'!B:F, 5, 0),  REGEXEXTRACT(C2922, ""🏘️ \w+ \w+ (.*) ✅""))))"),"Bogis-Bossey")</f>
        <v>Bogis-Bossey</v>
      </c>
      <c r="F2922" s="2" t="str">
        <f>IFERROR(__xludf.DUMMYFUNCTION("REGEXEXTRACT(C2922, ""🏘️ (\w+) \w+ .* ✅"")"),"Vendre")</f>
        <v>Vendre</v>
      </c>
      <c r="G2922" s="2" t="str">
        <f>IFERROR(__xludf.DUMMYFUNCTION("REGEXEXTRACT(C2922, ""🏘️ \w+ (\w+) .* ✅"")"),"maison")</f>
        <v>maison</v>
      </c>
      <c r="H2922" s="4" t="str">
        <f>IFERROR(__xludf.DUMMYFUNCTION("REGEXEXTRACT(A2922, ""/(\w+)-.*?"")"),"lieu")</f>
        <v>lieu</v>
      </c>
      <c r="I2922" s="4" t="str">
        <f>IFERROR(__xludf.DUMMYFUNCTION("if(D2922=""variant"",  substitute(filter(Templates!E:E, Templates!A:A = F2922, Templates!B:B = G2922, Templates!C:C = H2922), ""{{}}"", E2922), B2922)"),"🏘  Vous souhaitez acheter une maison à Bogis-Bossey? ✅ Jetez un œil aux dernières offres sur ImmoScout24.ch.")</f>
        <v>🏘  Vous souhaitez acheter une maison à Bogis-Bossey? ✅ Jetez un œil aux dernières offres sur ImmoScout24.ch.</v>
      </c>
      <c r="J2922" s="4" t="s">
        <v>8761</v>
      </c>
    </row>
    <row r="2923">
      <c r="A2923" s="5" t="s">
        <v>8762</v>
      </c>
      <c r="B2923" s="2" t="s">
        <v>8763</v>
      </c>
      <c r="C2923" s="4" t="str">
        <f>IFERROR(__xludf.DUMMYFUNCTION("""🏘️ ""&amp;REGEXEXTRACT(B2923, ""^(.*): "")&amp;"" ✅ "" &amp;REGEXEXTRACT(B2923, ""(Trouvez.*)"")"),"🏘️ Louer maison Im Fang ✅ Trouvez le bien immobilier qui correspond idéalement à vos désirs sur ImmoScout24 - La plateforme de l'immobilier en Suisse.")</f>
        <v>🏘️ Louer maison Im Fang ✅ Trouvez le bien immobilier qui correspond idéalement à vos désirs sur ImmoScout24 - La plateforme de l'immobilier en Suisse.</v>
      </c>
      <c r="D2923" s="4" t="str">
        <f>vlookup(A2923, Sheet2!D:E, 2, 0)</f>
        <v>variant</v>
      </c>
      <c r="E2923" s="4" t="str">
        <f>IFERROR(__xludf.DUMMYFUNCTION("if(H2923=""pays"",vlookup(REGEXEXTRACT(C2923, ""🏘️ \w+ \w+ (.*) ✅""),'Country prepositions'!A:B, 2, 0) &amp; "" "" &amp; REGEXEXTRACT(C2923, ""🏘️ \w+ \w+ (.*) ✅"") ,  if(H2923=""quartier"",vlookup(REGEXEXTRACT(C2923, ""🏘️ \w+ \w+ (.*) ✅""),'Quartier prepositio"&amp;"ns'!A:E, 5, 0) ,  if(H2923=""region"",vlookup(REGEXEXTRACT(C2923, ""🏘️ \w+ \w+ (.*) ✅""),'Region prepositions'!B:F, 5, 0),  REGEXEXTRACT(C2923, ""🏘️ \w+ \w+ (.*) ✅""))))"),"Im Fang")</f>
        <v>Im Fang</v>
      </c>
      <c r="F2923" s="2" t="str">
        <f>IFERROR(__xludf.DUMMYFUNCTION("REGEXEXTRACT(C2923, ""🏘️ (\w+) \w+ .* ✅"")"),"Louer")</f>
        <v>Louer</v>
      </c>
      <c r="G2923" s="2" t="str">
        <f>IFERROR(__xludf.DUMMYFUNCTION("REGEXEXTRACT(C2923, ""🏘️ \w+ (\w+) .* ✅"")"),"maison")</f>
        <v>maison</v>
      </c>
      <c r="H2923" s="4" t="str">
        <f>IFERROR(__xludf.DUMMYFUNCTION("REGEXEXTRACT(A2923, ""/(\w+)-.*?"")"),"lieu")</f>
        <v>lieu</v>
      </c>
      <c r="I2923" s="4" t="str">
        <f>IFERROR(__xludf.DUMMYFUNCTION("if(D2923=""variant"",  substitute(filter(Templates!E:E, Templates!A:A = F2923, Templates!B:B = G2923, Templates!C:C = H2923), ""{{}}"", E2923), B2923)"),"🏘  Vous cherchez une maison à louer à Im Fang? ✅ Découvrez nos nombreuses annonces sur ImmoScout24.ch.")</f>
        <v>🏘  Vous cherchez une maison à louer à Im Fang? ✅ Découvrez nos nombreuses annonces sur ImmoScout24.ch.</v>
      </c>
      <c r="J2923" s="4" t="s">
        <v>8764</v>
      </c>
    </row>
    <row r="2924">
      <c r="A2924" s="5" t="s">
        <v>8765</v>
      </c>
      <c r="B2924" s="2" t="s">
        <v>8766</v>
      </c>
      <c r="C2924" s="4" t="str">
        <f>IFERROR(__xludf.DUMMYFUNCTION("""🏘️ ""&amp;REGEXEXTRACT(B2924, ""^(.*): "")&amp;"" ✅ "" &amp;REGEXEXTRACT(B2924, ""(Trouvez.*)"")"),"🏘️ Vendre maison Ecoteaux ✅ Trouvez le bien immobilier qui correspond idéalement à vos désirs sur ImmoScout24 - La plateforme de l'immobilier en Suisse.")</f>
        <v>🏘️ Vendre maison Ecoteaux ✅ Trouvez le bien immobilier qui correspond idéalement à vos désirs sur ImmoScout24 - La plateforme de l'immobilier en Suisse.</v>
      </c>
      <c r="D2924" s="4" t="str">
        <f>vlookup(A2924, Sheet2!D:E, 2, 0)</f>
        <v>variant</v>
      </c>
      <c r="E2924" s="4" t="str">
        <f>IFERROR(__xludf.DUMMYFUNCTION("if(H2924=""pays"",vlookup(REGEXEXTRACT(C2924, ""🏘️ \w+ \w+ (.*) ✅""),'Country prepositions'!A:B, 2, 0) &amp; "" "" &amp; REGEXEXTRACT(C2924, ""🏘️ \w+ \w+ (.*) ✅"") ,  if(H2924=""quartier"",vlookup(REGEXEXTRACT(C2924, ""🏘️ \w+ \w+ (.*) ✅""),'Quartier prepositio"&amp;"ns'!A:E, 5, 0) ,  if(H2924=""region"",vlookup(REGEXEXTRACT(C2924, ""🏘️ \w+ \w+ (.*) ✅""),'Region prepositions'!B:F, 5, 0),  REGEXEXTRACT(C2924, ""🏘️ \w+ \w+ (.*) ✅""))))"),"Ecoteaux")</f>
        <v>Ecoteaux</v>
      </c>
      <c r="F2924" s="2" t="str">
        <f>IFERROR(__xludf.DUMMYFUNCTION("REGEXEXTRACT(C2924, ""🏘️ (\w+) \w+ .* ✅"")"),"Vendre")</f>
        <v>Vendre</v>
      </c>
      <c r="G2924" s="2" t="str">
        <f>IFERROR(__xludf.DUMMYFUNCTION("REGEXEXTRACT(C2924, ""🏘️ \w+ (\w+) .* ✅"")"),"maison")</f>
        <v>maison</v>
      </c>
      <c r="H2924" s="4" t="str">
        <f>IFERROR(__xludf.DUMMYFUNCTION("REGEXEXTRACT(A2924, ""/(\w+)-.*?"")"),"lieu")</f>
        <v>lieu</v>
      </c>
      <c r="I2924" s="4" t="str">
        <f>IFERROR(__xludf.DUMMYFUNCTION("if(D2924=""variant"",  substitute(filter(Templates!E:E, Templates!A:A = F2924, Templates!B:B = G2924, Templates!C:C = H2924), ""{{}}"", E2924), B2924)"),"🏘  Vous souhaitez acheter une maison à Ecoteaux? ✅ Jetez un œil aux dernières offres sur ImmoScout24.ch.")</f>
        <v>🏘  Vous souhaitez acheter une maison à Ecoteaux? ✅ Jetez un œil aux dernières offres sur ImmoScout24.ch.</v>
      </c>
      <c r="J2924" s="4" t="s">
        <v>8767</v>
      </c>
    </row>
    <row r="2925">
      <c r="A2925" s="5" t="s">
        <v>8768</v>
      </c>
      <c r="B2925" s="2" t="s">
        <v>8769</v>
      </c>
      <c r="C2925" s="4" t="str">
        <f>IFERROR(__xludf.DUMMYFUNCTION("""🏘️ ""&amp;REGEXEXTRACT(B2925, ""^(.*): "")&amp;"" ✅ "" &amp;REGEXEXTRACT(B2925, ""(Trouvez.*)"")"),"🏘️ Louer appartement Wattwil ✅ Trouvez le bien immobilier qui correspond idéalement à vos désirs sur ImmoScout24 - La plateforme de l'immobilier en Suisse.")</f>
        <v>🏘️ Louer appartement Wattwil ✅ Trouvez le bien immobilier qui correspond idéalement à vos désirs sur ImmoScout24 - La plateforme de l'immobilier en Suisse.</v>
      </c>
      <c r="D2925" s="4" t="str">
        <f>vlookup(A2925, Sheet2!D:E, 2, 0)</f>
        <v>variant</v>
      </c>
      <c r="E2925" s="4" t="str">
        <f>IFERROR(__xludf.DUMMYFUNCTION("if(H2925=""pays"",vlookup(REGEXEXTRACT(C2925, ""🏘️ \w+ \w+ (.*) ✅""),'Country prepositions'!A:B, 2, 0) &amp; "" "" &amp; REGEXEXTRACT(C2925, ""🏘️ \w+ \w+ (.*) ✅"") ,  if(H2925=""quartier"",vlookup(REGEXEXTRACT(C2925, ""🏘️ \w+ \w+ (.*) ✅""),'Quartier prepositio"&amp;"ns'!A:E, 5, 0) ,  if(H2925=""region"",vlookup(REGEXEXTRACT(C2925, ""🏘️ \w+ \w+ (.*) ✅""),'Region prepositions'!B:F, 5, 0),  REGEXEXTRACT(C2925, ""🏘️ \w+ \w+ (.*) ✅""))))"),"Wattwil")</f>
        <v>Wattwil</v>
      </c>
      <c r="F2925" s="2" t="str">
        <f>IFERROR(__xludf.DUMMYFUNCTION("REGEXEXTRACT(C2925, ""🏘️ (\w+) \w+ .* ✅"")"),"Louer")</f>
        <v>Louer</v>
      </c>
      <c r="G2925" s="2" t="str">
        <f>IFERROR(__xludf.DUMMYFUNCTION("REGEXEXTRACT(C2925, ""🏘️ \w+ (\w+) .* ✅"")"),"appartement")</f>
        <v>appartement</v>
      </c>
      <c r="H2925" s="4" t="str">
        <f>IFERROR(__xludf.DUMMYFUNCTION("REGEXEXTRACT(A2925, ""/(\w+)-.*?"")"),"lieu")</f>
        <v>lieu</v>
      </c>
      <c r="I2925" s="4" t="str">
        <f>IFERROR(__xludf.DUMMYFUNCTION("if(D2925=""variant"",  substitute(filter(Templates!E:E, Templates!A:A = F2925, Templates!B:B = G2925, Templates!C:C = H2925), ""{{}}"", E2925), B2925)"),"🏘  Vous cherchez un appartement à louer à Wattwil? ✅ Les annonces les plus actuelles sont sur ImmoScout24.ch.")</f>
        <v>🏘  Vous cherchez un appartement à louer à Wattwil? ✅ Les annonces les plus actuelles sont sur ImmoScout24.ch.</v>
      </c>
      <c r="J2925" s="4" t="s">
        <v>8770</v>
      </c>
    </row>
    <row r="2926">
      <c r="A2926" s="5" t="s">
        <v>8771</v>
      </c>
      <c r="B2926" s="2" t="s">
        <v>8772</v>
      </c>
      <c r="C2926" s="4" t="str">
        <f>IFERROR(__xludf.DUMMYFUNCTION("""🏘️ ""&amp;REGEXEXTRACT(B2926, ""^(.*): "")&amp;"" ✅ "" &amp;REGEXEXTRACT(B2926, ""(Trouvez.*)"")"),"🏘️ Louer appartement Ebmatingen ✅ Trouvez le bien immobilier qui correspond idéalement à vos désirs sur ImmoScout24 - La plateforme de l'immobilier en Suisse.")</f>
        <v>🏘️ Louer appartement Ebmatingen ✅ Trouvez le bien immobilier qui correspond idéalement à vos désirs sur ImmoScout24 - La plateforme de l'immobilier en Suisse.</v>
      </c>
      <c r="D2926" s="4" t="str">
        <f>vlookup(A2926, Sheet2!D:E, 2, 0)</f>
        <v>variant</v>
      </c>
      <c r="E2926" s="4" t="str">
        <f>IFERROR(__xludf.DUMMYFUNCTION("if(H2926=""pays"",vlookup(REGEXEXTRACT(C2926, ""🏘️ \w+ \w+ (.*) ✅""),'Country prepositions'!A:B, 2, 0) &amp; "" "" &amp; REGEXEXTRACT(C2926, ""🏘️ \w+ \w+ (.*) ✅"") ,  if(H2926=""quartier"",vlookup(REGEXEXTRACT(C2926, ""🏘️ \w+ \w+ (.*) ✅""),'Quartier prepositio"&amp;"ns'!A:E, 5, 0) ,  if(H2926=""region"",vlookup(REGEXEXTRACT(C2926, ""🏘️ \w+ \w+ (.*) ✅""),'Region prepositions'!B:F, 5, 0),  REGEXEXTRACT(C2926, ""🏘️ \w+ \w+ (.*) ✅""))))"),"Ebmatingen")</f>
        <v>Ebmatingen</v>
      </c>
      <c r="F2926" s="2" t="str">
        <f>IFERROR(__xludf.DUMMYFUNCTION("REGEXEXTRACT(C2926, ""🏘️ (\w+) \w+ .* ✅"")"),"Louer")</f>
        <v>Louer</v>
      </c>
      <c r="G2926" s="2" t="str">
        <f>IFERROR(__xludf.DUMMYFUNCTION("REGEXEXTRACT(C2926, ""🏘️ \w+ (\w+) .* ✅"")"),"appartement")</f>
        <v>appartement</v>
      </c>
      <c r="H2926" s="4" t="str">
        <f>IFERROR(__xludf.DUMMYFUNCTION("REGEXEXTRACT(A2926, ""/(\w+)-.*?"")"),"lieu")</f>
        <v>lieu</v>
      </c>
      <c r="I2926" s="4" t="str">
        <f>IFERROR(__xludf.DUMMYFUNCTION("if(D2926=""variant"",  substitute(filter(Templates!E:E, Templates!A:A = F2926, Templates!B:B = G2926, Templates!C:C = H2926), ""{{}}"", E2926), B2926)"),"🏘  Vous cherchez un appartement à louer à Ebmatingen? ✅ Les annonces les plus actuelles sont sur ImmoScout24.ch.")</f>
        <v>🏘  Vous cherchez un appartement à louer à Ebmatingen? ✅ Les annonces les plus actuelles sont sur ImmoScout24.ch.</v>
      </c>
      <c r="J2926" s="4" t="s">
        <v>8773</v>
      </c>
    </row>
    <row r="2927">
      <c r="A2927" s="5" t="s">
        <v>8774</v>
      </c>
      <c r="B2927" s="2" t="s">
        <v>8775</v>
      </c>
      <c r="C2927" s="4" t="str">
        <f>IFERROR(__xludf.DUMMYFUNCTION("""🏘️ ""&amp;REGEXEXTRACT(B2927, ""^(.*): "")&amp;"" ✅ "" &amp;REGEXEXTRACT(B2927, ""(Trouvez.*)"")"),"🏘️ Louer appartement Saas-Almagell ✅ Trouvez le bien immobilier qui correspond idéalement à vos désirs sur ImmoScout24 - La plateforme de l'immobilier en Suisse.")</f>
        <v>🏘️ Louer appartement Saas-Almagell ✅ Trouvez le bien immobilier qui correspond idéalement à vos désirs sur ImmoScout24 - La plateforme de l'immobilier en Suisse.</v>
      </c>
      <c r="D2927" s="4" t="str">
        <f>vlookup(A2927, Sheet2!D:E, 2, 0)</f>
        <v>variant</v>
      </c>
      <c r="E2927" s="4" t="str">
        <f>IFERROR(__xludf.DUMMYFUNCTION("if(H2927=""pays"",vlookup(REGEXEXTRACT(C2927, ""🏘️ \w+ \w+ (.*) ✅""),'Country prepositions'!A:B, 2, 0) &amp; "" "" &amp; REGEXEXTRACT(C2927, ""🏘️ \w+ \w+ (.*) ✅"") ,  if(H2927=""quartier"",vlookup(REGEXEXTRACT(C2927, ""🏘️ \w+ \w+ (.*) ✅""),'Quartier prepositio"&amp;"ns'!A:E, 5, 0) ,  if(H2927=""region"",vlookup(REGEXEXTRACT(C2927, ""🏘️ \w+ \w+ (.*) ✅""),'Region prepositions'!B:F, 5, 0),  REGEXEXTRACT(C2927, ""🏘️ \w+ \w+ (.*) ✅""))))"),"Saas-Almagell")</f>
        <v>Saas-Almagell</v>
      </c>
      <c r="F2927" s="2" t="str">
        <f>IFERROR(__xludf.DUMMYFUNCTION("REGEXEXTRACT(C2927, ""🏘️ (\w+) \w+ .* ✅"")"),"Louer")</f>
        <v>Louer</v>
      </c>
      <c r="G2927" s="2" t="str">
        <f>IFERROR(__xludf.DUMMYFUNCTION("REGEXEXTRACT(C2927, ""🏘️ \w+ (\w+) .* ✅"")"),"appartement")</f>
        <v>appartement</v>
      </c>
      <c r="H2927" s="4" t="str">
        <f>IFERROR(__xludf.DUMMYFUNCTION("REGEXEXTRACT(A2927, ""/(\w+)-.*?"")"),"lieu")</f>
        <v>lieu</v>
      </c>
      <c r="I2927" s="4" t="str">
        <f>IFERROR(__xludf.DUMMYFUNCTION("if(D2927=""variant"",  substitute(filter(Templates!E:E, Templates!A:A = F2927, Templates!B:B = G2927, Templates!C:C = H2927), ""{{}}"", E2927), B2927)"),"🏘  Vous cherchez un appartement à louer à Saas-Almagell? ✅ Les annonces les plus actuelles sont sur ImmoScout24.ch.")</f>
        <v>🏘  Vous cherchez un appartement à louer à Saas-Almagell? ✅ Les annonces les plus actuelles sont sur ImmoScout24.ch.</v>
      </c>
      <c r="J2927" s="4" t="s">
        <v>8776</v>
      </c>
    </row>
    <row r="2928">
      <c r="A2928" s="5" t="s">
        <v>8777</v>
      </c>
      <c r="B2928" s="2" t="s">
        <v>8778</v>
      </c>
      <c r="C2928" s="4" t="str">
        <f>IFERROR(__xludf.DUMMYFUNCTION("""🏘️ ""&amp;REGEXEXTRACT(B2928, ""^(.*): "")&amp;"" ✅ "" &amp;REGEXEXTRACT(B2928, ""(Trouvez.*)"")"),"🏘️ Louer maison Servion ✅ Trouvez le bien immobilier qui correspond idéalement à vos désirs sur ImmoScout24 - La plateforme de l'immobilier en Suisse.")</f>
        <v>🏘️ Louer maison Servion ✅ Trouvez le bien immobilier qui correspond idéalement à vos désirs sur ImmoScout24 - La plateforme de l'immobilier en Suisse.</v>
      </c>
      <c r="D2928" s="4" t="str">
        <f>vlookup(A2928, Sheet2!D:E, 2, 0)</f>
        <v>variant</v>
      </c>
      <c r="E2928" s="4" t="str">
        <f>IFERROR(__xludf.DUMMYFUNCTION("if(H2928=""pays"",vlookup(REGEXEXTRACT(C2928, ""🏘️ \w+ \w+ (.*) ✅""),'Country prepositions'!A:B, 2, 0) &amp; "" "" &amp; REGEXEXTRACT(C2928, ""🏘️ \w+ \w+ (.*) ✅"") ,  if(H2928=""quartier"",vlookup(REGEXEXTRACT(C2928, ""🏘️ \w+ \w+ (.*) ✅""),'Quartier prepositio"&amp;"ns'!A:E, 5, 0) ,  if(H2928=""region"",vlookup(REGEXEXTRACT(C2928, ""🏘️ \w+ \w+ (.*) ✅""),'Region prepositions'!B:F, 5, 0),  REGEXEXTRACT(C2928, ""🏘️ \w+ \w+ (.*) ✅""))))"),"Servion")</f>
        <v>Servion</v>
      </c>
      <c r="F2928" s="2" t="str">
        <f>IFERROR(__xludf.DUMMYFUNCTION("REGEXEXTRACT(C2928, ""🏘️ (\w+) \w+ .* ✅"")"),"Louer")</f>
        <v>Louer</v>
      </c>
      <c r="G2928" s="2" t="str">
        <f>IFERROR(__xludf.DUMMYFUNCTION("REGEXEXTRACT(C2928, ""🏘️ \w+ (\w+) .* ✅"")"),"maison")</f>
        <v>maison</v>
      </c>
      <c r="H2928" s="4" t="str">
        <f>IFERROR(__xludf.DUMMYFUNCTION("REGEXEXTRACT(A2928, ""/(\w+)-.*?"")"),"lieu")</f>
        <v>lieu</v>
      </c>
      <c r="I2928" s="4" t="str">
        <f>IFERROR(__xludf.DUMMYFUNCTION("if(D2928=""variant"",  substitute(filter(Templates!E:E, Templates!A:A = F2928, Templates!B:B = G2928, Templates!C:C = H2928), ""{{}}"", E2928), B2928)"),"🏘  Vous cherchez une maison à louer à Servion? ✅ Découvrez nos nombreuses annonces sur ImmoScout24.ch.")</f>
        <v>🏘  Vous cherchez une maison à louer à Servion? ✅ Découvrez nos nombreuses annonces sur ImmoScout24.ch.</v>
      </c>
      <c r="J2928" s="4" t="s">
        <v>8779</v>
      </c>
    </row>
    <row r="2929">
      <c r="A2929" s="5" t="s">
        <v>8780</v>
      </c>
      <c r="B2929" s="2" t="s">
        <v>8781</v>
      </c>
      <c r="C2929" s="4" t="str">
        <f>IFERROR(__xludf.DUMMYFUNCTION("""🏘️ ""&amp;REGEXEXTRACT(B2929, ""^(.*): "")&amp;"" ✅ "" &amp;REGEXEXTRACT(B2929, ""(Trouvez.*)"")"),"🏘️ Louer appartement Veytaux ✅ Trouvez le bien immobilier qui correspond idéalement à vos désirs sur ImmoScout24 - La plateforme de l'immobilier en Suisse.")</f>
        <v>🏘️ Louer appartement Veytaux ✅ Trouvez le bien immobilier qui correspond idéalement à vos désirs sur ImmoScout24 - La plateforme de l'immobilier en Suisse.</v>
      </c>
      <c r="D2929" s="4" t="str">
        <f>vlookup(A2929, Sheet2!D:E, 2, 0)</f>
        <v>variant</v>
      </c>
      <c r="E2929" s="4" t="str">
        <f>IFERROR(__xludf.DUMMYFUNCTION("if(H2929=""pays"",vlookup(REGEXEXTRACT(C2929, ""🏘️ \w+ \w+ (.*) ✅""),'Country prepositions'!A:B, 2, 0) &amp; "" "" &amp; REGEXEXTRACT(C2929, ""🏘️ \w+ \w+ (.*) ✅"") ,  if(H2929=""quartier"",vlookup(REGEXEXTRACT(C2929, ""🏘️ \w+ \w+ (.*) ✅""),'Quartier prepositio"&amp;"ns'!A:E, 5, 0) ,  if(H2929=""region"",vlookup(REGEXEXTRACT(C2929, ""🏘️ \w+ \w+ (.*) ✅""),'Region prepositions'!B:F, 5, 0),  REGEXEXTRACT(C2929, ""🏘️ \w+ \w+ (.*) ✅""))))"),"Veytaux")</f>
        <v>Veytaux</v>
      </c>
      <c r="F2929" s="2" t="str">
        <f>IFERROR(__xludf.DUMMYFUNCTION("REGEXEXTRACT(C2929, ""🏘️ (\w+) \w+ .* ✅"")"),"Louer")</f>
        <v>Louer</v>
      </c>
      <c r="G2929" s="2" t="str">
        <f>IFERROR(__xludf.DUMMYFUNCTION("REGEXEXTRACT(C2929, ""🏘️ \w+ (\w+) .* ✅"")"),"appartement")</f>
        <v>appartement</v>
      </c>
      <c r="H2929" s="4" t="str">
        <f>IFERROR(__xludf.DUMMYFUNCTION("REGEXEXTRACT(A2929, ""/(\w+)-.*?"")"),"lieu")</f>
        <v>lieu</v>
      </c>
      <c r="I2929" s="4" t="str">
        <f>IFERROR(__xludf.DUMMYFUNCTION("if(D2929=""variant"",  substitute(filter(Templates!E:E, Templates!A:A = F2929, Templates!B:B = G2929, Templates!C:C = H2929), ""{{}}"", E2929), B2929)"),"🏘  Vous cherchez un appartement à louer à Veytaux? ✅ Les annonces les plus actuelles sont sur ImmoScout24.ch.")</f>
        <v>🏘  Vous cherchez un appartement à louer à Veytaux? ✅ Les annonces les plus actuelles sont sur ImmoScout24.ch.</v>
      </c>
      <c r="J2929" s="4" t="s">
        <v>8782</v>
      </c>
    </row>
    <row r="2930">
      <c r="A2930" s="5" t="s">
        <v>8783</v>
      </c>
      <c r="B2930" s="2" t="s">
        <v>8784</v>
      </c>
      <c r="C2930" s="4" t="str">
        <f>IFERROR(__xludf.DUMMYFUNCTION("""🏘️ ""&amp;REGEXEXTRACT(B2930, ""^(.*): "")&amp;"" ✅ "" &amp;REGEXEXTRACT(B2930, ""(Trouvez.*)"")"),"🏘️ Vendre appartement Chavannes-près-Renens ✅ Trouvez le bien immobilier qui correspond idéalement à vos désirs sur ImmoScout24 - La plateforme de l'immobilier en Suisse.")</f>
        <v>🏘️ Vendre appartement Chavannes-près-Renens ✅ Trouvez le bien immobilier qui correspond idéalement à vos désirs sur ImmoScout24 - La plateforme de l'immobilier en Suisse.</v>
      </c>
      <c r="D2930" s="4" t="str">
        <f>vlookup(A2930, Sheet2!D:E, 2, 0)</f>
        <v>variant</v>
      </c>
      <c r="E2930" s="4" t="str">
        <f>IFERROR(__xludf.DUMMYFUNCTION("if(H2930=""pays"",vlookup(REGEXEXTRACT(C2930, ""🏘️ \w+ \w+ (.*) ✅""),'Country prepositions'!A:B, 2, 0) &amp; "" "" &amp; REGEXEXTRACT(C2930, ""🏘️ \w+ \w+ (.*) ✅"") ,  if(H2930=""quartier"",vlookup(REGEXEXTRACT(C2930, ""🏘️ \w+ \w+ (.*) ✅""),'Quartier prepositio"&amp;"ns'!A:E, 5, 0) ,  if(H2930=""region"",vlookup(REGEXEXTRACT(C2930, ""🏘️ \w+ \w+ (.*) ✅""),'Region prepositions'!B:F, 5, 0),  REGEXEXTRACT(C2930, ""🏘️ \w+ \w+ (.*) ✅""))))"),"Chavannes-près-Renens")</f>
        <v>Chavannes-près-Renens</v>
      </c>
      <c r="F2930" s="2" t="str">
        <f>IFERROR(__xludf.DUMMYFUNCTION("REGEXEXTRACT(C2930, ""🏘️ (\w+) \w+ .* ✅"")"),"Vendre")</f>
        <v>Vendre</v>
      </c>
      <c r="G2930" s="2" t="str">
        <f>IFERROR(__xludf.DUMMYFUNCTION("REGEXEXTRACT(C2930, ""🏘️ \w+ (\w+) .* ✅"")"),"appartement")</f>
        <v>appartement</v>
      </c>
      <c r="H2930" s="4" t="str">
        <f>IFERROR(__xludf.DUMMYFUNCTION("REGEXEXTRACT(A2930, ""/(\w+)-.*?"")"),"lieu")</f>
        <v>lieu</v>
      </c>
      <c r="I2930" s="4" t="str">
        <f>IFERROR(__xludf.DUMMYFUNCTION("if(D2930=""variant"",  substitute(filter(Templates!E:E, Templates!A:A = F2930, Templates!B:B = G2930, Templates!C:C = H2930), ""{{}}"", E2930), B2930)"),"🏘  L’appartement de vos rêves se trouve sur ImmoScout24.ch ✅ Découvrez les dernières annonces de vente à Chavannes-près-Renens.")</f>
        <v>🏘  L’appartement de vos rêves se trouve sur ImmoScout24.ch ✅ Découvrez les dernières annonces de vente à Chavannes-près-Renens.</v>
      </c>
      <c r="J2930" s="4" t="s">
        <v>8785</v>
      </c>
    </row>
    <row r="2931">
      <c r="A2931" s="5" t="s">
        <v>8786</v>
      </c>
      <c r="B2931" s="2" t="s">
        <v>8787</v>
      </c>
      <c r="C2931" s="4" t="str">
        <f>IFERROR(__xludf.DUMMYFUNCTION("""🏘️ ""&amp;REGEXEXTRACT(B2931, ""^(.*): "")&amp;"" ✅ "" &amp;REGEXEXTRACT(B2931, ""(Trouvez.*)"")"),"🏘️ Vendre maison Chez-le-Bart ✅ Trouvez le bien immobilier qui correspond idéalement à vos désirs sur ImmoScout24 - La plateforme de l'immobilier en Suisse.")</f>
        <v>🏘️ Vendre maison Chez-le-Bart ✅ Trouvez le bien immobilier qui correspond idéalement à vos désirs sur ImmoScout24 - La plateforme de l'immobilier en Suisse.</v>
      </c>
      <c r="D2931" s="4" t="str">
        <f>vlookup(A2931, Sheet2!D:E, 2, 0)</f>
        <v>variant</v>
      </c>
      <c r="E2931" s="4" t="str">
        <f>IFERROR(__xludf.DUMMYFUNCTION("if(H2931=""pays"",vlookup(REGEXEXTRACT(C2931, ""🏘️ \w+ \w+ (.*) ✅""),'Country prepositions'!A:B, 2, 0) &amp; "" "" &amp; REGEXEXTRACT(C2931, ""🏘️ \w+ \w+ (.*) ✅"") ,  if(H2931=""quartier"",vlookup(REGEXEXTRACT(C2931, ""🏘️ \w+ \w+ (.*) ✅""),'Quartier prepositio"&amp;"ns'!A:E, 5, 0) ,  if(H2931=""region"",vlookup(REGEXEXTRACT(C2931, ""🏘️ \w+ \w+ (.*) ✅""),'Region prepositions'!B:F, 5, 0),  REGEXEXTRACT(C2931, ""🏘️ \w+ \w+ (.*) ✅""))))"),"Chez-le-Bart")</f>
        <v>Chez-le-Bart</v>
      </c>
      <c r="F2931" s="2" t="str">
        <f>IFERROR(__xludf.DUMMYFUNCTION("REGEXEXTRACT(C2931, ""🏘️ (\w+) \w+ .* ✅"")"),"Vendre")</f>
        <v>Vendre</v>
      </c>
      <c r="G2931" s="2" t="str">
        <f>IFERROR(__xludf.DUMMYFUNCTION("REGEXEXTRACT(C2931, ""🏘️ \w+ (\w+) .* ✅"")"),"maison")</f>
        <v>maison</v>
      </c>
      <c r="H2931" s="4" t="str">
        <f>IFERROR(__xludf.DUMMYFUNCTION("REGEXEXTRACT(A2931, ""/(\w+)-.*?"")"),"lieu")</f>
        <v>lieu</v>
      </c>
      <c r="I2931" s="4" t="str">
        <f>IFERROR(__xludf.DUMMYFUNCTION("if(D2931=""variant"",  substitute(filter(Templates!E:E, Templates!A:A = F2931, Templates!B:B = G2931, Templates!C:C = H2931), ""{{}}"", E2931), B2931)"),"🏘  Vous souhaitez acheter une maison à Chez-le-Bart? ✅ Jetez un œil aux dernières offres sur ImmoScout24.ch.")</f>
        <v>🏘  Vous souhaitez acheter une maison à Chez-le-Bart? ✅ Jetez un œil aux dernières offres sur ImmoScout24.ch.</v>
      </c>
      <c r="J2931" s="4" t="s">
        <v>8788</v>
      </c>
    </row>
    <row r="2932">
      <c r="A2932" s="5" t="s">
        <v>8789</v>
      </c>
      <c r="B2932" s="2" t="s">
        <v>8790</v>
      </c>
      <c r="C2932" s="4" t="str">
        <f>IFERROR(__xludf.DUMMYFUNCTION("""🏘️ ""&amp;REGEXEXTRACT(B2932, ""^(.*): "")&amp;"" ✅ "" &amp;REGEXEXTRACT(B2932, ""(Trouvez.*)"")"),"🏘️ Louer maison La Forclaz VD ✅ Trouvez le bien immobilier qui correspond idéalement à vos désirs sur ImmoScout24 - La plateforme de l'immobilier en Suisse.")</f>
        <v>🏘️ Louer maison La Forclaz VD ✅ Trouvez le bien immobilier qui correspond idéalement à vos désirs sur ImmoScout24 - La plateforme de l'immobilier en Suisse.</v>
      </c>
      <c r="D2932" s="4" t="str">
        <f>vlookup(A2932, Sheet2!D:E, 2, 0)</f>
        <v>variant</v>
      </c>
      <c r="E2932" s="4" t="str">
        <f>IFERROR(__xludf.DUMMYFUNCTION("if(H2932=""pays"",vlookup(REGEXEXTRACT(C2932, ""🏘️ \w+ \w+ (.*) ✅""),'Country prepositions'!A:B, 2, 0) &amp; "" "" &amp; REGEXEXTRACT(C2932, ""🏘️ \w+ \w+ (.*) ✅"") ,  if(H2932=""quartier"",vlookup(REGEXEXTRACT(C2932, ""🏘️ \w+ \w+ (.*) ✅""),'Quartier prepositio"&amp;"ns'!A:E, 5, 0) ,  if(H2932=""region"",vlookup(REGEXEXTRACT(C2932, ""🏘️ \w+ \w+ (.*) ✅""),'Region prepositions'!B:F, 5, 0),  REGEXEXTRACT(C2932, ""🏘️ \w+ \w+ (.*) ✅""))))"),"La Forclaz VD")</f>
        <v>La Forclaz VD</v>
      </c>
      <c r="F2932" s="2" t="str">
        <f>IFERROR(__xludf.DUMMYFUNCTION("REGEXEXTRACT(C2932, ""🏘️ (\w+) \w+ .* ✅"")"),"Louer")</f>
        <v>Louer</v>
      </c>
      <c r="G2932" s="2" t="str">
        <f>IFERROR(__xludf.DUMMYFUNCTION("REGEXEXTRACT(C2932, ""🏘️ \w+ (\w+) .* ✅"")"),"maison")</f>
        <v>maison</v>
      </c>
      <c r="H2932" s="4" t="str">
        <f>IFERROR(__xludf.DUMMYFUNCTION("REGEXEXTRACT(A2932, ""/(\w+)-.*?"")"),"lieu")</f>
        <v>lieu</v>
      </c>
      <c r="I2932" s="4" t="str">
        <f>IFERROR(__xludf.DUMMYFUNCTION("if(D2932=""variant"",  substitute(filter(Templates!E:E, Templates!A:A = F2932, Templates!B:B = G2932, Templates!C:C = H2932), ""{{}}"", E2932), B2932)"),"🏘  Vous cherchez une maison à louer à La Forclaz VD? ✅ Découvrez nos nombreuses annonces sur ImmoScout24.ch.")</f>
        <v>🏘  Vous cherchez une maison à louer à La Forclaz VD? ✅ Découvrez nos nombreuses annonces sur ImmoScout24.ch.</v>
      </c>
      <c r="J2932" s="4" t="s">
        <v>8791</v>
      </c>
    </row>
    <row r="2933">
      <c r="A2933" s="5" t="s">
        <v>8792</v>
      </c>
      <c r="B2933" s="2" t="s">
        <v>8793</v>
      </c>
      <c r="C2933" s="4" t="str">
        <f>IFERROR(__xludf.DUMMYFUNCTION("""🏘️ ""&amp;REGEXEXTRACT(B2933, ""^(.*): "")&amp;"" ✅ "" &amp;REGEXEXTRACT(B2933, ""(Trouvez.*)"")"),"🏘️ Louer appartement Courrendlin ✅ Trouvez le bien immobilier qui correspond idéalement à vos désirs sur ImmoScout24 - La plateforme de l'immobilier en Suisse.")</f>
        <v>🏘️ Louer appartement Courrendlin ✅ Trouvez le bien immobilier qui correspond idéalement à vos désirs sur ImmoScout24 - La plateforme de l'immobilier en Suisse.</v>
      </c>
      <c r="D2933" s="4" t="str">
        <f>vlookup(A2933, Sheet2!D:E, 2, 0)</f>
        <v>variant</v>
      </c>
      <c r="E2933" s="4" t="str">
        <f>IFERROR(__xludf.DUMMYFUNCTION("if(H2933=""pays"",vlookup(REGEXEXTRACT(C2933, ""🏘️ \w+ \w+ (.*) ✅""),'Country prepositions'!A:B, 2, 0) &amp; "" "" &amp; REGEXEXTRACT(C2933, ""🏘️ \w+ \w+ (.*) ✅"") ,  if(H2933=""quartier"",vlookup(REGEXEXTRACT(C2933, ""🏘️ \w+ \w+ (.*) ✅""),'Quartier prepositio"&amp;"ns'!A:E, 5, 0) ,  if(H2933=""region"",vlookup(REGEXEXTRACT(C2933, ""🏘️ \w+ \w+ (.*) ✅""),'Region prepositions'!B:F, 5, 0),  REGEXEXTRACT(C2933, ""🏘️ \w+ \w+ (.*) ✅""))))"),"Courrendlin")</f>
        <v>Courrendlin</v>
      </c>
      <c r="F2933" s="2" t="str">
        <f>IFERROR(__xludf.DUMMYFUNCTION("REGEXEXTRACT(C2933, ""🏘️ (\w+) \w+ .* ✅"")"),"Louer")</f>
        <v>Louer</v>
      </c>
      <c r="G2933" s="2" t="str">
        <f>IFERROR(__xludf.DUMMYFUNCTION("REGEXEXTRACT(C2933, ""🏘️ \w+ (\w+) .* ✅"")"),"appartement")</f>
        <v>appartement</v>
      </c>
      <c r="H2933" s="4" t="str">
        <f>IFERROR(__xludf.DUMMYFUNCTION("REGEXEXTRACT(A2933, ""/(\w+)-.*?"")"),"lieu")</f>
        <v>lieu</v>
      </c>
      <c r="I2933" s="4" t="str">
        <f>IFERROR(__xludf.DUMMYFUNCTION("if(D2933=""variant"",  substitute(filter(Templates!E:E, Templates!A:A = F2933, Templates!B:B = G2933, Templates!C:C = H2933), ""{{}}"", E2933), B2933)"),"🏘  Vous cherchez un appartement à louer à Courrendlin? ✅ Les annonces les plus actuelles sont sur ImmoScout24.ch.")</f>
        <v>🏘  Vous cherchez un appartement à louer à Courrendlin? ✅ Les annonces les plus actuelles sont sur ImmoScout24.ch.</v>
      </c>
      <c r="J2933" s="4" t="s">
        <v>8794</v>
      </c>
    </row>
    <row r="2934">
      <c r="A2934" s="5" t="s">
        <v>8795</v>
      </c>
      <c r="B2934" s="2" t="s">
        <v>8796</v>
      </c>
      <c r="C2934" s="4" t="str">
        <f>IFERROR(__xludf.DUMMYFUNCTION("""🏘️ ""&amp;REGEXEXTRACT(B2934, ""^(.*): "")&amp;"" ✅ "" &amp;REGEXEXTRACT(B2934, ""(Trouvez.*)"")"),"🏘️ Louer maison Vouvry ✅ Trouvez le bien immobilier qui correspond idéalement à vos désirs sur ImmoScout24 - La plateforme de l'immobilier en Suisse.")</f>
        <v>🏘️ Louer maison Vouvry ✅ Trouvez le bien immobilier qui correspond idéalement à vos désirs sur ImmoScout24 - La plateforme de l'immobilier en Suisse.</v>
      </c>
      <c r="D2934" s="4" t="str">
        <f>vlookup(A2934, Sheet2!D:E, 2, 0)</f>
        <v>variant</v>
      </c>
      <c r="E2934" s="4" t="str">
        <f>IFERROR(__xludf.DUMMYFUNCTION("if(H2934=""pays"",vlookup(REGEXEXTRACT(C2934, ""🏘️ \w+ \w+ (.*) ✅""),'Country prepositions'!A:B, 2, 0) &amp; "" "" &amp; REGEXEXTRACT(C2934, ""🏘️ \w+ \w+ (.*) ✅"") ,  if(H2934=""quartier"",vlookup(REGEXEXTRACT(C2934, ""🏘️ \w+ \w+ (.*) ✅""),'Quartier prepositio"&amp;"ns'!A:E, 5, 0) ,  if(H2934=""region"",vlookup(REGEXEXTRACT(C2934, ""🏘️ \w+ \w+ (.*) ✅""),'Region prepositions'!B:F, 5, 0),  REGEXEXTRACT(C2934, ""🏘️ \w+ \w+ (.*) ✅""))))"),"Vouvry")</f>
        <v>Vouvry</v>
      </c>
      <c r="F2934" s="2" t="str">
        <f>IFERROR(__xludf.DUMMYFUNCTION("REGEXEXTRACT(C2934, ""🏘️ (\w+) \w+ .* ✅"")"),"Louer")</f>
        <v>Louer</v>
      </c>
      <c r="G2934" s="2" t="str">
        <f>IFERROR(__xludf.DUMMYFUNCTION("REGEXEXTRACT(C2934, ""🏘️ \w+ (\w+) .* ✅"")"),"maison")</f>
        <v>maison</v>
      </c>
      <c r="H2934" s="4" t="str">
        <f>IFERROR(__xludf.DUMMYFUNCTION("REGEXEXTRACT(A2934, ""/(\w+)-.*?"")"),"lieu")</f>
        <v>lieu</v>
      </c>
      <c r="I2934" s="4" t="str">
        <f>IFERROR(__xludf.DUMMYFUNCTION("if(D2934=""variant"",  substitute(filter(Templates!E:E, Templates!A:A = F2934, Templates!B:B = G2934, Templates!C:C = H2934), ""{{}}"", E2934), B2934)"),"🏘  Vous cherchez une maison à louer à Vouvry? ✅ Découvrez nos nombreuses annonces sur ImmoScout24.ch.")</f>
        <v>🏘  Vous cherchez une maison à louer à Vouvry? ✅ Découvrez nos nombreuses annonces sur ImmoScout24.ch.</v>
      </c>
      <c r="J2934" s="4" t="s">
        <v>8797</v>
      </c>
    </row>
    <row r="2935">
      <c r="A2935" s="5" t="s">
        <v>8798</v>
      </c>
      <c r="B2935" s="2" t="s">
        <v>8799</v>
      </c>
      <c r="C2935" s="4" t="str">
        <f>IFERROR(__xludf.DUMMYFUNCTION("""🏘️ ""&amp;REGEXEXTRACT(B2935, ""^(.*): "")&amp;"" ✅ "" &amp;REGEXEXTRACT(B2935, ""(Trouvez.*)"")"),"🏘️ Vendre maison Praratoud ✅ Trouvez le bien immobilier qui correspond idéalement à vos désirs sur ImmoScout24 - La plateforme de l'immobilier en Suisse.")</f>
        <v>🏘️ Vendre maison Praratoud ✅ Trouvez le bien immobilier qui correspond idéalement à vos désirs sur ImmoScout24 - La plateforme de l'immobilier en Suisse.</v>
      </c>
      <c r="D2935" s="4" t="str">
        <f>vlookup(A2935, Sheet2!D:E, 2, 0)</f>
        <v>variant</v>
      </c>
      <c r="E2935" s="4" t="str">
        <f>IFERROR(__xludf.DUMMYFUNCTION("if(H2935=""pays"",vlookup(REGEXEXTRACT(C2935, ""🏘️ \w+ \w+ (.*) ✅""),'Country prepositions'!A:B, 2, 0) &amp; "" "" &amp; REGEXEXTRACT(C2935, ""🏘️ \w+ \w+ (.*) ✅"") ,  if(H2935=""quartier"",vlookup(REGEXEXTRACT(C2935, ""🏘️ \w+ \w+ (.*) ✅""),'Quartier prepositio"&amp;"ns'!A:E, 5, 0) ,  if(H2935=""region"",vlookup(REGEXEXTRACT(C2935, ""🏘️ \w+ \w+ (.*) ✅""),'Region prepositions'!B:F, 5, 0),  REGEXEXTRACT(C2935, ""🏘️ \w+ \w+ (.*) ✅""))))"),"Praratoud")</f>
        <v>Praratoud</v>
      </c>
      <c r="F2935" s="2" t="str">
        <f>IFERROR(__xludf.DUMMYFUNCTION("REGEXEXTRACT(C2935, ""🏘️ (\w+) \w+ .* ✅"")"),"Vendre")</f>
        <v>Vendre</v>
      </c>
      <c r="G2935" s="2" t="str">
        <f>IFERROR(__xludf.DUMMYFUNCTION("REGEXEXTRACT(C2935, ""🏘️ \w+ (\w+) .* ✅"")"),"maison")</f>
        <v>maison</v>
      </c>
      <c r="H2935" s="4" t="str">
        <f>IFERROR(__xludf.DUMMYFUNCTION("REGEXEXTRACT(A2935, ""/(\w+)-.*?"")"),"lieu")</f>
        <v>lieu</v>
      </c>
      <c r="I2935" s="4" t="str">
        <f>IFERROR(__xludf.DUMMYFUNCTION("if(D2935=""variant"",  substitute(filter(Templates!E:E, Templates!A:A = F2935, Templates!B:B = G2935, Templates!C:C = H2935), ""{{}}"", E2935), B2935)"),"🏘  Vous souhaitez acheter une maison à Praratoud? ✅ Jetez un œil aux dernières offres sur ImmoScout24.ch.")</f>
        <v>🏘  Vous souhaitez acheter une maison à Praratoud? ✅ Jetez un œil aux dernières offres sur ImmoScout24.ch.</v>
      </c>
      <c r="J2935" s="4" t="s">
        <v>8800</v>
      </c>
    </row>
    <row r="2936">
      <c r="A2936" s="5" t="s">
        <v>8801</v>
      </c>
      <c r="B2936" s="2" t="s">
        <v>8802</v>
      </c>
      <c r="C2936" s="4" t="str">
        <f>IFERROR(__xludf.DUMMYFUNCTION("""🏘️ ""&amp;REGEXEXTRACT(B2936, ""^(.*): "")&amp;"" ✅ "" &amp;REGEXEXTRACT(B2936, ""(Trouvez.*)"")"),"🏘️ Louer appartement Villars-Ste-Croix ✅ Trouvez le bien immobilier qui correspond idéalement à vos désirs sur ImmoScout24 - La plateforme de l'immobilier en Suisse.")</f>
        <v>🏘️ Louer appartement Villars-Ste-Croix ✅ Trouvez le bien immobilier qui correspond idéalement à vos désirs sur ImmoScout24 - La plateforme de l'immobilier en Suisse.</v>
      </c>
      <c r="D2936" s="4" t="str">
        <f>vlookup(A2936, Sheet2!D:E, 2, 0)</f>
        <v>variant</v>
      </c>
      <c r="E2936" s="4" t="str">
        <f>IFERROR(__xludf.DUMMYFUNCTION("if(H2936=""pays"",vlookup(REGEXEXTRACT(C2936, ""🏘️ \w+ \w+ (.*) ✅""),'Country prepositions'!A:B, 2, 0) &amp; "" "" &amp; REGEXEXTRACT(C2936, ""🏘️ \w+ \w+ (.*) ✅"") ,  if(H2936=""quartier"",vlookup(REGEXEXTRACT(C2936, ""🏘️ \w+ \w+ (.*) ✅""),'Quartier prepositio"&amp;"ns'!A:E, 5, 0) ,  if(H2936=""region"",vlookup(REGEXEXTRACT(C2936, ""🏘️ \w+ \w+ (.*) ✅""),'Region prepositions'!B:F, 5, 0),  REGEXEXTRACT(C2936, ""🏘️ \w+ \w+ (.*) ✅""))))"),"Villars-Ste-Croix")</f>
        <v>Villars-Ste-Croix</v>
      </c>
      <c r="F2936" s="2" t="str">
        <f>IFERROR(__xludf.DUMMYFUNCTION("REGEXEXTRACT(C2936, ""🏘️ (\w+) \w+ .* ✅"")"),"Louer")</f>
        <v>Louer</v>
      </c>
      <c r="G2936" s="2" t="str">
        <f>IFERROR(__xludf.DUMMYFUNCTION("REGEXEXTRACT(C2936, ""🏘️ \w+ (\w+) .* ✅"")"),"appartement")</f>
        <v>appartement</v>
      </c>
      <c r="H2936" s="4" t="str">
        <f>IFERROR(__xludf.DUMMYFUNCTION("REGEXEXTRACT(A2936, ""/(\w+)-.*?"")"),"lieu")</f>
        <v>lieu</v>
      </c>
      <c r="I2936" s="4" t="str">
        <f>IFERROR(__xludf.DUMMYFUNCTION("if(D2936=""variant"",  substitute(filter(Templates!E:E, Templates!A:A = F2936, Templates!B:B = G2936, Templates!C:C = H2936), ""{{}}"", E2936), B2936)"),"🏘  Vous cherchez un appartement à louer à Villars-Ste-Croix? ✅ Les annonces les plus actuelles sont sur ImmoScout24.ch.")</f>
        <v>🏘  Vous cherchez un appartement à louer à Villars-Ste-Croix? ✅ Les annonces les plus actuelles sont sur ImmoScout24.ch.</v>
      </c>
      <c r="J2936" s="4" t="s">
        <v>8803</v>
      </c>
    </row>
    <row r="2937">
      <c r="A2937" s="5" t="s">
        <v>8804</v>
      </c>
      <c r="B2937" s="2" t="s">
        <v>8805</v>
      </c>
      <c r="C2937" s="4" t="str">
        <f>IFERROR(__xludf.DUMMYFUNCTION("""🏘️ ""&amp;REGEXEXTRACT(B2937, ""^(.*): "")&amp;"" ✅ "" &amp;REGEXEXTRACT(B2937, ""(Trouvez.*)"")"),"🏘️ Vendre maison Reinach BL ✅ Trouvez le bien immobilier qui correspond idéalement à vos désirs sur ImmoScout24 - La plateforme de l'immobilier en Suisse.")</f>
        <v>🏘️ Vendre maison Reinach BL ✅ Trouvez le bien immobilier qui correspond idéalement à vos désirs sur ImmoScout24 - La plateforme de l'immobilier en Suisse.</v>
      </c>
      <c r="D2937" s="4" t="str">
        <f>vlookup(A2937, Sheet2!D:E, 2, 0)</f>
        <v>variant</v>
      </c>
      <c r="E2937" s="4" t="str">
        <f>IFERROR(__xludf.DUMMYFUNCTION("if(H2937=""pays"",vlookup(REGEXEXTRACT(C2937, ""🏘️ \w+ \w+ (.*) ✅""),'Country prepositions'!A:B, 2, 0) &amp; "" "" &amp; REGEXEXTRACT(C2937, ""🏘️ \w+ \w+ (.*) ✅"") ,  if(H2937=""quartier"",vlookup(REGEXEXTRACT(C2937, ""🏘️ \w+ \w+ (.*) ✅""),'Quartier prepositio"&amp;"ns'!A:E, 5, 0) ,  if(H2937=""region"",vlookup(REGEXEXTRACT(C2937, ""🏘️ \w+ \w+ (.*) ✅""),'Region prepositions'!B:F, 5, 0),  REGEXEXTRACT(C2937, ""🏘️ \w+ \w+ (.*) ✅""))))"),"Reinach BL")</f>
        <v>Reinach BL</v>
      </c>
      <c r="F2937" s="2" t="str">
        <f>IFERROR(__xludf.DUMMYFUNCTION("REGEXEXTRACT(C2937, ""🏘️ (\w+) \w+ .* ✅"")"),"Vendre")</f>
        <v>Vendre</v>
      </c>
      <c r="G2937" s="2" t="str">
        <f>IFERROR(__xludf.DUMMYFUNCTION("REGEXEXTRACT(C2937, ""🏘️ \w+ (\w+) .* ✅"")"),"maison")</f>
        <v>maison</v>
      </c>
      <c r="H2937" s="4" t="str">
        <f>IFERROR(__xludf.DUMMYFUNCTION("REGEXEXTRACT(A2937, ""/(\w+)-.*?"")"),"lieu")</f>
        <v>lieu</v>
      </c>
      <c r="I2937" s="4" t="str">
        <f>IFERROR(__xludf.DUMMYFUNCTION("if(D2937=""variant"",  substitute(filter(Templates!E:E, Templates!A:A = F2937, Templates!B:B = G2937, Templates!C:C = H2937), ""{{}}"", E2937), B2937)"),"🏘  Vous souhaitez acheter une maison à Reinach BL? ✅ Jetez un œil aux dernières offres sur ImmoScout24.ch.")</f>
        <v>🏘  Vous souhaitez acheter une maison à Reinach BL? ✅ Jetez un œil aux dernières offres sur ImmoScout24.ch.</v>
      </c>
      <c r="J2937" s="4" t="s">
        <v>8806</v>
      </c>
    </row>
    <row r="2938">
      <c r="A2938" s="5" t="s">
        <v>8807</v>
      </c>
      <c r="B2938" s="2" t="s">
        <v>8808</v>
      </c>
      <c r="C2938" s="4" t="str">
        <f>IFERROR(__xludf.DUMMYFUNCTION("""🏘️ ""&amp;REGEXEXTRACT(B2938, ""^(.*): "")&amp;"" ✅ "" &amp;REGEXEXTRACT(B2938, ""(Trouvez.*)"")"),"🏘️ Louer maison Grossaffoltern ✅ Trouvez le bien immobilier qui correspond idéalement à vos désirs sur ImmoScout24 - La plateforme de l'immobilier en Suisse.")</f>
        <v>🏘️ Louer maison Grossaffoltern ✅ Trouvez le bien immobilier qui correspond idéalement à vos désirs sur ImmoScout24 - La plateforme de l'immobilier en Suisse.</v>
      </c>
      <c r="D2938" s="4" t="str">
        <f>vlookup(A2938, Sheet2!D:E, 2, 0)</f>
        <v>variant</v>
      </c>
      <c r="E2938" s="4" t="str">
        <f>IFERROR(__xludf.DUMMYFUNCTION("if(H2938=""pays"",vlookup(REGEXEXTRACT(C2938, ""🏘️ \w+ \w+ (.*) ✅""),'Country prepositions'!A:B, 2, 0) &amp; "" "" &amp; REGEXEXTRACT(C2938, ""🏘️ \w+ \w+ (.*) ✅"") ,  if(H2938=""quartier"",vlookup(REGEXEXTRACT(C2938, ""🏘️ \w+ \w+ (.*) ✅""),'Quartier prepositio"&amp;"ns'!A:E, 5, 0) ,  if(H2938=""region"",vlookup(REGEXEXTRACT(C2938, ""🏘️ \w+ \w+ (.*) ✅""),'Region prepositions'!B:F, 5, 0),  REGEXEXTRACT(C2938, ""🏘️ \w+ \w+ (.*) ✅""))))"),"Grossaffoltern")</f>
        <v>Grossaffoltern</v>
      </c>
      <c r="F2938" s="2" t="str">
        <f>IFERROR(__xludf.DUMMYFUNCTION("REGEXEXTRACT(C2938, ""🏘️ (\w+) \w+ .* ✅"")"),"Louer")</f>
        <v>Louer</v>
      </c>
      <c r="G2938" s="2" t="str">
        <f>IFERROR(__xludf.DUMMYFUNCTION("REGEXEXTRACT(C2938, ""🏘️ \w+ (\w+) .* ✅"")"),"maison")</f>
        <v>maison</v>
      </c>
      <c r="H2938" s="4" t="str">
        <f>IFERROR(__xludf.DUMMYFUNCTION("REGEXEXTRACT(A2938, ""/(\w+)-.*?"")"),"lieu")</f>
        <v>lieu</v>
      </c>
      <c r="I2938" s="4" t="str">
        <f>IFERROR(__xludf.DUMMYFUNCTION("if(D2938=""variant"",  substitute(filter(Templates!E:E, Templates!A:A = F2938, Templates!B:B = G2938, Templates!C:C = H2938), ""{{}}"", E2938), B2938)"),"🏘  Vous cherchez une maison à louer à Grossaffoltern? ✅ Découvrez nos nombreuses annonces sur ImmoScout24.ch.")</f>
        <v>🏘  Vous cherchez une maison à louer à Grossaffoltern? ✅ Découvrez nos nombreuses annonces sur ImmoScout24.ch.</v>
      </c>
      <c r="J2938" s="4" t="s">
        <v>8809</v>
      </c>
    </row>
    <row r="2939">
      <c r="A2939" s="5" t="s">
        <v>8810</v>
      </c>
      <c r="B2939" s="2" t="s">
        <v>8811</v>
      </c>
      <c r="C2939" s="4" t="str">
        <f>IFERROR(__xludf.DUMMYFUNCTION("""🏘️ ""&amp;REGEXEXTRACT(B2939, ""^(.*): "")&amp;"" ✅ "" &amp;REGEXEXTRACT(B2939, ""(Trouvez.*)"")"),"🏘️ Louer maison Vicques ✅ Trouvez le bien immobilier qui correspond idéalement à vos désirs sur ImmoScout24 - La plateforme de l'immobilier en Suisse.")</f>
        <v>🏘️ Louer maison Vicques ✅ Trouvez le bien immobilier qui correspond idéalement à vos désirs sur ImmoScout24 - La plateforme de l'immobilier en Suisse.</v>
      </c>
      <c r="D2939" s="4" t="str">
        <f>vlookup(A2939, Sheet2!D:E, 2, 0)</f>
        <v>variant</v>
      </c>
      <c r="E2939" s="4" t="str">
        <f>IFERROR(__xludf.DUMMYFUNCTION("if(H2939=""pays"",vlookup(REGEXEXTRACT(C2939, ""🏘️ \w+ \w+ (.*) ✅""),'Country prepositions'!A:B, 2, 0) &amp; "" "" &amp; REGEXEXTRACT(C2939, ""🏘️ \w+ \w+ (.*) ✅"") ,  if(H2939=""quartier"",vlookup(REGEXEXTRACT(C2939, ""🏘️ \w+ \w+ (.*) ✅""),'Quartier prepositio"&amp;"ns'!A:E, 5, 0) ,  if(H2939=""region"",vlookup(REGEXEXTRACT(C2939, ""🏘️ \w+ \w+ (.*) ✅""),'Region prepositions'!B:F, 5, 0),  REGEXEXTRACT(C2939, ""🏘️ \w+ \w+ (.*) ✅""))))"),"Vicques")</f>
        <v>Vicques</v>
      </c>
      <c r="F2939" s="2" t="str">
        <f>IFERROR(__xludf.DUMMYFUNCTION("REGEXEXTRACT(C2939, ""🏘️ (\w+) \w+ .* ✅"")"),"Louer")</f>
        <v>Louer</v>
      </c>
      <c r="G2939" s="2" t="str">
        <f>IFERROR(__xludf.DUMMYFUNCTION("REGEXEXTRACT(C2939, ""🏘️ \w+ (\w+) .* ✅"")"),"maison")</f>
        <v>maison</v>
      </c>
      <c r="H2939" s="4" t="str">
        <f>IFERROR(__xludf.DUMMYFUNCTION("REGEXEXTRACT(A2939, ""/(\w+)-.*?"")"),"lieu")</f>
        <v>lieu</v>
      </c>
      <c r="I2939" s="4" t="str">
        <f>IFERROR(__xludf.DUMMYFUNCTION("if(D2939=""variant"",  substitute(filter(Templates!E:E, Templates!A:A = F2939, Templates!B:B = G2939, Templates!C:C = H2939), ""{{}}"", E2939), B2939)"),"🏘  Vous cherchez une maison à louer à Vicques? ✅ Découvrez nos nombreuses annonces sur ImmoScout24.ch.")</f>
        <v>🏘  Vous cherchez une maison à louer à Vicques? ✅ Découvrez nos nombreuses annonces sur ImmoScout24.ch.</v>
      </c>
      <c r="J2939" s="4" t="s">
        <v>8812</v>
      </c>
    </row>
    <row r="2940">
      <c r="A2940" s="5" t="s">
        <v>8813</v>
      </c>
      <c r="B2940" s="2" t="s">
        <v>8814</v>
      </c>
      <c r="C2940" s="4" t="str">
        <f>IFERROR(__xludf.DUMMYFUNCTION("""🏘️ ""&amp;REGEXEXTRACT(B2940, ""^(.*): "")&amp;"" ✅ "" &amp;REGEXEXTRACT(B2940, ""(Trouvez.*)"")"),"🏘️ Louer appartement Ependes VD ✅ Trouvez le bien immobilier qui correspond idéalement à vos désirs sur ImmoScout24 - La plateforme de l'immobilier en Suisse.")</f>
        <v>🏘️ Louer appartement Ependes VD ✅ Trouvez le bien immobilier qui correspond idéalement à vos désirs sur ImmoScout24 - La plateforme de l'immobilier en Suisse.</v>
      </c>
      <c r="D2940" s="4" t="str">
        <f>vlookup(A2940, Sheet2!D:E, 2, 0)</f>
        <v>variant</v>
      </c>
      <c r="E2940" s="4" t="str">
        <f>IFERROR(__xludf.DUMMYFUNCTION("if(H2940=""pays"",vlookup(REGEXEXTRACT(C2940, ""🏘️ \w+ \w+ (.*) ✅""),'Country prepositions'!A:B, 2, 0) &amp; "" "" &amp; REGEXEXTRACT(C2940, ""🏘️ \w+ \w+ (.*) ✅"") ,  if(H2940=""quartier"",vlookup(REGEXEXTRACT(C2940, ""🏘️ \w+ \w+ (.*) ✅""),'Quartier prepositio"&amp;"ns'!A:E, 5, 0) ,  if(H2940=""region"",vlookup(REGEXEXTRACT(C2940, ""🏘️ \w+ \w+ (.*) ✅""),'Region prepositions'!B:F, 5, 0),  REGEXEXTRACT(C2940, ""🏘️ \w+ \w+ (.*) ✅""))))"),"Ependes VD")</f>
        <v>Ependes VD</v>
      </c>
      <c r="F2940" s="2" t="str">
        <f>IFERROR(__xludf.DUMMYFUNCTION("REGEXEXTRACT(C2940, ""🏘️ (\w+) \w+ .* ✅"")"),"Louer")</f>
        <v>Louer</v>
      </c>
      <c r="G2940" s="2" t="str">
        <f>IFERROR(__xludf.DUMMYFUNCTION("REGEXEXTRACT(C2940, ""🏘️ \w+ (\w+) .* ✅"")"),"appartement")</f>
        <v>appartement</v>
      </c>
      <c r="H2940" s="4" t="str">
        <f>IFERROR(__xludf.DUMMYFUNCTION("REGEXEXTRACT(A2940, ""/(\w+)-.*?"")"),"lieu")</f>
        <v>lieu</v>
      </c>
      <c r="I2940" s="4" t="str">
        <f>IFERROR(__xludf.DUMMYFUNCTION("if(D2940=""variant"",  substitute(filter(Templates!E:E, Templates!A:A = F2940, Templates!B:B = G2940, Templates!C:C = H2940), ""{{}}"", E2940), B2940)"),"🏘  Vous cherchez un appartement à louer à Ependes VD? ✅ Les annonces les plus actuelles sont sur ImmoScout24.ch.")</f>
        <v>🏘  Vous cherchez un appartement à louer à Ependes VD? ✅ Les annonces les plus actuelles sont sur ImmoScout24.ch.</v>
      </c>
      <c r="J2940" s="4" t="s">
        <v>8815</v>
      </c>
    </row>
    <row r="2941">
      <c r="A2941" s="5" t="s">
        <v>8816</v>
      </c>
      <c r="B2941" s="2" t="s">
        <v>8817</v>
      </c>
      <c r="C2941" s="4" t="str">
        <f>IFERROR(__xludf.DUMMYFUNCTION("""🏘️ ""&amp;REGEXEXTRACT(B2941, ""^(.*): "")&amp;"" ✅ "" &amp;REGEXEXTRACT(B2941, ""(Trouvez.*)"")"),"🏘️ Louer appartement Thoune - Lac de Thoune nord ✅ Trouvez le bien immobilier qui correspond idéalement à vos désirs sur ImmoScout24 - La plateforme de l'immobilier en Suisse.")</f>
        <v>🏘️ Louer appartement Thoune - Lac de Thoune nord ✅ Trouvez le bien immobilier qui correspond idéalement à vos désirs sur ImmoScout24 - La plateforme de l'immobilier en Suisse.</v>
      </c>
      <c r="D2941" s="4" t="str">
        <f>vlookup(A2941, Sheet2!D:E, 2, 0)</f>
        <v>variant</v>
      </c>
      <c r="E2941" s="4" t="str">
        <f>IFERROR(__xludf.DUMMYFUNCTION("if(H2941=""pays"",vlookup(REGEXEXTRACT(C2941, ""🏘️ \w+ \w+ (.*) ✅""),'Country prepositions'!A:B, 2, 0) &amp; "" "" &amp; REGEXEXTRACT(C2941, ""🏘️ \w+ \w+ (.*) ✅"") ,  if(H2941=""quartier"",vlookup(REGEXEXTRACT(C2941, ""🏘️ \w+ \w+ (.*) ✅""),'Quartier prepositio"&amp;"ns'!A:E, 5, 0) ,  if(H2941=""region"",vlookup(REGEXEXTRACT(C2941, ""🏘️ \w+ \w+ (.*) ✅""),'Region prepositions'!B:F, 5, 0),  REGEXEXTRACT(C2941, ""🏘️ \w+ \w+ (.*) ✅""))))"),"près de Thoune - Lac de Thoune nord")</f>
        <v>près de Thoune - Lac de Thoune nord</v>
      </c>
      <c r="F2941" s="2" t="str">
        <f>IFERROR(__xludf.DUMMYFUNCTION("REGEXEXTRACT(C2941, ""🏘️ (\w+) \w+ .* ✅"")"),"Louer")</f>
        <v>Louer</v>
      </c>
      <c r="G2941" s="2" t="str">
        <f>IFERROR(__xludf.DUMMYFUNCTION("REGEXEXTRACT(C2941, ""🏘️ \w+ (\w+) .* ✅"")"),"appartement")</f>
        <v>appartement</v>
      </c>
      <c r="H2941" s="4" t="str">
        <f>IFERROR(__xludf.DUMMYFUNCTION("REGEXEXTRACT(A2941, ""/(\w+)-.*?"")"),"region")</f>
        <v>region</v>
      </c>
      <c r="I2941" s="4" t="str">
        <f>IFERROR(__xludf.DUMMYFUNCTION("if(D2941=""variant"",  substitute(filter(Templates!E:E, Templates!A:A = F2941, Templates!B:B = G2941, Templates!C:C = H2941), ""{{}}"", E2941), B2941)"),"🏘  Vous cherchez un appartement à louer près de Thoune - Lac de Thoune nord? ✅ Les annonces les plus actuelles sont sur ImmoScout24.ch.")</f>
        <v>🏘  Vous cherchez un appartement à louer près de Thoune - Lac de Thoune nord? ✅ Les annonces les plus actuelles sont sur ImmoScout24.ch.</v>
      </c>
      <c r="J2941" s="4" t="s">
        <v>8818</v>
      </c>
    </row>
    <row r="2942">
      <c r="A2942" s="5" t="s">
        <v>8819</v>
      </c>
      <c r="B2942" s="2" t="s">
        <v>8820</v>
      </c>
      <c r="C2942" s="4" t="str">
        <f>IFERROR(__xludf.DUMMYFUNCTION("""🏘️ ""&amp;REGEXEXTRACT(B2942, ""^(.*): "")&amp;"" ✅ "" &amp;REGEXEXTRACT(B2942, ""(Trouvez.*)"")"),"🏘️ Louer maison Onnens FR ✅ Trouvez le bien immobilier qui correspond idéalement à vos désirs sur ImmoScout24 - La plateforme de l'immobilier en Suisse.")</f>
        <v>🏘️ Louer maison Onnens FR ✅ Trouvez le bien immobilier qui correspond idéalement à vos désirs sur ImmoScout24 - La plateforme de l'immobilier en Suisse.</v>
      </c>
      <c r="D2942" s="4" t="str">
        <f>vlookup(A2942, Sheet2!D:E, 2, 0)</f>
        <v>variant</v>
      </c>
      <c r="E2942" s="4" t="str">
        <f>IFERROR(__xludf.DUMMYFUNCTION("if(H2942=""pays"",vlookup(REGEXEXTRACT(C2942, ""🏘️ \w+ \w+ (.*) ✅""),'Country prepositions'!A:B, 2, 0) &amp; "" "" &amp; REGEXEXTRACT(C2942, ""🏘️ \w+ \w+ (.*) ✅"") ,  if(H2942=""quartier"",vlookup(REGEXEXTRACT(C2942, ""🏘️ \w+ \w+ (.*) ✅""),'Quartier prepositio"&amp;"ns'!A:E, 5, 0) ,  if(H2942=""region"",vlookup(REGEXEXTRACT(C2942, ""🏘️ \w+ \w+ (.*) ✅""),'Region prepositions'!B:F, 5, 0),  REGEXEXTRACT(C2942, ""🏘️ \w+ \w+ (.*) ✅""))))"),"Onnens FR")</f>
        <v>Onnens FR</v>
      </c>
      <c r="F2942" s="2" t="str">
        <f>IFERROR(__xludf.DUMMYFUNCTION("REGEXEXTRACT(C2942, ""🏘️ (\w+) \w+ .* ✅"")"),"Louer")</f>
        <v>Louer</v>
      </c>
      <c r="G2942" s="2" t="str">
        <f>IFERROR(__xludf.DUMMYFUNCTION("REGEXEXTRACT(C2942, ""🏘️ \w+ (\w+) .* ✅"")"),"maison")</f>
        <v>maison</v>
      </c>
      <c r="H2942" s="4" t="str">
        <f>IFERROR(__xludf.DUMMYFUNCTION("REGEXEXTRACT(A2942, ""/(\w+)-.*?"")"),"lieu")</f>
        <v>lieu</v>
      </c>
      <c r="I2942" s="4" t="str">
        <f>IFERROR(__xludf.DUMMYFUNCTION("if(D2942=""variant"",  substitute(filter(Templates!E:E, Templates!A:A = F2942, Templates!B:B = G2942, Templates!C:C = H2942), ""{{}}"", E2942), B2942)"),"🏘  Vous cherchez une maison à louer à Onnens FR? ✅ Découvrez nos nombreuses annonces sur ImmoScout24.ch.")</f>
        <v>🏘  Vous cherchez une maison à louer à Onnens FR? ✅ Découvrez nos nombreuses annonces sur ImmoScout24.ch.</v>
      </c>
      <c r="J2942" s="4" t="s">
        <v>8821</v>
      </c>
    </row>
    <row r="2943">
      <c r="A2943" s="5" t="s">
        <v>8822</v>
      </c>
      <c r="B2943" s="2" t="s">
        <v>8823</v>
      </c>
      <c r="C2943" s="4" t="str">
        <f>IFERROR(__xludf.DUMMYFUNCTION("""🏘️ ""&amp;REGEXEXTRACT(B2943, ""^(.*): "")&amp;"" ✅ "" &amp;REGEXEXTRACT(B2943, ""(Trouvez.*)"")"),"🏘️ Louer appartement Adligenswil ✅ Trouvez le bien immobilier qui correspond idéalement à vos désirs sur ImmoScout24 - La plateforme de l'immobilier en Suisse.")</f>
        <v>🏘️ Louer appartement Adligenswil ✅ Trouvez le bien immobilier qui correspond idéalement à vos désirs sur ImmoScout24 - La plateforme de l'immobilier en Suisse.</v>
      </c>
      <c r="D2943" s="4" t="str">
        <f>vlookup(A2943, Sheet2!D:E, 2, 0)</f>
        <v>variant</v>
      </c>
      <c r="E2943" s="4" t="str">
        <f>IFERROR(__xludf.DUMMYFUNCTION("if(H2943=""pays"",vlookup(REGEXEXTRACT(C2943, ""🏘️ \w+ \w+ (.*) ✅""),'Country prepositions'!A:B, 2, 0) &amp; "" "" &amp; REGEXEXTRACT(C2943, ""🏘️ \w+ \w+ (.*) ✅"") ,  if(H2943=""quartier"",vlookup(REGEXEXTRACT(C2943, ""🏘️ \w+ \w+ (.*) ✅""),'Quartier prepositio"&amp;"ns'!A:E, 5, 0) ,  if(H2943=""region"",vlookup(REGEXEXTRACT(C2943, ""🏘️ \w+ \w+ (.*) ✅""),'Region prepositions'!B:F, 5, 0),  REGEXEXTRACT(C2943, ""🏘️ \w+ \w+ (.*) ✅""))))"),"Adligenswil")</f>
        <v>Adligenswil</v>
      </c>
      <c r="F2943" s="2" t="str">
        <f>IFERROR(__xludf.DUMMYFUNCTION("REGEXEXTRACT(C2943, ""🏘️ (\w+) \w+ .* ✅"")"),"Louer")</f>
        <v>Louer</v>
      </c>
      <c r="G2943" s="2" t="str">
        <f>IFERROR(__xludf.DUMMYFUNCTION("REGEXEXTRACT(C2943, ""🏘️ \w+ (\w+) .* ✅"")"),"appartement")</f>
        <v>appartement</v>
      </c>
      <c r="H2943" s="4" t="str">
        <f>IFERROR(__xludf.DUMMYFUNCTION("REGEXEXTRACT(A2943, ""/(\w+)-.*?"")"),"lieu")</f>
        <v>lieu</v>
      </c>
      <c r="I2943" s="4" t="str">
        <f>IFERROR(__xludf.DUMMYFUNCTION("if(D2943=""variant"",  substitute(filter(Templates!E:E, Templates!A:A = F2943, Templates!B:B = G2943, Templates!C:C = H2943), ""{{}}"", E2943), B2943)"),"🏘  Vous cherchez un appartement à louer à Adligenswil? ✅ Les annonces les plus actuelles sont sur ImmoScout24.ch.")</f>
        <v>🏘  Vous cherchez un appartement à louer à Adligenswil? ✅ Les annonces les plus actuelles sont sur ImmoScout24.ch.</v>
      </c>
      <c r="J2943" s="4" t="s">
        <v>8824</v>
      </c>
    </row>
    <row r="2944">
      <c r="A2944" s="5" t="s">
        <v>8825</v>
      </c>
      <c r="B2944" s="2" t="s">
        <v>8826</v>
      </c>
      <c r="C2944" s="4" t="str">
        <f>IFERROR(__xludf.DUMMYFUNCTION("""🏘️ ""&amp;REGEXEXTRACT(B2944, ""^(.*): "")&amp;"" ✅ "" &amp;REGEXEXTRACT(B2944, ""(Trouvez.*)"")"),"🏘️ Louer maison Le Vaud ✅ Trouvez le bien immobilier qui correspond idéalement à vos désirs sur ImmoScout24 - La plateforme de l'immobilier en Suisse.")</f>
        <v>🏘️ Louer maison Le Vaud ✅ Trouvez le bien immobilier qui correspond idéalement à vos désirs sur ImmoScout24 - La plateforme de l'immobilier en Suisse.</v>
      </c>
      <c r="D2944" s="4" t="str">
        <f>vlookup(A2944, Sheet2!D:E, 2, 0)</f>
        <v>variant</v>
      </c>
      <c r="E2944" s="4" t="str">
        <f>IFERROR(__xludf.DUMMYFUNCTION("if(H2944=""pays"",vlookup(REGEXEXTRACT(C2944, ""🏘️ \w+ \w+ (.*) ✅""),'Country prepositions'!A:B, 2, 0) &amp; "" "" &amp; REGEXEXTRACT(C2944, ""🏘️ \w+ \w+ (.*) ✅"") ,  if(H2944=""quartier"",vlookup(REGEXEXTRACT(C2944, ""🏘️ \w+ \w+ (.*) ✅""),'Quartier prepositio"&amp;"ns'!A:E, 5, 0) ,  if(H2944=""region"",vlookup(REGEXEXTRACT(C2944, ""🏘️ \w+ \w+ (.*) ✅""),'Region prepositions'!B:F, 5, 0),  REGEXEXTRACT(C2944, ""🏘️ \w+ \w+ (.*) ✅""))))"),"Le Vaud")</f>
        <v>Le Vaud</v>
      </c>
      <c r="F2944" s="2" t="str">
        <f>IFERROR(__xludf.DUMMYFUNCTION("REGEXEXTRACT(C2944, ""🏘️ (\w+) \w+ .* ✅"")"),"Louer")</f>
        <v>Louer</v>
      </c>
      <c r="G2944" s="2" t="str">
        <f>IFERROR(__xludf.DUMMYFUNCTION("REGEXEXTRACT(C2944, ""🏘️ \w+ (\w+) .* ✅"")"),"maison")</f>
        <v>maison</v>
      </c>
      <c r="H2944" s="4" t="str">
        <f>IFERROR(__xludf.DUMMYFUNCTION("REGEXEXTRACT(A2944, ""/(\w+)-.*?"")"),"lieu")</f>
        <v>lieu</v>
      </c>
      <c r="I2944" s="4" t="str">
        <f>IFERROR(__xludf.DUMMYFUNCTION("if(D2944=""variant"",  substitute(filter(Templates!E:E, Templates!A:A = F2944, Templates!B:B = G2944, Templates!C:C = H2944), ""{{}}"", E2944), B2944)"),"🏘  Vous cherchez une maison à louer à Le Vaud? ✅ Découvrez nos nombreuses annonces sur ImmoScout24.ch.")</f>
        <v>🏘  Vous cherchez une maison à louer à Le Vaud? ✅ Découvrez nos nombreuses annonces sur ImmoScout24.ch.</v>
      </c>
      <c r="J2944" s="2" t="s">
        <v>8827</v>
      </c>
    </row>
    <row r="2945">
      <c r="A2945" s="5" t="s">
        <v>8828</v>
      </c>
      <c r="B2945" s="2" t="s">
        <v>8829</v>
      </c>
      <c r="C2945" s="4" t="str">
        <f>IFERROR(__xludf.DUMMYFUNCTION("""🏘️ ""&amp;REGEXEXTRACT(B2945, ""^(.*): "")&amp;"" ✅ "" &amp;REGEXEXTRACT(B2945, ""(Trouvez.*)"")"),"🏘️ Vendre appartement Zurich ville ✅ Trouvez le bien immobilier qui correspond idéalement à vos désirs sur ImmoScout24 - La plateforme de l'immobilier en Suisse.")</f>
        <v>🏘️ Vendre appartement Zurich ville ✅ Trouvez le bien immobilier qui correspond idéalement à vos désirs sur ImmoScout24 - La plateforme de l'immobilier en Suisse.</v>
      </c>
      <c r="D2945" s="4" t="str">
        <f>vlookup(A2945, Sheet2!D:E, 2, 0)</f>
        <v>variant</v>
      </c>
      <c r="E2945" s="4" t="str">
        <f>IFERROR(__xludf.DUMMYFUNCTION("if(H2945=""pays"",vlookup(REGEXEXTRACT(C2945, ""🏘️ \w+ \w+ (.*) ✅""),'Country prepositions'!A:B, 2, 0) &amp; "" "" &amp; REGEXEXTRACT(C2945, ""🏘️ \w+ \w+ (.*) ✅"") ,  if(H2945=""quartier"",vlookup(REGEXEXTRACT(C2945, ""🏘️ \w+ \w+ (.*) ✅""),'Quartier prepositio"&amp;"ns'!A:E, 5, 0) ,  if(H2945=""region"",vlookup(REGEXEXTRACT(C2945, ""🏘️ \w+ \w+ (.*) ✅""),'Region prepositions'!B:F, 5, 0),  REGEXEXTRACT(C2945, ""🏘️ \w+ \w+ (.*) ✅""))))"),"à Zurich ville")</f>
        <v>à Zurich ville</v>
      </c>
      <c r="F2945" s="2" t="str">
        <f>IFERROR(__xludf.DUMMYFUNCTION("REGEXEXTRACT(C2945, ""🏘️ (\w+) \w+ .* ✅"")"),"Vendre")</f>
        <v>Vendre</v>
      </c>
      <c r="G2945" s="2" t="str">
        <f>IFERROR(__xludf.DUMMYFUNCTION("REGEXEXTRACT(C2945, ""🏘️ \w+ (\w+) .* ✅"")"),"appartement")</f>
        <v>appartement</v>
      </c>
      <c r="H2945" s="4" t="str">
        <f>IFERROR(__xludf.DUMMYFUNCTION("REGEXEXTRACT(A2945, ""/(\w+)-.*?"")"),"region")</f>
        <v>region</v>
      </c>
      <c r="I2945" s="4" t="str">
        <f>IFERROR(__xludf.DUMMYFUNCTION("if(D2945=""variant"",  substitute(filter(Templates!E:E, Templates!A:A = F2945, Templates!B:B = G2945, Templates!C:C = H2945), ""{{}}"", E2945), B2945)"),"🏘  L’appartement de vos rêves se trouve sur ImmoScout24.ch ✅ Découvrez les dernières annonces de vente à Zurich ville.")</f>
        <v>🏘  L’appartement de vos rêves se trouve sur ImmoScout24.ch ✅ Découvrez les dernières annonces de vente à Zurich ville.</v>
      </c>
      <c r="J2945" s="4" t="s">
        <v>8830</v>
      </c>
    </row>
    <row r="2946">
      <c r="A2946" s="5" t="s">
        <v>8831</v>
      </c>
      <c r="B2946" s="2" t="s">
        <v>8832</v>
      </c>
      <c r="C2946" s="4" t="str">
        <f>IFERROR(__xludf.DUMMYFUNCTION("""🏘️ ""&amp;REGEXEXTRACT(B2946, ""^(.*): "")&amp;"" ✅ "" &amp;REGEXEXTRACT(B2946, ""(Trouvez.*)"")"),"🏘️ Louer maison Epalinges ✅ Trouvez le bien immobilier qui correspond idéalement à vos désirs sur ImmoScout24 - La plateforme de l'immobilier en Suisse.")</f>
        <v>🏘️ Louer maison Epalinges ✅ Trouvez le bien immobilier qui correspond idéalement à vos désirs sur ImmoScout24 - La plateforme de l'immobilier en Suisse.</v>
      </c>
      <c r="D2946" s="4" t="str">
        <f>vlookup(A2946, Sheet2!D:E, 2, 0)</f>
        <v>variant</v>
      </c>
      <c r="E2946" s="4" t="str">
        <f>IFERROR(__xludf.DUMMYFUNCTION("if(H2946=""pays"",vlookup(REGEXEXTRACT(C2946, ""🏘️ \w+ \w+ (.*) ✅""),'Country prepositions'!A:B, 2, 0) &amp; "" "" &amp; REGEXEXTRACT(C2946, ""🏘️ \w+ \w+ (.*) ✅"") ,  if(H2946=""quartier"",vlookup(REGEXEXTRACT(C2946, ""🏘️ \w+ \w+ (.*) ✅""),'Quartier prepositio"&amp;"ns'!A:E, 5, 0) ,  if(H2946=""region"",vlookup(REGEXEXTRACT(C2946, ""🏘️ \w+ \w+ (.*) ✅""),'Region prepositions'!B:F, 5, 0),  REGEXEXTRACT(C2946, ""🏘️ \w+ \w+ (.*) ✅""))))"),"Epalinges")</f>
        <v>Epalinges</v>
      </c>
      <c r="F2946" s="2" t="str">
        <f>IFERROR(__xludf.DUMMYFUNCTION("REGEXEXTRACT(C2946, ""🏘️ (\w+) \w+ .* ✅"")"),"Louer")</f>
        <v>Louer</v>
      </c>
      <c r="G2946" s="2" t="str">
        <f>IFERROR(__xludf.DUMMYFUNCTION("REGEXEXTRACT(C2946, ""🏘️ \w+ (\w+) .* ✅"")"),"maison")</f>
        <v>maison</v>
      </c>
      <c r="H2946" s="4" t="str">
        <f>IFERROR(__xludf.DUMMYFUNCTION("REGEXEXTRACT(A2946, ""/(\w+)-.*?"")"),"lieu")</f>
        <v>lieu</v>
      </c>
      <c r="I2946" s="4" t="str">
        <f>IFERROR(__xludf.DUMMYFUNCTION("if(D2946=""variant"",  substitute(filter(Templates!E:E, Templates!A:A = F2946, Templates!B:B = G2946, Templates!C:C = H2946), ""{{}}"", E2946), B2946)"),"🏘  Vous cherchez une maison à louer à Epalinges? ✅ Découvrez nos nombreuses annonces sur ImmoScout24.ch.")</f>
        <v>🏘  Vous cherchez une maison à louer à Epalinges? ✅ Découvrez nos nombreuses annonces sur ImmoScout24.ch.</v>
      </c>
      <c r="J2946" s="4" t="s">
        <v>8833</v>
      </c>
    </row>
    <row r="2947">
      <c r="A2947" s="5" t="s">
        <v>8834</v>
      </c>
      <c r="B2947" s="2" t="s">
        <v>8835</v>
      </c>
      <c r="C2947" s="4" t="str">
        <f>IFERROR(__xludf.DUMMYFUNCTION("""🏘️ ""&amp;REGEXEXTRACT(B2947, ""^(.*): "")&amp;"" ✅ "" &amp;REGEXEXTRACT(B2947, ""(Trouvez.*)"")"),"🏘️ Vendre appartement Laufen ✅ Trouvez le bien immobilier qui correspond idéalement à vos désirs sur ImmoScout24 - La plateforme de l'immobilier en Suisse.")</f>
        <v>🏘️ Vendre appartement Laufen ✅ Trouvez le bien immobilier qui correspond idéalement à vos désirs sur ImmoScout24 - La plateforme de l'immobilier en Suisse.</v>
      </c>
      <c r="D2947" s="4" t="str">
        <f>vlookup(A2947, Sheet2!D:E, 2, 0)</f>
        <v>variant</v>
      </c>
      <c r="E2947" s="4" t="str">
        <f>IFERROR(__xludf.DUMMYFUNCTION("if(H2947=""pays"",vlookup(REGEXEXTRACT(C2947, ""🏘️ \w+ \w+ (.*) ✅""),'Country prepositions'!A:B, 2, 0) &amp; "" "" &amp; REGEXEXTRACT(C2947, ""🏘️ \w+ \w+ (.*) ✅"") ,  if(H2947=""quartier"",vlookup(REGEXEXTRACT(C2947, ""🏘️ \w+ \w+ (.*) ✅""),'Quartier prepositio"&amp;"ns'!A:E, 5, 0) ,  if(H2947=""region"",vlookup(REGEXEXTRACT(C2947, ""🏘️ \w+ \w+ (.*) ✅""),'Region prepositions'!B:F, 5, 0),  REGEXEXTRACT(C2947, ""🏘️ \w+ \w+ (.*) ✅""))))"),"Laufen")</f>
        <v>Laufen</v>
      </c>
      <c r="F2947" s="2" t="str">
        <f>IFERROR(__xludf.DUMMYFUNCTION("REGEXEXTRACT(C2947, ""🏘️ (\w+) \w+ .* ✅"")"),"Vendre")</f>
        <v>Vendre</v>
      </c>
      <c r="G2947" s="2" t="str">
        <f>IFERROR(__xludf.DUMMYFUNCTION("REGEXEXTRACT(C2947, ""🏘️ \w+ (\w+) .* ✅"")"),"appartement")</f>
        <v>appartement</v>
      </c>
      <c r="H2947" s="4" t="str">
        <f>IFERROR(__xludf.DUMMYFUNCTION("REGEXEXTRACT(A2947, ""/(\w+)-.*?"")"),"lieu")</f>
        <v>lieu</v>
      </c>
      <c r="I2947" s="4" t="str">
        <f>IFERROR(__xludf.DUMMYFUNCTION("if(D2947=""variant"",  substitute(filter(Templates!E:E, Templates!A:A = F2947, Templates!B:B = G2947, Templates!C:C = H2947), ""{{}}"", E2947), B2947)"),"🏘  L’appartement de vos rêves se trouve sur ImmoScout24.ch ✅ Découvrez les dernières annonces de vente à Laufen.")</f>
        <v>🏘  L’appartement de vos rêves se trouve sur ImmoScout24.ch ✅ Découvrez les dernières annonces de vente à Laufen.</v>
      </c>
      <c r="J2947" s="4" t="s">
        <v>8836</v>
      </c>
    </row>
    <row r="2948">
      <c r="A2948" s="5" t="s">
        <v>8837</v>
      </c>
      <c r="B2948" s="2" t="s">
        <v>8838</v>
      </c>
      <c r="C2948" s="4" t="str">
        <f>IFERROR(__xludf.DUMMYFUNCTION("""🏘️ ""&amp;REGEXEXTRACT(B2948, ""^(.*): "")&amp;"" ✅ "" &amp;REGEXEXTRACT(B2948, ""(Trouvez.*)"")"),"🏘️ Vendre maison Monténégro ✅ Trouvez le bien immobilier qui correspond idéalement à vos désirs sur ImmoScout24 - La plateforme de l'immobilier en Suisse.")</f>
        <v>🏘️ Vendre maison Monténégro ✅ Trouvez le bien immobilier qui correspond idéalement à vos désirs sur ImmoScout24 - La plateforme de l'immobilier en Suisse.</v>
      </c>
      <c r="D2948" s="4" t="str">
        <f>vlookup(A2948, Sheet2!D:E, 2, 0)</f>
        <v>variant</v>
      </c>
      <c r="E2948" s="4" t="str">
        <f>IFERROR(__xludf.DUMMYFUNCTION("if(H2948=""pays"",vlookup(REGEXEXTRACT(C2948, ""🏘️ \w+ \w+ (.*) ✅""),'Country prepositions'!A:B, 2, 0) &amp; "" "" &amp; REGEXEXTRACT(C2948, ""🏘️ \w+ \w+ (.*) ✅"") ,  if(H2948=""quartier"",vlookup(REGEXEXTRACT(C2948, ""🏘️ \w+ \w+ (.*) ✅""),'Quartier prepositio"&amp;"ns'!A:E, 5, 0) ,  if(H2948=""region"",vlookup(REGEXEXTRACT(C2948, ""🏘️ \w+ \w+ (.*) ✅""),'Region prepositions'!B:F, 5, 0),  REGEXEXTRACT(C2948, ""🏘️ \w+ \w+ (.*) ✅""))))"),"au Monténégro")</f>
        <v>au Monténégro</v>
      </c>
      <c r="F2948" s="2" t="str">
        <f>IFERROR(__xludf.DUMMYFUNCTION("REGEXEXTRACT(C2948, ""🏘️ (\w+) \w+ .* ✅"")"),"Vendre")</f>
        <v>Vendre</v>
      </c>
      <c r="G2948" s="2" t="str">
        <f>IFERROR(__xludf.DUMMYFUNCTION("REGEXEXTRACT(C2948, ""🏘️ \w+ (\w+) .* ✅"")"),"maison")</f>
        <v>maison</v>
      </c>
      <c r="H2948" s="4" t="str">
        <f>IFERROR(__xludf.DUMMYFUNCTION("REGEXEXTRACT(A2948, ""/(\w+)-.*?"")"),"pays")</f>
        <v>pays</v>
      </c>
      <c r="I2948" s="4" t="str">
        <f>IFERROR(__xludf.DUMMYFUNCTION("if(D2948=""variant"",  substitute(filter(Templates!E:E, Templates!A:A = F2948, Templates!B:B = G2948, Templates!C:C = H2948), ""{{}}"", E2948), B2948)"),"🏘  Vous cherchez un appartement à louer au Monténégro? ✅ Les annonces les plus actuelles sont sur ImmoScout24.ch.")</f>
        <v>🏘  Vous cherchez un appartement à louer au Monténégro? ✅ Les annonces les plus actuelles sont sur ImmoScout24.ch.</v>
      </c>
      <c r="J2948" s="4" t="s">
        <v>156</v>
      </c>
    </row>
    <row r="2949">
      <c r="A2949" s="5" t="s">
        <v>8839</v>
      </c>
      <c r="B2949" s="2" t="s">
        <v>8840</v>
      </c>
      <c r="C2949" s="4" t="str">
        <f>IFERROR(__xludf.DUMMYFUNCTION("""🏘️ ""&amp;REGEXEXTRACT(B2949, ""^(.*): "")&amp;"" ✅ "" &amp;REGEXEXTRACT(B2949, ""(Trouvez.*)"")"),"🏘️ Vendre appartement Iseltwald ✅ Trouvez le bien immobilier qui correspond idéalement à vos désirs sur ImmoScout24 - La plateforme de l'immobilier en Suisse.")</f>
        <v>🏘️ Vendre appartement Iseltwald ✅ Trouvez le bien immobilier qui correspond idéalement à vos désirs sur ImmoScout24 - La plateforme de l'immobilier en Suisse.</v>
      </c>
      <c r="D2949" s="4" t="str">
        <f>vlookup(A2949, Sheet2!D:E, 2, 0)</f>
        <v>variant</v>
      </c>
      <c r="E2949" s="4" t="str">
        <f>IFERROR(__xludf.DUMMYFUNCTION("if(H2949=""pays"",vlookup(REGEXEXTRACT(C2949, ""🏘️ \w+ \w+ (.*) ✅""),'Country prepositions'!A:B, 2, 0) &amp; "" "" &amp; REGEXEXTRACT(C2949, ""🏘️ \w+ \w+ (.*) ✅"") ,  if(H2949=""quartier"",vlookup(REGEXEXTRACT(C2949, ""🏘️ \w+ \w+ (.*) ✅""),'Quartier prepositio"&amp;"ns'!A:E, 5, 0) ,  if(H2949=""region"",vlookup(REGEXEXTRACT(C2949, ""🏘️ \w+ \w+ (.*) ✅""),'Region prepositions'!B:F, 5, 0),  REGEXEXTRACT(C2949, ""🏘️ \w+ \w+ (.*) ✅""))))"),"Iseltwald")</f>
        <v>Iseltwald</v>
      </c>
      <c r="F2949" s="2" t="str">
        <f>IFERROR(__xludf.DUMMYFUNCTION("REGEXEXTRACT(C2949, ""🏘️ (\w+) \w+ .* ✅"")"),"Vendre")</f>
        <v>Vendre</v>
      </c>
      <c r="G2949" s="2" t="str">
        <f>IFERROR(__xludf.DUMMYFUNCTION("REGEXEXTRACT(C2949, ""🏘️ \w+ (\w+) .* ✅"")"),"appartement")</f>
        <v>appartement</v>
      </c>
      <c r="H2949" s="4" t="str">
        <f>IFERROR(__xludf.DUMMYFUNCTION("REGEXEXTRACT(A2949, ""/(\w+)-.*?"")"),"lieu")</f>
        <v>lieu</v>
      </c>
      <c r="I2949" s="4" t="str">
        <f>IFERROR(__xludf.DUMMYFUNCTION("if(D2949=""variant"",  substitute(filter(Templates!E:E, Templates!A:A = F2949, Templates!B:B = G2949, Templates!C:C = H2949), ""{{}}"", E2949), B2949)"),"🏘  L’appartement de vos rêves se trouve sur ImmoScout24.ch ✅ Découvrez les dernières annonces de vente à Iseltwald.")</f>
        <v>🏘  L’appartement de vos rêves se trouve sur ImmoScout24.ch ✅ Découvrez les dernières annonces de vente à Iseltwald.</v>
      </c>
      <c r="J2949" s="4" t="s">
        <v>8841</v>
      </c>
    </row>
    <row r="2950">
      <c r="A2950" s="5" t="s">
        <v>8842</v>
      </c>
      <c r="B2950" s="2" t="s">
        <v>8843</v>
      </c>
      <c r="C2950" s="4" t="str">
        <f>IFERROR(__xludf.DUMMYFUNCTION("""🏘️ ""&amp;REGEXEXTRACT(B2950, ""^(.*): "")&amp;"" ✅ "" &amp;REGEXEXTRACT(B2950, ""(Trouvez.*)"")"),"🏘️ Louer appartement Dommartin ✅ Trouvez le bien immobilier qui correspond idéalement à vos désirs sur ImmoScout24 - La plateforme de l'immobilier en Suisse.")</f>
        <v>🏘️ Louer appartement Dommartin ✅ Trouvez le bien immobilier qui correspond idéalement à vos désirs sur ImmoScout24 - La plateforme de l'immobilier en Suisse.</v>
      </c>
      <c r="D2950" s="4" t="str">
        <f>vlookup(A2950, Sheet2!D:E, 2, 0)</f>
        <v>variant</v>
      </c>
      <c r="E2950" s="4" t="str">
        <f>IFERROR(__xludf.DUMMYFUNCTION("if(H2950=""pays"",vlookup(REGEXEXTRACT(C2950, ""🏘️ \w+ \w+ (.*) ✅""),'Country prepositions'!A:B, 2, 0) &amp; "" "" &amp; REGEXEXTRACT(C2950, ""🏘️ \w+ \w+ (.*) ✅"") ,  if(H2950=""quartier"",vlookup(REGEXEXTRACT(C2950, ""🏘️ \w+ \w+ (.*) ✅""),'Quartier prepositio"&amp;"ns'!A:E, 5, 0) ,  if(H2950=""region"",vlookup(REGEXEXTRACT(C2950, ""🏘️ \w+ \w+ (.*) ✅""),'Region prepositions'!B:F, 5, 0),  REGEXEXTRACT(C2950, ""🏘️ \w+ \w+ (.*) ✅""))))"),"Dommartin")</f>
        <v>Dommartin</v>
      </c>
      <c r="F2950" s="2" t="str">
        <f>IFERROR(__xludf.DUMMYFUNCTION("REGEXEXTRACT(C2950, ""🏘️ (\w+) \w+ .* ✅"")"),"Louer")</f>
        <v>Louer</v>
      </c>
      <c r="G2950" s="2" t="str">
        <f>IFERROR(__xludf.DUMMYFUNCTION("REGEXEXTRACT(C2950, ""🏘️ \w+ (\w+) .* ✅"")"),"appartement")</f>
        <v>appartement</v>
      </c>
      <c r="H2950" s="4" t="str">
        <f>IFERROR(__xludf.DUMMYFUNCTION("REGEXEXTRACT(A2950, ""/(\w+)-.*?"")"),"lieu")</f>
        <v>lieu</v>
      </c>
      <c r="I2950" s="4" t="str">
        <f>IFERROR(__xludf.DUMMYFUNCTION("if(D2950=""variant"",  substitute(filter(Templates!E:E, Templates!A:A = F2950, Templates!B:B = G2950, Templates!C:C = H2950), ""{{}}"", E2950), B2950)"),"🏘  Vous cherchez un appartement à louer à Dommartin? ✅ Les annonces les plus actuelles sont sur ImmoScout24.ch.")</f>
        <v>🏘  Vous cherchez un appartement à louer à Dommartin? ✅ Les annonces les plus actuelles sont sur ImmoScout24.ch.</v>
      </c>
      <c r="J2950" s="4" t="s">
        <v>8844</v>
      </c>
    </row>
    <row r="2951">
      <c r="A2951" s="5" t="s">
        <v>8845</v>
      </c>
      <c r="B2951" s="2" t="s">
        <v>8846</v>
      </c>
      <c r="C2951" s="4" t="str">
        <f>IFERROR(__xludf.DUMMYFUNCTION("""🏘️ ""&amp;REGEXEXTRACT(B2951, ""^(.*): "")&amp;"" ✅ "" &amp;REGEXEXTRACT(B2951, ""(Trouvez.*)"")"),"🏘️ Louer appartement Wängi ✅ Trouvez le bien immobilier qui correspond idéalement à vos désirs sur ImmoScout24 - La plateforme de l'immobilier en Suisse.")</f>
        <v>🏘️ Louer appartement Wängi ✅ Trouvez le bien immobilier qui correspond idéalement à vos désirs sur ImmoScout24 - La plateforme de l'immobilier en Suisse.</v>
      </c>
      <c r="D2951" s="4" t="str">
        <f>vlookup(A2951, Sheet2!D:E, 2, 0)</f>
        <v>variant</v>
      </c>
      <c r="E2951" s="4" t="str">
        <f>IFERROR(__xludf.DUMMYFUNCTION("if(H2951=""pays"",vlookup(REGEXEXTRACT(C2951, ""🏘️ \w+ \w+ (.*) ✅""),'Country prepositions'!A:B, 2, 0) &amp; "" "" &amp; REGEXEXTRACT(C2951, ""🏘️ \w+ \w+ (.*) ✅"") ,  if(H2951=""quartier"",vlookup(REGEXEXTRACT(C2951, ""🏘️ \w+ \w+ (.*) ✅""),'Quartier prepositio"&amp;"ns'!A:E, 5, 0) ,  if(H2951=""region"",vlookup(REGEXEXTRACT(C2951, ""🏘️ \w+ \w+ (.*) ✅""),'Region prepositions'!B:F, 5, 0),  REGEXEXTRACT(C2951, ""🏘️ \w+ \w+ (.*) ✅""))))"),"Wängi")</f>
        <v>Wängi</v>
      </c>
      <c r="F2951" s="2" t="str">
        <f>IFERROR(__xludf.DUMMYFUNCTION("REGEXEXTRACT(C2951, ""🏘️ (\w+) \w+ .* ✅"")"),"Louer")</f>
        <v>Louer</v>
      </c>
      <c r="G2951" s="2" t="str">
        <f>IFERROR(__xludf.DUMMYFUNCTION("REGEXEXTRACT(C2951, ""🏘️ \w+ (\w+) .* ✅"")"),"appartement")</f>
        <v>appartement</v>
      </c>
      <c r="H2951" s="4" t="str">
        <f>IFERROR(__xludf.DUMMYFUNCTION("REGEXEXTRACT(A2951, ""/(\w+)-.*?"")"),"lieu")</f>
        <v>lieu</v>
      </c>
      <c r="I2951" s="4" t="str">
        <f>IFERROR(__xludf.DUMMYFUNCTION("if(D2951=""variant"",  substitute(filter(Templates!E:E, Templates!A:A = F2951, Templates!B:B = G2951, Templates!C:C = H2951), ""{{}}"", E2951), B2951)"),"🏘  Vous cherchez un appartement à louer à Wängi? ✅ Les annonces les plus actuelles sont sur ImmoScout24.ch.")</f>
        <v>🏘  Vous cherchez un appartement à louer à Wängi? ✅ Les annonces les plus actuelles sont sur ImmoScout24.ch.</v>
      </c>
      <c r="J2951" s="4" t="s">
        <v>8847</v>
      </c>
    </row>
    <row r="2952">
      <c r="A2952" s="5" t="s">
        <v>8848</v>
      </c>
      <c r="B2952" s="2" t="s">
        <v>8849</v>
      </c>
      <c r="C2952" s="4" t="str">
        <f>IFERROR(__xludf.DUMMYFUNCTION("""🏘️ ""&amp;REGEXEXTRACT(B2952, ""^(.*): "")&amp;"" ✅ "" &amp;REGEXEXTRACT(B2952, ""(Trouvez.*)"")"),"🏘️ Louer appartement Allenwinden ✅ Trouvez le bien immobilier qui correspond idéalement à vos désirs sur ImmoScout24 - La plateforme de l'immobilier en Suisse.")</f>
        <v>🏘️ Louer appartement Allenwinden ✅ Trouvez le bien immobilier qui correspond idéalement à vos désirs sur ImmoScout24 - La plateforme de l'immobilier en Suisse.</v>
      </c>
      <c r="D2952" s="4" t="str">
        <f>vlookup(A2952, Sheet2!D:E, 2, 0)</f>
        <v>variant</v>
      </c>
      <c r="E2952" s="4" t="str">
        <f>IFERROR(__xludf.DUMMYFUNCTION("if(H2952=""pays"",vlookup(REGEXEXTRACT(C2952, ""🏘️ \w+ \w+ (.*) ✅""),'Country prepositions'!A:B, 2, 0) &amp; "" "" &amp; REGEXEXTRACT(C2952, ""🏘️ \w+ \w+ (.*) ✅"") ,  if(H2952=""quartier"",vlookup(REGEXEXTRACT(C2952, ""🏘️ \w+ \w+ (.*) ✅""),'Quartier prepositio"&amp;"ns'!A:E, 5, 0) ,  if(H2952=""region"",vlookup(REGEXEXTRACT(C2952, ""🏘️ \w+ \w+ (.*) ✅""),'Region prepositions'!B:F, 5, 0),  REGEXEXTRACT(C2952, ""🏘️ \w+ \w+ (.*) ✅""))))"),"Allenwinden")</f>
        <v>Allenwinden</v>
      </c>
      <c r="F2952" s="2" t="str">
        <f>IFERROR(__xludf.DUMMYFUNCTION("REGEXEXTRACT(C2952, ""🏘️ (\w+) \w+ .* ✅"")"),"Louer")</f>
        <v>Louer</v>
      </c>
      <c r="G2952" s="2" t="str">
        <f>IFERROR(__xludf.DUMMYFUNCTION("REGEXEXTRACT(C2952, ""🏘️ \w+ (\w+) .* ✅"")"),"appartement")</f>
        <v>appartement</v>
      </c>
      <c r="H2952" s="4" t="str">
        <f>IFERROR(__xludf.DUMMYFUNCTION("REGEXEXTRACT(A2952, ""/(\w+)-.*?"")"),"lieu")</f>
        <v>lieu</v>
      </c>
      <c r="I2952" s="4" t="str">
        <f>IFERROR(__xludf.DUMMYFUNCTION("if(D2952=""variant"",  substitute(filter(Templates!E:E, Templates!A:A = F2952, Templates!B:B = G2952, Templates!C:C = H2952), ""{{}}"", E2952), B2952)"),"🏘  Vous cherchez un appartement à louer à Allenwinden? ✅ Les annonces les plus actuelles sont sur ImmoScout24.ch.")</f>
        <v>🏘  Vous cherchez un appartement à louer à Allenwinden? ✅ Les annonces les plus actuelles sont sur ImmoScout24.ch.</v>
      </c>
      <c r="J2952" s="4" t="s">
        <v>8850</v>
      </c>
    </row>
    <row r="2953">
      <c r="A2953" s="5" t="s">
        <v>8851</v>
      </c>
      <c r="B2953" s="2" t="s">
        <v>8852</v>
      </c>
      <c r="C2953" s="4" t="str">
        <f>IFERROR(__xludf.DUMMYFUNCTION("""🏘️ ""&amp;REGEXEXTRACT(B2953, ""^(.*): "")&amp;"" ✅ "" &amp;REGEXEXTRACT(B2953, ""(Trouvez.*)"")"),"🏘️ Louer appartement Crassier ✅ Trouvez le bien immobilier qui correspond idéalement à vos désirs sur ImmoScout24 - La plateforme de l'immobilier en Suisse.")</f>
        <v>🏘️ Louer appartement Crassier ✅ Trouvez le bien immobilier qui correspond idéalement à vos désirs sur ImmoScout24 - La plateforme de l'immobilier en Suisse.</v>
      </c>
      <c r="D2953" s="4" t="str">
        <f>vlookup(A2953, Sheet2!D:E, 2, 0)</f>
        <v>variant</v>
      </c>
      <c r="E2953" s="4" t="str">
        <f>IFERROR(__xludf.DUMMYFUNCTION("if(H2953=""pays"",vlookup(REGEXEXTRACT(C2953, ""🏘️ \w+ \w+ (.*) ✅""),'Country prepositions'!A:B, 2, 0) &amp; "" "" &amp; REGEXEXTRACT(C2953, ""🏘️ \w+ \w+ (.*) ✅"") ,  if(H2953=""quartier"",vlookup(REGEXEXTRACT(C2953, ""🏘️ \w+ \w+ (.*) ✅""),'Quartier prepositio"&amp;"ns'!A:E, 5, 0) ,  if(H2953=""region"",vlookup(REGEXEXTRACT(C2953, ""🏘️ \w+ \w+ (.*) ✅""),'Region prepositions'!B:F, 5, 0),  REGEXEXTRACT(C2953, ""🏘️ \w+ \w+ (.*) ✅""))))"),"Crassier")</f>
        <v>Crassier</v>
      </c>
      <c r="F2953" s="2" t="str">
        <f>IFERROR(__xludf.DUMMYFUNCTION("REGEXEXTRACT(C2953, ""🏘️ (\w+) \w+ .* ✅"")"),"Louer")</f>
        <v>Louer</v>
      </c>
      <c r="G2953" s="2" t="str">
        <f>IFERROR(__xludf.DUMMYFUNCTION("REGEXEXTRACT(C2953, ""🏘️ \w+ (\w+) .* ✅"")"),"appartement")</f>
        <v>appartement</v>
      </c>
      <c r="H2953" s="4" t="str">
        <f>IFERROR(__xludf.DUMMYFUNCTION("REGEXEXTRACT(A2953, ""/(\w+)-.*?"")"),"lieu")</f>
        <v>lieu</v>
      </c>
      <c r="I2953" s="4" t="str">
        <f>IFERROR(__xludf.DUMMYFUNCTION("if(D2953=""variant"",  substitute(filter(Templates!E:E, Templates!A:A = F2953, Templates!B:B = G2953, Templates!C:C = H2953), ""{{}}"", E2953), B2953)"),"🏘  Vous cherchez un appartement à louer à Crassier? ✅ Les annonces les plus actuelles sont sur ImmoScout24.ch.")</f>
        <v>🏘  Vous cherchez un appartement à louer à Crassier? ✅ Les annonces les plus actuelles sont sur ImmoScout24.ch.</v>
      </c>
      <c r="J2953" s="4" t="s">
        <v>8853</v>
      </c>
    </row>
    <row r="2954">
      <c r="A2954" s="5" t="s">
        <v>8854</v>
      </c>
      <c r="B2954" s="2" t="s">
        <v>8855</v>
      </c>
      <c r="C2954" s="4" t="str">
        <f>IFERROR(__xludf.DUMMYFUNCTION("""🏘️ ""&amp;REGEXEXTRACT(B2954, ""^(.*): "")&amp;"" ✅ "" &amp;REGEXEXTRACT(B2954, ""(Trouvez.*)"")"),"🏘️ Louer appartement Täuffelen ✅ Trouvez le bien immobilier qui correspond idéalement à vos désirs sur ImmoScout24 - La plateforme de l'immobilier en Suisse.")</f>
        <v>🏘️ Louer appartement Täuffelen ✅ Trouvez le bien immobilier qui correspond idéalement à vos désirs sur ImmoScout24 - La plateforme de l'immobilier en Suisse.</v>
      </c>
      <c r="D2954" s="4" t="str">
        <f>vlookup(A2954, Sheet2!D:E, 2, 0)</f>
        <v>variant</v>
      </c>
      <c r="E2954" s="4" t="str">
        <f>IFERROR(__xludf.DUMMYFUNCTION("if(H2954=""pays"",vlookup(REGEXEXTRACT(C2954, ""🏘️ \w+ \w+ (.*) ✅""),'Country prepositions'!A:B, 2, 0) &amp; "" "" &amp; REGEXEXTRACT(C2954, ""🏘️ \w+ \w+ (.*) ✅"") ,  if(H2954=""quartier"",vlookup(REGEXEXTRACT(C2954, ""🏘️ \w+ \w+ (.*) ✅""),'Quartier prepositio"&amp;"ns'!A:E, 5, 0) ,  if(H2954=""region"",vlookup(REGEXEXTRACT(C2954, ""🏘️ \w+ \w+ (.*) ✅""),'Region prepositions'!B:F, 5, 0),  REGEXEXTRACT(C2954, ""🏘️ \w+ \w+ (.*) ✅""))))"),"Täuffelen")</f>
        <v>Täuffelen</v>
      </c>
      <c r="F2954" s="2" t="str">
        <f>IFERROR(__xludf.DUMMYFUNCTION("REGEXEXTRACT(C2954, ""🏘️ (\w+) \w+ .* ✅"")"),"Louer")</f>
        <v>Louer</v>
      </c>
      <c r="G2954" s="2" t="str">
        <f>IFERROR(__xludf.DUMMYFUNCTION("REGEXEXTRACT(C2954, ""🏘️ \w+ (\w+) .* ✅"")"),"appartement")</f>
        <v>appartement</v>
      </c>
      <c r="H2954" s="4" t="str">
        <f>IFERROR(__xludf.DUMMYFUNCTION("REGEXEXTRACT(A2954, ""/(\w+)-.*?"")"),"lieu")</f>
        <v>lieu</v>
      </c>
      <c r="I2954" s="4" t="str">
        <f>IFERROR(__xludf.DUMMYFUNCTION("if(D2954=""variant"",  substitute(filter(Templates!E:E, Templates!A:A = F2954, Templates!B:B = G2954, Templates!C:C = H2954), ""{{}}"", E2954), B2954)"),"🏘  Vous cherchez un appartement à louer à Täuffelen? ✅ Les annonces les plus actuelles sont sur ImmoScout24.ch.")</f>
        <v>🏘  Vous cherchez un appartement à louer à Täuffelen? ✅ Les annonces les plus actuelles sont sur ImmoScout24.ch.</v>
      </c>
      <c r="J2954" s="4" t="s">
        <v>8856</v>
      </c>
    </row>
    <row r="2955">
      <c r="A2955" s="5" t="s">
        <v>8857</v>
      </c>
      <c r="B2955" s="2" t="s">
        <v>8858</v>
      </c>
      <c r="C2955" s="4" t="str">
        <f>IFERROR(__xludf.DUMMYFUNCTION("""🏘️ ""&amp;REGEXEXTRACT(B2955, ""^(.*): "")&amp;"" ✅ "" &amp;REGEXEXTRACT(B2955, ""(Trouvez.*)"")"),"🏘️ Vendre appartement Berlens ✅ Trouvez le bien immobilier qui correspond idéalement à vos désirs sur ImmoScout24 - La plateforme de l'immobilier en Suisse.")</f>
        <v>🏘️ Vendre appartement Berlens ✅ Trouvez le bien immobilier qui correspond idéalement à vos désirs sur ImmoScout24 - La plateforme de l'immobilier en Suisse.</v>
      </c>
      <c r="D2955" s="4" t="str">
        <f>vlookup(A2955, Sheet2!D:E, 2, 0)</f>
        <v>variant</v>
      </c>
      <c r="E2955" s="4" t="str">
        <f>IFERROR(__xludf.DUMMYFUNCTION("if(H2955=""pays"",vlookup(REGEXEXTRACT(C2955, ""🏘️ \w+ \w+ (.*) ✅""),'Country prepositions'!A:B, 2, 0) &amp; "" "" &amp; REGEXEXTRACT(C2955, ""🏘️ \w+ \w+ (.*) ✅"") ,  if(H2955=""quartier"",vlookup(REGEXEXTRACT(C2955, ""🏘️ \w+ \w+ (.*) ✅""),'Quartier prepositio"&amp;"ns'!A:E, 5, 0) ,  if(H2955=""region"",vlookup(REGEXEXTRACT(C2955, ""🏘️ \w+ \w+ (.*) ✅""),'Region prepositions'!B:F, 5, 0),  REGEXEXTRACT(C2955, ""🏘️ \w+ \w+ (.*) ✅""))))"),"Berlens")</f>
        <v>Berlens</v>
      </c>
      <c r="F2955" s="2" t="str">
        <f>IFERROR(__xludf.DUMMYFUNCTION("REGEXEXTRACT(C2955, ""🏘️ (\w+) \w+ .* ✅"")"),"Vendre")</f>
        <v>Vendre</v>
      </c>
      <c r="G2955" s="2" t="str">
        <f>IFERROR(__xludf.DUMMYFUNCTION("REGEXEXTRACT(C2955, ""🏘️ \w+ (\w+) .* ✅"")"),"appartement")</f>
        <v>appartement</v>
      </c>
      <c r="H2955" s="4" t="str">
        <f>IFERROR(__xludf.DUMMYFUNCTION("REGEXEXTRACT(A2955, ""/(\w+)-.*?"")"),"lieu")</f>
        <v>lieu</v>
      </c>
      <c r="I2955" s="4" t="str">
        <f>IFERROR(__xludf.DUMMYFUNCTION("if(D2955=""variant"",  substitute(filter(Templates!E:E, Templates!A:A = F2955, Templates!B:B = G2955, Templates!C:C = H2955), ""{{}}"", E2955), B2955)"),"🏘  L’appartement de vos rêves se trouve sur ImmoScout24.ch ✅ Découvrez les dernières annonces de vente à Berlens.")</f>
        <v>🏘  L’appartement de vos rêves se trouve sur ImmoScout24.ch ✅ Découvrez les dernières annonces de vente à Berlens.</v>
      </c>
      <c r="J2955" s="4" t="s">
        <v>8859</v>
      </c>
    </row>
    <row r="2956">
      <c r="A2956" s="5" t="s">
        <v>8860</v>
      </c>
      <c r="B2956" s="2" t="s">
        <v>8861</v>
      </c>
      <c r="C2956" s="4" t="str">
        <f>IFERROR(__xludf.DUMMYFUNCTION("""🏘️ ""&amp;REGEXEXTRACT(B2956, ""^(.*): "")&amp;"" ✅ "" &amp;REGEXEXTRACT(B2956, ""(Trouvez.*)"")"),"🏘️ Louer appartement Arlesheim ✅ Trouvez le bien immobilier qui correspond idéalement à vos désirs sur ImmoScout24 - La plateforme de l'immobilier en Suisse.")</f>
        <v>🏘️ Louer appartement Arlesheim ✅ Trouvez le bien immobilier qui correspond idéalement à vos désirs sur ImmoScout24 - La plateforme de l'immobilier en Suisse.</v>
      </c>
      <c r="D2956" s="4" t="str">
        <f>vlookup(A2956, Sheet2!D:E, 2, 0)</f>
        <v>variant</v>
      </c>
      <c r="E2956" s="4" t="str">
        <f>IFERROR(__xludf.DUMMYFUNCTION("if(H2956=""pays"",vlookup(REGEXEXTRACT(C2956, ""🏘️ \w+ \w+ (.*) ✅""),'Country prepositions'!A:B, 2, 0) &amp; "" "" &amp; REGEXEXTRACT(C2956, ""🏘️ \w+ \w+ (.*) ✅"") ,  if(H2956=""quartier"",vlookup(REGEXEXTRACT(C2956, ""🏘️ \w+ \w+ (.*) ✅""),'Quartier prepositio"&amp;"ns'!A:E, 5, 0) ,  if(H2956=""region"",vlookup(REGEXEXTRACT(C2956, ""🏘️ \w+ \w+ (.*) ✅""),'Region prepositions'!B:F, 5, 0),  REGEXEXTRACT(C2956, ""🏘️ \w+ \w+ (.*) ✅""))))"),"Arlesheim")</f>
        <v>Arlesheim</v>
      </c>
      <c r="F2956" s="2" t="str">
        <f>IFERROR(__xludf.DUMMYFUNCTION("REGEXEXTRACT(C2956, ""🏘️ (\w+) \w+ .* ✅"")"),"Louer")</f>
        <v>Louer</v>
      </c>
      <c r="G2956" s="2" t="str">
        <f>IFERROR(__xludf.DUMMYFUNCTION("REGEXEXTRACT(C2956, ""🏘️ \w+ (\w+) .* ✅"")"),"appartement")</f>
        <v>appartement</v>
      </c>
      <c r="H2956" s="4" t="str">
        <f>IFERROR(__xludf.DUMMYFUNCTION("REGEXEXTRACT(A2956, ""/(\w+)-.*?"")"),"lieu")</f>
        <v>lieu</v>
      </c>
      <c r="I2956" s="4" t="str">
        <f>IFERROR(__xludf.DUMMYFUNCTION("if(D2956=""variant"",  substitute(filter(Templates!E:E, Templates!A:A = F2956, Templates!B:B = G2956, Templates!C:C = H2956), ""{{}}"", E2956), B2956)"),"🏘  Vous cherchez un appartement à louer à Arlesheim? ✅ Les annonces les plus actuelles sont sur ImmoScout24.ch.")</f>
        <v>🏘  Vous cherchez un appartement à louer à Arlesheim? ✅ Les annonces les plus actuelles sont sur ImmoScout24.ch.</v>
      </c>
      <c r="J2956" s="4" t="s">
        <v>8862</v>
      </c>
    </row>
    <row r="2957">
      <c r="A2957" s="5" t="s">
        <v>8863</v>
      </c>
      <c r="B2957" s="2" t="s">
        <v>8864</v>
      </c>
      <c r="C2957" s="4" t="str">
        <f>IFERROR(__xludf.DUMMYFUNCTION("""🏘️ ""&amp;REGEXEXTRACT(B2957, ""^(.*): "")&amp;"" ✅ "" &amp;REGEXEXTRACT(B2957, ""(Trouvez.*)"")"),"🏘️ Louer appartement Nouvelle ville nord (Biel/Bienne) ✅ Trouvez le bien immobilier qui correspond idéalement à vos désirs sur ImmoScout24 - La plateforme de l'immobilier en Suisse.")</f>
        <v>🏘️ Louer appartement Nouvelle ville nord (Biel/Bienne) ✅ Trouvez le bien immobilier qui correspond idéalement à vos désirs sur ImmoScout24 - La plateforme de l'immobilier en Suisse.</v>
      </c>
      <c r="D2957" s="4" t="str">
        <f>vlookup(A2957, Sheet2!D:E, 2, 0)</f>
        <v>variant</v>
      </c>
      <c r="E2957" s="4" t="str">
        <f>IFERROR(__xludf.DUMMYFUNCTION("if(H2957=""pays"",vlookup(REGEXEXTRACT(C2957, ""🏘️ \w+ \w+ (.*) ✅""),'Country prepositions'!A:B, 2, 0) &amp; "" "" &amp; REGEXEXTRACT(C2957, ""🏘️ \w+ \w+ (.*) ✅"") ,  if(H2957=""quartier"",vlookup(REGEXEXTRACT(C2957, ""🏘️ \w+ \w+ (.*) ✅""),'Quartier prepositio"&amp;"ns'!A:E, 5, 0) ,  if(H2957=""region"",vlookup(REGEXEXTRACT(C2957, ""🏘️ \w+ \w+ (.*) ✅""),'Region prepositions'!B:F, 5, 0),  REGEXEXTRACT(C2957, ""🏘️ \w+ \w+ (.*) ✅""))))"),"dans le quartier de la Nouvelle ville nord (Biel/Bienne)")</f>
        <v>dans le quartier de la Nouvelle ville nord (Biel/Bienne)</v>
      </c>
      <c r="F2957" s="2" t="str">
        <f>IFERROR(__xludf.DUMMYFUNCTION("REGEXEXTRACT(C2957, ""🏘️ (\w+) \w+ .* ✅"")"),"Louer")</f>
        <v>Louer</v>
      </c>
      <c r="G2957" s="2" t="str">
        <f>IFERROR(__xludf.DUMMYFUNCTION("REGEXEXTRACT(C2957, ""🏘️ \w+ (\w+) .* ✅"")"),"appartement")</f>
        <v>appartement</v>
      </c>
      <c r="H2957" s="4" t="str">
        <f>IFERROR(__xludf.DUMMYFUNCTION("REGEXEXTRACT(A2957, ""/(\w+)-.*?"")"),"quartier")</f>
        <v>quartier</v>
      </c>
      <c r="I2957" s="4" t="str">
        <f>IFERROR(__xludf.DUMMYFUNCTION("if(D2957=""variant"",  substitute(filter(Templates!E:E, Templates!A:A = F2957, Templates!B:B = G2957, Templates!C:C = H2957), ""{{}}"", E2957), B2957)"),"🏘  Vous cherchez un appartement à louer dans le quartier de la Nouvelle ville nord (Biel/Bienne)? ✅ Les annonces les plus actuelles sont sur ImmoScout24.ch.")</f>
        <v>🏘  Vous cherchez un appartement à louer dans le quartier de la Nouvelle ville nord (Biel/Bienne)? ✅ Les annonces les plus actuelles sont sur ImmoScout24.ch.</v>
      </c>
      <c r="J2957" s="4" t="s">
        <v>8865</v>
      </c>
    </row>
    <row r="2958">
      <c r="A2958" s="5" t="s">
        <v>8866</v>
      </c>
      <c r="B2958" s="2" t="s">
        <v>8867</v>
      </c>
      <c r="C2958" s="4" t="str">
        <f>IFERROR(__xludf.DUMMYFUNCTION("""🏘️ ""&amp;REGEXEXTRACT(B2958, ""^(.*): "")&amp;"" ✅ "" &amp;REGEXEXTRACT(B2958, ""(Trouvez.*)"")"),"🏘️ Vendre maison Vergeletto ✅ Trouvez le bien immobilier qui correspond idéalement à vos désirs sur ImmoScout24 - La plateforme de l'immobilier en Suisse.")</f>
        <v>🏘️ Vendre maison Vergeletto ✅ Trouvez le bien immobilier qui correspond idéalement à vos désirs sur ImmoScout24 - La plateforme de l'immobilier en Suisse.</v>
      </c>
      <c r="D2958" s="4" t="str">
        <f>vlookup(A2958, Sheet2!D:E, 2, 0)</f>
        <v>variant</v>
      </c>
      <c r="E2958" s="4" t="str">
        <f>IFERROR(__xludf.DUMMYFUNCTION("if(H2958=""pays"",vlookup(REGEXEXTRACT(C2958, ""🏘️ \w+ \w+ (.*) ✅""),'Country prepositions'!A:B, 2, 0) &amp; "" "" &amp; REGEXEXTRACT(C2958, ""🏘️ \w+ \w+ (.*) ✅"") ,  if(H2958=""quartier"",vlookup(REGEXEXTRACT(C2958, ""🏘️ \w+ \w+ (.*) ✅""),'Quartier prepositio"&amp;"ns'!A:E, 5, 0) ,  if(H2958=""region"",vlookup(REGEXEXTRACT(C2958, ""🏘️ \w+ \w+ (.*) ✅""),'Region prepositions'!B:F, 5, 0),  REGEXEXTRACT(C2958, ""🏘️ \w+ \w+ (.*) ✅""))))"),"Vergeletto")</f>
        <v>Vergeletto</v>
      </c>
      <c r="F2958" s="2" t="str">
        <f>IFERROR(__xludf.DUMMYFUNCTION("REGEXEXTRACT(C2958, ""🏘️ (\w+) \w+ .* ✅"")"),"Vendre")</f>
        <v>Vendre</v>
      </c>
      <c r="G2958" s="2" t="str">
        <f>IFERROR(__xludf.DUMMYFUNCTION("REGEXEXTRACT(C2958, ""🏘️ \w+ (\w+) .* ✅"")"),"maison")</f>
        <v>maison</v>
      </c>
      <c r="H2958" s="4" t="str">
        <f>IFERROR(__xludf.DUMMYFUNCTION("REGEXEXTRACT(A2958, ""/(\w+)-.*?"")"),"lieu")</f>
        <v>lieu</v>
      </c>
      <c r="I2958" s="4" t="str">
        <f>IFERROR(__xludf.DUMMYFUNCTION("if(D2958=""variant"",  substitute(filter(Templates!E:E, Templates!A:A = F2958, Templates!B:B = G2958, Templates!C:C = H2958), ""{{}}"", E2958), B2958)"),"🏘  Vous souhaitez acheter une maison à Vergeletto? ✅ Jetez un œil aux dernières offres sur ImmoScout24.ch.")</f>
        <v>🏘  Vous souhaitez acheter une maison à Vergeletto? ✅ Jetez un œil aux dernières offres sur ImmoScout24.ch.</v>
      </c>
      <c r="J2958" s="4" t="s">
        <v>8868</v>
      </c>
    </row>
    <row r="2959">
      <c r="A2959" s="5" t="s">
        <v>8869</v>
      </c>
      <c r="B2959" s="2" t="s">
        <v>8870</v>
      </c>
      <c r="C2959" s="4" t="str">
        <f>IFERROR(__xludf.DUMMYFUNCTION("""🏘️ ""&amp;REGEXEXTRACT(B2959, ""^(.*): "")&amp;"" ✅ "" &amp;REGEXEXTRACT(B2959, ""(Trouvez.*)"")"),"🏘️ Louer appartement Corserey ✅ Trouvez le bien immobilier qui correspond idéalement à vos désirs sur ImmoScout24 - La plateforme de l'immobilier en Suisse.")</f>
        <v>🏘️ Louer appartement Corserey ✅ Trouvez le bien immobilier qui correspond idéalement à vos désirs sur ImmoScout24 - La plateforme de l'immobilier en Suisse.</v>
      </c>
      <c r="D2959" s="4" t="str">
        <f>vlookup(A2959, Sheet2!D:E, 2, 0)</f>
        <v>variant</v>
      </c>
      <c r="E2959" s="4" t="str">
        <f>IFERROR(__xludf.DUMMYFUNCTION("if(H2959=""pays"",vlookup(REGEXEXTRACT(C2959, ""🏘️ \w+ \w+ (.*) ✅""),'Country prepositions'!A:B, 2, 0) &amp; "" "" &amp; REGEXEXTRACT(C2959, ""🏘️ \w+ \w+ (.*) ✅"") ,  if(H2959=""quartier"",vlookup(REGEXEXTRACT(C2959, ""🏘️ \w+ \w+ (.*) ✅""),'Quartier prepositio"&amp;"ns'!A:E, 5, 0) ,  if(H2959=""region"",vlookup(REGEXEXTRACT(C2959, ""🏘️ \w+ \w+ (.*) ✅""),'Region prepositions'!B:F, 5, 0),  REGEXEXTRACT(C2959, ""🏘️ \w+ \w+ (.*) ✅""))))"),"Corserey")</f>
        <v>Corserey</v>
      </c>
      <c r="F2959" s="2" t="str">
        <f>IFERROR(__xludf.DUMMYFUNCTION("REGEXEXTRACT(C2959, ""🏘️ (\w+) \w+ .* ✅"")"),"Louer")</f>
        <v>Louer</v>
      </c>
      <c r="G2959" s="2" t="str">
        <f>IFERROR(__xludf.DUMMYFUNCTION("REGEXEXTRACT(C2959, ""🏘️ \w+ (\w+) .* ✅"")"),"appartement")</f>
        <v>appartement</v>
      </c>
      <c r="H2959" s="4" t="str">
        <f>IFERROR(__xludf.DUMMYFUNCTION("REGEXEXTRACT(A2959, ""/(\w+)-.*?"")"),"lieu")</f>
        <v>lieu</v>
      </c>
      <c r="I2959" s="4" t="str">
        <f>IFERROR(__xludf.DUMMYFUNCTION("if(D2959=""variant"",  substitute(filter(Templates!E:E, Templates!A:A = F2959, Templates!B:B = G2959, Templates!C:C = H2959), ""{{}}"", E2959), B2959)"),"🏘  Vous cherchez un appartement à louer à Corserey? ✅ Les annonces les plus actuelles sont sur ImmoScout24.ch.")</f>
        <v>🏘  Vous cherchez un appartement à louer à Corserey? ✅ Les annonces les plus actuelles sont sur ImmoScout24.ch.</v>
      </c>
      <c r="J2959" s="4" t="s">
        <v>8871</v>
      </c>
    </row>
    <row r="2960">
      <c r="A2960" s="5" t="s">
        <v>8872</v>
      </c>
      <c r="B2960" s="2" t="s">
        <v>8873</v>
      </c>
      <c r="C2960" s="4" t="str">
        <f>IFERROR(__xludf.DUMMYFUNCTION("""🏘️ ""&amp;REGEXEXTRACT(B2960, ""^(.*): "")&amp;"" ✅ "" &amp;REGEXEXTRACT(B2960, ""(Trouvez.*)"")"),"🏘️ Vendre appartement Luzern ✅ Trouvez le bien immobilier qui correspond idéalement à vos désirs sur ImmoScout24 - La plateforme de l'immobilier en Suisse.")</f>
        <v>🏘️ Vendre appartement Luzern ✅ Trouvez le bien immobilier qui correspond idéalement à vos désirs sur ImmoScout24 - La plateforme de l'immobilier en Suisse.</v>
      </c>
      <c r="D2960" s="4" t="str">
        <f>vlookup(A2960, Sheet2!D:E, 2, 0)</f>
        <v>variant</v>
      </c>
      <c r="E2960" s="4" t="str">
        <f>IFERROR(__xludf.DUMMYFUNCTION("if(H2960=""pays"",vlookup(REGEXEXTRACT(C2960, ""🏘️ \w+ \w+ (.*) ✅""),'Country prepositions'!A:B, 2, 0) &amp; "" "" &amp; REGEXEXTRACT(C2960, ""🏘️ \w+ \w+ (.*) ✅"") ,  if(H2960=""quartier"",vlookup(REGEXEXTRACT(C2960, ""🏘️ \w+ \w+ (.*) ✅""),'Quartier prepositio"&amp;"ns'!A:E, 5, 0) ,  if(H2960=""region"",vlookup(REGEXEXTRACT(C2960, ""🏘️ \w+ \w+ (.*) ✅""),'Region prepositions'!B:F, 5, 0),  REGEXEXTRACT(C2960, ""🏘️ \w+ \w+ (.*) ✅""))))"),"Luzern")</f>
        <v>Luzern</v>
      </c>
      <c r="F2960" s="2" t="str">
        <f>IFERROR(__xludf.DUMMYFUNCTION("REGEXEXTRACT(C2960, ""🏘️ (\w+) \w+ .* ✅"")"),"Vendre")</f>
        <v>Vendre</v>
      </c>
      <c r="G2960" s="2" t="str">
        <f>IFERROR(__xludf.DUMMYFUNCTION("REGEXEXTRACT(C2960, ""🏘️ \w+ (\w+) .* ✅"")"),"appartement")</f>
        <v>appartement</v>
      </c>
      <c r="H2960" s="4" t="str">
        <f>IFERROR(__xludf.DUMMYFUNCTION("REGEXEXTRACT(A2960, ""/(\w+)-.*?"")"),"lieu")</f>
        <v>lieu</v>
      </c>
      <c r="I2960" s="4" t="str">
        <f>IFERROR(__xludf.DUMMYFUNCTION("if(D2960=""variant"",  substitute(filter(Templates!E:E, Templates!A:A = F2960, Templates!B:B = G2960, Templates!C:C = H2960), ""{{}}"", E2960), B2960)"),"🏘  L’appartement de vos rêves se trouve sur ImmoScout24.ch ✅ Découvrez les dernières annonces de vente à Luzern.")</f>
        <v>🏘  L’appartement de vos rêves se trouve sur ImmoScout24.ch ✅ Découvrez les dernières annonces de vente à Luzern.</v>
      </c>
      <c r="J2960" s="4" t="s">
        <v>8874</v>
      </c>
    </row>
    <row r="2961">
      <c r="A2961" s="5" t="s">
        <v>8875</v>
      </c>
      <c r="B2961" s="2" t="s">
        <v>8876</v>
      </c>
      <c r="C2961" s="4" t="str">
        <f>IFERROR(__xludf.DUMMYFUNCTION("""🏘️ ""&amp;REGEXEXTRACT(B2961, ""^(.*): "")&amp;"" ✅ "" &amp;REGEXEXTRACT(B2961, ""(Trouvez.*)"")"),"🏘️ Louer maison St-Prex ✅ Trouvez le bien immobilier qui correspond idéalement à vos désirs sur ImmoScout24 - La plateforme de l'immobilier en Suisse.")</f>
        <v>🏘️ Louer maison St-Prex ✅ Trouvez le bien immobilier qui correspond idéalement à vos désirs sur ImmoScout24 - La plateforme de l'immobilier en Suisse.</v>
      </c>
      <c r="D2961" s="4" t="str">
        <f>vlookup(A2961, Sheet2!D:E, 2, 0)</f>
        <v>variant</v>
      </c>
      <c r="E2961" s="4" t="str">
        <f>IFERROR(__xludf.DUMMYFUNCTION("if(H2961=""pays"",vlookup(REGEXEXTRACT(C2961, ""🏘️ \w+ \w+ (.*) ✅""),'Country prepositions'!A:B, 2, 0) &amp; "" "" &amp; REGEXEXTRACT(C2961, ""🏘️ \w+ \w+ (.*) ✅"") ,  if(H2961=""quartier"",vlookup(REGEXEXTRACT(C2961, ""🏘️ \w+ \w+ (.*) ✅""),'Quartier prepositio"&amp;"ns'!A:E, 5, 0) ,  if(H2961=""region"",vlookup(REGEXEXTRACT(C2961, ""🏘️ \w+ \w+ (.*) ✅""),'Region prepositions'!B:F, 5, 0),  REGEXEXTRACT(C2961, ""🏘️ \w+ \w+ (.*) ✅""))))"),"St-Prex")</f>
        <v>St-Prex</v>
      </c>
      <c r="F2961" s="2" t="str">
        <f>IFERROR(__xludf.DUMMYFUNCTION("REGEXEXTRACT(C2961, ""🏘️ (\w+) \w+ .* ✅"")"),"Louer")</f>
        <v>Louer</v>
      </c>
      <c r="G2961" s="2" t="str">
        <f>IFERROR(__xludf.DUMMYFUNCTION("REGEXEXTRACT(C2961, ""🏘️ \w+ (\w+) .* ✅"")"),"maison")</f>
        <v>maison</v>
      </c>
      <c r="H2961" s="4" t="str">
        <f>IFERROR(__xludf.DUMMYFUNCTION("REGEXEXTRACT(A2961, ""/(\w+)-.*?"")"),"lieu")</f>
        <v>lieu</v>
      </c>
      <c r="I2961" s="4" t="str">
        <f>IFERROR(__xludf.DUMMYFUNCTION("if(D2961=""variant"",  substitute(filter(Templates!E:E, Templates!A:A = F2961, Templates!B:B = G2961, Templates!C:C = H2961), ""{{}}"", E2961), B2961)"),"🏘  Vous cherchez une maison à louer à St-Prex? ✅ Découvrez nos nombreuses annonces sur ImmoScout24.ch.")</f>
        <v>🏘  Vous cherchez une maison à louer à St-Prex? ✅ Découvrez nos nombreuses annonces sur ImmoScout24.ch.</v>
      </c>
      <c r="J2961" s="4" t="s">
        <v>8877</v>
      </c>
    </row>
    <row r="2962">
      <c r="A2962" s="5" t="s">
        <v>8878</v>
      </c>
      <c r="B2962" s="2" t="s">
        <v>8879</v>
      </c>
      <c r="C2962" s="4" t="str">
        <f>IFERROR(__xludf.DUMMYFUNCTION("""🏘️ ""&amp;REGEXEXTRACT(B2962, ""^(.*): "")&amp;"" ✅ "" &amp;REGEXEXTRACT(B2962, ""(Trouvez.*)"")"),"🏘️ Vendre maison Sarnen ✅ Trouvez le bien immobilier qui correspond idéalement à vos désirs sur ImmoScout24 - La plateforme de l'immobilier en Suisse.")</f>
        <v>🏘️ Vendre maison Sarnen ✅ Trouvez le bien immobilier qui correspond idéalement à vos désirs sur ImmoScout24 - La plateforme de l'immobilier en Suisse.</v>
      </c>
      <c r="D2962" s="4" t="str">
        <f>vlookup(A2962, Sheet2!D:E, 2, 0)</f>
        <v>variant</v>
      </c>
      <c r="E2962" s="4" t="str">
        <f>IFERROR(__xludf.DUMMYFUNCTION("if(H2962=""pays"",vlookup(REGEXEXTRACT(C2962, ""🏘️ \w+ \w+ (.*) ✅""),'Country prepositions'!A:B, 2, 0) &amp; "" "" &amp; REGEXEXTRACT(C2962, ""🏘️ \w+ \w+ (.*) ✅"") ,  if(H2962=""quartier"",vlookup(REGEXEXTRACT(C2962, ""🏘️ \w+ \w+ (.*) ✅""),'Quartier prepositio"&amp;"ns'!A:E, 5, 0) ,  if(H2962=""region"",vlookup(REGEXEXTRACT(C2962, ""🏘️ \w+ \w+ (.*) ✅""),'Region prepositions'!B:F, 5, 0),  REGEXEXTRACT(C2962, ""🏘️ \w+ \w+ (.*) ✅""))))"),"Sarnen")</f>
        <v>Sarnen</v>
      </c>
      <c r="F2962" s="2" t="str">
        <f>IFERROR(__xludf.DUMMYFUNCTION("REGEXEXTRACT(C2962, ""🏘️ (\w+) \w+ .* ✅"")"),"Vendre")</f>
        <v>Vendre</v>
      </c>
      <c r="G2962" s="2" t="str">
        <f>IFERROR(__xludf.DUMMYFUNCTION("REGEXEXTRACT(C2962, ""🏘️ \w+ (\w+) .* ✅"")"),"maison")</f>
        <v>maison</v>
      </c>
      <c r="H2962" s="4" t="str">
        <f>IFERROR(__xludf.DUMMYFUNCTION("REGEXEXTRACT(A2962, ""/(\w+)-.*?"")"),"lieu")</f>
        <v>lieu</v>
      </c>
      <c r="I2962" s="4" t="str">
        <f>IFERROR(__xludf.DUMMYFUNCTION("if(D2962=""variant"",  substitute(filter(Templates!E:E, Templates!A:A = F2962, Templates!B:B = G2962, Templates!C:C = H2962), ""{{}}"", E2962), B2962)"),"🏘  Vous souhaitez acheter une maison à Sarnen? ✅ Jetez un œil aux dernières offres sur ImmoScout24.ch.")</f>
        <v>🏘  Vous souhaitez acheter une maison à Sarnen? ✅ Jetez un œil aux dernières offres sur ImmoScout24.ch.</v>
      </c>
      <c r="J2962" s="4" t="s">
        <v>8880</v>
      </c>
    </row>
    <row r="2963">
      <c r="A2963" s="5" t="s">
        <v>8881</v>
      </c>
      <c r="B2963" s="2" t="s">
        <v>8882</v>
      </c>
      <c r="C2963" s="4" t="str">
        <f>IFERROR(__xludf.DUMMYFUNCTION("""🏘️ ""&amp;REGEXEXTRACT(B2963, ""^(.*): "")&amp;"" ✅ "" &amp;REGEXEXTRACT(B2963, ""(Trouvez.*)"")"),"🏘️ Louer appartement Le Crêt-du-Locle ✅ Trouvez le bien immobilier qui correspond idéalement à vos désirs sur ImmoScout24 - La plateforme de l'immobilier en Suisse.")</f>
        <v>🏘️ Louer appartement Le Crêt-du-Locle ✅ Trouvez le bien immobilier qui correspond idéalement à vos désirs sur ImmoScout24 - La plateforme de l'immobilier en Suisse.</v>
      </c>
      <c r="D2963" s="4" t="str">
        <f>vlookup(A2963, Sheet2!D:E, 2, 0)</f>
        <v>variant</v>
      </c>
      <c r="E2963" s="4" t="str">
        <f>IFERROR(__xludf.DUMMYFUNCTION("if(H2963=""pays"",vlookup(REGEXEXTRACT(C2963, ""🏘️ \w+ \w+ (.*) ✅""),'Country prepositions'!A:B, 2, 0) &amp; "" "" &amp; REGEXEXTRACT(C2963, ""🏘️ \w+ \w+ (.*) ✅"") ,  if(H2963=""quartier"",vlookup(REGEXEXTRACT(C2963, ""🏘️ \w+ \w+ (.*) ✅""),'Quartier prepositio"&amp;"ns'!A:E, 5, 0) ,  if(H2963=""region"",vlookup(REGEXEXTRACT(C2963, ""🏘️ \w+ \w+ (.*) ✅""),'Region prepositions'!B:F, 5, 0),  REGEXEXTRACT(C2963, ""🏘️ \w+ \w+ (.*) ✅""))))"),"Le Crêt-du-Locle")</f>
        <v>Le Crêt-du-Locle</v>
      </c>
      <c r="F2963" s="2" t="str">
        <f>IFERROR(__xludf.DUMMYFUNCTION("REGEXEXTRACT(C2963, ""🏘️ (\w+) \w+ .* ✅"")"),"Louer")</f>
        <v>Louer</v>
      </c>
      <c r="G2963" s="2" t="str">
        <f>IFERROR(__xludf.DUMMYFUNCTION("REGEXEXTRACT(C2963, ""🏘️ \w+ (\w+) .* ✅"")"),"appartement")</f>
        <v>appartement</v>
      </c>
      <c r="H2963" s="4" t="str">
        <f>IFERROR(__xludf.DUMMYFUNCTION("REGEXEXTRACT(A2963, ""/(\w+)-.*?"")"),"lieu")</f>
        <v>lieu</v>
      </c>
      <c r="I2963" s="4" t="str">
        <f>IFERROR(__xludf.DUMMYFUNCTION("if(D2963=""variant"",  substitute(filter(Templates!E:E, Templates!A:A = F2963, Templates!B:B = G2963, Templates!C:C = H2963), ""{{}}"", E2963), B2963)"),"🏘  Vous cherchez un appartement à louer à Le Crêt-du-Locle? ✅ Les annonces les plus actuelles sont sur ImmoScout24.ch.")</f>
        <v>🏘  Vous cherchez un appartement à louer à Le Crêt-du-Locle? ✅ Les annonces les plus actuelles sont sur ImmoScout24.ch.</v>
      </c>
      <c r="J2963" s="2" t="s">
        <v>8883</v>
      </c>
    </row>
    <row r="2964">
      <c r="A2964" s="5" t="s">
        <v>8884</v>
      </c>
      <c r="B2964" s="2" t="s">
        <v>8885</v>
      </c>
      <c r="C2964" s="4" t="str">
        <f>IFERROR(__xludf.DUMMYFUNCTION("""🏘️ ""&amp;REGEXEXTRACT(B2964, ""^(.*): "")&amp;"" ✅ "" &amp;REGEXEXTRACT(B2964, ""(Trouvez.*)"")"),"🏘️ Louer appartement Cressier FR ✅ Trouvez le bien immobilier qui correspond idéalement à vos désirs sur ImmoScout24 - La plateforme de l'immobilier en Suisse.")</f>
        <v>🏘️ Louer appartement Cressier FR ✅ Trouvez le bien immobilier qui correspond idéalement à vos désirs sur ImmoScout24 - La plateforme de l'immobilier en Suisse.</v>
      </c>
      <c r="D2964" s="4" t="str">
        <f>vlookup(A2964, Sheet2!D:E, 2, 0)</f>
        <v>variant</v>
      </c>
      <c r="E2964" s="4" t="str">
        <f>IFERROR(__xludf.DUMMYFUNCTION("if(H2964=""pays"",vlookup(REGEXEXTRACT(C2964, ""🏘️ \w+ \w+ (.*) ✅""),'Country prepositions'!A:B, 2, 0) &amp; "" "" &amp; REGEXEXTRACT(C2964, ""🏘️ \w+ \w+ (.*) ✅"") ,  if(H2964=""quartier"",vlookup(REGEXEXTRACT(C2964, ""🏘️ \w+ \w+ (.*) ✅""),'Quartier prepositio"&amp;"ns'!A:E, 5, 0) ,  if(H2964=""region"",vlookup(REGEXEXTRACT(C2964, ""🏘️ \w+ \w+ (.*) ✅""),'Region prepositions'!B:F, 5, 0),  REGEXEXTRACT(C2964, ""🏘️ \w+ \w+ (.*) ✅""))))"),"Cressier FR")</f>
        <v>Cressier FR</v>
      </c>
      <c r="F2964" s="2" t="str">
        <f>IFERROR(__xludf.DUMMYFUNCTION("REGEXEXTRACT(C2964, ""🏘️ (\w+) \w+ .* ✅"")"),"Louer")</f>
        <v>Louer</v>
      </c>
      <c r="G2964" s="2" t="str">
        <f>IFERROR(__xludf.DUMMYFUNCTION("REGEXEXTRACT(C2964, ""🏘️ \w+ (\w+) .* ✅"")"),"appartement")</f>
        <v>appartement</v>
      </c>
      <c r="H2964" s="4" t="str">
        <f>IFERROR(__xludf.DUMMYFUNCTION("REGEXEXTRACT(A2964, ""/(\w+)-.*?"")"),"lieu")</f>
        <v>lieu</v>
      </c>
      <c r="I2964" s="4" t="str">
        <f>IFERROR(__xludf.DUMMYFUNCTION("if(D2964=""variant"",  substitute(filter(Templates!E:E, Templates!A:A = F2964, Templates!B:B = G2964, Templates!C:C = H2964), ""{{}}"", E2964), B2964)"),"🏘  Vous cherchez un appartement à louer à Cressier FR? ✅ Les annonces les plus actuelles sont sur ImmoScout24.ch.")</f>
        <v>🏘  Vous cherchez un appartement à louer à Cressier FR? ✅ Les annonces les plus actuelles sont sur ImmoScout24.ch.</v>
      </c>
      <c r="J2964" s="4" t="s">
        <v>8886</v>
      </c>
    </row>
    <row r="2965">
      <c r="A2965" s="5" t="s">
        <v>8887</v>
      </c>
      <c r="B2965" s="2" t="s">
        <v>8888</v>
      </c>
      <c r="C2965" s="4" t="str">
        <f>IFERROR(__xludf.DUMMYFUNCTION("""🏘️ ""&amp;REGEXEXTRACT(B2965, ""^(.*): "")&amp;"" ✅ "" &amp;REGEXEXTRACT(B2965, ""(Trouvez.*)"")"),"🏘️ Louer maison Bern ✅ Trouvez le bien immobilier qui correspond idéalement à vos désirs sur ImmoScout24 - La plateforme de l'immobilier en Suisse.")</f>
        <v>🏘️ Louer maison Bern ✅ Trouvez le bien immobilier qui correspond idéalement à vos désirs sur ImmoScout24 - La plateforme de l'immobilier en Suisse.</v>
      </c>
      <c r="D2965" s="4" t="str">
        <f>vlookup(A2965, Sheet2!D:E, 2, 0)</f>
        <v>variant</v>
      </c>
      <c r="E2965" s="4" t="str">
        <f>IFERROR(__xludf.DUMMYFUNCTION("if(H2965=""pays"",vlookup(REGEXEXTRACT(C2965, ""🏘️ \w+ \w+ (.*) ✅""),'Country prepositions'!A:B, 2, 0) &amp; "" "" &amp; REGEXEXTRACT(C2965, ""🏘️ \w+ \w+ (.*) ✅"") ,  if(H2965=""quartier"",vlookup(REGEXEXTRACT(C2965, ""🏘️ \w+ \w+ (.*) ✅""),'Quartier prepositio"&amp;"ns'!A:E, 5, 0) ,  if(H2965=""region"",vlookup(REGEXEXTRACT(C2965, ""🏘️ \w+ \w+ (.*) ✅""),'Region prepositions'!B:F, 5, 0),  REGEXEXTRACT(C2965, ""🏘️ \w+ \w+ (.*) ✅""))))"),"Bern")</f>
        <v>Bern</v>
      </c>
      <c r="F2965" s="2" t="str">
        <f>IFERROR(__xludf.DUMMYFUNCTION("REGEXEXTRACT(C2965, ""🏘️ (\w+) \w+ .* ✅"")"),"Louer")</f>
        <v>Louer</v>
      </c>
      <c r="G2965" s="2" t="str">
        <f>IFERROR(__xludf.DUMMYFUNCTION("REGEXEXTRACT(C2965, ""🏘️ \w+ (\w+) .* ✅"")"),"maison")</f>
        <v>maison</v>
      </c>
      <c r="H2965" s="4" t="str">
        <f>IFERROR(__xludf.DUMMYFUNCTION("REGEXEXTRACT(A2965, ""/(\w+)-.*?"")"),"lieu")</f>
        <v>lieu</v>
      </c>
      <c r="I2965" s="4" t="str">
        <f>IFERROR(__xludf.DUMMYFUNCTION("if(D2965=""variant"",  substitute(filter(Templates!E:E, Templates!A:A = F2965, Templates!B:B = G2965, Templates!C:C = H2965), ""{{}}"", E2965), B2965)"),"🏘  Vous cherchez une maison à louer à Bern? ✅ Découvrez nos nombreuses annonces sur ImmoScout24.ch.")</f>
        <v>🏘  Vous cherchez une maison à louer à Bern? ✅ Découvrez nos nombreuses annonces sur ImmoScout24.ch.</v>
      </c>
      <c r="J2965" s="4" t="s">
        <v>8889</v>
      </c>
    </row>
    <row r="2966">
      <c r="A2966" s="5" t="s">
        <v>8890</v>
      </c>
      <c r="B2966" s="2" t="s">
        <v>8891</v>
      </c>
      <c r="C2966" s="4" t="str">
        <f>IFERROR(__xludf.DUMMYFUNCTION("""🏘️ ""&amp;REGEXEXTRACT(B2966, ""^(.*): "")&amp;"" ✅ "" &amp;REGEXEXTRACT(B2966, ""(Trouvez.*)"")"),"🏘️ Vendre maison Combremont-le-Grand ✅ Trouvez le bien immobilier qui correspond idéalement à vos désirs sur ImmoScout24 - La plateforme de l'immobilier en Suisse.")</f>
        <v>🏘️ Vendre maison Combremont-le-Grand ✅ Trouvez le bien immobilier qui correspond idéalement à vos désirs sur ImmoScout24 - La plateforme de l'immobilier en Suisse.</v>
      </c>
      <c r="D2966" s="4" t="str">
        <f>vlookup(A2966, Sheet2!D:E, 2, 0)</f>
        <v>variant</v>
      </c>
      <c r="E2966" s="4" t="str">
        <f>IFERROR(__xludf.DUMMYFUNCTION("if(H2966=""pays"",vlookup(REGEXEXTRACT(C2966, ""🏘️ \w+ \w+ (.*) ✅""),'Country prepositions'!A:B, 2, 0) &amp; "" "" &amp; REGEXEXTRACT(C2966, ""🏘️ \w+ \w+ (.*) ✅"") ,  if(H2966=""quartier"",vlookup(REGEXEXTRACT(C2966, ""🏘️ \w+ \w+ (.*) ✅""),'Quartier prepositio"&amp;"ns'!A:E, 5, 0) ,  if(H2966=""region"",vlookup(REGEXEXTRACT(C2966, ""🏘️ \w+ \w+ (.*) ✅""),'Region prepositions'!B:F, 5, 0),  REGEXEXTRACT(C2966, ""🏘️ \w+ \w+ (.*) ✅""))))"),"Combremont-le-Grand")</f>
        <v>Combremont-le-Grand</v>
      </c>
      <c r="F2966" s="2" t="str">
        <f>IFERROR(__xludf.DUMMYFUNCTION("REGEXEXTRACT(C2966, ""🏘️ (\w+) \w+ .* ✅"")"),"Vendre")</f>
        <v>Vendre</v>
      </c>
      <c r="G2966" s="2" t="str">
        <f>IFERROR(__xludf.DUMMYFUNCTION("REGEXEXTRACT(C2966, ""🏘️ \w+ (\w+) .* ✅"")"),"maison")</f>
        <v>maison</v>
      </c>
      <c r="H2966" s="4" t="str">
        <f>IFERROR(__xludf.DUMMYFUNCTION("REGEXEXTRACT(A2966, ""/(\w+)-.*?"")"),"lieu")</f>
        <v>lieu</v>
      </c>
      <c r="I2966" s="4" t="str">
        <f>IFERROR(__xludf.DUMMYFUNCTION("if(D2966=""variant"",  substitute(filter(Templates!E:E, Templates!A:A = F2966, Templates!B:B = G2966, Templates!C:C = H2966), ""{{}}"", E2966), B2966)"),"🏘  Vous souhaitez acheter une maison à Combremont-le-Grand? ✅ Jetez un œil aux dernières offres sur ImmoScout24.ch.")</f>
        <v>🏘  Vous souhaitez acheter une maison à Combremont-le-Grand? ✅ Jetez un œil aux dernières offres sur ImmoScout24.ch.</v>
      </c>
      <c r="J2966" s="4" t="s">
        <v>8892</v>
      </c>
    </row>
    <row r="2967">
      <c r="A2967" s="5" t="s">
        <v>8893</v>
      </c>
      <c r="B2967" s="2" t="s">
        <v>8894</v>
      </c>
      <c r="C2967" s="4" t="str">
        <f>IFERROR(__xludf.DUMMYFUNCTION("""🏘️ ""&amp;REGEXEXTRACT(B2967, ""^(.*): "")&amp;"" ✅ "" &amp;REGEXEXTRACT(B2967, ""(Trouvez.*)"")"),"🏘️ Vendre appartement Choëx ✅ Trouvez le bien immobilier qui correspond idéalement à vos désirs sur ImmoScout24 - La plateforme de l'immobilier en Suisse.")</f>
        <v>🏘️ Vendre appartement Choëx ✅ Trouvez le bien immobilier qui correspond idéalement à vos désirs sur ImmoScout24 - La plateforme de l'immobilier en Suisse.</v>
      </c>
      <c r="D2967" s="4" t="str">
        <f>vlookup(A2967, Sheet2!D:E, 2, 0)</f>
        <v>variant</v>
      </c>
      <c r="E2967" s="4" t="str">
        <f>IFERROR(__xludf.DUMMYFUNCTION("if(H2967=""pays"",vlookup(REGEXEXTRACT(C2967, ""🏘️ \w+ \w+ (.*) ✅""),'Country prepositions'!A:B, 2, 0) &amp; "" "" &amp; REGEXEXTRACT(C2967, ""🏘️ \w+ \w+ (.*) ✅"") ,  if(H2967=""quartier"",vlookup(REGEXEXTRACT(C2967, ""🏘️ \w+ \w+ (.*) ✅""),'Quartier prepositio"&amp;"ns'!A:E, 5, 0) ,  if(H2967=""region"",vlookup(REGEXEXTRACT(C2967, ""🏘️ \w+ \w+ (.*) ✅""),'Region prepositions'!B:F, 5, 0),  REGEXEXTRACT(C2967, ""🏘️ \w+ \w+ (.*) ✅""))))"),"Choëx")</f>
        <v>Choëx</v>
      </c>
      <c r="F2967" s="2" t="str">
        <f>IFERROR(__xludf.DUMMYFUNCTION("REGEXEXTRACT(C2967, ""🏘️ (\w+) \w+ .* ✅"")"),"Vendre")</f>
        <v>Vendre</v>
      </c>
      <c r="G2967" s="2" t="str">
        <f>IFERROR(__xludf.DUMMYFUNCTION("REGEXEXTRACT(C2967, ""🏘️ \w+ (\w+) .* ✅"")"),"appartement")</f>
        <v>appartement</v>
      </c>
      <c r="H2967" s="4" t="str">
        <f>IFERROR(__xludf.DUMMYFUNCTION("REGEXEXTRACT(A2967, ""/(\w+)-.*?"")"),"lieu")</f>
        <v>lieu</v>
      </c>
      <c r="I2967" s="4" t="str">
        <f>IFERROR(__xludf.DUMMYFUNCTION("if(D2967=""variant"",  substitute(filter(Templates!E:E, Templates!A:A = F2967, Templates!B:B = G2967, Templates!C:C = H2967), ""{{}}"", E2967), B2967)"),"🏘  L’appartement de vos rêves se trouve sur ImmoScout24.ch ✅ Découvrez les dernières annonces de vente à Choëx.")</f>
        <v>🏘  L’appartement de vos rêves se trouve sur ImmoScout24.ch ✅ Découvrez les dernières annonces de vente à Choëx.</v>
      </c>
      <c r="J2967" s="4" t="s">
        <v>8895</v>
      </c>
    </row>
    <row r="2968">
      <c r="A2968" s="5" t="s">
        <v>8896</v>
      </c>
      <c r="B2968" s="2" t="s">
        <v>8897</v>
      </c>
      <c r="C2968" s="4" t="str">
        <f>IFERROR(__xludf.DUMMYFUNCTION("""🏘️ ""&amp;REGEXEXTRACT(B2968, ""^(.*): "")&amp;"" ✅ "" &amp;REGEXEXTRACT(B2968, ""(Trouvez.*)"")"),"🏘️ Louer appartement Villard-sur-Chamby ✅ Trouvez le bien immobilier qui correspond idéalement à vos désirs sur ImmoScout24 - La plateforme de l'immobilier en Suisse.")</f>
        <v>🏘️ Louer appartement Villard-sur-Chamby ✅ Trouvez le bien immobilier qui correspond idéalement à vos désirs sur ImmoScout24 - La plateforme de l'immobilier en Suisse.</v>
      </c>
      <c r="D2968" s="4" t="str">
        <f>vlookup(A2968, Sheet2!D:E, 2, 0)</f>
        <v>variant</v>
      </c>
      <c r="E2968" s="4" t="str">
        <f>IFERROR(__xludf.DUMMYFUNCTION("if(H2968=""pays"",vlookup(REGEXEXTRACT(C2968, ""🏘️ \w+ \w+ (.*) ✅""),'Country prepositions'!A:B, 2, 0) &amp; "" "" &amp; REGEXEXTRACT(C2968, ""🏘️ \w+ \w+ (.*) ✅"") ,  if(H2968=""quartier"",vlookup(REGEXEXTRACT(C2968, ""🏘️ \w+ \w+ (.*) ✅""),'Quartier prepositio"&amp;"ns'!A:E, 5, 0) ,  if(H2968=""region"",vlookup(REGEXEXTRACT(C2968, ""🏘️ \w+ \w+ (.*) ✅""),'Region prepositions'!B:F, 5, 0),  REGEXEXTRACT(C2968, ""🏘️ \w+ \w+ (.*) ✅""))))"),"Villard-sur-Chamby")</f>
        <v>Villard-sur-Chamby</v>
      </c>
      <c r="F2968" s="2" t="str">
        <f>IFERROR(__xludf.DUMMYFUNCTION("REGEXEXTRACT(C2968, ""🏘️ (\w+) \w+ .* ✅"")"),"Louer")</f>
        <v>Louer</v>
      </c>
      <c r="G2968" s="2" t="str">
        <f>IFERROR(__xludf.DUMMYFUNCTION("REGEXEXTRACT(C2968, ""🏘️ \w+ (\w+) .* ✅"")"),"appartement")</f>
        <v>appartement</v>
      </c>
      <c r="H2968" s="4" t="str">
        <f>IFERROR(__xludf.DUMMYFUNCTION("REGEXEXTRACT(A2968, ""/(\w+)-.*?"")"),"lieu")</f>
        <v>lieu</v>
      </c>
      <c r="I2968" s="4" t="str">
        <f>IFERROR(__xludf.DUMMYFUNCTION("if(D2968=""variant"",  substitute(filter(Templates!E:E, Templates!A:A = F2968, Templates!B:B = G2968, Templates!C:C = H2968), ""{{}}"", E2968), B2968)"),"🏘  Vous cherchez un appartement à louer à Villard-sur-Chamby? ✅ Les annonces les plus actuelles sont sur ImmoScout24.ch.")</f>
        <v>🏘  Vous cherchez un appartement à louer à Villard-sur-Chamby? ✅ Les annonces les plus actuelles sont sur ImmoScout24.ch.</v>
      </c>
      <c r="J2968" s="4" t="s">
        <v>8898</v>
      </c>
    </row>
    <row r="2969">
      <c r="A2969" s="5" t="s">
        <v>8899</v>
      </c>
      <c r="B2969" s="2" t="s">
        <v>8900</v>
      </c>
      <c r="C2969" s="4" t="str">
        <f>IFERROR(__xludf.DUMMYFUNCTION("""🏘️ ""&amp;REGEXEXTRACT(B2969, ""^(.*): "")&amp;"" ✅ "" &amp;REGEXEXTRACT(B2969, ""(Trouvez.*)"")"),"🏘️ Louer appartement Montpreveyres ✅ Trouvez le bien immobilier qui correspond idéalement à vos désirs sur ImmoScout24 - La plateforme de l'immobilier en Suisse.")</f>
        <v>🏘️ Louer appartement Montpreveyres ✅ Trouvez le bien immobilier qui correspond idéalement à vos désirs sur ImmoScout24 - La plateforme de l'immobilier en Suisse.</v>
      </c>
      <c r="D2969" s="4" t="str">
        <f>vlookup(A2969, Sheet2!D:E, 2, 0)</f>
        <v>variant</v>
      </c>
      <c r="E2969" s="4" t="str">
        <f>IFERROR(__xludf.DUMMYFUNCTION("if(H2969=""pays"",vlookup(REGEXEXTRACT(C2969, ""🏘️ \w+ \w+ (.*) ✅""),'Country prepositions'!A:B, 2, 0) &amp; "" "" &amp; REGEXEXTRACT(C2969, ""🏘️ \w+ \w+ (.*) ✅"") ,  if(H2969=""quartier"",vlookup(REGEXEXTRACT(C2969, ""🏘️ \w+ \w+ (.*) ✅""),'Quartier prepositio"&amp;"ns'!A:E, 5, 0) ,  if(H2969=""region"",vlookup(REGEXEXTRACT(C2969, ""🏘️ \w+ \w+ (.*) ✅""),'Region prepositions'!B:F, 5, 0),  REGEXEXTRACT(C2969, ""🏘️ \w+ \w+ (.*) ✅""))))"),"Montpreveyres")</f>
        <v>Montpreveyres</v>
      </c>
      <c r="F2969" s="2" t="str">
        <f>IFERROR(__xludf.DUMMYFUNCTION("REGEXEXTRACT(C2969, ""🏘️ (\w+) \w+ .* ✅"")"),"Louer")</f>
        <v>Louer</v>
      </c>
      <c r="G2969" s="2" t="str">
        <f>IFERROR(__xludf.DUMMYFUNCTION("REGEXEXTRACT(C2969, ""🏘️ \w+ (\w+) .* ✅"")"),"appartement")</f>
        <v>appartement</v>
      </c>
      <c r="H2969" s="4" t="str">
        <f>IFERROR(__xludf.DUMMYFUNCTION("REGEXEXTRACT(A2969, ""/(\w+)-.*?"")"),"lieu")</f>
        <v>lieu</v>
      </c>
      <c r="I2969" s="4" t="str">
        <f>IFERROR(__xludf.DUMMYFUNCTION("if(D2969=""variant"",  substitute(filter(Templates!E:E, Templates!A:A = F2969, Templates!B:B = G2969, Templates!C:C = H2969), ""{{}}"", E2969), B2969)"),"🏘  Vous cherchez un appartement à louer à Montpreveyres? ✅ Les annonces les plus actuelles sont sur ImmoScout24.ch.")</f>
        <v>🏘  Vous cherchez un appartement à louer à Montpreveyres? ✅ Les annonces les plus actuelles sont sur ImmoScout24.ch.</v>
      </c>
      <c r="J2969" s="4" t="s">
        <v>8901</v>
      </c>
    </row>
    <row r="2970">
      <c r="A2970" s="5" t="s">
        <v>8902</v>
      </c>
      <c r="B2970" s="2" t="s">
        <v>8903</v>
      </c>
      <c r="C2970" s="4" t="str">
        <f>IFERROR(__xludf.DUMMYFUNCTION("""🏘️ ""&amp;REGEXEXTRACT(B2970, ""^(.*): "")&amp;"" ✅ "" &amp;REGEXEXTRACT(B2970, ""(Trouvez.*)"")"),"🏘️ Louer appartement Romont FR ✅ Trouvez le bien immobilier qui correspond idéalement à vos désirs sur ImmoScout24 - La plateforme de l'immobilier en Suisse.")</f>
        <v>🏘️ Louer appartement Romont FR ✅ Trouvez le bien immobilier qui correspond idéalement à vos désirs sur ImmoScout24 - La plateforme de l'immobilier en Suisse.</v>
      </c>
      <c r="D2970" s="4" t="str">
        <f>vlookup(A2970, Sheet2!D:E, 2, 0)</f>
        <v>variant</v>
      </c>
      <c r="E2970" s="4" t="str">
        <f>IFERROR(__xludf.DUMMYFUNCTION("if(H2970=""pays"",vlookup(REGEXEXTRACT(C2970, ""🏘️ \w+ \w+ (.*) ✅""),'Country prepositions'!A:B, 2, 0) &amp; "" "" &amp; REGEXEXTRACT(C2970, ""🏘️ \w+ \w+ (.*) ✅"") ,  if(H2970=""quartier"",vlookup(REGEXEXTRACT(C2970, ""🏘️ \w+ \w+ (.*) ✅""),'Quartier prepositio"&amp;"ns'!A:E, 5, 0) ,  if(H2970=""region"",vlookup(REGEXEXTRACT(C2970, ""🏘️ \w+ \w+ (.*) ✅""),'Region prepositions'!B:F, 5, 0),  REGEXEXTRACT(C2970, ""🏘️ \w+ \w+ (.*) ✅""))))"),"Romont FR")</f>
        <v>Romont FR</v>
      </c>
      <c r="F2970" s="2" t="str">
        <f>IFERROR(__xludf.DUMMYFUNCTION("REGEXEXTRACT(C2970, ""🏘️ (\w+) \w+ .* ✅"")"),"Louer")</f>
        <v>Louer</v>
      </c>
      <c r="G2970" s="2" t="str">
        <f>IFERROR(__xludf.DUMMYFUNCTION("REGEXEXTRACT(C2970, ""🏘️ \w+ (\w+) .* ✅"")"),"appartement")</f>
        <v>appartement</v>
      </c>
      <c r="H2970" s="4" t="str">
        <f>IFERROR(__xludf.DUMMYFUNCTION("REGEXEXTRACT(A2970, ""/(\w+)-.*?"")"),"lieu")</f>
        <v>lieu</v>
      </c>
      <c r="I2970" s="4" t="str">
        <f>IFERROR(__xludf.DUMMYFUNCTION("if(D2970=""variant"",  substitute(filter(Templates!E:E, Templates!A:A = F2970, Templates!B:B = G2970, Templates!C:C = H2970), ""{{}}"", E2970), B2970)"),"🏘  Vous cherchez un appartement à louer à Romont FR? ✅ Les annonces les plus actuelles sont sur ImmoScout24.ch.")</f>
        <v>🏘  Vous cherchez un appartement à louer à Romont FR? ✅ Les annonces les plus actuelles sont sur ImmoScout24.ch.</v>
      </c>
      <c r="J2970" s="4" t="s">
        <v>8904</v>
      </c>
    </row>
    <row r="2971">
      <c r="A2971" s="5" t="s">
        <v>8905</v>
      </c>
      <c r="B2971" s="2" t="s">
        <v>8906</v>
      </c>
      <c r="C2971" s="4" t="str">
        <f>IFERROR(__xludf.DUMMYFUNCTION("""🏘️ ""&amp;REGEXEXTRACT(B2971, ""^(.*): "")&amp;"" ✅ "" &amp;REGEXEXTRACT(B2971, ""(Trouvez.*)"")"),"🏘️ Louer appartement Bullet ✅ Trouvez le bien immobilier qui correspond idéalement à vos désirs sur ImmoScout24 - La plateforme de l'immobilier en Suisse.")</f>
        <v>🏘️ Louer appartement Bullet ✅ Trouvez le bien immobilier qui correspond idéalement à vos désirs sur ImmoScout24 - La plateforme de l'immobilier en Suisse.</v>
      </c>
      <c r="D2971" s="4" t="str">
        <f>vlookup(A2971, Sheet2!D:E, 2, 0)</f>
        <v>variant</v>
      </c>
      <c r="E2971" s="4" t="str">
        <f>IFERROR(__xludf.DUMMYFUNCTION("if(H2971=""pays"",vlookup(REGEXEXTRACT(C2971, ""🏘️ \w+ \w+ (.*) ✅""),'Country prepositions'!A:B, 2, 0) &amp; "" "" &amp; REGEXEXTRACT(C2971, ""🏘️ \w+ \w+ (.*) ✅"") ,  if(H2971=""quartier"",vlookup(REGEXEXTRACT(C2971, ""🏘️ \w+ \w+ (.*) ✅""),'Quartier prepositio"&amp;"ns'!A:E, 5, 0) ,  if(H2971=""region"",vlookup(REGEXEXTRACT(C2971, ""🏘️ \w+ \w+ (.*) ✅""),'Region prepositions'!B:F, 5, 0),  REGEXEXTRACT(C2971, ""🏘️ \w+ \w+ (.*) ✅""))))"),"Bullet")</f>
        <v>Bullet</v>
      </c>
      <c r="F2971" s="2" t="str">
        <f>IFERROR(__xludf.DUMMYFUNCTION("REGEXEXTRACT(C2971, ""🏘️ (\w+) \w+ .* ✅"")"),"Louer")</f>
        <v>Louer</v>
      </c>
      <c r="G2971" s="2" t="str">
        <f>IFERROR(__xludf.DUMMYFUNCTION("REGEXEXTRACT(C2971, ""🏘️ \w+ (\w+) .* ✅"")"),"appartement")</f>
        <v>appartement</v>
      </c>
      <c r="H2971" s="4" t="str">
        <f>IFERROR(__xludf.DUMMYFUNCTION("REGEXEXTRACT(A2971, ""/(\w+)-.*?"")"),"lieu")</f>
        <v>lieu</v>
      </c>
      <c r="I2971" s="4" t="str">
        <f>IFERROR(__xludf.DUMMYFUNCTION("if(D2971=""variant"",  substitute(filter(Templates!E:E, Templates!A:A = F2971, Templates!B:B = G2971, Templates!C:C = H2971), ""{{}}"", E2971), B2971)"),"🏘  Vous cherchez un appartement à louer à Bullet? ✅ Les annonces les plus actuelles sont sur ImmoScout24.ch.")</f>
        <v>🏘  Vous cherchez un appartement à louer à Bullet? ✅ Les annonces les plus actuelles sont sur ImmoScout24.ch.</v>
      </c>
      <c r="J2971" s="4" t="s">
        <v>8907</v>
      </c>
    </row>
    <row r="2972">
      <c r="A2972" s="5" t="s">
        <v>8908</v>
      </c>
      <c r="B2972" s="2" t="s">
        <v>8909</v>
      </c>
      <c r="C2972" s="4" t="str">
        <f>IFERROR(__xludf.DUMMYFUNCTION("""🏘️ ""&amp;REGEXEXTRACT(B2972, ""^(.*): "")&amp;"" ✅ "" &amp;REGEXEXTRACT(B2972, ""(Trouvez.*)"")"),"🏘️ Louer appartement Servion ✅ Trouvez le bien immobilier qui correspond idéalement à vos désirs sur ImmoScout24 - La plateforme de l'immobilier en Suisse.")</f>
        <v>🏘️ Louer appartement Servion ✅ Trouvez le bien immobilier qui correspond idéalement à vos désirs sur ImmoScout24 - La plateforme de l'immobilier en Suisse.</v>
      </c>
      <c r="D2972" s="4" t="str">
        <f>vlookup(A2972, Sheet2!D:E, 2, 0)</f>
        <v>variant</v>
      </c>
      <c r="E2972" s="4" t="str">
        <f>IFERROR(__xludf.DUMMYFUNCTION("if(H2972=""pays"",vlookup(REGEXEXTRACT(C2972, ""🏘️ \w+ \w+ (.*) ✅""),'Country prepositions'!A:B, 2, 0) &amp; "" "" &amp; REGEXEXTRACT(C2972, ""🏘️ \w+ \w+ (.*) ✅"") ,  if(H2972=""quartier"",vlookup(REGEXEXTRACT(C2972, ""🏘️ \w+ \w+ (.*) ✅""),'Quartier prepositio"&amp;"ns'!A:E, 5, 0) ,  if(H2972=""region"",vlookup(REGEXEXTRACT(C2972, ""🏘️ \w+ \w+ (.*) ✅""),'Region prepositions'!B:F, 5, 0),  REGEXEXTRACT(C2972, ""🏘️ \w+ \w+ (.*) ✅""))))"),"Servion")</f>
        <v>Servion</v>
      </c>
      <c r="F2972" s="2" t="str">
        <f>IFERROR(__xludf.DUMMYFUNCTION("REGEXEXTRACT(C2972, ""🏘️ (\w+) \w+ .* ✅"")"),"Louer")</f>
        <v>Louer</v>
      </c>
      <c r="G2972" s="2" t="str">
        <f>IFERROR(__xludf.DUMMYFUNCTION("REGEXEXTRACT(C2972, ""🏘️ \w+ (\w+) .* ✅"")"),"appartement")</f>
        <v>appartement</v>
      </c>
      <c r="H2972" s="4" t="str">
        <f>IFERROR(__xludf.DUMMYFUNCTION("REGEXEXTRACT(A2972, ""/(\w+)-.*?"")"),"lieu")</f>
        <v>lieu</v>
      </c>
      <c r="I2972" s="4" t="str">
        <f>IFERROR(__xludf.DUMMYFUNCTION("if(D2972=""variant"",  substitute(filter(Templates!E:E, Templates!A:A = F2972, Templates!B:B = G2972, Templates!C:C = H2972), ""{{}}"", E2972), B2972)"),"🏘  Vous cherchez un appartement à louer à Servion? ✅ Les annonces les plus actuelles sont sur ImmoScout24.ch.")</f>
        <v>🏘  Vous cherchez un appartement à louer à Servion? ✅ Les annonces les plus actuelles sont sur ImmoScout24.ch.</v>
      </c>
      <c r="J2972" s="4" t="s">
        <v>8910</v>
      </c>
    </row>
    <row r="2973">
      <c r="A2973" s="5" t="s">
        <v>8911</v>
      </c>
      <c r="B2973" s="2" t="s">
        <v>8912</v>
      </c>
      <c r="C2973" s="4" t="str">
        <f>IFERROR(__xludf.DUMMYFUNCTION("""🏘️ ""&amp;REGEXEXTRACT(B2973, ""^(.*): "")&amp;"" ✅ "" &amp;REGEXEXTRACT(B2973, ""(Trouvez.*)"")"),"🏘️ Louer appartement Frinvillier ✅ Trouvez le bien immobilier qui correspond idéalement à vos désirs sur ImmoScout24 - La plateforme de l'immobilier en Suisse.")</f>
        <v>🏘️ Louer appartement Frinvillier ✅ Trouvez le bien immobilier qui correspond idéalement à vos désirs sur ImmoScout24 - La plateforme de l'immobilier en Suisse.</v>
      </c>
      <c r="D2973" s="4" t="str">
        <f>vlookup(A2973, Sheet2!D:E, 2, 0)</f>
        <v>variant</v>
      </c>
      <c r="E2973" s="4" t="str">
        <f>IFERROR(__xludf.DUMMYFUNCTION("if(H2973=""pays"",vlookup(REGEXEXTRACT(C2973, ""🏘️ \w+ \w+ (.*) ✅""),'Country prepositions'!A:B, 2, 0) &amp; "" "" &amp; REGEXEXTRACT(C2973, ""🏘️ \w+ \w+ (.*) ✅"") ,  if(H2973=""quartier"",vlookup(REGEXEXTRACT(C2973, ""🏘️ \w+ \w+ (.*) ✅""),'Quartier prepositio"&amp;"ns'!A:E, 5, 0) ,  if(H2973=""region"",vlookup(REGEXEXTRACT(C2973, ""🏘️ \w+ \w+ (.*) ✅""),'Region prepositions'!B:F, 5, 0),  REGEXEXTRACT(C2973, ""🏘️ \w+ \w+ (.*) ✅""))))"),"Frinvillier")</f>
        <v>Frinvillier</v>
      </c>
      <c r="F2973" s="2" t="str">
        <f>IFERROR(__xludf.DUMMYFUNCTION("REGEXEXTRACT(C2973, ""🏘️ (\w+) \w+ .* ✅"")"),"Louer")</f>
        <v>Louer</v>
      </c>
      <c r="G2973" s="2" t="str">
        <f>IFERROR(__xludf.DUMMYFUNCTION("REGEXEXTRACT(C2973, ""🏘️ \w+ (\w+) .* ✅"")"),"appartement")</f>
        <v>appartement</v>
      </c>
      <c r="H2973" s="4" t="str">
        <f>IFERROR(__xludf.DUMMYFUNCTION("REGEXEXTRACT(A2973, ""/(\w+)-.*?"")"),"lieu")</f>
        <v>lieu</v>
      </c>
      <c r="I2973" s="4" t="str">
        <f>IFERROR(__xludf.DUMMYFUNCTION("if(D2973=""variant"",  substitute(filter(Templates!E:E, Templates!A:A = F2973, Templates!B:B = G2973, Templates!C:C = H2973), ""{{}}"", E2973), B2973)"),"🏘  Vous cherchez un appartement à louer à Frinvillier? ✅ Les annonces les plus actuelles sont sur ImmoScout24.ch.")</f>
        <v>🏘  Vous cherchez un appartement à louer à Frinvillier? ✅ Les annonces les plus actuelles sont sur ImmoScout24.ch.</v>
      </c>
      <c r="J2973" s="4" t="s">
        <v>8913</v>
      </c>
    </row>
    <row r="2974">
      <c r="A2974" s="5" t="s">
        <v>8914</v>
      </c>
      <c r="B2974" s="2" t="s">
        <v>8915</v>
      </c>
      <c r="C2974" s="4" t="str">
        <f>IFERROR(__xludf.DUMMYFUNCTION("""🏘️ ""&amp;REGEXEXTRACT(B2974, ""^(.*): "")&amp;"" ✅ "" &amp;REGEXEXTRACT(B2974, ""(Trouvez.*)"")"),"🏘️ Vendre maison Ogens ✅ Trouvez le bien immobilier qui correspond idéalement à vos désirs sur ImmoScout24 - La plateforme de l'immobilier en Suisse.")</f>
        <v>🏘️ Vendre maison Ogens ✅ Trouvez le bien immobilier qui correspond idéalement à vos désirs sur ImmoScout24 - La plateforme de l'immobilier en Suisse.</v>
      </c>
      <c r="D2974" s="4" t="str">
        <f>vlookup(A2974, Sheet2!D:E, 2, 0)</f>
        <v>variant</v>
      </c>
      <c r="E2974" s="4" t="str">
        <f>IFERROR(__xludf.DUMMYFUNCTION("if(H2974=""pays"",vlookup(REGEXEXTRACT(C2974, ""🏘️ \w+ \w+ (.*) ✅""),'Country prepositions'!A:B, 2, 0) &amp; "" "" &amp; REGEXEXTRACT(C2974, ""🏘️ \w+ \w+ (.*) ✅"") ,  if(H2974=""quartier"",vlookup(REGEXEXTRACT(C2974, ""🏘️ \w+ \w+ (.*) ✅""),'Quartier prepositio"&amp;"ns'!A:E, 5, 0) ,  if(H2974=""region"",vlookup(REGEXEXTRACT(C2974, ""🏘️ \w+ \w+ (.*) ✅""),'Region prepositions'!B:F, 5, 0),  REGEXEXTRACT(C2974, ""🏘️ \w+ \w+ (.*) ✅""))))"),"Ogens")</f>
        <v>Ogens</v>
      </c>
      <c r="F2974" s="2" t="str">
        <f>IFERROR(__xludf.DUMMYFUNCTION("REGEXEXTRACT(C2974, ""🏘️ (\w+) \w+ .* ✅"")"),"Vendre")</f>
        <v>Vendre</v>
      </c>
      <c r="G2974" s="2" t="str">
        <f>IFERROR(__xludf.DUMMYFUNCTION("REGEXEXTRACT(C2974, ""🏘️ \w+ (\w+) .* ✅"")"),"maison")</f>
        <v>maison</v>
      </c>
      <c r="H2974" s="4" t="str">
        <f>IFERROR(__xludf.DUMMYFUNCTION("REGEXEXTRACT(A2974, ""/(\w+)-.*?"")"),"lieu")</f>
        <v>lieu</v>
      </c>
      <c r="I2974" s="4" t="str">
        <f>IFERROR(__xludf.DUMMYFUNCTION("if(D2974=""variant"",  substitute(filter(Templates!E:E, Templates!A:A = F2974, Templates!B:B = G2974, Templates!C:C = H2974), ""{{}}"", E2974), B2974)"),"🏘  Vous souhaitez acheter une maison à Ogens? ✅ Jetez un œil aux dernières offres sur ImmoScout24.ch.")</f>
        <v>🏘  Vous souhaitez acheter une maison à Ogens? ✅ Jetez un œil aux dernières offres sur ImmoScout24.ch.</v>
      </c>
      <c r="J2974" s="4" t="s">
        <v>8916</v>
      </c>
    </row>
    <row r="2975">
      <c r="A2975" s="5" t="s">
        <v>8917</v>
      </c>
      <c r="B2975" s="2" t="s">
        <v>8918</v>
      </c>
      <c r="C2975" s="4" t="str">
        <f>IFERROR(__xludf.DUMMYFUNCTION("""🏘️ ""&amp;REGEXEXTRACT(B2975, ""^(.*): "")&amp;"" ✅ "" &amp;REGEXEXTRACT(B2975, ""(Trouvez.*)"")"),"🏘️ Louer appartement Ballens ✅ Trouvez le bien immobilier qui correspond idéalement à vos désirs sur ImmoScout24 - La plateforme de l'immobilier en Suisse.")</f>
        <v>🏘️ Louer appartement Ballens ✅ Trouvez le bien immobilier qui correspond idéalement à vos désirs sur ImmoScout24 - La plateforme de l'immobilier en Suisse.</v>
      </c>
      <c r="D2975" s="4" t="str">
        <f>vlookup(A2975, Sheet2!D:E, 2, 0)</f>
        <v>variant</v>
      </c>
      <c r="E2975" s="4" t="str">
        <f>IFERROR(__xludf.DUMMYFUNCTION("if(H2975=""pays"",vlookup(REGEXEXTRACT(C2975, ""🏘️ \w+ \w+ (.*) ✅""),'Country prepositions'!A:B, 2, 0) &amp; "" "" &amp; REGEXEXTRACT(C2975, ""🏘️ \w+ \w+ (.*) ✅"") ,  if(H2975=""quartier"",vlookup(REGEXEXTRACT(C2975, ""🏘️ \w+ \w+ (.*) ✅""),'Quartier prepositio"&amp;"ns'!A:E, 5, 0) ,  if(H2975=""region"",vlookup(REGEXEXTRACT(C2975, ""🏘️ \w+ \w+ (.*) ✅""),'Region prepositions'!B:F, 5, 0),  REGEXEXTRACT(C2975, ""🏘️ \w+ \w+ (.*) ✅""))))"),"Ballens")</f>
        <v>Ballens</v>
      </c>
      <c r="F2975" s="2" t="str">
        <f>IFERROR(__xludf.DUMMYFUNCTION("REGEXEXTRACT(C2975, ""🏘️ (\w+) \w+ .* ✅"")"),"Louer")</f>
        <v>Louer</v>
      </c>
      <c r="G2975" s="2" t="str">
        <f>IFERROR(__xludf.DUMMYFUNCTION("REGEXEXTRACT(C2975, ""🏘️ \w+ (\w+) .* ✅"")"),"appartement")</f>
        <v>appartement</v>
      </c>
      <c r="H2975" s="4" t="str">
        <f>IFERROR(__xludf.DUMMYFUNCTION("REGEXEXTRACT(A2975, ""/(\w+)-.*?"")"),"lieu")</f>
        <v>lieu</v>
      </c>
      <c r="I2975" s="4" t="str">
        <f>IFERROR(__xludf.DUMMYFUNCTION("if(D2975=""variant"",  substitute(filter(Templates!E:E, Templates!A:A = F2975, Templates!B:B = G2975, Templates!C:C = H2975), ""{{}}"", E2975), B2975)"),"🏘  Vous cherchez un appartement à louer à Ballens? ✅ Les annonces les plus actuelles sont sur ImmoScout24.ch.")</f>
        <v>🏘  Vous cherchez un appartement à louer à Ballens? ✅ Les annonces les plus actuelles sont sur ImmoScout24.ch.</v>
      </c>
      <c r="J2975" s="4" t="s">
        <v>8919</v>
      </c>
    </row>
    <row r="2976">
      <c r="A2976" s="5" t="s">
        <v>8920</v>
      </c>
      <c r="B2976" s="2" t="s">
        <v>8921</v>
      </c>
      <c r="C2976" s="4" t="str">
        <f>IFERROR(__xludf.DUMMYFUNCTION("""🏘️ ""&amp;REGEXEXTRACT(B2976, ""^(.*): "")&amp;"" ✅ "" &amp;REGEXEXTRACT(B2976, ""(Trouvez.*)"")"),"🏘️ Vendre maison Les Agettes ✅ Trouvez le bien immobilier qui correspond idéalement à vos désirs sur ImmoScout24 - La plateforme de l'immobilier en Suisse.")</f>
        <v>🏘️ Vendre maison Les Agettes ✅ Trouvez le bien immobilier qui correspond idéalement à vos désirs sur ImmoScout24 - La plateforme de l'immobilier en Suisse.</v>
      </c>
      <c r="D2976" s="4" t="str">
        <f>vlookup(A2976, Sheet2!D:E, 2, 0)</f>
        <v>variant</v>
      </c>
      <c r="E2976" s="4" t="str">
        <f>IFERROR(__xludf.DUMMYFUNCTION("if(H2976=""pays"",vlookup(REGEXEXTRACT(C2976, ""🏘️ \w+ \w+ (.*) ✅""),'Country prepositions'!A:B, 2, 0) &amp; "" "" &amp; REGEXEXTRACT(C2976, ""🏘️ \w+ \w+ (.*) ✅"") ,  if(H2976=""quartier"",vlookup(REGEXEXTRACT(C2976, ""🏘️ \w+ \w+ (.*) ✅""),'Quartier prepositio"&amp;"ns'!A:E, 5, 0) ,  if(H2976=""region"",vlookup(REGEXEXTRACT(C2976, ""🏘️ \w+ \w+ (.*) ✅""),'Region prepositions'!B:F, 5, 0),  REGEXEXTRACT(C2976, ""🏘️ \w+ \w+ (.*) ✅""))))"),"Les Agettes")</f>
        <v>Les Agettes</v>
      </c>
      <c r="F2976" s="2" t="str">
        <f>IFERROR(__xludf.DUMMYFUNCTION("REGEXEXTRACT(C2976, ""🏘️ (\w+) \w+ .* ✅"")"),"Vendre")</f>
        <v>Vendre</v>
      </c>
      <c r="G2976" s="2" t="str">
        <f>IFERROR(__xludf.DUMMYFUNCTION("REGEXEXTRACT(C2976, ""🏘️ \w+ (\w+) .* ✅"")"),"maison")</f>
        <v>maison</v>
      </c>
      <c r="H2976" s="4" t="str">
        <f>IFERROR(__xludf.DUMMYFUNCTION("REGEXEXTRACT(A2976, ""/(\w+)-.*?"")"),"lieu")</f>
        <v>lieu</v>
      </c>
      <c r="I2976" s="4" t="str">
        <f>IFERROR(__xludf.DUMMYFUNCTION("if(D2976=""variant"",  substitute(filter(Templates!E:E, Templates!A:A = F2976, Templates!B:B = G2976, Templates!C:C = H2976), ""{{}}"", E2976), B2976)"),"🏘  Vous souhaitez acheter une maison à Les Agettes? ✅ Jetez un œil aux dernières offres sur ImmoScout24.ch.")</f>
        <v>🏘  Vous souhaitez acheter une maison à Les Agettes? ✅ Jetez un œil aux dernières offres sur ImmoScout24.ch.</v>
      </c>
      <c r="J2976" s="2" t="s">
        <v>8922</v>
      </c>
    </row>
    <row r="2977">
      <c r="A2977" s="5" t="s">
        <v>8923</v>
      </c>
      <c r="B2977" s="2" t="s">
        <v>8924</v>
      </c>
      <c r="C2977" s="4" t="str">
        <f>IFERROR(__xludf.DUMMYFUNCTION("""🏘️ ""&amp;REGEXEXTRACT(B2977, ""^(.*): "")&amp;"" ✅ "" &amp;REGEXEXTRACT(B2977, ""(Trouvez.*)"")"),"🏘️ Louer appartement Orny ✅ Trouvez le bien immobilier qui correspond idéalement à vos désirs sur ImmoScout24 - La plateforme de l'immobilier en Suisse.")</f>
        <v>🏘️ Louer appartement Orny ✅ Trouvez le bien immobilier qui correspond idéalement à vos désirs sur ImmoScout24 - La plateforme de l'immobilier en Suisse.</v>
      </c>
      <c r="D2977" s="4" t="str">
        <f>vlookup(A2977, Sheet2!D:E, 2, 0)</f>
        <v>variant</v>
      </c>
      <c r="E2977" s="4" t="str">
        <f>IFERROR(__xludf.DUMMYFUNCTION("if(H2977=""pays"",vlookup(REGEXEXTRACT(C2977, ""🏘️ \w+ \w+ (.*) ✅""),'Country prepositions'!A:B, 2, 0) &amp; "" "" &amp; REGEXEXTRACT(C2977, ""🏘️ \w+ \w+ (.*) ✅"") ,  if(H2977=""quartier"",vlookup(REGEXEXTRACT(C2977, ""🏘️ \w+ \w+ (.*) ✅""),'Quartier prepositio"&amp;"ns'!A:E, 5, 0) ,  if(H2977=""region"",vlookup(REGEXEXTRACT(C2977, ""🏘️ \w+ \w+ (.*) ✅""),'Region prepositions'!B:F, 5, 0),  REGEXEXTRACT(C2977, ""🏘️ \w+ \w+ (.*) ✅""))))"),"Orny")</f>
        <v>Orny</v>
      </c>
      <c r="F2977" s="2" t="str">
        <f>IFERROR(__xludf.DUMMYFUNCTION("REGEXEXTRACT(C2977, ""🏘️ (\w+) \w+ .* ✅"")"),"Louer")</f>
        <v>Louer</v>
      </c>
      <c r="G2977" s="2" t="str">
        <f>IFERROR(__xludf.DUMMYFUNCTION("REGEXEXTRACT(C2977, ""🏘️ \w+ (\w+) .* ✅"")"),"appartement")</f>
        <v>appartement</v>
      </c>
      <c r="H2977" s="4" t="str">
        <f>IFERROR(__xludf.DUMMYFUNCTION("REGEXEXTRACT(A2977, ""/(\w+)-.*?"")"),"lieu")</f>
        <v>lieu</v>
      </c>
      <c r="I2977" s="4" t="str">
        <f>IFERROR(__xludf.DUMMYFUNCTION("if(D2977=""variant"",  substitute(filter(Templates!E:E, Templates!A:A = F2977, Templates!B:B = G2977, Templates!C:C = H2977), ""{{}}"", E2977), B2977)"),"🏘  Vous cherchez un appartement à louer à Orny? ✅ Les annonces les plus actuelles sont sur ImmoScout24.ch.")</f>
        <v>🏘  Vous cherchez un appartement à louer à Orny? ✅ Les annonces les plus actuelles sont sur ImmoScout24.ch.</v>
      </c>
      <c r="J2977" s="4" t="s">
        <v>8925</v>
      </c>
    </row>
    <row r="2978">
      <c r="A2978" s="5" t="s">
        <v>8926</v>
      </c>
      <c r="B2978" s="2" t="s">
        <v>8927</v>
      </c>
      <c r="C2978" s="4" t="str">
        <f>IFERROR(__xludf.DUMMYFUNCTION("""🏘️ ""&amp;REGEXEXTRACT(B2978, ""^(.*): "")&amp;"" ✅ "" &amp;REGEXEXTRACT(B2978, ""(Trouvez.*)"")"),"🏘️ Vendre maison Mervelier ✅ Trouvez le bien immobilier qui correspond idéalement à vos désirs sur ImmoScout24 - La plateforme de l'immobilier en Suisse.")</f>
        <v>🏘️ Vendre maison Mervelier ✅ Trouvez le bien immobilier qui correspond idéalement à vos désirs sur ImmoScout24 - La plateforme de l'immobilier en Suisse.</v>
      </c>
      <c r="D2978" s="4" t="str">
        <f>vlookup(A2978, Sheet2!D:E, 2, 0)</f>
        <v>variant</v>
      </c>
      <c r="E2978" s="4" t="str">
        <f>IFERROR(__xludf.DUMMYFUNCTION("if(H2978=""pays"",vlookup(REGEXEXTRACT(C2978, ""🏘️ \w+ \w+ (.*) ✅""),'Country prepositions'!A:B, 2, 0) &amp; "" "" &amp; REGEXEXTRACT(C2978, ""🏘️ \w+ \w+ (.*) ✅"") ,  if(H2978=""quartier"",vlookup(REGEXEXTRACT(C2978, ""🏘️ \w+ \w+ (.*) ✅""),'Quartier prepositio"&amp;"ns'!A:E, 5, 0) ,  if(H2978=""region"",vlookup(REGEXEXTRACT(C2978, ""🏘️ \w+ \w+ (.*) ✅""),'Region prepositions'!B:F, 5, 0),  REGEXEXTRACT(C2978, ""🏘️ \w+ \w+ (.*) ✅""))))"),"Mervelier")</f>
        <v>Mervelier</v>
      </c>
      <c r="F2978" s="2" t="str">
        <f>IFERROR(__xludf.DUMMYFUNCTION("REGEXEXTRACT(C2978, ""🏘️ (\w+) \w+ .* ✅"")"),"Vendre")</f>
        <v>Vendre</v>
      </c>
      <c r="G2978" s="2" t="str">
        <f>IFERROR(__xludf.DUMMYFUNCTION("REGEXEXTRACT(C2978, ""🏘️ \w+ (\w+) .* ✅"")"),"maison")</f>
        <v>maison</v>
      </c>
      <c r="H2978" s="4" t="str">
        <f>IFERROR(__xludf.DUMMYFUNCTION("REGEXEXTRACT(A2978, ""/(\w+)-.*?"")"),"lieu")</f>
        <v>lieu</v>
      </c>
      <c r="I2978" s="4" t="str">
        <f>IFERROR(__xludf.DUMMYFUNCTION("if(D2978=""variant"",  substitute(filter(Templates!E:E, Templates!A:A = F2978, Templates!B:B = G2978, Templates!C:C = H2978), ""{{}}"", E2978), B2978)"),"🏘  Vous souhaitez acheter une maison à Mervelier? ✅ Jetez un œil aux dernières offres sur ImmoScout24.ch.")</f>
        <v>🏘  Vous souhaitez acheter une maison à Mervelier? ✅ Jetez un œil aux dernières offres sur ImmoScout24.ch.</v>
      </c>
      <c r="J2978" s="4" t="s">
        <v>8928</v>
      </c>
    </row>
    <row r="2979">
      <c r="A2979" s="5" t="s">
        <v>8929</v>
      </c>
      <c r="B2979" s="2" t="s">
        <v>8930</v>
      </c>
      <c r="C2979" s="4" t="str">
        <f>IFERROR(__xludf.DUMMYFUNCTION("""🏘️ ""&amp;REGEXEXTRACT(B2979, ""^(.*): "")&amp;"" ✅ "" &amp;REGEXEXTRACT(B2979, ""(Trouvez.*)"")"),"🏘️ Vendre appartement Chêne-Bougeries ✅ Trouvez le bien immobilier qui correspond idéalement à vos désirs sur ImmoScout24 - La plateforme de l'immobilier en Suisse.")</f>
        <v>🏘️ Vendre appartement Chêne-Bougeries ✅ Trouvez le bien immobilier qui correspond idéalement à vos désirs sur ImmoScout24 - La plateforme de l'immobilier en Suisse.</v>
      </c>
      <c r="D2979" s="4" t="str">
        <f>vlookup(A2979, Sheet2!D:E, 2, 0)</f>
        <v>variant</v>
      </c>
      <c r="E2979" s="4" t="str">
        <f>IFERROR(__xludf.DUMMYFUNCTION("if(H2979=""pays"",vlookup(REGEXEXTRACT(C2979, ""🏘️ \w+ \w+ (.*) ✅""),'Country prepositions'!A:B, 2, 0) &amp; "" "" &amp; REGEXEXTRACT(C2979, ""🏘️ \w+ \w+ (.*) ✅"") ,  if(H2979=""quartier"",vlookup(REGEXEXTRACT(C2979, ""🏘️ \w+ \w+ (.*) ✅""),'Quartier prepositio"&amp;"ns'!A:E, 5, 0) ,  if(H2979=""region"",vlookup(REGEXEXTRACT(C2979, ""🏘️ \w+ \w+ (.*) ✅""),'Region prepositions'!B:F, 5, 0),  REGEXEXTRACT(C2979, ""🏘️ \w+ \w+ (.*) ✅""))))"),"Chêne-Bougeries")</f>
        <v>Chêne-Bougeries</v>
      </c>
      <c r="F2979" s="2" t="str">
        <f>IFERROR(__xludf.DUMMYFUNCTION("REGEXEXTRACT(C2979, ""🏘️ (\w+) \w+ .* ✅"")"),"Vendre")</f>
        <v>Vendre</v>
      </c>
      <c r="G2979" s="2" t="str">
        <f>IFERROR(__xludf.DUMMYFUNCTION("REGEXEXTRACT(C2979, ""🏘️ \w+ (\w+) .* ✅"")"),"appartement")</f>
        <v>appartement</v>
      </c>
      <c r="H2979" s="4" t="str">
        <f>IFERROR(__xludf.DUMMYFUNCTION("REGEXEXTRACT(A2979, ""/(\w+)-.*?"")"),"lieu")</f>
        <v>lieu</v>
      </c>
      <c r="I2979" s="4" t="str">
        <f>IFERROR(__xludf.DUMMYFUNCTION("if(D2979=""variant"",  substitute(filter(Templates!E:E, Templates!A:A = F2979, Templates!B:B = G2979, Templates!C:C = H2979), ""{{}}"", E2979), B2979)"),"🏘  L’appartement de vos rêves se trouve sur ImmoScout24.ch ✅ Découvrez les dernières annonces de vente à Chêne-Bougeries.")</f>
        <v>🏘  L’appartement de vos rêves se trouve sur ImmoScout24.ch ✅ Découvrez les dernières annonces de vente à Chêne-Bougeries.</v>
      </c>
      <c r="J2979" s="4" t="s">
        <v>8931</v>
      </c>
    </row>
    <row r="2980">
      <c r="A2980" s="5" t="s">
        <v>8932</v>
      </c>
      <c r="B2980" s="2" t="s">
        <v>8933</v>
      </c>
      <c r="C2980" s="4" t="str">
        <f>IFERROR(__xludf.DUMMYFUNCTION("""🏘️ ""&amp;REGEXEXTRACT(B2980, ""^(.*): "")&amp;"" ✅ "" &amp;REGEXEXTRACT(B2980, ""(Trouvez.*)"")"),"🏘️ Vendre maison Hindelbank ✅ Trouvez le bien immobilier qui correspond idéalement à vos désirs sur ImmoScout24 - La plateforme de l'immobilier en Suisse.")</f>
        <v>🏘️ Vendre maison Hindelbank ✅ Trouvez le bien immobilier qui correspond idéalement à vos désirs sur ImmoScout24 - La plateforme de l'immobilier en Suisse.</v>
      </c>
      <c r="D2980" s="4" t="str">
        <f>vlookup(A2980, Sheet2!D:E, 2, 0)</f>
        <v>variant</v>
      </c>
      <c r="E2980" s="4" t="str">
        <f>IFERROR(__xludf.DUMMYFUNCTION("if(H2980=""pays"",vlookup(REGEXEXTRACT(C2980, ""🏘️ \w+ \w+ (.*) ✅""),'Country prepositions'!A:B, 2, 0) &amp; "" "" &amp; REGEXEXTRACT(C2980, ""🏘️ \w+ \w+ (.*) ✅"") ,  if(H2980=""quartier"",vlookup(REGEXEXTRACT(C2980, ""🏘️ \w+ \w+ (.*) ✅""),'Quartier prepositio"&amp;"ns'!A:E, 5, 0) ,  if(H2980=""region"",vlookup(REGEXEXTRACT(C2980, ""🏘️ \w+ \w+ (.*) ✅""),'Region prepositions'!B:F, 5, 0),  REGEXEXTRACT(C2980, ""🏘️ \w+ \w+ (.*) ✅""))))"),"Hindelbank")</f>
        <v>Hindelbank</v>
      </c>
      <c r="F2980" s="2" t="str">
        <f>IFERROR(__xludf.DUMMYFUNCTION("REGEXEXTRACT(C2980, ""🏘️ (\w+) \w+ .* ✅"")"),"Vendre")</f>
        <v>Vendre</v>
      </c>
      <c r="G2980" s="2" t="str">
        <f>IFERROR(__xludf.DUMMYFUNCTION("REGEXEXTRACT(C2980, ""🏘️ \w+ (\w+) .* ✅"")"),"maison")</f>
        <v>maison</v>
      </c>
      <c r="H2980" s="4" t="str">
        <f>IFERROR(__xludf.DUMMYFUNCTION("REGEXEXTRACT(A2980, ""/(\w+)-.*?"")"),"lieu")</f>
        <v>lieu</v>
      </c>
      <c r="I2980" s="4" t="str">
        <f>IFERROR(__xludf.DUMMYFUNCTION("if(D2980=""variant"",  substitute(filter(Templates!E:E, Templates!A:A = F2980, Templates!B:B = G2980, Templates!C:C = H2980), ""{{}}"", E2980), B2980)"),"🏘  Vous souhaitez acheter une maison à Hindelbank? ✅ Jetez un œil aux dernières offres sur ImmoScout24.ch.")</f>
        <v>🏘  Vous souhaitez acheter une maison à Hindelbank? ✅ Jetez un œil aux dernières offres sur ImmoScout24.ch.</v>
      </c>
      <c r="J2980" s="4" t="s">
        <v>8934</v>
      </c>
    </row>
    <row r="2981">
      <c r="A2981" s="5" t="s">
        <v>8935</v>
      </c>
      <c r="B2981" s="2" t="s">
        <v>8936</v>
      </c>
      <c r="C2981" s="4" t="str">
        <f>IFERROR(__xludf.DUMMYFUNCTION("""🏘️ ""&amp;REGEXEXTRACT(B2981, ""^(.*): "")&amp;"" ✅ "" &amp;REGEXEXTRACT(B2981, ""(Trouvez.*)"")"),"🏘️ Vendre maison Meikirch ✅ Trouvez le bien immobilier qui correspond idéalement à vos désirs sur ImmoScout24 - La plateforme de l'immobilier en Suisse.")</f>
        <v>🏘️ Vendre maison Meikirch ✅ Trouvez le bien immobilier qui correspond idéalement à vos désirs sur ImmoScout24 - La plateforme de l'immobilier en Suisse.</v>
      </c>
      <c r="D2981" s="4" t="str">
        <f>vlookup(A2981, Sheet2!D:E, 2, 0)</f>
        <v>variant</v>
      </c>
      <c r="E2981" s="4" t="str">
        <f>IFERROR(__xludf.DUMMYFUNCTION("if(H2981=""pays"",vlookup(REGEXEXTRACT(C2981, ""🏘️ \w+ \w+ (.*) ✅""),'Country prepositions'!A:B, 2, 0) &amp; "" "" &amp; REGEXEXTRACT(C2981, ""🏘️ \w+ \w+ (.*) ✅"") ,  if(H2981=""quartier"",vlookup(REGEXEXTRACT(C2981, ""🏘️ \w+ \w+ (.*) ✅""),'Quartier prepositio"&amp;"ns'!A:E, 5, 0) ,  if(H2981=""region"",vlookup(REGEXEXTRACT(C2981, ""🏘️ \w+ \w+ (.*) ✅""),'Region prepositions'!B:F, 5, 0),  REGEXEXTRACT(C2981, ""🏘️ \w+ \w+ (.*) ✅""))))"),"Meikirch")</f>
        <v>Meikirch</v>
      </c>
      <c r="F2981" s="2" t="str">
        <f>IFERROR(__xludf.DUMMYFUNCTION("REGEXEXTRACT(C2981, ""🏘️ (\w+) \w+ .* ✅"")"),"Vendre")</f>
        <v>Vendre</v>
      </c>
      <c r="G2981" s="2" t="str">
        <f>IFERROR(__xludf.DUMMYFUNCTION("REGEXEXTRACT(C2981, ""🏘️ \w+ (\w+) .* ✅"")"),"maison")</f>
        <v>maison</v>
      </c>
      <c r="H2981" s="4" t="str">
        <f>IFERROR(__xludf.DUMMYFUNCTION("REGEXEXTRACT(A2981, ""/(\w+)-.*?"")"),"lieu")</f>
        <v>lieu</v>
      </c>
      <c r="I2981" s="4" t="str">
        <f>IFERROR(__xludf.DUMMYFUNCTION("if(D2981=""variant"",  substitute(filter(Templates!E:E, Templates!A:A = F2981, Templates!B:B = G2981, Templates!C:C = H2981), ""{{}}"", E2981), B2981)"),"🏘  Vous souhaitez acheter une maison à Meikirch? ✅ Jetez un œil aux dernières offres sur ImmoScout24.ch.")</f>
        <v>🏘  Vous souhaitez acheter une maison à Meikirch? ✅ Jetez un œil aux dernières offres sur ImmoScout24.ch.</v>
      </c>
      <c r="J2981" s="4" t="s">
        <v>8937</v>
      </c>
    </row>
    <row r="2982">
      <c r="A2982" s="5" t="s">
        <v>8938</v>
      </c>
      <c r="B2982" s="2" t="s">
        <v>8939</v>
      </c>
      <c r="C2982" s="4" t="str">
        <f>IFERROR(__xludf.DUMMYFUNCTION("""🏘️ ""&amp;REGEXEXTRACT(B2982, ""^(.*): "")&amp;"" ✅ "" &amp;REGEXEXTRACT(B2982, ""(Trouvez.*)"")"),"🏘️ Louer maison Brunnen ✅ Trouvez le bien immobilier qui correspond idéalement à vos désirs sur ImmoScout24 - La plateforme de l'immobilier en Suisse.")</f>
        <v>🏘️ Louer maison Brunnen ✅ Trouvez le bien immobilier qui correspond idéalement à vos désirs sur ImmoScout24 - La plateforme de l'immobilier en Suisse.</v>
      </c>
      <c r="D2982" s="4" t="str">
        <f>vlookup(A2982, Sheet2!D:E, 2, 0)</f>
        <v>variant</v>
      </c>
      <c r="E2982" s="4" t="str">
        <f>IFERROR(__xludf.DUMMYFUNCTION("if(H2982=""pays"",vlookup(REGEXEXTRACT(C2982, ""🏘️ \w+ \w+ (.*) ✅""),'Country prepositions'!A:B, 2, 0) &amp; "" "" &amp; REGEXEXTRACT(C2982, ""🏘️ \w+ \w+ (.*) ✅"") ,  if(H2982=""quartier"",vlookup(REGEXEXTRACT(C2982, ""🏘️ \w+ \w+ (.*) ✅""),'Quartier prepositio"&amp;"ns'!A:E, 5, 0) ,  if(H2982=""region"",vlookup(REGEXEXTRACT(C2982, ""🏘️ \w+ \w+ (.*) ✅""),'Region prepositions'!B:F, 5, 0),  REGEXEXTRACT(C2982, ""🏘️ \w+ \w+ (.*) ✅""))))"),"Brunnen")</f>
        <v>Brunnen</v>
      </c>
      <c r="F2982" s="2" t="str">
        <f>IFERROR(__xludf.DUMMYFUNCTION("REGEXEXTRACT(C2982, ""🏘️ (\w+) \w+ .* ✅"")"),"Louer")</f>
        <v>Louer</v>
      </c>
      <c r="G2982" s="2" t="str">
        <f>IFERROR(__xludf.DUMMYFUNCTION("REGEXEXTRACT(C2982, ""🏘️ \w+ (\w+) .* ✅"")"),"maison")</f>
        <v>maison</v>
      </c>
      <c r="H2982" s="4" t="str">
        <f>IFERROR(__xludf.DUMMYFUNCTION("REGEXEXTRACT(A2982, ""/(\w+)-.*?"")"),"lieu")</f>
        <v>lieu</v>
      </c>
      <c r="I2982" s="4" t="str">
        <f>IFERROR(__xludf.DUMMYFUNCTION("if(D2982=""variant"",  substitute(filter(Templates!E:E, Templates!A:A = F2982, Templates!B:B = G2982, Templates!C:C = H2982), ""{{}}"", E2982), B2982)"),"🏘  Vous cherchez une maison à louer à Brunnen? ✅ Découvrez nos nombreuses annonces sur ImmoScout24.ch.")</f>
        <v>🏘  Vous cherchez une maison à louer à Brunnen? ✅ Découvrez nos nombreuses annonces sur ImmoScout24.ch.</v>
      </c>
      <c r="J2982" s="4" t="s">
        <v>8940</v>
      </c>
    </row>
    <row r="2983">
      <c r="A2983" s="5" t="s">
        <v>8941</v>
      </c>
      <c r="B2983" s="2" t="s">
        <v>8942</v>
      </c>
      <c r="C2983" s="4" t="str">
        <f>IFERROR(__xludf.DUMMYFUNCTION("""🏘️ ""&amp;REGEXEXTRACT(B2983, ""^(.*): "")&amp;"" ✅ "" &amp;REGEXEXTRACT(B2983, ""(Trouvez.*)"")"),"🏘️ Louer appartement Ligornetto ✅ Trouvez le bien immobilier qui correspond idéalement à vos désirs sur ImmoScout24 - La plateforme de l'immobilier en Suisse.")</f>
        <v>🏘️ Louer appartement Ligornetto ✅ Trouvez le bien immobilier qui correspond idéalement à vos désirs sur ImmoScout24 - La plateforme de l'immobilier en Suisse.</v>
      </c>
      <c r="D2983" s="4" t="str">
        <f>vlookup(A2983, Sheet2!D:E, 2, 0)</f>
        <v>variant</v>
      </c>
      <c r="E2983" s="4" t="str">
        <f>IFERROR(__xludf.DUMMYFUNCTION("if(H2983=""pays"",vlookup(REGEXEXTRACT(C2983, ""🏘️ \w+ \w+ (.*) ✅""),'Country prepositions'!A:B, 2, 0) &amp; "" "" &amp; REGEXEXTRACT(C2983, ""🏘️ \w+ \w+ (.*) ✅"") ,  if(H2983=""quartier"",vlookup(REGEXEXTRACT(C2983, ""🏘️ \w+ \w+ (.*) ✅""),'Quartier prepositio"&amp;"ns'!A:E, 5, 0) ,  if(H2983=""region"",vlookup(REGEXEXTRACT(C2983, ""🏘️ \w+ \w+ (.*) ✅""),'Region prepositions'!B:F, 5, 0),  REGEXEXTRACT(C2983, ""🏘️ \w+ \w+ (.*) ✅""))))"),"Ligornetto")</f>
        <v>Ligornetto</v>
      </c>
      <c r="F2983" s="2" t="str">
        <f>IFERROR(__xludf.DUMMYFUNCTION("REGEXEXTRACT(C2983, ""🏘️ (\w+) \w+ .* ✅"")"),"Louer")</f>
        <v>Louer</v>
      </c>
      <c r="G2983" s="2" t="str">
        <f>IFERROR(__xludf.DUMMYFUNCTION("REGEXEXTRACT(C2983, ""🏘️ \w+ (\w+) .* ✅"")"),"appartement")</f>
        <v>appartement</v>
      </c>
      <c r="H2983" s="4" t="str">
        <f>IFERROR(__xludf.DUMMYFUNCTION("REGEXEXTRACT(A2983, ""/(\w+)-.*?"")"),"lieu")</f>
        <v>lieu</v>
      </c>
      <c r="I2983" s="4" t="str">
        <f>IFERROR(__xludf.DUMMYFUNCTION("if(D2983=""variant"",  substitute(filter(Templates!E:E, Templates!A:A = F2983, Templates!B:B = G2983, Templates!C:C = H2983), ""{{}}"", E2983), B2983)"),"🏘  Vous cherchez un appartement à louer à Ligornetto? ✅ Les annonces les plus actuelles sont sur ImmoScout24.ch.")</f>
        <v>🏘  Vous cherchez un appartement à louer à Ligornetto? ✅ Les annonces les plus actuelles sont sur ImmoScout24.ch.</v>
      </c>
      <c r="J2983" s="4" t="s">
        <v>8943</v>
      </c>
    </row>
    <row r="2984">
      <c r="A2984" s="5" t="s">
        <v>8944</v>
      </c>
      <c r="B2984" s="2" t="s">
        <v>8945</v>
      </c>
      <c r="C2984" s="4" t="str">
        <f>IFERROR(__xludf.DUMMYFUNCTION("""🏘️ ""&amp;REGEXEXTRACT(B2984, ""^(.*): "")&amp;"" ✅ "" &amp;REGEXEXTRACT(B2984, ""(Trouvez.*)"")"),"🏘️ Vendre maison Autavaux ✅ Trouvez le bien immobilier qui correspond idéalement à vos désirs sur ImmoScout24 - La plateforme de l'immobilier en Suisse.")</f>
        <v>🏘️ Vendre maison Autavaux ✅ Trouvez le bien immobilier qui correspond idéalement à vos désirs sur ImmoScout24 - La plateforme de l'immobilier en Suisse.</v>
      </c>
      <c r="D2984" s="4" t="str">
        <f>vlookup(A2984, Sheet2!D:E, 2, 0)</f>
        <v>variant</v>
      </c>
      <c r="E2984" s="4" t="str">
        <f>IFERROR(__xludf.DUMMYFUNCTION("if(H2984=""pays"",vlookup(REGEXEXTRACT(C2984, ""🏘️ \w+ \w+ (.*) ✅""),'Country prepositions'!A:B, 2, 0) &amp; "" "" &amp; REGEXEXTRACT(C2984, ""🏘️ \w+ \w+ (.*) ✅"") ,  if(H2984=""quartier"",vlookup(REGEXEXTRACT(C2984, ""🏘️ \w+ \w+ (.*) ✅""),'Quartier prepositio"&amp;"ns'!A:E, 5, 0) ,  if(H2984=""region"",vlookup(REGEXEXTRACT(C2984, ""🏘️ \w+ \w+ (.*) ✅""),'Region prepositions'!B:F, 5, 0),  REGEXEXTRACT(C2984, ""🏘️ \w+ \w+ (.*) ✅""))))"),"Autavaux")</f>
        <v>Autavaux</v>
      </c>
      <c r="F2984" s="2" t="str">
        <f>IFERROR(__xludf.DUMMYFUNCTION("REGEXEXTRACT(C2984, ""🏘️ (\w+) \w+ .* ✅"")"),"Vendre")</f>
        <v>Vendre</v>
      </c>
      <c r="G2984" s="2" t="str">
        <f>IFERROR(__xludf.DUMMYFUNCTION("REGEXEXTRACT(C2984, ""🏘️ \w+ (\w+) .* ✅"")"),"maison")</f>
        <v>maison</v>
      </c>
      <c r="H2984" s="4" t="str">
        <f>IFERROR(__xludf.DUMMYFUNCTION("REGEXEXTRACT(A2984, ""/(\w+)-.*?"")"),"lieu")</f>
        <v>lieu</v>
      </c>
      <c r="I2984" s="4" t="str">
        <f>IFERROR(__xludf.DUMMYFUNCTION("if(D2984=""variant"",  substitute(filter(Templates!E:E, Templates!A:A = F2984, Templates!B:B = G2984, Templates!C:C = H2984), ""{{}}"", E2984), B2984)"),"🏘  Vous souhaitez acheter une maison à Autavaux? ✅ Jetez un œil aux dernières offres sur ImmoScout24.ch.")</f>
        <v>🏘  Vous souhaitez acheter une maison à Autavaux? ✅ Jetez un œil aux dernières offres sur ImmoScout24.ch.</v>
      </c>
      <c r="J2984" s="4" t="s">
        <v>8946</v>
      </c>
    </row>
    <row r="2985">
      <c r="A2985" s="5" t="s">
        <v>8947</v>
      </c>
      <c r="B2985" s="2" t="s">
        <v>8948</v>
      </c>
      <c r="C2985" s="4" t="str">
        <f>IFERROR(__xludf.DUMMYFUNCTION("""🏘️ ""&amp;REGEXEXTRACT(B2985, ""^(.*): "")&amp;"" ✅ "" &amp;REGEXEXTRACT(B2985, ""(Trouvez.*)"")"),"🏘️ Louer appartement Rosental (Bâle) ✅ Trouvez le bien immobilier qui correspond idéalement à vos désirs sur ImmoScout24 - La plateforme de l'immobilier en Suisse.")</f>
        <v>🏘️ Louer appartement Rosental (Bâle) ✅ Trouvez le bien immobilier qui correspond idéalement à vos désirs sur ImmoScout24 - La plateforme de l'immobilier en Suisse.</v>
      </c>
      <c r="D2985" s="4" t="str">
        <f>vlookup(A2985, Sheet2!D:E, 2, 0)</f>
        <v>variant</v>
      </c>
      <c r="E2985" s="4" t="str">
        <f>IFERROR(__xludf.DUMMYFUNCTION("if(H2985=""pays"",vlookup(REGEXEXTRACT(C2985, ""🏘️ \w+ \w+ (.*) ✅""),'Country prepositions'!A:B, 2, 0) &amp; "" "" &amp; REGEXEXTRACT(C2985, ""🏘️ \w+ \w+ (.*) ✅"") ,  if(H2985=""quartier"",vlookup(REGEXEXTRACT(C2985, ""🏘️ \w+ \w+ (.*) ✅""),'Quartier prepositio"&amp;"ns'!A:E, 5, 0) ,  if(H2985=""region"",vlookup(REGEXEXTRACT(C2985, ""🏘️ \w+ \w+ (.*) ✅""),'Region prepositions'!B:F, 5, 0),  REGEXEXTRACT(C2985, ""🏘️ \w+ \w+ (.*) ✅""))))"),"dans le quartier de Rosental (Bâle)")</f>
        <v>dans le quartier de Rosental (Bâle)</v>
      </c>
      <c r="F2985" s="2" t="str">
        <f>IFERROR(__xludf.DUMMYFUNCTION("REGEXEXTRACT(C2985, ""🏘️ (\w+) \w+ .* ✅"")"),"Louer")</f>
        <v>Louer</v>
      </c>
      <c r="G2985" s="2" t="str">
        <f>IFERROR(__xludf.DUMMYFUNCTION("REGEXEXTRACT(C2985, ""🏘️ \w+ (\w+) .* ✅"")"),"appartement")</f>
        <v>appartement</v>
      </c>
      <c r="H2985" s="4" t="str">
        <f>IFERROR(__xludf.DUMMYFUNCTION("REGEXEXTRACT(A2985, ""/(\w+)-.*?"")"),"quartier")</f>
        <v>quartier</v>
      </c>
      <c r="I2985" s="4" t="str">
        <f>IFERROR(__xludf.DUMMYFUNCTION("if(D2985=""variant"",  substitute(filter(Templates!E:E, Templates!A:A = F2985, Templates!B:B = G2985, Templates!C:C = H2985), ""{{}}"", E2985), B2985)"),"🏘  Vous cherchez un appartement à louer dans le quartier de Rosental (Bâle)? ✅ Les annonces les plus actuelles sont sur ImmoScout24.ch.")</f>
        <v>🏘  Vous cherchez un appartement à louer dans le quartier de Rosental (Bâle)? ✅ Les annonces les plus actuelles sont sur ImmoScout24.ch.</v>
      </c>
      <c r="J2985" s="4" t="s">
        <v>8949</v>
      </c>
    </row>
    <row r="2986">
      <c r="A2986" s="5" t="s">
        <v>8950</v>
      </c>
      <c r="B2986" s="2" t="s">
        <v>8951</v>
      </c>
      <c r="C2986" s="4" t="str">
        <f>IFERROR(__xludf.DUMMYFUNCTION("""🏘️ ""&amp;REGEXEXTRACT(B2986, ""^(.*): "")&amp;"" ✅ "" &amp;REGEXEXTRACT(B2986, ""(Trouvez.*)"")"),"🏘️ Vendre appartement Morcote ✅ Trouvez le bien immobilier qui correspond idéalement à vos désirs sur ImmoScout24 - La plateforme de l'immobilier en Suisse.")</f>
        <v>🏘️ Vendre appartement Morcote ✅ Trouvez le bien immobilier qui correspond idéalement à vos désirs sur ImmoScout24 - La plateforme de l'immobilier en Suisse.</v>
      </c>
      <c r="D2986" s="4" t="str">
        <f>vlookup(A2986, Sheet2!D:E, 2, 0)</f>
        <v>variant</v>
      </c>
      <c r="E2986" s="4" t="str">
        <f>IFERROR(__xludf.DUMMYFUNCTION("if(H2986=""pays"",vlookup(REGEXEXTRACT(C2986, ""🏘️ \w+ \w+ (.*) ✅""),'Country prepositions'!A:B, 2, 0) &amp; "" "" &amp; REGEXEXTRACT(C2986, ""🏘️ \w+ \w+ (.*) ✅"") ,  if(H2986=""quartier"",vlookup(REGEXEXTRACT(C2986, ""🏘️ \w+ \w+ (.*) ✅""),'Quartier prepositio"&amp;"ns'!A:E, 5, 0) ,  if(H2986=""region"",vlookup(REGEXEXTRACT(C2986, ""🏘️ \w+ \w+ (.*) ✅""),'Region prepositions'!B:F, 5, 0),  REGEXEXTRACT(C2986, ""🏘️ \w+ \w+ (.*) ✅""))))"),"Morcote")</f>
        <v>Morcote</v>
      </c>
      <c r="F2986" s="2" t="str">
        <f>IFERROR(__xludf.DUMMYFUNCTION("REGEXEXTRACT(C2986, ""🏘️ (\w+) \w+ .* ✅"")"),"Vendre")</f>
        <v>Vendre</v>
      </c>
      <c r="G2986" s="2" t="str">
        <f>IFERROR(__xludf.DUMMYFUNCTION("REGEXEXTRACT(C2986, ""🏘️ \w+ (\w+) .* ✅"")"),"appartement")</f>
        <v>appartement</v>
      </c>
      <c r="H2986" s="4" t="str">
        <f>IFERROR(__xludf.DUMMYFUNCTION("REGEXEXTRACT(A2986, ""/(\w+)-.*?"")"),"lieu")</f>
        <v>lieu</v>
      </c>
      <c r="I2986" s="4" t="str">
        <f>IFERROR(__xludf.DUMMYFUNCTION("if(D2986=""variant"",  substitute(filter(Templates!E:E, Templates!A:A = F2986, Templates!B:B = G2986, Templates!C:C = H2986), ""{{}}"", E2986), B2986)"),"🏘  L’appartement de vos rêves se trouve sur ImmoScout24.ch ✅ Découvrez les dernières annonces de vente à Morcote.")</f>
        <v>🏘  L’appartement de vos rêves se trouve sur ImmoScout24.ch ✅ Découvrez les dernières annonces de vente à Morcote.</v>
      </c>
      <c r="J2986" s="4" t="s">
        <v>8952</v>
      </c>
    </row>
    <row r="2987">
      <c r="A2987" s="5" t="s">
        <v>8953</v>
      </c>
      <c r="B2987" s="2" t="s">
        <v>8954</v>
      </c>
      <c r="C2987" s="4" t="str">
        <f>IFERROR(__xludf.DUMMYFUNCTION("""🏘️ ""&amp;REGEXEXTRACT(B2987, ""^(.*): "")&amp;"" ✅ "" &amp;REGEXEXTRACT(B2987, ""(Trouvez.*)"")"),"🏘️ Vendre maison Vesin ✅ Trouvez le bien immobilier qui correspond idéalement à vos désirs sur ImmoScout24 - La plateforme de l'immobilier en Suisse.")</f>
        <v>🏘️ Vendre maison Vesin ✅ Trouvez le bien immobilier qui correspond idéalement à vos désirs sur ImmoScout24 - La plateforme de l'immobilier en Suisse.</v>
      </c>
      <c r="D2987" s="4" t="str">
        <f>vlookup(A2987, Sheet2!D:E, 2, 0)</f>
        <v>variant</v>
      </c>
      <c r="E2987" s="4" t="str">
        <f>IFERROR(__xludf.DUMMYFUNCTION("if(H2987=""pays"",vlookup(REGEXEXTRACT(C2987, ""🏘️ \w+ \w+ (.*) ✅""),'Country prepositions'!A:B, 2, 0) &amp; "" "" &amp; REGEXEXTRACT(C2987, ""🏘️ \w+ \w+ (.*) ✅"") ,  if(H2987=""quartier"",vlookup(REGEXEXTRACT(C2987, ""🏘️ \w+ \w+ (.*) ✅""),'Quartier prepositio"&amp;"ns'!A:E, 5, 0) ,  if(H2987=""region"",vlookup(REGEXEXTRACT(C2987, ""🏘️ \w+ \w+ (.*) ✅""),'Region prepositions'!B:F, 5, 0),  REGEXEXTRACT(C2987, ""🏘️ \w+ \w+ (.*) ✅""))))"),"Vesin")</f>
        <v>Vesin</v>
      </c>
      <c r="F2987" s="2" t="str">
        <f>IFERROR(__xludf.DUMMYFUNCTION("REGEXEXTRACT(C2987, ""🏘️ (\w+) \w+ .* ✅"")"),"Vendre")</f>
        <v>Vendre</v>
      </c>
      <c r="G2987" s="2" t="str">
        <f>IFERROR(__xludf.DUMMYFUNCTION("REGEXEXTRACT(C2987, ""🏘️ \w+ (\w+) .* ✅"")"),"maison")</f>
        <v>maison</v>
      </c>
      <c r="H2987" s="4" t="str">
        <f>IFERROR(__xludf.DUMMYFUNCTION("REGEXEXTRACT(A2987, ""/(\w+)-.*?"")"),"lieu")</f>
        <v>lieu</v>
      </c>
      <c r="I2987" s="4" t="str">
        <f>IFERROR(__xludf.DUMMYFUNCTION("if(D2987=""variant"",  substitute(filter(Templates!E:E, Templates!A:A = F2987, Templates!B:B = G2987, Templates!C:C = H2987), ""{{}}"", E2987), B2987)"),"🏘  Vous souhaitez acheter une maison à Vesin? ✅ Jetez un œil aux dernières offres sur ImmoScout24.ch.")</f>
        <v>🏘  Vous souhaitez acheter une maison à Vesin? ✅ Jetez un œil aux dernières offres sur ImmoScout24.ch.</v>
      </c>
      <c r="J2987" s="4" t="s">
        <v>8955</v>
      </c>
    </row>
    <row r="2988">
      <c r="A2988" s="5" t="s">
        <v>8956</v>
      </c>
      <c r="B2988" s="2" t="s">
        <v>8957</v>
      </c>
      <c r="C2988" s="4" t="str">
        <f>IFERROR(__xludf.DUMMYFUNCTION("""🏘️ ""&amp;REGEXEXTRACT(B2988, ""^(.*): "")&amp;"" ✅ "" &amp;REGEXEXTRACT(B2988, ""(Trouvez.*)"")"),"🏘️ Vendre appartement Wagen ✅ Trouvez le bien immobilier qui correspond idéalement à vos désirs sur ImmoScout24 - La plateforme de l'immobilier en Suisse.")</f>
        <v>🏘️ Vendre appartement Wagen ✅ Trouvez le bien immobilier qui correspond idéalement à vos désirs sur ImmoScout24 - La plateforme de l'immobilier en Suisse.</v>
      </c>
      <c r="D2988" s="4" t="str">
        <f>vlookup(A2988, Sheet2!D:E, 2, 0)</f>
        <v>variant</v>
      </c>
      <c r="E2988" s="4" t="str">
        <f>IFERROR(__xludf.DUMMYFUNCTION("if(H2988=""pays"",vlookup(REGEXEXTRACT(C2988, ""🏘️ \w+ \w+ (.*) ✅""),'Country prepositions'!A:B, 2, 0) &amp; "" "" &amp; REGEXEXTRACT(C2988, ""🏘️ \w+ \w+ (.*) ✅"") ,  if(H2988=""quartier"",vlookup(REGEXEXTRACT(C2988, ""🏘️ \w+ \w+ (.*) ✅""),'Quartier prepositio"&amp;"ns'!A:E, 5, 0) ,  if(H2988=""region"",vlookup(REGEXEXTRACT(C2988, ""🏘️ \w+ \w+ (.*) ✅""),'Region prepositions'!B:F, 5, 0),  REGEXEXTRACT(C2988, ""🏘️ \w+ \w+ (.*) ✅""))))"),"Wagen")</f>
        <v>Wagen</v>
      </c>
      <c r="F2988" s="2" t="str">
        <f>IFERROR(__xludf.DUMMYFUNCTION("REGEXEXTRACT(C2988, ""🏘️ (\w+) \w+ .* ✅"")"),"Vendre")</f>
        <v>Vendre</v>
      </c>
      <c r="G2988" s="2" t="str">
        <f>IFERROR(__xludf.DUMMYFUNCTION("REGEXEXTRACT(C2988, ""🏘️ \w+ (\w+) .* ✅"")"),"appartement")</f>
        <v>appartement</v>
      </c>
      <c r="H2988" s="4" t="str">
        <f>IFERROR(__xludf.DUMMYFUNCTION("REGEXEXTRACT(A2988, ""/(\w+)-.*?"")"),"lieu")</f>
        <v>lieu</v>
      </c>
      <c r="I2988" s="4" t="str">
        <f>IFERROR(__xludf.DUMMYFUNCTION("if(D2988=""variant"",  substitute(filter(Templates!E:E, Templates!A:A = F2988, Templates!B:B = G2988, Templates!C:C = H2988), ""{{}}"", E2988), B2988)"),"🏘  L’appartement de vos rêves se trouve sur ImmoScout24.ch ✅ Découvrez les dernières annonces de vente à Wagen.")</f>
        <v>🏘  L’appartement de vos rêves se trouve sur ImmoScout24.ch ✅ Découvrez les dernières annonces de vente à Wagen.</v>
      </c>
      <c r="J2988" s="4" t="s">
        <v>8958</v>
      </c>
    </row>
    <row r="2989">
      <c r="A2989" s="5" t="s">
        <v>8959</v>
      </c>
      <c r="B2989" s="2" t="s">
        <v>8960</v>
      </c>
      <c r="C2989" s="4" t="str">
        <f>IFERROR(__xludf.DUMMYFUNCTION("""🏘️ ""&amp;REGEXEXTRACT(B2989, ""^(.*): "")&amp;"" ✅ "" &amp;REGEXEXTRACT(B2989, ""(Trouvez.*)"")"),"🏘️ Vendre maison Domdidier ✅ Trouvez le bien immobilier qui correspond idéalement à vos désirs sur ImmoScout24 - La plateforme de l'immobilier en Suisse.")</f>
        <v>🏘️ Vendre maison Domdidier ✅ Trouvez le bien immobilier qui correspond idéalement à vos désirs sur ImmoScout24 - La plateforme de l'immobilier en Suisse.</v>
      </c>
      <c r="D2989" s="4" t="str">
        <f>vlookup(A2989, Sheet2!D:E, 2, 0)</f>
        <v>variant</v>
      </c>
      <c r="E2989" s="4" t="str">
        <f>IFERROR(__xludf.DUMMYFUNCTION("if(H2989=""pays"",vlookup(REGEXEXTRACT(C2989, ""🏘️ \w+ \w+ (.*) ✅""),'Country prepositions'!A:B, 2, 0) &amp; "" "" &amp; REGEXEXTRACT(C2989, ""🏘️ \w+ \w+ (.*) ✅"") ,  if(H2989=""quartier"",vlookup(REGEXEXTRACT(C2989, ""🏘️ \w+ \w+ (.*) ✅""),'Quartier prepositio"&amp;"ns'!A:E, 5, 0) ,  if(H2989=""region"",vlookup(REGEXEXTRACT(C2989, ""🏘️ \w+ \w+ (.*) ✅""),'Region prepositions'!B:F, 5, 0),  REGEXEXTRACT(C2989, ""🏘️ \w+ \w+ (.*) ✅""))))"),"Domdidier")</f>
        <v>Domdidier</v>
      </c>
      <c r="F2989" s="2" t="str">
        <f>IFERROR(__xludf.DUMMYFUNCTION("REGEXEXTRACT(C2989, ""🏘️ (\w+) \w+ .* ✅"")"),"Vendre")</f>
        <v>Vendre</v>
      </c>
      <c r="G2989" s="2" t="str">
        <f>IFERROR(__xludf.DUMMYFUNCTION("REGEXEXTRACT(C2989, ""🏘️ \w+ (\w+) .* ✅"")"),"maison")</f>
        <v>maison</v>
      </c>
      <c r="H2989" s="4" t="str">
        <f>IFERROR(__xludf.DUMMYFUNCTION("REGEXEXTRACT(A2989, ""/(\w+)-.*?"")"),"lieu")</f>
        <v>lieu</v>
      </c>
      <c r="I2989" s="4" t="str">
        <f>IFERROR(__xludf.DUMMYFUNCTION("if(D2989=""variant"",  substitute(filter(Templates!E:E, Templates!A:A = F2989, Templates!B:B = G2989, Templates!C:C = H2989), ""{{}}"", E2989), B2989)"),"🏘  Vous souhaitez acheter une maison à Domdidier? ✅ Jetez un œil aux dernières offres sur ImmoScout24.ch.")</f>
        <v>🏘  Vous souhaitez acheter une maison à Domdidier? ✅ Jetez un œil aux dernières offres sur ImmoScout24.ch.</v>
      </c>
      <c r="J2989" s="4" t="s">
        <v>8961</v>
      </c>
    </row>
    <row r="2990">
      <c r="A2990" s="3" t="s">
        <v>8962</v>
      </c>
      <c r="B2990" s="2" t="s">
        <v>8963</v>
      </c>
      <c r="C2990" s="4" t="str">
        <f>IFERROR(__xludf.DUMMYFUNCTION("""🏘️ ""&amp;REGEXEXTRACT(B2990, ""^(.*): "")&amp;"" ✅ "" &amp;REGEXEXTRACT(B2990, ""(Trouvez.*)"")"),"🏘️ Vendre maison Soleure ✅ Trouvez le bien immobilier qui correspond idéalement à vos désirs sur ImmoScout24 - La plateforme de l'immobilier en Suisse.")</f>
        <v>🏘️ Vendre maison Soleure ✅ Trouvez le bien immobilier qui correspond idéalement à vos désirs sur ImmoScout24 - La plateforme de l'immobilier en Suisse.</v>
      </c>
      <c r="D2990" s="4" t="str">
        <f>vlookup(A2990, Sheet2!D:E, 2, 0)</f>
        <v>variant</v>
      </c>
      <c r="E2990" s="4" t="str">
        <f>IFERROR(__xludf.DUMMYFUNCTION("if(H2990=""pays"",vlookup(REGEXEXTRACT(C2990, ""🏘️ \w+ \w+ (.*) ✅""),'Country prepositions'!A:B, 2, 0) &amp; "" "" &amp; REGEXEXTRACT(C2990, ""🏘️ \w+ \w+ (.*) ✅"") ,  if(H2990=""quartier"",vlookup(REGEXEXTRACT(C2990, ""🏘️ \w+ \w+ (.*) ✅""),'Quartier prepositio"&amp;"ns'!A:E, 5, 0) ,  if(H2990=""region"",vlookup(REGEXEXTRACT(C2990, ""🏘️ \w+ \w+ (.*) ✅""),'Region prepositions'!B:F, 5, 0),  REGEXEXTRACT(C2990, ""🏘️ \w+ \w+ (.*) ✅""))))"),"dans le canton de Soleure")</f>
        <v>dans le canton de Soleure</v>
      </c>
      <c r="F2990" s="2" t="str">
        <f>IFERROR(__xludf.DUMMYFUNCTION("REGEXEXTRACT(C2990, ""🏘️ (\w+) \w+ .* ✅"")"),"Vendre")</f>
        <v>Vendre</v>
      </c>
      <c r="G2990" s="2" t="str">
        <f>IFERROR(__xludf.DUMMYFUNCTION("REGEXEXTRACT(C2990, ""🏘️ \w+ (\w+) .* ✅"")"),"maison")</f>
        <v>maison</v>
      </c>
      <c r="H2990" s="4" t="str">
        <f>IFERROR(__xludf.DUMMYFUNCTION("REGEXEXTRACT(A2990, ""/(\w+)-.*?"")"),"region")</f>
        <v>region</v>
      </c>
      <c r="I2990" s="4" t="str">
        <f>IFERROR(__xludf.DUMMYFUNCTION("if(D2990=""variant"",  substitute(filter(Templates!E:E, Templates!A:A = F2990, Templates!B:B = G2990, Templates!C:C = H2990), ""{{}}"", E2990), B2990)"),"🏘  Vous souhaitez acheter une maison dans le canton de Soleure? ✅ Jetez un œil aux dernières offres sur ImmoScout24.ch.")</f>
        <v>🏘  Vous souhaitez acheter une maison dans le canton de Soleure? ✅ Jetez un œil aux dernières offres sur ImmoScout24.ch.</v>
      </c>
      <c r="J2990" s="4" t="s">
        <v>8964</v>
      </c>
    </row>
    <row r="2991">
      <c r="A2991" s="5" t="s">
        <v>8965</v>
      </c>
      <c r="B2991" s="2" t="s">
        <v>8966</v>
      </c>
      <c r="C2991" s="4" t="str">
        <f>IFERROR(__xludf.DUMMYFUNCTION("""🏘️ ""&amp;REGEXEXTRACT(B2991, ""^(.*): "")&amp;"" ✅ "" &amp;REGEXEXTRACT(B2991, ""(Trouvez.*)"")"),"🏘️ Louer appartement Vicques ✅ Trouvez le bien immobilier qui correspond idéalement à vos désirs sur ImmoScout24 - La plateforme de l'immobilier en Suisse.")</f>
        <v>🏘️ Louer appartement Vicques ✅ Trouvez le bien immobilier qui correspond idéalement à vos désirs sur ImmoScout24 - La plateforme de l'immobilier en Suisse.</v>
      </c>
      <c r="D2991" s="4" t="str">
        <f>vlookup(A2991, Sheet2!D:E, 2, 0)</f>
        <v>variant</v>
      </c>
      <c r="E2991" s="4" t="str">
        <f>IFERROR(__xludf.DUMMYFUNCTION("if(H2991=""pays"",vlookup(REGEXEXTRACT(C2991, ""🏘️ \w+ \w+ (.*) ✅""),'Country prepositions'!A:B, 2, 0) &amp; "" "" &amp; REGEXEXTRACT(C2991, ""🏘️ \w+ \w+ (.*) ✅"") ,  if(H2991=""quartier"",vlookup(REGEXEXTRACT(C2991, ""🏘️ \w+ \w+ (.*) ✅""),'Quartier prepositio"&amp;"ns'!A:E, 5, 0) ,  if(H2991=""region"",vlookup(REGEXEXTRACT(C2991, ""🏘️ \w+ \w+ (.*) ✅""),'Region prepositions'!B:F, 5, 0),  REGEXEXTRACT(C2991, ""🏘️ \w+ \w+ (.*) ✅""))))"),"Vicques")</f>
        <v>Vicques</v>
      </c>
      <c r="F2991" s="2" t="str">
        <f>IFERROR(__xludf.DUMMYFUNCTION("REGEXEXTRACT(C2991, ""🏘️ (\w+) \w+ .* ✅"")"),"Louer")</f>
        <v>Louer</v>
      </c>
      <c r="G2991" s="2" t="str">
        <f>IFERROR(__xludf.DUMMYFUNCTION("REGEXEXTRACT(C2991, ""🏘️ \w+ (\w+) .* ✅"")"),"appartement")</f>
        <v>appartement</v>
      </c>
      <c r="H2991" s="4" t="str">
        <f>IFERROR(__xludf.DUMMYFUNCTION("REGEXEXTRACT(A2991, ""/(\w+)-.*?"")"),"lieu")</f>
        <v>lieu</v>
      </c>
      <c r="I2991" s="4" t="str">
        <f>IFERROR(__xludf.DUMMYFUNCTION("if(D2991=""variant"",  substitute(filter(Templates!E:E, Templates!A:A = F2991, Templates!B:B = G2991, Templates!C:C = H2991), ""{{}}"", E2991), B2991)"),"🏘  Vous cherchez un appartement à louer à Vicques? ✅ Les annonces les plus actuelles sont sur ImmoScout24.ch.")</f>
        <v>🏘  Vous cherchez un appartement à louer à Vicques? ✅ Les annonces les plus actuelles sont sur ImmoScout24.ch.</v>
      </c>
      <c r="J2991" s="4" t="s">
        <v>8967</v>
      </c>
    </row>
    <row r="2992">
      <c r="A2992" s="5" t="s">
        <v>8968</v>
      </c>
      <c r="B2992" s="2" t="s">
        <v>8969</v>
      </c>
      <c r="C2992" s="4" t="str">
        <f>IFERROR(__xludf.DUMMYFUNCTION("""🏘️ ""&amp;REGEXEXTRACT(B2992, ""^(.*): "")&amp;"" ✅ "" &amp;REGEXEXTRACT(B2992, ""(Trouvez.*)"")"),"🏘️ Louer appartement St-Livres ✅ Trouvez le bien immobilier qui correspond idéalement à vos désirs sur ImmoScout24 - La plateforme de l'immobilier en Suisse.")</f>
        <v>🏘️ Louer appartement St-Livres ✅ Trouvez le bien immobilier qui correspond idéalement à vos désirs sur ImmoScout24 - La plateforme de l'immobilier en Suisse.</v>
      </c>
      <c r="D2992" s="4" t="str">
        <f>vlookup(A2992, Sheet2!D:E, 2, 0)</f>
        <v>variant</v>
      </c>
      <c r="E2992" s="4" t="str">
        <f>IFERROR(__xludf.DUMMYFUNCTION("if(H2992=""pays"",vlookup(REGEXEXTRACT(C2992, ""🏘️ \w+ \w+ (.*) ✅""),'Country prepositions'!A:B, 2, 0) &amp; "" "" &amp; REGEXEXTRACT(C2992, ""🏘️ \w+ \w+ (.*) ✅"") ,  if(H2992=""quartier"",vlookup(REGEXEXTRACT(C2992, ""🏘️ \w+ \w+ (.*) ✅""),'Quartier prepositio"&amp;"ns'!A:E, 5, 0) ,  if(H2992=""region"",vlookup(REGEXEXTRACT(C2992, ""🏘️ \w+ \w+ (.*) ✅""),'Region prepositions'!B:F, 5, 0),  REGEXEXTRACT(C2992, ""🏘️ \w+ \w+ (.*) ✅""))))"),"St-Livres")</f>
        <v>St-Livres</v>
      </c>
      <c r="F2992" s="2" t="str">
        <f>IFERROR(__xludf.DUMMYFUNCTION("REGEXEXTRACT(C2992, ""🏘️ (\w+) \w+ .* ✅"")"),"Louer")</f>
        <v>Louer</v>
      </c>
      <c r="G2992" s="2" t="str">
        <f>IFERROR(__xludf.DUMMYFUNCTION("REGEXEXTRACT(C2992, ""🏘️ \w+ (\w+) .* ✅"")"),"appartement")</f>
        <v>appartement</v>
      </c>
      <c r="H2992" s="4" t="str">
        <f>IFERROR(__xludf.DUMMYFUNCTION("REGEXEXTRACT(A2992, ""/(\w+)-.*?"")"),"lieu")</f>
        <v>lieu</v>
      </c>
      <c r="I2992" s="4" t="str">
        <f>IFERROR(__xludf.DUMMYFUNCTION("if(D2992=""variant"",  substitute(filter(Templates!E:E, Templates!A:A = F2992, Templates!B:B = G2992, Templates!C:C = H2992), ""{{}}"", E2992), B2992)"),"🏘  Vous cherchez un appartement à louer à St-Livres? ✅ Les annonces les plus actuelles sont sur ImmoScout24.ch.")</f>
        <v>🏘  Vous cherchez un appartement à louer à St-Livres? ✅ Les annonces les plus actuelles sont sur ImmoScout24.ch.</v>
      </c>
      <c r="J2992" s="4" t="s">
        <v>8970</v>
      </c>
    </row>
    <row r="2993">
      <c r="A2993" s="5" t="s">
        <v>8971</v>
      </c>
      <c r="B2993" s="2" t="s">
        <v>8972</v>
      </c>
      <c r="C2993" s="4" t="str">
        <f>IFERROR(__xludf.DUMMYFUNCTION("""🏘️ ""&amp;REGEXEXTRACT(B2993, ""^(.*): "")&amp;"" ✅ "" &amp;REGEXEXTRACT(B2993, ""(Trouvez.*)"")"),"🏘️ Louer maison Salavaux ✅ Trouvez le bien immobilier qui correspond idéalement à vos désirs sur ImmoScout24 - La plateforme de l'immobilier en Suisse.")</f>
        <v>🏘️ Louer maison Salavaux ✅ Trouvez le bien immobilier qui correspond idéalement à vos désirs sur ImmoScout24 - La plateforme de l'immobilier en Suisse.</v>
      </c>
      <c r="D2993" s="4" t="str">
        <f>vlookup(A2993, Sheet2!D:E, 2, 0)</f>
        <v>variant</v>
      </c>
      <c r="E2993" s="4" t="str">
        <f>IFERROR(__xludf.DUMMYFUNCTION("if(H2993=""pays"",vlookup(REGEXEXTRACT(C2993, ""🏘️ \w+ \w+ (.*) ✅""),'Country prepositions'!A:B, 2, 0) &amp; "" "" &amp; REGEXEXTRACT(C2993, ""🏘️ \w+ \w+ (.*) ✅"") ,  if(H2993=""quartier"",vlookup(REGEXEXTRACT(C2993, ""🏘️ \w+ \w+ (.*) ✅""),'Quartier prepositio"&amp;"ns'!A:E, 5, 0) ,  if(H2993=""region"",vlookup(REGEXEXTRACT(C2993, ""🏘️ \w+ \w+ (.*) ✅""),'Region prepositions'!B:F, 5, 0),  REGEXEXTRACT(C2993, ""🏘️ \w+ \w+ (.*) ✅""))))"),"Salavaux")</f>
        <v>Salavaux</v>
      </c>
      <c r="F2993" s="2" t="str">
        <f>IFERROR(__xludf.DUMMYFUNCTION("REGEXEXTRACT(C2993, ""🏘️ (\w+) \w+ .* ✅"")"),"Louer")</f>
        <v>Louer</v>
      </c>
      <c r="G2993" s="2" t="str">
        <f>IFERROR(__xludf.DUMMYFUNCTION("REGEXEXTRACT(C2993, ""🏘️ \w+ (\w+) .* ✅"")"),"maison")</f>
        <v>maison</v>
      </c>
      <c r="H2993" s="4" t="str">
        <f>IFERROR(__xludf.DUMMYFUNCTION("REGEXEXTRACT(A2993, ""/(\w+)-.*?"")"),"lieu")</f>
        <v>lieu</v>
      </c>
      <c r="I2993" s="4" t="str">
        <f>IFERROR(__xludf.DUMMYFUNCTION("if(D2993=""variant"",  substitute(filter(Templates!E:E, Templates!A:A = F2993, Templates!B:B = G2993, Templates!C:C = H2993), ""{{}}"", E2993), B2993)"),"🏘  Vous cherchez une maison à louer à Salavaux? ✅ Découvrez nos nombreuses annonces sur ImmoScout24.ch.")</f>
        <v>🏘  Vous cherchez une maison à louer à Salavaux? ✅ Découvrez nos nombreuses annonces sur ImmoScout24.ch.</v>
      </c>
      <c r="J2993" s="4" t="s">
        <v>8973</v>
      </c>
    </row>
    <row r="2994">
      <c r="A2994" s="5" t="s">
        <v>8974</v>
      </c>
      <c r="B2994" s="2" t="s">
        <v>8975</v>
      </c>
      <c r="C2994" s="4" t="str">
        <f>IFERROR(__xludf.DUMMYFUNCTION("""🏘️ ""&amp;REGEXEXTRACT(B2994, ""^(.*): "")&amp;"" ✅ "" &amp;REGEXEXTRACT(B2994, ""(Trouvez.*)"")"),"🏘️ Louer maison Le Mont-Pèlerin ✅ Trouvez le bien immobilier qui correspond idéalement à vos désirs sur ImmoScout24 - La plateforme de l'immobilier en Suisse.")</f>
        <v>🏘️ Louer maison Le Mont-Pèlerin ✅ Trouvez le bien immobilier qui correspond idéalement à vos désirs sur ImmoScout24 - La plateforme de l'immobilier en Suisse.</v>
      </c>
      <c r="D2994" s="4" t="str">
        <f>vlookup(A2994, Sheet2!D:E, 2, 0)</f>
        <v>variant</v>
      </c>
      <c r="E2994" s="4" t="str">
        <f>IFERROR(__xludf.DUMMYFUNCTION("if(H2994=""pays"",vlookup(REGEXEXTRACT(C2994, ""🏘️ \w+ \w+ (.*) ✅""),'Country prepositions'!A:B, 2, 0) &amp; "" "" &amp; REGEXEXTRACT(C2994, ""🏘️ \w+ \w+ (.*) ✅"") ,  if(H2994=""quartier"",vlookup(REGEXEXTRACT(C2994, ""🏘️ \w+ \w+ (.*) ✅""),'Quartier prepositio"&amp;"ns'!A:E, 5, 0) ,  if(H2994=""region"",vlookup(REGEXEXTRACT(C2994, ""🏘️ \w+ \w+ (.*) ✅""),'Region prepositions'!B:F, 5, 0),  REGEXEXTRACT(C2994, ""🏘️ \w+ \w+ (.*) ✅""))))"),"Le Mont-Pèlerin")</f>
        <v>Le Mont-Pèlerin</v>
      </c>
      <c r="F2994" s="2" t="str">
        <f>IFERROR(__xludf.DUMMYFUNCTION("REGEXEXTRACT(C2994, ""🏘️ (\w+) \w+ .* ✅"")"),"Louer")</f>
        <v>Louer</v>
      </c>
      <c r="G2994" s="2" t="str">
        <f>IFERROR(__xludf.DUMMYFUNCTION("REGEXEXTRACT(C2994, ""🏘️ \w+ (\w+) .* ✅"")"),"maison")</f>
        <v>maison</v>
      </c>
      <c r="H2994" s="4" t="str">
        <f>IFERROR(__xludf.DUMMYFUNCTION("REGEXEXTRACT(A2994, ""/(\w+)-.*?"")"),"lieu")</f>
        <v>lieu</v>
      </c>
      <c r="I2994" s="4" t="str">
        <f>IFERROR(__xludf.DUMMYFUNCTION("if(D2994=""variant"",  substitute(filter(Templates!E:E, Templates!A:A = F2994, Templates!B:B = G2994, Templates!C:C = H2994), ""{{}}"", E2994), B2994)"),"🏘  Vous cherchez une maison à louer à Le Mont-Pèlerin? ✅ Découvrez nos nombreuses annonces sur ImmoScout24.ch.")</f>
        <v>🏘  Vous cherchez une maison à louer à Le Mont-Pèlerin? ✅ Découvrez nos nombreuses annonces sur ImmoScout24.ch.</v>
      </c>
      <c r="J2994" s="2" t="s">
        <v>8976</v>
      </c>
    </row>
    <row r="2995">
      <c r="A2995" s="5" t="s">
        <v>8977</v>
      </c>
      <c r="B2995" s="2" t="s">
        <v>8978</v>
      </c>
      <c r="C2995" s="4" t="str">
        <f>IFERROR(__xludf.DUMMYFUNCTION("""🏘️ ""&amp;REGEXEXTRACT(B2995, ""^(.*): "")&amp;"" ✅ "" &amp;REGEXEXTRACT(B2995, ""(Trouvez.*)"")"),"🏘️ Louer maison Léchelles ✅ Trouvez le bien immobilier qui correspond idéalement à vos désirs sur ImmoScout24 - La plateforme de l'immobilier en Suisse.")</f>
        <v>🏘️ Louer maison Léchelles ✅ Trouvez le bien immobilier qui correspond idéalement à vos désirs sur ImmoScout24 - La plateforme de l'immobilier en Suisse.</v>
      </c>
      <c r="D2995" s="4" t="str">
        <f>vlookup(A2995, Sheet2!D:E, 2, 0)</f>
        <v>variant</v>
      </c>
      <c r="E2995" s="4" t="str">
        <f>IFERROR(__xludf.DUMMYFUNCTION("if(H2995=""pays"",vlookup(REGEXEXTRACT(C2995, ""🏘️ \w+ \w+ (.*) ✅""),'Country prepositions'!A:B, 2, 0) &amp; "" "" &amp; REGEXEXTRACT(C2995, ""🏘️ \w+ \w+ (.*) ✅"") ,  if(H2995=""quartier"",vlookup(REGEXEXTRACT(C2995, ""🏘️ \w+ \w+ (.*) ✅""),'Quartier prepositio"&amp;"ns'!A:E, 5, 0) ,  if(H2995=""region"",vlookup(REGEXEXTRACT(C2995, ""🏘️ \w+ \w+ (.*) ✅""),'Region prepositions'!B:F, 5, 0),  REGEXEXTRACT(C2995, ""🏘️ \w+ \w+ (.*) ✅""))))"),"Léchelles")</f>
        <v>Léchelles</v>
      </c>
      <c r="F2995" s="2" t="str">
        <f>IFERROR(__xludf.DUMMYFUNCTION("REGEXEXTRACT(C2995, ""🏘️ (\w+) \w+ .* ✅"")"),"Louer")</f>
        <v>Louer</v>
      </c>
      <c r="G2995" s="2" t="str">
        <f>IFERROR(__xludf.DUMMYFUNCTION("REGEXEXTRACT(C2995, ""🏘️ \w+ (\w+) .* ✅"")"),"maison")</f>
        <v>maison</v>
      </c>
      <c r="H2995" s="4" t="str">
        <f>IFERROR(__xludf.DUMMYFUNCTION("REGEXEXTRACT(A2995, ""/(\w+)-.*?"")"),"lieu")</f>
        <v>lieu</v>
      </c>
      <c r="I2995" s="4" t="str">
        <f>IFERROR(__xludf.DUMMYFUNCTION("if(D2995=""variant"",  substitute(filter(Templates!E:E, Templates!A:A = F2995, Templates!B:B = G2995, Templates!C:C = H2995), ""{{}}"", E2995), B2995)"),"🏘  Vous cherchez une maison à louer à Léchelles? ✅ Découvrez nos nombreuses annonces sur ImmoScout24.ch.")</f>
        <v>🏘  Vous cherchez une maison à louer à Léchelles? ✅ Découvrez nos nombreuses annonces sur ImmoScout24.ch.</v>
      </c>
      <c r="J2995" s="4" t="s">
        <v>8979</v>
      </c>
    </row>
    <row r="2996">
      <c r="A2996" s="5" t="s">
        <v>8980</v>
      </c>
      <c r="B2996" s="2" t="s">
        <v>8981</v>
      </c>
      <c r="C2996" s="4" t="str">
        <f>IFERROR(__xludf.DUMMYFUNCTION("""🏘️ ""&amp;REGEXEXTRACT(B2996, ""^(.*): "")&amp;"" ✅ "" &amp;REGEXEXTRACT(B2996, ""(Trouvez.*)"")"),"🏘️ Louer appartement Versoix ✅ Trouvez le bien immobilier qui correspond idéalement à vos désirs sur ImmoScout24 - La plateforme de l'immobilier en Suisse.")</f>
        <v>🏘️ Louer appartement Versoix ✅ Trouvez le bien immobilier qui correspond idéalement à vos désirs sur ImmoScout24 - La plateforme de l'immobilier en Suisse.</v>
      </c>
      <c r="D2996" s="4" t="str">
        <f>vlookup(A2996, Sheet2!D:E, 2, 0)</f>
        <v>variant</v>
      </c>
      <c r="E2996" s="4" t="str">
        <f>IFERROR(__xludf.DUMMYFUNCTION("if(H2996=""pays"",vlookup(REGEXEXTRACT(C2996, ""🏘️ \w+ \w+ (.*) ✅""),'Country prepositions'!A:B, 2, 0) &amp; "" "" &amp; REGEXEXTRACT(C2996, ""🏘️ \w+ \w+ (.*) ✅"") ,  if(H2996=""quartier"",vlookup(REGEXEXTRACT(C2996, ""🏘️ \w+ \w+ (.*) ✅""),'Quartier prepositio"&amp;"ns'!A:E, 5, 0) ,  if(H2996=""region"",vlookup(REGEXEXTRACT(C2996, ""🏘️ \w+ \w+ (.*) ✅""),'Region prepositions'!B:F, 5, 0),  REGEXEXTRACT(C2996, ""🏘️ \w+ \w+ (.*) ✅""))))"),"Versoix")</f>
        <v>Versoix</v>
      </c>
      <c r="F2996" s="2" t="str">
        <f>IFERROR(__xludf.DUMMYFUNCTION("REGEXEXTRACT(C2996, ""🏘️ (\w+) \w+ .* ✅"")"),"Louer")</f>
        <v>Louer</v>
      </c>
      <c r="G2996" s="2" t="str">
        <f>IFERROR(__xludf.DUMMYFUNCTION("REGEXEXTRACT(C2996, ""🏘️ \w+ (\w+) .* ✅"")"),"appartement")</f>
        <v>appartement</v>
      </c>
      <c r="H2996" s="4" t="str">
        <f>IFERROR(__xludf.DUMMYFUNCTION("REGEXEXTRACT(A2996, ""/(\w+)-.*?"")"),"lieu")</f>
        <v>lieu</v>
      </c>
      <c r="I2996" s="4" t="str">
        <f>IFERROR(__xludf.DUMMYFUNCTION("if(D2996=""variant"",  substitute(filter(Templates!E:E, Templates!A:A = F2996, Templates!B:B = G2996, Templates!C:C = H2996), ""{{}}"", E2996), B2996)"),"🏘  Vous cherchez un appartement à louer à Versoix? ✅ Les annonces les plus actuelles sont sur ImmoScout24.ch.")</f>
        <v>🏘  Vous cherchez un appartement à louer à Versoix? ✅ Les annonces les plus actuelles sont sur ImmoScout24.ch.</v>
      </c>
      <c r="J2996" s="4" t="s">
        <v>8982</v>
      </c>
    </row>
    <row r="2997">
      <c r="A2997" s="5" t="s">
        <v>8983</v>
      </c>
      <c r="B2997" s="2" t="s">
        <v>8984</v>
      </c>
      <c r="C2997" s="4" t="str">
        <f>IFERROR(__xludf.DUMMYFUNCTION("""🏘️ ""&amp;REGEXEXTRACT(B2997, ""^(.*): "")&amp;"" ✅ "" &amp;REGEXEXTRACT(B2997, ""(Trouvez.*)"")"),"🏘️ Louer maison Villaz-St-Pierre ✅ Trouvez le bien immobilier qui correspond idéalement à vos désirs sur ImmoScout24 - La plateforme de l'immobilier en Suisse.")</f>
        <v>🏘️ Louer maison Villaz-St-Pierre ✅ Trouvez le bien immobilier qui correspond idéalement à vos désirs sur ImmoScout24 - La plateforme de l'immobilier en Suisse.</v>
      </c>
      <c r="D2997" s="4" t="str">
        <f>vlookup(A2997, Sheet2!D:E, 2, 0)</f>
        <v>variant</v>
      </c>
      <c r="E2997" s="4" t="str">
        <f>IFERROR(__xludf.DUMMYFUNCTION("if(H2997=""pays"",vlookup(REGEXEXTRACT(C2997, ""🏘️ \w+ \w+ (.*) ✅""),'Country prepositions'!A:B, 2, 0) &amp; "" "" &amp; REGEXEXTRACT(C2997, ""🏘️ \w+ \w+ (.*) ✅"") ,  if(H2997=""quartier"",vlookup(REGEXEXTRACT(C2997, ""🏘️ \w+ \w+ (.*) ✅""),'Quartier prepositio"&amp;"ns'!A:E, 5, 0) ,  if(H2997=""region"",vlookup(REGEXEXTRACT(C2997, ""🏘️ \w+ \w+ (.*) ✅""),'Region prepositions'!B:F, 5, 0),  REGEXEXTRACT(C2997, ""🏘️ \w+ \w+ (.*) ✅""))))"),"Villaz-St-Pierre")</f>
        <v>Villaz-St-Pierre</v>
      </c>
      <c r="F2997" s="2" t="str">
        <f>IFERROR(__xludf.DUMMYFUNCTION("REGEXEXTRACT(C2997, ""🏘️ (\w+) \w+ .* ✅"")"),"Louer")</f>
        <v>Louer</v>
      </c>
      <c r="G2997" s="2" t="str">
        <f>IFERROR(__xludf.DUMMYFUNCTION("REGEXEXTRACT(C2997, ""🏘️ \w+ (\w+) .* ✅"")"),"maison")</f>
        <v>maison</v>
      </c>
      <c r="H2997" s="4" t="str">
        <f>IFERROR(__xludf.DUMMYFUNCTION("REGEXEXTRACT(A2997, ""/(\w+)-.*?"")"),"lieu")</f>
        <v>lieu</v>
      </c>
      <c r="I2997" s="4" t="str">
        <f>IFERROR(__xludf.DUMMYFUNCTION("if(D2997=""variant"",  substitute(filter(Templates!E:E, Templates!A:A = F2997, Templates!B:B = G2997, Templates!C:C = H2997), ""{{}}"", E2997), B2997)"),"🏘  Vous cherchez une maison à louer à Villaz-St-Pierre? ✅ Découvrez nos nombreuses annonces sur ImmoScout24.ch.")</f>
        <v>🏘  Vous cherchez une maison à louer à Villaz-St-Pierre? ✅ Découvrez nos nombreuses annonces sur ImmoScout24.ch.</v>
      </c>
      <c r="J2997" s="4" t="s">
        <v>8985</v>
      </c>
    </row>
    <row r="2998">
      <c r="A2998" s="5" t="s">
        <v>8986</v>
      </c>
      <c r="B2998" s="2" t="s">
        <v>8987</v>
      </c>
      <c r="C2998" s="4" t="str">
        <f>IFERROR(__xludf.DUMMYFUNCTION("""🏘️ ""&amp;REGEXEXTRACT(B2998, ""^(.*): "")&amp;"" ✅ "" &amp;REGEXEXTRACT(B2998, ""(Trouvez.*)"")"),"🏘️ Vendre maison Berlingen ✅ Trouvez le bien immobilier qui correspond idéalement à vos désirs sur ImmoScout24 - La plateforme de l'immobilier en Suisse.")</f>
        <v>🏘️ Vendre maison Berlingen ✅ Trouvez le bien immobilier qui correspond idéalement à vos désirs sur ImmoScout24 - La plateforme de l'immobilier en Suisse.</v>
      </c>
      <c r="D2998" s="4" t="str">
        <f>vlookup(A2998, Sheet2!D:E, 2, 0)</f>
        <v>variant</v>
      </c>
      <c r="E2998" s="4" t="str">
        <f>IFERROR(__xludf.DUMMYFUNCTION("if(H2998=""pays"",vlookup(REGEXEXTRACT(C2998, ""🏘️ \w+ \w+ (.*) ✅""),'Country prepositions'!A:B, 2, 0) &amp; "" "" &amp; REGEXEXTRACT(C2998, ""🏘️ \w+ \w+ (.*) ✅"") ,  if(H2998=""quartier"",vlookup(REGEXEXTRACT(C2998, ""🏘️ \w+ \w+ (.*) ✅""),'Quartier prepositio"&amp;"ns'!A:E, 5, 0) ,  if(H2998=""region"",vlookup(REGEXEXTRACT(C2998, ""🏘️ \w+ \w+ (.*) ✅""),'Region prepositions'!B:F, 5, 0),  REGEXEXTRACT(C2998, ""🏘️ \w+ \w+ (.*) ✅""))))"),"Berlingen")</f>
        <v>Berlingen</v>
      </c>
      <c r="F2998" s="2" t="str">
        <f>IFERROR(__xludf.DUMMYFUNCTION("REGEXEXTRACT(C2998, ""🏘️ (\w+) \w+ .* ✅"")"),"Vendre")</f>
        <v>Vendre</v>
      </c>
      <c r="G2998" s="2" t="str">
        <f>IFERROR(__xludf.DUMMYFUNCTION("REGEXEXTRACT(C2998, ""🏘️ \w+ (\w+) .* ✅"")"),"maison")</f>
        <v>maison</v>
      </c>
      <c r="H2998" s="4" t="str">
        <f>IFERROR(__xludf.DUMMYFUNCTION("REGEXEXTRACT(A2998, ""/(\w+)-.*?"")"),"lieu")</f>
        <v>lieu</v>
      </c>
      <c r="I2998" s="4" t="str">
        <f>IFERROR(__xludf.DUMMYFUNCTION("if(D2998=""variant"",  substitute(filter(Templates!E:E, Templates!A:A = F2998, Templates!B:B = G2998, Templates!C:C = H2998), ""{{}}"", E2998), B2998)"),"🏘  Vous souhaitez acheter une maison à Berlingen? ✅ Jetez un œil aux dernières offres sur ImmoScout24.ch.")</f>
        <v>🏘  Vous souhaitez acheter une maison à Berlingen? ✅ Jetez un œil aux dernières offres sur ImmoScout24.ch.</v>
      </c>
      <c r="J2998" s="4" t="s">
        <v>8988</v>
      </c>
    </row>
    <row r="2999">
      <c r="A2999" s="5" t="s">
        <v>8989</v>
      </c>
      <c r="B2999" s="2" t="s">
        <v>8990</v>
      </c>
      <c r="C2999" s="4" t="str">
        <f>IFERROR(__xludf.DUMMYFUNCTION("""🏘️ ""&amp;REGEXEXTRACT(B2999, ""^(.*): "")&amp;"" ✅ "" &amp;REGEXEXTRACT(B2999, ""(Trouvez.*)"")"),"🏘️ Louer appartement Les Ponts-de-Martel ✅ Trouvez le bien immobilier qui correspond idéalement à vos désirs sur ImmoScout24 - La plateforme de l'immobilier en Suisse.")</f>
        <v>🏘️ Louer appartement Les Ponts-de-Martel ✅ Trouvez le bien immobilier qui correspond idéalement à vos désirs sur ImmoScout24 - La plateforme de l'immobilier en Suisse.</v>
      </c>
      <c r="D2999" s="4" t="str">
        <f>vlookup(A2999, Sheet2!D:E, 2, 0)</f>
        <v>variant</v>
      </c>
      <c r="E2999" s="4" t="str">
        <f>IFERROR(__xludf.DUMMYFUNCTION("if(H2999=""pays"",vlookup(REGEXEXTRACT(C2999, ""🏘️ \w+ \w+ (.*) ✅""),'Country prepositions'!A:B, 2, 0) &amp; "" "" &amp; REGEXEXTRACT(C2999, ""🏘️ \w+ \w+ (.*) ✅"") ,  if(H2999=""quartier"",vlookup(REGEXEXTRACT(C2999, ""🏘️ \w+ \w+ (.*) ✅""),'Quartier prepositio"&amp;"ns'!A:E, 5, 0) ,  if(H2999=""region"",vlookup(REGEXEXTRACT(C2999, ""🏘️ \w+ \w+ (.*) ✅""),'Region prepositions'!B:F, 5, 0),  REGEXEXTRACT(C2999, ""🏘️ \w+ \w+ (.*) ✅""))))"),"Les Ponts-de-Martel")</f>
        <v>Les Ponts-de-Martel</v>
      </c>
      <c r="F2999" s="2" t="str">
        <f>IFERROR(__xludf.DUMMYFUNCTION("REGEXEXTRACT(C2999, ""🏘️ (\w+) \w+ .* ✅"")"),"Louer")</f>
        <v>Louer</v>
      </c>
      <c r="G2999" s="2" t="str">
        <f>IFERROR(__xludf.DUMMYFUNCTION("REGEXEXTRACT(C2999, ""🏘️ \w+ (\w+) .* ✅"")"),"appartement")</f>
        <v>appartement</v>
      </c>
      <c r="H2999" s="4" t="str">
        <f>IFERROR(__xludf.DUMMYFUNCTION("REGEXEXTRACT(A2999, ""/(\w+)-.*?"")"),"lieu")</f>
        <v>lieu</v>
      </c>
      <c r="I2999" s="4" t="str">
        <f>IFERROR(__xludf.DUMMYFUNCTION("if(D2999=""variant"",  substitute(filter(Templates!E:E, Templates!A:A = F2999, Templates!B:B = G2999, Templates!C:C = H2999), ""{{}}"", E2999), B2999)"),"🏘  Vous cherchez un appartement à louer à Les Ponts-de-Martel? ✅ Les annonces les plus actuelles sont sur ImmoScout24.ch.")</f>
        <v>🏘  Vous cherchez un appartement à louer à Les Ponts-de-Martel? ✅ Les annonces les plus actuelles sont sur ImmoScout24.ch.</v>
      </c>
      <c r="J2999" s="2" t="s">
        <v>8991</v>
      </c>
    </row>
    <row r="3000">
      <c r="A3000" s="5" t="s">
        <v>8992</v>
      </c>
      <c r="B3000" s="2" t="s">
        <v>8993</v>
      </c>
      <c r="C3000" s="4" t="str">
        <f>IFERROR(__xludf.DUMMYFUNCTION("""🏘️ ""&amp;REGEXEXTRACT(B3000, ""^(.*): "")&amp;"" ✅ "" &amp;REGEXEXTRACT(B3000, ""(Trouvez.*)"")"),"🏘️ Vendre appartement Mendrisiotto ✅ Trouvez le bien immobilier qui correspond idéalement à vos désirs sur ImmoScout24 - La plateforme de l'immobilier en Suisse.")</f>
        <v>🏘️ Vendre appartement Mendrisiotto ✅ Trouvez le bien immobilier qui correspond idéalement à vos désirs sur ImmoScout24 - La plateforme de l'immobilier en Suisse.</v>
      </c>
      <c r="D3000" s="4" t="str">
        <f>vlookup(A3000, Sheet2!D:E, 2, 0)</f>
        <v>variant</v>
      </c>
      <c r="E3000" s="4" t="str">
        <f>IFERROR(__xludf.DUMMYFUNCTION("if(H3000=""pays"",vlookup(REGEXEXTRACT(C3000, ""🏘️ \w+ \w+ (.*) ✅""),'Country prepositions'!A:B, 2, 0) &amp; "" "" &amp; REGEXEXTRACT(C3000, ""🏘️ \w+ \w+ (.*) ✅"") ,  if(H3000=""quartier"",vlookup(REGEXEXTRACT(C3000, ""🏘️ \w+ \w+ (.*) ✅""),'Quartier prepositio"&amp;"ns'!A:E, 5, 0) ,  if(H3000=""region"",vlookup(REGEXEXTRACT(C3000, ""🏘️ \w+ \w+ (.*) ✅""),'Region prepositions'!B:F, 5, 0),  REGEXEXTRACT(C3000, ""🏘️ \w+ \w+ (.*) ✅""))))"),"dans le Mendrisiotto")</f>
        <v>dans le Mendrisiotto</v>
      </c>
      <c r="F3000" s="2" t="str">
        <f>IFERROR(__xludf.DUMMYFUNCTION("REGEXEXTRACT(C3000, ""🏘️ (\w+) \w+ .* ✅"")"),"Vendre")</f>
        <v>Vendre</v>
      </c>
      <c r="G3000" s="2" t="str">
        <f>IFERROR(__xludf.DUMMYFUNCTION("REGEXEXTRACT(C3000, ""🏘️ \w+ (\w+) .* ✅"")"),"appartement")</f>
        <v>appartement</v>
      </c>
      <c r="H3000" s="4" t="str">
        <f>IFERROR(__xludf.DUMMYFUNCTION("REGEXEXTRACT(A3000, ""/(\w+)-.*?"")"),"region")</f>
        <v>region</v>
      </c>
      <c r="I3000" s="4" t="str">
        <f>IFERROR(__xludf.DUMMYFUNCTION("if(D3000=""variant"",  substitute(filter(Templates!E:E, Templates!A:A = F3000, Templates!B:B = G3000, Templates!C:C = H3000), ""{{}}"", E3000), B3000)"),"🏘  L’appartement de vos rêves se trouve sur ImmoScout24.ch ✅ Découvrez les dernières annonces de vente dans le Mendrisiotto.")</f>
        <v>🏘  L’appartement de vos rêves se trouve sur ImmoScout24.ch ✅ Découvrez les dernières annonces de vente dans le Mendrisiotto.</v>
      </c>
      <c r="J3000" s="4" t="s">
        <v>8994</v>
      </c>
    </row>
    <row r="3001">
      <c r="A3001" s="5" t="s">
        <v>8995</v>
      </c>
      <c r="B3001" s="2" t="s">
        <v>8996</v>
      </c>
      <c r="C3001" s="4" t="str">
        <f>IFERROR(__xludf.DUMMYFUNCTION("""🏘️ ""&amp;REGEXEXTRACT(B3001, ""^(.*): "")&amp;"" ✅ "" &amp;REGEXEXTRACT(B3001, ""(Trouvez.*)"")"),"🏘️ Louer appartement St. Moritz ✅ Trouvez le bien immobilier qui correspond idéalement à vos désirs sur ImmoScout24 - La plateforme de l'immobilier en Suisse.")</f>
        <v>🏘️ Louer appartement St. Moritz ✅ Trouvez le bien immobilier qui correspond idéalement à vos désirs sur ImmoScout24 - La plateforme de l'immobilier en Suisse.</v>
      </c>
      <c r="D3001" s="4" t="str">
        <f>vlookup(A3001, Sheet2!D:E, 2, 0)</f>
        <v>variant</v>
      </c>
      <c r="E3001" s="4" t="str">
        <f>IFERROR(__xludf.DUMMYFUNCTION("if(H3001=""pays"",vlookup(REGEXEXTRACT(C3001, ""🏘️ \w+ \w+ (.*) ✅""),'Country prepositions'!A:B, 2, 0) &amp; "" "" &amp; REGEXEXTRACT(C3001, ""🏘️ \w+ \w+ (.*) ✅"") ,  if(H3001=""quartier"",vlookup(REGEXEXTRACT(C3001, ""🏘️ \w+ \w+ (.*) ✅""),'Quartier prepositio"&amp;"ns'!A:E, 5, 0) ,  if(H3001=""region"",vlookup(REGEXEXTRACT(C3001, ""🏘️ \w+ \w+ (.*) ✅""),'Region prepositions'!B:F, 5, 0),  REGEXEXTRACT(C3001, ""🏘️ \w+ \w+ (.*) ✅""))))"),"St. Moritz")</f>
        <v>St. Moritz</v>
      </c>
      <c r="F3001" s="2" t="str">
        <f>IFERROR(__xludf.DUMMYFUNCTION("REGEXEXTRACT(C3001, ""🏘️ (\w+) \w+ .* ✅"")"),"Louer")</f>
        <v>Louer</v>
      </c>
      <c r="G3001" s="2" t="str">
        <f>IFERROR(__xludf.DUMMYFUNCTION("REGEXEXTRACT(C3001, ""🏘️ \w+ (\w+) .* ✅"")"),"appartement")</f>
        <v>appartement</v>
      </c>
      <c r="H3001" s="4" t="str">
        <f>IFERROR(__xludf.DUMMYFUNCTION("REGEXEXTRACT(A3001, ""/(\w+)-.*?"")"),"lieu")</f>
        <v>lieu</v>
      </c>
      <c r="I3001" s="4" t="str">
        <f>IFERROR(__xludf.DUMMYFUNCTION("if(D3001=""variant"",  substitute(filter(Templates!E:E, Templates!A:A = F3001, Templates!B:B = G3001, Templates!C:C = H3001), ""{{}}"", E3001), B3001)"),"🏘  Vous cherchez un appartement à louer à St. Moritz? ✅ Les annonces les plus actuelles sont sur ImmoScout24.ch.")</f>
        <v>🏘  Vous cherchez un appartement à louer à St. Moritz? ✅ Les annonces les plus actuelles sont sur ImmoScout24.ch.</v>
      </c>
      <c r="J3001" s="4" t="s">
        <v>8997</v>
      </c>
    </row>
    <row r="3002">
      <c r="A3002" s="5" t="s">
        <v>8998</v>
      </c>
      <c r="B3002" s="2" t="s">
        <v>8999</v>
      </c>
      <c r="C3002" s="4" t="str">
        <f>IFERROR(__xludf.DUMMYFUNCTION("""🏘️ ""&amp;REGEXEXTRACT(B3002, ""^(.*): "")&amp;"" ✅ "" &amp;REGEXEXTRACT(B3002, ""(Trouvez.*)"")"),"🏘️ Louer maison Cottens FR ✅ Trouvez le bien immobilier qui correspond idéalement à vos désirs sur ImmoScout24 - La plateforme de l'immobilier en Suisse.")</f>
        <v>🏘️ Louer maison Cottens FR ✅ Trouvez le bien immobilier qui correspond idéalement à vos désirs sur ImmoScout24 - La plateforme de l'immobilier en Suisse.</v>
      </c>
      <c r="D3002" s="4" t="str">
        <f>vlookup(A3002, Sheet2!D:E, 2, 0)</f>
        <v>variant</v>
      </c>
      <c r="E3002" s="4" t="str">
        <f>IFERROR(__xludf.DUMMYFUNCTION("if(H3002=""pays"",vlookup(REGEXEXTRACT(C3002, ""🏘️ \w+ \w+ (.*) ✅""),'Country prepositions'!A:B, 2, 0) &amp; "" "" &amp; REGEXEXTRACT(C3002, ""🏘️ \w+ \w+ (.*) ✅"") ,  if(H3002=""quartier"",vlookup(REGEXEXTRACT(C3002, ""🏘️ \w+ \w+ (.*) ✅""),'Quartier prepositio"&amp;"ns'!A:E, 5, 0) ,  if(H3002=""region"",vlookup(REGEXEXTRACT(C3002, ""🏘️ \w+ \w+ (.*) ✅""),'Region prepositions'!B:F, 5, 0),  REGEXEXTRACT(C3002, ""🏘️ \w+ \w+ (.*) ✅""))))"),"Cottens FR")</f>
        <v>Cottens FR</v>
      </c>
      <c r="F3002" s="2" t="str">
        <f>IFERROR(__xludf.DUMMYFUNCTION("REGEXEXTRACT(C3002, ""🏘️ (\w+) \w+ .* ✅"")"),"Louer")</f>
        <v>Louer</v>
      </c>
      <c r="G3002" s="2" t="str">
        <f>IFERROR(__xludf.DUMMYFUNCTION("REGEXEXTRACT(C3002, ""🏘️ \w+ (\w+) .* ✅"")"),"maison")</f>
        <v>maison</v>
      </c>
      <c r="H3002" s="4" t="str">
        <f>IFERROR(__xludf.DUMMYFUNCTION("REGEXEXTRACT(A3002, ""/(\w+)-.*?"")"),"lieu")</f>
        <v>lieu</v>
      </c>
      <c r="I3002" s="4" t="str">
        <f>IFERROR(__xludf.DUMMYFUNCTION("if(D3002=""variant"",  substitute(filter(Templates!E:E, Templates!A:A = F3002, Templates!B:B = G3002, Templates!C:C = H3002), ""{{}}"", E3002), B3002)"),"🏘  Vous cherchez une maison à louer à Cottens FR? ✅ Découvrez nos nombreuses annonces sur ImmoScout24.ch.")</f>
        <v>🏘  Vous cherchez une maison à louer à Cottens FR? ✅ Découvrez nos nombreuses annonces sur ImmoScout24.ch.</v>
      </c>
      <c r="J3002" s="4" t="s">
        <v>9000</v>
      </c>
    </row>
    <row r="3003">
      <c r="A3003" s="5" t="s">
        <v>9001</v>
      </c>
      <c r="B3003" s="2" t="s">
        <v>9002</v>
      </c>
      <c r="C3003" s="4" t="str">
        <f>IFERROR(__xludf.DUMMYFUNCTION("""🏘️ ""&amp;REGEXEXTRACT(B3003, ""^(.*): "")&amp;"" ✅ "" &amp;REGEXEXTRACT(B3003, ""(Trouvez.*)"")"),"🏘️ Vendre maison La Forclaz VS ✅ Trouvez le bien immobilier qui correspond idéalement à vos désirs sur ImmoScout24 - La plateforme de l'immobilier en Suisse.")</f>
        <v>🏘️ Vendre maison La Forclaz VS ✅ Trouvez le bien immobilier qui correspond idéalement à vos désirs sur ImmoScout24 - La plateforme de l'immobilier en Suisse.</v>
      </c>
      <c r="D3003" s="4" t="str">
        <f>vlookup(A3003, Sheet2!D:E, 2, 0)</f>
        <v>variant</v>
      </c>
      <c r="E3003" s="4" t="str">
        <f>IFERROR(__xludf.DUMMYFUNCTION("if(H3003=""pays"",vlookup(REGEXEXTRACT(C3003, ""🏘️ \w+ \w+ (.*) ✅""),'Country prepositions'!A:B, 2, 0) &amp; "" "" &amp; REGEXEXTRACT(C3003, ""🏘️ \w+ \w+ (.*) ✅"") ,  if(H3003=""quartier"",vlookup(REGEXEXTRACT(C3003, ""🏘️ \w+ \w+ (.*) ✅""),'Quartier prepositio"&amp;"ns'!A:E, 5, 0) ,  if(H3003=""region"",vlookup(REGEXEXTRACT(C3003, ""🏘️ \w+ \w+ (.*) ✅""),'Region prepositions'!B:F, 5, 0),  REGEXEXTRACT(C3003, ""🏘️ \w+ \w+ (.*) ✅""))))"),"La Forclaz VS")</f>
        <v>La Forclaz VS</v>
      </c>
      <c r="F3003" s="2" t="str">
        <f>IFERROR(__xludf.DUMMYFUNCTION("REGEXEXTRACT(C3003, ""🏘️ (\w+) \w+ .* ✅"")"),"Vendre")</f>
        <v>Vendre</v>
      </c>
      <c r="G3003" s="2" t="str">
        <f>IFERROR(__xludf.DUMMYFUNCTION("REGEXEXTRACT(C3003, ""🏘️ \w+ (\w+) .* ✅"")"),"maison")</f>
        <v>maison</v>
      </c>
      <c r="H3003" s="4" t="str">
        <f>IFERROR(__xludf.DUMMYFUNCTION("REGEXEXTRACT(A3003, ""/(\w+)-.*?"")"),"lieu")</f>
        <v>lieu</v>
      </c>
      <c r="I3003" s="4" t="str">
        <f>IFERROR(__xludf.DUMMYFUNCTION("if(D3003=""variant"",  substitute(filter(Templates!E:E, Templates!A:A = F3003, Templates!B:B = G3003, Templates!C:C = H3003), ""{{}}"", E3003), B3003)"),"🏘  Vous souhaitez acheter une maison à La Forclaz VS? ✅ Jetez un œil aux dernières offres sur ImmoScout24.ch.")</f>
        <v>🏘  Vous souhaitez acheter une maison à La Forclaz VS? ✅ Jetez un œil aux dernières offres sur ImmoScout24.ch.</v>
      </c>
      <c r="J3003" s="4" t="s">
        <v>9003</v>
      </c>
    </row>
    <row r="3004">
      <c r="A3004" s="5" t="s">
        <v>9004</v>
      </c>
      <c r="B3004" s="2" t="s">
        <v>9005</v>
      </c>
      <c r="C3004" s="4" t="str">
        <f>IFERROR(__xludf.DUMMYFUNCTION("""🏘️ ""&amp;REGEXEXTRACT(B3004, ""^(.*): "")&amp;"" ✅ "" &amp;REGEXEXTRACT(B3004, ""(Trouvez.*)"")"),"🏘️ Louer maison Vuarrens ✅ Trouvez le bien immobilier qui correspond idéalement à vos désirs sur ImmoScout24 - La plateforme de l'immobilier en Suisse.")</f>
        <v>🏘️ Louer maison Vuarrens ✅ Trouvez le bien immobilier qui correspond idéalement à vos désirs sur ImmoScout24 - La plateforme de l'immobilier en Suisse.</v>
      </c>
      <c r="D3004" s="4" t="str">
        <f>vlookup(A3004, Sheet2!D:E, 2, 0)</f>
        <v>variant</v>
      </c>
      <c r="E3004" s="4" t="str">
        <f>IFERROR(__xludf.DUMMYFUNCTION("if(H3004=""pays"",vlookup(REGEXEXTRACT(C3004, ""🏘️ \w+ \w+ (.*) ✅""),'Country prepositions'!A:B, 2, 0) &amp; "" "" &amp; REGEXEXTRACT(C3004, ""🏘️ \w+ \w+ (.*) ✅"") ,  if(H3004=""quartier"",vlookup(REGEXEXTRACT(C3004, ""🏘️ \w+ \w+ (.*) ✅""),'Quartier prepositio"&amp;"ns'!A:E, 5, 0) ,  if(H3004=""region"",vlookup(REGEXEXTRACT(C3004, ""🏘️ \w+ \w+ (.*) ✅""),'Region prepositions'!B:F, 5, 0),  REGEXEXTRACT(C3004, ""🏘️ \w+ \w+ (.*) ✅""))))"),"Vuarrens")</f>
        <v>Vuarrens</v>
      </c>
      <c r="F3004" s="2" t="str">
        <f>IFERROR(__xludf.DUMMYFUNCTION("REGEXEXTRACT(C3004, ""🏘️ (\w+) \w+ .* ✅"")"),"Louer")</f>
        <v>Louer</v>
      </c>
      <c r="G3004" s="2" t="str">
        <f>IFERROR(__xludf.DUMMYFUNCTION("REGEXEXTRACT(C3004, ""🏘️ \w+ (\w+) .* ✅"")"),"maison")</f>
        <v>maison</v>
      </c>
      <c r="H3004" s="4" t="str">
        <f>IFERROR(__xludf.DUMMYFUNCTION("REGEXEXTRACT(A3004, ""/(\w+)-.*?"")"),"lieu")</f>
        <v>lieu</v>
      </c>
      <c r="I3004" s="4" t="str">
        <f>IFERROR(__xludf.DUMMYFUNCTION("if(D3004=""variant"",  substitute(filter(Templates!E:E, Templates!A:A = F3004, Templates!B:B = G3004, Templates!C:C = H3004), ""{{}}"", E3004), B3004)"),"🏘  Vous cherchez une maison à louer à Vuarrens? ✅ Découvrez nos nombreuses annonces sur ImmoScout24.ch.")</f>
        <v>🏘  Vous cherchez une maison à louer à Vuarrens? ✅ Découvrez nos nombreuses annonces sur ImmoScout24.ch.</v>
      </c>
      <c r="J3004" s="4" t="s">
        <v>9006</v>
      </c>
    </row>
    <row r="3005">
      <c r="A3005" s="5" t="s">
        <v>9007</v>
      </c>
      <c r="B3005" s="2" t="s">
        <v>9008</v>
      </c>
      <c r="C3005" s="4" t="str">
        <f>IFERROR(__xludf.DUMMYFUNCTION("""🏘️ ""&amp;REGEXEXTRACT(B3005, ""^(.*): "")&amp;"" ✅ "" &amp;REGEXEXTRACT(B3005, ""(Trouvez.*)"")"),"🏘️ Louer appartement Krattigen ✅ Trouvez le bien immobilier qui correspond idéalement à vos désirs sur ImmoScout24 - La plateforme de l'immobilier en Suisse.")</f>
        <v>🏘️ Louer appartement Krattigen ✅ Trouvez le bien immobilier qui correspond idéalement à vos désirs sur ImmoScout24 - La plateforme de l'immobilier en Suisse.</v>
      </c>
      <c r="D3005" s="4" t="str">
        <f>vlookup(A3005, Sheet2!D:E, 2, 0)</f>
        <v>variant</v>
      </c>
      <c r="E3005" s="4" t="str">
        <f>IFERROR(__xludf.DUMMYFUNCTION("if(H3005=""pays"",vlookup(REGEXEXTRACT(C3005, ""🏘️ \w+ \w+ (.*) ✅""),'Country prepositions'!A:B, 2, 0) &amp; "" "" &amp; REGEXEXTRACT(C3005, ""🏘️ \w+ \w+ (.*) ✅"") ,  if(H3005=""quartier"",vlookup(REGEXEXTRACT(C3005, ""🏘️ \w+ \w+ (.*) ✅""),'Quartier prepositio"&amp;"ns'!A:E, 5, 0) ,  if(H3005=""region"",vlookup(REGEXEXTRACT(C3005, ""🏘️ \w+ \w+ (.*) ✅""),'Region prepositions'!B:F, 5, 0),  REGEXEXTRACT(C3005, ""🏘️ \w+ \w+ (.*) ✅""))))"),"Krattigen")</f>
        <v>Krattigen</v>
      </c>
      <c r="F3005" s="2" t="str">
        <f>IFERROR(__xludf.DUMMYFUNCTION("REGEXEXTRACT(C3005, ""🏘️ (\w+) \w+ .* ✅"")"),"Louer")</f>
        <v>Louer</v>
      </c>
      <c r="G3005" s="2" t="str">
        <f>IFERROR(__xludf.DUMMYFUNCTION("REGEXEXTRACT(C3005, ""🏘️ \w+ (\w+) .* ✅"")"),"appartement")</f>
        <v>appartement</v>
      </c>
      <c r="H3005" s="4" t="str">
        <f>IFERROR(__xludf.DUMMYFUNCTION("REGEXEXTRACT(A3005, ""/(\w+)-.*?"")"),"lieu")</f>
        <v>lieu</v>
      </c>
      <c r="I3005" s="4" t="str">
        <f>IFERROR(__xludf.DUMMYFUNCTION("if(D3005=""variant"",  substitute(filter(Templates!E:E, Templates!A:A = F3005, Templates!B:B = G3005, Templates!C:C = H3005), ""{{}}"", E3005), B3005)"),"🏘  Vous cherchez un appartement à louer à Krattigen? ✅ Les annonces les plus actuelles sont sur ImmoScout24.ch.")</f>
        <v>🏘  Vous cherchez un appartement à louer à Krattigen? ✅ Les annonces les plus actuelles sont sur ImmoScout24.ch.</v>
      </c>
      <c r="J3005" s="4" t="s">
        <v>9009</v>
      </c>
    </row>
    <row r="3006">
      <c r="A3006" s="5" t="s">
        <v>9010</v>
      </c>
      <c r="B3006" s="2" t="s">
        <v>9011</v>
      </c>
      <c r="C3006" s="4" t="str">
        <f>IFERROR(__xludf.DUMMYFUNCTION("""🏘️ ""&amp;REGEXEXTRACT(B3006, ""^(.*): "")&amp;"" ✅ "" &amp;REGEXEXTRACT(B3006, ""(Trouvez.*)"")"),"🏘️ Vendre maison Nidwald ✅ Trouvez le bien immobilier qui correspond idéalement à vos désirs sur ImmoScout24 - La plateforme de l'immobilier en Suisse.")</f>
        <v>🏘️ Vendre maison Nidwald ✅ Trouvez le bien immobilier qui correspond idéalement à vos désirs sur ImmoScout24 - La plateforme de l'immobilier en Suisse.</v>
      </c>
      <c r="D3006" s="4" t="str">
        <f>vlookup(A3006, Sheet2!D:E, 2, 0)</f>
        <v>variant</v>
      </c>
      <c r="E3006" s="4" t="str">
        <f>IFERROR(__xludf.DUMMYFUNCTION("if(H3006=""pays"",vlookup(REGEXEXTRACT(C3006, ""🏘️ \w+ \w+ (.*) ✅""),'Country prepositions'!A:B, 2, 0) &amp; "" "" &amp; REGEXEXTRACT(C3006, ""🏘️ \w+ \w+ (.*) ✅"") ,  if(H3006=""quartier"",vlookup(REGEXEXTRACT(C3006, ""🏘️ \w+ \w+ (.*) ✅""),'Quartier prepositio"&amp;"ns'!A:E, 5, 0) ,  if(H3006=""region"",vlookup(REGEXEXTRACT(C3006, ""🏘️ \w+ \w+ (.*) ✅""),'Region prepositions'!B:F, 5, 0),  REGEXEXTRACT(C3006, ""🏘️ \w+ \w+ (.*) ✅""))))"),"dans le canton de Nidwald")</f>
        <v>dans le canton de Nidwald</v>
      </c>
      <c r="F3006" s="2" t="str">
        <f>IFERROR(__xludf.DUMMYFUNCTION("REGEXEXTRACT(C3006, ""🏘️ (\w+) \w+ .* ✅"")"),"Vendre")</f>
        <v>Vendre</v>
      </c>
      <c r="G3006" s="2" t="str">
        <f>IFERROR(__xludf.DUMMYFUNCTION("REGEXEXTRACT(C3006, ""🏘️ \w+ (\w+) .* ✅"")"),"maison")</f>
        <v>maison</v>
      </c>
      <c r="H3006" s="4" t="str">
        <f>IFERROR(__xludf.DUMMYFUNCTION("REGEXEXTRACT(A3006, ""/(\w+)-.*?"")"),"region")</f>
        <v>region</v>
      </c>
      <c r="I3006" s="4" t="str">
        <f>IFERROR(__xludf.DUMMYFUNCTION("if(D3006=""variant"",  substitute(filter(Templates!E:E, Templates!A:A = F3006, Templates!B:B = G3006, Templates!C:C = H3006), ""{{}}"", E3006), B3006)"),"🏘  Vous souhaitez acheter une maison dans le canton de Nidwald? ✅ Jetez un œil aux dernières offres sur ImmoScout24.ch.")</f>
        <v>🏘  Vous souhaitez acheter une maison dans le canton de Nidwald? ✅ Jetez un œil aux dernières offres sur ImmoScout24.ch.</v>
      </c>
      <c r="J3006" s="4" t="s">
        <v>9012</v>
      </c>
    </row>
    <row r="3007">
      <c r="A3007" s="5" t="s">
        <v>9013</v>
      </c>
      <c r="B3007" s="2" t="s">
        <v>9014</v>
      </c>
      <c r="C3007" s="4" t="str">
        <f>IFERROR(__xludf.DUMMYFUNCTION("""🏘️ ""&amp;REGEXEXTRACT(B3007, ""^(.*): "")&amp;"" ✅ "" &amp;REGEXEXTRACT(B3007, ""(Trouvez.*)"")"),"🏘️ Vendre maison Erlenbach im Simmental ✅ Trouvez le bien immobilier qui correspond idéalement à vos désirs sur ImmoScout24 - La plateforme de l'immobilier en Suisse.")</f>
        <v>🏘️ Vendre maison Erlenbach im Simmental ✅ Trouvez le bien immobilier qui correspond idéalement à vos désirs sur ImmoScout24 - La plateforme de l'immobilier en Suisse.</v>
      </c>
      <c r="D3007" s="4" t="str">
        <f>vlookup(A3007, Sheet2!D:E, 2, 0)</f>
        <v>variant</v>
      </c>
      <c r="E3007" s="4" t="str">
        <f>IFERROR(__xludf.DUMMYFUNCTION("if(H3007=""pays"",vlookup(REGEXEXTRACT(C3007, ""🏘️ \w+ \w+ (.*) ✅""),'Country prepositions'!A:B, 2, 0) &amp; "" "" &amp; REGEXEXTRACT(C3007, ""🏘️ \w+ \w+ (.*) ✅"") ,  if(H3007=""quartier"",vlookup(REGEXEXTRACT(C3007, ""🏘️ \w+ \w+ (.*) ✅""),'Quartier prepositio"&amp;"ns'!A:E, 5, 0) ,  if(H3007=""region"",vlookup(REGEXEXTRACT(C3007, ""🏘️ \w+ \w+ (.*) ✅""),'Region prepositions'!B:F, 5, 0),  REGEXEXTRACT(C3007, ""🏘️ \w+ \w+ (.*) ✅""))))"),"Erlenbach im Simmental")</f>
        <v>Erlenbach im Simmental</v>
      </c>
      <c r="F3007" s="2" t="str">
        <f>IFERROR(__xludf.DUMMYFUNCTION("REGEXEXTRACT(C3007, ""🏘️ (\w+) \w+ .* ✅"")"),"Vendre")</f>
        <v>Vendre</v>
      </c>
      <c r="G3007" s="2" t="str">
        <f>IFERROR(__xludf.DUMMYFUNCTION("REGEXEXTRACT(C3007, ""🏘️ \w+ (\w+) .* ✅"")"),"maison")</f>
        <v>maison</v>
      </c>
      <c r="H3007" s="4" t="str">
        <f>IFERROR(__xludf.DUMMYFUNCTION("REGEXEXTRACT(A3007, ""/(\w+)-.*?"")"),"lieu")</f>
        <v>lieu</v>
      </c>
      <c r="I3007" s="4" t="str">
        <f>IFERROR(__xludf.DUMMYFUNCTION("if(D3007=""variant"",  substitute(filter(Templates!E:E, Templates!A:A = F3007, Templates!B:B = G3007, Templates!C:C = H3007), ""{{}}"", E3007), B3007)"),"🏘  Vous souhaitez acheter une maison à Erlenbach im Simmental? ✅ Jetez un œil aux dernières offres sur ImmoScout24.ch.")</f>
        <v>🏘  Vous souhaitez acheter une maison à Erlenbach im Simmental? ✅ Jetez un œil aux dernières offres sur ImmoScout24.ch.</v>
      </c>
      <c r="J3007" s="4" t="s">
        <v>9015</v>
      </c>
    </row>
    <row r="3008">
      <c r="A3008" s="5" t="s">
        <v>9016</v>
      </c>
      <c r="B3008" s="2" t="s">
        <v>9017</v>
      </c>
      <c r="C3008" s="4" t="str">
        <f>IFERROR(__xludf.DUMMYFUNCTION("""🏘️ ""&amp;REGEXEXTRACT(B3008, ""^(.*): "")&amp;"" ✅ "" &amp;REGEXEXTRACT(B3008, ""(Trouvez.*)"")"),"🏘️ Louer appartement Frasses ✅ Trouvez le bien immobilier qui correspond idéalement à vos désirs sur ImmoScout24 - La plateforme de l'immobilier en Suisse.")</f>
        <v>🏘️ Louer appartement Frasses ✅ Trouvez le bien immobilier qui correspond idéalement à vos désirs sur ImmoScout24 - La plateforme de l'immobilier en Suisse.</v>
      </c>
      <c r="D3008" s="4" t="str">
        <f>vlookup(A3008, Sheet2!D:E, 2, 0)</f>
        <v>variant</v>
      </c>
      <c r="E3008" s="4" t="str">
        <f>IFERROR(__xludf.DUMMYFUNCTION("if(H3008=""pays"",vlookup(REGEXEXTRACT(C3008, ""🏘️ \w+ \w+ (.*) ✅""),'Country prepositions'!A:B, 2, 0) &amp; "" "" &amp; REGEXEXTRACT(C3008, ""🏘️ \w+ \w+ (.*) ✅"") ,  if(H3008=""quartier"",vlookup(REGEXEXTRACT(C3008, ""🏘️ \w+ \w+ (.*) ✅""),'Quartier prepositio"&amp;"ns'!A:E, 5, 0) ,  if(H3008=""region"",vlookup(REGEXEXTRACT(C3008, ""🏘️ \w+ \w+ (.*) ✅""),'Region prepositions'!B:F, 5, 0),  REGEXEXTRACT(C3008, ""🏘️ \w+ \w+ (.*) ✅""))))"),"Frasses")</f>
        <v>Frasses</v>
      </c>
      <c r="F3008" s="2" t="str">
        <f>IFERROR(__xludf.DUMMYFUNCTION("REGEXEXTRACT(C3008, ""🏘️ (\w+) \w+ .* ✅"")"),"Louer")</f>
        <v>Louer</v>
      </c>
      <c r="G3008" s="2" t="str">
        <f>IFERROR(__xludf.DUMMYFUNCTION("REGEXEXTRACT(C3008, ""🏘️ \w+ (\w+) .* ✅"")"),"appartement")</f>
        <v>appartement</v>
      </c>
      <c r="H3008" s="4" t="str">
        <f>IFERROR(__xludf.DUMMYFUNCTION("REGEXEXTRACT(A3008, ""/(\w+)-.*?"")"),"lieu")</f>
        <v>lieu</v>
      </c>
      <c r="I3008" s="4" t="str">
        <f>IFERROR(__xludf.DUMMYFUNCTION("if(D3008=""variant"",  substitute(filter(Templates!E:E, Templates!A:A = F3008, Templates!B:B = G3008, Templates!C:C = H3008), ""{{}}"", E3008), B3008)"),"🏘  Vous cherchez un appartement à louer à Frasses? ✅ Les annonces les plus actuelles sont sur ImmoScout24.ch.")</f>
        <v>🏘  Vous cherchez un appartement à louer à Frasses? ✅ Les annonces les plus actuelles sont sur ImmoScout24.ch.</v>
      </c>
      <c r="J3008" s="4" t="s">
        <v>9018</v>
      </c>
    </row>
    <row r="3009">
      <c r="A3009" s="5" t="s">
        <v>9019</v>
      </c>
      <c r="B3009" s="2" t="s">
        <v>9020</v>
      </c>
      <c r="C3009" s="4" t="str">
        <f>IFERROR(__xludf.DUMMYFUNCTION("""🏘️ ""&amp;REGEXEXTRACT(B3009, ""^(.*): "")&amp;"" ✅ "" &amp;REGEXEXTRACT(B3009, ""(Trouvez.*)"")"),"🏘️ Louer appartement Neuenhof ✅ Trouvez le bien immobilier qui correspond idéalement à vos désirs sur ImmoScout24 - La plateforme de l'immobilier en Suisse.")</f>
        <v>🏘️ Louer appartement Neuenhof ✅ Trouvez le bien immobilier qui correspond idéalement à vos désirs sur ImmoScout24 - La plateforme de l'immobilier en Suisse.</v>
      </c>
      <c r="D3009" s="4" t="str">
        <f>vlookup(A3009, Sheet2!D:E, 2, 0)</f>
        <v>variant</v>
      </c>
      <c r="E3009" s="4" t="str">
        <f>IFERROR(__xludf.DUMMYFUNCTION("if(H3009=""pays"",vlookup(REGEXEXTRACT(C3009, ""🏘️ \w+ \w+ (.*) ✅""),'Country prepositions'!A:B, 2, 0) &amp; "" "" &amp; REGEXEXTRACT(C3009, ""🏘️ \w+ \w+ (.*) ✅"") ,  if(H3009=""quartier"",vlookup(REGEXEXTRACT(C3009, ""🏘️ \w+ \w+ (.*) ✅""),'Quartier prepositio"&amp;"ns'!A:E, 5, 0) ,  if(H3009=""region"",vlookup(REGEXEXTRACT(C3009, ""🏘️ \w+ \w+ (.*) ✅""),'Region prepositions'!B:F, 5, 0),  REGEXEXTRACT(C3009, ""🏘️ \w+ \w+ (.*) ✅""))))"),"Neuenhof")</f>
        <v>Neuenhof</v>
      </c>
      <c r="F3009" s="2" t="str">
        <f>IFERROR(__xludf.DUMMYFUNCTION("REGEXEXTRACT(C3009, ""🏘️ (\w+) \w+ .* ✅"")"),"Louer")</f>
        <v>Louer</v>
      </c>
      <c r="G3009" s="2" t="str">
        <f>IFERROR(__xludf.DUMMYFUNCTION("REGEXEXTRACT(C3009, ""🏘️ \w+ (\w+) .* ✅"")"),"appartement")</f>
        <v>appartement</v>
      </c>
      <c r="H3009" s="4" t="str">
        <f>IFERROR(__xludf.DUMMYFUNCTION("REGEXEXTRACT(A3009, ""/(\w+)-.*?"")"),"lieu")</f>
        <v>lieu</v>
      </c>
      <c r="I3009" s="4" t="str">
        <f>IFERROR(__xludf.DUMMYFUNCTION("if(D3009=""variant"",  substitute(filter(Templates!E:E, Templates!A:A = F3009, Templates!B:B = G3009, Templates!C:C = H3009), ""{{}}"", E3009), B3009)"),"🏘  Vous cherchez un appartement à louer à Neuenhof? ✅ Les annonces les plus actuelles sont sur ImmoScout24.ch.")</f>
        <v>🏘  Vous cherchez un appartement à louer à Neuenhof? ✅ Les annonces les plus actuelles sont sur ImmoScout24.ch.</v>
      </c>
      <c r="J3009" s="4" t="s">
        <v>9021</v>
      </c>
    </row>
    <row r="3010">
      <c r="A3010" s="5" t="s">
        <v>9022</v>
      </c>
      <c r="B3010" s="2" t="s">
        <v>9023</v>
      </c>
      <c r="C3010" s="4" t="str">
        <f>IFERROR(__xludf.DUMMYFUNCTION("""🏘️ ""&amp;REGEXEXTRACT(B3010, ""^(.*): "")&amp;"" ✅ "" &amp;REGEXEXTRACT(B3010, ""(Trouvez.*)"")"),"🏘️ Vendre maison Lac de Constance ✅ Trouvez le bien immobilier qui correspond idéalement à vos désirs sur ImmoScout24 - La plateforme de l'immobilier en Suisse.")</f>
        <v>🏘️ Vendre maison Lac de Constance ✅ Trouvez le bien immobilier qui correspond idéalement à vos désirs sur ImmoScout24 - La plateforme de l'immobilier en Suisse.</v>
      </c>
      <c r="D3010" s="4" t="str">
        <f>vlookup(A3010, Sheet2!D:E, 2, 0)</f>
        <v>variant</v>
      </c>
      <c r="E3010" s="4" t="str">
        <f>IFERROR(__xludf.DUMMYFUNCTION("if(H3010=""pays"",vlookup(REGEXEXTRACT(C3010, ""🏘️ \w+ \w+ (.*) ✅""),'Country prepositions'!A:B, 2, 0) &amp; "" "" &amp; REGEXEXTRACT(C3010, ""🏘️ \w+ \w+ (.*) ✅"") ,  if(H3010=""quartier"",vlookup(REGEXEXTRACT(C3010, ""🏘️ \w+ \w+ (.*) ✅""),'Quartier prepositio"&amp;"ns'!A:E, 5, 0) ,  if(H3010=""region"",vlookup(REGEXEXTRACT(C3010, ""🏘️ \w+ \w+ (.*) ✅""),'Region prepositions'!B:F, 5, 0),  REGEXEXTRACT(C3010, ""🏘️ \w+ \w+ (.*) ✅""))))"),"près du lac de Constance")</f>
        <v>près du lac de Constance</v>
      </c>
      <c r="F3010" s="2" t="str">
        <f>IFERROR(__xludf.DUMMYFUNCTION("REGEXEXTRACT(C3010, ""🏘️ (\w+) \w+ .* ✅"")"),"Vendre")</f>
        <v>Vendre</v>
      </c>
      <c r="G3010" s="2" t="str">
        <f>IFERROR(__xludf.DUMMYFUNCTION("REGEXEXTRACT(C3010, ""🏘️ \w+ (\w+) .* ✅"")"),"maison")</f>
        <v>maison</v>
      </c>
      <c r="H3010" s="4" t="str">
        <f>IFERROR(__xludf.DUMMYFUNCTION("REGEXEXTRACT(A3010, ""/(\w+)-.*?"")"),"region")</f>
        <v>region</v>
      </c>
      <c r="I3010" s="4" t="str">
        <f>IFERROR(__xludf.DUMMYFUNCTION("if(D3010=""variant"",  substitute(filter(Templates!E:E, Templates!A:A = F3010, Templates!B:B = G3010, Templates!C:C = H3010), ""{{}}"", E3010), B3010)"),"🏘  Vous souhaitez acheter une maison près du lac de Constance? ✅ Jetez un œil aux dernières offres sur ImmoScout24.ch.")</f>
        <v>🏘  Vous souhaitez acheter une maison près du lac de Constance? ✅ Jetez un œil aux dernières offres sur ImmoScout24.ch.</v>
      </c>
      <c r="J3010" s="4" t="s">
        <v>9024</v>
      </c>
    </row>
    <row r="3011">
      <c r="A3011" s="5" t="s">
        <v>9025</v>
      </c>
      <c r="B3011" s="2" t="s">
        <v>9026</v>
      </c>
      <c r="C3011" s="4" t="str">
        <f>IFERROR(__xludf.DUMMYFUNCTION("""🏘️ ""&amp;REGEXEXTRACT(B3011, ""^(.*): "")&amp;"" ✅ "" &amp;REGEXEXTRACT(B3011, ""(Trouvez.*)"")"),"🏘️ Louer appartement Centro (Lugano) ✅ Trouvez le bien immobilier qui correspond idéalement à vos désirs sur ImmoScout24 - La plateforme de l'immobilier en Suisse.")</f>
        <v>🏘️ Louer appartement Centro (Lugano) ✅ Trouvez le bien immobilier qui correspond idéalement à vos désirs sur ImmoScout24 - La plateforme de l'immobilier en Suisse.</v>
      </c>
      <c r="D3011" s="4" t="str">
        <f>vlookup(A3011, Sheet2!D:E, 2, 0)</f>
        <v>variant</v>
      </c>
      <c r="E3011" s="4" t="str">
        <f>IFERROR(__xludf.DUMMYFUNCTION("if(H3011=""pays"",vlookup(REGEXEXTRACT(C3011, ""🏘️ \w+ \w+ (.*) ✅""),'Country prepositions'!A:B, 2, 0) &amp; "" "" &amp; REGEXEXTRACT(C3011, ""🏘️ \w+ \w+ (.*) ✅"") ,  if(H3011=""quartier"",vlookup(REGEXEXTRACT(C3011, ""🏘️ \w+ \w+ (.*) ✅""),'Quartier prepositio"&amp;"ns'!A:E, 5, 0) ,  if(H3011=""region"",vlookup(REGEXEXTRACT(C3011, ""🏘️ \w+ \w+ (.*) ✅""),'Region prepositions'!B:F, 5, 0),  REGEXEXTRACT(C3011, ""🏘️ \w+ \w+ (.*) ✅""))))"),"dans le centre de Lugano")</f>
        <v>dans le centre de Lugano</v>
      </c>
      <c r="F3011" s="2" t="str">
        <f>IFERROR(__xludf.DUMMYFUNCTION("REGEXEXTRACT(C3011, ""🏘️ (\w+) \w+ .* ✅"")"),"Louer")</f>
        <v>Louer</v>
      </c>
      <c r="G3011" s="2" t="str">
        <f>IFERROR(__xludf.DUMMYFUNCTION("REGEXEXTRACT(C3011, ""🏘️ \w+ (\w+) .* ✅"")"),"appartement")</f>
        <v>appartement</v>
      </c>
      <c r="H3011" s="4" t="str">
        <f>IFERROR(__xludf.DUMMYFUNCTION("REGEXEXTRACT(A3011, ""/(\w+)-.*?"")"),"quartier")</f>
        <v>quartier</v>
      </c>
      <c r="I3011" s="4" t="str">
        <f>IFERROR(__xludf.DUMMYFUNCTION("if(D3011=""variant"",  substitute(filter(Templates!E:E, Templates!A:A = F3011, Templates!B:B = G3011, Templates!C:C = H3011), ""{{}}"", E3011), B3011)"),"🏘  Vous cherchez un appartement à louer dans le centre de Lugano? ✅ Les annonces les plus actuelles sont sur ImmoScout24.ch.")</f>
        <v>🏘  Vous cherchez un appartement à louer dans le centre de Lugano? ✅ Les annonces les plus actuelles sont sur ImmoScout24.ch.</v>
      </c>
      <c r="J3011" s="4" t="s">
        <v>9027</v>
      </c>
    </row>
    <row r="3012">
      <c r="A3012" s="5" t="s">
        <v>9028</v>
      </c>
      <c r="B3012" s="2" t="s">
        <v>9029</v>
      </c>
      <c r="C3012" s="4" t="str">
        <f>IFERROR(__xludf.DUMMYFUNCTION("""🏘️ ""&amp;REGEXEXTRACT(B3012, ""^(.*): "")&amp;"" ✅ "" &amp;REGEXEXTRACT(B3012, ""(Trouvez.*)"")"),"🏘️ Vendre maison Lens ✅ Trouvez le bien immobilier qui correspond idéalement à vos désirs sur ImmoScout24 - La plateforme de l'immobilier en Suisse.")</f>
        <v>🏘️ Vendre maison Lens ✅ Trouvez le bien immobilier qui correspond idéalement à vos désirs sur ImmoScout24 - La plateforme de l'immobilier en Suisse.</v>
      </c>
      <c r="D3012" s="4" t="str">
        <f>vlookup(A3012, Sheet2!D:E, 2, 0)</f>
        <v>variant</v>
      </c>
      <c r="E3012" s="4" t="str">
        <f>IFERROR(__xludf.DUMMYFUNCTION("if(H3012=""pays"",vlookup(REGEXEXTRACT(C3012, ""🏘️ \w+ \w+ (.*) ✅""),'Country prepositions'!A:B, 2, 0) &amp; "" "" &amp; REGEXEXTRACT(C3012, ""🏘️ \w+ \w+ (.*) ✅"") ,  if(H3012=""quartier"",vlookup(REGEXEXTRACT(C3012, ""🏘️ \w+ \w+ (.*) ✅""),'Quartier prepositio"&amp;"ns'!A:E, 5, 0) ,  if(H3012=""region"",vlookup(REGEXEXTRACT(C3012, ""🏘️ \w+ \w+ (.*) ✅""),'Region prepositions'!B:F, 5, 0),  REGEXEXTRACT(C3012, ""🏘️ \w+ \w+ (.*) ✅""))))"),"Lens")</f>
        <v>Lens</v>
      </c>
      <c r="F3012" s="2" t="str">
        <f>IFERROR(__xludf.DUMMYFUNCTION("REGEXEXTRACT(C3012, ""🏘️ (\w+) \w+ .* ✅"")"),"Vendre")</f>
        <v>Vendre</v>
      </c>
      <c r="G3012" s="2" t="str">
        <f>IFERROR(__xludf.DUMMYFUNCTION("REGEXEXTRACT(C3012, ""🏘️ \w+ (\w+) .* ✅"")"),"maison")</f>
        <v>maison</v>
      </c>
      <c r="H3012" s="4" t="str">
        <f>IFERROR(__xludf.DUMMYFUNCTION("REGEXEXTRACT(A3012, ""/(\w+)-.*?"")"),"lieu")</f>
        <v>lieu</v>
      </c>
      <c r="I3012" s="4" t="str">
        <f>IFERROR(__xludf.DUMMYFUNCTION("if(D3012=""variant"",  substitute(filter(Templates!E:E, Templates!A:A = F3012, Templates!B:B = G3012, Templates!C:C = H3012), ""{{}}"", E3012), B3012)"),"🏘  Vous souhaitez acheter une maison à Lens? ✅ Jetez un œil aux dernières offres sur ImmoScout24.ch.")</f>
        <v>🏘  Vous souhaitez acheter une maison à Lens? ✅ Jetez un œil aux dernières offres sur ImmoScout24.ch.</v>
      </c>
      <c r="J3012" s="2" t="s">
        <v>9030</v>
      </c>
    </row>
    <row r="3013">
      <c r="A3013" s="5" t="s">
        <v>9031</v>
      </c>
      <c r="B3013" s="2" t="s">
        <v>9032</v>
      </c>
      <c r="C3013" s="4" t="str">
        <f>IFERROR(__xludf.DUMMYFUNCTION("""🏘️ ""&amp;REGEXEXTRACT(B3013, ""^(.*): "")&amp;"" ✅ "" &amp;REGEXEXTRACT(B3013, ""(Trouvez.*)"")"),"🏘️ Louer maison Turin (Salins) ✅ Trouvez le bien immobilier qui correspond idéalement à vos désirs sur ImmoScout24 - La plateforme de l'immobilier en Suisse.")</f>
        <v>🏘️ Louer maison Turin (Salins) ✅ Trouvez le bien immobilier qui correspond idéalement à vos désirs sur ImmoScout24 - La plateforme de l'immobilier en Suisse.</v>
      </c>
      <c r="D3013" s="4" t="str">
        <f>vlookup(A3013, Sheet2!D:E, 2, 0)</f>
        <v>variant</v>
      </c>
      <c r="E3013" s="4" t="str">
        <f>IFERROR(__xludf.DUMMYFUNCTION("if(H3013=""pays"",vlookup(REGEXEXTRACT(C3013, ""🏘️ \w+ \w+ (.*) ✅""),'Country prepositions'!A:B, 2, 0) &amp; "" "" &amp; REGEXEXTRACT(C3013, ""🏘️ \w+ \w+ (.*) ✅"") ,  if(H3013=""quartier"",vlookup(REGEXEXTRACT(C3013, ""🏘️ \w+ \w+ (.*) ✅""),'Quartier prepositio"&amp;"ns'!A:E, 5, 0) ,  if(H3013=""region"",vlookup(REGEXEXTRACT(C3013, ""🏘️ \w+ \w+ (.*) ✅""),'Region prepositions'!B:F, 5, 0),  REGEXEXTRACT(C3013, ""🏘️ \w+ \w+ (.*) ✅""))))"),"Turin (Salins)")</f>
        <v>Turin (Salins)</v>
      </c>
      <c r="F3013" s="2" t="str">
        <f>IFERROR(__xludf.DUMMYFUNCTION("REGEXEXTRACT(C3013, ""🏘️ (\w+) \w+ .* ✅"")"),"Louer")</f>
        <v>Louer</v>
      </c>
      <c r="G3013" s="2" t="str">
        <f>IFERROR(__xludf.DUMMYFUNCTION("REGEXEXTRACT(C3013, ""🏘️ \w+ (\w+) .* ✅"")"),"maison")</f>
        <v>maison</v>
      </c>
      <c r="H3013" s="4" t="str">
        <f>IFERROR(__xludf.DUMMYFUNCTION("REGEXEXTRACT(A3013, ""/(\w+)-.*?"")"),"lieu")</f>
        <v>lieu</v>
      </c>
      <c r="I3013" s="4" t="str">
        <f>IFERROR(__xludf.DUMMYFUNCTION("if(D3013=""variant"",  substitute(filter(Templates!E:E, Templates!A:A = F3013, Templates!B:B = G3013, Templates!C:C = H3013), ""{{}}"", E3013), B3013)"),"🏘  Vous cherchez une maison à louer à Turin (Salins)? ✅ Découvrez nos nombreuses annonces sur ImmoScout24.ch.")</f>
        <v>🏘  Vous cherchez une maison à louer à Turin (Salins)? ✅ Découvrez nos nombreuses annonces sur ImmoScout24.ch.</v>
      </c>
      <c r="J3013" s="4" t="s">
        <v>9033</v>
      </c>
    </row>
    <row r="3014">
      <c r="A3014" s="5" t="s">
        <v>9034</v>
      </c>
      <c r="B3014" s="2" t="s">
        <v>9035</v>
      </c>
      <c r="C3014" s="4" t="str">
        <f>IFERROR(__xludf.DUMMYFUNCTION("""🏘️ ""&amp;REGEXEXTRACT(B3014, ""^(.*): "")&amp;"" ✅ "" &amp;REGEXEXTRACT(B3014, ""(Trouvez.*)"")"),"🏘️ Louer appartement Champagne (Biel/Bienne) ✅ Trouvez le bien immobilier qui correspond idéalement à vos désirs sur ImmoScout24 - La plateforme de l'immobilier en Suisse.")</f>
        <v>🏘️ Louer appartement Champagne (Biel/Bienne) ✅ Trouvez le bien immobilier qui correspond idéalement à vos désirs sur ImmoScout24 - La plateforme de l'immobilier en Suisse.</v>
      </c>
      <c r="D3014" s="4" t="str">
        <f>vlookup(A3014, Sheet2!D:E, 2, 0)</f>
        <v>variant</v>
      </c>
      <c r="E3014" s="4" t="str">
        <f>IFERROR(__xludf.DUMMYFUNCTION("if(H3014=""pays"",vlookup(REGEXEXTRACT(C3014, ""🏘️ \w+ \w+ (.*) ✅""),'Country prepositions'!A:B, 2, 0) &amp; "" "" &amp; REGEXEXTRACT(C3014, ""🏘️ \w+ \w+ (.*) ✅"") ,  if(H3014=""quartier"",vlookup(REGEXEXTRACT(C3014, ""🏘️ \w+ \w+ (.*) ✅""),'Quartier prepositio"&amp;"ns'!A:E, 5, 0) ,  if(H3014=""region"",vlookup(REGEXEXTRACT(C3014, ""🏘️ \w+ \w+ (.*) ✅""),'Region prepositions'!B:F, 5, 0),  REGEXEXTRACT(C3014, ""🏘️ \w+ \w+ (.*) ✅""))))"),"dans le quartier de Champagne (Biel/Bienne)")</f>
        <v>dans le quartier de Champagne (Biel/Bienne)</v>
      </c>
      <c r="F3014" s="2" t="str">
        <f>IFERROR(__xludf.DUMMYFUNCTION("REGEXEXTRACT(C3014, ""🏘️ (\w+) \w+ .* ✅"")"),"Louer")</f>
        <v>Louer</v>
      </c>
      <c r="G3014" s="2" t="str">
        <f>IFERROR(__xludf.DUMMYFUNCTION("REGEXEXTRACT(C3014, ""🏘️ \w+ (\w+) .* ✅"")"),"appartement")</f>
        <v>appartement</v>
      </c>
      <c r="H3014" s="4" t="str">
        <f>IFERROR(__xludf.DUMMYFUNCTION("REGEXEXTRACT(A3014, ""/(\w+)-.*?"")"),"quartier")</f>
        <v>quartier</v>
      </c>
      <c r="I3014" s="4" t="str">
        <f>IFERROR(__xludf.DUMMYFUNCTION("if(D3014=""variant"",  substitute(filter(Templates!E:E, Templates!A:A = F3014, Templates!B:B = G3014, Templates!C:C = H3014), ""{{}}"", E3014), B3014)"),"🏘  Vous cherchez un appartement à louer dans le quartier de Champagne (Biel/Bienne)? ✅ Les annonces les plus actuelles sont sur ImmoScout24.ch.")</f>
        <v>🏘  Vous cherchez un appartement à louer dans le quartier de Champagne (Biel/Bienne)? ✅ Les annonces les plus actuelles sont sur ImmoScout24.ch.</v>
      </c>
      <c r="J3014" s="4" t="s">
        <v>9036</v>
      </c>
    </row>
    <row r="3015">
      <c r="A3015" s="5" t="s">
        <v>9037</v>
      </c>
      <c r="B3015" s="2" t="s">
        <v>9038</v>
      </c>
      <c r="C3015" s="4" t="str">
        <f>IFERROR(__xludf.DUMMYFUNCTION("""🏘️ ""&amp;REGEXEXTRACT(B3015, ""^(.*): "")&amp;"" ✅ "" &amp;REGEXEXTRACT(B3015, ""(Trouvez.*)"")"),"🏘️ Vendre maison Brissago ✅ Trouvez le bien immobilier qui correspond idéalement à vos désirs sur ImmoScout24 - La plateforme de l'immobilier en Suisse.")</f>
        <v>🏘️ Vendre maison Brissago ✅ Trouvez le bien immobilier qui correspond idéalement à vos désirs sur ImmoScout24 - La plateforme de l'immobilier en Suisse.</v>
      </c>
      <c r="D3015" s="4" t="str">
        <f>vlookup(A3015, Sheet2!D:E, 2, 0)</f>
        <v>variant</v>
      </c>
      <c r="E3015" s="4" t="str">
        <f>IFERROR(__xludf.DUMMYFUNCTION("if(H3015=""pays"",vlookup(REGEXEXTRACT(C3015, ""🏘️ \w+ \w+ (.*) ✅""),'Country prepositions'!A:B, 2, 0) &amp; "" "" &amp; REGEXEXTRACT(C3015, ""🏘️ \w+ \w+ (.*) ✅"") ,  if(H3015=""quartier"",vlookup(REGEXEXTRACT(C3015, ""🏘️ \w+ \w+ (.*) ✅""),'Quartier prepositio"&amp;"ns'!A:E, 5, 0) ,  if(H3015=""region"",vlookup(REGEXEXTRACT(C3015, ""🏘️ \w+ \w+ (.*) ✅""),'Region prepositions'!B:F, 5, 0),  REGEXEXTRACT(C3015, ""🏘️ \w+ \w+ (.*) ✅""))))"),"Brissago")</f>
        <v>Brissago</v>
      </c>
      <c r="F3015" s="2" t="str">
        <f>IFERROR(__xludf.DUMMYFUNCTION("REGEXEXTRACT(C3015, ""🏘️ (\w+) \w+ .* ✅"")"),"Vendre")</f>
        <v>Vendre</v>
      </c>
      <c r="G3015" s="2" t="str">
        <f>IFERROR(__xludf.DUMMYFUNCTION("REGEXEXTRACT(C3015, ""🏘️ \w+ (\w+) .* ✅"")"),"maison")</f>
        <v>maison</v>
      </c>
      <c r="H3015" s="4" t="str">
        <f>IFERROR(__xludf.DUMMYFUNCTION("REGEXEXTRACT(A3015, ""/(\w+)-.*?"")"),"lieu")</f>
        <v>lieu</v>
      </c>
      <c r="I3015" s="4" t="str">
        <f>IFERROR(__xludf.DUMMYFUNCTION("if(D3015=""variant"",  substitute(filter(Templates!E:E, Templates!A:A = F3015, Templates!B:B = G3015, Templates!C:C = H3015), ""{{}}"", E3015), B3015)"),"🏘  Vous souhaitez acheter une maison à Brissago? ✅ Jetez un œil aux dernières offres sur ImmoScout24.ch.")</f>
        <v>🏘  Vous souhaitez acheter une maison à Brissago? ✅ Jetez un œil aux dernières offres sur ImmoScout24.ch.</v>
      </c>
      <c r="J3015" s="4" t="s">
        <v>9039</v>
      </c>
    </row>
    <row r="3016">
      <c r="A3016" s="5" t="s">
        <v>9040</v>
      </c>
      <c r="B3016" s="2" t="s">
        <v>9041</v>
      </c>
      <c r="C3016" s="4" t="str">
        <f>IFERROR(__xludf.DUMMYFUNCTION("""🏘️ ""&amp;REGEXEXTRACT(B3016, ""^(.*): "")&amp;"" ✅ "" &amp;REGEXEXTRACT(B3016, ""(Trouvez.*)"")"),"🏘️ Vendre appartement Les Diablerets ✅ Trouvez le bien immobilier qui correspond idéalement à vos désirs sur ImmoScout24 - La plateforme de l'immobilier en Suisse.")</f>
        <v>🏘️ Vendre appartement Les Diablerets ✅ Trouvez le bien immobilier qui correspond idéalement à vos désirs sur ImmoScout24 - La plateforme de l'immobilier en Suisse.</v>
      </c>
      <c r="D3016" s="4" t="str">
        <f>vlookup(A3016, Sheet2!D:E, 2, 0)</f>
        <v>variant</v>
      </c>
      <c r="E3016" s="4" t="str">
        <f>IFERROR(__xludf.DUMMYFUNCTION("if(H3016=""pays"",vlookup(REGEXEXTRACT(C3016, ""🏘️ \w+ \w+ (.*) ✅""),'Country prepositions'!A:B, 2, 0) &amp; "" "" &amp; REGEXEXTRACT(C3016, ""🏘️ \w+ \w+ (.*) ✅"") ,  if(H3016=""quartier"",vlookup(REGEXEXTRACT(C3016, ""🏘️ \w+ \w+ (.*) ✅""),'Quartier prepositio"&amp;"ns'!A:E, 5, 0) ,  if(H3016=""region"",vlookup(REGEXEXTRACT(C3016, ""🏘️ \w+ \w+ (.*) ✅""),'Region prepositions'!B:F, 5, 0),  REGEXEXTRACT(C3016, ""🏘️ \w+ \w+ (.*) ✅""))))"),"Les Diablerets")</f>
        <v>Les Diablerets</v>
      </c>
      <c r="F3016" s="2" t="str">
        <f>IFERROR(__xludf.DUMMYFUNCTION("REGEXEXTRACT(C3016, ""🏘️ (\w+) \w+ .* ✅"")"),"Vendre")</f>
        <v>Vendre</v>
      </c>
      <c r="G3016" s="2" t="str">
        <f>IFERROR(__xludf.DUMMYFUNCTION("REGEXEXTRACT(C3016, ""🏘️ \w+ (\w+) .* ✅"")"),"appartement")</f>
        <v>appartement</v>
      </c>
      <c r="H3016" s="4" t="str">
        <f>IFERROR(__xludf.DUMMYFUNCTION("REGEXEXTRACT(A3016, ""/(\w+)-.*?"")"),"lieu")</f>
        <v>lieu</v>
      </c>
      <c r="I3016" s="4" t="str">
        <f>IFERROR(__xludf.DUMMYFUNCTION("if(D3016=""variant"",  substitute(filter(Templates!E:E, Templates!A:A = F3016, Templates!B:B = G3016, Templates!C:C = H3016), ""{{}}"", E3016), B3016)"),"🏘  L’appartement de vos rêves se trouve sur ImmoScout24.ch ✅ Découvrez les dernières annonces de vente à Les Diablerets.")</f>
        <v>🏘  L’appartement de vos rêves se trouve sur ImmoScout24.ch ✅ Découvrez les dernières annonces de vente à Les Diablerets.</v>
      </c>
      <c r="J3016" s="2" t="s">
        <v>9042</v>
      </c>
    </row>
    <row r="3017">
      <c r="A3017" s="5" t="s">
        <v>9043</v>
      </c>
      <c r="B3017" s="2" t="s">
        <v>9044</v>
      </c>
      <c r="C3017" s="4" t="str">
        <f>IFERROR(__xludf.DUMMYFUNCTION("""🏘️ ""&amp;REGEXEXTRACT(B3017, ""^(.*): "")&amp;"" ✅ "" &amp;REGEXEXTRACT(B3017, ""(Trouvez.*)"")"),"🏘️ Vendre maison La Chaux (Cossonay) ✅ Trouvez le bien immobilier qui correspond idéalement à vos désirs sur ImmoScout24 - La plateforme de l'immobilier en Suisse.")</f>
        <v>🏘️ Vendre maison La Chaux (Cossonay) ✅ Trouvez le bien immobilier qui correspond idéalement à vos désirs sur ImmoScout24 - La plateforme de l'immobilier en Suisse.</v>
      </c>
      <c r="D3017" s="4" t="str">
        <f>vlookup(A3017, Sheet2!D:E, 2, 0)</f>
        <v>variant</v>
      </c>
      <c r="E3017" s="4" t="str">
        <f>IFERROR(__xludf.DUMMYFUNCTION("if(H3017=""pays"",vlookup(REGEXEXTRACT(C3017, ""🏘️ \w+ \w+ (.*) ✅""),'Country prepositions'!A:B, 2, 0) &amp; "" "" &amp; REGEXEXTRACT(C3017, ""🏘️ \w+ \w+ (.*) ✅"") ,  if(H3017=""quartier"",vlookup(REGEXEXTRACT(C3017, ""🏘️ \w+ \w+ (.*) ✅""),'Quartier prepositio"&amp;"ns'!A:E, 5, 0) ,  if(H3017=""region"",vlookup(REGEXEXTRACT(C3017, ""🏘️ \w+ \w+ (.*) ✅""),'Region prepositions'!B:F, 5, 0),  REGEXEXTRACT(C3017, ""🏘️ \w+ \w+ (.*) ✅""))))"),"La Chaux (Cossonay)")</f>
        <v>La Chaux (Cossonay)</v>
      </c>
      <c r="F3017" s="2" t="str">
        <f>IFERROR(__xludf.DUMMYFUNCTION("REGEXEXTRACT(C3017, ""🏘️ (\w+) \w+ .* ✅"")"),"Vendre")</f>
        <v>Vendre</v>
      </c>
      <c r="G3017" s="2" t="str">
        <f>IFERROR(__xludf.DUMMYFUNCTION("REGEXEXTRACT(C3017, ""🏘️ \w+ (\w+) .* ✅"")"),"maison")</f>
        <v>maison</v>
      </c>
      <c r="H3017" s="4" t="str">
        <f>IFERROR(__xludf.DUMMYFUNCTION("REGEXEXTRACT(A3017, ""/(\w+)-.*?"")"),"lieu")</f>
        <v>lieu</v>
      </c>
      <c r="I3017" s="4" t="str">
        <f>IFERROR(__xludf.DUMMYFUNCTION("if(D3017=""variant"",  substitute(filter(Templates!E:E, Templates!A:A = F3017, Templates!B:B = G3017, Templates!C:C = H3017), ""{{}}"", E3017), B3017)"),"🏘  Vous souhaitez acheter une maison à La Chaux (Cossonay)? ✅ Jetez un œil aux dernières offres sur ImmoScout24.ch.")</f>
        <v>🏘  Vous souhaitez acheter une maison à La Chaux (Cossonay)? ✅ Jetez un œil aux dernières offres sur ImmoScout24.ch.</v>
      </c>
      <c r="J3017" s="4" t="s">
        <v>9045</v>
      </c>
    </row>
    <row r="3018">
      <c r="A3018" s="5" t="s">
        <v>9046</v>
      </c>
      <c r="B3018" s="2" t="s">
        <v>9047</v>
      </c>
      <c r="C3018" s="4" t="str">
        <f>IFERROR(__xludf.DUMMYFUNCTION("""🏘️ ""&amp;REGEXEXTRACT(B3018, ""^(.*): "")&amp;"" ✅ "" &amp;REGEXEXTRACT(B3018, ""(Trouvez.*)"")"),"🏘️ Louer appartement Vugelles-La Mothe ✅ Trouvez le bien immobilier qui correspond idéalement à vos désirs sur ImmoScout24 - La plateforme de l'immobilier en Suisse.")</f>
        <v>🏘️ Louer appartement Vugelles-La Mothe ✅ Trouvez le bien immobilier qui correspond idéalement à vos désirs sur ImmoScout24 - La plateforme de l'immobilier en Suisse.</v>
      </c>
      <c r="D3018" s="4" t="str">
        <f>vlookup(A3018, Sheet2!D:E, 2, 0)</f>
        <v>variant</v>
      </c>
      <c r="E3018" s="4" t="str">
        <f>IFERROR(__xludf.DUMMYFUNCTION("if(H3018=""pays"",vlookup(REGEXEXTRACT(C3018, ""🏘️ \w+ \w+ (.*) ✅""),'Country prepositions'!A:B, 2, 0) &amp; "" "" &amp; REGEXEXTRACT(C3018, ""🏘️ \w+ \w+ (.*) ✅"") ,  if(H3018=""quartier"",vlookup(REGEXEXTRACT(C3018, ""🏘️ \w+ \w+ (.*) ✅""),'Quartier prepositio"&amp;"ns'!A:E, 5, 0) ,  if(H3018=""region"",vlookup(REGEXEXTRACT(C3018, ""🏘️ \w+ \w+ (.*) ✅""),'Region prepositions'!B:F, 5, 0),  REGEXEXTRACT(C3018, ""🏘️ \w+ \w+ (.*) ✅""))))"),"Vugelles-La Mothe")</f>
        <v>Vugelles-La Mothe</v>
      </c>
      <c r="F3018" s="2" t="str">
        <f>IFERROR(__xludf.DUMMYFUNCTION("REGEXEXTRACT(C3018, ""🏘️ (\w+) \w+ .* ✅"")"),"Louer")</f>
        <v>Louer</v>
      </c>
      <c r="G3018" s="2" t="str">
        <f>IFERROR(__xludf.DUMMYFUNCTION("REGEXEXTRACT(C3018, ""🏘️ \w+ (\w+) .* ✅"")"),"appartement")</f>
        <v>appartement</v>
      </c>
      <c r="H3018" s="4" t="str">
        <f>IFERROR(__xludf.DUMMYFUNCTION("REGEXEXTRACT(A3018, ""/(\w+)-.*?"")"),"lieu")</f>
        <v>lieu</v>
      </c>
      <c r="I3018" s="4" t="str">
        <f>IFERROR(__xludf.DUMMYFUNCTION("if(D3018=""variant"",  substitute(filter(Templates!E:E, Templates!A:A = F3018, Templates!B:B = G3018, Templates!C:C = H3018), ""{{}}"", E3018), B3018)"),"🏘  Vous cherchez un appartement à louer à Vugelles-La Mothe? ✅ Les annonces les plus actuelles sont sur ImmoScout24.ch.")</f>
        <v>🏘  Vous cherchez un appartement à louer à Vugelles-La Mothe? ✅ Les annonces les plus actuelles sont sur ImmoScout24.ch.</v>
      </c>
      <c r="J3018" s="4" t="s">
        <v>9048</v>
      </c>
    </row>
    <row r="3019">
      <c r="A3019" s="5" t="s">
        <v>9049</v>
      </c>
      <c r="B3019" s="2" t="s">
        <v>9050</v>
      </c>
      <c r="C3019" s="4" t="str">
        <f>IFERROR(__xludf.DUMMYFUNCTION("""🏘️ ""&amp;REGEXEXTRACT(B3019, ""^(.*): "")&amp;"" ✅ "" &amp;REGEXEXTRACT(B3019, ""(Trouvez.*)"")"),"🏘️ Vendre maison Champel - Roseraie (Genève) ✅ Trouvez le bien immobilier qui correspond idéalement à vos désirs sur ImmoScout24 - La plateforme de l'immobilier en Suisse.")</f>
        <v>🏘️ Vendre maison Champel - Roseraie (Genève) ✅ Trouvez le bien immobilier qui correspond idéalement à vos désirs sur ImmoScout24 - La plateforme de l'immobilier en Suisse.</v>
      </c>
      <c r="D3019" s="4" t="str">
        <f>vlookup(A3019, Sheet2!D:E, 2, 0)</f>
        <v>variant</v>
      </c>
      <c r="E3019" s="4" t="str">
        <f>IFERROR(__xludf.DUMMYFUNCTION("if(H3019=""pays"",vlookup(REGEXEXTRACT(C3019, ""🏘️ \w+ \w+ (.*) ✅""),'Country prepositions'!A:B, 2, 0) &amp; "" "" &amp; REGEXEXTRACT(C3019, ""🏘️ \w+ \w+ (.*) ✅"") ,  if(H3019=""quartier"",vlookup(REGEXEXTRACT(C3019, ""🏘️ \w+ \w+ (.*) ✅""),'Quartier prepositio"&amp;"ns'!A:E, 5, 0) ,  if(H3019=""region"",vlookup(REGEXEXTRACT(C3019, ""🏘️ \w+ \w+ (.*) ✅""),'Region prepositions'!B:F, 5, 0),  REGEXEXTRACT(C3019, ""🏘️ \w+ \w+ (.*) ✅""))))"),"dans le quartier de Champel - Roseraie (Genève)")</f>
        <v>dans le quartier de Champel - Roseraie (Genève)</v>
      </c>
      <c r="F3019" s="2" t="str">
        <f>IFERROR(__xludf.DUMMYFUNCTION("REGEXEXTRACT(C3019, ""🏘️ (\w+) \w+ .* ✅"")"),"Vendre")</f>
        <v>Vendre</v>
      </c>
      <c r="G3019" s="2" t="str">
        <f>IFERROR(__xludf.DUMMYFUNCTION("REGEXEXTRACT(C3019, ""🏘️ \w+ (\w+) .* ✅"")"),"maison")</f>
        <v>maison</v>
      </c>
      <c r="H3019" s="4" t="str">
        <f>IFERROR(__xludf.DUMMYFUNCTION("REGEXEXTRACT(A3019, ""/(\w+)-.*?"")"),"quartier")</f>
        <v>quartier</v>
      </c>
      <c r="I3019" s="4" t="str">
        <f>IFERROR(__xludf.DUMMYFUNCTION("if(D3019=""variant"",  substitute(filter(Templates!E:E, Templates!A:A = F3019, Templates!B:B = G3019, Templates!C:C = H3019), ""{{}}"", E3019), B3019)"),"🏘  Vous souhaitez acheter une maison dans le quartier de Champel - Roseraie (Genève)? ✅ Jetez un œil aux dernières offres sur ImmoScout24.ch.")</f>
        <v>🏘  Vous souhaitez acheter une maison dans le quartier de Champel - Roseraie (Genève)? ✅ Jetez un œil aux dernières offres sur ImmoScout24.ch.</v>
      </c>
      <c r="J3019" s="4" t="s">
        <v>9051</v>
      </c>
    </row>
    <row r="3020">
      <c r="A3020" s="5" t="s">
        <v>9052</v>
      </c>
      <c r="B3020" s="2" t="s">
        <v>9053</v>
      </c>
      <c r="C3020" s="4" t="str">
        <f>IFERROR(__xludf.DUMMYFUNCTION("""🏘️ ""&amp;REGEXEXTRACT(B3020, ""^(.*): "")&amp;"" ✅ "" &amp;REGEXEXTRACT(B3020, ""(Trouvez.*)"")"),"🏘️ Vendre maison Grandcour ✅ Trouvez le bien immobilier qui correspond idéalement à vos désirs sur ImmoScout24 - La plateforme de l'immobilier en Suisse.")</f>
        <v>🏘️ Vendre maison Grandcour ✅ Trouvez le bien immobilier qui correspond idéalement à vos désirs sur ImmoScout24 - La plateforme de l'immobilier en Suisse.</v>
      </c>
      <c r="D3020" s="4" t="str">
        <f>vlookup(A3020, Sheet2!D:E, 2, 0)</f>
        <v>variant</v>
      </c>
      <c r="E3020" s="4" t="str">
        <f>IFERROR(__xludf.DUMMYFUNCTION("if(H3020=""pays"",vlookup(REGEXEXTRACT(C3020, ""🏘️ \w+ \w+ (.*) ✅""),'Country prepositions'!A:B, 2, 0) &amp; "" "" &amp; REGEXEXTRACT(C3020, ""🏘️ \w+ \w+ (.*) ✅"") ,  if(H3020=""quartier"",vlookup(REGEXEXTRACT(C3020, ""🏘️ \w+ \w+ (.*) ✅""),'Quartier prepositio"&amp;"ns'!A:E, 5, 0) ,  if(H3020=""region"",vlookup(REGEXEXTRACT(C3020, ""🏘️ \w+ \w+ (.*) ✅""),'Region prepositions'!B:F, 5, 0),  REGEXEXTRACT(C3020, ""🏘️ \w+ \w+ (.*) ✅""))))"),"Grandcour")</f>
        <v>Grandcour</v>
      </c>
      <c r="F3020" s="2" t="str">
        <f>IFERROR(__xludf.DUMMYFUNCTION("REGEXEXTRACT(C3020, ""🏘️ (\w+) \w+ .* ✅"")"),"Vendre")</f>
        <v>Vendre</v>
      </c>
      <c r="G3020" s="2" t="str">
        <f>IFERROR(__xludf.DUMMYFUNCTION("REGEXEXTRACT(C3020, ""🏘️ \w+ (\w+) .* ✅"")"),"maison")</f>
        <v>maison</v>
      </c>
      <c r="H3020" s="4" t="str">
        <f>IFERROR(__xludf.DUMMYFUNCTION("REGEXEXTRACT(A3020, ""/(\w+)-.*?"")"),"lieu")</f>
        <v>lieu</v>
      </c>
      <c r="I3020" s="4" t="str">
        <f>IFERROR(__xludf.DUMMYFUNCTION("if(D3020=""variant"",  substitute(filter(Templates!E:E, Templates!A:A = F3020, Templates!B:B = G3020, Templates!C:C = H3020), ""{{}}"", E3020), B3020)"),"🏘  Vous souhaitez acheter une maison à Grandcour? ✅ Jetez un œil aux dernières offres sur ImmoScout24.ch.")</f>
        <v>🏘  Vous souhaitez acheter une maison à Grandcour? ✅ Jetez un œil aux dernières offres sur ImmoScout24.ch.</v>
      </c>
      <c r="J3020" s="4" t="s">
        <v>9054</v>
      </c>
    </row>
    <row r="3021">
      <c r="A3021" s="5" t="s">
        <v>9055</v>
      </c>
      <c r="B3021" s="2" t="s">
        <v>9056</v>
      </c>
      <c r="C3021" s="4" t="str">
        <f>IFERROR(__xludf.DUMMYFUNCTION("""🏘️ ""&amp;REGEXEXTRACT(B3021, ""^(.*): "")&amp;"" ✅ "" &amp;REGEXEXTRACT(B3021, ""(Trouvez.*)"")"),"🏘️ Louer appartement La Chaux-du-Milieu ✅ Trouvez le bien immobilier qui correspond idéalement à vos désirs sur ImmoScout24 - La plateforme de l'immobilier en Suisse.")</f>
        <v>🏘️ Louer appartement La Chaux-du-Milieu ✅ Trouvez le bien immobilier qui correspond idéalement à vos désirs sur ImmoScout24 - La plateforme de l'immobilier en Suisse.</v>
      </c>
      <c r="D3021" s="4" t="str">
        <f>vlookup(A3021, Sheet2!D:E, 2, 0)</f>
        <v>variant</v>
      </c>
      <c r="E3021" s="4" t="str">
        <f>IFERROR(__xludf.DUMMYFUNCTION("if(H3021=""pays"",vlookup(REGEXEXTRACT(C3021, ""🏘️ \w+ \w+ (.*) ✅""),'Country prepositions'!A:B, 2, 0) &amp; "" "" &amp; REGEXEXTRACT(C3021, ""🏘️ \w+ \w+ (.*) ✅"") ,  if(H3021=""quartier"",vlookup(REGEXEXTRACT(C3021, ""🏘️ \w+ \w+ (.*) ✅""),'Quartier prepositio"&amp;"ns'!A:E, 5, 0) ,  if(H3021=""region"",vlookup(REGEXEXTRACT(C3021, ""🏘️ \w+ \w+ (.*) ✅""),'Region prepositions'!B:F, 5, 0),  REGEXEXTRACT(C3021, ""🏘️ \w+ \w+ (.*) ✅""))))"),"La Chaux-du-Milieu")</f>
        <v>La Chaux-du-Milieu</v>
      </c>
      <c r="F3021" s="2" t="str">
        <f>IFERROR(__xludf.DUMMYFUNCTION("REGEXEXTRACT(C3021, ""🏘️ (\w+) \w+ .* ✅"")"),"Louer")</f>
        <v>Louer</v>
      </c>
      <c r="G3021" s="2" t="str">
        <f>IFERROR(__xludf.DUMMYFUNCTION("REGEXEXTRACT(C3021, ""🏘️ \w+ (\w+) .* ✅"")"),"appartement")</f>
        <v>appartement</v>
      </c>
      <c r="H3021" s="4" t="str">
        <f>IFERROR(__xludf.DUMMYFUNCTION("REGEXEXTRACT(A3021, ""/(\w+)-.*?"")"),"lieu")</f>
        <v>lieu</v>
      </c>
      <c r="I3021" s="4" t="str">
        <f>IFERROR(__xludf.DUMMYFUNCTION("if(D3021=""variant"",  substitute(filter(Templates!E:E, Templates!A:A = F3021, Templates!B:B = G3021, Templates!C:C = H3021), ""{{}}"", E3021), B3021)"),"🏘  Vous cherchez un appartement à louer à La Chaux-du-Milieu? ✅ Les annonces les plus actuelles sont sur ImmoScout24.ch.")</f>
        <v>🏘  Vous cherchez un appartement à louer à La Chaux-du-Milieu? ✅ Les annonces les plus actuelles sont sur ImmoScout24.ch.</v>
      </c>
      <c r="J3021" s="4" t="s">
        <v>9057</v>
      </c>
    </row>
    <row r="3022">
      <c r="A3022" s="5" t="s">
        <v>9058</v>
      </c>
      <c r="B3022" s="2" t="s">
        <v>9059</v>
      </c>
      <c r="C3022" s="4" t="str">
        <f>IFERROR(__xludf.DUMMYFUNCTION("""🏘️ ""&amp;REGEXEXTRACT(B3022, ""^(.*): "")&amp;"" ✅ "" &amp;REGEXEXTRACT(B3022, ""(Trouvez.*)"")"),"🏘️ Louer appartement Aïre ✅ Trouvez le bien immobilier qui correspond idéalement à vos désirs sur ImmoScout24 - La plateforme de l'immobilier en Suisse.")</f>
        <v>🏘️ Louer appartement Aïre ✅ Trouvez le bien immobilier qui correspond idéalement à vos désirs sur ImmoScout24 - La plateforme de l'immobilier en Suisse.</v>
      </c>
      <c r="D3022" s="4" t="str">
        <f>vlookup(A3022, Sheet2!D:E, 2, 0)</f>
        <v>variant</v>
      </c>
      <c r="E3022" s="4" t="str">
        <f>IFERROR(__xludf.DUMMYFUNCTION("if(H3022=""pays"",vlookup(REGEXEXTRACT(C3022, ""🏘️ \w+ \w+ (.*) ✅""),'Country prepositions'!A:B, 2, 0) &amp; "" "" &amp; REGEXEXTRACT(C3022, ""🏘️ \w+ \w+ (.*) ✅"") ,  if(H3022=""quartier"",vlookup(REGEXEXTRACT(C3022, ""🏘️ \w+ \w+ (.*) ✅""),'Quartier prepositio"&amp;"ns'!A:E, 5, 0) ,  if(H3022=""region"",vlookup(REGEXEXTRACT(C3022, ""🏘️ \w+ \w+ (.*) ✅""),'Region prepositions'!B:F, 5, 0),  REGEXEXTRACT(C3022, ""🏘️ \w+ \w+ (.*) ✅""))))"),"Aïre")</f>
        <v>Aïre</v>
      </c>
      <c r="F3022" s="2" t="str">
        <f>IFERROR(__xludf.DUMMYFUNCTION("REGEXEXTRACT(C3022, ""🏘️ (\w+) \w+ .* ✅"")"),"Louer")</f>
        <v>Louer</v>
      </c>
      <c r="G3022" s="2" t="str">
        <f>IFERROR(__xludf.DUMMYFUNCTION("REGEXEXTRACT(C3022, ""🏘️ \w+ (\w+) .* ✅"")"),"appartement")</f>
        <v>appartement</v>
      </c>
      <c r="H3022" s="4" t="str">
        <f>IFERROR(__xludf.DUMMYFUNCTION("REGEXEXTRACT(A3022, ""/(\w+)-.*?"")"),"lieu")</f>
        <v>lieu</v>
      </c>
      <c r="I3022" s="4" t="str">
        <f>IFERROR(__xludf.DUMMYFUNCTION("if(D3022=""variant"",  substitute(filter(Templates!E:E, Templates!A:A = F3022, Templates!B:B = G3022, Templates!C:C = H3022), ""{{}}"", E3022), B3022)"),"🏘  Vous cherchez un appartement à louer à Aïre? ✅ Les annonces les plus actuelles sont sur ImmoScout24.ch.")</f>
        <v>🏘  Vous cherchez un appartement à louer à Aïre? ✅ Les annonces les plus actuelles sont sur ImmoScout24.ch.</v>
      </c>
      <c r="J3022" s="4" t="s">
        <v>9060</v>
      </c>
    </row>
    <row r="3023">
      <c r="A3023" s="5" t="s">
        <v>9061</v>
      </c>
      <c r="B3023" s="2" t="s">
        <v>9062</v>
      </c>
      <c r="C3023" s="4" t="str">
        <f>IFERROR(__xludf.DUMMYFUNCTION("""🏘️ ""&amp;REGEXEXTRACT(B3023, ""^(.*): "")&amp;"" ✅ "" &amp;REGEXEXTRACT(B3023, ""(Trouvez.*)"")"),"🏘️ Vendre appartement Zweisimmen ✅ Trouvez le bien immobilier qui correspond idéalement à vos désirs sur ImmoScout24 - La plateforme de l'immobilier en Suisse.")</f>
        <v>🏘️ Vendre appartement Zweisimmen ✅ Trouvez le bien immobilier qui correspond idéalement à vos désirs sur ImmoScout24 - La plateforme de l'immobilier en Suisse.</v>
      </c>
      <c r="D3023" s="4" t="str">
        <f>vlookup(A3023, Sheet2!D:E, 2, 0)</f>
        <v>variant</v>
      </c>
      <c r="E3023" s="4" t="str">
        <f>IFERROR(__xludf.DUMMYFUNCTION("if(H3023=""pays"",vlookup(REGEXEXTRACT(C3023, ""🏘️ \w+ \w+ (.*) ✅""),'Country prepositions'!A:B, 2, 0) &amp; "" "" &amp; REGEXEXTRACT(C3023, ""🏘️ \w+ \w+ (.*) ✅"") ,  if(H3023=""quartier"",vlookup(REGEXEXTRACT(C3023, ""🏘️ \w+ \w+ (.*) ✅""),'Quartier prepositio"&amp;"ns'!A:E, 5, 0) ,  if(H3023=""region"",vlookup(REGEXEXTRACT(C3023, ""🏘️ \w+ \w+ (.*) ✅""),'Region prepositions'!B:F, 5, 0),  REGEXEXTRACT(C3023, ""🏘️ \w+ \w+ (.*) ✅""))))"),"Zweisimmen")</f>
        <v>Zweisimmen</v>
      </c>
      <c r="F3023" s="2" t="str">
        <f>IFERROR(__xludf.DUMMYFUNCTION("REGEXEXTRACT(C3023, ""🏘️ (\w+) \w+ .* ✅"")"),"Vendre")</f>
        <v>Vendre</v>
      </c>
      <c r="G3023" s="2" t="str">
        <f>IFERROR(__xludf.DUMMYFUNCTION("REGEXEXTRACT(C3023, ""🏘️ \w+ (\w+) .* ✅"")"),"appartement")</f>
        <v>appartement</v>
      </c>
      <c r="H3023" s="4" t="str">
        <f>IFERROR(__xludf.DUMMYFUNCTION("REGEXEXTRACT(A3023, ""/(\w+)-.*?"")"),"lieu")</f>
        <v>lieu</v>
      </c>
      <c r="I3023" s="4" t="str">
        <f>IFERROR(__xludf.DUMMYFUNCTION("if(D3023=""variant"",  substitute(filter(Templates!E:E, Templates!A:A = F3023, Templates!B:B = G3023, Templates!C:C = H3023), ""{{}}"", E3023), B3023)"),"🏘  L’appartement de vos rêves se trouve sur ImmoScout24.ch ✅ Découvrez les dernières annonces de vente à Zweisimmen.")</f>
        <v>🏘  L’appartement de vos rêves se trouve sur ImmoScout24.ch ✅ Découvrez les dernières annonces de vente à Zweisimmen.</v>
      </c>
      <c r="J3023" s="4" t="s">
        <v>9063</v>
      </c>
    </row>
    <row r="3024">
      <c r="A3024" s="5" t="s">
        <v>9064</v>
      </c>
      <c r="B3024" s="2" t="s">
        <v>9065</v>
      </c>
      <c r="C3024" s="4" t="str">
        <f>IFERROR(__xludf.DUMMYFUNCTION("""🏘️ ""&amp;REGEXEXTRACT(B3024, ""^(.*): "")&amp;"" ✅ "" &amp;REGEXEXTRACT(B3024, ""(Trouvez.*)"")"),"🏘️ Louer maison Estavayer-le-Lac ✅ Trouvez le bien immobilier qui correspond idéalement à vos désirs sur ImmoScout24 - La plateforme de l'immobilier en Suisse.")</f>
        <v>🏘️ Louer maison Estavayer-le-Lac ✅ Trouvez le bien immobilier qui correspond idéalement à vos désirs sur ImmoScout24 - La plateforme de l'immobilier en Suisse.</v>
      </c>
      <c r="D3024" s="4" t="str">
        <f>vlookup(A3024, Sheet2!D:E, 2, 0)</f>
        <v>variant</v>
      </c>
      <c r="E3024" s="4" t="str">
        <f>IFERROR(__xludf.DUMMYFUNCTION("if(H3024=""pays"",vlookup(REGEXEXTRACT(C3024, ""🏘️ \w+ \w+ (.*) ✅""),'Country prepositions'!A:B, 2, 0) &amp; "" "" &amp; REGEXEXTRACT(C3024, ""🏘️ \w+ \w+ (.*) ✅"") ,  if(H3024=""quartier"",vlookup(REGEXEXTRACT(C3024, ""🏘️ \w+ \w+ (.*) ✅""),'Quartier prepositio"&amp;"ns'!A:E, 5, 0) ,  if(H3024=""region"",vlookup(REGEXEXTRACT(C3024, ""🏘️ \w+ \w+ (.*) ✅""),'Region prepositions'!B:F, 5, 0),  REGEXEXTRACT(C3024, ""🏘️ \w+ \w+ (.*) ✅""))))"),"Estavayer-le-Lac")</f>
        <v>Estavayer-le-Lac</v>
      </c>
      <c r="F3024" s="2" t="str">
        <f>IFERROR(__xludf.DUMMYFUNCTION("REGEXEXTRACT(C3024, ""🏘️ (\w+) \w+ .* ✅"")"),"Louer")</f>
        <v>Louer</v>
      </c>
      <c r="G3024" s="2" t="str">
        <f>IFERROR(__xludf.DUMMYFUNCTION("REGEXEXTRACT(C3024, ""🏘️ \w+ (\w+) .* ✅"")"),"maison")</f>
        <v>maison</v>
      </c>
      <c r="H3024" s="4" t="str">
        <f>IFERROR(__xludf.DUMMYFUNCTION("REGEXEXTRACT(A3024, ""/(\w+)-.*?"")"),"lieu")</f>
        <v>lieu</v>
      </c>
      <c r="I3024" s="4" t="str">
        <f>IFERROR(__xludf.DUMMYFUNCTION("if(D3024=""variant"",  substitute(filter(Templates!E:E, Templates!A:A = F3024, Templates!B:B = G3024, Templates!C:C = H3024), ""{{}}"", E3024), B3024)"),"🏘  Vous cherchez une maison à louer à Estavayer-le-Lac? ✅ Découvrez nos nombreuses annonces sur ImmoScout24.ch.")</f>
        <v>🏘  Vous cherchez une maison à louer à Estavayer-le-Lac? ✅ Découvrez nos nombreuses annonces sur ImmoScout24.ch.</v>
      </c>
      <c r="J3024" s="4" t="s">
        <v>9066</v>
      </c>
    </row>
    <row r="3025">
      <c r="A3025" s="5" t="s">
        <v>9067</v>
      </c>
      <c r="B3025" s="2" t="s">
        <v>9068</v>
      </c>
      <c r="C3025" s="4" t="str">
        <f>IFERROR(__xludf.DUMMYFUNCTION("""🏘️ ""&amp;REGEXEXTRACT(B3025, ""^(.*): "")&amp;"" ✅ "" &amp;REGEXEXTRACT(B3025, ""(Trouvez.*)"")"),"🏘️ Louer appartement Villa (Evolène) ✅ Trouvez le bien immobilier qui correspond idéalement à vos désirs sur ImmoScout24 - La plateforme de l'immobilier en Suisse.")</f>
        <v>🏘️ Louer appartement Villa (Evolène) ✅ Trouvez le bien immobilier qui correspond idéalement à vos désirs sur ImmoScout24 - La plateforme de l'immobilier en Suisse.</v>
      </c>
      <c r="D3025" s="4" t="str">
        <f>vlookup(A3025, Sheet2!D:E, 2, 0)</f>
        <v>variant</v>
      </c>
      <c r="E3025" s="4" t="str">
        <f>IFERROR(__xludf.DUMMYFUNCTION("if(H3025=""pays"",vlookup(REGEXEXTRACT(C3025, ""🏘️ \w+ \w+ (.*) ✅""),'Country prepositions'!A:B, 2, 0) &amp; "" "" &amp; REGEXEXTRACT(C3025, ""🏘️ \w+ \w+ (.*) ✅"") ,  if(H3025=""quartier"",vlookup(REGEXEXTRACT(C3025, ""🏘️ \w+ \w+ (.*) ✅""),'Quartier prepositio"&amp;"ns'!A:E, 5, 0) ,  if(H3025=""region"",vlookup(REGEXEXTRACT(C3025, ""🏘️ \w+ \w+ (.*) ✅""),'Region prepositions'!B:F, 5, 0),  REGEXEXTRACT(C3025, ""🏘️ \w+ \w+ (.*) ✅""))))"),"Villa (Evolène)")</f>
        <v>Villa (Evolène)</v>
      </c>
      <c r="F3025" s="2" t="str">
        <f>IFERROR(__xludf.DUMMYFUNCTION("REGEXEXTRACT(C3025, ""🏘️ (\w+) \w+ .* ✅"")"),"Louer")</f>
        <v>Louer</v>
      </c>
      <c r="G3025" s="2" t="str">
        <f>IFERROR(__xludf.DUMMYFUNCTION("REGEXEXTRACT(C3025, ""🏘️ \w+ (\w+) .* ✅"")"),"appartement")</f>
        <v>appartement</v>
      </c>
      <c r="H3025" s="4" t="str">
        <f>IFERROR(__xludf.DUMMYFUNCTION("REGEXEXTRACT(A3025, ""/(\w+)-.*?"")"),"lieu")</f>
        <v>lieu</v>
      </c>
      <c r="I3025" s="4" t="str">
        <f>IFERROR(__xludf.DUMMYFUNCTION("if(D3025=""variant"",  substitute(filter(Templates!E:E, Templates!A:A = F3025, Templates!B:B = G3025, Templates!C:C = H3025), ""{{}}"", E3025), B3025)"),"🏘  Vous cherchez un appartement à louer à Villa (Evolène)? ✅ Les annonces les plus actuelles sont sur ImmoScout24.ch.")</f>
        <v>🏘  Vous cherchez un appartement à louer à Villa (Evolène)? ✅ Les annonces les plus actuelles sont sur ImmoScout24.ch.</v>
      </c>
      <c r="J3025" s="4" t="s">
        <v>9069</v>
      </c>
    </row>
    <row r="3026">
      <c r="A3026" s="5" t="s">
        <v>9070</v>
      </c>
      <c r="B3026" s="2" t="s">
        <v>9071</v>
      </c>
      <c r="C3026" s="4" t="str">
        <f>IFERROR(__xludf.DUMMYFUNCTION("""🏘️ ""&amp;REGEXEXTRACT(B3026, ""^(.*): "")&amp;"" ✅ "" &amp;REGEXEXTRACT(B3026, ""(Trouvez.*)"")"),"🏘️ Louer appartement Rapperswil BE ✅ Trouvez le bien immobilier qui correspond idéalement à vos désirs sur ImmoScout24 - La plateforme de l'immobilier en Suisse.")</f>
        <v>🏘️ Louer appartement Rapperswil BE ✅ Trouvez le bien immobilier qui correspond idéalement à vos désirs sur ImmoScout24 - La plateforme de l'immobilier en Suisse.</v>
      </c>
      <c r="D3026" s="4" t="str">
        <f>vlookup(A3026, Sheet2!D:E, 2, 0)</f>
        <v>variant</v>
      </c>
      <c r="E3026" s="4" t="str">
        <f>IFERROR(__xludf.DUMMYFUNCTION("if(H3026=""pays"",vlookup(REGEXEXTRACT(C3026, ""🏘️ \w+ \w+ (.*) ✅""),'Country prepositions'!A:B, 2, 0) &amp; "" "" &amp; REGEXEXTRACT(C3026, ""🏘️ \w+ \w+ (.*) ✅"") ,  if(H3026=""quartier"",vlookup(REGEXEXTRACT(C3026, ""🏘️ \w+ \w+ (.*) ✅""),'Quartier prepositio"&amp;"ns'!A:E, 5, 0) ,  if(H3026=""region"",vlookup(REGEXEXTRACT(C3026, ""🏘️ \w+ \w+ (.*) ✅""),'Region prepositions'!B:F, 5, 0),  REGEXEXTRACT(C3026, ""🏘️ \w+ \w+ (.*) ✅""))))"),"Rapperswil BE")</f>
        <v>Rapperswil BE</v>
      </c>
      <c r="F3026" s="2" t="str">
        <f>IFERROR(__xludf.DUMMYFUNCTION("REGEXEXTRACT(C3026, ""🏘️ (\w+) \w+ .* ✅"")"),"Louer")</f>
        <v>Louer</v>
      </c>
      <c r="G3026" s="2" t="str">
        <f>IFERROR(__xludf.DUMMYFUNCTION("REGEXEXTRACT(C3026, ""🏘️ \w+ (\w+) .* ✅"")"),"appartement")</f>
        <v>appartement</v>
      </c>
      <c r="H3026" s="4" t="str">
        <f>IFERROR(__xludf.DUMMYFUNCTION("REGEXEXTRACT(A3026, ""/(\w+)-.*?"")"),"lieu")</f>
        <v>lieu</v>
      </c>
      <c r="I3026" s="4" t="str">
        <f>IFERROR(__xludf.DUMMYFUNCTION("if(D3026=""variant"",  substitute(filter(Templates!E:E, Templates!A:A = F3026, Templates!B:B = G3026, Templates!C:C = H3026), ""{{}}"", E3026), B3026)"),"🏘  Vous cherchez un appartement à louer à Rapperswil BE? ✅ Les annonces les plus actuelles sont sur ImmoScout24.ch.")</f>
        <v>🏘  Vous cherchez un appartement à louer à Rapperswil BE? ✅ Les annonces les plus actuelles sont sur ImmoScout24.ch.</v>
      </c>
      <c r="J3026" s="4" t="s">
        <v>9072</v>
      </c>
    </row>
    <row r="3027">
      <c r="A3027" s="5" t="s">
        <v>9073</v>
      </c>
      <c r="B3027" s="2" t="s">
        <v>9074</v>
      </c>
      <c r="C3027" s="4" t="str">
        <f>IFERROR(__xludf.DUMMYFUNCTION("""🏘️ ""&amp;REGEXEXTRACT(B3027, ""^(.*): "")&amp;"" ✅ "" &amp;REGEXEXTRACT(B3027, ""(Trouvez.*)"")"),"🏘️ Vendre appartement Avenches - Payerne ✅ Trouvez le bien immobilier qui correspond idéalement à vos désirs sur ImmoScout24 - La plateforme de l'immobilier en Suisse.")</f>
        <v>🏘️ Vendre appartement Avenches - Payerne ✅ Trouvez le bien immobilier qui correspond idéalement à vos désirs sur ImmoScout24 - La plateforme de l'immobilier en Suisse.</v>
      </c>
      <c r="D3027" s="4" t="str">
        <f>vlookup(A3027, Sheet2!D:E, 2, 0)</f>
        <v>variant</v>
      </c>
      <c r="E3027" s="4" t="str">
        <f>IFERROR(__xludf.DUMMYFUNCTION("if(H3027=""pays"",vlookup(REGEXEXTRACT(C3027, ""🏘️ \w+ \w+ (.*) ✅""),'Country prepositions'!A:B, 2, 0) &amp; "" "" &amp; REGEXEXTRACT(C3027, ""🏘️ \w+ \w+ (.*) ✅"") ,  if(H3027=""quartier"",vlookup(REGEXEXTRACT(C3027, ""🏘️ \w+ \w+ (.*) ✅""),'Quartier prepositio"&amp;"ns'!A:E, 5, 0) ,  if(H3027=""region"",vlookup(REGEXEXTRACT(C3027, ""🏘️ \w+ \w+ (.*) ✅""),'Region prepositions'!B:F, 5, 0),  REGEXEXTRACT(C3027, ""🏘️ \w+ \w+ (.*) ✅""))))"),"dans la région d'Avenches - Payerne")</f>
        <v>dans la région d'Avenches - Payerne</v>
      </c>
      <c r="F3027" s="2" t="str">
        <f>IFERROR(__xludf.DUMMYFUNCTION("REGEXEXTRACT(C3027, ""🏘️ (\w+) \w+ .* ✅"")"),"Vendre")</f>
        <v>Vendre</v>
      </c>
      <c r="G3027" s="2" t="str">
        <f>IFERROR(__xludf.DUMMYFUNCTION("REGEXEXTRACT(C3027, ""🏘️ \w+ (\w+) .* ✅"")"),"appartement")</f>
        <v>appartement</v>
      </c>
      <c r="H3027" s="4" t="str">
        <f>IFERROR(__xludf.DUMMYFUNCTION("REGEXEXTRACT(A3027, ""/(\w+)-.*?"")"),"region")</f>
        <v>region</v>
      </c>
      <c r="I3027" s="4" t="str">
        <f>IFERROR(__xludf.DUMMYFUNCTION("if(D3027=""variant"",  substitute(filter(Templates!E:E, Templates!A:A = F3027, Templates!B:B = G3027, Templates!C:C = H3027), ""{{}}"", E3027), B3027)"),"🏘  L’appartement de vos rêves se trouve sur ImmoScout24.ch ✅ Découvrez les dernières annonces de vente dans la région d'Avenches - Payerne.")</f>
        <v>🏘  L’appartement de vos rêves se trouve sur ImmoScout24.ch ✅ Découvrez les dernières annonces de vente dans la région d'Avenches - Payerne.</v>
      </c>
      <c r="J3027" s="4" t="s">
        <v>9075</v>
      </c>
    </row>
    <row r="3028">
      <c r="A3028" s="5" t="s">
        <v>9076</v>
      </c>
      <c r="B3028" s="2" t="s">
        <v>9077</v>
      </c>
      <c r="C3028" s="4" t="str">
        <f>IFERROR(__xludf.DUMMYFUNCTION("""🏘️ ""&amp;REGEXEXTRACT(B3028, ""^(.*): "")&amp;"" ✅ "" &amp;REGEXEXTRACT(B3028, ""(Trouvez.*)"")"),"🏘️ Louer maison Erde ✅ Trouvez le bien immobilier qui correspond idéalement à vos désirs sur ImmoScout24 - La plateforme de l'immobilier en Suisse.")</f>
        <v>🏘️ Louer maison Erde ✅ Trouvez le bien immobilier qui correspond idéalement à vos désirs sur ImmoScout24 - La plateforme de l'immobilier en Suisse.</v>
      </c>
      <c r="D3028" s="4" t="str">
        <f>vlookup(A3028, Sheet2!D:E, 2, 0)</f>
        <v>variant</v>
      </c>
      <c r="E3028" s="4" t="str">
        <f>IFERROR(__xludf.DUMMYFUNCTION("if(H3028=""pays"",vlookup(REGEXEXTRACT(C3028, ""🏘️ \w+ \w+ (.*) ✅""),'Country prepositions'!A:B, 2, 0) &amp; "" "" &amp; REGEXEXTRACT(C3028, ""🏘️ \w+ \w+ (.*) ✅"") ,  if(H3028=""quartier"",vlookup(REGEXEXTRACT(C3028, ""🏘️ \w+ \w+ (.*) ✅""),'Quartier prepositio"&amp;"ns'!A:E, 5, 0) ,  if(H3028=""region"",vlookup(REGEXEXTRACT(C3028, ""🏘️ \w+ \w+ (.*) ✅""),'Region prepositions'!B:F, 5, 0),  REGEXEXTRACT(C3028, ""🏘️ \w+ \w+ (.*) ✅""))))"),"Erde")</f>
        <v>Erde</v>
      </c>
      <c r="F3028" s="2" t="str">
        <f>IFERROR(__xludf.DUMMYFUNCTION("REGEXEXTRACT(C3028, ""🏘️ (\w+) \w+ .* ✅"")"),"Louer")</f>
        <v>Louer</v>
      </c>
      <c r="G3028" s="2" t="str">
        <f>IFERROR(__xludf.DUMMYFUNCTION("REGEXEXTRACT(C3028, ""🏘️ \w+ (\w+) .* ✅"")"),"maison")</f>
        <v>maison</v>
      </c>
      <c r="H3028" s="4" t="str">
        <f>IFERROR(__xludf.DUMMYFUNCTION("REGEXEXTRACT(A3028, ""/(\w+)-.*?"")"),"lieu")</f>
        <v>lieu</v>
      </c>
      <c r="I3028" s="4" t="str">
        <f>IFERROR(__xludf.DUMMYFUNCTION("if(D3028=""variant"",  substitute(filter(Templates!E:E, Templates!A:A = F3028, Templates!B:B = G3028, Templates!C:C = H3028), ""{{}}"", E3028), B3028)"),"🏘  Vous cherchez une maison à louer à Erde? ✅ Découvrez nos nombreuses annonces sur ImmoScout24.ch.")</f>
        <v>🏘  Vous cherchez une maison à louer à Erde? ✅ Découvrez nos nombreuses annonces sur ImmoScout24.ch.</v>
      </c>
      <c r="J3028" s="4" t="s">
        <v>9078</v>
      </c>
    </row>
    <row r="3029">
      <c r="A3029" s="5" t="s">
        <v>9079</v>
      </c>
      <c r="B3029" s="2" t="s">
        <v>9080</v>
      </c>
      <c r="C3029" s="4" t="str">
        <f>IFERROR(__xludf.DUMMYFUNCTION("""🏘️ ""&amp;REGEXEXTRACT(B3029, ""^(.*): "")&amp;"" ✅ "" &amp;REGEXEXTRACT(B3029, ""(Trouvez.*)"")"),"🏘️ Vendre maison Daillon ✅ Trouvez le bien immobilier qui correspond idéalement à vos désirs sur ImmoScout24 - La plateforme de l'immobilier en Suisse.")</f>
        <v>🏘️ Vendre maison Daillon ✅ Trouvez le bien immobilier qui correspond idéalement à vos désirs sur ImmoScout24 - La plateforme de l'immobilier en Suisse.</v>
      </c>
      <c r="D3029" s="4" t="str">
        <f>vlookup(A3029, Sheet2!D:E, 2, 0)</f>
        <v>variant</v>
      </c>
      <c r="E3029" s="4" t="str">
        <f>IFERROR(__xludf.DUMMYFUNCTION("if(H3029=""pays"",vlookup(REGEXEXTRACT(C3029, ""🏘️ \w+ \w+ (.*) ✅""),'Country prepositions'!A:B, 2, 0) &amp; "" "" &amp; REGEXEXTRACT(C3029, ""🏘️ \w+ \w+ (.*) ✅"") ,  if(H3029=""quartier"",vlookup(REGEXEXTRACT(C3029, ""🏘️ \w+ \w+ (.*) ✅""),'Quartier prepositio"&amp;"ns'!A:E, 5, 0) ,  if(H3029=""region"",vlookup(REGEXEXTRACT(C3029, ""🏘️ \w+ \w+ (.*) ✅""),'Region prepositions'!B:F, 5, 0),  REGEXEXTRACT(C3029, ""🏘️ \w+ \w+ (.*) ✅""))))"),"Daillon")</f>
        <v>Daillon</v>
      </c>
      <c r="F3029" s="2" t="str">
        <f>IFERROR(__xludf.DUMMYFUNCTION("REGEXEXTRACT(C3029, ""🏘️ (\w+) \w+ .* ✅"")"),"Vendre")</f>
        <v>Vendre</v>
      </c>
      <c r="G3029" s="2" t="str">
        <f>IFERROR(__xludf.DUMMYFUNCTION("REGEXEXTRACT(C3029, ""🏘️ \w+ (\w+) .* ✅"")"),"maison")</f>
        <v>maison</v>
      </c>
      <c r="H3029" s="4" t="str">
        <f>IFERROR(__xludf.DUMMYFUNCTION("REGEXEXTRACT(A3029, ""/(\w+)-.*?"")"),"lieu")</f>
        <v>lieu</v>
      </c>
      <c r="I3029" s="4" t="str">
        <f>IFERROR(__xludf.DUMMYFUNCTION("if(D3029=""variant"",  substitute(filter(Templates!E:E, Templates!A:A = F3029, Templates!B:B = G3029, Templates!C:C = H3029), ""{{}}"", E3029), B3029)"),"🏘  Vous souhaitez acheter une maison à Daillon? ✅ Jetez un œil aux dernières offres sur ImmoScout24.ch.")</f>
        <v>🏘  Vous souhaitez acheter une maison à Daillon? ✅ Jetez un œil aux dernières offres sur ImmoScout24.ch.</v>
      </c>
      <c r="J3029" s="4" t="s">
        <v>9081</v>
      </c>
    </row>
    <row r="3030">
      <c r="A3030" s="5" t="s">
        <v>9082</v>
      </c>
      <c r="B3030" s="2" t="s">
        <v>9083</v>
      </c>
      <c r="C3030" s="4" t="str">
        <f>IFERROR(__xludf.DUMMYFUNCTION("""🏘️ ""&amp;REGEXEXTRACT(B3030, ""^(.*): "")&amp;"" ✅ "" &amp;REGEXEXTRACT(B3030, ""(Trouvez.*)"")"),"🏘️ Vendre maison Pilatus Kulm ✅ Trouvez le bien immobilier qui correspond idéalement à vos désirs sur ImmoScout24 - La plateforme de l'immobilier en Suisse.")</f>
        <v>🏘️ Vendre maison Pilatus Kulm ✅ Trouvez le bien immobilier qui correspond idéalement à vos désirs sur ImmoScout24 - La plateforme de l'immobilier en Suisse.</v>
      </c>
      <c r="D3030" s="4" t="str">
        <f>vlookup(A3030, Sheet2!D:E, 2, 0)</f>
        <v>variant</v>
      </c>
      <c r="E3030" s="4" t="str">
        <f>IFERROR(__xludf.DUMMYFUNCTION("if(H3030=""pays"",vlookup(REGEXEXTRACT(C3030, ""🏘️ \w+ \w+ (.*) ✅""),'Country prepositions'!A:B, 2, 0) &amp; "" "" &amp; REGEXEXTRACT(C3030, ""🏘️ \w+ \w+ (.*) ✅"") ,  if(H3030=""quartier"",vlookup(REGEXEXTRACT(C3030, ""🏘️ \w+ \w+ (.*) ✅""),'Quartier prepositio"&amp;"ns'!A:E, 5, 0) ,  if(H3030=""region"",vlookup(REGEXEXTRACT(C3030, ""🏘️ \w+ \w+ (.*) ✅""),'Region prepositions'!B:F, 5, 0),  REGEXEXTRACT(C3030, ""🏘️ \w+ \w+ (.*) ✅""))))"),"Pilatus Kulm")</f>
        <v>Pilatus Kulm</v>
      </c>
      <c r="F3030" s="2" t="str">
        <f>IFERROR(__xludf.DUMMYFUNCTION("REGEXEXTRACT(C3030, ""🏘️ (\w+) \w+ .* ✅"")"),"Vendre")</f>
        <v>Vendre</v>
      </c>
      <c r="G3030" s="2" t="str">
        <f>IFERROR(__xludf.DUMMYFUNCTION("REGEXEXTRACT(C3030, ""🏘️ \w+ (\w+) .* ✅"")"),"maison")</f>
        <v>maison</v>
      </c>
      <c r="H3030" s="4" t="str">
        <f>IFERROR(__xludf.DUMMYFUNCTION("REGEXEXTRACT(A3030, ""/(\w+)-.*?"")"),"lieu")</f>
        <v>lieu</v>
      </c>
      <c r="I3030" s="4" t="str">
        <f>IFERROR(__xludf.DUMMYFUNCTION("if(D3030=""variant"",  substitute(filter(Templates!E:E, Templates!A:A = F3030, Templates!B:B = G3030, Templates!C:C = H3030), ""{{}}"", E3030), B3030)"),"🏘  Vous souhaitez acheter une maison à Pilatus Kulm? ✅ Jetez un œil aux dernières offres sur ImmoScout24.ch.")</f>
        <v>🏘  Vous souhaitez acheter une maison à Pilatus Kulm? ✅ Jetez un œil aux dernières offres sur ImmoScout24.ch.</v>
      </c>
      <c r="J3030" s="4" t="s">
        <v>9084</v>
      </c>
    </row>
    <row r="3031">
      <c r="A3031" s="5" t="s">
        <v>9085</v>
      </c>
      <c r="B3031" s="2" t="s">
        <v>9086</v>
      </c>
      <c r="C3031" s="4" t="str">
        <f>IFERROR(__xludf.DUMMYFUNCTION("""🏘️ ""&amp;REGEXEXTRACT(B3031, ""^(.*): "")&amp;"" ✅ "" &amp;REGEXEXTRACT(B3031, ""(Trouvez.*)"")"),"🏘️ Vendre appartement Beaux-Arts (Neuchâtel) ✅ Trouvez le bien immobilier qui correspond idéalement à vos désirs sur ImmoScout24 - La plateforme de l'immobilier en Suisse.")</f>
        <v>🏘️ Vendre appartement Beaux-Arts (Neuchâtel) ✅ Trouvez le bien immobilier qui correspond idéalement à vos désirs sur ImmoScout24 - La plateforme de l'immobilier en Suisse.</v>
      </c>
      <c r="D3031" s="4" t="str">
        <f>vlookup(A3031, Sheet2!D:E, 2, 0)</f>
        <v>variant</v>
      </c>
      <c r="E3031" s="4" t="str">
        <f>IFERROR(__xludf.DUMMYFUNCTION("if(H3031=""pays"",vlookup(REGEXEXTRACT(C3031, ""🏘️ \w+ \w+ (.*) ✅""),'Country prepositions'!A:B, 2, 0) &amp; "" "" &amp; REGEXEXTRACT(C3031, ""🏘️ \w+ \w+ (.*) ✅"") ,  if(H3031=""quartier"",vlookup(REGEXEXTRACT(C3031, ""🏘️ \w+ \w+ (.*) ✅""),'Quartier prepositio"&amp;"ns'!A:E, 5, 0) ,  if(H3031=""region"",vlookup(REGEXEXTRACT(C3031, ""🏘️ \w+ \w+ (.*) ✅""),'Region prepositions'!B:F, 5, 0),  REGEXEXTRACT(C3031, ""🏘️ \w+ \w+ (.*) ✅""))))"),"dans le quartier des Beaux-Arts (Neuchâtel)")</f>
        <v>dans le quartier des Beaux-Arts (Neuchâtel)</v>
      </c>
      <c r="F3031" s="2" t="str">
        <f>IFERROR(__xludf.DUMMYFUNCTION("REGEXEXTRACT(C3031, ""🏘️ (\w+) \w+ .* ✅"")"),"Vendre")</f>
        <v>Vendre</v>
      </c>
      <c r="G3031" s="2" t="str">
        <f>IFERROR(__xludf.DUMMYFUNCTION("REGEXEXTRACT(C3031, ""🏘️ \w+ (\w+) .* ✅"")"),"appartement")</f>
        <v>appartement</v>
      </c>
      <c r="H3031" s="4" t="str">
        <f>IFERROR(__xludf.DUMMYFUNCTION("REGEXEXTRACT(A3031, ""/(\w+)-.*?"")"),"quartier")</f>
        <v>quartier</v>
      </c>
      <c r="I3031" s="4" t="str">
        <f>IFERROR(__xludf.DUMMYFUNCTION("if(D3031=""variant"",  substitute(filter(Templates!E:E, Templates!A:A = F3031, Templates!B:B = G3031, Templates!C:C = H3031), ""{{}}"", E3031), B3031)"),"🏘  L’appartement de vos rêves se trouve sur ImmoScout24.ch ✅ Découvrez les dernières annonces de vente dans le quartier des Beaux-Arts (Neuchâtel).")</f>
        <v>🏘  L’appartement de vos rêves se trouve sur ImmoScout24.ch ✅ Découvrez les dernières annonces de vente dans le quartier des Beaux-Arts (Neuchâtel).</v>
      </c>
      <c r="J3031" s="4" t="s">
        <v>9087</v>
      </c>
    </row>
    <row r="3032">
      <c r="A3032" s="5" t="s">
        <v>9088</v>
      </c>
      <c r="B3032" s="2" t="s">
        <v>9089</v>
      </c>
      <c r="C3032" s="4" t="str">
        <f>IFERROR(__xludf.DUMMYFUNCTION("""🏘️ ""&amp;REGEXEXTRACT(B3032, ""^(.*): "")&amp;"" ✅ "" &amp;REGEXEXTRACT(B3032, ""(Trouvez.*)"")"),"🏘️ Vendre maison Sornetan ✅ Trouvez le bien immobilier qui correspond idéalement à vos désirs sur ImmoScout24 - La plateforme de l'immobilier en Suisse.")</f>
        <v>🏘️ Vendre maison Sornetan ✅ Trouvez le bien immobilier qui correspond idéalement à vos désirs sur ImmoScout24 - La plateforme de l'immobilier en Suisse.</v>
      </c>
      <c r="D3032" s="4" t="str">
        <f>vlookup(A3032, Sheet2!D:E, 2, 0)</f>
        <v>variant</v>
      </c>
      <c r="E3032" s="4" t="str">
        <f>IFERROR(__xludf.DUMMYFUNCTION("if(H3032=""pays"",vlookup(REGEXEXTRACT(C3032, ""🏘️ \w+ \w+ (.*) ✅""),'Country prepositions'!A:B, 2, 0) &amp; "" "" &amp; REGEXEXTRACT(C3032, ""🏘️ \w+ \w+ (.*) ✅"") ,  if(H3032=""quartier"",vlookup(REGEXEXTRACT(C3032, ""🏘️ \w+ \w+ (.*) ✅""),'Quartier prepositio"&amp;"ns'!A:E, 5, 0) ,  if(H3032=""region"",vlookup(REGEXEXTRACT(C3032, ""🏘️ \w+ \w+ (.*) ✅""),'Region prepositions'!B:F, 5, 0),  REGEXEXTRACT(C3032, ""🏘️ \w+ \w+ (.*) ✅""))))"),"Sornetan")</f>
        <v>Sornetan</v>
      </c>
      <c r="F3032" s="2" t="str">
        <f>IFERROR(__xludf.DUMMYFUNCTION("REGEXEXTRACT(C3032, ""🏘️ (\w+) \w+ .* ✅"")"),"Vendre")</f>
        <v>Vendre</v>
      </c>
      <c r="G3032" s="2" t="str">
        <f>IFERROR(__xludf.DUMMYFUNCTION("REGEXEXTRACT(C3032, ""🏘️ \w+ (\w+) .* ✅"")"),"maison")</f>
        <v>maison</v>
      </c>
      <c r="H3032" s="4" t="str">
        <f>IFERROR(__xludf.DUMMYFUNCTION("REGEXEXTRACT(A3032, ""/(\w+)-.*?"")"),"lieu")</f>
        <v>lieu</v>
      </c>
      <c r="I3032" s="4" t="str">
        <f>IFERROR(__xludf.DUMMYFUNCTION("if(D3032=""variant"",  substitute(filter(Templates!E:E, Templates!A:A = F3032, Templates!B:B = G3032, Templates!C:C = H3032), ""{{}}"", E3032), B3032)"),"🏘  Vous souhaitez acheter une maison à Sornetan? ✅ Jetez un œil aux dernières offres sur ImmoScout24.ch.")</f>
        <v>🏘  Vous souhaitez acheter une maison à Sornetan? ✅ Jetez un œil aux dernières offres sur ImmoScout24.ch.</v>
      </c>
      <c r="J3032" s="4" t="s">
        <v>9090</v>
      </c>
    </row>
    <row r="3033">
      <c r="A3033" s="5" t="s">
        <v>9091</v>
      </c>
      <c r="B3033" s="2" t="s">
        <v>9092</v>
      </c>
      <c r="C3033" s="4" t="str">
        <f>IFERROR(__xludf.DUMMYFUNCTION("""🏘️ ""&amp;REGEXEXTRACT(B3033, ""^(.*): "")&amp;"" ✅ "" &amp;REGEXEXTRACT(B3033, ""(Trouvez.*)"")"),"🏘️ Vendre maison Palézieux ✅ Trouvez le bien immobilier qui correspond idéalement à vos désirs sur ImmoScout24 - La plateforme de l'immobilier en Suisse.")</f>
        <v>🏘️ Vendre maison Palézieux ✅ Trouvez le bien immobilier qui correspond idéalement à vos désirs sur ImmoScout24 - La plateforme de l'immobilier en Suisse.</v>
      </c>
      <c r="D3033" s="4" t="str">
        <f>vlookup(A3033, Sheet2!D:E, 2, 0)</f>
        <v>variant</v>
      </c>
      <c r="E3033" s="4" t="str">
        <f>IFERROR(__xludf.DUMMYFUNCTION("if(H3033=""pays"",vlookup(REGEXEXTRACT(C3033, ""🏘️ \w+ \w+ (.*) ✅""),'Country prepositions'!A:B, 2, 0) &amp; "" "" &amp; REGEXEXTRACT(C3033, ""🏘️ \w+ \w+ (.*) ✅"") ,  if(H3033=""quartier"",vlookup(REGEXEXTRACT(C3033, ""🏘️ \w+ \w+ (.*) ✅""),'Quartier prepositio"&amp;"ns'!A:E, 5, 0) ,  if(H3033=""region"",vlookup(REGEXEXTRACT(C3033, ""🏘️ \w+ \w+ (.*) ✅""),'Region prepositions'!B:F, 5, 0),  REGEXEXTRACT(C3033, ""🏘️ \w+ \w+ (.*) ✅""))))"),"Palézieux")</f>
        <v>Palézieux</v>
      </c>
      <c r="F3033" s="2" t="str">
        <f>IFERROR(__xludf.DUMMYFUNCTION("REGEXEXTRACT(C3033, ""🏘️ (\w+) \w+ .* ✅"")"),"Vendre")</f>
        <v>Vendre</v>
      </c>
      <c r="G3033" s="2" t="str">
        <f>IFERROR(__xludf.DUMMYFUNCTION("REGEXEXTRACT(C3033, ""🏘️ \w+ (\w+) .* ✅"")"),"maison")</f>
        <v>maison</v>
      </c>
      <c r="H3033" s="4" t="str">
        <f>IFERROR(__xludf.DUMMYFUNCTION("REGEXEXTRACT(A3033, ""/(\w+)-.*?"")"),"lieu")</f>
        <v>lieu</v>
      </c>
      <c r="I3033" s="4" t="str">
        <f>IFERROR(__xludf.DUMMYFUNCTION("if(D3033=""variant"",  substitute(filter(Templates!E:E, Templates!A:A = F3033, Templates!B:B = G3033, Templates!C:C = H3033), ""{{}}"", E3033), B3033)"),"🏘  Vous souhaitez acheter une maison à Palézieux? ✅ Jetez un œil aux dernières offres sur ImmoScout24.ch.")</f>
        <v>🏘  Vous souhaitez acheter une maison à Palézieux? ✅ Jetez un œil aux dernières offres sur ImmoScout24.ch.</v>
      </c>
      <c r="J3033" s="4" t="s">
        <v>9093</v>
      </c>
    </row>
    <row r="3034">
      <c r="A3034" s="5" t="s">
        <v>9094</v>
      </c>
      <c r="B3034" s="2" t="s">
        <v>9095</v>
      </c>
      <c r="C3034" s="4" t="str">
        <f>IFERROR(__xludf.DUMMYFUNCTION("""🏘️ ""&amp;REGEXEXTRACT(B3034, ""^(.*): "")&amp;"" ✅ "" &amp;REGEXEXTRACT(B3034, ""(Trouvez.*)"")"),"🏘️ Louer appartement Oberwangen b. Bern ✅ Trouvez le bien immobilier qui correspond idéalement à vos désirs sur ImmoScout24 - La plateforme de l'immobilier en Suisse.")</f>
        <v>🏘️ Louer appartement Oberwangen b. Bern ✅ Trouvez le bien immobilier qui correspond idéalement à vos désirs sur ImmoScout24 - La plateforme de l'immobilier en Suisse.</v>
      </c>
      <c r="D3034" s="4" t="str">
        <f>vlookup(A3034, Sheet2!D:E, 2, 0)</f>
        <v>variant</v>
      </c>
      <c r="E3034" s="4" t="str">
        <f>IFERROR(__xludf.DUMMYFUNCTION("if(H3034=""pays"",vlookup(REGEXEXTRACT(C3034, ""🏘️ \w+ \w+ (.*) ✅""),'Country prepositions'!A:B, 2, 0) &amp; "" "" &amp; REGEXEXTRACT(C3034, ""🏘️ \w+ \w+ (.*) ✅"") ,  if(H3034=""quartier"",vlookup(REGEXEXTRACT(C3034, ""🏘️ \w+ \w+ (.*) ✅""),'Quartier prepositio"&amp;"ns'!A:E, 5, 0) ,  if(H3034=""region"",vlookup(REGEXEXTRACT(C3034, ""🏘️ \w+ \w+ (.*) ✅""),'Region prepositions'!B:F, 5, 0),  REGEXEXTRACT(C3034, ""🏘️ \w+ \w+ (.*) ✅""))))"),"Oberwangen b. Bern")</f>
        <v>Oberwangen b. Bern</v>
      </c>
      <c r="F3034" s="2" t="str">
        <f>IFERROR(__xludf.DUMMYFUNCTION("REGEXEXTRACT(C3034, ""🏘️ (\w+) \w+ .* ✅"")"),"Louer")</f>
        <v>Louer</v>
      </c>
      <c r="G3034" s="2" t="str">
        <f>IFERROR(__xludf.DUMMYFUNCTION("REGEXEXTRACT(C3034, ""🏘️ \w+ (\w+) .* ✅"")"),"appartement")</f>
        <v>appartement</v>
      </c>
      <c r="H3034" s="4" t="str">
        <f>IFERROR(__xludf.DUMMYFUNCTION("REGEXEXTRACT(A3034, ""/(\w+)-.*?"")"),"lieu")</f>
        <v>lieu</v>
      </c>
      <c r="I3034" s="4" t="str">
        <f>IFERROR(__xludf.DUMMYFUNCTION("if(D3034=""variant"",  substitute(filter(Templates!E:E, Templates!A:A = F3034, Templates!B:B = G3034, Templates!C:C = H3034), ""{{}}"", E3034), B3034)"),"🏘  Vous cherchez un appartement à louer à Oberwangen b. Bern? ✅ Les annonces les plus actuelles sont sur ImmoScout24.ch.")</f>
        <v>🏘  Vous cherchez un appartement à louer à Oberwangen b. Bern? ✅ Les annonces les plus actuelles sont sur ImmoScout24.ch.</v>
      </c>
      <c r="J3034" s="4" t="s">
        <v>9096</v>
      </c>
    </row>
    <row r="3035">
      <c r="A3035" s="5" t="s">
        <v>9097</v>
      </c>
      <c r="B3035" s="2" t="s">
        <v>9098</v>
      </c>
      <c r="C3035" s="4" t="str">
        <f>IFERROR(__xludf.DUMMYFUNCTION("""🏘️ ""&amp;REGEXEXTRACT(B3035, ""^(.*): "")&amp;"" ✅ "" &amp;REGEXEXTRACT(B3035, ""(Trouvez.*)"")"),"🏘️ Louer appartement Lens ✅ Trouvez le bien immobilier qui correspond idéalement à vos désirs sur ImmoScout24 - La plateforme de l'immobilier en Suisse.")</f>
        <v>🏘️ Louer appartement Lens ✅ Trouvez le bien immobilier qui correspond idéalement à vos désirs sur ImmoScout24 - La plateforme de l'immobilier en Suisse.</v>
      </c>
      <c r="D3035" s="4" t="str">
        <f>vlookup(A3035, Sheet2!D:E, 2, 0)</f>
        <v>variant</v>
      </c>
      <c r="E3035" s="4" t="str">
        <f>IFERROR(__xludf.DUMMYFUNCTION("if(H3035=""pays"",vlookup(REGEXEXTRACT(C3035, ""🏘️ \w+ \w+ (.*) ✅""),'Country prepositions'!A:B, 2, 0) &amp; "" "" &amp; REGEXEXTRACT(C3035, ""🏘️ \w+ \w+ (.*) ✅"") ,  if(H3035=""quartier"",vlookup(REGEXEXTRACT(C3035, ""🏘️ \w+ \w+ (.*) ✅""),'Quartier prepositio"&amp;"ns'!A:E, 5, 0) ,  if(H3035=""region"",vlookup(REGEXEXTRACT(C3035, ""🏘️ \w+ \w+ (.*) ✅""),'Region prepositions'!B:F, 5, 0),  REGEXEXTRACT(C3035, ""🏘️ \w+ \w+ (.*) ✅""))))"),"Lens")</f>
        <v>Lens</v>
      </c>
      <c r="F3035" s="2" t="str">
        <f>IFERROR(__xludf.DUMMYFUNCTION("REGEXEXTRACT(C3035, ""🏘️ (\w+) \w+ .* ✅"")"),"Louer")</f>
        <v>Louer</v>
      </c>
      <c r="G3035" s="2" t="str">
        <f>IFERROR(__xludf.DUMMYFUNCTION("REGEXEXTRACT(C3035, ""🏘️ \w+ (\w+) .* ✅"")"),"appartement")</f>
        <v>appartement</v>
      </c>
      <c r="H3035" s="4" t="str">
        <f>IFERROR(__xludf.DUMMYFUNCTION("REGEXEXTRACT(A3035, ""/(\w+)-.*?"")"),"lieu")</f>
        <v>lieu</v>
      </c>
      <c r="I3035" s="4" t="str">
        <f>IFERROR(__xludf.DUMMYFUNCTION("if(D3035=""variant"",  substitute(filter(Templates!E:E, Templates!A:A = F3035, Templates!B:B = G3035, Templates!C:C = H3035), ""{{}}"", E3035), B3035)"),"🏘  Vous cherchez un appartement à louer à Lens? ✅ Les annonces les plus actuelles sont sur ImmoScout24.ch.")</f>
        <v>🏘  Vous cherchez un appartement à louer à Lens? ✅ Les annonces les plus actuelles sont sur ImmoScout24.ch.</v>
      </c>
      <c r="J3035" s="2" t="s">
        <v>9099</v>
      </c>
    </row>
    <row r="3036">
      <c r="A3036" s="5" t="s">
        <v>9100</v>
      </c>
      <c r="B3036" s="2" t="s">
        <v>9101</v>
      </c>
      <c r="C3036" s="4" t="str">
        <f>IFERROR(__xludf.DUMMYFUNCTION("""🏘️ ""&amp;REGEXEXTRACT(B3036, ""^(.*): "")&amp;"" ✅ "" &amp;REGEXEXTRACT(B3036, ""(Trouvez.*)"")"),"🏘️ Vendre appartement Orbe ✅ Trouvez le bien immobilier qui correspond idéalement à vos désirs sur ImmoScout24 - La plateforme de l'immobilier en Suisse.")</f>
        <v>🏘️ Vendre appartement Orbe ✅ Trouvez le bien immobilier qui correspond idéalement à vos désirs sur ImmoScout24 - La plateforme de l'immobilier en Suisse.</v>
      </c>
      <c r="D3036" s="4" t="str">
        <f>vlookup(A3036, Sheet2!D:E, 2, 0)</f>
        <v>variant</v>
      </c>
      <c r="E3036" s="4" t="str">
        <f>IFERROR(__xludf.DUMMYFUNCTION("if(H3036=""pays"",vlookup(REGEXEXTRACT(C3036, ""🏘️ \w+ \w+ (.*) ✅""),'Country prepositions'!A:B, 2, 0) &amp; "" "" &amp; REGEXEXTRACT(C3036, ""🏘️ \w+ \w+ (.*) ✅"") ,  if(H3036=""quartier"",vlookup(REGEXEXTRACT(C3036, ""🏘️ \w+ \w+ (.*) ✅""),'Quartier prepositio"&amp;"ns'!A:E, 5, 0) ,  if(H3036=""region"",vlookup(REGEXEXTRACT(C3036, ""🏘️ \w+ \w+ (.*) ✅""),'Region prepositions'!B:F, 5, 0),  REGEXEXTRACT(C3036, ""🏘️ \w+ \w+ (.*) ✅""))))"),"Orbe")</f>
        <v>Orbe</v>
      </c>
      <c r="F3036" s="2" t="str">
        <f>IFERROR(__xludf.DUMMYFUNCTION("REGEXEXTRACT(C3036, ""🏘️ (\w+) \w+ .* ✅"")"),"Vendre")</f>
        <v>Vendre</v>
      </c>
      <c r="G3036" s="2" t="str">
        <f>IFERROR(__xludf.DUMMYFUNCTION("REGEXEXTRACT(C3036, ""🏘️ \w+ (\w+) .* ✅"")"),"appartement")</f>
        <v>appartement</v>
      </c>
      <c r="H3036" s="4" t="str">
        <f>IFERROR(__xludf.DUMMYFUNCTION("REGEXEXTRACT(A3036, ""/(\w+)-.*?"")"),"lieu")</f>
        <v>lieu</v>
      </c>
      <c r="I3036" s="4" t="str">
        <f>IFERROR(__xludf.DUMMYFUNCTION("if(D3036=""variant"",  substitute(filter(Templates!E:E, Templates!A:A = F3036, Templates!B:B = G3036, Templates!C:C = H3036), ""{{}}"", E3036), B3036)"),"🏘  L’appartement de vos rêves se trouve sur ImmoScout24.ch ✅ Découvrez les dernières annonces de vente à Orbe.")</f>
        <v>🏘  L’appartement de vos rêves se trouve sur ImmoScout24.ch ✅ Découvrez les dernières annonces de vente à Orbe.</v>
      </c>
      <c r="J3036" s="4" t="s">
        <v>9102</v>
      </c>
    </row>
    <row r="3037">
      <c r="A3037" s="5" t="s">
        <v>9103</v>
      </c>
      <c r="B3037" s="2" t="s">
        <v>9104</v>
      </c>
      <c r="C3037" s="4" t="str">
        <f>IFERROR(__xludf.DUMMYFUNCTION("""🏘️ ""&amp;REGEXEXTRACT(B3037, ""^(.*): "")&amp;"" ✅ "" &amp;REGEXEXTRACT(B3037, ""(Trouvez.*)"")"),"🏘️ Vendre maison Les Bois ✅ Trouvez le bien immobilier qui correspond idéalement à vos désirs sur ImmoScout24 - La plateforme de l'immobilier en Suisse.")</f>
        <v>🏘️ Vendre maison Les Bois ✅ Trouvez le bien immobilier qui correspond idéalement à vos désirs sur ImmoScout24 - La plateforme de l'immobilier en Suisse.</v>
      </c>
      <c r="D3037" s="4" t="str">
        <f>vlookup(A3037, Sheet2!D:E, 2, 0)</f>
        <v>variant</v>
      </c>
      <c r="E3037" s="4" t="str">
        <f>IFERROR(__xludf.DUMMYFUNCTION("if(H3037=""pays"",vlookup(REGEXEXTRACT(C3037, ""🏘️ \w+ \w+ (.*) ✅""),'Country prepositions'!A:B, 2, 0) &amp; "" "" &amp; REGEXEXTRACT(C3037, ""🏘️ \w+ \w+ (.*) ✅"") ,  if(H3037=""quartier"",vlookup(REGEXEXTRACT(C3037, ""🏘️ \w+ \w+ (.*) ✅""),'Quartier prepositio"&amp;"ns'!A:E, 5, 0) ,  if(H3037=""region"",vlookup(REGEXEXTRACT(C3037, ""🏘️ \w+ \w+ (.*) ✅""),'Region prepositions'!B:F, 5, 0),  REGEXEXTRACT(C3037, ""🏘️ \w+ \w+ (.*) ✅""))))"),"Les Bois")</f>
        <v>Les Bois</v>
      </c>
      <c r="F3037" s="2" t="str">
        <f>IFERROR(__xludf.DUMMYFUNCTION("REGEXEXTRACT(C3037, ""🏘️ (\w+) \w+ .* ✅"")"),"Vendre")</f>
        <v>Vendre</v>
      </c>
      <c r="G3037" s="2" t="str">
        <f>IFERROR(__xludf.DUMMYFUNCTION("REGEXEXTRACT(C3037, ""🏘️ \w+ (\w+) .* ✅"")"),"maison")</f>
        <v>maison</v>
      </c>
      <c r="H3037" s="4" t="str">
        <f>IFERROR(__xludf.DUMMYFUNCTION("REGEXEXTRACT(A3037, ""/(\w+)-.*?"")"),"lieu")</f>
        <v>lieu</v>
      </c>
      <c r="I3037" s="4" t="str">
        <f>IFERROR(__xludf.DUMMYFUNCTION("if(D3037=""variant"",  substitute(filter(Templates!E:E, Templates!A:A = F3037, Templates!B:B = G3037, Templates!C:C = H3037), ""{{}}"", E3037), B3037)"),"🏘  Vous souhaitez acheter une maison à Les Bois? ✅ Jetez un œil aux dernières offres sur ImmoScout24.ch.")</f>
        <v>🏘  Vous souhaitez acheter une maison à Les Bois? ✅ Jetez un œil aux dernières offres sur ImmoScout24.ch.</v>
      </c>
      <c r="J3037" s="2" t="s">
        <v>9105</v>
      </c>
    </row>
    <row r="3038">
      <c r="A3038" s="5" t="s">
        <v>9106</v>
      </c>
      <c r="B3038" s="2" t="s">
        <v>9107</v>
      </c>
      <c r="C3038" s="4" t="str">
        <f>IFERROR(__xludf.DUMMYFUNCTION("""🏘️ ""&amp;REGEXEXTRACT(B3038, ""^(.*): "")&amp;"" ✅ "" &amp;REGEXEXTRACT(B3038, ""(Trouvez.*)"")"),"🏘️ Vendre appartement Cernier ✅ Trouvez le bien immobilier qui correspond idéalement à vos désirs sur ImmoScout24 - La plateforme de l'immobilier en Suisse.")</f>
        <v>🏘️ Vendre appartement Cernier ✅ Trouvez le bien immobilier qui correspond idéalement à vos désirs sur ImmoScout24 - La plateforme de l'immobilier en Suisse.</v>
      </c>
      <c r="D3038" s="4" t="str">
        <f>vlookup(A3038, Sheet2!D:E, 2, 0)</f>
        <v>variant</v>
      </c>
      <c r="E3038" s="4" t="str">
        <f>IFERROR(__xludf.DUMMYFUNCTION("if(H3038=""pays"",vlookup(REGEXEXTRACT(C3038, ""🏘️ \w+ \w+ (.*) ✅""),'Country prepositions'!A:B, 2, 0) &amp; "" "" &amp; REGEXEXTRACT(C3038, ""🏘️ \w+ \w+ (.*) ✅"") ,  if(H3038=""quartier"",vlookup(REGEXEXTRACT(C3038, ""🏘️ \w+ \w+ (.*) ✅""),'Quartier prepositio"&amp;"ns'!A:E, 5, 0) ,  if(H3038=""region"",vlookup(REGEXEXTRACT(C3038, ""🏘️ \w+ \w+ (.*) ✅""),'Region prepositions'!B:F, 5, 0),  REGEXEXTRACT(C3038, ""🏘️ \w+ \w+ (.*) ✅""))))"),"Cernier")</f>
        <v>Cernier</v>
      </c>
      <c r="F3038" s="2" t="str">
        <f>IFERROR(__xludf.DUMMYFUNCTION("REGEXEXTRACT(C3038, ""🏘️ (\w+) \w+ .* ✅"")"),"Vendre")</f>
        <v>Vendre</v>
      </c>
      <c r="G3038" s="2" t="str">
        <f>IFERROR(__xludf.DUMMYFUNCTION("REGEXEXTRACT(C3038, ""🏘️ \w+ (\w+) .* ✅"")"),"appartement")</f>
        <v>appartement</v>
      </c>
      <c r="H3038" s="4" t="str">
        <f>IFERROR(__xludf.DUMMYFUNCTION("REGEXEXTRACT(A3038, ""/(\w+)-.*?"")"),"lieu")</f>
        <v>lieu</v>
      </c>
      <c r="I3038" s="4" t="str">
        <f>IFERROR(__xludf.DUMMYFUNCTION("if(D3038=""variant"",  substitute(filter(Templates!E:E, Templates!A:A = F3038, Templates!B:B = G3038, Templates!C:C = H3038), ""{{}}"", E3038), B3038)"),"🏘  L’appartement de vos rêves se trouve sur ImmoScout24.ch ✅ Découvrez les dernières annonces de vente à Cernier.")</f>
        <v>🏘  L’appartement de vos rêves se trouve sur ImmoScout24.ch ✅ Découvrez les dernières annonces de vente à Cernier.</v>
      </c>
      <c r="J3038" s="4" t="s">
        <v>9108</v>
      </c>
    </row>
    <row r="3039">
      <c r="A3039" s="5" t="s">
        <v>9109</v>
      </c>
      <c r="B3039" s="2" t="s">
        <v>9110</v>
      </c>
      <c r="C3039" s="4" t="str">
        <f>IFERROR(__xludf.DUMMYFUNCTION("""🏘️ ""&amp;REGEXEXTRACT(B3039, ""^(.*): "")&amp;"" ✅ "" &amp;REGEXEXTRACT(B3039, ""(Trouvez.*)"")"),"🏘️ Louer appartement Bussy-sur-Moudon ✅ Trouvez le bien immobilier qui correspond idéalement à vos désirs sur ImmoScout24 - La plateforme de l'immobilier en Suisse.")</f>
        <v>🏘️ Louer appartement Bussy-sur-Moudon ✅ Trouvez le bien immobilier qui correspond idéalement à vos désirs sur ImmoScout24 - La plateforme de l'immobilier en Suisse.</v>
      </c>
      <c r="D3039" s="4" t="str">
        <f>vlookup(A3039, Sheet2!D:E, 2, 0)</f>
        <v>variant</v>
      </c>
      <c r="E3039" s="4" t="str">
        <f>IFERROR(__xludf.DUMMYFUNCTION("if(H3039=""pays"",vlookup(REGEXEXTRACT(C3039, ""🏘️ \w+ \w+ (.*) ✅""),'Country prepositions'!A:B, 2, 0) &amp; "" "" &amp; REGEXEXTRACT(C3039, ""🏘️ \w+ \w+ (.*) ✅"") ,  if(H3039=""quartier"",vlookup(REGEXEXTRACT(C3039, ""🏘️ \w+ \w+ (.*) ✅""),'Quartier prepositio"&amp;"ns'!A:E, 5, 0) ,  if(H3039=""region"",vlookup(REGEXEXTRACT(C3039, ""🏘️ \w+ \w+ (.*) ✅""),'Region prepositions'!B:F, 5, 0),  REGEXEXTRACT(C3039, ""🏘️ \w+ \w+ (.*) ✅""))))"),"Bussy-sur-Moudon")</f>
        <v>Bussy-sur-Moudon</v>
      </c>
      <c r="F3039" s="2" t="str">
        <f>IFERROR(__xludf.DUMMYFUNCTION("REGEXEXTRACT(C3039, ""🏘️ (\w+) \w+ .* ✅"")"),"Louer")</f>
        <v>Louer</v>
      </c>
      <c r="G3039" s="2" t="str">
        <f>IFERROR(__xludf.DUMMYFUNCTION("REGEXEXTRACT(C3039, ""🏘️ \w+ (\w+) .* ✅"")"),"appartement")</f>
        <v>appartement</v>
      </c>
      <c r="H3039" s="4" t="str">
        <f>IFERROR(__xludf.DUMMYFUNCTION("REGEXEXTRACT(A3039, ""/(\w+)-.*?"")"),"lieu")</f>
        <v>lieu</v>
      </c>
      <c r="I3039" s="4" t="str">
        <f>IFERROR(__xludf.DUMMYFUNCTION("if(D3039=""variant"",  substitute(filter(Templates!E:E, Templates!A:A = F3039, Templates!B:B = G3039, Templates!C:C = H3039), ""{{}}"", E3039), B3039)"),"🏘  Vous cherchez un appartement à louer à Bussy-sur-Moudon? ✅ Les annonces les plus actuelles sont sur ImmoScout24.ch.")</f>
        <v>🏘  Vous cherchez un appartement à louer à Bussy-sur-Moudon? ✅ Les annonces les plus actuelles sont sur ImmoScout24.ch.</v>
      </c>
      <c r="J3039" s="4" t="s">
        <v>9111</v>
      </c>
    </row>
    <row r="3040">
      <c r="A3040" s="5" t="s">
        <v>9112</v>
      </c>
      <c r="B3040" s="2" t="s">
        <v>9113</v>
      </c>
      <c r="C3040" s="4" t="str">
        <f>IFERROR(__xludf.DUMMYFUNCTION("""🏘️ ""&amp;REGEXEXTRACT(B3040, ""^(.*): "")&amp;"" ✅ "" &amp;REGEXEXTRACT(B3040, ""(Trouvez.*)"")"),"🏘️ Vendre maison Kirchlindach ✅ Trouvez le bien immobilier qui correspond idéalement à vos désirs sur ImmoScout24 - La plateforme de l'immobilier en Suisse.")</f>
        <v>🏘️ Vendre maison Kirchlindach ✅ Trouvez le bien immobilier qui correspond idéalement à vos désirs sur ImmoScout24 - La plateforme de l'immobilier en Suisse.</v>
      </c>
      <c r="D3040" s="4" t="str">
        <f>vlookup(A3040, Sheet2!D:E, 2, 0)</f>
        <v>variant</v>
      </c>
      <c r="E3040" s="4" t="str">
        <f>IFERROR(__xludf.DUMMYFUNCTION("if(H3040=""pays"",vlookup(REGEXEXTRACT(C3040, ""🏘️ \w+ \w+ (.*) ✅""),'Country prepositions'!A:B, 2, 0) &amp; "" "" &amp; REGEXEXTRACT(C3040, ""🏘️ \w+ \w+ (.*) ✅"") ,  if(H3040=""quartier"",vlookup(REGEXEXTRACT(C3040, ""🏘️ \w+ \w+ (.*) ✅""),'Quartier prepositio"&amp;"ns'!A:E, 5, 0) ,  if(H3040=""region"",vlookup(REGEXEXTRACT(C3040, ""🏘️ \w+ \w+ (.*) ✅""),'Region prepositions'!B:F, 5, 0),  REGEXEXTRACT(C3040, ""🏘️ \w+ \w+ (.*) ✅""))))"),"Kirchlindach")</f>
        <v>Kirchlindach</v>
      </c>
      <c r="F3040" s="2" t="str">
        <f>IFERROR(__xludf.DUMMYFUNCTION("REGEXEXTRACT(C3040, ""🏘️ (\w+) \w+ .* ✅"")"),"Vendre")</f>
        <v>Vendre</v>
      </c>
      <c r="G3040" s="2" t="str">
        <f>IFERROR(__xludf.DUMMYFUNCTION("REGEXEXTRACT(C3040, ""🏘️ \w+ (\w+) .* ✅"")"),"maison")</f>
        <v>maison</v>
      </c>
      <c r="H3040" s="4" t="str">
        <f>IFERROR(__xludf.DUMMYFUNCTION("REGEXEXTRACT(A3040, ""/(\w+)-.*?"")"),"lieu")</f>
        <v>lieu</v>
      </c>
      <c r="I3040" s="4" t="str">
        <f>IFERROR(__xludf.DUMMYFUNCTION("if(D3040=""variant"",  substitute(filter(Templates!E:E, Templates!A:A = F3040, Templates!B:B = G3040, Templates!C:C = H3040), ""{{}}"", E3040), B3040)"),"🏘  Vous souhaitez acheter une maison à Kirchlindach? ✅ Jetez un œil aux dernières offres sur ImmoScout24.ch.")</f>
        <v>🏘  Vous souhaitez acheter une maison à Kirchlindach? ✅ Jetez un œil aux dernières offres sur ImmoScout24.ch.</v>
      </c>
      <c r="J3040" s="4" t="s">
        <v>9114</v>
      </c>
    </row>
    <row r="3041">
      <c r="A3041" s="5" t="s">
        <v>9115</v>
      </c>
      <c r="B3041" s="2" t="s">
        <v>9116</v>
      </c>
      <c r="C3041" s="4" t="str">
        <f>IFERROR(__xludf.DUMMYFUNCTION("""🏘️ ""&amp;REGEXEXTRACT(B3041, ""^(.*): "")&amp;"" ✅ "" &amp;REGEXEXTRACT(B3041, ""(Trouvez.*)"")"),"🏘️ Vendre maison Cassina d'Agno ✅ Trouvez le bien immobilier qui correspond idéalement à vos désirs sur ImmoScout24 - La plateforme de l'immobilier en Suisse.")</f>
        <v>🏘️ Vendre maison Cassina d'Agno ✅ Trouvez le bien immobilier qui correspond idéalement à vos désirs sur ImmoScout24 - La plateforme de l'immobilier en Suisse.</v>
      </c>
      <c r="D3041" s="4" t="str">
        <f>vlookup(A3041, Sheet2!D:E, 2, 0)</f>
        <v>variant</v>
      </c>
      <c r="E3041" s="4" t="str">
        <f>IFERROR(__xludf.DUMMYFUNCTION("if(H3041=""pays"",vlookup(REGEXEXTRACT(C3041, ""🏘️ \w+ \w+ (.*) ✅""),'Country prepositions'!A:B, 2, 0) &amp; "" "" &amp; REGEXEXTRACT(C3041, ""🏘️ \w+ \w+ (.*) ✅"") ,  if(H3041=""quartier"",vlookup(REGEXEXTRACT(C3041, ""🏘️ \w+ \w+ (.*) ✅""),'Quartier prepositio"&amp;"ns'!A:E, 5, 0) ,  if(H3041=""region"",vlookup(REGEXEXTRACT(C3041, ""🏘️ \w+ \w+ (.*) ✅""),'Region prepositions'!B:F, 5, 0),  REGEXEXTRACT(C3041, ""🏘️ \w+ \w+ (.*) ✅""))))"),"Cassina d'Agno")</f>
        <v>Cassina d'Agno</v>
      </c>
      <c r="F3041" s="2" t="str">
        <f>IFERROR(__xludf.DUMMYFUNCTION("REGEXEXTRACT(C3041, ""🏘️ (\w+) \w+ .* ✅"")"),"Vendre")</f>
        <v>Vendre</v>
      </c>
      <c r="G3041" s="2" t="str">
        <f>IFERROR(__xludf.DUMMYFUNCTION("REGEXEXTRACT(C3041, ""🏘️ \w+ (\w+) .* ✅"")"),"maison")</f>
        <v>maison</v>
      </c>
      <c r="H3041" s="4" t="str">
        <f>IFERROR(__xludf.DUMMYFUNCTION("REGEXEXTRACT(A3041, ""/(\w+)-.*?"")"),"lieu")</f>
        <v>lieu</v>
      </c>
      <c r="I3041" s="4" t="str">
        <f>IFERROR(__xludf.DUMMYFUNCTION("if(D3041=""variant"",  substitute(filter(Templates!E:E, Templates!A:A = F3041, Templates!B:B = G3041, Templates!C:C = H3041), ""{{}}"", E3041), B3041)"),"🏘  Vous souhaitez acheter une maison à Cassina d'Agno? ✅ Jetez un œil aux dernières offres sur ImmoScout24.ch.")</f>
        <v>🏘  Vous souhaitez acheter une maison à Cassina d'Agno? ✅ Jetez un œil aux dernières offres sur ImmoScout24.ch.</v>
      </c>
      <c r="J3041" s="4" t="s">
        <v>9117</v>
      </c>
    </row>
    <row r="3042">
      <c r="A3042" s="5" t="s">
        <v>9118</v>
      </c>
      <c r="B3042" s="2" t="s">
        <v>9119</v>
      </c>
      <c r="C3042" s="4" t="str">
        <f>IFERROR(__xludf.DUMMYFUNCTION("""🏘️ ""&amp;REGEXEXTRACT(B3042, ""^(.*): "")&amp;"" ✅ "" &amp;REGEXEXTRACT(B3042, ""(Trouvez.*)"")"),"🏘️ Vendre appartement Salins ✅ Trouvez le bien immobilier qui correspond idéalement à vos désirs sur ImmoScout24 - La plateforme de l'immobilier en Suisse.")</f>
        <v>🏘️ Vendre appartement Salins ✅ Trouvez le bien immobilier qui correspond idéalement à vos désirs sur ImmoScout24 - La plateforme de l'immobilier en Suisse.</v>
      </c>
      <c r="D3042" s="4" t="str">
        <f>vlookup(A3042, Sheet2!D:E, 2, 0)</f>
        <v>variant</v>
      </c>
      <c r="E3042" s="4" t="str">
        <f>IFERROR(__xludf.DUMMYFUNCTION("if(H3042=""pays"",vlookup(REGEXEXTRACT(C3042, ""🏘️ \w+ \w+ (.*) ✅""),'Country prepositions'!A:B, 2, 0) &amp; "" "" &amp; REGEXEXTRACT(C3042, ""🏘️ \w+ \w+ (.*) ✅"") ,  if(H3042=""quartier"",vlookup(REGEXEXTRACT(C3042, ""🏘️ \w+ \w+ (.*) ✅""),'Quartier prepositio"&amp;"ns'!A:E, 5, 0) ,  if(H3042=""region"",vlookup(REGEXEXTRACT(C3042, ""🏘️ \w+ \w+ (.*) ✅""),'Region prepositions'!B:F, 5, 0),  REGEXEXTRACT(C3042, ""🏘️ \w+ \w+ (.*) ✅""))))"),"Salins")</f>
        <v>Salins</v>
      </c>
      <c r="F3042" s="2" t="str">
        <f>IFERROR(__xludf.DUMMYFUNCTION("REGEXEXTRACT(C3042, ""🏘️ (\w+) \w+ .* ✅"")"),"Vendre")</f>
        <v>Vendre</v>
      </c>
      <c r="G3042" s="2" t="str">
        <f>IFERROR(__xludf.DUMMYFUNCTION("REGEXEXTRACT(C3042, ""🏘️ \w+ (\w+) .* ✅"")"),"appartement")</f>
        <v>appartement</v>
      </c>
      <c r="H3042" s="4" t="str">
        <f>IFERROR(__xludf.DUMMYFUNCTION("REGEXEXTRACT(A3042, ""/(\w+)-.*?"")"),"lieu")</f>
        <v>lieu</v>
      </c>
      <c r="I3042" s="4" t="str">
        <f>IFERROR(__xludf.DUMMYFUNCTION("if(D3042=""variant"",  substitute(filter(Templates!E:E, Templates!A:A = F3042, Templates!B:B = G3042, Templates!C:C = H3042), ""{{}}"", E3042), B3042)"),"🏘  L’appartement de vos rêves se trouve sur ImmoScout24.ch ✅ Découvrez les dernières annonces de vente à Salins.")</f>
        <v>🏘  L’appartement de vos rêves se trouve sur ImmoScout24.ch ✅ Découvrez les dernières annonces de vente à Salins.</v>
      </c>
      <c r="J3042" s="4" t="s">
        <v>9120</v>
      </c>
    </row>
    <row r="3043">
      <c r="A3043" s="5" t="s">
        <v>9121</v>
      </c>
      <c r="B3043" s="2" t="s">
        <v>9122</v>
      </c>
      <c r="C3043" s="4" t="str">
        <f>IFERROR(__xludf.DUMMYFUNCTION("""🏘️ ""&amp;REGEXEXTRACT(B3043, ""^(.*): "")&amp;"" ✅ "" &amp;REGEXEXTRACT(B3043, ""(Trouvez.*)"")"),"🏘️ Louer appartement Vandoeuvres ✅ Trouvez le bien immobilier qui correspond idéalement à vos désirs sur ImmoScout24 - La plateforme de l'immobilier en Suisse.")</f>
        <v>🏘️ Louer appartement Vandoeuvres ✅ Trouvez le bien immobilier qui correspond idéalement à vos désirs sur ImmoScout24 - La plateforme de l'immobilier en Suisse.</v>
      </c>
      <c r="D3043" s="4" t="str">
        <f>vlookup(A3043, Sheet2!D:E, 2, 0)</f>
        <v>variant</v>
      </c>
      <c r="E3043" s="4" t="str">
        <f>IFERROR(__xludf.DUMMYFUNCTION("if(H3043=""pays"",vlookup(REGEXEXTRACT(C3043, ""🏘️ \w+ \w+ (.*) ✅""),'Country prepositions'!A:B, 2, 0) &amp; "" "" &amp; REGEXEXTRACT(C3043, ""🏘️ \w+ \w+ (.*) ✅"") ,  if(H3043=""quartier"",vlookup(REGEXEXTRACT(C3043, ""🏘️ \w+ \w+ (.*) ✅""),'Quartier prepositio"&amp;"ns'!A:E, 5, 0) ,  if(H3043=""region"",vlookup(REGEXEXTRACT(C3043, ""🏘️ \w+ \w+ (.*) ✅""),'Region prepositions'!B:F, 5, 0),  REGEXEXTRACT(C3043, ""🏘️ \w+ \w+ (.*) ✅""))))"),"Vandoeuvres")</f>
        <v>Vandoeuvres</v>
      </c>
      <c r="F3043" s="2" t="str">
        <f>IFERROR(__xludf.DUMMYFUNCTION("REGEXEXTRACT(C3043, ""🏘️ (\w+) \w+ .* ✅"")"),"Louer")</f>
        <v>Louer</v>
      </c>
      <c r="G3043" s="2" t="str">
        <f>IFERROR(__xludf.DUMMYFUNCTION("REGEXEXTRACT(C3043, ""🏘️ \w+ (\w+) .* ✅"")"),"appartement")</f>
        <v>appartement</v>
      </c>
      <c r="H3043" s="4" t="str">
        <f>IFERROR(__xludf.DUMMYFUNCTION("REGEXEXTRACT(A3043, ""/(\w+)-.*?"")"),"lieu")</f>
        <v>lieu</v>
      </c>
      <c r="I3043" s="4" t="str">
        <f>IFERROR(__xludf.DUMMYFUNCTION("if(D3043=""variant"",  substitute(filter(Templates!E:E, Templates!A:A = F3043, Templates!B:B = G3043, Templates!C:C = H3043), ""{{}}"", E3043), B3043)"),"🏘  Vous cherchez un appartement à louer à Vandoeuvres? ✅ Les annonces les plus actuelles sont sur ImmoScout24.ch.")</f>
        <v>🏘  Vous cherchez un appartement à louer à Vandoeuvres? ✅ Les annonces les plus actuelles sont sur ImmoScout24.ch.</v>
      </c>
      <c r="J3043" s="4" t="s">
        <v>9123</v>
      </c>
    </row>
    <row r="3044">
      <c r="A3044" s="5" t="s">
        <v>9124</v>
      </c>
      <c r="B3044" s="2" t="s">
        <v>9125</v>
      </c>
      <c r="C3044" s="4" t="str">
        <f>IFERROR(__xludf.DUMMYFUNCTION("""🏘️ ""&amp;REGEXEXTRACT(B3044, ""^(.*): "")&amp;"" ✅ "" &amp;REGEXEXTRACT(B3044, ""(Trouvez.*)"")"),"🏘️ Vendre maison Les Tavernes ✅ Trouvez le bien immobilier qui correspond idéalement à vos désirs sur ImmoScout24 - La plateforme de l'immobilier en Suisse.")</f>
        <v>🏘️ Vendre maison Les Tavernes ✅ Trouvez le bien immobilier qui correspond idéalement à vos désirs sur ImmoScout24 - La plateforme de l'immobilier en Suisse.</v>
      </c>
      <c r="D3044" s="4" t="str">
        <f>vlookup(A3044, Sheet2!D:E, 2, 0)</f>
        <v>variant</v>
      </c>
      <c r="E3044" s="4" t="str">
        <f>IFERROR(__xludf.DUMMYFUNCTION("if(H3044=""pays"",vlookup(REGEXEXTRACT(C3044, ""🏘️ \w+ \w+ (.*) ✅""),'Country prepositions'!A:B, 2, 0) &amp; "" "" &amp; REGEXEXTRACT(C3044, ""🏘️ \w+ \w+ (.*) ✅"") ,  if(H3044=""quartier"",vlookup(REGEXEXTRACT(C3044, ""🏘️ \w+ \w+ (.*) ✅""),'Quartier prepositio"&amp;"ns'!A:E, 5, 0) ,  if(H3044=""region"",vlookup(REGEXEXTRACT(C3044, ""🏘️ \w+ \w+ (.*) ✅""),'Region prepositions'!B:F, 5, 0),  REGEXEXTRACT(C3044, ""🏘️ \w+ \w+ (.*) ✅""))))"),"Les Tavernes")</f>
        <v>Les Tavernes</v>
      </c>
      <c r="F3044" s="2" t="str">
        <f>IFERROR(__xludf.DUMMYFUNCTION("REGEXEXTRACT(C3044, ""🏘️ (\w+) \w+ .* ✅"")"),"Vendre")</f>
        <v>Vendre</v>
      </c>
      <c r="G3044" s="2" t="str">
        <f>IFERROR(__xludf.DUMMYFUNCTION("REGEXEXTRACT(C3044, ""🏘️ \w+ (\w+) .* ✅"")"),"maison")</f>
        <v>maison</v>
      </c>
      <c r="H3044" s="4" t="str">
        <f>IFERROR(__xludf.DUMMYFUNCTION("REGEXEXTRACT(A3044, ""/(\w+)-.*?"")"),"lieu")</f>
        <v>lieu</v>
      </c>
      <c r="I3044" s="4" t="str">
        <f>IFERROR(__xludf.DUMMYFUNCTION("if(D3044=""variant"",  substitute(filter(Templates!E:E, Templates!A:A = F3044, Templates!B:B = G3044, Templates!C:C = H3044), ""{{}}"", E3044), B3044)"),"🏘  Vous souhaitez acheter une maison à Les Tavernes? ✅ Jetez un œil aux dernières offres sur ImmoScout24.ch.")</f>
        <v>🏘  Vous souhaitez acheter une maison à Les Tavernes? ✅ Jetez un œil aux dernières offres sur ImmoScout24.ch.</v>
      </c>
      <c r="J3044" s="2" t="s">
        <v>9126</v>
      </c>
    </row>
    <row r="3045">
      <c r="A3045" s="5" t="s">
        <v>9127</v>
      </c>
      <c r="B3045" s="2" t="s">
        <v>9128</v>
      </c>
      <c r="C3045" s="4" t="str">
        <f>IFERROR(__xludf.DUMMYFUNCTION("""🏘️ ""&amp;REGEXEXTRACT(B3045, ""^(.*): "")&amp;"" ✅ "" &amp;REGEXEXTRACT(B3045, ""(Trouvez.*)"")"),"🏘️ Vendre appartement Chapelle (Broye) ✅ Trouvez le bien immobilier qui correspond idéalement à vos désirs sur ImmoScout24 - La plateforme de l'immobilier en Suisse.")</f>
        <v>🏘️ Vendre appartement Chapelle (Broye) ✅ Trouvez le bien immobilier qui correspond idéalement à vos désirs sur ImmoScout24 - La plateforme de l'immobilier en Suisse.</v>
      </c>
      <c r="D3045" s="4" t="str">
        <f>vlookup(A3045, Sheet2!D:E, 2, 0)</f>
        <v>variant</v>
      </c>
      <c r="E3045" s="4" t="str">
        <f>IFERROR(__xludf.DUMMYFUNCTION("if(H3045=""pays"",vlookup(REGEXEXTRACT(C3045, ""🏘️ \w+ \w+ (.*) ✅""),'Country prepositions'!A:B, 2, 0) &amp; "" "" &amp; REGEXEXTRACT(C3045, ""🏘️ \w+ \w+ (.*) ✅"") ,  if(H3045=""quartier"",vlookup(REGEXEXTRACT(C3045, ""🏘️ \w+ \w+ (.*) ✅""),'Quartier prepositio"&amp;"ns'!A:E, 5, 0) ,  if(H3045=""region"",vlookup(REGEXEXTRACT(C3045, ""🏘️ \w+ \w+ (.*) ✅""),'Region prepositions'!B:F, 5, 0),  REGEXEXTRACT(C3045, ""🏘️ \w+ \w+ (.*) ✅""))))"),"Chapelle (Broye)")</f>
        <v>Chapelle (Broye)</v>
      </c>
      <c r="F3045" s="2" t="str">
        <f>IFERROR(__xludf.DUMMYFUNCTION("REGEXEXTRACT(C3045, ""🏘️ (\w+) \w+ .* ✅"")"),"Vendre")</f>
        <v>Vendre</v>
      </c>
      <c r="G3045" s="2" t="str">
        <f>IFERROR(__xludf.DUMMYFUNCTION("REGEXEXTRACT(C3045, ""🏘️ \w+ (\w+) .* ✅"")"),"appartement")</f>
        <v>appartement</v>
      </c>
      <c r="H3045" s="4" t="str">
        <f>IFERROR(__xludf.DUMMYFUNCTION("REGEXEXTRACT(A3045, ""/(\w+)-.*?"")"),"lieu")</f>
        <v>lieu</v>
      </c>
      <c r="I3045" s="4" t="str">
        <f>IFERROR(__xludf.DUMMYFUNCTION("if(D3045=""variant"",  substitute(filter(Templates!E:E, Templates!A:A = F3045, Templates!B:B = G3045, Templates!C:C = H3045), ""{{}}"", E3045), B3045)"),"🏘  L’appartement de vos rêves se trouve sur ImmoScout24.ch ✅ Découvrez les dernières annonces de vente à Chapelle (Broye).")</f>
        <v>🏘  L’appartement de vos rêves se trouve sur ImmoScout24.ch ✅ Découvrez les dernières annonces de vente à Chapelle (Broye).</v>
      </c>
      <c r="J3045" s="4" t="s">
        <v>9129</v>
      </c>
    </row>
    <row r="3046">
      <c r="A3046" s="5" t="s">
        <v>9130</v>
      </c>
      <c r="B3046" s="2" t="s">
        <v>9131</v>
      </c>
      <c r="C3046" s="4" t="str">
        <f>IFERROR(__xludf.DUMMYFUNCTION("""🏘️ ""&amp;REGEXEXTRACT(B3046, ""^(.*): "")&amp;"" ✅ "" &amp;REGEXEXTRACT(B3046, ""(Trouvez.*)"")"),"🏘️ Vendre maison Berneck ✅ Trouvez le bien immobilier qui correspond idéalement à vos désirs sur ImmoScout24 - La plateforme de l'immobilier en Suisse.")</f>
        <v>🏘️ Vendre maison Berneck ✅ Trouvez le bien immobilier qui correspond idéalement à vos désirs sur ImmoScout24 - La plateforme de l'immobilier en Suisse.</v>
      </c>
      <c r="D3046" s="4" t="str">
        <f>vlookup(A3046, Sheet2!D:E, 2, 0)</f>
        <v>variant</v>
      </c>
      <c r="E3046" s="4" t="str">
        <f>IFERROR(__xludf.DUMMYFUNCTION("if(H3046=""pays"",vlookup(REGEXEXTRACT(C3046, ""🏘️ \w+ \w+ (.*) ✅""),'Country prepositions'!A:B, 2, 0) &amp; "" "" &amp; REGEXEXTRACT(C3046, ""🏘️ \w+ \w+ (.*) ✅"") ,  if(H3046=""quartier"",vlookup(REGEXEXTRACT(C3046, ""🏘️ \w+ \w+ (.*) ✅""),'Quartier prepositio"&amp;"ns'!A:E, 5, 0) ,  if(H3046=""region"",vlookup(REGEXEXTRACT(C3046, ""🏘️ \w+ \w+ (.*) ✅""),'Region prepositions'!B:F, 5, 0),  REGEXEXTRACT(C3046, ""🏘️ \w+ \w+ (.*) ✅""))))"),"Berneck")</f>
        <v>Berneck</v>
      </c>
      <c r="F3046" s="2" t="str">
        <f>IFERROR(__xludf.DUMMYFUNCTION("REGEXEXTRACT(C3046, ""🏘️ (\w+) \w+ .* ✅"")"),"Vendre")</f>
        <v>Vendre</v>
      </c>
      <c r="G3046" s="2" t="str">
        <f>IFERROR(__xludf.DUMMYFUNCTION("REGEXEXTRACT(C3046, ""🏘️ \w+ (\w+) .* ✅"")"),"maison")</f>
        <v>maison</v>
      </c>
      <c r="H3046" s="4" t="str">
        <f>IFERROR(__xludf.DUMMYFUNCTION("REGEXEXTRACT(A3046, ""/(\w+)-.*?"")"),"lieu")</f>
        <v>lieu</v>
      </c>
      <c r="I3046" s="4" t="str">
        <f>IFERROR(__xludf.DUMMYFUNCTION("if(D3046=""variant"",  substitute(filter(Templates!E:E, Templates!A:A = F3046, Templates!B:B = G3046, Templates!C:C = H3046), ""{{}}"", E3046), B3046)"),"🏘  Vous souhaitez acheter une maison à Berneck? ✅ Jetez un œil aux dernières offres sur ImmoScout24.ch.")</f>
        <v>🏘  Vous souhaitez acheter une maison à Berneck? ✅ Jetez un œil aux dernières offres sur ImmoScout24.ch.</v>
      </c>
      <c r="J3046" s="4" t="s">
        <v>9132</v>
      </c>
    </row>
    <row r="3047">
      <c r="A3047" s="5" t="s">
        <v>9133</v>
      </c>
      <c r="B3047" s="2" t="s">
        <v>9134</v>
      </c>
      <c r="C3047" s="4" t="str">
        <f>IFERROR(__xludf.DUMMYFUNCTION("""🏘️ ""&amp;REGEXEXTRACT(B3047, ""^(.*): "")&amp;"" ✅ "" &amp;REGEXEXTRACT(B3047, ""(Trouvez.*)"")"),"🏘️ Louer maison Mendrisiotto ✅ Trouvez le bien immobilier qui correspond idéalement à vos désirs sur ImmoScout24 - La plateforme de l'immobilier en Suisse.")</f>
        <v>🏘️ Louer maison Mendrisiotto ✅ Trouvez le bien immobilier qui correspond idéalement à vos désirs sur ImmoScout24 - La plateforme de l'immobilier en Suisse.</v>
      </c>
      <c r="D3047" s="4" t="str">
        <f>vlookup(A3047, Sheet2!D:E, 2, 0)</f>
        <v>variant</v>
      </c>
      <c r="E3047" s="4" t="str">
        <f>IFERROR(__xludf.DUMMYFUNCTION("if(H3047=""pays"",vlookup(REGEXEXTRACT(C3047, ""🏘️ \w+ \w+ (.*) ✅""),'Country prepositions'!A:B, 2, 0) &amp; "" "" &amp; REGEXEXTRACT(C3047, ""🏘️ \w+ \w+ (.*) ✅"") ,  if(H3047=""quartier"",vlookup(REGEXEXTRACT(C3047, ""🏘️ \w+ \w+ (.*) ✅""),'Quartier prepositio"&amp;"ns'!A:E, 5, 0) ,  if(H3047=""region"",vlookup(REGEXEXTRACT(C3047, ""🏘️ \w+ \w+ (.*) ✅""),'Region prepositions'!B:F, 5, 0),  REGEXEXTRACT(C3047, ""🏘️ \w+ \w+ (.*) ✅""))))"),"dans le Mendrisiotto")</f>
        <v>dans le Mendrisiotto</v>
      </c>
      <c r="F3047" s="2" t="str">
        <f>IFERROR(__xludf.DUMMYFUNCTION("REGEXEXTRACT(C3047, ""🏘️ (\w+) \w+ .* ✅"")"),"Louer")</f>
        <v>Louer</v>
      </c>
      <c r="G3047" s="2" t="str">
        <f>IFERROR(__xludf.DUMMYFUNCTION("REGEXEXTRACT(C3047, ""🏘️ \w+ (\w+) .* ✅"")"),"maison")</f>
        <v>maison</v>
      </c>
      <c r="H3047" s="4" t="str">
        <f>IFERROR(__xludf.DUMMYFUNCTION("REGEXEXTRACT(A3047, ""/(\w+)-.*?"")"),"region")</f>
        <v>region</v>
      </c>
      <c r="I3047" s="4" t="str">
        <f>IFERROR(__xludf.DUMMYFUNCTION("if(D3047=""variant"",  substitute(filter(Templates!E:E, Templates!A:A = F3047, Templates!B:B = G3047, Templates!C:C = H3047), ""{{}}"", E3047), B3047)"),"🏘  Vous cherchez une maison à louer dans le Mendrisiotto? ✅ Découvrez nos nombreuses annonces sur ImmoScout24.ch.")</f>
        <v>🏘  Vous cherchez une maison à louer dans le Mendrisiotto? ✅ Découvrez nos nombreuses annonces sur ImmoScout24.ch.</v>
      </c>
      <c r="J3047" s="4" t="s">
        <v>9135</v>
      </c>
    </row>
    <row r="3048">
      <c r="A3048" s="5" t="s">
        <v>9136</v>
      </c>
      <c r="B3048" s="2" t="s">
        <v>9137</v>
      </c>
      <c r="C3048" s="4" t="str">
        <f>IFERROR(__xludf.DUMMYFUNCTION("""🏘️ ""&amp;REGEXEXTRACT(B3048, ""^(.*): "")&amp;"" ✅ "" &amp;REGEXEXTRACT(B3048, ""(Trouvez.*)"")"),"🏘️ Vendre appartement Praz (Vully) ✅ Trouvez le bien immobilier qui correspond idéalement à vos désirs sur ImmoScout24 - La plateforme de l'immobilier en Suisse.")</f>
        <v>🏘️ Vendre appartement Praz (Vully) ✅ Trouvez le bien immobilier qui correspond idéalement à vos désirs sur ImmoScout24 - La plateforme de l'immobilier en Suisse.</v>
      </c>
      <c r="D3048" s="4" t="str">
        <f>vlookup(A3048, Sheet2!D:E, 2, 0)</f>
        <v>variant</v>
      </c>
      <c r="E3048" s="4" t="str">
        <f>IFERROR(__xludf.DUMMYFUNCTION("if(H3048=""pays"",vlookup(REGEXEXTRACT(C3048, ""🏘️ \w+ \w+ (.*) ✅""),'Country prepositions'!A:B, 2, 0) &amp; "" "" &amp; REGEXEXTRACT(C3048, ""🏘️ \w+ \w+ (.*) ✅"") ,  if(H3048=""quartier"",vlookup(REGEXEXTRACT(C3048, ""🏘️ \w+ \w+ (.*) ✅""),'Quartier prepositio"&amp;"ns'!A:E, 5, 0) ,  if(H3048=""region"",vlookup(REGEXEXTRACT(C3048, ""🏘️ \w+ \w+ (.*) ✅""),'Region prepositions'!B:F, 5, 0),  REGEXEXTRACT(C3048, ""🏘️ \w+ \w+ (.*) ✅""))))"),"Praz (Vully)")</f>
        <v>Praz (Vully)</v>
      </c>
      <c r="F3048" s="2" t="str">
        <f>IFERROR(__xludf.DUMMYFUNCTION("REGEXEXTRACT(C3048, ""🏘️ (\w+) \w+ .* ✅"")"),"Vendre")</f>
        <v>Vendre</v>
      </c>
      <c r="G3048" s="2" t="str">
        <f>IFERROR(__xludf.DUMMYFUNCTION("REGEXEXTRACT(C3048, ""🏘️ \w+ (\w+) .* ✅"")"),"appartement")</f>
        <v>appartement</v>
      </c>
      <c r="H3048" s="4" t="str">
        <f>IFERROR(__xludf.DUMMYFUNCTION("REGEXEXTRACT(A3048, ""/(\w+)-.*?"")"),"lieu")</f>
        <v>lieu</v>
      </c>
      <c r="I3048" s="4" t="str">
        <f>IFERROR(__xludf.DUMMYFUNCTION("if(D3048=""variant"",  substitute(filter(Templates!E:E, Templates!A:A = F3048, Templates!B:B = G3048, Templates!C:C = H3048), ""{{}}"", E3048), B3048)"),"🏘  L’appartement de vos rêves se trouve sur ImmoScout24.ch ✅ Découvrez les dernières annonces de vente à Praz (Vully).")</f>
        <v>🏘  L’appartement de vos rêves se trouve sur ImmoScout24.ch ✅ Découvrez les dernières annonces de vente à Praz (Vully).</v>
      </c>
      <c r="J3048" s="4" t="s">
        <v>9138</v>
      </c>
    </row>
    <row r="3049">
      <c r="A3049" s="5" t="s">
        <v>9139</v>
      </c>
      <c r="B3049" s="2" t="s">
        <v>9140</v>
      </c>
      <c r="C3049" s="4" t="str">
        <f>IFERROR(__xludf.DUMMYFUNCTION("""🏘️ ""&amp;REGEXEXTRACT(B3049, ""^(.*): "")&amp;"" ✅ "" &amp;REGEXEXTRACT(B3049, ""(Trouvez.*)"")"),"🏘️ Vendre maison Senèdes ✅ Trouvez le bien immobilier qui correspond idéalement à vos désirs sur ImmoScout24 - La plateforme de l'immobilier en Suisse.")</f>
        <v>🏘️ Vendre maison Senèdes ✅ Trouvez le bien immobilier qui correspond idéalement à vos désirs sur ImmoScout24 - La plateforme de l'immobilier en Suisse.</v>
      </c>
      <c r="D3049" s="4" t="str">
        <f>vlookup(A3049, Sheet2!D:E, 2, 0)</f>
        <v>variant</v>
      </c>
      <c r="E3049" s="4" t="str">
        <f>IFERROR(__xludf.DUMMYFUNCTION("if(H3049=""pays"",vlookup(REGEXEXTRACT(C3049, ""🏘️ \w+ \w+ (.*) ✅""),'Country prepositions'!A:B, 2, 0) &amp; "" "" &amp; REGEXEXTRACT(C3049, ""🏘️ \w+ \w+ (.*) ✅"") ,  if(H3049=""quartier"",vlookup(REGEXEXTRACT(C3049, ""🏘️ \w+ \w+ (.*) ✅""),'Quartier prepositio"&amp;"ns'!A:E, 5, 0) ,  if(H3049=""region"",vlookup(REGEXEXTRACT(C3049, ""🏘️ \w+ \w+ (.*) ✅""),'Region prepositions'!B:F, 5, 0),  REGEXEXTRACT(C3049, ""🏘️ \w+ \w+ (.*) ✅""))))"),"Senèdes")</f>
        <v>Senèdes</v>
      </c>
      <c r="F3049" s="2" t="str">
        <f>IFERROR(__xludf.DUMMYFUNCTION("REGEXEXTRACT(C3049, ""🏘️ (\w+) \w+ .* ✅"")"),"Vendre")</f>
        <v>Vendre</v>
      </c>
      <c r="G3049" s="2" t="str">
        <f>IFERROR(__xludf.DUMMYFUNCTION("REGEXEXTRACT(C3049, ""🏘️ \w+ (\w+) .* ✅"")"),"maison")</f>
        <v>maison</v>
      </c>
      <c r="H3049" s="4" t="str">
        <f>IFERROR(__xludf.DUMMYFUNCTION("REGEXEXTRACT(A3049, ""/(\w+)-.*?"")"),"lieu")</f>
        <v>lieu</v>
      </c>
      <c r="I3049" s="4" t="str">
        <f>IFERROR(__xludf.DUMMYFUNCTION("if(D3049=""variant"",  substitute(filter(Templates!E:E, Templates!A:A = F3049, Templates!B:B = G3049, Templates!C:C = H3049), ""{{}}"", E3049), B3049)"),"🏘  Vous souhaitez acheter une maison à Senèdes? ✅ Jetez un œil aux dernières offres sur ImmoScout24.ch.")</f>
        <v>🏘  Vous souhaitez acheter une maison à Senèdes? ✅ Jetez un œil aux dernières offres sur ImmoScout24.ch.</v>
      </c>
      <c r="J3049" s="4" t="s">
        <v>9141</v>
      </c>
    </row>
    <row r="3050">
      <c r="A3050" s="5" t="s">
        <v>9142</v>
      </c>
      <c r="B3050" s="2" t="s">
        <v>9143</v>
      </c>
      <c r="C3050" s="4" t="str">
        <f>IFERROR(__xludf.DUMMYFUNCTION("""🏘️ ""&amp;REGEXEXTRACT(B3050, ""^(.*): "")&amp;"" ✅ "" &amp;REGEXEXTRACT(B3050, ""(Trouvez.*)"")"),"🏘️ Louer appartement Chavannes-de-Bogis ✅ Trouvez le bien immobilier qui correspond idéalement à vos désirs sur ImmoScout24 - La plateforme de l'immobilier en Suisse.")</f>
        <v>🏘️ Louer appartement Chavannes-de-Bogis ✅ Trouvez le bien immobilier qui correspond idéalement à vos désirs sur ImmoScout24 - La plateforme de l'immobilier en Suisse.</v>
      </c>
      <c r="D3050" s="4" t="str">
        <f>vlookup(A3050, Sheet2!D:E, 2, 0)</f>
        <v>variant</v>
      </c>
      <c r="E3050" s="4" t="str">
        <f>IFERROR(__xludf.DUMMYFUNCTION("if(H3050=""pays"",vlookup(REGEXEXTRACT(C3050, ""🏘️ \w+ \w+ (.*) ✅""),'Country prepositions'!A:B, 2, 0) &amp; "" "" &amp; REGEXEXTRACT(C3050, ""🏘️ \w+ \w+ (.*) ✅"") ,  if(H3050=""quartier"",vlookup(REGEXEXTRACT(C3050, ""🏘️ \w+ \w+ (.*) ✅""),'Quartier prepositio"&amp;"ns'!A:E, 5, 0) ,  if(H3050=""region"",vlookup(REGEXEXTRACT(C3050, ""🏘️ \w+ \w+ (.*) ✅""),'Region prepositions'!B:F, 5, 0),  REGEXEXTRACT(C3050, ""🏘️ \w+ \w+ (.*) ✅""))))"),"Chavannes-de-Bogis")</f>
        <v>Chavannes-de-Bogis</v>
      </c>
      <c r="F3050" s="2" t="str">
        <f>IFERROR(__xludf.DUMMYFUNCTION("REGEXEXTRACT(C3050, ""🏘️ (\w+) \w+ .* ✅"")"),"Louer")</f>
        <v>Louer</v>
      </c>
      <c r="G3050" s="2" t="str">
        <f>IFERROR(__xludf.DUMMYFUNCTION("REGEXEXTRACT(C3050, ""🏘️ \w+ (\w+) .* ✅"")"),"appartement")</f>
        <v>appartement</v>
      </c>
      <c r="H3050" s="4" t="str">
        <f>IFERROR(__xludf.DUMMYFUNCTION("REGEXEXTRACT(A3050, ""/(\w+)-.*?"")"),"lieu")</f>
        <v>lieu</v>
      </c>
      <c r="I3050" s="4" t="str">
        <f>IFERROR(__xludf.DUMMYFUNCTION("if(D3050=""variant"",  substitute(filter(Templates!E:E, Templates!A:A = F3050, Templates!B:B = G3050, Templates!C:C = H3050), ""{{}}"", E3050), B3050)"),"🏘  Vous cherchez un appartement à louer à Chavannes-de-Bogis? ✅ Les annonces les plus actuelles sont sur ImmoScout24.ch.")</f>
        <v>🏘  Vous cherchez un appartement à louer à Chavannes-de-Bogis? ✅ Les annonces les plus actuelles sont sur ImmoScout24.ch.</v>
      </c>
      <c r="J3050" s="4" t="s">
        <v>9144</v>
      </c>
    </row>
    <row r="3051">
      <c r="A3051" s="5" t="s">
        <v>9145</v>
      </c>
      <c r="B3051" s="2" t="s">
        <v>9146</v>
      </c>
      <c r="C3051" s="4" t="str">
        <f>IFERROR(__xludf.DUMMYFUNCTION("""🏘️ ""&amp;REGEXEXTRACT(B3051, ""^(.*): "")&amp;"" ✅ "" &amp;REGEXEXTRACT(B3051, ""(Trouvez.*)"")"),"🏘️ Vendre maison St. Ursen ✅ Trouvez le bien immobilier qui correspond idéalement à vos désirs sur ImmoScout24 - La plateforme de l'immobilier en Suisse.")</f>
        <v>🏘️ Vendre maison St. Ursen ✅ Trouvez le bien immobilier qui correspond idéalement à vos désirs sur ImmoScout24 - La plateforme de l'immobilier en Suisse.</v>
      </c>
      <c r="D3051" s="4" t="str">
        <f>vlookup(A3051, Sheet2!D:E, 2, 0)</f>
        <v>variant</v>
      </c>
      <c r="E3051" s="4" t="str">
        <f>IFERROR(__xludf.DUMMYFUNCTION("if(H3051=""pays"",vlookup(REGEXEXTRACT(C3051, ""🏘️ \w+ \w+ (.*) ✅""),'Country prepositions'!A:B, 2, 0) &amp; "" "" &amp; REGEXEXTRACT(C3051, ""🏘️ \w+ \w+ (.*) ✅"") ,  if(H3051=""quartier"",vlookup(REGEXEXTRACT(C3051, ""🏘️ \w+ \w+ (.*) ✅""),'Quartier prepositio"&amp;"ns'!A:E, 5, 0) ,  if(H3051=""region"",vlookup(REGEXEXTRACT(C3051, ""🏘️ \w+ \w+ (.*) ✅""),'Region prepositions'!B:F, 5, 0),  REGEXEXTRACT(C3051, ""🏘️ \w+ \w+ (.*) ✅""))))"),"St. Ursen")</f>
        <v>St. Ursen</v>
      </c>
      <c r="F3051" s="2" t="str">
        <f>IFERROR(__xludf.DUMMYFUNCTION("REGEXEXTRACT(C3051, ""🏘️ (\w+) \w+ .* ✅"")"),"Vendre")</f>
        <v>Vendre</v>
      </c>
      <c r="G3051" s="2" t="str">
        <f>IFERROR(__xludf.DUMMYFUNCTION("REGEXEXTRACT(C3051, ""🏘️ \w+ (\w+) .* ✅"")"),"maison")</f>
        <v>maison</v>
      </c>
      <c r="H3051" s="4" t="str">
        <f>IFERROR(__xludf.DUMMYFUNCTION("REGEXEXTRACT(A3051, ""/(\w+)-.*?"")"),"lieu")</f>
        <v>lieu</v>
      </c>
      <c r="I3051" s="4" t="str">
        <f>IFERROR(__xludf.DUMMYFUNCTION("if(D3051=""variant"",  substitute(filter(Templates!E:E, Templates!A:A = F3051, Templates!B:B = G3051, Templates!C:C = H3051), ""{{}}"", E3051), B3051)"),"🏘  Vous souhaitez acheter une maison à St. Ursen? ✅ Jetez un œil aux dernières offres sur ImmoScout24.ch.")</f>
        <v>🏘  Vous souhaitez acheter une maison à St. Ursen? ✅ Jetez un œil aux dernières offres sur ImmoScout24.ch.</v>
      </c>
      <c r="J3051" s="4" t="s">
        <v>9147</v>
      </c>
    </row>
    <row r="3052">
      <c r="A3052" s="5" t="s">
        <v>9148</v>
      </c>
      <c r="B3052" s="2" t="s">
        <v>9149</v>
      </c>
      <c r="C3052" s="4" t="str">
        <f>IFERROR(__xludf.DUMMYFUNCTION("""🏘️ ""&amp;REGEXEXTRACT(B3052, ""^(.*): "")&amp;"" ✅ "" &amp;REGEXEXTRACT(B3052, ""(Trouvez.*)"")"),"🏘️ Louer appartement Môtiers NE ✅ Trouvez le bien immobilier qui correspond idéalement à vos désirs sur ImmoScout24 - La plateforme de l'immobilier en Suisse.")</f>
        <v>🏘️ Louer appartement Môtiers NE ✅ Trouvez le bien immobilier qui correspond idéalement à vos désirs sur ImmoScout24 - La plateforme de l'immobilier en Suisse.</v>
      </c>
      <c r="D3052" s="4" t="str">
        <f>vlookup(A3052, Sheet2!D:E, 2, 0)</f>
        <v>variant</v>
      </c>
      <c r="E3052" s="4" t="str">
        <f>IFERROR(__xludf.DUMMYFUNCTION("if(H3052=""pays"",vlookup(REGEXEXTRACT(C3052, ""🏘️ \w+ \w+ (.*) ✅""),'Country prepositions'!A:B, 2, 0) &amp; "" "" &amp; REGEXEXTRACT(C3052, ""🏘️ \w+ \w+ (.*) ✅"") ,  if(H3052=""quartier"",vlookup(REGEXEXTRACT(C3052, ""🏘️ \w+ \w+ (.*) ✅""),'Quartier prepositio"&amp;"ns'!A:E, 5, 0) ,  if(H3052=""region"",vlookup(REGEXEXTRACT(C3052, ""🏘️ \w+ \w+ (.*) ✅""),'Region prepositions'!B:F, 5, 0),  REGEXEXTRACT(C3052, ""🏘️ \w+ \w+ (.*) ✅""))))"),"Môtiers NE")</f>
        <v>Môtiers NE</v>
      </c>
      <c r="F3052" s="2" t="str">
        <f>IFERROR(__xludf.DUMMYFUNCTION("REGEXEXTRACT(C3052, ""🏘️ (\w+) \w+ .* ✅"")"),"Louer")</f>
        <v>Louer</v>
      </c>
      <c r="G3052" s="2" t="str">
        <f>IFERROR(__xludf.DUMMYFUNCTION("REGEXEXTRACT(C3052, ""🏘️ \w+ (\w+) .* ✅"")"),"appartement")</f>
        <v>appartement</v>
      </c>
      <c r="H3052" s="4" t="str">
        <f>IFERROR(__xludf.DUMMYFUNCTION("REGEXEXTRACT(A3052, ""/(\w+)-.*?"")"),"lieu")</f>
        <v>lieu</v>
      </c>
      <c r="I3052" s="4" t="str">
        <f>IFERROR(__xludf.DUMMYFUNCTION("if(D3052=""variant"",  substitute(filter(Templates!E:E, Templates!A:A = F3052, Templates!B:B = G3052, Templates!C:C = H3052), ""{{}}"", E3052), B3052)"),"🏘  Vous cherchez un appartement à louer à Môtiers NE? ✅ Les annonces les plus actuelles sont sur ImmoScout24.ch.")</f>
        <v>🏘  Vous cherchez un appartement à louer à Môtiers NE? ✅ Les annonces les plus actuelles sont sur ImmoScout24.ch.</v>
      </c>
      <c r="J3052" s="4" t="s">
        <v>9150</v>
      </c>
    </row>
    <row r="3053">
      <c r="A3053" s="5" t="s">
        <v>9151</v>
      </c>
      <c r="B3053" s="2" t="s">
        <v>9152</v>
      </c>
      <c r="C3053" s="4" t="str">
        <f>IFERROR(__xludf.DUMMYFUNCTION("""🏘️ ""&amp;REGEXEXTRACT(B3053, ""^(.*): "")&amp;"" ✅ "" &amp;REGEXEXTRACT(B3053, ""(Trouvez.*)"")"),"🏘️ Vendre appartement Campione d'Italia ✅ Trouvez le bien immobilier qui correspond idéalement à vos désirs sur ImmoScout24 - La plateforme de l'immobilier en Suisse.")</f>
        <v>🏘️ Vendre appartement Campione d'Italia ✅ Trouvez le bien immobilier qui correspond idéalement à vos désirs sur ImmoScout24 - La plateforme de l'immobilier en Suisse.</v>
      </c>
      <c r="D3053" s="4" t="str">
        <f>vlookup(A3053, Sheet2!D:E, 2, 0)</f>
        <v>variant</v>
      </c>
      <c r="E3053" s="4" t="str">
        <f>IFERROR(__xludf.DUMMYFUNCTION("if(H3053=""pays"",vlookup(REGEXEXTRACT(C3053, ""🏘️ \w+ \w+ (.*) ✅""),'Country prepositions'!A:B, 2, 0) &amp; "" "" &amp; REGEXEXTRACT(C3053, ""🏘️ \w+ \w+ (.*) ✅"") ,  if(H3053=""quartier"",vlookup(REGEXEXTRACT(C3053, ""🏘️ \w+ \w+ (.*) ✅""),'Quartier prepositio"&amp;"ns'!A:E, 5, 0) ,  if(H3053=""region"",vlookup(REGEXEXTRACT(C3053, ""🏘️ \w+ \w+ (.*) ✅""),'Region prepositions'!B:F, 5, 0),  REGEXEXTRACT(C3053, ""🏘️ \w+ \w+ (.*) ✅""))))"),"Campione d'Italia")</f>
        <v>Campione d'Italia</v>
      </c>
      <c r="F3053" s="2" t="str">
        <f>IFERROR(__xludf.DUMMYFUNCTION("REGEXEXTRACT(C3053, ""🏘️ (\w+) \w+ .* ✅"")"),"Vendre")</f>
        <v>Vendre</v>
      </c>
      <c r="G3053" s="2" t="str">
        <f>IFERROR(__xludf.DUMMYFUNCTION("REGEXEXTRACT(C3053, ""🏘️ \w+ (\w+) .* ✅"")"),"appartement")</f>
        <v>appartement</v>
      </c>
      <c r="H3053" s="4" t="str">
        <f>IFERROR(__xludf.DUMMYFUNCTION("REGEXEXTRACT(A3053, ""/(\w+)-.*?"")"),"lieu")</f>
        <v>lieu</v>
      </c>
      <c r="I3053" s="4" t="str">
        <f>IFERROR(__xludf.DUMMYFUNCTION("if(D3053=""variant"",  substitute(filter(Templates!E:E, Templates!A:A = F3053, Templates!B:B = G3053, Templates!C:C = H3053), ""{{}}"", E3053), B3053)"),"🏘  L’appartement de vos rêves se trouve sur ImmoScout24.ch ✅ Découvrez les dernières annonces de vente à Campione d'Italia.")</f>
        <v>🏘  L’appartement de vos rêves se trouve sur ImmoScout24.ch ✅ Découvrez les dernières annonces de vente à Campione d'Italia.</v>
      </c>
      <c r="J3053" s="4" t="s">
        <v>9153</v>
      </c>
    </row>
    <row r="3054">
      <c r="A3054" s="5" t="s">
        <v>9154</v>
      </c>
      <c r="B3054" s="2" t="s">
        <v>9155</v>
      </c>
      <c r="C3054" s="4" t="str">
        <f>IFERROR(__xludf.DUMMYFUNCTION("""🏘️ ""&amp;REGEXEXTRACT(B3054, ""^(.*): "")&amp;"" ✅ "" &amp;REGEXEXTRACT(B3054, ""(Trouvez.*)"")"),"🏘️ Vendre appartement Dardagny ✅ Trouvez le bien immobilier qui correspond idéalement à vos désirs sur ImmoScout24 - La plateforme de l'immobilier en Suisse.")</f>
        <v>🏘️ Vendre appartement Dardagny ✅ Trouvez le bien immobilier qui correspond idéalement à vos désirs sur ImmoScout24 - La plateforme de l'immobilier en Suisse.</v>
      </c>
      <c r="D3054" s="4" t="str">
        <f>vlookup(A3054, Sheet2!D:E, 2, 0)</f>
        <v>variant</v>
      </c>
      <c r="E3054" s="4" t="str">
        <f>IFERROR(__xludf.DUMMYFUNCTION("if(H3054=""pays"",vlookup(REGEXEXTRACT(C3054, ""🏘️ \w+ \w+ (.*) ✅""),'Country prepositions'!A:B, 2, 0) &amp; "" "" &amp; REGEXEXTRACT(C3054, ""🏘️ \w+ \w+ (.*) ✅"") ,  if(H3054=""quartier"",vlookup(REGEXEXTRACT(C3054, ""🏘️ \w+ \w+ (.*) ✅""),'Quartier prepositio"&amp;"ns'!A:E, 5, 0) ,  if(H3054=""region"",vlookup(REGEXEXTRACT(C3054, ""🏘️ \w+ \w+ (.*) ✅""),'Region prepositions'!B:F, 5, 0),  REGEXEXTRACT(C3054, ""🏘️ \w+ \w+ (.*) ✅""))))"),"Dardagny")</f>
        <v>Dardagny</v>
      </c>
      <c r="F3054" s="2" t="str">
        <f>IFERROR(__xludf.DUMMYFUNCTION("REGEXEXTRACT(C3054, ""🏘️ (\w+) \w+ .* ✅"")"),"Vendre")</f>
        <v>Vendre</v>
      </c>
      <c r="G3054" s="2" t="str">
        <f>IFERROR(__xludf.DUMMYFUNCTION("REGEXEXTRACT(C3054, ""🏘️ \w+ (\w+) .* ✅"")"),"appartement")</f>
        <v>appartement</v>
      </c>
      <c r="H3054" s="4" t="str">
        <f>IFERROR(__xludf.DUMMYFUNCTION("REGEXEXTRACT(A3054, ""/(\w+)-.*?"")"),"lieu")</f>
        <v>lieu</v>
      </c>
      <c r="I3054" s="4" t="str">
        <f>IFERROR(__xludf.DUMMYFUNCTION("if(D3054=""variant"",  substitute(filter(Templates!E:E, Templates!A:A = F3054, Templates!B:B = G3054, Templates!C:C = H3054), ""{{}}"", E3054), B3054)"),"🏘  L’appartement de vos rêves se trouve sur ImmoScout24.ch ✅ Découvrez les dernières annonces de vente à Dardagny.")</f>
        <v>🏘  L’appartement de vos rêves se trouve sur ImmoScout24.ch ✅ Découvrez les dernières annonces de vente à Dardagny.</v>
      </c>
      <c r="J3054" s="4" t="s">
        <v>9156</v>
      </c>
    </row>
    <row r="3055">
      <c r="A3055" s="5" t="s">
        <v>9157</v>
      </c>
      <c r="B3055" s="2" t="s">
        <v>9158</v>
      </c>
      <c r="C3055" s="4" t="str">
        <f>IFERROR(__xludf.DUMMYFUNCTION("""🏘️ ""&amp;REGEXEXTRACT(B3055, ""^(.*): "")&amp;"" ✅ "" &amp;REGEXEXTRACT(B3055, ""(Trouvez.*)"")"),"🏘️ Vendre appartement Birmenstorf AG ✅ Trouvez le bien immobilier qui correspond idéalement à vos désirs sur ImmoScout24 - La plateforme de l'immobilier en Suisse.")</f>
        <v>🏘️ Vendre appartement Birmenstorf AG ✅ Trouvez le bien immobilier qui correspond idéalement à vos désirs sur ImmoScout24 - La plateforme de l'immobilier en Suisse.</v>
      </c>
      <c r="D3055" s="4" t="str">
        <f>vlookup(A3055, Sheet2!D:E, 2, 0)</f>
        <v>variant</v>
      </c>
      <c r="E3055" s="4" t="str">
        <f>IFERROR(__xludf.DUMMYFUNCTION("if(H3055=""pays"",vlookup(REGEXEXTRACT(C3055, ""🏘️ \w+ \w+ (.*) ✅""),'Country prepositions'!A:B, 2, 0) &amp; "" "" &amp; REGEXEXTRACT(C3055, ""🏘️ \w+ \w+ (.*) ✅"") ,  if(H3055=""quartier"",vlookup(REGEXEXTRACT(C3055, ""🏘️ \w+ \w+ (.*) ✅""),'Quartier prepositio"&amp;"ns'!A:E, 5, 0) ,  if(H3055=""region"",vlookup(REGEXEXTRACT(C3055, ""🏘️ \w+ \w+ (.*) ✅""),'Region prepositions'!B:F, 5, 0),  REGEXEXTRACT(C3055, ""🏘️ \w+ \w+ (.*) ✅""))))"),"Birmenstorf AG")</f>
        <v>Birmenstorf AG</v>
      </c>
      <c r="F3055" s="2" t="str">
        <f>IFERROR(__xludf.DUMMYFUNCTION("REGEXEXTRACT(C3055, ""🏘️ (\w+) \w+ .* ✅"")"),"Vendre")</f>
        <v>Vendre</v>
      </c>
      <c r="G3055" s="2" t="str">
        <f>IFERROR(__xludf.DUMMYFUNCTION("REGEXEXTRACT(C3055, ""🏘️ \w+ (\w+) .* ✅"")"),"appartement")</f>
        <v>appartement</v>
      </c>
      <c r="H3055" s="4" t="str">
        <f>IFERROR(__xludf.DUMMYFUNCTION("REGEXEXTRACT(A3055, ""/(\w+)-.*?"")"),"lieu")</f>
        <v>lieu</v>
      </c>
      <c r="I3055" s="4" t="str">
        <f>IFERROR(__xludf.DUMMYFUNCTION("if(D3055=""variant"",  substitute(filter(Templates!E:E, Templates!A:A = F3055, Templates!B:B = G3055, Templates!C:C = H3055), ""{{}}"", E3055), B3055)"),"🏘  L’appartement de vos rêves se trouve sur ImmoScout24.ch ✅ Découvrez les dernières annonces de vente à Birmenstorf AG.")</f>
        <v>🏘  L’appartement de vos rêves se trouve sur ImmoScout24.ch ✅ Découvrez les dernières annonces de vente à Birmenstorf AG.</v>
      </c>
      <c r="J3055" s="4" t="s">
        <v>9159</v>
      </c>
    </row>
    <row r="3056">
      <c r="A3056" s="5" t="s">
        <v>9160</v>
      </c>
      <c r="B3056" s="2" t="s">
        <v>9161</v>
      </c>
      <c r="C3056" s="4" t="str">
        <f>IFERROR(__xludf.DUMMYFUNCTION("""🏘️ ""&amp;REGEXEXTRACT(B3056, ""^(.*): "")&amp;"" ✅ "" &amp;REGEXEXTRACT(B3056, ""(Trouvez.*)"")"),"🏘️ Louer appartement Grossbasel Altstadt (Bâle) ✅ Trouvez le bien immobilier qui correspond idéalement à vos désirs sur ImmoScout24 - La plateforme de l'immobilier en Suisse.")</f>
        <v>🏘️ Louer appartement Grossbasel Altstadt (Bâle) ✅ Trouvez le bien immobilier qui correspond idéalement à vos désirs sur ImmoScout24 - La plateforme de l'immobilier en Suisse.</v>
      </c>
      <c r="D3056" s="4" t="str">
        <f>vlookup(A3056, Sheet2!D:E, 2, 0)</f>
        <v>variant</v>
      </c>
      <c r="E3056" s="4" t="str">
        <f>IFERROR(__xludf.DUMMYFUNCTION("if(H3056=""pays"",vlookup(REGEXEXTRACT(C3056, ""🏘️ \w+ \w+ (.*) ✅""),'Country prepositions'!A:B, 2, 0) &amp; "" "" &amp; REGEXEXTRACT(C3056, ""🏘️ \w+ \w+ (.*) ✅"") ,  if(H3056=""quartier"",vlookup(REGEXEXTRACT(C3056, ""🏘️ \w+ \w+ (.*) ✅""),'Quartier prepositio"&amp;"ns'!A:E, 5, 0) ,  if(H3056=""region"",vlookup(REGEXEXTRACT(C3056, ""🏘️ \w+ \w+ (.*) ✅""),'Region prepositions'!B:F, 5, 0),  REGEXEXTRACT(C3056, ""🏘️ \w+ \w+ (.*) ✅""))))"),"dans le quartier de Alstadt Grossbasel (Bâle)")</f>
        <v>dans le quartier de Alstadt Grossbasel (Bâle)</v>
      </c>
      <c r="F3056" s="2" t="str">
        <f>IFERROR(__xludf.DUMMYFUNCTION("REGEXEXTRACT(C3056, ""🏘️ (\w+) \w+ .* ✅"")"),"Louer")</f>
        <v>Louer</v>
      </c>
      <c r="G3056" s="2" t="str">
        <f>IFERROR(__xludf.DUMMYFUNCTION("REGEXEXTRACT(C3056, ""🏘️ \w+ (\w+) .* ✅"")"),"appartement")</f>
        <v>appartement</v>
      </c>
      <c r="H3056" s="4" t="str">
        <f>IFERROR(__xludf.DUMMYFUNCTION("REGEXEXTRACT(A3056, ""/(\w+)-.*?"")"),"quartier")</f>
        <v>quartier</v>
      </c>
      <c r="I3056" s="4" t="str">
        <f>IFERROR(__xludf.DUMMYFUNCTION("if(D3056=""variant"",  substitute(filter(Templates!E:E, Templates!A:A = F3056, Templates!B:B = G3056, Templates!C:C = H3056), ""{{}}"", E3056), B3056)"),"🏘  Vous cherchez un appartement à louer dans le quartier de Alstadt Grossbasel (Bâle)? ✅ Les annonces les plus actuelles sont sur ImmoScout24.ch.")</f>
        <v>🏘  Vous cherchez un appartement à louer dans le quartier de Alstadt Grossbasel (Bâle)? ✅ Les annonces les plus actuelles sont sur ImmoScout24.ch.</v>
      </c>
      <c r="J3056" s="4" t="s">
        <v>9162</v>
      </c>
    </row>
    <row r="3057">
      <c r="A3057" s="5" t="s">
        <v>9163</v>
      </c>
      <c r="B3057" s="2" t="s">
        <v>9164</v>
      </c>
      <c r="C3057" s="4" t="str">
        <f>IFERROR(__xludf.DUMMYFUNCTION("""🏘️ ""&amp;REGEXEXTRACT(B3057, ""^(.*): "")&amp;"" ✅ "" &amp;REGEXEXTRACT(B3057, ""(Trouvez.*)"")"),"🏘️ Louer appartement Meggen ✅ Trouvez le bien immobilier qui correspond idéalement à vos désirs sur ImmoScout24 - La plateforme de l'immobilier en Suisse.")</f>
        <v>🏘️ Louer appartement Meggen ✅ Trouvez le bien immobilier qui correspond idéalement à vos désirs sur ImmoScout24 - La plateforme de l'immobilier en Suisse.</v>
      </c>
      <c r="D3057" s="4" t="str">
        <f>vlookup(A3057, Sheet2!D:E, 2, 0)</f>
        <v>variant</v>
      </c>
      <c r="E3057" s="4" t="str">
        <f>IFERROR(__xludf.DUMMYFUNCTION("if(H3057=""pays"",vlookup(REGEXEXTRACT(C3057, ""🏘️ \w+ \w+ (.*) ✅""),'Country prepositions'!A:B, 2, 0) &amp; "" "" &amp; REGEXEXTRACT(C3057, ""🏘️ \w+ \w+ (.*) ✅"") ,  if(H3057=""quartier"",vlookup(REGEXEXTRACT(C3057, ""🏘️ \w+ \w+ (.*) ✅""),'Quartier prepositio"&amp;"ns'!A:E, 5, 0) ,  if(H3057=""region"",vlookup(REGEXEXTRACT(C3057, ""🏘️ \w+ \w+ (.*) ✅""),'Region prepositions'!B:F, 5, 0),  REGEXEXTRACT(C3057, ""🏘️ \w+ \w+ (.*) ✅""))))"),"Meggen")</f>
        <v>Meggen</v>
      </c>
      <c r="F3057" s="2" t="str">
        <f>IFERROR(__xludf.DUMMYFUNCTION("REGEXEXTRACT(C3057, ""🏘️ (\w+) \w+ .* ✅"")"),"Louer")</f>
        <v>Louer</v>
      </c>
      <c r="G3057" s="2" t="str">
        <f>IFERROR(__xludf.DUMMYFUNCTION("REGEXEXTRACT(C3057, ""🏘️ \w+ (\w+) .* ✅"")"),"appartement")</f>
        <v>appartement</v>
      </c>
      <c r="H3057" s="4" t="str">
        <f>IFERROR(__xludf.DUMMYFUNCTION("REGEXEXTRACT(A3057, ""/(\w+)-.*?"")"),"lieu")</f>
        <v>lieu</v>
      </c>
      <c r="I3057" s="4" t="str">
        <f>IFERROR(__xludf.DUMMYFUNCTION("if(D3057=""variant"",  substitute(filter(Templates!E:E, Templates!A:A = F3057, Templates!B:B = G3057, Templates!C:C = H3057), ""{{}}"", E3057), B3057)"),"🏘  Vous cherchez un appartement à louer à Meggen? ✅ Les annonces les plus actuelles sont sur ImmoScout24.ch.")</f>
        <v>🏘  Vous cherchez un appartement à louer à Meggen? ✅ Les annonces les plus actuelles sont sur ImmoScout24.ch.</v>
      </c>
      <c r="J3057" s="4" t="s">
        <v>9165</v>
      </c>
    </row>
    <row r="3058">
      <c r="A3058" s="5" t="s">
        <v>9166</v>
      </c>
      <c r="B3058" s="2" t="s">
        <v>9167</v>
      </c>
      <c r="C3058" s="4" t="str">
        <f>IFERROR(__xludf.DUMMYFUNCTION("""🏘️ ""&amp;REGEXEXTRACT(B3058, ""^(.*): "")&amp;"" ✅ "" &amp;REGEXEXTRACT(B3058, ""(Trouvez.*)"")"),"🏘️ Vendre appartement Puplinge ✅ Trouvez le bien immobilier qui correspond idéalement à vos désirs sur ImmoScout24 - La plateforme de l'immobilier en Suisse.")</f>
        <v>🏘️ Vendre appartement Puplinge ✅ Trouvez le bien immobilier qui correspond idéalement à vos désirs sur ImmoScout24 - La plateforme de l'immobilier en Suisse.</v>
      </c>
      <c r="D3058" s="4" t="str">
        <f>vlookup(A3058, Sheet2!D:E, 2, 0)</f>
        <v>variant</v>
      </c>
      <c r="E3058" s="4" t="str">
        <f>IFERROR(__xludf.DUMMYFUNCTION("if(H3058=""pays"",vlookup(REGEXEXTRACT(C3058, ""🏘️ \w+ \w+ (.*) ✅""),'Country prepositions'!A:B, 2, 0) &amp; "" "" &amp; REGEXEXTRACT(C3058, ""🏘️ \w+ \w+ (.*) ✅"") ,  if(H3058=""quartier"",vlookup(REGEXEXTRACT(C3058, ""🏘️ \w+ \w+ (.*) ✅""),'Quartier prepositio"&amp;"ns'!A:E, 5, 0) ,  if(H3058=""region"",vlookup(REGEXEXTRACT(C3058, ""🏘️ \w+ \w+ (.*) ✅""),'Region prepositions'!B:F, 5, 0),  REGEXEXTRACT(C3058, ""🏘️ \w+ \w+ (.*) ✅""))))"),"Puplinge")</f>
        <v>Puplinge</v>
      </c>
      <c r="F3058" s="2" t="str">
        <f>IFERROR(__xludf.DUMMYFUNCTION("REGEXEXTRACT(C3058, ""🏘️ (\w+) \w+ .* ✅"")"),"Vendre")</f>
        <v>Vendre</v>
      </c>
      <c r="G3058" s="2" t="str">
        <f>IFERROR(__xludf.DUMMYFUNCTION("REGEXEXTRACT(C3058, ""🏘️ \w+ (\w+) .* ✅"")"),"appartement")</f>
        <v>appartement</v>
      </c>
      <c r="H3058" s="4" t="str">
        <f>IFERROR(__xludf.DUMMYFUNCTION("REGEXEXTRACT(A3058, ""/(\w+)-.*?"")"),"lieu")</f>
        <v>lieu</v>
      </c>
      <c r="I3058" s="4" t="str">
        <f>IFERROR(__xludf.DUMMYFUNCTION("if(D3058=""variant"",  substitute(filter(Templates!E:E, Templates!A:A = F3058, Templates!B:B = G3058, Templates!C:C = H3058), ""{{}}"", E3058), B3058)"),"🏘  L’appartement de vos rêves se trouve sur ImmoScout24.ch ✅ Découvrez les dernières annonces de vente à Puplinge.")</f>
        <v>🏘  L’appartement de vos rêves se trouve sur ImmoScout24.ch ✅ Découvrez les dernières annonces de vente à Puplinge.</v>
      </c>
      <c r="J3058" s="4" t="s">
        <v>9168</v>
      </c>
    </row>
    <row r="3059">
      <c r="A3059" s="5" t="s">
        <v>9169</v>
      </c>
      <c r="B3059" s="2" t="s">
        <v>9170</v>
      </c>
      <c r="C3059" s="4" t="str">
        <f>IFERROR(__xludf.DUMMYFUNCTION("""🏘️ ""&amp;REGEXEXTRACT(B3059, ""^(.*): "")&amp;"" ✅ "" &amp;REGEXEXTRACT(B3059, ""(Trouvez.*)"")"),"🏘️ Louer appartement Bursins ✅ Trouvez le bien immobilier qui correspond idéalement à vos désirs sur ImmoScout24 - La plateforme de l'immobilier en Suisse.")</f>
        <v>🏘️ Louer appartement Bursins ✅ Trouvez le bien immobilier qui correspond idéalement à vos désirs sur ImmoScout24 - La plateforme de l'immobilier en Suisse.</v>
      </c>
      <c r="D3059" s="4" t="str">
        <f>vlookup(A3059, Sheet2!D:E, 2, 0)</f>
        <v>variant</v>
      </c>
      <c r="E3059" s="4" t="str">
        <f>IFERROR(__xludf.DUMMYFUNCTION("if(H3059=""pays"",vlookup(REGEXEXTRACT(C3059, ""🏘️ \w+ \w+ (.*) ✅""),'Country prepositions'!A:B, 2, 0) &amp; "" "" &amp; REGEXEXTRACT(C3059, ""🏘️ \w+ \w+ (.*) ✅"") ,  if(H3059=""quartier"",vlookup(REGEXEXTRACT(C3059, ""🏘️ \w+ \w+ (.*) ✅""),'Quartier prepositio"&amp;"ns'!A:E, 5, 0) ,  if(H3059=""region"",vlookup(REGEXEXTRACT(C3059, ""🏘️ \w+ \w+ (.*) ✅""),'Region prepositions'!B:F, 5, 0),  REGEXEXTRACT(C3059, ""🏘️ \w+ \w+ (.*) ✅""))))"),"Bursins")</f>
        <v>Bursins</v>
      </c>
      <c r="F3059" s="2" t="str">
        <f>IFERROR(__xludf.DUMMYFUNCTION("REGEXEXTRACT(C3059, ""🏘️ (\w+) \w+ .* ✅"")"),"Louer")</f>
        <v>Louer</v>
      </c>
      <c r="G3059" s="2" t="str">
        <f>IFERROR(__xludf.DUMMYFUNCTION("REGEXEXTRACT(C3059, ""🏘️ \w+ (\w+) .* ✅"")"),"appartement")</f>
        <v>appartement</v>
      </c>
      <c r="H3059" s="4" t="str">
        <f>IFERROR(__xludf.DUMMYFUNCTION("REGEXEXTRACT(A3059, ""/(\w+)-.*?"")"),"lieu")</f>
        <v>lieu</v>
      </c>
      <c r="I3059" s="4" t="str">
        <f>IFERROR(__xludf.DUMMYFUNCTION("if(D3059=""variant"",  substitute(filter(Templates!E:E, Templates!A:A = F3059, Templates!B:B = G3059, Templates!C:C = H3059), ""{{}}"", E3059), B3059)"),"🏘  Vous cherchez un appartement à louer à Bursins? ✅ Les annonces les plus actuelles sont sur ImmoScout24.ch.")</f>
        <v>🏘  Vous cherchez un appartement à louer à Bursins? ✅ Les annonces les plus actuelles sont sur ImmoScout24.ch.</v>
      </c>
      <c r="J3059" s="4" t="s">
        <v>9171</v>
      </c>
    </row>
    <row r="3060">
      <c r="A3060" s="5" t="s">
        <v>9172</v>
      </c>
      <c r="B3060" s="2" t="s">
        <v>9173</v>
      </c>
      <c r="C3060" s="4" t="str">
        <f>IFERROR(__xludf.DUMMYFUNCTION("""🏘️ ""&amp;REGEXEXTRACT(B3060, ""^(.*): "")&amp;"" ✅ "" &amp;REGEXEXTRACT(B3060, ""(Trouvez.*)"")"),"🏘️ Vendre maison Lully VD ✅ Trouvez le bien immobilier qui correspond idéalement à vos désirs sur ImmoScout24 - La plateforme de l'immobilier en Suisse.")</f>
        <v>🏘️ Vendre maison Lully VD ✅ Trouvez le bien immobilier qui correspond idéalement à vos désirs sur ImmoScout24 - La plateforme de l'immobilier en Suisse.</v>
      </c>
      <c r="D3060" s="4" t="str">
        <f>vlookup(A3060, Sheet2!D:E, 2, 0)</f>
        <v>variant</v>
      </c>
      <c r="E3060" s="4" t="str">
        <f>IFERROR(__xludf.DUMMYFUNCTION("if(H3060=""pays"",vlookup(REGEXEXTRACT(C3060, ""🏘️ \w+ \w+ (.*) ✅""),'Country prepositions'!A:B, 2, 0) &amp; "" "" &amp; REGEXEXTRACT(C3060, ""🏘️ \w+ \w+ (.*) ✅"") ,  if(H3060=""quartier"",vlookup(REGEXEXTRACT(C3060, ""🏘️ \w+ \w+ (.*) ✅""),'Quartier prepositio"&amp;"ns'!A:E, 5, 0) ,  if(H3060=""region"",vlookup(REGEXEXTRACT(C3060, ""🏘️ \w+ \w+ (.*) ✅""),'Region prepositions'!B:F, 5, 0),  REGEXEXTRACT(C3060, ""🏘️ \w+ \w+ (.*) ✅""))))"),"Lully VD")</f>
        <v>Lully VD</v>
      </c>
      <c r="F3060" s="2" t="str">
        <f>IFERROR(__xludf.DUMMYFUNCTION("REGEXEXTRACT(C3060, ""🏘️ (\w+) \w+ .* ✅"")"),"Vendre")</f>
        <v>Vendre</v>
      </c>
      <c r="G3060" s="2" t="str">
        <f>IFERROR(__xludf.DUMMYFUNCTION("REGEXEXTRACT(C3060, ""🏘️ \w+ (\w+) .* ✅"")"),"maison")</f>
        <v>maison</v>
      </c>
      <c r="H3060" s="4" t="str">
        <f>IFERROR(__xludf.DUMMYFUNCTION("REGEXEXTRACT(A3060, ""/(\w+)-.*?"")"),"lieu")</f>
        <v>lieu</v>
      </c>
      <c r="I3060" s="4" t="str">
        <f>IFERROR(__xludf.DUMMYFUNCTION("if(D3060=""variant"",  substitute(filter(Templates!E:E, Templates!A:A = F3060, Templates!B:B = G3060, Templates!C:C = H3060), ""{{}}"", E3060), B3060)"),"🏘  Vous souhaitez acheter une maison à Lully VD? ✅ Jetez un œil aux dernières offres sur ImmoScout24.ch.")</f>
        <v>🏘  Vous souhaitez acheter une maison à Lully VD? ✅ Jetez un œil aux dernières offres sur ImmoScout24.ch.</v>
      </c>
      <c r="J3060" s="4" t="s">
        <v>9174</v>
      </c>
    </row>
    <row r="3061">
      <c r="A3061" s="5" t="s">
        <v>9175</v>
      </c>
      <c r="B3061" s="2" t="s">
        <v>9176</v>
      </c>
      <c r="C3061" s="4" t="str">
        <f>IFERROR(__xludf.DUMMYFUNCTION("""🏘️ ""&amp;REGEXEXTRACT(B3061, ""^(.*): "")&amp;"" ✅ "" &amp;REGEXEXTRACT(B3061, ""(Trouvez.*)"")"),"🏘️ Louer appartement Kemptthal ✅ Trouvez le bien immobilier qui correspond idéalement à vos désirs sur ImmoScout24 - La plateforme de l'immobilier en Suisse.")</f>
        <v>🏘️ Louer appartement Kemptthal ✅ Trouvez le bien immobilier qui correspond idéalement à vos désirs sur ImmoScout24 - La plateforme de l'immobilier en Suisse.</v>
      </c>
      <c r="D3061" s="4" t="str">
        <f>vlookup(A3061, Sheet2!D:E, 2, 0)</f>
        <v>variant</v>
      </c>
      <c r="E3061" s="4" t="str">
        <f>IFERROR(__xludf.DUMMYFUNCTION("if(H3061=""pays"",vlookup(REGEXEXTRACT(C3061, ""🏘️ \w+ \w+ (.*) ✅""),'Country prepositions'!A:B, 2, 0) &amp; "" "" &amp; REGEXEXTRACT(C3061, ""🏘️ \w+ \w+ (.*) ✅"") ,  if(H3061=""quartier"",vlookup(REGEXEXTRACT(C3061, ""🏘️ \w+ \w+ (.*) ✅""),'Quartier prepositio"&amp;"ns'!A:E, 5, 0) ,  if(H3061=""region"",vlookup(REGEXEXTRACT(C3061, ""🏘️ \w+ \w+ (.*) ✅""),'Region prepositions'!B:F, 5, 0),  REGEXEXTRACT(C3061, ""🏘️ \w+ \w+ (.*) ✅""))))"),"Kemptthal")</f>
        <v>Kemptthal</v>
      </c>
      <c r="F3061" s="2" t="str">
        <f>IFERROR(__xludf.DUMMYFUNCTION("REGEXEXTRACT(C3061, ""🏘️ (\w+) \w+ .* ✅"")"),"Louer")</f>
        <v>Louer</v>
      </c>
      <c r="G3061" s="2" t="str">
        <f>IFERROR(__xludf.DUMMYFUNCTION("REGEXEXTRACT(C3061, ""🏘️ \w+ (\w+) .* ✅"")"),"appartement")</f>
        <v>appartement</v>
      </c>
      <c r="H3061" s="4" t="str">
        <f>IFERROR(__xludf.DUMMYFUNCTION("REGEXEXTRACT(A3061, ""/(\w+)-.*?"")"),"lieu")</f>
        <v>lieu</v>
      </c>
      <c r="I3061" s="4" t="str">
        <f>IFERROR(__xludf.DUMMYFUNCTION("if(D3061=""variant"",  substitute(filter(Templates!E:E, Templates!A:A = F3061, Templates!B:B = G3061, Templates!C:C = H3061), ""{{}}"", E3061), B3061)"),"🏘  Vous cherchez un appartement à louer à Kemptthal? ✅ Les annonces les plus actuelles sont sur ImmoScout24.ch.")</f>
        <v>🏘  Vous cherchez un appartement à louer à Kemptthal? ✅ Les annonces les plus actuelles sont sur ImmoScout24.ch.</v>
      </c>
      <c r="J3061" s="4" t="s">
        <v>9177</v>
      </c>
    </row>
    <row r="3062">
      <c r="A3062" s="5" t="s">
        <v>9178</v>
      </c>
      <c r="B3062" s="2" t="s">
        <v>9179</v>
      </c>
      <c r="C3062" s="4" t="str">
        <f>IFERROR(__xludf.DUMMYFUNCTION("""🏘️ ""&amp;REGEXEXTRACT(B3062, ""^(.*): "")&amp;"" ✅ "" &amp;REGEXEXTRACT(B3062, ""(Trouvez.*)"")"),"🏘️ Vendre appartement Wangs ✅ Trouvez le bien immobilier qui correspond idéalement à vos désirs sur ImmoScout24 - La plateforme de l'immobilier en Suisse.")</f>
        <v>🏘️ Vendre appartement Wangs ✅ Trouvez le bien immobilier qui correspond idéalement à vos désirs sur ImmoScout24 - La plateforme de l'immobilier en Suisse.</v>
      </c>
      <c r="D3062" s="4" t="str">
        <f>vlookup(A3062, Sheet2!D:E, 2, 0)</f>
        <v>variant</v>
      </c>
      <c r="E3062" s="4" t="str">
        <f>IFERROR(__xludf.DUMMYFUNCTION("if(H3062=""pays"",vlookup(REGEXEXTRACT(C3062, ""🏘️ \w+ \w+ (.*) ✅""),'Country prepositions'!A:B, 2, 0) &amp; "" "" &amp; REGEXEXTRACT(C3062, ""🏘️ \w+ \w+ (.*) ✅"") ,  if(H3062=""quartier"",vlookup(REGEXEXTRACT(C3062, ""🏘️ \w+ \w+ (.*) ✅""),'Quartier prepositio"&amp;"ns'!A:E, 5, 0) ,  if(H3062=""region"",vlookup(REGEXEXTRACT(C3062, ""🏘️ \w+ \w+ (.*) ✅""),'Region prepositions'!B:F, 5, 0),  REGEXEXTRACT(C3062, ""🏘️ \w+ \w+ (.*) ✅""))))"),"Wangs")</f>
        <v>Wangs</v>
      </c>
      <c r="F3062" s="2" t="str">
        <f>IFERROR(__xludf.DUMMYFUNCTION("REGEXEXTRACT(C3062, ""🏘️ (\w+) \w+ .* ✅"")"),"Vendre")</f>
        <v>Vendre</v>
      </c>
      <c r="G3062" s="2" t="str">
        <f>IFERROR(__xludf.DUMMYFUNCTION("REGEXEXTRACT(C3062, ""🏘️ \w+ (\w+) .* ✅"")"),"appartement")</f>
        <v>appartement</v>
      </c>
      <c r="H3062" s="4" t="str">
        <f>IFERROR(__xludf.DUMMYFUNCTION("REGEXEXTRACT(A3062, ""/(\w+)-.*?"")"),"lieu")</f>
        <v>lieu</v>
      </c>
      <c r="I3062" s="4" t="str">
        <f>IFERROR(__xludf.DUMMYFUNCTION("if(D3062=""variant"",  substitute(filter(Templates!E:E, Templates!A:A = F3062, Templates!B:B = G3062, Templates!C:C = H3062), ""{{}}"", E3062), B3062)"),"🏘  L’appartement de vos rêves se trouve sur ImmoScout24.ch ✅ Découvrez les dernières annonces de vente à Wangs.")</f>
        <v>🏘  L’appartement de vos rêves se trouve sur ImmoScout24.ch ✅ Découvrez les dernières annonces de vente à Wangs.</v>
      </c>
      <c r="J3062" s="4" t="s">
        <v>9180</v>
      </c>
    </row>
    <row r="3063">
      <c r="A3063" s="5" t="s">
        <v>9181</v>
      </c>
      <c r="B3063" s="2" t="s">
        <v>9182</v>
      </c>
      <c r="C3063" s="4" t="str">
        <f>IFERROR(__xludf.DUMMYFUNCTION("""🏘️ ""&amp;REGEXEXTRACT(B3063, ""^(.*): "")&amp;"" ✅ "" &amp;REGEXEXTRACT(B3063, ""(Trouvez.*)"")"),"🏘️ Vendre maison Giffers ✅ Trouvez le bien immobilier qui correspond idéalement à vos désirs sur ImmoScout24 - La plateforme de l'immobilier en Suisse.")</f>
        <v>🏘️ Vendre maison Giffers ✅ Trouvez le bien immobilier qui correspond idéalement à vos désirs sur ImmoScout24 - La plateforme de l'immobilier en Suisse.</v>
      </c>
      <c r="D3063" s="4" t="str">
        <f>vlookup(A3063, Sheet2!D:E, 2, 0)</f>
        <v>variant</v>
      </c>
      <c r="E3063" s="4" t="str">
        <f>IFERROR(__xludf.DUMMYFUNCTION("if(H3063=""pays"",vlookup(REGEXEXTRACT(C3063, ""🏘️ \w+ \w+ (.*) ✅""),'Country prepositions'!A:B, 2, 0) &amp; "" "" &amp; REGEXEXTRACT(C3063, ""🏘️ \w+ \w+ (.*) ✅"") ,  if(H3063=""quartier"",vlookup(REGEXEXTRACT(C3063, ""🏘️ \w+ \w+ (.*) ✅""),'Quartier prepositio"&amp;"ns'!A:E, 5, 0) ,  if(H3063=""region"",vlookup(REGEXEXTRACT(C3063, ""🏘️ \w+ \w+ (.*) ✅""),'Region prepositions'!B:F, 5, 0),  REGEXEXTRACT(C3063, ""🏘️ \w+ \w+ (.*) ✅""))))"),"Giffers")</f>
        <v>Giffers</v>
      </c>
      <c r="F3063" s="2" t="str">
        <f>IFERROR(__xludf.DUMMYFUNCTION("REGEXEXTRACT(C3063, ""🏘️ (\w+) \w+ .* ✅"")"),"Vendre")</f>
        <v>Vendre</v>
      </c>
      <c r="G3063" s="2" t="str">
        <f>IFERROR(__xludf.DUMMYFUNCTION("REGEXEXTRACT(C3063, ""🏘️ \w+ (\w+) .* ✅"")"),"maison")</f>
        <v>maison</v>
      </c>
      <c r="H3063" s="4" t="str">
        <f>IFERROR(__xludf.DUMMYFUNCTION("REGEXEXTRACT(A3063, ""/(\w+)-.*?"")"),"lieu")</f>
        <v>lieu</v>
      </c>
      <c r="I3063" s="4" t="str">
        <f>IFERROR(__xludf.DUMMYFUNCTION("if(D3063=""variant"",  substitute(filter(Templates!E:E, Templates!A:A = F3063, Templates!B:B = G3063, Templates!C:C = H3063), ""{{}}"", E3063), B3063)"),"🏘  Vous souhaitez acheter une maison à Giffers? ✅ Jetez un œil aux dernières offres sur ImmoScout24.ch.")</f>
        <v>🏘  Vous souhaitez acheter une maison à Giffers? ✅ Jetez un œil aux dernières offres sur ImmoScout24.ch.</v>
      </c>
      <c r="J3063" s="4" t="s">
        <v>9183</v>
      </c>
    </row>
    <row r="3064">
      <c r="A3064" s="5" t="s">
        <v>9184</v>
      </c>
      <c r="B3064" s="2" t="s">
        <v>9185</v>
      </c>
      <c r="C3064" s="4" t="str">
        <f>IFERROR(__xludf.DUMMYFUNCTION("""🏘️ ""&amp;REGEXEXTRACT(B3064, ""^(.*): "")&amp;"" ✅ "" &amp;REGEXEXTRACT(B3064, ""(Trouvez.*)"")"),"🏘️ Vendre maison Bellmund ✅ Trouvez le bien immobilier qui correspond idéalement à vos désirs sur ImmoScout24 - La plateforme de l'immobilier en Suisse.")</f>
        <v>🏘️ Vendre maison Bellmund ✅ Trouvez le bien immobilier qui correspond idéalement à vos désirs sur ImmoScout24 - La plateforme de l'immobilier en Suisse.</v>
      </c>
      <c r="D3064" s="4" t="str">
        <f>vlookup(A3064, Sheet2!D:E, 2, 0)</f>
        <v>variant</v>
      </c>
      <c r="E3064" s="4" t="str">
        <f>IFERROR(__xludf.DUMMYFUNCTION("if(H3064=""pays"",vlookup(REGEXEXTRACT(C3064, ""🏘️ \w+ \w+ (.*) ✅""),'Country prepositions'!A:B, 2, 0) &amp; "" "" &amp; REGEXEXTRACT(C3064, ""🏘️ \w+ \w+ (.*) ✅"") ,  if(H3064=""quartier"",vlookup(REGEXEXTRACT(C3064, ""🏘️ \w+ \w+ (.*) ✅""),'Quartier prepositio"&amp;"ns'!A:E, 5, 0) ,  if(H3064=""region"",vlookup(REGEXEXTRACT(C3064, ""🏘️ \w+ \w+ (.*) ✅""),'Region prepositions'!B:F, 5, 0),  REGEXEXTRACT(C3064, ""🏘️ \w+ \w+ (.*) ✅""))))"),"Bellmund")</f>
        <v>Bellmund</v>
      </c>
      <c r="F3064" s="2" t="str">
        <f>IFERROR(__xludf.DUMMYFUNCTION("REGEXEXTRACT(C3064, ""🏘️ (\w+) \w+ .* ✅"")"),"Vendre")</f>
        <v>Vendre</v>
      </c>
      <c r="G3064" s="2" t="str">
        <f>IFERROR(__xludf.DUMMYFUNCTION("REGEXEXTRACT(C3064, ""🏘️ \w+ (\w+) .* ✅"")"),"maison")</f>
        <v>maison</v>
      </c>
      <c r="H3064" s="4" t="str">
        <f>IFERROR(__xludf.DUMMYFUNCTION("REGEXEXTRACT(A3064, ""/(\w+)-.*?"")"),"lieu")</f>
        <v>lieu</v>
      </c>
      <c r="I3064" s="4" t="str">
        <f>IFERROR(__xludf.DUMMYFUNCTION("if(D3064=""variant"",  substitute(filter(Templates!E:E, Templates!A:A = F3064, Templates!B:B = G3064, Templates!C:C = H3064), ""{{}}"", E3064), B3064)"),"🏘  Vous souhaitez acheter une maison à Bellmund? ✅ Jetez un œil aux dernières offres sur ImmoScout24.ch.")</f>
        <v>🏘  Vous souhaitez acheter une maison à Bellmund? ✅ Jetez un œil aux dernières offres sur ImmoScout24.ch.</v>
      </c>
      <c r="J3064" s="4" t="s">
        <v>9186</v>
      </c>
    </row>
    <row r="3065">
      <c r="A3065" s="5" t="s">
        <v>9187</v>
      </c>
      <c r="B3065" s="2" t="s">
        <v>9188</v>
      </c>
      <c r="C3065" s="4" t="str">
        <f>IFERROR(__xludf.DUMMYFUNCTION("""🏘️ ""&amp;REGEXEXTRACT(B3065, ""^(.*): "")&amp;"" ✅ "" &amp;REGEXEXTRACT(B3065, ""(Trouvez.*)"")"),"🏘️ Vendre appartement Lajoux JU ✅ Trouvez le bien immobilier qui correspond idéalement à vos désirs sur ImmoScout24 - La plateforme de l'immobilier en Suisse.")</f>
        <v>🏘️ Vendre appartement Lajoux JU ✅ Trouvez le bien immobilier qui correspond idéalement à vos désirs sur ImmoScout24 - La plateforme de l'immobilier en Suisse.</v>
      </c>
      <c r="D3065" s="4" t="str">
        <f>vlookup(A3065, Sheet2!D:E, 2, 0)</f>
        <v>variant</v>
      </c>
      <c r="E3065" s="4" t="str">
        <f>IFERROR(__xludf.DUMMYFUNCTION("if(H3065=""pays"",vlookup(REGEXEXTRACT(C3065, ""🏘️ \w+ \w+ (.*) ✅""),'Country prepositions'!A:B, 2, 0) &amp; "" "" &amp; REGEXEXTRACT(C3065, ""🏘️ \w+ \w+ (.*) ✅"") ,  if(H3065=""quartier"",vlookup(REGEXEXTRACT(C3065, ""🏘️ \w+ \w+ (.*) ✅""),'Quartier prepositio"&amp;"ns'!A:E, 5, 0) ,  if(H3065=""region"",vlookup(REGEXEXTRACT(C3065, ""🏘️ \w+ \w+ (.*) ✅""),'Region prepositions'!B:F, 5, 0),  REGEXEXTRACT(C3065, ""🏘️ \w+ \w+ (.*) ✅""))))"),"Lajoux JU")</f>
        <v>Lajoux JU</v>
      </c>
      <c r="F3065" s="2" t="str">
        <f>IFERROR(__xludf.DUMMYFUNCTION("REGEXEXTRACT(C3065, ""🏘️ (\w+) \w+ .* ✅"")"),"Vendre")</f>
        <v>Vendre</v>
      </c>
      <c r="G3065" s="2" t="str">
        <f>IFERROR(__xludf.DUMMYFUNCTION("REGEXEXTRACT(C3065, ""🏘️ \w+ (\w+) .* ✅"")"),"appartement")</f>
        <v>appartement</v>
      </c>
      <c r="H3065" s="4" t="str">
        <f>IFERROR(__xludf.DUMMYFUNCTION("REGEXEXTRACT(A3065, ""/(\w+)-.*?"")"),"lieu")</f>
        <v>lieu</v>
      </c>
      <c r="I3065" s="4" t="str">
        <f>IFERROR(__xludf.DUMMYFUNCTION("if(D3065=""variant"",  substitute(filter(Templates!E:E, Templates!A:A = F3065, Templates!B:B = G3065, Templates!C:C = H3065), ""{{}}"", E3065), B3065)"),"🏘  L’appartement de vos rêves se trouve sur ImmoScout24.ch ✅ Découvrez les dernières annonces de vente à Lajoux JU.")</f>
        <v>🏘  L’appartement de vos rêves se trouve sur ImmoScout24.ch ✅ Découvrez les dernières annonces de vente à Lajoux JU.</v>
      </c>
      <c r="J3065" s="4" t="s">
        <v>9189</v>
      </c>
    </row>
    <row r="3066">
      <c r="A3066" s="5" t="s">
        <v>9190</v>
      </c>
      <c r="B3066" s="2" t="s">
        <v>9191</v>
      </c>
      <c r="C3066" s="4" t="str">
        <f>IFERROR(__xludf.DUMMYFUNCTION("""🏘️ ""&amp;REGEXEXTRACT(B3066, ""^(.*): "")&amp;"" ✅ "" &amp;REGEXEXTRACT(B3066, ""(Trouvez.*)"")"),"🏘️ Vendre appartement Saanenmöser ✅ Trouvez le bien immobilier qui correspond idéalement à vos désirs sur ImmoScout24 - La plateforme de l'immobilier en Suisse.")</f>
        <v>🏘️ Vendre appartement Saanenmöser ✅ Trouvez le bien immobilier qui correspond idéalement à vos désirs sur ImmoScout24 - La plateforme de l'immobilier en Suisse.</v>
      </c>
      <c r="D3066" s="4" t="str">
        <f>vlookup(A3066, Sheet2!D:E, 2, 0)</f>
        <v>variant</v>
      </c>
      <c r="E3066" s="4" t="str">
        <f>IFERROR(__xludf.DUMMYFUNCTION("if(H3066=""pays"",vlookup(REGEXEXTRACT(C3066, ""🏘️ \w+ \w+ (.*) ✅""),'Country prepositions'!A:B, 2, 0) &amp; "" "" &amp; REGEXEXTRACT(C3066, ""🏘️ \w+ \w+ (.*) ✅"") ,  if(H3066=""quartier"",vlookup(REGEXEXTRACT(C3066, ""🏘️ \w+ \w+ (.*) ✅""),'Quartier prepositio"&amp;"ns'!A:E, 5, 0) ,  if(H3066=""region"",vlookup(REGEXEXTRACT(C3066, ""🏘️ \w+ \w+ (.*) ✅""),'Region prepositions'!B:F, 5, 0),  REGEXEXTRACT(C3066, ""🏘️ \w+ \w+ (.*) ✅""))))"),"Saanenmöser")</f>
        <v>Saanenmöser</v>
      </c>
      <c r="F3066" s="2" t="str">
        <f>IFERROR(__xludf.DUMMYFUNCTION("REGEXEXTRACT(C3066, ""🏘️ (\w+) \w+ .* ✅"")"),"Vendre")</f>
        <v>Vendre</v>
      </c>
      <c r="G3066" s="2" t="str">
        <f>IFERROR(__xludf.DUMMYFUNCTION("REGEXEXTRACT(C3066, ""🏘️ \w+ (\w+) .* ✅"")"),"appartement")</f>
        <v>appartement</v>
      </c>
      <c r="H3066" s="4" t="str">
        <f>IFERROR(__xludf.DUMMYFUNCTION("REGEXEXTRACT(A3066, ""/(\w+)-.*?"")"),"lieu")</f>
        <v>lieu</v>
      </c>
      <c r="I3066" s="4" t="str">
        <f>IFERROR(__xludf.DUMMYFUNCTION("if(D3066=""variant"",  substitute(filter(Templates!E:E, Templates!A:A = F3066, Templates!B:B = G3066, Templates!C:C = H3066), ""{{}}"", E3066), B3066)"),"🏘  L’appartement de vos rêves se trouve sur ImmoScout24.ch ✅ Découvrez les dernières annonces de vente à Saanenmöser.")</f>
        <v>🏘  L’appartement de vos rêves se trouve sur ImmoScout24.ch ✅ Découvrez les dernières annonces de vente à Saanenmöser.</v>
      </c>
      <c r="J3066" s="4" t="s">
        <v>9192</v>
      </c>
    </row>
    <row r="3067">
      <c r="A3067" s="5" t="s">
        <v>9193</v>
      </c>
      <c r="B3067" s="2" t="s">
        <v>9194</v>
      </c>
      <c r="C3067" s="4" t="str">
        <f>IFERROR(__xludf.DUMMYFUNCTION("""🏘️ ""&amp;REGEXEXTRACT(B3067, ""^(.*): "")&amp;"" ✅ "" &amp;REGEXEXTRACT(B3067, ""(Trouvez.*)"")"),"🏘️ Vendre maison Liesberg ✅ Trouvez le bien immobilier qui correspond idéalement à vos désirs sur ImmoScout24 - La plateforme de l'immobilier en Suisse.")</f>
        <v>🏘️ Vendre maison Liesberg ✅ Trouvez le bien immobilier qui correspond idéalement à vos désirs sur ImmoScout24 - La plateforme de l'immobilier en Suisse.</v>
      </c>
      <c r="D3067" s="4" t="str">
        <f>vlookup(A3067, Sheet2!D:E, 2, 0)</f>
        <v>variant</v>
      </c>
      <c r="E3067" s="4" t="str">
        <f>IFERROR(__xludf.DUMMYFUNCTION("if(H3067=""pays"",vlookup(REGEXEXTRACT(C3067, ""🏘️ \w+ \w+ (.*) ✅""),'Country prepositions'!A:B, 2, 0) &amp; "" "" &amp; REGEXEXTRACT(C3067, ""🏘️ \w+ \w+ (.*) ✅"") ,  if(H3067=""quartier"",vlookup(REGEXEXTRACT(C3067, ""🏘️ \w+ \w+ (.*) ✅""),'Quartier prepositio"&amp;"ns'!A:E, 5, 0) ,  if(H3067=""region"",vlookup(REGEXEXTRACT(C3067, ""🏘️ \w+ \w+ (.*) ✅""),'Region prepositions'!B:F, 5, 0),  REGEXEXTRACT(C3067, ""🏘️ \w+ \w+ (.*) ✅""))))"),"Liesberg")</f>
        <v>Liesberg</v>
      </c>
      <c r="F3067" s="2" t="str">
        <f>IFERROR(__xludf.DUMMYFUNCTION("REGEXEXTRACT(C3067, ""🏘️ (\w+) \w+ .* ✅"")"),"Vendre")</f>
        <v>Vendre</v>
      </c>
      <c r="G3067" s="2" t="str">
        <f>IFERROR(__xludf.DUMMYFUNCTION("REGEXEXTRACT(C3067, ""🏘️ \w+ (\w+) .* ✅"")"),"maison")</f>
        <v>maison</v>
      </c>
      <c r="H3067" s="4" t="str">
        <f>IFERROR(__xludf.DUMMYFUNCTION("REGEXEXTRACT(A3067, ""/(\w+)-.*?"")"),"lieu")</f>
        <v>lieu</v>
      </c>
      <c r="I3067" s="4" t="str">
        <f>IFERROR(__xludf.DUMMYFUNCTION("if(D3067=""variant"",  substitute(filter(Templates!E:E, Templates!A:A = F3067, Templates!B:B = G3067, Templates!C:C = H3067), ""{{}}"", E3067), B3067)"),"🏘  Vous souhaitez acheter une maison à Liesberg? ✅ Jetez un œil aux dernières offres sur ImmoScout24.ch.")</f>
        <v>🏘  Vous souhaitez acheter une maison à Liesberg? ✅ Jetez un œil aux dernières offres sur ImmoScout24.ch.</v>
      </c>
      <c r="J3067" s="4" t="s">
        <v>9195</v>
      </c>
    </row>
    <row r="3068">
      <c r="A3068" s="5" t="s">
        <v>9196</v>
      </c>
      <c r="B3068" s="2" t="s">
        <v>9197</v>
      </c>
      <c r="C3068" s="4" t="str">
        <f>IFERROR(__xludf.DUMMYFUNCTION("""🏘️ ""&amp;REGEXEXTRACT(B3068, ""^(.*): "")&amp;"" ✅ "" &amp;REGEXEXTRACT(B3068, ""(Trouvez.*)"")"),"🏘️ Vendre maison Fey ✅ Trouvez le bien immobilier qui correspond idéalement à vos désirs sur ImmoScout24 - La plateforme de l'immobilier en Suisse.")</f>
        <v>🏘️ Vendre maison Fey ✅ Trouvez le bien immobilier qui correspond idéalement à vos désirs sur ImmoScout24 - La plateforme de l'immobilier en Suisse.</v>
      </c>
      <c r="D3068" s="4" t="str">
        <f>vlookup(A3068, Sheet2!D:E, 2, 0)</f>
        <v>variant</v>
      </c>
      <c r="E3068" s="4" t="str">
        <f>IFERROR(__xludf.DUMMYFUNCTION("if(H3068=""pays"",vlookup(REGEXEXTRACT(C3068, ""🏘️ \w+ \w+ (.*) ✅""),'Country prepositions'!A:B, 2, 0) &amp; "" "" &amp; REGEXEXTRACT(C3068, ""🏘️ \w+ \w+ (.*) ✅"") ,  if(H3068=""quartier"",vlookup(REGEXEXTRACT(C3068, ""🏘️ \w+ \w+ (.*) ✅""),'Quartier prepositio"&amp;"ns'!A:E, 5, 0) ,  if(H3068=""region"",vlookup(REGEXEXTRACT(C3068, ""🏘️ \w+ \w+ (.*) ✅""),'Region prepositions'!B:F, 5, 0),  REGEXEXTRACT(C3068, ""🏘️ \w+ \w+ (.*) ✅""))))"),"Fey")</f>
        <v>Fey</v>
      </c>
      <c r="F3068" s="2" t="str">
        <f>IFERROR(__xludf.DUMMYFUNCTION("REGEXEXTRACT(C3068, ""🏘️ (\w+) \w+ .* ✅"")"),"Vendre")</f>
        <v>Vendre</v>
      </c>
      <c r="G3068" s="2" t="str">
        <f>IFERROR(__xludf.DUMMYFUNCTION("REGEXEXTRACT(C3068, ""🏘️ \w+ (\w+) .* ✅"")"),"maison")</f>
        <v>maison</v>
      </c>
      <c r="H3068" s="4" t="str">
        <f>IFERROR(__xludf.DUMMYFUNCTION("REGEXEXTRACT(A3068, ""/(\w+)-.*?"")"),"lieu")</f>
        <v>lieu</v>
      </c>
      <c r="I3068" s="4" t="str">
        <f>IFERROR(__xludf.DUMMYFUNCTION("if(D3068=""variant"",  substitute(filter(Templates!E:E, Templates!A:A = F3068, Templates!B:B = G3068, Templates!C:C = H3068), ""{{}}"", E3068), B3068)"),"🏘  Vous souhaitez acheter une maison à Fey? ✅ Jetez un œil aux dernières offres sur ImmoScout24.ch.")</f>
        <v>🏘  Vous souhaitez acheter une maison à Fey? ✅ Jetez un œil aux dernières offres sur ImmoScout24.ch.</v>
      </c>
      <c r="J3068" s="4" t="s">
        <v>9198</v>
      </c>
    </row>
    <row r="3069">
      <c r="A3069" s="5" t="s">
        <v>9199</v>
      </c>
      <c r="B3069" s="2" t="s">
        <v>9200</v>
      </c>
      <c r="C3069" s="4" t="str">
        <f>IFERROR(__xludf.DUMMYFUNCTION("""🏘️ ""&amp;REGEXEXTRACT(B3069, ""^(.*): "")&amp;"" ✅ "" &amp;REGEXEXTRACT(B3069, ""(Trouvez.*)"")"),"🏘️ Louer appartement Conthey ✅ Trouvez le bien immobilier qui correspond idéalement à vos désirs sur ImmoScout24 - La plateforme de l'immobilier en Suisse.")</f>
        <v>🏘️ Louer appartement Conthey ✅ Trouvez le bien immobilier qui correspond idéalement à vos désirs sur ImmoScout24 - La plateforme de l'immobilier en Suisse.</v>
      </c>
      <c r="D3069" s="4" t="str">
        <f>vlookup(A3069, Sheet2!D:E, 2, 0)</f>
        <v>variant</v>
      </c>
      <c r="E3069" s="4" t="str">
        <f>IFERROR(__xludf.DUMMYFUNCTION("if(H3069=""pays"",vlookup(REGEXEXTRACT(C3069, ""🏘️ \w+ \w+ (.*) ✅""),'Country prepositions'!A:B, 2, 0) &amp; "" "" &amp; REGEXEXTRACT(C3069, ""🏘️ \w+ \w+ (.*) ✅"") ,  if(H3069=""quartier"",vlookup(REGEXEXTRACT(C3069, ""🏘️ \w+ \w+ (.*) ✅""),'Quartier prepositio"&amp;"ns'!A:E, 5, 0) ,  if(H3069=""region"",vlookup(REGEXEXTRACT(C3069, ""🏘️ \w+ \w+ (.*) ✅""),'Region prepositions'!B:F, 5, 0),  REGEXEXTRACT(C3069, ""🏘️ \w+ \w+ (.*) ✅""))))"),"Conthey")</f>
        <v>Conthey</v>
      </c>
      <c r="F3069" s="2" t="str">
        <f>IFERROR(__xludf.DUMMYFUNCTION("REGEXEXTRACT(C3069, ""🏘️ (\w+) \w+ .* ✅"")"),"Louer")</f>
        <v>Louer</v>
      </c>
      <c r="G3069" s="2" t="str">
        <f>IFERROR(__xludf.DUMMYFUNCTION("REGEXEXTRACT(C3069, ""🏘️ \w+ (\w+) .* ✅"")"),"appartement")</f>
        <v>appartement</v>
      </c>
      <c r="H3069" s="4" t="str">
        <f>IFERROR(__xludf.DUMMYFUNCTION("REGEXEXTRACT(A3069, ""/(\w+)-.*?"")"),"lieu")</f>
        <v>lieu</v>
      </c>
      <c r="I3069" s="4" t="str">
        <f>IFERROR(__xludf.DUMMYFUNCTION("if(D3069=""variant"",  substitute(filter(Templates!E:E, Templates!A:A = F3069, Templates!B:B = G3069, Templates!C:C = H3069), ""{{}}"", E3069), B3069)"),"🏘  Vous cherchez un appartement à louer à Conthey? ✅ Les annonces les plus actuelles sont sur ImmoScout24.ch.")</f>
        <v>🏘  Vous cherchez un appartement à louer à Conthey? ✅ Les annonces les plus actuelles sont sur ImmoScout24.ch.</v>
      </c>
      <c r="J3069" s="4" t="s">
        <v>9201</v>
      </c>
    </row>
    <row r="3070">
      <c r="A3070" s="5" t="s">
        <v>9202</v>
      </c>
      <c r="B3070" s="2" t="s">
        <v>9203</v>
      </c>
      <c r="C3070" s="4" t="str">
        <f>IFERROR(__xludf.DUMMYFUNCTION("""🏘️ ""&amp;REGEXEXTRACT(B3070, ""^(.*): "")&amp;"" ✅ "" &amp;REGEXEXTRACT(B3070, ""(Trouvez.*)"")"),"🏘️ Louer appartement Avry-devant-Pont ✅ Trouvez le bien immobilier qui correspond idéalement à vos désirs sur ImmoScout24 - La plateforme de l'immobilier en Suisse.")</f>
        <v>🏘️ Louer appartement Avry-devant-Pont ✅ Trouvez le bien immobilier qui correspond idéalement à vos désirs sur ImmoScout24 - La plateforme de l'immobilier en Suisse.</v>
      </c>
      <c r="D3070" s="4" t="str">
        <f>vlookup(A3070, Sheet2!D:E, 2, 0)</f>
        <v>variant</v>
      </c>
      <c r="E3070" s="4" t="str">
        <f>IFERROR(__xludf.DUMMYFUNCTION("if(H3070=""pays"",vlookup(REGEXEXTRACT(C3070, ""🏘️ \w+ \w+ (.*) ✅""),'Country prepositions'!A:B, 2, 0) &amp; "" "" &amp; REGEXEXTRACT(C3070, ""🏘️ \w+ \w+ (.*) ✅"") ,  if(H3070=""quartier"",vlookup(REGEXEXTRACT(C3070, ""🏘️ \w+ \w+ (.*) ✅""),'Quartier prepositio"&amp;"ns'!A:E, 5, 0) ,  if(H3070=""region"",vlookup(REGEXEXTRACT(C3070, ""🏘️ \w+ \w+ (.*) ✅""),'Region prepositions'!B:F, 5, 0),  REGEXEXTRACT(C3070, ""🏘️ \w+ \w+ (.*) ✅""))))"),"Avry-devant-Pont")</f>
        <v>Avry-devant-Pont</v>
      </c>
      <c r="F3070" s="2" t="str">
        <f>IFERROR(__xludf.DUMMYFUNCTION("REGEXEXTRACT(C3070, ""🏘️ (\w+) \w+ .* ✅"")"),"Louer")</f>
        <v>Louer</v>
      </c>
      <c r="G3070" s="2" t="str">
        <f>IFERROR(__xludf.DUMMYFUNCTION("REGEXEXTRACT(C3070, ""🏘️ \w+ (\w+) .* ✅"")"),"appartement")</f>
        <v>appartement</v>
      </c>
      <c r="H3070" s="4" t="str">
        <f>IFERROR(__xludf.DUMMYFUNCTION("REGEXEXTRACT(A3070, ""/(\w+)-.*?"")"),"lieu")</f>
        <v>lieu</v>
      </c>
      <c r="I3070" s="4" t="str">
        <f>IFERROR(__xludf.DUMMYFUNCTION("if(D3070=""variant"",  substitute(filter(Templates!E:E, Templates!A:A = F3070, Templates!B:B = G3070, Templates!C:C = H3070), ""{{}}"", E3070), B3070)"),"🏘  Vous cherchez un appartement à louer à Avry-devant-Pont? ✅ Les annonces les plus actuelles sont sur ImmoScout24.ch.")</f>
        <v>🏘  Vous cherchez un appartement à louer à Avry-devant-Pont? ✅ Les annonces les plus actuelles sont sur ImmoScout24.ch.</v>
      </c>
      <c r="J3070" s="4" t="s">
        <v>9204</v>
      </c>
    </row>
    <row r="3071">
      <c r="A3071" s="5" t="s">
        <v>9205</v>
      </c>
      <c r="B3071" s="2" t="s">
        <v>9206</v>
      </c>
      <c r="C3071" s="4" t="str">
        <f>IFERROR(__xludf.DUMMYFUNCTION("""🏘️ ""&amp;REGEXEXTRACT(B3071, ""^(.*): "")&amp;"" ✅ "" &amp;REGEXEXTRACT(B3071, ""(Trouvez.*)"")"),"🏘️ Vendre maison Le Crêt-près-Semsales ✅ Trouvez le bien immobilier qui correspond idéalement à vos désirs sur ImmoScout24 - La plateforme de l'immobilier en Suisse.")</f>
        <v>🏘️ Vendre maison Le Crêt-près-Semsales ✅ Trouvez le bien immobilier qui correspond idéalement à vos désirs sur ImmoScout24 - La plateforme de l'immobilier en Suisse.</v>
      </c>
      <c r="D3071" s="4" t="str">
        <f>vlookup(A3071, Sheet2!D:E, 2, 0)</f>
        <v>variant</v>
      </c>
      <c r="E3071" s="4" t="str">
        <f>IFERROR(__xludf.DUMMYFUNCTION("if(H3071=""pays"",vlookup(REGEXEXTRACT(C3071, ""🏘️ \w+ \w+ (.*) ✅""),'Country prepositions'!A:B, 2, 0) &amp; "" "" &amp; REGEXEXTRACT(C3071, ""🏘️ \w+ \w+ (.*) ✅"") ,  if(H3071=""quartier"",vlookup(REGEXEXTRACT(C3071, ""🏘️ \w+ \w+ (.*) ✅""),'Quartier prepositio"&amp;"ns'!A:E, 5, 0) ,  if(H3071=""region"",vlookup(REGEXEXTRACT(C3071, ""🏘️ \w+ \w+ (.*) ✅""),'Region prepositions'!B:F, 5, 0),  REGEXEXTRACT(C3071, ""🏘️ \w+ \w+ (.*) ✅""))))"),"Le Crêt-près-Semsales")</f>
        <v>Le Crêt-près-Semsales</v>
      </c>
      <c r="F3071" s="2" t="str">
        <f>IFERROR(__xludf.DUMMYFUNCTION("REGEXEXTRACT(C3071, ""🏘️ (\w+) \w+ .* ✅"")"),"Vendre")</f>
        <v>Vendre</v>
      </c>
      <c r="G3071" s="2" t="str">
        <f>IFERROR(__xludf.DUMMYFUNCTION("REGEXEXTRACT(C3071, ""🏘️ \w+ (\w+) .* ✅"")"),"maison")</f>
        <v>maison</v>
      </c>
      <c r="H3071" s="4" t="str">
        <f>IFERROR(__xludf.DUMMYFUNCTION("REGEXEXTRACT(A3071, ""/(\w+)-.*?"")"),"lieu")</f>
        <v>lieu</v>
      </c>
      <c r="I3071" s="4" t="str">
        <f>IFERROR(__xludf.DUMMYFUNCTION("if(D3071=""variant"",  substitute(filter(Templates!E:E, Templates!A:A = F3071, Templates!B:B = G3071, Templates!C:C = H3071), ""{{}}"", E3071), B3071)"),"🏘  Vous souhaitez acheter une maison à Le Crêt-près-Semsales? ✅ Jetez un œil aux dernières offres sur ImmoScout24.ch.")</f>
        <v>🏘  Vous souhaitez acheter une maison à Le Crêt-près-Semsales? ✅ Jetez un œil aux dernières offres sur ImmoScout24.ch.</v>
      </c>
      <c r="J3071" s="2" t="s">
        <v>9207</v>
      </c>
    </row>
    <row r="3072">
      <c r="A3072" s="5" t="s">
        <v>9208</v>
      </c>
      <c r="B3072" s="2" t="s">
        <v>9209</v>
      </c>
      <c r="C3072" s="4" t="str">
        <f>IFERROR(__xludf.DUMMYFUNCTION("""🏘️ ""&amp;REGEXEXTRACT(B3072, ""^(.*): "")&amp;"" ✅ "" &amp;REGEXEXTRACT(B3072, ""(Trouvez.*)"")"),"🏘️ Vendre maison Trogen ✅ Trouvez le bien immobilier qui correspond idéalement à vos désirs sur ImmoScout24 - La plateforme de l'immobilier en Suisse.")</f>
        <v>🏘️ Vendre maison Trogen ✅ Trouvez le bien immobilier qui correspond idéalement à vos désirs sur ImmoScout24 - La plateforme de l'immobilier en Suisse.</v>
      </c>
      <c r="D3072" s="4" t="str">
        <f>vlookup(A3072, Sheet2!D:E, 2, 0)</f>
        <v>variant</v>
      </c>
      <c r="E3072" s="4" t="str">
        <f>IFERROR(__xludf.DUMMYFUNCTION("if(H3072=""pays"",vlookup(REGEXEXTRACT(C3072, ""🏘️ \w+ \w+ (.*) ✅""),'Country prepositions'!A:B, 2, 0) &amp; "" "" &amp; REGEXEXTRACT(C3072, ""🏘️ \w+ \w+ (.*) ✅"") ,  if(H3072=""quartier"",vlookup(REGEXEXTRACT(C3072, ""🏘️ \w+ \w+ (.*) ✅""),'Quartier prepositio"&amp;"ns'!A:E, 5, 0) ,  if(H3072=""region"",vlookup(REGEXEXTRACT(C3072, ""🏘️ \w+ \w+ (.*) ✅""),'Region prepositions'!B:F, 5, 0),  REGEXEXTRACT(C3072, ""🏘️ \w+ \w+ (.*) ✅""))))"),"Trogen")</f>
        <v>Trogen</v>
      </c>
      <c r="F3072" s="2" t="str">
        <f>IFERROR(__xludf.DUMMYFUNCTION("REGEXEXTRACT(C3072, ""🏘️ (\w+) \w+ .* ✅"")"),"Vendre")</f>
        <v>Vendre</v>
      </c>
      <c r="G3072" s="2" t="str">
        <f>IFERROR(__xludf.DUMMYFUNCTION("REGEXEXTRACT(C3072, ""🏘️ \w+ (\w+) .* ✅"")"),"maison")</f>
        <v>maison</v>
      </c>
      <c r="H3072" s="4" t="str">
        <f>IFERROR(__xludf.DUMMYFUNCTION("REGEXEXTRACT(A3072, ""/(\w+)-.*?"")"),"lieu")</f>
        <v>lieu</v>
      </c>
      <c r="I3072" s="4" t="str">
        <f>IFERROR(__xludf.DUMMYFUNCTION("if(D3072=""variant"",  substitute(filter(Templates!E:E, Templates!A:A = F3072, Templates!B:B = G3072, Templates!C:C = H3072), ""{{}}"", E3072), B3072)"),"🏘  Vous souhaitez acheter une maison à Trogen? ✅ Jetez un œil aux dernières offres sur ImmoScout24.ch.")</f>
        <v>🏘  Vous souhaitez acheter une maison à Trogen? ✅ Jetez un œil aux dernières offres sur ImmoScout24.ch.</v>
      </c>
      <c r="J3072" s="4" t="s">
        <v>9210</v>
      </c>
    </row>
    <row r="3073">
      <c r="A3073" s="5" t="s">
        <v>9211</v>
      </c>
      <c r="B3073" s="2" t="s">
        <v>9212</v>
      </c>
      <c r="C3073" s="4" t="str">
        <f>IFERROR(__xludf.DUMMYFUNCTION("""🏘️ ""&amp;REGEXEXTRACT(B3073, ""^(.*): "")&amp;"" ✅ "" &amp;REGEXEXTRACT(B3073, ""(Trouvez.*)"")"),"🏘️ Louer maison Zurich ville ✅ Trouvez le bien immobilier qui correspond idéalement à vos désirs sur ImmoScout24 - La plateforme de l'immobilier en Suisse.")</f>
        <v>🏘️ Louer maison Zurich ville ✅ Trouvez le bien immobilier qui correspond idéalement à vos désirs sur ImmoScout24 - La plateforme de l'immobilier en Suisse.</v>
      </c>
      <c r="D3073" s="4" t="str">
        <f>vlookup(A3073, Sheet2!D:E, 2, 0)</f>
        <v>variant</v>
      </c>
      <c r="E3073" s="4" t="str">
        <f>IFERROR(__xludf.DUMMYFUNCTION("if(H3073=""pays"",vlookup(REGEXEXTRACT(C3073, ""🏘️ \w+ \w+ (.*) ✅""),'Country prepositions'!A:B, 2, 0) &amp; "" "" &amp; REGEXEXTRACT(C3073, ""🏘️ \w+ \w+ (.*) ✅"") ,  if(H3073=""quartier"",vlookup(REGEXEXTRACT(C3073, ""🏘️ \w+ \w+ (.*) ✅""),'Quartier prepositio"&amp;"ns'!A:E, 5, 0) ,  if(H3073=""region"",vlookup(REGEXEXTRACT(C3073, ""🏘️ \w+ \w+ (.*) ✅""),'Region prepositions'!B:F, 5, 0),  REGEXEXTRACT(C3073, ""🏘️ \w+ \w+ (.*) ✅""))))"),"à Zurich ville")</f>
        <v>à Zurich ville</v>
      </c>
      <c r="F3073" s="2" t="str">
        <f>IFERROR(__xludf.DUMMYFUNCTION("REGEXEXTRACT(C3073, ""🏘️ (\w+) \w+ .* ✅"")"),"Louer")</f>
        <v>Louer</v>
      </c>
      <c r="G3073" s="2" t="str">
        <f>IFERROR(__xludf.DUMMYFUNCTION("REGEXEXTRACT(C3073, ""🏘️ \w+ (\w+) .* ✅"")"),"maison")</f>
        <v>maison</v>
      </c>
      <c r="H3073" s="4" t="str">
        <f>IFERROR(__xludf.DUMMYFUNCTION("REGEXEXTRACT(A3073, ""/(\w+)-.*?"")"),"region")</f>
        <v>region</v>
      </c>
      <c r="I3073" s="4" t="str">
        <f>IFERROR(__xludf.DUMMYFUNCTION("if(D3073=""variant"",  substitute(filter(Templates!E:E, Templates!A:A = F3073, Templates!B:B = G3073, Templates!C:C = H3073), ""{{}}"", E3073), B3073)"),"🏘  Vous cherchez une maison à louer à Zurich ville? ✅ Découvrez nos nombreuses annonces sur ImmoScout24.ch.")</f>
        <v>🏘  Vous cherchez une maison à louer à Zurich ville? ✅ Découvrez nos nombreuses annonces sur ImmoScout24.ch.</v>
      </c>
      <c r="J3073" s="4" t="s">
        <v>9213</v>
      </c>
    </row>
    <row r="3074">
      <c r="A3074" s="5" t="s">
        <v>9214</v>
      </c>
      <c r="B3074" s="2" t="s">
        <v>9215</v>
      </c>
      <c r="C3074" s="4" t="str">
        <f>IFERROR(__xludf.DUMMYFUNCTION("""🏘️ ""&amp;REGEXEXTRACT(B3074, ""^(.*): "")&amp;"" ✅ "" &amp;REGEXEXTRACT(B3074, ""(Trouvez.*)"")"),"🏘️ Vendre maison Sédeilles ✅ Trouvez le bien immobilier qui correspond idéalement à vos désirs sur ImmoScout24 - La plateforme de l'immobilier en Suisse.")</f>
        <v>🏘️ Vendre maison Sédeilles ✅ Trouvez le bien immobilier qui correspond idéalement à vos désirs sur ImmoScout24 - La plateforme de l'immobilier en Suisse.</v>
      </c>
      <c r="D3074" s="4" t="str">
        <f>vlookup(A3074, Sheet2!D:E, 2, 0)</f>
        <v>variant</v>
      </c>
      <c r="E3074" s="4" t="str">
        <f>IFERROR(__xludf.DUMMYFUNCTION("if(H3074=""pays"",vlookup(REGEXEXTRACT(C3074, ""🏘️ \w+ \w+ (.*) ✅""),'Country prepositions'!A:B, 2, 0) &amp; "" "" &amp; REGEXEXTRACT(C3074, ""🏘️ \w+ \w+ (.*) ✅"") ,  if(H3074=""quartier"",vlookup(REGEXEXTRACT(C3074, ""🏘️ \w+ \w+ (.*) ✅""),'Quartier prepositio"&amp;"ns'!A:E, 5, 0) ,  if(H3074=""region"",vlookup(REGEXEXTRACT(C3074, ""🏘️ \w+ \w+ (.*) ✅""),'Region prepositions'!B:F, 5, 0),  REGEXEXTRACT(C3074, ""🏘️ \w+ \w+ (.*) ✅""))))"),"Sédeilles")</f>
        <v>Sédeilles</v>
      </c>
      <c r="F3074" s="2" t="str">
        <f>IFERROR(__xludf.DUMMYFUNCTION("REGEXEXTRACT(C3074, ""🏘️ (\w+) \w+ .* ✅"")"),"Vendre")</f>
        <v>Vendre</v>
      </c>
      <c r="G3074" s="2" t="str">
        <f>IFERROR(__xludf.DUMMYFUNCTION("REGEXEXTRACT(C3074, ""🏘️ \w+ (\w+) .* ✅"")"),"maison")</f>
        <v>maison</v>
      </c>
      <c r="H3074" s="4" t="str">
        <f>IFERROR(__xludf.DUMMYFUNCTION("REGEXEXTRACT(A3074, ""/(\w+)-.*?"")"),"lieu")</f>
        <v>lieu</v>
      </c>
      <c r="I3074" s="4" t="str">
        <f>IFERROR(__xludf.DUMMYFUNCTION("if(D3074=""variant"",  substitute(filter(Templates!E:E, Templates!A:A = F3074, Templates!B:B = G3074, Templates!C:C = H3074), ""{{}}"", E3074), B3074)"),"🏘  Vous souhaitez acheter une maison à Sédeilles? ✅ Jetez un œil aux dernières offres sur ImmoScout24.ch.")</f>
        <v>🏘  Vous souhaitez acheter une maison à Sédeilles? ✅ Jetez un œil aux dernières offres sur ImmoScout24.ch.</v>
      </c>
      <c r="J3074" s="4" t="s">
        <v>9216</v>
      </c>
    </row>
    <row r="3075">
      <c r="A3075" s="5" t="s">
        <v>9217</v>
      </c>
      <c r="B3075" s="2" t="s">
        <v>9218</v>
      </c>
      <c r="C3075" s="4" t="str">
        <f>IFERROR(__xludf.DUMMYFUNCTION("""🏘️ ""&amp;REGEXEXTRACT(B3075, ""^(.*): "")&amp;"" ✅ "" &amp;REGEXEXTRACT(B3075, ""(Trouvez.*)"")"),"🏘️ Louer appartement Sallaz - Vennes - Séchaud (Lausanne) ✅ Trouvez le bien immobilier qui correspond idéalement à vos désirs sur ImmoScout24 - La plateforme de l'immobilier en Suisse.")</f>
        <v>🏘️ Louer appartement Sallaz - Vennes - Séchaud (Lausanne) ✅ Trouvez le bien immobilier qui correspond idéalement à vos désirs sur ImmoScout24 - La plateforme de l'immobilier en Suisse.</v>
      </c>
      <c r="D3075" s="4" t="str">
        <f>vlookup(A3075, Sheet2!D:E, 2, 0)</f>
        <v>variant</v>
      </c>
      <c r="E3075" s="4" t="str">
        <f>IFERROR(__xludf.DUMMYFUNCTION("if(H3075=""pays"",vlookup(REGEXEXTRACT(C3075, ""🏘️ \w+ \w+ (.*) ✅""),'Country prepositions'!A:B, 2, 0) &amp; "" "" &amp; REGEXEXTRACT(C3075, ""🏘️ \w+ \w+ (.*) ✅"") ,  if(H3075=""quartier"",vlookup(REGEXEXTRACT(C3075, ""🏘️ \w+ \w+ (.*) ✅""),'Quartier prepositio"&amp;"ns'!A:E, 5, 0) ,  if(H3075=""region"",vlookup(REGEXEXTRACT(C3075, ""🏘️ \w+ \w+ (.*) ✅""),'Region prepositions'!B:F, 5, 0),  REGEXEXTRACT(C3075, ""🏘️ \w+ \w+ (.*) ✅""))))"),"dans le quartier de Sallaz - Vennes - Séchaud (Lausanne)")</f>
        <v>dans le quartier de Sallaz - Vennes - Séchaud (Lausanne)</v>
      </c>
      <c r="F3075" s="2" t="str">
        <f>IFERROR(__xludf.DUMMYFUNCTION("REGEXEXTRACT(C3075, ""🏘️ (\w+) \w+ .* ✅"")"),"Louer")</f>
        <v>Louer</v>
      </c>
      <c r="G3075" s="2" t="str">
        <f>IFERROR(__xludf.DUMMYFUNCTION("REGEXEXTRACT(C3075, ""🏘️ \w+ (\w+) .* ✅"")"),"appartement")</f>
        <v>appartement</v>
      </c>
      <c r="H3075" s="4" t="str">
        <f>IFERROR(__xludf.DUMMYFUNCTION("REGEXEXTRACT(A3075, ""/(\w+)-.*?"")"),"quartier")</f>
        <v>quartier</v>
      </c>
      <c r="I3075" s="4" t="str">
        <f>IFERROR(__xludf.DUMMYFUNCTION("if(D3075=""variant"",  substitute(filter(Templates!E:E, Templates!A:A = F3075, Templates!B:B = G3075, Templates!C:C = H3075), ""{{}}"", E3075), B3075)"),"🏘  Vous cherchez un appartement à louer dans le quartier de Sallaz - Vennes - Séchaud (Lausanne)? ✅ Les annonces les plus actuelles sont sur ImmoScout24.ch.")</f>
        <v>🏘  Vous cherchez un appartement à louer dans le quartier de Sallaz - Vennes - Séchaud (Lausanne)? ✅ Les annonces les plus actuelles sont sur ImmoScout24.ch.</v>
      </c>
      <c r="J3075" s="4" t="s">
        <v>9219</v>
      </c>
    </row>
    <row r="3076">
      <c r="A3076" s="5" t="s">
        <v>9220</v>
      </c>
      <c r="B3076" s="2" t="s">
        <v>9221</v>
      </c>
      <c r="C3076" s="4" t="str">
        <f>IFERROR(__xludf.DUMMYFUNCTION("""🏘️ ""&amp;REGEXEXTRACT(B3076, ""^(.*): "")&amp;"" ✅ "" &amp;REGEXEXTRACT(B3076, ""(Trouvez.*)"")"),"🏘️ Louer maison Le Sépey ✅ Trouvez le bien immobilier qui correspond idéalement à vos désirs sur ImmoScout24 - La plateforme de l'immobilier en Suisse.")</f>
        <v>🏘️ Louer maison Le Sépey ✅ Trouvez le bien immobilier qui correspond idéalement à vos désirs sur ImmoScout24 - La plateforme de l'immobilier en Suisse.</v>
      </c>
      <c r="D3076" s="4" t="str">
        <f>vlookup(A3076, Sheet2!D:E, 2, 0)</f>
        <v>variant</v>
      </c>
      <c r="E3076" s="4" t="str">
        <f>IFERROR(__xludf.DUMMYFUNCTION("if(H3076=""pays"",vlookup(REGEXEXTRACT(C3076, ""🏘️ \w+ \w+ (.*) ✅""),'Country prepositions'!A:B, 2, 0) &amp; "" "" &amp; REGEXEXTRACT(C3076, ""🏘️ \w+ \w+ (.*) ✅"") ,  if(H3076=""quartier"",vlookup(REGEXEXTRACT(C3076, ""🏘️ \w+ \w+ (.*) ✅""),'Quartier prepositio"&amp;"ns'!A:E, 5, 0) ,  if(H3076=""region"",vlookup(REGEXEXTRACT(C3076, ""🏘️ \w+ \w+ (.*) ✅""),'Region prepositions'!B:F, 5, 0),  REGEXEXTRACT(C3076, ""🏘️ \w+ \w+ (.*) ✅""))))"),"Le Sépey")</f>
        <v>Le Sépey</v>
      </c>
      <c r="F3076" s="2" t="str">
        <f>IFERROR(__xludf.DUMMYFUNCTION("REGEXEXTRACT(C3076, ""🏘️ (\w+) \w+ .* ✅"")"),"Louer")</f>
        <v>Louer</v>
      </c>
      <c r="G3076" s="2" t="str">
        <f>IFERROR(__xludf.DUMMYFUNCTION("REGEXEXTRACT(C3076, ""🏘️ \w+ (\w+) .* ✅"")"),"maison")</f>
        <v>maison</v>
      </c>
      <c r="H3076" s="4" t="str">
        <f>IFERROR(__xludf.DUMMYFUNCTION("REGEXEXTRACT(A3076, ""/(\w+)-.*?"")"),"lieu")</f>
        <v>lieu</v>
      </c>
      <c r="I3076" s="4" t="str">
        <f>IFERROR(__xludf.DUMMYFUNCTION("if(D3076=""variant"",  substitute(filter(Templates!E:E, Templates!A:A = F3076, Templates!B:B = G3076, Templates!C:C = H3076), ""{{}}"", E3076), B3076)"),"🏘  Vous cherchez une maison à louer à Le Sépey? ✅ Découvrez nos nombreuses annonces sur ImmoScout24.ch.")</f>
        <v>🏘  Vous cherchez une maison à louer à Le Sépey? ✅ Découvrez nos nombreuses annonces sur ImmoScout24.ch.</v>
      </c>
      <c r="J3076" s="2" t="s">
        <v>9222</v>
      </c>
    </row>
    <row r="3077">
      <c r="A3077" s="5" t="s">
        <v>9223</v>
      </c>
      <c r="B3077" s="2" t="s">
        <v>9224</v>
      </c>
      <c r="C3077" s="4" t="str">
        <f>IFERROR(__xludf.DUMMYFUNCTION("""🏘️ ""&amp;REGEXEXTRACT(B3077, ""^(.*): "")&amp;"" ✅ "" &amp;REGEXEXTRACT(B3077, ""(Trouvez.*)"")"),"🏘️ Vendre maison Ollon VS ✅ Trouvez le bien immobilier qui correspond idéalement à vos désirs sur ImmoScout24 - La plateforme de l'immobilier en Suisse.")</f>
        <v>🏘️ Vendre maison Ollon VS ✅ Trouvez le bien immobilier qui correspond idéalement à vos désirs sur ImmoScout24 - La plateforme de l'immobilier en Suisse.</v>
      </c>
      <c r="D3077" s="4" t="str">
        <f>vlookup(A3077, Sheet2!D:E, 2, 0)</f>
        <v>variant</v>
      </c>
      <c r="E3077" s="4" t="str">
        <f>IFERROR(__xludf.DUMMYFUNCTION("if(H3077=""pays"",vlookup(REGEXEXTRACT(C3077, ""🏘️ \w+ \w+ (.*) ✅""),'Country prepositions'!A:B, 2, 0) &amp; "" "" &amp; REGEXEXTRACT(C3077, ""🏘️ \w+ \w+ (.*) ✅"") ,  if(H3077=""quartier"",vlookup(REGEXEXTRACT(C3077, ""🏘️ \w+ \w+ (.*) ✅""),'Quartier prepositio"&amp;"ns'!A:E, 5, 0) ,  if(H3077=""region"",vlookup(REGEXEXTRACT(C3077, ""🏘️ \w+ \w+ (.*) ✅""),'Region prepositions'!B:F, 5, 0),  REGEXEXTRACT(C3077, ""🏘️ \w+ \w+ (.*) ✅""))))"),"Ollon VS")</f>
        <v>Ollon VS</v>
      </c>
      <c r="F3077" s="2" t="str">
        <f>IFERROR(__xludf.DUMMYFUNCTION("REGEXEXTRACT(C3077, ""🏘️ (\w+) \w+ .* ✅"")"),"Vendre")</f>
        <v>Vendre</v>
      </c>
      <c r="G3077" s="2" t="str">
        <f>IFERROR(__xludf.DUMMYFUNCTION("REGEXEXTRACT(C3077, ""🏘️ \w+ (\w+) .* ✅"")"),"maison")</f>
        <v>maison</v>
      </c>
      <c r="H3077" s="4" t="str">
        <f>IFERROR(__xludf.DUMMYFUNCTION("REGEXEXTRACT(A3077, ""/(\w+)-.*?"")"),"lieu")</f>
        <v>lieu</v>
      </c>
      <c r="I3077" s="4" t="str">
        <f>IFERROR(__xludf.DUMMYFUNCTION("if(D3077=""variant"",  substitute(filter(Templates!E:E, Templates!A:A = F3077, Templates!B:B = G3077, Templates!C:C = H3077), ""{{}}"", E3077), B3077)"),"🏘  Vous souhaitez acheter une maison à Ollon VS? ✅ Jetez un œil aux dernières offres sur ImmoScout24.ch.")</f>
        <v>🏘  Vous souhaitez acheter une maison à Ollon VS? ✅ Jetez un œil aux dernières offres sur ImmoScout24.ch.</v>
      </c>
      <c r="J3077" s="4" t="s">
        <v>9225</v>
      </c>
    </row>
    <row r="3078">
      <c r="A3078" s="5" t="s">
        <v>9226</v>
      </c>
      <c r="B3078" s="2" t="s">
        <v>9227</v>
      </c>
      <c r="C3078" s="4" t="str">
        <f>IFERROR(__xludf.DUMMYFUNCTION("""🏘️ ""&amp;REGEXEXTRACT(B3078, ""^(.*): "")&amp;"" ✅ "" &amp;REGEXEXTRACT(B3078, ""(Trouvez.*)"")"),"🏘️ Louer maison Neuchâtel ✅ Trouvez le bien immobilier qui correspond idéalement à vos désirs sur ImmoScout24 - La plateforme de l'immobilier en Suisse.")</f>
        <v>🏘️ Louer maison Neuchâtel ✅ Trouvez le bien immobilier qui correspond idéalement à vos désirs sur ImmoScout24 - La plateforme de l'immobilier en Suisse.</v>
      </c>
      <c r="D3078" s="4" t="str">
        <f>vlookup(A3078, Sheet2!D:E, 2, 0)</f>
        <v>variant</v>
      </c>
      <c r="E3078" s="4" t="str">
        <f>IFERROR(__xludf.DUMMYFUNCTION("if(H3078=""pays"",vlookup(REGEXEXTRACT(C3078, ""🏘️ \w+ \w+ (.*) ✅""),'Country prepositions'!A:B, 2, 0) &amp; "" "" &amp; REGEXEXTRACT(C3078, ""🏘️ \w+ \w+ (.*) ✅"") ,  if(H3078=""quartier"",vlookup(REGEXEXTRACT(C3078, ""🏘️ \w+ \w+ (.*) ✅""),'Quartier prepositio"&amp;"ns'!A:E, 5, 0) ,  if(H3078=""region"",vlookup(REGEXEXTRACT(C3078, ""🏘️ \w+ \w+ (.*) ✅""),'Region prepositions'!B:F, 5, 0),  REGEXEXTRACT(C3078, ""🏘️ \w+ \w+ (.*) ✅""))))"),"Neuchâtel")</f>
        <v>Neuchâtel</v>
      </c>
      <c r="F3078" s="2" t="str">
        <f>IFERROR(__xludf.DUMMYFUNCTION("REGEXEXTRACT(C3078, ""🏘️ (\w+) \w+ .* ✅"")"),"Louer")</f>
        <v>Louer</v>
      </c>
      <c r="G3078" s="2" t="str">
        <f>IFERROR(__xludf.DUMMYFUNCTION("REGEXEXTRACT(C3078, ""🏘️ \w+ (\w+) .* ✅"")"),"maison")</f>
        <v>maison</v>
      </c>
      <c r="H3078" s="4" t="str">
        <f>IFERROR(__xludf.DUMMYFUNCTION("REGEXEXTRACT(A3078, ""/(\w+)-.*?"")"),"lieu")</f>
        <v>lieu</v>
      </c>
      <c r="I3078" s="4" t="str">
        <f>IFERROR(__xludf.DUMMYFUNCTION("if(D3078=""variant"",  substitute(filter(Templates!E:E, Templates!A:A = F3078, Templates!B:B = G3078, Templates!C:C = H3078), ""{{}}"", E3078), B3078)"),"🏘  Vous cherchez une maison à louer à Neuchâtel? ✅ Découvrez nos nombreuses annonces sur ImmoScout24.ch.")</f>
        <v>🏘  Vous cherchez une maison à louer à Neuchâtel? ✅ Découvrez nos nombreuses annonces sur ImmoScout24.ch.</v>
      </c>
      <c r="J3078" s="4" t="s">
        <v>9228</v>
      </c>
    </row>
    <row r="3079">
      <c r="A3079" s="5" t="s">
        <v>9229</v>
      </c>
      <c r="B3079" s="2" t="s">
        <v>9230</v>
      </c>
      <c r="C3079" s="4" t="str">
        <f>IFERROR(__xludf.DUMMYFUNCTION("""🏘️ ""&amp;REGEXEXTRACT(B3079, ""^(.*): "")&amp;"" ✅ "" &amp;REGEXEXTRACT(B3079, ""(Trouvez.*)"")"),"🏘️ Louer appartement Le Bémont JU ✅ Trouvez le bien immobilier qui correspond idéalement à vos désirs sur ImmoScout24 - La plateforme de l'immobilier en Suisse.")</f>
        <v>🏘️ Louer appartement Le Bémont JU ✅ Trouvez le bien immobilier qui correspond idéalement à vos désirs sur ImmoScout24 - La plateforme de l'immobilier en Suisse.</v>
      </c>
      <c r="D3079" s="4" t="str">
        <f>vlookup(A3079, Sheet2!D:E, 2, 0)</f>
        <v>variant</v>
      </c>
      <c r="E3079" s="4" t="str">
        <f>IFERROR(__xludf.DUMMYFUNCTION("if(H3079=""pays"",vlookup(REGEXEXTRACT(C3079, ""🏘️ \w+ \w+ (.*) ✅""),'Country prepositions'!A:B, 2, 0) &amp; "" "" &amp; REGEXEXTRACT(C3079, ""🏘️ \w+ \w+ (.*) ✅"") ,  if(H3079=""quartier"",vlookup(REGEXEXTRACT(C3079, ""🏘️ \w+ \w+ (.*) ✅""),'Quartier prepositio"&amp;"ns'!A:E, 5, 0) ,  if(H3079=""region"",vlookup(REGEXEXTRACT(C3079, ""🏘️ \w+ \w+ (.*) ✅""),'Region prepositions'!B:F, 5, 0),  REGEXEXTRACT(C3079, ""🏘️ \w+ \w+ (.*) ✅""))))"),"Le Bémont JU")</f>
        <v>Le Bémont JU</v>
      </c>
      <c r="F3079" s="2" t="str">
        <f>IFERROR(__xludf.DUMMYFUNCTION("REGEXEXTRACT(C3079, ""🏘️ (\w+) \w+ .* ✅"")"),"Louer")</f>
        <v>Louer</v>
      </c>
      <c r="G3079" s="2" t="str">
        <f>IFERROR(__xludf.DUMMYFUNCTION("REGEXEXTRACT(C3079, ""🏘️ \w+ (\w+) .* ✅"")"),"appartement")</f>
        <v>appartement</v>
      </c>
      <c r="H3079" s="4" t="str">
        <f>IFERROR(__xludf.DUMMYFUNCTION("REGEXEXTRACT(A3079, ""/(\w+)-.*?"")"),"lieu")</f>
        <v>lieu</v>
      </c>
      <c r="I3079" s="4" t="str">
        <f>IFERROR(__xludf.DUMMYFUNCTION("if(D3079=""variant"",  substitute(filter(Templates!E:E, Templates!A:A = F3079, Templates!B:B = G3079, Templates!C:C = H3079), ""{{}}"", E3079), B3079)"),"🏘  Vous cherchez un appartement à louer à Le Bémont JU? ✅ Les annonces les plus actuelles sont sur ImmoScout24.ch.")</f>
        <v>🏘  Vous cherchez un appartement à louer à Le Bémont JU? ✅ Les annonces les plus actuelles sont sur ImmoScout24.ch.</v>
      </c>
      <c r="J3079" s="2" t="s">
        <v>9231</v>
      </c>
    </row>
    <row r="3080">
      <c r="A3080" s="5" t="s">
        <v>9232</v>
      </c>
      <c r="B3080" s="2" t="s">
        <v>9233</v>
      </c>
      <c r="C3080" s="4" t="str">
        <f>IFERROR(__xludf.DUMMYFUNCTION("""🏘️ ""&amp;REGEXEXTRACT(B3080, ""^(.*): "")&amp;"" ✅ "" &amp;REGEXEXTRACT(B3080, ""(Trouvez.*)"")"),"🏘️ Vendre appartement Merligen ✅ Trouvez le bien immobilier qui correspond idéalement à vos désirs sur ImmoScout24 - La plateforme de l'immobilier en Suisse.")</f>
        <v>🏘️ Vendre appartement Merligen ✅ Trouvez le bien immobilier qui correspond idéalement à vos désirs sur ImmoScout24 - La plateforme de l'immobilier en Suisse.</v>
      </c>
      <c r="D3080" s="4" t="str">
        <f>vlookup(A3080, Sheet2!D:E, 2, 0)</f>
        <v>variant</v>
      </c>
      <c r="E3080" s="4" t="str">
        <f>IFERROR(__xludf.DUMMYFUNCTION("if(H3080=""pays"",vlookup(REGEXEXTRACT(C3080, ""🏘️ \w+ \w+ (.*) ✅""),'Country prepositions'!A:B, 2, 0) &amp; "" "" &amp; REGEXEXTRACT(C3080, ""🏘️ \w+ \w+ (.*) ✅"") ,  if(H3080=""quartier"",vlookup(REGEXEXTRACT(C3080, ""🏘️ \w+ \w+ (.*) ✅""),'Quartier prepositio"&amp;"ns'!A:E, 5, 0) ,  if(H3080=""region"",vlookup(REGEXEXTRACT(C3080, ""🏘️ \w+ \w+ (.*) ✅""),'Region prepositions'!B:F, 5, 0),  REGEXEXTRACT(C3080, ""🏘️ \w+ \w+ (.*) ✅""))))"),"Merligen")</f>
        <v>Merligen</v>
      </c>
      <c r="F3080" s="2" t="str">
        <f>IFERROR(__xludf.DUMMYFUNCTION("REGEXEXTRACT(C3080, ""🏘️ (\w+) \w+ .* ✅"")"),"Vendre")</f>
        <v>Vendre</v>
      </c>
      <c r="G3080" s="2" t="str">
        <f>IFERROR(__xludf.DUMMYFUNCTION("REGEXEXTRACT(C3080, ""🏘️ \w+ (\w+) .* ✅"")"),"appartement")</f>
        <v>appartement</v>
      </c>
      <c r="H3080" s="4" t="str">
        <f>IFERROR(__xludf.DUMMYFUNCTION("REGEXEXTRACT(A3080, ""/(\w+)-.*?"")"),"lieu")</f>
        <v>lieu</v>
      </c>
      <c r="I3080" s="4" t="str">
        <f>IFERROR(__xludf.DUMMYFUNCTION("if(D3080=""variant"",  substitute(filter(Templates!E:E, Templates!A:A = F3080, Templates!B:B = G3080, Templates!C:C = H3080), ""{{}}"", E3080), B3080)"),"🏘  L’appartement de vos rêves se trouve sur ImmoScout24.ch ✅ Découvrez les dernières annonces de vente à Merligen.")</f>
        <v>🏘  L’appartement de vos rêves se trouve sur ImmoScout24.ch ✅ Découvrez les dernières annonces de vente à Merligen.</v>
      </c>
      <c r="J3080" s="4" t="s">
        <v>9234</v>
      </c>
    </row>
    <row r="3081">
      <c r="A3081" s="5" t="s">
        <v>9235</v>
      </c>
      <c r="B3081" s="2" t="s">
        <v>9236</v>
      </c>
      <c r="C3081" s="4" t="str">
        <f>IFERROR(__xludf.DUMMYFUNCTION("""🏘️ ""&amp;REGEXEXTRACT(B3081, ""^(.*): "")&amp;"" ✅ "" &amp;REGEXEXTRACT(B3081, ""(Trouvez.*)"")"),"🏘️ Louer appartement Morcles ✅ Trouvez le bien immobilier qui correspond idéalement à vos désirs sur ImmoScout24 - La plateforme de l'immobilier en Suisse.")</f>
        <v>🏘️ Louer appartement Morcles ✅ Trouvez le bien immobilier qui correspond idéalement à vos désirs sur ImmoScout24 - La plateforme de l'immobilier en Suisse.</v>
      </c>
      <c r="D3081" s="4" t="str">
        <f>vlookup(A3081, Sheet2!D:E, 2, 0)</f>
        <v>variant</v>
      </c>
      <c r="E3081" s="4" t="str">
        <f>IFERROR(__xludf.DUMMYFUNCTION("if(H3081=""pays"",vlookup(REGEXEXTRACT(C3081, ""🏘️ \w+ \w+ (.*) ✅""),'Country prepositions'!A:B, 2, 0) &amp; "" "" &amp; REGEXEXTRACT(C3081, ""🏘️ \w+ \w+ (.*) ✅"") ,  if(H3081=""quartier"",vlookup(REGEXEXTRACT(C3081, ""🏘️ \w+ \w+ (.*) ✅""),'Quartier prepositio"&amp;"ns'!A:E, 5, 0) ,  if(H3081=""region"",vlookup(REGEXEXTRACT(C3081, ""🏘️ \w+ \w+ (.*) ✅""),'Region prepositions'!B:F, 5, 0),  REGEXEXTRACT(C3081, ""🏘️ \w+ \w+ (.*) ✅""))))"),"Morcles")</f>
        <v>Morcles</v>
      </c>
      <c r="F3081" s="2" t="str">
        <f>IFERROR(__xludf.DUMMYFUNCTION("REGEXEXTRACT(C3081, ""🏘️ (\w+) \w+ .* ✅"")"),"Louer")</f>
        <v>Louer</v>
      </c>
      <c r="G3081" s="2" t="str">
        <f>IFERROR(__xludf.DUMMYFUNCTION("REGEXEXTRACT(C3081, ""🏘️ \w+ (\w+) .* ✅"")"),"appartement")</f>
        <v>appartement</v>
      </c>
      <c r="H3081" s="4" t="str">
        <f>IFERROR(__xludf.DUMMYFUNCTION("REGEXEXTRACT(A3081, ""/(\w+)-.*?"")"),"lieu")</f>
        <v>lieu</v>
      </c>
      <c r="I3081" s="4" t="str">
        <f>IFERROR(__xludf.DUMMYFUNCTION("if(D3081=""variant"",  substitute(filter(Templates!E:E, Templates!A:A = F3081, Templates!B:B = G3081, Templates!C:C = H3081), ""{{}}"", E3081), B3081)"),"🏘  Vous cherchez un appartement à louer à Morcles? ✅ Les annonces les plus actuelles sont sur ImmoScout24.ch.")</f>
        <v>🏘  Vous cherchez un appartement à louer à Morcles? ✅ Les annonces les plus actuelles sont sur ImmoScout24.ch.</v>
      </c>
      <c r="J3081" s="4" t="s">
        <v>9237</v>
      </c>
    </row>
    <row r="3082">
      <c r="A3082" s="5" t="s">
        <v>9238</v>
      </c>
      <c r="B3082" s="2" t="s">
        <v>9239</v>
      </c>
      <c r="C3082" s="4" t="str">
        <f>IFERROR(__xludf.DUMMYFUNCTION("""🏘️ ""&amp;REGEXEXTRACT(B3082, ""^(.*): "")&amp;"" ✅ "" &amp;REGEXEXTRACT(B3082, ""(Trouvez.*)"")"),"🏘️ Louer maison Wil SG ✅ Trouvez le bien immobilier qui correspond idéalement à vos désirs sur ImmoScout24 - La plateforme de l'immobilier en Suisse.")</f>
        <v>🏘️ Louer maison Wil SG ✅ Trouvez le bien immobilier qui correspond idéalement à vos désirs sur ImmoScout24 - La plateforme de l'immobilier en Suisse.</v>
      </c>
      <c r="D3082" s="4" t="str">
        <f>vlookup(A3082, Sheet2!D:E, 2, 0)</f>
        <v>variant</v>
      </c>
      <c r="E3082" s="4" t="str">
        <f>IFERROR(__xludf.DUMMYFUNCTION("if(H3082=""pays"",vlookup(REGEXEXTRACT(C3082, ""🏘️ \w+ \w+ (.*) ✅""),'Country prepositions'!A:B, 2, 0) &amp; "" "" &amp; REGEXEXTRACT(C3082, ""🏘️ \w+ \w+ (.*) ✅"") ,  if(H3082=""quartier"",vlookup(REGEXEXTRACT(C3082, ""🏘️ \w+ \w+ (.*) ✅""),'Quartier prepositio"&amp;"ns'!A:E, 5, 0) ,  if(H3082=""region"",vlookup(REGEXEXTRACT(C3082, ""🏘️ \w+ \w+ (.*) ✅""),'Region prepositions'!B:F, 5, 0),  REGEXEXTRACT(C3082, ""🏘️ \w+ \w+ (.*) ✅""))))"),"Wil SG")</f>
        <v>Wil SG</v>
      </c>
      <c r="F3082" s="2" t="str">
        <f>IFERROR(__xludf.DUMMYFUNCTION("REGEXEXTRACT(C3082, ""🏘️ (\w+) \w+ .* ✅"")"),"Louer")</f>
        <v>Louer</v>
      </c>
      <c r="G3082" s="2" t="str">
        <f>IFERROR(__xludf.DUMMYFUNCTION("REGEXEXTRACT(C3082, ""🏘️ \w+ (\w+) .* ✅"")"),"maison")</f>
        <v>maison</v>
      </c>
      <c r="H3082" s="4" t="str">
        <f>IFERROR(__xludf.DUMMYFUNCTION("REGEXEXTRACT(A3082, ""/(\w+)-.*?"")"),"lieu")</f>
        <v>lieu</v>
      </c>
      <c r="I3082" s="4" t="str">
        <f>IFERROR(__xludf.DUMMYFUNCTION("if(D3082=""variant"",  substitute(filter(Templates!E:E, Templates!A:A = F3082, Templates!B:B = G3082, Templates!C:C = H3082), ""{{}}"", E3082), B3082)"),"🏘  Vous cherchez une maison à louer à Wil SG? ✅ Découvrez nos nombreuses annonces sur ImmoScout24.ch.")</f>
        <v>🏘  Vous cherchez une maison à louer à Wil SG? ✅ Découvrez nos nombreuses annonces sur ImmoScout24.ch.</v>
      </c>
      <c r="J3082" s="4" t="s">
        <v>9240</v>
      </c>
    </row>
    <row r="3083">
      <c r="A3083" s="5" t="s">
        <v>9241</v>
      </c>
      <c r="B3083" s="2" t="s">
        <v>9242</v>
      </c>
      <c r="C3083" s="4" t="str">
        <f>IFERROR(__xludf.DUMMYFUNCTION("""🏘️ ""&amp;REGEXEXTRACT(B3083, ""^(.*): "")&amp;"" ✅ "" &amp;REGEXEXTRACT(B3083, ""(Trouvez.*)"")"),"🏘️ Vendre appartement Aminona ✅ Trouvez le bien immobilier qui correspond idéalement à vos désirs sur ImmoScout24 - La plateforme de l'immobilier en Suisse.")</f>
        <v>🏘️ Vendre appartement Aminona ✅ Trouvez le bien immobilier qui correspond idéalement à vos désirs sur ImmoScout24 - La plateforme de l'immobilier en Suisse.</v>
      </c>
      <c r="D3083" s="4" t="str">
        <f>vlookup(A3083, Sheet2!D:E, 2, 0)</f>
        <v>variant</v>
      </c>
      <c r="E3083" s="4" t="str">
        <f>IFERROR(__xludf.DUMMYFUNCTION("if(H3083=""pays"",vlookup(REGEXEXTRACT(C3083, ""🏘️ \w+ \w+ (.*) ✅""),'Country prepositions'!A:B, 2, 0) &amp; "" "" &amp; REGEXEXTRACT(C3083, ""🏘️ \w+ \w+ (.*) ✅"") ,  if(H3083=""quartier"",vlookup(REGEXEXTRACT(C3083, ""🏘️ \w+ \w+ (.*) ✅""),'Quartier prepositio"&amp;"ns'!A:E, 5, 0) ,  if(H3083=""region"",vlookup(REGEXEXTRACT(C3083, ""🏘️ \w+ \w+ (.*) ✅""),'Region prepositions'!B:F, 5, 0),  REGEXEXTRACT(C3083, ""🏘️ \w+ \w+ (.*) ✅""))))"),"Aminona")</f>
        <v>Aminona</v>
      </c>
      <c r="F3083" s="2" t="str">
        <f>IFERROR(__xludf.DUMMYFUNCTION("REGEXEXTRACT(C3083, ""🏘️ (\w+) \w+ .* ✅"")"),"Vendre")</f>
        <v>Vendre</v>
      </c>
      <c r="G3083" s="2" t="str">
        <f>IFERROR(__xludf.DUMMYFUNCTION("REGEXEXTRACT(C3083, ""🏘️ \w+ (\w+) .* ✅"")"),"appartement")</f>
        <v>appartement</v>
      </c>
      <c r="H3083" s="4" t="str">
        <f>IFERROR(__xludf.DUMMYFUNCTION("REGEXEXTRACT(A3083, ""/(\w+)-.*?"")"),"lieu")</f>
        <v>lieu</v>
      </c>
      <c r="I3083" s="4" t="str">
        <f>IFERROR(__xludf.DUMMYFUNCTION("if(D3083=""variant"",  substitute(filter(Templates!E:E, Templates!A:A = F3083, Templates!B:B = G3083, Templates!C:C = H3083), ""{{}}"", E3083), B3083)"),"🏘  L’appartement de vos rêves se trouve sur ImmoScout24.ch ✅ Découvrez les dernières annonces de vente à Aminona.")</f>
        <v>🏘  L’appartement de vos rêves se trouve sur ImmoScout24.ch ✅ Découvrez les dernières annonces de vente à Aminona.</v>
      </c>
      <c r="J3083" s="4" t="s">
        <v>9243</v>
      </c>
    </row>
    <row r="3084">
      <c r="A3084" s="5" t="s">
        <v>9244</v>
      </c>
      <c r="B3084" s="2" t="s">
        <v>9245</v>
      </c>
      <c r="C3084" s="4" t="str">
        <f>IFERROR(__xludf.DUMMYFUNCTION("""🏘️ ""&amp;REGEXEXTRACT(B3084, ""^(.*): "")&amp;"" ✅ "" &amp;REGEXEXTRACT(B3084, ""(Trouvez.*)"")"),"🏘️ Vendre maison Monthey ✅ Trouvez le bien immobilier qui correspond idéalement à vos désirs sur ImmoScout24 - La plateforme de l'immobilier en Suisse.")</f>
        <v>🏘️ Vendre maison Monthey ✅ Trouvez le bien immobilier qui correspond idéalement à vos désirs sur ImmoScout24 - La plateforme de l'immobilier en Suisse.</v>
      </c>
      <c r="D3084" s="4" t="str">
        <f>vlookup(A3084, Sheet2!D:E, 2, 0)</f>
        <v>variant</v>
      </c>
      <c r="E3084" s="4" t="str">
        <f>IFERROR(__xludf.DUMMYFUNCTION("if(H3084=""pays"",vlookup(REGEXEXTRACT(C3084, ""🏘️ \w+ \w+ (.*) ✅""),'Country prepositions'!A:B, 2, 0) &amp; "" "" &amp; REGEXEXTRACT(C3084, ""🏘️ \w+ \w+ (.*) ✅"") ,  if(H3084=""quartier"",vlookup(REGEXEXTRACT(C3084, ""🏘️ \w+ \w+ (.*) ✅""),'Quartier prepositio"&amp;"ns'!A:E, 5, 0) ,  if(H3084=""region"",vlookup(REGEXEXTRACT(C3084, ""🏘️ \w+ \w+ (.*) ✅""),'Region prepositions'!B:F, 5, 0),  REGEXEXTRACT(C3084, ""🏘️ \w+ \w+ (.*) ✅""))))"),"Monthey")</f>
        <v>Monthey</v>
      </c>
      <c r="F3084" s="2" t="str">
        <f>IFERROR(__xludf.DUMMYFUNCTION("REGEXEXTRACT(C3084, ""🏘️ (\w+) \w+ .* ✅"")"),"Vendre")</f>
        <v>Vendre</v>
      </c>
      <c r="G3084" s="2" t="str">
        <f>IFERROR(__xludf.DUMMYFUNCTION("REGEXEXTRACT(C3084, ""🏘️ \w+ (\w+) .* ✅"")"),"maison")</f>
        <v>maison</v>
      </c>
      <c r="H3084" s="4" t="str">
        <f>IFERROR(__xludf.DUMMYFUNCTION("REGEXEXTRACT(A3084, ""/(\w+)-.*?"")"),"lieu")</f>
        <v>lieu</v>
      </c>
      <c r="I3084" s="4" t="str">
        <f>IFERROR(__xludf.DUMMYFUNCTION("if(D3084=""variant"",  substitute(filter(Templates!E:E, Templates!A:A = F3084, Templates!B:B = G3084, Templates!C:C = H3084), ""{{}}"", E3084), B3084)"),"🏘  Vous souhaitez acheter une maison à Monthey? ✅ Jetez un œil aux dernières offres sur ImmoScout24.ch.")</f>
        <v>🏘  Vous souhaitez acheter une maison à Monthey? ✅ Jetez un œil aux dernières offres sur ImmoScout24.ch.</v>
      </c>
      <c r="J3084" s="4" t="s">
        <v>9246</v>
      </c>
    </row>
    <row r="3085">
      <c r="A3085" s="5" t="s">
        <v>9247</v>
      </c>
      <c r="B3085" s="2" t="s">
        <v>9248</v>
      </c>
      <c r="C3085" s="4" t="str">
        <f>IFERROR(__xludf.DUMMYFUNCTION("""🏘️ ""&amp;REGEXEXTRACT(B3085, ""^(.*): "")&amp;"" ✅ "" &amp;REGEXEXTRACT(B3085, ""(Trouvez.*)"")"),"🏘️ Louer appartement Le Landeron ✅ Trouvez le bien immobilier qui correspond idéalement à vos désirs sur ImmoScout24 - La plateforme de l'immobilier en Suisse.")</f>
        <v>🏘️ Louer appartement Le Landeron ✅ Trouvez le bien immobilier qui correspond idéalement à vos désirs sur ImmoScout24 - La plateforme de l'immobilier en Suisse.</v>
      </c>
      <c r="D3085" s="4" t="str">
        <f>vlookup(A3085, Sheet2!D:E, 2, 0)</f>
        <v>variant</v>
      </c>
      <c r="E3085" s="4" t="str">
        <f>IFERROR(__xludf.DUMMYFUNCTION("if(H3085=""pays"",vlookup(REGEXEXTRACT(C3085, ""🏘️ \w+ \w+ (.*) ✅""),'Country prepositions'!A:B, 2, 0) &amp; "" "" &amp; REGEXEXTRACT(C3085, ""🏘️ \w+ \w+ (.*) ✅"") ,  if(H3085=""quartier"",vlookup(REGEXEXTRACT(C3085, ""🏘️ \w+ \w+ (.*) ✅""),'Quartier prepositio"&amp;"ns'!A:E, 5, 0) ,  if(H3085=""region"",vlookup(REGEXEXTRACT(C3085, ""🏘️ \w+ \w+ (.*) ✅""),'Region prepositions'!B:F, 5, 0),  REGEXEXTRACT(C3085, ""🏘️ \w+ \w+ (.*) ✅""))))"),"Le Landeron")</f>
        <v>Le Landeron</v>
      </c>
      <c r="F3085" s="2" t="str">
        <f>IFERROR(__xludf.DUMMYFUNCTION("REGEXEXTRACT(C3085, ""🏘️ (\w+) \w+ .* ✅"")"),"Louer")</f>
        <v>Louer</v>
      </c>
      <c r="G3085" s="2" t="str">
        <f>IFERROR(__xludf.DUMMYFUNCTION("REGEXEXTRACT(C3085, ""🏘️ \w+ (\w+) .* ✅"")"),"appartement")</f>
        <v>appartement</v>
      </c>
      <c r="H3085" s="4" t="str">
        <f>IFERROR(__xludf.DUMMYFUNCTION("REGEXEXTRACT(A3085, ""/(\w+)-.*?"")"),"lieu")</f>
        <v>lieu</v>
      </c>
      <c r="I3085" s="4" t="str">
        <f>IFERROR(__xludf.DUMMYFUNCTION("if(D3085=""variant"",  substitute(filter(Templates!E:E, Templates!A:A = F3085, Templates!B:B = G3085, Templates!C:C = H3085), ""{{}}"", E3085), B3085)"),"🏘  Vous cherchez un appartement à louer à Le Landeron? ✅ Les annonces les plus actuelles sont sur ImmoScout24.ch.")</f>
        <v>🏘  Vous cherchez un appartement à louer à Le Landeron? ✅ Les annonces les plus actuelles sont sur ImmoScout24.ch.</v>
      </c>
      <c r="J3085" s="2" t="s">
        <v>9249</v>
      </c>
    </row>
    <row r="3086">
      <c r="A3086" s="5" t="s">
        <v>9250</v>
      </c>
      <c r="B3086" s="2" t="s">
        <v>9251</v>
      </c>
      <c r="C3086" s="4" t="str">
        <f>IFERROR(__xludf.DUMMYFUNCTION("""🏘️ ""&amp;REGEXEXTRACT(B3086, ""^(.*): "")&amp;"" ✅ "" &amp;REGEXEXTRACT(B3086, ""(Trouvez.*)"")"),"🏘️ Louer appartement Centre (La Chaux-de-Fonds) ✅ Trouvez le bien immobilier qui correspond idéalement à vos désirs sur ImmoScout24 - La plateforme de l'immobilier en Suisse.")</f>
        <v>🏘️ Louer appartement Centre (La Chaux-de-Fonds) ✅ Trouvez le bien immobilier qui correspond idéalement à vos désirs sur ImmoScout24 - La plateforme de l'immobilier en Suisse.</v>
      </c>
      <c r="D3086" s="4" t="str">
        <f>vlookup(A3086, Sheet2!D:E, 2, 0)</f>
        <v>variant</v>
      </c>
      <c r="E3086" s="4" t="str">
        <f>IFERROR(__xludf.DUMMYFUNCTION("if(H3086=""pays"",vlookup(REGEXEXTRACT(C3086, ""🏘️ \w+ \w+ (.*) ✅""),'Country prepositions'!A:B, 2, 0) &amp; "" "" &amp; REGEXEXTRACT(C3086, ""🏘️ \w+ \w+ (.*) ✅"") ,  if(H3086=""quartier"",vlookup(REGEXEXTRACT(C3086, ""🏘️ \w+ \w+ (.*) ✅""),'Quartier prepositio"&amp;"ns'!A:E, 5, 0) ,  if(H3086=""region"",vlookup(REGEXEXTRACT(C3086, ""🏘️ \w+ \w+ (.*) ✅""),'Region prepositions'!B:F, 5, 0),  REGEXEXTRACT(C3086, ""🏘️ \w+ \w+ (.*) ✅""))))"),"dans le Centre de La Chaux-de-Fonds")</f>
        <v>dans le Centre de La Chaux-de-Fonds</v>
      </c>
      <c r="F3086" s="2" t="str">
        <f>IFERROR(__xludf.DUMMYFUNCTION("REGEXEXTRACT(C3086, ""🏘️ (\w+) \w+ .* ✅"")"),"Louer")</f>
        <v>Louer</v>
      </c>
      <c r="G3086" s="2" t="str">
        <f>IFERROR(__xludf.DUMMYFUNCTION("REGEXEXTRACT(C3086, ""🏘️ \w+ (\w+) .* ✅"")"),"appartement")</f>
        <v>appartement</v>
      </c>
      <c r="H3086" s="4" t="str">
        <f>IFERROR(__xludf.DUMMYFUNCTION("REGEXEXTRACT(A3086, ""/(\w+)-.*?"")"),"quartier")</f>
        <v>quartier</v>
      </c>
      <c r="I3086" s="4" t="str">
        <f>IFERROR(__xludf.DUMMYFUNCTION("if(D3086=""variant"",  substitute(filter(Templates!E:E, Templates!A:A = F3086, Templates!B:B = G3086, Templates!C:C = H3086), ""{{}}"", E3086), B3086)"),"🏘  Vous cherchez un appartement à louer dans le Centre de La Chaux-de-Fonds? ✅ Les annonces les plus actuelles sont sur ImmoScout24.ch.")</f>
        <v>🏘  Vous cherchez un appartement à louer dans le Centre de La Chaux-de-Fonds? ✅ Les annonces les plus actuelles sont sur ImmoScout24.ch.</v>
      </c>
      <c r="J3086" s="4" t="s">
        <v>9252</v>
      </c>
    </row>
    <row r="3087">
      <c r="A3087" s="5" t="s">
        <v>9253</v>
      </c>
      <c r="B3087" s="2" t="s">
        <v>9254</v>
      </c>
      <c r="C3087" s="4" t="str">
        <f>IFERROR(__xludf.DUMMYFUNCTION("""🏘️ ""&amp;REGEXEXTRACT(B3087, ""^(.*): "")&amp;"" ✅ "" &amp;REGEXEXTRACT(B3087, ""(Trouvez.*)"")"),"🏘️ Vendre appartement Farvagny-le-Grand ✅ Trouvez le bien immobilier qui correspond idéalement à vos désirs sur ImmoScout24 - La plateforme de l'immobilier en Suisse.")</f>
        <v>🏘️ Vendre appartement Farvagny-le-Grand ✅ Trouvez le bien immobilier qui correspond idéalement à vos désirs sur ImmoScout24 - La plateforme de l'immobilier en Suisse.</v>
      </c>
      <c r="D3087" s="4" t="str">
        <f>vlookup(A3087, Sheet2!D:E, 2, 0)</f>
        <v>variant</v>
      </c>
      <c r="E3087" s="4" t="str">
        <f>IFERROR(__xludf.DUMMYFUNCTION("if(H3087=""pays"",vlookup(REGEXEXTRACT(C3087, ""🏘️ \w+ \w+ (.*) ✅""),'Country prepositions'!A:B, 2, 0) &amp; "" "" &amp; REGEXEXTRACT(C3087, ""🏘️ \w+ \w+ (.*) ✅"") ,  if(H3087=""quartier"",vlookup(REGEXEXTRACT(C3087, ""🏘️ \w+ \w+ (.*) ✅""),'Quartier prepositio"&amp;"ns'!A:E, 5, 0) ,  if(H3087=""region"",vlookup(REGEXEXTRACT(C3087, ""🏘️ \w+ \w+ (.*) ✅""),'Region prepositions'!B:F, 5, 0),  REGEXEXTRACT(C3087, ""🏘️ \w+ \w+ (.*) ✅""))))"),"Farvagny-le-Grand")</f>
        <v>Farvagny-le-Grand</v>
      </c>
      <c r="F3087" s="2" t="str">
        <f>IFERROR(__xludf.DUMMYFUNCTION("REGEXEXTRACT(C3087, ""🏘️ (\w+) \w+ .* ✅"")"),"Vendre")</f>
        <v>Vendre</v>
      </c>
      <c r="G3087" s="2" t="str">
        <f>IFERROR(__xludf.DUMMYFUNCTION("REGEXEXTRACT(C3087, ""🏘️ \w+ (\w+) .* ✅"")"),"appartement")</f>
        <v>appartement</v>
      </c>
      <c r="H3087" s="4" t="str">
        <f>IFERROR(__xludf.DUMMYFUNCTION("REGEXEXTRACT(A3087, ""/(\w+)-.*?"")"),"lieu")</f>
        <v>lieu</v>
      </c>
      <c r="I3087" s="4" t="str">
        <f>IFERROR(__xludf.DUMMYFUNCTION("if(D3087=""variant"",  substitute(filter(Templates!E:E, Templates!A:A = F3087, Templates!B:B = G3087, Templates!C:C = H3087), ""{{}}"", E3087), B3087)"),"🏘  L’appartement de vos rêves se trouve sur ImmoScout24.ch ✅ Découvrez les dernières annonces de vente à Farvagny-le-Grand.")</f>
        <v>🏘  L’appartement de vos rêves se trouve sur ImmoScout24.ch ✅ Découvrez les dernières annonces de vente à Farvagny-le-Grand.</v>
      </c>
      <c r="J3087" s="4" t="s">
        <v>9255</v>
      </c>
    </row>
    <row r="3088">
      <c r="A3088" s="5" t="s">
        <v>9256</v>
      </c>
      <c r="B3088" s="2" t="s">
        <v>9257</v>
      </c>
      <c r="C3088" s="4" t="str">
        <f>IFERROR(__xludf.DUMMYFUNCTION("""🏘️ ""&amp;REGEXEXTRACT(B3088, ""^(.*): "")&amp;"" ✅ "" &amp;REGEXEXTRACT(B3088, ""(Trouvez.*)"")"),"🏘️ Vendre maison Pont (Veveyse) ✅ Trouvez le bien immobilier qui correspond idéalement à vos désirs sur ImmoScout24 - La plateforme de l'immobilier en Suisse.")</f>
        <v>🏘️ Vendre maison Pont (Veveyse) ✅ Trouvez le bien immobilier qui correspond idéalement à vos désirs sur ImmoScout24 - La plateforme de l'immobilier en Suisse.</v>
      </c>
      <c r="D3088" s="4" t="str">
        <f>vlookup(A3088, Sheet2!D:E, 2, 0)</f>
        <v>variant</v>
      </c>
      <c r="E3088" s="4" t="str">
        <f>IFERROR(__xludf.DUMMYFUNCTION("if(H3088=""pays"",vlookup(REGEXEXTRACT(C3088, ""🏘️ \w+ \w+ (.*) ✅""),'Country prepositions'!A:B, 2, 0) &amp; "" "" &amp; REGEXEXTRACT(C3088, ""🏘️ \w+ \w+ (.*) ✅"") ,  if(H3088=""quartier"",vlookup(REGEXEXTRACT(C3088, ""🏘️ \w+ \w+ (.*) ✅""),'Quartier prepositio"&amp;"ns'!A:E, 5, 0) ,  if(H3088=""region"",vlookup(REGEXEXTRACT(C3088, ""🏘️ \w+ \w+ (.*) ✅""),'Region prepositions'!B:F, 5, 0),  REGEXEXTRACT(C3088, ""🏘️ \w+ \w+ (.*) ✅""))))"),"Pont (Veveyse)")</f>
        <v>Pont (Veveyse)</v>
      </c>
      <c r="F3088" s="2" t="str">
        <f>IFERROR(__xludf.DUMMYFUNCTION("REGEXEXTRACT(C3088, ""🏘️ (\w+) \w+ .* ✅"")"),"Vendre")</f>
        <v>Vendre</v>
      </c>
      <c r="G3088" s="2" t="str">
        <f>IFERROR(__xludf.DUMMYFUNCTION("REGEXEXTRACT(C3088, ""🏘️ \w+ (\w+) .* ✅"")"),"maison")</f>
        <v>maison</v>
      </c>
      <c r="H3088" s="4" t="str">
        <f>IFERROR(__xludf.DUMMYFUNCTION("REGEXEXTRACT(A3088, ""/(\w+)-.*?"")"),"lieu")</f>
        <v>lieu</v>
      </c>
      <c r="I3088" s="4" t="str">
        <f>IFERROR(__xludf.DUMMYFUNCTION("if(D3088=""variant"",  substitute(filter(Templates!E:E, Templates!A:A = F3088, Templates!B:B = G3088, Templates!C:C = H3088), ""{{}}"", E3088), B3088)"),"🏘  Vous souhaitez acheter une maison à Pont (Veveyse)? ✅ Jetez un œil aux dernières offres sur ImmoScout24.ch.")</f>
        <v>🏘  Vous souhaitez acheter une maison à Pont (Veveyse)? ✅ Jetez un œil aux dernières offres sur ImmoScout24.ch.</v>
      </c>
      <c r="J3088" s="4" t="s">
        <v>9258</v>
      </c>
    </row>
    <row r="3089">
      <c r="A3089" s="5" t="s">
        <v>9259</v>
      </c>
      <c r="B3089" s="2" t="s">
        <v>9260</v>
      </c>
      <c r="C3089" s="4" t="str">
        <f>IFERROR(__xludf.DUMMYFUNCTION("""🏘️ ""&amp;REGEXEXTRACT(B3089, ""^(.*): "")&amp;"" ✅ "" &amp;REGEXEXTRACT(B3089, ""(Trouvez.*)"")"),"🏘️ Louer maison Chavannes-sur-Moudon ✅ Trouvez le bien immobilier qui correspond idéalement à vos désirs sur ImmoScout24 - La plateforme de l'immobilier en Suisse.")</f>
        <v>🏘️ Louer maison Chavannes-sur-Moudon ✅ Trouvez le bien immobilier qui correspond idéalement à vos désirs sur ImmoScout24 - La plateforme de l'immobilier en Suisse.</v>
      </c>
      <c r="D3089" s="4" t="str">
        <f>vlookup(A3089, Sheet2!D:E, 2, 0)</f>
        <v>variant</v>
      </c>
      <c r="E3089" s="4" t="str">
        <f>IFERROR(__xludf.DUMMYFUNCTION("if(H3089=""pays"",vlookup(REGEXEXTRACT(C3089, ""🏘️ \w+ \w+ (.*) ✅""),'Country prepositions'!A:B, 2, 0) &amp; "" "" &amp; REGEXEXTRACT(C3089, ""🏘️ \w+ \w+ (.*) ✅"") ,  if(H3089=""quartier"",vlookup(REGEXEXTRACT(C3089, ""🏘️ \w+ \w+ (.*) ✅""),'Quartier prepositio"&amp;"ns'!A:E, 5, 0) ,  if(H3089=""region"",vlookup(REGEXEXTRACT(C3089, ""🏘️ \w+ \w+ (.*) ✅""),'Region prepositions'!B:F, 5, 0),  REGEXEXTRACT(C3089, ""🏘️ \w+ \w+ (.*) ✅""))))"),"Chavannes-sur-Moudon")</f>
        <v>Chavannes-sur-Moudon</v>
      </c>
      <c r="F3089" s="2" t="str">
        <f>IFERROR(__xludf.DUMMYFUNCTION("REGEXEXTRACT(C3089, ""🏘️ (\w+) \w+ .* ✅"")"),"Louer")</f>
        <v>Louer</v>
      </c>
      <c r="G3089" s="2" t="str">
        <f>IFERROR(__xludf.DUMMYFUNCTION("REGEXEXTRACT(C3089, ""🏘️ \w+ (\w+) .* ✅"")"),"maison")</f>
        <v>maison</v>
      </c>
      <c r="H3089" s="4" t="str">
        <f>IFERROR(__xludf.DUMMYFUNCTION("REGEXEXTRACT(A3089, ""/(\w+)-.*?"")"),"lieu")</f>
        <v>lieu</v>
      </c>
      <c r="I3089" s="4" t="str">
        <f>IFERROR(__xludf.DUMMYFUNCTION("if(D3089=""variant"",  substitute(filter(Templates!E:E, Templates!A:A = F3089, Templates!B:B = G3089, Templates!C:C = H3089), ""{{}}"", E3089), B3089)"),"🏘  Vous cherchez une maison à louer à Chavannes-sur-Moudon? ✅ Découvrez nos nombreuses annonces sur ImmoScout24.ch.")</f>
        <v>🏘  Vous cherchez une maison à louer à Chavannes-sur-Moudon? ✅ Découvrez nos nombreuses annonces sur ImmoScout24.ch.</v>
      </c>
      <c r="J3089" s="4" t="s">
        <v>9261</v>
      </c>
    </row>
    <row r="3090">
      <c r="A3090" s="5" t="s">
        <v>9262</v>
      </c>
      <c r="B3090" s="2" t="s">
        <v>9263</v>
      </c>
      <c r="C3090" s="4" t="str">
        <f>IFERROR(__xludf.DUMMYFUNCTION("""🏘️ ""&amp;REGEXEXTRACT(B3090, ""^(.*): "")&amp;"" ✅ "" &amp;REGEXEXTRACT(B3090, ""(Trouvez.*)"")"),"🏘️ Louer maison Vernier ✅ Trouvez le bien immobilier qui correspond idéalement à vos désirs sur ImmoScout24 - La plateforme de l'immobilier en Suisse.")</f>
        <v>🏘️ Louer maison Vernier ✅ Trouvez le bien immobilier qui correspond idéalement à vos désirs sur ImmoScout24 - La plateforme de l'immobilier en Suisse.</v>
      </c>
      <c r="D3090" s="4" t="str">
        <f>vlookup(A3090, Sheet2!D:E, 2, 0)</f>
        <v>variant</v>
      </c>
      <c r="E3090" s="4" t="str">
        <f>IFERROR(__xludf.DUMMYFUNCTION("if(H3090=""pays"",vlookup(REGEXEXTRACT(C3090, ""🏘️ \w+ \w+ (.*) ✅""),'Country prepositions'!A:B, 2, 0) &amp; "" "" &amp; REGEXEXTRACT(C3090, ""🏘️ \w+ \w+ (.*) ✅"") ,  if(H3090=""quartier"",vlookup(REGEXEXTRACT(C3090, ""🏘️ \w+ \w+ (.*) ✅""),'Quartier prepositio"&amp;"ns'!A:E, 5, 0) ,  if(H3090=""region"",vlookup(REGEXEXTRACT(C3090, ""🏘️ \w+ \w+ (.*) ✅""),'Region prepositions'!B:F, 5, 0),  REGEXEXTRACT(C3090, ""🏘️ \w+ \w+ (.*) ✅""))))"),"Vernier")</f>
        <v>Vernier</v>
      </c>
      <c r="F3090" s="2" t="str">
        <f>IFERROR(__xludf.DUMMYFUNCTION("REGEXEXTRACT(C3090, ""🏘️ (\w+) \w+ .* ✅"")"),"Louer")</f>
        <v>Louer</v>
      </c>
      <c r="G3090" s="2" t="str">
        <f>IFERROR(__xludf.DUMMYFUNCTION("REGEXEXTRACT(C3090, ""🏘️ \w+ (\w+) .* ✅"")"),"maison")</f>
        <v>maison</v>
      </c>
      <c r="H3090" s="4" t="str">
        <f>IFERROR(__xludf.DUMMYFUNCTION("REGEXEXTRACT(A3090, ""/(\w+)-.*?"")"),"lieu")</f>
        <v>lieu</v>
      </c>
      <c r="I3090" s="4" t="str">
        <f>IFERROR(__xludf.DUMMYFUNCTION("if(D3090=""variant"",  substitute(filter(Templates!E:E, Templates!A:A = F3090, Templates!B:B = G3090, Templates!C:C = H3090), ""{{}}"", E3090), B3090)"),"🏘  Vous cherchez une maison à louer à Vernier? ✅ Découvrez nos nombreuses annonces sur ImmoScout24.ch.")</f>
        <v>🏘  Vous cherchez une maison à louer à Vernier? ✅ Découvrez nos nombreuses annonces sur ImmoScout24.ch.</v>
      </c>
      <c r="J3090" s="4" t="s">
        <v>9264</v>
      </c>
    </row>
    <row r="3091">
      <c r="A3091" s="5" t="s">
        <v>9265</v>
      </c>
      <c r="B3091" s="2" t="s">
        <v>9266</v>
      </c>
      <c r="C3091" s="4" t="str">
        <f>IFERROR(__xludf.DUMMYFUNCTION("""🏘️ ""&amp;REGEXEXTRACT(B3091, ""^(.*): "")&amp;"" ✅ "" &amp;REGEXEXTRACT(B3091, ""(Trouvez.*)"")"),"🏘️ Vendre maison Veytaux ✅ Trouvez le bien immobilier qui correspond idéalement à vos désirs sur ImmoScout24 - La plateforme de l'immobilier en Suisse.")</f>
        <v>🏘️ Vendre maison Veytaux ✅ Trouvez le bien immobilier qui correspond idéalement à vos désirs sur ImmoScout24 - La plateforme de l'immobilier en Suisse.</v>
      </c>
      <c r="D3091" s="4" t="str">
        <f>vlookup(A3091, Sheet2!D:E, 2, 0)</f>
        <v>variant</v>
      </c>
      <c r="E3091" s="4" t="str">
        <f>IFERROR(__xludf.DUMMYFUNCTION("if(H3091=""pays"",vlookup(REGEXEXTRACT(C3091, ""🏘️ \w+ \w+ (.*) ✅""),'Country prepositions'!A:B, 2, 0) &amp; "" "" &amp; REGEXEXTRACT(C3091, ""🏘️ \w+ \w+ (.*) ✅"") ,  if(H3091=""quartier"",vlookup(REGEXEXTRACT(C3091, ""🏘️ \w+ \w+ (.*) ✅""),'Quartier prepositio"&amp;"ns'!A:E, 5, 0) ,  if(H3091=""region"",vlookup(REGEXEXTRACT(C3091, ""🏘️ \w+ \w+ (.*) ✅""),'Region prepositions'!B:F, 5, 0),  REGEXEXTRACT(C3091, ""🏘️ \w+ \w+ (.*) ✅""))))"),"Veytaux")</f>
        <v>Veytaux</v>
      </c>
      <c r="F3091" s="2" t="str">
        <f>IFERROR(__xludf.DUMMYFUNCTION("REGEXEXTRACT(C3091, ""🏘️ (\w+) \w+ .* ✅"")"),"Vendre")</f>
        <v>Vendre</v>
      </c>
      <c r="G3091" s="2" t="str">
        <f>IFERROR(__xludf.DUMMYFUNCTION("REGEXEXTRACT(C3091, ""🏘️ \w+ (\w+) .* ✅"")"),"maison")</f>
        <v>maison</v>
      </c>
      <c r="H3091" s="4" t="str">
        <f>IFERROR(__xludf.DUMMYFUNCTION("REGEXEXTRACT(A3091, ""/(\w+)-.*?"")"),"lieu")</f>
        <v>lieu</v>
      </c>
      <c r="I3091" s="4" t="str">
        <f>IFERROR(__xludf.DUMMYFUNCTION("if(D3091=""variant"",  substitute(filter(Templates!E:E, Templates!A:A = F3091, Templates!B:B = G3091, Templates!C:C = H3091), ""{{}}"", E3091), B3091)"),"🏘  Vous souhaitez acheter une maison à Veytaux? ✅ Jetez un œil aux dernières offres sur ImmoScout24.ch.")</f>
        <v>🏘  Vous souhaitez acheter une maison à Veytaux? ✅ Jetez un œil aux dernières offres sur ImmoScout24.ch.</v>
      </c>
      <c r="J3091" s="4" t="s">
        <v>9267</v>
      </c>
    </row>
    <row r="3092">
      <c r="A3092" s="5" t="s">
        <v>9268</v>
      </c>
      <c r="B3092" s="2" t="s">
        <v>9269</v>
      </c>
      <c r="C3092" s="4" t="str">
        <f>IFERROR(__xludf.DUMMYFUNCTION("""🏘️ ""&amp;REGEXEXTRACT(B3092, ""^(.*): "")&amp;"" ✅ "" &amp;REGEXEXTRACT(B3092, ""(Trouvez.*)"")"),"🏘️ Louer appartement Wohlen AG ✅ Trouvez le bien immobilier qui correspond idéalement à vos désirs sur ImmoScout24 - La plateforme de l'immobilier en Suisse.")</f>
        <v>🏘️ Louer appartement Wohlen AG ✅ Trouvez le bien immobilier qui correspond idéalement à vos désirs sur ImmoScout24 - La plateforme de l'immobilier en Suisse.</v>
      </c>
      <c r="D3092" s="4" t="str">
        <f>vlookup(A3092, Sheet2!D:E, 2, 0)</f>
        <v>variant</v>
      </c>
      <c r="E3092" s="4" t="str">
        <f>IFERROR(__xludf.DUMMYFUNCTION("if(H3092=""pays"",vlookup(REGEXEXTRACT(C3092, ""🏘️ \w+ \w+ (.*) ✅""),'Country prepositions'!A:B, 2, 0) &amp; "" "" &amp; REGEXEXTRACT(C3092, ""🏘️ \w+ \w+ (.*) ✅"") ,  if(H3092=""quartier"",vlookup(REGEXEXTRACT(C3092, ""🏘️ \w+ \w+ (.*) ✅""),'Quartier prepositio"&amp;"ns'!A:E, 5, 0) ,  if(H3092=""region"",vlookup(REGEXEXTRACT(C3092, ""🏘️ \w+ \w+ (.*) ✅""),'Region prepositions'!B:F, 5, 0),  REGEXEXTRACT(C3092, ""🏘️ \w+ \w+ (.*) ✅""))))"),"Wohlen AG")</f>
        <v>Wohlen AG</v>
      </c>
      <c r="F3092" s="2" t="str">
        <f>IFERROR(__xludf.DUMMYFUNCTION("REGEXEXTRACT(C3092, ""🏘️ (\w+) \w+ .* ✅"")"),"Louer")</f>
        <v>Louer</v>
      </c>
      <c r="G3092" s="2" t="str">
        <f>IFERROR(__xludf.DUMMYFUNCTION("REGEXEXTRACT(C3092, ""🏘️ \w+ (\w+) .* ✅"")"),"appartement")</f>
        <v>appartement</v>
      </c>
      <c r="H3092" s="4" t="str">
        <f>IFERROR(__xludf.DUMMYFUNCTION("REGEXEXTRACT(A3092, ""/(\w+)-.*?"")"),"lieu")</f>
        <v>lieu</v>
      </c>
      <c r="I3092" s="4" t="str">
        <f>IFERROR(__xludf.DUMMYFUNCTION("if(D3092=""variant"",  substitute(filter(Templates!E:E, Templates!A:A = F3092, Templates!B:B = G3092, Templates!C:C = H3092), ""{{}}"", E3092), B3092)"),"🏘  Vous cherchez un appartement à louer à Wohlen AG? ✅ Les annonces les plus actuelles sont sur ImmoScout24.ch.")</f>
        <v>🏘  Vous cherchez un appartement à louer à Wohlen AG? ✅ Les annonces les plus actuelles sont sur ImmoScout24.ch.</v>
      </c>
      <c r="J3092" s="4" t="s">
        <v>9270</v>
      </c>
    </row>
    <row r="3093">
      <c r="A3093" s="5" t="s">
        <v>9271</v>
      </c>
      <c r="B3093" s="2" t="s">
        <v>9272</v>
      </c>
      <c r="C3093" s="4" t="str">
        <f>IFERROR(__xludf.DUMMYFUNCTION("""🏘️ ""&amp;REGEXEXTRACT(B3093, ""^(.*): "")&amp;"" ✅ "" &amp;REGEXEXTRACT(B3093, ""(Trouvez.*)"")"),"🏘️ Louer maison Tunisie ✅ Trouvez le bien immobilier qui correspond idéalement à vos désirs sur ImmoScout24 - La plateforme de l'immobilier en Suisse.")</f>
        <v>🏘️ Louer maison Tunisie ✅ Trouvez le bien immobilier qui correspond idéalement à vos désirs sur ImmoScout24 - La plateforme de l'immobilier en Suisse.</v>
      </c>
      <c r="D3093" s="4" t="str">
        <f>vlookup(A3093, Sheet2!D:E, 2, 0)</f>
        <v>variant</v>
      </c>
      <c r="E3093" s="4" t="str">
        <f>IFERROR(__xludf.DUMMYFUNCTION("if(H3093=""pays"",vlookup(REGEXEXTRACT(C3093, ""🏘️ \w+ \w+ (.*) ✅""),'Country prepositions'!A:B, 2, 0) &amp; "" "" &amp; REGEXEXTRACT(C3093, ""🏘️ \w+ \w+ (.*) ✅"") ,  if(H3093=""quartier"",vlookup(REGEXEXTRACT(C3093, ""🏘️ \w+ \w+ (.*) ✅""),'Quartier prepositio"&amp;"ns'!A:E, 5, 0) ,  if(H3093=""region"",vlookup(REGEXEXTRACT(C3093, ""🏘️ \w+ \w+ (.*) ✅""),'Region prepositions'!B:F, 5, 0),  REGEXEXTRACT(C3093, ""🏘️ \w+ \w+ (.*) ✅""))))"),"en Tunisie")</f>
        <v>en Tunisie</v>
      </c>
      <c r="F3093" s="2" t="str">
        <f>IFERROR(__xludf.DUMMYFUNCTION("REGEXEXTRACT(C3093, ""🏘️ (\w+) \w+ .* ✅"")"),"Louer")</f>
        <v>Louer</v>
      </c>
      <c r="G3093" s="2" t="str">
        <f>IFERROR(__xludf.DUMMYFUNCTION("REGEXEXTRACT(C3093, ""🏘️ \w+ (\w+) .* ✅"")"),"maison")</f>
        <v>maison</v>
      </c>
      <c r="H3093" s="4" t="str">
        <f>IFERROR(__xludf.DUMMYFUNCTION("REGEXEXTRACT(A3093, ""/(\w+)-.*?"")"),"pays")</f>
        <v>pays</v>
      </c>
      <c r="I3093" s="4" t="str">
        <f>IFERROR(__xludf.DUMMYFUNCTION("if(D3093=""variant"",  substitute(filter(Templates!E:E, Templates!A:A = F3093, Templates!B:B = G3093, Templates!C:C = H3093), ""{{}}"", E3093), B3093)"),"🏘  Vous cherchez un appartement à louer en Tunisie? ✅ Les annonces les plus actuelles sont sur ImmoScout24.ch.")</f>
        <v>🏘  Vous cherchez un appartement à louer en Tunisie? ✅ Les annonces les plus actuelles sont sur ImmoScout24.ch.</v>
      </c>
      <c r="J3093" s="4" t="s">
        <v>2707</v>
      </c>
    </row>
    <row r="3094">
      <c r="A3094" s="5" t="s">
        <v>9273</v>
      </c>
      <c r="B3094" s="2" t="s">
        <v>9274</v>
      </c>
      <c r="C3094" s="4" t="str">
        <f>IFERROR(__xludf.DUMMYFUNCTION("""🏘️ ""&amp;REGEXEXTRACT(B3094, ""^(.*): "")&amp;"" ✅ "" &amp;REGEXEXTRACT(B3094, ""(Trouvez.*)"")"),"🏘️ Louer maison Holderbank SO ✅ Trouvez le bien immobilier qui correspond idéalement à vos désirs sur ImmoScout24 - La plateforme de l'immobilier en Suisse.")</f>
        <v>🏘️ Louer maison Holderbank SO ✅ Trouvez le bien immobilier qui correspond idéalement à vos désirs sur ImmoScout24 - La plateforme de l'immobilier en Suisse.</v>
      </c>
      <c r="D3094" s="4" t="str">
        <f>vlookup(A3094, Sheet2!D:E, 2, 0)</f>
        <v>variant</v>
      </c>
      <c r="E3094" s="4" t="str">
        <f>IFERROR(__xludf.DUMMYFUNCTION("if(H3094=""pays"",vlookup(REGEXEXTRACT(C3094, ""🏘️ \w+ \w+ (.*) ✅""),'Country prepositions'!A:B, 2, 0) &amp; "" "" &amp; REGEXEXTRACT(C3094, ""🏘️ \w+ \w+ (.*) ✅"") ,  if(H3094=""quartier"",vlookup(REGEXEXTRACT(C3094, ""🏘️ \w+ \w+ (.*) ✅""),'Quartier prepositio"&amp;"ns'!A:E, 5, 0) ,  if(H3094=""region"",vlookup(REGEXEXTRACT(C3094, ""🏘️ \w+ \w+ (.*) ✅""),'Region prepositions'!B:F, 5, 0),  REGEXEXTRACT(C3094, ""🏘️ \w+ \w+ (.*) ✅""))))"),"Holderbank SO")</f>
        <v>Holderbank SO</v>
      </c>
      <c r="F3094" s="2" t="str">
        <f>IFERROR(__xludf.DUMMYFUNCTION("REGEXEXTRACT(C3094, ""🏘️ (\w+) \w+ .* ✅"")"),"Louer")</f>
        <v>Louer</v>
      </c>
      <c r="G3094" s="2" t="str">
        <f>IFERROR(__xludf.DUMMYFUNCTION("REGEXEXTRACT(C3094, ""🏘️ \w+ (\w+) .* ✅"")"),"maison")</f>
        <v>maison</v>
      </c>
      <c r="H3094" s="4" t="str">
        <f>IFERROR(__xludf.DUMMYFUNCTION("REGEXEXTRACT(A3094, ""/(\w+)-.*?"")"),"lieu")</f>
        <v>lieu</v>
      </c>
      <c r="I3094" s="4" t="str">
        <f>IFERROR(__xludf.DUMMYFUNCTION("if(D3094=""variant"",  substitute(filter(Templates!E:E, Templates!A:A = F3094, Templates!B:B = G3094, Templates!C:C = H3094), ""{{}}"", E3094), B3094)"),"🏘  Vous cherchez une maison à louer à Holderbank SO? ✅ Découvrez nos nombreuses annonces sur ImmoScout24.ch.")</f>
        <v>🏘  Vous cherchez une maison à louer à Holderbank SO? ✅ Découvrez nos nombreuses annonces sur ImmoScout24.ch.</v>
      </c>
      <c r="J3094" s="4" t="s">
        <v>9275</v>
      </c>
    </row>
    <row r="3095">
      <c r="A3095" s="5" t="s">
        <v>9276</v>
      </c>
      <c r="B3095" s="2" t="s">
        <v>9277</v>
      </c>
      <c r="C3095" s="4" t="str">
        <f>IFERROR(__xludf.DUMMYFUNCTION("""🏘️ ""&amp;REGEXEXTRACT(B3095, ""^(.*): "")&amp;"" ✅ "" &amp;REGEXEXTRACT(B3095, ""(Trouvez.*)"")"),"🏘️ Louer appartement Correvon ✅ Trouvez le bien immobilier qui correspond idéalement à vos désirs sur ImmoScout24 - La plateforme de l'immobilier en Suisse.")</f>
        <v>🏘️ Louer appartement Correvon ✅ Trouvez le bien immobilier qui correspond idéalement à vos désirs sur ImmoScout24 - La plateforme de l'immobilier en Suisse.</v>
      </c>
      <c r="D3095" s="4" t="str">
        <f>vlookup(A3095, Sheet2!D:E, 2, 0)</f>
        <v>variant</v>
      </c>
      <c r="E3095" s="4" t="str">
        <f>IFERROR(__xludf.DUMMYFUNCTION("if(H3095=""pays"",vlookup(REGEXEXTRACT(C3095, ""🏘️ \w+ \w+ (.*) ✅""),'Country prepositions'!A:B, 2, 0) &amp; "" "" &amp; REGEXEXTRACT(C3095, ""🏘️ \w+ \w+ (.*) ✅"") ,  if(H3095=""quartier"",vlookup(REGEXEXTRACT(C3095, ""🏘️ \w+ \w+ (.*) ✅""),'Quartier prepositio"&amp;"ns'!A:E, 5, 0) ,  if(H3095=""region"",vlookup(REGEXEXTRACT(C3095, ""🏘️ \w+ \w+ (.*) ✅""),'Region prepositions'!B:F, 5, 0),  REGEXEXTRACT(C3095, ""🏘️ \w+ \w+ (.*) ✅""))))"),"Correvon")</f>
        <v>Correvon</v>
      </c>
      <c r="F3095" s="2" t="str">
        <f>IFERROR(__xludf.DUMMYFUNCTION("REGEXEXTRACT(C3095, ""🏘️ (\w+) \w+ .* ✅"")"),"Louer")</f>
        <v>Louer</v>
      </c>
      <c r="G3095" s="2" t="str">
        <f>IFERROR(__xludf.DUMMYFUNCTION("REGEXEXTRACT(C3095, ""🏘️ \w+ (\w+) .* ✅"")"),"appartement")</f>
        <v>appartement</v>
      </c>
      <c r="H3095" s="4" t="str">
        <f>IFERROR(__xludf.DUMMYFUNCTION("REGEXEXTRACT(A3095, ""/(\w+)-.*?"")"),"lieu")</f>
        <v>lieu</v>
      </c>
      <c r="I3095" s="4" t="str">
        <f>IFERROR(__xludf.DUMMYFUNCTION("if(D3095=""variant"",  substitute(filter(Templates!E:E, Templates!A:A = F3095, Templates!B:B = G3095, Templates!C:C = H3095), ""{{}}"", E3095), B3095)"),"🏘  Vous cherchez un appartement à louer à Correvon? ✅ Les annonces les plus actuelles sont sur ImmoScout24.ch.")</f>
        <v>🏘  Vous cherchez un appartement à louer à Correvon? ✅ Les annonces les plus actuelles sont sur ImmoScout24.ch.</v>
      </c>
      <c r="J3095" s="4" t="s">
        <v>9278</v>
      </c>
    </row>
    <row r="3096">
      <c r="A3096" s="5" t="s">
        <v>9279</v>
      </c>
      <c r="B3096" s="2" t="s">
        <v>9280</v>
      </c>
      <c r="C3096" s="4" t="str">
        <f>IFERROR(__xludf.DUMMYFUNCTION("""🏘️ ""&amp;REGEXEXTRACT(B3096, ""^(.*): "")&amp;"" ✅ "" &amp;REGEXEXTRACT(B3096, ""(Trouvez.*)"")"),"🏘️ Vendre maison Zurich et environs ✅ Trouvez le bien immobilier qui correspond idéalement à vos désirs sur ImmoScout24 - La plateforme de l'immobilier en Suisse.")</f>
        <v>🏘️ Vendre maison Zurich et environs ✅ Trouvez le bien immobilier qui correspond idéalement à vos désirs sur ImmoScout24 - La plateforme de l'immobilier en Suisse.</v>
      </c>
      <c r="D3096" s="4" t="str">
        <f>vlookup(A3096, Sheet2!D:E, 2, 0)</f>
        <v>variant</v>
      </c>
      <c r="E3096" s="4" t="str">
        <f>IFERROR(__xludf.DUMMYFUNCTION("if(H3096=""pays"",vlookup(REGEXEXTRACT(C3096, ""🏘️ \w+ \w+ (.*) ✅""),'Country prepositions'!A:B, 2, 0) &amp; "" "" &amp; REGEXEXTRACT(C3096, ""🏘️ \w+ \w+ (.*) ✅"") ,  if(H3096=""quartier"",vlookup(REGEXEXTRACT(C3096, ""🏘️ \w+ \w+ (.*) ✅""),'Quartier prepositio"&amp;"ns'!A:E, 5, 0) ,  if(H3096=""region"",vlookup(REGEXEXTRACT(C3096, ""🏘️ \w+ \w+ (.*) ✅""),'Region prepositions'!B:F, 5, 0),  REGEXEXTRACT(C3096, ""🏘️ \w+ \w+ (.*) ✅""))))"),"à Zurich et environs")</f>
        <v>à Zurich et environs</v>
      </c>
      <c r="F3096" s="2" t="str">
        <f>IFERROR(__xludf.DUMMYFUNCTION("REGEXEXTRACT(C3096, ""🏘️ (\w+) \w+ .* ✅"")"),"Vendre")</f>
        <v>Vendre</v>
      </c>
      <c r="G3096" s="2" t="str">
        <f>IFERROR(__xludf.DUMMYFUNCTION("REGEXEXTRACT(C3096, ""🏘️ \w+ (\w+) .* ✅"")"),"maison")</f>
        <v>maison</v>
      </c>
      <c r="H3096" s="4" t="str">
        <f>IFERROR(__xludf.DUMMYFUNCTION("REGEXEXTRACT(A3096, ""/(\w+)-.*?"")"),"region")</f>
        <v>region</v>
      </c>
      <c r="I3096" s="4" t="str">
        <f>IFERROR(__xludf.DUMMYFUNCTION("if(D3096=""variant"",  substitute(filter(Templates!E:E, Templates!A:A = F3096, Templates!B:B = G3096, Templates!C:C = H3096), ""{{}}"", E3096), B3096)"),"🏘  Vous souhaitez acheter une maison à Zurich et environs? ✅ Jetez un œil aux dernières offres sur ImmoScout24.ch.")</f>
        <v>🏘  Vous souhaitez acheter une maison à Zurich et environs? ✅ Jetez un œil aux dernières offres sur ImmoScout24.ch.</v>
      </c>
      <c r="J3096" s="4" t="s">
        <v>9281</v>
      </c>
    </row>
    <row r="3097">
      <c r="A3097" s="5" t="s">
        <v>9282</v>
      </c>
      <c r="B3097" s="2" t="s">
        <v>9283</v>
      </c>
      <c r="C3097" s="4" t="str">
        <f>IFERROR(__xludf.DUMMYFUNCTION("""🏘️ ""&amp;REGEXEXTRACT(B3097, ""^(.*): "")&amp;"" ✅ "" &amp;REGEXEXTRACT(B3097, ""(Trouvez.*)"")"),"🏘️ Vendre appartement Ardon ✅ Trouvez le bien immobilier qui correspond idéalement à vos désirs sur ImmoScout24 - La plateforme de l'immobilier en Suisse.")</f>
        <v>🏘️ Vendre appartement Ardon ✅ Trouvez le bien immobilier qui correspond idéalement à vos désirs sur ImmoScout24 - La plateforme de l'immobilier en Suisse.</v>
      </c>
      <c r="D3097" s="4" t="str">
        <f>vlookup(A3097, Sheet2!D:E, 2, 0)</f>
        <v>variant</v>
      </c>
      <c r="E3097" s="4" t="str">
        <f>IFERROR(__xludf.DUMMYFUNCTION("if(H3097=""pays"",vlookup(REGEXEXTRACT(C3097, ""🏘️ \w+ \w+ (.*) ✅""),'Country prepositions'!A:B, 2, 0) &amp; "" "" &amp; REGEXEXTRACT(C3097, ""🏘️ \w+ \w+ (.*) ✅"") ,  if(H3097=""quartier"",vlookup(REGEXEXTRACT(C3097, ""🏘️ \w+ \w+ (.*) ✅""),'Quartier prepositio"&amp;"ns'!A:E, 5, 0) ,  if(H3097=""region"",vlookup(REGEXEXTRACT(C3097, ""🏘️ \w+ \w+ (.*) ✅""),'Region prepositions'!B:F, 5, 0),  REGEXEXTRACT(C3097, ""🏘️ \w+ \w+ (.*) ✅""))))"),"Ardon")</f>
        <v>Ardon</v>
      </c>
      <c r="F3097" s="2" t="str">
        <f>IFERROR(__xludf.DUMMYFUNCTION("REGEXEXTRACT(C3097, ""🏘️ (\w+) \w+ .* ✅"")"),"Vendre")</f>
        <v>Vendre</v>
      </c>
      <c r="G3097" s="2" t="str">
        <f>IFERROR(__xludf.DUMMYFUNCTION("REGEXEXTRACT(C3097, ""🏘️ \w+ (\w+) .* ✅"")"),"appartement")</f>
        <v>appartement</v>
      </c>
      <c r="H3097" s="4" t="str">
        <f>IFERROR(__xludf.DUMMYFUNCTION("REGEXEXTRACT(A3097, ""/(\w+)-.*?"")"),"lieu")</f>
        <v>lieu</v>
      </c>
      <c r="I3097" s="4" t="str">
        <f>IFERROR(__xludf.DUMMYFUNCTION("if(D3097=""variant"",  substitute(filter(Templates!E:E, Templates!A:A = F3097, Templates!B:B = G3097, Templates!C:C = H3097), ""{{}}"", E3097), B3097)"),"🏘  L’appartement de vos rêves se trouve sur ImmoScout24.ch ✅ Découvrez les dernières annonces de vente à Ardon.")</f>
        <v>🏘  L’appartement de vos rêves se trouve sur ImmoScout24.ch ✅ Découvrez les dernières annonces de vente à Ardon.</v>
      </c>
      <c r="J3097" s="4" t="s">
        <v>9284</v>
      </c>
    </row>
    <row r="3098">
      <c r="A3098" s="5" t="s">
        <v>9285</v>
      </c>
      <c r="B3098" s="2" t="s">
        <v>9286</v>
      </c>
      <c r="C3098" s="4" t="str">
        <f>IFERROR(__xludf.DUMMYFUNCTION("""🏘️ ""&amp;REGEXEXTRACT(B3098, ""^(.*): "")&amp;"" ✅ "" &amp;REGEXEXTRACT(B3098, ""(Trouvez.*)"")"),"🏘️ Louer maison Le Cerneux-Péquignot ✅ Trouvez le bien immobilier qui correspond idéalement à vos désirs sur ImmoScout24 - La plateforme de l'immobilier en Suisse.")</f>
        <v>🏘️ Louer maison Le Cerneux-Péquignot ✅ Trouvez le bien immobilier qui correspond idéalement à vos désirs sur ImmoScout24 - La plateforme de l'immobilier en Suisse.</v>
      </c>
      <c r="D3098" s="4" t="str">
        <f>vlookup(A3098, Sheet2!D:E, 2, 0)</f>
        <v>variant</v>
      </c>
      <c r="E3098" s="4" t="str">
        <f>IFERROR(__xludf.DUMMYFUNCTION("if(H3098=""pays"",vlookup(REGEXEXTRACT(C3098, ""🏘️ \w+ \w+ (.*) ✅""),'Country prepositions'!A:B, 2, 0) &amp; "" "" &amp; REGEXEXTRACT(C3098, ""🏘️ \w+ \w+ (.*) ✅"") ,  if(H3098=""quartier"",vlookup(REGEXEXTRACT(C3098, ""🏘️ \w+ \w+ (.*) ✅""),'Quartier prepositio"&amp;"ns'!A:E, 5, 0) ,  if(H3098=""region"",vlookup(REGEXEXTRACT(C3098, ""🏘️ \w+ \w+ (.*) ✅""),'Region prepositions'!B:F, 5, 0),  REGEXEXTRACT(C3098, ""🏘️ \w+ \w+ (.*) ✅""))))"),"Le Cerneux-Péquignot")</f>
        <v>Le Cerneux-Péquignot</v>
      </c>
      <c r="F3098" s="2" t="str">
        <f>IFERROR(__xludf.DUMMYFUNCTION("REGEXEXTRACT(C3098, ""🏘️ (\w+) \w+ .* ✅"")"),"Louer")</f>
        <v>Louer</v>
      </c>
      <c r="G3098" s="2" t="str">
        <f>IFERROR(__xludf.DUMMYFUNCTION("REGEXEXTRACT(C3098, ""🏘️ \w+ (\w+) .* ✅"")"),"maison")</f>
        <v>maison</v>
      </c>
      <c r="H3098" s="4" t="str">
        <f>IFERROR(__xludf.DUMMYFUNCTION("REGEXEXTRACT(A3098, ""/(\w+)-.*?"")"),"lieu")</f>
        <v>lieu</v>
      </c>
      <c r="I3098" s="4" t="str">
        <f>IFERROR(__xludf.DUMMYFUNCTION("if(D3098=""variant"",  substitute(filter(Templates!E:E, Templates!A:A = F3098, Templates!B:B = G3098, Templates!C:C = H3098), ""{{}}"", E3098), B3098)"),"🏘  Vous cherchez une maison à louer à Le Cerneux-Péquignot? ✅ Découvrez nos nombreuses annonces sur ImmoScout24.ch.")</f>
        <v>🏘  Vous cherchez une maison à louer à Le Cerneux-Péquignot? ✅ Découvrez nos nombreuses annonces sur ImmoScout24.ch.</v>
      </c>
      <c r="J3098" s="2" t="s">
        <v>9287</v>
      </c>
    </row>
    <row r="3099">
      <c r="A3099" s="5" t="s">
        <v>9288</v>
      </c>
      <c r="B3099" s="2" t="s">
        <v>9289</v>
      </c>
      <c r="C3099" s="4" t="str">
        <f>IFERROR(__xludf.DUMMYFUNCTION("""🏘️ ""&amp;REGEXEXTRACT(B3099, ""^(.*): "")&amp;"" ✅ "" &amp;REGEXEXTRACT(B3099, ""(Trouvez.*)"")"),"🏘️ Louer appartement Le Lignon ✅ Trouvez le bien immobilier qui correspond idéalement à vos désirs sur ImmoScout24 - La plateforme de l'immobilier en Suisse.")</f>
        <v>🏘️ Louer appartement Le Lignon ✅ Trouvez le bien immobilier qui correspond idéalement à vos désirs sur ImmoScout24 - La plateforme de l'immobilier en Suisse.</v>
      </c>
      <c r="D3099" s="4" t="str">
        <f>vlookup(A3099, Sheet2!D:E, 2, 0)</f>
        <v>variant</v>
      </c>
      <c r="E3099" s="4" t="str">
        <f>IFERROR(__xludf.DUMMYFUNCTION("if(H3099=""pays"",vlookup(REGEXEXTRACT(C3099, ""🏘️ \w+ \w+ (.*) ✅""),'Country prepositions'!A:B, 2, 0) &amp; "" "" &amp; REGEXEXTRACT(C3099, ""🏘️ \w+ \w+ (.*) ✅"") ,  if(H3099=""quartier"",vlookup(REGEXEXTRACT(C3099, ""🏘️ \w+ \w+ (.*) ✅""),'Quartier prepositio"&amp;"ns'!A:E, 5, 0) ,  if(H3099=""region"",vlookup(REGEXEXTRACT(C3099, ""🏘️ \w+ \w+ (.*) ✅""),'Region prepositions'!B:F, 5, 0),  REGEXEXTRACT(C3099, ""🏘️ \w+ \w+ (.*) ✅""))))"),"Le Lignon")</f>
        <v>Le Lignon</v>
      </c>
      <c r="F3099" s="2" t="str">
        <f>IFERROR(__xludf.DUMMYFUNCTION("REGEXEXTRACT(C3099, ""🏘️ (\w+) \w+ .* ✅"")"),"Louer")</f>
        <v>Louer</v>
      </c>
      <c r="G3099" s="2" t="str">
        <f>IFERROR(__xludf.DUMMYFUNCTION("REGEXEXTRACT(C3099, ""🏘️ \w+ (\w+) .* ✅"")"),"appartement")</f>
        <v>appartement</v>
      </c>
      <c r="H3099" s="4" t="str">
        <f>IFERROR(__xludf.DUMMYFUNCTION("REGEXEXTRACT(A3099, ""/(\w+)-.*?"")"),"lieu")</f>
        <v>lieu</v>
      </c>
      <c r="I3099" s="4" t="str">
        <f>IFERROR(__xludf.DUMMYFUNCTION("if(D3099=""variant"",  substitute(filter(Templates!E:E, Templates!A:A = F3099, Templates!B:B = G3099, Templates!C:C = H3099), ""{{}}"", E3099), B3099)"),"🏘  Vous cherchez un appartement à louer à Le Lignon? ✅ Les annonces les plus actuelles sont sur ImmoScout24.ch.")</f>
        <v>🏘  Vous cherchez un appartement à louer à Le Lignon? ✅ Les annonces les plus actuelles sont sur ImmoScout24.ch.</v>
      </c>
      <c r="J3099" s="2" t="s">
        <v>9290</v>
      </c>
    </row>
    <row r="3100">
      <c r="A3100" s="5" t="s">
        <v>9291</v>
      </c>
      <c r="B3100" s="2" t="s">
        <v>9292</v>
      </c>
      <c r="C3100" s="4" t="str">
        <f>IFERROR(__xludf.DUMMYFUNCTION("""🏘️ ""&amp;REGEXEXTRACT(B3100, ""^(.*): "")&amp;"" ✅ "" &amp;REGEXEXTRACT(B3100, ""(Trouvez.*)"")"),"🏘️ Vendre appartement Capolago ✅ Trouvez le bien immobilier qui correspond idéalement à vos désirs sur ImmoScout24 - La plateforme de l'immobilier en Suisse.")</f>
        <v>🏘️ Vendre appartement Capolago ✅ Trouvez le bien immobilier qui correspond idéalement à vos désirs sur ImmoScout24 - La plateforme de l'immobilier en Suisse.</v>
      </c>
      <c r="D3100" s="4" t="str">
        <f>vlookup(A3100, Sheet2!D:E, 2, 0)</f>
        <v>variant</v>
      </c>
      <c r="E3100" s="4" t="str">
        <f>IFERROR(__xludf.DUMMYFUNCTION("if(H3100=""pays"",vlookup(REGEXEXTRACT(C3100, ""🏘️ \w+ \w+ (.*) ✅""),'Country prepositions'!A:B, 2, 0) &amp; "" "" &amp; REGEXEXTRACT(C3100, ""🏘️ \w+ \w+ (.*) ✅"") ,  if(H3100=""quartier"",vlookup(REGEXEXTRACT(C3100, ""🏘️ \w+ \w+ (.*) ✅""),'Quartier prepositio"&amp;"ns'!A:E, 5, 0) ,  if(H3100=""region"",vlookup(REGEXEXTRACT(C3100, ""🏘️ \w+ \w+ (.*) ✅""),'Region prepositions'!B:F, 5, 0),  REGEXEXTRACT(C3100, ""🏘️ \w+ \w+ (.*) ✅""))))"),"Capolago")</f>
        <v>Capolago</v>
      </c>
      <c r="F3100" s="2" t="str">
        <f>IFERROR(__xludf.DUMMYFUNCTION("REGEXEXTRACT(C3100, ""🏘️ (\w+) \w+ .* ✅"")"),"Vendre")</f>
        <v>Vendre</v>
      </c>
      <c r="G3100" s="2" t="str">
        <f>IFERROR(__xludf.DUMMYFUNCTION("REGEXEXTRACT(C3100, ""🏘️ \w+ (\w+) .* ✅"")"),"appartement")</f>
        <v>appartement</v>
      </c>
      <c r="H3100" s="4" t="str">
        <f>IFERROR(__xludf.DUMMYFUNCTION("REGEXEXTRACT(A3100, ""/(\w+)-.*?"")"),"lieu")</f>
        <v>lieu</v>
      </c>
      <c r="I3100" s="4" t="str">
        <f>IFERROR(__xludf.DUMMYFUNCTION("if(D3100=""variant"",  substitute(filter(Templates!E:E, Templates!A:A = F3100, Templates!B:B = G3100, Templates!C:C = H3100), ""{{}}"", E3100), B3100)"),"🏘  L’appartement de vos rêves se trouve sur ImmoScout24.ch ✅ Découvrez les dernières annonces de vente à Capolago.")</f>
        <v>🏘  L’appartement de vos rêves se trouve sur ImmoScout24.ch ✅ Découvrez les dernières annonces de vente à Capolago.</v>
      </c>
      <c r="J3100" s="4" t="s">
        <v>9293</v>
      </c>
    </row>
    <row r="3101">
      <c r="A3101" s="5" t="s">
        <v>9294</v>
      </c>
      <c r="B3101" s="2" t="s">
        <v>9295</v>
      </c>
      <c r="C3101" s="4" t="str">
        <f>IFERROR(__xludf.DUMMYFUNCTION("""🏘️ ""&amp;REGEXEXTRACT(B3101, ""^(.*): "")&amp;"" ✅ "" &amp;REGEXEXTRACT(B3101, ""(Trouvez.*)"")"),"🏘️ Vendre maison Bremgarten - Lenzburg - Muri - Kulm ✅ Trouvez le bien immobilier qui correspond idéalement à vos désirs sur ImmoScout24 - La plateforme de l'immobilier en Suisse.")</f>
        <v>🏘️ Vendre maison Bremgarten - Lenzburg - Muri - Kulm ✅ Trouvez le bien immobilier qui correspond idéalement à vos désirs sur ImmoScout24 - La plateforme de l'immobilier en Suisse.</v>
      </c>
      <c r="D3101" s="4" t="str">
        <f>vlookup(A3101, Sheet2!D:E, 2, 0)</f>
        <v>variant</v>
      </c>
      <c r="E3101" s="4" t="str">
        <f>IFERROR(__xludf.DUMMYFUNCTION("if(H3101=""pays"",vlookup(REGEXEXTRACT(C3101, ""🏘️ \w+ \w+ (.*) ✅""),'Country prepositions'!A:B, 2, 0) &amp; "" "" &amp; REGEXEXTRACT(C3101, ""🏘️ \w+ \w+ (.*) ✅"") ,  if(H3101=""quartier"",vlookup(REGEXEXTRACT(C3101, ""🏘️ \w+ \w+ (.*) ✅""),'Quartier prepositio"&amp;"ns'!A:E, 5, 0) ,  if(H3101=""region"",vlookup(REGEXEXTRACT(C3101, ""🏘️ \w+ \w+ (.*) ✅""),'Region prepositions'!B:F, 5, 0),  REGEXEXTRACT(C3101, ""🏘️ \w+ \w+ (.*) ✅""))))"),"dans les districts de Bremgarten - Lenzburg - Muri - Kulm")</f>
        <v>dans les districts de Bremgarten - Lenzburg - Muri - Kulm</v>
      </c>
      <c r="F3101" s="2" t="str">
        <f>IFERROR(__xludf.DUMMYFUNCTION("REGEXEXTRACT(C3101, ""🏘️ (\w+) \w+ .* ✅"")"),"Vendre")</f>
        <v>Vendre</v>
      </c>
      <c r="G3101" s="2" t="str">
        <f>IFERROR(__xludf.DUMMYFUNCTION("REGEXEXTRACT(C3101, ""🏘️ \w+ (\w+) .* ✅"")"),"maison")</f>
        <v>maison</v>
      </c>
      <c r="H3101" s="4" t="str">
        <f>IFERROR(__xludf.DUMMYFUNCTION("REGEXEXTRACT(A3101, ""/(\w+)-.*?"")"),"region")</f>
        <v>region</v>
      </c>
      <c r="I3101" s="4" t="str">
        <f>IFERROR(__xludf.DUMMYFUNCTION("if(D3101=""variant"",  substitute(filter(Templates!E:E, Templates!A:A = F3101, Templates!B:B = G3101, Templates!C:C = H3101), ""{{}}"", E3101), B3101)"),"🏘  Vous souhaitez acheter une maison dans les districts de Bremgarten - Lenzburg - Muri - Kulm? ✅ Jetez un œil aux dernières offres sur ImmoScout24.ch.")</f>
        <v>🏘  Vous souhaitez acheter une maison dans les districts de Bremgarten - Lenzburg - Muri - Kulm? ✅ Jetez un œil aux dernières offres sur ImmoScout24.ch.</v>
      </c>
      <c r="J3101" s="4" t="s">
        <v>9296</v>
      </c>
    </row>
    <row r="3102">
      <c r="A3102" s="5" t="s">
        <v>9297</v>
      </c>
      <c r="B3102" s="2" t="s">
        <v>9298</v>
      </c>
      <c r="C3102" s="4" t="str">
        <f>IFERROR(__xludf.DUMMYFUNCTION("""🏘️ ""&amp;REGEXEXTRACT(B3102, ""^(.*): "")&amp;"" ✅ "" &amp;REGEXEXTRACT(B3102, ""(Trouvez.*)"")"),"🏘️ Louer appartement Wolhusen ✅ Trouvez le bien immobilier qui correspond idéalement à vos désirs sur ImmoScout24 - La plateforme de l'immobilier en Suisse.")</f>
        <v>🏘️ Louer appartement Wolhusen ✅ Trouvez le bien immobilier qui correspond idéalement à vos désirs sur ImmoScout24 - La plateforme de l'immobilier en Suisse.</v>
      </c>
      <c r="D3102" s="4" t="str">
        <f>vlookup(A3102, Sheet2!D:E, 2, 0)</f>
        <v>variant</v>
      </c>
      <c r="E3102" s="4" t="str">
        <f>IFERROR(__xludf.DUMMYFUNCTION("if(H3102=""pays"",vlookup(REGEXEXTRACT(C3102, ""🏘️ \w+ \w+ (.*) ✅""),'Country prepositions'!A:B, 2, 0) &amp; "" "" &amp; REGEXEXTRACT(C3102, ""🏘️ \w+ \w+ (.*) ✅"") ,  if(H3102=""quartier"",vlookup(REGEXEXTRACT(C3102, ""🏘️ \w+ \w+ (.*) ✅""),'Quartier prepositio"&amp;"ns'!A:E, 5, 0) ,  if(H3102=""region"",vlookup(REGEXEXTRACT(C3102, ""🏘️ \w+ \w+ (.*) ✅""),'Region prepositions'!B:F, 5, 0),  REGEXEXTRACT(C3102, ""🏘️ \w+ \w+ (.*) ✅""))))"),"Wolhusen")</f>
        <v>Wolhusen</v>
      </c>
      <c r="F3102" s="2" t="str">
        <f>IFERROR(__xludf.DUMMYFUNCTION("REGEXEXTRACT(C3102, ""🏘️ (\w+) \w+ .* ✅"")"),"Louer")</f>
        <v>Louer</v>
      </c>
      <c r="G3102" s="2" t="str">
        <f>IFERROR(__xludf.DUMMYFUNCTION("REGEXEXTRACT(C3102, ""🏘️ \w+ (\w+) .* ✅"")"),"appartement")</f>
        <v>appartement</v>
      </c>
      <c r="H3102" s="4" t="str">
        <f>IFERROR(__xludf.DUMMYFUNCTION("REGEXEXTRACT(A3102, ""/(\w+)-.*?"")"),"lieu")</f>
        <v>lieu</v>
      </c>
      <c r="I3102" s="4" t="str">
        <f>IFERROR(__xludf.DUMMYFUNCTION("if(D3102=""variant"",  substitute(filter(Templates!E:E, Templates!A:A = F3102, Templates!B:B = G3102, Templates!C:C = H3102), ""{{}}"", E3102), B3102)"),"🏘  Vous cherchez un appartement à louer à Wolhusen? ✅ Les annonces les plus actuelles sont sur ImmoScout24.ch.")</f>
        <v>🏘  Vous cherchez un appartement à louer à Wolhusen? ✅ Les annonces les plus actuelles sont sur ImmoScout24.ch.</v>
      </c>
      <c r="J3102" s="4" t="s">
        <v>9299</v>
      </c>
    </row>
    <row r="3103">
      <c r="A3103" s="5" t="s">
        <v>9300</v>
      </c>
      <c r="B3103" s="2" t="s">
        <v>9301</v>
      </c>
      <c r="C3103" s="4" t="str">
        <f>IFERROR(__xludf.DUMMYFUNCTION("""🏘️ ""&amp;REGEXEXTRACT(B3103, ""^(.*): "")&amp;"" ✅ "" &amp;REGEXEXTRACT(B3103, ""(Trouvez.*)"")"),"🏘️ Louer appartement Vullierens ✅ Trouvez le bien immobilier qui correspond idéalement à vos désirs sur ImmoScout24 - La plateforme de l'immobilier en Suisse.")</f>
        <v>🏘️ Louer appartement Vullierens ✅ Trouvez le bien immobilier qui correspond idéalement à vos désirs sur ImmoScout24 - La plateforme de l'immobilier en Suisse.</v>
      </c>
      <c r="D3103" s="4" t="str">
        <f>vlookup(A3103, Sheet2!D:E, 2, 0)</f>
        <v>variant</v>
      </c>
      <c r="E3103" s="4" t="str">
        <f>IFERROR(__xludf.DUMMYFUNCTION("if(H3103=""pays"",vlookup(REGEXEXTRACT(C3103, ""🏘️ \w+ \w+ (.*) ✅""),'Country prepositions'!A:B, 2, 0) &amp; "" "" &amp; REGEXEXTRACT(C3103, ""🏘️ \w+ \w+ (.*) ✅"") ,  if(H3103=""quartier"",vlookup(REGEXEXTRACT(C3103, ""🏘️ \w+ \w+ (.*) ✅""),'Quartier prepositio"&amp;"ns'!A:E, 5, 0) ,  if(H3103=""region"",vlookup(REGEXEXTRACT(C3103, ""🏘️ \w+ \w+ (.*) ✅""),'Region prepositions'!B:F, 5, 0),  REGEXEXTRACT(C3103, ""🏘️ \w+ \w+ (.*) ✅""))))"),"Vullierens")</f>
        <v>Vullierens</v>
      </c>
      <c r="F3103" s="2" t="str">
        <f>IFERROR(__xludf.DUMMYFUNCTION("REGEXEXTRACT(C3103, ""🏘️ (\w+) \w+ .* ✅"")"),"Louer")</f>
        <v>Louer</v>
      </c>
      <c r="G3103" s="2" t="str">
        <f>IFERROR(__xludf.DUMMYFUNCTION("REGEXEXTRACT(C3103, ""🏘️ \w+ (\w+) .* ✅"")"),"appartement")</f>
        <v>appartement</v>
      </c>
      <c r="H3103" s="4" t="str">
        <f>IFERROR(__xludf.DUMMYFUNCTION("REGEXEXTRACT(A3103, ""/(\w+)-.*?"")"),"lieu")</f>
        <v>lieu</v>
      </c>
      <c r="I3103" s="4" t="str">
        <f>IFERROR(__xludf.DUMMYFUNCTION("if(D3103=""variant"",  substitute(filter(Templates!E:E, Templates!A:A = F3103, Templates!B:B = G3103, Templates!C:C = H3103), ""{{}}"", E3103), B3103)"),"🏘  Vous cherchez un appartement à louer à Vullierens? ✅ Les annonces les plus actuelles sont sur ImmoScout24.ch.")</f>
        <v>🏘  Vous cherchez un appartement à louer à Vullierens? ✅ Les annonces les plus actuelles sont sur ImmoScout24.ch.</v>
      </c>
      <c r="J3103" s="4" t="s">
        <v>9302</v>
      </c>
    </row>
    <row r="3104">
      <c r="A3104" s="5" t="s">
        <v>9303</v>
      </c>
      <c r="B3104" s="2" t="s">
        <v>9304</v>
      </c>
      <c r="C3104" s="4" t="str">
        <f>IFERROR(__xludf.DUMMYFUNCTION("""🏘️ ""&amp;REGEXEXTRACT(B3104, ""^(.*): "")&amp;"" ✅ "" &amp;REGEXEXTRACT(B3104, ""(Trouvez.*)"")"),"🏘️ Louer appartement Steffisburg ✅ Trouvez le bien immobilier qui correspond idéalement à vos désirs sur ImmoScout24 - La plateforme de l'immobilier en Suisse.")</f>
        <v>🏘️ Louer appartement Steffisburg ✅ Trouvez le bien immobilier qui correspond idéalement à vos désirs sur ImmoScout24 - La plateforme de l'immobilier en Suisse.</v>
      </c>
      <c r="D3104" s="4" t="str">
        <f>vlookup(A3104, Sheet2!D:E, 2, 0)</f>
        <v>variant</v>
      </c>
      <c r="E3104" s="4" t="str">
        <f>IFERROR(__xludf.DUMMYFUNCTION("if(H3104=""pays"",vlookup(REGEXEXTRACT(C3104, ""🏘️ \w+ \w+ (.*) ✅""),'Country prepositions'!A:B, 2, 0) &amp; "" "" &amp; REGEXEXTRACT(C3104, ""🏘️ \w+ \w+ (.*) ✅"") ,  if(H3104=""quartier"",vlookup(REGEXEXTRACT(C3104, ""🏘️ \w+ \w+ (.*) ✅""),'Quartier prepositio"&amp;"ns'!A:E, 5, 0) ,  if(H3104=""region"",vlookup(REGEXEXTRACT(C3104, ""🏘️ \w+ \w+ (.*) ✅""),'Region prepositions'!B:F, 5, 0),  REGEXEXTRACT(C3104, ""🏘️ \w+ \w+ (.*) ✅""))))"),"Steffisburg")</f>
        <v>Steffisburg</v>
      </c>
      <c r="F3104" s="2" t="str">
        <f>IFERROR(__xludf.DUMMYFUNCTION("REGEXEXTRACT(C3104, ""🏘️ (\w+) \w+ .* ✅"")"),"Louer")</f>
        <v>Louer</v>
      </c>
      <c r="G3104" s="2" t="str">
        <f>IFERROR(__xludf.DUMMYFUNCTION("REGEXEXTRACT(C3104, ""🏘️ \w+ (\w+) .* ✅"")"),"appartement")</f>
        <v>appartement</v>
      </c>
      <c r="H3104" s="4" t="str">
        <f>IFERROR(__xludf.DUMMYFUNCTION("REGEXEXTRACT(A3104, ""/(\w+)-.*?"")"),"lieu")</f>
        <v>lieu</v>
      </c>
      <c r="I3104" s="4" t="str">
        <f>IFERROR(__xludf.DUMMYFUNCTION("if(D3104=""variant"",  substitute(filter(Templates!E:E, Templates!A:A = F3104, Templates!B:B = G3104, Templates!C:C = H3104), ""{{}}"", E3104), B3104)"),"🏘  Vous cherchez un appartement à louer à Steffisburg? ✅ Les annonces les plus actuelles sont sur ImmoScout24.ch.")</f>
        <v>🏘  Vous cherchez un appartement à louer à Steffisburg? ✅ Les annonces les plus actuelles sont sur ImmoScout24.ch.</v>
      </c>
      <c r="J3104" s="4" t="s">
        <v>9305</v>
      </c>
    </row>
    <row r="3105">
      <c r="A3105" s="5" t="s">
        <v>9306</v>
      </c>
      <c r="B3105" s="2" t="s">
        <v>9307</v>
      </c>
      <c r="C3105" s="4" t="str">
        <f>IFERROR(__xludf.DUMMYFUNCTION("""🏘️ ""&amp;REGEXEXTRACT(B3105, ""^(.*): "")&amp;"" ✅ "" &amp;REGEXEXTRACT(B3105, ""(Trouvez.*)"")"),"🏘️ Vendre maison Erlach ✅ Trouvez le bien immobilier qui correspond idéalement à vos désirs sur ImmoScout24 - La plateforme de l'immobilier en Suisse.")</f>
        <v>🏘️ Vendre maison Erlach ✅ Trouvez le bien immobilier qui correspond idéalement à vos désirs sur ImmoScout24 - La plateforme de l'immobilier en Suisse.</v>
      </c>
      <c r="D3105" s="4" t="str">
        <f>vlookup(A3105, Sheet2!D:E, 2, 0)</f>
        <v>variant</v>
      </c>
      <c r="E3105" s="4" t="str">
        <f>IFERROR(__xludf.DUMMYFUNCTION("if(H3105=""pays"",vlookup(REGEXEXTRACT(C3105, ""🏘️ \w+ \w+ (.*) ✅""),'Country prepositions'!A:B, 2, 0) &amp; "" "" &amp; REGEXEXTRACT(C3105, ""🏘️ \w+ \w+ (.*) ✅"") ,  if(H3105=""quartier"",vlookup(REGEXEXTRACT(C3105, ""🏘️ \w+ \w+ (.*) ✅""),'Quartier prepositio"&amp;"ns'!A:E, 5, 0) ,  if(H3105=""region"",vlookup(REGEXEXTRACT(C3105, ""🏘️ \w+ \w+ (.*) ✅""),'Region prepositions'!B:F, 5, 0),  REGEXEXTRACT(C3105, ""🏘️ \w+ \w+ (.*) ✅""))))"),"Erlach")</f>
        <v>Erlach</v>
      </c>
      <c r="F3105" s="2" t="str">
        <f>IFERROR(__xludf.DUMMYFUNCTION("REGEXEXTRACT(C3105, ""🏘️ (\w+) \w+ .* ✅"")"),"Vendre")</f>
        <v>Vendre</v>
      </c>
      <c r="G3105" s="2" t="str">
        <f>IFERROR(__xludf.DUMMYFUNCTION("REGEXEXTRACT(C3105, ""🏘️ \w+ (\w+) .* ✅"")"),"maison")</f>
        <v>maison</v>
      </c>
      <c r="H3105" s="4" t="str">
        <f>IFERROR(__xludf.DUMMYFUNCTION("REGEXEXTRACT(A3105, ""/(\w+)-.*?"")"),"lieu")</f>
        <v>lieu</v>
      </c>
      <c r="I3105" s="4" t="str">
        <f>IFERROR(__xludf.DUMMYFUNCTION("if(D3105=""variant"",  substitute(filter(Templates!E:E, Templates!A:A = F3105, Templates!B:B = G3105, Templates!C:C = H3105), ""{{}}"", E3105), B3105)"),"🏘  Vous souhaitez acheter une maison à Erlach? ✅ Jetez un œil aux dernières offres sur ImmoScout24.ch.")</f>
        <v>🏘  Vous souhaitez acheter une maison à Erlach? ✅ Jetez un œil aux dernières offres sur ImmoScout24.ch.</v>
      </c>
      <c r="J3105" s="4" t="s">
        <v>9308</v>
      </c>
    </row>
    <row r="3106">
      <c r="A3106" s="5" t="s">
        <v>9309</v>
      </c>
      <c r="B3106" s="2" t="s">
        <v>9310</v>
      </c>
      <c r="C3106" s="4" t="str">
        <f>IFERROR(__xludf.DUMMYFUNCTION("""🏘️ ""&amp;REGEXEXTRACT(B3106, ""^(.*): "")&amp;"" ✅ "" &amp;REGEXEXTRACT(B3106, ""(Trouvez.*)"")"),"🏘️ Vendre maison Riex ✅ Trouvez le bien immobilier qui correspond idéalement à vos désirs sur ImmoScout24 - La plateforme de l'immobilier en Suisse.")</f>
        <v>🏘️ Vendre maison Riex ✅ Trouvez le bien immobilier qui correspond idéalement à vos désirs sur ImmoScout24 - La plateforme de l'immobilier en Suisse.</v>
      </c>
      <c r="D3106" s="4" t="str">
        <f>vlookup(A3106, Sheet2!D:E, 2, 0)</f>
        <v>variant</v>
      </c>
      <c r="E3106" s="4" t="str">
        <f>IFERROR(__xludf.DUMMYFUNCTION("if(H3106=""pays"",vlookup(REGEXEXTRACT(C3106, ""🏘️ \w+ \w+ (.*) ✅""),'Country prepositions'!A:B, 2, 0) &amp; "" "" &amp; REGEXEXTRACT(C3106, ""🏘️ \w+ \w+ (.*) ✅"") ,  if(H3106=""quartier"",vlookup(REGEXEXTRACT(C3106, ""🏘️ \w+ \w+ (.*) ✅""),'Quartier prepositio"&amp;"ns'!A:E, 5, 0) ,  if(H3106=""region"",vlookup(REGEXEXTRACT(C3106, ""🏘️ \w+ \w+ (.*) ✅""),'Region prepositions'!B:F, 5, 0),  REGEXEXTRACT(C3106, ""🏘️ \w+ \w+ (.*) ✅""))))"),"Riex")</f>
        <v>Riex</v>
      </c>
      <c r="F3106" s="2" t="str">
        <f>IFERROR(__xludf.DUMMYFUNCTION("REGEXEXTRACT(C3106, ""🏘️ (\w+) \w+ .* ✅"")"),"Vendre")</f>
        <v>Vendre</v>
      </c>
      <c r="G3106" s="2" t="str">
        <f>IFERROR(__xludf.DUMMYFUNCTION("REGEXEXTRACT(C3106, ""🏘️ \w+ (\w+) .* ✅"")"),"maison")</f>
        <v>maison</v>
      </c>
      <c r="H3106" s="4" t="str">
        <f>IFERROR(__xludf.DUMMYFUNCTION("REGEXEXTRACT(A3106, ""/(\w+)-.*?"")"),"lieu")</f>
        <v>lieu</v>
      </c>
      <c r="I3106" s="4" t="str">
        <f>IFERROR(__xludf.DUMMYFUNCTION("if(D3106=""variant"",  substitute(filter(Templates!E:E, Templates!A:A = F3106, Templates!B:B = G3106, Templates!C:C = H3106), ""{{}}"", E3106), B3106)"),"🏘  Vous souhaitez acheter une maison à Riex? ✅ Jetez un œil aux dernières offres sur ImmoScout24.ch.")</f>
        <v>🏘  Vous souhaitez acheter une maison à Riex? ✅ Jetez un œil aux dernières offres sur ImmoScout24.ch.</v>
      </c>
      <c r="J3106" s="4" t="s">
        <v>9311</v>
      </c>
    </row>
    <row r="3107">
      <c r="A3107" s="5" t="s">
        <v>9312</v>
      </c>
      <c r="B3107" s="2" t="s">
        <v>9313</v>
      </c>
      <c r="C3107" s="4" t="str">
        <f>IFERROR(__xludf.DUMMYFUNCTION("""🏘️ ""&amp;REGEXEXTRACT(B3107, ""^(.*): "")&amp;"" ✅ "" &amp;REGEXEXTRACT(B3107, ""(Trouvez.*)"")"),"🏘️ Vendre appartement Walliswil b. Wangen ✅ Trouvez le bien immobilier qui correspond idéalement à vos désirs sur ImmoScout24 - La plateforme de l'immobilier en Suisse.")</f>
        <v>🏘️ Vendre appartement Walliswil b. Wangen ✅ Trouvez le bien immobilier qui correspond idéalement à vos désirs sur ImmoScout24 - La plateforme de l'immobilier en Suisse.</v>
      </c>
      <c r="D3107" s="4" t="str">
        <f>vlookup(A3107, Sheet2!D:E, 2, 0)</f>
        <v>variant</v>
      </c>
      <c r="E3107" s="4" t="str">
        <f>IFERROR(__xludf.DUMMYFUNCTION("if(H3107=""pays"",vlookup(REGEXEXTRACT(C3107, ""🏘️ \w+ \w+ (.*) ✅""),'Country prepositions'!A:B, 2, 0) &amp; "" "" &amp; REGEXEXTRACT(C3107, ""🏘️ \w+ \w+ (.*) ✅"") ,  if(H3107=""quartier"",vlookup(REGEXEXTRACT(C3107, ""🏘️ \w+ \w+ (.*) ✅""),'Quartier prepositio"&amp;"ns'!A:E, 5, 0) ,  if(H3107=""region"",vlookup(REGEXEXTRACT(C3107, ""🏘️ \w+ \w+ (.*) ✅""),'Region prepositions'!B:F, 5, 0),  REGEXEXTRACT(C3107, ""🏘️ \w+ \w+ (.*) ✅""))))"),"Walliswil b. Wangen")</f>
        <v>Walliswil b. Wangen</v>
      </c>
      <c r="F3107" s="2" t="str">
        <f>IFERROR(__xludf.DUMMYFUNCTION("REGEXEXTRACT(C3107, ""🏘️ (\w+) \w+ .* ✅"")"),"Vendre")</f>
        <v>Vendre</v>
      </c>
      <c r="G3107" s="2" t="str">
        <f>IFERROR(__xludf.DUMMYFUNCTION("REGEXEXTRACT(C3107, ""🏘️ \w+ (\w+) .* ✅"")"),"appartement")</f>
        <v>appartement</v>
      </c>
      <c r="H3107" s="4" t="str">
        <f>IFERROR(__xludf.DUMMYFUNCTION("REGEXEXTRACT(A3107, ""/(\w+)-.*?"")"),"lieu")</f>
        <v>lieu</v>
      </c>
      <c r="I3107" s="4" t="str">
        <f>IFERROR(__xludf.DUMMYFUNCTION("if(D3107=""variant"",  substitute(filter(Templates!E:E, Templates!A:A = F3107, Templates!B:B = G3107, Templates!C:C = H3107), ""{{}}"", E3107), B3107)"),"🏘  L’appartement de vos rêves se trouve sur ImmoScout24.ch ✅ Découvrez les dernières annonces de vente à Walliswil b. Wangen.")</f>
        <v>🏘  L’appartement de vos rêves se trouve sur ImmoScout24.ch ✅ Découvrez les dernières annonces de vente à Walliswil b. Wangen.</v>
      </c>
      <c r="J3107" s="4" t="s">
        <v>9314</v>
      </c>
    </row>
    <row r="3108">
      <c r="A3108" s="5" t="s">
        <v>9315</v>
      </c>
      <c r="B3108" s="2" t="s">
        <v>9316</v>
      </c>
      <c r="C3108" s="4" t="str">
        <f>IFERROR(__xludf.DUMMYFUNCTION("""🏘️ ""&amp;REGEXEXTRACT(B3108, ""^(.*): "")&amp;"" ✅ "" &amp;REGEXEXTRACT(B3108, ""(Trouvez.*)"")"),"🏘️ Louer appartement Cottens FR ✅ Trouvez le bien immobilier qui correspond idéalement à vos désirs sur ImmoScout24 - La plateforme de l'immobilier en Suisse.")</f>
        <v>🏘️ Louer appartement Cottens FR ✅ Trouvez le bien immobilier qui correspond idéalement à vos désirs sur ImmoScout24 - La plateforme de l'immobilier en Suisse.</v>
      </c>
      <c r="D3108" s="4" t="str">
        <f>vlookup(A3108, Sheet2!D:E, 2, 0)</f>
        <v>variant</v>
      </c>
      <c r="E3108" s="4" t="str">
        <f>IFERROR(__xludf.DUMMYFUNCTION("if(H3108=""pays"",vlookup(REGEXEXTRACT(C3108, ""🏘️ \w+ \w+ (.*) ✅""),'Country prepositions'!A:B, 2, 0) &amp; "" "" &amp; REGEXEXTRACT(C3108, ""🏘️ \w+ \w+ (.*) ✅"") ,  if(H3108=""quartier"",vlookup(REGEXEXTRACT(C3108, ""🏘️ \w+ \w+ (.*) ✅""),'Quartier prepositio"&amp;"ns'!A:E, 5, 0) ,  if(H3108=""region"",vlookup(REGEXEXTRACT(C3108, ""🏘️ \w+ \w+ (.*) ✅""),'Region prepositions'!B:F, 5, 0),  REGEXEXTRACT(C3108, ""🏘️ \w+ \w+ (.*) ✅""))))"),"Cottens FR")</f>
        <v>Cottens FR</v>
      </c>
      <c r="F3108" s="2" t="str">
        <f>IFERROR(__xludf.DUMMYFUNCTION("REGEXEXTRACT(C3108, ""🏘️ (\w+) \w+ .* ✅"")"),"Louer")</f>
        <v>Louer</v>
      </c>
      <c r="G3108" s="2" t="str">
        <f>IFERROR(__xludf.DUMMYFUNCTION("REGEXEXTRACT(C3108, ""🏘️ \w+ (\w+) .* ✅"")"),"appartement")</f>
        <v>appartement</v>
      </c>
      <c r="H3108" s="4" t="str">
        <f>IFERROR(__xludf.DUMMYFUNCTION("REGEXEXTRACT(A3108, ""/(\w+)-.*?"")"),"lieu")</f>
        <v>lieu</v>
      </c>
      <c r="I3108" s="4" t="str">
        <f>IFERROR(__xludf.DUMMYFUNCTION("if(D3108=""variant"",  substitute(filter(Templates!E:E, Templates!A:A = F3108, Templates!B:B = G3108, Templates!C:C = H3108), ""{{}}"", E3108), B3108)"),"🏘  Vous cherchez un appartement à louer à Cottens FR? ✅ Les annonces les plus actuelles sont sur ImmoScout24.ch.")</f>
        <v>🏘  Vous cherchez un appartement à louer à Cottens FR? ✅ Les annonces les plus actuelles sont sur ImmoScout24.ch.</v>
      </c>
      <c r="J3108" s="4" t="s">
        <v>9317</v>
      </c>
    </row>
    <row r="3109">
      <c r="A3109" s="5" t="s">
        <v>9318</v>
      </c>
      <c r="B3109" s="2" t="s">
        <v>9319</v>
      </c>
      <c r="C3109" s="4" t="str">
        <f>IFERROR(__xludf.DUMMYFUNCTION("""🏘️ ""&amp;REGEXEXTRACT(B3109, ""^(.*): "")&amp;"" ✅ "" &amp;REGEXEXTRACT(B3109, ""(Trouvez.*)"")"),"🏘️ Louer appartement Heerbrugg ✅ Trouvez le bien immobilier qui correspond idéalement à vos désirs sur ImmoScout24 - La plateforme de l'immobilier en Suisse.")</f>
        <v>🏘️ Louer appartement Heerbrugg ✅ Trouvez le bien immobilier qui correspond idéalement à vos désirs sur ImmoScout24 - La plateforme de l'immobilier en Suisse.</v>
      </c>
      <c r="D3109" s="4" t="str">
        <f>vlookup(A3109, Sheet2!D:E, 2, 0)</f>
        <v>variant</v>
      </c>
      <c r="E3109" s="4" t="str">
        <f>IFERROR(__xludf.DUMMYFUNCTION("if(H3109=""pays"",vlookup(REGEXEXTRACT(C3109, ""🏘️ \w+ \w+ (.*) ✅""),'Country prepositions'!A:B, 2, 0) &amp; "" "" &amp; REGEXEXTRACT(C3109, ""🏘️ \w+ \w+ (.*) ✅"") ,  if(H3109=""quartier"",vlookup(REGEXEXTRACT(C3109, ""🏘️ \w+ \w+ (.*) ✅""),'Quartier prepositio"&amp;"ns'!A:E, 5, 0) ,  if(H3109=""region"",vlookup(REGEXEXTRACT(C3109, ""🏘️ \w+ \w+ (.*) ✅""),'Region prepositions'!B:F, 5, 0),  REGEXEXTRACT(C3109, ""🏘️ \w+ \w+ (.*) ✅""))))"),"Heerbrugg")</f>
        <v>Heerbrugg</v>
      </c>
      <c r="F3109" s="2" t="str">
        <f>IFERROR(__xludf.DUMMYFUNCTION("REGEXEXTRACT(C3109, ""🏘️ (\w+) \w+ .* ✅"")"),"Louer")</f>
        <v>Louer</v>
      </c>
      <c r="G3109" s="2" t="str">
        <f>IFERROR(__xludf.DUMMYFUNCTION("REGEXEXTRACT(C3109, ""🏘️ \w+ (\w+) .* ✅"")"),"appartement")</f>
        <v>appartement</v>
      </c>
      <c r="H3109" s="4" t="str">
        <f>IFERROR(__xludf.DUMMYFUNCTION("REGEXEXTRACT(A3109, ""/(\w+)-.*?"")"),"lieu")</f>
        <v>lieu</v>
      </c>
      <c r="I3109" s="4" t="str">
        <f>IFERROR(__xludf.DUMMYFUNCTION("if(D3109=""variant"",  substitute(filter(Templates!E:E, Templates!A:A = F3109, Templates!B:B = G3109, Templates!C:C = H3109), ""{{}}"", E3109), B3109)"),"🏘  Vous cherchez un appartement à louer à Heerbrugg? ✅ Les annonces les plus actuelles sont sur ImmoScout24.ch.")</f>
        <v>🏘  Vous cherchez un appartement à louer à Heerbrugg? ✅ Les annonces les plus actuelles sont sur ImmoScout24.ch.</v>
      </c>
      <c r="J3109" s="4" t="s">
        <v>9320</v>
      </c>
    </row>
    <row r="3110">
      <c r="A3110" s="5" t="s">
        <v>9321</v>
      </c>
      <c r="B3110" s="2" t="s">
        <v>9322</v>
      </c>
      <c r="C3110" s="4" t="str">
        <f>IFERROR(__xludf.DUMMYFUNCTION("""🏘️ ""&amp;REGEXEXTRACT(B3110, ""^(.*): "")&amp;"" ✅ "" &amp;REGEXEXTRACT(B3110, ""(Trouvez.*)"")"),"🏘️ Vendre appartement St-Sulpice VD ✅ Trouvez le bien immobilier qui correspond idéalement à vos désirs sur ImmoScout24 - La plateforme de l'immobilier en Suisse.")</f>
        <v>🏘️ Vendre appartement St-Sulpice VD ✅ Trouvez le bien immobilier qui correspond idéalement à vos désirs sur ImmoScout24 - La plateforme de l'immobilier en Suisse.</v>
      </c>
      <c r="D3110" s="4" t="str">
        <f>vlookup(A3110, Sheet2!D:E, 2, 0)</f>
        <v>variant</v>
      </c>
      <c r="E3110" s="4" t="str">
        <f>IFERROR(__xludf.DUMMYFUNCTION("if(H3110=""pays"",vlookup(REGEXEXTRACT(C3110, ""🏘️ \w+ \w+ (.*) ✅""),'Country prepositions'!A:B, 2, 0) &amp; "" "" &amp; REGEXEXTRACT(C3110, ""🏘️ \w+ \w+ (.*) ✅"") ,  if(H3110=""quartier"",vlookup(REGEXEXTRACT(C3110, ""🏘️ \w+ \w+ (.*) ✅""),'Quartier prepositio"&amp;"ns'!A:E, 5, 0) ,  if(H3110=""region"",vlookup(REGEXEXTRACT(C3110, ""🏘️ \w+ \w+ (.*) ✅""),'Region prepositions'!B:F, 5, 0),  REGEXEXTRACT(C3110, ""🏘️ \w+ \w+ (.*) ✅""))))"),"St-Sulpice VD")</f>
        <v>St-Sulpice VD</v>
      </c>
      <c r="F3110" s="2" t="str">
        <f>IFERROR(__xludf.DUMMYFUNCTION("REGEXEXTRACT(C3110, ""🏘️ (\w+) \w+ .* ✅"")"),"Vendre")</f>
        <v>Vendre</v>
      </c>
      <c r="G3110" s="2" t="str">
        <f>IFERROR(__xludf.DUMMYFUNCTION("REGEXEXTRACT(C3110, ""🏘️ \w+ (\w+) .* ✅"")"),"appartement")</f>
        <v>appartement</v>
      </c>
      <c r="H3110" s="4" t="str">
        <f>IFERROR(__xludf.DUMMYFUNCTION("REGEXEXTRACT(A3110, ""/(\w+)-.*?"")"),"lieu")</f>
        <v>lieu</v>
      </c>
      <c r="I3110" s="4" t="str">
        <f>IFERROR(__xludf.DUMMYFUNCTION("if(D3110=""variant"",  substitute(filter(Templates!E:E, Templates!A:A = F3110, Templates!B:B = G3110, Templates!C:C = H3110), ""{{}}"", E3110), B3110)"),"🏘  L’appartement de vos rêves se trouve sur ImmoScout24.ch ✅ Découvrez les dernières annonces de vente à St-Sulpice VD.")</f>
        <v>🏘  L’appartement de vos rêves se trouve sur ImmoScout24.ch ✅ Découvrez les dernières annonces de vente à St-Sulpice VD.</v>
      </c>
      <c r="J3110" s="4" t="s">
        <v>9323</v>
      </c>
    </row>
    <row r="3111">
      <c r="A3111" s="5" t="s">
        <v>9324</v>
      </c>
      <c r="B3111" s="2" t="s">
        <v>9325</v>
      </c>
      <c r="C3111" s="4" t="str">
        <f>IFERROR(__xludf.DUMMYFUNCTION("""🏘️ ""&amp;REGEXEXTRACT(B3111, ""^(.*): "")&amp;"" ✅ "" &amp;REGEXEXTRACT(B3111, ""(Trouvez.*)"")"),"🏘️ Vendre appartement Mission ✅ Trouvez le bien immobilier qui correspond idéalement à vos désirs sur ImmoScout24 - La plateforme de l'immobilier en Suisse.")</f>
        <v>🏘️ Vendre appartement Mission ✅ Trouvez le bien immobilier qui correspond idéalement à vos désirs sur ImmoScout24 - La plateforme de l'immobilier en Suisse.</v>
      </c>
      <c r="D3111" s="4" t="str">
        <f>vlookup(A3111, Sheet2!D:E, 2, 0)</f>
        <v>variant</v>
      </c>
      <c r="E3111" s="4" t="str">
        <f>IFERROR(__xludf.DUMMYFUNCTION("if(H3111=""pays"",vlookup(REGEXEXTRACT(C3111, ""🏘️ \w+ \w+ (.*) ✅""),'Country prepositions'!A:B, 2, 0) &amp; "" "" &amp; REGEXEXTRACT(C3111, ""🏘️ \w+ \w+ (.*) ✅"") ,  if(H3111=""quartier"",vlookup(REGEXEXTRACT(C3111, ""🏘️ \w+ \w+ (.*) ✅""),'Quartier prepositio"&amp;"ns'!A:E, 5, 0) ,  if(H3111=""region"",vlookup(REGEXEXTRACT(C3111, ""🏘️ \w+ \w+ (.*) ✅""),'Region prepositions'!B:F, 5, 0),  REGEXEXTRACT(C3111, ""🏘️ \w+ \w+ (.*) ✅""))))"),"Mission")</f>
        <v>Mission</v>
      </c>
      <c r="F3111" s="2" t="str">
        <f>IFERROR(__xludf.DUMMYFUNCTION("REGEXEXTRACT(C3111, ""🏘️ (\w+) \w+ .* ✅"")"),"Vendre")</f>
        <v>Vendre</v>
      </c>
      <c r="G3111" s="2" t="str">
        <f>IFERROR(__xludf.DUMMYFUNCTION("REGEXEXTRACT(C3111, ""🏘️ \w+ (\w+) .* ✅"")"),"appartement")</f>
        <v>appartement</v>
      </c>
      <c r="H3111" s="4" t="str">
        <f>IFERROR(__xludf.DUMMYFUNCTION("REGEXEXTRACT(A3111, ""/(\w+)-.*?"")"),"lieu")</f>
        <v>lieu</v>
      </c>
      <c r="I3111" s="4" t="str">
        <f>IFERROR(__xludf.DUMMYFUNCTION("if(D3111=""variant"",  substitute(filter(Templates!E:E, Templates!A:A = F3111, Templates!B:B = G3111, Templates!C:C = H3111), ""{{}}"", E3111), B3111)"),"🏘  L’appartement de vos rêves se trouve sur ImmoScout24.ch ✅ Découvrez les dernières annonces de vente à Mission.")</f>
        <v>🏘  L’appartement de vos rêves se trouve sur ImmoScout24.ch ✅ Découvrez les dernières annonces de vente à Mission.</v>
      </c>
      <c r="J3111" s="4" t="s">
        <v>9326</v>
      </c>
    </row>
    <row r="3112" hidden="1">
      <c r="A3112" s="5" t="s">
        <v>9327</v>
      </c>
      <c r="B3112" s="2" t="s">
        <v>9328</v>
      </c>
      <c r="C3112" s="2" t="s">
        <v>9328</v>
      </c>
      <c r="D3112" s="4" t="str">
        <f>vlookup(A3112, Sheet2!D:E, 2, 0)</f>
        <v>control</v>
      </c>
      <c r="E3112" s="4" t="str">
        <f>IFERROR(__xludf.DUMMYFUNCTION("if(H3112=""pays"",vlookup(REGEXEXTRACT(C3112, ""🏘️ \w+ \w+ (.*) ✅""),'Country prepositions'!A:B, 2, 0) &amp; "" "" &amp; REGEXEXTRACT(C3112, ""🏘️ \w+ \w+ (.*) ✅"") ,  if(H3112=""quartier"",vlookup(REGEXEXTRACT(C3112, ""🏘️ \w+ \w+ (.*) ✅""),'Quartier prepositio"&amp;"ns'!A:E, 5, 0) ,  if(H3112=""region"",vlookup(REGEXEXTRACT(C3112, ""🏘️ \w+ \w+ (.*) ✅""),'Region prepositions'!B:F, 5, 0),  REGEXEXTRACT(C3112, ""🏘️ \w+ \w+ (.*) ✅""))))"),"#N/A")</f>
        <v>#N/A</v>
      </c>
      <c r="I3112" s="4" t="str">
        <f>IFERROR(__xludf.DUMMYFUNCTION("if(D3112=""variant"",  substitute(filter(Templates!E:E, Templates!A:A = F3112, Templates!B:B = G3112, Templates!C:C = H3112), ""{{}}"", E3112), B3112)"),"Vendre maison La Joux FR: Trouvez le bien immobilier qui correspond idéalement à vos désirs sur ImmoScout24 - La plateforme de l'immobilier en Suisse.")</f>
        <v>Vendre maison La Joux FR: Trouvez le bien immobilier qui correspond idéalement à vos désirs sur ImmoScout24 - La plateforme de l'immobilier en Suisse.</v>
      </c>
    </row>
    <row r="3113" hidden="1">
      <c r="A3113" s="5" t="s">
        <v>9329</v>
      </c>
      <c r="B3113" s="2" t="s">
        <v>9330</v>
      </c>
      <c r="C3113" s="2" t="s">
        <v>9330</v>
      </c>
      <c r="D3113" s="4" t="str">
        <f>vlookup(A3113, Sheet2!D:E, 2, 0)</f>
        <v>control</v>
      </c>
      <c r="E3113" s="4" t="str">
        <f>IFERROR(__xludf.DUMMYFUNCTION("if(H3113=""pays"",vlookup(REGEXEXTRACT(C3113, ""🏘️ \w+ \w+ (.*) ✅""),'Country prepositions'!A:B, 2, 0) &amp; "" "" &amp; REGEXEXTRACT(C3113, ""🏘️ \w+ \w+ (.*) ✅"") ,  if(H3113=""quartier"",vlookup(REGEXEXTRACT(C3113, ""🏘️ \w+ \w+ (.*) ✅""),'Quartier prepositio"&amp;"ns'!A:E, 5, 0) ,  if(H3113=""region"",vlookup(REGEXEXTRACT(C3113, ""🏘️ \w+ \w+ (.*) ✅""),'Region prepositions'!B:F, 5, 0),  REGEXEXTRACT(C3113, ""🏘️ \w+ \w+ (.*) ✅""))))"),"#N/A")</f>
        <v>#N/A</v>
      </c>
      <c r="I3113" s="4" t="str">
        <f>IFERROR(__xludf.DUMMYFUNCTION("if(D3113=""variant"",  substitute(filter(Templates!E:E, Templates!A:A = F3113, Templates!B:B = G3113, Templates!C:C = H3113), ""{{}}"", E3113), B3113)"),"Vendre maison Les Reussilles: Trouvez le bien immobilier qui correspond idéalement à vos désirs sur ImmoScout24 - La plateforme de l'immobilier en Suisse.")</f>
        <v>Vendre maison Les Reussilles: Trouvez le bien immobilier qui correspond idéalement à vos désirs sur ImmoScout24 - La plateforme de l'immobilier en Suisse.</v>
      </c>
    </row>
    <row r="3114" hidden="1">
      <c r="A3114" s="5" t="s">
        <v>9331</v>
      </c>
      <c r="B3114" s="2" t="s">
        <v>9332</v>
      </c>
      <c r="C3114" s="2" t="s">
        <v>9332</v>
      </c>
      <c r="D3114" s="4" t="str">
        <f>vlookup(A3114, Sheet2!D:E, 2, 0)</f>
        <v>control</v>
      </c>
      <c r="E3114" s="4" t="str">
        <f>IFERROR(__xludf.DUMMYFUNCTION("if(H3114=""pays"",vlookup(REGEXEXTRACT(C3114, ""🏘️ \w+ \w+ (.*) ✅""),'Country prepositions'!A:B, 2, 0) &amp; "" "" &amp; REGEXEXTRACT(C3114, ""🏘️ \w+ \w+ (.*) ✅"") ,  if(H3114=""quartier"",vlookup(REGEXEXTRACT(C3114, ""🏘️ \w+ \w+ (.*) ✅""),'Quartier prepositio"&amp;"ns'!A:E, 5, 0) ,  if(H3114=""region"",vlookup(REGEXEXTRACT(C3114, ""🏘️ \w+ \w+ (.*) ✅""),'Region prepositions'!B:F, 5, 0),  REGEXEXTRACT(C3114, ""🏘️ \w+ \w+ (.*) ✅""))))"),"#N/A")</f>
        <v>#N/A</v>
      </c>
      <c r="I3114" s="4" t="str">
        <f>IFERROR(__xludf.DUMMYFUNCTION("if(D3114=""variant"",  substitute(filter(Templates!E:E, Templates!A:A = F3114, Templates!B:B = G3114, Templates!C:C = H3114), ""{{}}"", E3114), B3114)"),"Vendre appartement Unterseen: Trouvez le bien immobilier qui correspond idéalement à vos désirs sur ImmoScout24 - La plateforme de l'immobilier en Suisse.")</f>
        <v>Vendre appartement Unterseen: Trouvez le bien immobilier qui correspond idéalement à vos désirs sur ImmoScout24 - La plateforme de l'immobilier en Suisse.</v>
      </c>
    </row>
    <row r="3115" hidden="1">
      <c r="A3115" s="5" t="s">
        <v>9333</v>
      </c>
      <c r="B3115" s="2" t="s">
        <v>9334</v>
      </c>
      <c r="C3115" s="2" t="s">
        <v>9334</v>
      </c>
      <c r="D3115" s="4" t="str">
        <f>vlookup(A3115, Sheet2!D:E, 2, 0)</f>
        <v>control</v>
      </c>
      <c r="E3115" s="4" t="str">
        <f>IFERROR(__xludf.DUMMYFUNCTION("if(H3115=""pays"",vlookup(REGEXEXTRACT(C3115, ""🏘️ \w+ \w+ (.*) ✅""),'Country prepositions'!A:B, 2, 0) &amp; "" "" &amp; REGEXEXTRACT(C3115, ""🏘️ \w+ \w+ (.*) ✅"") ,  if(H3115=""quartier"",vlookup(REGEXEXTRACT(C3115, ""🏘️ \w+ \w+ (.*) ✅""),'Quartier prepositio"&amp;"ns'!A:E, 5, 0) ,  if(H3115=""region"",vlookup(REGEXEXTRACT(C3115, ""🏘️ \w+ \w+ (.*) ✅""),'Region prepositions'!B:F, 5, 0),  REGEXEXTRACT(C3115, ""🏘️ \w+ \w+ (.*) ✅""))))"),"#N/A")</f>
        <v>#N/A</v>
      </c>
      <c r="I3115" s="4" t="str">
        <f>IFERROR(__xludf.DUMMYFUNCTION("if(D3115=""variant"",  substitute(filter(Templates!E:E, Templates!A:A = F3115, Templates!B:B = G3115, Templates!C:C = H3115), ""{{}}"", E3115), B3115)"),"Louer appartement Stöckacker (Berne): Trouvez le bien immobilier qui correspond idéalement à vos désirs sur ImmoScout24 - La plateforme de l'immobilier en Suisse.")</f>
        <v>Louer appartement Stöckacker (Berne): Trouvez le bien immobilier qui correspond idéalement à vos désirs sur ImmoScout24 - La plateforme de l'immobilier en Suisse.</v>
      </c>
    </row>
    <row r="3116" hidden="1">
      <c r="A3116" s="5" t="s">
        <v>9335</v>
      </c>
      <c r="B3116" s="2" t="s">
        <v>9336</v>
      </c>
      <c r="C3116" s="2" t="s">
        <v>9336</v>
      </c>
      <c r="D3116" s="4" t="str">
        <f>vlookup(A3116, Sheet2!D:E, 2, 0)</f>
        <v>control</v>
      </c>
      <c r="E3116" s="4" t="str">
        <f>IFERROR(__xludf.DUMMYFUNCTION("if(H3116=""pays"",vlookup(REGEXEXTRACT(C3116, ""🏘️ \w+ \w+ (.*) ✅""),'Country prepositions'!A:B, 2, 0) &amp; "" "" &amp; REGEXEXTRACT(C3116, ""🏘️ \w+ \w+ (.*) ✅"") ,  if(H3116=""quartier"",vlookup(REGEXEXTRACT(C3116, ""🏘️ \w+ \w+ (.*) ✅""),'Quartier prepositio"&amp;"ns'!A:E, 5, 0) ,  if(H3116=""region"",vlookup(REGEXEXTRACT(C3116, ""🏘️ \w+ \w+ (.*) ✅""),'Region prepositions'!B:F, 5, 0),  REGEXEXTRACT(C3116, ""🏘️ \w+ \w+ (.*) ✅""))))"),"#N/A")</f>
        <v>#N/A</v>
      </c>
      <c r="I3116" s="4" t="str">
        <f>IFERROR(__xludf.DUMMYFUNCTION("if(D3116=""variant"",  substitute(filter(Templates!E:E, Templates!A:A = F3116, Templates!B:B = G3116, Templates!C:C = H3116), ""{{}}"", E3116), B3116)"),"Vendre maison Kandersteg: Trouvez le bien immobilier qui correspond idéalement à vos désirs sur ImmoScout24 - La plateforme de l'immobilier en Suisse.")</f>
        <v>Vendre maison Kandersteg: Trouvez le bien immobilier qui correspond idéalement à vos désirs sur ImmoScout24 - La plateforme de l'immobilier en Suisse.</v>
      </c>
    </row>
    <row r="3117" hidden="1">
      <c r="A3117" s="5" t="s">
        <v>9337</v>
      </c>
      <c r="B3117" s="2" t="s">
        <v>9338</v>
      </c>
      <c r="C3117" s="2" t="s">
        <v>9338</v>
      </c>
      <c r="D3117" s="4" t="str">
        <f>vlookup(A3117, Sheet2!D:E, 2, 0)</f>
        <v>control</v>
      </c>
      <c r="E3117" s="4" t="str">
        <f>IFERROR(__xludf.DUMMYFUNCTION("if(H3117=""pays"",vlookup(REGEXEXTRACT(C3117, ""🏘️ \w+ \w+ (.*) ✅""),'Country prepositions'!A:B, 2, 0) &amp; "" "" &amp; REGEXEXTRACT(C3117, ""🏘️ \w+ \w+ (.*) ✅"") ,  if(H3117=""quartier"",vlookup(REGEXEXTRACT(C3117, ""🏘️ \w+ \w+ (.*) ✅""),'Quartier prepositio"&amp;"ns'!A:E, 5, 0) ,  if(H3117=""region"",vlookup(REGEXEXTRACT(C3117, ""🏘️ \w+ \w+ (.*) ✅""),'Region prepositions'!B:F, 5, 0),  REGEXEXTRACT(C3117, ""🏘️ \w+ \w+ (.*) ✅""))))"),"#N/A")</f>
        <v>#N/A</v>
      </c>
      <c r="I3117" s="4" t="str">
        <f>IFERROR(__xludf.DUMMYFUNCTION("if(D3117=""variant"",  substitute(filter(Templates!E:E, Templates!A:A = F3117, Templates!B:B = G3117, Templates!C:C = H3117), ""{{}}"", E3117), B3117)"),"Louer appartement Monruz (Neuchâtel): Trouvez le bien immobilier qui correspond idéalement à vos désirs sur ImmoScout24 - La plateforme de l'immobilier en Suisse.")</f>
        <v>Louer appartement Monruz (Neuchâtel): Trouvez le bien immobilier qui correspond idéalement à vos désirs sur ImmoScout24 - La plateforme de l'immobilier en Suisse.</v>
      </c>
    </row>
    <row r="3118" hidden="1">
      <c r="A3118" s="5" t="s">
        <v>9339</v>
      </c>
      <c r="B3118" s="2" t="s">
        <v>9340</v>
      </c>
      <c r="C3118" s="2" t="s">
        <v>9340</v>
      </c>
      <c r="D3118" s="4" t="str">
        <f>vlookup(A3118, Sheet2!D:E, 2, 0)</f>
        <v>control</v>
      </c>
      <c r="E3118" s="4" t="str">
        <f>IFERROR(__xludf.DUMMYFUNCTION("if(H3118=""pays"",vlookup(REGEXEXTRACT(C3118, ""🏘️ \w+ \w+ (.*) ✅""),'Country prepositions'!A:B, 2, 0) &amp; "" "" &amp; REGEXEXTRACT(C3118, ""🏘️ \w+ \w+ (.*) ✅"") ,  if(H3118=""quartier"",vlookup(REGEXEXTRACT(C3118, ""🏘️ \w+ \w+ (.*) ✅""),'Quartier prepositio"&amp;"ns'!A:E, 5, 0) ,  if(H3118=""region"",vlookup(REGEXEXTRACT(C3118, ""🏘️ \w+ \w+ (.*) ✅""),'Region prepositions'!B:F, 5, 0),  REGEXEXTRACT(C3118, ""🏘️ \w+ \w+ (.*) ✅""))))"),"#N/A")</f>
        <v>#N/A</v>
      </c>
      <c r="I3118" s="4" t="str">
        <f>IFERROR(__xludf.DUMMYFUNCTION("if(D3118=""variant"",  substitute(filter(Templates!E:E, Templates!A:A = F3118, Templates!B:B = G3118, Templates!C:C = H3118), ""{{}}"", E3118), B3118)"),"Vendre maison Iseo: Trouvez le bien immobilier qui correspond idéalement à vos désirs sur ImmoScout24 - La plateforme de l'immobilier en Suisse.")</f>
        <v>Vendre maison Iseo: Trouvez le bien immobilier qui correspond idéalement à vos désirs sur ImmoScout24 - La plateforme de l'immobilier en Suisse.</v>
      </c>
    </row>
    <row r="3119" hidden="1">
      <c r="A3119" s="5" t="s">
        <v>9341</v>
      </c>
      <c r="B3119" s="2" t="s">
        <v>9342</v>
      </c>
      <c r="C3119" s="2" t="s">
        <v>9342</v>
      </c>
      <c r="D3119" s="4" t="str">
        <f>vlookup(A3119, Sheet2!D:E, 2, 0)</f>
        <v>control</v>
      </c>
      <c r="E3119" s="4" t="str">
        <f>IFERROR(__xludf.DUMMYFUNCTION("if(H3119=""pays"",vlookup(REGEXEXTRACT(C3119, ""🏘️ \w+ \w+ (.*) ✅""),'Country prepositions'!A:B, 2, 0) &amp; "" "" &amp; REGEXEXTRACT(C3119, ""🏘️ \w+ \w+ (.*) ✅"") ,  if(H3119=""quartier"",vlookup(REGEXEXTRACT(C3119, ""🏘️ \w+ \w+ (.*) ✅""),'Quartier prepositio"&amp;"ns'!A:E, 5, 0) ,  if(H3119=""region"",vlookup(REGEXEXTRACT(C3119, ""🏘️ \w+ \w+ (.*) ✅""),'Region prepositions'!B:F, 5, 0),  REGEXEXTRACT(C3119, ""🏘️ \w+ \w+ (.*) ✅""))))"),"#N/A")</f>
        <v>#N/A</v>
      </c>
      <c r="I3119" s="4" t="str">
        <f>IFERROR(__xludf.DUMMYFUNCTION("if(D3119=""variant"",  substitute(filter(Templates!E:E, Templates!A:A = F3119, Templates!B:B = G3119, Templates!C:C = H3119), ""{{}}"", E3119), B3119)"),"Louer appartement Diesse: Trouvez le bien immobilier qui correspond idéalement à vos désirs sur ImmoScout24 - La plateforme de l'immobilier en Suisse.")</f>
        <v>Louer appartement Diesse: Trouvez le bien immobilier qui correspond idéalement à vos désirs sur ImmoScout24 - La plateforme de l'immobilier en Suisse.</v>
      </c>
    </row>
    <row r="3120" hidden="1">
      <c r="A3120" s="5" t="s">
        <v>9343</v>
      </c>
      <c r="B3120" s="2" t="s">
        <v>9344</v>
      </c>
      <c r="C3120" s="2" t="s">
        <v>9344</v>
      </c>
      <c r="D3120" s="4" t="str">
        <f>vlookup(A3120, Sheet2!D:E, 2, 0)</f>
        <v>control</v>
      </c>
      <c r="E3120" s="4" t="str">
        <f>IFERROR(__xludf.DUMMYFUNCTION("if(H3120=""pays"",vlookup(REGEXEXTRACT(C3120, ""🏘️ \w+ \w+ (.*) ✅""),'Country prepositions'!A:B, 2, 0) &amp; "" "" &amp; REGEXEXTRACT(C3120, ""🏘️ \w+ \w+ (.*) ✅"") ,  if(H3120=""quartier"",vlookup(REGEXEXTRACT(C3120, ""🏘️ \w+ \w+ (.*) ✅""),'Quartier prepositio"&amp;"ns'!A:E, 5, 0) ,  if(H3120=""region"",vlookup(REGEXEXTRACT(C3120, ""🏘️ \w+ \w+ (.*) ✅""),'Region prepositions'!B:F, 5, 0),  REGEXEXTRACT(C3120, ""🏘️ \w+ \w+ (.*) ✅""))))"),"#N/A")</f>
        <v>#N/A</v>
      </c>
      <c r="I3120" s="4" t="str">
        <f>IFERROR(__xludf.DUMMYFUNCTION("if(D3120=""variant"",  substitute(filter(Templates!E:E, Templates!A:A = F3120, Templates!B:B = G3120, Templates!C:C = H3120), ""{{}}"", E3120), B3120)"),"Louer appartement Pratteln: Trouvez le bien immobilier qui correspond idéalement à vos désirs sur ImmoScout24 - La plateforme de l'immobilier en Suisse.")</f>
        <v>Louer appartement Pratteln: Trouvez le bien immobilier qui correspond idéalement à vos désirs sur ImmoScout24 - La plateforme de l'immobilier en Suisse.</v>
      </c>
    </row>
    <row r="3121" hidden="1">
      <c r="A3121" s="5" t="s">
        <v>9345</v>
      </c>
      <c r="B3121" s="2" t="s">
        <v>9346</v>
      </c>
      <c r="C3121" s="2" t="s">
        <v>9346</v>
      </c>
      <c r="D3121" s="4" t="str">
        <f>vlookup(A3121, Sheet2!D:E, 2, 0)</f>
        <v>control</v>
      </c>
      <c r="E3121" s="4" t="str">
        <f>IFERROR(__xludf.DUMMYFUNCTION("if(H3121=""pays"",vlookup(REGEXEXTRACT(C3121, ""🏘️ \w+ \w+ (.*) ✅""),'Country prepositions'!A:B, 2, 0) &amp; "" "" &amp; REGEXEXTRACT(C3121, ""🏘️ \w+ \w+ (.*) ✅"") ,  if(H3121=""quartier"",vlookup(REGEXEXTRACT(C3121, ""🏘️ \w+ \w+ (.*) ✅""),'Quartier prepositio"&amp;"ns'!A:E, 5, 0) ,  if(H3121=""region"",vlookup(REGEXEXTRACT(C3121, ""🏘️ \w+ \w+ (.*) ✅""),'Region prepositions'!B:F, 5, 0),  REGEXEXTRACT(C3121, ""🏘️ \w+ \w+ (.*) ✅""))))"),"#N/A")</f>
        <v>#N/A</v>
      </c>
      <c r="I3121" s="4" t="str">
        <f>IFERROR(__xludf.DUMMYFUNCTION("if(D3121=""variant"",  substitute(filter(Templates!E:E, Templates!A:A = F3121, Templates!B:B = G3121, Templates!C:C = H3121), ""{{}}"", E3121), B3121)"),"Louer appartement Schwarzenberg LU: Trouvez le bien immobilier qui correspond idéalement à vos désirs sur ImmoScout24 - La plateforme de l'immobilier en Suisse.")</f>
        <v>Louer appartement Schwarzenberg LU: Trouvez le bien immobilier qui correspond idéalement à vos désirs sur ImmoScout24 - La plateforme de l'immobilier en Suisse.</v>
      </c>
    </row>
    <row r="3122" hidden="1">
      <c r="A3122" s="5" t="s">
        <v>9347</v>
      </c>
      <c r="B3122" s="2" t="s">
        <v>9348</v>
      </c>
      <c r="C3122" s="2" t="s">
        <v>9348</v>
      </c>
      <c r="D3122" s="4" t="str">
        <f>vlookup(A3122, Sheet2!D:E, 2, 0)</f>
        <v>control</v>
      </c>
      <c r="E3122" s="4" t="str">
        <f>IFERROR(__xludf.DUMMYFUNCTION("if(H3122=""pays"",vlookup(REGEXEXTRACT(C3122, ""🏘️ \w+ \w+ (.*) ✅""),'Country prepositions'!A:B, 2, 0) &amp; "" "" &amp; REGEXEXTRACT(C3122, ""🏘️ \w+ \w+ (.*) ✅"") ,  if(H3122=""quartier"",vlookup(REGEXEXTRACT(C3122, ""🏘️ \w+ \w+ (.*) ✅""),'Quartier prepositio"&amp;"ns'!A:E, 5, 0) ,  if(H3122=""region"",vlookup(REGEXEXTRACT(C3122, ""🏘️ \w+ \w+ (.*) ✅""),'Region prepositions'!B:F, 5, 0),  REGEXEXTRACT(C3122, ""🏘️ \w+ \w+ (.*) ✅""))))"),"#N/A")</f>
        <v>#N/A</v>
      </c>
      <c r="I3122" s="4" t="str">
        <f>IFERROR(__xludf.DUMMYFUNCTION("if(D3122=""variant"",  substitute(filter(Templates!E:E, Templates!A:A = F3122, Templates!B:B = G3122, Templates!C:C = H3122), ""{{}}"", E3122), B3122)"),"Vendre appartement Bussnang: Trouvez le bien immobilier qui correspond idéalement à vos désirs sur ImmoScout24 - La plateforme de l'immobilier en Suisse.")</f>
        <v>Vendre appartement Bussnang: Trouvez le bien immobilier qui correspond idéalement à vos désirs sur ImmoScout24 - La plateforme de l'immobilier en Suisse.</v>
      </c>
    </row>
    <row r="3123" hidden="1">
      <c r="A3123" s="5" t="s">
        <v>9349</v>
      </c>
      <c r="B3123" s="2" t="s">
        <v>9350</v>
      </c>
      <c r="C3123" s="2" t="s">
        <v>9350</v>
      </c>
      <c r="D3123" s="4" t="str">
        <f>vlookup(A3123, Sheet2!D:E, 2, 0)</f>
        <v>control</v>
      </c>
      <c r="E3123" s="4" t="str">
        <f>IFERROR(__xludf.DUMMYFUNCTION("if(H3123=""pays"",vlookup(REGEXEXTRACT(C3123, ""🏘️ \w+ \w+ (.*) ✅""),'Country prepositions'!A:B, 2, 0) &amp; "" "" &amp; REGEXEXTRACT(C3123, ""🏘️ \w+ \w+ (.*) ✅"") ,  if(H3123=""quartier"",vlookup(REGEXEXTRACT(C3123, ""🏘️ \w+ \w+ (.*) ✅""),'Quartier prepositio"&amp;"ns'!A:E, 5, 0) ,  if(H3123=""region"",vlookup(REGEXEXTRACT(C3123, ""🏘️ \w+ \w+ (.*) ✅""),'Region prepositions'!B:F, 5, 0),  REGEXEXTRACT(C3123, ""🏘️ \w+ \w+ (.*) ✅""))))"),"#N/A")</f>
        <v>#N/A</v>
      </c>
      <c r="I3123" s="4" t="str">
        <f>IFERROR(__xludf.DUMMYFUNCTION("if(D3123=""variant"",  substitute(filter(Templates!E:E, Templates!A:A = F3123, Templates!B:B = G3123, Templates!C:C = H3123), ""{{}}"", E3123), B3123)"),"Vendre maison Le Noirmont: Trouvez le bien immobilier qui correspond idéalement à vos désirs sur ImmoScout24 - La plateforme de l'immobilier en Suisse.")</f>
        <v>Vendre maison Le Noirmont: Trouvez le bien immobilier qui correspond idéalement à vos désirs sur ImmoScout24 - La plateforme de l'immobilier en Suisse.</v>
      </c>
    </row>
    <row r="3124" hidden="1">
      <c r="A3124" s="5" t="s">
        <v>9351</v>
      </c>
      <c r="B3124" s="2" t="s">
        <v>9352</v>
      </c>
      <c r="C3124" s="2" t="s">
        <v>9352</v>
      </c>
      <c r="D3124" s="4" t="str">
        <f>vlookup(A3124, Sheet2!D:E, 2, 0)</f>
        <v>control</v>
      </c>
      <c r="E3124" s="4" t="str">
        <f>IFERROR(__xludf.DUMMYFUNCTION("if(H3124=""pays"",vlookup(REGEXEXTRACT(C3124, ""🏘️ \w+ \w+ (.*) ✅""),'Country prepositions'!A:B, 2, 0) &amp; "" "" &amp; REGEXEXTRACT(C3124, ""🏘️ \w+ \w+ (.*) ✅"") ,  if(H3124=""quartier"",vlookup(REGEXEXTRACT(C3124, ""🏘️ \w+ \w+ (.*) ✅""),'Quartier prepositio"&amp;"ns'!A:E, 5, 0) ,  if(H3124=""region"",vlookup(REGEXEXTRACT(C3124, ""🏘️ \w+ \w+ (.*) ✅""),'Region prepositions'!B:F, 5, 0),  REGEXEXTRACT(C3124, ""🏘️ \w+ \w+ (.*) ✅""))))"),"#N/A")</f>
        <v>#N/A</v>
      </c>
      <c r="I3124" s="4" t="str">
        <f>IFERROR(__xludf.DUMMYFUNCTION("if(D3124=""variant"",  substitute(filter(Templates!E:E, Templates!A:A = F3124, Templates!B:B = G3124, Templates!C:C = H3124), ""{{}}"", E3124), B3124)"),"Louer appartement Bossons - Blécherette (Lausanne): Trouvez le bien immobilier qui correspond idéalement à vos désirs sur ImmoScout24 - La plateforme de l'immobilier en Suisse.")</f>
        <v>Louer appartement Bossons - Blécherette (Lausanne): Trouvez le bien immobilier qui correspond idéalement à vos désirs sur ImmoScout24 - La plateforme de l'immobilier en Suisse.</v>
      </c>
    </row>
    <row r="3125" hidden="1">
      <c r="A3125" s="5" t="s">
        <v>9353</v>
      </c>
      <c r="B3125" s="2" t="s">
        <v>9354</v>
      </c>
      <c r="C3125" s="2" t="s">
        <v>9354</v>
      </c>
      <c r="D3125" s="4" t="str">
        <f>vlookup(A3125, Sheet2!D:E, 2, 0)</f>
        <v>control</v>
      </c>
      <c r="E3125" s="4" t="str">
        <f>IFERROR(__xludf.DUMMYFUNCTION("if(H3125=""pays"",vlookup(REGEXEXTRACT(C3125, ""🏘️ \w+ \w+ (.*) ✅""),'Country prepositions'!A:B, 2, 0) &amp; "" "" &amp; REGEXEXTRACT(C3125, ""🏘️ \w+ \w+ (.*) ✅"") ,  if(H3125=""quartier"",vlookup(REGEXEXTRACT(C3125, ""🏘️ \w+ \w+ (.*) ✅""),'Quartier prepositio"&amp;"ns'!A:E, 5, 0) ,  if(H3125=""region"",vlookup(REGEXEXTRACT(C3125, ""🏘️ \w+ \w+ (.*) ✅""),'Region prepositions'!B:F, 5, 0),  REGEXEXTRACT(C3125, ""🏘️ \w+ \w+ (.*) ✅""))))"),"#N/A")</f>
        <v>#N/A</v>
      </c>
      <c r="I3125" s="4" t="str">
        <f>IFERROR(__xludf.DUMMYFUNCTION("if(D3125=""variant"",  substitute(filter(Templates!E:E, Templates!A:A = F3125, Templates!B:B = G3125, Templates!C:C = H3125), ""{{}}"", E3125), B3125)"),"Vendre maison Montfaucon: Trouvez le bien immobilier qui correspond idéalement à vos désirs sur ImmoScout24 - La plateforme de l'immobilier en Suisse.")</f>
        <v>Vendre maison Montfaucon: Trouvez le bien immobilier qui correspond idéalement à vos désirs sur ImmoScout24 - La plateforme de l'immobilier en Suisse.</v>
      </c>
    </row>
    <row r="3126" hidden="1">
      <c r="A3126" s="5" t="s">
        <v>9355</v>
      </c>
      <c r="B3126" s="2" t="s">
        <v>9356</v>
      </c>
      <c r="C3126" s="2" t="s">
        <v>9356</v>
      </c>
      <c r="D3126" s="4" t="str">
        <f>vlookup(A3126, Sheet2!D:E, 2, 0)</f>
        <v>control</v>
      </c>
      <c r="E3126" s="4" t="str">
        <f>IFERROR(__xludf.DUMMYFUNCTION("if(H3126=""pays"",vlookup(REGEXEXTRACT(C3126, ""🏘️ \w+ \w+ (.*) ✅""),'Country prepositions'!A:B, 2, 0) &amp; "" "" &amp; REGEXEXTRACT(C3126, ""🏘️ \w+ \w+ (.*) ✅"") ,  if(H3126=""quartier"",vlookup(REGEXEXTRACT(C3126, ""🏘️ \w+ \w+ (.*) ✅""),'Quartier prepositio"&amp;"ns'!A:E, 5, 0) ,  if(H3126=""region"",vlookup(REGEXEXTRACT(C3126, ""🏘️ \w+ \w+ (.*) ✅""),'Region prepositions'!B:F, 5, 0),  REGEXEXTRACT(C3126, ""🏘️ \w+ \w+ (.*) ✅""))))"),"#N/A")</f>
        <v>#N/A</v>
      </c>
      <c r="I3126" s="4" t="str">
        <f>IFERROR(__xludf.DUMMYFUNCTION("if(D3126=""variant"",  substitute(filter(Templates!E:E, Templates!A:A = F3126, Templates!B:B = G3126, Templates!C:C = H3126), ""{{}}"", E3126), B3126)"),"Vendre appartement Thônex: Trouvez le bien immobilier qui correspond idéalement à vos désirs sur ImmoScout24 - La plateforme de l'immobilier en Suisse.")</f>
        <v>Vendre appartement Thônex: Trouvez le bien immobilier qui correspond idéalement à vos désirs sur ImmoScout24 - La plateforme de l'immobilier en Suisse.</v>
      </c>
    </row>
    <row r="3127" hidden="1">
      <c r="A3127" s="5" t="s">
        <v>9357</v>
      </c>
      <c r="B3127" s="2" t="s">
        <v>9358</v>
      </c>
      <c r="C3127" s="2" t="s">
        <v>9358</v>
      </c>
      <c r="D3127" s="4" t="str">
        <f>vlookup(A3127, Sheet2!D:E, 2, 0)</f>
        <v>control</v>
      </c>
      <c r="E3127" s="4" t="str">
        <f>IFERROR(__xludf.DUMMYFUNCTION("if(H3127=""pays"",vlookup(REGEXEXTRACT(C3127, ""🏘️ \w+ \w+ (.*) ✅""),'Country prepositions'!A:B, 2, 0) &amp; "" "" &amp; REGEXEXTRACT(C3127, ""🏘️ \w+ \w+ (.*) ✅"") ,  if(H3127=""quartier"",vlookup(REGEXEXTRACT(C3127, ""🏘️ \w+ \w+ (.*) ✅""),'Quartier prepositio"&amp;"ns'!A:E, 5, 0) ,  if(H3127=""region"",vlookup(REGEXEXTRACT(C3127, ""🏘️ \w+ \w+ (.*) ✅""),'Region prepositions'!B:F, 5, 0),  REGEXEXTRACT(C3127, ""🏘️ \w+ \w+ (.*) ✅""))))"),"#N/A")</f>
        <v>#N/A</v>
      </c>
      <c r="I3127" s="4" t="str">
        <f>IFERROR(__xludf.DUMMYFUNCTION("if(D3127=""variant"",  substitute(filter(Templates!E:E, Templates!A:A = F3127, Templates!B:B = G3127, Templates!C:C = H3127), ""{{}}"", E3127), B3127)"),"Louer appartement Oberiberg: Trouvez le bien immobilier qui correspond idéalement à vos désirs sur ImmoScout24 - La plateforme de l'immobilier en Suisse.")</f>
        <v>Louer appartement Oberiberg: Trouvez le bien immobilier qui correspond idéalement à vos désirs sur ImmoScout24 - La plateforme de l'immobilier en Suisse.</v>
      </c>
    </row>
    <row r="3128" hidden="1">
      <c r="A3128" s="5" t="s">
        <v>9359</v>
      </c>
      <c r="B3128" s="2" t="s">
        <v>9360</v>
      </c>
      <c r="C3128" s="2" t="s">
        <v>9360</v>
      </c>
      <c r="D3128" s="4" t="str">
        <f>vlookup(A3128, Sheet2!D:E, 2, 0)</f>
        <v>control</v>
      </c>
      <c r="E3128" s="4" t="str">
        <f>IFERROR(__xludf.DUMMYFUNCTION("if(H3128=""pays"",vlookup(REGEXEXTRACT(C3128, ""🏘️ \w+ \w+ (.*) ✅""),'Country prepositions'!A:B, 2, 0) &amp; "" "" &amp; REGEXEXTRACT(C3128, ""🏘️ \w+ \w+ (.*) ✅"") ,  if(H3128=""quartier"",vlookup(REGEXEXTRACT(C3128, ""🏘️ \w+ \w+ (.*) ✅""),'Quartier prepositio"&amp;"ns'!A:E, 5, 0) ,  if(H3128=""region"",vlookup(REGEXEXTRACT(C3128, ""🏘️ \w+ \w+ (.*) ✅""),'Region prepositions'!B:F, 5, 0),  REGEXEXTRACT(C3128, ""🏘️ \w+ \w+ (.*) ✅""))))"),"#N/A")</f>
        <v>#N/A</v>
      </c>
      <c r="I3128" s="4" t="str">
        <f>IFERROR(__xludf.DUMMYFUNCTION("if(D3128=""variant"",  substitute(filter(Templates!E:E, Templates!A:A = F3128, Templates!B:B = G3128, Templates!C:C = H3128), ""{{}}"", E3128), B3128)"),"Vendre maison Fregiécourt: Trouvez le bien immobilier qui correspond idéalement à vos désirs sur ImmoScout24 - La plateforme de l'immobilier en Suisse.")</f>
        <v>Vendre maison Fregiécourt: Trouvez le bien immobilier qui correspond idéalement à vos désirs sur ImmoScout24 - La plateforme de l'immobilier en Suisse.</v>
      </c>
    </row>
    <row r="3129" hidden="1">
      <c r="A3129" s="5" t="s">
        <v>9361</v>
      </c>
      <c r="B3129" s="2" t="s">
        <v>9362</v>
      </c>
      <c r="C3129" s="2" t="s">
        <v>9362</v>
      </c>
      <c r="D3129" s="4" t="str">
        <f>vlookup(A3129, Sheet2!D:E, 2, 0)</f>
        <v>control</v>
      </c>
      <c r="E3129" s="4" t="str">
        <f>IFERROR(__xludf.DUMMYFUNCTION("if(H3129=""pays"",vlookup(REGEXEXTRACT(C3129, ""🏘️ \w+ \w+ (.*) ✅""),'Country prepositions'!A:B, 2, 0) &amp; "" "" &amp; REGEXEXTRACT(C3129, ""🏘️ \w+ \w+ (.*) ✅"") ,  if(H3129=""quartier"",vlookup(REGEXEXTRACT(C3129, ""🏘️ \w+ \w+ (.*) ✅""),'Quartier prepositio"&amp;"ns'!A:E, 5, 0) ,  if(H3129=""region"",vlookup(REGEXEXTRACT(C3129, ""🏘️ \w+ \w+ (.*) ✅""),'Region prepositions'!B:F, 5, 0),  REGEXEXTRACT(C3129, ""🏘️ \w+ \w+ (.*) ✅""))))"),"#N/A")</f>
        <v>#N/A</v>
      </c>
      <c r="I3129" s="4" t="str">
        <f>IFERROR(__xludf.DUMMYFUNCTION("if(D3129=""variant"",  substitute(filter(Templates!E:E, Templates!A:A = F3129, Templates!B:B = G3129, Templates!C:C = H3129), ""{{}}"", E3129), B3129)"),"Vendre maison Grandfontaine: Trouvez le bien immobilier qui correspond idéalement à vos désirs sur ImmoScout24 - La plateforme de l'immobilier en Suisse.")</f>
        <v>Vendre maison Grandfontaine: Trouvez le bien immobilier qui correspond idéalement à vos désirs sur ImmoScout24 - La plateforme de l'immobilier en Suisse.</v>
      </c>
    </row>
    <row r="3130" hidden="1">
      <c r="A3130" s="5" t="s">
        <v>9363</v>
      </c>
      <c r="B3130" s="2" t="s">
        <v>9364</v>
      </c>
      <c r="C3130" s="2" t="s">
        <v>9364</v>
      </c>
      <c r="D3130" s="4" t="str">
        <f>vlookup(A3130, Sheet2!D:E, 2, 0)</f>
        <v>control</v>
      </c>
      <c r="E3130" s="4" t="str">
        <f>IFERROR(__xludf.DUMMYFUNCTION("if(H3130=""pays"",vlookup(REGEXEXTRACT(C3130, ""🏘️ \w+ \w+ (.*) ✅""),'Country prepositions'!A:B, 2, 0) &amp; "" "" &amp; REGEXEXTRACT(C3130, ""🏘️ \w+ \w+ (.*) ✅"") ,  if(H3130=""quartier"",vlookup(REGEXEXTRACT(C3130, ""🏘️ \w+ \w+ (.*) ✅""),'Quartier prepositio"&amp;"ns'!A:E, 5, 0) ,  if(H3130=""region"",vlookup(REGEXEXTRACT(C3130, ""🏘️ \w+ \w+ (.*) ✅""),'Region prepositions'!B:F, 5, 0),  REGEXEXTRACT(C3130, ""🏘️ \w+ \w+ (.*) ✅""))))"),"#N/A")</f>
        <v>#N/A</v>
      </c>
      <c r="I3130" s="4" t="str">
        <f>IFERROR(__xludf.DUMMYFUNCTION("if(D3130=""variant"",  substitute(filter(Templates!E:E, Templates!A:A = F3130, Templates!B:B = G3130, Templates!C:C = H3130), ""{{}}"", E3130), B3130)"),"Louer appartement Haag (Rheintal): Trouvez le bien immobilier qui correspond idéalement à vos désirs sur ImmoScout24 - La plateforme de l'immobilier en Suisse.")</f>
        <v>Louer appartement Haag (Rheintal): Trouvez le bien immobilier qui correspond idéalement à vos désirs sur ImmoScout24 - La plateforme de l'immobilier en Suisse.</v>
      </c>
    </row>
    <row r="3131" hidden="1">
      <c r="A3131" s="5" t="s">
        <v>9365</v>
      </c>
      <c r="B3131" s="2" t="s">
        <v>9366</v>
      </c>
      <c r="C3131" s="2" t="s">
        <v>9366</v>
      </c>
      <c r="D3131" s="4" t="str">
        <f>vlookup(A3131, Sheet2!D:E, 2, 0)</f>
        <v>control</v>
      </c>
      <c r="E3131" s="4" t="str">
        <f>IFERROR(__xludf.DUMMYFUNCTION("if(H3131=""pays"",vlookup(REGEXEXTRACT(C3131, ""🏘️ \w+ \w+ (.*) ✅""),'Country prepositions'!A:B, 2, 0) &amp; "" "" &amp; REGEXEXTRACT(C3131, ""🏘️ \w+ \w+ (.*) ✅"") ,  if(H3131=""quartier"",vlookup(REGEXEXTRACT(C3131, ""🏘️ \w+ \w+ (.*) ✅""),'Quartier prepositio"&amp;"ns'!A:E, 5, 0) ,  if(H3131=""region"",vlookup(REGEXEXTRACT(C3131, ""🏘️ \w+ \w+ (.*) ✅""),'Region prepositions'!B:F, 5, 0),  REGEXEXTRACT(C3131, ""🏘️ \w+ \w+ (.*) ✅""))))"),"#N/A")</f>
        <v>#N/A</v>
      </c>
      <c r="I3131" s="4" t="str">
        <f>IFERROR(__xludf.DUMMYFUNCTION("if(D3131=""variant"",  substitute(filter(Templates!E:E, Templates!A:A = F3131, Templates!B:B = G3131, Templates!C:C = H3131), ""{{}}"", E3131), B3131)"),"Vendre appartement Stoos SZ: Trouvez le bien immobilier qui correspond idéalement à vos désirs sur ImmoScout24 - La plateforme de l'immobilier en Suisse.")</f>
        <v>Vendre appartement Stoos SZ: Trouvez le bien immobilier qui correspond idéalement à vos désirs sur ImmoScout24 - La plateforme de l'immobilier en Suisse.</v>
      </c>
    </row>
    <row r="3132" hidden="1">
      <c r="A3132" s="5" t="s">
        <v>9367</v>
      </c>
      <c r="B3132" s="2" t="s">
        <v>9368</v>
      </c>
      <c r="C3132" s="2" t="s">
        <v>9368</v>
      </c>
      <c r="D3132" s="4" t="str">
        <f>vlookup(A3132, Sheet2!D:E, 2, 0)</f>
        <v>control</v>
      </c>
      <c r="E3132" s="4" t="str">
        <f>IFERROR(__xludf.DUMMYFUNCTION("if(H3132=""pays"",vlookup(REGEXEXTRACT(C3132, ""🏘️ \w+ \w+ (.*) ✅""),'Country prepositions'!A:B, 2, 0) &amp; "" "" &amp; REGEXEXTRACT(C3132, ""🏘️ \w+ \w+ (.*) ✅"") ,  if(H3132=""quartier"",vlookup(REGEXEXTRACT(C3132, ""🏘️ \w+ \w+ (.*) ✅""),'Quartier prepositio"&amp;"ns'!A:E, 5, 0) ,  if(H3132=""region"",vlookup(REGEXEXTRACT(C3132, ""🏘️ \w+ \w+ (.*) ✅""),'Region prepositions'!B:F, 5, 0),  REGEXEXTRACT(C3132, ""🏘️ \w+ \w+ (.*) ✅""))))"),"#N/A")</f>
        <v>#N/A</v>
      </c>
      <c r="I3132" s="4" t="str">
        <f>IFERROR(__xludf.DUMMYFUNCTION("if(D3132=""variant"",  substitute(filter(Templates!E:E, Templates!A:A = F3132, Templates!B:B = G3132, Templates!C:C = H3132), ""{{}}"", E3132), B3132)"),"Vendre maison Gerra (Verzasca): Trouvez le bien immobilier qui correspond idéalement à vos désirs sur ImmoScout24 - La plateforme de l'immobilier en Suisse.")</f>
        <v>Vendre maison Gerra (Verzasca): Trouvez le bien immobilier qui correspond idéalement à vos désirs sur ImmoScout24 - La plateforme de l'immobilier en Suisse.</v>
      </c>
    </row>
    <row r="3133" hidden="1">
      <c r="A3133" s="5" t="s">
        <v>9369</v>
      </c>
      <c r="B3133" s="2" t="s">
        <v>9370</v>
      </c>
      <c r="C3133" s="2" t="s">
        <v>9370</v>
      </c>
      <c r="D3133" s="4" t="str">
        <f>vlookup(A3133, Sheet2!D:E, 2, 0)</f>
        <v>control</v>
      </c>
      <c r="E3133" s="4" t="str">
        <f>IFERROR(__xludf.DUMMYFUNCTION("if(H3133=""pays"",vlookup(REGEXEXTRACT(C3133, ""🏘️ \w+ \w+ (.*) ✅""),'Country prepositions'!A:B, 2, 0) &amp; "" "" &amp; REGEXEXTRACT(C3133, ""🏘️ \w+ \w+ (.*) ✅"") ,  if(H3133=""quartier"",vlookup(REGEXEXTRACT(C3133, ""🏘️ \w+ \w+ (.*) ✅""),'Quartier prepositio"&amp;"ns'!A:E, 5, 0) ,  if(H3133=""region"",vlookup(REGEXEXTRACT(C3133, ""🏘️ \w+ \w+ (.*) ✅""),'Region prepositions'!B:F, 5, 0),  REGEXEXTRACT(C3133, ""🏘️ \w+ \w+ (.*) ✅""))))"),"#N/A")</f>
        <v>#N/A</v>
      </c>
      <c r="I3133" s="4" t="str">
        <f>IFERROR(__xludf.DUMMYFUNCTION("if(D3133=""variant"",  substitute(filter(Templates!E:E, Templates!A:A = F3133, Templates!B:B = G3133, Templates!C:C = H3133), ""{{}}"", E3133), B3133)"),"Louer appartement Chermignon: Trouvez le bien immobilier qui correspond idéalement à vos désirs sur ImmoScout24 - La plateforme de l'immobilier en Suisse.")</f>
        <v>Louer appartement Chermignon: Trouvez le bien immobilier qui correspond idéalement à vos désirs sur ImmoScout24 - La plateforme de l'immobilier en Suisse.</v>
      </c>
    </row>
    <row r="3134" hidden="1">
      <c r="A3134" s="5" t="s">
        <v>9371</v>
      </c>
      <c r="B3134" s="2" t="s">
        <v>9372</v>
      </c>
      <c r="C3134" s="2" t="s">
        <v>9372</v>
      </c>
      <c r="D3134" s="4" t="str">
        <f>vlookup(A3134, Sheet2!D:E, 2, 0)</f>
        <v>control</v>
      </c>
      <c r="E3134" s="4" t="str">
        <f>IFERROR(__xludf.DUMMYFUNCTION("if(H3134=""pays"",vlookup(REGEXEXTRACT(C3134, ""🏘️ \w+ \w+ (.*) ✅""),'Country prepositions'!A:B, 2, 0) &amp; "" "" &amp; REGEXEXTRACT(C3134, ""🏘️ \w+ \w+ (.*) ✅"") ,  if(H3134=""quartier"",vlookup(REGEXEXTRACT(C3134, ""🏘️ \w+ \w+ (.*) ✅""),'Quartier prepositio"&amp;"ns'!A:E, 5, 0) ,  if(H3134=""region"",vlookup(REGEXEXTRACT(C3134, ""🏘️ \w+ \w+ (.*) ✅""),'Region prepositions'!B:F, 5, 0),  REGEXEXTRACT(C3134, ""🏘️ \w+ \w+ (.*) ✅""))))"),"#N/A")</f>
        <v>#N/A</v>
      </c>
      <c r="I3134" s="4" t="str">
        <f>IFERROR(__xludf.DUMMYFUNCTION("if(D3134=""variant"",  substitute(filter(Templates!E:E, Templates!A:A = F3134, Templates!B:B = G3134, Templates!C:C = H3134), ""{{}}"", E3134), B3134)"),"Louer appartement Chevroux: Trouvez le bien immobilier qui correspond idéalement à vos désirs sur ImmoScout24 - La plateforme de l'immobilier en Suisse.")</f>
        <v>Louer appartement Chevroux: Trouvez le bien immobilier qui correspond idéalement à vos désirs sur ImmoScout24 - La plateforme de l'immobilier en Suisse.</v>
      </c>
    </row>
    <row r="3135" hidden="1">
      <c r="A3135" s="5" t="s">
        <v>9373</v>
      </c>
      <c r="B3135" s="2" t="s">
        <v>9374</v>
      </c>
      <c r="C3135" s="2" t="s">
        <v>9374</v>
      </c>
      <c r="D3135" s="4" t="str">
        <f>vlookup(A3135, Sheet2!D:E, 2, 0)</f>
        <v>control</v>
      </c>
      <c r="E3135" s="4" t="str">
        <f>IFERROR(__xludf.DUMMYFUNCTION("if(H3135=""pays"",vlookup(REGEXEXTRACT(C3135, ""🏘️ \w+ \w+ (.*) ✅""),'Country prepositions'!A:B, 2, 0) &amp; "" "" &amp; REGEXEXTRACT(C3135, ""🏘️ \w+ \w+ (.*) ✅"") ,  if(H3135=""quartier"",vlookup(REGEXEXTRACT(C3135, ""🏘️ \w+ \w+ (.*) ✅""),'Quartier prepositio"&amp;"ns'!A:E, 5, 0) ,  if(H3135=""region"",vlookup(REGEXEXTRACT(C3135, ""🏘️ \w+ \w+ (.*) ✅""),'Region prepositions'!B:F, 5, 0),  REGEXEXTRACT(C3135, ""🏘️ \w+ \w+ (.*) ✅""))))"),"#N/A")</f>
        <v>#N/A</v>
      </c>
      <c r="I3135" s="4" t="str">
        <f>IFERROR(__xludf.DUMMYFUNCTION("if(D3135=""variant"",  substitute(filter(Templates!E:E, Templates!A:A = F3135, Templates!B:B = G3135, Templates!C:C = H3135), ""{{}}"", E3135), B3135)"),"Vendre appartement Dotzigen: Trouvez le bien immobilier qui correspond idéalement à vos désirs sur ImmoScout24 - La plateforme de l'immobilier en Suisse.")</f>
        <v>Vendre appartement Dotzigen: Trouvez le bien immobilier qui correspond idéalement à vos désirs sur ImmoScout24 - La plateforme de l'immobilier en Suisse.</v>
      </c>
    </row>
    <row r="3136" hidden="1">
      <c r="A3136" s="5" t="s">
        <v>9375</v>
      </c>
      <c r="B3136" s="2" t="s">
        <v>9376</v>
      </c>
      <c r="C3136" s="2" t="s">
        <v>9376</v>
      </c>
      <c r="D3136" s="4" t="str">
        <f>vlookup(A3136, Sheet2!D:E, 2, 0)</f>
        <v>control</v>
      </c>
      <c r="E3136" s="4" t="str">
        <f>IFERROR(__xludf.DUMMYFUNCTION("if(H3136=""pays"",vlookup(REGEXEXTRACT(C3136, ""🏘️ \w+ \w+ (.*) ✅""),'Country prepositions'!A:B, 2, 0) &amp; "" "" &amp; REGEXEXTRACT(C3136, ""🏘️ \w+ \w+ (.*) ✅"") ,  if(H3136=""quartier"",vlookup(REGEXEXTRACT(C3136, ""🏘️ \w+ \w+ (.*) ✅""),'Quartier prepositio"&amp;"ns'!A:E, 5, 0) ,  if(H3136=""region"",vlookup(REGEXEXTRACT(C3136, ""🏘️ \w+ \w+ (.*) ✅""),'Region prepositions'!B:F, 5, 0),  REGEXEXTRACT(C3136, ""🏘️ \w+ \w+ (.*) ✅""))))"),"#N/A")</f>
        <v>#N/A</v>
      </c>
      <c r="I3136" s="4" t="str">
        <f>IFERROR(__xludf.DUMMYFUNCTION("if(D3136=""variant"",  substitute(filter(Templates!E:E, Templates!A:A = F3136, Templates!B:B = G3136, Templates!C:C = H3136), ""{{}}"", E3136), B3136)"),"Louer appartement Saillon: Trouvez le bien immobilier qui correspond idéalement à vos désirs sur ImmoScout24 - La plateforme de l'immobilier en Suisse.")</f>
        <v>Louer appartement Saillon: Trouvez le bien immobilier qui correspond idéalement à vos désirs sur ImmoScout24 - La plateforme de l'immobilier en Suisse.</v>
      </c>
    </row>
    <row r="3137" hidden="1">
      <c r="A3137" s="5" t="s">
        <v>9377</v>
      </c>
      <c r="B3137" s="2" t="s">
        <v>9378</v>
      </c>
      <c r="C3137" s="2" t="s">
        <v>9378</v>
      </c>
      <c r="D3137" s="4" t="str">
        <f>vlookup(A3137, Sheet2!D:E, 2, 0)</f>
        <v>control</v>
      </c>
      <c r="E3137" s="4" t="str">
        <f>IFERROR(__xludf.DUMMYFUNCTION("if(H3137=""pays"",vlookup(REGEXEXTRACT(C3137, ""🏘️ \w+ \w+ (.*) ✅""),'Country prepositions'!A:B, 2, 0) &amp; "" "" &amp; REGEXEXTRACT(C3137, ""🏘️ \w+ \w+ (.*) ✅"") ,  if(H3137=""quartier"",vlookup(REGEXEXTRACT(C3137, ""🏘️ \w+ \w+ (.*) ✅""),'Quartier prepositio"&amp;"ns'!A:E, 5, 0) ,  if(H3137=""region"",vlookup(REGEXEXTRACT(C3137, ""🏘️ \w+ \w+ (.*) ✅""),'Region prepositions'!B:F, 5, 0),  REGEXEXTRACT(C3137, ""🏘️ \w+ \w+ (.*) ✅""))))"),"#N/A")</f>
        <v>#N/A</v>
      </c>
      <c r="I3137" s="4" t="str">
        <f>IFERROR(__xludf.DUMMYFUNCTION("if(D3137=""variant"",  substitute(filter(Templates!E:E, Templates!A:A = F3137, Templates!B:B = G3137, Templates!C:C = H3137), ""{{}}"", E3137), B3137)"),"Vendre maison Promasens: Trouvez le bien immobilier qui correspond idéalement à vos désirs sur ImmoScout24 - La plateforme de l'immobilier en Suisse.")</f>
        <v>Vendre maison Promasens: Trouvez le bien immobilier qui correspond idéalement à vos désirs sur ImmoScout24 - La plateforme de l'immobilier en Suisse.</v>
      </c>
    </row>
    <row r="3138" hidden="1">
      <c r="A3138" s="5" t="s">
        <v>9379</v>
      </c>
      <c r="B3138" s="2" t="s">
        <v>9380</v>
      </c>
      <c r="C3138" s="2" t="s">
        <v>9380</v>
      </c>
      <c r="D3138" s="4" t="str">
        <f>vlookup(A3138, Sheet2!D:E, 2, 0)</f>
        <v>control</v>
      </c>
      <c r="E3138" s="4" t="str">
        <f>IFERROR(__xludf.DUMMYFUNCTION("if(H3138=""pays"",vlookup(REGEXEXTRACT(C3138, ""🏘️ \w+ \w+ (.*) ✅""),'Country prepositions'!A:B, 2, 0) &amp; "" "" &amp; REGEXEXTRACT(C3138, ""🏘️ \w+ \w+ (.*) ✅"") ,  if(H3138=""quartier"",vlookup(REGEXEXTRACT(C3138, ""🏘️ \w+ \w+ (.*) ✅""),'Quartier prepositio"&amp;"ns'!A:E, 5, 0) ,  if(H3138=""region"",vlookup(REGEXEXTRACT(C3138, ""🏘️ \w+ \w+ (.*) ✅""),'Region prepositions'!B:F, 5, 0),  REGEXEXTRACT(C3138, ""🏘️ \w+ \w+ (.*) ✅""))))"),"#N/A")</f>
        <v>#N/A</v>
      </c>
      <c r="I3138" s="4" t="str">
        <f>IFERROR(__xludf.DUMMYFUNCTION("if(D3138=""variant"",  substitute(filter(Templates!E:E, Templates!A:A = F3138, Templates!B:B = G3138, Templates!C:C = H3138), ""{{}}"", E3138), B3138)"),"Louer maison Freienbach: Trouvez le bien immobilier qui correspond idéalement à vos désirs sur ImmoScout24 - La plateforme de l'immobilier en Suisse.")</f>
        <v>Louer maison Freienbach: Trouvez le bien immobilier qui correspond idéalement à vos désirs sur ImmoScout24 - La plateforme de l'immobilier en Suisse.</v>
      </c>
    </row>
    <row r="3139" hidden="1">
      <c r="A3139" s="5" t="s">
        <v>9381</v>
      </c>
      <c r="B3139" s="2" t="s">
        <v>9382</v>
      </c>
      <c r="C3139" s="2" t="s">
        <v>9382</v>
      </c>
      <c r="D3139" s="4" t="str">
        <f>vlookup(A3139, Sheet2!D:E, 2, 0)</f>
        <v>control</v>
      </c>
      <c r="E3139" s="4" t="str">
        <f>IFERROR(__xludf.DUMMYFUNCTION("if(H3139=""pays"",vlookup(REGEXEXTRACT(C3139, ""🏘️ \w+ \w+ (.*) ✅""),'Country prepositions'!A:B, 2, 0) &amp; "" "" &amp; REGEXEXTRACT(C3139, ""🏘️ \w+ \w+ (.*) ✅"") ,  if(H3139=""quartier"",vlookup(REGEXEXTRACT(C3139, ""🏘️ \w+ \w+ (.*) ✅""),'Quartier prepositio"&amp;"ns'!A:E, 5, 0) ,  if(H3139=""region"",vlookup(REGEXEXTRACT(C3139, ""🏘️ \w+ \w+ (.*) ✅""),'Region prepositions'!B:F, 5, 0),  REGEXEXTRACT(C3139, ""🏘️ \w+ \w+ (.*) ✅""))))"),"#N/A")</f>
        <v>#N/A</v>
      </c>
      <c r="I3139" s="4" t="str">
        <f>IFERROR(__xludf.DUMMYFUNCTION("if(D3139=""variant"",  substitute(filter(Templates!E:E, Templates!A:A = F3139, Templates!B:B = G3139, Templates!C:C = H3139), ""{{}}"", E3139), B3139)"),"Louer appartement Seleute: Trouvez le bien immobilier qui correspond idéalement à vos désirs sur ImmoScout24 - La plateforme de l'immobilier en Suisse.")</f>
        <v>Louer appartement Seleute: Trouvez le bien immobilier qui correspond idéalement à vos désirs sur ImmoScout24 - La plateforme de l'immobilier en Suisse.</v>
      </c>
    </row>
    <row r="3140" hidden="1">
      <c r="A3140" s="5" t="s">
        <v>9383</v>
      </c>
      <c r="B3140" s="2" t="s">
        <v>9384</v>
      </c>
      <c r="C3140" s="2" t="s">
        <v>9384</v>
      </c>
      <c r="D3140" s="4" t="str">
        <f>vlookup(A3140, Sheet2!D:E, 2, 0)</f>
        <v>control</v>
      </c>
      <c r="E3140" s="4" t="str">
        <f>IFERROR(__xludf.DUMMYFUNCTION("if(H3140=""pays"",vlookup(REGEXEXTRACT(C3140, ""🏘️ \w+ \w+ (.*) ✅""),'Country prepositions'!A:B, 2, 0) &amp; "" "" &amp; REGEXEXTRACT(C3140, ""🏘️ \w+ \w+ (.*) ✅"") ,  if(H3140=""quartier"",vlookup(REGEXEXTRACT(C3140, ""🏘️ \w+ \w+ (.*) ✅""),'Quartier prepositio"&amp;"ns'!A:E, 5, 0) ,  if(H3140=""region"",vlookup(REGEXEXTRACT(C3140, ""🏘️ \w+ \w+ (.*) ✅""),'Region prepositions'!B:F, 5, 0),  REGEXEXTRACT(C3140, ""🏘️ \w+ \w+ (.*) ✅""))))"),"#N/A")</f>
        <v>#N/A</v>
      </c>
      <c r="I3140" s="4" t="str">
        <f>IFERROR(__xludf.DUMMYFUNCTION("if(D3140=""variant"",  substitute(filter(Templates!E:E, Templates!A:A = F3140, Templates!B:B = G3140, Templates!C:C = H3140), ""{{}}"", E3140), B3140)"),"Vendre maison Magden: Trouvez le bien immobilier qui correspond idéalement à vos désirs sur ImmoScout24 - La plateforme de l'immobilier en Suisse.")</f>
        <v>Vendre maison Magden: Trouvez le bien immobilier qui correspond idéalement à vos désirs sur ImmoScout24 - La plateforme de l'immobilier en Suisse.</v>
      </c>
    </row>
    <row r="3141" hidden="1">
      <c r="A3141" s="5" t="s">
        <v>9385</v>
      </c>
      <c r="B3141" s="2" t="s">
        <v>9386</v>
      </c>
      <c r="C3141" s="2" t="s">
        <v>9386</v>
      </c>
      <c r="D3141" s="4" t="str">
        <f>vlookup(A3141, Sheet2!D:E, 2, 0)</f>
        <v>control</v>
      </c>
      <c r="E3141" s="4" t="str">
        <f>IFERROR(__xludf.DUMMYFUNCTION("if(H3141=""pays"",vlookup(REGEXEXTRACT(C3141, ""🏘️ \w+ \w+ (.*) ✅""),'Country prepositions'!A:B, 2, 0) &amp; "" "" &amp; REGEXEXTRACT(C3141, ""🏘️ \w+ \w+ (.*) ✅"") ,  if(H3141=""quartier"",vlookup(REGEXEXTRACT(C3141, ""🏘️ \w+ \w+ (.*) ✅""),'Quartier prepositio"&amp;"ns'!A:E, 5, 0) ,  if(H3141=""region"",vlookup(REGEXEXTRACT(C3141, ""🏘️ \w+ \w+ (.*) ✅""),'Region prepositions'!B:F, 5, 0),  REGEXEXTRACT(C3141, ""🏘️ \w+ \w+ (.*) ✅""))))"),"#N/A")</f>
        <v>#N/A</v>
      </c>
      <c r="I3141" s="4" t="str">
        <f>IFERROR(__xludf.DUMMYFUNCTION("if(D3141=""variant"",  substitute(filter(Templates!E:E, Templates!A:A = F3141, Templates!B:B = G3141, Templates!C:C = H3141), ""{{}}"", E3141), B3141)"),"Vendre appartement Visp: Trouvez le bien immobilier qui correspond idéalement à vos désirs sur ImmoScout24 - La plateforme de l'immobilier en Suisse.")</f>
        <v>Vendre appartement Visp: Trouvez le bien immobilier qui correspond idéalement à vos désirs sur ImmoScout24 - La plateforme de l'immobilier en Suisse.</v>
      </c>
    </row>
    <row r="3142" hidden="1">
      <c r="A3142" s="5" t="s">
        <v>9387</v>
      </c>
      <c r="B3142" s="2" t="s">
        <v>9388</v>
      </c>
      <c r="C3142" s="2" t="s">
        <v>9388</v>
      </c>
      <c r="D3142" s="4" t="str">
        <f>vlookup(A3142, Sheet2!D:E, 2, 0)</f>
        <v>control</v>
      </c>
      <c r="E3142" s="4" t="str">
        <f>IFERROR(__xludf.DUMMYFUNCTION("if(H3142=""pays"",vlookup(REGEXEXTRACT(C3142, ""🏘️ \w+ \w+ (.*) ✅""),'Country prepositions'!A:B, 2, 0) &amp; "" "" &amp; REGEXEXTRACT(C3142, ""🏘️ \w+ \w+ (.*) ✅"") ,  if(H3142=""quartier"",vlookup(REGEXEXTRACT(C3142, ""🏘️ \w+ \w+ (.*) ✅""),'Quartier prepositio"&amp;"ns'!A:E, 5, 0) ,  if(H3142=""region"",vlookup(REGEXEXTRACT(C3142, ""🏘️ \w+ \w+ (.*) ✅""),'Region prepositions'!B:F, 5, 0),  REGEXEXTRACT(C3142, ""🏘️ \w+ \w+ (.*) ✅""))))"),"#N/A")</f>
        <v>#N/A</v>
      </c>
      <c r="I3142" s="4" t="str">
        <f>IFERROR(__xludf.DUMMYFUNCTION("if(D3142=""variant"",  substitute(filter(Templates!E:E, Templates!A:A = F3142, Templates!B:B = G3142, Templates!C:C = H3142), ""{{}}"", E3142), B3142)"),"Louer maison Kollbrunn: Trouvez le bien immobilier qui correspond idéalement à vos désirs sur ImmoScout24 - La plateforme de l'immobilier en Suisse.")</f>
        <v>Louer maison Kollbrunn: Trouvez le bien immobilier qui correspond idéalement à vos désirs sur ImmoScout24 - La plateforme de l'immobilier en Suisse.</v>
      </c>
    </row>
    <row r="3143" hidden="1">
      <c r="A3143" s="5" t="s">
        <v>9389</v>
      </c>
      <c r="B3143" s="2" t="s">
        <v>9390</v>
      </c>
      <c r="C3143" s="2" t="s">
        <v>9390</v>
      </c>
      <c r="D3143" s="4" t="str">
        <f>vlookup(A3143, Sheet2!D:E, 2, 0)</f>
        <v>control</v>
      </c>
      <c r="E3143" s="4" t="str">
        <f>IFERROR(__xludf.DUMMYFUNCTION("if(H3143=""pays"",vlookup(REGEXEXTRACT(C3143, ""🏘️ \w+ \w+ (.*) ✅""),'Country prepositions'!A:B, 2, 0) &amp; "" "" &amp; REGEXEXTRACT(C3143, ""🏘️ \w+ \w+ (.*) ✅"") ,  if(H3143=""quartier"",vlookup(REGEXEXTRACT(C3143, ""🏘️ \w+ \w+ (.*) ✅""),'Quartier prepositio"&amp;"ns'!A:E, 5, 0) ,  if(H3143=""region"",vlookup(REGEXEXTRACT(C3143, ""🏘️ \w+ \w+ (.*) ✅""),'Region prepositions'!B:F, 5, 0),  REGEXEXTRACT(C3143, ""🏘️ \w+ \w+ (.*) ✅""))))"),"#N/A")</f>
        <v>#N/A</v>
      </c>
      <c r="I3143" s="4" t="str">
        <f>IFERROR(__xludf.DUMMYFUNCTION("if(D3143=""variant"",  substitute(filter(Templates!E:E, Templates!A:A = F3143, Templates!B:B = G3143, Templates!C:C = H3143), ""{{}}"", E3143), B3143)"),"Vendre maison Assens: Trouvez le bien immobilier qui correspond idéalement à vos désirs sur ImmoScout24 - La plateforme de l'immobilier en Suisse.")</f>
        <v>Vendre maison Assens: Trouvez le bien immobilier qui correspond idéalement à vos désirs sur ImmoScout24 - La plateforme de l'immobilier en Suisse.</v>
      </c>
    </row>
    <row r="3144" hidden="1">
      <c r="A3144" s="5" t="s">
        <v>9391</v>
      </c>
      <c r="B3144" s="2" t="s">
        <v>9392</v>
      </c>
      <c r="C3144" s="2" t="s">
        <v>9392</v>
      </c>
      <c r="D3144" s="4" t="str">
        <f>vlookup(A3144, Sheet2!D:E, 2, 0)</f>
        <v>control</v>
      </c>
      <c r="E3144" s="4" t="str">
        <f>IFERROR(__xludf.DUMMYFUNCTION("if(H3144=""pays"",vlookup(REGEXEXTRACT(C3144, ""🏘️ \w+ \w+ (.*) ✅""),'Country prepositions'!A:B, 2, 0) &amp; "" "" &amp; REGEXEXTRACT(C3144, ""🏘️ \w+ \w+ (.*) ✅"") ,  if(H3144=""quartier"",vlookup(REGEXEXTRACT(C3144, ""🏘️ \w+ \w+ (.*) ✅""),'Quartier prepositio"&amp;"ns'!A:E, 5, 0) ,  if(H3144=""region"",vlookup(REGEXEXTRACT(C3144, ""🏘️ \w+ \w+ (.*) ✅""),'Region prepositions'!B:F, 5, 0),  REGEXEXTRACT(C3144, ""🏘️ \w+ \w+ (.*) ✅""))))"),"#N/A")</f>
        <v>#N/A</v>
      </c>
      <c r="I3144" s="4" t="str">
        <f>IFERROR(__xludf.DUMMYFUNCTION("if(D3144=""variant"",  substitute(filter(Templates!E:E, Templates!A:A = F3144, Templates!B:B = G3144, Templates!C:C = H3144), ""{{}}"", E3144), B3144)"),"Louer appartement Valeyres-sous-Montagny: Trouvez le bien immobilier qui correspond idéalement à vos désirs sur ImmoScout24 - La plateforme de l'immobilier en Suisse.")</f>
        <v>Louer appartement Valeyres-sous-Montagny: Trouvez le bien immobilier qui correspond idéalement à vos désirs sur ImmoScout24 - La plateforme de l'immobilier en Suisse.</v>
      </c>
    </row>
    <row r="3145" hidden="1">
      <c r="A3145" s="5" t="s">
        <v>9393</v>
      </c>
      <c r="B3145" s="2" t="s">
        <v>9394</v>
      </c>
      <c r="C3145" s="2" t="s">
        <v>9394</v>
      </c>
      <c r="D3145" s="4" t="str">
        <f>vlookup(A3145, Sheet2!D:E, 2, 0)</f>
        <v>control</v>
      </c>
      <c r="E3145" s="4" t="str">
        <f>IFERROR(__xludf.DUMMYFUNCTION("if(H3145=""pays"",vlookup(REGEXEXTRACT(C3145, ""🏘️ \w+ \w+ (.*) ✅""),'Country prepositions'!A:B, 2, 0) &amp; "" "" &amp; REGEXEXTRACT(C3145, ""🏘️ \w+ \w+ (.*) ✅"") ,  if(H3145=""quartier"",vlookup(REGEXEXTRACT(C3145, ""🏘️ \w+ \w+ (.*) ✅""),'Quartier prepositio"&amp;"ns'!A:E, 5, 0) ,  if(H3145=""region"",vlookup(REGEXEXTRACT(C3145, ""🏘️ \w+ \w+ (.*) ✅""),'Region prepositions'!B:F, 5, 0),  REGEXEXTRACT(C3145, ""🏘️ \w+ \w+ (.*) ✅""))))"),"#N/A")</f>
        <v>#N/A</v>
      </c>
      <c r="I3145" s="4" t="str">
        <f>IFERROR(__xludf.DUMMYFUNCTION("if(D3145=""variant"",  substitute(filter(Templates!E:E, Templates!A:A = F3145, Templates!B:B = G3145, Templates!C:C = H3145), ""{{}}"", E3145), B3145)"),"Vendre maison Merligen: Trouvez le bien immobilier qui correspond idéalement à vos désirs sur ImmoScout24 - La plateforme de l'immobilier en Suisse.")</f>
        <v>Vendre maison Merligen: Trouvez le bien immobilier qui correspond idéalement à vos désirs sur ImmoScout24 - La plateforme de l'immobilier en Suisse.</v>
      </c>
    </row>
    <row r="3146" hidden="1">
      <c r="A3146" s="5" t="s">
        <v>9395</v>
      </c>
      <c r="B3146" s="2" t="s">
        <v>9396</v>
      </c>
      <c r="C3146" s="2" t="s">
        <v>9396</v>
      </c>
      <c r="D3146" s="4" t="str">
        <f>vlookup(A3146, Sheet2!D:E, 2, 0)</f>
        <v>control</v>
      </c>
      <c r="E3146" s="4" t="str">
        <f>IFERROR(__xludf.DUMMYFUNCTION("if(H3146=""pays"",vlookup(REGEXEXTRACT(C3146, ""🏘️ \w+ \w+ (.*) ✅""),'Country prepositions'!A:B, 2, 0) &amp; "" "" &amp; REGEXEXTRACT(C3146, ""🏘️ \w+ \w+ (.*) ✅"") ,  if(H3146=""quartier"",vlookup(REGEXEXTRACT(C3146, ""🏘️ \w+ \w+ (.*) ✅""),'Quartier prepositio"&amp;"ns'!A:E, 5, 0) ,  if(H3146=""region"",vlookup(REGEXEXTRACT(C3146, ""🏘️ \w+ \w+ (.*) ✅""),'Region prepositions'!B:F, 5, 0),  REGEXEXTRACT(C3146, ""🏘️ \w+ \w+ (.*) ✅""))))"),"#N/A")</f>
        <v>#N/A</v>
      </c>
      <c r="I3146" s="4" t="str">
        <f>IFERROR(__xludf.DUMMYFUNCTION("if(D3146=""variant"",  substitute(filter(Templates!E:E, Templates!A:A = F3146, Templates!B:B = G3146, Templates!C:C = H3146), ""{{}}"", E3146), B3146)"),"Vendre maison Sécheron - Prieuré (Genève): Trouvez le bien immobilier qui correspond idéalement à vos désirs sur ImmoScout24 - La plateforme de l'immobilier en Suisse.")</f>
        <v>Vendre maison Sécheron - Prieuré (Genève): Trouvez le bien immobilier qui correspond idéalement à vos désirs sur ImmoScout24 - La plateforme de l'immobilier en Suisse.</v>
      </c>
    </row>
    <row r="3147" hidden="1">
      <c r="A3147" s="5" t="s">
        <v>9397</v>
      </c>
      <c r="B3147" s="2" t="s">
        <v>9398</v>
      </c>
      <c r="C3147" s="2" t="s">
        <v>9398</v>
      </c>
      <c r="D3147" s="4" t="str">
        <f>vlookup(A3147, Sheet2!D:E, 2, 0)</f>
        <v>control</v>
      </c>
      <c r="E3147" s="4" t="str">
        <f>IFERROR(__xludf.DUMMYFUNCTION("if(H3147=""pays"",vlookup(REGEXEXTRACT(C3147, ""🏘️ \w+ \w+ (.*) ✅""),'Country prepositions'!A:B, 2, 0) &amp; "" "" &amp; REGEXEXTRACT(C3147, ""🏘️ \w+ \w+ (.*) ✅"") ,  if(H3147=""quartier"",vlookup(REGEXEXTRACT(C3147, ""🏘️ \w+ \w+ (.*) ✅""),'Quartier prepositio"&amp;"ns'!A:E, 5, 0) ,  if(H3147=""region"",vlookup(REGEXEXTRACT(C3147, ""🏘️ \w+ \w+ (.*) ✅""),'Region prepositions'!B:F, 5, 0),  REGEXEXTRACT(C3147, ""🏘️ \w+ \w+ (.*) ✅""))))"),"#N/A")</f>
        <v>#N/A</v>
      </c>
      <c r="I3147" s="4" t="str">
        <f>IFERROR(__xludf.DUMMYFUNCTION("if(D3147=""variant"",  substitute(filter(Templates!E:E, Templates!A:A = F3147, Templates!B:B = G3147, Templates!C:C = H3147), ""{{}}"", E3147), B3147)"),"Louer maison Rocourt: Trouvez le bien immobilier qui correspond idéalement à vos désirs sur ImmoScout24 - La plateforme de l'immobilier en Suisse.")</f>
        <v>Louer maison Rocourt: Trouvez le bien immobilier qui correspond idéalement à vos désirs sur ImmoScout24 - La plateforme de l'immobilier en Suisse.</v>
      </c>
    </row>
    <row r="3148" hidden="1">
      <c r="A3148" s="5" t="s">
        <v>9399</v>
      </c>
      <c r="B3148" s="2" t="s">
        <v>9400</v>
      </c>
      <c r="C3148" s="2" t="s">
        <v>9400</v>
      </c>
      <c r="D3148" s="4" t="str">
        <f>vlookup(A3148, Sheet2!D:E, 2, 0)</f>
        <v>control</v>
      </c>
      <c r="E3148" s="4" t="str">
        <f>IFERROR(__xludf.DUMMYFUNCTION("if(H3148=""pays"",vlookup(REGEXEXTRACT(C3148, ""🏘️ \w+ \w+ (.*) ✅""),'Country prepositions'!A:B, 2, 0) &amp; "" "" &amp; REGEXEXTRACT(C3148, ""🏘️ \w+ \w+ (.*) ✅"") ,  if(H3148=""quartier"",vlookup(REGEXEXTRACT(C3148, ""🏘️ \w+ \w+ (.*) ✅""),'Quartier prepositio"&amp;"ns'!A:E, 5, 0) ,  if(H3148=""region"",vlookup(REGEXEXTRACT(C3148, ""🏘️ \w+ \w+ (.*) ✅""),'Region prepositions'!B:F, 5, 0),  REGEXEXTRACT(C3148, ""🏘️ \w+ \w+ (.*) ✅""))))"),"#N/A")</f>
        <v>#N/A</v>
      </c>
      <c r="I3148" s="4" t="str">
        <f>IFERROR(__xludf.DUMMYFUNCTION("if(D3148=""variant"",  substitute(filter(Templates!E:E, Templates!A:A = F3148, Templates!B:B = G3148, Templates!C:C = H3148), ""{{}}"", E3148), B3148)"),"Louer maison Ursy: Trouvez le bien immobilier qui correspond idéalement à vos désirs sur ImmoScout24 - La plateforme de l'immobilier en Suisse.")</f>
        <v>Louer maison Ursy: Trouvez le bien immobilier qui correspond idéalement à vos désirs sur ImmoScout24 - La plateforme de l'immobilier en Suisse.</v>
      </c>
    </row>
    <row r="3149" hidden="1">
      <c r="A3149" s="5" t="s">
        <v>9401</v>
      </c>
      <c r="B3149" s="2" t="s">
        <v>9402</v>
      </c>
      <c r="C3149" s="2" t="s">
        <v>9402</v>
      </c>
      <c r="D3149" s="4" t="str">
        <f>vlookup(A3149, Sheet2!D:E, 2, 0)</f>
        <v>control</v>
      </c>
      <c r="E3149" s="4" t="str">
        <f>IFERROR(__xludf.DUMMYFUNCTION("if(H3149=""pays"",vlookup(REGEXEXTRACT(C3149, ""🏘️ \w+ \w+ (.*) ✅""),'Country prepositions'!A:B, 2, 0) &amp; "" "" &amp; REGEXEXTRACT(C3149, ""🏘️ \w+ \w+ (.*) ✅"") ,  if(H3149=""quartier"",vlookup(REGEXEXTRACT(C3149, ""🏘️ \w+ \w+ (.*) ✅""),'Quartier prepositio"&amp;"ns'!A:E, 5, 0) ,  if(H3149=""region"",vlookup(REGEXEXTRACT(C3149, ""🏘️ \w+ \w+ (.*) ✅""),'Region prepositions'!B:F, 5, 0),  REGEXEXTRACT(C3149, ""🏘️ \w+ \w+ (.*) ✅""))))"),"#N/A")</f>
        <v>#N/A</v>
      </c>
      <c r="I3149" s="4" t="str">
        <f>IFERROR(__xludf.DUMMYFUNCTION("if(D3149=""variant"",  substitute(filter(Templates!E:E, Templates!A:A = F3149, Templates!B:B = G3149, Templates!C:C = H3149), ""{{}}"", E3149), B3149)"),"Louer appartement Besso (Lugano): Trouvez le bien immobilier qui correspond idéalement à vos désirs sur ImmoScout24 - La plateforme de l'immobilier en Suisse.")</f>
        <v>Louer appartement Besso (Lugano): Trouvez le bien immobilier qui correspond idéalement à vos désirs sur ImmoScout24 - La plateforme de l'immobilier en Suisse.</v>
      </c>
    </row>
    <row r="3150" hidden="1">
      <c r="A3150" s="5" t="s">
        <v>9403</v>
      </c>
      <c r="B3150" s="2" t="s">
        <v>9404</v>
      </c>
      <c r="C3150" s="2" t="s">
        <v>9404</v>
      </c>
      <c r="D3150" s="4" t="str">
        <f>vlookup(A3150, Sheet2!D:E, 2, 0)</f>
        <v>control</v>
      </c>
      <c r="E3150" s="4" t="str">
        <f>IFERROR(__xludf.DUMMYFUNCTION("if(H3150=""pays"",vlookup(REGEXEXTRACT(C3150, ""🏘️ \w+ \w+ (.*) ✅""),'Country prepositions'!A:B, 2, 0) &amp; "" "" &amp; REGEXEXTRACT(C3150, ""🏘️ \w+ \w+ (.*) ✅"") ,  if(H3150=""quartier"",vlookup(REGEXEXTRACT(C3150, ""🏘️ \w+ \w+ (.*) ✅""),'Quartier prepositio"&amp;"ns'!A:E, 5, 0) ,  if(H3150=""region"",vlookup(REGEXEXTRACT(C3150, ""🏘️ \w+ \w+ (.*) ✅""),'Region prepositions'!B:F, 5, 0),  REGEXEXTRACT(C3150, ""🏘️ \w+ \w+ (.*) ✅""))))"),"#N/A")</f>
        <v>#N/A</v>
      </c>
      <c r="I3150" s="4" t="str">
        <f>IFERROR(__xludf.DUMMYFUNCTION("if(D3150=""variant"",  substitute(filter(Templates!E:E, Templates!A:A = F3150, Templates!B:B = G3150, Templates!C:C = H3150), ""{{}}"", E3150), B3150)"),"Louer appartement Dagmersellen: Trouvez le bien immobilier qui correspond idéalement à vos désirs sur ImmoScout24 - La plateforme de l'immobilier en Suisse.")</f>
        <v>Louer appartement Dagmersellen: Trouvez le bien immobilier qui correspond idéalement à vos désirs sur ImmoScout24 - La plateforme de l'immobilier en Suisse.</v>
      </c>
    </row>
    <row r="3151" hidden="1">
      <c r="A3151" s="5" t="s">
        <v>9405</v>
      </c>
      <c r="B3151" s="2" t="s">
        <v>9406</v>
      </c>
      <c r="C3151" s="2" t="s">
        <v>9406</v>
      </c>
      <c r="D3151" s="4" t="str">
        <f>vlookup(A3151, Sheet2!D:E, 2, 0)</f>
        <v>control</v>
      </c>
      <c r="E3151" s="4" t="str">
        <f>IFERROR(__xludf.DUMMYFUNCTION("if(H3151=""pays"",vlookup(REGEXEXTRACT(C3151, ""🏘️ \w+ \w+ (.*) ✅""),'Country prepositions'!A:B, 2, 0) &amp; "" "" &amp; REGEXEXTRACT(C3151, ""🏘️ \w+ \w+ (.*) ✅"") ,  if(H3151=""quartier"",vlookup(REGEXEXTRACT(C3151, ""🏘️ \w+ \w+ (.*) ✅""),'Quartier prepositio"&amp;"ns'!A:E, 5, 0) ,  if(H3151=""region"",vlookup(REGEXEXTRACT(C3151, ""🏘️ \w+ \w+ (.*) ✅""),'Region prepositions'!B:F, 5, 0),  REGEXEXTRACT(C3151, ""🏘️ \w+ \w+ (.*) ✅""))))"),"#N/A")</f>
        <v>#N/A</v>
      </c>
      <c r="I3151" s="4" t="str">
        <f>IFERROR(__xludf.DUMMYFUNCTION("if(D3151=""variant"",  substitute(filter(Templates!E:E, Templates!A:A = F3151, Templates!B:B = G3151, Templates!C:C = H3151), ""{{}}"", E3151), B3151)"),"Vendre maison St-Sulpice NE: Trouvez le bien immobilier qui correspond idéalement à vos désirs sur ImmoScout24 - La plateforme de l'immobilier en Suisse.")</f>
        <v>Vendre maison St-Sulpice NE: Trouvez le bien immobilier qui correspond idéalement à vos désirs sur ImmoScout24 - La plateforme de l'immobilier en Suisse.</v>
      </c>
    </row>
    <row r="3152" hidden="1">
      <c r="A3152" s="5" t="s">
        <v>9407</v>
      </c>
      <c r="B3152" s="2" t="s">
        <v>9408</v>
      </c>
      <c r="C3152" s="2" t="s">
        <v>9408</v>
      </c>
      <c r="D3152" s="4" t="str">
        <f>vlookup(A3152, Sheet2!D:E, 2, 0)</f>
        <v>control</v>
      </c>
      <c r="E3152" s="4" t="str">
        <f>IFERROR(__xludf.DUMMYFUNCTION("if(H3152=""pays"",vlookup(REGEXEXTRACT(C3152, ""🏘️ \w+ \w+ (.*) ✅""),'Country prepositions'!A:B, 2, 0) &amp; "" "" &amp; REGEXEXTRACT(C3152, ""🏘️ \w+ \w+ (.*) ✅"") ,  if(H3152=""quartier"",vlookup(REGEXEXTRACT(C3152, ""🏘️ \w+ \w+ (.*) ✅""),'Quartier prepositio"&amp;"ns'!A:E, 5, 0) ,  if(H3152=""region"",vlookup(REGEXEXTRACT(C3152, ""🏘️ \w+ \w+ (.*) ✅""),'Region prepositions'!B:F, 5, 0),  REGEXEXTRACT(C3152, ""🏘️ \w+ \w+ (.*) ✅""))))"),"#N/A")</f>
        <v>#N/A</v>
      </c>
      <c r="I3152" s="4" t="str">
        <f>IFERROR(__xludf.DUMMYFUNCTION("if(D3152=""variant"",  substitute(filter(Templates!E:E, Templates!A:A = F3152, Templates!B:B = G3152, Templates!C:C = H3152), ""{{}}"", E3152), B3152)"),"Vendre maison Wünnewil: Trouvez le bien immobilier qui correspond idéalement à vos désirs sur ImmoScout24 - La plateforme de l'immobilier en Suisse.")</f>
        <v>Vendre maison Wünnewil: Trouvez le bien immobilier qui correspond idéalement à vos désirs sur ImmoScout24 - La plateforme de l'immobilier en Suisse.</v>
      </c>
    </row>
    <row r="3153" hidden="1">
      <c r="A3153" s="5" t="s">
        <v>9409</v>
      </c>
      <c r="B3153" s="2" t="s">
        <v>9410</v>
      </c>
      <c r="C3153" s="2" t="s">
        <v>9410</v>
      </c>
      <c r="D3153" s="4" t="str">
        <f>vlookup(A3153, Sheet2!D:E, 2, 0)</f>
        <v>control</v>
      </c>
      <c r="E3153" s="4" t="str">
        <f>IFERROR(__xludf.DUMMYFUNCTION("if(H3153=""pays"",vlookup(REGEXEXTRACT(C3153, ""🏘️ \w+ \w+ (.*) ✅""),'Country prepositions'!A:B, 2, 0) &amp; "" "" &amp; REGEXEXTRACT(C3153, ""🏘️ \w+ \w+ (.*) ✅"") ,  if(H3153=""quartier"",vlookup(REGEXEXTRACT(C3153, ""🏘️ \w+ \w+ (.*) ✅""),'Quartier prepositio"&amp;"ns'!A:E, 5, 0) ,  if(H3153=""region"",vlookup(REGEXEXTRACT(C3153, ""🏘️ \w+ \w+ (.*) ✅""),'Region prepositions'!B:F, 5, 0),  REGEXEXTRACT(C3153, ""🏘️ \w+ \w+ (.*) ✅""))))"),"#N/A")</f>
        <v>#N/A</v>
      </c>
      <c r="I3153" s="4" t="str">
        <f>IFERROR(__xludf.DUMMYFUNCTION("if(D3153=""variant"",  substitute(filter(Templates!E:E, Templates!A:A = F3153, Templates!B:B = G3153, Templates!C:C = H3153), ""{{}}"", E3153), B3153)"),"Louer appartement Visp: Trouvez le bien immobilier qui correspond idéalement à vos désirs sur ImmoScout24 - La plateforme de l'immobilier en Suisse.")</f>
        <v>Louer appartement Visp: Trouvez le bien immobilier qui correspond idéalement à vos désirs sur ImmoScout24 - La plateforme de l'immobilier en Suisse.</v>
      </c>
    </row>
    <row r="3154" hidden="1">
      <c r="A3154" s="5" t="s">
        <v>9411</v>
      </c>
      <c r="B3154" s="2" t="s">
        <v>9412</v>
      </c>
      <c r="C3154" s="2" t="s">
        <v>9412</v>
      </c>
      <c r="D3154" s="4" t="str">
        <f>vlookup(A3154, Sheet2!D:E, 2, 0)</f>
        <v>control</v>
      </c>
      <c r="E3154" s="4" t="str">
        <f>IFERROR(__xludf.DUMMYFUNCTION("if(H3154=""pays"",vlookup(REGEXEXTRACT(C3154, ""🏘️ \w+ \w+ (.*) ✅""),'Country prepositions'!A:B, 2, 0) &amp; "" "" &amp; REGEXEXTRACT(C3154, ""🏘️ \w+ \w+ (.*) ✅"") ,  if(H3154=""quartier"",vlookup(REGEXEXTRACT(C3154, ""🏘️ \w+ \w+ (.*) ✅""),'Quartier prepositio"&amp;"ns'!A:E, 5, 0) ,  if(H3154=""region"",vlookup(REGEXEXTRACT(C3154, ""🏘️ \w+ \w+ (.*) ✅""),'Region prepositions'!B:F, 5, 0),  REGEXEXTRACT(C3154, ""🏘️ \w+ \w+ (.*) ✅""))))"),"#N/A")</f>
        <v>#N/A</v>
      </c>
      <c r="I3154" s="4" t="str">
        <f>IFERROR(__xludf.DUMMYFUNCTION("if(D3154=""variant"",  substitute(filter(Templates!E:E, Templates!A:A = F3154, Templates!B:B = G3154, Templates!C:C = H3154), ""{{}}"", E3154), B3154)"),"Vendre maison Zofingen: Trouvez le bien immobilier qui correspond idéalement à vos désirs sur ImmoScout24 - La plateforme de l'immobilier en Suisse.")</f>
        <v>Vendre maison Zofingen: Trouvez le bien immobilier qui correspond idéalement à vos désirs sur ImmoScout24 - La plateforme de l'immobilier en Suisse.</v>
      </c>
    </row>
    <row r="3155" hidden="1">
      <c r="A3155" s="5" t="s">
        <v>9413</v>
      </c>
      <c r="B3155" s="2" t="s">
        <v>9414</v>
      </c>
      <c r="C3155" s="2" t="s">
        <v>9414</v>
      </c>
      <c r="D3155" s="4" t="str">
        <f>vlookup(A3155, Sheet2!D:E, 2, 0)</f>
        <v>control</v>
      </c>
      <c r="E3155" s="4" t="str">
        <f>IFERROR(__xludf.DUMMYFUNCTION("if(H3155=""pays"",vlookup(REGEXEXTRACT(C3155, ""🏘️ \w+ \w+ (.*) ✅""),'Country prepositions'!A:B, 2, 0) &amp; "" "" &amp; REGEXEXTRACT(C3155, ""🏘️ \w+ \w+ (.*) ✅"") ,  if(H3155=""quartier"",vlookup(REGEXEXTRACT(C3155, ""🏘️ \w+ \w+ (.*) ✅""),'Quartier prepositio"&amp;"ns'!A:E, 5, 0) ,  if(H3155=""region"",vlookup(REGEXEXTRACT(C3155, ""🏘️ \w+ \w+ (.*) ✅""),'Region prepositions'!B:F, 5, 0),  REGEXEXTRACT(C3155, ""🏘️ \w+ \w+ (.*) ✅""))))"),"#N/A")</f>
        <v>#N/A</v>
      </c>
      <c r="I3155" s="4" t="str">
        <f>IFERROR(__xludf.DUMMYFUNCTION("if(D3155=""variant"",  substitute(filter(Templates!E:E, Templates!A:A = F3155, Templates!B:B = G3155, Templates!C:C = H3155), ""{{}}"", E3155), B3155)"),"Louer appartement Pfäffikon ZH: Trouvez le bien immobilier qui correspond idéalement à vos désirs sur ImmoScout24 - La plateforme de l'immobilier en Suisse.")</f>
        <v>Louer appartement Pfäffikon ZH: Trouvez le bien immobilier qui correspond idéalement à vos désirs sur ImmoScout24 - La plateforme de l'immobilier en Suisse.</v>
      </c>
    </row>
    <row r="3156" hidden="1">
      <c r="A3156" s="5" t="s">
        <v>9415</v>
      </c>
      <c r="B3156" s="2" t="s">
        <v>9416</v>
      </c>
      <c r="C3156" s="2" t="s">
        <v>9416</v>
      </c>
      <c r="D3156" s="4" t="str">
        <f>vlookup(A3156, Sheet2!D:E, 2, 0)</f>
        <v>control</v>
      </c>
      <c r="E3156" s="4" t="str">
        <f>IFERROR(__xludf.DUMMYFUNCTION("if(H3156=""pays"",vlookup(REGEXEXTRACT(C3156, ""🏘️ \w+ \w+ (.*) ✅""),'Country prepositions'!A:B, 2, 0) &amp; "" "" &amp; REGEXEXTRACT(C3156, ""🏘️ \w+ \w+ (.*) ✅"") ,  if(H3156=""quartier"",vlookup(REGEXEXTRACT(C3156, ""🏘️ \w+ \w+ (.*) ✅""),'Quartier prepositio"&amp;"ns'!A:E, 5, 0) ,  if(H3156=""region"",vlookup(REGEXEXTRACT(C3156, ""🏘️ \w+ \w+ (.*) ✅""),'Region prepositions'!B:F, 5, 0),  REGEXEXTRACT(C3156, ""🏘️ \w+ \w+ (.*) ✅""))))"),"#N/A")</f>
        <v>#N/A</v>
      </c>
      <c r="I3156" s="4" t="str">
        <f>IFERROR(__xludf.DUMMYFUNCTION("if(D3156=""variant"",  substitute(filter(Templates!E:E, Templates!A:A = F3156, Templates!B:B = G3156, Templates!C:C = H3156), ""{{}}"", E3156), B3156)"),"Vendre appartement Bursins: Trouvez le bien immobilier qui correspond idéalement à vos désirs sur ImmoScout24 - La plateforme de l'immobilier en Suisse.")</f>
        <v>Vendre appartement Bursins: Trouvez le bien immobilier qui correspond idéalement à vos désirs sur ImmoScout24 - La plateforme de l'immobilier en Suisse.</v>
      </c>
    </row>
    <row r="3157" hidden="1">
      <c r="A3157" s="5" t="s">
        <v>9417</v>
      </c>
      <c r="B3157" s="2" t="s">
        <v>9418</v>
      </c>
      <c r="C3157" s="2" t="s">
        <v>9418</v>
      </c>
      <c r="D3157" s="4" t="str">
        <f>vlookup(A3157, Sheet2!D:E, 2, 0)</f>
        <v>control</v>
      </c>
      <c r="E3157" s="4" t="str">
        <f>IFERROR(__xludf.DUMMYFUNCTION("if(H3157=""pays"",vlookup(REGEXEXTRACT(C3157, ""🏘️ \w+ \w+ (.*) ✅""),'Country prepositions'!A:B, 2, 0) &amp; "" "" &amp; REGEXEXTRACT(C3157, ""🏘️ \w+ \w+ (.*) ✅"") ,  if(H3157=""quartier"",vlookup(REGEXEXTRACT(C3157, ""🏘️ \w+ \w+ (.*) ✅""),'Quartier prepositio"&amp;"ns'!A:E, 5, 0) ,  if(H3157=""region"",vlookup(REGEXEXTRACT(C3157, ""🏘️ \w+ \w+ (.*) ✅""),'Region prepositions'!B:F, 5, 0),  REGEXEXTRACT(C3157, ""🏘️ \w+ \w+ (.*) ✅""))))"),"#N/A")</f>
        <v>#N/A</v>
      </c>
      <c r="I3157" s="4" t="str">
        <f>IFERROR(__xludf.DUMMYFUNCTION("if(D3157=""variant"",  substitute(filter(Templates!E:E, Templates!A:A = F3157, Templates!B:B = G3157, Templates!C:C = H3157), ""{{}}"", E3157), B3157)"),"Louer appartement Müllheim Dorf: Trouvez le bien immobilier qui correspond idéalement à vos désirs sur ImmoScout24 - La plateforme de l'immobilier en Suisse.")</f>
        <v>Louer appartement Müllheim Dorf: Trouvez le bien immobilier qui correspond idéalement à vos désirs sur ImmoScout24 - La plateforme de l'immobilier en Suisse.</v>
      </c>
    </row>
    <row r="3158" hidden="1">
      <c r="A3158" s="5" t="s">
        <v>9419</v>
      </c>
      <c r="B3158" s="2" t="s">
        <v>9420</v>
      </c>
      <c r="C3158" s="2" t="s">
        <v>9420</v>
      </c>
      <c r="D3158" s="4" t="str">
        <f>vlookup(A3158, Sheet2!D:E, 2, 0)</f>
        <v>control</v>
      </c>
      <c r="E3158" s="4" t="str">
        <f>IFERROR(__xludf.DUMMYFUNCTION("if(H3158=""pays"",vlookup(REGEXEXTRACT(C3158, ""🏘️ \w+ \w+ (.*) ✅""),'Country prepositions'!A:B, 2, 0) &amp; "" "" &amp; REGEXEXTRACT(C3158, ""🏘️ \w+ \w+ (.*) ✅"") ,  if(H3158=""quartier"",vlookup(REGEXEXTRACT(C3158, ""🏘️ \w+ \w+ (.*) ✅""),'Quartier prepositio"&amp;"ns'!A:E, 5, 0) ,  if(H3158=""region"",vlookup(REGEXEXTRACT(C3158, ""🏘️ \w+ \w+ (.*) ✅""),'Region prepositions'!B:F, 5, 0),  REGEXEXTRACT(C3158, ""🏘️ \w+ \w+ (.*) ✅""))))"),"#N/A")</f>
        <v>#N/A</v>
      </c>
      <c r="I3158" s="4" t="str">
        <f>IFERROR(__xludf.DUMMYFUNCTION("if(D3158=""variant"",  substitute(filter(Templates!E:E, Templates!A:A = F3158, Templates!B:B = G3158, Templates!C:C = H3158), ""{{}}"", E3158), B3158)"),"Vendre maison Croy: Trouvez le bien immobilier qui correspond idéalement à vos désirs sur ImmoScout24 - La plateforme de l'immobilier en Suisse.")</f>
        <v>Vendre maison Croy: Trouvez le bien immobilier qui correspond idéalement à vos désirs sur ImmoScout24 - La plateforme de l'immobilier en Suisse.</v>
      </c>
    </row>
    <row r="3159" hidden="1">
      <c r="A3159" s="5" t="s">
        <v>9421</v>
      </c>
      <c r="B3159" s="2" t="s">
        <v>9422</v>
      </c>
      <c r="C3159" s="2" t="s">
        <v>9422</v>
      </c>
      <c r="D3159" s="4" t="str">
        <f>vlookup(A3159, Sheet2!D:E, 2, 0)</f>
        <v>control</v>
      </c>
      <c r="E3159" s="4" t="str">
        <f>IFERROR(__xludf.DUMMYFUNCTION("if(H3159=""pays"",vlookup(REGEXEXTRACT(C3159, ""🏘️ \w+ \w+ (.*) ✅""),'Country prepositions'!A:B, 2, 0) &amp; "" "" &amp; REGEXEXTRACT(C3159, ""🏘️ \w+ \w+ (.*) ✅"") ,  if(H3159=""quartier"",vlookup(REGEXEXTRACT(C3159, ""🏘️ \w+ \w+ (.*) ✅""),'Quartier prepositio"&amp;"ns'!A:E, 5, 0) ,  if(H3159=""region"",vlookup(REGEXEXTRACT(C3159, ""🏘️ \w+ \w+ (.*) ✅""),'Region prepositions'!B:F, 5, 0),  REGEXEXTRACT(C3159, ""🏘️ \w+ \w+ (.*) ✅""))))"),"#N/A")</f>
        <v>#N/A</v>
      </c>
      <c r="I3159" s="4" t="str">
        <f>IFERROR(__xludf.DUMMYFUNCTION("if(D3159=""variant"",  substitute(filter(Templates!E:E, Templates!A:A = F3159, Templates!B:B = G3159, Templates!C:C = H3159), ""{{}}"", E3159), B3159)"),"Louer maison Montagnes Neuchâteloises: Trouvez le bien immobilier qui correspond idéalement à vos désirs sur ImmoScout24 - La plateforme de l'immobilier en Suisse.")</f>
        <v>Louer maison Montagnes Neuchâteloises: Trouvez le bien immobilier qui correspond idéalement à vos désirs sur ImmoScout24 - La plateforme de l'immobilier en Suisse.</v>
      </c>
    </row>
    <row r="3160" hidden="1">
      <c r="A3160" s="5" t="s">
        <v>9423</v>
      </c>
      <c r="B3160" s="2" t="s">
        <v>9424</v>
      </c>
      <c r="C3160" s="2" t="s">
        <v>9424</v>
      </c>
      <c r="D3160" s="4" t="str">
        <f>vlookup(A3160, Sheet2!D:E, 2, 0)</f>
        <v>control</v>
      </c>
      <c r="E3160" s="4" t="str">
        <f>IFERROR(__xludf.DUMMYFUNCTION("if(H3160=""pays"",vlookup(REGEXEXTRACT(C3160, ""🏘️ \w+ \w+ (.*) ✅""),'Country prepositions'!A:B, 2, 0) &amp; "" "" &amp; REGEXEXTRACT(C3160, ""🏘️ \w+ \w+ (.*) ✅"") ,  if(H3160=""quartier"",vlookup(REGEXEXTRACT(C3160, ""🏘️ \w+ \w+ (.*) ✅""),'Quartier prepositio"&amp;"ns'!A:E, 5, 0) ,  if(H3160=""region"",vlookup(REGEXEXTRACT(C3160, ""🏘️ \w+ \w+ (.*) ✅""),'Region prepositions'!B:F, 5, 0),  REGEXEXTRACT(C3160, ""🏘️ \w+ \w+ (.*) ✅""))))"),"#N/A")</f>
        <v>#N/A</v>
      </c>
      <c r="I3160" s="4" t="str">
        <f>IFERROR(__xludf.DUMMYFUNCTION("if(D3160=""variant"",  substitute(filter(Templates!E:E, Templates!A:A = F3160, Templates!B:B = G3160, Templates!C:C = H3160), ""{{}}"", E3160), B3160)"),"Vendre maison Bruson: Trouvez le bien immobilier qui correspond idéalement à vos désirs sur ImmoScout24 - La plateforme de l'immobilier en Suisse.")</f>
        <v>Vendre maison Bruson: Trouvez le bien immobilier qui correspond idéalement à vos désirs sur ImmoScout24 - La plateforme de l'immobilier en Suisse.</v>
      </c>
    </row>
    <row r="3161" hidden="1">
      <c r="A3161" s="5" t="s">
        <v>9425</v>
      </c>
      <c r="B3161" s="2" t="s">
        <v>9426</v>
      </c>
      <c r="C3161" s="2" t="s">
        <v>9426</v>
      </c>
      <c r="D3161" s="4" t="str">
        <f>vlookup(A3161, Sheet2!D:E, 2, 0)</f>
        <v>control</v>
      </c>
      <c r="E3161" s="4" t="str">
        <f>IFERROR(__xludf.DUMMYFUNCTION("if(H3161=""pays"",vlookup(REGEXEXTRACT(C3161, ""🏘️ \w+ \w+ (.*) ✅""),'Country prepositions'!A:B, 2, 0) &amp; "" "" &amp; REGEXEXTRACT(C3161, ""🏘️ \w+ \w+ (.*) ✅"") ,  if(H3161=""quartier"",vlookup(REGEXEXTRACT(C3161, ""🏘️ \w+ \w+ (.*) ✅""),'Quartier prepositio"&amp;"ns'!A:E, 5, 0) ,  if(H3161=""region"",vlookup(REGEXEXTRACT(C3161, ""🏘️ \w+ \w+ (.*) ✅""),'Region prepositions'!B:F, 5, 0),  REGEXEXTRACT(C3161, ""🏘️ \w+ \w+ (.*) ✅""))))"),"#N/A")</f>
        <v>#N/A</v>
      </c>
      <c r="I3161" s="4" t="str">
        <f>IFERROR(__xludf.DUMMYFUNCTION("if(D3161=""variant"",  substitute(filter(Templates!E:E, Templates!A:A = F3161, Templates!B:B = G3161, Templates!C:C = H3161), ""{{}}"", E3161), B3161)"),"Vendre maison Ballaigues: Trouvez le bien immobilier qui correspond idéalement à vos désirs sur ImmoScout24 - La plateforme de l'immobilier en Suisse.")</f>
        <v>Vendre maison Ballaigues: Trouvez le bien immobilier qui correspond idéalement à vos désirs sur ImmoScout24 - La plateforme de l'immobilier en Suisse.</v>
      </c>
    </row>
    <row r="3162" hidden="1">
      <c r="A3162" s="5" t="s">
        <v>9427</v>
      </c>
      <c r="B3162" s="2" t="s">
        <v>9428</v>
      </c>
      <c r="C3162" s="2" t="s">
        <v>9428</v>
      </c>
      <c r="D3162" s="4" t="str">
        <f>vlookup(A3162, Sheet2!D:E, 2, 0)</f>
        <v>control</v>
      </c>
      <c r="E3162" s="4" t="str">
        <f>IFERROR(__xludf.DUMMYFUNCTION("if(H3162=""pays"",vlookup(REGEXEXTRACT(C3162, ""🏘️ \w+ \w+ (.*) ✅""),'Country prepositions'!A:B, 2, 0) &amp; "" "" &amp; REGEXEXTRACT(C3162, ""🏘️ \w+ \w+ (.*) ✅"") ,  if(H3162=""quartier"",vlookup(REGEXEXTRACT(C3162, ""🏘️ \w+ \w+ (.*) ✅""),'Quartier prepositio"&amp;"ns'!A:E, 5, 0) ,  if(H3162=""region"",vlookup(REGEXEXTRACT(C3162, ""🏘️ \w+ \w+ (.*) ✅""),'Region prepositions'!B:F, 5, 0),  REGEXEXTRACT(C3162, ""🏘️ \w+ \w+ (.*) ✅""))))"),"#N/A")</f>
        <v>#N/A</v>
      </c>
      <c r="I3162" s="4" t="str">
        <f>IFERROR(__xludf.DUMMYFUNCTION("if(D3162=""variant"",  substitute(filter(Templates!E:E, Templates!A:A = F3162, Templates!B:B = G3162, Templates!C:C = H3162), ""{{}}"", E3162), B3162)"),"Vendre appartement Muttenz: Trouvez le bien immobilier qui correspond idéalement à vos désirs sur ImmoScout24 - La plateforme de l'immobilier en Suisse.")</f>
        <v>Vendre appartement Muttenz: Trouvez le bien immobilier qui correspond idéalement à vos désirs sur ImmoScout24 - La plateforme de l'immobilier en Suisse.</v>
      </c>
    </row>
    <row r="3163" hidden="1">
      <c r="A3163" s="5" t="s">
        <v>9429</v>
      </c>
      <c r="B3163" s="2" t="s">
        <v>9430</v>
      </c>
      <c r="C3163" s="2" t="s">
        <v>9430</v>
      </c>
      <c r="D3163" s="4" t="str">
        <f>vlookup(A3163, Sheet2!D:E, 2, 0)</f>
        <v>control</v>
      </c>
      <c r="E3163" s="4" t="str">
        <f>IFERROR(__xludf.DUMMYFUNCTION("if(H3163=""pays"",vlookup(REGEXEXTRACT(C3163, ""🏘️ \w+ \w+ (.*) ✅""),'Country prepositions'!A:B, 2, 0) &amp; "" "" &amp; REGEXEXTRACT(C3163, ""🏘️ \w+ \w+ (.*) ✅"") ,  if(H3163=""quartier"",vlookup(REGEXEXTRACT(C3163, ""🏘️ \w+ \w+ (.*) ✅""),'Quartier prepositio"&amp;"ns'!A:E, 5, 0) ,  if(H3163=""region"",vlookup(REGEXEXTRACT(C3163, ""🏘️ \w+ \w+ (.*) ✅""),'Region prepositions'!B:F, 5, 0),  REGEXEXTRACT(C3163, ""🏘️ \w+ \w+ (.*) ✅""))))"),"#N/A")</f>
        <v>#N/A</v>
      </c>
      <c r="I3163" s="4" t="str">
        <f>IFERROR(__xludf.DUMMYFUNCTION("if(D3163=""variant"",  substitute(filter(Templates!E:E, Templates!A:A = F3163, Templates!B:B = G3163, Templates!C:C = H3163), ""{{}}"", E3163), B3163)"),"Louer maison Rorschach - St. Gallen: Trouvez le bien immobilier qui correspond idéalement à vos désirs sur ImmoScout24 - La plateforme de l'immobilier en Suisse.")</f>
        <v>Louer maison Rorschach - St. Gallen: Trouvez le bien immobilier qui correspond idéalement à vos désirs sur ImmoScout24 - La plateforme de l'immobilier en Suisse.</v>
      </c>
    </row>
    <row r="3164" hidden="1">
      <c r="A3164" s="5" t="s">
        <v>9431</v>
      </c>
      <c r="B3164" s="2" t="s">
        <v>9432</v>
      </c>
      <c r="C3164" s="2" t="s">
        <v>9432</v>
      </c>
      <c r="D3164" s="4" t="str">
        <f>vlookup(A3164, Sheet2!D:E, 2, 0)</f>
        <v>control</v>
      </c>
      <c r="E3164" s="4" t="str">
        <f>IFERROR(__xludf.DUMMYFUNCTION("if(H3164=""pays"",vlookup(REGEXEXTRACT(C3164, ""🏘️ \w+ \w+ (.*) ✅""),'Country prepositions'!A:B, 2, 0) &amp; "" "" &amp; REGEXEXTRACT(C3164, ""🏘️ \w+ \w+ (.*) ✅"") ,  if(H3164=""quartier"",vlookup(REGEXEXTRACT(C3164, ""🏘️ \w+ \w+ (.*) ✅""),'Quartier prepositio"&amp;"ns'!A:E, 5, 0) ,  if(H3164=""region"",vlookup(REGEXEXTRACT(C3164, ""🏘️ \w+ \w+ (.*) ✅""),'Region prepositions'!B:F, 5, 0),  REGEXEXTRACT(C3164, ""🏘️ \w+ \w+ (.*) ✅""))))"),"#N/A")</f>
        <v>#N/A</v>
      </c>
      <c r="I3164" s="4" t="str">
        <f>IFERROR(__xludf.DUMMYFUNCTION("if(D3164=""variant"",  substitute(filter(Templates!E:E, Templates!A:A = F3164, Templates!B:B = G3164, Templates!C:C = H3164), ""{{}}"", E3164), B3164)"),"Louer appartement Kirchberg BE: Trouvez le bien immobilier qui correspond idéalement à vos désirs sur ImmoScout24 - La plateforme de l'immobilier en Suisse.")</f>
        <v>Louer appartement Kirchberg BE: Trouvez le bien immobilier qui correspond idéalement à vos désirs sur ImmoScout24 - La plateforme de l'immobilier en Suisse.</v>
      </c>
    </row>
    <row r="3165" hidden="1">
      <c r="A3165" s="5" t="s">
        <v>9433</v>
      </c>
      <c r="B3165" s="2" t="s">
        <v>9434</v>
      </c>
      <c r="C3165" s="2" t="s">
        <v>9434</v>
      </c>
      <c r="D3165" s="4" t="str">
        <f>vlookup(A3165, Sheet2!D:E, 2, 0)</f>
        <v>control</v>
      </c>
      <c r="E3165" s="4" t="str">
        <f>IFERROR(__xludf.DUMMYFUNCTION("if(H3165=""pays"",vlookup(REGEXEXTRACT(C3165, ""🏘️ \w+ \w+ (.*) ✅""),'Country prepositions'!A:B, 2, 0) &amp; "" "" &amp; REGEXEXTRACT(C3165, ""🏘️ \w+ \w+ (.*) ✅"") ,  if(H3165=""quartier"",vlookup(REGEXEXTRACT(C3165, ""🏘️ \w+ \w+ (.*) ✅""),'Quartier prepositio"&amp;"ns'!A:E, 5, 0) ,  if(H3165=""region"",vlookup(REGEXEXTRACT(C3165, ""🏘️ \w+ \w+ (.*) ✅""),'Region prepositions'!B:F, 5, 0),  REGEXEXTRACT(C3165, ""🏘️ \w+ \w+ (.*) ✅""))))"),"#N/A")</f>
        <v>#N/A</v>
      </c>
      <c r="I3165" s="4" t="str">
        <f>IFERROR(__xludf.DUMMYFUNCTION("if(D3165=""variant"",  substitute(filter(Templates!E:E, Templates!A:A = F3165, Templates!B:B = G3165, Templates!C:C = H3165), ""{{}}"", E3165), B3165)"),"Vendre appartement Luterbach: Trouvez le bien immobilier qui correspond idéalement à vos désirs sur ImmoScout24 - La plateforme de l'immobilier en Suisse.")</f>
        <v>Vendre appartement Luterbach: Trouvez le bien immobilier qui correspond idéalement à vos désirs sur ImmoScout24 - La plateforme de l'immobilier en Suisse.</v>
      </c>
    </row>
    <row r="3166" hidden="1">
      <c r="A3166" s="5" t="s">
        <v>9435</v>
      </c>
      <c r="B3166" s="2" t="s">
        <v>9436</v>
      </c>
      <c r="C3166" s="2" t="s">
        <v>9436</v>
      </c>
      <c r="D3166" s="4" t="str">
        <f>vlookup(A3166, Sheet2!D:E, 2, 0)</f>
        <v>control</v>
      </c>
      <c r="E3166" s="4" t="str">
        <f>IFERROR(__xludf.DUMMYFUNCTION("if(H3166=""pays"",vlookup(REGEXEXTRACT(C3166, ""🏘️ \w+ \w+ (.*) ✅""),'Country prepositions'!A:B, 2, 0) &amp; "" "" &amp; REGEXEXTRACT(C3166, ""🏘️ \w+ \w+ (.*) ✅"") ,  if(H3166=""quartier"",vlookup(REGEXEXTRACT(C3166, ""🏘️ \w+ \w+ (.*) ✅""),'Quartier prepositio"&amp;"ns'!A:E, 5, 0) ,  if(H3166=""region"",vlookup(REGEXEXTRACT(C3166, ""🏘️ \w+ \w+ (.*) ✅""),'Region prepositions'!B:F, 5, 0),  REGEXEXTRACT(C3166, ""🏘️ \w+ \w+ (.*) ✅""))))"),"#N/A")</f>
        <v>#N/A</v>
      </c>
      <c r="I3166" s="4" t="str">
        <f>IFERROR(__xludf.DUMMYFUNCTION("if(D3166=""variant"",  substitute(filter(Templates!E:E, Templates!A:A = F3166, Templates!B:B = G3166, Templates!C:C = H3166), ""{{}}"", E3166), B3166)"),"Vendre appartement Ostermundigen: Trouvez le bien immobilier qui correspond idéalement à vos désirs sur ImmoScout24 - La plateforme de l'immobilier en Suisse.")</f>
        <v>Vendre appartement Ostermundigen: Trouvez le bien immobilier qui correspond idéalement à vos désirs sur ImmoScout24 - La plateforme de l'immobilier en Suisse.</v>
      </c>
    </row>
    <row r="3167" hidden="1">
      <c r="A3167" s="5" t="s">
        <v>9437</v>
      </c>
      <c r="B3167" s="2" t="s">
        <v>9438</v>
      </c>
      <c r="C3167" s="2" t="s">
        <v>9438</v>
      </c>
      <c r="D3167" s="4" t="str">
        <f>vlookup(A3167, Sheet2!D:E, 2, 0)</f>
        <v>control</v>
      </c>
      <c r="E3167" s="4" t="str">
        <f>IFERROR(__xludf.DUMMYFUNCTION("if(H3167=""pays"",vlookup(REGEXEXTRACT(C3167, ""🏘️ \w+ \w+ (.*) ✅""),'Country prepositions'!A:B, 2, 0) &amp; "" "" &amp; REGEXEXTRACT(C3167, ""🏘️ \w+ \w+ (.*) ✅"") ,  if(H3167=""quartier"",vlookup(REGEXEXTRACT(C3167, ""🏘️ \w+ \w+ (.*) ✅""),'Quartier prepositio"&amp;"ns'!A:E, 5, 0) ,  if(H3167=""region"",vlookup(REGEXEXTRACT(C3167, ""🏘️ \w+ \w+ (.*) ✅""),'Region prepositions'!B:F, 5, 0),  REGEXEXTRACT(C3167, ""🏘️ \w+ \w+ (.*) ✅""))))"),"#N/A")</f>
        <v>#N/A</v>
      </c>
      <c r="I3167" s="4" t="str">
        <f>IFERROR(__xludf.DUMMYFUNCTION("if(D3167=""variant"",  substitute(filter(Templates!E:E, Templates!A:A = F3167, Templates!B:B = G3167, Templates!C:C = H3167), ""{{}}"", E3167), B3167)"),"Louer appartement La Plaine: Trouvez le bien immobilier qui correspond idéalement à vos désirs sur ImmoScout24 - La plateforme de l'immobilier en Suisse.")</f>
        <v>Louer appartement La Plaine: Trouvez le bien immobilier qui correspond idéalement à vos désirs sur ImmoScout24 - La plateforme de l'immobilier en Suisse.</v>
      </c>
    </row>
    <row r="3168" hidden="1">
      <c r="A3168" s="5" t="s">
        <v>9439</v>
      </c>
      <c r="B3168" s="2" t="s">
        <v>9440</v>
      </c>
      <c r="C3168" s="2" t="s">
        <v>9440</v>
      </c>
      <c r="D3168" s="4" t="str">
        <f>vlookup(A3168, Sheet2!D:E, 2, 0)</f>
        <v>control</v>
      </c>
      <c r="E3168" s="4" t="str">
        <f>IFERROR(__xludf.DUMMYFUNCTION("if(H3168=""pays"",vlookup(REGEXEXTRACT(C3168, ""🏘️ \w+ \w+ (.*) ✅""),'Country prepositions'!A:B, 2, 0) &amp; "" "" &amp; REGEXEXTRACT(C3168, ""🏘️ \w+ \w+ (.*) ✅"") ,  if(H3168=""quartier"",vlookup(REGEXEXTRACT(C3168, ""🏘️ \w+ \w+ (.*) ✅""),'Quartier prepositio"&amp;"ns'!A:E, 5, 0) ,  if(H3168=""region"",vlookup(REGEXEXTRACT(C3168, ""🏘️ \w+ \w+ (.*) ✅""),'Region prepositions'!B:F, 5, 0),  REGEXEXTRACT(C3168, ""🏘️ \w+ \w+ (.*) ✅""))))"),"#N/A")</f>
        <v>#N/A</v>
      </c>
      <c r="I3168" s="4" t="str">
        <f>IFERROR(__xludf.DUMMYFUNCTION("if(D3168=""variant"",  substitute(filter(Templates!E:E, Templates!A:A = F3168, Templates!B:B = G3168, Templates!C:C = H3168), ""{{}}"", E3168), B3168)"),"Vendre maison Pensier: Trouvez le bien immobilier qui correspond idéalement à vos désirs sur ImmoScout24 - La plateforme de l'immobilier en Suisse.")</f>
        <v>Vendre maison Pensier: Trouvez le bien immobilier qui correspond idéalement à vos désirs sur ImmoScout24 - La plateforme de l'immobilier en Suisse.</v>
      </c>
    </row>
    <row r="3169" hidden="1">
      <c r="A3169" s="5" t="s">
        <v>9441</v>
      </c>
      <c r="B3169" s="2" t="s">
        <v>9442</v>
      </c>
      <c r="C3169" s="2" t="s">
        <v>9442</v>
      </c>
      <c r="D3169" s="4" t="str">
        <f>vlookup(A3169, Sheet2!D:E, 2, 0)</f>
        <v>control</v>
      </c>
      <c r="E3169" s="4" t="str">
        <f>IFERROR(__xludf.DUMMYFUNCTION("if(H3169=""pays"",vlookup(REGEXEXTRACT(C3169, ""🏘️ \w+ \w+ (.*) ✅""),'Country prepositions'!A:B, 2, 0) &amp; "" "" &amp; REGEXEXTRACT(C3169, ""🏘️ \w+ \w+ (.*) ✅"") ,  if(H3169=""quartier"",vlookup(REGEXEXTRACT(C3169, ""🏘️ \w+ \w+ (.*) ✅""),'Quartier prepositio"&amp;"ns'!A:E, 5, 0) ,  if(H3169=""region"",vlookup(REGEXEXTRACT(C3169, ""🏘️ \w+ \w+ (.*) ✅""),'Region prepositions'!B:F, 5, 0),  REGEXEXTRACT(C3169, ""🏘️ \w+ \w+ (.*) ✅""))))"),"#N/A")</f>
        <v>#N/A</v>
      </c>
      <c r="I3169" s="4" t="str">
        <f>IFERROR(__xludf.DUMMYFUNCTION("if(D3169=""variant"",  substitute(filter(Templates!E:E, Templates!A:A = F3169, Templates!B:B = G3169, Templates!C:C = H3169), ""{{}}"", E3169), B3169)"),"Vendre maison Cully: Trouvez le bien immobilier qui correspond idéalement à vos désirs sur ImmoScout24 - La plateforme de l'immobilier en Suisse.")</f>
        <v>Vendre maison Cully: Trouvez le bien immobilier qui correspond idéalement à vos désirs sur ImmoScout24 - La plateforme de l'immobilier en Suisse.</v>
      </c>
    </row>
    <row r="3170" hidden="1">
      <c r="A3170" s="5" t="s">
        <v>9443</v>
      </c>
      <c r="B3170" s="2" t="s">
        <v>9444</v>
      </c>
      <c r="C3170" s="2" t="s">
        <v>9444</v>
      </c>
      <c r="D3170" s="4" t="str">
        <f>vlookup(A3170, Sheet2!D:E, 2, 0)</f>
        <v>control</v>
      </c>
      <c r="E3170" s="4" t="str">
        <f>IFERROR(__xludf.DUMMYFUNCTION("if(H3170=""pays"",vlookup(REGEXEXTRACT(C3170, ""🏘️ \w+ \w+ (.*) ✅""),'Country prepositions'!A:B, 2, 0) &amp; "" "" &amp; REGEXEXTRACT(C3170, ""🏘️ \w+ \w+ (.*) ✅"") ,  if(H3170=""quartier"",vlookup(REGEXEXTRACT(C3170, ""🏘️ \w+ \w+ (.*) ✅""),'Quartier prepositio"&amp;"ns'!A:E, 5, 0) ,  if(H3170=""region"",vlookup(REGEXEXTRACT(C3170, ""🏘️ \w+ \w+ (.*) ✅""),'Region prepositions'!B:F, 5, 0),  REGEXEXTRACT(C3170, ""🏘️ \w+ \w+ (.*) ✅""))))"),"#N/A")</f>
        <v>#N/A</v>
      </c>
      <c r="I3170" s="4" t="str">
        <f>IFERROR(__xludf.DUMMYFUNCTION("if(D3170=""variant"",  substitute(filter(Templates!E:E, Templates!A:A = F3170, Templates!B:B = G3170, Templates!C:C = H3170), ""{{}}"", E3170), B3170)"),"Vendre appartement Giffers: Trouvez le bien immobilier qui correspond idéalement à vos désirs sur ImmoScout24 - La plateforme de l'immobilier en Suisse.")</f>
        <v>Vendre appartement Giffers: Trouvez le bien immobilier qui correspond idéalement à vos désirs sur ImmoScout24 - La plateforme de l'immobilier en Suisse.</v>
      </c>
    </row>
    <row r="3171" hidden="1">
      <c r="A3171" s="5" t="s">
        <v>9445</v>
      </c>
      <c r="B3171" s="2" t="s">
        <v>9446</v>
      </c>
      <c r="C3171" s="2" t="s">
        <v>9446</v>
      </c>
      <c r="D3171" s="4" t="str">
        <f>vlookup(A3171, Sheet2!D:E, 2, 0)</f>
        <v>control</v>
      </c>
      <c r="E3171" s="4" t="str">
        <f>IFERROR(__xludf.DUMMYFUNCTION("if(H3171=""pays"",vlookup(REGEXEXTRACT(C3171, ""🏘️ \w+ \w+ (.*) ✅""),'Country prepositions'!A:B, 2, 0) &amp; "" "" &amp; REGEXEXTRACT(C3171, ""🏘️ \w+ \w+ (.*) ✅"") ,  if(H3171=""quartier"",vlookup(REGEXEXTRACT(C3171, ""🏘️ \w+ \w+ (.*) ✅""),'Quartier prepositio"&amp;"ns'!A:E, 5, 0) ,  if(H3171=""region"",vlookup(REGEXEXTRACT(C3171, ""🏘️ \w+ \w+ (.*) ✅""),'Region prepositions'!B:F, 5, 0),  REGEXEXTRACT(C3171, ""🏘️ \w+ \w+ (.*) ✅""))))"),"#N/A")</f>
        <v>#N/A</v>
      </c>
      <c r="I3171" s="4" t="str">
        <f>IFERROR(__xludf.DUMMYFUNCTION("if(D3171=""variant"",  substitute(filter(Templates!E:E, Templates!A:A = F3171, Templates!B:B = G3171, Templates!C:C = H3171), ""{{}}"", E3171), B3171)"),"Vendre maison Kleinhüningen (Bâle): Trouvez le bien immobilier qui correspond idéalement à vos désirs sur ImmoScout24 - La plateforme de l'immobilier en Suisse.")</f>
        <v>Vendre maison Kleinhüningen (Bâle): Trouvez le bien immobilier qui correspond idéalement à vos désirs sur ImmoScout24 - La plateforme de l'immobilier en Suisse.</v>
      </c>
    </row>
    <row r="3172" hidden="1">
      <c r="A3172" s="5" t="s">
        <v>9447</v>
      </c>
      <c r="B3172" s="2" t="s">
        <v>9448</v>
      </c>
      <c r="C3172" s="2" t="s">
        <v>9448</v>
      </c>
      <c r="D3172" s="4" t="str">
        <f>vlookup(A3172, Sheet2!D:E, 2, 0)</f>
        <v>control</v>
      </c>
      <c r="E3172" s="4" t="str">
        <f>IFERROR(__xludf.DUMMYFUNCTION("if(H3172=""pays"",vlookup(REGEXEXTRACT(C3172, ""🏘️ \w+ \w+ (.*) ✅""),'Country prepositions'!A:B, 2, 0) &amp; "" "" &amp; REGEXEXTRACT(C3172, ""🏘️ \w+ \w+ (.*) ✅"") ,  if(H3172=""quartier"",vlookup(REGEXEXTRACT(C3172, ""🏘️ \w+ \w+ (.*) ✅""),'Quartier prepositio"&amp;"ns'!A:E, 5, 0) ,  if(H3172=""region"",vlookup(REGEXEXTRACT(C3172, ""🏘️ \w+ \w+ (.*) ✅""),'Region prepositions'!B:F, 5, 0),  REGEXEXTRACT(C3172, ""🏘️ \w+ \w+ (.*) ✅""))))"),"#N/A")</f>
        <v>#N/A</v>
      </c>
      <c r="I3172" s="4" t="str">
        <f>IFERROR(__xludf.DUMMYFUNCTION("if(D3172=""variant"",  substitute(filter(Templates!E:E, Templates!A:A = F3172, Templates!B:B = G3172, Templates!C:C = H3172), ""{{}}"", E3172), B3172)"),"Vendre appartement L'Etivaz: Trouvez le bien immobilier qui correspond idéalement à vos désirs sur ImmoScout24 - La plateforme de l'immobilier en Suisse.")</f>
        <v>Vendre appartement L'Etivaz: Trouvez le bien immobilier qui correspond idéalement à vos désirs sur ImmoScout24 - La plateforme de l'immobilier en Suisse.</v>
      </c>
    </row>
    <row r="3173" hidden="1">
      <c r="A3173" s="5" t="s">
        <v>9449</v>
      </c>
      <c r="B3173" s="2" t="s">
        <v>9450</v>
      </c>
      <c r="C3173" s="2" t="s">
        <v>9450</v>
      </c>
      <c r="D3173" s="4" t="str">
        <f>vlookup(A3173, Sheet2!D:E, 2, 0)</f>
        <v>control</v>
      </c>
      <c r="E3173" s="4" t="str">
        <f>IFERROR(__xludf.DUMMYFUNCTION("if(H3173=""pays"",vlookup(REGEXEXTRACT(C3173, ""🏘️ \w+ \w+ (.*) ✅""),'Country prepositions'!A:B, 2, 0) &amp; "" "" &amp; REGEXEXTRACT(C3173, ""🏘️ \w+ \w+ (.*) ✅"") ,  if(H3173=""quartier"",vlookup(REGEXEXTRACT(C3173, ""🏘️ \w+ \w+ (.*) ✅""),'Quartier prepositio"&amp;"ns'!A:E, 5, 0) ,  if(H3173=""region"",vlookup(REGEXEXTRACT(C3173, ""🏘️ \w+ \w+ (.*) ✅""),'Region prepositions'!B:F, 5, 0),  REGEXEXTRACT(C3173, ""🏘️ \w+ \w+ (.*) ✅""))))"),"#N/A")</f>
        <v>#N/A</v>
      </c>
      <c r="I3173" s="4" t="str">
        <f>IFERROR(__xludf.DUMMYFUNCTION("if(D3173=""variant"",  substitute(filter(Templates!E:E, Templates!A:A = F3173, Templates!B:B = G3173, Templates!C:C = H3173), ""{{}}"", E3173), B3173)"),"Louer appartement Appenzell: Trouvez le bien immobilier qui correspond idéalement à vos désirs sur ImmoScout24 - La plateforme de l'immobilier en Suisse.")</f>
        <v>Louer appartement Appenzell: Trouvez le bien immobilier qui correspond idéalement à vos désirs sur ImmoScout24 - La plateforme de l'immobilier en Suisse.</v>
      </c>
    </row>
    <row r="3174" hidden="1">
      <c r="A3174" s="5" t="s">
        <v>9451</v>
      </c>
      <c r="B3174" s="2" t="s">
        <v>9452</v>
      </c>
      <c r="C3174" s="2" t="s">
        <v>9452</v>
      </c>
      <c r="D3174" s="4" t="str">
        <f>vlookup(A3174, Sheet2!D:E, 2, 0)</f>
        <v>control</v>
      </c>
      <c r="E3174" s="4" t="str">
        <f>IFERROR(__xludf.DUMMYFUNCTION("if(H3174=""pays"",vlookup(REGEXEXTRACT(C3174, ""🏘️ \w+ \w+ (.*) ✅""),'Country prepositions'!A:B, 2, 0) &amp; "" "" &amp; REGEXEXTRACT(C3174, ""🏘️ \w+ \w+ (.*) ✅"") ,  if(H3174=""quartier"",vlookup(REGEXEXTRACT(C3174, ""🏘️ \w+ \w+ (.*) ✅""),'Quartier prepositio"&amp;"ns'!A:E, 5, 0) ,  if(H3174=""region"",vlookup(REGEXEXTRACT(C3174, ""🏘️ \w+ \w+ (.*) ✅""),'Region prepositions'!B:F, 5, 0),  REGEXEXTRACT(C3174, ""🏘️ \w+ \w+ (.*) ✅""))))"),"#N/A")</f>
        <v>#N/A</v>
      </c>
      <c r="I3174" s="4" t="str">
        <f>IFERROR(__xludf.DUMMYFUNCTION("if(D3174=""variant"",  substitute(filter(Templates!E:E, Templates!A:A = F3174, Templates!B:B = G3174, Templates!C:C = H3174), ""{{}}"", E3174), B3174)"),"Louer appartement Vira (Gambarogno): Trouvez le bien immobilier qui correspond idéalement à vos désirs sur ImmoScout24 - La plateforme de l'immobilier en Suisse.")</f>
        <v>Louer appartement Vira (Gambarogno): Trouvez le bien immobilier qui correspond idéalement à vos désirs sur ImmoScout24 - La plateforme de l'immobilier en Suisse.</v>
      </c>
    </row>
    <row r="3175" hidden="1">
      <c r="A3175" s="5" t="s">
        <v>9453</v>
      </c>
      <c r="B3175" s="2" t="s">
        <v>9454</v>
      </c>
      <c r="C3175" s="2" t="s">
        <v>9454</v>
      </c>
      <c r="D3175" s="4" t="str">
        <f>vlookup(A3175, Sheet2!D:E, 2, 0)</f>
        <v>control</v>
      </c>
      <c r="E3175" s="4" t="str">
        <f>IFERROR(__xludf.DUMMYFUNCTION("if(H3175=""pays"",vlookup(REGEXEXTRACT(C3175, ""🏘️ \w+ \w+ (.*) ✅""),'Country prepositions'!A:B, 2, 0) &amp; "" "" &amp; REGEXEXTRACT(C3175, ""🏘️ \w+ \w+ (.*) ✅"") ,  if(H3175=""quartier"",vlookup(REGEXEXTRACT(C3175, ""🏘️ \w+ \w+ (.*) ✅""),'Quartier prepositio"&amp;"ns'!A:E, 5, 0) ,  if(H3175=""region"",vlookup(REGEXEXTRACT(C3175, ""🏘️ \w+ \w+ (.*) ✅""),'Region prepositions'!B:F, 5, 0),  REGEXEXTRACT(C3175, ""🏘️ \w+ \w+ (.*) ✅""))))"),"#N/A")</f>
        <v>#N/A</v>
      </c>
      <c r="I3175" s="4" t="str">
        <f>IFERROR(__xludf.DUMMYFUNCTION("if(D3175=""variant"",  substitute(filter(Templates!E:E, Templates!A:A = F3175, Templates!B:B = G3175, Templates!C:C = H3175), ""{{}}"", E3175), B3175)"),"Vendre maison Orny: Trouvez le bien immobilier qui correspond idéalement à vos désirs sur ImmoScout24 - La plateforme de l'immobilier en Suisse.")</f>
        <v>Vendre maison Orny: Trouvez le bien immobilier qui correspond idéalement à vos désirs sur ImmoScout24 - La plateforme de l'immobilier en Suisse.</v>
      </c>
    </row>
    <row r="3176" hidden="1">
      <c r="A3176" s="5" t="s">
        <v>9455</v>
      </c>
      <c r="B3176" s="2" t="s">
        <v>9456</v>
      </c>
      <c r="C3176" s="2" t="s">
        <v>9456</v>
      </c>
      <c r="D3176" s="4" t="str">
        <f>vlookup(A3176, Sheet2!D:E, 2, 0)</f>
        <v>control</v>
      </c>
      <c r="E3176" s="4" t="str">
        <f>IFERROR(__xludf.DUMMYFUNCTION("if(H3176=""pays"",vlookup(REGEXEXTRACT(C3176, ""🏘️ \w+ \w+ (.*) ✅""),'Country prepositions'!A:B, 2, 0) &amp; "" "" &amp; REGEXEXTRACT(C3176, ""🏘️ \w+ \w+ (.*) ✅"") ,  if(H3176=""quartier"",vlookup(REGEXEXTRACT(C3176, ""🏘️ \w+ \w+ (.*) ✅""),'Quartier prepositio"&amp;"ns'!A:E, 5, 0) ,  if(H3176=""region"",vlookup(REGEXEXTRACT(C3176, ""🏘️ \w+ \w+ (.*) ✅""),'Region prepositions'!B:F, 5, 0),  REGEXEXTRACT(C3176, ""🏘️ \w+ \w+ (.*) ✅""))))"),"#N/A")</f>
        <v>#N/A</v>
      </c>
      <c r="I3176" s="4" t="str">
        <f>IFERROR(__xludf.DUMMYFUNCTION("if(D3176=""variant"",  substitute(filter(Templates!E:E, Templates!A:A = F3176, Templates!B:B = G3176, Templates!C:C = H3176), ""{{}}"", E3176), B3176)"),"Louer maison Murist: Trouvez le bien immobilier qui correspond idéalement à vos désirs sur ImmoScout24 - La plateforme de l'immobilier en Suisse.")</f>
        <v>Louer maison Murist: Trouvez le bien immobilier qui correspond idéalement à vos désirs sur ImmoScout24 - La plateforme de l'immobilier en Suisse.</v>
      </c>
    </row>
    <row r="3177" hidden="1">
      <c r="A3177" s="5" t="s">
        <v>9457</v>
      </c>
      <c r="B3177" s="2" t="s">
        <v>9458</v>
      </c>
      <c r="C3177" s="2" t="s">
        <v>9458</v>
      </c>
      <c r="D3177" s="4" t="str">
        <f>vlookup(A3177, Sheet2!D:E, 2, 0)</f>
        <v>control</v>
      </c>
      <c r="E3177" s="4" t="str">
        <f>IFERROR(__xludf.DUMMYFUNCTION("if(H3177=""pays"",vlookup(REGEXEXTRACT(C3177, ""🏘️ \w+ \w+ (.*) ✅""),'Country prepositions'!A:B, 2, 0) &amp; "" "" &amp; REGEXEXTRACT(C3177, ""🏘️ \w+ \w+ (.*) ✅"") ,  if(H3177=""quartier"",vlookup(REGEXEXTRACT(C3177, ""🏘️ \w+ \w+ (.*) ✅""),'Quartier prepositio"&amp;"ns'!A:E, 5, 0) ,  if(H3177=""region"",vlookup(REGEXEXTRACT(C3177, ""🏘️ \w+ \w+ (.*) ✅""),'Region prepositions'!B:F, 5, 0),  REGEXEXTRACT(C3177, ""🏘️ \w+ \w+ (.*) ✅""))))"),"#N/A")</f>
        <v>#N/A</v>
      </c>
      <c r="I3177" s="4" t="str">
        <f>IFERROR(__xludf.DUMMYFUNCTION("if(D3177=""variant"",  substitute(filter(Templates!E:E, Templates!A:A = F3177, Templates!B:B = G3177, Templates!C:C = H3177), ""{{}}"", E3177), B3177)"),"Louer appartement L'Abbaye: Trouvez le bien immobilier qui correspond idéalement à vos désirs sur ImmoScout24 - La plateforme de l'immobilier en Suisse.")</f>
        <v>Louer appartement L'Abbaye: Trouvez le bien immobilier qui correspond idéalement à vos désirs sur ImmoScout24 - La plateforme de l'immobilier en Suisse.</v>
      </c>
    </row>
    <row r="3178" hidden="1">
      <c r="A3178" s="5" t="s">
        <v>9459</v>
      </c>
      <c r="B3178" s="2" t="s">
        <v>9460</v>
      </c>
      <c r="C3178" s="2" t="s">
        <v>9460</v>
      </c>
      <c r="D3178" s="4" t="str">
        <f>vlookup(A3178, Sheet2!D:E, 2, 0)</f>
        <v>control</v>
      </c>
      <c r="E3178" s="4" t="str">
        <f>IFERROR(__xludf.DUMMYFUNCTION("if(H3178=""pays"",vlookup(REGEXEXTRACT(C3178, ""🏘️ \w+ \w+ (.*) ✅""),'Country prepositions'!A:B, 2, 0) &amp; "" "" &amp; REGEXEXTRACT(C3178, ""🏘️ \w+ \w+ (.*) ✅"") ,  if(H3178=""quartier"",vlookup(REGEXEXTRACT(C3178, ""🏘️ \w+ \w+ (.*) ✅""),'Quartier prepositio"&amp;"ns'!A:E, 5, 0) ,  if(H3178=""region"",vlookup(REGEXEXTRACT(C3178, ""🏘️ \w+ \w+ (.*) ✅""),'Region prepositions'!B:F, 5, 0),  REGEXEXTRACT(C3178, ""🏘️ \w+ \w+ (.*) ✅""))))"),"#N/A")</f>
        <v>#N/A</v>
      </c>
      <c r="I3178" s="4" t="str">
        <f>IFERROR(__xludf.DUMMYFUNCTION("if(D3178=""variant"",  substitute(filter(Templates!E:E, Templates!A:A = F3178, Templates!B:B = G3178, Templates!C:C = H3178), ""{{}}"", E3178), B3178)"),"Vendre maison Quinten: Trouvez le bien immobilier qui correspond idéalement à vos désirs sur ImmoScout24 - La plateforme de l'immobilier en Suisse.")</f>
        <v>Vendre maison Quinten: Trouvez le bien immobilier qui correspond idéalement à vos désirs sur ImmoScout24 - La plateforme de l'immobilier en Suisse.</v>
      </c>
    </row>
    <row r="3179" hidden="1">
      <c r="A3179" s="5" t="s">
        <v>9461</v>
      </c>
      <c r="B3179" s="2" t="s">
        <v>9462</v>
      </c>
      <c r="C3179" s="2" t="s">
        <v>9462</v>
      </c>
      <c r="D3179" s="4" t="str">
        <f>vlookup(A3179, Sheet2!D:E, 2, 0)</f>
        <v>control</v>
      </c>
      <c r="E3179" s="4" t="str">
        <f>IFERROR(__xludf.DUMMYFUNCTION("if(H3179=""pays"",vlookup(REGEXEXTRACT(C3179, ""🏘️ \w+ \w+ (.*) ✅""),'Country prepositions'!A:B, 2, 0) &amp; "" "" &amp; REGEXEXTRACT(C3179, ""🏘️ \w+ \w+ (.*) ✅"") ,  if(H3179=""quartier"",vlookup(REGEXEXTRACT(C3179, ""🏘️ \w+ \w+ (.*) ✅""),'Quartier prepositio"&amp;"ns'!A:E, 5, 0) ,  if(H3179=""region"",vlookup(REGEXEXTRACT(C3179, ""🏘️ \w+ \w+ (.*) ✅""),'Region prepositions'!B:F, 5, 0),  REGEXEXTRACT(C3179, ""🏘️ \w+ \w+ (.*) ✅""))))"),"#N/A")</f>
        <v>#N/A</v>
      </c>
      <c r="I3179" s="4" t="str">
        <f>IFERROR(__xludf.DUMMYFUNCTION("if(D3179=""variant"",  substitute(filter(Templates!E:E, Templates!A:A = F3179, Templates!B:B = G3179, Templates!C:C = H3179), ""{{}}"", E3179), B3179)"),"Louer maison Rive Droite: Trouvez le bien immobilier qui correspond idéalement à vos désirs sur ImmoScout24 - La plateforme de l'immobilier en Suisse.")</f>
        <v>Louer maison Rive Droite: Trouvez le bien immobilier qui correspond idéalement à vos désirs sur ImmoScout24 - La plateforme de l'immobilier en Suisse.</v>
      </c>
    </row>
    <row r="3180" hidden="1">
      <c r="A3180" s="5" t="s">
        <v>9463</v>
      </c>
      <c r="B3180" s="2" t="s">
        <v>9464</v>
      </c>
      <c r="C3180" s="2" t="s">
        <v>9464</v>
      </c>
      <c r="D3180" s="4" t="str">
        <f>vlookup(A3180, Sheet2!D:E, 2, 0)</f>
        <v>control</v>
      </c>
      <c r="E3180" s="4" t="str">
        <f>IFERROR(__xludf.DUMMYFUNCTION("if(H3180=""pays"",vlookup(REGEXEXTRACT(C3180, ""🏘️ \w+ \w+ (.*) ✅""),'Country prepositions'!A:B, 2, 0) &amp; "" "" &amp; REGEXEXTRACT(C3180, ""🏘️ \w+ \w+ (.*) ✅"") ,  if(H3180=""quartier"",vlookup(REGEXEXTRACT(C3180, ""🏘️ \w+ \w+ (.*) ✅""),'Quartier prepositio"&amp;"ns'!A:E, 5, 0) ,  if(H3180=""region"",vlookup(REGEXEXTRACT(C3180, ""🏘️ \w+ \w+ (.*) ✅""),'Region prepositions'!B:F, 5, 0),  REGEXEXTRACT(C3180, ""🏘️ \w+ \w+ (.*) ✅""))))"),"#N/A")</f>
        <v>#N/A</v>
      </c>
      <c r="I3180" s="4" t="str">
        <f>IFERROR(__xludf.DUMMYFUNCTION("if(D3180=""variant"",  substitute(filter(Templates!E:E, Templates!A:A = F3180, Templates!B:B = G3180, Templates!C:C = H3180), ""{{}}"", E3180), B3180)"),"Louer appartement Givrins: Trouvez le bien immobilier qui correspond idéalement à vos désirs sur ImmoScout24 - La plateforme de l'immobilier en Suisse.")</f>
        <v>Louer appartement Givrins: Trouvez le bien immobilier qui correspond idéalement à vos désirs sur ImmoScout24 - La plateforme de l'immobilier en Suisse.</v>
      </c>
    </row>
    <row r="3181" hidden="1">
      <c r="A3181" s="5" t="s">
        <v>9465</v>
      </c>
      <c r="B3181" s="2" t="s">
        <v>9466</v>
      </c>
      <c r="C3181" s="2" t="s">
        <v>9466</v>
      </c>
      <c r="D3181" s="4" t="str">
        <f>vlookup(A3181, Sheet2!D:E, 2, 0)</f>
        <v>control</v>
      </c>
      <c r="E3181" s="4" t="str">
        <f>IFERROR(__xludf.DUMMYFUNCTION("if(H3181=""pays"",vlookup(REGEXEXTRACT(C3181, ""🏘️ \w+ \w+ (.*) ✅""),'Country prepositions'!A:B, 2, 0) &amp; "" "" &amp; REGEXEXTRACT(C3181, ""🏘️ \w+ \w+ (.*) ✅"") ,  if(H3181=""quartier"",vlookup(REGEXEXTRACT(C3181, ""🏘️ \w+ \w+ (.*) ✅""),'Quartier prepositio"&amp;"ns'!A:E, 5, 0) ,  if(H3181=""region"",vlookup(REGEXEXTRACT(C3181, ""🏘️ \w+ \w+ (.*) ✅""),'Region prepositions'!B:F, 5, 0),  REGEXEXTRACT(C3181, ""🏘️ \w+ \w+ (.*) ✅""))))"),"#N/A")</f>
        <v>#N/A</v>
      </c>
      <c r="I3181" s="4" t="str">
        <f>IFERROR(__xludf.DUMMYFUNCTION("if(D3181=""variant"",  substitute(filter(Templates!E:E, Templates!A:A = F3181, Templates!B:B = G3181, Templates!C:C = H3181), ""{{}}"", E3181), B3181)"),"Louer appartement Portalban: Trouvez le bien immobilier qui correspond idéalement à vos désirs sur ImmoScout24 - La plateforme de l'immobilier en Suisse.")</f>
        <v>Louer appartement Portalban: Trouvez le bien immobilier qui correspond idéalement à vos désirs sur ImmoScout24 - La plateforme de l'immobilier en Suisse.</v>
      </c>
    </row>
    <row r="3182" hidden="1">
      <c r="A3182" s="5" t="s">
        <v>9467</v>
      </c>
      <c r="B3182" s="2" t="s">
        <v>9468</v>
      </c>
      <c r="C3182" s="2" t="s">
        <v>9468</v>
      </c>
      <c r="D3182" s="4" t="str">
        <f>vlookup(A3182, Sheet2!D:E, 2, 0)</f>
        <v>control</v>
      </c>
      <c r="E3182" s="4" t="str">
        <f>IFERROR(__xludf.DUMMYFUNCTION("if(H3182=""pays"",vlookup(REGEXEXTRACT(C3182, ""🏘️ \w+ \w+ (.*) ✅""),'Country prepositions'!A:B, 2, 0) &amp; "" "" &amp; REGEXEXTRACT(C3182, ""🏘️ \w+ \w+ (.*) ✅"") ,  if(H3182=""quartier"",vlookup(REGEXEXTRACT(C3182, ""🏘️ \w+ \w+ (.*) ✅""),'Quartier prepositio"&amp;"ns'!A:E, 5, 0) ,  if(H3182=""region"",vlookup(REGEXEXTRACT(C3182, ""🏘️ \w+ \w+ (.*) ✅""),'Region prepositions'!B:F, 5, 0),  REGEXEXTRACT(C3182, ""🏘️ \w+ \w+ (.*) ✅""))))"),"#N/A")</f>
        <v>#N/A</v>
      </c>
      <c r="I3182" s="4" t="str">
        <f>IFERROR(__xludf.DUMMYFUNCTION("if(D3182=""variant"",  substitute(filter(Templates!E:E, Templates!A:A = F3182, Templates!B:B = G3182, Templates!C:C = H3182), ""{{}}"", E3182), B3182)"),"Vendre maison Villarbeney: Trouvez le bien immobilier qui correspond idéalement à vos désirs sur ImmoScout24 - La plateforme de l'immobilier en Suisse.")</f>
        <v>Vendre maison Villarbeney: Trouvez le bien immobilier qui correspond idéalement à vos désirs sur ImmoScout24 - La plateforme de l'immobilier en Suisse.</v>
      </c>
    </row>
    <row r="3183" hidden="1">
      <c r="A3183" s="5" t="s">
        <v>9469</v>
      </c>
      <c r="B3183" s="2" t="s">
        <v>9470</v>
      </c>
      <c r="C3183" s="2" t="s">
        <v>9470</v>
      </c>
      <c r="D3183" s="4" t="str">
        <f>vlookup(A3183, Sheet2!D:E, 2, 0)</f>
        <v>control</v>
      </c>
      <c r="E3183" s="4" t="str">
        <f>IFERROR(__xludf.DUMMYFUNCTION("if(H3183=""pays"",vlookup(REGEXEXTRACT(C3183, ""🏘️ \w+ \w+ (.*) ✅""),'Country prepositions'!A:B, 2, 0) &amp; "" "" &amp; REGEXEXTRACT(C3183, ""🏘️ \w+ \w+ (.*) ✅"") ,  if(H3183=""quartier"",vlookup(REGEXEXTRACT(C3183, ""🏘️ \w+ \w+ (.*) ✅""),'Quartier prepositio"&amp;"ns'!A:E, 5, 0) ,  if(H3183=""region"",vlookup(REGEXEXTRACT(C3183, ""🏘️ \w+ \w+ (.*) ✅""),'Region prepositions'!B:F, 5, 0),  REGEXEXTRACT(C3183, ""🏘️ \w+ \w+ (.*) ✅""))))"),"#N/A")</f>
        <v>#N/A</v>
      </c>
      <c r="I3183" s="4" t="str">
        <f>IFERROR(__xludf.DUMMYFUNCTION("if(D3183=""variant"",  substitute(filter(Templates!E:E, Templates!A:A = F3183, Templates!B:B = G3183, Templates!C:C = H3183), ""{{}}"", E3183), B3183)"),"Louer appartement Aran: Trouvez le bien immobilier qui correspond idéalement à vos désirs sur ImmoScout24 - La plateforme de l'immobilier en Suisse.")</f>
        <v>Louer appartement Aran: Trouvez le bien immobilier qui correspond idéalement à vos désirs sur ImmoScout24 - La plateforme de l'immobilier en Suisse.</v>
      </c>
    </row>
    <row r="3184" hidden="1">
      <c r="A3184" s="5" t="s">
        <v>9471</v>
      </c>
      <c r="B3184" s="2" t="s">
        <v>9472</v>
      </c>
      <c r="C3184" s="2" t="s">
        <v>9472</v>
      </c>
      <c r="D3184" s="4" t="str">
        <f>vlookup(A3184, Sheet2!D:E, 2, 0)</f>
        <v>control</v>
      </c>
      <c r="E3184" s="4" t="str">
        <f>IFERROR(__xludf.DUMMYFUNCTION("if(H3184=""pays"",vlookup(REGEXEXTRACT(C3184, ""🏘️ \w+ \w+ (.*) ✅""),'Country prepositions'!A:B, 2, 0) &amp; "" "" &amp; REGEXEXTRACT(C3184, ""🏘️ \w+ \w+ (.*) ✅"") ,  if(H3184=""quartier"",vlookup(REGEXEXTRACT(C3184, ""🏘️ \w+ \w+ (.*) ✅""),'Quartier prepositio"&amp;"ns'!A:E, 5, 0) ,  if(H3184=""region"",vlookup(REGEXEXTRACT(C3184, ""🏘️ \w+ \w+ (.*) ✅""),'Region prepositions'!B:F, 5, 0),  REGEXEXTRACT(C3184, ""🏘️ \w+ \w+ (.*) ✅""))))"),"#N/A")</f>
        <v>#N/A</v>
      </c>
      <c r="I3184" s="4" t="str">
        <f>IFERROR(__xludf.DUMMYFUNCTION("if(D3184=""variant"",  substitute(filter(Templates!E:E, Templates!A:A = F3184, Templates!B:B = G3184, Templates!C:C = H3184), ""{{}}"", E3184), B3184)"),"Louer appartement Montagny-la-Ville: Trouvez le bien immobilier qui correspond idéalement à vos désirs sur ImmoScout24 - La plateforme de l'immobilier en Suisse.")</f>
        <v>Louer appartement Montagny-la-Ville: Trouvez le bien immobilier qui correspond idéalement à vos désirs sur ImmoScout24 - La plateforme de l'immobilier en Suisse.</v>
      </c>
    </row>
    <row r="3185" hidden="1">
      <c r="A3185" s="5" t="s">
        <v>9473</v>
      </c>
      <c r="B3185" s="2" t="s">
        <v>9474</v>
      </c>
      <c r="C3185" s="2" t="s">
        <v>9474</v>
      </c>
      <c r="D3185" s="4" t="str">
        <f>vlookup(A3185, Sheet2!D:E, 2, 0)</f>
        <v>control</v>
      </c>
      <c r="E3185" s="4" t="str">
        <f>IFERROR(__xludf.DUMMYFUNCTION("if(H3185=""pays"",vlookup(REGEXEXTRACT(C3185, ""🏘️ \w+ \w+ (.*) ✅""),'Country prepositions'!A:B, 2, 0) &amp; "" "" &amp; REGEXEXTRACT(C3185, ""🏘️ \w+ \w+ (.*) ✅"") ,  if(H3185=""quartier"",vlookup(REGEXEXTRACT(C3185, ""🏘️ \w+ \w+ (.*) ✅""),'Quartier prepositio"&amp;"ns'!A:E, 5, 0) ,  if(H3185=""region"",vlookup(REGEXEXTRACT(C3185, ""🏘️ \w+ \w+ (.*) ✅""),'Region prepositions'!B:F, 5, 0),  REGEXEXTRACT(C3185, ""🏘️ \w+ \w+ (.*) ✅""))))"),"#N/A")</f>
        <v>#N/A</v>
      </c>
      <c r="I3185" s="4" t="str">
        <f>IFERROR(__xludf.DUMMYFUNCTION("if(D3185=""variant"",  substitute(filter(Templates!E:E, Templates!A:A = F3185, Templates!B:B = G3185, Templates!C:C = H3185), ""{{}}"", E3185), B3185)"),"Louer maison Champtauroz: Trouvez le bien immobilier qui correspond idéalement à vos désirs sur ImmoScout24 - La plateforme de l'immobilier en Suisse.")</f>
        <v>Louer maison Champtauroz: Trouvez le bien immobilier qui correspond idéalement à vos désirs sur ImmoScout24 - La plateforme de l'immobilier en Suisse.</v>
      </c>
    </row>
    <row r="3186" hidden="1">
      <c r="A3186" s="5" t="s">
        <v>9475</v>
      </c>
      <c r="B3186" s="2" t="s">
        <v>9476</v>
      </c>
      <c r="C3186" s="2" t="s">
        <v>9476</v>
      </c>
      <c r="D3186" s="4" t="str">
        <f>vlookup(A3186, Sheet2!D:E, 2, 0)</f>
        <v>control</v>
      </c>
      <c r="E3186" s="4" t="str">
        <f>IFERROR(__xludf.DUMMYFUNCTION("if(H3186=""pays"",vlookup(REGEXEXTRACT(C3186, ""🏘️ \w+ \w+ (.*) ✅""),'Country prepositions'!A:B, 2, 0) &amp; "" "" &amp; REGEXEXTRACT(C3186, ""🏘️ \w+ \w+ (.*) ✅"") ,  if(H3186=""quartier"",vlookup(REGEXEXTRACT(C3186, ""🏘️ \w+ \w+ (.*) ✅""),'Quartier prepositio"&amp;"ns'!A:E, 5, 0) ,  if(H3186=""region"",vlookup(REGEXEXTRACT(C3186, ""🏘️ \w+ \w+ (.*) ✅""),'Region prepositions'!B:F, 5, 0),  REGEXEXTRACT(C3186, ""🏘️ \w+ \w+ (.*) ✅""))))"),"#N/A")</f>
        <v>#N/A</v>
      </c>
      <c r="I3186" s="4" t="str">
        <f>IFERROR(__xludf.DUMMYFUNCTION("if(D3186=""variant"",  substitute(filter(Templates!E:E, Templates!A:A = F3186, Templates!B:B = G3186, Templates!C:C = H3186), ""{{}}"", E3186), B3186)"),"Vendre maison Biembach im Emmental: Trouvez le bien immobilier qui correspond idéalement à vos désirs sur ImmoScout24 - La plateforme de l'immobilier en Suisse.")</f>
        <v>Vendre maison Biembach im Emmental: Trouvez le bien immobilier qui correspond idéalement à vos désirs sur ImmoScout24 - La plateforme de l'immobilier en Suisse.</v>
      </c>
    </row>
    <row r="3187" hidden="1">
      <c r="A3187" s="5" t="s">
        <v>9477</v>
      </c>
      <c r="B3187" s="2" t="s">
        <v>9478</v>
      </c>
      <c r="C3187" s="2" t="s">
        <v>9478</v>
      </c>
      <c r="D3187" s="4" t="str">
        <f>vlookup(A3187, Sheet2!D:E, 2, 0)</f>
        <v>control</v>
      </c>
      <c r="E3187" s="4" t="str">
        <f>IFERROR(__xludf.DUMMYFUNCTION("if(H3187=""pays"",vlookup(REGEXEXTRACT(C3187, ""🏘️ \w+ \w+ (.*) ✅""),'Country prepositions'!A:B, 2, 0) &amp; "" "" &amp; REGEXEXTRACT(C3187, ""🏘️ \w+ \w+ (.*) ✅"") ,  if(H3187=""quartier"",vlookup(REGEXEXTRACT(C3187, ""🏘️ \w+ \w+ (.*) ✅""),'Quartier prepositio"&amp;"ns'!A:E, 5, 0) ,  if(H3187=""region"",vlookup(REGEXEXTRACT(C3187, ""🏘️ \w+ \w+ (.*) ✅""),'Region prepositions'!B:F, 5, 0),  REGEXEXTRACT(C3187, ""🏘️ \w+ \w+ (.*) ✅""))))"),"#N/A")</f>
        <v>#N/A</v>
      </c>
      <c r="I3187" s="4" t="str">
        <f>IFERROR(__xludf.DUMMYFUNCTION("if(D3187=""variant"",  substitute(filter(Templates!E:E, Templates!A:A = F3187, Templates!B:B = G3187, Templates!C:C = H3187), ""{{}}"", E3187), B3187)"),"Vendre maison Büetigen: Trouvez le bien immobilier qui correspond idéalement à vos désirs sur ImmoScout24 - La plateforme de l'immobilier en Suisse.")</f>
        <v>Vendre maison Büetigen: Trouvez le bien immobilier qui correspond idéalement à vos désirs sur ImmoScout24 - La plateforme de l'immobilier en Suisse.</v>
      </c>
    </row>
    <row r="3188" hidden="1">
      <c r="A3188" s="5" t="s">
        <v>9479</v>
      </c>
      <c r="B3188" s="2" t="s">
        <v>9480</v>
      </c>
      <c r="C3188" s="2" t="s">
        <v>9480</v>
      </c>
      <c r="D3188" s="4" t="str">
        <f>vlookup(A3188, Sheet2!D:E, 2, 0)</f>
        <v>control</v>
      </c>
      <c r="E3188" s="4" t="str">
        <f>IFERROR(__xludf.DUMMYFUNCTION("if(H3188=""pays"",vlookup(REGEXEXTRACT(C3188, ""🏘️ \w+ \w+ (.*) ✅""),'Country prepositions'!A:B, 2, 0) &amp; "" "" &amp; REGEXEXTRACT(C3188, ""🏘️ \w+ \w+ (.*) ✅"") ,  if(H3188=""quartier"",vlookup(REGEXEXTRACT(C3188, ""🏘️ \w+ \w+ (.*) ✅""),'Quartier prepositio"&amp;"ns'!A:E, 5, 0) ,  if(H3188=""region"",vlookup(REGEXEXTRACT(C3188, ""🏘️ \w+ \w+ (.*) ✅""),'Region prepositions'!B:F, 5, 0),  REGEXEXTRACT(C3188, ""🏘️ \w+ \w+ (.*) ✅""))))"),"#N/A")</f>
        <v>#N/A</v>
      </c>
      <c r="I3188" s="4" t="str">
        <f>IFERROR(__xludf.DUMMYFUNCTION("if(D3188=""variant"",  substitute(filter(Templates!E:E, Templates!A:A = F3188, Templates!B:B = G3188, Templates!C:C = H3188), ""{{}}"", E3188), B3188)"),"Vendre appartement St-Légier-La Chiésaz: Trouvez le bien immobilier qui correspond idéalement à vos désirs sur ImmoScout24 - La plateforme de l'immobilier en Suisse.")</f>
        <v>Vendre appartement St-Légier-La Chiésaz: Trouvez le bien immobilier qui correspond idéalement à vos désirs sur ImmoScout24 - La plateforme de l'immobilier en Suisse.</v>
      </c>
    </row>
    <row r="3189" hidden="1">
      <c r="A3189" s="5" t="s">
        <v>9481</v>
      </c>
      <c r="B3189" s="2" t="s">
        <v>9482</v>
      </c>
      <c r="C3189" s="2" t="s">
        <v>9482</v>
      </c>
      <c r="D3189" s="4" t="str">
        <f>vlookup(A3189, Sheet2!D:E, 2, 0)</f>
        <v>control</v>
      </c>
      <c r="E3189" s="4" t="str">
        <f>IFERROR(__xludf.DUMMYFUNCTION("if(H3189=""pays"",vlookup(REGEXEXTRACT(C3189, ""🏘️ \w+ \w+ (.*) ✅""),'Country prepositions'!A:B, 2, 0) &amp; "" "" &amp; REGEXEXTRACT(C3189, ""🏘️ \w+ \w+ (.*) ✅"") ,  if(H3189=""quartier"",vlookup(REGEXEXTRACT(C3189, ""🏘️ \w+ \w+ (.*) ✅""),'Quartier prepositio"&amp;"ns'!A:E, 5, 0) ,  if(H3189=""region"",vlookup(REGEXEXTRACT(C3189, ""🏘️ \w+ \w+ (.*) ✅""),'Region prepositions'!B:F, 5, 0),  REGEXEXTRACT(C3189, ""🏘️ \w+ \w+ (.*) ✅""))))"),"#N/A")</f>
        <v>#N/A</v>
      </c>
      <c r="I3189" s="4" t="str">
        <f>IFERROR(__xludf.DUMMYFUNCTION("if(D3189=""variant"",  substitute(filter(Templates!E:E, Templates!A:A = F3189, Templates!B:B = G3189, Templates!C:C = H3189), ""{{}}"", E3189), B3189)"),"Louer appartement Brignon (Nendaz): Trouvez le bien immobilier qui correspond idéalement à vos désirs sur ImmoScout24 - La plateforme de l'immobilier en Suisse.")</f>
        <v>Louer appartement Brignon (Nendaz): Trouvez le bien immobilier qui correspond idéalement à vos désirs sur ImmoScout24 - La plateforme de l'immobilier en Suisse.</v>
      </c>
    </row>
    <row r="3190" hidden="1">
      <c r="A3190" s="5" t="s">
        <v>9483</v>
      </c>
      <c r="B3190" s="2" t="s">
        <v>9484</v>
      </c>
      <c r="C3190" s="2" t="s">
        <v>9484</v>
      </c>
      <c r="D3190" s="4" t="str">
        <f>vlookup(A3190, Sheet2!D:E, 2, 0)</f>
        <v>control</v>
      </c>
      <c r="E3190" s="4" t="str">
        <f>IFERROR(__xludf.DUMMYFUNCTION("if(H3190=""pays"",vlookup(REGEXEXTRACT(C3190, ""🏘️ \w+ \w+ (.*) ✅""),'Country prepositions'!A:B, 2, 0) &amp; "" "" &amp; REGEXEXTRACT(C3190, ""🏘️ \w+ \w+ (.*) ✅"") ,  if(H3190=""quartier"",vlookup(REGEXEXTRACT(C3190, ""🏘️ \w+ \w+ (.*) ✅""),'Quartier prepositio"&amp;"ns'!A:E, 5, 0) ,  if(H3190=""region"",vlookup(REGEXEXTRACT(C3190, ""🏘️ \w+ \w+ (.*) ✅""),'Region prepositions'!B:F, 5, 0),  REGEXEXTRACT(C3190, ""🏘️ \w+ \w+ (.*) ✅""))))"),"#N/A")</f>
        <v>#N/A</v>
      </c>
      <c r="I3190" s="4" t="str">
        <f>IFERROR(__xludf.DUMMYFUNCTION("if(D3190=""variant"",  substitute(filter(Templates!E:E, Templates!A:A = F3190, Templates!B:B = G3190, Templates!C:C = H3190), ""{{}}"", E3190), B3190)"),"Vendre appartement Fiez: Trouvez le bien immobilier qui correspond idéalement à vos désirs sur ImmoScout24 - La plateforme de l'immobilier en Suisse.")</f>
        <v>Vendre appartement Fiez: Trouvez le bien immobilier qui correspond idéalement à vos désirs sur ImmoScout24 - La plateforme de l'immobilier en Suisse.</v>
      </c>
    </row>
    <row r="3191" hidden="1">
      <c r="A3191" s="5" t="s">
        <v>9485</v>
      </c>
      <c r="B3191" s="2" t="s">
        <v>9486</v>
      </c>
      <c r="C3191" s="2" t="s">
        <v>9486</v>
      </c>
      <c r="D3191" s="4" t="str">
        <f>vlookup(A3191, Sheet2!D:E, 2, 0)</f>
        <v>control</v>
      </c>
      <c r="E3191" s="4" t="str">
        <f>IFERROR(__xludf.DUMMYFUNCTION("if(H3191=""pays"",vlookup(REGEXEXTRACT(C3191, ""🏘️ \w+ \w+ (.*) ✅""),'Country prepositions'!A:B, 2, 0) &amp; "" "" &amp; REGEXEXTRACT(C3191, ""🏘️ \w+ \w+ (.*) ✅"") ,  if(H3191=""quartier"",vlookup(REGEXEXTRACT(C3191, ""🏘️ \w+ \w+ (.*) ✅""),'Quartier prepositio"&amp;"ns'!A:E, 5, 0) ,  if(H3191=""region"",vlookup(REGEXEXTRACT(C3191, ""🏘️ \w+ \w+ (.*) ✅""),'Region prepositions'!B:F, 5, 0),  REGEXEXTRACT(C3191, ""🏘️ \w+ \w+ (.*) ✅""))))"),"#N/A")</f>
        <v>#N/A</v>
      </c>
      <c r="I3191" s="4" t="str">
        <f>IFERROR(__xludf.DUMMYFUNCTION("if(D3191=""variant"",  substitute(filter(Templates!E:E, Templates!A:A = F3191, Templates!B:B = G3191, Templates!C:C = H3191), ""{{}}"", E3191), B3191)"),"Vendre maison Ostermundigen: Trouvez le bien immobilier qui correspond idéalement à vos désirs sur ImmoScout24 - La plateforme de l'immobilier en Suisse.")</f>
        <v>Vendre maison Ostermundigen: Trouvez le bien immobilier qui correspond idéalement à vos désirs sur ImmoScout24 - La plateforme de l'immobilier en Suisse.</v>
      </c>
    </row>
    <row r="3192" hidden="1">
      <c r="A3192" s="5" t="s">
        <v>9487</v>
      </c>
      <c r="B3192" s="2" t="s">
        <v>9488</v>
      </c>
      <c r="C3192" s="2" t="s">
        <v>9488</v>
      </c>
      <c r="D3192" s="4" t="str">
        <f>vlookup(A3192, Sheet2!D:E, 2, 0)</f>
        <v>control</v>
      </c>
      <c r="E3192" s="4" t="str">
        <f>IFERROR(__xludf.DUMMYFUNCTION("if(H3192=""pays"",vlookup(REGEXEXTRACT(C3192, ""🏘️ \w+ \w+ (.*) ✅""),'Country prepositions'!A:B, 2, 0) &amp; "" "" &amp; REGEXEXTRACT(C3192, ""🏘️ \w+ \w+ (.*) ✅"") ,  if(H3192=""quartier"",vlookup(REGEXEXTRACT(C3192, ""🏘️ \w+ \w+ (.*) ✅""),'Quartier prepositio"&amp;"ns'!A:E, 5, 0) ,  if(H3192=""region"",vlookup(REGEXEXTRACT(C3192, ""🏘️ \w+ \w+ (.*) ✅""),'Region prepositions'!B:F, 5, 0),  REGEXEXTRACT(C3192, ""🏘️ \w+ \w+ (.*) ✅""))))"),"#N/A")</f>
        <v>#N/A</v>
      </c>
      <c r="I3192" s="4" t="str">
        <f>IFERROR(__xludf.DUMMYFUNCTION("if(D3192=""variant"",  substitute(filter(Templates!E:E, Templates!A:A = F3192, Templates!B:B = G3192, Templates!C:C = H3192), ""{{}}"", E3192), B3192)"),"Louer maison Boll: Trouvez le bien immobilier qui correspond idéalement à vos désirs sur ImmoScout24 - La plateforme de l'immobilier en Suisse.")</f>
        <v>Louer maison Boll: Trouvez le bien immobilier qui correspond idéalement à vos désirs sur ImmoScout24 - La plateforme de l'immobilier en Suisse.</v>
      </c>
    </row>
    <row r="3193" hidden="1">
      <c r="A3193" s="5" t="s">
        <v>9489</v>
      </c>
      <c r="B3193" s="2" t="s">
        <v>9490</v>
      </c>
      <c r="C3193" s="2" t="s">
        <v>9490</v>
      </c>
      <c r="D3193" s="4" t="str">
        <f>vlookup(A3193, Sheet2!D:E, 2, 0)</f>
        <v>control</v>
      </c>
      <c r="E3193" s="4" t="str">
        <f>IFERROR(__xludf.DUMMYFUNCTION("if(H3193=""pays"",vlookup(REGEXEXTRACT(C3193, ""🏘️ \w+ \w+ (.*) ✅""),'Country prepositions'!A:B, 2, 0) &amp; "" "" &amp; REGEXEXTRACT(C3193, ""🏘️ \w+ \w+ (.*) ✅"") ,  if(H3193=""quartier"",vlookup(REGEXEXTRACT(C3193, ""🏘️ \w+ \w+ (.*) ✅""),'Quartier prepositio"&amp;"ns'!A:E, 5, 0) ,  if(H3193=""region"",vlookup(REGEXEXTRACT(C3193, ""🏘️ \w+ \w+ (.*) ✅""),'Region prepositions'!B:F, 5, 0),  REGEXEXTRACT(C3193, ""🏘️ \w+ \w+ (.*) ✅""))))"),"#N/A")</f>
        <v>#N/A</v>
      </c>
      <c r="I3193" s="4" t="str">
        <f>IFERROR(__xludf.DUMMYFUNCTION("if(D3193=""variant"",  substitute(filter(Templates!E:E, Templates!A:A = F3193, Templates!B:B = G3193, Templates!C:C = H3193), ""{{}}"", E3193), B3193)"),"Louer appartement Fenin: Trouvez le bien immobilier qui correspond idéalement à vos désirs sur ImmoScout24 - La plateforme de l'immobilier en Suisse.")</f>
        <v>Louer appartement Fenin: Trouvez le bien immobilier qui correspond idéalement à vos désirs sur ImmoScout24 - La plateforme de l'immobilier en Suisse.</v>
      </c>
    </row>
    <row r="3194" hidden="1">
      <c r="A3194" s="5" t="s">
        <v>9491</v>
      </c>
      <c r="B3194" s="2" t="s">
        <v>9492</v>
      </c>
      <c r="C3194" s="2" t="s">
        <v>9492</v>
      </c>
      <c r="D3194" s="4" t="str">
        <f>vlookup(A3194, Sheet2!D:E, 2, 0)</f>
        <v>control</v>
      </c>
      <c r="E3194" s="4" t="str">
        <f>IFERROR(__xludf.DUMMYFUNCTION("if(H3194=""pays"",vlookup(REGEXEXTRACT(C3194, ""🏘️ \w+ \w+ (.*) ✅""),'Country prepositions'!A:B, 2, 0) &amp; "" "" &amp; REGEXEXTRACT(C3194, ""🏘️ \w+ \w+ (.*) ✅"") ,  if(H3194=""quartier"",vlookup(REGEXEXTRACT(C3194, ""🏘️ \w+ \w+ (.*) ✅""),'Quartier prepositio"&amp;"ns'!A:E, 5, 0) ,  if(H3194=""region"",vlookup(REGEXEXTRACT(C3194, ""🏘️ \w+ \w+ (.*) ✅""),'Region prepositions'!B:F, 5, 0),  REGEXEXTRACT(C3194, ""🏘️ \w+ \w+ (.*) ✅""))))"),"#N/A")</f>
        <v>#N/A</v>
      </c>
      <c r="I3194" s="4" t="str">
        <f>IFERROR(__xludf.DUMMYFUNCTION("if(D3194=""variant"",  substitute(filter(Templates!E:E, Templates!A:A = F3194, Templates!B:B = G3194, Templates!C:C = H3194), ""{{}}"", E3194), B3194)"),"Louer appartement St-Cergue: Trouvez le bien immobilier qui correspond idéalement à vos désirs sur ImmoScout24 - La plateforme de l'immobilier en Suisse.")</f>
        <v>Louer appartement St-Cergue: Trouvez le bien immobilier qui correspond idéalement à vos désirs sur ImmoScout24 - La plateforme de l'immobilier en Suisse.</v>
      </c>
    </row>
    <row r="3195" hidden="1">
      <c r="A3195" s="5" t="s">
        <v>9493</v>
      </c>
      <c r="B3195" s="2" t="s">
        <v>9494</v>
      </c>
      <c r="C3195" s="2" t="s">
        <v>9494</v>
      </c>
      <c r="D3195" s="4" t="str">
        <f>vlookup(A3195, Sheet2!D:E, 2, 0)</f>
        <v>control</v>
      </c>
      <c r="E3195" s="4" t="str">
        <f>IFERROR(__xludf.DUMMYFUNCTION("if(H3195=""pays"",vlookup(REGEXEXTRACT(C3195, ""🏘️ \w+ \w+ (.*) ✅""),'Country prepositions'!A:B, 2, 0) &amp; "" "" &amp; REGEXEXTRACT(C3195, ""🏘️ \w+ \w+ (.*) ✅"") ,  if(H3195=""quartier"",vlookup(REGEXEXTRACT(C3195, ""🏘️ \w+ \w+ (.*) ✅""),'Quartier prepositio"&amp;"ns'!A:E, 5, 0) ,  if(H3195=""region"",vlookup(REGEXEXTRACT(C3195, ""🏘️ \w+ \w+ (.*) ✅""),'Region prepositions'!B:F, 5, 0),  REGEXEXTRACT(C3195, ""🏘️ \w+ \w+ (.*) ✅""))))"),"#N/A")</f>
        <v>#N/A</v>
      </c>
      <c r="I3195" s="4" t="str">
        <f>IFERROR(__xludf.DUMMYFUNCTION("if(D3195=""variant"",  substitute(filter(Templates!E:E, Templates!A:A = F3195, Templates!B:B = G3195, Templates!C:C = H3195), ""{{}}"", E3195), B3195)"),"Louer appartement Rotmonten (St-Gall): Trouvez le bien immobilier qui correspond idéalement à vos désirs sur ImmoScout24 - La plateforme de l'immobilier en Suisse.")</f>
        <v>Louer appartement Rotmonten (St-Gall): Trouvez le bien immobilier qui correspond idéalement à vos désirs sur ImmoScout24 - La plateforme de l'immobilier en Suisse.</v>
      </c>
    </row>
    <row r="3196" hidden="1">
      <c r="A3196" s="5" t="s">
        <v>9495</v>
      </c>
      <c r="B3196" s="2" t="s">
        <v>9496</v>
      </c>
      <c r="C3196" s="2" t="s">
        <v>9496</v>
      </c>
      <c r="D3196" s="4" t="str">
        <f>vlookup(A3196, Sheet2!D:E, 2, 0)</f>
        <v>control</v>
      </c>
      <c r="E3196" s="4" t="str">
        <f>IFERROR(__xludf.DUMMYFUNCTION("if(H3196=""pays"",vlookup(REGEXEXTRACT(C3196, ""🏘️ \w+ \w+ (.*) ✅""),'Country prepositions'!A:B, 2, 0) &amp; "" "" &amp; REGEXEXTRACT(C3196, ""🏘️ \w+ \w+ (.*) ✅"") ,  if(H3196=""quartier"",vlookup(REGEXEXTRACT(C3196, ""🏘️ \w+ \w+ (.*) ✅""),'Quartier prepositio"&amp;"ns'!A:E, 5, 0) ,  if(H3196=""region"",vlookup(REGEXEXTRACT(C3196, ""🏘️ \w+ \w+ (.*) ✅""),'Region prepositions'!B:F, 5, 0),  REGEXEXTRACT(C3196, ""🏘️ \w+ \w+ (.*) ✅""))))"),"#N/A")</f>
        <v>#N/A</v>
      </c>
      <c r="I3196" s="4" t="str">
        <f>IFERROR(__xludf.DUMMYFUNCTION("if(D3196=""variant"",  substitute(filter(Templates!E:E, Templates!A:A = F3196, Templates!B:B = G3196, Templates!C:C = H3196), ""{{}}"", E3196), B3196)"),"Louer appartement St-Blaise: Trouvez le bien immobilier qui correspond idéalement à vos désirs sur ImmoScout24 - La plateforme de l'immobilier en Suisse.")</f>
        <v>Louer appartement St-Blaise: Trouvez le bien immobilier qui correspond idéalement à vos désirs sur ImmoScout24 - La plateforme de l'immobilier en Suisse.</v>
      </c>
    </row>
    <row r="3197" hidden="1">
      <c r="A3197" s="5" t="s">
        <v>9497</v>
      </c>
      <c r="B3197" s="2" t="s">
        <v>9498</v>
      </c>
      <c r="C3197" s="2" t="s">
        <v>9498</v>
      </c>
      <c r="D3197" s="4" t="str">
        <f>vlookup(A3197, Sheet2!D:E, 2, 0)</f>
        <v>control</v>
      </c>
      <c r="E3197" s="4" t="str">
        <f>IFERROR(__xludf.DUMMYFUNCTION("if(H3197=""pays"",vlookup(REGEXEXTRACT(C3197, ""🏘️ \w+ \w+ (.*) ✅""),'Country prepositions'!A:B, 2, 0) &amp; "" "" &amp; REGEXEXTRACT(C3197, ""🏘️ \w+ \w+ (.*) ✅"") ,  if(H3197=""quartier"",vlookup(REGEXEXTRACT(C3197, ""🏘️ \w+ \w+ (.*) ✅""),'Quartier prepositio"&amp;"ns'!A:E, 5, 0) ,  if(H3197=""region"",vlookup(REGEXEXTRACT(C3197, ""🏘️ \w+ \w+ (.*) ✅""),'Region prepositions'!B:F, 5, 0),  REGEXEXTRACT(C3197, ""🏘️ \w+ \w+ (.*) ✅""))))"),"#N/A")</f>
        <v>#N/A</v>
      </c>
      <c r="I3197" s="4" t="str">
        <f>IFERROR(__xludf.DUMMYFUNCTION("if(D3197=""variant"",  substitute(filter(Templates!E:E, Templates!A:A = F3197, Templates!B:B = G3197, Templates!C:C = H3197), ""{{}}"", E3197), B3197)"),"Louer maison Farvagny-le-Grand: Trouvez le bien immobilier qui correspond idéalement à vos désirs sur ImmoScout24 - La plateforme de l'immobilier en Suisse.")</f>
        <v>Louer maison Farvagny-le-Grand: Trouvez le bien immobilier qui correspond idéalement à vos désirs sur ImmoScout24 - La plateforme de l'immobilier en Suisse.</v>
      </c>
    </row>
    <row r="3198" hidden="1">
      <c r="A3198" s="5" t="s">
        <v>9499</v>
      </c>
      <c r="B3198" s="2" t="s">
        <v>9500</v>
      </c>
      <c r="C3198" s="2" t="s">
        <v>9500</v>
      </c>
      <c r="D3198" s="4" t="str">
        <f>vlookup(A3198, Sheet2!D:E, 2, 0)</f>
        <v>control</v>
      </c>
      <c r="E3198" s="4" t="str">
        <f>IFERROR(__xludf.DUMMYFUNCTION("if(H3198=""pays"",vlookup(REGEXEXTRACT(C3198, ""🏘️ \w+ \w+ (.*) ✅""),'Country prepositions'!A:B, 2, 0) &amp; "" "" &amp; REGEXEXTRACT(C3198, ""🏘️ \w+ \w+ (.*) ✅"") ,  if(H3198=""quartier"",vlookup(REGEXEXTRACT(C3198, ""🏘️ \w+ \w+ (.*) ✅""),'Quartier prepositio"&amp;"ns'!A:E, 5, 0) ,  if(H3198=""region"",vlookup(REGEXEXTRACT(C3198, ""🏘️ \w+ \w+ (.*) ✅""),'Region prepositions'!B:F, 5, 0),  REGEXEXTRACT(C3198, ""🏘️ \w+ \w+ (.*) ✅""))))"),"#N/A")</f>
        <v>#N/A</v>
      </c>
      <c r="I3198" s="4" t="str">
        <f>IFERROR(__xludf.DUMMYFUNCTION("if(D3198=""variant"",  substitute(filter(Templates!E:E, Templates!A:A = F3198, Templates!B:B = G3198, Templates!C:C = H3198), ""{{}}"", E3198), B3198)"),"Vendre appartement Simplon Dorf: Trouvez le bien immobilier qui correspond idéalement à vos désirs sur ImmoScout24 - La plateforme de l'immobilier en Suisse.")</f>
        <v>Vendre appartement Simplon Dorf: Trouvez le bien immobilier qui correspond idéalement à vos désirs sur ImmoScout24 - La plateforme de l'immobilier en Suisse.</v>
      </c>
    </row>
    <row r="3199" hidden="1">
      <c r="A3199" s="5" t="s">
        <v>9501</v>
      </c>
      <c r="B3199" s="2" t="s">
        <v>9502</v>
      </c>
      <c r="C3199" s="2" t="s">
        <v>9502</v>
      </c>
      <c r="D3199" s="4" t="str">
        <f>vlookup(A3199, Sheet2!D:E, 2, 0)</f>
        <v>control</v>
      </c>
      <c r="E3199" s="4" t="str">
        <f>IFERROR(__xludf.DUMMYFUNCTION("if(H3199=""pays"",vlookup(REGEXEXTRACT(C3199, ""🏘️ \w+ \w+ (.*) ✅""),'Country prepositions'!A:B, 2, 0) &amp; "" "" &amp; REGEXEXTRACT(C3199, ""🏘️ \w+ \w+ (.*) ✅"") ,  if(H3199=""quartier"",vlookup(REGEXEXTRACT(C3199, ""🏘️ \w+ \w+ (.*) ✅""),'Quartier prepositio"&amp;"ns'!A:E, 5, 0) ,  if(H3199=""region"",vlookup(REGEXEXTRACT(C3199, ""🏘️ \w+ \w+ (.*) ✅""),'Region prepositions'!B:F, 5, 0),  REGEXEXTRACT(C3199, ""🏘️ \w+ \w+ (.*) ✅""))))"),"#N/A")</f>
        <v>#N/A</v>
      </c>
      <c r="I3199" s="4" t="str">
        <f>IFERROR(__xludf.DUMMYFUNCTION("if(D3199=""variant"",  substitute(filter(Templates!E:E, Templates!A:A = F3199, Templates!B:B = G3199, Templates!C:C = H3199), ""{{}}"", E3199), B3199)"),"Vendre maison Rebeuvelier: Trouvez le bien immobilier qui correspond idéalement à vos désirs sur ImmoScout24 - La plateforme de l'immobilier en Suisse.")</f>
        <v>Vendre maison Rebeuvelier: Trouvez le bien immobilier qui correspond idéalement à vos désirs sur ImmoScout24 - La plateforme de l'immobilier en Suisse.</v>
      </c>
    </row>
    <row r="3200" hidden="1">
      <c r="A3200" s="5" t="s">
        <v>9503</v>
      </c>
      <c r="B3200" s="2" t="s">
        <v>9504</v>
      </c>
      <c r="C3200" s="2" t="s">
        <v>9504</v>
      </c>
      <c r="D3200" s="4" t="str">
        <f>vlookup(A3200, Sheet2!D:E, 2, 0)</f>
        <v>control</v>
      </c>
      <c r="E3200" s="4" t="str">
        <f>IFERROR(__xludf.DUMMYFUNCTION("if(H3200=""pays"",vlookup(REGEXEXTRACT(C3200, ""🏘️ \w+ \w+ (.*) ✅""),'Country prepositions'!A:B, 2, 0) &amp; "" "" &amp; REGEXEXTRACT(C3200, ""🏘️ \w+ \w+ (.*) ✅"") ,  if(H3200=""quartier"",vlookup(REGEXEXTRACT(C3200, ""🏘️ \w+ \w+ (.*) ✅""),'Quartier prepositio"&amp;"ns'!A:E, 5, 0) ,  if(H3200=""region"",vlookup(REGEXEXTRACT(C3200, ""🏘️ \w+ \w+ (.*) ✅""),'Region prepositions'!B:F, 5, 0),  REGEXEXTRACT(C3200, ""🏘️ \w+ \w+ (.*) ✅""))))"),"#N/A")</f>
        <v>#N/A</v>
      </c>
      <c r="I3200" s="4" t="str">
        <f>IFERROR(__xludf.DUMMYFUNCTION("if(D3200=""variant"",  substitute(filter(Templates!E:E, Templates!A:A = F3200, Templates!B:B = G3200, Templates!C:C = H3200), ""{{}}"", E3200), B3200)"),"Vendre maison Canada: Trouvez le bien immobilier qui correspond idéalement à vos désirs sur ImmoScout24 - La plateforme de l'immobilier en Suisse.")</f>
        <v>Vendre maison Canada: Trouvez le bien immobilier qui correspond idéalement à vos désirs sur ImmoScout24 - La plateforme de l'immobilier en Suisse.</v>
      </c>
    </row>
    <row r="3201" hidden="1">
      <c r="A3201" s="5" t="s">
        <v>9505</v>
      </c>
      <c r="B3201" s="2" t="s">
        <v>9506</v>
      </c>
      <c r="C3201" s="2" t="s">
        <v>9506</v>
      </c>
      <c r="D3201" s="4" t="str">
        <f>vlookup(A3201, Sheet2!D:E, 2, 0)</f>
        <v>control</v>
      </c>
      <c r="E3201" s="4" t="str">
        <f>IFERROR(__xludf.DUMMYFUNCTION("if(H3201=""pays"",vlookup(REGEXEXTRACT(C3201, ""🏘️ \w+ \w+ (.*) ✅""),'Country prepositions'!A:B, 2, 0) &amp; "" "" &amp; REGEXEXTRACT(C3201, ""🏘️ \w+ \w+ (.*) ✅"") ,  if(H3201=""quartier"",vlookup(REGEXEXTRACT(C3201, ""🏘️ \w+ \w+ (.*) ✅""),'Quartier prepositio"&amp;"ns'!A:E, 5, 0) ,  if(H3201=""region"",vlookup(REGEXEXTRACT(C3201, ""🏘️ \w+ \w+ (.*) ✅""),'Region prepositions'!B:F, 5, 0),  REGEXEXTRACT(C3201, ""🏘️ \w+ \w+ (.*) ✅""))))"),"#N/A")</f>
        <v>#N/A</v>
      </c>
      <c r="I3201" s="4" t="str">
        <f>IFERROR(__xludf.DUMMYFUNCTION("if(D3201=""variant"",  substitute(filter(Templates!E:E, Templates!A:A = F3201, Templates!B:B = G3201, Templates!C:C = H3201), ""{{}}"", E3201), B3201)"),"Vendre maison Braggio: Trouvez le bien immobilier qui correspond idéalement à vos désirs sur ImmoScout24 - La plateforme de l'immobilier en Suisse.")</f>
        <v>Vendre maison Braggio: Trouvez le bien immobilier qui correspond idéalement à vos désirs sur ImmoScout24 - La plateforme de l'immobilier en Suisse.</v>
      </c>
    </row>
    <row r="3202" hidden="1">
      <c r="A3202" s="5" t="s">
        <v>9507</v>
      </c>
      <c r="B3202" s="2" t="s">
        <v>9508</v>
      </c>
      <c r="C3202" s="2" t="s">
        <v>9508</v>
      </c>
      <c r="D3202" s="4" t="str">
        <f>vlookup(A3202, Sheet2!D:E, 2, 0)</f>
        <v>control</v>
      </c>
      <c r="E3202" s="4" t="str">
        <f>IFERROR(__xludf.DUMMYFUNCTION("if(H3202=""pays"",vlookup(REGEXEXTRACT(C3202, ""🏘️ \w+ \w+ (.*) ✅""),'Country prepositions'!A:B, 2, 0) &amp; "" "" &amp; REGEXEXTRACT(C3202, ""🏘️ \w+ \w+ (.*) ✅"") ,  if(H3202=""quartier"",vlookup(REGEXEXTRACT(C3202, ""🏘️ \w+ \w+ (.*) ✅""),'Quartier prepositio"&amp;"ns'!A:E, 5, 0) ,  if(H3202=""region"",vlookup(REGEXEXTRACT(C3202, ""🏘️ \w+ \w+ (.*) ✅""),'Region prepositions'!B:F, 5, 0),  REGEXEXTRACT(C3202, ""🏘️ \w+ \w+ (.*) ✅""))))"),"#N/A")</f>
        <v>#N/A</v>
      </c>
      <c r="I3202" s="4" t="str">
        <f>IFERROR(__xludf.DUMMYFUNCTION("if(D3202=""variant"",  substitute(filter(Templates!E:E, Templates!A:A = F3202, Templates!B:B = G3202, Templates!C:C = H3202), ""{{}}"", E3202), B3202)"),"Vendre maison Confignon: Trouvez le bien immobilier qui correspond idéalement à vos désirs sur ImmoScout24 - La plateforme de l'immobilier en Suisse.")</f>
        <v>Vendre maison Confignon: Trouvez le bien immobilier qui correspond idéalement à vos désirs sur ImmoScout24 - La plateforme de l'immobilier en Suisse.</v>
      </c>
    </row>
    <row r="3203" hidden="1">
      <c r="A3203" s="5" t="s">
        <v>9509</v>
      </c>
      <c r="B3203" s="2" t="s">
        <v>9510</v>
      </c>
      <c r="C3203" s="2" t="s">
        <v>9510</v>
      </c>
      <c r="D3203" s="4" t="str">
        <f>vlookup(A3203, Sheet2!D:E, 2, 0)</f>
        <v>control</v>
      </c>
      <c r="E3203" s="4" t="str">
        <f>IFERROR(__xludf.DUMMYFUNCTION("if(H3203=""pays"",vlookup(REGEXEXTRACT(C3203, ""🏘️ \w+ \w+ (.*) ✅""),'Country prepositions'!A:B, 2, 0) &amp; "" "" &amp; REGEXEXTRACT(C3203, ""🏘️ \w+ \w+ (.*) ✅"") ,  if(H3203=""quartier"",vlookup(REGEXEXTRACT(C3203, ""🏘️ \w+ \w+ (.*) ✅""),'Quartier prepositio"&amp;"ns'!A:E, 5, 0) ,  if(H3203=""region"",vlookup(REGEXEXTRACT(C3203, ""🏘️ \w+ \w+ (.*) ✅""),'Region prepositions'!B:F, 5, 0),  REGEXEXTRACT(C3203, ""🏘️ \w+ \w+ (.*) ✅""))))"),"#N/A")</f>
        <v>#N/A</v>
      </c>
      <c r="I3203" s="4" t="str">
        <f>IFERROR(__xludf.DUMMYFUNCTION("if(D3203=""variant"",  substitute(filter(Templates!E:E, Templates!A:A = F3203, Templates!B:B = G3203, Templates!C:C = H3203), ""{{}}"", E3203), B3203)"),"Louer appartement Gachnang: Trouvez le bien immobilier qui correspond idéalement à vos désirs sur ImmoScout24 - La plateforme de l'immobilier en Suisse.")</f>
        <v>Louer appartement Gachnang: Trouvez le bien immobilier qui correspond idéalement à vos désirs sur ImmoScout24 - La plateforme de l'immobilier en Suisse.</v>
      </c>
    </row>
    <row r="3204" hidden="1">
      <c r="A3204" s="5" t="s">
        <v>9511</v>
      </c>
      <c r="B3204" s="2" t="s">
        <v>9512</v>
      </c>
      <c r="C3204" s="2" t="s">
        <v>9512</v>
      </c>
      <c r="D3204" s="4" t="str">
        <f>vlookup(A3204, Sheet2!D:E, 2, 0)</f>
        <v>control</v>
      </c>
      <c r="E3204" s="4" t="str">
        <f>IFERROR(__xludf.DUMMYFUNCTION("if(H3204=""pays"",vlookup(REGEXEXTRACT(C3204, ""🏘️ \w+ \w+ (.*) ✅""),'Country prepositions'!A:B, 2, 0) &amp; "" "" &amp; REGEXEXTRACT(C3204, ""🏘️ \w+ \w+ (.*) ✅"") ,  if(H3204=""quartier"",vlookup(REGEXEXTRACT(C3204, ""🏘️ \w+ \w+ (.*) ✅""),'Quartier prepositio"&amp;"ns'!A:E, 5, 0) ,  if(H3204=""region"",vlookup(REGEXEXTRACT(C3204, ""🏘️ \w+ \w+ (.*) ✅""),'Region prepositions'!B:F, 5, 0),  REGEXEXTRACT(C3204, ""🏘️ \w+ \w+ (.*) ✅""))))"),"#N/A")</f>
        <v>#N/A</v>
      </c>
      <c r="I3204" s="4" t="str">
        <f>IFERROR(__xludf.DUMMYFUNCTION("if(D3204=""variant"",  substitute(filter(Templates!E:E, Templates!A:A = F3204, Templates!B:B = G3204, Templates!C:C = H3204), ""{{}}"", E3204), B3204)"),"Louer maison Jongny: Trouvez le bien immobilier qui correspond idéalement à vos désirs sur ImmoScout24 - La plateforme de l'immobilier en Suisse.")</f>
        <v>Louer maison Jongny: Trouvez le bien immobilier qui correspond idéalement à vos désirs sur ImmoScout24 - La plateforme de l'immobilier en Suisse.</v>
      </c>
    </row>
    <row r="3205" hidden="1">
      <c r="A3205" s="5" t="s">
        <v>9513</v>
      </c>
      <c r="B3205" s="2" t="s">
        <v>9514</v>
      </c>
      <c r="C3205" s="2" t="s">
        <v>9514</v>
      </c>
      <c r="D3205" s="4" t="str">
        <f>vlookup(A3205, Sheet2!D:E, 2, 0)</f>
        <v>control</v>
      </c>
      <c r="E3205" s="4" t="str">
        <f>IFERROR(__xludf.DUMMYFUNCTION("if(H3205=""pays"",vlookup(REGEXEXTRACT(C3205, ""🏘️ \w+ \w+ (.*) ✅""),'Country prepositions'!A:B, 2, 0) &amp; "" "" &amp; REGEXEXTRACT(C3205, ""🏘️ \w+ \w+ (.*) ✅"") ,  if(H3205=""quartier"",vlookup(REGEXEXTRACT(C3205, ""🏘️ \w+ \w+ (.*) ✅""),'Quartier prepositio"&amp;"ns'!A:E, 5, 0) ,  if(H3205=""region"",vlookup(REGEXEXTRACT(C3205, ""🏘️ \w+ \w+ (.*) ✅""),'Region prepositions'!B:F, 5, 0),  REGEXEXTRACT(C3205, ""🏘️ \w+ \w+ (.*) ✅""))))"),"#N/A")</f>
        <v>#N/A</v>
      </c>
      <c r="I3205" s="4" t="str">
        <f>IFERROR(__xludf.DUMMYFUNCTION("if(D3205=""variant"",  substitute(filter(Templates!E:E, Templates!A:A = F3205, Templates!B:B = G3205, Templates!C:C = H3205), ""{{}}"", E3205), B3205)"),"Vendre maison Dornach: Trouvez le bien immobilier qui correspond idéalement à vos désirs sur ImmoScout24 - La plateforme de l'immobilier en Suisse.")</f>
        <v>Vendre maison Dornach: Trouvez le bien immobilier qui correspond idéalement à vos désirs sur ImmoScout24 - La plateforme de l'immobilier en Suisse.</v>
      </c>
    </row>
    <row r="3206" hidden="1">
      <c r="A3206" s="5" t="s">
        <v>9515</v>
      </c>
      <c r="B3206" s="2" t="s">
        <v>9516</v>
      </c>
      <c r="C3206" s="2" t="s">
        <v>9516</v>
      </c>
      <c r="D3206" s="4" t="str">
        <f>vlookup(A3206, Sheet2!D:E, 2, 0)</f>
        <v>control</v>
      </c>
      <c r="E3206" s="4" t="str">
        <f>IFERROR(__xludf.DUMMYFUNCTION("if(H3206=""pays"",vlookup(REGEXEXTRACT(C3206, ""🏘️ \w+ \w+ (.*) ✅""),'Country prepositions'!A:B, 2, 0) &amp; "" "" &amp; REGEXEXTRACT(C3206, ""🏘️ \w+ \w+ (.*) ✅"") ,  if(H3206=""quartier"",vlookup(REGEXEXTRACT(C3206, ""🏘️ \w+ \w+ (.*) ✅""),'Quartier prepositio"&amp;"ns'!A:E, 5, 0) ,  if(H3206=""region"",vlookup(REGEXEXTRACT(C3206, ""🏘️ \w+ \w+ (.*) ✅""),'Region prepositions'!B:F, 5, 0),  REGEXEXTRACT(C3206, ""🏘️ \w+ \w+ (.*) ✅""))))"),"#N/A")</f>
        <v>#N/A</v>
      </c>
      <c r="I3206" s="4" t="str">
        <f>IFERROR(__xludf.DUMMYFUNCTION("if(D3206=""variant"",  substitute(filter(Templates!E:E, Templates!A:A = F3206, Templates!B:B = G3206, Templates!C:C = H3206), ""{{}}"", E3206), B3206)"),"Louer appartement Verscio: Trouvez le bien immobilier qui correspond idéalement à vos désirs sur ImmoScout24 - La plateforme de l'immobilier en Suisse.")</f>
        <v>Louer appartement Verscio: Trouvez le bien immobilier qui correspond idéalement à vos désirs sur ImmoScout24 - La plateforme de l'immobilier en Suisse.</v>
      </c>
    </row>
    <row r="3207" hidden="1">
      <c r="A3207" s="5" t="s">
        <v>9517</v>
      </c>
      <c r="B3207" s="2" t="s">
        <v>9518</v>
      </c>
      <c r="C3207" s="2" t="s">
        <v>9518</v>
      </c>
      <c r="D3207" s="4" t="str">
        <f>vlookup(A3207, Sheet2!D:E, 2, 0)</f>
        <v>control</v>
      </c>
      <c r="E3207" s="4" t="str">
        <f>IFERROR(__xludf.DUMMYFUNCTION("if(H3207=""pays"",vlookup(REGEXEXTRACT(C3207, ""🏘️ \w+ \w+ (.*) ✅""),'Country prepositions'!A:B, 2, 0) &amp; "" "" &amp; REGEXEXTRACT(C3207, ""🏘️ \w+ \w+ (.*) ✅"") ,  if(H3207=""quartier"",vlookup(REGEXEXTRACT(C3207, ""🏘️ \w+ \w+ (.*) ✅""),'Quartier prepositio"&amp;"ns'!A:E, 5, 0) ,  if(H3207=""region"",vlookup(REGEXEXTRACT(C3207, ""🏘️ \w+ \w+ (.*) ✅""),'Region prepositions'!B:F, 5, 0),  REGEXEXTRACT(C3207, ""🏘️ \w+ \w+ (.*) ✅""))))"),"#N/A")</f>
        <v>#N/A</v>
      </c>
      <c r="I3207" s="4" t="str">
        <f>IFERROR(__xludf.DUMMYFUNCTION("if(D3207=""variant"",  substitute(filter(Templates!E:E, Templates!A:A = F3207, Templates!B:B = G3207, Templates!C:C = H3207), ""{{}}"", E3207), B3207)"),"Louer appartement Bronschhofen: Trouvez le bien immobilier qui correspond idéalement à vos désirs sur ImmoScout24 - La plateforme de l'immobilier en Suisse.")</f>
        <v>Louer appartement Bronschhofen: Trouvez le bien immobilier qui correspond idéalement à vos désirs sur ImmoScout24 - La plateforme de l'immobilier en Suisse.</v>
      </c>
    </row>
    <row r="3208" hidden="1">
      <c r="A3208" s="5" t="s">
        <v>9519</v>
      </c>
      <c r="B3208" s="2" t="s">
        <v>9520</v>
      </c>
      <c r="C3208" s="2" t="s">
        <v>9520</v>
      </c>
      <c r="D3208" s="4" t="str">
        <f>vlookup(A3208, Sheet2!D:E, 2, 0)</f>
        <v>control</v>
      </c>
      <c r="E3208" s="4" t="str">
        <f>IFERROR(__xludf.DUMMYFUNCTION("if(H3208=""pays"",vlookup(REGEXEXTRACT(C3208, ""🏘️ \w+ \w+ (.*) ✅""),'Country prepositions'!A:B, 2, 0) &amp; "" "" &amp; REGEXEXTRACT(C3208, ""🏘️ \w+ \w+ (.*) ✅"") ,  if(H3208=""quartier"",vlookup(REGEXEXTRACT(C3208, ""🏘️ \w+ \w+ (.*) ✅""),'Quartier prepositio"&amp;"ns'!A:E, 5, 0) ,  if(H3208=""region"",vlookup(REGEXEXTRACT(C3208, ""🏘️ \w+ \w+ (.*) ✅""),'Region prepositions'!B:F, 5, 0),  REGEXEXTRACT(C3208, ""🏘️ \w+ \w+ (.*) ✅""))))"),"#N/A")</f>
        <v>#N/A</v>
      </c>
      <c r="I3208" s="4" t="str">
        <f>IFERROR(__xludf.DUMMYFUNCTION("if(D3208=""variant"",  substitute(filter(Templates!E:E, Templates!A:A = F3208, Templates!B:B = G3208, Templates!C:C = H3208), ""{{}}"", E3208), B3208)"),"Vendre maison Yvorne: Trouvez le bien immobilier qui correspond idéalement à vos désirs sur ImmoScout24 - La plateforme de l'immobilier en Suisse.")</f>
        <v>Vendre maison Yvorne: Trouvez le bien immobilier qui correspond idéalement à vos désirs sur ImmoScout24 - La plateforme de l'immobilier en Suisse.</v>
      </c>
    </row>
    <row r="3209" hidden="1">
      <c r="A3209" s="5" t="s">
        <v>9521</v>
      </c>
      <c r="B3209" s="2" t="s">
        <v>9522</v>
      </c>
      <c r="C3209" s="2" t="s">
        <v>9522</v>
      </c>
      <c r="D3209" s="4" t="str">
        <f>vlookup(A3209, Sheet2!D:E, 2, 0)</f>
        <v>control</v>
      </c>
      <c r="E3209" s="4" t="str">
        <f>IFERROR(__xludf.DUMMYFUNCTION("if(H3209=""pays"",vlookup(REGEXEXTRACT(C3209, ""🏘️ \w+ \w+ (.*) ✅""),'Country prepositions'!A:B, 2, 0) &amp; "" "" &amp; REGEXEXTRACT(C3209, ""🏘️ \w+ \w+ (.*) ✅"") ,  if(H3209=""quartier"",vlookup(REGEXEXTRACT(C3209, ""🏘️ \w+ \w+ (.*) ✅""),'Quartier prepositio"&amp;"ns'!A:E, 5, 0) ,  if(H3209=""region"",vlookup(REGEXEXTRACT(C3209, ""🏘️ \w+ \w+ (.*) ✅""),'Region prepositions'!B:F, 5, 0),  REGEXEXTRACT(C3209, ""🏘️ \w+ \w+ (.*) ✅""))))"),"#N/A")</f>
        <v>#N/A</v>
      </c>
      <c r="I3209" s="4" t="str">
        <f>IFERROR(__xludf.DUMMYFUNCTION("if(D3209=""variant"",  substitute(filter(Templates!E:E, Templates!A:A = F3209, Templates!B:B = G3209, Templates!C:C = H3209), ""{{}}"", E3209), B3209)"),"Vendre appartement Gy: Trouvez le bien immobilier qui correspond idéalement à vos désirs sur ImmoScout24 - La plateforme de l'immobilier en Suisse.")</f>
        <v>Vendre appartement Gy: Trouvez le bien immobilier qui correspond idéalement à vos désirs sur ImmoScout24 - La plateforme de l'immobilier en Suisse.</v>
      </c>
    </row>
    <row r="3210" hidden="1">
      <c r="A3210" s="5" t="s">
        <v>9523</v>
      </c>
      <c r="B3210" s="2" t="s">
        <v>9524</v>
      </c>
      <c r="C3210" s="2" t="s">
        <v>9524</v>
      </c>
      <c r="D3210" s="4" t="str">
        <f>vlookup(A3210, Sheet2!D:E, 2, 0)</f>
        <v>control</v>
      </c>
      <c r="E3210" s="4" t="str">
        <f>IFERROR(__xludf.DUMMYFUNCTION("if(H3210=""pays"",vlookup(REGEXEXTRACT(C3210, ""🏘️ \w+ \w+ (.*) ✅""),'Country prepositions'!A:B, 2, 0) &amp; "" "" &amp; REGEXEXTRACT(C3210, ""🏘️ \w+ \w+ (.*) ✅"") ,  if(H3210=""quartier"",vlookup(REGEXEXTRACT(C3210, ""🏘️ \w+ \w+ (.*) ✅""),'Quartier prepositio"&amp;"ns'!A:E, 5, 0) ,  if(H3210=""region"",vlookup(REGEXEXTRACT(C3210, ""🏘️ \w+ \w+ (.*) ✅""),'Region prepositions'!B:F, 5, 0),  REGEXEXTRACT(C3210, ""🏘️ \w+ \w+ (.*) ✅""))))"),"#N/A")</f>
        <v>#N/A</v>
      </c>
      <c r="I3210" s="4" t="str">
        <f>IFERROR(__xludf.DUMMYFUNCTION("if(D3210=""variant"",  substitute(filter(Templates!E:E, Templates!A:A = F3210, Templates!B:B = G3210, Templates!C:C = H3210), ""{{}}"", E3210), B3210)"),"Louer maison Fiaugères: Trouvez le bien immobilier qui correspond idéalement à vos désirs sur ImmoScout24 - La plateforme de l'immobilier en Suisse.")</f>
        <v>Louer maison Fiaugères: Trouvez le bien immobilier qui correspond idéalement à vos désirs sur ImmoScout24 - La plateforme de l'immobilier en Suisse.</v>
      </c>
    </row>
    <row r="3211" hidden="1">
      <c r="A3211" s="5" t="s">
        <v>9525</v>
      </c>
      <c r="B3211" s="2" t="s">
        <v>9526</v>
      </c>
      <c r="C3211" s="2" t="s">
        <v>9526</v>
      </c>
      <c r="D3211" s="4" t="str">
        <f>vlookup(A3211, Sheet2!D:E, 2, 0)</f>
        <v>control</v>
      </c>
      <c r="E3211" s="4" t="str">
        <f>IFERROR(__xludf.DUMMYFUNCTION("if(H3211=""pays"",vlookup(REGEXEXTRACT(C3211, ""🏘️ \w+ \w+ (.*) ✅""),'Country prepositions'!A:B, 2, 0) &amp; "" "" &amp; REGEXEXTRACT(C3211, ""🏘️ \w+ \w+ (.*) ✅"") ,  if(H3211=""quartier"",vlookup(REGEXEXTRACT(C3211, ""🏘️ \w+ \w+ (.*) ✅""),'Quartier prepositio"&amp;"ns'!A:E, 5, 0) ,  if(H3211=""region"",vlookup(REGEXEXTRACT(C3211, ""🏘️ \w+ \w+ (.*) ✅""),'Region prepositions'!B:F, 5, 0),  REGEXEXTRACT(C3211, ""🏘️ \w+ \w+ (.*) ✅""))))"),"#N/A")</f>
        <v>#N/A</v>
      </c>
      <c r="I3211" s="4" t="str">
        <f>IFERROR(__xludf.DUMMYFUNCTION("if(D3211=""variant"",  substitute(filter(Templates!E:E, Templates!A:A = F3211, Templates!B:B = G3211, Templates!C:C = H3211), ""{{}}"", E3211), B3211)"),"Vendre appartement Baden: Trouvez le bien immobilier qui correspond idéalement à vos désirs sur ImmoScout24 - La plateforme de l'immobilier en Suisse.")</f>
        <v>Vendre appartement Baden: Trouvez le bien immobilier qui correspond idéalement à vos désirs sur ImmoScout24 - La plateforme de l'immobilier en Suisse.</v>
      </c>
    </row>
    <row r="3212" hidden="1">
      <c r="A3212" s="5" t="s">
        <v>9527</v>
      </c>
      <c r="B3212" s="2" t="s">
        <v>9528</v>
      </c>
      <c r="C3212" s="2" t="s">
        <v>9528</v>
      </c>
      <c r="D3212" s="4" t="str">
        <f>vlookup(A3212, Sheet2!D:E, 2, 0)</f>
        <v>control</v>
      </c>
      <c r="E3212" s="4" t="str">
        <f>IFERROR(__xludf.DUMMYFUNCTION("if(H3212=""pays"",vlookup(REGEXEXTRACT(C3212, ""🏘️ \w+ \w+ (.*) ✅""),'Country prepositions'!A:B, 2, 0) &amp; "" "" &amp; REGEXEXTRACT(C3212, ""🏘️ \w+ \w+ (.*) ✅"") ,  if(H3212=""quartier"",vlookup(REGEXEXTRACT(C3212, ""🏘️ \w+ \w+ (.*) ✅""),'Quartier prepositio"&amp;"ns'!A:E, 5, 0) ,  if(H3212=""region"",vlookup(REGEXEXTRACT(C3212, ""🏘️ \w+ \w+ (.*) ✅""),'Region prepositions'!B:F, 5, 0),  REGEXEXTRACT(C3212, ""🏘️ \w+ \w+ (.*) ✅""))))"),"#N/A")</f>
        <v>#N/A</v>
      </c>
      <c r="I3212" s="4" t="str">
        <f>IFERROR(__xludf.DUMMYFUNCTION("if(D3212=""variant"",  substitute(filter(Templates!E:E, Templates!A:A = F3212, Templates!B:B = G3212, Templates!C:C = H3212), ""{{}}"", E3212), B3212)"),"Vendre maison Füllinsdorf: Trouvez le bien immobilier qui correspond idéalement à vos désirs sur ImmoScout24 - La plateforme de l'immobilier en Suisse.")</f>
        <v>Vendre maison Füllinsdorf: Trouvez le bien immobilier qui correspond idéalement à vos désirs sur ImmoScout24 - La plateforme de l'immobilier en Suisse.</v>
      </c>
    </row>
    <row r="3213" hidden="1">
      <c r="A3213" s="5" t="s">
        <v>9529</v>
      </c>
      <c r="B3213" s="2" t="s">
        <v>9530</v>
      </c>
      <c r="C3213" s="2" t="s">
        <v>9530</v>
      </c>
      <c r="D3213" s="4" t="str">
        <f>vlookup(A3213, Sheet2!D:E, 2, 0)</f>
        <v>control</v>
      </c>
      <c r="E3213" s="4" t="str">
        <f>IFERROR(__xludf.DUMMYFUNCTION("if(H3213=""pays"",vlookup(REGEXEXTRACT(C3213, ""🏘️ \w+ \w+ (.*) ✅""),'Country prepositions'!A:B, 2, 0) &amp; "" "" &amp; REGEXEXTRACT(C3213, ""🏘️ \w+ \w+ (.*) ✅"") ,  if(H3213=""quartier"",vlookup(REGEXEXTRACT(C3213, ""🏘️ \w+ \w+ (.*) ✅""),'Quartier prepositio"&amp;"ns'!A:E, 5, 0) ,  if(H3213=""region"",vlookup(REGEXEXTRACT(C3213, ""🏘️ \w+ \w+ (.*) ✅""),'Region prepositions'!B:F, 5, 0),  REGEXEXTRACT(C3213, ""🏘️ \w+ \w+ (.*) ✅""))))"),"#N/A")</f>
        <v>#N/A</v>
      </c>
      <c r="I3213" s="4" t="str">
        <f>IFERROR(__xludf.DUMMYFUNCTION("if(D3213=""variant"",  substitute(filter(Templates!E:E, Templates!A:A = F3213, Templates!B:B = G3213, Templates!C:C = H3213), ""{{}}"", E3213), B3213)"),"Louer appartement Bischofszell - Weinfelden: Trouvez le bien immobilier qui correspond idéalement à vos désirs sur ImmoScout24 - La plateforme de l'immobilier en Suisse.")</f>
        <v>Louer appartement Bischofszell - Weinfelden: Trouvez le bien immobilier qui correspond idéalement à vos désirs sur ImmoScout24 - La plateforme de l'immobilier en Suisse.</v>
      </c>
    </row>
    <row r="3214" hidden="1">
      <c r="A3214" s="5" t="s">
        <v>9531</v>
      </c>
      <c r="B3214" s="2" t="s">
        <v>9532</v>
      </c>
      <c r="C3214" s="2" t="s">
        <v>9532</v>
      </c>
      <c r="D3214" s="4" t="str">
        <f>vlookup(A3214, Sheet2!D:E, 2, 0)</f>
        <v>control</v>
      </c>
      <c r="E3214" s="4" t="str">
        <f>IFERROR(__xludf.DUMMYFUNCTION("if(H3214=""pays"",vlookup(REGEXEXTRACT(C3214, ""🏘️ \w+ \w+ (.*) ✅""),'Country prepositions'!A:B, 2, 0) &amp; "" "" &amp; REGEXEXTRACT(C3214, ""🏘️ \w+ \w+ (.*) ✅"") ,  if(H3214=""quartier"",vlookup(REGEXEXTRACT(C3214, ""🏘️ \w+ \w+ (.*) ✅""),'Quartier prepositio"&amp;"ns'!A:E, 5, 0) ,  if(H3214=""region"",vlookup(REGEXEXTRACT(C3214, ""🏘️ \w+ \w+ (.*) ✅""),'Region prepositions'!B:F, 5, 0),  REGEXEXTRACT(C3214, ""🏘️ \w+ \w+ (.*) ✅""))))"),"#N/A")</f>
        <v>#N/A</v>
      </c>
      <c r="I3214" s="4" t="str">
        <f>IFERROR(__xludf.DUMMYFUNCTION("if(D3214=""variant"",  substitute(filter(Templates!E:E, Templates!A:A = F3214, Templates!B:B = G3214, Templates!C:C = H3214), ""{{}}"", E3214), B3214)"),"Vendre maison Croatie: Trouvez le bien immobilier qui correspond idéalement à vos désirs sur ImmoScout24 - La plateforme de l'immobilier en Suisse.")</f>
        <v>Vendre maison Croatie: Trouvez le bien immobilier qui correspond idéalement à vos désirs sur ImmoScout24 - La plateforme de l'immobilier en Suisse.</v>
      </c>
    </row>
    <row r="3215" hidden="1">
      <c r="A3215" s="5" t="s">
        <v>9533</v>
      </c>
      <c r="B3215" s="2" t="s">
        <v>9534</v>
      </c>
      <c r="C3215" s="2" t="s">
        <v>9534</v>
      </c>
      <c r="D3215" s="4" t="str">
        <f>vlookup(A3215, Sheet2!D:E, 2, 0)</f>
        <v>control</v>
      </c>
      <c r="E3215" s="4" t="str">
        <f>IFERROR(__xludf.DUMMYFUNCTION("if(H3215=""pays"",vlookup(REGEXEXTRACT(C3215, ""🏘️ \w+ \w+ (.*) ✅""),'Country prepositions'!A:B, 2, 0) &amp; "" "" &amp; REGEXEXTRACT(C3215, ""🏘️ \w+ \w+ (.*) ✅"") ,  if(H3215=""quartier"",vlookup(REGEXEXTRACT(C3215, ""🏘️ \w+ \w+ (.*) ✅""),'Quartier prepositio"&amp;"ns'!A:E, 5, 0) ,  if(H3215=""region"",vlookup(REGEXEXTRACT(C3215, ""🏘️ \w+ \w+ (.*) ✅""),'Region prepositions'!B:F, 5, 0),  REGEXEXTRACT(C3215, ""🏘️ \w+ \w+ (.*) ✅""))))"),"#N/A")</f>
        <v>#N/A</v>
      </c>
      <c r="I3215" s="4" t="str">
        <f>IFERROR(__xludf.DUMMYFUNCTION("if(D3215=""variant"",  substitute(filter(Templates!E:E, Templates!A:A = F3215, Templates!B:B = G3215, Templates!C:C = H3215), ""{{}}"", E3215), B3215)"),"Louer appartement Muri AG: Trouvez le bien immobilier qui correspond idéalement à vos désirs sur ImmoScout24 - La plateforme de l'immobilier en Suisse.")</f>
        <v>Louer appartement Muri AG: Trouvez le bien immobilier qui correspond idéalement à vos désirs sur ImmoScout24 - La plateforme de l'immobilier en Suisse.</v>
      </c>
    </row>
    <row r="3216" hidden="1">
      <c r="A3216" s="5" t="s">
        <v>9535</v>
      </c>
      <c r="B3216" s="2" t="s">
        <v>9536</v>
      </c>
      <c r="C3216" s="2" t="s">
        <v>9536</v>
      </c>
      <c r="D3216" s="4" t="str">
        <f>vlookup(A3216, Sheet2!D:E, 2, 0)</f>
        <v>control</v>
      </c>
      <c r="E3216" s="4" t="str">
        <f>IFERROR(__xludf.DUMMYFUNCTION("if(H3216=""pays"",vlookup(REGEXEXTRACT(C3216, ""🏘️ \w+ \w+ (.*) ✅""),'Country prepositions'!A:B, 2, 0) &amp; "" "" &amp; REGEXEXTRACT(C3216, ""🏘️ \w+ \w+ (.*) ✅"") ,  if(H3216=""quartier"",vlookup(REGEXEXTRACT(C3216, ""🏘️ \w+ \w+ (.*) ✅""),'Quartier prepositio"&amp;"ns'!A:E, 5, 0) ,  if(H3216=""region"",vlookup(REGEXEXTRACT(C3216, ""🏘️ \w+ \w+ (.*) ✅""),'Region prepositions'!B:F, 5, 0),  REGEXEXTRACT(C3216, ""🏘️ \w+ \w+ (.*) ✅""))))"),"#N/A")</f>
        <v>#N/A</v>
      </c>
      <c r="I3216" s="4" t="str">
        <f>IFERROR(__xludf.DUMMYFUNCTION("if(D3216=""variant"",  substitute(filter(Templates!E:E, Templates!A:A = F3216, Templates!B:B = G3216, Templates!C:C = H3216), ""{{}}"", E3216), B3216)"),"Louer appartement Oberburg: Trouvez le bien immobilier qui correspond idéalement à vos désirs sur ImmoScout24 - La plateforme de l'immobilier en Suisse.")</f>
        <v>Louer appartement Oberburg: Trouvez le bien immobilier qui correspond idéalement à vos désirs sur ImmoScout24 - La plateforme de l'immobilier en Suisse.</v>
      </c>
    </row>
    <row r="3217" hidden="1">
      <c r="A3217" s="5" t="s">
        <v>9537</v>
      </c>
      <c r="B3217" s="2" t="s">
        <v>9538</v>
      </c>
      <c r="C3217" s="2" t="s">
        <v>9538</v>
      </c>
      <c r="D3217" s="4" t="str">
        <f>vlookup(A3217, Sheet2!D:E, 2, 0)</f>
        <v>control</v>
      </c>
      <c r="E3217" s="4" t="str">
        <f>IFERROR(__xludf.DUMMYFUNCTION("if(H3217=""pays"",vlookup(REGEXEXTRACT(C3217, ""🏘️ \w+ \w+ (.*) ✅""),'Country prepositions'!A:B, 2, 0) &amp; "" "" &amp; REGEXEXTRACT(C3217, ""🏘️ \w+ \w+ (.*) ✅"") ,  if(H3217=""quartier"",vlookup(REGEXEXTRACT(C3217, ""🏘️ \w+ \w+ (.*) ✅""),'Quartier prepositio"&amp;"ns'!A:E, 5, 0) ,  if(H3217=""region"",vlookup(REGEXEXTRACT(C3217, ""🏘️ \w+ \w+ (.*) ✅""),'Region prepositions'!B:F, 5, 0),  REGEXEXTRACT(C3217, ""🏘️ \w+ \w+ (.*) ✅""))))"),"#N/A")</f>
        <v>#N/A</v>
      </c>
      <c r="I3217" s="4" t="str">
        <f>IFERROR(__xludf.DUMMYFUNCTION("if(D3217=""variant"",  substitute(filter(Templates!E:E, Templates!A:A = F3217, Templates!B:B = G3217, Templates!C:C = H3217), ""{{}}"", E3217), B3217)"),"Vendre maison Kilchberg ZH: Trouvez le bien immobilier qui correspond idéalement à vos désirs sur ImmoScout24 - La plateforme de l'immobilier en Suisse.")</f>
        <v>Vendre maison Kilchberg ZH: Trouvez le bien immobilier qui correspond idéalement à vos désirs sur ImmoScout24 - La plateforme de l'immobilier en Suisse.</v>
      </c>
    </row>
    <row r="3218" hidden="1">
      <c r="A3218" s="5" t="s">
        <v>9539</v>
      </c>
      <c r="B3218" s="2" t="s">
        <v>9540</v>
      </c>
      <c r="C3218" s="2" t="s">
        <v>9540</v>
      </c>
      <c r="D3218" s="4" t="str">
        <f>vlookup(A3218, Sheet2!D:E, 2, 0)</f>
        <v>control</v>
      </c>
      <c r="E3218" s="4" t="str">
        <f>IFERROR(__xludf.DUMMYFUNCTION("if(H3218=""pays"",vlookup(REGEXEXTRACT(C3218, ""🏘️ \w+ \w+ (.*) ✅""),'Country prepositions'!A:B, 2, 0) &amp; "" "" &amp; REGEXEXTRACT(C3218, ""🏘️ \w+ \w+ (.*) ✅"") ,  if(H3218=""quartier"",vlookup(REGEXEXTRACT(C3218, ""🏘️ \w+ \w+ (.*) ✅""),'Quartier prepositio"&amp;"ns'!A:E, 5, 0) ,  if(H3218=""region"",vlookup(REGEXEXTRACT(C3218, ""🏘️ \w+ \w+ (.*) ✅""),'Region prepositions'!B:F, 5, 0),  REGEXEXTRACT(C3218, ""🏘️ \w+ \w+ (.*) ✅""))))"),"#N/A")</f>
        <v>#N/A</v>
      </c>
      <c r="I3218" s="4" t="str">
        <f>IFERROR(__xludf.DUMMYFUNCTION("if(D3218=""variant"",  substitute(filter(Templates!E:E, Templates!A:A = F3218, Templates!B:B = G3218, Templates!C:C = H3218), ""{{}}"", E3218), B3218)"),"Vendre appartement Chénens: Trouvez le bien immobilier qui correspond idéalement à vos désirs sur ImmoScout24 - La plateforme de l'immobilier en Suisse.")</f>
        <v>Vendre appartement Chénens: Trouvez le bien immobilier qui correspond idéalement à vos désirs sur ImmoScout24 - La plateforme de l'immobilier en Suisse.</v>
      </c>
    </row>
    <row r="3219" hidden="1">
      <c r="A3219" s="5" t="s">
        <v>9541</v>
      </c>
      <c r="B3219" s="2" t="s">
        <v>9542</v>
      </c>
      <c r="C3219" s="2" t="s">
        <v>9542</v>
      </c>
      <c r="D3219" s="4" t="str">
        <f>vlookup(A3219, Sheet2!D:E, 2, 0)</f>
        <v>control</v>
      </c>
      <c r="E3219" s="4" t="str">
        <f>IFERROR(__xludf.DUMMYFUNCTION("if(H3219=""pays"",vlookup(REGEXEXTRACT(C3219, ""🏘️ \w+ \w+ (.*) ✅""),'Country prepositions'!A:B, 2, 0) &amp; "" "" &amp; REGEXEXTRACT(C3219, ""🏘️ \w+ \w+ (.*) ✅"") ,  if(H3219=""quartier"",vlookup(REGEXEXTRACT(C3219, ""🏘️ \w+ \w+ (.*) ✅""),'Quartier prepositio"&amp;"ns'!A:E, 5, 0) ,  if(H3219=""region"",vlookup(REGEXEXTRACT(C3219, ""🏘️ \w+ \w+ (.*) ✅""),'Region prepositions'!B:F, 5, 0),  REGEXEXTRACT(C3219, ""🏘️ \w+ \w+ (.*) ✅""))))"),"#N/A")</f>
        <v>#N/A</v>
      </c>
      <c r="I3219" s="4" t="str">
        <f>IFERROR(__xludf.DUMMYFUNCTION("if(D3219=""variant"",  substitute(filter(Templates!E:E, Templates!A:A = F3219, Templates!B:B = G3219, Templates!C:C = H3219), ""{{}}"", E3219), B3219)"),"Vendre maison Fontenais: Trouvez le bien immobilier qui correspond idéalement à vos désirs sur ImmoScout24 - La plateforme de l'immobilier en Suisse.")</f>
        <v>Vendre maison Fontenais: Trouvez le bien immobilier qui correspond idéalement à vos désirs sur ImmoScout24 - La plateforme de l'immobilier en Suisse.</v>
      </c>
    </row>
    <row r="3220" hidden="1">
      <c r="A3220" s="5" t="s">
        <v>9543</v>
      </c>
      <c r="B3220" s="2" t="s">
        <v>9544</v>
      </c>
      <c r="C3220" s="2" t="s">
        <v>9544</v>
      </c>
      <c r="D3220" s="4" t="str">
        <f>vlookup(A3220, Sheet2!D:E, 2, 0)</f>
        <v>control</v>
      </c>
      <c r="E3220" s="4" t="str">
        <f>IFERROR(__xludf.DUMMYFUNCTION("if(H3220=""pays"",vlookup(REGEXEXTRACT(C3220, ""🏘️ \w+ \w+ (.*) ✅""),'Country prepositions'!A:B, 2, 0) &amp; "" "" &amp; REGEXEXTRACT(C3220, ""🏘️ \w+ \w+ (.*) ✅"") ,  if(H3220=""quartier"",vlookup(REGEXEXTRACT(C3220, ""🏘️ \w+ \w+ (.*) ✅""),'Quartier prepositio"&amp;"ns'!A:E, 5, 0) ,  if(H3220=""region"",vlookup(REGEXEXTRACT(C3220, ""🏘️ \w+ \w+ (.*) ✅""),'Region prepositions'!B:F, 5, 0),  REGEXEXTRACT(C3220, ""🏘️ \w+ \w+ (.*) ✅""))))"),"#N/A")</f>
        <v>#N/A</v>
      </c>
      <c r="I3220" s="4" t="str">
        <f>IFERROR(__xludf.DUMMYFUNCTION("if(D3220=""variant"",  substitute(filter(Templates!E:E, Templates!A:A = F3220, Templates!B:B = G3220, Templates!C:C = H3220), ""{{}}"", E3220), B3220)"),"Vendre maison Tschingel ob Gunten: Trouvez le bien immobilier qui correspond idéalement à vos désirs sur ImmoScout24 - La plateforme de l'immobilier en Suisse.")</f>
        <v>Vendre maison Tschingel ob Gunten: Trouvez le bien immobilier qui correspond idéalement à vos désirs sur ImmoScout24 - La plateforme de l'immobilier en Suisse.</v>
      </c>
    </row>
    <row r="3221" hidden="1">
      <c r="A3221" s="5" t="s">
        <v>9545</v>
      </c>
      <c r="B3221" s="2" t="s">
        <v>9546</v>
      </c>
      <c r="C3221" s="2" t="s">
        <v>9546</v>
      </c>
      <c r="D3221" s="4" t="str">
        <f>vlookup(A3221, Sheet2!D:E, 2, 0)</f>
        <v>control</v>
      </c>
      <c r="E3221" s="4" t="str">
        <f>IFERROR(__xludf.DUMMYFUNCTION("if(H3221=""pays"",vlookup(REGEXEXTRACT(C3221, ""🏘️ \w+ \w+ (.*) ✅""),'Country prepositions'!A:B, 2, 0) &amp; "" "" &amp; REGEXEXTRACT(C3221, ""🏘️ \w+ \w+ (.*) ✅"") ,  if(H3221=""quartier"",vlookup(REGEXEXTRACT(C3221, ""🏘️ \w+ \w+ (.*) ✅""),'Quartier prepositio"&amp;"ns'!A:E, 5, 0) ,  if(H3221=""region"",vlookup(REGEXEXTRACT(C3221, ""🏘️ \w+ \w+ (.*) ✅""),'Region prepositions'!B:F, 5, 0),  REGEXEXTRACT(C3221, ""🏘️ \w+ \w+ (.*) ✅""))))"),"#N/A")</f>
        <v>#N/A</v>
      </c>
      <c r="I3221" s="4" t="str">
        <f>IFERROR(__xludf.DUMMYFUNCTION("if(D3221=""variant"",  substitute(filter(Templates!E:E, Templates!A:A = F3221, Templates!B:B = G3221, Templates!C:C = H3221), ""{{}}"", E3221), B3221)"),"Louer appartement Montagnola: Trouvez le bien immobilier qui correspond idéalement à vos désirs sur ImmoScout24 - La plateforme de l'immobilier en Suisse.")</f>
        <v>Louer appartement Montagnola: Trouvez le bien immobilier qui correspond idéalement à vos désirs sur ImmoScout24 - La plateforme de l'immobilier en Suisse.</v>
      </c>
    </row>
    <row r="3222" hidden="1">
      <c r="A3222" s="5" t="s">
        <v>9547</v>
      </c>
      <c r="B3222" s="2" t="s">
        <v>9548</v>
      </c>
      <c r="C3222" s="2" t="s">
        <v>9548</v>
      </c>
      <c r="D3222" s="4" t="str">
        <f>vlookup(A3222, Sheet2!D:E, 2, 0)</f>
        <v>control</v>
      </c>
      <c r="E3222" s="4" t="str">
        <f>IFERROR(__xludf.DUMMYFUNCTION("if(H3222=""pays"",vlookup(REGEXEXTRACT(C3222, ""🏘️ \w+ \w+ (.*) ✅""),'Country prepositions'!A:B, 2, 0) &amp; "" "" &amp; REGEXEXTRACT(C3222, ""🏘️ \w+ \w+ (.*) ✅"") ,  if(H3222=""quartier"",vlookup(REGEXEXTRACT(C3222, ""🏘️ \w+ \w+ (.*) ✅""),'Quartier prepositio"&amp;"ns'!A:E, 5, 0) ,  if(H3222=""region"",vlookup(REGEXEXTRACT(C3222, ""🏘️ \w+ \w+ (.*) ✅""),'Region prepositions'!B:F, 5, 0),  REGEXEXTRACT(C3222, ""🏘️ \w+ \w+ (.*) ✅""))))"),"#N/A")</f>
        <v>#N/A</v>
      </c>
      <c r="I3222" s="4" t="str">
        <f>IFERROR(__xludf.DUMMYFUNCTION("if(D3222=""variant"",  substitute(filter(Templates!E:E, Templates!A:A = F3222, Templates!B:B = G3222, Templates!C:C = H3222), ""{{}}"", E3222), B3222)"),"Vendre appartement Twann: Trouvez le bien immobilier qui correspond idéalement à vos désirs sur ImmoScout24 - La plateforme de l'immobilier en Suisse.")</f>
        <v>Vendre appartement Twann: Trouvez le bien immobilier qui correspond idéalement à vos désirs sur ImmoScout24 - La plateforme de l'immobilier en Suisse.</v>
      </c>
    </row>
    <row r="3223" hidden="1">
      <c r="A3223" s="5" t="s">
        <v>9549</v>
      </c>
      <c r="B3223" s="2" t="s">
        <v>9550</v>
      </c>
      <c r="C3223" s="2" t="s">
        <v>9550</v>
      </c>
      <c r="D3223" s="4" t="str">
        <f>vlookup(A3223, Sheet2!D:E, 2, 0)</f>
        <v>control</v>
      </c>
      <c r="E3223" s="4" t="str">
        <f>IFERROR(__xludf.DUMMYFUNCTION("if(H3223=""pays"",vlookup(REGEXEXTRACT(C3223, ""🏘️ \w+ \w+ (.*) ✅""),'Country prepositions'!A:B, 2, 0) &amp; "" "" &amp; REGEXEXTRACT(C3223, ""🏘️ \w+ \w+ (.*) ✅"") ,  if(H3223=""quartier"",vlookup(REGEXEXTRACT(C3223, ""🏘️ \w+ \w+ (.*) ✅""),'Quartier prepositio"&amp;"ns'!A:E, 5, 0) ,  if(H3223=""region"",vlookup(REGEXEXTRACT(C3223, ""🏘️ \w+ \w+ (.*) ✅""),'Region prepositions'!B:F, 5, 0),  REGEXEXTRACT(C3223, ""🏘️ \w+ \w+ (.*) ✅""))))"),"#N/A")</f>
        <v>#N/A</v>
      </c>
      <c r="I3223" s="4" t="str">
        <f>IFERROR(__xludf.DUMMYFUNCTION("if(D3223=""variant"",  substitute(filter(Templates!E:E, Templates!A:A = F3223, Templates!B:B = G3223, Templates!C:C = H3223), ""{{}}"", E3223), B3223)"),"Louer maison Combremont-le-Petit: Trouvez le bien immobilier qui correspond idéalement à vos désirs sur ImmoScout24 - La plateforme de l'immobilier en Suisse.")</f>
        <v>Louer maison Combremont-le-Petit: Trouvez le bien immobilier qui correspond idéalement à vos désirs sur ImmoScout24 - La plateforme de l'immobilier en Suisse.</v>
      </c>
    </row>
    <row r="3224" hidden="1">
      <c r="A3224" s="5" t="s">
        <v>9551</v>
      </c>
      <c r="B3224" s="2" t="s">
        <v>9552</v>
      </c>
      <c r="C3224" s="2" t="s">
        <v>9552</v>
      </c>
      <c r="D3224" s="4" t="str">
        <f>vlookup(A3224, Sheet2!D:E, 2, 0)</f>
        <v>control</v>
      </c>
      <c r="E3224" s="4" t="str">
        <f>IFERROR(__xludf.DUMMYFUNCTION("if(H3224=""pays"",vlookup(REGEXEXTRACT(C3224, ""🏘️ \w+ \w+ (.*) ✅""),'Country prepositions'!A:B, 2, 0) &amp; "" "" &amp; REGEXEXTRACT(C3224, ""🏘️ \w+ \w+ (.*) ✅"") ,  if(H3224=""quartier"",vlookup(REGEXEXTRACT(C3224, ""🏘️ \w+ \w+ (.*) ✅""),'Quartier prepositio"&amp;"ns'!A:E, 5, 0) ,  if(H3224=""region"",vlookup(REGEXEXTRACT(C3224, ""🏘️ \w+ \w+ (.*) ✅""),'Region prepositions'!B:F, 5, 0),  REGEXEXTRACT(C3224, ""🏘️ \w+ \w+ (.*) ✅""))))"),"#N/A")</f>
        <v>#N/A</v>
      </c>
      <c r="I3224" s="4" t="str">
        <f>IFERROR(__xludf.DUMMYFUNCTION("if(D3224=""variant"",  substitute(filter(Templates!E:E, Templates!A:A = F3224, Templates!B:B = G3224, Templates!C:C = H3224), ""{{}}"", E3224), B3224)"),"Louer appartement Villars-le-Terroir: Trouvez le bien immobilier qui correspond idéalement à vos désirs sur ImmoScout24 - La plateforme de l'immobilier en Suisse.")</f>
        <v>Louer appartement Villars-le-Terroir: Trouvez le bien immobilier qui correspond idéalement à vos désirs sur ImmoScout24 - La plateforme de l'immobilier en Suisse.</v>
      </c>
    </row>
    <row r="3225" hidden="1">
      <c r="A3225" s="5" t="s">
        <v>9553</v>
      </c>
      <c r="B3225" s="2" t="s">
        <v>9554</v>
      </c>
      <c r="C3225" s="2" t="s">
        <v>9554</v>
      </c>
      <c r="D3225" s="4" t="str">
        <f>vlookup(A3225, Sheet2!D:E, 2, 0)</f>
        <v>control</v>
      </c>
      <c r="E3225" s="4" t="str">
        <f>IFERROR(__xludf.DUMMYFUNCTION("if(H3225=""pays"",vlookup(REGEXEXTRACT(C3225, ""🏘️ \w+ \w+ (.*) ✅""),'Country prepositions'!A:B, 2, 0) &amp; "" "" &amp; REGEXEXTRACT(C3225, ""🏘️ \w+ \w+ (.*) ✅"") ,  if(H3225=""quartier"",vlookup(REGEXEXTRACT(C3225, ""🏘️ \w+ \w+ (.*) ✅""),'Quartier prepositio"&amp;"ns'!A:E, 5, 0) ,  if(H3225=""region"",vlookup(REGEXEXTRACT(C3225, ""🏘️ \w+ \w+ (.*) ✅""),'Region prepositions'!B:F, 5, 0),  REGEXEXTRACT(C3225, ""🏘️ \w+ \w+ (.*) ✅""))))"),"#N/A")</f>
        <v>#N/A</v>
      </c>
      <c r="I3225" s="4" t="str">
        <f>IFERROR(__xludf.DUMMYFUNCTION("if(D3225=""variant"",  substitute(filter(Templates!E:E, Templates!A:A = F3225, Templates!B:B = G3225, Templates!C:C = H3225), ""{{}}"", E3225), B3225)"),"Louer appartement Schmitten FR: Trouvez le bien immobilier qui correspond idéalement à vos désirs sur ImmoScout24 - La plateforme de l'immobilier en Suisse.")</f>
        <v>Louer appartement Schmitten FR: Trouvez le bien immobilier qui correspond idéalement à vos désirs sur ImmoScout24 - La plateforme de l'immobilier en Suisse.</v>
      </c>
    </row>
    <row r="3226" hidden="1">
      <c r="A3226" s="5" t="s">
        <v>9555</v>
      </c>
      <c r="B3226" s="2" t="s">
        <v>9556</v>
      </c>
      <c r="C3226" s="2" t="s">
        <v>9556</v>
      </c>
      <c r="D3226" s="4" t="str">
        <f>vlookup(A3226, Sheet2!D:E, 2, 0)</f>
        <v>control</v>
      </c>
      <c r="E3226" s="4" t="str">
        <f>IFERROR(__xludf.DUMMYFUNCTION("if(H3226=""pays"",vlookup(REGEXEXTRACT(C3226, ""🏘️ \w+ \w+ (.*) ✅""),'Country prepositions'!A:B, 2, 0) &amp; "" "" &amp; REGEXEXTRACT(C3226, ""🏘️ \w+ \w+ (.*) ✅"") ,  if(H3226=""quartier"",vlookup(REGEXEXTRACT(C3226, ""🏘️ \w+ \w+ (.*) ✅""),'Quartier prepositio"&amp;"ns'!A:E, 5, 0) ,  if(H3226=""region"",vlookup(REGEXEXTRACT(C3226, ""🏘️ \w+ \w+ (.*) ✅""),'Region prepositions'!B:F, 5, 0),  REGEXEXTRACT(C3226, ""🏘️ \w+ \w+ (.*) ✅""))))"),"#N/A")</f>
        <v>#N/A</v>
      </c>
      <c r="I3226" s="4" t="str">
        <f>IFERROR(__xludf.DUMMYFUNCTION("if(D3226=""variant"",  substitute(filter(Templates!E:E, Templates!A:A = F3226, Templates!B:B = G3226, Templates!C:C = H3226), ""{{}}"", E3226), B3226)"),"Vendre maison Vessy: Trouvez le bien immobilier qui correspond idéalement à vos désirs sur ImmoScout24 - La plateforme de l'immobilier en Suisse.")</f>
        <v>Vendre maison Vessy: Trouvez le bien immobilier qui correspond idéalement à vos désirs sur ImmoScout24 - La plateforme de l'immobilier en Suisse.</v>
      </c>
    </row>
    <row r="3227" hidden="1">
      <c r="A3227" s="5" t="s">
        <v>9557</v>
      </c>
      <c r="B3227" s="2" t="s">
        <v>9558</v>
      </c>
      <c r="C3227" s="2" t="s">
        <v>9558</v>
      </c>
      <c r="D3227" s="4" t="str">
        <f>vlookup(A3227, Sheet2!D:E, 2, 0)</f>
        <v>control</v>
      </c>
      <c r="E3227" s="4" t="str">
        <f>IFERROR(__xludf.DUMMYFUNCTION("if(H3227=""pays"",vlookup(REGEXEXTRACT(C3227, ""🏘️ \w+ \w+ (.*) ✅""),'Country prepositions'!A:B, 2, 0) &amp; "" "" &amp; REGEXEXTRACT(C3227, ""🏘️ \w+ \w+ (.*) ✅"") ,  if(H3227=""quartier"",vlookup(REGEXEXTRACT(C3227, ""🏘️ \w+ \w+ (.*) ✅""),'Quartier prepositio"&amp;"ns'!A:E, 5, 0) ,  if(H3227=""region"",vlookup(REGEXEXTRACT(C3227, ""🏘️ \w+ \w+ (.*) ✅""),'Region prepositions'!B:F, 5, 0),  REGEXEXTRACT(C3227, ""🏘️ \w+ \w+ (.*) ✅""))))"),"#N/A")</f>
        <v>#N/A</v>
      </c>
      <c r="I3227" s="4" t="str">
        <f>IFERROR(__xludf.DUMMYFUNCTION("if(D3227=""variant"",  substitute(filter(Templates!E:E, Templates!A:A = F3227, Templates!B:B = G3227, Templates!C:C = H3227), ""{{}}"", E3227), B3227)"),"Louer appartement Auboranges: Trouvez le bien immobilier qui correspond idéalement à vos désirs sur ImmoScout24 - La plateforme de l'immobilier en Suisse.")</f>
        <v>Louer appartement Auboranges: Trouvez le bien immobilier qui correspond idéalement à vos désirs sur ImmoScout24 - La plateforme de l'immobilier en Suisse.</v>
      </c>
    </row>
    <row r="3228" hidden="1">
      <c r="A3228" s="5" t="s">
        <v>9559</v>
      </c>
      <c r="B3228" s="2" t="s">
        <v>9560</v>
      </c>
      <c r="C3228" s="2" t="s">
        <v>9560</v>
      </c>
      <c r="D3228" s="4" t="str">
        <f>vlookup(A3228, Sheet2!D:E, 2, 0)</f>
        <v>control</v>
      </c>
      <c r="E3228" s="4" t="str">
        <f>IFERROR(__xludf.DUMMYFUNCTION("if(H3228=""pays"",vlookup(REGEXEXTRACT(C3228, ""🏘️ \w+ \w+ (.*) ✅""),'Country prepositions'!A:B, 2, 0) &amp; "" "" &amp; REGEXEXTRACT(C3228, ""🏘️ \w+ \w+ (.*) ✅"") ,  if(H3228=""quartier"",vlookup(REGEXEXTRACT(C3228, ""🏘️ \w+ \w+ (.*) ✅""),'Quartier prepositio"&amp;"ns'!A:E, 5, 0) ,  if(H3228=""region"",vlookup(REGEXEXTRACT(C3228, ""🏘️ \w+ \w+ (.*) ✅""),'Region prepositions'!B:F, 5, 0),  REGEXEXTRACT(C3228, ""🏘️ \w+ \w+ (.*) ✅""))))"),"#N/A")</f>
        <v>#N/A</v>
      </c>
      <c r="I3228" s="4" t="str">
        <f>IFERROR(__xludf.DUMMYFUNCTION("if(D3228=""variant"",  substitute(filter(Templates!E:E, Templates!A:A = F3228, Templates!B:B = G3228, Templates!C:C = H3228), ""{{}}"", E3228), B3228)"),"Vendre maison Rüdlingen: Trouvez le bien immobilier qui correspond idéalement à vos désirs sur ImmoScout24 - La plateforme de l'immobilier en Suisse.")</f>
        <v>Vendre maison Rüdlingen: Trouvez le bien immobilier qui correspond idéalement à vos désirs sur ImmoScout24 - La plateforme de l'immobilier en Suisse.</v>
      </c>
    </row>
    <row r="3229" hidden="1">
      <c r="A3229" s="5" t="s">
        <v>9561</v>
      </c>
      <c r="B3229" s="2" t="s">
        <v>9562</v>
      </c>
      <c r="C3229" s="2" t="s">
        <v>9562</v>
      </c>
      <c r="D3229" s="4" t="str">
        <f>vlookup(A3229, Sheet2!D:E, 2, 0)</f>
        <v>control</v>
      </c>
      <c r="E3229" s="4" t="str">
        <f>IFERROR(__xludf.DUMMYFUNCTION("if(H3229=""pays"",vlookup(REGEXEXTRACT(C3229, ""🏘️ \w+ \w+ (.*) ✅""),'Country prepositions'!A:B, 2, 0) &amp; "" "" &amp; REGEXEXTRACT(C3229, ""🏘️ \w+ \w+ (.*) ✅"") ,  if(H3229=""quartier"",vlookup(REGEXEXTRACT(C3229, ""🏘️ \w+ \w+ (.*) ✅""),'Quartier prepositio"&amp;"ns'!A:E, 5, 0) ,  if(H3229=""region"",vlookup(REGEXEXTRACT(C3229, ""🏘️ \w+ \w+ (.*) ✅""),'Region prepositions'!B:F, 5, 0),  REGEXEXTRACT(C3229, ""🏘️ \w+ \w+ (.*) ✅""))))"),"#N/A")</f>
        <v>#N/A</v>
      </c>
      <c r="I3229" s="4" t="str">
        <f>IFERROR(__xludf.DUMMYFUNCTION("if(D3229=""variant"",  substitute(filter(Templates!E:E, Templates!A:A = F3229, Templates!B:B = G3229, Templates!C:C = H3229), ""{{}}"", E3229), B3229)"),"Louer appartement Spiez: Trouvez le bien immobilier qui correspond idéalement à vos désirs sur ImmoScout24 - La plateforme de l'immobilier en Suisse.")</f>
        <v>Louer appartement Spiez: Trouvez le bien immobilier qui correspond idéalement à vos désirs sur ImmoScout24 - La plateforme de l'immobilier en Suisse.</v>
      </c>
    </row>
    <row r="3230" hidden="1">
      <c r="A3230" s="5" t="s">
        <v>9563</v>
      </c>
      <c r="B3230" s="2" t="s">
        <v>9564</v>
      </c>
      <c r="C3230" s="2" t="s">
        <v>9564</v>
      </c>
      <c r="D3230" s="4" t="str">
        <f>vlookup(A3230, Sheet2!D:E, 2, 0)</f>
        <v>control</v>
      </c>
      <c r="E3230" s="4" t="str">
        <f>IFERROR(__xludf.DUMMYFUNCTION("if(H3230=""pays"",vlookup(REGEXEXTRACT(C3230, ""🏘️ \w+ \w+ (.*) ✅""),'Country prepositions'!A:B, 2, 0) &amp; "" "" &amp; REGEXEXTRACT(C3230, ""🏘️ \w+ \w+ (.*) ✅"") ,  if(H3230=""quartier"",vlookup(REGEXEXTRACT(C3230, ""🏘️ \w+ \w+ (.*) ✅""),'Quartier prepositio"&amp;"ns'!A:E, 5, 0) ,  if(H3230=""region"",vlookup(REGEXEXTRACT(C3230, ""🏘️ \w+ \w+ (.*) ✅""),'Region prepositions'!B:F, 5, 0),  REGEXEXTRACT(C3230, ""🏘️ \w+ \w+ (.*) ✅""))))"),"#N/A")</f>
        <v>#N/A</v>
      </c>
      <c r="I3230" s="4" t="str">
        <f>IFERROR(__xludf.DUMMYFUNCTION("if(D3230=""variant"",  substitute(filter(Templates!E:E, Templates!A:A = F3230, Templates!B:B = G3230, Templates!C:C = H3230), ""{{}}"", E3230), B3230)"),"Louer appartement Länggasse (Berne): Trouvez le bien immobilier qui correspond idéalement à vos désirs sur ImmoScout24 - La plateforme de l'immobilier en Suisse.")</f>
        <v>Louer appartement Länggasse (Berne): Trouvez le bien immobilier qui correspond idéalement à vos désirs sur ImmoScout24 - La plateforme de l'immobilier en Suisse.</v>
      </c>
    </row>
    <row r="3231" hidden="1">
      <c r="A3231" s="5" t="s">
        <v>9565</v>
      </c>
      <c r="B3231" s="2" t="s">
        <v>9566</v>
      </c>
      <c r="C3231" s="2" t="s">
        <v>9566</v>
      </c>
      <c r="D3231" s="4" t="str">
        <f>vlookup(A3231, Sheet2!D:E, 2, 0)</f>
        <v>control</v>
      </c>
      <c r="E3231" s="4" t="str">
        <f>IFERROR(__xludf.DUMMYFUNCTION("if(H3231=""pays"",vlookup(REGEXEXTRACT(C3231, ""🏘️ \w+ \w+ (.*) ✅""),'Country prepositions'!A:B, 2, 0) &amp; "" "" &amp; REGEXEXTRACT(C3231, ""🏘️ \w+ \w+ (.*) ✅"") ,  if(H3231=""quartier"",vlookup(REGEXEXTRACT(C3231, ""🏘️ \w+ \w+ (.*) ✅""),'Quartier prepositio"&amp;"ns'!A:E, 5, 0) ,  if(H3231=""region"",vlookup(REGEXEXTRACT(C3231, ""🏘️ \w+ \w+ (.*) ✅""),'Region prepositions'!B:F, 5, 0),  REGEXEXTRACT(C3231, ""🏘️ \w+ \w+ (.*) ✅""))))"),"#N/A")</f>
        <v>#N/A</v>
      </c>
      <c r="I3231" s="4" t="str">
        <f>IFERROR(__xludf.DUMMYFUNCTION("if(D3231=""variant"",  substitute(filter(Templates!E:E, Templates!A:A = F3231, Templates!B:B = G3231, Templates!C:C = H3231), ""{{}}"", E3231), B3231)"),"Vendre maison Schlans: Trouvez le bien immobilier qui correspond idéalement à vos désirs sur ImmoScout24 - La plateforme de l'immobilier en Suisse.")</f>
        <v>Vendre maison Schlans: Trouvez le bien immobilier qui correspond idéalement à vos désirs sur ImmoScout24 - La plateforme de l'immobilier en Suisse.</v>
      </c>
    </row>
    <row r="3232" hidden="1">
      <c r="A3232" s="5" t="s">
        <v>9567</v>
      </c>
      <c r="B3232" s="2" t="s">
        <v>9568</v>
      </c>
      <c r="C3232" s="2" t="s">
        <v>9568</v>
      </c>
      <c r="D3232" s="4" t="str">
        <f>vlookup(A3232, Sheet2!D:E, 2, 0)</f>
        <v>control</v>
      </c>
      <c r="E3232" s="4" t="str">
        <f>IFERROR(__xludf.DUMMYFUNCTION("if(H3232=""pays"",vlookup(REGEXEXTRACT(C3232, ""🏘️ \w+ \w+ (.*) ✅""),'Country prepositions'!A:B, 2, 0) &amp; "" "" &amp; REGEXEXTRACT(C3232, ""🏘️ \w+ \w+ (.*) ✅"") ,  if(H3232=""quartier"",vlookup(REGEXEXTRACT(C3232, ""🏘️ \w+ \w+ (.*) ✅""),'Quartier prepositio"&amp;"ns'!A:E, 5, 0) ,  if(H3232=""region"",vlookup(REGEXEXTRACT(C3232, ""🏘️ \w+ \w+ (.*) ✅""),'Region prepositions'!B:F, 5, 0),  REGEXEXTRACT(C3232, ""🏘️ \w+ \w+ (.*) ✅""))))"),"#N/A")</f>
        <v>#N/A</v>
      </c>
      <c r="I3232" s="4" t="str">
        <f>IFERROR(__xludf.DUMMYFUNCTION("if(D3232=""variant"",  substitute(filter(Templates!E:E, Templates!A:A = F3232, Templates!B:B = G3232, Templates!C:C = H3232), ""{{}}"", E3232), B3232)"),"Vendre appartement Diesse: Trouvez le bien immobilier qui correspond idéalement à vos désirs sur ImmoScout24 - La plateforme de l'immobilier en Suisse.")</f>
        <v>Vendre appartement Diesse: Trouvez le bien immobilier qui correspond idéalement à vos désirs sur ImmoScout24 - La plateforme de l'immobilier en Suisse.</v>
      </c>
    </row>
    <row r="3233" hidden="1">
      <c r="A3233" s="5" t="s">
        <v>9569</v>
      </c>
      <c r="B3233" s="2" t="s">
        <v>9570</v>
      </c>
      <c r="C3233" s="2" t="s">
        <v>9570</v>
      </c>
      <c r="D3233" s="4" t="str">
        <f>vlookup(A3233, Sheet2!D:E, 2, 0)</f>
        <v>control</v>
      </c>
      <c r="E3233" s="4" t="str">
        <f>IFERROR(__xludf.DUMMYFUNCTION("if(H3233=""pays"",vlookup(REGEXEXTRACT(C3233, ""🏘️ \w+ \w+ (.*) ✅""),'Country prepositions'!A:B, 2, 0) &amp; "" "" &amp; REGEXEXTRACT(C3233, ""🏘️ \w+ \w+ (.*) ✅"") ,  if(H3233=""quartier"",vlookup(REGEXEXTRACT(C3233, ""🏘️ \w+ \w+ (.*) ✅""),'Quartier prepositio"&amp;"ns'!A:E, 5, 0) ,  if(H3233=""region"",vlookup(REGEXEXTRACT(C3233, ""🏘️ \w+ \w+ (.*) ✅""),'Region prepositions'!B:F, 5, 0),  REGEXEXTRACT(C3233, ""🏘️ \w+ \w+ (.*) ✅""))))"),"#N/A")</f>
        <v>#N/A</v>
      </c>
      <c r="I3233" s="4" t="str">
        <f>IFERROR(__xludf.DUMMYFUNCTION("if(D3233=""variant"",  substitute(filter(Templates!E:E, Templates!A:A = F3233, Templates!B:B = G3233, Templates!C:C = H3233), ""{{}}"", E3233), B3233)"),"Louer appartement Bonvillars: Trouvez le bien immobilier qui correspond idéalement à vos désirs sur ImmoScout24 - La plateforme de l'immobilier en Suisse.")</f>
        <v>Louer appartement Bonvillars: Trouvez le bien immobilier qui correspond idéalement à vos désirs sur ImmoScout24 - La plateforme de l'immobilier en Suisse.</v>
      </c>
    </row>
    <row r="3234" hidden="1">
      <c r="A3234" s="5" t="s">
        <v>9571</v>
      </c>
      <c r="B3234" s="2" t="s">
        <v>9572</v>
      </c>
      <c r="C3234" s="2" t="s">
        <v>9572</v>
      </c>
      <c r="D3234" s="4" t="str">
        <f>vlookup(A3234, Sheet2!D:E, 2, 0)</f>
        <v>control</v>
      </c>
      <c r="E3234" s="4" t="str">
        <f>IFERROR(__xludf.DUMMYFUNCTION("if(H3234=""pays"",vlookup(REGEXEXTRACT(C3234, ""🏘️ \w+ \w+ (.*) ✅""),'Country prepositions'!A:B, 2, 0) &amp; "" "" &amp; REGEXEXTRACT(C3234, ""🏘️ \w+ \w+ (.*) ✅"") ,  if(H3234=""quartier"",vlookup(REGEXEXTRACT(C3234, ""🏘️ \w+ \w+ (.*) ✅""),'Quartier prepositio"&amp;"ns'!A:E, 5, 0) ,  if(H3234=""region"",vlookup(REGEXEXTRACT(C3234, ""🏘️ \w+ \w+ (.*) ✅""),'Region prepositions'!B:F, 5, 0),  REGEXEXTRACT(C3234, ""🏘️ \w+ \w+ (.*) ✅""))))"),"#N/A")</f>
        <v>#N/A</v>
      </c>
      <c r="I3234" s="4" t="str">
        <f>IFERROR(__xludf.DUMMYFUNCTION("if(D3234=""variant"",  substitute(filter(Templates!E:E, Templates!A:A = F3234, Templates!B:B = G3234, Templates!C:C = H3234), ""{{}}"", E3234), B3234)"),"Vendre maison Orsières: Trouvez le bien immobilier qui correspond idéalement à vos désirs sur ImmoScout24 - La plateforme de l'immobilier en Suisse.")</f>
        <v>Vendre maison Orsières: Trouvez le bien immobilier qui correspond idéalement à vos désirs sur ImmoScout24 - La plateforme de l'immobilier en Suisse.</v>
      </c>
    </row>
    <row r="3235" hidden="1">
      <c r="A3235" s="5" t="s">
        <v>9573</v>
      </c>
      <c r="B3235" s="2" t="s">
        <v>9574</v>
      </c>
      <c r="C3235" s="2" t="s">
        <v>9574</v>
      </c>
      <c r="D3235" s="4" t="str">
        <f>vlookup(A3235, Sheet2!D:E, 2, 0)</f>
        <v>control</v>
      </c>
      <c r="E3235" s="4" t="str">
        <f>IFERROR(__xludf.DUMMYFUNCTION("if(H3235=""pays"",vlookup(REGEXEXTRACT(C3235, ""🏘️ \w+ \w+ (.*) ✅""),'Country prepositions'!A:B, 2, 0) &amp; "" "" &amp; REGEXEXTRACT(C3235, ""🏘️ \w+ \w+ (.*) ✅"") ,  if(H3235=""quartier"",vlookup(REGEXEXTRACT(C3235, ""🏘️ \w+ \w+ (.*) ✅""),'Quartier prepositio"&amp;"ns'!A:E, 5, 0) ,  if(H3235=""region"",vlookup(REGEXEXTRACT(C3235, ""🏘️ \w+ \w+ (.*) ✅""),'Region prepositions'!B:F, 5, 0),  REGEXEXTRACT(C3235, ""🏘️ \w+ \w+ (.*) ✅""))))"),"#N/A")</f>
        <v>#N/A</v>
      </c>
      <c r="I3235" s="4" t="str">
        <f>IFERROR(__xludf.DUMMYFUNCTION("if(D3235=""variant"",  substitute(filter(Templates!E:E, Templates!A:A = F3235, Templates!B:B = G3235, Templates!C:C = H3235), ""{{}}"", E3235), B3235)"),"Vendre appartement Salgesch: Trouvez le bien immobilier qui correspond idéalement à vos désirs sur ImmoScout24 - La plateforme de l'immobilier en Suisse.")</f>
        <v>Vendre appartement Salgesch: Trouvez le bien immobilier qui correspond idéalement à vos désirs sur ImmoScout24 - La plateforme de l'immobilier en Suisse.</v>
      </c>
    </row>
    <row r="3236" hidden="1">
      <c r="A3236" s="5" t="s">
        <v>9575</v>
      </c>
      <c r="B3236" s="2" t="s">
        <v>9576</v>
      </c>
      <c r="C3236" s="2" t="s">
        <v>9576</v>
      </c>
      <c r="D3236" s="4" t="str">
        <f>vlookup(A3236, Sheet2!D:E, 2, 0)</f>
        <v>control</v>
      </c>
      <c r="E3236" s="4" t="str">
        <f>IFERROR(__xludf.DUMMYFUNCTION("if(H3236=""pays"",vlookup(REGEXEXTRACT(C3236, ""🏘️ \w+ \w+ (.*) ✅""),'Country prepositions'!A:B, 2, 0) &amp; "" "" &amp; REGEXEXTRACT(C3236, ""🏘️ \w+ \w+ (.*) ✅"") ,  if(H3236=""quartier"",vlookup(REGEXEXTRACT(C3236, ""🏘️ \w+ \w+ (.*) ✅""),'Quartier prepositio"&amp;"ns'!A:E, 5, 0) ,  if(H3236=""region"",vlookup(REGEXEXTRACT(C3236, ""🏘️ \w+ \w+ (.*) ✅""),'Region prepositions'!B:F, 5, 0),  REGEXEXTRACT(C3236, ""🏘️ \w+ \w+ (.*) ✅""))))"),"#N/A")</f>
        <v>#N/A</v>
      </c>
      <c r="I3236" s="4" t="str">
        <f>IFERROR(__xludf.DUMMYFUNCTION("if(D3236=""variant"",  substitute(filter(Templates!E:E, Templates!A:A = F3236, Templates!B:B = G3236, Templates!C:C = H3236), ""{{}}"", E3236), B3236)"),"Louer maison Crissier: Trouvez le bien immobilier qui correspond idéalement à vos désirs sur ImmoScout24 - La plateforme de l'immobilier en Suisse.")</f>
        <v>Louer maison Crissier: Trouvez le bien immobilier qui correspond idéalement à vos désirs sur ImmoScout24 - La plateforme de l'immobilier en Suisse.</v>
      </c>
    </row>
    <row r="3237" hidden="1">
      <c r="A3237" s="5" t="s">
        <v>9577</v>
      </c>
      <c r="B3237" s="2" t="s">
        <v>9578</v>
      </c>
      <c r="C3237" s="2" t="s">
        <v>9578</v>
      </c>
      <c r="D3237" s="4" t="str">
        <f>vlookup(A3237, Sheet2!D:E, 2, 0)</f>
        <v>control</v>
      </c>
      <c r="E3237" s="4" t="str">
        <f>IFERROR(__xludf.DUMMYFUNCTION("if(H3237=""pays"",vlookup(REGEXEXTRACT(C3237, ""🏘️ \w+ \w+ (.*) ✅""),'Country prepositions'!A:B, 2, 0) &amp; "" "" &amp; REGEXEXTRACT(C3237, ""🏘️ \w+ \w+ (.*) ✅"") ,  if(H3237=""quartier"",vlookup(REGEXEXTRACT(C3237, ""🏘️ \w+ \w+ (.*) ✅""),'Quartier prepositio"&amp;"ns'!A:E, 5, 0) ,  if(H3237=""region"",vlookup(REGEXEXTRACT(C3237, ""🏘️ \w+ \w+ (.*) ✅""),'Region prepositions'!B:F, 5, 0),  REGEXEXTRACT(C3237, ""🏘️ \w+ \w+ (.*) ✅""))))"),"#N/A")</f>
        <v>#N/A</v>
      </c>
      <c r="I3237" s="4" t="str">
        <f>IFERROR(__xludf.DUMMYFUNCTION("if(D3237=""variant"",  substitute(filter(Templates!E:E, Templates!A:A = F3237, Templates!B:B = G3237, Templates!C:C = H3237), ""{{}}"", E3237), B3237)"),"Vendre appartement Küsnacht ZH: Trouvez le bien immobilier qui correspond idéalement à vos désirs sur ImmoScout24 - La plateforme de l'immobilier en Suisse.")</f>
        <v>Vendre appartement Küsnacht ZH: Trouvez le bien immobilier qui correspond idéalement à vos désirs sur ImmoScout24 - La plateforme de l'immobilier en Suisse.</v>
      </c>
    </row>
    <row r="3238" hidden="1">
      <c r="A3238" s="5" t="s">
        <v>9579</v>
      </c>
      <c r="B3238" s="2" t="s">
        <v>9580</v>
      </c>
      <c r="C3238" s="2" t="s">
        <v>9580</v>
      </c>
      <c r="D3238" s="4" t="str">
        <f>vlookup(A3238, Sheet2!D:E, 2, 0)</f>
        <v>control</v>
      </c>
      <c r="E3238" s="4" t="str">
        <f>IFERROR(__xludf.DUMMYFUNCTION("if(H3238=""pays"",vlookup(REGEXEXTRACT(C3238, ""🏘️ \w+ \w+ (.*) ✅""),'Country prepositions'!A:B, 2, 0) &amp; "" "" &amp; REGEXEXTRACT(C3238, ""🏘️ \w+ \w+ (.*) ✅"") ,  if(H3238=""quartier"",vlookup(REGEXEXTRACT(C3238, ""🏘️ \w+ \w+ (.*) ✅""),'Quartier prepositio"&amp;"ns'!A:E, 5, 0) ,  if(H3238=""region"",vlookup(REGEXEXTRACT(C3238, ""🏘️ \w+ \w+ (.*) ✅""),'Region prepositions'!B:F, 5, 0),  REGEXEXTRACT(C3238, ""🏘️ \w+ \w+ (.*) ✅""))))"),"#N/A")</f>
        <v>#N/A</v>
      </c>
      <c r="I3238" s="4" t="str">
        <f>IFERROR(__xludf.DUMMYFUNCTION("if(D3238=""variant"",  substitute(filter(Templates!E:E, Templates!A:A = F3238, Templates!B:B = G3238, Templates!C:C = H3238), ""{{}}"", E3238), B3238)"),"Vendre maison Sassel: Trouvez le bien immobilier qui correspond idéalement à vos désirs sur ImmoScout24 - La plateforme de l'immobilier en Suisse.")</f>
        <v>Vendre maison Sassel: Trouvez le bien immobilier qui correspond idéalement à vos désirs sur ImmoScout24 - La plateforme de l'immobilier en Suisse.</v>
      </c>
    </row>
    <row r="3239" hidden="1">
      <c r="A3239" s="5" t="s">
        <v>9581</v>
      </c>
      <c r="B3239" s="2" t="s">
        <v>9582</v>
      </c>
      <c r="C3239" s="2" t="s">
        <v>9582</v>
      </c>
      <c r="D3239" s="4" t="str">
        <f>vlookup(A3239, Sheet2!D:E, 2, 0)</f>
        <v>control</v>
      </c>
      <c r="E3239" s="4" t="str">
        <f>IFERROR(__xludf.DUMMYFUNCTION("if(H3239=""pays"",vlookup(REGEXEXTRACT(C3239, ""🏘️ \w+ \w+ (.*) ✅""),'Country prepositions'!A:B, 2, 0) &amp; "" "" &amp; REGEXEXTRACT(C3239, ""🏘️ \w+ \w+ (.*) ✅"") ,  if(H3239=""quartier"",vlookup(REGEXEXTRACT(C3239, ""🏘️ \w+ \w+ (.*) ✅""),'Quartier prepositio"&amp;"ns'!A:E, 5, 0) ,  if(H3239=""region"",vlookup(REGEXEXTRACT(C3239, ""🏘️ \w+ \w+ (.*) ✅""),'Region prepositions'!B:F, 5, 0),  REGEXEXTRACT(C3239, ""🏘️ \w+ \w+ (.*) ✅""))))"),"#N/A")</f>
        <v>#N/A</v>
      </c>
      <c r="I3239" s="4" t="str">
        <f>IFERROR(__xludf.DUMMYFUNCTION("if(D3239=""variant"",  substitute(filter(Templates!E:E, Templates!A:A = F3239, Templates!B:B = G3239, Templates!C:C = H3239), ""{{}}"", E3239), B3239)"),"Vendre appartement Bäch SZ: Trouvez le bien immobilier qui correspond idéalement à vos désirs sur ImmoScout24 - La plateforme de l'immobilier en Suisse.")</f>
        <v>Vendre appartement Bäch SZ: Trouvez le bien immobilier qui correspond idéalement à vos désirs sur ImmoScout24 - La plateforme de l'immobilier en Suisse.</v>
      </c>
    </row>
    <row r="3240" hidden="1">
      <c r="A3240" s="5" t="s">
        <v>9583</v>
      </c>
      <c r="B3240" s="2" t="s">
        <v>9584</v>
      </c>
      <c r="C3240" s="2" t="s">
        <v>9584</v>
      </c>
      <c r="D3240" s="4" t="str">
        <f>vlookup(A3240, Sheet2!D:E, 2, 0)</f>
        <v>control</v>
      </c>
      <c r="E3240" s="4" t="str">
        <f>IFERROR(__xludf.DUMMYFUNCTION("if(H3240=""pays"",vlookup(REGEXEXTRACT(C3240, ""🏘️ \w+ \w+ (.*) ✅""),'Country prepositions'!A:B, 2, 0) &amp; "" "" &amp; REGEXEXTRACT(C3240, ""🏘️ \w+ \w+ (.*) ✅"") ,  if(H3240=""quartier"",vlookup(REGEXEXTRACT(C3240, ""🏘️ \w+ \w+ (.*) ✅""),'Quartier prepositio"&amp;"ns'!A:E, 5, 0) ,  if(H3240=""region"",vlookup(REGEXEXTRACT(C3240, ""🏘️ \w+ \w+ (.*) ✅""),'Region prepositions'!B:F, 5, 0),  REGEXEXTRACT(C3240, ""🏘️ \w+ \w+ (.*) ✅""))))"),"#N/A")</f>
        <v>#N/A</v>
      </c>
      <c r="I3240" s="4" t="str">
        <f>IFERROR(__xludf.DUMMYFUNCTION("if(D3240=""variant"",  substitute(filter(Templates!E:E, Templates!A:A = F3240, Templates!B:B = G3240, Templates!C:C = H3240), ""{{}}"", E3240), B3240)"),"Louer maison Chardonne: Trouvez le bien immobilier qui correspond idéalement à vos désirs sur ImmoScout24 - La plateforme de l'immobilier en Suisse.")</f>
        <v>Louer maison Chardonne: Trouvez le bien immobilier qui correspond idéalement à vos désirs sur ImmoScout24 - La plateforme de l'immobilier en Suisse.</v>
      </c>
    </row>
    <row r="3241" hidden="1">
      <c r="A3241" s="5" t="s">
        <v>9585</v>
      </c>
      <c r="B3241" s="2" t="s">
        <v>9586</v>
      </c>
      <c r="C3241" s="2" t="s">
        <v>9586</v>
      </c>
      <c r="D3241" s="4" t="str">
        <f>vlookup(A3241, Sheet2!D:E, 2, 0)</f>
        <v>control</v>
      </c>
      <c r="E3241" s="4" t="str">
        <f>IFERROR(__xludf.DUMMYFUNCTION("if(H3241=""pays"",vlookup(REGEXEXTRACT(C3241, ""🏘️ \w+ \w+ (.*) ✅""),'Country prepositions'!A:B, 2, 0) &amp; "" "" &amp; REGEXEXTRACT(C3241, ""🏘️ \w+ \w+ (.*) ✅"") ,  if(H3241=""quartier"",vlookup(REGEXEXTRACT(C3241, ""🏘️ \w+ \w+ (.*) ✅""),'Quartier prepositio"&amp;"ns'!A:E, 5, 0) ,  if(H3241=""region"",vlookup(REGEXEXTRACT(C3241, ""🏘️ \w+ \w+ (.*) ✅""),'Region prepositions'!B:F, 5, 0),  REGEXEXTRACT(C3241, ""🏘️ \w+ \w+ (.*) ✅""))))"),"#N/A")</f>
        <v>#N/A</v>
      </c>
      <c r="I3241" s="4" t="str">
        <f>IFERROR(__xludf.DUMMYFUNCTION("if(D3241=""variant"",  substitute(filter(Templates!E:E, Templates!A:A = F3241, Templates!B:B = G3241, Templates!C:C = H3241), ""{{}}"", E3241), B3241)"),"Vendre maison Jura (Fribourg): Trouvez le bien immobilier qui correspond idéalement à vos désirs sur ImmoScout24 - La plateforme de l'immobilier en Suisse.")</f>
        <v>Vendre maison Jura (Fribourg): Trouvez le bien immobilier qui correspond idéalement à vos désirs sur ImmoScout24 - La plateforme de l'immobilier en Suisse.</v>
      </c>
    </row>
    <row r="3242" hidden="1">
      <c r="A3242" s="5" t="s">
        <v>9587</v>
      </c>
      <c r="B3242" s="2" t="s">
        <v>9588</v>
      </c>
      <c r="C3242" s="2" t="s">
        <v>9588</v>
      </c>
      <c r="D3242" s="4" t="str">
        <f>vlookup(A3242, Sheet2!D:E, 2, 0)</f>
        <v>control</v>
      </c>
      <c r="E3242" s="4" t="str">
        <f>IFERROR(__xludf.DUMMYFUNCTION("if(H3242=""pays"",vlookup(REGEXEXTRACT(C3242, ""🏘️ \w+ \w+ (.*) ✅""),'Country prepositions'!A:B, 2, 0) &amp; "" "" &amp; REGEXEXTRACT(C3242, ""🏘️ \w+ \w+ (.*) ✅"") ,  if(H3242=""quartier"",vlookup(REGEXEXTRACT(C3242, ""🏘️ \w+ \w+ (.*) ✅""),'Quartier prepositio"&amp;"ns'!A:E, 5, 0) ,  if(H3242=""region"",vlookup(REGEXEXTRACT(C3242, ""🏘️ \w+ \w+ (.*) ✅""),'Region prepositions'!B:F, 5, 0),  REGEXEXTRACT(C3242, ""🏘️ \w+ \w+ (.*) ✅""))))"),"#N/A")</f>
        <v>#N/A</v>
      </c>
      <c r="I3242" s="4" t="str">
        <f>IFERROR(__xludf.DUMMYFUNCTION("if(D3242=""variant"",  substitute(filter(Templates!E:E, Templates!A:A = F3242, Templates!B:B = G3242, Templates!C:C = H3242), ""{{}}"", E3242), B3242)"),"Vendre appartement Villars-Ste-Croix: Trouvez le bien immobilier qui correspond idéalement à vos désirs sur ImmoScout24 - La plateforme de l'immobilier en Suisse.")</f>
        <v>Vendre appartement Villars-Ste-Croix: Trouvez le bien immobilier qui correspond idéalement à vos désirs sur ImmoScout24 - La plateforme de l'immobilier en Suisse.</v>
      </c>
    </row>
    <row r="3243" hidden="1">
      <c r="A3243" s="5" t="s">
        <v>9589</v>
      </c>
      <c r="B3243" s="2" t="s">
        <v>9590</v>
      </c>
      <c r="C3243" s="2" t="s">
        <v>9590</v>
      </c>
      <c r="D3243" s="4" t="str">
        <f>vlookup(A3243, Sheet2!D:E, 2, 0)</f>
        <v>control</v>
      </c>
      <c r="E3243" s="4" t="str">
        <f>IFERROR(__xludf.DUMMYFUNCTION("if(H3243=""pays"",vlookup(REGEXEXTRACT(C3243, ""🏘️ \w+ \w+ (.*) ✅""),'Country prepositions'!A:B, 2, 0) &amp; "" "" &amp; REGEXEXTRACT(C3243, ""🏘️ \w+ \w+ (.*) ✅"") ,  if(H3243=""quartier"",vlookup(REGEXEXTRACT(C3243, ""🏘️ \w+ \w+ (.*) ✅""),'Quartier prepositio"&amp;"ns'!A:E, 5, 0) ,  if(H3243=""region"",vlookup(REGEXEXTRACT(C3243, ""🏘️ \w+ \w+ (.*) ✅""),'Region prepositions'!B:F, 5, 0),  REGEXEXTRACT(C3243, ""🏘️ \w+ \w+ (.*) ✅""))))"),"#N/A")</f>
        <v>#N/A</v>
      </c>
      <c r="I3243" s="4" t="str">
        <f>IFERROR(__xludf.DUMMYFUNCTION("if(D3243=""variant"",  substitute(filter(Templates!E:E, Templates!A:A = F3243, Templates!B:B = G3243, Templates!C:C = H3243), ""{{}}"", E3243), B3243)"),"Vendre appartement Chésopelloz: Trouvez le bien immobilier qui correspond idéalement à vos désirs sur ImmoScout24 - La plateforme de l'immobilier en Suisse.")</f>
        <v>Vendre appartement Chésopelloz: Trouvez le bien immobilier qui correspond idéalement à vos désirs sur ImmoScout24 - La plateforme de l'immobilier en Suisse.</v>
      </c>
    </row>
    <row r="3244" hidden="1">
      <c r="A3244" s="5" t="s">
        <v>9591</v>
      </c>
      <c r="B3244" s="2" t="s">
        <v>9592</v>
      </c>
      <c r="C3244" s="2" t="s">
        <v>9592</v>
      </c>
      <c r="D3244" s="4" t="str">
        <f>vlookup(A3244, Sheet2!D:E, 2, 0)</f>
        <v>control</v>
      </c>
      <c r="E3244" s="4" t="str">
        <f>IFERROR(__xludf.DUMMYFUNCTION("if(H3244=""pays"",vlookup(REGEXEXTRACT(C3244, ""🏘️ \w+ \w+ (.*) ✅""),'Country prepositions'!A:B, 2, 0) &amp; "" "" &amp; REGEXEXTRACT(C3244, ""🏘️ \w+ \w+ (.*) ✅"") ,  if(H3244=""quartier"",vlookup(REGEXEXTRACT(C3244, ""🏘️ \w+ \w+ (.*) ✅""),'Quartier prepositio"&amp;"ns'!A:E, 5, 0) ,  if(H3244=""region"",vlookup(REGEXEXTRACT(C3244, ""🏘️ \w+ \w+ (.*) ✅""),'Region prepositions'!B:F, 5, 0),  REGEXEXTRACT(C3244, ""🏘️ \w+ \w+ (.*) ✅""))))"),"#N/A")</f>
        <v>#N/A</v>
      </c>
      <c r="I3244" s="4" t="str">
        <f>IFERROR(__xludf.DUMMYFUNCTION("if(D3244=""variant"",  substitute(filter(Templates!E:E, Templates!A:A = F3244, Templates!B:B = G3244, Templates!C:C = H3244), ""{{}}"", E3244), B3244)"),"Louer appartement Nods: Trouvez le bien immobilier qui correspond idéalement à vos désirs sur ImmoScout24 - La plateforme de l'immobilier en Suisse.")</f>
        <v>Louer appartement Nods: Trouvez le bien immobilier qui correspond idéalement à vos désirs sur ImmoScout24 - La plateforme de l'immobilier en Suisse.</v>
      </c>
    </row>
    <row r="3245" hidden="1">
      <c r="A3245" s="5" t="s">
        <v>9593</v>
      </c>
      <c r="B3245" s="2" t="s">
        <v>9594</v>
      </c>
      <c r="C3245" s="2" t="s">
        <v>9594</v>
      </c>
      <c r="D3245" s="4" t="str">
        <f>vlookup(A3245, Sheet2!D:E, 2, 0)</f>
        <v>control</v>
      </c>
      <c r="E3245" s="4" t="str">
        <f>IFERROR(__xludf.DUMMYFUNCTION("if(H3245=""pays"",vlookup(REGEXEXTRACT(C3245, ""🏘️ \w+ \w+ (.*) ✅""),'Country prepositions'!A:B, 2, 0) &amp; "" "" &amp; REGEXEXTRACT(C3245, ""🏘️ \w+ \w+ (.*) ✅"") ,  if(H3245=""quartier"",vlookup(REGEXEXTRACT(C3245, ""🏘️ \w+ \w+ (.*) ✅""),'Quartier prepositio"&amp;"ns'!A:E, 5, 0) ,  if(H3245=""region"",vlookup(REGEXEXTRACT(C3245, ""🏘️ \w+ \w+ (.*) ✅""),'Region prepositions'!B:F, 5, 0),  REGEXEXTRACT(C3245, ""🏘️ \w+ \w+ (.*) ✅""))))"),"#N/A")</f>
        <v>#N/A</v>
      </c>
      <c r="I3245" s="4" t="str">
        <f>IFERROR(__xludf.DUMMYFUNCTION("if(D3245=""variant"",  substitute(filter(Templates!E:E, Templates!A:A = F3245, Templates!B:B = G3245, Templates!C:C = H3245), ""{{}}"", E3245), B3245)"),"Vendre maison Wallisellen: Trouvez le bien immobilier qui correspond idéalement à vos désirs sur ImmoScout24 - La plateforme de l'immobilier en Suisse.")</f>
        <v>Vendre maison Wallisellen: Trouvez le bien immobilier qui correspond idéalement à vos désirs sur ImmoScout24 - La plateforme de l'immobilier en Suisse.</v>
      </c>
    </row>
    <row r="3246" hidden="1">
      <c r="A3246" s="5" t="s">
        <v>9595</v>
      </c>
      <c r="B3246" s="2" t="s">
        <v>9596</v>
      </c>
      <c r="C3246" s="2" t="s">
        <v>9596</v>
      </c>
      <c r="D3246" s="4" t="str">
        <f>vlookup(A3246, Sheet2!D:E, 2, 0)</f>
        <v>control</v>
      </c>
      <c r="E3246" s="4" t="str">
        <f>IFERROR(__xludf.DUMMYFUNCTION("if(H3246=""pays"",vlookup(REGEXEXTRACT(C3246, ""🏘️ \w+ \w+ (.*) ✅""),'Country prepositions'!A:B, 2, 0) &amp; "" "" &amp; REGEXEXTRACT(C3246, ""🏘️ \w+ \w+ (.*) ✅"") ,  if(H3246=""quartier"",vlookup(REGEXEXTRACT(C3246, ""🏘️ \w+ \w+ (.*) ✅""),'Quartier prepositio"&amp;"ns'!A:E, 5, 0) ,  if(H3246=""region"",vlookup(REGEXEXTRACT(C3246, ""🏘️ \w+ \w+ (.*) ✅""),'Region prepositions'!B:F, 5, 0),  REGEXEXTRACT(C3246, ""🏘️ \w+ \w+ (.*) ✅""))))"),"#N/A")</f>
        <v>#N/A</v>
      </c>
      <c r="I3246" s="4" t="str">
        <f>IFERROR(__xludf.DUMMYFUNCTION("if(D3246=""variant"",  substitute(filter(Templates!E:E, Templates!A:A = F3246, Templates!B:B = G3246, Templates!C:C = H3246), ""{{}}"", E3246), B3246)"),"Vendre appartement Sementina: Trouvez le bien immobilier qui correspond idéalement à vos désirs sur ImmoScout24 - La plateforme de l'immobilier en Suisse.")</f>
        <v>Vendre appartement Sementina: Trouvez le bien immobilier qui correspond idéalement à vos désirs sur ImmoScout24 - La plateforme de l'immobilier en Suisse.</v>
      </c>
    </row>
    <row r="3247" hidden="1">
      <c r="A3247" s="5" t="s">
        <v>9597</v>
      </c>
      <c r="B3247" s="2" t="s">
        <v>9598</v>
      </c>
      <c r="C3247" s="2" t="s">
        <v>9598</v>
      </c>
      <c r="D3247" s="4" t="str">
        <f>vlookup(A3247, Sheet2!D:E, 2, 0)</f>
        <v>control</v>
      </c>
      <c r="E3247" s="4" t="str">
        <f>IFERROR(__xludf.DUMMYFUNCTION("if(H3247=""pays"",vlookup(REGEXEXTRACT(C3247, ""🏘️ \w+ \w+ (.*) ✅""),'Country prepositions'!A:B, 2, 0) &amp; "" "" &amp; REGEXEXTRACT(C3247, ""🏘️ \w+ \w+ (.*) ✅"") ,  if(H3247=""quartier"",vlookup(REGEXEXTRACT(C3247, ""🏘️ \w+ \w+ (.*) ✅""),'Quartier prepositio"&amp;"ns'!A:E, 5, 0) ,  if(H3247=""region"",vlookup(REGEXEXTRACT(C3247, ""🏘️ \w+ \w+ (.*) ✅""),'Region prepositions'!B:F, 5, 0),  REGEXEXTRACT(C3247, ""🏘️ \w+ \w+ (.*) ✅""))))"),"#N/A")</f>
        <v>#N/A</v>
      </c>
      <c r="I3247" s="4" t="str">
        <f>IFERROR(__xludf.DUMMYFUNCTION("if(D3247=""variant"",  substitute(filter(Templates!E:E, Templates!A:A = F3247, Templates!B:B = G3247, Templates!C:C = H3247), ""{{}}"", E3247), B3247)"),"Louer maison Rotmonten (St-Gall): Trouvez le bien immobilier qui correspond idéalement à vos désirs sur ImmoScout24 - La plateforme de l'immobilier en Suisse.")</f>
        <v>Louer maison Rotmonten (St-Gall): Trouvez le bien immobilier qui correspond idéalement à vos désirs sur ImmoScout24 - La plateforme de l'immobilier en Suisse.</v>
      </c>
    </row>
    <row r="3248" hidden="1">
      <c r="A3248" s="5" t="s">
        <v>9599</v>
      </c>
      <c r="B3248" s="2" t="s">
        <v>9600</v>
      </c>
      <c r="C3248" s="2" t="s">
        <v>9600</v>
      </c>
      <c r="D3248" s="4" t="str">
        <f>vlookup(A3248, Sheet2!D:E, 2, 0)</f>
        <v>control</v>
      </c>
      <c r="E3248" s="4" t="str">
        <f>IFERROR(__xludf.DUMMYFUNCTION("if(H3248=""pays"",vlookup(REGEXEXTRACT(C3248, ""🏘️ \w+ \w+ (.*) ✅""),'Country prepositions'!A:B, 2, 0) &amp; "" "" &amp; REGEXEXTRACT(C3248, ""🏘️ \w+ \w+ (.*) ✅"") ,  if(H3248=""quartier"",vlookup(REGEXEXTRACT(C3248, ""🏘️ \w+ \w+ (.*) ✅""),'Quartier prepositio"&amp;"ns'!A:E, 5, 0) ,  if(H3248=""region"",vlookup(REGEXEXTRACT(C3248, ""🏘️ \w+ \w+ (.*) ✅""),'Region prepositions'!B:F, 5, 0),  REGEXEXTRACT(C3248, ""🏘️ \w+ \w+ (.*) ✅""))))"),"#N/A")</f>
        <v>#N/A</v>
      </c>
      <c r="I3248" s="4" t="str">
        <f>IFERROR(__xludf.DUMMYFUNCTION("if(D3248=""variant"",  substitute(filter(Templates!E:E, Templates!A:A = F3248, Templates!B:B = G3248, Templates!C:C = H3248), ""{{}}"", E3248), B3248)"),"Vendre maison Bürgenstock: Trouvez le bien immobilier qui correspond idéalement à vos désirs sur ImmoScout24 - La plateforme de l'immobilier en Suisse.")</f>
        <v>Vendre maison Bürgenstock: Trouvez le bien immobilier qui correspond idéalement à vos désirs sur ImmoScout24 - La plateforme de l'immobilier en Suisse.</v>
      </c>
    </row>
    <row r="3249" hidden="1">
      <c r="A3249" s="5" t="s">
        <v>9601</v>
      </c>
      <c r="B3249" s="2" t="s">
        <v>9602</v>
      </c>
      <c r="C3249" s="2" t="s">
        <v>9602</v>
      </c>
      <c r="D3249" s="4" t="str">
        <f>vlookup(A3249, Sheet2!D:E, 2, 0)</f>
        <v>control</v>
      </c>
      <c r="E3249" s="4" t="str">
        <f>IFERROR(__xludf.DUMMYFUNCTION("if(H3249=""pays"",vlookup(REGEXEXTRACT(C3249, ""🏘️ \w+ \w+ (.*) ✅""),'Country prepositions'!A:B, 2, 0) &amp; "" "" &amp; REGEXEXTRACT(C3249, ""🏘️ \w+ \w+ (.*) ✅"") ,  if(H3249=""quartier"",vlookup(REGEXEXTRACT(C3249, ""🏘️ \w+ \w+ (.*) ✅""),'Quartier prepositio"&amp;"ns'!A:E, 5, 0) ,  if(H3249=""region"",vlookup(REGEXEXTRACT(C3249, ""🏘️ \w+ \w+ (.*) ✅""),'Region prepositions'!B:F, 5, 0),  REGEXEXTRACT(C3249, ""🏘️ \w+ \w+ (.*) ✅""))))"),"#N/A")</f>
        <v>#N/A</v>
      </c>
      <c r="I3249" s="4" t="str">
        <f>IFERROR(__xludf.DUMMYFUNCTION("if(D3249=""variant"",  substitute(filter(Templates!E:E, Templates!A:A = F3249, Templates!B:B = G3249, Templates!C:C = H3249), ""{{}}"", E3249), B3249)"),"Louer appartement Hérémence: Trouvez le bien immobilier qui correspond idéalement à vos désirs sur ImmoScout24 - La plateforme de l'immobilier en Suisse.")</f>
        <v>Louer appartement Hérémence: Trouvez le bien immobilier qui correspond idéalement à vos désirs sur ImmoScout24 - La plateforme de l'immobilier en Suisse.</v>
      </c>
    </row>
    <row r="3250" hidden="1">
      <c r="A3250" s="5" t="s">
        <v>9603</v>
      </c>
      <c r="B3250" s="2" t="s">
        <v>9604</v>
      </c>
      <c r="C3250" s="2" t="s">
        <v>9604</v>
      </c>
      <c r="D3250" s="4" t="str">
        <f>vlookup(A3250, Sheet2!D:E, 2, 0)</f>
        <v>control</v>
      </c>
      <c r="E3250" s="4" t="str">
        <f>IFERROR(__xludf.DUMMYFUNCTION("if(H3250=""pays"",vlookup(REGEXEXTRACT(C3250, ""🏘️ \w+ \w+ (.*) ✅""),'Country prepositions'!A:B, 2, 0) &amp; "" "" &amp; REGEXEXTRACT(C3250, ""🏘️ \w+ \w+ (.*) ✅"") ,  if(H3250=""quartier"",vlookup(REGEXEXTRACT(C3250, ""🏘️ \w+ \w+ (.*) ✅""),'Quartier prepositio"&amp;"ns'!A:E, 5, 0) ,  if(H3250=""region"",vlookup(REGEXEXTRACT(C3250, ""🏘️ \w+ \w+ (.*) ✅""),'Region prepositions'!B:F, 5, 0),  REGEXEXTRACT(C3250, ""🏘️ \w+ \w+ (.*) ✅""))))"),"#N/A")</f>
        <v>#N/A</v>
      </c>
      <c r="I3250" s="4" t="str">
        <f>IFERROR(__xludf.DUMMYFUNCTION("if(D3250=""variant"",  substitute(filter(Templates!E:E, Templates!A:A = F3250, Templates!B:B = G3250, Templates!C:C = H3250), ""{{}}"", E3250), B3250)"),"Vendre appartement Vuisternens-devant-Romont: Trouvez le bien immobilier qui correspond idéalement à vos désirs sur ImmoScout24 - La plateforme de l'immobilier en Suisse.")</f>
        <v>Vendre appartement Vuisternens-devant-Romont: Trouvez le bien immobilier qui correspond idéalement à vos désirs sur ImmoScout24 - La plateforme de l'immobilier en Suisse.</v>
      </c>
    </row>
    <row r="3251" hidden="1">
      <c r="A3251" s="5" t="s">
        <v>9605</v>
      </c>
      <c r="B3251" s="2" t="s">
        <v>9606</v>
      </c>
      <c r="C3251" s="2" t="s">
        <v>9606</v>
      </c>
      <c r="D3251" s="4" t="str">
        <f>vlookup(A3251, Sheet2!D:E, 2, 0)</f>
        <v>control</v>
      </c>
      <c r="E3251" s="4" t="str">
        <f>IFERROR(__xludf.DUMMYFUNCTION("if(H3251=""pays"",vlookup(REGEXEXTRACT(C3251, ""🏘️ \w+ \w+ (.*) ✅""),'Country prepositions'!A:B, 2, 0) &amp; "" "" &amp; REGEXEXTRACT(C3251, ""🏘️ \w+ \w+ (.*) ✅"") ,  if(H3251=""quartier"",vlookup(REGEXEXTRACT(C3251, ""🏘️ \w+ \w+ (.*) ✅""),'Quartier prepositio"&amp;"ns'!A:E, 5, 0) ,  if(H3251=""region"",vlookup(REGEXEXTRACT(C3251, ""🏘️ \w+ \w+ (.*) ✅""),'Region prepositions'!B:F, 5, 0),  REGEXEXTRACT(C3251, ""🏘️ \w+ \w+ (.*) ✅""))))"),"#N/A")</f>
        <v>#N/A</v>
      </c>
      <c r="I3251" s="4" t="str">
        <f>IFERROR(__xludf.DUMMYFUNCTION("if(D3251=""variant"",  substitute(filter(Templates!E:E, Templates!A:A = F3251, Templates!B:B = G3251, Templates!C:C = H3251), ""{{}}"", E3251), B3251)"),"Vendre maison Carì: Trouvez le bien immobilier qui correspond idéalement à vos désirs sur ImmoScout24 - La plateforme de l'immobilier en Suisse.")</f>
        <v>Vendre maison Carì: Trouvez le bien immobilier qui correspond idéalement à vos désirs sur ImmoScout24 - La plateforme de l'immobilier en Suisse.</v>
      </c>
    </row>
    <row r="3252" hidden="1">
      <c r="A3252" s="5" t="s">
        <v>9607</v>
      </c>
      <c r="B3252" s="2" t="s">
        <v>9608</v>
      </c>
      <c r="C3252" s="2" t="s">
        <v>9608</v>
      </c>
      <c r="D3252" s="4" t="str">
        <f>vlookup(A3252, Sheet2!D:E, 2, 0)</f>
        <v>control</v>
      </c>
      <c r="E3252" s="4" t="str">
        <f>IFERROR(__xludf.DUMMYFUNCTION("if(H3252=""pays"",vlookup(REGEXEXTRACT(C3252, ""🏘️ \w+ \w+ (.*) ✅""),'Country prepositions'!A:B, 2, 0) &amp; "" "" &amp; REGEXEXTRACT(C3252, ""🏘️ \w+ \w+ (.*) ✅"") ,  if(H3252=""quartier"",vlookup(REGEXEXTRACT(C3252, ""🏘️ \w+ \w+ (.*) ✅""),'Quartier prepositio"&amp;"ns'!A:E, 5, 0) ,  if(H3252=""region"",vlookup(REGEXEXTRACT(C3252, ""🏘️ \w+ \w+ (.*) ✅""),'Region prepositions'!B:F, 5, 0),  REGEXEXTRACT(C3252, ""🏘️ \w+ \w+ (.*) ✅""))))"),"#N/A")</f>
        <v>#N/A</v>
      </c>
      <c r="I3252" s="4" t="str">
        <f>IFERROR(__xludf.DUMMYFUNCTION("if(D3252=""variant"",  substitute(filter(Templates!E:E, Templates!A:A = F3252, Templates!B:B = G3252, Templates!C:C = H3252), ""{{}}"", E3252), B3252)"),"Louer appartement Domat/Ems: Trouvez le bien immobilier qui correspond idéalement à vos désirs sur ImmoScout24 - La plateforme de l'immobilier en Suisse.")</f>
        <v>Louer appartement Domat/Ems: Trouvez le bien immobilier qui correspond idéalement à vos désirs sur ImmoScout24 - La plateforme de l'immobilier en Suisse.</v>
      </c>
    </row>
    <row r="3253" hidden="1">
      <c r="A3253" s="5" t="s">
        <v>9609</v>
      </c>
      <c r="B3253" s="2" t="s">
        <v>9610</v>
      </c>
      <c r="C3253" s="2" t="s">
        <v>9610</v>
      </c>
      <c r="D3253" s="4" t="str">
        <f>vlookup(A3253, Sheet2!D:E, 2, 0)</f>
        <v>control</v>
      </c>
      <c r="E3253" s="4" t="str">
        <f>IFERROR(__xludf.DUMMYFUNCTION("if(H3253=""pays"",vlookup(REGEXEXTRACT(C3253, ""🏘️ \w+ \w+ (.*) ✅""),'Country prepositions'!A:B, 2, 0) &amp; "" "" &amp; REGEXEXTRACT(C3253, ""🏘️ \w+ \w+ (.*) ✅"") ,  if(H3253=""quartier"",vlookup(REGEXEXTRACT(C3253, ""🏘️ \w+ \w+ (.*) ✅""),'Quartier prepositio"&amp;"ns'!A:E, 5, 0) ,  if(H3253=""region"",vlookup(REGEXEXTRACT(C3253, ""🏘️ \w+ \w+ (.*) ✅""),'Region prepositions'!B:F, 5, 0),  REGEXEXTRACT(C3253, ""🏘️ \w+ \w+ (.*) ✅""))))"),"#N/A")</f>
        <v>#N/A</v>
      </c>
      <c r="I3253" s="4" t="str">
        <f>IFERROR(__xludf.DUMMYFUNCTION("if(D3253=""variant"",  substitute(filter(Templates!E:E, Templates!A:A = F3253, Templates!B:B = G3253, Templates!C:C = H3253), ""{{}}"", E3253), B3253)"),"Louer maison Lentigny: Trouvez le bien immobilier qui correspond idéalement à vos désirs sur ImmoScout24 - La plateforme de l'immobilier en Suisse.")</f>
        <v>Louer maison Lentigny: Trouvez le bien immobilier qui correspond idéalement à vos désirs sur ImmoScout24 - La plateforme de l'immobilier en Suisse.</v>
      </c>
    </row>
    <row r="3254" hidden="1">
      <c r="A3254" s="5" t="s">
        <v>9611</v>
      </c>
      <c r="B3254" s="2" t="s">
        <v>9612</v>
      </c>
      <c r="C3254" s="2" t="s">
        <v>9612</v>
      </c>
      <c r="D3254" s="4" t="str">
        <f>vlookup(A3254, Sheet2!D:E, 2, 0)</f>
        <v>control</v>
      </c>
      <c r="E3254" s="4" t="str">
        <f>IFERROR(__xludf.DUMMYFUNCTION("if(H3254=""pays"",vlookup(REGEXEXTRACT(C3254, ""🏘️ \w+ \w+ (.*) ✅""),'Country prepositions'!A:B, 2, 0) &amp; "" "" &amp; REGEXEXTRACT(C3254, ""🏘️ \w+ \w+ (.*) ✅"") ,  if(H3254=""quartier"",vlookup(REGEXEXTRACT(C3254, ""🏘️ \w+ \w+ (.*) ✅""),'Quartier prepositio"&amp;"ns'!A:E, 5, 0) ,  if(H3254=""region"",vlookup(REGEXEXTRACT(C3254, ""🏘️ \w+ \w+ (.*) ✅""),'Region prepositions'!B:F, 5, 0),  REGEXEXTRACT(C3254, ""🏘️ \w+ \w+ (.*) ✅""))))"),"#N/A")</f>
        <v>#N/A</v>
      </c>
      <c r="I3254" s="4" t="str">
        <f>IFERROR(__xludf.DUMMYFUNCTION("if(D3254=""variant"",  substitute(filter(Templates!E:E, Templates!A:A = F3254, Templates!B:B = G3254, Templates!C:C = H3254), ""{{}}"", E3254), B3254)"),"Louer maison Vionnaz: Trouvez le bien immobilier qui correspond idéalement à vos désirs sur ImmoScout24 - La plateforme de l'immobilier en Suisse.")</f>
        <v>Louer maison Vionnaz: Trouvez le bien immobilier qui correspond idéalement à vos désirs sur ImmoScout24 - La plateforme de l'immobilier en Suisse.</v>
      </c>
    </row>
    <row r="3255" hidden="1">
      <c r="A3255" s="5" t="s">
        <v>9613</v>
      </c>
      <c r="B3255" s="2" t="s">
        <v>9614</v>
      </c>
      <c r="C3255" s="2" t="s">
        <v>9614</v>
      </c>
      <c r="D3255" s="4" t="str">
        <f>vlookup(A3255, Sheet2!D:E, 2, 0)</f>
        <v>control</v>
      </c>
      <c r="E3255" s="4" t="str">
        <f>IFERROR(__xludf.DUMMYFUNCTION("if(H3255=""pays"",vlookup(REGEXEXTRACT(C3255, ""🏘️ \w+ \w+ (.*) ✅""),'Country prepositions'!A:B, 2, 0) &amp; "" "" &amp; REGEXEXTRACT(C3255, ""🏘️ \w+ \w+ (.*) ✅"") ,  if(H3255=""quartier"",vlookup(REGEXEXTRACT(C3255, ""🏘️ \w+ \w+ (.*) ✅""),'Quartier prepositio"&amp;"ns'!A:E, 5, 0) ,  if(H3255=""region"",vlookup(REGEXEXTRACT(C3255, ""🏘️ \w+ \w+ (.*) ✅""),'Region prepositions'!B:F, 5, 0),  REGEXEXTRACT(C3255, ""🏘️ \w+ \w+ (.*) ✅""))))"),"#N/A")</f>
        <v>#N/A</v>
      </c>
      <c r="I3255" s="4" t="str">
        <f>IFERROR(__xludf.DUMMYFUNCTION("if(D3255=""variant"",  substitute(filter(Templates!E:E, Templates!A:A = F3255, Templates!B:B = G3255, Templates!C:C = H3255), ""{{}}"", E3255), B3255)"),"Vendre maison Pontenet: Trouvez le bien immobilier qui correspond idéalement à vos désirs sur ImmoScout24 - La plateforme de l'immobilier en Suisse.")</f>
        <v>Vendre maison Pontenet: Trouvez le bien immobilier qui correspond idéalement à vos désirs sur ImmoScout24 - La plateforme de l'immobilier en Suisse.</v>
      </c>
    </row>
    <row r="3256" hidden="1">
      <c r="A3256" s="5" t="s">
        <v>9615</v>
      </c>
      <c r="B3256" s="2" t="s">
        <v>9616</v>
      </c>
      <c r="C3256" s="2" t="s">
        <v>9616</v>
      </c>
      <c r="D3256" s="4" t="str">
        <f>vlookup(A3256, Sheet2!D:E, 2, 0)</f>
        <v>control</v>
      </c>
      <c r="E3256" s="4" t="str">
        <f>IFERROR(__xludf.DUMMYFUNCTION("if(H3256=""pays"",vlookup(REGEXEXTRACT(C3256, ""🏘️ \w+ \w+ (.*) ✅""),'Country prepositions'!A:B, 2, 0) &amp; "" "" &amp; REGEXEXTRACT(C3256, ""🏘️ \w+ \w+ (.*) ✅"") ,  if(H3256=""quartier"",vlookup(REGEXEXTRACT(C3256, ""🏘️ \w+ \w+ (.*) ✅""),'Quartier prepositio"&amp;"ns'!A:E, 5, 0) ,  if(H3256=""region"",vlookup(REGEXEXTRACT(C3256, ""🏘️ \w+ \w+ (.*) ✅""),'Region prepositions'!B:F, 5, 0),  REGEXEXTRACT(C3256, ""🏘️ \w+ \w+ (.*) ✅""))))"),"#N/A")</f>
        <v>#N/A</v>
      </c>
      <c r="I3256" s="4" t="str">
        <f>IFERROR(__xludf.DUMMYFUNCTION("if(D3256=""variant"",  substitute(filter(Templates!E:E, Templates!A:A = F3256, Templates!B:B = G3256, Templates!C:C = H3256), ""{{}}"", E3256), B3256)"),"Louer appartement Treycovagnes: Trouvez le bien immobilier qui correspond idéalement à vos désirs sur ImmoScout24 - La plateforme de l'immobilier en Suisse.")</f>
        <v>Louer appartement Treycovagnes: Trouvez le bien immobilier qui correspond idéalement à vos désirs sur ImmoScout24 - La plateforme de l'immobilier en Suisse.</v>
      </c>
    </row>
    <row r="3257" hidden="1">
      <c r="A3257" s="5" t="s">
        <v>9617</v>
      </c>
      <c r="B3257" s="2" t="s">
        <v>9618</v>
      </c>
      <c r="C3257" s="2" t="s">
        <v>9618</v>
      </c>
      <c r="D3257" s="4" t="str">
        <f>vlookup(A3257, Sheet2!D:E, 2, 0)</f>
        <v>control</v>
      </c>
      <c r="E3257" s="4" t="str">
        <f>IFERROR(__xludf.DUMMYFUNCTION("if(H3257=""pays"",vlookup(REGEXEXTRACT(C3257, ""🏘️ \w+ \w+ (.*) ✅""),'Country prepositions'!A:B, 2, 0) &amp; "" "" &amp; REGEXEXTRACT(C3257, ""🏘️ \w+ \w+ (.*) ✅"") ,  if(H3257=""quartier"",vlookup(REGEXEXTRACT(C3257, ""🏘️ \w+ \w+ (.*) ✅""),'Quartier prepositio"&amp;"ns'!A:E, 5, 0) ,  if(H3257=""region"",vlookup(REGEXEXTRACT(C3257, ""🏘️ \w+ \w+ (.*) ✅""),'Region prepositions'!B:F, 5, 0),  REGEXEXTRACT(C3257, ""🏘️ \w+ \w+ (.*) ✅""))))"),"#N/A")</f>
        <v>#N/A</v>
      </c>
      <c r="I3257" s="4" t="str">
        <f>IFERROR(__xludf.DUMMYFUNCTION("if(D3257=""variant"",  substitute(filter(Templates!E:E, Templates!A:A = F3257, Templates!B:B = G3257, Templates!C:C = H3257), ""{{}}"", E3257), B3257)"),"Vendre appartement Therwil: Trouvez le bien immobilier qui correspond idéalement à vos désirs sur ImmoScout24 - La plateforme de l'immobilier en Suisse.")</f>
        <v>Vendre appartement Therwil: Trouvez le bien immobilier qui correspond idéalement à vos désirs sur ImmoScout24 - La plateforme de l'immobilier en Suisse.</v>
      </c>
    </row>
    <row r="3258" hidden="1">
      <c r="A3258" s="5" t="s">
        <v>9619</v>
      </c>
      <c r="B3258" s="2" t="s">
        <v>9620</v>
      </c>
      <c r="C3258" s="2" t="s">
        <v>9620</v>
      </c>
      <c r="D3258" s="4" t="str">
        <f>vlookup(A3258, Sheet2!D:E, 2, 0)</f>
        <v>control</v>
      </c>
      <c r="E3258" s="4" t="str">
        <f>IFERROR(__xludf.DUMMYFUNCTION("if(H3258=""pays"",vlookup(REGEXEXTRACT(C3258, ""🏘️ \w+ \w+ (.*) ✅""),'Country prepositions'!A:B, 2, 0) &amp; "" "" &amp; REGEXEXTRACT(C3258, ""🏘️ \w+ \w+ (.*) ✅"") ,  if(H3258=""quartier"",vlookup(REGEXEXTRACT(C3258, ""🏘️ \w+ \w+ (.*) ✅""),'Quartier prepositio"&amp;"ns'!A:E, 5, 0) ,  if(H3258=""region"",vlookup(REGEXEXTRACT(C3258, ""🏘️ \w+ \w+ (.*) ✅""),'Region prepositions'!B:F, 5, 0),  REGEXEXTRACT(C3258, ""🏘️ \w+ \w+ (.*) ✅""))))"),"#N/A")</f>
        <v>#N/A</v>
      </c>
      <c r="I3258" s="4" t="str">
        <f>IFERROR(__xludf.DUMMYFUNCTION("if(D3258=""variant"",  substitute(filter(Templates!E:E, Templates!A:A = F3258, Templates!B:B = G3258, Templates!C:C = H3258), ""{{}}"", E3258), B3258)"),"Louer appartement Sonvico (Lugano): Trouvez le bien immobilier qui correspond idéalement à vos désirs sur ImmoScout24 - La plateforme de l'immobilier en Suisse.")</f>
        <v>Louer appartement Sonvico (Lugano): Trouvez le bien immobilier qui correspond idéalement à vos désirs sur ImmoScout24 - La plateforme de l'immobilier en Suisse.</v>
      </c>
    </row>
    <row r="3259" hidden="1">
      <c r="A3259" s="5" t="s">
        <v>9621</v>
      </c>
      <c r="B3259" s="2" t="s">
        <v>9622</v>
      </c>
      <c r="C3259" s="2" t="s">
        <v>9622</v>
      </c>
      <c r="D3259" s="4" t="str">
        <f>vlookup(A3259, Sheet2!D:E, 2, 0)</f>
        <v>control</v>
      </c>
      <c r="E3259" s="4" t="str">
        <f>IFERROR(__xludf.DUMMYFUNCTION("if(H3259=""pays"",vlookup(REGEXEXTRACT(C3259, ""🏘️ \w+ \w+ (.*) ✅""),'Country prepositions'!A:B, 2, 0) &amp; "" "" &amp; REGEXEXTRACT(C3259, ""🏘️ \w+ \w+ (.*) ✅"") ,  if(H3259=""quartier"",vlookup(REGEXEXTRACT(C3259, ""🏘️ \w+ \w+ (.*) ✅""),'Quartier prepositio"&amp;"ns'!A:E, 5, 0) ,  if(H3259=""region"",vlookup(REGEXEXTRACT(C3259, ""🏘️ \w+ \w+ (.*) ✅""),'Region prepositions'!B:F, 5, 0),  REGEXEXTRACT(C3259, ""🏘️ \w+ \w+ (.*) ✅""))))"),"#N/A")</f>
        <v>#N/A</v>
      </c>
      <c r="I3259" s="4" t="str">
        <f>IFERROR(__xludf.DUMMYFUNCTION("if(D3259=""variant"",  substitute(filter(Templates!E:E, Templates!A:A = F3259, Templates!B:B = G3259, Templates!C:C = H3259), ""{{}}"", E3259), B3259)"),"Vendre maison Coglio: Trouvez le bien immobilier qui correspond idéalement à vos désirs sur ImmoScout24 - La plateforme de l'immobilier en Suisse.")</f>
        <v>Vendre maison Coglio: Trouvez le bien immobilier qui correspond idéalement à vos désirs sur ImmoScout24 - La plateforme de l'immobilier en Suisse.</v>
      </c>
    </row>
    <row r="3260" hidden="1">
      <c r="A3260" s="5" t="s">
        <v>9623</v>
      </c>
      <c r="B3260" s="2" t="s">
        <v>9624</v>
      </c>
      <c r="C3260" s="2" t="s">
        <v>9624</v>
      </c>
      <c r="D3260" s="4" t="str">
        <f>vlookup(A3260, Sheet2!D:E, 2, 0)</f>
        <v>control</v>
      </c>
      <c r="E3260" s="4" t="str">
        <f>IFERROR(__xludf.DUMMYFUNCTION("if(H3260=""pays"",vlookup(REGEXEXTRACT(C3260, ""🏘️ \w+ \w+ (.*) ✅""),'Country prepositions'!A:B, 2, 0) &amp; "" "" &amp; REGEXEXTRACT(C3260, ""🏘️ \w+ \w+ (.*) ✅"") ,  if(H3260=""quartier"",vlookup(REGEXEXTRACT(C3260, ""🏘️ \w+ \w+ (.*) ✅""),'Quartier prepositio"&amp;"ns'!A:E, 5, 0) ,  if(H3260=""region"",vlookup(REGEXEXTRACT(C3260, ""🏘️ \w+ \w+ (.*) ✅""),'Region prepositions'!B:F, 5, 0),  REGEXEXTRACT(C3260, ""🏘️ \w+ \w+ (.*) ✅""))))"),"#N/A")</f>
        <v>#N/A</v>
      </c>
      <c r="I3260" s="4" t="str">
        <f>IFERROR(__xludf.DUMMYFUNCTION("if(D3260=""variant"",  substitute(filter(Templates!E:E, Templates!A:A = F3260, Templates!B:B = G3260, Templates!C:C = H3260), ""{{}}"", E3260), B3260)"),"Vendre maison Krauchthal: Trouvez le bien immobilier qui correspond idéalement à vos désirs sur ImmoScout24 - La plateforme de l'immobilier en Suisse.")</f>
        <v>Vendre maison Krauchthal: Trouvez le bien immobilier qui correspond idéalement à vos désirs sur ImmoScout24 - La plateforme de l'immobilier en Suisse.</v>
      </c>
    </row>
    <row r="3261" hidden="1">
      <c r="A3261" s="5" t="s">
        <v>9625</v>
      </c>
      <c r="B3261" s="2" t="s">
        <v>9626</v>
      </c>
      <c r="C3261" s="2" t="s">
        <v>9626</v>
      </c>
      <c r="D3261" s="4" t="str">
        <f>vlookup(A3261, Sheet2!D:E, 2, 0)</f>
        <v>control</v>
      </c>
      <c r="E3261" s="4" t="str">
        <f>IFERROR(__xludf.DUMMYFUNCTION("if(H3261=""pays"",vlookup(REGEXEXTRACT(C3261, ""🏘️ \w+ \w+ (.*) ✅""),'Country prepositions'!A:B, 2, 0) &amp; "" "" &amp; REGEXEXTRACT(C3261, ""🏘️ \w+ \w+ (.*) ✅"") ,  if(H3261=""quartier"",vlookup(REGEXEXTRACT(C3261, ""🏘️ \w+ \w+ (.*) ✅""),'Quartier prepositio"&amp;"ns'!A:E, 5, 0) ,  if(H3261=""region"",vlookup(REGEXEXTRACT(C3261, ""🏘️ \w+ \w+ (.*) ✅""),'Region prepositions'!B:F, 5, 0),  REGEXEXTRACT(C3261, ""🏘️ \w+ \w+ (.*) ✅""))))"),"#N/A")</f>
        <v>#N/A</v>
      </c>
      <c r="I3261" s="4" t="str">
        <f>IFERROR(__xludf.DUMMYFUNCTION("if(D3261=""variant"",  substitute(filter(Templates!E:E, Templates!A:A = F3261, Templates!B:B = G3261, Templates!C:C = H3261), ""{{}}"", E3261), B3261)"),"Louer appartement Ruggell: Trouvez le bien immobilier qui correspond idéalement à vos désirs sur ImmoScout24 - La plateforme de l'immobilier en Suisse.")</f>
        <v>Louer appartement Ruggell: Trouvez le bien immobilier qui correspond idéalement à vos désirs sur ImmoScout24 - La plateforme de l'immobilier en Suisse.</v>
      </c>
    </row>
    <row r="3262" hidden="1">
      <c r="A3262" s="5" t="s">
        <v>9627</v>
      </c>
      <c r="B3262" s="2" t="s">
        <v>9628</v>
      </c>
      <c r="C3262" s="2" t="s">
        <v>9628</v>
      </c>
      <c r="D3262" s="4" t="str">
        <f>vlookup(A3262, Sheet2!D:E, 2, 0)</f>
        <v>control</v>
      </c>
      <c r="E3262" s="4" t="str">
        <f>IFERROR(__xludf.DUMMYFUNCTION("if(H3262=""pays"",vlookup(REGEXEXTRACT(C3262, ""🏘️ \w+ \w+ (.*) ✅""),'Country prepositions'!A:B, 2, 0) &amp; "" "" &amp; REGEXEXTRACT(C3262, ""🏘️ \w+ \w+ (.*) ✅"") ,  if(H3262=""quartier"",vlookup(REGEXEXTRACT(C3262, ""🏘️ \w+ \w+ (.*) ✅""),'Quartier prepositio"&amp;"ns'!A:E, 5, 0) ,  if(H3262=""region"",vlookup(REGEXEXTRACT(C3262, ""🏘️ \w+ \w+ (.*) ✅""),'Region prepositions'!B:F, 5, 0),  REGEXEXTRACT(C3262, ""🏘️ \w+ \w+ (.*) ✅""))))"),"#N/A")</f>
        <v>#N/A</v>
      </c>
      <c r="I3262" s="4" t="str">
        <f>IFERROR(__xludf.DUMMYFUNCTION("if(D3262=""variant"",  substitute(filter(Templates!E:E, Templates!A:A = F3262, Templates!B:B = G3262, Templates!C:C = H3262), ""{{}}"", E3262), B3262)"),"Louer appartement Basse-Nendaz: Trouvez le bien immobilier qui correspond idéalement à vos désirs sur ImmoScout24 - La plateforme de l'immobilier en Suisse.")</f>
        <v>Louer appartement Basse-Nendaz: Trouvez le bien immobilier qui correspond idéalement à vos désirs sur ImmoScout24 - La plateforme de l'immobilier en Suisse.</v>
      </c>
    </row>
    <row r="3263" hidden="1">
      <c r="A3263" s="5" t="s">
        <v>9629</v>
      </c>
      <c r="B3263" s="2" t="s">
        <v>9630</v>
      </c>
      <c r="C3263" s="2" t="s">
        <v>9630</v>
      </c>
      <c r="D3263" s="4" t="str">
        <f>vlookup(A3263, Sheet2!D:E, 2, 0)</f>
        <v>control</v>
      </c>
      <c r="E3263" s="4" t="str">
        <f>IFERROR(__xludf.DUMMYFUNCTION("if(H3263=""pays"",vlookup(REGEXEXTRACT(C3263, ""🏘️ \w+ \w+ (.*) ✅""),'Country prepositions'!A:B, 2, 0) &amp; "" "" &amp; REGEXEXTRACT(C3263, ""🏘️ \w+ \w+ (.*) ✅"") ,  if(H3263=""quartier"",vlookup(REGEXEXTRACT(C3263, ""🏘️ \w+ \w+ (.*) ✅""),'Quartier prepositio"&amp;"ns'!A:E, 5, 0) ,  if(H3263=""region"",vlookup(REGEXEXTRACT(C3263, ""🏘️ \w+ \w+ (.*) ✅""),'Region prepositions'!B:F, 5, 0),  REGEXEXTRACT(C3263, ""🏘️ \w+ \w+ (.*) ✅""))))"),"#N/A")</f>
        <v>#N/A</v>
      </c>
      <c r="I3263" s="4" t="str">
        <f>IFERROR(__xludf.DUMMYFUNCTION("if(D3263=""variant"",  substitute(filter(Templates!E:E, Templates!A:A = F3263, Templates!B:B = G3263, Templates!C:C = H3263), ""{{}}"", E3263), B3263)"),"Louer appartement Palézieux: Trouvez le bien immobilier qui correspond idéalement à vos désirs sur ImmoScout24 - La plateforme de l'immobilier en Suisse.")</f>
        <v>Louer appartement Palézieux: Trouvez le bien immobilier qui correspond idéalement à vos désirs sur ImmoScout24 - La plateforme de l'immobilier en Suisse.</v>
      </c>
    </row>
    <row r="3264" hidden="1">
      <c r="A3264" s="5" t="s">
        <v>9631</v>
      </c>
      <c r="B3264" s="2" t="s">
        <v>9632</v>
      </c>
      <c r="C3264" s="2" t="s">
        <v>9632</v>
      </c>
      <c r="D3264" s="4" t="str">
        <f>vlookup(A3264, Sheet2!D:E, 2, 0)</f>
        <v>control</v>
      </c>
      <c r="E3264" s="4" t="str">
        <f>IFERROR(__xludf.DUMMYFUNCTION("if(H3264=""pays"",vlookup(REGEXEXTRACT(C3264, ""🏘️ \w+ \w+ (.*) ✅""),'Country prepositions'!A:B, 2, 0) &amp; "" "" &amp; REGEXEXTRACT(C3264, ""🏘️ \w+ \w+ (.*) ✅"") ,  if(H3264=""quartier"",vlookup(REGEXEXTRACT(C3264, ""🏘️ \w+ \w+ (.*) ✅""),'Quartier prepositio"&amp;"ns'!A:E, 5, 0) ,  if(H3264=""region"",vlookup(REGEXEXTRACT(C3264, ""🏘️ \w+ \w+ (.*) ✅""),'Region prepositions'!B:F, 5, 0),  REGEXEXTRACT(C3264, ""🏘️ \w+ \w+ (.*) ✅""))))"),"#N/A")</f>
        <v>#N/A</v>
      </c>
      <c r="I3264" s="4" t="str">
        <f>IFERROR(__xludf.DUMMYFUNCTION("if(D3264=""variant"",  substitute(filter(Templates!E:E, Templates!A:A = F3264, Templates!B:B = G3264, Templates!C:C = H3264), ""{{}}"", E3264), B3264)"),"Louer maison Nesselnbach: Trouvez le bien immobilier qui correspond idéalement à vos désirs sur ImmoScout24 - La plateforme de l'immobilier en Suisse.")</f>
        <v>Louer maison Nesselnbach: Trouvez le bien immobilier qui correspond idéalement à vos désirs sur ImmoScout24 - La plateforme de l'immobilier en Suisse.</v>
      </c>
    </row>
    <row r="3265" hidden="1">
      <c r="A3265" s="5" t="s">
        <v>9633</v>
      </c>
      <c r="B3265" s="2" t="s">
        <v>9634</v>
      </c>
      <c r="C3265" s="2" t="s">
        <v>9634</v>
      </c>
      <c r="D3265" s="4" t="str">
        <f>vlookup(A3265, Sheet2!D:E, 2, 0)</f>
        <v>control</v>
      </c>
      <c r="E3265" s="4" t="str">
        <f>IFERROR(__xludf.DUMMYFUNCTION("if(H3265=""pays"",vlookup(REGEXEXTRACT(C3265, ""🏘️ \w+ \w+ (.*) ✅""),'Country prepositions'!A:B, 2, 0) &amp; "" "" &amp; REGEXEXTRACT(C3265, ""🏘️ \w+ \w+ (.*) ✅"") ,  if(H3265=""quartier"",vlookup(REGEXEXTRACT(C3265, ""🏘️ \w+ \w+ (.*) ✅""),'Quartier prepositio"&amp;"ns'!A:E, 5, 0) ,  if(H3265=""region"",vlookup(REGEXEXTRACT(C3265, ""🏘️ \w+ \w+ (.*) ✅""),'Region prepositions'!B:F, 5, 0),  REGEXEXTRACT(C3265, ""🏘️ \w+ \w+ (.*) ✅""))))"),"#N/A")</f>
        <v>#N/A</v>
      </c>
      <c r="I3265" s="4" t="str">
        <f>IFERROR(__xludf.DUMMYFUNCTION("if(D3265=""variant"",  substitute(filter(Templates!E:E, Templates!A:A = F3265, Templates!B:B = G3265, Templates!C:C = H3265), ""{{}}"", E3265), B3265)"),"Louer maison Littoral Neuchâtelois: Trouvez le bien immobilier qui correspond idéalement à vos désirs sur ImmoScout24 - La plateforme de l'immobilier en Suisse.")</f>
        <v>Louer maison Littoral Neuchâtelois: Trouvez le bien immobilier qui correspond idéalement à vos désirs sur ImmoScout24 - La plateforme de l'immobilier en Suisse.</v>
      </c>
    </row>
    <row r="3266" hidden="1">
      <c r="A3266" s="5" t="s">
        <v>9635</v>
      </c>
      <c r="B3266" s="2" t="s">
        <v>9636</v>
      </c>
      <c r="C3266" s="2" t="s">
        <v>9636</v>
      </c>
      <c r="D3266" s="4" t="str">
        <f>vlookup(A3266, Sheet2!D:E, 2, 0)</f>
        <v>control</v>
      </c>
      <c r="E3266" s="4" t="str">
        <f>IFERROR(__xludf.DUMMYFUNCTION("if(H3266=""pays"",vlookup(REGEXEXTRACT(C3266, ""🏘️ \w+ \w+ (.*) ✅""),'Country prepositions'!A:B, 2, 0) &amp; "" "" &amp; REGEXEXTRACT(C3266, ""🏘️ \w+ \w+ (.*) ✅"") ,  if(H3266=""quartier"",vlookup(REGEXEXTRACT(C3266, ""🏘️ \w+ \w+ (.*) ✅""),'Quartier prepositio"&amp;"ns'!A:E, 5, 0) ,  if(H3266=""region"",vlookup(REGEXEXTRACT(C3266, ""🏘️ \w+ \w+ (.*) ✅""),'Region prepositions'!B:F, 5, 0),  REGEXEXTRACT(C3266, ""🏘️ \w+ \w+ (.*) ✅""))))"),"#N/A")</f>
        <v>#N/A</v>
      </c>
      <c r="I3266" s="4" t="str">
        <f>IFERROR(__xludf.DUMMYFUNCTION("if(D3266=""variant"",  substitute(filter(Templates!E:E, Templates!A:A = F3266, Templates!B:B = G3266, Templates!C:C = H3266), ""{{}}"", E3266), B3266)"),"Louer maison Cressier FR: Trouvez le bien immobilier qui correspond idéalement à vos désirs sur ImmoScout24 - La plateforme de l'immobilier en Suisse.")</f>
        <v>Louer maison Cressier FR: Trouvez le bien immobilier qui correspond idéalement à vos désirs sur ImmoScout24 - La plateforme de l'immobilier en Suisse.</v>
      </c>
    </row>
    <row r="3267" hidden="1">
      <c r="A3267" s="5" t="s">
        <v>9637</v>
      </c>
      <c r="B3267" s="2" t="s">
        <v>9638</v>
      </c>
      <c r="C3267" s="2" t="s">
        <v>9638</v>
      </c>
      <c r="D3267" s="4" t="str">
        <f>vlookup(A3267, Sheet2!D:E, 2, 0)</f>
        <v>control</v>
      </c>
      <c r="E3267" s="4" t="str">
        <f>IFERROR(__xludf.DUMMYFUNCTION("if(H3267=""pays"",vlookup(REGEXEXTRACT(C3267, ""🏘️ \w+ \w+ (.*) ✅""),'Country prepositions'!A:B, 2, 0) &amp; "" "" &amp; REGEXEXTRACT(C3267, ""🏘️ \w+ \w+ (.*) ✅"") ,  if(H3267=""quartier"",vlookup(REGEXEXTRACT(C3267, ""🏘️ \w+ \w+ (.*) ✅""),'Quartier prepositio"&amp;"ns'!A:E, 5, 0) ,  if(H3267=""region"",vlookup(REGEXEXTRACT(C3267, ""🏘️ \w+ \w+ (.*) ✅""),'Region prepositions'!B:F, 5, 0),  REGEXEXTRACT(C3267, ""🏘️ \w+ \w+ (.*) ✅""))))"),"#N/A")</f>
        <v>#N/A</v>
      </c>
      <c r="I3267" s="4" t="str">
        <f>IFERROR(__xludf.DUMMYFUNCTION("if(D3267=""variant"",  substitute(filter(Templates!E:E, Templates!A:A = F3267, Templates!B:B = G3267, Templates!C:C = H3267), ""{{}}"", E3267), B3267)"),"Louer appartement Ocourt: Trouvez le bien immobilier qui correspond idéalement à vos désirs sur ImmoScout24 - La plateforme de l'immobilier en Suisse.")</f>
        <v>Louer appartement Ocourt: Trouvez le bien immobilier qui correspond idéalement à vos désirs sur ImmoScout24 - La plateforme de l'immobilier en Suisse.</v>
      </c>
    </row>
    <row r="3268" hidden="1">
      <c r="A3268" s="5" t="s">
        <v>9639</v>
      </c>
      <c r="B3268" s="2" t="s">
        <v>9640</v>
      </c>
      <c r="C3268" s="2" t="s">
        <v>9640</v>
      </c>
      <c r="D3268" s="4" t="str">
        <f>vlookup(A3268, Sheet2!D:E, 2, 0)</f>
        <v>control</v>
      </c>
      <c r="E3268" s="4" t="str">
        <f>IFERROR(__xludf.DUMMYFUNCTION("if(H3268=""pays"",vlookup(REGEXEXTRACT(C3268, ""🏘️ \w+ \w+ (.*) ✅""),'Country prepositions'!A:B, 2, 0) &amp; "" "" &amp; REGEXEXTRACT(C3268, ""🏘️ \w+ \w+ (.*) ✅"") ,  if(H3268=""quartier"",vlookup(REGEXEXTRACT(C3268, ""🏘️ \w+ \w+ (.*) ✅""),'Quartier prepositio"&amp;"ns'!A:E, 5, 0) ,  if(H3268=""region"",vlookup(REGEXEXTRACT(C3268, ""🏘️ \w+ \w+ (.*) ✅""),'Region prepositions'!B:F, 5, 0),  REGEXEXTRACT(C3268, ""🏘️ \w+ \w+ (.*) ✅""))))"),"#N/A")</f>
        <v>#N/A</v>
      </c>
      <c r="I3268" s="4" t="str">
        <f>IFERROR(__xludf.DUMMYFUNCTION("if(D3268=""variant"",  substitute(filter(Templates!E:E, Templates!A:A = F3268, Templates!B:B = G3268, Templates!C:C = H3268), ""{{}}"", E3268), B3268)"),"Louer appartement Bern: Trouvez le bien immobilier qui correspond idéalement à vos désirs sur ImmoScout24 - La plateforme de l'immobilier en Suisse.")</f>
        <v>Louer appartement Bern: Trouvez le bien immobilier qui correspond idéalement à vos désirs sur ImmoScout24 - La plateforme de l'immobilier en Suisse.</v>
      </c>
    </row>
    <row r="3269" hidden="1">
      <c r="A3269" s="5" t="s">
        <v>9641</v>
      </c>
      <c r="B3269" s="2" t="s">
        <v>9642</v>
      </c>
      <c r="C3269" s="2" t="s">
        <v>9642</v>
      </c>
      <c r="D3269" s="4" t="str">
        <f>vlookup(A3269, Sheet2!D:E, 2, 0)</f>
        <v>control</v>
      </c>
      <c r="E3269" s="4" t="str">
        <f>IFERROR(__xludf.DUMMYFUNCTION("if(H3269=""pays"",vlookup(REGEXEXTRACT(C3269, ""🏘️ \w+ \w+ (.*) ✅""),'Country prepositions'!A:B, 2, 0) &amp; "" "" &amp; REGEXEXTRACT(C3269, ""🏘️ \w+ \w+ (.*) ✅"") ,  if(H3269=""quartier"",vlookup(REGEXEXTRACT(C3269, ""🏘️ \w+ \w+ (.*) ✅""),'Quartier prepositio"&amp;"ns'!A:E, 5, 0) ,  if(H3269=""region"",vlookup(REGEXEXTRACT(C3269, ""🏘️ \w+ \w+ (.*) ✅""),'Region prepositions'!B:F, 5, 0),  REGEXEXTRACT(C3269, ""🏘️ \w+ \w+ (.*) ✅""))))"),"#N/A")</f>
        <v>#N/A</v>
      </c>
      <c r="I3269" s="4" t="str">
        <f>IFERROR(__xludf.DUMMYFUNCTION("if(D3269=""variant"",  substitute(filter(Templates!E:E, Templates!A:A = F3269, Templates!B:B = G3269, Templates!C:C = H3269), ""{{}}"", E3269), B3269)"),"Vendre maison Biasca: Trouvez le bien immobilier qui correspond idéalement à vos désirs sur ImmoScout24 - La plateforme de l'immobilier en Suisse.")</f>
        <v>Vendre maison Biasca: Trouvez le bien immobilier qui correspond idéalement à vos désirs sur ImmoScout24 - La plateforme de l'immobilier en Suisse.</v>
      </c>
    </row>
    <row r="3270" hidden="1">
      <c r="A3270" s="5" t="s">
        <v>9643</v>
      </c>
      <c r="B3270" s="2" t="s">
        <v>9644</v>
      </c>
      <c r="C3270" s="2" t="s">
        <v>9644</v>
      </c>
      <c r="D3270" s="4" t="str">
        <f>vlookup(A3270, Sheet2!D:E, 2, 0)</f>
        <v>control</v>
      </c>
      <c r="E3270" s="4" t="str">
        <f>IFERROR(__xludf.DUMMYFUNCTION("if(H3270=""pays"",vlookup(REGEXEXTRACT(C3270, ""🏘️ \w+ \w+ (.*) ✅""),'Country prepositions'!A:B, 2, 0) &amp; "" "" &amp; REGEXEXTRACT(C3270, ""🏘️ \w+ \w+ (.*) ✅"") ,  if(H3270=""quartier"",vlookup(REGEXEXTRACT(C3270, ""🏘️ \w+ \w+ (.*) ✅""),'Quartier prepositio"&amp;"ns'!A:E, 5, 0) ,  if(H3270=""region"",vlookup(REGEXEXTRACT(C3270, ""🏘️ \w+ \w+ (.*) ✅""),'Region prepositions'!B:F, 5, 0),  REGEXEXTRACT(C3270, ""🏘️ \w+ \w+ (.*) ✅""))))"),"#N/A")</f>
        <v>#N/A</v>
      </c>
      <c r="I3270" s="4" t="str">
        <f>IFERROR(__xludf.DUMMYFUNCTION("if(D3270=""variant"",  substitute(filter(Templates!E:E, Templates!A:A = F3270, Templates!B:B = G3270, Templates!C:C = H3270), ""{{}}"", E3270), B3270)"),"Vendre maison Léchelles: Trouvez le bien immobilier qui correspond idéalement à vos désirs sur ImmoScout24 - La plateforme de l'immobilier en Suisse.")</f>
        <v>Vendre maison Léchelles: Trouvez le bien immobilier qui correspond idéalement à vos désirs sur ImmoScout24 - La plateforme de l'immobilier en Suisse.</v>
      </c>
    </row>
    <row r="3271" hidden="1">
      <c r="A3271" s="5" t="s">
        <v>9645</v>
      </c>
      <c r="B3271" s="2" t="s">
        <v>9646</v>
      </c>
      <c r="C3271" s="2" t="s">
        <v>9646</v>
      </c>
      <c r="D3271" s="4" t="str">
        <f>vlookup(A3271, Sheet2!D:E, 2, 0)</f>
        <v>control</v>
      </c>
      <c r="E3271" s="4" t="str">
        <f>IFERROR(__xludf.DUMMYFUNCTION("if(H3271=""pays"",vlookup(REGEXEXTRACT(C3271, ""🏘️ \w+ \w+ (.*) ✅""),'Country prepositions'!A:B, 2, 0) &amp; "" "" &amp; REGEXEXTRACT(C3271, ""🏘️ \w+ \w+ (.*) ✅"") ,  if(H3271=""quartier"",vlookup(REGEXEXTRACT(C3271, ""🏘️ \w+ \w+ (.*) ✅""),'Quartier prepositio"&amp;"ns'!A:E, 5, 0) ,  if(H3271=""region"",vlookup(REGEXEXTRACT(C3271, ""🏘️ \w+ \w+ (.*) ✅""),'Region prepositions'!B:F, 5, 0),  REGEXEXTRACT(C3271, ""🏘️ \w+ \w+ (.*) ✅""))))"),"#N/A")</f>
        <v>#N/A</v>
      </c>
      <c r="I3271" s="4" t="str">
        <f>IFERROR(__xludf.DUMMYFUNCTION("if(D3271=""variant"",  substitute(filter(Templates!E:E, Templates!A:A = F3271, Templates!B:B = G3271, Templates!C:C = H3271), ""{{}}"", E3271), B3271)"),"Vendre appartement Gordola: Trouvez le bien immobilier qui correspond idéalement à vos désirs sur ImmoScout24 - La plateforme de l'immobilier en Suisse.")</f>
        <v>Vendre appartement Gordola: Trouvez le bien immobilier qui correspond idéalement à vos désirs sur ImmoScout24 - La plateforme de l'immobilier en Suisse.</v>
      </c>
    </row>
    <row r="3272" hidden="1">
      <c r="A3272" s="5" t="s">
        <v>9647</v>
      </c>
      <c r="B3272" s="2" t="s">
        <v>9648</v>
      </c>
      <c r="C3272" s="2" t="s">
        <v>9648</v>
      </c>
      <c r="D3272" s="4" t="str">
        <f>vlookup(A3272, Sheet2!D:E, 2, 0)</f>
        <v>control</v>
      </c>
      <c r="E3272" s="4" t="str">
        <f>IFERROR(__xludf.DUMMYFUNCTION("if(H3272=""pays"",vlookup(REGEXEXTRACT(C3272, ""🏘️ \w+ \w+ (.*) ✅""),'Country prepositions'!A:B, 2, 0) &amp; "" "" &amp; REGEXEXTRACT(C3272, ""🏘️ \w+ \w+ (.*) ✅"") ,  if(H3272=""quartier"",vlookup(REGEXEXTRACT(C3272, ""🏘️ \w+ \w+ (.*) ✅""),'Quartier prepositio"&amp;"ns'!A:E, 5, 0) ,  if(H3272=""region"",vlookup(REGEXEXTRACT(C3272, ""🏘️ \w+ \w+ (.*) ✅""),'Region prepositions'!B:F, 5, 0),  REGEXEXTRACT(C3272, ""🏘️ \w+ \w+ (.*) ✅""))))"),"#N/A")</f>
        <v>#N/A</v>
      </c>
      <c r="I3272" s="4" t="str">
        <f>IFERROR(__xludf.DUMMYFUNCTION("if(D3272=""variant"",  substitute(filter(Templates!E:E, Templates!A:A = F3272, Templates!B:B = G3272, Templates!C:C = H3272), ""{{}}"", E3272), B3272)"),"Louer appartement Reckingen VS: Trouvez le bien immobilier qui correspond idéalement à vos désirs sur ImmoScout24 - La plateforme de l'immobilier en Suisse.")</f>
        <v>Louer appartement Reckingen VS: Trouvez le bien immobilier qui correspond idéalement à vos désirs sur ImmoScout24 - La plateforme de l'immobilier en Suisse.</v>
      </c>
    </row>
    <row r="3273" hidden="1">
      <c r="A3273" s="5" t="s">
        <v>9649</v>
      </c>
      <c r="B3273" s="2" t="s">
        <v>9650</v>
      </c>
      <c r="C3273" s="2" t="s">
        <v>9650</v>
      </c>
      <c r="D3273" s="4" t="str">
        <f>vlookup(A3273, Sheet2!D:E, 2, 0)</f>
        <v>control</v>
      </c>
      <c r="E3273" s="4" t="str">
        <f>IFERROR(__xludf.DUMMYFUNCTION("if(H3273=""pays"",vlookup(REGEXEXTRACT(C3273, ""🏘️ \w+ \w+ (.*) ✅""),'Country prepositions'!A:B, 2, 0) &amp; "" "" &amp; REGEXEXTRACT(C3273, ""🏘️ \w+ \w+ (.*) ✅"") ,  if(H3273=""quartier"",vlookup(REGEXEXTRACT(C3273, ""🏘️ \w+ \w+ (.*) ✅""),'Quartier prepositio"&amp;"ns'!A:E, 5, 0) ,  if(H3273=""region"",vlookup(REGEXEXTRACT(C3273, ""🏘️ \w+ \w+ (.*) ✅""),'Region prepositions'!B:F, 5, 0),  REGEXEXTRACT(C3273, ""🏘️ \w+ \w+ (.*) ✅""))))"),"#N/A")</f>
        <v>#N/A</v>
      </c>
      <c r="I3273" s="4" t="str">
        <f>IFERROR(__xludf.DUMMYFUNCTION("if(D3273=""variant"",  substitute(filter(Templates!E:E, Templates!A:A = F3273, Templates!B:B = G3273, Templates!C:C = H3273), ""{{}}"", E3273), B3273)"),"Vendre appartement Brésil: Trouvez le bien immobilier qui correspond idéalement à vos désirs sur ImmoScout24 - La plateforme de l'immobilier en Suisse.")</f>
        <v>Vendre appartement Brésil: Trouvez le bien immobilier qui correspond idéalement à vos désirs sur ImmoScout24 - La plateforme de l'immobilier en Suisse.</v>
      </c>
    </row>
    <row r="3274" hidden="1">
      <c r="A3274" s="5" t="s">
        <v>9651</v>
      </c>
      <c r="B3274" s="2" t="s">
        <v>9652</v>
      </c>
      <c r="C3274" s="2" t="s">
        <v>9652</v>
      </c>
      <c r="D3274" s="4" t="str">
        <f>vlookup(A3274, Sheet2!D:E, 2, 0)</f>
        <v>control</v>
      </c>
      <c r="E3274" s="4" t="str">
        <f>IFERROR(__xludf.DUMMYFUNCTION("if(H3274=""pays"",vlookup(REGEXEXTRACT(C3274, ""🏘️ \w+ \w+ (.*) ✅""),'Country prepositions'!A:B, 2, 0) &amp; "" "" &amp; REGEXEXTRACT(C3274, ""🏘️ \w+ \w+ (.*) ✅"") ,  if(H3274=""quartier"",vlookup(REGEXEXTRACT(C3274, ""🏘️ \w+ \w+ (.*) ✅""),'Quartier prepositio"&amp;"ns'!A:E, 5, 0) ,  if(H3274=""region"",vlookup(REGEXEXTRACT(C3274, ""🏘️ \w+ \w+ (.*) ✅""),'Region prepositions'!B:F, 5, 0),  REGEXEXTRACT(C3274, ""🏘️ \w+ \w+ (.*) ✅""))))"),"#N/A")</f>
        <v>#N/A</v>
      </c>
      <c r="I3274" s="4" t="str">
        <f>IFERROR(__xludf.DUMMYFUNCTION("if(D3274=""variant"",  substitute(filter(Templates!E:E, Templates!A:A = F3274, Templates!B:B = G3274, Templates!C:C = H3274), ""{{}}"", E3274), B3274)"),"Vendre maison Zeneggen: Trouvez le bien immobilier qui correspond idéalement à vos désirs sur ImmoScout24 - La plateforme de l'immobilier en Suisse.")</f>
        <v>Vendre maison Zeneggen: Trouvez le bien immobilier qui correspond idéalement à vos désirs sur ImmoScout24 - La plateforme de l'immobilier en Suisse.</v>
      </c>
    </row>
    <row r="3275" hidden="1">
      <c r="A3275" s="5" t="s">
        <v>9653</v>
      </c>
      <c r="B3275" s="2" t="s">
        <v>9654</v>
      </c>
      <c r="C3275" s="2" t="s">
        <v>9654</v>
      </c>
      <c r="D3275" s="4" t="str">
        <f>vlookup(A3275, Sheet2!D:E, 2, 0)</f>
        <v>control</v>
      </c>
      <c r="E3275" s="4" t="str">
        <f>IFERROR(__xludf.DUMMYFUNCTION("if(H3275=""pays"",vlookup(REGEXEXTRACT(C3275, ""🏘️ \w+ \w+ (.*) ✅""),'Country prepositions'!A:B, 2, 0) &amp; "" "" &amp; REGEXEXTRACT(C3275, ""🏘️ \w+ \w+ (.*) ✅"") ,  if(H3275=""quartier"",vlookup(REGEXEXTRACT(C3275, ""🏘️ \w+ \w+ (.*) ✅""),'Quartier prepositio"&amp;"ns'!A:E, 5, 0) ,  if(H3275=""region"",vlookup(REGEXEXTRACT(C3275, ""🏘️ \w+ \w+ (.*) ✅""),'Region prepositions'!B:F, 5, 0),  REGEXEXTRACT(C3275, ""🏘️ \w+ \w+ (.*) ✅""))))"),"#N/A")</f>
        <v>#N/A</v>
      </c>
      <c r="I3275" s="4" t="str">
        <f>IFERROR(__xludf.DUMMYFUNCTION("if(D3275=""variant"",  substitute(filter(Templates!E:E, Templates!A:A = F3275, Templates!B:B = G3275, Templates!C:C = H3275), ""{{}}"", E3275), B3275)"),"Louer maison Waldstatt: Trouvez le bien immobilier qui correspond idéalement à vos désirs sur ImmoScout24 - La plateforme de l'immobilier en Suisse.")</f>
        <v>Louer maison Waldstatt: Trouvez le bien immobilier qui correspond idéalement à vos désirs sur ImmoScout24 - La plateforme de l'immobilier en Suisse.</v>
      </c>
    </row>
    <row r="3276" hidden="1">
      <c r="A3276" s="5" t="s">
        <v>9655</v>
      </c>
      <c r="B3276" s="2" t="s">
        <v>9656</v>
      </c>
      <c r="C3276" s="2" t="s">
        <v>9656</v>
      </c>
      <c r="D3276" s="4" t="str">
        <f>vlookup(A3276, Sheet2!D:E, 2, 0)</f>
        <v>control</v>
      </c>
      <c r="E3276" s="4" t="str">
        <f>IFERROR(__xludf.DUMMYFUNCTION("if(H3276=""pays"",vlookup(REGEXEXTRACT(C3276, ""🏘️ \w+ \w+ (.*) ✅""),'Country prepositions'!A:B, 2, 0) &amp; "" "" &amp; REGEXEXTRACT(C3276, ""🏘️ \w+ \w+ (.*) ✅"") ,  if(H3276=""quartier"",vlookup(REGEXEXTRACT(C3276, ""🏘️ \w+ \w+ (.*) ✅""),'Quartier prepositio"&amp;"ns'!A:E, 5, 0) ,  if(H3276=""region"",vlookup(REGEXEXTRACT(C3276, ""🏘️ \w+ \w+ (.*) ✅""),'Region prepositions'!B:F, 5, 0),  REGEXEXTRACT(C3276, ""🏘️ \w+ \w+ (.*) ✅""))))"),"#N/A")</f>
        <v>#N/A</v>
      </c>
      <c r="I3276" s="4" t="str">
        <f>IFERROR(__xludf.DUMMYFUNCTION("if(D3276=""variant"",  substitute(filter(Templates!E:E, Templates!A:A = F3276, Templates!B:B = G3276, Templates!C:C = H3276), ""{{}}"", E3276), B3276)"),"Vendre appartement Le Mouret: Trouvez le bien immobilier qui correspond idéalement à vos désirs sur ImmoScout24 - La plateforme de l'immobilier en Suisse.")</f>
        <v>Vendre appartement Le Mouret: Trouvez le bien immobilier qui correspond idéalement à vos désirs sur ImmoScout24 - La plateforme de l'immobilier en Suisse.</v>
      </c>
    </row>
    <row r="3277" hidden="1">
      <c r="A3277" s="5" t="s">
        <v>9657</v>
      </c>
      <c r="B3277" s="2" t="s">
        <v>9658</v>
      </c>
      <c r="C3277" s="2" t="s">
        <v>9658</v>
      </c>
      <c r="D3277" s="4" t="str">
        <f>vlookup(A3277, Sheet2!D:E, 2, 0)</f>
        <v>control</v>
      </c>
      <c r="E3277" s="4" t="str">
        <f>IFERROR(__xludf.DUMMYFUNCTION("if(H3277=""pays"",vlookup(REGEXEXTRACT(C3277, ""🏘️ \w+ \w+ (.*) ✅""),'Country prepositions'!A:B, 2, 0) &amp; "" "" &amp; REGEXEXTRACT(C3277, ""🏘️ \w+ \w+ (.*) ✅"") ,  if(H3277=""quartier"",vlookup(REGEXEXTRACT(C3277, ""🏘️ \w+ \w+ (.*) ✅""),'Quartier prepositio"&amp;"ns'!A:E, 5, 0) ,  if(H3277=""region"",vlookup(REGEXEXTRACT(C3277, ""🏘️ \w+ \w+ (.*) ✅""),'Region prepositions'!B:F, 5, 0),  REGEXEXTRACT(C3277, ""🏘️ \w+ \w+ (.*) ✅""))))"),"#N/A")</f>
        <v>#N/A</v>
      </c>
      <c r="I3277" s="4" t="str">
        <f>IFERROR(__xludf.DUMMYFUNCTION("if(D3277=""variant"",  substitute(filter(Templates!E:E, Templates!A:A = F3277, Templates!B:B = G3277, Templates!C:C = H3277), ""{{}}"", E3277), B3277)"),"Vendre maison Les Emibois: Trouvez le bien immobilier qui correspond idéalement à vos désirs sur ImmoScout24 - La plateforme de l'immobilier en Suisse.")</f>
        <v>Vendre maison Les Emibois: Trouvez le bien immobilier qui correspond idéalement à vos désirs sur ImmoScout24 - La plateforme de l'immobilier en Suisse.</v>
      </c>
    </row>
    <row r="3278" hidden="1">
      <c r="A3278" s="5" t="s">
        <v>9659</v>
      </c>
      <c r="B3278" s="2" t="s">
        <v>9660</v>
      </c>
      <c r="C3278" s="2" t="s">
        <v>9660</v>
      </c>
      <c r="D3278" s="4" t="str">
        <f>vlookup(A3278, Sheet2!D:E, 2, 0)</f>
        <v>control</v>
      </c>
      <c r="E3278" s="4" t="str">
        <f>IFERROR(__xludf.DUMMYFUNCTION("if(H3278=""pays"",vlookup(REGEXEXTRACT(C3278, ""🏘️ \w+ \w+ (.*) ✅""),'Country prepositions'!A:B, 2, 0) &amp; "" "" &amp; REGEXEXTRACT(C3278, ""🏘️ \w+ \w+ (.*) ✅"") ,  if(H3278=""quartier"",vlookup(REGEXEXTRACT(C3278, ""🏘️ \w+ \w+ (.*) ✅""),'Quartier prepositio"&amp;"ns'!A:E, 5, 0) ,  if(H3278=""region"",vlookup(REGEXEXTRACT(C3278, ""🏘️ \w+ \w+ (.*) ✅""),'Region prepositions'!B:F, 5, 0),  REGEXEXTRACT(C3278, ""🏘️ \w+ \w+ (.*) ✅""))))"),"#N/A")</f>
        <v>#N/A</v>
      </c>
      <c r="I3278" s="4" t="str">
        <f>IFERROR(__xludf.DUMMYFUNCTION("if(D3278=""variant"",  substitute(filter(Templates!E:E, Templates!A:A = F3278, Templates!B:B = G3278, Templates!C:C = H3278), ""{{}}"", E3278), B3278)"),"Vendre maison Wangen b. Dübendorf: Trouvez le bien immobilier qui correspond idéalement à vos désirs sur ImmoScout24 - La plateforme de l'immobilier en Suisse.")</f>
        <v>Vendre maison Wangen b. Dübendorf: Trouvez le bien immobilier qui correspond idéalement à vos désirs sur ImmoScout24 - La plateforme de l'immobilier en Suisse.</v>
      </c>
    </row>
    <row r="3279" hidden="1">
      <c r="A3279" s="5" t="s">
        <v>9661</v>
      </c>
      <c r="B3279" s="2" t="s">
        <v>9662</v>
      </c>
      <c r="C3279" s="2" t="s">
        <v>9662</v>
      </c>
      <c r="D3279" s="4" t="str">
        <f>vlookup(A3279, Sheet2!D:E, 2, 0)</f>
        <v>control</v>
      </c>
      <c r="E3279" s="4" t="str">
        <f>IFERROR(__xludf.DUMMYFUNCTION("if(H3279=""pays"",vlookup(REGEXEXTRACT(C3279, ""🏘️ \w+ \w+ (.*) ✅""),'Country prepositions'!A:B, 2, 0) &amp; "" "" &amp; REGEXEXTRACT(C3279, ""🏘️ \w+ \w+ (.*) ✅"") ,  if(H3279=""quartier"",vlookup(REGEXEXTRACT(C3279, ""🏘️ \w+ \w+ (.*) ✅""),'Quartier prepositio"&amp;"ns'!A:E, 5, 0) ,  if(H3279=""region"",vlookup(REGEXEXTRACT(C3279, ""🏘️ \w+ \w+ (.*) ✅""),'Region prepositions'!B:F, 5, 0),  REGEXEXTRACT(C3279, ""🏘️ \w+ \w+ (.*) ✅""))))"),"#N/A")</f>
        <v>#N/A</v>
      </c>
      <c r="I3279" s="4" t="str">
        <f>IFERROR(__xludf.DUMMYFUNCTION("if(D3279=""variant"",  substitute(filter(Templates!E:E, Templates!A:A = F3279, Templates!B:B = G3279, Templates!C:C = H3279), ""{{}}"", E3279), B3279)"),"Vendre maison Elgg: Trouvez le bien immobilier qui correspond idéalement à vos désirs sur ImmoScout24 - La plateforme de l'immobilier en Suisse.")</f>
        <v>Vendre maison Elgg: Trouvez le bien immobilier qui correspond idéalement à vos désirs sur ImmoScout24 - La plateforme de l'immobilier en Suisse.</v>
      </c>
    </row>
    <row r="3280" hidden="1">
      <c r="A3280" s="5" t="s">
        <v>9663</v>
      </c>
      <c r="B3280" s="2" t="s">
        <v>9664</v>
      </c>
      <c r="C3280" s="2" t="s">
        <v>9664</v>
      </c>
      <c r="D3280" s="4" t="str">
        <f>vlookup(A3280, Sheet2!D:E, 2, 0)</f>
        <v>control</v>
      </c>
      <c r="E3280" s="4" t="str">
        <f>IFERROR(__xludf.DUMMYFUNCTION("if(H3280=""pays"",vlookup(REGEXEXTRACT(C3280, ""🏘️ \w+ \w+ (.*) ✅""),'Country prepositions'!A:B, 2, 0) &amp; "" "" &amp; REGEXEXTRACT(C3280, ""🏘️ \w+ \w+ (.*) ✅"") ,  if(H3280=""quartier"",vlookup(REGEXEXTRACT(C3280, ""🏘️ \w+ \w+ (.*) ✅""),'Quartier prepositio"&amp;"ns'!A:E, 5, 0) ,  if(H3280=""region"",vlookup(REGEXEXTRACT(C3280, ""🏘️ \w+ \w+ (.*) ✅""),'Region prepositions'!B:F, 5, 0),  REGEXEXTRACT(C3280, ""🏘️ \w+ \w+ (.*) ✅""))))"),"#N/A")</f>
        <v>#N/A</v>
      </c>
      <c r="I3280" s="4" t="str">
        <f>IFERROR(__xludf.DUMMYFUNCTION("if(D3280=""variant"",  substitute(filter(Templates!E:E, Templates!A:A = F3280, Templates!B:B = G3280, Templates!C:C = H3280), ""{{}}"", E3280), B3280)"),"Louer appartement Riaz: Trouvez le bien immobilier qui correspond idéalement à vos désirs sur ImmoScout24 - La plateforme de l'immobilier en Suisse.")</f>
        <v>Louer appartement Riaz: Trouvez le bien immobilier qui correspond idéalement à vos désirs sur ImmoScout24 - La plateforme de l'immobilier en Suisse.</v>
      </c>
    </row>
    <row r="3281" hidden="1">
      <c r="A3281" s="5" t="s">
        <v>9665</v>
      </c>
      <c r="B3281" s="2" t="s">
        <v>9666</v>
      </c>
      <c r="C3281" s="2" t="s">
        <v>9666</v>
      </c>
      <c r="D3281" s="4" t="str">
        <f>vlookup(A3281, Sheet2!D:E, 2, 0)</f>
        <v>control</v>
      </c>
      <c r="E3281" s="4" t="str">
        <f>IFERROR(__xludf.DUMMYFUNCTION("if(H3281=""pays"",vlookup(REGEXEXTRACT(C3281, ""🏘️ \w+ \w+ (.*) ✅""),'Country prepositions'!A:B, 2, 0) &amp; "" "" &amp; REGEXEXTRACT(C3281, ""🏘️ \w+ \w+ (.*) ✅"") ,  if(H3281=""quartier"",vlookup(REGEXEXTRACT(C3281, ""🏘️ \w+ \w+ (.*) ✅""),'Quartier prepositio"&amp;"ns'!A:E, 5, 0) ,  if(H3281=""region"",vlookup(REGEXEXTRACT(C3281, ""🏘️ \w+ \w+ (.*) ✅""),'Region prepositions'!B:F, 5, 0),  REGEXEXTRACT(C3281, ""🏘️ \w+ \w+ (.*) ✅""))))"),"#N/A")</f>
        <v>#N/A</v>
      </c>
      <c r="I3281" s="4" t="str">
        <f>IFERROR(__xludf.DUMMYFUNCTION("if(D3281=""variant"",  substitute(filter(Templates!E:E, Templates!A:A = F3281, Templates!B:B = G3281, Templates!C:C = H3281), ""{{}}"", E3281), B3281)"),"Louer appartement Le Bry: Trouvez le bien immobilier qui correspond idéalement à vos désirs sur ImmoScout24 - La plateforme de l'immobilier en Suisse.")</f>
        <v>Louer appartement Le Bry: Trouvez le bien immobilier qui correspond idéalement à vos désirs sur ImmoScout24 - La plateforme de l'immobilier en Suisse.</v>
      </c>
    </row>
    <row r="3282" hidden="1">
      <c r="A3282" s="5" t="s">
        <v>9667</v>
      </c>
      <c r="B3282" s="2" t="s">
        <v>9668</v>
      </c>
      <c r="C3282" s="2" t="s">
        <v>9668</v>
      </c>
      <c r="D3282" s="4" t="str">
        <f>vlookup(A3282, Sheet2!D:E, 2, 0)</f>
        <v>control</v>
      </c>
      <c r="E3282" s="4" t="str">
        <f>IFERROR(__xludf.DUMMYFUNCTION("if(H3282=""pays"",vlookup(REGEXEXTRACT(C3282, ""🏘️ \w+ \w+ (.*) ✅""),'Country prepositions'!A:B, 2, 0) &amp; "" "" &amp; REGEXEXTRACT(C3282, ""🏘️ \w+ \w+ (.*) ✅"") ,  if(H3282=""quartier"",vlookup(REGEXEXTRACT(C3282, ""🏘️ \w+ \w+ (.*) ✅""),'Quartier prepositio"&amp;"ns'!A:E, 5, 0) ,  if(H3282=""region"",vlookup(REGEXEXTRACT(C3282, ""🏘️ \w+ \w+ (.*) ✅""),'Region prepositions'!B:F, 5, 0),  REGEXEXTRACT(C3282, ""🏘️ \w+ \w+ (.*) ✅""))))"),"#N/A")</f>
        <v>#N/A</v>
      </c>
      <c r="I3282" s="4" t="str">
        <f>IFERROR(__xludf.DUMMYFUNCTION("if(D3282=""variant"",  substitute(filter(Templates!E:E, Templates!A:A = F3282, Templates!B:B = G3282, Templates!C:C = H3282), ""{{}}"", E3282), B3282)"),"Vendre appartement Locarno: Trouvez le bien immobilier qui correspond idéalement à vos désirs sur ImmoScout24 - La plateforme de l'immobilier en Suisse.")</f>
        <v>Vendre appartement Locarno: Trouvez le bien immobilier qui correspond idéalement à vos désirs sur ImmoScout24 - La plateforme de l'immobilier en Suisse.</v>
      </c>
    </row>
    <row r="3283" hidden="1">
      <c r="A3283" s="5" t="s">
        <v>9669</v>
      </c>
      <c r="B3283" s="2" t="s">
        <v>9670</v>
      </c>
      <c r="C3283" s="2" t="s">
        <v>9670</v>
      </c>
      <c r="D3283" s="4" t="str">
        <f>vlookup(A3283, Sheet2!D:E, 2, 0)</f>
        <v>control</v>
      </c>
      <c r="E3283" s="4" t="str">
        <f>IFERROR(__xludf.DUMMYFUNCTION("if(H3283=""pays"",vlookup(REGEXEXTRACT(C3283, ""🏘️ \w+ \w+ (.*) ✅""),'Country prepositions'!A:B, 2, 0) &amp; "" "" &amp; REGEXEXTRACT(C3283, ""🏘️ \w+ \w+ (.*) ✅"") ,  if(H3283=""quartier"",vlookup(REGEXEXTRACT(C3283, ""🏘️ \w+ \w+ (.*) ✅""),'Quartier prepositio"&amp;"ns'!A:E, 5, 0) ,  if(H3283=""region"",vlookup(REGEXEXTRACT(C3283, ""🏘️ \w+ \w+ (.*) ✅""),'Region prepositions'!B:F, 5, 0),  REGEXEXTRACT(C3283, ""🏘️ \w+ \w+ (.*) ✅""))))"),"#N/A")</f>
        <v>#N/A</v>
      </c>
      <c r="I3283" s="4" t="str">
        <f>IFERROR(__xludf.DUMMYFUNCTION("if(D3283=""variant"",  substitute(filter(Templates!E:E, Templates!A:A = F3283, Templates!B:B = G3283, Templates!C:C = H3283), ""{{}}"", E3283), B3283)"),"Vendre maison Grimentz: Trouvez le bien immobilier qui correspond idéalement à vos désirs sur ImmoScout24 - La plateforme de l'immobilier en Suisse.")</f>
        <v>Vendre maison Grimentz: Trouvez le bien immobilier qui correspond idéalement à vos désirs sur ImmoScout24 - La plateforme de l'immobilier en Suisse.</v>
      </c>
    </row>
    <row r="3284" hidden="1">
      <c r="A3284" s="5" t="s">
        <v>9671</v>
      </c>
      <c r="B3284" s="2" t="s">
        <v>9672</v>
      </c>
      <c r="C3284" s="2" t="s">
        <v>9672</v>
      </c>
      <c r="D3284" s="4" t="str">
        <f>vlookup(A3284, Sheet2!D:E, 2, 0)</f>
        <v>control</v>
      </c>
      <c r="E3284" s="4" t="str">
        <f>IFERROR(__xludf.DUMMYFUNCTION("if(H3284=""pays"",vlookup(REGEXEXTRACT(C3284, ""🏘️ \w+ \w+ (.*) ✅""),'Country prepositions'!A:B, 2, 0) &amp; "" "" &amp; REGEXEXTRACT(C3284, ""🏘️ \w+ \w+ (.*) ✅"") ,  if(H3284=""quartier"",vlookup(REGEXEXTRACT(C3284, ""🏘️ \w+ \w+ (.*) ✅""),'Quartier prepositio"&amp;"ns'!A:E, 5, 0) ,  if(H3284=""region"",vlookup(REGEXEXTRACT(C3284, ""🏘️ \w+ \w+ (.*) ✅""),'Region prepositions'!B:F, 5, 0),  REGEXEXTRACT(C3284, ""🏘️ \w+ \w+ (.*) ✅""))))"),"#N/A")</f>
        <v>#N/A</v>
      </c>
      <c r="I3284" s="4" t="str">
        <f>IFERROR(__xludf.DUMMYFUNCTION("if(D3284=""variant"",  substitute(filter(Templates!E:E, Templates!A:A = F3284, Templates!B:B = G3284, Templates!C:C = H3284), ""{{}}"", E3284), B3284)"),"Louer maison Vordemwald: Trouvez le bien immobilier qui correspond idéalement à vos désirs sur ImmoScout24 - La plateforme de l'immobilier en Suisse.")</f>
        <v>Louer maison Vordemwald: Trouvez le bien immobilier qui correspond idéalement à vos désirs sur ImmoScout24 - La plateforme de l'immobilier en Suisse.</v>
      </c>
    </row>
    <row r="3285" hidden="1">
      <c r="A3285" s="5" t="s">
        <v>9673</v>
      </c>
      <c r="B3285" s="2" t="s">
        <v>9674</v>
      </c>
      <c r="C3285" s="2" t="s">
        <v>9674</v>
      </c>
      <c r="D3285" s="4" t="str">
        <f>vlookup(A3285, Sheet2!D:E, 2, 0)</f>
        <v>control</v>
      </c>
      <c r="E3285" s="4" t="str">
        <f>IFERROR(__xludf.DUMMYFUNCTION("if(H3285=""pays"",vlookup(REGEXEXTRACT(C3285, ""🏘️ \w+ \w+ (.*) ✅""),'Country prepositions'!A:B, 2, 0) &amp; "" "" &amp; REGEXEXTRACT(C3285, ""🏘️ \w+ \w+ (.*) ✅"") ,  if(H3285=""quartier"",vlookup(REGEXEXTRACT(C3285, ""🏘️ \w+ \w+ (.*) ✅""),'Quartier prepositio"&amp;"ns'!A:E, 5, 0) ,  if(H3285=""region"",vlookup(REGEXEXTRACT(C3285, ""🏘️ \w+ \w+ (.*) ✅""),'Region prepositions'!B:F, 5, 0),  REGEXEXTRACT(C3285, ""🏘️ \w+ \w+ (.*) ✅""))))"),"#N/A")</f>
        <v>#N/A</v>
      </c>
      <c r="I3285" s="4" t="str">
        <f>IFERROR(__xludf.DUMMYFUNCTION("if(D3285=""variant"",  substitute(filter(Templates!E:E, Templates!A:A = F3285, Templates!B:B = G3285, Templates!C:C = H3285), ""{{}}"", E3285), B3285)"),"Vendre maison Corsier GE: Trouvez le bien immobilier qui correspond idéalement à vos désirs sur ImmoScout24 - La plateforme de l'immobilier en Suisse.")</f>
        <v>Vendre maison Corsier GE: Trouvez le bien immobilier qui correspond idéalement à vos désirs sur ImmoScout24 - La plateforme de l'immobilier en Suisse.</v>
      </c>
    </row>
    <row r="3286" hidden="1">
      <c r="A3286" s="5" t="s">
        <v>9675</v>
      </c>
      <c r="B3286" s="2" t="s">
        <v>9676</v>
      </c>
      <c r="C3286" s="2" t="s">
        <v>9676</v>
      </c>
      <c r="D3286" s="4" t="str">
        <f>vlookup(A3286, Sheet2!D:E, 2, 0)</f>
        <v>control</v>
      </c>
      <c r="E3286" s="4" t="str">
        <f>IFERROR(__xludf.DUMMYFUNCTION("if(H3286=""pays"",vlookup(REGEXEXTRACT(C3286, ""🏘️ \w+ \w+ (.*) ✅""),'Country prepositions'!A:B, 2, 0) &amp; "" "" &amp; REGEXEXTRACT(C3286, ""🏘️ \w+ \w+ (.*) ✅"") ,  if(H3286=""quartier"",vlookup(REGEXEXTRACT(C3286, ""🏘️ \w+ \w+ (.*) ✅""),'Quartier prepositio"&amp;"ns'!A:E, 5, 0) ,  if(H3286=""region"",vlookup(REGEXEXTRACT(C3286, ""🏘️ \w+ \w+ (.*) ✅""),'Region prepositions'!B:F, 5, 0),  REGEXEXTRACT(C3286, ""🏘️ \w+ \w+ (.*) ✅""))))"),"#N/A")</f>
        <v>#N/A</v>
      </c>
      <c r="I3286" s="4" t="str">
        <f>IFERROR(__xludf.DUMMYFUNCTION("if(D3286=""variant"",  substitute(filter(Templates!E:E, Templates!A:A = F3286, Templates!B:B = G3286, Templates!C:C = H3286), ""{{}}"", E3286), B3286)"),"Louer appartement St-Luc: Trouvez le bien immobilier qui correspond idéalement à vos désirs sur ImmoScout24 - La plateforme de l'immobilier en Suisse.")</f>
        <v>Louer appartement St-Luc: Trouvez le bien immobilier qui correspond idéalement à vos désirs sur ImmoScout24 - La plateforme de l'immobilier en Suisse.</v>
      </c>
    </row>
    <row r="3287" hidden="1">
      <c r="A3287" s="5" t="s">
        <v>9677</v>
      </c>
      <c r="B3287" s="2" t="s">
        <v>9678</v>
      </c>
      <c r="C3287" s="2" t="s">
        <v>9678</v>
      </c>
      <c r="D3287" s="4" t="str">
        <f>vlookup(A3287, Sheet2!D:E, 2, 0)</f>
        <v>control</v>
      </c>
      <c r="E3287" s="4" t="str">
        <f>IFERROR(__xludf.DUMMYFUNCTION("if(H3287=""pays"",vlookup(REGEXEXTRACT(C3287, ""🏘️ \w+ \w+ (.*) ✅""),'Country prepositions'!A:B, 2, 0) &amp; "" "" &amp; REGEXEXTRACT(C3287, ""🏘️ \w+ \w+ (.*) ✅"") ,  if(H3287=""quartier"",vlookup(REGEXEXTRACT(C3287, ""🏘️ \w+ \w+ (.*) ✅""),'Quartier prepositio"&amp;"ns'!A:E, 5, 0) ,  if(H3287=""region"",vlookup(REGEXEXTRACT(C3287, ""🏘️ \w+ \w+ (.*) ✅""),'Region prepositions'!B:F, 5, 0),  REGEXEXTRACT(C3287, ""🏘️ \w+ \w+ (.*) ✅""))))"),"#N/A")</f>
        <v>#N/A</v>
      </c>
      <c r="I3287" s="4" t="str">
        <f>IFERROR(__xludf.DUMMYFUNCTION("if(D3287=""variant"",  substitute(filter(Templates!E:E, Templates!A:A = F3287, Templates!B:B = G3287, Templates!C:C = H3287), ""{{}}"", E3287), B3287)"),"Louer maison Péry: Trouvez le bien immobilier qui correspond idéalement à vos désirs sur ImmoScout24 - La plateforme de l'immobilier en Suisse.")</f>
        <v>Louer maison Péry: Trouvez le bien immobilier qui correspond idéalement à vos désirs sur ImmoScout24 - La plateforme de l'immobilier en Suisse.</v>
      </c>
    </row>
    <row r="3288" hidden="1">
      <c r="A3288" s="5" t="s">
        <v>9679</v>
      </c>
      <c r="B3288" s="2" t="s">
        <v>9680</v>
      </c>
      <c r="C3288" s="2" t="s">
        <v>9680</v>
      </c>
      <c r="D3288" s="4" t="str">
        <f>vlookup(A3288, Sheet2!D:E, 2, 0)</f>
        <v>control</v>
      </c>
      <c r="E3288" s="4" t="str">
        <f>IFERROR(__xludf.DUMMYFUNCTION("if(H3288=""pays"",vlookup(REGEXEXTRACT(C3288, ""🏘️ \w+ \w+ (.*) ✅""),'Country prepositions'!A:B, 2, 0) &amp; "" "" &amp; REGEXEXTRACT(C3288, ""🏘️ \w+ \w+ (.*) ✅"") ,  if(H3288=""quartier"",vlookup(REGEXEXTRACT(C3288, ""🏘️ \w+ \w+ (.*) ✅""),'Quartier prepositio"&amp;"ns'!A:E, 5, 0) ,  if(H3288=""region"",vlookup(REGEXEXTRACT(C3288, ""🏘️ \w+ \w+ (.*) ✅""),'Region prepositions'!B:F, 5, 0),  REGEXEXTRACT(C3288, ""🏘️ \w+ \w+ (.*) ✅""))))"),"#N/A")</f>
        <v>#N/A</v>
      </c>
      <c r="I3288" s="4" t="str">
        <f>IFERROR(__xludf.DUMMYFUNCTION("if(D3288=""variant"",  substitute(filter(Templates!E:E, Templates!A:A = F3288, Templates!B:B = G3288, Templates!C:C = H3288), ""{{}}"", E3288), B3288)"),"Vendre appartement Les Bayards: Trouvez le bien immobilier qui correspond idéalement à vos désirs sur ImmoScout24 - La plateforme de l'immobilier en Suisse.")</f>
        <v>Vendre appartement Les Bayards: Trouvez le bien immobilier qui correspond idéalement à vos désirs sur ImmoScout24 - La plateforme de l'immobilier en Suisse.</v>
      </c>
    </row>
    <row r="3289" hidden="1">
      <c r="A3289" s="5" t="s">
        <v>9681</v>
      </c>
      <c r="B3289" s="2" t="s">
        <v>9682</v>
      </c>
      <c r="C3289" s="2" t="s">
        <v>9682</v>
      </c>
      <c r="D3289" s="4" t="str">
        <f>vlookup(A3289, Sheet2!D:E, 2, 0)</f>
        <v>control</v>
      </c>
      <c r="E3289" s="4" t="str">
        <f>IFERROR(__xludf.DUMMYFUNCTION("if(H3289=""pays"",vlookup(REGEXEXTRACT(C3289, ""🏘️ \w+ \w+ (.*) ✅""),'Country prepositions'!A:B, 2, 0) &amp; "" "" &amp; REGEXEXTRACT(C3289, ""🏘️ \w+ \w+ (.*) ✅"") ,  if(H3289=""quartier"",vlookup(REGEXEXTRACT(C3289, ""🏘️ \w+ \w+ (.*) ✅""),'Quartier prepositio"&amp;"ns'!A:E, 5, 0) ,  if(H3289=""region"",vlookup(REGEXEXTRACT(C3289, ""🏘️ \w+ \w+ (.*) ✅""),'Region prepositions'!B:F, 5, 0),  REGEXEXTRACT(C3289, ""🏘️ \w+ \w+ (.*) ✅""))))"),"#N/A")</f>
        <v>#N/A</v>
      </c>
      <c r="I3289" s="4" t="str">
        <f>IFERROR(__xludf.DUMMYFUNCTION("if(D3289=""variant"",  substitute(filter(Templates!E:E, Templates!A:A = F3289, Templates!B:B = G3289, Templates!C:C = H3289), ""{{}}"", E3289), B3289)"),"Vendre maison Lumino: Trouvez le bien immobilier qui correspond idéalement à vos désirs sur ImmoScout24 - La plateforme de l'immobilier en Suisse.")</f>
        <v>Vendre maison Lumino: Trouvez le bien immobilier qui correspond idéalement à vos désirs sur ImmoScout24 - La plateforme de l'immobilier en Suisse.</v>
      </c>
    </row>
    <row r="3290" hidden="1">
      <c r="A3290" s="5" t="s">
        <v>9683</v>
      </c>
      <c r="B3290" s="2" t="s">
        <v>9684</v>
      </c>
      <c r="C3290" s="2" t="s">
        <v>9684</v>
      </c>
      <c r="D3290" s="4" t="str">
        <f>vlookup(A3290, Sheet2!D:E, 2, 0)</f>
        <v>control</v>
      </c>
      <c r="E3290" s="4" t="str">
        <f>IFERROR(__xludf.DUMMYFUNCTION("if(H3290=""pays"",vlookup(REGEXEXTRACT(C3290, ""🏘️ \w+ \w+ (.*) ✅""),'Country prepositions'!A:B, 2, 0) &amp; "" "" &amp; REGEXEXTRACT(C3290, ""🏘️ \w+ \w+ (.*) ✅"") ,  if(H3290=""quartier"",vlookup(REGEXEXTRACT(C3290, ""🏘️ \w+ \w+ (.*) ✅""),'Quartier prepositio"&amp;"ns'!A:E, 5, 0) ,  if(H3290=""region"",vlookup(REGEXEXTRACT(C3290, ""🏘️ \w+ \w+ (.*) ✅""),'Region prepositions'!B:F, 5, 0),  REGEXEXTRACT(C3290, ""🏘️ \w+ \w+ (.*) ✅""))))"),"#N/A")</f>
        <v>#N/A</v>
      </c>
      <c r="I3290" s="4" t="str">
        <f>IFERROR(__xludf.DUMMYFUNCTION("if(D3290=""variant"",  substitute(filter(Templates!E:E, Templates!A:A = F3290, Templates!B:B = G3290, Templates!C:C = H3290), ""{{}}"", E3290), B3290)"),"Vendre maison Chironico: Trouvez le bien immobilier qui correspond idéalement à vos désirs sur ImmoScout24 - La plateforme de l'immobilier en Suisse.")</f>
        <v>Vendre maison Chironico: Trouvez le bien immobilier qui correspond idéalement à vos désirs sur ImmoScout24 - La plateforme de l'immobilier en Suisse.</v>
      </c>
    </row>
    <row r="3291" hidden="1">
      <c r="A3291" s="5" t="s">
        <v>9685</v>
      </c>
      <c r="B3291" s="2" t="s">
        <v>9686</v>
      </c>
      <c r="C3291" s="2" t="s">
        <v>9686</v>
      </c>
      <c r="D3291" s="4" t="str">
        <f>vlookup(A3291, Sheet2!D:E, 2, 0)</f>
        <v>control</v>
      </c>
      <c r="E3291" s="4" t="str">
        <f>IFERROR(__xludf.DUMMYFUNCTION("if(H3291=""pays"",vlookup(REGEXEXTRACT(C3291, ""🏘️ \w+ \w+ (.*) ✅""),'Country prepositions'!A:B, 2, 0) &amp; "" "" &amp; REGEXEXTRACT(C3291, ""🏘️ \w+ \w+ (.*) ✅"") ,  if(H3291=""quartier"",vlookup(REGEXEXTRACT(C3291, ""🏘️ \w+ \w+ (.*) ✅""),'Quartier prepositio"&amp;"ns'!A:E, 5, 0) ,  if(H3291=""region"",vlookup(REGEXEXTRACT(C3291, ""🏘️ \w+ \w+ (.*) ✅""),'Region prepositions'!B:F, 5, 0),  REGEXEXTRACT(C3291, ""🏘️ \w+ \w+ (.*) ✅""))))"),"#N/A")</f>
        <v>#N/A</v>
      </c>
      <c r="I3291" s="4" t="str">
        <f>IFERROR(__xludf.DUMMYFUNCTION("if(D3291=""variant"",  substitute(filter(Templates!E:E, Templates!A:A = F3291, Templates!B:B = G3291, Templates!C:C = H3291), ""{{}}"", E3291), B3291)"),"Louer appartement Delley: Trouvez le bien immobilier qui correspond idéalement à vos désirs sur ImmoScout24 - La plateforme de l'immobilier en Suisse.")</f>
        <v>Louer appartement Delley: Trouvez le bien immobilier qui correspond idéalement à vos désirs sur ImmoScout24 - La plateforme de l'immobilier en Suisse.</v>
      </c>
    </row>
    <row r="3292" hidden="1">
      <c r="A3292" s="5" t="s">
        <v>9687</v>
      </c>
      <c r="B3292" s="2" t="s">
        <v>9688</v>
      </c>
      <c r="C3292" s="2" t="s">
        <v>9688</v>
      </c>
      <c r="D3292" s="4" t="str">
        <f>vlookup(A3292, Sheet2!D:E, 2, 0)</f>
        <v>control</v>
      </c>
      <c r="E3292" s="4" t="str">
        <f>IFERROR(__xludf.DUMMYFUNCTION("if(H3292=""pays"",vlookup(REGEXEXTRACT(C3292, ""🏘️ \w+ \w+ (.*) ✅""),'Country prepositions'!A:B, 2, 0) &amp; "" "" &amp; REGEXEXTRACT(C3292, ""🏘️ \w+ \w+ (.*) ✅"") ,  if(H3292=""quartier"",vlookup(REGEXEXTRACT(C3292, ""🏘️ \w+ \w+ (.*) ✅""),'Quartier prepositio"&amp;"ns'!A:E, 5, 0) ,  if(H3292=""region"",vlookup(REGEXEXTRACT(C3292, ""🏘️ \w+ \w+ (.*) ✅""),'Region prepositions'!B:F, 5, 0),  REGEXEXTRACT(C3292, ""🏘️ \w+ \w+ (.*) ✅""))))"),"#N/A")</f>
        <v>#N/A</v>
      </c>
      <c r="I3292" s="4" t="str">
        <f>IFERROR(__xludf.DUMMYFUNCTION("if(D3292=""variant"",  substitute(filter(Templates!E:E, Templates!A:A = F3292, Templates!B:B = G3292, Templates!C:C = H3292), ""{{}}"", E3292), B3292)"),"Louer appartement Hedingen: Trouvez le bien immobilier qui correspond idéalement à vos désirs sur ImmoScout24 - La plateforme de l'immobilier en Suisse.")</f>
        <v>Louer appartement Hedingen: Trouvez le bien immobilier qui correspond idéalement à vos désirs sur ImmoScout24 - La plateforme de l'immobilier en Suisse.</v>
      </c>
    </row>
    <row r="3293" hidden="1">
      <c r="A3293" s="5" t="s">
        <v>9689</v>
      </c>
      <c r="B3293" s="2" t="s">
        <v>9690</v>
      </c>
      <c r="C3293" s="2" t="s">
        <v>9690</v>
      </c>
      <c r="D3293" s="4" t="str">
        <f>vlookup(A3293, Sheet2!D:E, 2, 0)</f>
        <v>control</v>
      </c>
      <c r="E3293" s="4" t="str">
        <f>IFERROR(__xludf.DUMMYFUNCTION("if(H3293=""pays"",vlookup(REGEXEXTRACT(C3293, ""🏘️ \w+ \w+ (.*) ✅""),'Country prepositions'!A:B, 2, 0) &amp; "" "" &amp; REGEXEXTRACT(C3293, ""🏘️ \w+ \w+ (.*) ✅"") ,  if(H3293=""quartier"",vlookup(REGEXEXTRACT(C3293, ""🏘️ \w+ \w+ (.*) ✅""),'Quartier prepositio"&amp;"ns'!A:E, 5, 0) ,  if(H3293=""region"",vlookup(REGEXEXTRACT(C3293, ""🏘️ \w+ \w+ (.*) ✅""),'Region prepositions'!B:F, 5, 0),  REGEXEXTRACT(C3293, ""🏘️ \w+ \w+ (.*) ✅""))))"),"#N/A")</f>
        <v>#N/A</v>
      </c>
      <c r="I3293" s="4" t="str">
        <f>IFERROR(__xludf.DUMMYFUNCTION("if(D3293=""variant"",  substitute(filter(Templates!E:E, Templates!A:A = F3293, Templates!B:B = G3293, Templates!C:C = H3293), ""{{}}"", E3293), B3293)"),"Louer appartement Vionnaz: Trouvez le bien immobilier qui correspond idéalement à vos désirs sur ImmoScout24 - La plateforme de l'immobilier en Suisse.")</f>
        <v>Louer appartement Vionnaz: Trouvez le bien immobilier qui correspond idéalement à vos désirs sur ImmoScout24 - La plateforme de l'immobilier en Suisse.</v>
      </c>
    </row>
    <row r="3294" hidden="1">
      <c r="A3294" s="5" t="s">
        <v>9691</v>
      </c>
      <c r="B3294" s="2" t="s">
        <v>9692</v>
      </c>
      <c r="C3294" s="2" t="s">
        <v>9692</v>
      </c>
      <c r="D3294" s="4" t="str">
        <f>vlookup(A3294, Sheet2!D:E, 2, 0)</f>
        <v>control</v>
      </c>
      <c r="E3294" s="4" t="str">
        <f>IFERROR(__xludf.DUMMYFUNCTION("if(H3294=""pays"",vlookup(REGEXEXTRACT(C3294, ""🏘️ \w+ \w+ (.*) ✅""),'Country prepositions'!A:B, 2, 0) &amp; "" "" &amp; REGEXEXTRACT(C3294, ""🏘️ \w+ \w+ (.*) ✅"") ,  if(H3294=""quartier"",vlookup(REGEXEXTRACT(C3294, ""🏘️ \w+ \w+ (.*) ✅""),'Quartier prepositio"&amp;"ns'!A:E, 5, 0) ,  if(H3294=""region"",vlookup(REGEXEXTRACT(C3294, ""🏘️ \w+ \w+ (.*) ✅""),'Region prepositions'!B:F, 5, 0),  REGEXEXTRACT(C3294, ""🏘️ \w+ \w+ (.*) ✅""))))"),"#N/A")</f>
        <v>#N/A</v>
      </c>
      <c r="I3294" s="4" t="str">
        <f>IFERROR(__xludf.DUMMYFUNCTION("if(D3294=""variant"",  substitute(filter(Templates!E:E, Templates!A:A = F3294, Templates!B:B = G3294, Templates!C:C = H3294), ""{{}}"", E3294), B3294)"),"Vendre appartement Faulensee: Trouvez le bien immobilier qui correspond idéalement à vos désirs sur ImmoScout24 - La plateforme de l'immobilier en Suisse.")</f>
        <v>Vendre appartement Faulensee: Trouvez le bien immobilier qui correspond idéalement à vos désirs sur ImmoScout24 - La plateforme de l'immobilier en Suisse.</v>
      </c>
    </row>
    <row r="3295" hidden="1">
      <c r="A3295" s="5" t="s">
        <v>9693</v>
      </c>
      <c r="B3295" s="2" t="s">
        <v>9694</v>
      </c>
      <c r="C3295" s="2" t="s">
        <v>9694</v>
      </c>
      <c r="D3295" s="4" t="str">
        <f>vlookup(A3295, Sheet2!D:E, 2, 0)</f>
        <v>control</v>
      </c>
      <c r="E3295" s="4" t="str">
        <f>IFERROR(__xludf.DUMMYFUNCTION("if(H3295=""pays"",vlookup(REGEXEXTRACT(C3295, ""🏘️ \w+ \w+ (.*) ✅""),'Country prepositions'!A:B, 2, 0) &amp; "" "" &amp; REGEXEXTRACT(C3295, ""🏘️ \w+ \w+ (.*) ✅"") ,  if(H3295=""quartier"",vlookup(REGEXEXTRACT(C3295, ""🏘️ \w+ \w+ (.*) ✅""),'Quartier prepositio"&amp;"ns'!A:E, 5, 0) ,  if(H3295=""region"",vlookup(REGEXEXTRACT(C3295, ""🏘️ \w+ \w+ (.*) ✅""),'Region prepositions'!B:F, 5, 0),  REGEXEXTRACT(C3295, ""🏘️ \w+ \w+ (.*) ✅""))))"),"#N/A")</f>
        <v>#N/A</v>
      </c>
      <c r="I3295" s="4" t="str">
        <f>IFERROR(__xludf.DUMMYFUNCTION("if(D3295=""variant"",  substitute(filter(Templates!E:E, Templates!A:A = F3295, Templates!B:B = G3295, Templates!C:C = H3295), ""{{}}"", E3295), B3295)"),"Vendre maison Bubendorf: Trouvez le bien immobilier qui correspond idéalement à vos désirs sur ImmoScout24 - La plateforme de l'immobilier en Suisse.")</f>
        <v>Vendre maison Bubendorf: Trouvez le bien immobilier qui correspond idéalement à vos désirs sur ImmoScout24 - La plateforme de l'immobilier en Suisse.</v>
      </c>
    </row>
    <row r="3296" hidden="1">
      <c r="A3296" s="5" t="s">
        <v>9695</v>
      </c>
      <c r="B3296" s="2" t="s">
        <v>9696</v>
      </c>
      <c r="C3296" s="2" t="s">
        <v>9696</v>
      </c>
      <c r="D3296" s="4" t="str">
        <f>vlookup(A3296, Sheet2!D:E, 2, 0)</f>
        <v>control</v>
      </c>
      <c r="E3296" s="4" t="str">
        <f>IFERROR(__xludf.DUMMYFUNCTION("if(H3296=""pays"",vlookup(REGEXEXTRACT(C3296, ""🏘️ \w+ \w+ (.*) ✅""),'Country prepositions'!A:B, 2, 0) &amp; "" "" &amp; REGEXEXTRACT(C3296, ""🏘️ \w+ \w+ (.*) ✅"") ,  if(H3296=""quartier"",vlookup(REGEXEXTRACT(C3296, ""🏘️ \w+ \w+ (.*) ✅""),'Quartier prepositio"&amp;"ns'!A:E, 5, 0) ,  if(H3296=""region"",vlookup(REGEXEXTRACT(C3296, ""🏘️ \w+ \w+ (.*) ✅""),'Region prepositions'!B:F, 5, 0),  REGEXEXTRACT(C3296, ""🏘️ \w+ \w+ (.*) ✅""))))"),"#N/A")</f>
        <v>#N/A</v>
      </c>
      <c r="I3296" s="4" t="str">
        <f>IFERROR(__xludf.DUMMYFUNCTION("if(D3296=""variant"",  substitute(filter(Templates!E:E, Templates!A:A = F3296, Templates!B:B = G3296, Templates!C:C = H3296), ""{{}}"", E3296), B3296)"),"Louer maison Gy: Trouvez le bien immobilier qui correspond idéalement à vos désirs sur ImmoScout24 - La plateforme de l'immobilier en Suisse.")</f>
        <v>Louer maison Gy: Trouvez le bien immobilier qui correspond idéalement à vos désirs sur ImmoScout24 - La plateforme de l'immobilier en Suisse.</v>
      </c>
    </row>
    <row r="3297" hidden="1">
      <c r="A3297" s="5" t="s">
        <v>9697</v>
      </c>
      <c r="B3297" s="2" t="s">
        <v>9698</v>
      </c>
      <c r="C3297" s="2" t="s">
        <v>9698</v>
      </c>
      <c r="D3297" s="4" t="str">
        <f>vlookup(A3297, Sheet2!D:E, 2, 0)</f>
        <v>control</v>
      </c>
      <c r="E3297" s="4" t="str">
        <f>IFERROR(__xludf.DUMMYFUNCTION("if(H3297=""pays"",vlookup(REGEXEXTRACT(C3297, ""🏘️ \w+ \w+ (.*) ✅""),'Country prepositions'!A:B, 2, 0) &amp; "" "" &amp; REGEXEXTRACT(C3297, ""🏘️ \w+ \w+ (.*) ✅"") ,  if(H3297=""quartier"",vlookup(REGEXEXTRACT(C3297, ""🏘️ \w+ \w+ (.*) ✅""),'Quartier prepositio"&amp;"ns'!A:E, 5, 0) ,  if(H3297=""region"",vlookup(REGEXEXTRACT(C3297, ""🏘️ \w+ \w+ (.*) ✅""),'Region prepositions'!B:F, 5, 0),  REGEXEXTRACT(C3297, ""🏘️ \w+ \w+ (.*) ✅""))))"),"#N/A")</f>
        <v>#N/A</v>
      </c>
      <c r="I3297" s="4" t="str">
        <f>IFERROR(__xludf.DUMMYFUNCTION("if(D3297=""variant"",  substitute(filter(Templates!E:E, Templates!A:A = F3297, Templates!B:B = G3297, Templates!C:C = H3297), ""{{}}"", E3297), B3297)"),"Vendre appartement Ottenbach: Trouvez le bien immobilier qui correspond idéalement à vos désirs sur ImmoScout24 - La plateforme de l'immobilier en Suisse.")</f>
        <v>Vendre appartement Ottenbach: Trouvez le bien immobilier qui correspond idéalement à vos désirs sur ImmoScout24 - La plateforme de l'immobilier en Suisse.</v>
      </c>
    </row>
    <row r="3298" hidden="1">
      <c r="A3298" s="5" t="s">
        <v>9699</v>
      </c>
      <c r="B3298" s="2" t="s">
        <v>9700</v>
      </c>
      <c r="C3298" s="2" t="s">
        <v>9700</v>
      </c>
      <c r="D3298" s="4" t="str">
        <f>vlookup(A3298, Sheet2!D:E, 2, 0)</f>
        <v>control</v>
      </c>
      <c r="E3298" s="4" t="str">
        <f>IFERROR(__xludf.DUMMYFUNCTION("if(H3298=""pays"",vlookup(REGEXEXTRACT(C3298, ""🏘️ \w+ \w+ (.*) ✅""),'Country prepositions'!A:B, 2, 0) &amp; "" "" &amp; REGEXEXTRACT(C3298, ""🏘️ \w+ \w+ (.*) ✅"") ,  if(H3298=""quartier"",vlookup(REGEXEXTRACT(C3298, ""🏘️ \w+ \w+ (.*) ✅""),'Quartier prepositio"&amp;"ns'!A:E, 5, 0) ,  if(H3298=""region"",vlookup(REGEXEXTRACT(C3298, ""🏘️ \w+ \w+ (.*) ✅""),'Region prepositions'!B:F, 5, 0),  REGEXEXTRACT(C3298, ""🏘️ \w+ \w+ (.*) ✅""))))"),"#N/A")</f>
        <v>#N/A</v>
      </c>
      <c r="I3298" s="4" t="str">
        <f>IFERROR(__xludf.DUMMYFUNCTION("if(D3298=""variant"",  substitute(filter(Templates!E:E, Templates!A:A = F3298, Templates!B:B = G3298, Templates!C:C = H3298), ""{{}}"", E3298), B3298)"),"Vendre maison Maladière - Mail (Neuchâtel): Trouvez le bien immobilier qui correspond idéalement à vos désirs sur ImmoScout24 - La plateforme de l'immobilier en Suisse.")</f>
        <v>Vendre maison Maladière - Mail (Neuchâtel): Trouvez le bien immobilier qui correspond idéalement à vos désirs sur ImmoScout24 - La plateforme de l'immobilier en Suisse.</v>
      </c>
    </row>
    <row r="3299" hidden="1">
      <c r="A3299" s="5" t="s">
        <v>9701</v>
      </c>
      <c r="B3299" s="2" t="s">
        <v>9702</v>
      </c>
      <c r="C3299" s="2" t="s">
        <v>9702</v>
      </c>
      <c r="D3299" s="4" t="str">
        <f>vlookup(A3299, Sheet2!D:E, 2, 0)</f>
        <v>control</v>
      </c>
      <c r="E3299" s="4" t="str">
        <f>IFERROR(__xludf.DUMMYFUNCTION("if(H3299=""pays"",vlookup(REGEXEXTRACT(C3299, ""🏘️ \w+ \w+ (.*) ✅""),'Country prepositions'!A:B, 2, 0) &amp; "" "" &amp; REGEXEXTRACT(C3299, ""🏘️ \w+ \w+ (.*) ✅"") ,  if(H3299=""quartier"",vlookup(REGEXEXTRACT(C3299, ""🏘️ \w+ \w+ (.*) ✅""),'Quartier prepositio"&amp;"ns'!A:E, 5, 0) ,  if(H3299=""region"",vlookup(REGEXEXTRACT(C3299, ""🏘️ \w+ \w+ (.*) ✅""),'Region prepositions'!B:F, 5, 0),  REGEXEXTRACT(C3299, ""🏘️ \w+ \w+ (.*) ✅""))))"),"#N/A")</f>
        <v>#N/A</v>
      </c>
      <c r="I3299" s="4" t="str">
        <f>IFERROR(__xludf.DUMMYFUNCTION("if(D3299=""variant"",  substitute(filter(Templates!E:E, Templates!A:A = F3299, Templates!B:B = G3299, Templates!C:C = H3299), ""{{}}"", E3299), B3299)"),"Vendre appartement Bellinzone: Trouvez le bien immobilier qui correspond idéalement à vos désirs sur ImmoScout24 - La plateforme de l'immobilier en Suisse.")</f>
        <v>Vendre appartement Bellinzone: Trouvez le bien immobilier qui correspond idéalement à vos désirs sur ImmoScout24 - La plateforme de l'immobilier en Suisse.</v>
      </c>
    </row>
    <row r="3300" hidden="1">
      <c r="A3300" s="5" t="s">
        <v>9703</v>
      </c>
      <c r="B3300" s="2" t="s">
        <v>9704</v>
      </c>
      <c r="C3300" s="2" t="s">
        <v>9704</v>
      </c>
      <c r="D3300" s="4" t="str">
        <f>vlookup(A3300, Sheet2!D:E, 2, 0)</f>
        <v>control</v>
      </c>
      <c r="E3300" s="4" t="str">
        <f>IFERROR(__xludf.DUMMYFUNCTION("if(H3300=""pays"",vlookup(REGEXEXTRACT(C3300, ""🏘️ \w+ \w+ (.*) ✅""),'Country prepositions'!A:B, 2, 0) &amp; "" "" &amp; REGEXEXTRACT(C3300, ""🏘️ \w+ \w+ (.*) ✅"") ,  if(H3300=""quartier"",vlookup(REGEXEXTRACT(C3300, ""🏘️ \w+ \w+ (.*) ✅""),'Quartier prepositio"&amp;"ns'!A:E, 5, 0) ,  if(H3300=""region"",vlookup(REGEXEXTRACT(C3300, ""🏘️ \w+ \w+ (.*) ✅""),'Region prepositions'!B:F, 5, 0),  REGEXEXTRACT(C3300, ""🏘️ \w+ \w+ (.*) ✅""))))"),"#N/A")</f>
        <v>#N/A</v>
      </c>
      <c r="I3300" s="4" t="str">
        <f>IFERROR(__xludf.DUMMYFUNCTION("if(D3300=""variant"",  substitute(filter(Templates!E:E, Templates!A:A = F3300, Templates!B:B = G3300, Templates!C:C = H3300), ""{{}}"", E3300), B3300)"),"Louer maison Ravoire: Trouvez le bien immobilier qui correspond idéalement à vos désirs sur ImmoScout24 - La plateforme de l'immobilier en Suisse.")</f>
        <v>Louer maison Ravoire: Trouvez le bien immobilier qui correspond idéalement à vos désirs sur ImmoScout24 - La plateforme de l'immobilier en Suisse.</v>
      </c>
    </row>
    <row r="3301" hidden="1">
      <c r="A3301" s="5" t="s">
        <v>9705</v>
      </c>
      <c r="B3301" s="2" t="s">
        <v>9706</v>
      </c>
      <c r="C3301" s="2" t="s">
        <v>9706</v>
      </c>
      <c r="D3301" s="4" t="str">
        <f>vlookup(A3301, Sheet2!D:E, 2, 0)</f>
        <v>control</v>
      </c>
      <c r="E3301" s="4" t="str">
        <f>IFERROR(__xludf.DUMMYFUNCTION("if(H3301=""pays"",vlookup(REGEXEXTRACT(C3301, ""🏘️ \w+ \w+ (.*) ✅""),'Country prepositions'!A:B, 2, 0) &amp; "" "" &amp; REGEXEXTRACT(C3301, ""🏘️ \w+ \w+ (.*) ✅"") ,  if(H3301=""quartier"",vlookup(REGEXEXTRACT(C3301, ""🏘️ \w+ \w+ (.*) ✅""),'Quartier prepositio"&amp;"ns'!A:E, 5, 0) ,  if(H3301=""region"",vlookup(REGEXEXTRACT(C3301, ""🏘️ \w+ \w+ (.*) ✅""),'Region prepositions'!B:F, 5, 0),  REGEXEXTRACT(C3301, ""🏘️ \w+ \w+ (.*) ✅""))))"),"#N/A")</f>
        <v>#N/A</v>
      </c>
      <c r="I3301" s="4" t="str">
        <f>IFERROR(__xludf.DUMMYFUNCTION("if(D3301=""variant"",  substitute(filter(Templates!E:E, Templates!A:A = F3301, Templates!B:B = G3301, Templates!C:C = H3301), ""{{}}"", E3301), B3301)"),"Louer appartement Croix-Fédérale (La Chaux-de-Fonds): Trouvez le bien immobilier qui correspond idéalement à vos désirs sur ImmoScout24 - La plateforme de l'immobilier en Suisse.")</f>
        <v>Louer appartement Croix-Fédérale (La Chaux-de-Fonds): Trouvez le bien immobilier qui correspond idéalement à vos désirs sur ImmoScout24 - La plateforme de l'immobilier en Suisse.</v>
      </c>
    </row>
    <row r="3302" hidden="1">
      <c r="A3302" s="5" t="s">
        <v>9707</v>
      </c>
      <c r="B3302" s="2" t="s">
        <v>9708</v>
      </c>
      <c r="C3302" s="2" t="s">
        <v>9708</v>
      </c>
      <c r="D3302" s="4" t="str">
        <f>vlookup(A3302, Sheet2!D:E, 2, 0)</f>
        <v>control</v>
      </c>
      <c r="E3302" s="4" t="str">
        <f>IFERROR(__xludf.DUMMYFUNCTION("if(H3302=""pays"",vlookup(REGEXEXTRACT(C3302, ""🏘️ \w+ \w+ (.*) ✅""),'Country prepositions'!A:B, 2, 0) &amp; "" "" &amp; REGEXEXTRACT(C3302, ""🏘️ \w+ \w+ (.*) ✅"") ,  if(H3302=""quartier"",vlookup(REGEXEXTRACT(C3302, ""🏘️ \w+ \w+ (.*) ✅""),'Quartier prepositio"&amp;"ns'!A:E, 5, 0) ,  if(H3302=""region"",vlookup(REGEXEXTRACT(C3302, ""🏘️ \w+ \w+ (.*) ✅""),'Region prepositions'!B:F, 5, 0),  REGEXEXTRACT(C3302, ""🏘️ \w+ \w+ (.*) ✅""))))"),"#N/A")</f>
        <v>#N/A</v>
      </c>
      <c r="I3302" s="4" t="str">
        <f>IFERROR(__xludf.DUMMYFUNCTION("if(D3302=""variant"",  substitute(filter(Templates!E:E, Templates!A:A = F3302, Templates!B:B = G3302, Templates!C:C = H3302), ""{{}}"", E3302), B3302)"),"Louer maison Canton de Nidwald: Trouvez le bien immobilier qui correspond idéalement à vos désirs sur ImmoScout24 - La plateforme de l'immobilier en Suisse.")</f>
        <v>Louer maison Canton de Nidwald: Trouvez le bien immobilier qui correspond idéalement à vos désirs sur ImmoScout24 - La plateforme de l'immobilier en Suisse.</v>
      </c>
    </row>
    <row r="3303" hidden="1">
      <c r="A3303" s="5" t="s">
        <v>9709</v>
      </c>
      <c r="B3303" s="2" t="s">
        <v>9710</v>
      </c>
      <c r="C3303" s="2" t="s">
        <v>9710</v>
      </c>
      <c r="D3303" s="4" t="str">
        <f>vlookup(A3303, Sheet2!D:E, 2, 0)</f>
        <v>control</v>
      </c>
      <c r="E3303" s="4" t="str">
        <f>IFERROR(__xludf.DUMMYFUNCTION("if(H3303=""pays"",vlookup(REGEXEXTRACT(C3303, ""🏘️ \w+ \w+ (.*) ✅""),'Country prepositions'!A:B, 2, 0) &amp; "" "" &amp; REGEXEXTRACT(C3303, ""🏘️ \w+ \w+ (.*) ✅"") ,  if(H3303=""quartier"",vlookup(REGEXEXTRACT(C3303, ""🏘️ \w+ \w+ (.*) ✅""),'Quartier prepositio"&amp;"ns'!A:E, 5, 0) ,  if(H3303=""region"",vlookup(REGEXEXTRACT(C3303, ""🏘️ \w+ \w+ (.*) ✅""),'Region prepositions'!B:F, 5, 0),  REGEXEXTRACT(C3303, ""🏘️ \w+ \w+ (.*) ✅""))))"),"#N/A")</f>
        <v>#N/A</v>
      </c>
      <c r="I3303" s="4" t="str">
        <f>IFERROR(__xludf.DUMMYFUNCTION("if(D3303=""variant"",  substitute(filter(Templates!E:E, Templates!A:A = F3303, Templates!B:B = G3303, Templates!C:C = H3303), ""{{}}"", E3303), B3303)"),"Vendre maison Mergoscia: Trouvez le bien immobilier qui correspond idéalement à vos désirs sur ImmoScout24 - La plateforme de l'immobilier en Suisse.")</f>
        <v>Vendre maison Mergoscia: Trouvez le bien immobilier qui correspond idéalement à vos désirs sur ImmoScout24 - La plateforme de l'immobilier en Suisse.</v>
      </c>
    </row>
    <row r="3304" hidden="1">
      <c r="A3304" s="5" t="s">
        <v>9711</v>
      </c>
      <c r="B3304" s="2" t="s">
        <v>9712</v>
      </c>
      <c r="C3304" s="2" t="s">
        <v>9712</v>
      </c>
      <c r="D3304" s="4" t="str">
        <f>vlookup(A3304, Sheet2!D:E, 2, 0)</f>
        <v>control</v>
      </c>
      <c r="E3304" s="4" t="str">
        <f>IFERROR(__xludf.DUMMYFUNCTION("if(H3304=""pays"",vlookup(REGEXEXTRACT(C3304, ""🏘️ \w+ \w+ (.*) ✅""),'Country prepositions'!A:B, 2, 0) &amp; "" "" &amp; REGEXEXTRACT(C3304, ""🏘️ \w+ \w+ (.*) ✅"") ,  if(H3304=""quartier"",vlookup(REGEXEXTRACT(C3304, ""🏘️ \w+ \w+ (.*) ✅""),'Quartier prepositio"&amp;"ns'!A:E, 5, 0) ,  if(H3304=""region"",vlookup(REGEXEXTRACT(C3304, ""🏘️ \w+ \w+ (.*) ✅""),'Region prepositions'!B:F, 5, 0),  REGEXEXTRACT(C3304, ""🏘️ \w+ \w+ (.*) ✅""))))"),"#N/A")</f>
        <v>#N/A</v>
      </c>
      <c r="I3304" s="4" t="str">
        <f>IFERROR(__xludf.DUMMYFUNCTION("if(D3304=""variant"",  substitute(filter(Templates!E:E, Templates!A:A = F3304, Templates!B:B = G3304, Templates!C:C = H3304), ""{{}}"", E3304), B3304)"),"Louer appartement Neuenegg: Trouvez le bien immobilier qui correspond idéalement à vos désirs sur ImmoScout24 - La plateforme de l'immobilier en Suisse.")</f>
        <v>Louer appartement Neuenegg: Trouvez le bien immobilier qui correspond idéalement à vos désirs sur ImmoScout24 - La plateforme de l'immobilier en Suisse.</v>
      </c>
    </row>
    <row r="3305" hidden="1">
      <c r="A3305" s="5" t="s">
        <v>9713</v>
      </c>
      <c r="B3305" s="2" t="s">
        <v>9714</v>
      </c>
      <c r="C3305" s="2" t="s">
        <v>9714</v>
      </c>
      <c r="D3305" s="4" t="str">
        <f>vlookup(A3305, Sheet2!D:E, 2, 0)</f>
        <v>control</v>
      </c>
      <c r="E3305" s="4" t="str">
        <f>IFERROR(__xludf.DUMMYFUNCTION("if(H3305=""pays"",vlookup(REGEXEXTRACT(C3305, ""🏘️ \w+ \w+ (.*) ✅""),'Country prepositions'!A:B, 2, 0) &amp; "" "" &amp; REGEXEXTRACT(C3305, ""🏘️ \w+ \w+ (.*) ✅"") ,  if(H3305=""quartier"",vlookup(REGEXEXTRACT(C3305, ""🏘️ \w+ \w+ (.*) ✅""),'Quartier prepositio"&amp;"ns'!A:E, 5, 0) ,  if(H3305=""region"",vlookup(REGEXEXTRACT(C3305, ""🏘️ \w+ \w+ (.*) ✅""),'Region prepositions'!B:F, 5, 0),  REGEXEXTRACT(C3305, ""🏘️ \w+ \w+ (.*) ✅""))))"),"#N/A")</f>
        <v>#N/A</v>
      </c>
      <c r="I3305" s="4" t="str">
        <f>IFERROR(__xludf.DUMMYFUNCTION("if(D3305=""variant"",  substitute(filter(Templates!E:E, Templates!A:A = F3305, Templates!B:B = G3305, Templates!C:C = H3305), ""{{}}"", E3305), B3305)"),"Louer maison Granges (Veveyse): Trouvez le bien immobilier qui correspond idéalement à vos désirs sur ImmoScout24 - La plateforme de l'immobilier en Suisse.")</f>
        <v>Louer maison Granges (Veveyse): Trouvez le bien immobilier qui correspond idéalement à vos désirs sur ImmoScout24 - La plateforme de l'immobilier en Suisse.</v>
      </c>
    </row>
    <row r="3306" hidden="1">
      <c r="A3306" s="5" t="s">
        <v>9715</v>
      </c>
      <c r="B3306" s="2" t="s">
        <v>9716</v>
      </c>
      <c r="C3306" s="2" t="s">
        <v>9716</v>
      </c>
      <c r="D3306" s="4" t="str">
        <f>vlookup(A3306, Sheet2!D:E, 2, 0)</f>
        <v>control</v>
      </c>
      <c r="E3306" s="4" t="str">
        <f>IFERROR(__xludf.DUMMYFUNCTION("if(H3306=""pays"",vlookup(REGEXEXTRACT(C3306, ""🏘️ \w+ \w+ (.*) ✅""),'Country prepositions'!A:B, 2, 0) &amp; "" "" &amp; REGEXEXTRACT(C3306, ""🏘️ \w+ \w+ (.*) ✅"") ,  if(H3306=""quartier"",vlookup(REGEXEXTRACT(C3306, ""🏘️ \w+ \w+ (.*) ✅""),'Quartier prepositio"&amp;"ns'!A:E, 5, 0) ,  if(H3306=""region"",vlookup(REGEXEXTRACT(C3306, ""🏘️ \w+ \w+ (.*) ✅""),'Region prepositions'!B:F, 5, 0),  REGEXEXTRACT(C3306, ""🏘️ \w+ \w+ (.*) ✅""))))"),"#N/A")</f>
        <v>#N/A</v>
      </c>
      <c r="I3306" s="4" t="str">
        <f>IFERROR(__xludf.DUMMYFUNCTION("if(D3306=""variant"",  substitute(filter(Templates!E:E, Templates!A:A = F3306, Templates!B:B = G3306, Templates!C:C = H3306), ""{{}}"", E3306), B3306)"),"Vendre maison Cremin: Trouvez le bien immobilier qui correspond idéalement à vos désirs sur ImmoScout24 - La plateforme de l'immobilier en Suisse.")</f>
        <v>Vendre maison Cremin: Trouvez le bien immobilier qui correspond idéalement à vos désirs sur ImmoScout24 - La plateforme de l'immobilier en Suisse.</v>
      </c>
    </row>
    <row r="3307" hidden="1">
      <c r="A3307" s="5" t="s">
        <v>9717</v>
      </c>
      <c r="B3307" s="2" t="s">
        <v>9718</v>
      </c>
      <c r="C3307" s="2" t="s">
        <v>9718</v>
      </c>
      <c r="D3307" s="4" t="str">
        <f>vlookup(A3307, Sheet2!D:E, 2, 0)</f>
        <v>control</v>
      </c>
      <c r="E3307" s="4" t="str">
        <f>IFERROR(__xludf.DUMMYFUNCTION("if(H3307=""pays"",vlookup(REGEXEXTRACT(C3307, ""🏘️ \w+ \w+ (.*) ✅""),'Country prepositions'!A:B, 2, 0) &amp; "" "" &amp; REGEXEXTRACT(C3307, ""🏘️ \w+ \w+ (.*) ✅"") ,  if(H3307=""quartier"",vlookup(REGEXEXTRACT(C3307, ""🏘️ \w+ \w+ (.*) ✅""),'Quartier prepositio"&amp;"ns'!A:E, 5, 0) ,  if(H3307=""region"",vlookup(REGEXEXTRACT(C3307, ""🏘️ \w+ \w+ (.*) ✅""),'Region prepositions'!B:F, 5, 0),  REGEXEXTRACT(C3307, ""🏘️ \w+ \w+ (.*) ✅""))))"),"#N/A")</f>
        <v>#N/A</v>
      </c>
      <c r="I3307" s="4" t="str">
        <f>IFERROR(__xludf.DUMMYFUNCTION("if(D3307=""variant"",  substitute(filter(Templates!E:E, Templates!A:A = F3307, Templates!B:B = G3307, Templates!C:C = H3307), ""{{}}"", E3307), B3307)"),"Vendre maison Saules BE: Trouvez le bien immobilier qui correspond idéalement à vos désirs sur ImmoScout24 - La plateforme de l'immobilier en Suisse.")</f>
        <v>Vendre maison Saules BE: Trouvez le bien immobilier qui correspond idéalement à vos désirs sur ImmoScout24 - La plateforme de l'immobilier en Suisse.</v>
      </c>
    </row>
    <row r="3308" hidden="1">
      <c r="A3308" s="5" t="s">
        <v>9719</v>
      </c>
      <c r="B3308" s="2" t="s">
        <v>9720</v>
      </c>
      <c r="C3308" s="2" t="s">
        <v>9720</v>
      </c>
      <c r="D3308" s="4" t="str">
        <f>vlookup(A3308, Sheet2!D:E, 2, 0)</f>
        <v>control</v>
      </c>
      <c r="E3308" s="4" t="str">
        <f>IFERROR(__xludf.DUMMYFUNCTION("if(H3308=""pays"",vlookup(REGEXEXTRACT(C3308, ""🏘️ \w+ \w+ (.*) ✅""),'Country prepositions'!A:B, 2, 0) &amp; "" "" &amp; REGEXEXTRACT(C3308, ""🏘️ \w+ \w+ (.*) ✅"") ,  if(H3308=""quartier"",vlookup(REGEXEXTRACT(C3308, ""🏘️ \w+ \w+ (.*) ✅""),'Quartier prepositio"&amp;"ns'!A:E, 5, 0) ,  if(H3308=""region"",vlookup(REGEXEXTRACT(C3308, ""🏘️ \w+ \w+ (.*) ✅""),'Region prepositions'!B:F, 5, 0),  REGEXEXTRACT(C3308, ""🏘️ \w+ \w+ (.*) ✅""))))"),"#N/A")</f>
        <v>#N/A</v>
      </c>
      <c r="I3308" s="4" t="str">
        <f>IFERROR(__xludf.DUMMYFUNCTION("if(D3308=""variant"",  substitute(filter(Templates!E:E, Templates!A:A = F3308, Templates!B:B = G3308, Templates!C:C = H3308), ""{{}}"", E3308), B3308)"),"Vendre maison Vollèges: Trouvez le bien immobilier qui correspond idéalement à vos désirs sur ImmoScout24 - La plateforme de l'immobilier en Suisse.")</f>
        <v>Vendre maison Vollèges: Trouvez le bien immobilier qui correspond idéalement à vos désirs sur ImmoScout24 - La plateforme de l'immobilier en Suisse.</v>
      </c>
    </row>
    <row r="3309" hidden="1">
      <c r="A3309" s="5" t="s">
        <v>9721</v>
      </c>
      <c r="B3309" s="2" t="s">
        <v>9722</v>
      </c>
      <c r="C3309" s="2" t="s">
        <v>9722</v>
      </c>
      <c r="D3309" s="4" t="str">
        <f>vlookup(A3309, Sheet2!D:E, 2, 0)</f>
        <v>control</v>
      </c>
      <c r="E3309" s="4" t="str">
        <f>IFERROR(__xludf.DUMMYFUNCTION("if(H3309=""pays"",vlookup(REGEXEXTRACT(C3309, ""🏘️ \w+ \w+ (.*) ✅""),'Country prepositions'!A:B, 2, 0) &amp; "" "" &amp; REGEXEXTRACT(C3309, ""🏘️ \w+ \w+ (.*) ✅"") ,  if(H3309=""quartier"",vlookup(REGEXEXTRACT(C3309, ""🏘️ \w+ \w+ (.*) ✅""),'Quartier prepositio"&amp;"ns'!A:E, 5, 0) ,  if(H3309=""region"",vlookup(REGEXEXTRACT(C3309, ""🏘️ \w+ \w+ (.*) ✅""),'Region prepositions'!B:F, 5, 0),  REGEXEXTRACT(C3309, ""🏘️ \w+ \w+ (.*) ✅""))))"),"#N/A")</f>
        <v>#N/A</v>
      </c>
      <c r="I3309" s="4" t="str">
        <f>IFERROR(__xludf.DUMMYFUNCTION("if(D3309=""variant"",  substitute(filter(Templates!E:E, Templates!A:A = F3309, Templates!B:B = G3309, Templates!C:C = H3309), ""{{}}"", E3309), B3309)"),"Louer appartement Schafisheim: Trouvez le bien immobilier qui correspond idéalement à vos désirs sur ImmoScout24 - La plateforme de l'immobilier en Suisse.")</f>
        <v>Louer appartement Schafisheim: Trouvez le bien immobilier qui correspond idéalement à vos désirs sur ImmoScout24 - La plateforme de l'immobilier en Suisse.</v>
      </c>
    </row>
    <row r="3310" hidden="1">
      <c r="A3310" s="5" t="s">
        <v>9723</v>
      </c>
      <c r="B3310" s="2" t="s">
        <v>9724</v>
      </c>
      <c r="C3310" s="2" t="s">
        <v>9724</v>
      </c>
      <c r="D3310" s="4" t="str">
        <f>vlookup(A3310, Sheet2!D:E, 2, 0)</f>
        <v>control</v>
      </c>
      <c r="E3310" s="4" t="str">
        <f>IFERROR(__xludf.DUMMYFUNCTION("if(H3310=""pays"",vlookup(REGEXEXTRACT(C3310, ""🏘️ \w+ \w+ (.*) ✅""),'Country prepositions'!A:B, 2, 0) &amp; "" "" &amp; REGEXEXTRACT(C3310, ""🏘️ \w+ \w+ (.*) ✅"") ,  if(H3310=""quartier"",vlookup(REGEXEXTRACT(C3310, ""🏘️ \w+ \w+ (.*) ✅""),'Quartier prepositio"&amp;"ns'!A:E, 5, 0) ,  if(H3310=""region"",vlookup(REGEXEXTRACT(C3310, ""🏘️ \w+ \w+ (.*) ✅""),'Region prepositions'!B:F, 5, 0),  REGEXEXTRACT(C3310, ""🏘️ \w+ \w+ (.*) ✅""))))"),"#N/A")</f>
        <v>#N/A</v>
      </c>
      <c r="I3310" s="4" t="str">
        <f>IFERROR(__xludf.DUMMYFUNCTION("if(D3310=""variant"",  substitute(filter(Templates!E:E, Templates!A:A = F3310, Templates!B:B = G3310, Templates!C:C = H3310), ""{{}}"", E3310), B3310)"),"Vendre maison Faoug: Trouvez le bien immobilier qui correspond idéalement à vos désirs sur ImmoScout24 - La plateforme de l'immobilier en Suisse.")</f>
        <v>Vendre maison Faoug: Trouvez le bien immobilier qui correspond idéalement à vos désirs sur ImmoScout24 - La plateforme de l'immobilier en Suisse.</v>
      </c>
    </row>
    <row r="3311" hidden="1">
      <c r="A3311" s="5" t="s">
        <v>9725</v>
      </c>
      <c r="B3311" s="2" t="s">
        <v>9726</v>
      </c>
      <c r="C3311" s="2" t="s">
        <v>9726</v>
      </c>
      <c r="D3311" s="4" t="str">
        <f>vlookup(A3311, Sheet2!D:E, 2, 0)</f>
        <v>control</v>
      </c>
      <c r="E3311" s="4" t="str">
        <f>IFERROR(__xludf.DUMMYFUNCTION("if(H3311=""pays"",vlookup(REGEXEXTRACT(C3311, ""🏘️ \w+ \w+ (.*) ✅""),'Country prepositions'!A:B, 2, 0) &amp; "" "" &amp; REGEXEXTRACT(C3311, ""🏘️ \w+ \w+ (.*) ✅"") ,  if(H3311=""quartier"",vlookup(REGEXEXTRACT(C3311, ""🏘️ \w+ \w+ (.*) ✅""),'Quartier prepositio"&amp;"ns'!A:E, 5, 0) ,  if(H3311=""region"",vlookup(REGEXEXTRACT(C3311, ""🏘️ \w+ \w+ (.*) ✅""),'Region prepositions'!B:F, 5, 0),  REGEXEXTRACT(C3311, ""🏘️ \w+ \w+ (.*) ✅""))))"),"#N/A")</f>
        <v>#N/A</v>
      </c>
      <c r="I3311" s="4" t="str">
        <f>IFERROR(__xludf.DUMMYFUNCTION("if(D3311=""variant"",  substitute(filter(Templates!E:E, Templates!A:A = F3311, Templates!B:B = G3311, Templates!C:C = H3311), ""{{}}"", E3311), B3311)"),"Vendre maison Brugg AG: Trouvez le bien immobilier qui correspond idéalement à vos désirs sur ImmoScout24 - La plateforme de l'immobilier en Suisse.")</f>
        <v>Vendre maison Brugg AG: Trouvez le bien immobilier qui correspond idéalement à vos désirs sur ImmoScout24 - La plateforme de l'immobilier en Suisse.</v>
      </c>
    </row>
    <row r="3312" hidden="1">
      <c r="A3312" s="5" t="s">
        <v>9727</v>
      </c>
      <c r="B3312" s="2" t="s">
        <v>9728</v>
      </c>
      <c r="C3312" s="2" t="s">
        <v>9728</v>
      </c>
      <c r="D3312" s="4" t="str">
        <f>vlookup(A3312, Sheet2!D:E, 2, 0)</f>
        <v>control</v>
      </c>
      <c r="E3312" s="4" t="str">
        <f>IFERROR(__xludf.DUMMYFUNCTION("if(H3312=""pays"",vlookup(REGEXEXTRACT(C3312, ""🏘️ \w+ \w+ (.*) ✅""),'Country prepositions'!A:B, 2, 0) &amp; "" "" &amp; REGEXEXTRACT(C3312, ""🏘️ \w+ \w+ (.*) ✅"") ,  if(H3312=""quartier"",vlookup(REGEXEXTRACT(C3312, ""🏘️ \w+ \w+ (.*) ✅""),'Quartier prepositio"&amp;"ns'!A:E, 5, 0) ,  if(H3312=""region"",vlookup(REGEXEXTRACT(C3312, ""🏘️ \w+ \w+ (.*) ✅""),'Region prepositions'!B:F, 5, 0),  REGEXEXTRACT(C3312, ""🏘️ \w+ \w+ (.*) ✅""))))"),"#N/A")</f>
        <v>#N/A</v>
      </c>
      <c r="I3312" s="4" t="str">
        <f>IFERROR(__xludf.DUMMYFUNCTION("if(D3312=""variant"",  substitute(filter(Templates!E:E, Templates!A:A = F3312, Templates!B:B = G3312, Templates!C:C = H3312), ""{{}}"", E3312), B3312)"),"Vendre maison Le Châtelard-près-Romont: Trouvez le bien immobilier qui correspond idéalement à vos désirs sur ImmoScout24 - La plateforme de l'immobilier en Suisse.")</f>
        <v>Vendre maison Le Châtelard-près-Romont: Trouvez le bien immobilier qui correspond idéalement à vos désirs sur ImmoScout24 - La plateforme de l'immobilier en Suisse.</v>
      </c>
    </row>
    <row r="3313" hidden="1">
      <c r="A3313" s="5" t="s">
        <v>9729</v>
      </c>
      <c r="B3313" s="2" t="s">
        <v>9730</v>
      </c>
      <c r="C3313" s="2" t="s">
        <v>9730</v>
      </c>
      <c r="D3313" s="4" t="str">
        <f>vlookup(A3313, Sheet2!D:E, 2, 0)</f>
        <v>control</v>
      </c>
      <c r="E3313" s="4" t="str">
        <f>IFERROR(__xludf.DUMMYFUNCTION("if(H3313=""pays"",vlookup(REGEXEXTRACT(C3313, ""🏘️ \w+ \w+ (.*) ✅""),'Country prepositions'!A:B, 2, 0) &amp; "" "" &amp; REGEXEXTRACT(C3313, ""🏘️ \w+ \w+ (.*) ✅"") ,  if(H3313=""quartier"",vlookup(REGEXEXTRACT(C3313, ""🏘️ \w+ \w+ (.*) ✅""),'Quartier prepositio"&amp;"ns'!A:E, 5, 0) ,  if(H3313=""region"",vlookup(REGEXEXTRACT(C3313, ""🏘️ \w+ \w+ (.*) ✅""),'Region prepositions'!B:F, 5, 0),  REGEXEXTRACT(C3313, ""🏘️ \w+ \w+ (.*) ✅""))))"),"#N/A")</f>
        <v>#N/A</v>
      </c>
      <c r="I3313" s="4" t="str">
        <f>IFERROR(__xludf.DUMMYFUNCTION("if(D3313=""variant"",  substitute(filter(Templates!E:E, Templates!A:A = F3313, Templates!B:B = G3313, Templates!C:C = H3313), ""{{}}"", E3313), B3313)"),"Louer appartement Murgenthal: Trouvez le bien immobilier qui correspond idéalement à vos désirs sur ImmoScout24 - La plateforme de l'immobilier en Suisse.")</f>
        <v>Louer appartement Murgenthal: Trouvez le bien immobilier qui correspond idéalement à vos désirs sur ImmoScout24 - La plateforme de l'immobilier en Suisse.</v>
      </c>
    </row>
    <row r="3314" hidden="1">
      <c r="A3314" s="5" t="s">
        <v>9731</v>
      </c>
      <c r="B3314" s="2" t="s">
        <v>9732</v>
      </c>
      <c r="C3314" s="2" t="s">
        <v>9732</v>
      </c>
      <c r="D3314" s="4" t="str">
        <f>vlookup(A3314, Sheet2!D:E, 2, 0)</f>
        <v>control</v>
      </c>
      <c r="E3314" s="4" t="str">
        <f>IFERROR(__xludf.DUMMYFUNCTION("if(H3314=""pays"",vlookup(REGEXEXTRACT(C3314, ""🏘️ \w+ \w+ (.*) ✅""),'Country prepositions'!A:B, 2, 0) &amp; "" "" &amp; REGEXEXTRACT(C3314, ""🏘️ \w+ \w+ (.*) ✅"") ,  if(H3314=""quartier"",vlookup(REGEXEXTRACT(C3314, ""🏘️ \w+ \w+ (.*) ✅""),'Quartier prepositio"&amp;"ns'!A:E, 5, 0) ,  if(H3314=""region"",vlookup(REGEXEXTRACT(C3314, ""🏘️ \w+ \w+ (.*) ✅""),'Region prepositions'!B:F, 5, 0),  REGEXEXTRACT(C3314, ""🏘️ \w+ \w+ (.*) ✅""))))"),"#N/A")</f>
        <v>#N/A</v>
      </c>
      <c r="I3314" s="4" t="str">
        <f>IFERROR(__xludf.DUMMYFUNCTION("if(D3314=""variant"",  substitute(filter(Templates!E:E, Templates!A:A = F3314, Templates!B:B = G3314, Templates!C:C = H3314), ""{{}}"", E3314), B3314)"),"Vendre appartement St-Aubin FR: Trouvez le bien immobilier qui correspond idéalement à vos désirs sur ImmoScout24 - La plateforme de l'immobilier en Suisse.")</f>
        <v>Vendre appartement St-Aubin FR: Trouvez le bien immobilier qui correspond idéalement à vos désirs sur ImmoScout24 - La plateforme de l'immobilier en Suisse.</v>
      </c>
    </row>
    <row r="3315" hidden="1">
      <c r="A3315" s="5" t="s">
        <v>9733</v>
      </c>
      <c r="B3315" s="2" t="s">
        <v>9734</v>
      </c>
      <c r="C3315" s="2" t="s">
        <v>9734</v>
      </c>
      <c r="D3315" s="4" t="str">
        <f>vlookup(A3315, Sheet2!D:E, 2, 0)</f>
        <v>control</v>
      </c>
      <c r="E3315" s="4" t="str">
        <f>IFERROR(__xludf.DUMMYFUNCTION("if(H3315=""pays"",vlookup(REGEXEXTRACT(C3315, ""🏘️ \w+ \w+ (.*) ✅""),'Country prepositions'!A:B, 2, 0) &amp; "" "" &amp; REGEXEXTRACT(C3315, ""🏘️ \w+ \w+ (.*) ✅"") ,  if(H3315=""quartier"",vlookup(REGEXEXTRACT(C3315, ""🏘️ \w+ \w+ (.*) ✅""),'Quartier prepositio"&amp;"ns'!A:E, 5, 0) ,  if(H3315=""region"",vlookup(REGEXEXTRACT(C3315, ""🏘️ \w+ \w+ (.*) ✅""),'Region prepositions'!B:F, 5, 0),  REGEXEXTRACT(C3315, ""🏘️ \w+ \w+ (.*) ✅""))))"),"#N/A")</f>
        <v>#N/A</v>
      </c>
      <c r="I3315" s="4" t="str">
        <f>IFERROR(__xludf.DUMMYFUNCTION("if(D3315=""variant"",  substitute(filter(Templates!E:E, Templates!A:A = F3315, Templates!B:B = G3315, Templates!C:C = H3315), ""{{}}"", E3315), B3315)"),"Louer maison Crassier: Trouvez le bien immobilier qui correspond idéalement à vos désirs sur ImmoScout24 - La plateforme de l'immobilier en Suisse.")</f>
        <v>Louer maison Crassier: Trouvez le bien immobilier qui correspond idéalement à vos désirs sur ImmoScout24 - La plateforme de l'immobilier en Suisse.</v>
      </c>
    </row>
    <row r="3316" hidden="1">
      <c r="A3316" s="5" t="s">
        <v>9735</v>
      </c>
      <c r="B3316" s="2" t="s">
        <v>9736</v>
      </c>
      <c r="C3316" s="2" t="s">
        <v>9736</v>
      </c>
      <c r="D3316" s="4" t="str">
        <f>vlookup(A3316, Sheet2!D:E, 2, 0)</f>
        <v>control</v>
      </c>
      <c r="E3316" s="4" t="str">
        <f>IFERROR(__xludf.DUMMYFUNCTION("if(H3316=""pays"",vlookup(REGEXEXTRACT(C3316, ""🏘️ \w+ \w+ (.*) ✅""),'Country prepositions'!A:B, 2, 0) &amp; "" "" &amp; REGEXEXTRACT(C3316, ""🏘️ \w+ \w+ (.*) ✅"") ,  if(H3316=""quartier"",vlookup(REGEXEXTRACT(C3316, ""🏘️ \w+ \w+ (.*) ✅""),'Quartier prepositio"&amp;"ns'!A:E, 5, 0) ,  if(H3316=""region"",vlookup(REGEXEXTRACT(C3316, ""🏘️ \w+ \w+ (.*) ✅""),'Region prepositions'!B:F, 5, 0),  REGEXEXTRACT(C3316, ""🏘️ \w+ \w+ (.*) ✅""))))"),"#N/A")</f>
        <v>#N/A</v>
      </c>
      <c r="I3316" s="4" t="str">
        <f>IFERROR(__xludf.DUMMYFUNCTION("if(D3316=""variant"",  substitute(filter(Templates!E:E, Templates!A:A = F3316, Templates!B:B = G3316, Templates!C:C = H3316), ""{{}}"", E3316), B3316)"),"Louer appartement La Sage: Trouvez le bien immobilier qui correspond idéalement à vos désirs sur ImmoScout24 - La plateforme de l'immobilier en Suisse.")</f>
        <v>Louer appartement La Sage: Trouvez le bien immobilier qui correspond idéalement à vos désirs sur ImmoScout24 - La plateforme de l'immobilier en Suisse.</v>
      </c>
    </row>
    <row r="3317" hidden="1">
      <c r="A3317" s="5" t="s">
        <v>9737</v>
      </c>
      <c r="B3317" s="2" t="s">
        <v>9738</v>
      </c>
      <c r="C3317" s="2" t="s">
        <v>9738</v>
      </c>
      <c r="D3317" s="4" t="str">
        <f>vlookup(A3317, Sheet2!D:E, 2, 0)</f>
        <v>control</v>
      </c>
      <c r="E3317" s="4" t="str">
        <f>IFERROR(__xludf.DUMMYFUNCTION("if(H3317=""pays"",vlookup(REGEXEXTRACT(C3317, ""🏘️ \w+ \w+ (.*) ✅""),'Country prepositions'!A:B, 2, 0) &amp; "" "" &amp; REGEXEXTRACT(C3317, ""🏘️ \w+ \w+ (.*) ✅"") ,  if(H3317=""quartier"",vlookup(REGEXEXTRACT(C3317, ""🏘️ \w+ \w+ (.*) ✅""),'Quartier prepositio"&amp;"ns'!A:E, 5, 0) ,  if(H3317=""region"",vlookup(REGEXEXTRACT(C3317, ""🏘️ \w+ \w+ (.*) ✅""),'Region prepositions'!B:F, 5, 0),  REGEXEXTRACT(C3317, ""🏘️ \w+ \w+ (.*) ✅""))))"),"#N/A")</f>
        <v>#N/A</v>
      </c>
      <c r="I3317" s="4" t="str">
        <f>IFERROR(__xludf.DUMMYFUNCTION("if(D3317=""variant"",  substitute(filter(Templates!E:E, Templates!A:A = F3317, Templates!B:B = G3317, Templates!C:C = H3317), ""{{}}"", E3317), B3317)"),"Vendre maison Vercorin: Trouvez le bien immobilier qui correspond idéalement à vos désirs sur ImmoScout24 - La plateforme de l'immobilier en Suisse.")</f>
        <v>Vendre maison Vercorin: Trouvez le bien immobilier qui correspond idéalement à vos désirs sur ImmoScout24 - La plateforme de l'immobilier en Suisse.</v>
      </c>
    </row>
    <row r="3318" hidden="1">
      <c r="A3318" s="5" t="s">
        <v>9739</v>
      </c>
      <c r="B3318" s="2" t="s">
        <v>9740</v>
      </c>
      <c r="C3318" s="2" t="s">
        <v>9740</v>
      </c>
      <c r="D3318" s="4" t="str">
        <f>vlookup(A3318, Sheet2!D:E, 2, 0)</f>
        <v>control</v>
      </c>
      <c r="E3318" s="4" t="str">
        <f>IFERROR(__xludf.DUMMYFUNCTION("if(H3318=""pays"",vlookup(REGEXEXTRACT(C3318, ""🏘️ \w+ \w+ (.*) ✅""),'Country prepositions'!A:B, 2, 0) &amp; "" "" &amp; REGEXEXTRACT(C3318, ""🏘️ \w+ \w+ (.*) ✅"") ,  if(H3318=""quartier"",vlookup(REGEXEXTRACT(C3318, ""🏘️ \w+ \w+ (.*) ✅""),'Quartier prepositio"&amp;"ns'!A:E, 5, 0) ,  if(H3318=""region"",vlookup(REGEXEXTRACT(C3318, ""🏘️ \w+ \w+ (.*) ✅""),'Region prepositions'!B:F, 5, 0),  REGEXEXTRACT(C3318, ""🏘️ \w+ \w+ (.*) ✅""))))"),"#N/A")</f>
        <v>#N/A</v>
      </c>
      <c r="I3318" s="4" t="str">
        <f>IFERROR(__xludf.DUMMYFUNCTION("if(D3318=""variant"",  substitute(filter(Templates!E:E, Templates!A:A = F3318, Templates!B:B = G3318, Templates!C:C = H3318), ""{{}}"", E3318), B3318)"),"Vendre appartement Massagno: Trouvez le bien immobilier qui correspond idéalement à vos désirs sur ImmoScout24 - La plateforme de l'immobilier en Suisse.")</f>
        <v>Vendre appartement Massagno: Trouvez le bien immobilier qui correspond idéalement à vos désirs sur ImmoScout24 - La plateforme de l'immobilier en Suisse.</v>
      </c>
    </row>
    <row r="3319" hidden="1">
      <c r="A3319" s="5" t="s">
        <v>9741</v>
      </c>
      <c r="B3319" s="2" t="s">
        <v>9742</v>
      </c>
      <c r="C3319" s="2" t="s">
        <v>9742</v>
      </c>
      <c r="D3319" s="4" t="str">
        <f>vlookup(A3319, Sheet2!D:E, 2, 0)</f>
        <v>control</v>
      </c>
      <c r="E3319" s="4" t="str">
        <f>IFERROR(__xludf.DUMMYFUNCTION("if(H3319=""pays"",vlookup(REGEXEXTRACT(C3319, ""🏘️ \w+ \w+ (.*) ✅""),'Country prepositions'!A:B, 2, 0) &amp; "" "" &amp; REGEXEXTRACT(C3319, ""🏘️ \w+ \w+ (.*) ✅"") ,  if(H3319=""quartier"",vlookup(REGEXEXTRACT(C3319, ""🏘️ \w+ \w+ (.*) ✅""),'Quartier prepositio"&amp;"ns'!A:E, 5, 0) ,  if(H3319=""region"",vlookup(REGEXEXTRACT(C3319, ""🏘️ \w+ \w+ (.*) ✅""),'Region prepositions'!B:F, 5, 0),  REGEXEXTRACT(C3319, ""🏘️ \w+ \w+ (.*) ✅""))))"),"#N/A")</f>
        <v>#N/A</v>
      </c>
      <c r="I3319" s="4" t="str">
        <f>IFERROR(__xludf.DUMMYFUNCTION("if(D3319=""variant"",  substitute(filter(Templates!E:E, Templates!A:A = F3319, Templates!B:B = G3319, Templates!C:C = H3319), ""{{}}"", E3319), B3319)"),"Vendre appartement Schaffhausen: Trouvez le bien immobilier qui correspond idéalement à vos désirs sur ImmoScout24 - La plateforme de l'immobilier en Suisse.")</f>
        <v>Vendre appartement Schaffhausen: Trouvez le bien immobilier qui correspond idéalement à vos désirs sur ImmoScout24 - La plateforme de l'immobilier en Suisse.</v>
      </c>
    </row>
    <row r="3320" hidden="1">
      <c r="A3320" s="5" t="s">
        <v>9743</v>
      </c>
      <c r="B3320" s="2" t="s">
        <v>9744</v>
      </c>
      <c r="C3320" s="2" t="s">
        <v>9744</v>
      </c>
      <c r="D3320" s="4" t="str">
        <f>vlookup(A3320, Sheet2!D:E, 2, 0)</f>
        <v>control</v>
      </c>
      <c r="E3320" s="4" t="str">
        <f>IFERROR(__xludf.DUMMYFUNCTION("if(H3320=""pays"",vlookup(REGEXEXTRACT(C3320, ""🏘️ \w+ \w+ (.*) ✅""),'Country prepositions'!A:B, 2, 0) &amp; "" "" &amp; REGEXEXTRACT(C3320, ""🏘️ \w+ \w+ (.*) ✅"") ,  if(H3320=""quartier"",vlookup(REGEXEXTRACT(C3320, ""🏘️ \w+ \w+ (.*) ✅""),'Quartier prepositio"&amp;"ns'!A:E, 5, 0) ,  if(H3320=""region"",vlookup(REGEXEXTRACT(C3320, ""🏘️ \w+ \w+ (.*) ✅""),'Region prepositions'!B:F, 5, 0),  REGEXEXTRACT(C3320, ""🏘️ \w+ \w+ (.*) ✅""))))"),"#N/A")</f>
        <v>#N/A</v>
      </c>
      <c r="I3320" s="4" t="str">
        <f>IFERROR(__xludf.DUMMYFUNCTION("if(D3320=""variant"",  substitute(filter(Templates!E:E, Templates!A:A = F3320, Templates!B:B = G3320, Templates!C:C = H3320), ""{{}}"", E3320), B3320)"),"Louer appartement Pfyn: Trouvez le bien immobilier qui correspond idéalement à vos désirs sur ImmoScout24 - La plateforme de l'immobilier en Suisse.")</f>
        <v>Louer appartement Pfyn: Trouvez le bien immobilier qui correspond idéalement à vos désirs sur ImmoScout24 - La plateforme de l'immobilier en Suisse.</v>
      </c>
    </row>
    <row r="3321" hidden="1">
      <c r="A3321" s="5" t="s">
        <v>9745</v>
      </c>
      <c r="B3321" s="2" t="s">
        <v>9746</v>
      </c>
      <c r="C3321" s="2" t="s">
        <v>9746</v>
      </c>
      <c r="D3321" s="4" t="str">
        <f>vlookup(A3321, Sheet2!D:E, 2, 0)</f>
        <v>control</v>
      </c>
      <c r="E3321" s="4" t="str">
        <f>IFERROR(__xludf.DUMMYFUNCTION("if(H3321=""pays"",vlookup(REGEXEXTRACT(C3321, ""🏘️ \w+ \w+ (.*) ✅""),'Country prepositions'!A:B, 2, 0) &amp; "" "" &amp; REGEXEXTRACT(C3321, ""🏘️ \w+ \w+ (.*) ✅"") ,  if(H3321=""quartier"",vlookup(REGEXEXTRACT(C3321, ""🏘️ \w+ \w+ (.*) ✅""),'Quartier prepositio"&amp;"ns'!A:E, 5, 0) ,  if(H3321=""region"",vlookup(REGEXEXTRACT(C3321, ""🏘️ \w+ \w+ (.*) ✅""),'Region prepositions'!B:F, 5, 0),  REGEXEXTRACT(C3321, ""🏘️ \w+ \w+ (.*) ✅""))))"),"#N/A")</f>
        <v>#N/A</v>
      </c>
      <c r="I3321" s="4" t="str">
        <f>IFERROR(__xludf.DUMMYFUNCTION("if(D3321=""variant"",  substitute(filter(Templates!E:E, Templates!A:A = F3321, Templates!B:B = G3321, Templates!C:C = H3321), ""{{}}"", E3321), B3321)"),"Vendre appartement Vernand (Lausanne): Trouvez le bien immobilier qui correspond idéalement à vos désirs sur ImmoScout24 - La plateforme de l'immobilier en Suisse.")</f>
        <v>Vendre appartement Vernand (Lausanne): Trouvez le bien immobilier qui correspond idéalement à vos désirs sur ImmoScout24 - La plateforme de l'immobilier en Suisse.</v>
      </c>
    </row>
    <row r="3322" hidden="1">
      <c r="A3322" s="5" t="s">
        <v>9747</v>
      </c>
      <c r="B3322" s="2" t="s">
        <v>9748</v>
      </c>
      <c r="C3322" s="2" t="s">
        <v>9748</v>
      </c>
      <c r="D3322" s="4" t="str">
        <f>vlookup(A3322, Sheet2!D:E, 2, 0)</f>
        <v>control</v>
      </c>
      <c r="E3322" s="4" t="str">
        <f>IFERROR(__xludf.DUMMYFUNCTION("if(H3322=""pays"",vlookup(REGEXEXTRACT(C3322, ""🏘️ \w+ \w+ (.*) ✅""),'Country prepositions'!A:B, 2, 0) &amp; "" "" &amp; REGEXEXTRACT(C3322, ""🏘️ \w+ \w+ (.*) ✅"") ,  if(H3322=""quartier"",vlookup(REGEXEXTRACT(C3322, ""🏘️ \w+ \w+ (.*) ✅""),'Quartier prepositio"&amp;"ns'!A:E, 5, 0) ,  if(H3322=""region"",vlookup(REGEXEXTRACT(C3322, ""🏘️ \w+ \w+ (.*) ✅""),'Region prepositions'!B:F, 5, 0),  REGEXEXTRACT(C3322, ""🏘️ \w+ \w+ (.*) ✅""))))"),"#N/A")</f>
        <v>#N/A</v>
      </c>
      <c r="I3322" s="4" t="str">
        <f>IFERROR(__xludf.DUMMYFUNCTION("if(D3322=""variant"",  substitute(filter(Templates!E:E, Templates!A:A = F3322, Templates!B:B = G3322, Templates!C:C = H3322), ""{{}}"", E3322), B3322)"),"Louer appartement Gals: Trouvez le bien immobilier qui correspond idéalement à vos désirs sur ImmoScout24 - La plateforme de l'immobilier en Suisse.")</f>
        <v>Louer appartement Gals: Trouvez le bien immobilier qui correspond idéalement à vos désirs sur ImmoScout24 - La plateforme de l'immobilier en Suisse.</v>
      </c>
    </row>
    <row r="3323" hidden="1">
      <c r="A3323" s="5" t="s">
        <v>9749</v>
      </c>
      <c r="B3323" s="2" t="s">
        <v>9750</v>
      </c>
      <c r="C3323" s="2" t="s">
        <v>9750</v>
      </c>
      <c r="D3323" s="4" t="str">
        <f>vlookup(A3323, Sheet2!D:E, 2, 0)</f>
        <v>control</v>
      </c>
      <c r="E3323" s="4" t="str">
        <f>IFERROR(__xludf.DUMMYFUNCTION("if(H3323=""pays"",vlookup(REGEXEXTRACT(C3323, ""🏘️ \w+ \w+ (.*) ✅""),'Country prepositions'!A:B, 2, 0) &amp; "" "" &amp; REGEXEXTRACT(C3323, ""🏘️ \w+ \w+ (.*) ✅"") ,  if(H3323=""quartier"",vlookup(REGEXEXTRACT(C3323, ""🏘️ \w+ \w+ (.*) ✅""),'Quartier prepositio"&amp;"ns'!A:E, 5, 0) ,  if(H3323=""region"",vlookup(REGEXEXTRACT(C3323, ""🏘️ \w+ \w+ (.*) ✅""),'Region prepositions'!B:F, 5, 0),  REGEXEXTRACT(C3323, ""🏘️ \w+ \w+ (.*) ✅""))))"),"#N/A")</f>
        <v>#N/A</v>
      </c>
      <c r="I3323" s="4" t="str">
        <f>IFERROR(__xludf.DUMMYFUNCTION("if(D3323=""variant"",  substitute(filter(Templates!E:E, Templates!A:A = F3323, Templates!B:B = G3323, Templates!C:C = H3323), ""{{}}"", E3323), B3323)"),"Louer appartement Chavannes-sur-Moudon: Trouvez le bien immobilier qui correspond idéalement à vos désirs sur ImmoScout24 - La plateforme de l'immobilier en Suisse.")</f>
        <v>Louer appartement Chavannes-sur-Moudon: Trouvez le bien immobilier qui correspond idéalement à vos désirs sur ImmoScout24 - La plateforme de l'immobilier en Suisse.</v>
      </c>
    </row>
    <row r="3324" hidden="1">
      <c r="A3324" s="5" t="s">
        <v>9751</v>
      </c>
      <c r="B3324" s="2" t="s">
        <v>9752</v>
      </c>
      <c r="C3324" s="2" t="s">
        <v>9752</v>
      </c>
      <c r="D3324" s="4" t="str">
        <f>vlookup(A3324, Sheet2!D:E, 2, 0)</f>
        <v>control</v>
      </c>
      <c r="E3324" s="4" t="str">
        <f>IFERROR(__xludf.DUMMYFUNCTION("if(H3324=""pays"",vlookup(REGEXEXTRACT(C3324, ""🏘️ \w+ \w+ (.*) ✅""),'Country prepositions'!A:B, 2, 0) &amp; "" "" &amp; REGEXEXTRACT(C3324, ""🏘️ \w+ \w+ (.*) ✅"") ,  if(H3324=""quartier"",vlookup(REGEXEXTRACT(C3324, ""🏘️ \w+ \w+ (.*) ✅""),'Quartier prepositio"&amp;"ns'!A:E, 5, 0) ,  if(H3324=""region"",vlookup(REGEXEXTRACT(C3324, ""🏘️ \w+ \w+ (.*) ✅""),'Region prepositions'!B:F, 5, 0),  REGEXEXTRACT(C3324, ""🏘️ \w+ \w+ (.*) ✅""))))"),"#N/A")</f>
        <v>#N/A</v>
      </c>
      <c r="I3324" s="4" t="str">
        <f>IFERROR(__xludf.DUMMYFUNCTION("if(D3324=""variant"",  substitute(filter(Templates!E:E, Templates!A:A = F3324, Templates!B:B = G3324, Templates!C:C = H3324), ""{{}}"", E3324), B3324)"),"Vendre appartement Schönenbuch: Trouvez le bien immobilier qui correspond idéalement à vos désirs sur ImmoScout24 - La plateforme de l'immobilier en Suisse.")</f>
        <v>Vendre appartement Schönenbuch: Trouvez le bien immobilier qui correspond idéalement à vos désirs sur ImmoScout24 - La plateforme de l'immobilier en Suisse.</v>
      </c>
    </row>
    <row r="3325" hidden="1">
      <c r="A3325" s="5" t="s">
        <v>9753</v>
      </c>
      <c r="B3325" s="2" t="s">
        <v>9754</v>
      </c>
      <c r="C3325" s="2" t="s">
        <v>9754</v>
      </c>
      <c r="D3325" s="4" t="str">
        <f>vlookup(A3325, Sheet2!D:E, 2, 0)</f>
        <v>control</v>
      </c>
      <c r="E3325" s="4" t="str">
        <f>IFERROR(__xludf.DUMMYFUNCTION("if(H3325=""pays"",vlookup(REGEXEXTRACT(C3325, ""🏘️ \w+ \w+ (.*) ✅""),'Country prepositions'!A:B, 2, 0) &amp; "" "" &amp; REGEXEXTRACT(C3325, ""🏘️ \w+ \w+ (.*) ✅"") ,  if(H3325=""quartier"",vlookup(REGEXEXTRACT(C3325, ""🏘️ \w+ \w+ (.*) ✅""),'Quartier prepositio"&amp;"ns'!A:E, 5, 0) ,  if(H3325=""region"",vlookup(REGEXEXTRACT(C3325, ""🏘️ \w+ \w+ (.*) ✅""),'Region prepositions'!B:F, 5, 0),  REGEXEXTRACT(C3325, ""🏘️ \w+ \w+ (.*) ✅""))))"),"#N/A")</f>
        <v>#N/A</v>
      </c>
      <c r="I3325" s="4" t="str">
        <f>IFERROR(__xludf.DUMMYFUNCTION("if(D3325=""variant"",  substitute(filter(Templates!E:E, Templates!A:A = F3325, Templates!B:B = G3325, Templates!C:C = H3325), ""{{}}"", E3325), B3325)"),"Vendre maison Les Hauts-Geneveys: Trouvez le bien immobilier qui correspond idéalement à vos désirs sur ImmoScout24 - La plateforme de l'immobilier en Suisse.")</f>
        <v>Vendre maison Les Hauts-Geneveys: Trouvez le bien immobilier qui correspond idéalement à vos désirs sur ImmoScout24 - La plateforme de l'immobilier en Suisse.</v>
      </c>
    </row>
    <row r="3326" hidden="1">
      <c r="A3326" s="5" t="s">
        <v>9755</v>
      </c>
      <c r="B3326" s="2" t="s">
        <v>9756</v>
      </c>
      <c r="C3326" s="2" t="s">
        <v>9756</v>
      </c>
      <c r="D3326" s="4" t="str">
        <f>vlookup(A3326, Sheet2!D:E, 2, 0)</f>
        <v>control</v>
      </c>
      <c r="E3326" s="4" t="str">
        <f>IFERROR(__xludf.DUMMYFUNCTION("if(H3326=""pays"",vlookup(REGEXEXTRACT(C3326, ""🏘️ \w+ \w+ (.*) ✅""),'Country prepositions'!A:B, 2, 0) &amp; "" "" &amp; REGEXEXTRACT(C3326, ""🏘️ \w+ \w+ (.*) ✅"") ,  if(H3326=""quartier"",vlookup(REGEXEXTRACT(C3326, ""🏘️ \w+ \w+ (.*) ✅""),'Quartier prepositio"&amp;"ns'!A:E, 5, 0) ,  if(H3326=""region"",vlookup(REGEXEXTRACT(C3326, ""🏘️ \w+ \w+ (.*) ✅""),'Region prepositions'!B:F, 5, 0),  REGEXEXTRACT(C3326, ""🏘️ \w+ \w+ (.*) ✅""))))"),"#N/A")</f>
        <v>#N/A</v>
      </c>
      <c r="I3326" s="4" t="str">
        <f>IFERROR(__xludf.DUMMYFUNCTION("if(D3326=""variant"",  substitute(filter(Templates!E:E, Templates!A:A = F3326, Templates!B:B = G3326, Templates!C:C = H3326), ""{{}}"", E3326), B3326)"),"Vendre maison Züri-Obersee: Trouvez le bien immobilier qui correspond idéalement à vos désirs sur ImmoScout24 - La plateforme de l'immobilier en Suisse.")</f>
        <v>Vendre maison Züri-Obersee: Trouvez le bien immobilier qui correspond idéalement à vos désirs sur ImmoScout24 - La plateforme de l'immobilier en Suisse.</v>
      </c>
    </row>
    <row r="3327" hidden="1">
      <c r="A3327" s="5" t="s">
        <v>9757</v>
      </c>
      <c r="B3327" s="2" t="s">
        <v>9758</v>
      </c>
      <c r="C3327" s="2" t="s">
        <v>9758</v>
      </c>
      <c r="D3327" s="4" t="str">
        <f>vlookup(A3327, Sheet2!D:E, 2, 0)</f>
        <v>control</v>
      </c>
      <c r="E3327" s="4" t="str">
        <f>IFERROR(__xludf.DUMMYFUNCTION("if(H3327=""pays"",vlookup(REGEXEXTRACT(C3327, ""🏘️ \w+ \w+ (.*) ✅""),'Country prepositions'!A:B, 2, 0) &amp; "" "" &amp; REGEXEXTRACT(C3327, ""🏘️ \w+ \w+ (.*) ✅"") ,  if(H3327=""quartier"",vlookup(REGEXEXTRACT(C3327, ""🏘️ \w+ \w+ (.*) ✅""),'Quartier prepositio"&amp;"ns'!A:E, 5, 0) ,  if(H3327=""region"",vlookup(REGEXEXTRACT(C3327, ""🏘️ \w+ \w+ (.*) ✅""),'Region prepositions'!B:F, 5, 0),  REGEXEXTRACT(C3327, ""🏘️ \w+ \w+ (.*) ✅""))))"),"#N/A")</f>
        <v>#N/A</v>
      </c>
      <c r="I3327" s="4" t="str">
        <f>IFERROR(__xludf.DUMMYFUNCTION("if(D3327=""variant"",  substitute(filter(Templates!E:E, Templates!A:A = F3327, Templates!B:B = G3327, Templates!C:C = H3327), ""{{}}"", E3327), B3327)"),"Louer appartement Eggerberg: Trouvez le bien immobilier qui correspond idéalement à vos désirs sur ImmoScout24 - La plateforme de l'immobilier en Suisse.")</f>
        <v>Louer appartement Eggerberg: Trouvez le bien immobilier qui correspond idéalement à vos désirs sur ImmoScout24 - La plateforme de l'immobilier en Suisse.</v>
      </c>
    </row>
    <row r="3328" hidden="1">
      <c r="A3328" s="5" t="s">
        <v>9759</v>
      </c>
      <c r="B3328" s="2" t="s">
        <v>9760</v>
      </c>
      <c r="C3328" s="2" t="s">
        <v>9760</v>
      </c>
      <c r="D3328" s="4" t="str">
        <f>vlookup(A3328, Sheet2!D:E, 2, 0)</f>
        <v>control</v>
      </c>
      <c r="E3328" s="4" t="str">
        <f>IFERROR(__xludf.DUMMYFUNCTION("if(H3328=""pays"",vlookup(REGEXEXTRACT(C3328, ""🏘️ \w+ \w+ (.*) ✅""),'Country prepositions'!A:B, 2, 0) &amp; "" "" &amp; REGEXEXTRACT(C3328, ""🏘️ \w+ \w+ (.*) ✅"") ,  if(H3328=""quartier"",vlookup(REGEXEXTRACT(C3328, ""🏘️ \w+ \w+ (.*) ✅""),'Quartier prepositio"&amp;"ns'!A:E, 5, 0) ,  if(H3328=""region"",vlookup(REGEXEXTRACT(C3328, ""🏘️ \w+ \w+ (.*) ✅""),'Region prepositions'!B:F, 5, 0),  REGEXEXTRACT(C3328, ""🏘️ \w+ \w+ (.*) ✅""))))"),"#N/A")</f>
        <v>#N/A</v>
      </c>
      <c r="I3328" s="4" t="str">
        <f>IFERROR(__xludf.DUMMYFUNCTION("if(D3328=""variant"",  substitute(filter(Templates!E:E, Templates!A:A = F3328, Templates!B:B = G3328, Templates!C:C = H3328), ""{{}}"", E3328), B3328)"),"Vendre appartement Dachsen: Trouvez le bien immobilier qui correspond idéalement à vos désirs sur ImmoScout24 - La plateforme de l'immobilier en Suisse.")</f>
        <v>Vendre appartement Dachsen: Trouvez le bien immobilier qui correspond idéalement à vos désirs sur ImmoScout24 - La plateforme de l'immobilier en Suisse.</v>
      </c>
    </row>
    <row r="3329" hidden="1">
      <c r="A3329" s="5" t="s">
        <v>9761</v>
      </c>
      <c r="B3329" s="2" t="s">
        <v>9762</v>
      </c>
      <c r="C3329" s="2" t="s">
        <v>9762</v>
      </c>
      <c r="D3329" s="4" t="str">
        <f>vlookup(A3329, Sheet2!D:E, 2, 0)</f>
        <v>control</v>
      </c>
      <c r="E3329" s="4" t="str">
        <f>IFERROR(__xludf.DUMMYFUNCTION("if(H3329=""pays"",vlookup(REGEXEXTRACT(C3329, ""🏘️ \w+ \w+ (.*) ✅""),'Country prepositions'!A:B, 2, 0) &amp; "" "" &amp; REGEXEXTRACT(C3329, ""🏘️ \w+ \w+ (.*) ✅"") ,  if(H3329=""quartier"",vlookup(REGEXEXTRACT(C3329, ""🏘️ \w+ \w+ (.*) ✅""),'Quartier prepositio"&amp;"ns'!A:E, 5, 0) ,  if(H3329=""region"",vlookup(REGEXEXTRACT(C3329, ""🏘️ \w+ \w+ (.*) ✅""),'Region prepositions'!B:F, 5, 0),  REGEXEXTRACT(C3329, ""🏘️ \w+ \w+ (.*) ✅""))))"),"#N/A")</f>
        <v>#N/A</v>
      </c>
      <c r="I3329" s="4" t="str">
        <f>IFERROR(__xludf.DUMMYFUNCTION("if(D3329=""variant"",  substitute(filter(Templates!E:E, Templates!A:A = F3329, Templates!B:B = G3329, Templates!C:C = H3329), ""{{}}"", E3329), B3329)"),"Louer maison Bâle Campagne Ouest: Trouvez le bien immobilier qui correspond idéalement à vos désirs sur ImmoScout24 - La plateforme de l'immobilier en Suisse.")</f>
        <v>Louer maison Bâle Campagne Ouest: Trouvez le bien immobilier qui correspond idéalement à vos désirs sur ImmoScout24 - La plateforme de l'immobilier en Suisse.</v>
      </c>
    </row>
    <row r="3330" hidden="1">
      <c r="A3330" s="5" t="s">
        <v>9763</v>
      </c>
      <c r="B3330" s="2" t="s">
        <v>9764</v>
      </c>
      <c r="C3330" s="2" t="s">
        <v>9764</v>
      </c>
      <c r="D3330" s="4" t="str">
        <f>vlookup(A3330, Sheet2!D:E, 2, 0)</f>
        <v>control</v>
      </c>
      <c r="E3330" s="4" t="str">
        <f>IFERROR(__xludf.DUMMYFUNCTION("if(H3330=""pays"",vlookup(REGEXEXTRACT(C3330, ""🏘️ \w+ \w+ (.*) ✅""),'Country prepositions'!A:B, 2, 0) &amp; "" "" &amp; REGEXEXTRACT(C3330, ""🏘️ \w+ \w+ (.*) ✅"") ,  if(H3330=""quartier"",vlookup(REGEXEXTRACT(C3330, ""🏘️ \w+ \w+ (.*) ✅""),'Quartier prepositio"&amp;"ns'!A:E, 5, 0) ,  if(H3330=""region"",vlookup(REGEXEXTRACT(C3330, ""🏘️ \w+ \w+ (.*) ✅""),'Region prepositions'!B:F, 5, 0),  REGEXEXTRACT(C3330, ""🏘️ \w+ \w+ (.*) ✅""))))"),"#N/A")</f>
        <v>#N/A</v>
      </c>
      <c r="I3330" s="4" t="str">
        <f>IFERROR(__xludf.DUMMYFUNCTION("if(D3330=""variant"",  substitute(filter(Templates!E:E, Templates!A:A = F3330, Templates!B:B = G3330, Templates!C:C = H3330), ""{{}}"", E3330), B3330)"),"Vendre maison Hochwald: Trouvez le bien immobilier qui correspond idéalement à vos désirs sur ImmoScout24 - La plateforme de l'immobilier en Suisse.")</f>
        <v>Vendre maison Hochwald: Trouvez le bien immobilier qui correspond idéalement à vos désirs sur ImmoScout24 - La plateforme de l'immobilier en Suisse.</v>
      </c>
    </row>
    <row r="3331" hidden="1">
      <c r="A3331" s="5" t="s">
        <v>9765</v>
      </c>
      <c r="B3331" s="2" t="s">
        <v>9766</v>
      </c>
      <c r="C3331" s="2" t="s">
        <v>9766</v>
      </c>
      <c r="D3331" s="4" t="str">
        <f>vlookup(A3331, Sheet2!D:E, 2, 0)</f>
        <v>control</v>
      </c>
      <c r="E3331" s="4" t="str">
        <f>IFERROR(__xludf.DUMMYFUNCTION("if(H3331=""pays"",vlookup(REGEXEXTRACT(C3331, ""🏘️ \w+ \w+ (.*) ✅""),'Country prepositions'!A:B, 2, 0) &amp; "" "" &amp; REGEXEXTRACT(C3331, ""🏘️ \w+ \w+ (.*) ✅"") ,  if(H3331=""quartier"",vlookup(REGEXEXTRACT(C3331, ""🏘️ \w+ \w+ (.*) ✅""),'Quartier prepositio"&amp;"ns'!A:E, 5, 0) ,  if(H3331=""region"",vlookup(REGEXEXTRACT(C3331, ""🏘️ \w+ \w+ (.*) ✅""),'Region prepositions'!B:F, 5, 0),  REGEXEXTRACT(C3331, ""🏘️ \w+ \w+ (.*) ✅""))))"),"#N/A")</f>
        <v>#N/A</v>
      </c>
      <c r="I3331" s="4" t="str">
        <f>IFERROR(__xludf.DUMMYFUNCTION("if(D3331=""variant"",  substitute(filter(Templates!E:E, Templates!A:A = F3331, Templates!B:B = G3331, Templates!C:C = H3331), ""{{}}"", E3331), B3331)"),"Louer appartement La Punt-Chamues-ch: Trouvez le bien immobilier qui correspond idéalement à vos désirs sur ImmoScout24 - La plateforme de l'immobilier en Suisse.")</f>
        <v>Louer appartement La Punt-Chamues-ch: Trouvez le bien immobilier qui correspond idéalement à vos désirs sur ImmoScout24 - La plateforme de l'immobilier en Suisse.</v>
      </c>
    </row>
    <row r="3332" hidden="1">
      <c r="A3332" s="5" t="s">
        <v>9767</v>
      </c>
      <c r="B3332" s="2" t="s">
        <v>9768</v>
      </c>
      <c r="C3332" s="2" t="s">
        <v>9768</v>
      </c>
      <c r="D3332" s="4" t="str">
        <f>vlookup(A3332, Sheet2!D:E, 2, 0)</f>
        <v>control</v>
      </c>
      <c r="E3332" s="4" t="str">
        <f>IFERROR(__xludf.DUMMYFUNCTION("if(H3332=""pays"",vlookup(REGEXEXTRACT(C3332, ""🏘️ \w+ \w+ (.*) ✅""),'Country prepositions'!A:B, 2, 0) &amp; "" "" &amp; REGEXEXTRACT(C3332, ""🏘️ \w+ \w+ (.*) ✅"") ,  if(H3332=""quartier"",vlookup(REGEXEXTRACT(C3332, ""🏘️ \w+ \w+ (.*) ✅""),'Quartier prepositio"&amp;"ns'!A:E, 5, 0) ,  if(H3332=""region"",vlookup(REGEXEXTRACT(C3332, ""🏘️ \w+ \w+ (.*) ✅""),'Region prepositions'!B:F, 5, 0),  REGEXEXTRACT(C3332, ""🏘️ \w+ \w+ (.*) ✅""))))"),"#N/A")</f>
        <v>#N/A</v>
      </c>
      <c r="I3332" s="4" t="str">
        <f>IFERROR(__xludf.DUMMYFUNCTION("if(D3332=""variant"",  substitute(filter(Templates!E:E, Templates!A:A = F3332, Templates!B:B = G3332, Templates!C:C = H3332), ""{{}}"", E3332), B3332)"),"Vendre maison Yvonand: Trouvez le bien immobilier qui correspond idéalement à vos désirs sur ImmoScout24 - La plateforme de l'immobilier en Suisse.")</f>
        <v>Vendre maison Yvonand: Trouvez le bien immobilier qui correspond idéalement à vos désirs sur ImmoScout24 - La plateforme de l'immobilier en Suisse.</v>
      </c>
    </row>
    <row r="3333" hidden="1">
      <c r="A3333" s="5" t="s">
        <v>9769</v>
      </c>
      <c r="B3333" s="2" t="s">
        <v>9770</v>
      </c>
      <c r="C3333" s="2" t="s">
        <v>9770</v>
      </c>
      <c r="D3333" s="4" t="str">
        <f>vlookup(A3333, Sheet2!D:E, 2, 0)</f>
        <v>control</v>
      </c>
      <c r="E3333" s="4" t="str">
        <f>IFERROR(__xludf.DUMMYFUNCTION("if(H3333=""pays"",vlookup(REGEXEXTRACT(C3333, ""🏘️ \w+ \w+ (.*) ✅""),'Country prepositions'!A:B, 2, 0) &amp; "" "" &amp; REGEXEXTRACT(C3333, ""🏘️ \w+ \w+ (.*) ✅"") ,  if(H3333=""quartier"",vlookup(REGEXEXTRACT(C3333, ""🏘️ \w+ \w+ (.*) ✅""),'Quartier prepositio"&amp;"ns'!A:E, 5, 0) ,  if(H3333=""region"",vlookup(REGEXEXTRACT(C3333, ""🏘️ \w+ \w+ (.*) ✅""),'Region prepositions'!B:F, 5, 0),  REGEXEXTRACT(C3333, ""🏘️ \w+ \w+ (.*) ✅""))))"),"#N/A")</f>
        <v>#N/A</v>
      </c>
      <c r="I3333" s="4" t="str">
        <f>IFERROR(__xludf.DUMMYFUNCTION("if(D3333=""variant"",  substitute(filter(Templates!E:E, Templates!A:A = F3333, Templates!B:B = G3333, Templates!C:C = H3333), ""{{}}"", E3333), B3333)"),"Vendre appartement Valais Central: Trouvez le bien immobilier qui correspond idéalement à vos désirs sur ImmoScout24 - La plateforme de l'immobilier en Suisse.")</f>
        <v>Vendre appartement Valais Central: Trouvez le bien immobilier qui correspond idéalement à vos désirs sur ImmoScout24 - La plateforme de l'immobilier en Suisse.</v>
      </c>
    </row>
    <row r="3334" hidden="1">
      <c r="A3334" s="5" t="s">
        <v>9771</v>
      </c>
      <c r="B3334" s="2" t="s">
        <v>9772</v>
      </c>
      <c r="C3334" s="2" t="s">
        <v>9772</v>
      </c>
      <c r="D3334" s="4" t="str">
        <f>vlookup(A3334, Sheet2!D:E, 2, 0)</f>
        <v>control</v>
      </c>
      <c r="E3334" s="4" t="str">
        <f>IFERROR(__xludf.DUMMYFUNCTION("if(H3334=""pays"",vlookup(REGEXEXTRACT(C3334, ""🏘️ \w+ \w+ (.*) ✅""),'Country prepositions'!A:B, 2, 0) &amp; "" "" &amp; REGEXEXTRACT(C3334, ""🏘️ \w+ \w+ (.*) ✅"") ,  if(H3334=""quartier"",vlookup(REGEXEXTRACT(C3334, ""🏘️ \w+ \w+ (.*) ✅""),'Quartier prepositio"&amp;"ns'!A:E, 5, 0) ,  if(H3334=""region"",vlookup(REGEXEXTRACT(C3334, ""🏘️ \w+ \w+ (.*) ✅""),'Region prepositions'!B:F, 5, 0),  REGEXEXTRACT(C3334, ""🏘️ \w+ \w+ (.*) ✅""))))"),"#N/A")</f>
        <v>#N/A</v>
      </c>
      <c r="I3334" s="4" t="str">
        <f>IFERROR(__xludf.DUMMYFUNCTION("if(D3334=""variant"",  substitute(filter(Templates!E:E, Templates!A:A = F3334, Templates!B:B = G3334, Templates!C:C = H3334), ""{{}}"", E3334), B3334)"),"Louer maison La Rippe: Trouvez le bien immobilier qui correspond idéalement à vos désirs sur ImmoScout24 - La plateforme de l'immobilier en Suisse.")</f>
        <v>Louer maison La Rippe: Trouvez le bien immobilier qui correspond idéalement à vos désirs sur ImmoScout24 - La plateforme de l'immobilier en Suisse.</v>
      </c>
    </row>
    <row r="3335" hidden="1">
      <c r="A3335" s="5" t="s">
        <v>9773</v>
      </c>
      <c r="B3335" s="2" t="s">
        <v>9774</v>
      </c>
      <c r="C3335" s="2" t="s">
        <v>9774</v>
      </c>
      <c r="D3335" s="4" t="str">
        <f>vlookup(A3335, Sheet2!D:E, 2, 0)</f>
        <v>control</v>
      </c>
      <c r="E3335" s="4" t="str">
        <f>IFERROR(__xludf.DUMMYFUNCTION("if(H3335=""pays"",vlookup(REGEXEXTRACT(C3335, ""🏘️ \w+ \w+ (.*) ✅""),'Country prepositions'!A:B, 2, 0) &amp; "" "" &amp; REGEXEXTRACT(C3335, ""🏘️ \w+ \w+ (.*) ✅"") ,  if(H3335=""quartier"",vlookup(REGEXEXTRACT(C3335, ""🏘️ \w+ \w+ (.*) ✅""),'Quartier prepositio"&amp;"ns'!A:E, 5, 0) ,  if(H3335=""region"",vlookup(REGEXEXTRACT(C3335, ""🏘️ \w+ \w+ (.*) ✅""),'Region prepositions'!B:F, 5, 0),  REGEXEXTRACT(C3335, ""🏘️ \w+ \w+ (.*) ✅""))))"),"#N/A")</f>
        <v>#N/A</v>
      </c>
      <c r="I3335" s="4" t="str">
        <f>IFERROR(__xludf.DUMMYFUNCTION("if(D3335=""variant"",  substitute(filter(Templates!E:E, Templates!A:A = F3335, Templates!B:B = G3335, Templates!C:C = H3335), ""{{}}"", E3335), B3335)"),"Louer appartement France: Trouvez le bien immobilier qui correspond idéalement à vos désirs sur ImmoScout24 - La plateforme de l'immobilier en Suisse.")</f>
        <v>Louer appartement France: Trouvez le bien immobilier qui correspond idéalement à vos désirs sur ImmoScout24 - La plateforme de l'immobilier en Suisse.</v>
      </c>
    </row>
    <row r="3336" hidden="1">
      <c r="A3336" s="5" t="s">
        <v>9775</v>
      </c>
      <c r="B3336" s="2" t="s">
        <v>9776</v>
      </c>
      <c r="C3336" s="2" t="s">
        <v>9776</v>
      </c>
      <c r="D3336" s="4" t="str">
        <f>vlookup(A3336, Sheet2!D:E, 2, 0)</f>
        <v>control</v>
      </c>
      <c r="E3336" s="4" t="str">
        <f>IFERROR(__xludf.DUMMYFUNCTION("if(H3336=""pays"",vlookup(REGEXEXTRACT(C3336, ""🏘️ \w+ \w+ (.*) ✅""),'Country prepositions'!A:B, 2, 0) &amp; "" "" &amp; REGEXEXTRACT(C3336, ""🏘️ \w+ \w+ (.*) ✅"") ,  if(H3336=""quartier"",vlookup(REGEXEXTRACT(C3336, ""🏘️ \w+ \w+ (.*) ✅""),'Quartier prepositio"&amp;"ns'!A:E, 5, 0) ,  if(H3336=""region"",vlookup(REGEXEXTRACT(C3336, ""🏘️ \w+ \w+ (.*) ✅""),'Region prepositions'!B:F, 5, 0),  REGEXEXTRACT(C3336, ""🏘️ \w+ \w+ (.*) ✅""))))"),"#N/A")</f>
        <v>#N/A</v>
      </c>
      <c r="I3336" s="4" t="str">
        <f>IFERROR(__xludf.DUMMYFUNCTION("if(D3336=""variant"",  substitute(filter(Templates!E:E, Templates!A:A = F3336, Templates!B:B = G3336, Templates!C:C = H3336), ""{{}}"", E3336), B3336)"),"Louer appartement Vuiteboeuf: Trouvez le bien immobilier qui correspond idéalement à vos désirs sur ImmoScout24 - La plateforme de l'immobilier en Suisse.")</f>
        <v>Louer appartement Vuiteboeuf: Trouvez le bien immobilier qui correspond idéalement à vos désirs sur ImmoScout24 - La plateforme de l'immobilier en Suisse.</v>
      </c>
    </row>
    <row r="3337" hidden="1">
      <c r="A3337" s="5" t="s">
        <v>9777</v>
      </c>
      <c r="B3337" s="2" t="s">
        <v>9778</v>
      </c>
      <c r="C3337" s="2" t="s">
        <v>9778</v>
      </c>
      <c r="D3337" s="4" t="str">
        <f>vlookup(A3337, Sheet2!D:E, 2, 0)</f>
        <v>control</v>
      </c>
      <c r="E3337" s="4" t="str">
        <f>IFERROR(__xludf.DUMMYFUNCTION("if(H3337=""pays"",vlookup(REGEXEXTRACT(C3337, ""🏘️ \w+ \w+ (.*) ✅""),'Country prepositions'!A:B, 2, 0) &amp; "" "" &amp; REGEXEXTRACT(C3337, ""🏘️ \w+ \w+ (.*) ✅"") ,  if(H3337=""quartier"",vlookup(REGEXEXTRACT(C3337, ""🏘️ \w+ \w+ (.*) ✅""),'Quartier prepositio"&amp;"ns'!A:E, 5, 0) ,  if(H3337=""region"",vlookup(REGEXEXTRACT(C3337, ""🏘️ \w+ \w+ (.*) ✅""),'Region prepositions'!B:F, 5, 0),  REGEXEXTRACT(C3337, ""🏘️ \w+ \w+ (.*) ✅""))))"),"#N/A")</f>
        <v>#N/A</v>
      </c>
      <c r="I3337" s="4" t="str">
        <f>IFERROR(__xludf.DUMMYFUNCTION("if(D3337=""variant"",  substitute(filter(Templates!E:E, Templates!A:A = F3337, Templates!B:B = G3337, Templates!C:C = H3337), ""{{}}"", E3337), B3337)"),"Vendre maison Crans-près-Céligny: Trouvez le bien immobilier qui correspond idéalement à vos désirs sur ImmoScout24 - La plateforme de l'immobilier en Suisse.")</f>
        <v>Vendre maison Crans-près-Céligny: Trouvez le bien immobilier qui correspond idéalement à vos désirs sur ImmoScout24 - La plateforme de l'immobilier en Suisse.</v>
      </c>
    </row>
    <row r="3338" hidden="1">
      <c r="A3338" s="5" t="s">
        <v>9779</v>
      </c>
      <c r="B3338" s="2" t="s">
        <v>9780</v>
      </c>
      <c r="C3338" s="2" t="s">
        <v>9780</v>
      </c>
      <c r="D3338" s="4" t="str">
        <f>vlookup(A3338, Sheet2!D:E, 2, 0)</f>
        <v>control</v>
      </c>
      <c r="E3338" s="4" t="str">
        <f>IFERROR(__xludf.DUMMYFUNCTION("if(H3338=""pays"",vlookup(REGEXEXTRACT(C3338, ""🏘️ \w+ \w+ (.*) ✅""),'Country prepositions'!A:B, 2, 0) &amp; "" "" &amp; REGEXEXTRACT(C3338, ""🏘️ \w+ \w+ (.*) ✅"") ,  if(H3338=""quartier"",vlookup(REGEXEXTRACT(C3338, ""🏘️ \w+ \w+ (.*) ✅""),'Quartier prepositio"&amp;"ns'!A:E, 5, 0) ,  if(H3338=""region"",vlookup(REGEXEXTRACT(C3338, ""🏘️ \w+ \w+ (.*) ✅""),'Region prepositions'!B:F, 5, 0),  REGEXEXTRACT(C3338, ""🏘️ \w+ \w+ (.*) ✅""))))"),"#N/A")</f>
        <v>#N/A</v>
      </c>
      <c r="I3338" s="4" t="str">
        <f>IFERROR(__xludf.DUMMYFUNCTION("if(D3338=""variant"",  substitute(filter(Templates!E:E, Templates!A:A = F3338, Templates!B:B = G3338, Templates!C:C = H3338), ""{{}}"", E3338), B3338)"),"Vendre maison Giornico: Trouvez le bien immobilier qui correspond idéalement à vos désirs sur ImmoScout24 - La plateforme de l'immobilier en Suisse.")</f>
        <v>Vendre maison Giornico: Trouvez le bien immobilier qui correspond idéalement à vos désirs sur ImmoScout24 - La plateforme de l'immobilier en Suisse.</v>
      </c>
    </row>
    <row r="3339" hidden="1">
      <c r="A3339" s="5" t="s">
        <v>9781</v>
      </c>
      <c r="B3339" s="2" t="s">
        <v>9782</v>
      </c>
      <c r="C3339" s="2" t="s">
        <v>9782</v>
      </c>
      <c r="D3339" s="4" t="str">
        <f>vlookup(A3339, Sheet2!D:E, 2, 0)</f>
        <v>control</v>
      </c>
      <c r="E3339" s="4" t="str">
        <f>IFERROR(__xludf.DUMMYFUNCTION("if(H3339=""pays"",vlookup(REGEXEXTRACT(C3339, ""🏘️ \w+ \w+ (.*) ✅""),'Country prepositions'!A:B, 2, 0) &amp; "" "" &amp; REGEXEXTRACT(C3339, ""🏘️ \w+ \w+ (.*) ✅"") ,  if(H3339=""quartier"",vlookup(REGEXEXTRACT(C3339, ""🏘️ \w+ \w+ (.*) ✅""),'Quartier prepositio"&amp;"ns'!A:E, 5, 0) ,  if(H3339=""region"",vlookup(REGEXEXTRACT(C3339, ""🏘️ \w+ \w+ (.*) ✅""),'Region prepositions'!B:F, 5, 0),  REGEXEXTRACT(C3339, ""🏘️ \w+ \w+ (.*) ✅""))))"),"#N/A")</f>
        <v>#N/A</v>
      </c>
      <c r="I3339" s="4" t="str">
        <f>IFERROR(__xludf.DUMMYFUNCTION("if(D3339=""variant"",  substitute(filter(Templates!E:E, Templates!A:A = F3339, Templates!B:B = G3339, Templates!C:C = H3339), ""{{}}"", E3339), B3339)"),"Vendre appartement Eschenbach SG: Trouvez le bien immobilier qui correspond idéalement à vos désirs sur ImmoScout24 - La plateforme de l'immobilier en Suisse.")</f>
        <v>Vendre appartement Eschenbach SG: Trouvez le bien immobilier qui correspond idéalement à vos désirs sur ImmoScout24 - La plateforme de l'immobilier en Suisse.</v>
      </c>
    </row>
    <row r="3340" hidden="1">
      <c r="A3340" s="5" t="s">
        <v>9783</v>
      </c>
      <c r="B3340" s="2" t="s">
        <v>9784</v>
      </c>
      <c r="C3340" s="2" t="s">
        <v>9784</v>
      </c>
      <c r="D3340" s="4" t="str">
        <f>vlookup(A3340, Sheet2!D:E, 2, 0)</f>
        <v>control</v>
      </c>
      <c r="E3340" s="4" t="str">
        <f>IFERROR(__xludf.DUMMYFUNCTION("if(H3340=""pays"",vlookup(REGEXEXTRACT(C3340, ""🏘️ \w+ \w+ (.*) ✅""),'Country prepositions'!A:B, 2, 0) &amp; "" "" &amp; REGEXEXTRACT(C3340, ""🏘️ \w+ \w+ (.*) ✅"") ,  if(H3340=""quartier"",vlookup(REGEXEXTRACT(C3340, ""🏘️ \w+ \w+ (.*) ✅""),'Quartier prepositio"&amp;"ns'!A:E, 5, 0) ,  if(H3340=""region"",vlookup(REGEXEXTRACT(C3340, ""🏘️ \w+ \w+ (.*) ✅""),'Region prepositions'!B:F, 5, 0),  REGEXEXTRACT(C3340, ""🏘️ \w+ \w+ (.*) ✅""))))"),"#N/A")</f>
        <v>#N/A</v>
      </c>
      <c r="I3340" s="4" t="str">
        <f>IFERROR(__xludf.DUMMYFUNCTION("if(D3340=""variant"",  substitute(filter(Templates!E:E, Templates!A:A = F3340, Templates!B:B = G3340, Templates!C:C = H3340), ""{{}}"", E3340), B3340)"),"Louer appartement Elgg: Trouvez le bien immobilier qui correspond idéalement à vos désirs sur ImmoScout24 - La plateforme de l'immobilier en Suisse.")</f>
        <v>Louer appartement Elgg: Trouvez le bien immobilier qui correspond idéalement à vos désirs sur ImmoScout24 - La plateforme de l'immobilier en Suisse.</v>
      </c>
    </row>
    <row r="3341" hidden="1">
      <c r="A3341" s="5" t="s">
        <v>9785</v>
      </c>
      <c r="B3341" s="2" t="s">
        <v>9786</v>
      </c>
      <c r="C3341" s="2" t="s">
        <v>9786</v>
      </c>
      <c r="D3341" s="4" t="str">
        <f>vlookup(A3341, Sheet2!D:E, 2, 0)</f>
        <v>control</v>
      </c>
      <c r="E3341" s="4" t="str">
        <f>IFERROR(__xludf.DUMMYFUNCTION("if(H3341=""pays"",vlookup(REGEXEXTRACT(C3341, ""🏘️ \w+ \w+ (.*) ✅""),'Country prepositions'!A:B, 2, 0) &amp; "" "" &amp; REGEXEXTRACT(C3341, ""🏘️ \w+ \w+ (.*) ✅"") ,  if(H3341=""quartier"",vlookup(REGEXEXTRACT(C3341, ""🏘️ \w+ \w+ (.*) ✅""),'Quartier prepositio"&amp;"ns'!A:E, 5, 0) ,  if(H3341=""region"",vlookup(REGEXEXTRACT(C3341, ""🏘️ \w+ \w+ (.*) ✅""),'Region prepositions'!B:F, 5, 0),  REGEXEXTRACT(C3341, ""🏘️ \w+ \w+ (.*) ✅""))))"),"#N/A")</f>
        <v>#N/A</v>
      </c>
      <c r="I3341" s="4" t="str">
        <f>IFERROR(__xludf.DUMMYFUNCTION("if(D3341=""variant"",  substitute(filter(Templates!E:E, Templates!A:A = F3341, Templates!B:B = G3341, Templates!C:C = H3341), ""{{}}"", E3341), B3341)"),"Vendre maison Rheinfelden: Trouvez le bien immobilier qui correspond idéalement à vos désirs sur ImmoScout24 - La plateforme de l'immobilier en Suisse.")</f>
        <v>Vendre maison Rheinfelden: Trouvez le bien immobilier qui correspond idéalement à vos désirs sur ImmoScout24 - La plateforme de l'immobilier en Suisse.</v>
      </c>
    </row>
    <row r="3342" hidden="1">
      <c r="A3342" s="5" t="s">
        <v>9787</v>
      </c>
      <c r="B3342" s="2" t="s">
        <v>9788</v>
      </c>
      <c r="C3342" s="2" t="s">
        <v>9788</v>
      </c>
      <c r="D3342" s="4" t="str">
        <f>vlookup(A3342, Sheet2!D:E, 2, 0)</f>
        <v>control</v>
      </c>
      <c r="E3342" s="4" t="str">
        <f>IFERROR(__xludf.DUMMYFUNCTION("if(H3342=""pays"",vlookup(REGEXEXTRACT(C3342, ""🏘️ \w+ \w+ (.*) ✅""),'Country prepositions'!A:B, 2, 0) &amp; "" "" &amp; REGEXEXTRACT(C3342, ""🏘️ \w+ \w+ (.*) ✅"") ,  if(H3342=""quartier"",vlookup(REGEXEXTRACT(C3342, ""🏘️ \w+ \w+ (.*) ✅""),'Quartier prepositio"&amp;"ns'!A:E, 5, 0) ,  if(H3342=""region"",vlookup(REGEXEXTRACT(C3342, ""🏘️ \w+ \w+ (.*) ✅""),'Region prepositions'!B:F, 5, 0),  REGEXEXTRACT(C3342, ""🏘️ \w+ \w+ (.*) ✅""))))"),"#N/A")</f>
        <v>#N/A</v>
      </c>
      <c r="I3342" s="4" t="str">
        <f>IFERROR(__xludf.DUMMYFUNCTION("if(D3342=""variant"",  substitute(filter(Templates!E:E, Templates!A:A = F3342, Templates!B:B = G3342, Templates!C:C = H3342), ""{{}}"", E3342), B3342)"),"Louer appartement Goppisberg: Trouvez le bien immobilier qui correspond idéalement à vos désirs sur ImmoScout24 - La plateforme de l'immobilier en Suisse.")</f>
        <v>Louer appartement Goppisberg: Trouvez le bien immobilier qui correspond idéalement à vos désirs sur ImmoScout24 - La plateforme de l'immobilier en Suisse.</v>
      </c>
    </row>
    <row r="3343" hidden="1">
      <c r="A3343" s="5" t="s">
        <v>9789</v>
      </c>
      <c r="B3343" s="2" t="s">
        <v>9790</v>
      </c>
      <c r="C3343" s="2" t="s">
        <v>9790</v>
      </c>
      <c r="D3343" s="4" t="str">
        <f>vlookup(A3343, Sheet2!D:E, 2, 0)</f>
        <v>control</v>
      </c>
      <c r="E3343" s="4" t="str">
        <f>IFERROR(__xludf.DUMMYFUNCTION("if(H3343=""pays"",vlookup(REGEXEXTRACT(C3343, ""🏘️ \w+ \w+ (.*) ✅""),'Country prepositions'!A:B, 2, 0) &amp; "" "" &amp; REGEXEXTRACT(C3343, ""🏘️ \w+ \w+ (.*) ✅"") ,  if(H3343=""quartier"",vlookup(REGEXEXTRACT(C3343, ""🏘️ \w+ \w+ (.*) ✅""),'Quartier prepositio"&amp;"ns'!A:E, 5, 0) ,  if(H3343=""region"",vlookup(REGEXEXTRACT(C3343, ""🏘️ \w+ \w+ (.*) ✅""),'Region prepositions'!B:F, 5, 0),  REGEXEXTRACT(C3343, ""🏘️ \w+ \w+ (.*) ✅""))))"),"#N/A")</f>
        <v>#N/A</v>
      </c>
      <c r="I3343" s="4" t="str">
        <f>IFERROR(__xludf.DUMMYFUNCTION("if(D3343=""variant"",  substitute(filter(Templates!E:E, Templates!A:A = F3343, Templates!B:B = G3343, Templates!C:C = H3343), ""{{}}"", E3343), B3343)"),"Vendre maison Grächen: Trouvez le bien immobilier qui correspond idéalement à vos désirs sur ImmoScout24 - La plateforme de l'immobilier en Suisse.")</f>
        <v>Vendre maison Grächen: Trouvez le bien immobilier qui correspond idéalement à vos désirs sur ImmoScout24 - La plateforme de l'immobilier en Suisse.</v>
      </c>
    </row>
    <row r="3344" hidden="1">
      <c r="A3344" s="5" t="s">
        <v>9791</v>
      </c>
      <c r="B3344" s="2" t="s">
        <v>9792</v>
      </c>
      <c r="C3344" s="2" t="s">
        <v>9792</v>
      </c>
      <c r="D3344" s="4" t="str">
        <f>vlookup(A3344, Sheet2!D:E, 2, 0)</f>
        <v>control</v>
      </c>
      <c r="E3344" s="4" t="str">
        <f>IFERROR(__xludf.DUMMYFUNCTION("if(H3344=""pays"",vlookup(REGEXEXTRACT(C3344, ""🏘️ \w+ \w+ (.*) ✅""),'Country prepositions'!A:B, 2, 0) &amp; "" "" &amp; REGEXEXTRACT(C3344, ""🏘️ \w+ \w+ (.*) ✅"") ,  if(H3344=""quartier"",vlookup(REGEXEXTRACT(C3344, ""🏘️ \w+ \w+ (.*) ✅""),'Quartier prepositio"&amp;"ns'!A:E, 5, 0) ,  if(H3344=""region"",vlookup(REGEXEXTRACT(C3344, ""🏘️ \w+ \w+ (.*) ✅""),'Region prepositions'!B:F, 5, 0),  REGEXEXTRACT(C3344, ""🏘️ \w+ \w+ (.*) ✅""))))"),"#N/A")</f>
        <v>#N/A</v>
      </c>
      <c r="I3344" s="4" t="str">
        <f>IFERROR(__xludf.DUMMYFUNCTION("if(D3344=""variant"",  substitute(filter(Templates!E:E, Templates!A:A = F3344, Templates!B:B = G3344, Templates!C:C = H3344), ""{{}}"", E3344), B3344)"),"Vendre maison Hermance: Trouvez le bien immobilier qui correspond idéalement à vos désirs sur ImmoScout24 - La plateforme de l'immobilier en Suisse.")</f>
        <v>Vendre maison Hermance: Trouvez le bien immobilier qui correspond idéalement à vos désirs sur ImmoScout24 - La plateforme de l'immobilier en Suisse.</v>
      </c>
    </row>
    <row r="3345" hidden="1">
      <c r="A3345" s="5" t="s">
        <v>9793</v>
      </c>
      <c r="B3345" s="2" t="s">
        <v>9794</v>
      </c>
      <c r="C3345" s="2" t="s">
        <v>9794</v>
      </c>
      <c r="D3345" s="4" t="str">
        <f>vlookup(A3345, Sheet2!D:E, 2, 0)</f>
        <v>control</v>
      </c>
      <c r="E3345" s="4" t="str">
        <f>IFERROR(__xludf.DUMMYFUNCTION("if(H3345=""pays"",vlookup(REGEXEXTRACT(C3345, ""🏘️ \w+ \w+ (.*) ✅""),'Country prepositions'!A:B, 2, 0) &amp; "" "" &amp; REGEXEXTRACT(C3345, ""🏘️ \w+ \w+ (.*) ✅"") ,  if(H3345=""quartier"",vlookup(REGEXEXTRACT(C3345, ""🏘️ \w+ \w+ (.*) ✅""),'Quartier prepositio"&amp;"ns'!A:E, 5, 0) ,  if(H3345=""region"",vlookup(REGEXEXTRACT(C3345, ""🏘️ \w+ \w+ (.*) ✅""),'Region prepositions'!B:F, 5, 0),  REGEXEXTRACT(C3345, ""🏘️ \w+ \w+ (.*) ✅""))))"),"#N/A")</f>
        <v>#N/A</v>
      </c>
      <c r="I3345" s="4" t="str">
        <f>IFERROR(__xludf.DUMMYFUNCTION("if(D3345=""variant"",  substitute(filter(Templates!E:E, Templates!A:A = F3345, Templates!B:B = G3345, Templates!C:C = H3345), ""{{}}"", E3345), B3345)"),"Vendre maison Pérolles (Fribourg): Trouvez le bien immobilier qui correspond idéalement à vos désirs sur ImmoScout24 - La plateforme de l'immobilier en Suisse.")</f>
        <v>Vendre maison Pérolles (Fribourg): Trouvez le bien immobilier qui correspond idéalement à vos désirs sur ImmoScout24 - La plateforme de l'immobilier en Suisse.</v>
      </c>
    </row>
    <row r="3346" hidden="1">
      <c r="A3346" s="5" t="s">
        <v>9795</v>
      </c>
      <c r="B3346" s="2" t="s">
        <v>9796</v>
      </c>
      <c r="C3346" s="2" t="s">
        <v>9796</v>
      </c>
      <c r="D3346" s="4" t="str">
        <f>vlookup(A3346, Sheet2!D:E, 2, 0)</f>
        <v>control</v>
      </c>
      <c r="E3346" s="4" t="str">
        <f>IFERROR(__xludf.DUMMYFUNCTION("if(H3346=""pays"",vlookup(REGEXEXTRACT(C3346, ""🏘️ \w+ \w+ (.*) ✅""),'Country prepositions'!A:B, 2, 0) &amp; "" "" &amp; REGEXEXTRACT(C3346, ""🏘️ \w+ \w+ (.*) ✅"") ,  if(H3346=""quartier"",vlookup(REGEXEXTRACT(C3346, ""🏘️ \w+ \w+ (.*) ✅""),'Quartier prepositio"&amp;"ns'!A:E, 5, 0) ,  if(H3346=""region"",vlookup(REGEXEXTRACT(C3346, ""🏘️ \w+ \w+ (.*) ✅""),'Region prepositions'!B:F, 5, 0),  REGEXEXTRACT(C3346, ""🏘️ \w+ \w+ (.*) ✅""))))"),"#N/A")</f>
        <v>#N/A</v>
      </c>
      <c r="I3346" s="4" t="str">
        <f>IFERROR(__xludf.DUMMYFUNCTION("if(D3346=""variant"",  substitute(filter(Templates!E:E, Templates!A:A = F3346, Templates!B:B = G3346, Templates!C:C = H3346), ""{{}}"", E3346), B3346)"),"Vendre appartement Montet (Broye): Trouvez le bien immobilier qui correspond idéalement à vos désirs sur ImmoScout24 - La plateforme de l'immobilier en Suisse.")</f>
        <v>Vendre appartement Montet (Broye): Trouvez le bien immobilier qui correspond idéalement à vos désirs sur ImmoScout24 - La plateforme de l'immobilier en Suisse.</v>
      </c>
    </row>
    <row r="3347" hidden="1">
      <c r="A3347" s="5" t="s">
        <v>9797</v>
      </c>
      <c r="B3347" s="2" t="s">
        <v>9798</v>
      </c>
      <c r="C3347" s="2" t="s">
        <v>9798</v>
      </c>
      <c r="D3347" s="4" t="str">
        <f>vlookup(A3347, Sheet2!D:E, 2, 0)</f>
        <v>control</v>
      </c>
      <c r="E3347" s="4" t="str">
        <f>IFERROR(__xludf.DUMMYFUNCTION("if(H3347=""pays"",vlookup(REGEXEXTRACT(C3347, ""🏘️ \w+ \w+ (.*) ✅""),'Country prepositions'!A:B, 2, 0) &amp; "" "" &amp; REGEXEXTRACT(C3347, ""🏘️ \w+ \w+ (.*) ✅"") ,  if(H3347=""quartier"",vlookup(REGEXEXTRACT(C3347, ""🏘️ \w+ \w+ (.*) ✅""),'Quartier prepositio"&amp;"ns'!A:E, 5, 0) ,  if(H3347=""region"",vlookup(REGEXEXTRACT(C3347, ""🏘️ \w+ \w+ (.*) ✅""),'Region prepositions'!B:F, 5, 0),  REGEXEXTRACT(C3347, ""🏘️ \w+ \w+ (.*) ✅""))))"),"#N/A")</f>
        <v>#N/A</v>
      </c>
      <c r="I3347" s="4" t="str">
        <f>IFERROR(__xludf.DUMMYFUNCTION("if(D3347=""variant"",  substitute(filter(Templates!E:E, Templates!A:A = F3347, Templates!B:B = G3347, Templates!C:C = H3347), ""{{}}"", E3347), B3347)"),"Louer appartement Gordola: Trouvez le bien immobilier qui correspond idéalement à vos désirs sur ImmoScout24 - La plateforme de l'immobilier en Suisse.")</f>
        <v>Louer appartement Gordola: Trouvez le bien immobilier qui correspond idéalement à vos désirs sur ImmoScout24 - La plateforme de l'immobilier en Suisse.</v>
      </c>
    </row>
    <row r="3348" hidden="1">
      <c r="A3348" s="5" t="s">
        <v>9799</v>
      </c>
      <c r="B3348" s="2" t="s">
        <v>9800</v>
      </c>
      <c r="C3348" s="2" t="s">
        <v>9800</v>
      </c>
      <c r="D3348" s="4" t="str">
        <f>vlookup(A3348, Sheet2!D:E, 2, 0)</f>
        <v>control</v>
      </c>
      <c r="E3348" s="4" t="str">
        <f>IFERROR(__xludf.DUMMYFUNCTION("if(H3348=""pays"",vlookup(REGEXEXTRACT(C3348, ""🏘️ \w+ \w+ (.*) ✅""),'Country prepositions'!A:B, 2, 0) &amp; "" "" &amp; REGEXEXTRACT(C3348, ""🏘️ \w+ \w+ (.*) ✅"") ,  if(H3348=""quartier"",vlookup(REGEXEXTRACT(C3348, ""🏘️ \w+ \w+ (.*) ✅""),'Quartier prepositio"&amp;"ns'!A:E, 5, 0) ,  if(H3348=""region"",vlookup(REGEXEXTRACT(C3348, ""🏘️ \w+ \w+ (.*) ✅""),'Region prepositions'!B:F, 5, 0),  REGEXEXTRACT(C3348, ""🏘️ \w+ \w+ (.*) ✅""))))"),"#N/A")</f>
        <v>#N/A</v>
      </c>
      <c r="I3348" s="4" t="str">
        <f>IFERROR(__xludf.DUMMYFUNCTION("if(D3348=""variant"",  substitute(filter(Templates!E:E, Templates!A:A = F3348, Templates!B:B = G3348, Templates!C:C = H3348), ""{{}}"", E3348), B3348)"),"Vendre maison Portugal: Trouvez le bien immobilier qui correspond idéalement à vos désirs sur ImmoScout24 - La plateforme de l'immobilier en Suisse.")</f>
        <v>Vendre maison Portugal: Trouvez le bien immobilier qui correspond idéalement à vos désirs sur ImmoScout24 - La plateforme de l'immobilier en Suisse.</v>
      </c>
    </row>
    <row r="3349" hidden="1">
      <c r="A3349" s="5" t="s">
        <v>9801</v>
      </c>
      <c r="B3349" s="2" t="s">
        <v>9802</v>
      </c>
      <c r="C3349" s="2" t="s">
        <v>9802</v>
      </c>
      <c r="D3349" s="4" t="str">
        <f>vlookup(A3349, Sheet2!D:E, 2, 0)</f>
        <v>control</v>
      </c>
      <c r="E3349" s="4" t="str">
        <f>IFERROR(__xludf.DUMMYFUNCTION("if(H3349=""pays"",vlookup(REGEXEXTRACT(C3349, ""🏘️ \w+ \w+ (.*) ✅""),'Country prepositions'!A:B, 2, 0) &amp; "" "" &amp; REGEXEXTRACT(C3349, ""🏘️ \w+ \w+ (.*) ✅"") ,  if(H3349=""quartier"",vlookup(REGEXEXTRACT(C3349, ""🏘️ \w+ \w+ (.*) ✅""),'Quartier prepositio"&amp;"ns'!A:E, 5, 0) ,  if(H3349=""region"",vlookup(REGEXEXTRACT(C3349, ""🏘️ \w+ \w+ (.*) ✅""),'Region prepositions'!B:F, 5, 0),  REGEXEXTRACT(C3349, ""🏘️ \w+ \w+ (.*) ✅""))))"),"#N/A")</f>
        <v>#N/A</v>
      </c>
      <c r="I3349" s="4" t="str">
        <f>IFERROR(__xludf.DUMMYFUNCTION("if(D3349=""variant"",  substitute(filter(Templates!E:E, Templates!A:A = F3349, Templates!B:B = G3349, Templates!C:C = H3349), ""{{}}"", E3349), B3349)"),"Louer appartement Gisikon: Trouvez le bien immobilier qui correspond idéalement à vos désirs sur ImmoScout24 - La plateforme de l'immobilier en Suisse.")</f>
        <v>Louer appartement Gisikon: Trouvez le bien immobilier qui correspond idéalement à vos désirs sur ImmoScout24 - La plateforme de l'immobilier en Suisse.</v>
      </c>
    </row>
    <row r="3350" hidden="1">
      <c r="A3350" s="5" t="s">
        <v>9803</v>
      </c>
      <c r="B3350" s="2" t="s">
        <v>9804</v>
      </c>
      <c r="C3350" s="2" t="s">
        <v>9804</v>
      </c>
      <c r="D3350" s="4" t="str">
        <f>vlookup(A3350, Sheet2!D:E, 2, 0)</f>
        <v>control</v>
      </c>
      <c r="E3350" s="4" t="str">
        <f>IFERROR(__xludf.DUMMYFUNCTION("if(H3350=""pays"",vlookup(REGEXEXTRACT(C3350, ""🏘️ \w+ \w+ (.*) ✅""),'Country prepositions'!A:B, 2, 0) &amp; "" "" &amp; REGEXEXTRACT(C3350, ""🏘️ \w+ \w+ (.*) ✅"") ,  if(H3350=""quartier"",vlookup(REGEXEXTRACT(C3350, ""🏘️ \w+ \w+ (.*) ✅""),'Quartier prepositio"&amp;"ns'!A:E, 5, 0) ,  if(H3350=""region"",vlookup(REGEXEXTRACT(C3350, ""🏘️ \w+ \w+ (.*) ✅""),'Region prepositions'!B:F, 5, 0),  REGEXEXTRACT(C3350, ""🏘️ \w+ \w+ (.*) ✅""))))"),"#N/A")</f>
        <v>#N/A</v>
      </c>
      <c r="I3350" s="4" t="str">
        <f>IFERROR(__xludf.DUMMYFUNCTION("if(D3350=""variant"",  substitute(filter(Templates!E:E, Templates!A:A = F3350, Templates!B:B = G3350, Templates!C:C = H3350), ""{{}}"", E3350), B3350)"),"Vendre maison Saclentse: Trouvez le bien immobilier qui correspond idéalement à vos désirs sur ImmoScout24 - La plateforme de l'immobilier en Suisse.")</f>
        <v>Vendre maison Saclentse: Trouvez le bien immobilier qui correspond idéalement à vos désirs sur ImmoScout24 - La plateforme de l'immobilier en Suisse.</v>
      </c>
    </row>
    <row r="3351" hidden="1">
      <c r="A3351" s="5" t="s">
        <v>9805</v>
      </c>
      <c r="B3351" s="2" t="s">
        <v>9806</v>
      </c>
      <c r="C3351" s="2" t="s">
        <v>9806</v>
      </c>
      <c r="D3351" s="4" t="str">
        <f>vlookup(A3351, Sheet2!D:E, 2, 0)</f>
        <v>control</v>
      </c>
      <c r="E3351" s="4" t="str">
        <f>IFERROR(__xludf.DUMMYFUNCTION("if(H3351=""pays"",vlookup(REGEXEXTRACT(C3351, ""🏘️ \w+ \w+ (.*) ✅""),'Country prepositions'!A:B, 2, 0) &amp; "" "" &amp; REGEXEXTRACT(C3351, ""🏘️ \w+ \w+ (.*) ✅"") ,  if(H3351=""quartier"",vlookup(REGEXEXTRACT(C3351, ""🏘️ \w+ \w+ (.*) ✅""),'Quartier prepositio"&amp;"ns'!A:E, 5, 0) ,  if(H3351=""region"",vlookup(REGEXEXTRACT(C3351, ""🏘️ \w+ \w+ (.*) ✅""),'Region prepositions'!B:F, 5, 0),  REGEXEXTRACT(C3351, ""🏘️ \w+ \w+ (.*) ✅""))))"),"#N/A")</f>
        <v>#N/A</v>
      </c>
      <c r="I3351" s="4" t="str">
        <f>IFERROR(__xludf.DUMMYFUNCTION("if(D3351=""variant"",  substitute(filter(Templates!E:E, Templates!A:A = F3351, Templates!B:B = G3351, Templates!C:C = H3351), ""{{}}"", E3351), B3351)"),"Vendre maison Eison (St-Martin): Trouvez le bien immobilier qui correspond idéalement à vos désirs sur ImmoScout24 - La plateforme de l'immobilier en Suisse.")</f>
        <v>Vendre maison Eison (St-Martin): Trouvez le bien immobilier qui correspond idéalement à vos désirs sur ImmoScout24 - La plateforme de l'immobilier en Suisse.</v>
      </c>
    </row>
    <row r="3352" hidden="1">
      <c r="A3352" s="5" t="s">
        <v>9807</v>
      </c>
      <c r="B3352" s="2" t="s">
        <v>9808</v>
      </c>
      <c r="C3352" s="2" t="s">
        <v>9808</v>
      </c>
      <c r="D3352" s="4" t="str">
        <f>vlookup(A3352, Sheet2!D:E, 2, 0)</f>
        <v>control</v>
      </c>
      <c r="E3352" s="4" t="str">
        <f>IFERROR(__xludf.DUMMYFUNCTION("if(H3352=""pays"",vlookup(REGEXEXTRACT(C3352, ""🏘️ \w+ \w+ (.*) ✅""),'Country prepositions'!A:B, 2, 0) &amp; "" "" &amp; REGEXEXTRACT(C3352, ""🏘️ \w+ \w+ (.*) ✅"") ,  if(H3352=""quartier"",vlookup(REGEXEXTRACT(C3352, ""🏘️ \w+ \w+ (.*) ✅""),'Quartier prepositio"&amp;"ns'!A:E, 5, 0) ,  if(H3352=""region"",vlookup(REGEXEXTRACT(C3352, ""🏘️ \w+ \w+ (.*) ✅""),'Region prepositions'!B:F, 5, 0),  REGEXEXTRACT(C3352, ""🏘️ \w+ \w+ (.*) ✅""))))"),"#N/A")</f>
        <v>#N/A</v>
      </c>
      <c r="I3352" s="4" t="str">
        <f>IFERROR(__xludf.DUMMYFUNCTION("if(D3352=""variant"",  substitute(filter(Templates!E:E, Templates!A:A = F3352, Templates!B:B = G3352, Templates!C:C = H3352), ""{{}}"", E3352), B3352)"),"Louer maison Chaumont (Neuchâtel): Trouvez le bien immobilier qui correspond idéalement à vos désirs sur ImmoScout24 - La plateforme de l'immobilier en Suisse.")</f>
        <v>Louer maison Chaumont (Neuchâtel): Trouvez le bien immobilier qui correspond idéalement à vos désirs sur ImmoScout24 - La plateforme de l'immobilier en Suisse.</v>
      </c>
    </row>
    <row r="3353" hidden="1">
      <c r="A3353" s="5" t="s">
        <v>9809</v>
      </c>
      <c r="B3353" s="2" t="s">
        <v>9810</v>
      </c>
      <c r="C3353" s="2" t="s">
        <v>9810</v>
      </c>
      <c r="D3353" s="4" t="str">
        <f>vlookup(A3353, Sheet2!D:E, 2, 0)</f>
        <v>control</v>
      </c>
      <c r="E3353" s="4" t="str">
        <f>IFERROR(__xludf.DUMMYFUNCTION("if(H3353=""pays"",vlookup(REGEXEXTRACT(C3353, ""🏘️ \w+ \w+ (.*) ✅""),'Country prepositions'!A:B, 2, 0) &amp; "" "" &amp; REGEXEXTRACT(C3353, ""🏘️ \w+ \w+ (.*) ✅"") ,  if(H3353=""quartier"",vlookup(REGEXEXTRACT(C3353, ""🏘️ \w+ \w+ (.*) ✅""),'Quartier prepositio"&amp;"ns'!A:E, 5, 0) ,  if(H3353=""region"",vlookup(REGEXEXTRACT(C3353, ""🏘️ \w+ \w+ (.*) ✅""),'Region prepositions'!B:F, 5, 0),  REGEXEXTRACT(C3353, ""🏘️ \w+ \w+ (.*) ✅""))))"),"#N/A")</f>
        <v>#N/A</v>
      </c>
      <c r="I3353" s="4" t="str">
        <f>IFERROR(__xludf.DUMMYFUNCTION("if(D3353=""variant"",  substitute(filter(Templates!E:E, Templates!A:A = F3353, Templates!B:B = G3353, Templates!C:C = H3353), ""{{}}"", E3353), B3353)"),"Louer appartement Montana: Trouvez le bien immobilier qui correspond idéalement à vos désirs sur ImmoScout24 - La plateforme de l'immobilier en Suisse.")</f>
        <v>Louer appartement Montana: Trouvez le bien immobilier qui correspond idéalement à vos désirs sur ImmoScout24 - La plateforme de l'immobilier en Suisse.</v>
      </c>
    </row>
    <row r="3354" hidden="1">
      <c r="A3354" s="5" t="s">
        <v>9811</v>
      </c>
      <c r="B3354" s="2" t="s">
        <v>9812</v>
      </c>
      <c r="C3354" s="2" t="s">
        <v>9812</v>
      </c>
      <c r="D3354" s="4" t="str">
        <f>vlookup(A3354, Sheet2!D:E, 2, 0)</f>
        <v>control</v>
      </c>
      <c r="E3354" s="4" t="str">
        <f>IFERROR(__xludf.DUMMYFUNCTION("if(H3354=""pays"",vlookup(REGEXEXTRACT(C3354, ""🏘️ \w+ \w+ (.*) ✅""),'Country prepositions'!A:B, 2, 0) &amp; "" "" &amp; REGEXEXTRACT(C3354, ""🏘️ \w+ \w+ (.*) ✅"") ,  if(H3354=""quartier"",vlookup(REGEXEXTRACT(C3354, ""🏘️ \w+ \w+ (.*) ✅""),'Quartier prepositio"&amp;"ns'!A:E, 5, 0) ,  if(H3354=""region"",vlookup(REGEXEXTRACT(C3354, ""🏘️ \w+ \w+ (.*) ✅""),'Region prepositions'!B:F, 5, 0),  REGEXEXTRACT(C3354, ""🏘️ \w+ \w+ (.*) ✅""))))"),"#N/A")</f>
        <v>#N/A</v>
      </c>
      <c r="I3354" s="4" t="str">
        <f>IFERROR(__xludf.DUMMYFUNCTION("if(D3354=""variant"",  substitute(filter(Templates!E:E, Templates!A:A = F3354, Templates!B:B = G3354, Templates!C:C = H3354), ""{{}}"", E3354), B3354)"),"Vendre appartement Neuenhof: Trouvez le bien immobilier qui correspond idéalement à vos désirs sur ImmoScout24 - La plateforme de l'immobilier en Suisse.")</f>
        <v>Vendre appartement Neuenhof: Trouvez le bien immobilier qui correspond idéalement à vos désirs sur ImmoScout24 - La plateforme de l'immobilier en Suisse.</v>
      </c>
    </row>
    <row r="3355" hidden="1">
      <c r="A3355" s="5" t="s">
        <v>9813</v>
      </c>
      <c r="B3355" s="2" t="s">
        <v>9814</v>
      </c>
      <c r="C3355" s="2" t="s">
        <v>9814</v>
      </c>
      <c r="D3355" s="4" t="str">
        <f>vlookup(A3355, Sheet2!D:E, 2, 0)</f>
        <v>control</v>
      </c>
      <c r="E3355" s="4" t="str">
        <f>IFERROR(__xludf.DUMMYFUNCTION("if(H3355=""pays"",vlookup(REGEXEXTRACT(C3355, ""🏘️ \w+ \w+ (.*) ✅""),'Country prepositions'!A:B, 2, 0) &amp; "" "" &amp; REGEXEXTRACT(C3355, ""🏘️ \w+ \w+ (.*) ✅"") ,  if(H3355=""quartier"",vlookup(REGEXEXTRACT(C3355, ""🏘️ \w+ \w+ (.*) ✅""),'Quartier prepositio"&amp;"ns'!A:E, 5, 0) ,  if(H3355=""region"",vlookup(REGEXEXTRACT(C3355, ""🏘️ \w+ \w+ (.*) ✅""),'Region prepositions'!B:F, 5, 0),  REGEXEXTRACT(C3355, ""🏘️ \w+ \w+ (.*) ✅""))))"),"#N/A")</f>
        <v>#N/A</v>
      </c>
      <c r="I3355" s="4" t="str">
        <f>IFERROR(__xludf.DUMMYFUNCTION("if(D3355=""variant"",  substitute(filter(Templates!E:E, Templates!A:A = F3355, Templates!B:B = G3355, Templates!C:C = H3355), ""{{}}"", E3355), B3355)"),"Vendre appartement Mels: Trouvez le bien immobilier qui correspond idéalement à vos désirs sur ImmoScout24 - La plateforme de l'immobilier en Suisse.")</f>
        <v>Vendre appartement Mels: Trouvez le bien immobilier qui correspond idéalement à vos désirs sur ImmoScout24 - La plateforme de l'immobilier en Suisse.</v>
      </c>
    </row>
    <row r="3356" hidden="1">
      <c r="A3356" s="5" t="s">
        <v>9815</v>
      </c>
      <c r="B3356" s="2" t="s">
        <v>9816</v>
      </c>
      <c r="C3356" s="2" t="s">
        <v>9816</v>
      </c>
      <c r="D3356" s="4" t="str">
        <f>vlookup(A3356, Sheet2!D:E, 2, 0)</f>
        <v>control</v>
      </c>
      <c r="E3356" s="4" t="str">
        <f>IFERROR(__xludf.DUMMYFUNCTION("if(H3356=""pays"",vlookup(REGEXEXTRACT(C3356, ""🏘️ \w+ \w+ (.*) ✅""),'Country prepositions'!A:B, 2, 0) &amp; "" "" &amp; REGEXEXTRACT(C3356, ""🏘️ \w+ \w+ (.*) ✅"") ,  if(H3356=""quartier"",vlookup(REGEXEXTRACT(C3356, ""🏘️ \w+ \w+ (.*) ✅""),'Quartier prepositio"&amp;"ns'!A:E, 5, 0) ,  if(H3356=""region"",vlookup(REGEXEXTRACT(C3356, ""🏘️ \w+ \w+ (.*) ✅""),'Region prepositions'!B:F, 5, 0),  REGEXEXTRACT(C3356, ""🏘️ \w+ \w+ (.*) ✅""))))"),"#N/A")</f>
        <v>#N/A</v>
      </c>
      <c r="I3356" s="4" t="str">
        <f>IFERROR(__xludf.DUMMYFUNCTION("if(D3356=""variant"",  substitute(filter(Templates!E:E, Templates!A:A = F3356, Templates!B:B = G3356, Templates!C:C = H3356), ""{{}}"", E3356), B3356)"),"Louer maison Châtonnaye: Trouvez le bien immobilier qui correspond idéalement à vos désirs sur ImmoScout24 - La plateforme de l'immobilier en Suisse.")</f>
        <v>Louer maison Châtonnaye: Trouvez le bien immobilier qui correspond idéalement à vos désirs sur ImmoScout24 - La plateforme de l'immobilier en Suisse.</v>
      </c>
    </row>
    <row r="3357" hidden="1">
      <c r="A3357" s="5" t="s">
        <v>9817</v>
      </c>
      <c r="B3357" s="2" t="s">
        <v>9818</v>
      </c>
      <c r="C3357" s="2" t="s">
        <v>9818</v>
      </c>
      <c r="D3357" s="4" t="str">
        <f>vlookup(A3357, Sheet2!D:E, 2, 0)</f>
        <v>control</v>
      </c>
      <c r="E3357" s="4" t="str">
        <f>IFERROR(__xludf.DUMMYFUNCTION("if(H3357=""pays"",vlookup(REGEXEXTRACT(C3357, ""🏘️ \w+ \w+ (.*) ✅""),'Country prepositions'!A:B, 2, 0) &amp; "" "" &amp; REGEXEXTRACT(C3357, ""🏘️ \w+ \w+ (.*) ✅"") ,  if(H3357=""quartier"",vlookup(REGEXEXTRACT(C3357, ""🏘️ \w+ \w+ (.*) ✅""),'Quartier prepositio"&amp;"ns'!A:E, 5, 0) ,  if(H3357=""region"",vlookup(REGEXEXTRACT(C3357, ""🏘️ \w+ \w+ (.*) ✅""),'Region prepositions'!B:F, 5, 0),  REGEXEXTRACT(C3357, ""🏘️ \w+ \w+ (.*) ✅""))))"),"#N/A")</f>
        <v>#N/A</v>
      </c>
      <c r="I3357" s="4" t="str">
        <f>IFERROR(__xludf.DUMMYFUNCTION("if(D3357=""variant"",  substitute(filter(Templates!E:E, Templates!A:A = F3357, Templates!B:B = G3357, Templates!C:C = H3357), ""{{}}"", E3357), B3357)"),"Louer appartement Courroux: Trouvez le bien immobilier qui correspond idéalement à vos désirs sur ImmoScout24 - La plateforme de l'immobilier en Suisse.")</f>
        <v>Louer appartement Courroux: Trouvez le bien immobilier qui correspond idéalement à vos désirs sur ImmoScout24 - La plateforme de l'immobilier en Suisse.</v>
      </c>
    </row>
    <row r="3358" hidden="1">
      <c r="A3358" s="5" t="s">
        <v>9819</v>
      </c>
      <c r="B3358" s="2" t="s">
        <v>9820</v>
      </c>
      <c r="C3358" s="2" t="s">
        <v>9820</v>
      </c>
      <c r="D3358" s="4" t="str">
        <f>vlookup(A3358, Sheet2!D:E, 2, 0)</f>
        <v>control</v>
      </c>
      <c r="E3358" s="4" t="str">
        <f>IFERROR(__xludf.DUMMYFUNCTION("if(H3358=""pays"",vlookup(REGEXEXTRACT(C3358, ""🏘️ \w+ \w+ (.*) ✅""),'Country prepositions'!A:B, 2, 0) &amp; "" "" &amp; REGEXEXTRACT(C3358, ""🏘️ \w+ \w+ (.*) ✅"") ,  if(H3358=""quartier"",vlookup(REGEXEXTRACT(C3358, ""🏘️ \w+ \w+ (.*) ✅""),'Quartier prepositio"&amp;"ns'!A:E, 5, 0) ,  if(H3358=""region"",vlookup(REGEXEXTRACT(C3358, ""🏘️ \w+ \w+ (.*) ✅""),'Region prepositions'!B:F, 5, 0),  REGEXEXTRACT(C3358, ""🏘️ \w+ \w+ (.*) ✅""))))"),"#N/A")</f>
        <v>#N/A</v>
      </c>
      <c r="I3358" s="4" t="str">
        <f>IFERROR(__xludf.DUMMYFUNCTION("if(D3358=""variant"",  substitute(filter(Templates!E:E, Templates!A:A = F3358, Templates!B:B = G3358, Templates!C:C = H3358), ""{{}}"", E3358), B3358)"),"Vendre maison St. Gallen: Trouvez le bien immobilier qui correspond idéalement à vos désirs sur ImmoScout24 - La plateforme de l'immobilier en Suisse.")</f>
        <v>Vendre maison St. Gallen: Trouvez le bien immobilier qui correspond idéalement à vos désirs sur ImmoScout24 - La plateforme de l'immobilier en Suisse.</v>
      </c>
    </row>
    <row r="3359" hidden="1">
      <c r="A3359" s="5" t="s">
        <v>9821</v>
      </c>
      <c r="B3359" s="2" t="s">
        <v>9822</v>
      </c>
      <c r="C3359" s="2" t="s">
        <v>9822</v>
      </c>
      <c r="D3359" s="4" t="str">
        <f>vlookup(A3359, Sheet2!D:E, 2, 0)</f>
        <v>control</v>
      </c>
      <c r="E3359" s="4" t="str">
        <f>IFERROR(__xludf.DUMMYFUNCTION("if(H3359=""pays"",vlookup(REGEXEXTRACT(C3359, ""🏘️ \w+ \w+ (.*) ✅""),'Country prepositions'!A:B, 2, 0) &amp; "" "" &amp; REGEXEXTRACT(C3359, ""🏘️ \w+ \w+ (.*) ✅"") ,  if(H3359=""quartier"",vlookup(REGEXEXTRACT(C3359, ""🏘️ \w+ \w+ (.*) ✅""),'Quartier prepositio"&amp;"ns'!A:E, 5, 0) ,  if(H3359=""region"",vlookup(REGEXEXTRACT(C3359, ""🏘️ \w+ \w+ (.*) ✅""),'Region prepositions'!B:F, 5, 0),  REGEXEXTRACT(C3359, ""🏘️ \w+ \w+ (.*) ✅""))))"),"#N/A")</f>
        <v>#N/A</v>
      </c>
      <c r="I3359" s="4" t="str">
        <f>IFERROR(__xludf.DUMMYFUNCTION("if(D3359=""variant"",  substitute(filter(Templates!E:E, Templates!A:A = F3359, Templates!B:B = G3359, Templates!C:C = H3359), ""{{}}"", E3359), B3359)"),"Vendre appartement Echallens: Trouvez le bien immobilier qui correspond idéalement à vos désirs sur ImmoScout24 - La plateforme de l'immobilier en Suisse.")</f>
        <v>Vendre appartement Echallens: Trouvez le bien immobilier qui correspond idéalement à vos désirs sur ImmoScout24 - La plateforme de l'immobilier en Suisse.</v>
      </c>
    </row>
    <row r="3360" hidden="1">
      <c r="A3360" s="5" t="s">
        <v>9823</v>
      </c>
      <c r="B3360" s="2" t="s">
        <v>9824</v>
      </c>
      <c r="C3360" s="2" t="s">
        <v>9824</v>
      </c>
      <c r="D3360" s="4" t="str">
        <f>vlookup(A3360, Sheet2!D:E, 2, 0)</f>
        <v>control</v>
      </c>
      <c r="E3360" s="4" t="str">
        <f>IFERROR(__xludf.DUMMYFUNCTION("if(H3360=""pays"",vlookup(REGEXEXTRACT(C3360, ""🏘️ \w+ \w+ (.*) ✅""),'Country prepositions'!A:B, 2, 0) &amp; "" "" &amp; REGEXEXTRACT(C3360, ""🏘️ \w+ \w+ (.*) ✅"") ,  if(H3360=""quartier"",vlookup(REGEXEXTRACT(C3360, ""🏘️ \w+ \w+ (.*) ✅""),'Quartier prepositio"&amp;"ns'!A:E, 5, 0) ,  if(H3360=""region"",vlookup(REGEXEXTRACT(C3360, ""🏘️ \w+ \w+ (.*) ✅""),'Region prepositions'!B:F, 5, 0),  REGEXEXTRACT(C3360, ""🏘️ \w+ \w+ (.*) ✅""))))"),"#N/A")</f>
        <v>#N/A</v>
      </c>
      <c r="I3360" s="4" t="str">
        <f>IFERROR(__xludf.DUMMYFUNCTION("if(D3360=""variant"",  substitute(filter(Templates!E:E, Templates!A:A = F3360, Templates!B:B = G3360, Templates!C:C = H3360), ""{{}}"", E3360), B3360)"),"Louer maison Asuel: Trouvez le bien immobilier qui correspond idéalement à vos désirs sur ImmoScout24 - La plateforme de l'immobilier en Suisse.")</f>
        <v>Louer maison Asuel: Trouvez le bien immobilier qui correspond idéalement à vos désirs sur ImmoScout24 - La plateforme de l'immobilier en Suisse.</v>
      </c>
    </row>
    <row r="3361" hidden="1">
      <c r="A3361" s="5" t="s">
        <v>9825</v>
      </c>
      <c r="B3361" s="2" t="s">
        <v>9826</v>
      </c>
      <c r="C3361" s="2" t="s">
        <v>9826</v>
      </c>
      <c r="D3361" s="4" t="str">
        <f>vlookup(A3361, Sheet2!D:E, 2, 0)</f>
        <v>control</v>
      </c>
      <c r="E3361" s="4" t="str">
        <f>IFERROR(__xludf.DUMMYFUNCTION("if(H3361=""pays"",vlookup(REGEXEXTRACT(C3361, ""🏘️ \w+ \w+ (.*) ✅""),'Country prepositions'!A:B, 2, 0) &amp; "" "" &amp; REGEXEXTRACT(C3361, ""🏘️ \w+ \w+ (.*) ✅"") ,  if(H3361=""quartier"",vlookup(REGEXEXTRACT(C3361, ""🏘️ \w+ \w+ (.*) ✅""),'Quartier prepositio"&amp;"ns'!A:E, 5, 0) ,  if(H3361=""region"",vlookup(REGEXEXTRACT(C3361, ""🏘️ \w+ \w+ (.*) ✅""),'Region prepositions'!B:F, 5, 0),  REGEXEXTRACT(C3361, ""🏘️ \w+ \w+ (.*) ✅""))))"),"#N/A")</f>
        <v>#N/A</v>
      </c>
      <c r="I3361" s="4" t="str">
        <f>IFERROR(__xludf.DUMMYFUNCTION("if(D3361=""variant"",  substitute(filter(Templates!E:E, Templates!A:A = F3361, Templates!B:B = G3361, Templates!C:C = H3361), ""{{}}"", E3361), B3361)"),"Louer appartement Miège: Trouvez le bien immobilier qui correspond idéalement à vos désirs sur ImmoScout24 - La plateforme de l'immobilier en Suisse.")</f>
        <v>Louer appartement Miège: Trouvez le bien immobilier qui correspond idéalement à vos désirs sur ImmoScout24 - La plateforme de l'immobilier en Suisse.</v>
      </c>
    </row>
    <row r="3362" hidden="1">
      <c r="A3362" s="5" t="s">
        <v>9827</v>
      </c>
      <c r="B3362" s="2" t="s">
        <v>9828</v>
      </c>
      <c r="C3362" s="2" t="s">
        <v>9828</v>
      </c>
      <c r="D3362" s="4" t="str">
        <f>vlookup(A3362, Sheet2!D:E, 2, 0)</f>
        <v>control</v>
      </c>
      <c r="E3362" s="4" t="str">
        <f>IFERROR(__xludf.DUMMYFUNCTION("if(H3362=""pays"",vlookup(REGEXEXTRACT(C3362, ""🏘️ \w+ \w+ (.*) ✅""),'Country prepositions'!A:B, 2, 0) &amp; "" "" &amp; REGEXEXTRACT(C3362, ""🏘️ \w+ \w+ (.*) ✅"") ,  if(H3362=""quartier"",vlookup(REGEXEXTRACT(C3362, ""🏘️ \w+ \w+ (.*) ✅""),'Quartier prepositio"&amp;"ns'!A:E, 5, 0) ,  if(H3362=""region"",vlookup(REGEXEXTRACT(C3362, ""🏘️ \w+ \w+ (.*) ✅""),'Region prepositions'!B:F, 5, 0),  REGEXEXTRACT(C3362, ""🏘️ \w+ \w+ (.*) ✅""))))"),"#N/A")</f>
        <v>#N/A</v>
      </c>
      <c r="I3362" s="4" t="str">
        <f>IFERROR(__xludf.DUMMYFUNCTION("if(D3362=""variant"",  substitute(filter(Templates!E:E, Templates!A:A = F3362, Templates!B:B = G3362, Templates!C:C = H3362), ""{{}}"", E3362), B3362)"),"Vendre maison Treyvaux: Trouvez le bien immobilier qui correspond idéalement à vos désirs sur ImmoScout24 - La plateforme de l'immobilier en Suisse.")</f>
        <v>Vendre maison Treyvaux: Trouvez le bien immobilier qui correspond idéalement à vos désirs sur ImmoScout24 - La plateforme de l'immobilier en Suisse.</v>
      </c>
    </row>
    <row r="3363" hidden="1">
      <c r="A3363" s="5" t="s">
        <v>9829</v>
      </c>
      <c r="B3363" s="2" t="s">
        <v>9830</v>
      </c>
      <c r="C3363" s="2" t="s">
        <v>9830</v>
      </c>
      <c r="D3363" s="4" t="str">
        <f>vlookup(A3363, Sheet2!D:E, 2, 0)</f>
        <v>control</v>
      </c>
      <c r="E3363" s="4" t="str">
        <f>IFERROR(__xludf.DUMMYFUNCTION("if(H3363=""pays"",vlookup(REGEXEXTRACT(C3363, ""🏘️ \w+ \w+ (.*) ✅""),'Country prepositions'!A:B, 2, 0) &amp; "" "" &amp; REGEXEXTRACT(C3363, ""🏘️ \w+ \w+ (.*) ✅"") ,  if(H3363=""quartier"",vlookup(REGEXEXTRACT(C3363, ""🏘️ \w+ \w+ (.*) ✅""),'Quartier prepositio"&amp;"ns'!A:E, 5, 0) ,  if(H3363=""region"",vlookup(REGEXEXTRACT(C3363, ""🏘️ \w+ \w+ (.*) ✅""),'Region prepositions'!B:F, 5, 0),  REGEXEXTRACT(C3363, ""🏘️ \w+ \w+ (.*) ✅""))))"),"#N/A")</f>
        <v>#N/A</v>
      </c>
      <c r="I3363" s="4" t="str">
        <f>IFERROR(__xludf.DUMMYFUNCTION("if(D3363=""variant"",  substitute(filter(Templates!E:E, Templates!A:A = F3363, Templates!B:B = G3363, Templates!C:C = H3363), ""{{}}"", E3363), B3363)"),"Vendre appartement Morrens VD: Trouvez le bien immobilier qui correspond idéalement à vos désirs sur ImmoScout24 - La plateforme de l'immobilier en Suisse.")</f>
        <v>Vendre appartement Morrens VD: Trouvez le bien immobilier qui correspond idéalement à vos désirs sur ImmoScout24 - La plateforme de l'immobilier en Suisse.</v>
      </c>
    </row>
    <row r="3364" hidden="1">
      <c r="A3364" s="5" t="s">
        <v>9831</v>
      </c>
      <c r="B3364" s="2" t="s">
        <v>9832</v>
      </c>
      <c r="C3364" s="2" t="s">
        <v>9832</v>
      </c>
      <c r="D3364" s="4" t="str">
        <f>vlookup(A3364, Sheet2!D:E, 2, 0)</f>
        <v>control</v>
      </c>
      <c r="E3364" s="4" t="str">
        <f>IFERROR(__xludf.DUMMYFUNCTION("if(H3364=""pays"",vlookup(REGEXEXTRACT(C3364, ""🏘️ \w+ \w+ (.*) ✅""),'Country prepositions'!A:B, 2, 0) &amp; "" "" &amp; REGEXEXTRACT(C3364, ""🏘️ \w+ \w+ (.*) ✅"") ,  if(H3364=""quartier"",vlookup(REGEXEXTRACT(C3364, ""🏘️ \w+ \w+ (.*) ✅""),'Quartier prepositio"&amp;"ns'!A:E, 5, 0) ,  if(H3364=""region"",vlookup(REGEXEXTRACT(C3364, ""🏘️ \w+ \w+ (.*) ✅""),'Region prepositions'!B:F, 5, 0),  REGEXEXTRACT(C3364, ""🏘️ \w+ \w+ (.*) ✅""))))"),"#N/A")</f>
        <v>#N/A</v>
      </c>
      <c r="I3364" s="4" t="str">
        <f>IFERROR(__xludf.DUMMYFUNCTION("if(D3364=""variant"",  substitute(filter(Templates!E:E, Templates!A:A = F3364, Templates!B:B = G3364, Templates!C:C = H3364), ""{{}}"", E3364), B3364)"),"Vendre appartement Herzogenbuchsee: Trouvez le bien immobilier qui correspond idéalement à vos désirs sur ImmoScout24 - La plateforme de l'immobilier en Suisse.")</f>
        <v>Vendre appartement Herzogenbuchsee: Trouvez le bien immobilier qui correspond idéalement à vos désirs sur ImmoScout24 - La plateforme de l'immobilier en Suisse.</v>
      </c>
    </row>
    <row r="3365" hidden="1">
      <c r="A3365" s="5" t="s">
        <v>9833</v>
      </c>
      <c r="B3365" s="2" t="s">
        <v>9834</v>
      </c>
      <c r="C3365" s="2" t="s">
        <v>9834</v>
      </c>
      <c r="D3365" s="4" t="str">
        <f>vlookup(A3365, Sheet2!D:E, 2, 0)</f>
        <v>control</v>
      </c>
      <c r="E3365" s="4" t="str">
        <f>IFERROR(__xludf.DUMMYFUNCTION("if(H3365=""pays"",vlookup(REGEXEXTRACT(C3365, ""🏘️ \w+ \w+ (.*) ✅""),'Country prepositions'!A:B, 2, 0) &amp; "" "" &amp; REGEXEXTRACT(C3365, ""🏘️ \w+ \w+ (.*) ✅"") ,  if(H3365=""quartier"",vlookup(REGEXEXTRACT(C3365, ""🏘️ \w+ \w+ (.*) ✅""),'Quartier prepositio"&amp;"ns'!A:E, 5, 0) ,  if(H3365=""region"",vlookup(REGEXEXTRACT(C3365, ""🏘️ \w+ \w+ (.*) ✅""),'Region prepositions'!B:F, 5, 0),  REGEXEXTRACT(C3365, ""🏘️ \w+ \w+ (.*) ✅""))))"),"#N/A")</f>
        <v>#N/A</v>
      </c>
      <c r="I3365" s="4" t="str">
        <f>IFERROR(__xludf.DUMMYFUNCTION("if(D3365=""variant"",  substitute(filter(Templates!E:E, Templates!A:A = F3365, Templates!B:B = G3365, Templates!C:C = H3365), ""{{}}"", E3365), B3365)"),"Vendre maison Bevaix: Trouvez le bien immobilier qui correspond idéalement à vos désirs sur ImmoScout24 - La plateforme de l'immobilier en Suisse.")</f>
        <v>Vendre maison Bevaix: Trouvez le bien immobilier qui correspond idéalement à vos désirs sur ImmoScout24 - La plateforme de l'immobilier en Suisse.</v>
      </c>
    </row>
    <row r="3366" hidden="1">
      <c r="A3366" s="5" t="s">
        <v>9835</v>
      </c>
      <c r="B3366" s="2" t="s">
        <v>9836</v>
      </c>
      <c r="C3366" s="2" t="s">
        <v>9836</v>
      </c>
      <c r="D3366" s="4" t="str">
        <f>vlookup(A3366, Sheet2!D:E, 2, 0)</f>
        <v>control</v>
      </c>
      <c r="E3366" s="4" t="str">
        <f>IFERROR(__xludf.DUMMYFUNCTION("if(H3366=""pays"",vlookup(REGEXEXTRACT(C3366, ""🏘️ \w+ \w+ (.*) ✅""),'Country prepositions'!A:B, 2, 0) &amp; "" "" &amp; REGEXEXTRACT(C3366, ""🏘️ \w+ \w+ (.*) ✅"") ,  if(H3366=""quartier"",vlookup(REGEXEXTRACT(C3366, ""🏘️ \w+ \w+ (.*) ✅""),'Quartier prepositio"&amp;"ns'!A:E, 5, 0) ,  if(H3366=""region"",vlookup(REGEXEXTRACT(C3366, ""🏘️ \w+ \w+ (.*) ✅""),'Region prepositions'!B:F, 5, 0),  REGEXEXTRACT(C3366, ""🏘️ \w+ \w+ (.*) ✅""))))"),"#N/A")</f>
        <v>#N/A</v>
      </c>
      <c r="I3366" s="4" t="str">
        <f>IFERROR(__xludf.DUMMYFUNCTION("if(D3366=""variant"",  substitute(filter(Templates!E:E, Templates!A:A = F3366, Templates!B:B = G3366, Templates!C:C = H3366), ""{{}}"", E3366), B3366)"),"Vendre appartement Glattpark (Opfikon): Trouvez le bien immobilier qui correspond idéalement à vos désirs sur ImmoScout24 - La plateforme de l'immobilier en Suisse.")</f>
        <v>Vendre appartement Glattpark (Opfikon): Trouvez le bien immobilier qui correspond idéalement à vos désirs sur ImmoScout24 - La plateforme de l'immobilier en Suisse.</v>
      </c>
    </row>
    <row r="3367" hidden="1">
      <c r="A3367" s="5" t="s">
        <v>9837</v>
      </c>
      <c r="B3367" s="2" t="s">
        <v>9838</v>
      </c>
      <c r="C3367" s="2" t="s">
        <v>9838</v>
      </c>
      <c r="D3367" s="4" t="str">
        <f>vlookup(A3367, Sheet2!D:E, 2, 0)</f>
        <v>control</v>
      </c>
      <c r="E3367" s="4" t="str">
        <f>IFERROR(__xludf.DUMMYFUNCTION("if(H3367=""pays"",vlookup(REGEXEXTRACT(C3367, ""🏘️ \w+ \w+ (.*) ✅""),'Country prepositions'!A:B, 2, 0) &amp; "" "" &amp; REGEXEXTRACT(C3367, ""🏘️ \w+ \w+ (.*) ✅"") ,  if(H3367=""quartier"",vlookup(REGEXEXTRACT(C3367, ""🏘️ \w+ \w+ (.*) ✅""),'Quartier prepositio"&amp;"ns'!A:E, 5, 0) ,  if(H3367=""region"",vlookup(REGEXEXTRACT(C3367, ""🏘️ \w+ \w+ (.*) ✅""),'Region prepositions'!B:F, 5, 0),  REGEXEXTRACT(C3367, ""🏘️ \w+ \w+ (.*) ✅""))))"),"#N/A")</f>
        <v>#N/A</v>
      </c>
      <c r="I3367" s="4" t="str">
        <f>IFERROR(__xludf.DUMMYFUNCTION("if(D3367=""variant"",  substitute(filter(Templates!E:E, Templates!A:A = F3367, Templates!B:B = G3367, Templates!C:C = H3367), ""{{}}"", E3367), B3367)"),"Vendre maison Isenthal: Trouvez le bien immobilier qui correspond idéalement à vos désirs sur ImmoScout24 - La plateforme de l'immobilier en Suisse.")</f>
        <v>Vendre maison Isenthal: Trouvez le bien immobilier qui correspond idéalement à vos désirs sur ImmoScout24 - La plateforme de l'immobilier en Suisse.</v>
      </c>
    </row>
    <row r="3368" hidden="1">
      <c r="A3368" s="5" t="s">
        <v>9839</v>
      </c>
      <c r="B3368" s="2" t="s">
        <v>9840</v>
      </c>
      <c r="C3368" s="2" t="s">
        <v>9840</v>
      </c>
      <c r="D3368" s="4" t="str">
        <f>vlookup(A3368, Sheet2!D:E, 2, 0)</f>
        <v>control</v>
      </c>
      <c r="E3368" s="4" t="str">
        <f>IFERROR(__xludf.DUMMYFUNCTION("if(H3368=""pays"",vlookup(REGEXEXTRACT(C3368, ""🏘️ \w+ \w+ (.*) ✅""),'Country prepositions'!A:B, 2, 0) &amp; "" "" &amp; REGEXEXTRACT(C3368, ""🏘️ \w+ \w+ (.*) ✅"") ,  if(H3368=""quartier"",vlookup(REGEXEXTRACT(C3368, ""🏘️ \w+ \w+ (.*) ✅""),'Quartier prepositio"&amp;"ns'!A:E, 5, 0) ,  if(H3368=""region"",vlookup(REGEXEXTRACT(C3368, ""🏘️ \w+ \w+ (.*) ✅""),'Region prepositions'!B:F, 5, 0),  REGEXEXTRACT(C3368, ""🏘️ \w+ \w+ (.*) ✅""))))"),"#N/A")</f>
        <v>#N/A</v>
      </c>
      <c r="I3368" s="4" t="str">
        <f>IFERROR(__xludf.DUMMYFUNCTION("if(D3368=""variant"",  substitute(filter(Templates!E:E, Templates!A:A = F3368, Templates!B:B = G3368, Templates!C:C = H3368), ""{{}}"", E3368), B3368)"),"Vendre appartement Campagne - Gros de Vaud: Trouvez le bien immobilier qui correspond idéalement à vos désirs sur ImmoScout24 - La plateforme de l'immobilier en Suisse.")</f>
        <v>Vendre appartement Campagne - Gros de Vaud: Trouvez le bien immobilier qui correspond idéalement à vos désirs sur ImmoScout24 - La plateforme de l'immobilier en Suisse.</v>
      </c>
    </row>
    <row r="3369" hidden="1">
      <c r="A3369" s="5" t="s">
        <v>9841</v>
      </c>
      <c r="B3369" s="2" t="s">
        <v>9842</v>
      </c>
      <c r="C3369" s="2" t="s">
        <v>9842</v>
      </c>
      <c r="D3369" s="4" t="str">
        <f>vlookup(A3369, Sheet2!D:E, 2, 0)</f>
        <v>control</v>
      </c>
      <c r="E3369" s="4" t="str">
        <f>IFERROR(__xludf.DUMMYFUNCTION("if(H3369=""pays"",vlookup(REGEXEXTRACT(C3369, ""🏘️ \w+ \w+ (.*) ✅""),'Country prepositions'!A:B, 2, 0) &amp; "" "" &amp; REGEXEXTRACT(C3369, ""🏘️ \w+ \w+ (.*) ✅"") ,  if(H3369=""quartier"",vlookup(REGEXEXTRACT(C3369, ""🏘️ \w+ \w+ (.*) ✅""),'Quartier prepositio"&amp;"ns'!A:E, 5, 0) ,  if(H3369=""region"",vlookup(REGEXEXTRACT(C3369, ""🏘️ \w+ \w+ (.*) ✅""),'Region prepositions'!B:F, 5, 0),  REGEXEXTRACT(C3369, ""🏘️ \w+ \w+ (.*) ✅""))))"),"#N/A")</f>
        <v>#N/A</v>
      </c>
      <c r="I3369" s="4" t="str">
        <f>IFERROR(__xludf.DUMMYFUNCTION("if(D3369=""variant"",  substitute(filter(Templates!E:E, Templates!A:A = F3369, Templates!B:B = G3369, Templates!C:C = H3369), ""{{}}"", E3369), B3369)"),"Louer appartement Châbles FR: Trouvez le bien immobilier qui correspond idéalement à vos désirs sur ImmoScout24 - La plateforme de l'immobilier en Suisse.")</f>
        <v>Louer appartement Châbles FR: Trouvez le bien immobilier qui correspond idéalement à vos désirs sur ImmoScout24 - La plateforme de l'immobilier en Suisse.</v>
      </c>
    </row>
    <row r="3370" hidden="1">
      <c r="A3370" s="5" t="s">
        <v>9843</v>
      </c>
      <c r="B3370" s="2" t="s">
        <v>9844</v>
      </c>
      <c r="C3370" s="2" t="s">
        <v>9844</v>
      </c>
      <c r="D3370" s="4" t="str">
        <f>vlookup(A3370, Sheet2!D:E, 2, 0)</f>
        <v>control</v>
      </c>
      <c r="E3370" s="4" t="str">
        <f>IFERROR(__xludf.DUMMYFUNCTION("if(H3370=""pays"",vlookup(REGEXEXTRACT(C3370, ""🏘️ \w+ \w+ (.*) ✅""),'Country prepositions'!A:B, 2, 0) &amp; "" "" &amp; REGEXEXTRACT(C3370, ""🏘️ \w+ \w+ (.*) ✅"") ,  if(H3370=""quartier"",vlookup(REGEXEXTRACT(C3370, ""🏘️ \w+ \w+ (.*) ✅""),'Quartier prepositio"&amp;"ns'!A:E, 5, 0) ,  if(H3370=""region"",vlookup(REGEXEXTRACT(C3370, ""🏘️ \w+ \w+ (.*) ✅""),'Region prepositions'!B:F, 5, 0),  REGEXEXTRACT(C3370, ""🏘️ \w+ \w+ (.*) ✅""))))"),"#N/A")</f>
        <v>#N/A</v>
      </c>
      <c r="I3370" s="4" t="str">
        <f>IFERROR(__xludf.DUMMYFUNCTION("if(D3370=""variant"",  substitute(filter(Templates!E:E, Templates!A:A = F3370, Templates!B:B = G3370, Templates!C:C = H3370), ""{{}}"", E3370), B3370)"),"Louer maison Sonceboz-Sombeval: Trouvez le bien immobilier qui correspond idéalement à vos désirs sur ImmoScout24 - La plateforme de l'immobilier en Suisse.")</f>
        <v>Louer maison Sonceboz-Sombeval: Trouvez le bien immobilier qui correspond idéalement à vos désirs sur ImmoScout24 - La plateforme de l'immobilier en Suisse.</v>
      </c>
    </row>
    <row r="3371" hidden="1">
      <c r="A3371" s="5" t="s">
        <v>9845</v>
      </c>
      <c r="B3371" s="2" t="s">
        <v>9846</v>
      </c>
      <c r="C3371" s="2" t="s">
        <v>9846</v>
      </c>
      <c r="D3371" s="4" t="str">
        <f>vlookup(A3371, Sheet2!D:E, 2, 0)</f>
        <v>control</v>
      </c>
      <c r="E3371" s="4" t="str">
        <f>IFERROR(__xludf.DUMMYFUNCTION("if(H3371=""pays"",vlookup(REGEXEXTRACT(C3371, ""🏘️ \w+ \w+ (.*) ✅""),'Country prepositions'!A:B, 2, 0) &amp; "" "" &amp; REGEXEXTRACT(C3371, ""🏘️ \w+ \w+ (.*) ✅"") ,  if(H3371=""quartier"",vlookup(REGEXEXTRACT(C3371, ""🏘️ \w+ \w+ (.*) ✅""),'Quartier prepositio"&amp;"ns'!A:E, 5, 0) ,  if(H3371=""region"",vlookup(REGEXEXTRACT(C3371, ""🏘️ \w+ \w+ (.*) ✅""),'Region prepositions'!B:F, 5, 0),  REGEXEXTRACT(C3371, ""🏘️ \w+ \w+ (.*) ✅""))))"),"#N/A")</f>
        <v>#N/A</v>
      </c>
      <c r="I3371" s="4" t="str">
        <f>IFERROR(__xludf.DUMMYFUNCTION("if(D3371=""variant"",  substitute(filter(Templates!E:E, Templates!A:A = F3371, Templates!B:B = G3371, Templates!C:C = H3371), ""{{}}"", E3371), B3371)"),"Vendre maison Bellevue: Trouvez le bien immobilier qui correspond idéalement à vos désirs sur ImmoScout24 - La plateforme de l'immobilier en Suisse.")</f>
        <v>Vendre maison Bellevue: Trouvez le bien immobilier qui correspond idéalement à vos désirs sur ImmoScout24 - La plateforme de l'immobilier en Suisse.</v>
      </c>
    </row>
    <row r="3372" hidden="1">
      <c r="A3372" s="5" t="s">
        <v>9847</v>
      </c>
      <c r="B3372" s="2" t="s">
        <v>9848</v>
      </c>
      <c r="C3372" s="2" t="s">
        <v>9848</v>
      </c>
      <c r="D3372" s="4" t="str">
        <f>vlookup(A3372, Sheet2!D:E, 2, 0)</f>
        <v>control</v>
      </c>
      <c r="E3372" s="4" t="str">
        <f>IFERROR(__xludf.DUMMYFUNCTION("if(H3372=""pays"",vlookup(REGEXEXTRACT(C3372, ""🏘️ \w+ \w+ (.*) ✅""),'Country prepositions'!A:B, 2, 0) &amp; "" "" &amp; REGEXEXTRACT(C3372, ""🏘️ \w+ \w+ (.*) ✅"") ,  if(H3372=""quartier"",vlookup(REGEXEXTRACT(C3372, ""🏘️ \w+ \w+ (.*) ✅""),'Quartier prepositio"&amp;"ns'!A:E, 5, 0) ,  if(H3372=""region"",vlookup(REGEXEXTRACT(C3372, ""🏘️ \w+ \w+ (.*) ✅""),'Region prepositions'!B:F, 5, 0),  REGEXEXTRACT(C3372, ""🏘️ \w+ \w+ (.*) ✅""))))"),"#N/A")</f>
        <v>#N/A</v>
      </c>
      <c r="I3372" s="4" t="str">
        <f>IFERROR(__xludf.DUMMYFUNCTION("if(D3372=""variant"",  substitute(filter(Templates!E:E, Templates!A:A = F3372, Templates!B:B = G3372, Templates!C:C = H3372), ""{{}}"", E3372), B3372)"),"Louer appartement Emmental: Trouvez le bien immobilier qui correspond idéalement à vos désirs sur ImmoScout24 - La plateforme de l'immobilier en Suisse.")</f>
        <v>Louer appartement Emmental: Trouvez le bien immobilier qui correspond idéalement à vos désirs sur ImmoScout24 - La plateforme de l'immobilier en Suisse.</v>
      </c>
    </row>
    <row r="3373" hidden="1">
      <c r="A3373" s="5" t="s">
        <v>9849</v>
      </c>
      <c r="B3373" s="2" t="s">
        <v>9850</v>
      </c>
      <c r="C3373" s="2" t="s">
        <v>9850</v>
      </c>
      <c r="D3373" s="4" t="str">
        <f>vlookup(A3373, Sheet2!D:E, 2, 0)</f>
        <v>control</v>
      </c>
      <c r="E3373" s="4" t="str">
        <f>IFERROR(__xludf.DUMMYFUNCTION("if(H3373=""pays"",vlookup(REGEXEXTRACT(C3373, ""🏘️ \w+ \w+ (.*) ✅""),'Country prepositions'!A:B, 2, 0) &amp; "" "" &amp; REGEXEXTRACT(C3373, ""🏘️ \w+ \w+ (.*) ✅"") ,  if(H3373=""quartier"",vlookup(REGEXEXTRACT(C3373, ""🏘️ \w+ \w+ (.*) ✅""),'Quartier prepositio"&amp;"ns'!A:E, 5, 0) ,  if(H3373=""region"",vlookup(REGEXEXTRACT(C3373, ""🏘️ \w+ \w+ (.*) ✅""),'Region prepositions'!B:F, 5, 0),  REGEXEXTRACT(C3373, ""🏘️ \w+ \w+ (.*) ✅""))))"),"#N/A")</f>
        <v>#N/A</v>
      </c>
      <c r="I3373" s="4" t="str">
        <f>IFERROR(__xludf.DUMMYFUNCTION("if(D3373=""variant"",  substitute(filter(Templates!E:E, Templates!A:A = F3373, Templates!B:B = G3373, Templates!C:C = H3373), ""{{}}"", E3373), B3373)"),"Louer appartement Thun: Trouvez le bien immobilier qui correspond idéalement à vos désirs sur ImmoScout24 - La plateforme de l'immobilier en Suisse.")</f>
        <v>Louer appartement Thun: Trouvez le bien immobilier qui correspond idéalement à vos désirs sur ImmoScout24 - La plateforme de l'immobilier en Suisse.</v>
      </c>
    </row>
    <row r="3374" hidden="1">
      <c r="A3374" s="5" t="s">
        <v>9851</v>
      </c>
      <c r="B3374" s="2" t="s">
        <v>9852</v>
      </c>
      <c r="C3374" s="2" t="s">
        <v>9852</v>
      </c>
      <c r="D3374" s="4" t="str">
        <f>vlookup(A3374, Sheet2!D:E, 2, 0)</f>
        <v>control</v>
      </c>
      <c r="E3374" s="4" t="str">
        <f>IFERROR(__xludf.DUMMYFUNCTION("if(H3374=""pays"",vlookup(REGEXEXTRACT(C3374, ""🏘️ \w+ \w+ (.*) ✅""),'Country prepositions'!A:B, 2, 0) &amp; "" "" &amp; REGEXEXTRACT(C3374, ""🏘️ \w+ \w+ (.*) ✅"") ,  if(H3374=""quartier"",vlookup(REGEXEXTRACT(C3374, ""🏘️ \w+ \w+ (.*) ✅""),'Quartier prepositio"&amp;"ns'!A:E, 5, 0) ,  if(H3374=""region"",vlookup(REGEXEXTRACT(C3374, ""🏘️ \w+ \w+ (.*) ✅""),'Region prepositions'!B:F, 5, 0),  REGEXEXTRACT(C3374, ""🏘️ \w+ \w+ (.*) ✅""))))"),"#N/A")</f>
        <v>#N/A</v>
      </c>
      <c r="I3374" s="4" t="str">
        <f>IFERROR(__xludf.DUMMYFUNCTION("if(D3374=""variant"",  substitute(filter(Templates!E:E, Templates!A:A = F3374, Templates!B:B = G3374, Templates!C:C = H3374), ""{{}}"", E3374), B3374)"),"Vendre appartement Boudry: Trouvez le bien immobilier qui correspond idéalement à vos désirs sur ImmoScout24 - La plateforme de l'immobilier en Suisse.")</f>
        <v>Vendre appartement Boudry: Trouvez le bien immobilier qui correspond idéalement à vos désirs sur ImmoScout24 - La plateforme de l'immobilier en Suisse.</v>
      </c>
    </row>
    <row r="3375" hidden="1">
      <c r="A3375" s="5" t="s">
        <v>9853</v>
      </c>
      <c r="B3375" s="2" t="s">
        <v>9854</v>
      </c>
      <c r="C3375" s="2" t="s">
        <v>9854</v>
      </c>
      <c r="D3375" s="4" t="str">
        <f>vlookup(A3375, Sheet2!D:E, 2, 0)</f>
        <v>control</v>
      </c>
      <c r="E3375" s="4" t="str">
        <f>IFERROR(__xludf.DUMMYFUNCTION("if(H3375=""pays"",vlookup(REGEXEXTRACT(C3375, ""🏘️ \w+ \w+ (.*) ✅""),'Country prepositions'!A:B, 2, 0) &amp; "" "" &amp; REGEXEXTRACT(C3375, ""🏘️ \w+ \w+ (.*) ✅"") ,  if(H3375=""quartier"",vlookup(REGEXEXTRACT(C3375, ""🏘️ \w+ \w+ (.*) ✅""),'Quartier prepositio"&amp;"ns'!A:E, 5, 0) ,  if(H3375=""region"",vlookup(REGEXEXTRACT(C3375, ""🏘️ \w+ \w+ (.*) ✅""),'Region prepositions'!B:F, 5, 0),  REGEXEXTRACT(C3375, ""🏘️ \w+ \w+ (.*) ✅""))))"),"#N/A")</f>
        <v>#N/A</v>
      </c>
      <c r="I3375" s="4" t="str">
        <f>IFERROR(__xludf.DUMMYFUNCTION("if(D3375=""variant"",  substitute(filter(Templates!E:E, Templates!A:A = F3375, Templates!B:B = G3375, Templates!C:C = H3375), ""{{}}"", E3375), B3375)"),"Vendre appartement St-Cergue: Trouvez le bien immobilier qui correspond idéalement à vos désirs sur ImmoScout24 - La plateforme de l'immobilier en Suisse.")</f>
        <v>Vendre appartement St-Cergue: Trouvez le bien immobilier qui correspond idéalement à vos désirs sur ImmoScout24 - La plateforme de l'immobilier en Suisse.</v>
      </c>
    </row>
    <row r="3376" hidden="1">
      <c r="A3376" s="5" t="s">
        <v>9855</v>
      </c>
      <c r="B3376" s="2" t="s">
        <v>9856</v>
      </c>
      <c r="C3376" s="2" t="s">
        <v>9856</v>
      </c>
      <c r="D3376" s="4" t="str">
        <f>vlookup(A3376, Sheet2!D:E, 2, 0)</f>
        <v>control</v>
      </c>
      <c r="E3376" s="4" t="str">
        <f>IFERROR(__xludf.DUMMYFUNCTION("if(H3376=""pays"",vlookup(REGEXEXTRACT(C3376, ""🏘️ \w+ \w+ (.*) ✅""),'Country prepositions'!A:B, 2, 0) &amp; "" "" &amp; REGEXEXTRACT(C3376, ""🏘️ \w+ \w+ (.*) ✅"") ,  if(H3376=""quartier"",vlookup(REGEXEXTRACT(C3376, ""🏘️ \w+ \w+ (.*) ✅""),'Quartier prepositio"&amp;"ns'!A:E, 5, 0) ,  if(H3376=""region"",vlookup(REGEXEXTRACT(C3376, ""🏘️ \w+ \w+ (.*) ✅""),'Region prepositions'!B:F, 5, 0),  REGEXEXTRACT(C3376, ""🏘️ \w+ \w+ (.*) ✅""))))"),"#N/A")</f>
        <v>#N/A</v>
      </c>
      <c r="I3376" s="4" t="str">
        <f>IFERROR(__xludf.DUMMYFUNCTION("if(D3376=""variant"",  substitute(filter(Templates!E:E, Templates!A:A = F3376, Templates!B:B = G3376, Templates!C:C = H3376), ""{{}}"", E3376), B3376)"),"Vendre maison Les Diablerets: Trouvez le bien immobilier qui correspond idéalement à vos désirs sur ImmoScout24 - La plateforme de l'immobilier en Suisse.")</f>
        <v>Vendre maison Les Diablerets: Trouvez le bien immobilier qui correspond idéalement à vos désirs sur ImmoScout24 - La plateforme de l'immobilier en Suisse.</v>
      </c>
    </row>
    <row r="3377" hidden="1">
      <c r="A3377" s="5" t="s">
        <v>9857</v>
      </c>
      <c r="B3377" s="2" t="s">
        <v>9858</v>
      </c>
      <c r="C3377" s="2" t="s">
        <v>9858</v>
      </c>
      <c r="D3377" s="4" t="str">
        <f>vlookup(A3377, Sheet2!D:E, 2, 0)</f>
        <v>control</v>
      </c>
      <c r="E3377" s="4" t="str">
        <f>IFERROR(__xludf.DUMMYFUNCTION("if(H3377=""pays"",vlookup(REGEXEXTRACT(C3377, ""🏘️ \w+ \w+ (.*) ✅""),'Country prepositions'!A:B, 2, 0) &amp; "" "" &amp; REGEXEXTRACT(C3377, ""🏘️ \w+ \w+ (.*) ✅"") ,  if(H3377=""quartier"",vlookup(REGEXEXTRACT(C3377, ""🏘️ \w+ \w+ (.*) ✅""),'Quartier prepositio"&amp;"ns'!A:E, 5, 0) ,  if(H3377=""region"",vlookup(REGEXEXTRACT(C3377, ""🏘️ \w+ \w+ (.*) ✅""),'Region prepositions'!B:F, 5, 0),  REGEXEXTRACT(C3377, ""🏘️ \w+ \w+ (.*) ✅""))))"),"#N/A")</f>
        <v>#N/A</v>
      </c>
      <c r="I3377" s="4" t="str">
        <f>IFERROR(__xludf.DUMMYFUNCTION("if(D3377=""variant"",  substitute(filter(Templates!E:E, Templates!A:A = F3377, Templates!B:B = G3377, Templates!C:C = H3377), ""{{}}"", E3377), B3377)"),"Vendre appartement Bogis-Bossey: Trouvez le bien immobilier qui correspond idéalement à vos désirs sur ImmoScout24 - La plateforme de l'immobilier en Suisse.")</f>
        <v>Vendre appartement Bogis-Bossey: Trouvez le bien immobilier qui correspond idéalement à vos désirs sur ImmoScout24 - La plateforme de l'immobilier en Suisse.</v>
      </c>
    </row>
    <row r="3378" hidden="1">
      <c r="A3378" s="5" t="s">
        <v>9859</v>
      </c>
      <c r="B3378" s="2" t="s">
        <v>9860</v>
      </c>
      <c r="C3378" s="2" t="s">
        <v>9860</v>
      </c>
      <c r="D3378" s="4" t="str">
        <f>vlookup(A3378, Sheet2!D:E, 2, 0)</f>
        <v>control</v>
      </c>
      <c r="E3378" s="4" t="str">
        <f>IFERROR(__xludf.DUMMYFUNCTION("if(H3378=""pays"",vlookup(REGEXEXTRACT(C3378, ""🏘️ \w+ \w+ (.*) ✅""),'Country prepositions'!A:B, 2, 0) &amp; "" "" &amp; REGEXEXTRACT(C3378, ""🏘️ \w+ \w+ (.*) ✅"") ,  if(H3378=""quartier"",vlookup(REGEXEXTRACT(C3378, ""🏘️ \w+ \w+ (.*) ✅""),'Quartier prepositio"&amp;"ns'!A:E, 5, 0) ,  if(H3378=""region"",vlookup(REGEXEXTRACT(C3378, ""🏘️ \w+ \w+ (.*) ✅""),'Region prepositions'!B:F, 5, 0),  REGEXEXTRACT(C3378, ""🏘️ \w+ \w+ (.*) ✅""))))"),"#N/A")</f>
        <v>#N/A</v>
      </c>
      <c r="I3378" s="4" t="str">
        <f>IFERROR(__xludf.DUMMYFUNCTION("if(D3378=""variant"",  substitute(filter(Templates!E:E, Templates!A:A = F3378, Templates!B:B = G3378, Templates!C:C = H3378), ""{{}}"", E3378), B3378)"),"Louer appartement Denens: Trouvez le bien immobilier qui correspond idéalement à vos désirs sur ImmoScout24 - La plateforme de l'immobilier en Suisse.")</f>
        <v>Louer appartement Denens: Trouvez le bien immobilier qui correspond idéalement à vos désirs sur ImmoScout24 - La plateforme de l'immobilier en Suisse.</v>
      </c>
    </row>
    <row r="3379" hidden="1">
      <c r="A3379" s="5" t="s">
        <v>9861</v>
      </c>
      <c r="B3379" s="2" t="s">
        <v>9862</v>
      </c>
      <c r="C3379" s="2" t="s">
        <v>9862</v>
      </c>
      <c r="D3379" s="4" t="str">
        <f>vlookup(A3379, Sheet2!D:E, 2, 0)</f>
        <v>control</v>
      </c>
      <c r="E3379" s="4" t="str">
        <f>IFERROR(__xludf.DUMMYFUNCTION("if(H3379=""pays"",vlookup(REGEXEXTRACT(C3379, ""🏘️ \w+ \w+ (.*) ✅""),'Country prepositions'!A:B, 2, 0) &amp; "" "" &amp; REGEXEXTRACT(C3379, ""🏘️ \w+ \w+ (.*) ✅"") ,  if(H3379=""quartier"",vlookup(REGEXEXTRACT(C3379, ""🏘️ \w+ \w+ (.*) ✅""),'Quartier prepositio"&amp;"ns'!A:E, 5, 0) ,  if(H3379=""region"",vlookup(REGEXEXTRACT(C3379, ""🏘️ \w+ \w+ (.*) ✅""),'Region prepositions'!B:F, 5, 0),  REGEXEXTRACT(C3379, ""🏘️ \w+ \w+ (.*) ✅""))))"),"#N/A")</f>
        <v>#N/A</v>
      </c>
      <c r="I3379" s="4" t="str">
        <f>IFERROR(__xludf.DUMMYFUNCTION("if(D3379=""variant"",  substitute(filter(Templates!E:E, Templates!A:A = F3379, Templates!B:B = G3379, Templates!C:C = H3379), ""{{}}"", E3379), B3379)"),"Louer appartement Sévaz: Trouvez le bien immobilier qui correspond idéalement à vos désirs sur ImmoScout24 - La plateforme de l'immobilier en Suisse.")</f>
        <v>Louer appartement Sévaz: Trouvez le bien immobilier qui correspond idéalement à vos désirs sur ImmoScout24 - La plateforme de l'immobilier en Suisse.</v>
      </c>
    </row>
    <row r="3380" hidden="1">
      <c r="A3380" s="5" t="s">
        <v>9863</v>
      </c>
      <c r="B3380" s="2" t="s">
        <v>9864</v>
      </c>
      <c r="C3380" s="2" t="s">
        <v>9864</v>
      </c>
      <c r="D3380" s="4" t="str">
        <f>vlookup(A3380, Sheet2!D:E, 2, 0)</f>
        <v>control</v>
      </c>
      <c r="E3380" s="4" t="str">
        <f>IFERROR(__xludf.DUMMYFUNCTION("if(H3380=""pays"",vlookup(REGEXEXTRACT(C3380, ""🏘️ \w+ \w+ (.*) ✅""),'Country prepositions'!A:B, 2, 0) &amp; "" "" &amp; REGEXEXTRACT(C3380, ""🏘️ \w+ \w+ (.*) ✅"") ,  if(H3380=""quartier"",vlookup(REGEXEXTRACT(C3380, ""🏘️ \w+ \w+ (.*) ✅""),'Quartier prepositio"&amp;"ns'!A:E, 5, 0) ,  if(H3380=""region"",vlookup(REGEXEXTRACT(C3380, ""🏘️ \w+ \w+ (.*) ✅""),'Region prepositions'!B:F, 5, 0),  REGEXEXTRACT(C3380, ""🏘️ \w+ \w+ (.*) ✅""))))"),"#N/A")</f>
        <v>#N/A</v>
      </c>
      <c r="I3380" s="4" t="str">
        <f>IFERROR(__xludf.DUMMYFUNCTION("if(D3380=""variant"",  substitute(filter(Templates!E:E, Templates!A:A = F3380, Templates!B:B = G3380, Templates!C:C = H3380), ""{{}}"", E3380), B3380)"),"Vendre appartement Buchrain: Trouvez le bien immobilier qui correspond idéalement à vos désirs sur ImmoScout24 - La plateforme de l'immobilier en Suisse.")</f>
        <v>Vendre appartement Buchrain: Trouvez le bien immobilier qui correspond idéalement à vos désirs sur ImmoScout24 - La plateforme de l'immobilier en Suisse.</v>
      </c>
    </row>
    <row r="3381" hidden="1">
      <c r="A3381" s="5" t="s">
        <v>9865</v>
      </c>
      <c r="B3381" s="2" t="s">
        <v>9866</v>
      </c>
      <c r="C3381" s="2" t="s">
        <v>9866</v>
      </c>
      <c r="D3381" s="4" t="str">
        <f>vlookup(A3381, Sheet2!D:E, 2, 0)</f>
        <v>control</v>
      </c>
      <c r="E3381" s="4" t="str">
        <f>IFERROR(__xludf.DUMMYFUNCTION("if(H3381=""pays"",vlookup(REGEXEXTRACT(C3381, ""🏘️ \w+ \w+ (.*) ✅""),'Country prepositions'!A:B, 2, 0) &amp; "" "" &amp; REGEXEXTRACT(C3381, ""🏘️ \w+ \w+ (.*) ✅"") ,  if(H3381=""quartier"",vlookup(REGEXEXTRACT(C3381, ""🏘️ \w+ \w+ (.*) ✅""),'Quartier prepositio"&amp;"ns'!A:E, 5, 0) ,  if(H3381=""region"",vlookup(REGEXEXTRACT(C3381, ""🏘️ \w+ \w+ (.*) ✅""),'Region prepositions'!B:F, 5, 0),  REGEXEXTRACT(C3381, ""🏘️ \w+ \w+ (.*) ✅""))))"),"#N/A")</f>
        <v>#N/A</v>
      </c>
      <c r="I3381" s="4" t="str">
        <f>IFERROR(__xludf.DUMMYFUNCTION("if(D3381=""variant"",  substitute(filter(Templates!E:E, Templates!A:A = F3381, Templates!B:B = G3381, Templates!C:C = H3381), ""{{}}"", E3381), B3381)"),"Louer maison France: Trouvez le bien immobilier qui correspond idéalement à vos désirs sur ImmoScout24 - La plateforme de l'immobilier en Suisse.")</f>
        <v>Louer maison France: Trouvez le bien immobilier qui correspond idéalement à vos désirs sur ImmoScout24 - La plateforme de l'immobilier en Suisse.</v>
      </c>
    </row>
    <row r="3382" hidden="1">
      <c r="A3382" s="5" t="s">
        <v>9867</v>
      </c>
      <c r="B3382" s="2" t="s">
        <v>9868</v>
      </c>
      <c r="C3382" s="2" t="s">
        <v>9868</v>
      </c>
      <c r="D3382" s="4" t="str">
        <f>vlookup(A3382, Sheet2!D:E, 2, 0)</f>
        <v>control</v>
      </c>
      <c r="E3382" s="4" t="str">
        <f>IFERROR(__xludf.DUMMYFUNCTION("if(H3382=""pays"",vlookup(REGEXEXTRACT(C3382, ""🏘️ \w+ \w+ (.*) ✅""),'Country prepositions'!A:B, 2, 0) &amp; "" "" &amp; REGEXEXTRACT(C3382, ""🏘️ \w+ \w+ (.*) ✅"") ,  if(H3382=""quartier"",vlookup(REGEXEXTRACT(C3382, ""🏘️ \w+ \w+ (.*) ✅""),'Quartier prepositio"&amp;"ns'!A:E, 5, 0) ,  if(H3382=""region"",vlookup(REGEXEXTRACT(C3382, ""🏘️ \w+ \w+ (.*) ✅""),'Region prepositions'!B:F, 5, 0),  REGEXEXTRACT(C3382, ""🏘️ \w+ \w+ (.*) ✅""))))"),"#N/A")</f>
        <v>#N/A</v>
      </c>
      <c r="I3382" s="4" t="str">
        <f>IFERROR(__xludf.DUMMYFUNCTION("if(D3382=""variant"",  substitute(filter(Templates!E:E, Templates!A:A = F3382, Templates!B:B = G3382, Templates!C:C = H3382), ""{{}}"", E3382), B3382)"),"Louer maison Beauregard (Fribourg): Trouvez le bien immobilier qui correspond idéalement à vos désirs sur ImmoScout24 - La plateforme de l'immobilier en Suisse.")</f>
        <v>Louer maison Beauregard (Fribourg): Trouvez le bien immobilier qui correspond idéalement à vos désirs sur ImmoScout24 - La plateforme de l'immobilier en Suisse.</v>
      </c>
    </row>
    <row r="3383" hidden="1">
      <c r="A3383" s="5" t="s">
        <v>9869</v>
      </c>
      <c r="B3383" s="2" t="s">
        <v>9870</v>
      </c>
      <c r="C3383" s="2" t="s">
        <v>9870</v>
      </c>
      <c r="D3383" s="4" t="str">
        <f>vlookup(A3383, Sheet2!D:E, 2, 0)</f>
        <v>control</v>
      </c>
      <c r="E3383" s="4" t="str">
        <f>IFERROR(__xludf.DUMMYFUNCTION("if(H3383=""pays"",vlookup(REGEXEXTRACT(C3383, ""🏘️ \w+ \w+ (.*) ✅""),'Country prepositions'!A:B, 2, 0) &amp; "" "" &amp; REGEXEXTRACT(C3383, ""🏘️ \w+ \w+ (.*) ✅"") ,  if(H3383=""quartier"",vlookup(REGEXEXTRACT(C3383, ""🏘️ \w+ \w+ (.*) ✅""),'Quartier prepositio"&amp;"ns'!A:E, 5, 0) ,  if(H3383=""region"",vlookup(REGEXEXTRACT(C3383, ""🏘️ \w+ \w+ (.*) ✅""),'Region prepositions'!B:F, 5, 0),  REGEXEXTRACT(C3383, ""🏘️ \w+ \w+ (.*) ✅""))))"),"#N/A")</f>
        <v>#N/A</v>
      </c>
      <c r="I3383" s="4" t="str">
        <f>IFERROR(__xludf.DUMMYFUNCTION("if(D3383=""variant"",  substitute(filter(Templates!E:E, Templates!A:A = F3383, Templates!B:B = G3383, Templates!C:C = H3383), ""{{}}"", E3383), B3383)"),"Vendre appartement Seiry: Trouvez le bien immobilier qui correspond idéalement à vos désirs sur ImmoScout24 - La plateforme de l'immobilier en Suisse.")</f>
        <v>Vendre appartement Seiry: Trouvez le bien immobilier qui correspond idéalement à vos désirs sur ImmoScout24 - La plateforme de l'immobilier en Suisse.</v>
      </c>
    </row>
    <row r="3384" hidden="1">
      <c r="A3384" s="5" t="s">
        <v>9871</v>
      </c>
      <c r="B3384" s="2" t="s">
        <v>9872</v>
      </c>
      <c r="C3384" s="2" t="s">
        <v>9872</v>
      </c>
      <c r="D3384" s="4" t="str">
        <f>vlookup(A3384, Sheet2!D:E, 2, 0)</f>
        <v>control</v>
      </c>
      <c r="E3384" s="4" t="str">
        <f>IFERROR(__xludf.DUMMYFUNCTION("if(H3384=""pays"",vlookup(REGEXEXTRACT(C3384, ""🏘️ \w+ \w+ (.*) ✅""),'Country prepositions'!A:B, 2, 0) &amp; "" "" &amp; REGEXEXTRACT(C3384, ""🏘️ \w+ \w+ (.*) ✅"") ,  if(H3384=""quartier"",vlookup(REGEXEXTRACT(C3384, ""🏘️ \w+ \w+ (.*) ✅""),'Quartier prepositio"&amp;"ns'!A:E, 5, 0) ,  if(H3384=""region"",vlookup(REGEXEXTRACT(C3384, ""🏘️ \w+ \w+ (.*) ✅""),'Region prepositions'!B:F, 5, 0),  REGEXEXTRACT(C3384, ""🏘️ \w+ \w+ (.*) ✅""))))"),"#N/A")</f>
        <v>#N/A</v>
      </c>
      <c r="I3384" s="4" t="str">
        <f>IFERROR(__xludf.DUMMYFUNCTION("if(D3384=""variant"",  substitute(filter(Templates!E:E, Templates!A:A = F3384, Templates!B:B = G3384, Templates!C:C = H3384), ""{{}}"", E3384), B3384)"),"Louer appartement Grossdietwil: Trouvez le bien immobilier qui correspond idéalement à vos désirs sur ImmoScout24 - La plateforme de l'immobilier en Suisse.")</f>
        <v>Louer appartement Grossdietwil: Trouvez le bien immobilier qui correspond idéalement à vos désirs sur ImmoScout24 - La plateforme de l'immobilier en Suisse.</v>
      </c>
    </row>
    <row r="3385" hidden="1">
      <c r="A3385" s="5" t="s">
        <v>9873</v>
      </c>
      <c r="B3385" s="2" t="s">
        <v>9874</v>
      </c>
      <c r="C3385" s="2" t="s">
        <v>9874</v>
      </c>
      <c r="D3385" s="4" t="str">
        <f>vlookup(A3385, Sheet2!D:E, 2, 0)</f>
        <v>control</v>
      </c>
      <c r="E3385" s="4" t="str">
        <f>IFERROR(__xludf.DUMMYFUNCTION("if(H3385=""pays"",vlookup(REGEXEXTRACT(C3385, ""🏘️ \w+ \w+ (.*) ✅""),'Country prepositions'!A:B, 2, 0) &amp; "" "" &amp; REGEXEXTRACT(C3385, ""🏘️ \w+ \w+ (.*) ✅"") ,  if(H3385=""quartier"",vlookup(REGEXEXTRACT(C3385, ""🏘️ \w+ \w+ (.*) ✅""),'Quartier prepositio"&amp;"ns'!A:E, 5, 0) ,  if(H3385=""region"",vlookup(REGEXEXTRACT(C3385, ""🏘️ \w+ \w+ (.*) ✅""),'Region prepositions'!B:F, 5, 0),  REGEXEXTRACT(C3385, ""🏘️ \w+ \w+ (.*) ✅""))))"),"#N/A")</f>
        <v>#N/A</v>
      </c>
      <c r="I3385" s="4" t="str">
        <f>IFERROR(__xludf.DUMMYFUNCTION("if(D3385=""variant"",  substitute(filter(Templates!E:E, Templates!A:A = F3385, Templates!B:B = G3385, Templates!C:C = H3385), ""{{}}"", E3385), B3385)"),"Louer maison Stein am Rhein: Trouvez le bien immobilier qui correspond idéalement à vos désirs sur ImmoScout24 - La plateforme de l'immobilier en Suisse.")</f>
        <v>Louer maison Stein am Rhein: Trouvez le bien immobilier qui correspond idéalement à vos désirs sur ImmoScout24 - La plateforme de l'immobilier en Suisse.</v>
      </c>
    </row>
    <row r="3386" hidden="1">
      <c r="A3386" s="5" t="s">
        <v>9875</v>
      </c>
      <c r="B3386" s="2" t="s">
        <v>9876</v>
      </c>
      <c r="C3386" s="2" t="s">
        <v>9876</v>
      </c>
      <c r="D3386" s="4" t="str">
        <f>vlookup(A3386, Sheet2!D:E, 2, 0)</f>
        <v>control</v>
      </c>
      <c r="E3386" s="4" t="str">
        <f>IFERROR(__xludf.DUMMYFUNCTION("if(H3386=""pays"",vlookup(REGEXEXTRACT(C3386, ""🏘️ \w+ \w+ (.*) ✅""),'Country prepositions'!A:B, 2, 0) &amp; "" "" &amp; REGEXEXTRACT(C3386, ""🏘️ \w+ \w+ (.*) ✅"") ,  if(H3386=""quartier"",vlookup(REGEXEXTRACT(C3386, ""🏘️ \w+ \w+ (.*) ✅""),'Quartier prepositio"&amp;"ns'!A:E, 5, 0) ,  if(H3386=""region"",vlookup(REGEXEXTRACT(C3386, ""🏘️ \w+ \w+ (.*) ✅""),'Region prepositions'!B:F, 5, 0),  REGEXEXTRACT(C3386, ""🏘️ \w+ \w+ (.*) ✅""))))"),"#N/A")</f>
        <v>#N/A</v>
      </c>
      <c r="I3386" s="4" t="str">
        <f>IFERROR(__xludf.DUMMYFUNCTION("if(D3386=""variant"",  substitute(filter(Templates!E:E, Templates!A:A = F3386, Templates!B:B = G3386, Templates!C:C = H3386), ""{{}}"", E3386), B3386)"),"Louer maison Rennaz: Trouvez le bien immobilier qui correspond idéalement à vos désirs sur ImmoScout24 - La plateforme de l'immobilier en Suisse.")</f>
        <v>Louer maison Rennaz: Trouvez le bien immobilier qui correspond idéalement à vos désirs sur ImmoScout24 - La plateforme de l'immobilier en Suisse.</v>
      </c>
    </row>
    <row r="3387" hidden="1">
      <c r="A3387" s="5" t="s">
        <v>9877</v>
      </c>
      <c r="B3387" s="2" t="s">
        <v>9878</v>
      </c>
      <c r="C3387" s="2" t="s">
        <v>9878</v>
      </c>
      <c r="D3387" s="4" t="str">
        <f>vlookup(A3387, Sheet2!D:E, 2, 0)</f>
        <v>control</v>
      </c>
      <c r="E3387" s="4" t="str">
        <f>IFERROR(__xludf.DUMMYFUNCTION("if(H3387=""pays"",vlookup(REGEXEXTRACT(C3387, ""🏘️ \w+ \w+ (.*) ✅""),'Country prepositions'!A:B, 2, 0) &amp; "" "" &amp; REGEXEXTRACT(C3387, ""🏘️ \w+ \w+ (.*) ✅"") ,  if(H3387=""quartier"",vlookup(REGEXEXTRACT(C3387, ""🏘️ \w+ \w+ (.*) ✅""),'Quartier prepositio"&amp;"ns'!A:E, 5, 0) ,  if(H3387=""region"",vlookup(REGEXEXTRACT(C3387, ""🏘️ \w+ \w+ (.*) ✅""),'Region prepositions'!B:F, 5, 0),  REGEXEXTRACT(C3387, ""🏘️ \w+ \w+ (.*) ✅""))))"),"#N/A")</f>
        <v>#N/A</v>
      </c>
      <c r="I3387" s="4" t="str">
        <f>IFERROR(__xludf.DUMMYFUNCTION("if(D3387=""variant"",  substitute(filter(Templates!E:E, Templates!A:A = F3387, Templates!B:B = G3387, Templates!C:C = H3387), ""{{}}"", E3387), B3387)"),"Louer appartement Soyhières: Trouvez le bien immobilier qui correspond idéalement à vos désirs sur ImmoScout24 - La plateforme de l'immobilier en Suisse.")</f>
        <v>Louer appartement Soyhières: Trouvez le bien immobilier qui correspond idéalement à vos désirs sur ImmoScout24 - La plateforme de l'immobilier en Suisse.</v>
      </c>
    </row>
    <row r="3388" hidden="1">
      <c r="A3388" s="5" t="s">
        <v>9879</v>
      </c>
      <c r="B3388" s="2" t="s">
        <v>9880</v>
      </c>
      <c r="C3388" s="2" t="s">
        <v>9880</v>
      </c>
      <c r="D3388" s="4" t="str">
        <f>vlookup(A3388, Sheet2!D:E, 2, 0)</f>
        <v>control</v>
      </c>
      <c r="E3388" s="4" t="str">
        <f>IFERROR(__xludf.DUMMYFUNCTION("if(H3388=""pays"",vlookup(REGEXEXTRACT(C3388, ""🏘️ \w+ \w+ (.*) ✅""),'Country prepositions'!A:B, 2, 0) &amp; "" "" &amp; REGEXEXTRACT(C3388, ""🏘️ \w+ \w+ (.*) ✅"") ,  if(H3388=""quartier"",vlookup(REGEXEXTRACT(C3388, ""🏘️ \w+ \w+ (.*) ✅""),'Quartier prepositio"&amp;"ns'!A:E, 5, 0) ,  if(H3388=""region"",vlookup(REGEXEXTRACT(C3388, ""🏘️ \w+ \w+ (.*) ✅""),'Region prepositions'!B:F, 5, 0),  REGEXEXTRACT(C3388, ""🏘️ \w+ \w+ (.*) ✅""))))"),"#N/A")</f>
        <v>#N/A</v>
      </c>
      <c r="I3388" s="4" t="str">
        <f>IFERROR(__xludf.DUMMYFUNCTION("if(D3388=""variant"",  substitute(filter(Templates!E:E, Templates!A:A = F3388, Templates!B:B = G3388, Templates!C:C = H3388), ""{{}}"", E3388), B3388)"),"Louer appartement Chamblon: Trouvez le bien immobilier qui correspond idéalement à vos désirs sur ImmoScout24 - La plateforme de l'immobilier en Suisse.")</f>
        <v>Louer appartement Chamblon: Trouvez le bien immobilier qui correspond idéalement à vos désirs sur ImmoScout24 - La plateforme de l'immobilier en Suisse.</v>
      </c>
    </row>
    <row r="3389" hidden="1">
      <c r="A3389" s="5" t="s">
        <v>9881</v>
      </c>
      <c r="B3389" s="2" t="s">
        <v>9882</v>
      </c>
      <c r="C3389" s="2" t="s">
        <v>9882</v>
      </c>
      <c r="D3389" s="4" t="str">
        <f>vlookup(A3389, Sheet2!D:E, 2, 0)</f>
        <v>control</v>
      </c>
      <c r="E3389" s="4" t="str">
        <f>IFERROR(__xludf.DUMMYFUNCTION("if(H3389=""pays"",vlookup(REGEXEXTRACT(C3389, ""🏘️ \w+ \w+ (.*) ✅""),'Country prepositions'!A:B, 2, 0) &amp; "" "" &amp; REGEXEXTRACT(C3389, ""🏘️ \w+ \w+ (.*) ✅"") ,  if(H3389=""quartier"",vlookup(REGEXEXTRACT(C3389, ""🏘️ \w+ \w+ (.*) ✅""),'Quartier prepositio"&amp;"ns'!A:E, 5, 0) ,  if(H3389=""region"",vlookup(REGEXEXTRACT(C3389, ""🏘️ \w+ \w+ (.*) ✅""),'Region prepositions'!B:F, 5, 0),  REGEXEXTRACT(C3389, ""🏘️ \w+ \w+ (.*) ✅""))))"),"#N/A")</f>
        <v>#N/A</v>
      </c>
      <c r="I3389" s="4" t="str">
        <f>IFERROR(__xludf.DUMMYFUNCTION("if(D3389=""variant"",  substitute(filter(Templates!E:E, Templates!A:A = F3389, Templates!B:B = G3389, Templates!C:C = H3389), ""{{}}"", E3389), B3389)"),"Louer appartement Heiden: Trouvez le bien immobilier qui correspond idéalement à vos désirs sur ImmoScout24 - La plateforme de l'immobilier en Suisse.")</f>
        <v>Louer appartement Heiden: Trouvez le bien immobilier qui correspond idéalement à vos désirs sur ImmoScout24 - La plateforme de l'immobilier en Suisse.</v>
      </c>
    </row>
    <row r="3390" hidden="1">
      <c r="A3390" s="5" t="s">
        <v>9883</v>
      </c>
      <c r="B3390" s="2" t="s">
        <v>9884</v>
      </c>
      <c r="C3390" s="2" t="s">
        <v>9884</v>
      </c>
      <c r="D3390" s="4" t="str">
        <f>vlookup(A3390, Sheet2!D:E, 2, 0)</f>
        <v>control</v>
      </c>
      <c r="E3390" s="4" t="str">
        <f>IFERROR(__xludf.DUMMYFUNCTION("if(H3390=""pays"",vlookup(REGEXEXTRACT(C3390, ""🏘️ \w+ \w+ (.*) ✅""),'Country prepositions'!A:B, 2, 0) &amp; "" "" &amp; REGEXEXTRACT(C3390, ""🏘️ \w+ \w+ (.*) ✅"") ,  if(H3390=""quartier"",vlookup(REGEXEXTRACT(C3390, ""🏘️ \w+ \w+ (.*) ✅""),'Quartier prepositio"&amp;"ns'!A:E, 5, 0) ,  if(H3390=""region"",vlookup(REGEXEXTRACT(C3390, ""🏘️ \w+ \w+ (.*) ✅""),'Region prepositions'!B:F, 5, 0),  REGEXEXTRACT(C3390, ""🏘️ \w+ \w+ (.*) ✅""))))"),"#N/A")</f>
        <v>#N/A</v>
      </c>
      <c r="I3390" s="4" t="str">
        <f>IFERROR(__xludf.DUMMYFUNCTION("if(D3390=""variant"",  substitute(filter(Templates!E:E, Templates!A:A = F3390, Templates!B:B = G3390, Templates!C:C = H3390), ""{{}}"", E3390), B3390)"),"Vendre appartement Courroux: Trouvez le bien immobilier qui correspond idéalement à vos désirs sur ImmoScout24 - La plateforme de l'immobilier en Suisse.")</f>
        <v>Vendre appartement Courroux: Trouvez le bien immobilier qui correspond idéalement à vos désirs sur ImmoScout24 - La plateforme de l'immobilier en Suisse.</v>
      </c>
    </row>
    <row r="3391" hidden="1">
      <c r="A3391" s="5" t="s">
        <v>9885</v>
      </c>
      <c r="B3391" s="2" t="s">
        <v>9886</v>
      </c>
      <c r="C3391" s="2" t="s">
        <v>9886</v>
      </c>
      <c r="D3391" s="4" t="str">
        <f>vlookup(A3391, Sheet2!D:E, 2, 0)</f>
        <v>control</v>
      </c>
      <c r="E3391" s="4" t="str">
        <f>IFERROR(__xludf.DUMMYFUNCTION("if(H3391=""pays"",vlookup(REGEXEXTRACT(C3391, ""🏘️ \w+ \w+ (.*) ✅""),'Country prepositions'!A:B, 2, 0) &amp; "" "" &amp; REGEXEXTRACT(C3391, ""🏘️ \w+ \w+ (.*) ✅"") ,  if(H3391=""quartier"",vlookup(REGEXEXTRACT(C3391, ""🏘️ \w+ \w+ (.*) ✅""),'Quartier prepositio"&amp;"ns'!A:E, 5, 0) ,  if(H3391=""region"",vlookup(REGEXEXTRACT(C3391, ""🏘️ \w+ \w+ (.*) ✅""),'Region prepositions'!B:F, 5, 0),  REGEXEXTRACT(C3391, ""🏘️ \w+ \w+ (.*) ✅""))))"),"#N/A")</f>
        <v>#N/A</v>
      </c>
      <c r="I3391" s="4" t="str">
        <f>IFERROR(__xludf.DUMMYFUNCTION("if(D3391=""variant"",  substitute(filter(Templates!E:E, Templates!A:A = F3391, Templates!B:B = G3391, Templates!C:C = H3391), ""{{}}"", E3391), B3391)"),"Vendre maison Denges: Trouvez le bien immobilier qui correspond idéalement à vos désirs sur ImmoScout24 - La plateforme de l'immobilier en Suisse.")</f>
        <v>Vendre maison Denges: Trouvez le bien immobilier qui correspond idéalement à vos désirs sur ImmoScout24 - La plateforme de l'immobilier en Suisse.</v>
      </c>
    </row>
    <row r="3392" hidden="1">
      <c r="A3392" s="5" t="s">
        <v>9887</v>
      </c>
      <c r="B3392" s="2" t="s">
        <v>9888</v>
      </c>
      <c r="C3392" s="2" t="s">
        <v>9888</v>
      </c>
      <c r="D3392" s="4" t="str">
        <f>vlookup(A3392, Sheet2!D:E, 2, 0)</f>
        <v>control</v>
      </c>
      <c r="E3392" s="4" t="str">
        <f>IFERROR(__xludf.DUMMYFUNCTION("if(H3392=""pays"",vlookup(REGEXEXTRACT(C3392, ""🏘️ \w+ \w+ (.*) ✅""),'Country prepositions'!A:B, 2, 0) &amp; "" "" &amp; REGEXEXTRACT(C3392, ""🏘️ \w+ \w+ (.*) ✅"") ,  if(H3392=""quartier"",vlookup(REGEXEXTRACT(C3392, ""🏘️ \w+ \w+ (.*) ✅""),'Quartier prepositio"&amp;"ns'!A:E, 5, 0) ,  if(H3392=""region"",vlookup(REGEXEXTRACT(C3392, ""🏘️ \w+ \w+ (.*) ✅""),'Region prepositions'!B:F, 5, 0),  REGEXEXTRACT(C3392, ""🏘️ \w+ \w+ (.*) ✅""))))"),"#N/A")</f>
        <v>#N/A</v>
      </c>
      <c r="I3392" s="4" t="str">
        <f>IFERROR(__xludf.DUMMYFUNCTION("if(D3392=""variant"",  substitute(filter(Templates!E:E, Templates!A:A = F3392, Templates!B:B = G3392, Templates!C:C = H3392), ""{{}}"", E3392), B3392)"),"Vendre maison Vionnaz: Trouvez le bien immobilier qui correspond idéalement à vos désirs sur ImmoScout24 - La plateforme de l'immobilier en Suisse.")</f>
        <v>Vendre maison Vionnaz: Trouvez le bien immobilier qui correspond idéalement à vos désirs sur ImmoScout24 - La plateforme de l'immobilier en Suisse.</v>
      </c>
    </row>
    <row r="3393" hidden="1">
      <c r="A3393" s="5" t="s">
        <v>9889</v>
      </c>
      <c r="B3393" s="2" t="s">
        <v>9890</v>
      </c>
      <c r="C3393" s="2" t="s">
        <v>9890</v>
      </c>
      <c r="D3393" s="4" t="str">
        <f>vlookup(A3393, Sheet2!D:E, 2, 0)</f>
        <v>control</v>
      </c>
      <c r="E3393" s="4" t="str">
        <f>IFERROR(__xludf.DUMMYFUNCTION("if(H3393=""pays"",vlookup(REGEXEXTRACT(C3393, ""🏘️ \w+ \w+ (.*) ✅""),'Country prepositions'!A:B, 2, 0) &amp; "" "" &amp; REGEXEXTRACT(C3393, ""🏘️ \w+ \w+ (.*) ✅"") ,  if(H3393=""quartier"",vlookup(REGEXEXTRACT(C3393, ""🏘️ \w+ \w+ (.*) ✅""),'Quartier prepositio"&amp;"ns'!A:E, 5, 0) ,  if(H3393=""region"",vlookup(REGEXEXTRACT(C3393, ""🏘️ \w+ \w+ (.*) ✅""),'Region prepositions'!B:F, 5, 0),  REGEXEXTRACT(C3393, ""🏘️ \w+ \w+ (.*) ✅""))))"),"#N/A")</f>
        <v>#N/A</v>
      </c>
      <c r="I3393" s="4" t="str">
        <f>IFERROR(__xludf.DUMMYFUNCTION("if(D3393=""variant"",  substitute(filter(Templates!E:E, Templates!A:A = F3393, Templates!B:B = G3393, Templates!C:C = H3393), ""{{}}"", E3393), B3393)"),"Louer maison Forel (Lavaux): Trouvez le bien immobilier qui correspond idéalement à vos désirs sur ImmoScout24 - La plateforme de l'immobilier en Suisse.")</f>
        <v>Louer maison Forel (Lavaux): Trouvez le bien immobilier qui correspond idéalement à vos désirs sur ImmoScout24 - La plateforme de l'immobilier en Suisse.</v>
      </c>
    </row>
    <row r="3394" hidden="1">
      <c r="A3394" s="5" t="s">
        <v>9891</v>
      </c>
      <c r="B3394" s="2" t="s">
        <v>9892</v>
      </c>
      <c r="C3394" s="2" t="s">
        <v>9892</v>
      </c>
      <c r="D3394" s="4" t="str">
        <f>vlookup(A3394, Sheet2!D:E, 2, 0)</f>
        <v>control</v>
      </c>
      <c r="E3394" s="4" t="str">
        <f>IFERROR(__xludf.DUMMYFUNCTION("if(H3394=""pays"",vlookup(REGEXEXTRACT(C3394, ""🏘️ \w+ \w+ (.*) ✅""),'Country prepositions'!A:B, 2, 0) &amp; "" "" &amp; REGEXEXTRACT(C3394, ""🏘️ \w+ \w+ (.*) ✅"") ,  if(H3394=""quartier"",vlookup(REGEXEXTRACT(C3394, ""🏘️ \w+ \w+ (.*) ✅""),'Quartier prepositio"&amp;"ns'!A:E, 5, 0) ,  if(H3394=""region"",vlookup(REGEXEXTRACT(C3394, ""🏘️ \w+ \w+ (.*) ✅""),'Region prepositions'!B:F, 5, 0),  REGEXEXTRACT(C3394, ""🏘️ \w+ \w+ (.*) ✅""))))"),"#N/A")</f>
        <v>#N/A</v>
      </c>
      <c r="I3394" s="4" t="str">
        <f>IFERROR(__xludf.DUMMYFUNCTION("if(D3394=""variant"",  substitute(filter(Templates!E:E, Templates!A:A = F3394, Templates!B:B = G3394, Templates!C:C = H3394), ""{{}}"", E3394), B3394)"),"Vendre maison Thierachern: Trouvez le bien immobilier qui correspond idéalement à vos désirs sur ImmoScout24 - La plateforme de l'immobilier en Suisse.")</f>
        <v>Vendre maison Thierachern: Trouvez le bien immobilier qui correspond idéalement à vos désirs sur ImmoScout24 - La plateforme de l'immobilier en Suisse.</v>
      </c>
    </row>
    <row r="3395" hidden="1">
      <c r="A3395" s="5" t="s">
        <v>9893</v>
      </c>
      <c r="B3395" s="2" t="s">
        <v>9894</v>
      </c>
      <c r="C3395" s="2" t="s">
        <v>9894</v>
      </c>
      <c r="D3395" s="4" t="str">
        <f>vlookup(A3395, Sheet2!D:E, 2, 0)</f>
        <v>control</v>
      </c>
      <c r="E3395" s="4" t="str">
        <f>IFERROR(__xludf.DUMMYFUNCTION("if(H3395=""pays"",vlookup(REGEXEXTRACT(C3395, ""🏘️ \w+ \w+ (.*) ✅""),'Country prepositions'!A:B, 2, 0) &amp; "" "" &amp; REGEXEXTRACT(C3395, ""🏘️ \w+ \w+ (.*) ✅"") ,  if(H3395=""quartier"",vlookup(REGEXEXTRACT(C3395, ""🏘️ \w+ \w+ (.*) ✅""),'Quartier prepositio"&amp;"ns'!A:E, 5, 0) ,  if(H3395=""region"",vlookup(REGEXEXTRACT(C3395, ""🏘️ \w+ \w+ (.*) ✅""),'Region prepositions'!B:F, 5, 0),  REGEXEXTRACT(C3395, ""🏘️ \w+ \w+ (.*) ✅""))))"),"#N/A")</f>
        <v>#N/A</v>
      </c>
      <c r="I3395" s="4" t="str">
        <f>IFERROR(__xludf.DUMMYFUNCTION("if(D3395=""variant"",  substitute(filter(Templates!E:E, Templates!A:A = F3395, Templates!B:B = G3395, Templates!C:C = H3395), ""{{}}"", E3395), B3395)"),"Vendre maison Tschiertschen: Trouvez le bien immobilier qui correspond idéalement à vos désirs sur ImmoScout24 - La plateforme de l'immobilier en Suisse.")</f>
        <v>Vendre maison Tschiertschen: Trouvez le bien immobilier qui correspond idéalement à vos désirs sur ImmoScout24 - La plateforme de l'immobilier en Suisse.</v>
      </c>
    </row>
    <row r="3396" hidden="1">
      <c r="A3396" s="5" t="s">
        <v>9895</v>
      </c>
      <c r="B3396" s="2" t="s">
        <v>9896</v>
      </c>
      <c r="C3396" s="2" t="s">
        <v>9896</v>
      </c>
      <c r="D3396" s="4" t="str">
        <f>vlookup(A3396, Sheet2!D:E, 2, 0)</f>
        <v>control</v>
      </c>
      <c r="E3396" s="4" t="str">
        <f>IFERROR(__xludf.DUMMYFUNCTION("if(H3396=""pays"",vlookup(REGEXEXTRACT(C3396, ""🏘️ \w+ \w+ (.*) ✅""),'Country prepositions'!A:B, 2, 0) &amp; "" "" &amp; REGEXEXTRACT(C3396, ""🏘️ \w+ \w+ (.*) ✅"") ,  if(H3396=""quartier"",vlookup(REGEXEXTRACT(C3396, ""🏘️ \w+ \w+ (.*) ✅""),'Quartier prepositio"&amp;"ns'!A:E, 5, 0) ,  if(H3396=""region"",vlookup(REGEXEXTRACT(C3396, ""🏘️ \w+ \w+ (.*) ✅""),'Region prepositions'!B:F, 5, 0),  REGEXEXTRACT(C3396, ""🏘️ \w+ \w+ (.*) ✅""))))"),"#N/A")</f>
        <v>#N/A</v>
      </c>
      <c r="I3396" s="4" t="str">
        <f>IFERROR(__xludf.DUMMYFUNCTION("if(D3396=""variant"",  substitute(filter(Templates!E:E, Templates!A:A = F3396, Templates!B:B = G3396, Templates!C:C = H3396), ""{{}}"", E3396), B3396)"),"Vendre maison Ardon: Trouvez le bien immobilier qui correspond idéalement à vos désirs sur ImmoScout24 - La plateforme de l'immobilier en Suisse.")</f>
        <v>Vendre maison Ardon: Trouvez le bien immobilier qui correspond idéalement à vos désirs sur ImmoScout24 - La plateforme de l'immobilier en Suisse.</v>
      </c>
    </row>
    <row r="3397" hidden="1">
      <c r="A3397" s="5" t="s">
        <v>9897</v>
      </c>
      <c r="B3397" s="2" t="s">
        <v>9898</v>
      </c>
      <c r="C3397" s="2" t="s">
        <v>9898</v>
      </c>
      <c r="D3397" s="4" t="str">
        <f>vlookup(A3397, Sheet2!D:E, 2, 0)</f>
        <v>control</v>
      </c>
      <c r="E3397" s="4" t="str">
        <f>IFERROR(__xludf.DUMMYFUNCTION("if(H3397=""pays"",vlookup(REGEXEXTRACT(C3397, ""🏘️ \w+ \w+ (.*) ✅""),'Country prepositions'!A:B, 2, 0) &amp; "" "" &amp; REGEXEXTRACT(C3397, ""🏘️ \w+ \w+ (.*) ✅"") ,  if(H3397=""quartier"",vlookup(REGEXEXTRACT(C3397, ""🏘️ \w+ \w+ (.*) ✅""),'Quartier prepositio"&amp;"ns'!A:E, 5, 0) ,  if(H3397=""region"",vlookup(REGEXEXTRACT(C3397, ""🏘️ \w+ \w+ (.*) ✅""),'Region prepositions'!B:F, 5, 0),  REGEXEXTRACT(C3397, ""🏘️ \w+ \w+ (.*) ✅""))))"),"#N/A")</f>
        <v>#N/A</v>
      </c>
      <c r="I3397" s="4" t="str">
        <f>IFERROR(__xludf.DUMMYFUNCTION("if(D3397=""variant"",  substitute(filter(Templates!E:E, Templates!A:A = F3397, Templates!B:B = G3397, Templates!C:C = H3397), ""{{}}"", E3397), B3397)"),"Vendre appartement Kreuzlingen: Trouvez le bien immobilier qui correspond idéalement à vos désirs sur ImmoScout24 - La plateforme de l'immobilier en Suisse.")</f>
        <v>Vendre appartement Kreuzlingen: Trouvez le bien immobilier qui correspond idéalement à vos désirs sur ImmoScout24 - La plateforme de l'immobilier en Suisse.</v>
      </c>
    </row>
    <row r="3398" hidden="1">
      <c r="A3398" s="5" t="s">
        <v>9899</v>
      </c>
      <c r="B3398" s="2" t="s">
        <v>9900</v>
      </c>
      <c r="C3398" s="2" t="s">
        <v>9900</v>
      </c>
      <c r="D3398" s="4" t="str">
        <f>vlookup(A3398, Sheet2!D:E, 2, 0)</f>
        <v>control</v>
      </c>
      <c r="E3398" s="4" t="str">
        <f>IFERROR(__xludf.DUMMYFUNCTION("if(H3398=""pays"",vlookup(REGEXEXTRACT(C3398, ""🏘️ \w+ \w+ (.*) ✅""),'Country prepositions'!A:B, 2, 0) &amp; "" "" &amp; REGEXEXTRACT(C3398, ""🏘️ \w+ \w+ (.*) ✅"") ,  if(H3398=""quartier"",vlookup(REGEXEXTRACT(C3398, ""🏘️ \w+ \w+ (.*) ✅""),'Quartier prepositio"&amp;"ns'!A:E, 5, 0) ,  if(H3398=""region"",vlookup(REGEXEXTRACT(C3398, ""🏘️ \w+ \w+ (.*) ✅""),'Region prepositions'!B:F, 5, 0),  REGEXEXTRACT(C3398, ""🏘️ \w+ \w+ (.*) ✅""))))"),"#N/A")</f>
        <v>#N/A</v>
      </c>
      <c r="I3398" s="4" t="str">
        <f>IFERROR(__xludf.DUMMYFUNCTION("if(D3398=""variant"",  substitute(filter(Templates!E:E, Templates!A:A = F3398, Templates!B:B = G3398, Templates!C:C = H3398), ""{{}}"", E3398), B3398)"),"Louer appartement Eichberg: Trouvez le bien immobilier qui correspond idéalement à vos désirs sur ImmoScout24 - La plateforme de l'immobilier en Suisse.")</f>
        <v>Louer appartement Eichberg: Trouvez le bien immobilier qui correspond idéalement à vos désirs sur ImmoScout24 - La plateforme de l'immobilier en Suisse.</v>
      </c>
    </row>
    <row r="3399" hidden="1">
      <c r="A3399" s="5" t="s">
        <v>9901</v>
      </c>
      <c r="B3399" s="2" t="s">
        <v>9902</v>
      </c>
      <c r="C3399" s="2" t="s">
        <v>9902</v>
      </c>
      <c r="D3399" s="4" t="str">
        <f>vlookup(A3399, Sheet2!D:E, 2, 0)</f>
        <v>control</v>
      </c>
      <c r="E3399" s="4" t="str">
        <f>IFERROR(__xludf.DUMMYFUNCTION("if(H3399=""pays"",vlookup(REGEXEXTRACT(C3399, ""🏘️ \w+ \w+ (.*) ✅""),'Country prepositions'!A:B, 2, 0) &amp; "" "" &amp; REGEXEXTRACT(C3399, ""🏘️ \w+ \w+ (.*) ✅"") ,  if(H3399=""quartier"",vlookup(REGEXEXTRACT(C3399, ""🏘️ \w+ \w+ (.*) ✅""),'Quartier prepositio"&amp;"ns'!A:E, 5, 0) ,  if(H3399=""region"",vlookup(REGEXEXTRACT(C3399, ""🏘️ \w+ \w+ (.*) ✅""),'Region prepositions'!B:F, 5, 0),  REGEXEXTRACT(C3399, ""🏘️ \w+ \w+ (.*) ✅""))))"),"#N/A")</f>
        <v>#N/A</v>
      </c>
      <c r="I3399" s="4" t="str">
        <f>IFERROR(__xludf.DUMMYFUNCTION("if(D3399=""variant"",  substitute(filter(Templates!E:E, Templates!A:A = F3399, Templates!B:B = G3399, Templates!C:C = H3399), ""{{}}"", E3399), B3399)"),"Louer maison Bex: Trouvez le bien immobilier qui correspond idéalement à vos désirs sur ImmoScout24 - La plateforme de l'immobilier en Suisse.")</f>
        <v>Louer maison Bex: Trouvez le bien immobilier qui correspond idéalement à vos désirs sur ImmoScout24 - La plateforme de l'immobilier en Suisse.</v>
      </c>
    </row>
    <row r="3400" hidden="1">
      <c r="A3400" s="5" t="s">
        <v>9903</v>
      </c>
      <c r="B3400" s="2" t="s">
        <v>9904</v>
      </c>
      <c r="C3400" s="2" t="s">
        <v>9904</v>
      </c>
      <c r="D3400" s="4" t="str">
        <f>vlookup(A3400, Sheet2!D:E, 2, 0)</f>
        <v>control</v>
      </c>
      <c r="E3400" s="4" t="str">
        <f>IFERROR(__xludf.DUMMYFUNCTION("if(H3400=""pays"",vlookup(REGEXEXTRACT(C3400, ""🏘️ \w+ \w+ (.*) ✅""),'Country prepositions'!A:B, 2, 0) &amp; "" "" &amp; REGEXEXTRACT(C3400, ""🏘️ \w+ \w+ (.*) ✅"") ,  if(H3400=""quartier"",vlookup(REGEXEXTRACT(C3400, ""🏘️ \w+ \w+ (.*) ✅""),'Quartier prepositio"&amp;"ns'!A:E, 5, 0) ,  if(H3400=""region"",vlookup(REGEXEXTRACT(C3400, ""🏘️ \w+ \w+ (.*) ✅""),'Region prepositions'!B:F, 5, 0),  REGEXEXTRACT(C3400, ""🏘️ \w+ \w+ (.*) ✅""))))"),"#N/A")</f>
        <v>#N/A</v>
      </c>
      <c r="I3400" s="4" t="str">
        <f>IFERROR(__xludf.DUMMYFUNCTION("if(D3400=""variant"",  substitute(filter(Templates!E:E, Templates!A:A = F3400, Templates!B:B = G3400, Templates!C:C = H3400), ""{{}}"", E3400), B3400)"),"Louer maison Vex: Trouvez le bien immobilier qui correspond idéalement à vos désirs sur ImmoScout24 - La plateforme de l'immobilier en Suisse.")</f>
        <v>Louer maison Vex: Trouvez le bien immobilier qui correspond idéalement à vos désirs sur ImmoScout24 - La plateforme de l'immobilier en Suisse.</v>
      </c>
    </row>
    <row r="3401" hidden="1">
      <c r="A3401" s="5" t="s">
        <v>9905</v>
      </c>
      <c r="B3401" s="2" t="s">
        <v>9906</v>
      </c>
      <c r="C3401" s="2" t="s">
        <v>9906</v>
      </c>
      <c r="D3401" s="4" t="str">
        <f>vlookup(A3401, Sheet2!D:E, 2, 0)</f>
        <v>control</v>
      </c>
      <c r="E3401" s="4" t="str">
        <f>IFERROR(__xludf.DUMMYFUNCTION("if(H3401=""pays"",vlookup(REGEXEXTRACT(C3401, ""🏘️ \w+ \w+ (.*) ✅""),'Country prepositions'!A:B, 2, 0) &amp; "" "" &amp; REGEXEXTRACT(C3401, ""🏘️ \w+ \w+ (.*) ✅"") ,  if(H3401=""quartier"",vlookup(REGEXEXTRACT(C3401, ""🏘️ \w+ \w+ (.*) ✅""),'Quartier prepositio"&amp;"ns'!A:E, 5, 0) ,  if(H3401=""region"",vlookup(REGEXEXTRACT(C3401, ""🏘️ \w+ \w+ (.*) ✅""),'Region prepositions'!B:F, 5, 0),  REGEXEXTRACT(C3401, ""🏘️ \w+ \w+ (.*) ✅""))))"),"#N/A")</f>
        <v>#N/A</v>
      </c>
      <c r="I3401" s="4" t="str">
        <f>IFERROR(__xludf.DUMMYFUNCTION("if(D3401=""variant"",  substitute(filter(Templates!E:E, Templates!A:A = F3401, Templates!B:B = G3401, Templates!C:C = H3401), ""{{}}"", E3401), B3401)"),"Vendre maison Wildhaus: Trouvez le bien immobilier qui correspond idéalement à vos désirs sur ImmoScout24 - La plateforme de l'immobilier en Suisse.")</f>
        <v>Vendre maison Wildhaus: Trouvez le bien immobilier qui correspond idéalement à vos désirs sur ImmoScout24 - La plateforme de l'immobilier en Suisse.</v>
      </c>
    </row>
    <row r="3402" hidden="1">
      <c r="A3402" s="5" t="s">
        <v>9907</v>
      </c>
      <c r="B3402" s="2" t="s">
        <v>9908</v>
      </c>
      <c r="C3402" s="2" t="s">
        <v>9908</v>
      </c>
      <c r="D3402" s="4" t="str">
        <f>vlookup(A3402, Sheet2!D:E, 2, 0)</f>
        <v>control</v>
      </c>
      <c r="E3402" s="4" t="str">
        <f>IFERROR(__xludf.DUMMYFUNCTION("if(H3402=""pays"",vlookup(REGEXEXTRACT(C3402, ""🏘️ \w+ \w+ (.*) ✅""),'Country prepositions'!A:B, 2, 0) &amp; "" "" &amp; REGEXEXTRACT(C3402, ""🏘️ \w+ \w+ (.*) ✅"") ,  if(H3402=""quartier"",vlookup(REGEXEXTRACT(C3402, ""🏘️ \w+ \w+ (.*) ✅""),'Quartier prepositio"&amp;"ns'!A:E, 5, 0) ,  if(H3402=""region"",vlookup(REGEXEXTRACT(C3402, ""🏘️ \w+ \w+ (.*) ✅""),'Region prepositions'!B:F, 5, 0),  REGEXEXTRACT(C3402, ""🏘️ \w+ \w+ (.*) ✅""))))"),"#N/A")</f>
        <v>#N/A</v>
      </c>
      <c r="I3402" s="4" t="str">
        <f>IFERROR(__xludf.DUMMYFUNCTION("if(D3402=""variant"",  substitute(filter(Templates!E:E, Templates!A:A = F3402, Templates!B:B = G3402, Templates!C:C = H3402), ""{{}}"", E3402), B3402)"),"Louer appartement Enges: Trouvez le bien immobilier qui correspond idéalement à vos désirs sur ImmoScout24 - La plateforme de l'immobilier en Suisse.")</f>
        <v>Louer appartement Enges: Trouvez le bien immobilier qui correspond idéalement à vos désirs sur ImmoScout24 - La plateforme de l'immobilier en Suisse.</v>
      </c>
    </row>
    <row r="3403" hidden="1">
      <c r="A3403" s="5" t="s">
        <v>9909</v>
      </c>
      <c r="B3403" s="2" t="s">
        <v>9910</v>
      </c>
      <c r="C3403" s="2" t="s">
        <v>9910</v>
      </c>
      <c r="D3403" s="4" t="str">
        <f>vlookup(A3403, Sheet2!D:E, 2, 0)</f>
        <v>control</v>
      </c>
      <c r="E3403" s="4" t="str">
        <f>IFERROR(__xludf.DUMMYFUNCTION("if(H3403=""pays"",vlookup(REGEXEXTRACT(C3403, ""🏘️ \w+ \w+ (.*) ✅""),'Country prepositions'!A:B, 2, 0) &amp; "" "" &amp; REGEXEXTRACT(C3403, ""🏘️ \w+ \w+ (.*) ✅"") ,  if(H3403=""quartier"",vlookup(REGEXEXTRACT(C3403, ""🏘️ \w+ \w+ (.*) ✅""),'Quartier prepositio"&amp;"ns'!A:E, 5, 0) ,  if(H3403=""region"",vlookup(REGEXEXTRACT(C3403, ""🏘️ \w+ \w+ (.*) ✅""),'Region prepositions'!B:F, 5, 0),  REGEXEXTRACT(C3403, ""🏘️ \w+ \w+ (.*) ✅""))))"),"#N/A")</f>
        <v>#N/A</v>
      </c>
      <c r="I3403" s="4" t="str">
        <f>IFERROR(__xludf.DUMMYFUNCTION("if(D3403=""variant"",  substitute(filter(Templates!E:E, Templates!A:A = F3403, Templates!B:B = G3403, Templates!C:C = H3403), ""{{}}"", E3403), B3403)"),"Louer appartement Peney-le-Jorat: Trouvez le bien immobilier qui correspond idéalement à vos désirs sur ImmoScout24 - La plateforme de l'immobilier en Suisse.")</f>
        <v>Louer appartement Peney-le-Jorat: Trouvez le bien immobilier qui correspond idéalement à vos désirs sur ImmoScout24 - La plateforme de l'immobilier en Suisse.</v>
      </c>
    </row>
    <row r="3404" hidden="1">
      <c r="A3404" s="5" t="s">
        <v>9911</v>
      </c>
      <c r="B3404" s="2" t="s">
        <v>9912</v>
      </c>
      <c r="C3404" s="2" t="s">
        <v>9912</v>
      </c>
      <c r="D3404" s="4" t="str">
        <f>vlookup(A3404, Sheet2!D:E, 2, 0)</f>
        <v>control</v>
      </c>
      <c r="E3404" s="4" t="str">
        <f>IFERROR(__xludf.DUMMYFUNCTION("if(H3404=""pays"",vlookup(REGEXEXTRACT(C3404, ""🏘️ \w+ \w+ (.*) ✅""),'Country prepositions'!A:B, 2, 0) &amp; "" "" &amp; REGEXEXTRACT(C3404, ""🏘️ \w+ \w+ (.*) ✅"") ,  if(H3404=""quartier"",vlookup(REGEXEXTRACT(C3404, ""🏘️ \w+ \w+ (.*) ✅""),'Quartier prepositio"&amp;"ns'!A:E, 5, 0) ,  if(H3404=""region"",vlookup(REGEXEXTRACT(C3404, ""🏘️ \w+ \w+ (.*) ✅""),'Region prepositions'!B:F, 5, 0),  REGEXEXTRACT(C3404, ""🏘️ \w+ \w+ (.*) ✅""))))"),"#N/A")</f>
        <v>#N/A</v>
      </c>
      <c r="I3404" s="4" t="str">
        <f>IFERROR(__xludf.DUMMYFUNCTION("if(D3404=""variant"",  substitute(filter(Templates!E:E, Templates!A:A = F3404, Templates!B:B = G3404, Templates!C:C = H3404), ""{{}}"", E3404), B3404)"),"Louer appartement Les Prés-d'Orvin: Trouvez le bien immobilier qui correspond idéalement à vos désirs sur ImmoScout24 - La plateforme de l'immobilier en Suisse.")</f>
        <v>Louer appartement Les Prés-d'Orvin: Trouvez le bien immobilier qui correspond idéalement à vos désirs sur ImmoScout24 - La plateforme de l'immobilier en Suisse.</v>
      </c>
    </row>
    <row r="3405" hidden="1">
      <c r="A3405" s="5" t="s">
        <v>9913</v>
      </c>
      <c r="B3405" s="2" t="s">
        <v>9914</v>
      </c>
      <c r="C3405" s="2" t="s">
        <v>9914</v>
      </c>
      <c r="D3405" s="4" t="str">
        <f>vlookup(A3405, Sheet2!D:E, 2, 0)</f>
        <v>control</v>
      </c>
      <c r="E3405" s="4" t="str">
        <f>IFERROR(__xludf.DUMMYFUNCTION("if(H3405=""pays"",vlookup(REGEXEXTRACT(C3405, ""🏘️ \w+ \w+ (.*) ✅""),'Country prepositions'!A:B, 2, 0) &amp; "" "" &amp; REGEXEXTRACT(C3405, ""🏘️ \w+ \w+ (.*) ✅"") ,  if(H3405=""quartier"",vlookup(REGEXEXTRACT(C3405, ""🏘️ \w+ \w+ (.*) ✅""),'Quartier prepositio"&amp;"ns'!A:E, 5, 0) ,  if(H3405=""region"",vlookup(REGEXEXTRACT(C3405, ""🏘️ \w+ \w+ (.*) ✅""),'Region prepositions'!B:F, 5, 0),  REGEXEXTRACT(C3405, ""🏘️ \w+ \w+ (.*) ✅""))))"),"#N/A")</f>
        <v>#N/A</v>
      </c>
      <c r="I3405" s="4" t="str">
        <f>IFERROR(__xludf.DUMMYFUNCTION("if(D3405=""variant"",  substitute(filter(Templates!E:E, Templates!A:A = F3405, Templates!B:B = G3405, Templates!C:C = H3405), ""{{}}"", E3405), B3405)"),"Vendre appartement Bouveret: Trouvez le bien immobilier qui correspond idéalement à vos désirs sur ImmoScout24 - La plateforme de l'immobilier en Suisse.")</f>
        <v>Vendre appartement Bouveret: Trouvez le bien immobilier qui correspond idéalement à vos désirs sur ImmoScout24 - La plateforme de l'immobilier en Suisse.</v>
      </c>
    </row>
    <row r="3406" hidden="1">
      <c r="A3406" s="5" t="s">
        <v>9915</v>
      </c>
      <c r="B3406" s="2" t="s">
        <v>9916</v>
      </c>
      <c r="C3406" s="2" t="s">
        <v>9916</v>
      </c>
      <c r="D3406" s="4" t="str">
        <f>vlookup(A3406, Sheet2!D:E, 2, 0)</f>
        <v>control</v>
      </c>
      <c r="E3406" s="4" t="str">
        <f>IFERROR(__xludf.DUMMYFUNCTION("if(H3406=""pays"",vlookup(REGEXEXTRACT(C3406, ""🏘️ \w+ \w+ (.*) ✅""),'Country prepositions'!A:B, 2, 0) &amp; "" "" &amp; REGEXEXTRACT(C3406, ""🏘️ \w+ \w+ (.*) ✅"") ,  if(H3406=""quartier"",vlookup(REGEXEXTRACT(C3406, ""🏘️ \w+ \w+ (.*) ✅""),'Quartier prepositio"&amp;"ns'!A:E, 5, 0) ,  if(H3406=""region"",vlookup(REGEXEXTRACT(C3406, ""🏘️ \w+ \w+ (.*) ✅""),'Region prepositions'!B:F, 5, 0),  REGEXEXTRACT(C3406, ""🏘️ \w+ \w+ (.*) ✅""))))"),"#N/A")</f>
        <v>#N/A</v>
      </c>
      <c r="I3406" s="4" t="str">
        <f>IFERROR(__xludf.DUMMYFUNCTION("if(D3406=""variant"",  substitute(filter(Templates!E:E, Templates!A:A = F3406, Templates!B:B = G3406, Templates!C:C = H3406), ""{{}}"", E3406), B3406)"),"Vendre appartement Bâtie - Acacias (Genève): Trouvez le bien immobilier qui correspond idéalement à vos désirs sur ImmoScout24 - La plateforme de l'immobilier en Suisse.")</f>
        <v>Vendre appartement Bâtie - Acacias (Genève): Trouvez le bien immobilier qui correspond idéalement à vos désirs sur ImmoScout24 - La plateforme de l'immobilier en Suisse.</v>
      </c>
    </row>
    <row r="3407" hidden="1">
      <c r="A3407" s="5" t="s">
        <v>9917</v>
      </c>
      <c r="B3407" s="2" t="s">
        <v>9918</v>
      </c>
      <c r="C3407" s="2" t="s">
        <v>9918</v>
      </c>
      <c r="D3407" s="4" t="str">
        <f>vlookup(A3407, Sheet2!D:E, 2, 0)</f>
        <v>control</v>
      </c>
      <c r="E3407" s="4" t="str">
        <f>IFERROR(__xludf.DUMMYFUNCTION("if(H3407=""pays"",vlookup(REGEXEXTRACT(C3407, ""🏘️ \w+ \w+ (.*) ✅""),'Country prepositions'!A:B, 2, 0) &amp; "" "" &amp; REGEXEXTRACT(C3407, ""🏘️ \w+ \w+ (.*) ✅"") ,  if(H3407=""quartier"",vlookup(REGEXEXTRACT(C3407, ""🏘️ \w+ \w+ (.*) ✅""),'Quartier prepositio"&amp;"ns'!A:E, 5, 0) ,  if(H3407=""region"",vlookup(REGEXEXTRACT(C3407, ""🏘️ \w+ \w+ (.*) ✅""),'Region prepositions'!B:F, 5, 0),  REGEXEXTRACT(C3407, ""🏘️ \w+ \w+ (.*) ✅""))))"),"#N/A")</f>
        <v>#N/A</v>
      </c>
      <c r="I3407" s="4" t="str">
        <f>IFERROR(__xludf.DUMMYFUNCTION("if(D3407=""variant"",  substitute(filter(Templates!E:E, Templates!A:A = F3407, Templates!B:B = G3407, Templates!C:C = H3407), ""{{}}"", E3407), B3407)"),"Louer appartement Eyholz: Trouvez le bien immobilier qui correspond idéalement à vos désirs sur ImmoScout24 - La plateforme de l'immobilier en Suisse.")</f>
        <v>Louer appartement Eyholz: Trouvez le bien immobilier qui correspond idéalement à vos désirs sur ImmoScout24 - La plateforme de l'immobilier en Suisse.</v>
      </c>
    </row>
    <row r="3408" hidden="1">
      <c r="A3408" s="5" t="s">
        <v>9919</v>
      </c>
      <c r="B3408" s="2" t="s">
        <v>9920</v>
      </c>
      <c r="C3408" s="2" t="s">
        <v>9920</v>
      </c>
      <c r="D3408" s="4" t="str">
        <f>vlookup(A3408, Sheet2!D:E, 2, 0)</f>
        <v>control</v>
      </c>
      <c r="E3408" s="4" t="str">
        <f>IFERROR(__xludf.DUMMYFUNCTION("if(H3408=""pays"",vlookup(REGEXEXTRACT(C3408, ""🏘️ \w+ \w+ (.*) ✅""),'Country prepositions'!A:B, 2, 0) &amp; "" "" &amp; REGEXEXTRACT(C3408, ""🏘️ \w+ \w+ (.*) ✅"") ,  if(H3408=""quartier"",vlookup(REGEXEXTRACT(C3408, ""🏘️ \w+ \w+ (.*) ✅""),'Quartier prepositio"&amp;"ns'!A:E, 5, 0) ,  if(H3408=""region"",vlookup(REGEXEXTRACT(C3408, ""🏘️ \w+ \w+ (.*) ✅""),'Region prepositions'!B:F, 5, 0),  REGEXEXTRACT(C3408, ""🏘️ \w+ \w+ (.*) ✅""))))"),"#N/A")</f>
        <v>#N/A</v>
      </c>
      <c r="I3408" s="4" t="str">
        <f>IFERROR(__xludf.DUMMYFUNCTION("if(D3408=""variant"",  substitute(filter(Templates!E:E, Templates!A:A = F3408, Templates!B:B = G3408, Templates!C:C = H3408), ""{{}}"", E3408), B3408)"),"Louer appartement Chavannes-le-Veyron: Trouvez le bien immobilier qui correspond idéalement à vos désirs sur ImmoScout24 - La plateforme de l'immobilier en Suisse.")</f>
        <v>Louer appartement Chavannes-le-Veyron: Trouvez le bien immobilier qui correspond idéalement à vos désirs sur ImmoScout24 - La plateforme de l'immobilier en Suisse.</v>
      </c>
    </row>
    <row r="3409" hidden="1">
      <c r="A3409" s="5" t="s">
        <v>9921</v>
      </c>
      <c r="B3409" s="2" t="s">
        <v>9922</v>
      </c>
      <c r="C3409" s="2" t="s">
        <v>9922</v>
      </c>
      <c r="D3409" s="4" t="str">
        <f>vlookup(A3409, Sheet2!D:E, 2, 0)</f>
        <v>control</v>
      </c>
      <c r="E3409" s="4" t="str">
        <f>IFERROR(__xludf.DUMMYFUNCTION("if(H3409=""pays"",vlookup(REGEXEXTRACT(C3409, ""🏘️ \w+ \w+ (.*) ✅""),'Country prepositions'!A:B, 2, 0) &amp; "" "" &amp; REGEXEXTRACT(C3409, ""🏘️ \w+ \w+ (.*) ✅"") ,  if(H3409=""quartier"",vlookup(REGEXEXTRACT(C3409, ""🏘️ \w+ \w+ (.*) ✅""),'Quartier prepositio"&amp;"ns'!A:E, 5, 0) ,  if(H3409=""region"",vlookup(REGEXEXTRACT(C3409, ""🏘️ \w+ \w+ (.*) ✅""),'Region prepositions'!B:F, 5, 0),  REGEXEXTRACT(C3409, ""🏘️ \w+ \w+ (.*) ✅""))))"),"#N/A")</f>
        <v>#N/A</v>
      </c>
      <c r="I3409" s="4" t="str">
        <f>IFERROR(__xludf.DUMMYFUNCTION("if(D3409=""variant"",  substitute(filter(Templates!E:E, Templates!A:A = F3409, Templates!B:B = G3409, Templates!C:C = H3409), ""{{}}"", E3409), B3409)"),"Vendre maison Lutry: Trouvez le bien immobilier qui correspond idéalement à vos désirs sur ImmoScout24 - La plateforme de l'immobilier en Suisse.")</f>
        <v>Vendre maison Lutry: Trouvez le bien immobilier qui correspond idéalement à vos désirs sur ImmoScout24 - La plateforme de l'immobilier en Suisse.</v>
      </c>
    </row>
    <row r="3410" hidden="1">
      <c r="A3410" s="5" t="s">
        <v>9923</v>
      </c>
      <c r="B3410" s="2" t="s">
        <v>9924</v>
      </c>
      <c r="C3410" s="2" t="s">
        <v>9924</v>
      </c>
      <c r="D3410" s="4" t="str">
        <f>vlookup(A3410, Sheet2!D:E, 2, 0)</f>
        <v>control</v>
      </c>
      <c r="E3410" s="4" t="str">
        <f>IFERROR(__xludf.DUMMYFUNCTION("if(H3410=""pays"",vlookup(REGEXEXTRACT(C3410, ""🏘️ \w+ \w+ (.*) ✅""),'Country prepositions'!A:B, 2, 0) &amp; "" "" &amp; REGEXEXTRACT(C3410, ""🏘️ \w+ \w+ (.*) ✅"") ,  if(H3410=""quartier"",vlookup(REGEXEXTRACT(C3410, ""🏘️ \w+ \w+ (.*) ✅""),'Quartier prepositio"&amp;"ns'!A:E, 5, 0) ,  if(H3410=""region"",vlookup(REGEXEXTRACT(C3410, ""🏘️ \w+ \w+ (.*) ✅""),'Region prepositions'!B:F, 5, 0),  REGEXEXTRACT(C3410, ""🏘️ \w+ \w+ (.*) ✅""))))"),"#N/A")</f>
        <v>#N/A</v>
      </c>
      <c r="I3410" s="4" t="str">
        <f>IFERROR(__xludf.DUMMYFUNCTION("if(D3410=""variant"",  substitute(filter(Templates!E:E, Templates!A:A = F3410, Templates!B:B = G3410, Templates!C:C = H3410), ""{{}}"", E3410), B3410)"),"Vendre maison Les Pontins: Trouvez le bien immobilier qui correspond idéalement à vos désirs sur ImmoScout24 - La plateforme de l'immobilier en Suisse.")</f>
        <v>Vendre maison Les Pontins: Trouvez le bien immobilier qui correspond idéalement à vos désirs sur ImmoScout24 - La plateforme de l'immobilier en Suisse.</v>
      </c>
    </row>
    <row r="3411" hidden="1">
      <c r="A3411" s="5" t="s">
        <v>9925</v>
      </c>
      <c r="B3411" s="2" t="s">
        <v>9926</v>
      </c>
      <c r="C3411" s="2" t="s">
        <v>9926</v>
      </c>
      <c r="D3411" s="4" t="str">
        <f>vlookup(A3411, Sheet2!D:E, 2, 0)</f>
        <v>control</v>
      </c>
      <c r="E3411" s="4" t="str">
        <f>IFERROR(__xludf.DUMMYFUNCTION("if(H3411=""pays"",vlookup(REGEXEXTRACT(C3411, ""🏘️ \w+ \w+ (.*) ✅""),'Country prepositions'!A:B, 2, 0) &amp; "" "" &amp; REGEXEXTRACT(C3411, ""🏘️ \w+ \w+ (.*) ✅"") ,  if(H3411=""quartier"",vlookup(REGEXEXTRACT(C3411, ""🏘️ \w+ \w+ (.*) ✅""),'Quartier prepositio"&amp;"ns'!A:E, 5, 0) ,  if(H3411=""region"",vlookup(REGEXEXTRACT(C3411, ""🏘️ \w+ \w+ (.*) ✅""),'Region prepositions'!B:F, 5, 0),  REGEXEXTRACT(C3411, ""🏘️ \w+ \w+ (.*) ✅""))))"),"#N/A")</f>
        <v>#N/A</v>
      </c>
      <c r="I3411" s="4" t="str">
        <f>IFERROR(__xludf.DUMMYFUNCTION("if(D3411=""variant"",  substitute(filter(Templates!E:E, Templates!A:A = F3411, Templates!B:B = G3411, Templates!C:C = H3411), ""{{}}"", E3411), B3411)"),"Vendre maison Soyhières: Trouvez le bien immobilier qui correspond idéalement à vos désirs sur ImmoScout24 - La plateforme de l'immobilier en Suisse.")</f>
        <v>Vendre maison Soyhières: Trouvez le bien immobilier qui correspond idéalement à vos désirs sur ImmoScout24 - La plateforme de l'immobilier en Suisse.</v>
      </c>
    </row>
    <row r="3412" hidden="1">
      <c r="A3412" s="5" t="s">
        <v>9927</v>
      </c>
      <c r="B3412" s="2" t="s">
        <v>9928</v>
      </c>
      <c r="C3412" s="2" t="s">
        <v>9928</v>
      </c>
      <c r="D3412" s="4" t="str">
        <f>vlookup(A3412, Sheet2!D:E, 2, 0)</f>
        <v>control</v>
      </c>
      <c r="E3412" s="4" t="str">
        <f>IFERROR(__xludf.DUMMYFUNCTION("if(H3412=""pays"",vlookup(REGEXEXTRACT(C3412, ""🏘️ \w+ \w+ (.*) ✅""),'Country prepositions'!A:B, 2, 0) &amp; "" "" &amp; REGEXEXTRACT(C3412, ""🏘️ \w+ \w+ (.*) ✅"") ,  if(H3412=""quartier"",vlookup(REGEXEXTRACT(C3412, ""🏘️ \w+ \w+ (.*) ✅""),'Quartier prepositio"&amp;"ns'!A:E, 5, 0) ,  if(H3412=""region"",vlookup(REGEXEXTRACT(C3412, ""🏘️ \w+ \w+ (.*) ✅""),'Region prepositions'!B:F, 5, 0),  REGEXEXTRACT(C3412, ""🏘️ \w+ \w+ (.*) ✅""))))"),"#N/A")</f>
        <v>#N/A</v>
      </c>
      <c r="I3412" s="4" t="str">
        <f>IFERROR(__xludf.DUMMYFUNCTION("if(D3412=""variant"",  substitute(filter(Templates!E:E, Templates!A:A = F3412, Templates!B:B = G3412, Templates!C:C = H3412), ""{{}}"", E3412), B3412)"),"Vendre maison Linthebene - See: Trouvez le bien immobilier qui correspond idéalement à vos désirs sur ImmoScout24 - La plateforme de l'immobilier en Suisse.")</f>
        <v>Vendre maison Linthebene - See: Trouvez le bien immobilier qui correspond idéalement à vos désirs sur ImmoScout24 - La plateforme de l'immobilier en Suisse.</v>
      </c>
    </row>
    <row r="3413" hidden="1">
      <c r="A3413" s="5" t="s">
        <v>9929</v>
      </c>
      <c r="B3413" s="2" t="s">
        <v>9930</v>
      </c>
      <c r="C3413" s="2" t="s">
        <v>9930</v>
      </c>
      <c r="D3413" s="4" t="str">
        <f>vlookup(A3413, Sheet2!D:E, 2, 0)</f>
        <v>control</v>
      </c>
      <c r="E3413" s="4" t="str">
        <f>IFERROR(__xludf.DUMMYFUNCTION("if(H3413=""pays"",vlookup(REGEXEXTRACT(C3413, ""🏘️ \w+ \w+ (.*) ✅""),'Country prepositions'!A:B, 2, 0) &amp; "" "" &amp; REGEXEXTRACT(C3413, ""🏘️ \w+ \w+ (.*) ✅"") ,  if(H3413=""quartier"",vlookup(REGEXEXTRACT(C3413, ""🏘️ \w+ \w+ (.*) ✅""),'Quartier prepositio"&amp;"ns'!A:E, 5, 0) ,  if(H3413=""region"",vlookup(REGEXEXTRACT(C3413, ""🏘️ \w+ \w+ (.*) ✅""),'Region prepositions'!B:F, 5, 0),  REGEXEXTRACT(C3413, ""🏘️ \w+ \w+ (.*) ✅""))))"),"#N/A")</f>
        <v>#N/A</v>
      </c>
      <c r="I3413" s="4" t="str">
        <f>IFERROR(__xludf.DUMMYFUNCTION("if(D3413=""variant"",  substitute(filter(Templates!E:E, Templates!A:A = F3413, Templates!B:B = G3413, Templates!C:C = H3413), ""{{}}"", E3413), B3413)"),"Vendre maison Campagne - Gros de Vaud: Trouvez le bien immobilier qui correspond idéalement à vos désirs sur ImmoScout24 - La plateforme de l'immobilier en Suisse.")</f>
        <v>Vendre maison Campagne - Gros de Vaud: Trouvez le bien immobilier qui correspond idéalement à vos désirs sur ImmoScout24 - La plateforme de l'immobilier en Suisse.</v>
      </c>
    </row>
    <row r="3414" hidden="1">
      <c r="A3414" s="5" t="s">
        <v>9931</v>
      </c>
      <c r="B3414" s="2" t="s">
        <v>9932</v>
      </c>
      <c r="C3414" s="2" t="s">
        <v>9932</v>
      </c>
      <c r="D3414" s="4" t="str">
        <f>vlookup(A3414, Sheet2!D:E, 2, 0)</f>
        <v>control</v>
      </c>
      <c r="E3414" s="4" t="str">
        <f>IFERROR(__xludf.DUMMYFUNCTION("if(H3414=""pays"",vlookup(REGEXEXTRACT(C3414, ""🏘️ \w+ \w+ (.*) ✅""),'Country prepositions'!A:B, 2, 0) &amp; "" "" &amp; REGEXEXTRACT(C3414, ""🏘️ \w+ \w+ (.*) ✅"") ,  if(H3414=""quartier"",vlookup(REGEXEXTRACT(C3414, ""🏘️ \w+ \w+ (.*) ✅""),'Quartier prepositio"&amp;"ns'!A:E, 5, 0) ,  if(H3414=""region"",vlookup(REGEXEXTRACT(C3414, ""🏘️ \w+ \w+ (.*) ✅""),'Region prepositions'!B:F, 5, 0),  REGEXEXTRACT(C3414, ""🏘️ \w+ \w+ (.*) ✅""))))"),"#N/A")</f>
        <v>#N/A</v>
      </c>
      <c r="I3414" s="4" t="str">
        <f>IFERROR(__xludf.DUMMYFUNCTION("if(D3414=""variant"",  substitute(filter(Templates!E:E, Templates!A:A = F3414, Templates!B:B = G3414, Templates!C:C = H3414), ""{{}}"", E3414), B3414)"),"Vendre appartement Beaulieu - Grey - Boisy (Lausanne): Trouvez le bien immobilier qui correspond idéalement à vos désirs sur ImmoScout24 - La plateforme de l'immobilier en Suisse.")</f>
        <v>Vendre appartement Beaulieu - Grey - Boisy (Lausanne): Trouvez le bien immobilier qui correspond idéalement à vos désirs sur ImmoScout24 - La plateforme de l'immobilier en Suisse.</v>
      </c>
    </row>
    <row r="3415" hidden="1">
      <c r="A3415" s="5" t="s">
        <v>9933</v>
      </c>
      <c r="B3415" s="2" t="s">
        <v>9934</v>
      </c>
      <c r="C3415" s="2" t="s">
        <v>9934</v>
      </c>
      <c r="D3415" s="4" t="str">
        <f>vlookup(A3415, Sheet2!D:E, 2, 0)</f>
        <v>control</v>
      </c>
      <c r="E3415" s="4" t="str">
        <f>IFERROR(__xludf.DUMMYFUNCTION("if(H3415=""pays"",vlookup(REGEXEXTRACT(C3415, ""🏘️ \w+ \w+ (.*) ✅""),'Country prepositions'!A:B, 2, 0) &amp; "" "" &amp; REGEXEXTRACT(C3415, ""🏘️ \w+ \w+ (.*) ✅"") ,  if(H3415=""quartier"",vlookup(REGEXEXTRACT(C3415, ""🏘️ \w+ \w+ (.*) ✅""),'Quartier prepositio"&amp;"ns'!A:E, 5, 0) ,  if(H3415=""region"",vlookup(REGEXEXTRACT(C3415, ""🏘️ \w+ \w+ (.*) ✅""),'Region prepositions'!B:F, 5, 0),  REGEXEXTRACT(C3415, ""🏘️ \w+ \w+ (.*) ✅""))))"),"#N/A")</f>
        <v>#N/A</v>
      </c>
      <c r="I3415" s="4" t="str">
        <f>IFERROR(__xludf.DUMMYFUNCTION("if(D3415=""variant"",  substitute(filter(Templates!E:E, Templates!A:A = F3415, Templates!B:B = G3415, Templates!C:C = H3415), ""{{}}"", E3415), B3415)"),"Louer appartement Wädenswil: Trouvez le bien immobilier qui correspond idéalement à vos désirs sur ImmoScout24 - La plateforme de l'immobilier en Suisse.")</f>
        <v>Louer appartement Wädenswil: Trouvez le bien immobilier qui correspond idéalement à vos désirs sur ImmoScout24 - La plateforme de l'immobilier en Suisse.</v>
      </c>
    </row>
    <row r="3416" hidden="1">
      <c r="A3416" s="5" t="s">
        <v>9935</v>
      </c>
      <c r="B3416" s="2" t="s">
        <v>9936</v>
      </c>
      <c r="C3416" s="2" t="s">
        <v>9936</v>
      </c>
      <c r="D3416" s="4" t="str">
        <f>vlookup(A3416, Sheet2!D:E, 2, 0)</f>
        <v>control</v>
      </c>
      <c r="E3416" s="4" t="str">
        <f>IFERROR(__xludf.DUMMYFUNCTION("if(H3416=""pays"",vlookup(REGEXEXTRACT(C3416, ""🏘️ \w+ \w+ (.*) ✅""),'Country prepositions'!A:B, 2, 0) &amp; "" "" &amp; REGEXEXTRACT(C3416, ""🏘️ \w+ \w+ (.*) ✅"") ,  if(H3416=""quartier"",vlookup(REGEXEXTRACT(C3416, ""🏘️ \w+ \w+ (.*) ✅""),'Quartier prepositio"&amp;"ns'!A:E, 5, 0) ,  if(H3416=""region"",vlookup(REGEXEXTRACT(C3416, ""🏘️ \w+ \w+ (.*) ✅""),'Region prepositions'!B:F, 5, 0),  REGEXEXTRACT(C3416, ""🏘️ \w+ \w+ (.*) ✅""))))"),"#N/A")</f>
        <v>#N/A</v>
      </c>
      <c r="I3416" s="4" t="str">
        <f>IFERROR(__xludf.DUMMYFUNCTION("if(D3416=""variant"",  substitute(filter(Templates!E:E, Templates!A:A = F3416, Templates!B:B = G3416, Templates!C:C = H3416), ""{{}}"", E3416), B3416)"),"Vendre appartement Coffrane: Trouvez le bien immobilier qui correspond idéalement à vos désirs sur ImmoScout24 - La plateforme de l'immobilier en Suisse.")</f>
        <v>Vendre appartement Coffrane: Trouvez le bien immobilier qui correspond idéalement à vos désirs sur ImmoScout24 - La plateforme de l'immobilier en Suisse.</v>
      </c>
    </row>
    <row r="3417" hidden="1">
      <c r="A3417" s="5" t="s">
        <v>9937</v>
      </c>
      <c r="B3417" s="2" t="s">
        <v>9938</v>
      </c>
      <c r="C3417" s="2" t="s">
        <v>9938</v>
      </c>
      <c r="D3417" s="4" t="str">
        <f>vlookup(A3417, Sheet2!D:E, 2, 0)</f>
        <v>control</v>
      </c>
      <c r="E3417" s="4" t="str">
        <f>IFERROR(__xludf.DUMMYFUNCTION("if(H3417=""pays"",vlookup(REGEXEXTRACT(C3417, ""🏘️ \w+ \w+ (.*) ✅""),'Country prepositions'!A:B, 2, 0) &amp; "" "" &amp; REGEXEXTRACT(C3417, ""🏘️ \w+ \w+ (.*) ✅"") ,  if(H3417=""quartier"",vlookup(REGEXEXTRACT(C3417, ""🏘️ \w+ \w+ (.*) ✅""),'Quartier prepositio"&amp;"ns'!A:E, 5, 0) ,  if(H3417=""region"",vlookup(REGEXEXTRACT(C3417, ""🏘️ \w+ \w+ (.*) ✅""),'Region prepositions'!B:F, 5, 0),  REGEXEXTRACT(C3417, ""🏘️ \w+ \w+ (.*) ✅""))))"),"#N/A")</f>
        <v>#N/A</v>
      </c>
      <c r="I3417" s="4" t="str">
        <f>IFERROR(__xludf.DUMMYFUNCTION("if(D3417=""variant"",  substitute(filter(Templates!E:E, Templates!A:A = F3417, Templates!B:B = G3417, Templates!C:C = H3417), ""{{}}"", E3417), B3417)"),"Louer maison Monbijou (Berne): Trouvez le bien immobilier qui correspond idéalement à vos désirs sur ImmoScout24 - La plateforme de l'immobilier en Suisse.")</f>
        <v>Louer maison Monbijou (Berne): Trouvez le bien immobilier qui correspond idéalement à vos désirs sur ImmoScout24 - La plateforme de l'immobilier en Suisse.</v>
      </c>
    </row>
    <row r="3418" hidden="1">
      <c r="A3418" s="5" t="s">
        <v>9939</v>
      </c>
      <c r="B3418" s="2" t="s">
        <v>9940</v>
      </c>
      <c r="C3418" s="2" t="s">
        <v>9940</v>
      </c>
      <c r="D3418" s="4" t="str">
        <f>vlookup(A3418, Sheet2!D:E, 2, 0)</f>
        <v>control</v>
      </c>
      <c r="E3418" s="4" t="str">
        <f>IFERROR(__xludf.DUMMYFUNCTION("if(H3418=""pays"",vlookup(REGEXEXTRACT(C3418, ""🏘️ \w+ \w+ (.*) ✅""),'Country prepositions'!A:B, 2, 0) &amp; "" "" &amp; REGEXEXTRACT(C3418, ""🏘️ \w+ \w+ (.*) ✅"") ,  if(H3418=""quartier"",vlookup(REGEXEXTRACT(C3418, ""🏘️ \w+ \w+ (.*) ✅""),'Quartier prepositio"&amp;"ns'!A:E, 5, 0) ,  if(H3418=""region"",vlookup(REGEXEXTRACT(C3418, ""🏘️ \w+ \w+ (.*) ✅""),'Region prepositions'!B:F, 5, 0),  REGEXEXTRACT(C3418, ""🏘️ \w+ \w+ (.*) ✅""))))"),"#N/A")</f>
        <v>#N/A</v>
      </c>
      <c r="I3418" s="4" t="str">
        <f>IFERROR(__xludf.DUMMYFUNCTION("if(D3418=""variant"",  substitute(filter(Templates!E:E, Templates!A:A = F3418, Templates!B:B = G3418, Templates!C:C = H3418), ""{{}}"", E3418), B3418)"),"Louer appartement Lyssach: Trouvez le bien immobilier qui correspond idéalement à vos désirs sur ImmoScout24 - La plateforme de l'immobilier en Suisse.")</f>
        <v>Louer appartement Lyssach: Trouvez le bien immobilier qui correspond idéalement à vos désirs sur ImmoScout24 - La plateforme de l'immobilier en Suisse.</v>
      </c>
    </row>
    <row r="3419" hidden="1">
      <c r="A3419" s="5" t="s">
        <v>9941</v>
      </c>
      <c r="B3419" s="2" t="s">
        <v>9942</v>
      </c>
      <c r="C3419" s="2" t="s">
        <v>9942</v>
      </c>
      <c r="D3419" s="4" t="str">
        <f>vlookup(A3419, Sheet2!D:E, 2, 0)</f>
        <v>control</v>
      </c>
      <c r="E3419" s="4" t="str">
        <f>IFERROR(__xludf.DUMMYFUNCTION("if(H3419=""pays"",vlookup(REGEXEXTRACT(C3419, ""🏘️ \w+ \w+ (.*) ✅""),'Country prepositions'!A:B, 2, 0) &amp; "" "" &amp; REGEXEXTRACT(C3419, ""🏘️ \w+ \w+ (.*) ✅"") ,  if(H3419=""quartier"",vlookup(REGEXEXTRACT(C3419, ""🏘️ \w+ \w+ (.*) ✅""),'Quartier prepositio"&amp;"ns'!A:E, 5, 0) ,  if(H3419=""region"",vlookup(REGEXEXTRACT(C3419, ""🏘️ \w+ \w+ (.*) ✅""),'Region prepositions'!B:F, 5, 0),  REGEXEXTRACT(C3419, ""🏘️ \w+ \w+ (.*) ✅""))))"),"#N/A")</f>
        <v>#N/A</v>
      </c>
      <c r="I3419" s="4" t="str">
        <f>IFERROR(__xludf.DUMMYFUNCTION("if(D3419=""variant"",  substitute(filter(Templates!E:E, Templates!A:A = F3419, Templates!B:B = G3419, Templates!C:C = H3419), ""{{}}"", E3419), B3419)"),"Louer appartement Le Châble VS: Trouvez le bien immobilier qui correspond idéalement à vos désirs sur ImmoScout24 - La plateforme de l'immobilier en Suisse.")</f>
        <v>Louer appartement Le Châble VS: Trouvez le bien immobilier qui correspond idéalement à vos désirs sur ImmoScout24 - La plateforme de l'immobilier en Suisse.</v>
      </c>
    </row>
    <row r="3420" hidden="1">
      <c r="A3420" s="5" t="s">
        <v>9943</v>
      </c>
      <c r="B3420" s="2" t="s">
        <v>9944</v>
      </c>
      <c r="C3420" s="2" t="s">
        <v>9944</v>
      </c>
      <c r="D3420" s="4" t="str">
        <f>vlookup(A3420, Sheet2!D:E, 2, 0)</f>
        <v>control</v>
      </c>
      <c r="E3420" s="4" t="str">
        <f>IFERROR(__xludf.DUMMYFUNCTION("if(H3420=""pays"",vlookup(REGEXEXTRACT(C3420, ""🏘️ \w+ \w+ (.*) ✅""),'Country prepositions'!A:B, 2, 0) &amp; "" "" &amp; REGEXEXTRACT(C3420, ""🏘️ \w+ \w+ (.*) ✅"") ,  if(H3420=""quartier"",vlookup(REGEXEXTRACT(C3420, ""🏘️ \w+ \w+ (.*) ✅""),'Quartier prepositio"&amp;"ns'!A:E, 5, 0) ,  if(H3420=""region"",vlookup(REGEXEXTRACT(C3420, ""🏘️ \w+ \w+ (.*) ✅""),'Region prepositions'!B:F, 5, 0),  REGEXEXTRACT(C3420, ""🏘️ \w+ \w+ (.*) ✅""))))"),"#N/A")</f>
        <v>#N/A</v>
      </c>
      <c r="I3420" s="4" t="str">
        <f>IFERROR(__xludf.DUMMYFUNCTION("if(D3420=""variant"",  substitute(filter(Templates!E:E, Templates!A:A = F3420, Templates!B:B = G3420, Templates!C:C = H3420), ""{{}}"", E3420), B3420)"),"Louer appartement Eschert: Trouvez le bien immobilier qui correspond idéalement à vos désirs sur ImmoScout24 - La plateforme de l'immobilier en Suisse.")</f>
        <v>Louer appartement Eschert: Trouvez le bien immobilier qui correspond idéalement à vos désirs sur ImmoScout24 - La plateforme de l'immobilier en Suisse.</v>
      </c>
    </row>
    <row r="3421" hidden="1">
      <c r="A3421" s="5" t="s">
        <v>9945</v>
      </c>
      <c r="B3421" s="2" t="s">
        <v>9946</v>
      </c>
      <c r="C3421" s="2" t="s">
        <v>9946</v>
      </c>
      <c r="D3421" s="4" t="str">
        <f>vlookup(A3421, Sheet2!D:E, 2, 0)</f>
        <v>control</v>
      </c>
      <c r="E3421" s="4" t="str">
        <f>IFERROR(__xludf.DUMMYFUNCTION("if(H3421=""pays"",vlookup(REGEXEXTRACT(C3421, ""🏘️ \w+ \w+ (.*) ✅""),'Country prepositions'!A:B, 2, 0) &amp; "" "" &amp; REGEXEXTRACT(C3421, ""🏘️ \w+ \w+ (.*) ✅"") ,  if(H3421=""quartier"",vlookup(REGEXEXTRACT(C3421, ""🏘️ \w+ \w+ (.*) ✅""),'Quartier prepositio"&amp;"ns'!A:E, 5, 0) ,  if(H3421=""region"",vlookup(REGEXEXTRACT(C3421, ""🏘️ \w+ \w+ (.*) ✅""),'Region prepositions'!B:F, 5, 0),  REGEXEXTRACT(C3421, ""🏘️ \w+ \w+ (.*) ✅""))))"),"#N/A")</f>
        <v>#N/A</v>
      </c>
      <c r="I3421" s="4" t="str">
        <f>IFERROR(__xludf.DUMMYFUNCTION("if(D3421=""variant"",  substitute(filter(Templates!E:E, Templates!A:A = F3421, Templates!B:B = G3421, Templates!C:C = H3421), ""{{}}"", E3421), B3421)"),"Louer appartement Murifeld (Berne): Trouvez le bien immobilier qui correspond idéalement à vos désirs sur ImmoScout24 - La plateforme de l'immobilier en Suisse.")</f>
        <v>Louer appartement Murifeld (Berne): Trouvez le bien immobilier qui correspond idéalement à vos désirs sur ImmoScout24 - La plateforme de l'immobilier en Suisse.</v>
      </c>
    </row>
    <row r="3422" hidden="1">
      <c r="A3422" s="5" t="s">
        <v>9947</v>
      </c>
      <c r="B3422" s="2" t="s">
        <v>9948</v>
      </c>
      <c r="C3422" s="2" t="s">
        <v>9948</v>
      </c>
      <c r="D3422" s="4" t="str">
        <f>vlookup(A3422, Sheet2!D:E, 2, 0)</f>
        <v>control</v>
      </c>
      <c r="E3422" s="4" t="str">
        <f>IFERROR(__xludf.DUMMYFUNCTION("if(H3422=""pays"",vlookup(REGEXEXTRACT(C3422, ""🏘️ \w+ \w+ (.*) ✅""),'Country prepositions'!A:B, 2, 0) &amp; "" "" &amp; REGEXEXTRACT(C3422, ""🏘️ \w+ \w+ (.*) ✅"") ,  if(H3422=""quartier"",vlookup(REGEXEXTRACT(C3422, ""🏘️ \w+ \w+ (.*) ✅""),'Quartier prepositio"&amp;"ns'!A:E, 5, 0) ,  if(H3422=""region"",vlookup(REGEXEXTRACT(C3422, ""🏘️ \w+ \w+ (.*) ✅""),'Region prepositions'!B:F, 5, 0),  REGEXEXTRACT(C3422, ""🏘️ \w+ \w+ (.*) ✅""))))"),"#N/A")</f>
        <v>#N/A</v>
      </c>
      <c r="I3422" s="4" t="str">
        <f>IFERROR(__xludf.DUMMYFUNCTION("if(D3422=""variant"",  substitute(filter(Templates!E:E, Templates!A:A = F3422, Templates!B:B = G3422, Templates!C:C = H3422), ""{{}}"", E3422), B3422)"),"Vendre maison Saas-Fee: Trouvez le bien immobilier qui correspond idéalement à vos désirs sur ImmoScout24 - La plateforme de l'immobilier en Suisse.")</f>
        <v>Vendre maison Saas-Fee: Trouvez le bien immobilier qui correspond idéalement à vos désirs sur ImmoScout24 - La plateforme de l'immobilier en Suisse.</v>
      </c>
    </row>
    <row r="3423" hidden="1">
      <c r="A3423" s="5" t="s">
        <v>9949</v>
      </c>
      <c r="B3423" s="2" t="s">
        <v>9950</v>
      </c>
      <c r="C3423" s="2" t="s">
        <v>9950</v>
      </c>
      <c r="D3423" s="4" t="str">
        <f>vlookup(A3423, Sheet2!D:E, 2, 0)</f>
        <v>control</v>
      </c>
      <c r="E3423" s="4" t="str">
        <f>IFERROR(__xludf.DUMMYFUNCTION("if(H3423=""pays"",vlookup(REGEXEXTRACT(C3423, ""🏘️ \w+ \w+ (.*) ✅""),'Country prepositions'!A:B, 2, 0) &amp; "" "" &amp; REGEXEXTRACT(C3423, ""🏘️ \w+ \w+ (.*) ✅"") ,  if(H3423=""quartier"",vlookup(REGEXEXTRACT(C3423, ""🏘️ \w+ \w+ (.*) ✅""),'Quartier prepositio"&amp;"ns'!A:E, 5, 0) ,  if(H3423=""region"",vlookup(REGEXEXTRACT(C3423, ""🏘️ \w+ \w+ (.*) ✅""),'Region prepositions'!B:F, 5, 0),  REGEXEXTRACT(C3423, ""🏘️ \w+ \w+ (.*) ✅""))))"),"#N/A")</f>
        <v>#N/A</v>
      </c>
      <c r="I3423" s="4" t="str">
        <f>IFERROR(__xludf.DUMMYFUNCTION("if(D3423=""variant"",  substitute(filter(Templates!E:E, Templates!A:A = F3423, Templates!B:B = G3423, Templates!C:C = H3423), ""{{}}"", E3423), B3423)"),"Louer appartement Rochefort: Trouvez le bien immobilier qui correspond idéalement à vos désirs sur ImmoScout24 - La plateforme de l'immobilier en Suisse.")</f>
        <v>Louer appartement Rochefort: Trouvez le bien immobilier qui correspond idéalement à vos désirs sur ImmoScout24 - La plateforme de l'immobilier en Suisse.</v>
      </c>
    </row>
    <row r="3424" hidden="1">
      <c r="A3424" s="5" t="s">
        <v>9951</v>
      </c>
      <c r="B3424" s="2" t="s">
        <v>9952</v>
      </c>
      <c r="C3424" s="2" t="s">
        <v>9952</v>
      </c>
      <c r="D3424" s="4" t="str">
        <f>vlookup(A3424, Sheet2!D:E, 2, 0)</f>
        <v>control</v>
      </c>
      <c r="E3424" s="4" t="str">
        <f>IFERROR(__xludf.DUMMYFUNCTION("if(H3424=""pays"",vlookup(REGEXEXTRACT(C3424, ""🏘️ \w+ \w+ (.*) ✅""),'Country prepositions'!A:B, 2, 0) &amp; "" "" &amp; REGEXEXTRACT(C3424, ""🏘️ \w+ \w+ (.*) ✅"") ,  if(H3424=""quartier"",vlookup(REGEXEXTRACT(C3424, ""🏘️ \w+ \w+ (.*) ✅""),'Quartier prepositio"&amp;"ns'!A:E, 5, 0) ,  if(H3424=""region"",vlookup(REGEXEXTRACT(C3424, ""🏘️ \w+ \w+ (.*) ✅""),'Region prepositions'!B:F, 5, 0),  REGEXEXTRACT(C3424, ""🏘️ \w+ \w+ (.*) ✅""))))"),"#N/A")</f>
        <v>#N/A</v>
      </c>
      <c r="I3424" s="4" t="str">
        <f>IFERROR(__xludf.DUMMYFUNCTION("if(D3424=""variant"",  substitute(filter(Templates!E:E, Templates!A:A = F3424, Templates!B:B = G3424, Templates!C:C = H3424), ""{{}}"", E3424), B3424)"),"Louer appartement Sirnach: Trouvez le bien immobilier qui correspond idéalement à vos désirs sur ImmoScout24 - La plateforme de l'immobilier en Suisse.")</f>
        <v>Louer appartement Sirnach: Trouvez le bien immobilier qui correspond idéalement à vos désirs sur ImmoScout24 - La plateforme de l'immobilier en Suisse.</v>
      </c>
    </row>
    <row r="3425" hidden="1">
      <c r="A3425" s="5" t="s">
        <v>9953</v>
      </c>
      <c r="B3425" s="2" t="s">
        <v>9954</v>
      </c>
      <c r="C3425" s="2" t="s">
        <v>9954</v>
      </c>
      <c r="D3425" s="4" t="str">
        <f>vlookup(A3425, Sheet2!D:E, 2, 0)</f>
        <v>control</v>
      </c>
      <c r="E3425" s="4" t="str">
        <f>IFERROR(__xludf.DUMMYFUNCTION("if(H3425=""pays"",vlookup(REGEXEXTRACT(C3425, ""🏘️ \w+ \w+ (.*) ✅""),'Country prepositions'!A:B, 2, 0) &amp; "" "" &amp; REGEXEXTRACT(C3425, ""🏘️ \w+ \w+ (.*) ✅"") ,  if(H3425=""quartier"",vlookup(REGEXEXTRACT(C3425, ""🏘️ \w+ \w+ (.*) ✅""),'Quartier prepositio"&amp;"ns'!A:E, 5, 0) ,  if(H3425=""region"",vlookup(REGEXEXTRACT(C3425, ""🏘️ \w+ \w+ (.*) ✅""),'Region prepositions'!B:F, 5, 0),  REGEXEXTRACT(C3425, ""🏘️ \w+ \w+ (.*) ✅""))))"),"#N/A")</f>
        <v>#N/A</v>
      </c>
      <c r="I3425" s="4" t="str">
        <f>IFERROR(__xludf.DUMMYFUNCTION("if(D3425=""variant"",  substitute(filter(Templates!E:E, Templates!A:A = F3425, Templates!B:B = G3425, Templates!C:C = H3425), ""{{}}"", E3425), B3425)"),"Louer appartement Coldrerio: Trouvez le bien immobilier qui correspond idéalement à vos désirs sur ImmoScout24 - La plateforme de l'immobilier en Suisse.")</f>
        <v>Louer appartement Coldrerio: Trouvez le bien immobilier qui correspond idéalement à vos désirs sur ImmoScout24 - La plateforme de l'immobilier en Suisse.</v>
      </c>
    </row>
    <row r="3426" hidden="1">
      <c r="A3426" s="5" t="s">
        <v>9955</v>
      </c>
      <c r="B3426" s="2" t="s">
        <v>9956</v>
      </c>
      <c r="C3426" s="2" t="s">
        <v>9956</v>
      </c>
      <c r="D3426" s="4" t="str">
        <f>vlookup(A3426, Sheet2!D:E, 2, 0)</f>
        <v>control</v>
      </c>
      <c r="E3426" s="4" t="str">
        <f>IFERROR(__xludf.DUMMYFUNCTION("if(H3426=""pays"",vlookup(REGEXEXTRACT(C3426, ""🏘️ \w+ \w+ (.*) ✅""),'Country prepositions'!A:B, 2, 0) &amp; "" "" &amp; REGEXEXTRACT(C3426, ""🏘️ \w+ \w+ (.*) ✅"") ,  if(H3426=""quartier"",vlookup(REGEXEXTRACT(C3426, ""🏘️ \w+ \w+ (.*) ✅""),'Quartier prepositio"&amp;"ns'!A:E, 5, 0) ,  if(H3426=""region"",vlookup(REGEXEXTRACT(C3426, ""🏘️ \w+ \w+ (.*) ✅""),'Region prepositions'!B:F, 5, 0),  REGEXEXTRACT(C3426, ""🏘️ \w+ \w+ (.*) ✅""))))"),"#N/A")</f>
        <v>#N/A</v>
      </c>
      <c r="I3426" s="4" t="str">
        <f>IFERROR(__xludf.DUMMYFUNCTION("if(D3426=""variant"",  substitute(filter(Templates!E:E, Templates!A:A = F3426, Templates!B:B = G3426, Templates!C:C = H3426), ""{{}}"", E3426), B3426)"),"Louer maison Lenk im Simmental: Trouvez le bien immobilier qui correspond idéalement à vos désirs sur ImmoScout24 - La plateforme de l'immobilier en Suisse.")</f>
        <v>Louer maison Lenk im Simmental: Trouvez le bien immobilier qui correspond idéalement à vos désirs sur ImmoScout24 - La plateforme de l'immobilier en Suisse.</v>
      </c>
    </row>
    <row r="3427" hidden="1">
      <c r="A3427" s="5" t="s">
        <v>9957</v>
      </c>
      <c r="B3427" s="2" t="s">
        <v>9958</v>
      </c>
      <c r="C3427" s="2" t="s">
        <v>9958</v>
      </c>
      <c r="D3427" s="4" t="str">
        <f>vlookup(A3427, Sheet2!D:E, 2, 0)</f>
        <v>control</v>
      </c>
      <c r="E3427" s="4" t="str">
        <f>IFERROR(__xludf.DUMMYFUNCTION("if(H3427=""pays"",vlookup(REGEXEXTRACT(C3427, ""🏘️ \w+ \w+ (.*) ✅""),'Country prepositions'!A:B, 2, 0) &amp; "" "" &amp; REGEXEXTRACT(C3427, ""🏘️ \w+ \w+ (.*) ✅"") ,  if(H3427=""quartier"",vlookup(REGEXEXTRACT(C3427, ""🏘️ \w+ \w+ (.*) ✅""),'Quartier prepositio"&amp;"ns'!A:E, 5, 0) ,  if(H3427=""region"",vlookup(REGEXEXTRACT(C3427, ""🏘️ \w+ \w+ (.*) ✅""),'Region prepositions'!B:F, 5, 0),  REGEXEXTRACT(C3427, ""🏘️ \w+ \w+ (.*) ✅""))))"),"#N/A")</f>
        <v>#N/A</v>
      </c>
      <c r="I3427" s="4" t="str">
        <f>IFERROR(__xludf.DUMMYFUNCTION("if(D3427=""variant"",  substitute(filter(Templates!E:E, Templates!A:A = F3427, Templates!B:B = G3427, Templates!C:C = H3427), ""{{}}"", E3427), B3427)"),"Louer maison Concise: Trouvez le bien immobilier qui correspond idéalement à vos désirs sur ImmoScout24 - La plateforme de l'immobilier en Suisse.")</f>
        <v>Louer maison Concise: Trouvez le bien immobilier qui correspond idéalement à vos désirs sur ImmoScout24 - La plateforme de l'immobilier en Suisse.</v>
      </c>
    </row>
    <row r="3428" hidden="1">
      <c r="A3428" s="5" t="s">
        <v>9959</v>
      </c>
      <c r="B3428" s="2" t="s">
        <v>9960</v>
      </c>
      <c r="C3428" s="2" t="s">
        <v>9960</v>
      </c>
      <c r="D3428" s="4" t="str">
        <f>vlookup(A3428, Sheet2!D:E, 2, 0)</f>
        <v>control</v>
      </c>
      <c r="E3428" s="4" t="str">
        <f>IFERROR(__xludf.DUMMYFUNCTION("if(H3428=""pays"",vlookup(REGEXEXTRACT(C3428, ""🏘️ \w+ \w+ (.*) ✅""),'Country prepositions'!A:B, 2, 0) &amp; "" "" &amp; REGEXEXTRACT(C3428, ""🏘️ \w+ \w+ (.*) ✅"") ,  if(H3428=""quartier"",vlookup(REGEXEXTRACT(C3428, ""🏘️ \w+ \w+ (.*) ✅""),'Quartier prepositio"&amp;"ns'!A:E, 5, 0) ,  if(H3428=""region"",vlookup(REGEXEXTRACT(C3428, ""🏘️ \w+ \w+ (.*) ✅""),'Region prepositions'!B:F, 5, 0),  REGEXEXTRACT(C3428, ""🏘️ \w+ \w+ (.*) ✅""))))"),"#N/A")</f>
        <v>#N/A</v>
      </c>
      <c r="I3428" s="4" t="str">
        <f>IFERROR(__xludf.DUMMYFUNCTION("if(D3428=""variant"",  substitute(filter(Templates!E:E, Templates!A:A = F3428, Templates!B:B = G3428, Templates!C:C = H3428), ""{{}}"", E3428), B3428)"),"Louer maison Romont FR: Trouvez le bien immobilier qui correspond idéalement à vos désirs sur ImmoScout24 - La plateforme de l'immobilier en Suisse.")</f>
        <v>Louer maison Romont FR: Trouvez le bien immobilier qui correspond idéalement à vos désirs sur ImmoScout24 - La plateforme de l'immobilier en Suisse.</v>
      </c>
    </row>
    <row r="3429" hidden="1">
      <c r="A3429" s="5" t="s">
        <v>9961</v>
      </c>
      <c r="B3429" s="2" t="s">
        <v>9962</v>
      </c>
      <c r="C3429" s="2" t="s">
        <v>9962</v>
      </c>
      <c r="D3429" s="4" t="str">
        <f>vlookup(A3429, Sheet2!D:E, 2, 0)</f>
        <v>control</v>
      </c>
      <c r="E3429" s="4" t="str">
        <f>IFERROR(__xludf.DUMMYFUNCTION("if(H3429=""pays"",vlookup(REGEXEXTRACT(C3429, ""🏘️ \w+ \w+ (.*) ✅""),'Country prepositions'!A:B, 2, 0) &amp; "" "" &amp; REGEXEXTRACT(C3429, ""🏘️ \w+ \w+ (.*) ✅"") ,  if(H3429=""quartier"",vlookup(REGEXEXTRACT(C3429, ""🏘️ \w+ \w+ (.*) ✅""),'Quartier prepositio"&amp;"ns'!A:E, 5, 0) ,  if(H3429=""region"",vlookup(REGEXEXTRACT(C3429, ""🏘️ \w+ \w+ (.*) ✅""),'Region prepositions'!B:F, 5, 0),  REGEXEXTRACT(C3429, ""🏘️ \w+ \w+ (.*) ✅""))))"),"#N/A")</f>
        <v>#N/A</v>
      </c>
      <c r="I3429" s="4" t="str">
        <f>IFERROR(__xludf.DUMMYFUNCTION("if(D3429=""variant"",  substitute(filter(Templates!E:E, Templates!A:A = F3429, Templates!B:B = G3429, Templates!C:C = H3429), ""{{}}"", E3429), B3429)"),"Louer appartement Uznach: Trouvez le bien immobilier qui correspond idéalement à vos désirs sur ImmoScout24 - La plateforme de l'immobilier en Suisse.")</f>
        <v>Louer appartement Uznach: Trouvez le bien immobilier qui correspond idéalement à vos désirs sur ImmoScout24 - La plateforme de l'immobilier en Suisse.</v>
      </c>
    </row>
    <row r="3430" hidden="1">
      <c r="A3430" s="5" t="s">
        <v>9963</v>
      </c>
      <c r="B3430" s="2" t="s">
        <v>9964</v>
      </c>
      <c r="C3430" s="2" t="s">
        <v>9964</v>
      </c>
      <c r="D3430" s="4" t="str">
        <f>vlookup(A3430, Sheet2!D:E, 2, 0)</f>
        <v>control</v>
      </c>
      <c r="E3430" s="4" t="str">
        <f>IFERROR(__xludf.DUMMYFUNCTION("if(H3430=""pays"",vlookup(REGEXEXTRACT(C3430, ""🏘️ \w+ \w+ (.*) ✅""),'Country prepositions'!A:B, 2, 0) &amp; "" "" &amp; REGEXEXTRACT(C3430, ""🏘️ \w+ \w+ (.*) ✅"") ,  if(H3430=""quartier"",vlookup(REGEXEXTRACT(C3430, ""🏘️ \w+ \w+ (.*) ✅""),'Quartier prepositio"&amp;"ns'!A:E, 5, 0) ,  if(H3430=""region"",vlookup(REGEXEXTRACT(C3430, ""🏘️ \w+ \w+ (.*) ✅""),'Region prepositions'!B:F, 5, 0),  REGEXEXTRACT(C3430, ""🏘️ \w+ \w+ (.*) ✅""))))"),"#N/A")</f>
        <v>#N/A</v>
      </c>
      <c r="I3430" s="4" t="str">
        <f>IFERROR(__xludf.DUMMYFUNCTION("if(D3430=""variant"",  substitute(filter(Templates!E:E, Templates!A:A = F3430, Templates!B:B = G3430, Templates!C:C = H3430), ""{{}}"", E3430), B3430)"),"Vendre maison Oberland Est: Trouvez le bien immobilier qui correspond idéalement à vos désirs sur ImmoScout24 - La plateforme de l'immobilier en Suisse.")</f>
        <v>Vendre maison Oberland Est: Trouvez le bien immobilier qui correspond idéalement à vos désirs sur ImmoScout24 - La plateforme de l'immobilier en Suisse.</v>
      </c>
    </row>
    <row r="3431" hidden="1">
      <c r="A3431" s="5" t="s">
        <v>9965</v>
      </c>
      <c r="B3431" s="2" t="s">
        <v>9966</v>
      </c>
      <c r="C3431" s="2" t="s">
        <v>9966</v>
      </c>
      <c r="D3431" s="4" t="str">
        <f>vlookup(A3431, Sheet2!D:E, 2, 0)</f>
        <v>control</v>
      </c>
      <c r="E3431" s="4" t="str">
        <f>IFERROR(__xludf.DUMMYFUNCTION("if(H3431=""pays"",vlookup(REGEXEXTRACT(C3431, ""🏘️ \w+ \w+ (.*) ✅""),'Country prepositions'!A:B, 2, 0) &amp; "" "" &amp; REGEXEXTRACT(C3431, ""🏘️ \w+ \w+ (.*) ✅"") ,  if(H3431=""quartier"",vlookup(REGEXEXTRACT(C3431, ""🏘️ \w+ \w+ (.*) ✅""),'Quartier prepositio"&amp;"ns'!A:E, 5, 0) ,  if(H3431=""region"",vlookup(REGEXEXTRACT(C3431, ""🏘️ \w+ \w+ (.*) ✅""),'Region prepositions'!B:F, 5, 0),  REGEXEXTRACT(C3431, ""🏘️ \w+ \w+ (.*) ✅""))))"),"#N/A")</f>
        <v>#N/A</v>
      </c>
      <c r="I3431" s="4" t="str">
        <f>IFERROR(__xludf.DUMMYFUNCTION("if(D3431=""variant"",  substitute(filter(Templates!E:E, Templates!A:A = F3431, Templates!B:B = G3431, Templates!C:C = H3431), ""{{}}"", E3431), B3431)"),"Louer maison Villarsel-le-Gibloux: Trouvez le bien immobilier qui correspond idéalement à vos désirs sur ImmoScout24 - La plateforme de l'immobilier en Suisse.")</f>
        <v>Louer maison Villarsel-le-Gibloux: Trouvez le bien immobilier qui correspond idéalement à vos désirs sur ImmoScout24 - La plateforme de l'immobilier en Suisse.</v>
      </c>
    </row>
    <row r="3432" hidden="1">
      <c r="A3432" s="5" t="s">
        <v>9967</v>
      </c>
      <c r="B3432" s="2" t="s">
        <v>9968</v>
      </c>
      <c r="C3432" s="2" t="s">
        <v>9968</v>
      </c>
      <c r="D3432" s="4" t="str">
        <f>vlookup(A3432, Sheet2!D:E, 2, 0)</f>
        <v>control</v>
      </c>
      <c r="E3432" s="4" t="str">
        <f>IFERROR(__xludf.DUMMYFUNCTION("if(H3432=""pays"",vlookup(REGEXEXTRACT(C3432, ""🏘️ \w+ \w+ (.*) ✅""),'Country prepositions'!A:B, 2, 0) &amp; "" "" &amp; REGEXEXTRACT(C3432, ""🏘️ \w+ \w+ (.*) ✅"") ,  if(H3432=""quartier"",vlookup(REGEXEXTRACT(C3432, ""🏘️ \w+ \w+ (.*) ✅""),'Quartier prepositio"&amp;"ns'!A:E, 5, 0) ,  if(H3432=""region"",vlookup(REGEXEXTRACT(C3432, ""🏘️ \w+ \w+ (.*) ✅""),'Region prepositions'!B:F, 5, 0),  REGEXEXTRACT(C3432, ""🏘️ \w+ \w+ (.*) ✅""))))"),"#N/A")</f>
        <v>#N/A</v>
      </c>
      <c r="I3432" s="4" t="str">
        <f>IFERROR(__xludf.DUMMYFUNCTION("if(D3432=""variant"",  substitute(filter(Templates!E:E, Templates!A:A = F3432, Templates!B:B = G3432, Templates!C:C = H3432), ""{{}}"", E3432), B3432)"),"Vendre maison Murist: Trouvez le bien immobilier qui correspond idéalement à vos désirs sur ImmoScout24 - La plateforme de l'immobilier en Suisse.")</f>
        <v>Vendre maison Murist: Trouvez le bien immobilier qui correspond idéalement à vos désirs sur ImmoScout24 - La plateforme de l'immobilier en Suisse.</v>
      </c>
    </row>
    <row r="3433" hidden="1">
      <c r="A3433" s="5" t="s">
        <v>9969</v>
      </c>
      <c r="B3433" s="2" t="s">
        <v>9970</v>
      </c>
      <c r="C3433" s="2" t="s">
        <v>9970</v>
      </c>
      <c r="D3433" s="4" t="str">
        <f>vlookup(A3433, Sheet2!D:E, 2, 0)</f>
        <v>control</v>
      </c>
      <c r="E3433" s="4" t="str">
        <f>IFERROR(__xludf.DUMMYFUNCTION("if(H3433=""pays"",vlookup(REGEXEXTRACT(C3433, ""🏘️ \w+ \w+ (.*) ✅""),'Country prepositions'!A:B, 2, 0) &amp; "" "" &amp; REGEXEXTRACT(C3433, ""🏘️ \w+ \w+ (.*) ✅"") ,  if(H3433=""quartier"",vlookup(REGEXEXTRACT(C3433, ""🏘️ \w+ \w+ (.*) ✅""),'Quartier prepositio"&amp;"ns'!A:E, 5, 0) ,  if(H3433=""region"",vlookup(REGEXEXTRACT(C3433, ""🏘️ \w+ \w+ (.*) ✅""),'Region prepositions'!B:F, 5, 0),  REGEXEXTRACT(C3433, ""🏘️ \w+ \w+ (.*) ✅""))))"),"#N/A")</f>
        <v>#N/A</v>
      </c>
      <c r="I3433" s="4" t="str">
        <f>IFERROR(__xludf.DUMMYFUNCTION("if(D3433=""variant"",  substitute(filter(Templates!E:E, Templates!A:A = F3433, Templates!B:B = G3433, Templates!C:C = H3433), ""{{}}"", E3433), B3433)"),"Louer appartement Lausen: Trouvez le bien immobilier qui correspond idéalement à vos désirs sur ImmoScout24 - La plateforme de l'immobilier en Suisse.")</f>
        <v>Louer appartement Lausen: Trouvez le bien immobilier qui correspond idéalement à vos désirs sur ImmoScout24 - La plateforme de l'immobilier en Suisse.</v>
      </c>
    </row>
    <row r="3434" hidden="1">
      <c r="A3434" s="5" t="s">
        <v>9971</v>
      </c>
      <c r="B3434" s="2" t="s">
        <v>9972</v>
      </c>
      <c r="C3434" s="2" t="s">
        <v>9972</v>
      </c>
      <c r="D3434" s="4" t="str">
        <f>vlookup(A3434, Sheet2!D:E, 2, 0)</f>
        <v>control</v>
      </c>
      <c r="E3434" s="4" t="str">
        <f>IFERROR(__xludf.DUMMYFUNCTION("if(H3434=""pays"",vlookup(REGEXEXTRACT(C3434, ""🏘️ \w+ \w+ (.*) ✅""),'Country prepositions'!A:B, 2, 0) &amp; "" "" &amp; REGEXEXTRACT(C3434, ""🏘️ \w+ \w+ (.*) ✅"") ,  if(H3434=""quartier"",vlookup(REGEXEXTRACT(C3434, ""🏘️ \w+ \w+ (.*) ✅""),'Quartier prepositio"&amp;"ns'!A:E, 5, 0) ,  if(H3434=""region"",vlookup(REGEXEXTRACT(C3434, ""🏘️ \w+ \w+ (.*) ✅""),'Region prepositions'!B:F, 5, 0),  REGEXEXTRACT(C3434, ""🏘️ \w+ \w+ (.*) ✅""))))"),"#N/A")</f>
        <v>#N/A</v>
      </c>
      <c r="I3434" s="4" t="str">
        <f>IFERROR(__xludf.DUMMYFUNCTION("if(D3434=""variant"",  substitute(filter(Templates!E:E, Templates!A:A = F3434, Templates!B:B = G3434, Templates!C:C = H3434), ""{{}}"", E3434), B3434)"),"Louer appartement Steg VS: Trouvez le bien immobilier qui correspond idéalement à vos désirs sur ImmoScout24 - La plateforme de l'immobilier en Suisse.")</f>
        <v>Louer appartement Steg VS: Trouvez le bien immobilier qui correspond idéalement à vos désirs sur ImmoScout24 - La plateforme de l'immobilier en Suisse.</v>
      </c>
    </row>
    <row r="3435" hidden="1">
      <c r="A3435" s="5" t="s">
        <v>9973</v>
      </c>
      <c r="B3435" s="2" t="s">
        <v>9974</v>
      </c>
      <c r="C3435" s="2" t="s">
        <v>9974</v>
      </c>
      <c r="D3435" s="4" t="str">
        <f>vlookup(A3435, Sheet2!D:E, 2, 0)</f>
        <v>control</v>
      </c>
      <c r="E3435" s="4" t="str">
        <f>IFERROR(__xludf.DUMMYFUNCTION("if(H3435=""pays"",vlookup(REGEXEXTRACT(C3435, ""🏘️ \w+ \w+ (.*) ✅""),'Country prepositions'!A:B, 2, 0) &amp; "" "" &amp; REGEXEXTRACT(C3435, ""🏘️ \w+ \w+ (.*) ✅"") ,  if(H3435=""quartier"",vlookup(REGEXEXTRACT(C3435, ""🏘️ \w+ \w+ (.*) ✅""),'Quartier prepositio"&amp;"ns'!A:E, 5, 0) ,  if(H3435=""region"",vlookup(REGEXEXTRACT(C3435, ""🏘️ \w+ \w+ (.*) ✅""),'Region prepositions'!B:F, 5, 0),  REGEXEXTRACT(C3435, ""🏘️ \w+ \w+ (.*) ✅""))))"),"#N/A")</f>
        <v>#N/A</v>
      </c>
      <c r="I3435" s="4" t="str">
        <f>IFERROR(__xludf.DUMMYFUNCTION("if(D3435=""variant"",  substitute(filter(Templates!E:E, Templates!A:A = F3435, Templates!B:B = G3435, Templates!C:C = H3435), ""{{}}"", E3435), B3435)"),"Louer appartement Brusino Arsizio: Trouvez le bien immobilier qui correspond idéalement à vos désirs sur ImmoScout24 - La plateforme de l'immobilier en Suisse.")</f>
        <v>Louer appartement Brusino Arsizio: Trouvez le bien immobilier qui correspond idéalement à vos désirs sur ImmoScout24 - La plateforme de l'immobilier en Suisse.</v>
      </c>
    </row>
    <row r="3436" hidden="1">
      <c r="A3436" s="5" t="s">
        <v>9975</v>
      </c>
      <c r="B3436" s="2" t="s">
        <v>9976</v>
      </c>
      <c r="C3436" s="2" t="s">
        <v>9976</v>
      </c>
      <c r="D3436" s="4" t="str">
        <f>vlookup(A3436, Sheet2!D:E, 2, 0)</f>
        <v>control</v>
      </c>
      <c r="E3436" s="4" t="str">
        <f>IFERROR(__xludf.DUMMYFUNCTION("if(H3436=""pays"",vlookup(REGEXEXTRACT(C3436, ""🏘️ \w+ \w+ (.*) ✅""),'Country prepositions'!A:B, 2, 0) &amp; "" "" &amp; REGEXEXTRACT(C3436, ""🏘️ \w+ \w+ (.*) ✅"") ,  if(H3436=""quartier"",vlookup(REGEXEXTRACT(C3436, ""🏘️ \w+ \w+ (.*) ✅""),'Quartier prepositio"&amp;"ns'!A:E, 5, 0) ,  if(H3436=""region"",vlookup(REGEXEXTRACT(C3436, ""🏘️ \w+ \w+ (.*) ✅""),'Region prepositions'!B:F, 5, 0),  REGEXEXTRACT(C3436, ""🏘️ \w+ \w+ (.*) ✅""))))"),"#N/A")</f>
        <v>#N/A</v>
      </c>
      <c r="I3436" s="4" t="str">
        <f>IFERROR(__xludf.DUMMYFUNCTION("if(D3436=""variant"",  substitute(filter(Templates!E:E, Templates!A:A = F3436, Templates!B:B = G3436, Templates!C:C = H3436), ""{{}}"", E3436), B3436)"),"Vendre maison Belfaux: Trouvez le bien immobilier qui correspond idéalement à vos désirs sur ImmoScout24 - La plateforme de l'immobilier en Suisse.")</f>
        <v>Vendre maison Belfaux: Trouvez le bien immobilier qui correspond idéalement à vos désirs sur ImmoScout24 - La plateforme de l'immobilier en Suisse.</v>
      </c>
    </row>
    <row r="3437" hidden="1">
      <c r="A3437" s="5" t="s">
        <v>9977</v>
      </c>
      <c r="B3437" s="2" t="s">
        <v>9978</v>
      </c>
      <c r="C3437" s="2" t="s">
        <v>9978</v>
      </c>
      <c r="D3437" s="4" t="str">
        <f>vlookup(A3437, Sheet2!D:E, 2, 0)</f>
        <v>control</v>
      </c>
      <c r="E3437" s="4" t="str">
        <f>IFERROR(__xludf.DUMMYFUNCTION("if(H3437=""pays"",vlookup(REGEXEXTRACT(C3437, ""🏘️ \w+ \w+ (.*) ✅""),'Country prepositions'!A:B, 2, 0) &amp; "" "" &amp; REGEXEXTRACT(C3437, ""🏘️ \w+ \w+ (.*) ✅"") ,  if(H3437=""quartier"",vlookup(REGEXEXTRACT(C3437, ""🏘️ \w+ \w+ (.*) ✅""),'Quartier prepositio"&amp;"ns'!A:E, 5, 0) ,  if(H3437=""region"",vlookup(REGEXEXTRACT(C3437, ""🏘️ \w+ \w+ (.*) ✅""),'Region prepositions'!B:F, 5, 0),  REGEXEXTRACT(C3437, ""🏘️ \w+ \w+ (.*) ✅""))))"),"#N/A")</f>
        <v>#N/A</v>
      </c>
      <c r="I3437" s="4" t="str">
        <f>IFERROR(__xludf.DUMMYFUNCTION("if(D3437=""variant"",  substitute(filter(Templates!E:E, Templates!A:A = F3437, Templates!B:B = G3437, Templates!C:C = H3437), ""{{}}"", E3437), B3437)"),"Vendre maison Givisiez: Trouvez le bien immobilier qui correspond idéalement à vos désirs sur ImmoScout24 - La plateforme de l'immobilier en Suisse.")</f>
        <v>Vendre maison Givisiez: Trouvez le bien immobilier qui correspond idéalement à vos désirs sur ImmoScout24 - La plateforme de l'immobilier en Suisse.</v>
      </c>
    </row>
    <row r="3438" hidden="1">
      <c r="A3438" s="5" t="s">
        <v>9979</v>
      </c>
      <c r="B3438" s="2" t="s">
        <v>9980</v>
      </c>
      <c r="C3438" s="2" t="s">
        <v>9980</v>
      </c>
      <c r="D3438" s="4" t="str">
        <f>vlookup(A3438, Sheet2!D:E, 2, 0)</f>
        <v>control</v>
      </c>
      <c r="E3438" s="4" t="str">
        <f>IFERROR(__xludf.DUMMYFUNCTION("if(H3438=""pays"",vlookup(REGEXEXTRACT(C3438, ""🏘️ \w+ \w+ (.*) ✅""),'Country prepositions'!A:B, 2, 0) &amp; "" "" &amp; REGEXEXTRACT(C3438, ""🏘️ \w+ \w+ (.*) ✅"") ,  if(H3438=""quartier"",vlookup(REGEXEXTRACT(C3438, ""🏘️ \w+ \w+ (.*) ✅""),'Quartier prepositio"&amp;"ns'!A:E, 5, 0) ,  if(H3438=""region"",vlookup(REGEXEXTRACT(C3438, ""🏘️ \w+ \w+ (.*) ✅""),'Region prepositions'!B:F, 5, 0),  REGEXEXTRACT(C3438, ""🏘️ \w+ \w+ (.*) ✅""))))"),"#N/A")</f>
        <v>#N/A</v>
      </c>
      <c r="I3438" s="4" t="str">
        <f>IFERROR(__xludf.DUMMYFUNCTION("if(D3438=""variant"",  substitute(filter(Templates!E:E, Templates!A:A = F3438, Templates!B:B = G3438, Templates!C:C = H3438), ""{{}}"", E3438), B3438)"),"Louer appartement Arth: Trouvez le bien immobilier qui correspond idéalement à vos désirs sur ImmoScout24 - La plateforme de l'immobilier en Suisse.")</f>
        <v>Louer appartement Arth: Trouvez le bien immobilier qui correspond idéalement à vos désirs sur ImmoScout24 - La plateforme de l'immobilier en Suisse.</v>
      </c>
    </row>
    <row r="3439" hidden="1">
      <c r="A3439" s="5" t="s">
        <v>9981</v>
      </c>
      <c r="B3439" s="2" t="s">
        <v>9982</v>
      </c>
      <c r="C3439" s="2" t="s">
        <v>9982</v>
      </c>
      <c r="D3439" s="4" t="str">
        <f>vlookup(A3439, Sheet2!D:E, 2, 0)</f>
        <v>control</v>
      </c>
      <c r="E3439" s="4" t="str">
        <f>IFERROR(__xludf.DUMMYFUNCTION("if(H3439=""pays"",vlookup(REGEXEXTRACT(C3439, ""🏘️ \w+ \w+ (.*) ✅""),'Country prepositions'!A:B, 2, 0) &amp; "" "" &amp; REGEXEXTRACT(C3439, ""🏘️ \w+ \w+ (.*) ✅"") ,  if(H3439=""quartier"",vlookup(REGEXEXTRACT(C3439, ""🏘️ \w+ \w+ (.*) ✅""),'Quartier prepositio"&amp;"ns'!A:E, 5, 0) ,  if(H3439=""region"",vlookup(REGEXEXTRACT(C3439, ""🏘️ \w+ \w+ (.*) ✅""),'Region prepositions'!B:F, 5, 0),  REGEXEXTRACT(C3439, ""🏘️ \w+ \w+ (.*) ✅""))))"),"#N/A")</f>
        <v>#N/A</v>
      </c>
      <c r="I3439" s="4" t="str">
        <f>IFERROR(__xludf.DUMMYFUNCTION("if(D3439=""variant"",  substitute(filter(Templates!E:E, Templates!A:A = F3439, Templates!B:B = G3439, Templates!C:C = H3439), ""{{}}"", E3439), B3439)"),"Vendre maison Les Evouettes: Trouvez le bien immobilier qui correspond idéalement à vos désirs sur ImmoScout24 - La plateforme de l'immobilier en Suisse.")</f>
        <v>Vendre maison Les Evouettes: Trouvez le bien immobilier qui correspond idéalement à vos désirs sur ImmoScout24 - La plateforme de l'immobilier en Suisse.</v>
      </c>
    </row>
    <row r="3440" hidden="1">
      <c r="A3440" s="5" t="s">
        <v>9983</v>
      </c>
      <c r="B3440" s="2" t="s">
        <v>9984</v>
      </c>
      <c r="C3440" s="2" t="s">
        <v>9984</v>
      </c>
      <c r="D3440" s="4" t="str">
        <f>vlookup(A3440, Sheet2!D:E, 2, 0)</f>
        <v>control</v>
      </c>
      <c r="E3440" s="4" t="str">
        <f>IFERROR(__xludf.DUMMYFUNCTION("if(H3440=""pays"",vlookup(REGEXEXTRACT(C3440, ""🏘️ \w+ \w+ (.*) ✅""),'Country prepositions'!A:B, 2, 0) &amp; "" "" &amp; REGEXEXTRACT(C3440, ""🏘️ \w+ \w+ (.*) ✅"") ,  if(H3440=""quartier"",vlookup(REGEXEXTRACT(C3440, ""🏘️ \w+ \w+ (.*) ✅""),'Quartier prepositio"&amp;"ns'!A:E, 5, 0) ,  if(H3440=""region"",vlookup(REGEXEXTRACT(C3440, ""🏘️ \w+ \w+ (.*) ✅""),'Region prepositions'!B:F, 5, 0),  REGEXEXTRACT(C3440, ""🏘️ \w+ \w+ (.*) ✅""))))"),"#N/A")</f>
        <v>#N/A</v>
      </c>
      <c r="I3440" s="4" t="str">
        <f>IFERROR(__xludf.DUMMYFUNCTION("if(D3440=""variant"",  substitute(filter(Templates!E:E, Templates!A:A = F3440, Templates!B:B = G3440, Templates!C:C = H3440), ""{{}}"", E3440), B3440)"),"Louer appartement Grens: Trouvez le bien immobilier qui correspond idéalement à vos désirs sur ImmoScout24 - La plateforme de l'immobilier en Suisse.")</f>
        <v>Louer appartement Grens: Trouvez le bien immobilier qui correspond idéalement à vos désirs sur ImmoScout24 - La plateforme de l'immobilier en Suisse.</v>
      </c>
    </row>
    <row r="3441" hidden="1">
      <c r="A3441" s="5" t="s">
        <v>9985</v>
      </c>
      <c r="B3441" s="2" t="s">
        <v>9986</v>
      </c>
      <c r="C3441" s="2" t="s">
        <v>9986</v>
      </c>
      <c r="D3441" s="4" t="str">
        <f>vlookup(A3441, Sheet2!D:E, 2, 0)</f>
        <v>control</v>
      </c>
      <c r="E3441" s="4" t="str">
        <f>IFERROR(__xludf.DUMMYFUNCTION("if(H3441=""pays"",vlookup(REGEXEXTRACT(C3441, ""🏘️ \w+ \w+ (.*) ✅""),'Country prepositions'!A:B, 2, 0) &amp; "" "" &amp; REGEXEXTRACT(C3441, ""🏘️ \w+ \w+ (.*) ✅"") ,  if(H3441=""quartier"",vlookup(REGEXEXTRACT(C3441, ""🏘️ \w+ \w+ (.*) ✅""),'Quartier prepositio"&amp;"ns'!A:E, 5, 0) ,  if(H3441=""region"",vlookup(REGEXEXTRACT(C3441, ""🏘️ \w+ \w+ (.*) ✅""),'Region prepositions'!B:F, 5, 0),  REGEXEXTRACT(C3441, ""🏘️ \w+ \w+ (.*) ✅""))))"),"#N/A")</f>
        <v>#N/A</v>
      </c>
      <c r="I3441" s="4" t="str">
        <f>IFERROR(__xludf.DUMMYFUNCTION("if(D3441=""variant"",  substitute(filter(Templates!E:E, Templates!A:A = F3441, Templates!B:B = G3441, Templates!C:C = H3441), ""{{}}"", E3441), B3441)"),"Louer appartement Arnex-sur-Orbe: Trouvez le bien immobilier qui correspond idéalement à vos désirs sur ImmoScout24 - La plateforme de l'immobilier en Suisse.")</f>
        <v>Louer appartement Arnex-sur-Orbe: Trouvez le bien immobilier qui correspond idéalement à vos désirs sur ImmoScout24 - La plateforme de l'immobilier en Suisse.</v>
      </c>
    </row>
    <row r="3442" hidden="1">
      <c r="A3442" s="5" t="s">
        <v>9987</v>
      </c>
      <c r="B3442" s="2" t="s">
        <v>9988</v>
      </c>
      <c r="C3442" s="2" t="s">
        <v>9988</v>
      </c>
      <c r="D3442" s="4" t="str">
        <f>vlookup(A3442, Sheet2!D:E, 2, 0)</f>
        <v>control</v>
      </c>
      <c r="E3442" s="4" t="str">
        <f>IFERROR(__xludf.DUMMYFUNCTION("if(H3442=""pays"",vlookup(REGEXEXTRACT(C3442, ""🏘️ \w+ \w+ (.*) ✅""),'Country prepositions'!A:B, 2, 0) &amp; "" "" &amp; REGEXEXTRACT(C3442, ""🏘️ \w+ \w+ (.*) ✅"") ,  if(H3442=""quartier"",vlookup(REGEXEXTRACT(C3442, ""🏘️ \w+ \w+ (.*) ✅""),'Quartier prepositio"&amp;"ns'!A:E, 5, 0) ,  if(H3442=""region"",vlookup(REGEXEXTRACT(C3442, ""🏘️ \w+ \w+ (.*) ✅""),'Region prepositions'!B:F, 5, 0),  REGEXEXTRACT(C3442, ""🏘️ \w+ \w+ (.*) ✅""))))"),"#N/A")</f>
        <v>#N/A</v>
      </c>
      <c r="I3442" s="4" t="str">
        <f>IFERROR(__xludf.DUMMYFUNCTION("if(D3442=""variant"",  substitute(filter(Templates!E:E, Templates!A:A = F3442, Templates!B:B = G3442, Templates!C:C = H3442), ""{{}}"", E3442), B3442)"),"Vendre maison Obergesteln: Trouvez le bien immobilier qui correspond idéalement à vos désirs sur ImmoScout24 - La plateforme de l'immobilier en Suisse.")</f>
        <v>Vendre maison Obergesteln: Trouvez le bien immobilier qui correspond idéalement à vos désirs sur ImmoScout24 - La plateforme de l'immobilier en Suisse.</v>
      </c>
    </row>
    <row r="3443" hidden="1">
      <c r="A3443" s="5" t="s">
        <v>9989</v>
      </c>
      <c r="B3443" s="2" t="s">
        <v>9990</v>
      </c>
      <c r="C3443" s="2" t="s">
        <v>9990</v>
      </c>
      <c r="D3443" s="4" t="str">
        <f>vlookup(A3443, Sheet2!D:E, 2, 0)</f>
        <v>control</v>
      </c>
      <c r="E3443" s="4" t="str">
        <f>IFERROR(__xludf.DUMMYFUNCTION("if(H3443=""pays"",vlookup(REGEXEXTRACT(C3443, ""🏘️ \w+ \w+ (.*) ✅""),'Country prepositions'!A:B, 2, 0) &amp; "" "" &amp; REGEXEXTRACT(C3443, ""🏘️ \w+ \w+ (.*) ✅"") ,  if(H3443=""quartier"",vlookup(REGEXEXTRACT(C3443, ""🏘️ \w+ \w+ (.*) ✅""),'Quartier prepositio"&amp;"ns'!A:E, 5, 0) ,  if(H3443=""region"",vlookup(REGEXEXTRACT(C3443, ""🏘️ \w+ \w+ (.*) ✅""),'Region prepositions'!B:F, 5, 0),  REGEXEXTRACT(C3443, ""🏘️ \w+ \w+ (.*) ✅""))))"),"#N/A")</f>
        <v>#N/A</v>
      </c>
      <c r="I3443" s="4" t="str">
        <f>IFERROR(__xludf.DUMMYFUNCTION("if(D3443=""variant"",  substitute(filter(Templates!E:E, Templates!A:A = F3443, Templates!B:B = G3443, Templates!C:C = H3443), ""{{}}"", E3443), B3443)"),"Louer appartement Gruyères: Trouvez le bien immobilier qui correspond idéalement à vos désirs sur ImmoScout24 - La plateforme de l'immobilier en Suisse.")</f>
        <v>Louer appartement Gruyères: Trouvez le bien immobilier qui correspond idéalement à vos désirs sur ImmoScout24 - La plateforme de l'immobilier en Suisse.</v>
      </c>
    </row>
    <row r="3444" hidden="1">
      <c r="A3444" s="5" t="s">
        <v>9991</v>
      </c>
      <c r="B3444" s="2" t="s">
        <v>9992</v>
      </c>
      <c r="C3444" s="2" t="s">
        <v>9992</v>
      </c>
      <c r="D3444" s="4" t="str">
        <f>vlookup(A3444, Sheet2!D:E, 2, 0)</f>
        <v>control</v>
      </c>
      <c r="E3444" s="4" t="str">
        <f>IFERROR(__xludf.DUMMYFUNCTION("if(H3444=""pays"",vlookup(REGEXEXTRACT(C3444, ""🏘️ \w+ \w+ (.*) ✅""),'Country prepositions'!A:B, 2, 0) &amp; "" "" &amp; REGEXEXTRACT(C3444, ""🏘️ \w+ \w+ (.*) ✅"") ,  if(H3444=""quartier"",vlookup(REGEXEXTRACT(C3444, ""🏘️ \w+ \w+ (.*) ✅""),'Quartier prepositio"&amp;"ns'!A:E, 5, 0) ,  if(H3444=""region"",vlookup(REGEXEXTRACT(C3444, ""🏘️ \w+ \w+ (.*) ✅""),'Region prepositions'!B:F, 5, 0),  REGEXEXTRACT(C3444, ""🏘️ \w+ \w+ (.*) ✅""))))"),"#N/A")</f>
        <v>#N/A</v>
      </c>
      <c r="I3444" s="4" t="str">
        <f>IFERROR(__xludf.DUMMYFUNCTION("if(D3444=""variant"",  substitute(filter(Templates!E:E, Templates!A:A = F3444, Templates!B:B = G3444, Templates!C:C = H3444), ""{{}}"", E3444), B3444)"),"Vendre maison Bazenheid: Trouvez le bien immobilier qui correspond idéalement à vos désirs sur ImmoScout24 - La plateforme de l'immobilier en Suisse.")</f>
        <v>Vendre maison Bazenheid: Trouvez le bien immobilier qui correspond idéalement à vos désirs sur ImmoScout24 - La plateforme de l'immobilier en Suisse.</v>
      </c>
    </row>
    <row r="3445" hidden="1">
      <c r="A3445" s="5" t="s">
        <v>9993</v>
      </c>
      <c r="B3445" s="2" t="s">
        <v>9994</v>
      </c>
      <c r="C3445" s="2" t="s">
        <v>9994</v>
      </c>
      <c r="D3445" s="4" t="str">
        <f>vlookup(A3445, Sheet2!D:E, 2, 0)</f>
        <v>control</v>
      </c>
      <c r="E3445" s="4" t="str">
        <f>IFERROR(__xludf.DUMMYFUNCTION("if(H3445=""pays"",vlookup(REGEXEXTRACT(C3445, ""🏘️ \w+ \w+ (.*) ✅""),'Country prepositions'!A:B, 2, 0) &amp; "" "" &amp; REGEXEXTRACT(C3445, ""🏘️ \w+ \w+ (.*) ✅"") ,  if(H3445=""quartier"",vlookup(REGEXEXTRACT(C3445, ""🏘️ \w+ \w+ (.*) ✅""),'Quartier prepositio"&amp;"ns'!A:E, 5, 0) ,  if(H3445=""region"",vlookup(REGEXEXTRACT(C3445, ""🏘️ \w+ \w+ (.*) ✅""),'Region prepositions'!B:F, 5, 0),  REGEXEXTRACT(C3445, ""🏘️ \w+ \w+ (.*) ✅""))))"),"#N/A")</f>
        <v>#N/A</v>
      </c>
      <c r="I3445" s="4" t="str">
        <f>IFERROR(__xludf.DUMMYFUNCTION("if(D3445=""variant"",  substitute(filter(Templates!E:E, Templates!A:A = F3445, Templates!B:B = G3445, Templates!C:C = H3445), ""{{}}"", E3445), B3445)"),"Louer maison Bieudron (Nendaz): Trouvez le bien immobilier qui correspond idéalement à vos désirs sur ImmoScout24 - La plateforme de l'immobilier en Suisse.")</f>
        <v>Louer maison Bieudron (Nendaz): Trouvez le bien immobilier qui correspond idéalement à vos désirs sur ImmoScout24 - La plateforme de l'immobilier en Suisse.</v>
      </c>
    </row>
    <row r="3446" hidden="1">
      <c r="A3446" s="5" t="s">
        <v>9995</v>
      </c>
      <c r="B3446" s="2" t="s">
        <v>9996</v>
      </c>
      <c r="C3446" s="2" t="s">
        <v>9996</v>
      </c>
      <c r="D3446" s="4" t="str">
        <f>vlookup(A3446, Sheet2!D:E, 2, 0)</f>
        <v>control</v>
      </c>
      <c r="E3446" s="4" t="str">
        <f>IFERROR(__xludf.DUMMYFUNCTION("if(H3446=""pays"",vlookup(REGEXEXTRACT(C3446, ""🏘️ \w+ \w+ (.*) ✅""),'Country prepositions'!A:B, 2, 0) &amp; "" "" &amp; REGEXEXTRACT(C3446, ""🏘️ \w+ \w+ (.*) ✅"") ,  if(H3446=""quartier"",vlookup(REGEXEXTRACT(C3446, ""🏘️ \w+ \w+ (.*) ✅""),'Quartier prepositio"&amp;"ns'!A:E, 5, 0) ,  if(H3446=""region"",vlookup(REGEXEXTRACT(C3446, ""🏘️ \w+ \w+ (.*) ✅""),'Region prepositions'!B:F, 5, 0),  REGEXEXTRACT(C3446, ""🏘️ \w+ \w+ (.*) ✅""))))"),"#N/A")</f>
        <v>#N/A</v>
      </c>
      <c r="I3446" s="4" t="str">
        <f>IFERROR(__xludf.DUMMYFUNCTION("if(D3446=""variant"",  substitute(filter(Templates!E:E, Templates!A:A = F3446, Templates!B:B = G3446, Templates!C:C = H3446), ""{{}}"", E3446), B3446)"),"Louer appartement Fresens: Trouvez le bien immobilier qui correspond idéalement à vos désirs sur ImmoScout24 - La plateforme de l'immobilier en Suisse.")</f>
        <v>Louer appartement Fresens: Trouvez le bien immobilier qui correspond idéalement à vos désirs sur ImmoScout24 - La plateforme de l'immobilier en Suisse.</v>
      </c>
    </row>
    <row r="3447" hidden="1">
      <c r="A3447" s="5" t="s">
        <v>9997</v>
      </c>
      <c r="B3447" s="2" t="s">
        <v>9998</v>
      </c>
      <c r="C3447" s="2" t="s">
        <v>9998</v>
      </c>
      <c r="D3447" s="4" t="str">
        <f>vlookup(A3447, Sheet2!D:E, 2, 0)</f>
        <v>control</v>
      </c>
      <c r="E3447" s="4" t="str">
        <f>IFERROR(__xludf.DUMMYFUNCTION("if(H3447=""pays"",vlookup(REGEXEXTRACT(C3447, ""🏘️ \w+ \w+ (.*) ✅""),'Country prepositions'!A:B, 2, 0) &amp; "" "" &amp; REGEXEXTRACT(C3447, ""🏘️ \w+ \w+ (.*) ✅"") ,  if(H3447=""quartier"",vlookup(REGEXEXTRACT(C3447, ""🏘️ \w+ \w+ (.*) ✅""),'Quartier prepositio"&amp;"ns'!A:E, 5, 0) ,  if(H3447=""region"",vlookup(REGEXEXTRACT(C3447, ""🏘️ \w+ \w+ (.*) ✅""),'Region prepositions'!B:F, 5, 0),  REGEXEXTRACT(C3447, ""🏘️ \w+ \w+ (.*) ✅""))))"),"#N/A")</f>
        <v>#N/A</v>
      </c>
      <c r="I3447" s="4" t="str">
        <f>IFERROR(__xludf.DUMMYFUNCTION("if(D3447=""variant"",  substitute(filter(Templates!E:E, Templates!A:A = F3447, Templates!B:B = G3447, Templates!C:C = H3447), ""{{}}"", E3447), B3447)"),"Louer appartement La Conversion: Trouvez le bien immobilier qui correspond idéalement à vos désirs sur ImmoScout24 - La plateforme de l'immobilier en Suisse.")</f>
        <v>Louer appartement La Conversion: Trouvez le bien immobilier qui correspond idéalement à vos désirs sur ImmoScout24 - La plateforme de l'immobilier en Suisse.</v>
      </c>
    </row>
    <row r="3448" hidden="1">
      <c r="A3448" s="5" t="s">
        <v>9999</v>
      </c>
      <c r="B3448" s="2" t="s">
        <v>10000</v>
      </c>
      <c r="C3448" s="2" t="s">
        <v>10000</v>
      </c>
      <c r="D3448" s="4" t="str">
        <f>vlookup(A3448, Sheet2!D:E, 2, 0)</f>
        <v>control</v>
      </c>
      <c r="E3448" s="4" t="str">
        <f>IFERROR(__xludf.DUMMYFUNCTION("if(H3448=""pays"",vlookup(REGEXEXTRACT(C3448, ""🏘️ \w+ \w+ (.*) ✅""),'Country prepositions'!A:B, 2, 0) &amp; "" "" &amp; REGEXEXTRACT(C3448, ""🏘️ \w+ \w+ (.*) ✅"") ,  if(H3448=""quartier"",vlookup(REGEXEXTRACT(C3448, ""🏘️ \w+ \w+ (.*) ✅""),'Quartier prepositio"&amp;"ns'!A:E, 5, 0) ,  if(H3448=""region"",vlookup(REGEXEXTRACT(C3448, ""🏘️ \w+ \w+ (.*) ✅""),'Region prepositions'!B:F, 5, 0),  REGEXEXTRACT(C3448, ""🏘️ \w+ \w+ (.*) ✅""))))"),"#N/A")</f>
        <v>#N/A</v>
      </c>
      <c r="I3448" s="4" t="str">
        <f>IFERROR(__xludf.DUMMYFUNCTION("if(D3448=""variant"",  substitute(filter(Templates!E:E, Templates!A:A = F3448, Templates!B:B = G3448, Templates!C:C = H3448), ""{{}}"", E3448), B3448)"),"Louer appartement Selzach: Trouvez le bien immobilier qui correspond idéalement à vos désirs sur ImmoScout24 - La plateforme de l'immobilier en Suisse.")</f>
        <v>Louer appartement Selzach: Trouvez le bien immobilier qui correspond idéalement à vos désirs sur ImmoScout24 - La plateforme de l'immobilier en Suisse.</v>
      </c>
    </row>
    <row r="3449" hidden="1">
      <c r="A3449" s="5" t="s">
        <v>10001</v>
      </c>
      <c r="B3449" s="2" t="s">
        <v>10002</v>
      </c>
      <c r="C3449" s="2" t="s">
        <v>10002</v>
      </c>
      <c r="D3449" s="4" t="str">
        <f>vlookup(A3449, Sheet2!D:E, 2, 0)</f>
        <v>control</v>
      </c>
      <c r="E3449" s="4" t="str">
        <f>IFERROR(__xludf.DUMMYFUNCTION("if(H3449=""pays"",vlookup(REGEXEXTRACT(C3449, ""🏘️ \w+ \w+ (.*) ✅""),'Country prepositions'!A:B, 2, 0) &amp; "" "" &amp; REGEXEXTRACT(C3449, ""🏘️ \w+ \w+ (.*) ✅"") ,  if(H3449=""quartier"",vlookup(REGEXEXTRACT(C3449, ""🏘️ \w+ \w+ (.*) ✅""),'Quartier prepositio"&amp;"ns'!A:E, 5, 0) ,  if(H3449=""region"",vlookup(REGEXEXTRACT(C3449, ""🏘️ \w+ \w+ (.*) ✅""),'Region prepositions'!B:F, 5, 0),  REGEXEXTRACT(C3449, ""🏘️ \w+ \w+ (.*) ✅""))))"),"#N/A")</f>
        <v>#N/A</v>
      </c>
      <c r="I3449" s="4" t="str">
        <f>IFERROR(__xludf.DUMMYFUNCTION("if(D3449=""variant"",  substitute(filter(Templates!E:E, Templates!A:A = F3449, Templates!B:B = G3449, Templates!C:C = H3449), ""{{}}"", E3449), B3449)"),"Vendre appartement Bullet: Trouvez le bien immobilier qui correspond idéalement à vos désirs sur ImmoScout24 - La plateforme de l'immobilier en Suisse.")</f>
        <v>Vendre appartement Bullet: Trouvez le bien immobilier qui correspond idéalement à vos désirs sur ImmoScout24 - La plateforme de l'immobilier en Suisse.</v>
      </c>
    </row>
    <row r="3450" hidden="1">
      <c r="A3450" s="5" t="s">
        <v>10003</v>
      </c>
      <c r="B3450" s="2" t="s">
        <v>10004</v>
      </c>
      <c r="C3450" s="2" t="s">
        <v>10004</v>
      </c>
      <c r="D3450" s="4" t="str">
        <f>vlookup(A3450, Sheet2!D:E, 2, 0)</f>
        <v>control</v>
      </c>
      <c r="E3450" s="4" t="str">
        <f>IFERROR(__xludf.DUMMYFUNCTION("if(H3450=""pays"",vlookup(REGEXEXTRACT(C3450, ""🏘️ \w+ \w+ (.*) ✅""),'Country prepositions'!A:B, 2, 0) &amp; "" "" &amp; REGEXEXTRACT(C3450, ""🏘️ \w+ \w+ (.*) ✅"") ,  if(H3450=""quartier"",vlookup(REGEXEXTRACT(C3450, ""🏘️ \w+ \w+ (.*) ✅""),'Quartier prepositio"&amp;"ns'!A:E, 5, 0) ,  if(H3450=""region"",vlookup(REGEXEXTRACT(C3450, ""🏘️ \w+ \w+ (.*) ✅""),'Region prepositions'!B:F, 5, 0),  REGEXEXTRACT(C3450, ""🏘️ \w+ \w+ (.*) ✅""))))"),"#N/A")</f>
        <v>#N/A</v>
      </c>
      <c r="I3450" s="4" t="str">
        <f>IFERROR(__xludf.DUMMYFUNCTION("if(D3450=""variant"",  substitute(filter(Templates!E:E, Templates!A:A = F3450, Templates!B:B = G3450, Templates!C:C = H3450), ""{{}}"", E3450), B3450)"),"Vendre maison Versegères: Trouvez le bien immobilier qui correspond idéalement à vos désirs sur ImmoScout24 - La plateforme de l'immobilier en Suisse.")</f>
        <v>Vendre maison Versegères: Trouvez le bien immobilier qui correspond idéalement à vos désirs sur ImmoScout24 - La plateforme de l'immobilier en Suisse.</v>
      </c>
    </row>
    <row r="3451" hidden="1">
      <c r="A3451" s="5" t="s">
        <v>10005</v>
      </c>
      <c r="B3451" s="2" t="s">
        <v>10006</v>
      </c>
      <c r="C3451" s="2" t="s">
        <v>10006</v>
      </c>
      <c r="D3451" s="4" t="str">
        <f>vlookup(A3451, Sheet2!D:E, 2, 0)</f>
        <v>control</v>
      </c>
      <c r="E3451" s="4" t="str">
        <f>IFERROR(__xludf.DUMMYFUNCTION("if(H3451=""pays"",vlookup(REGEXEXTRACT(C3451, ""🏘️ \w+ \w+ (.*) ✅""),'Country prepositions'!A:B, 2, 0) &amp; "" "" &amp; REGEXEXTRACT(C3451, ""🏘️ \w+ \w+ (.*) ✅"") ,  if(H3451=""quartier"",vlookup(REGEXEXTRACT(C3451, ""🏘️ \w+ \w+ (.*) ✅""),'Quartier prepositio"&amp;"ns'!A:E, 5, 0) ,  if(H3451=""region"",vlookup(REGEXEXTRACT(C3451, ""🏘️ \w+ \w+ (.*) ✅""),'Region prepositions'!B:F, 5, 0),  REGEXEXTRACT(C3451, ""🏘️ \w+ \w+ (.*) ✅""))))"),"#N/A")</f>
        <v>#N/A</v>
      </c>
      <c r="I3451" s="4" t="str">
        <f>IFERROR(__xludf.DUMMYFUNCTION("if(D3451=""variant"",  substitute(filter(Templates!E:E, Templates!A:A = F3451, Templates!B:B = G3451, Templates!C:C = H3451), ""{{}}"", E3451), B3451)"),"Louer maison La Chaux (Cossonay): Trouvez le bien immobilier qui correspond idéalement à vos désirs sur ImmoScout24 - La plateforme de l'immobilier en Suisse.")</f>
        <v>Louer maison La Chaux (Cossonay): Trouvez le bien immobilier qui correspond idéalement à vos désirs sur ImmoScout24 - La plateforme de l'immobilier en Suisse.</v>
      </c>
    </row>
    <row r="3452" hidden="1">
      <c r="A3452" s="5" t="s">
        <v>10007</v>
      </c>
      <c r="B3452" s="2" t="s">
        <v>10008</v>
      </c>
      <c r="C3452" s="2" t="s">
        <v>10008</v>
      </c>
      <c r="D3452" s="4" t="str">
        <f>vlookup(A3452, Sheet2!D:E, 2, 0)</f>
        <v>control</v>
      </c>
      <c r="E3452" s="4" t="str">
        <f>IFERROR(__xludf.DUMMYFUNCTION("if(H3452=""pays"",vlookup(REGEXEXTRACT(C3452, ""🏘️ \w+ \w+ (.*) ✅""),'Country prepositions'!A:B, 2, 0) &amp; "" "" &amp; REGEXEXTRACT(C3452, ""🏘️ \w+ \w+ (.*) ✅"") ,  if(H3452=""quartier"",vlookup(REGEXEXTRACT(C3452, ""🏘️ \w+ \w+ (.*) ✅""),'Quartier prepositio"&amp;"ns'!A:E, 5, 0) ,  if(H3452=""region"",vlookup(REGEXEXTRACT(C3452, ""🏘️ \w+ \w+ (.*) ✅""),'Region prepositions'!B:F, 5, 0),  REGEXEXTRACT(C3452, ""🏘️ \w+ \w+ (.*) ✅""))))"),"#N/A")</f>
        <v>#N/A</v>
      </c>
      <c r="I3452" s="4" t="str">
        <f>IFERROR(__xludf.DUMMYFUNCTION("if(D3452=""variant"",  substitute(filter(Templates!E:E, Templates!A:A = F3452, Templates!B:B = G3452, Templates!C:C = H3452), ""{{}}"", E3452), B3452)"),"Vendre maison Canton du Valais: Trouvez le bien immobilier qui correspond idéalement à vos désirs sur ImmoScout24 - La plateforme de l'immobilier en Suisse.")</f>
        <v>Vendre maison Canton du Valais: Trouvez le bien immobilier qui correspond idéalement à vos désirs sur ImmoScout24 - La plateforme de l'immobilier en Suisse.</v>
      </c>
    </row>
    <row r="3453" hidden="1">
      <c r="A3453" s="5" t="s">
        <v>10009</v>
      </c>
      <c r="B3453" s="2" t="s">
        <v>10010</v>
      </c>
      <c r="C3453" s="2" t="s">
        <v>10010</v>
      </c>
      <c r="D3453" s="4" t="str">
        <f>vlookup(A3453, Sheet2!D:E, 2, 0)</f>
        <v>control</v>
      </c>
      <c r="E3453" s="4" t="str">
        <f>IFERROR(__xludf.DUMMYFUNCTION("if(H3453=""pays"",vlookup(REGEXEXTRACT(C3453, ""🏘️ \w+ \w+ (.*) ✅""),'Country prepositions'!A:B, 2, 0) &amp; "" "" &amp; REGEXEXTRACT(C3453, ""🏘️ \w+ \w+ (.*) ✅"") ,  if(H3453=""quartier"",vlookup(REGEXEXTRACT(C3453, ""🏘️ \w+ \w+ (.*) ✅""),'Quartier prepositio"&amp;"ns'!A:E, 5, 0) ,  if(H3453=""region"",vlookup(REGEXEXTRACT(C3453, ""🏘️ \w+ \w+ (.*) ✅""),'Region prepositions'!B:F, 5, 0),  REGEXEXTRACT(C3453, ""🏘️ \w+ \w+ (.*) ✅""))))"),"#N/A")</f>
        <v>#N/A</v>
      </c>
      <c r="I3453" s="4" t="str">
        <f>IFERROR(__xludf.DUMMYFUNCTION("if(D3453=""variant"",  substitute(filter(Templates!E:E, Templates!A:A = F3453, Templates!B:B = G3453, Templates!C:C = H3453), ""{{}}"", E3453), B3453)"),"Louer appartement Walchwil: Trouvez le bien immobilier qui correspond idéalement à vos désirs sur ImmoScout24 - La plateforme de l'immobilier en Suisse.")</f>
        <v>Louer appartement Walchwil: Trouvez le bien immobilier qui correspond idéalement à vos désirs sur ImmoScout24 - La plateforme de l'immobilier en Suisse.</v>
      </c>
    </row>
    <row r="3454" hidden="1">
      <c r="A3454" s="5" t="s">
        <v>10011</v>
      </c>
      <c r="B3454" s="2" t="s">
        <v>10012</v>
      </c>
      <c r="C3454" s="2" t="s">
        <v>10012</v>
      </c>
      <c r="D3454" s="4" t="str">
        <f>vlookup(A3454, Sheet2!D:E, 2, 0)</f>
        <v>control</v>
      </c>
      <c r="E3454" s="4" t="str">
        <f>IFERROR(__xludf.DUMMYFUNCTION("if(H3454=""pays"",vlookup(REGEXEXTRACT(C3454, ""🏘️ \w+ \w+ (.*) ✅""),'Country prepositions'!A:B, 2, 0) &amp; "" "" &amp; REGEXEXTRACT(C3454, ""🏘️ \w+ \w+ (.*) ✅"") ,  if(H3454=""quartier"",vlookup(REGEXEXTRACT(C3454, ""🏘️ \w+ \w+ (.*) ✅""),'Quartier prepositio"&amp;"ns'!A:E, 5, 0) ,  if(H3454=""region"",vlookup(REGEXEXTRACT(C3454, ""🏘️ \w+ \w+ (.*) ✅""),'Region prepositions'!B:F, 5, 0),  REGEXEXTRACT(C3454, ""🏘️ \w+ \w+ (.*) ✅""))))"),"#N/A")</f>
        <v>#N/A</v>
      </c>
      <c r="I3454" s="4" t="str">
        <f>IFERROR(__xludf.DUMMYFUNCTION("if(D3454=""variant"",  substitute(filter(Templates!E:E, Templates!A:A = F3454, Templates!B:B = G3454, Templates!C:C = H3454), ""{{}}"", E3454), B3454)"),"Louer appartement Courcelon: Trouvez le bien immobilier qui correspond idéalement à vos désirs sur ImmoScout24 - La plateforme de l'immobilier en Suisse.")</f>
        <v>Louer appartement Courcelon: Trouvez le bien immobilier qui correspond idéalement à vos désirs sur ImmoScout24 - La plateforme de l'immobilier en Suisse.</v>
      </c>
    </row>
    <row r="3455" hidden="1">
      <c r="A3455" s="5" t="s">
        <v>10013</v>
      </c>
      <c r="B3455" s="2" t="s">
        <v>10014</v>
      </c>
      <c r="C3455" s="2" t="s">
        <v>10014</v>
      </c>
      <c r="D3455" s="4" t="str">
        <f>vlookup(A3455, Sheet2!D:E, 2, 0)</f>
        <v>control</v>
      </c>
      <c r="E3455" s="4" t="str">
        <f>IFERROR(__xludf.DUMMYFUNCTION("if(H3455=""pays"",vlookup(REGEXEXTRACT(C3455, ""🏘️ \w+ \w+ (.*) ✅""),'Country prepositions'!A:B, 2, 0) &amp; "" "" &amp; REGEXEXTRACT(C3455, ""🏘️ \w+ \w+ (.*) ✅"") ,  if(H3455=""quartier"",vlookup(REGEXEXTRACT(C3455, ""🏘️ \w+ \w+ (.*) ✅""),'Quartier prepositio"&amp;"ns'!A:E, 5, 0) ,  if(H3455=""region"",vlookup(REGEXEXTRACT(C3455, ""🏘️ \w+ \w+ (.*) ✅""),'Region prepositions'!B:F, 5, 0),  REGEXEXTRACT(C3455, ""🏘️ \w+ \w+ (.*) ✅""))))"),"#N/A")</f>
        <v>#N/A</v>
      </c>
      <c r="I3455" s="4" t="str">
        <f>IFERROR(__xludf.DUMMYFUNCTION("if(D3455=""variant"",  substitute(filter(Templates!E:E, Templates!A:A = F3455, Templates!B:B = G3455, Templates!C:C = H3455), ""{{}}"", E3455), B3455)"),"Louer appartement Erstfeld: Trouvez le bien immobilier qui correspond idéalement à vos désirs sur ImmoScout24 - La plateforme de l'immobilier en Suisse.")</f>
        <v>Louer appartement Erstfeld: Trouvez le bien immobilier qui correspond idéalement à vos désirs sur ImmoScout24 - La plateforme de l'immobilier en Suisse.</v>
      </c>
    </row>
    <row r="3456" hidden="1">
      <c r="A3456" s="5" t="s">
        <v>10015</v>
      </c>
      <c r="B3456" s="2" t="s">
        <v>10016</v>
      </c>
      <c r="C3456" s="2" t="s">
        <v>10016</v>
      </c>
      <c r="D3456" s="4" t="str">
        <f>vlookup(A3456, Sheet2!D:E, 2, 0)</f>
        <v>control</v>
      </c>
      <c r="E3456" s="4" t="str">
        <f>IFERROR(__xludf.DUMMYFUNCTION("if(H3456=""pays"",vlookup(REGEXEXTRACT(C3456, ""🏘️ \w+ \w+ (.*) ✅""),'Country prepositions'!A:B, 2, 0) &amp; "" "" &amp; REGEXEXTRACT(C3456, ""🏘️ \w+ \w+ (.*) ✅"") ,  if(H3456=""quartier"",vlookup(REGEXEXTRACT(C3456, ""🏘️ \w+ \w+ (.*) ✅""),'Quartier prepositio"&amp;"ns'!A:E, 5, 0) ,  if(H3456=""region"",vlookup(REGEXEXTRACT(C3456, ""🏘️ \w+ \w+ (.*) ✅""),'Region prepositions'!B:F, 5, 0),  REGEXEXTRACT(C3456, ""🏘️ \w+ \w+ (.*) ✅""))))"),"#N/A")</f>
        <v>#N/A</v>
      </c>
      <c r="I3456" s="4" t="str">
        <f>IFERROR(__xludf.DUMMYFUNCTION("if(D3456=""variant"",  substitute(filter(Templates!E:E, Templates!A:A = F3456, Templates!B:B = G3456, Templates!C:C = H3456), ""{{}}"", E3456), B3456)"),"Vendre maison Chambésy: Trouvez le bien immobilier qui correspond idéalement à vos désirs sur ImmoScout24 - La plateforme de l'immobilier en Suisse.")</f>
        <v>Vendre maison Chambésy: Trouvez le bien immobilier qui correspond idéalement à vos désirs sur ImmoScout24 - La plateforme de l'immobilier en Suisse.</v>
      </c>
    </row>
    <row r="3457" hidden="1">
      <c r="A3457" s="5" t="s">
        <v>10017</v>
      </c>
      <c r="B3457" s="2" t="s">
        <v>10018</v>
      </c>
      <c r="C3457" s="2" t="s">
        <v>10018</v>
      </c>
      <c r="D3457" s="4" t="str">
        <f>vlookup(A3457, Sheet2!D:E, 2, 0)</f>
        <v>control</v>
      </c>
      <c r="E3457" s="4" t="str">
        <f>IFERROR(__xludf.DUMMYFUNCTION("if(H3457=""pays"",vlookup(REGEXEXTRACT(C3457, ""🏘️ \w+ \w+ (.*) ✅""),'Country prepositions'!A:B, 2, 0) &amp; "" "" &amp; REGEXEXTRACT(C3457, ""🏘️ \w+ \w+ (.*) ✅"") ,  if(H3457=""quartier"",vlookup(REGEXEXTRACT(C3457, ""🏘️ \w+ \w+ (.*) ✅""),'Quartier prepositio"&amp;"ns'!A:E, 5, 0) ,  if(H3457=""region"",vlookup(REGEXEXTRACT(C3457, ""🏘️ \w+ \w+ (.*) ✅""),'Region prepositions'!B:F, 5, 0),  REGEXEXTRACT(C3457, ""🏘️ \w+ \w+ (.*) ✅""))))"),"#N/A")</f>
        <v>#N/A</v>
      </c>
      <c r="I3457" s="4" t="str">
        <f>IFERROR(__xludf.DUMMYFUNCTION("if(D3457=""variant"",  substitute(filter(Templates!E:E, Templates!A:A = F3457, Templates!B:B = G3457, Templates!C:C = H3457), ""{{}}"", E3457), B3457)"),"Vendre maison Allemagne: Trouvez le bien immobilier qui correspond idéalement à vos désirs sur ImmoScout24 - La plateforme de l'immobilier en Suisse.")</f>
        <v>Vendre maison Allemagne: Trouvez le bien immobilier qui correspond idéalement à vos désirs sur ImmoScout24 - La plateforme de l'immobilier en Suisse.</v>
      </c>
    </row>
    <row r="3458" hidden="1">
      <c r="A3458" s="5" t="s">
        <v>10019</v>
      </c>
      <c r="B3458" s="2" t="s">
        <v>10020</v>
      </c>
      <c r="C3458" s="2" t="s">
        <v>10020</v>
      </c>
      <c r="D3458" s="4" t="str">
        <f>vlookup(A3458, Sheet2!D:E, 2, 0)</f>
        <v>control</v>
      </c>
      <c r="E3458" s="4" t="str">
        <f>IFERROR(__xludf.DUMMYFUNCTION("if(H3458=""pays"",vlookup(REGEXEXTRACT(C3458, ""🏘️ \w+ \w+ (.*) ✅""),'Country prepositions'!A:B, 2, 0) &amp; "" "" &amp; REGEXEXTRACT(C3458, ""🏘️ \w+ \w+ (.*) ✅"") ,  if(H3458=""quartier"",vlookup(REGEXEXTRACT(C3458, ""🏘️ \w+ \w+ (.*) ✅""),'Quartier prepositio"&amp;"ns'!A:E, 5, 0) ,  if(H3458=""region"",vlookup(REGEXEXTRACT(C3458, ""🏘️ \w+ \w+ (.*) ✅""),'Region prepositions'!B:F, 5, 0),  REGEXEXTRACT(C3458, ""🏘️ \w+ \w+ (.*) ✅""))))"),"#N/A")</f>
        <v>#N/A</v>
      </c>
      <c r="I3458" s="4" t="str">
        <f>IFERROR(__xludf.DUMMYFUNCTION("if(D3458=""variant"",  substitute(filter(Templates!E:E, Templates!A:A = F3458, Templates!B:B = G3458, Templates!C:C = H3458), ""{{}}"", E3458), B3458)"),"Vendre maison Zeihen: Trouvez le bien immobilier qui correspond idéalement à vos désirs sur ImmoScout24 - La plateforme de l'immobilier en Suisse.")</f>
        <v>Vendre maison Zeihen: Trouvez le bien immobilier qui correspond idéalement à vos désirs sur ImmoScout24 - La plateforme de l'immobilier en Suisse.</v>
      </c>
    </row>
    <row r="3459" hidden="1">
      <c r="A3459" s="5" t="s">
        <v>10021</v>
      </c>
      <c r="B3459" s="2" t="s">
        <v>10022</v>
      </c>
      <c r="C3459" s="2" t="s">
        <v>10022</v>
      </c>
      <c r="D3459" s="4" t="str">
        <f>vlookup(A3459, Sheet2!D:E, 2, 0)</f>
        <v>control</v>
      </c>
      <c r="E3459" s="4" t="str">
        <f>IFERROR(__xludf.DUMMYFUNCTION("if(H3459=""pays"",vlookup(REGEXEXTRACT(C3459, ""🏘️ \w+ \w+ (.*) ✅""),'Country prepositions'!A:B, 2, 0) &amp; "" "" &amp; REGEXEXTRACT(C3459, ""🏘️ \w+ \w+ (.*) ✅"") ,  if(H3459=""quartier"",vlookup(REGEXEXTRACT(C3459, ""🏘️ \w+ \w+ (.*) ✅""),'Quartier prepositio"&amp;"ns'!A:E, 5, 0) ,  if(H3459=""region"",vlookup(REGEXEXTRACT(C3459, ""🏘️ \w+ \w+ (.*) ✅""),'Region prepositions'!B:F, 5, 0),  REGEXEXTRACT(C3459, ""🏘️ \w+ \w+ (.*) ✅""))))"),"#N/A")</f>
        <v>#N/A</v>
      </c>
      <c r="I3459" s="4" t="str">
        <f>IFERROR(__xludf.DUMMYFUNCTION("if(D3459=""variant"",  substitute(filter(Templates!E:E, Templates!A:A = F3459, Templates!B:B = G3459, Templates!C:C = H3459), ""{{}}"", E3459), B3459)"),"Louer maison Küsnacht ZH: Trouvez le bien immobilier qui correspond idéalement à vos désirs sur ImmoScout24 - La plateforme de l'immobilier en Suisse.")</f>
        <v>Louer maison Küsnacht ZH: Trouvez le bien immobilier qui correspond idéalement à vos désirs sur ImmoScout24 - La plateforme de l'immobilier en Suisse.</v>
      </c>
    </row>
    <row r="3460" hidden="1">
      <c r="A3460" s="5" t="s">
        <v>10023</v>
      </c>
      <c r="B3460" s="2" t="s">
        <v>10024</v>
      </c>
      <c r="C3460" s="2" t="s">
        <v>10024</v>
      </c>
      <c r="D3460" s="4" t="str">
        <f>vlookup(A3460, Sheet2!D:E, 2, 0)</f>
        <v>control</v>
      </c>
      <c r="E3460" s="4" t="str">
        <f>IFERROR(__xludf.DUMMYFUNCTION("if(H3460=""pays"",vlookup(REGEXEXTRACT(C3460, ""🏘️ \w+ \w+ (.*) ✅""),'Country prepositions'!A:B, 2, 0) &amp; "" "" &amp; REGEXEXTRACT(C3460, ""🏘️ \w+ \w+ (.*) ✅"") ,  if(H3460=""quartier"",vlookup(REGEXEXTRACT(C3460, ""🏘️ \w+ \w+ (.*) ✅""),'Quartier prepositio"&amp;"ns'!A:E, 5, 0) ,  if(H3460=""region"",vlookup(REGEXEXTRACT(C3460, ""🏘️ \w+ \w+ (.*) ✅""),'Region prepositions'!B:F, 5, 0),  REGEXEXTRACT(C3460, ""🏘️ \w+ \w+ (.*) ✅""))))"),"#N/A")</f>
        <v>#N/A</v>
      </c>
      <c r="I3460" s="4" t="str">
        <f>IFERROR(__xludf.DUMMYFUNCTION("if(D3460=""variant"",  substitute(filter(Templates!E:E, Templates!A:A = F3460, Templates!B:B = G3460, Templates!C:C = H3460), ""{{}}"", E3460), B3460)"),"Louer appartement Richterswil: Trouvez le bien immobilier qui correspond idéalement à vos désirs sur ImmoScout24 - La plateforme de l'immobilier en Suisse.")</f>
        <v>Louer appartement Richterswil: Trouvez le bien immobilier qui correspond idéalement à vos désirs sur ImmoScout24 - La plateforme de l'immobilier en Suisse.</v>
      </c>
    </row>
    <row r="3461" hidden="1">
      <c r="A3461" s="5" t="s">
        <v>10025</v>
      </c>
      <c r="B3461" s="2" t="s">
        <v>10026</v>
      </c>
      <c r="C3461" s="2" t="s">
        <v>10026</v>
      </c>
      <c r="D3461" s="4" t="str">
        <f>vlookup(A3461, Sheet2!D:E, 2, 0)</f>
        <v>control</v>
      </c>
      <c r="E3461" s="4" t="str">
        <f>IFERROR(__xludf.DUMMYFUNCTION("if(H3461=""pays"",vlookup(REGEXEXTRACT(C3461, ""🏘️ \w+ \w+ (.*) ✅""),'Country prepositions'!A:B, 2, 0) &amp; "" "" &amp; REGEXEXTRACT(C3461, ""🏘️ \w+ \w+ (.*) ✅"") ,  if(H3461=""quartier"",vlookup(REGEXEXTRACT(C3461, ""🏘️ \w+ \w+ (.*) ✅""),'Quartier prepositio"&amp;"ns'!A:E, 5, 0) ,  if(H3461=""region"",vlookup(REGEXEXTRACT(C3461, ""🏘️ \w+ \w+ (.*) ✅""),'Region prepositions'!B:F, 5, 0),  REGEXEXTRACT(C3461, ""🏘️ \w+ \w+ (.*) ✅""))))"),"#N/A")</f>
        <v>#N/A</v>
      </c>
      <c r="I3461" s="4" t="str">
        <f>IFERROR(__xludf.DUMMYFUNCTION("if(D3461=""variant"",  substitute(filter(Templates!E:E, Templates!A:A = F3461, Templates!B:B = G3461, Templates!C:C = H3461), ""{{}}"", E3461), B3461)"),"Vendre appartement Vallamand: Trouvez le bien immobilier qui correspond idéalement à vos désirs sur ImmoScout24 - La plateforme de l'immobilier en Suisse.")</f>
        <v>Vendre appartement Vallamand: Trouvez le bien immobilier qui correspond idéalement à vos désirs sur ImmoScout24 - La plateforme de l'immobilier en Suisse.</v>
      </c>
    </row>
    <row r="3462" hidden="1">
      <c r="A3462" s="5" t="s">
        <v>10027</v>
      </c>
      <c r="B3462" s="2" t="s">
        <v>10028</v>
      </c>
      <c r="C3462" s="2" t="s">
        <v>10028</v>
      </c>
      <c r="D3462" s="4" t="str">
        <f>vlookup(A3462, Sheet2!D:E, 2, 0)</f>
        <v>control</v>
      </c>
      <c r="E3462" s="4" t="str">
        <f>IFERROR(__xludf.DUMMYFUNCTION("if(H3462=""pays"",vlookup(REGEXEXTRACT(C3462, ""🏘️ \w+ \w+ (.*) ✅""),'Country prepositions'!A:B, 2, 0) &amp; "" "" &amp; REGEXEXTRACT(C3462, ""🏘️ \w+ \w+ (.*) ✅"") ,  if(H3462=""quartier"",vlookup(REGEXEXTRACT(C3462, ""🏘️ \w+ \w+ (.*) ✅""),'Quartier prepositio"&amp;"ns'!A:E, 5, 0) ,  if(H3462=""region"",vlookup(REGEXEXTRACT(C3462, ""🏘️ \w+ \w+ (.*) ✅""),'Region prepositions'!B:F, 5, 0),  REGEXEXTRACT(C3462, ""🏘️ \w+ \w+ (.*) ✅""))))"),"#N/A")</f>
        <v>#N/A</v>
      </c>
      <c r="I3462" s="4" t="str">
        <f>IFERROR(__xludf.DUMMYFUNCTION("if(D3462=""variant"",  substitute(filter(Templates!E:E, Templates!A:A = F3462, Templates!B:B = G3462, Templates!C:C = H3462), ""{{}}"", E3462), B3462)"),"Louer appartement Cornaux NE: Trouvez le bien immobilier qui correspond idéalement à vos désirs sur ImmoScout24 - La plateforme de l'immobilier en Suisse.")</f>
        <v>Louer appartement Cornaux NE: Trouvez le bien immobilier qui correspond idéalement à vos désirs sur ImmoScout24 - La plateforme de l'immobilier en Suisse.</v>
      </c>
    </row>
    <row r="3463" hidden="1">
      <c r="A3463" s="5" t="s">
        <v>10029</v>
      </c>
      <c r="B3463" s="2" t="s">
        <v>10030</v>
      </c>
      <c r="C3463" s="2" t="s">
        <v>10030</v>
      </c>
      <c r="D3463" s="4" t="str">
        <f>vlookup(A3463, Sheet2!D:E, 2, 0)</f>
        <v>control</v>
      </c>
      <c r="E3463" s="4" t="str">
        <f>IFERROR(__xludf.DUMMYFUNCTION("if(H3463=""pays"",vlookup(REGEXEXTRACT(C3463, ""🏘️ \w+ \w+ (.*) ✅""),'Country prepositions'!A:B, 2, 0) &amp; "" "" &amp; REGEXEXTRACT(C3463, ""🏘️ \w+ \w+ (.*) ✅"") ,  if(H3463=""quartier"",vlookup(REGEXEXTRACT(C3463, ""🏘️ \w+ \w+ (.*) ✅""),'Quartier prepositio"&amp;"ns'!A:E, 5, 0) ,  if(H3463=""region"",vlookup(REGEXEXTRACT(C3463, ""🏘️ \w+ \w+ (.*) ✅""),'Region prepositions'!B:F, 5, 0),  REGEXEXTRACT(C3463, ""🏘️ \w+ \w+ (.*) ✅""))))"),"#N/A")</f>
        <v>#N/A</v>
      </c>
      <c r="I3463" s="4" t="str">
        <f>IFERROR(__xludf.DUMMYFUNCTION("if(D3463=""variant"",  substitute(filter(Templates!E:E, Templates!A:A = F3463, Templates!B:B = G3463, Templates!C:C = H3463), ""{{}}"", E3463), B3463)"),"Vendre maison Porrentruy: Trouvez le bien immobilier qui correspond idéalement à vos désirs sur ImmoScout24 - La plateforme de l'immobilier en Suisse.")</f>
        <v>Vendre maison Porrentruy: Trouvez le bien immobilier qui correspond idéalement à vos désirs sur ImmoScout24 - La plateforme de l'immobilier en Suisse.</v>
      </c>
    </row>
    <row r="3464" hidden="1">
      <c r="A3464" s="5" t="s">
        <v>10031</v>
      </c>
      <c r="B3464" s="2" t="s">
        <v>10032</v>
      </c>
      <c r="C3464" s="2" t="s">
        <v>10032</v>
      </c>
      <c r="D3464" s="4" t="str">
        <f>vlookup(A3464, Sheet2!D:E, 2, 0)</f>
        <v>control</v>
      </c>
      <c r="E3464" s="4" t="str">
        <f>IFERROR(__xludf.DUMMYFUNCTION("if(H3464=""pays"",vlookup(REGEXEXTRACT(C3464, ""🏘️ \w+ \w+ (.*) ✅""),'Country prepositions'!A:B, 2, 0) &amp; "" "" &amp; REGEXEXTRACT(C3464, ""🏘️ \w+ \w+ (.*) ✅"") ,  if(H3464=""quartier"",vlookup(REGEXEXTRACT(C3464, ""🏘️ \w+ \w+ (.*) ✅""),'Quartier prepositio"&amp;"ns'!A:E, 5, 0) ,  if(H3464=""region"",vlookup(REGEXEXTRACT(C3464, ""🏘️ \w+ \w+ (.*) ✅""),'Region prepositions'!B:F, 5, 0),  REGEXEXTRACT(C3464, ""🏘️ \w+ \w+ (.*) ✅""))))"),"#N/A")</f>
        <v>#N/A</v>
      </c>
      <c r="I3464" s="4" t="str">
        <f>IFERROR(__xludf.DUMMYFUNCTION("if(D3464=""variant"",  substitute(filter(Templates!E:E, Templates!A:A = F3464, Templates!B:B = G3464, Templates!C:C = H3464), ""{{}}"", E3464), B3464)"),"Louer appartement Zinal: Trouvez le bien immobilier qui correspond idéalement à vos désirs sur ImmoScout24 - La plateforme de l'immobilier en Suisse.")</f>
        <v>Louer appartement Zinal: Trouvez le bien immobilier qui correspond idéalement à vos désirs sur ImmoScout24 - La plateforme de l'immobilier en Suisse.</v>
      </c>
    </row>
    <row r="3465" hidden="1">
      <c r="A3465" s="5" t="s">
        <v>10033</v>
      </c>
      <c r="B3465" s="2" t="s">
        <v>10034</v>
      </c>
      <c r="C3465" s="2" t="s">
        <v>10034</v>
      </c>
      <c r="D3465" s="4" t="str">
        <f>vlookup(A3465, Sheet2!D:E, 2, 0)</f>
        <v>control</v>
      </c>
      <c r="E3465" s="4" t="str">
        <f>IFERROR(__xludf.DUMMYFUNCTION("if(H3465=""pays"",vlookup(REGEXEXTRACT(C3465, ""🏘️ \w+ \w+ (.*) ✅""),'Country prepositions'!A:B, 2, 0) &amp; "" "" &amp; REGEXEXTRACT(C3465, ""🏘️ \w+ \w+ (.*) ✅"") ,  if(H3465=""quartier"",vlookup(REGEXEXTRACT(C3465, ""🏘️ \w+ \w+ (.*) ✅""),'Quartier prepositio"&amp;"ns'!A:E, 5, 0) ,  if(H3465=""region"",vlookup(REGEXEXTRACT(C3465, ""🏘️ \w+ \w+ (.*) ✅""),'Region prepositions'!B:F, 5, 0),  REGEXEXTRACT(C3465, ""🏘️ \w+ \w+ (.*) ✅""))))"),"#N/A")</f>
        <v>#N/A</v>
      </c>
      <c r="I3465" s="4" t="str">
        <f>IFERROR(__xludf.DUMMYFUNCTION("if(D3465=""variant"",  substitute(filter(Templates!E:E, Templates!A:A = F3465, Templates!B:B = G3465, Templates!C:C = H3465), ""{{}}"", E3465), B3465)"),"Louer appartement Canton de Zoug: Trouvez le bien immobilier qui correspond idéalement à vos désirs sur ImmoScout24 - La plateforme de l'immobilier en Suisse.")</f>
        <v>Louer appartement Canton de Zoug: Trouvez le bien immobilier qui correspond idéalement à vos désirs sur ImmoScout24 - La plateforme de l'immobilier en Suisse.</v>
      </c>
    </row>
    <row r="3466" hidden="1">
      <c r="A3466" s="5" t="s">
        <v>10035</v>
      </c>
      <c r="B3466" s="2" t="s">
        <v>10036</v>
      </c>
      <c r="C3466" s="2" t="s">
        <v>10036</v>
      </c>
      <c r="D3466" s="4" t="str">
        <f>vlookup(A3466, Sheet2!D:E, 2, 0)</f>
        <v>control</v>
      </c>
      <c r="E3466" s="4" t="str">
        <f>IFERROR(__xludf.DUMMYFUNCTION("if(H3466=""pays"",vlookup(REGEXEXTRACT(C3466, ""🏘️ \w+ \w+ (.*) ✅""),'Country prepositions'!A:B, 2, 0) &amp; "" "" &amp; REGEXEXTRACT(C3466, ""🏘️ \w+ \w+ (.*) ✅"") ,  if(H3466=""quartier"",vlookup(REGEXEXTRACT(C3466, ""🏘️ \w+ \w+ (.*) ✅""),'Quartier prepositio"&amp;"ns'!A:E, 5, 0) ,  if(H3466=""region"",vlookup(REGEXEXTRACT(C3466, ""🏘️ \w+ \w+ (.*) ✅""),'Region prepositions'!B:F, 5, 0),  REGEXEXTRACT(C3466, ""🏘️ \w+ \w+ (.*) ✅""))))"),"#N/A")</f>
        <v>#N/A</v>
      </c>
      <c r="I3466" s="4" t="str">
        <f>IFERROR(__xludf.DUMMYFUNCTION("if(D3466=""variant"",  substitute(filter(Templates!E:E, Templates!A:A = F3466, Templates!B:B = G3466, Templates!C:C = H3466), ""{{}}"", E3466), B3466)"),"Vendre maison Roggwil BE: Trouvez le bien immobilier qui correspond idéalement à vos désirs sur ImmoScout24 - La plateforme de l'immobilier en Suisse.")</f>
        <v>Vendre maison Roggwil BE: Trouvez le bien immobilier qui correspond idéalement à vos désirs sur ImmoScout24 - La plateforme de l'immobilier en Suisse.</v>
      </c>
    </row>
    <row r="3467" hidden="1">
      <c r="A3467" s="5" t="s">
        <v>10037</v>
      </c>
      <c r="B3467" s="2" t="s">
        <v>10038</v>
      </c>
      <c r="C3467" s="2" t="s">
        <v>10038</v>
      </c>
      <c r="D3467" s="4" t="str">
        <f>vlookup(A3467, Sheet2!D:E, 2, 0)</f>
        <v>control</v>
      </c>
      <c r="E3467" s="4" t="str">
        <f>IFERROR(__xludf.DUMMYFUNCTION("if(H3467=""pays"",vlookup(REGEXEXTRACT(C3467, ""🏘️ \w+ \w+ (.*) ✅""),'Country prepositions'!A:B, 2, 0) &amp; "" "" &amp; REGEXEXTRACT(C3467, ""🏘️ \w+ \w+ (.*) ✅"") ,  if(H3467=""quartier"",vlookup(REGEXEXTRACT(C3467, ""🏘️ \w+ \w+ (.*) ✅""),'Quartier prepositio"&amp;"ns'!A:E, 5, 0) ,  if(H3467=""region"",vlookup(REGEXEXTRACT(C3467, ""🏘️ \w+ \w+ (.*) ✅""),'Region prepositions'!B:F, 5, 0),  REGEXEXTRACT(C3467, ""🏘️ \w+ \w+ (.*) ✅""))))"),"#N/A")</f>
        <v>#N/A</v>
      </c>
      <c r="I3467" s="4" t="str">
        <f>IFERROR(__xludf.DUMMYFUNCTION("if(D3467=""variant"",  substitute(filter(Templates!E:E, Templates!A:A = F3467, Templates!B:B = G3467, Templates!C:C = H3467), ""{{}}"", E3467), B3467)"),"Vendre appartement Moutier: Trouvez le bien immobilier qui correspond idéalement à vos désirs sur ImmoScout24 - La plateforme de l'immobilier en Suisse.")</f>
        <v>Vendre appartement Moutier: Trouvez le bien immobilier qui correspond idéalement à vos désirs sur ImmoScout24 - La plateforme de l'immobilier en Suisse.</v>
      </c>
    </row>
    <row r="3468" hidden="1">
      <c r="A3468" s="5" t="s">
        <v>10039</v>
      </c>
      <c r="B3468" s="2" t="s">
        <v>10040</v>
      </c>
      <c r="C3468" s="2" t="s">
        <v>10040</v>
      </c>
      <c r="D3468" s="4" t="str">
        <f>vlookup(A3468, Sheet2!D:E, 2, 0)</f>
        <v>control</v>
      </c>
      <c r="E3468" s="4" t="str">
        <f>IFERROR(__xludf.DUMMYFUNCTION("if(H3468=""pays"",vlookup(REGEXEXTRACT(C3468, ""🏘️ \w+ \w+ (.*) ✅""),'Country prepositions'!A:B, 2, 0) &amp; "" "" &amp; REGEXEXTRACT(C3468, ""🏘️ \w+ \w+ (.*) ✅"") ,  if(H3468=""quartier"",vlookup(REGEXEXTRACT(C3468, ""🏘️ \w+ \w+ (.*) ✅""),'Quartier prepositio"&amp;"ns'!A:E, 5, 0) ,  if(H3468=""region"",vlookup(REGEXEXTRACT(C3468, ""🏘️ \w+ \w+ (.*) ✅""),'Region prepositions'!B:F, 5, 0),  REGEXEXTRACT(C3468, ""🏘️ \w+ \w+ (.*) ✅""))))"),"#N/A")</f>
        <v>#N/A</v>
      </c>
      <c r="I3468" s="4" t="str">
        <f>IFERROR(__xludf.DUMMYFUNCTION("if(D3468=""variant"",  substitute(filter(Templates!E:E, Templates!A:A = F3468, Templates!B:B = G3468, Templates!C:C = H3468), ""{{}}"", E3468), B3468)"),"Louer appartement Plan-les-Ouates: Trouvez le bien immobilier qui correspond idéalement à vos désirs sur ImmoScout24 - La plateforme de l'immobilier en Suisse.")</f>
        <v>Louer appartement Plan-les-Ouates: Trouvez le bien immobilier qui correspond idéalement à vos désirs sur ImmoScout24 - La plateforme de l'immobilier en Suisse.</v>
      </c>
    </row>
    <row r="3469" hidden="1">
      <c r="A3469" s="5" t="s">
        <v>10041</v>
      </c>
      <c r="B3469" s="2" t="s">
        <v>10042</v>
      </c>
      <c r="C3469" s="2" t="s">
        <v>10042</v>
      </c>
      <c r="D3469" s="4" t="str">
        <f>vlookup(A3469, Sheet2!D:E, 2, 0)</f>
        <v>control</v>
      </c>
      <c r="E3469" s="4" t="str">
        <f>IFERROR(__xludf.DUMMYFUNCTION("if(H3469=""pays"",vlookup(REGEXEXTRACT(C3469, ""🏘️ \w+ \w+ (.*) ✅""),'Country prepositions'!A:B, 2, 0) &amp; "" "" &amp; REGEXEXTRACT(C3469, ""🏘️ \w+ \w+ (.*) ✅"") ,  if(H3469=""quartier"",vlookup(REGEXEXTRACT(C3469, ""🏘️ \w+ \w+ (.*) ✅""),'Quartier prepositio"&amp;"ns'!A:E, 5, 0) ,  if(H3469=""region"",vlookup(REGEXEXTRACT(C3469, ""🏘️ \w+ \w+ (.*) ✅""),'Region prepositions'!B:F, 5, 0),  REGEXEXTRACT(C3469, ""🏘️ \w+ \w+ (.*) ✅""))))"),"#N/A")</f>
        <v>#N/A</v>
      </c>
      <c r="I3469" s="4" t="str">
        <f>IFERROR(__xludf.DUMMYFUNCTION("if(D3469=""variant"",  substitute(filter(Templates!E:E, Templates!A:A = F3469, Templates!B:B = G3469, Templates!C:C = H3469), ""{{}}"", E3469), B3469)"),"Vendre maison Beaulieu - Grey - Boisy (Lausanne): Trouvez le bien immobilier qui correspond idéalement à vos désirs sur ImmoScout24 - La plateforme de l'immobilier en Suisse.")</f>
        <v>Vendre maison Beaulieu - Grey - Boisy (Lausanne): Trouvez le bien immobilier qui correspond idéalement à vos désirs sur ImmoScout24 - La plateforme de l'immobilier en Suisse.</v>
      </c>
    </row>
    <row r="3470" hidden="1">
      <c r="A3470" s="5" t="s">
        <v>10043</v>
      </c>
      <c r="B3470" s="2" t="s">
        <v>10044</v>
      </c>
      <c r="C3470" s="2" t="s">
        <v>10044</v>
      </c>
      <c r="D3470" s="4" t="str">
        <f>vlookup(A3470, Sheet2!D:E, 2, 0)</f>
        <v>control</v>
      </c>
      <c r="E3470" s="4" t="str">
        <f>IFERROR(__xludf.DUMMYFUNCTION("if(H3470=""pays"",vlookup(REGEXEXTRACT(C3470, ""🏘️ \w+ \w+ (.*) ✅""),'Country prepositions'!A:B, 2, 0) &amp; "" "" &amp; REGEXEXTRACT(C3470, ""🏘️ \w+ \w+ (.*) ✅"") ,  if(H3470=""quartier"",vlookup(REGEXEXTRACT(C3470, ""🏘️ \w+ \w+ (.*) ✅""),'Quartier prepositio"&amp;"ns'!A:E, 5, 0) ,  if(H3470=""region"",vlookup(REGEXEXTRACT(C3470, ""🏘️ \w+ \w+ (.*) ✅""),'Region prepositions'!B:F, 5, 0),  REGEXEXTRACT(C3470, ""🏘️ \w+ \w+ (.*) ✅""))))"),"#N/A")</f>
        <v>#N/A</v>
      </c>
      <c r="I3470" s="4" t="str">
        <f>IFERROR(__xludf.DUMMYFUNCTION("if(D3470=""variant"",  substitute(filter(Templates!E:E, Templates!A:A = F3470, Templates!B:B = G3470, Templates!C:C = H3470), ""{{}}"", E3470), B3470)"),"Louer appartement Herblingen (Schaffhouse): Trouvez le bien immobilier qui correspond idéalement à vos désirs sur ImmoScout24 - La plateforme de l'immobilier en Suisse.")</f>
        <v>Louer appartement Herblingen (Schaffhouse): Trouvez le bien immobilier qui correspond idéalement à vos désirs sur ImmoScout24 - La plateforme de l'immobilier en Suisse.</v>
      </c>
    </row>
    <row r="3471" hidden="1">
      <c r="A3471" s="5" t="s">
        <v>10045</v>
      </c>
      <c r="B3471" s="2" t="s">
        <v>10046</v>
      </c>
      <c r="C3471" s="2" t="s">
        <v>10046</v>
      </c>
      <c r="D3471" s="4" t="str">
        <f>vlookup(A3471, Sheet2!D:E, 2, 0)</f>
        <v>control</v>
      </c>
      <c r="E3471" s="4" t="str">
        <f>IFERROR(__xludf.DUMMYFUNCTION("if(H3471=""pays"",vlookup(REGEXEXTRACT(C3471, ""🏘️ \w+ \w+ (.*) ✅""),'Country prepositions'!A:B, 2, 0) &amp; "" "" &amp; REGEXEXTRACT(C3471, ""🏘️ \w+ \w+ (.*) ✅"") ,  if(H3471=""quartier"",vlookup(REGEXEXTRACT(C3471, ""🏘️ \w+ \w+ (.*) ✅""),'Quartier prepositio"&amp;"ns'!A:E, 5, 0) ,  if(H3471=""region"",vlookup(REGEXEXTRACT(C3471, ""🏘️ \w+ \w+ (.*) ✅""),'Region prepositions'!B:F, 5, 0),  REGEXEXTRACT(C3471, ""🏘️ \w+ \w+ (.*) ✅""))))"),"#N/A")</f>
        <v>#N/A</v>
      </c>
      <c r="I3471" s="4" t="str">
        <f>IFERROR(__xludf.DUMMYFUNCTION("if(D3471=""variant"",  substitute(filter(Templates!E:E, Templates!A:A = F3471, Templates!B:B = G3471, Templates!C:C = H3471), ""{{}}"", E3471), B3471)"),"Vendre maison La Garde (Sembrancher): Trouvez le bien immobilier qui correspond idéalement à vos désirs sur ImmoScout24 - La plateforme de l'immobilier en Suisse.")</f>
        <v>Vendre maison La Garde (Sembrancher): Trouvez le bien immobilier qui correspond idéalement à vos désirs sur ImmoScout24 - La plateforme de l'immobilier en Suisse.</v>
      </c>
    </row>
    <row r="3472" hidden="1">
      <c r="A3472" s="5" t="s">
        <v>10047</v>
      </c>
      <c r="B3472" s="2" t="s">
        <v>10048</v>
      </c>
      <c r="C3472" s="2" t="s">
        <v>10048</v>
      </c>
      <c r="D3472" s="4" t="str">
        <f>vlookup(A3472, Sheet2!D:E, 2, 0)</f>
        <v>control</v>
      </c>
      <c r="E3472" s="4" t="str">
        <f>IFERROR(__xludf.DUMMYFUNCTION("if(H3472=""pays"",vlookup(REGEXEXTRACT(C3472, ""🏘️ \w+ \w+ (.*) ✅""),'Country prepositions'!A:B, 2, 0) &amp; "" "" &amp; REGEXEXTRACT(C3472, ""🏘️ \w+ \w+ (.*) ✅"") ,  if(H3472=""quartier"",vlookup(REGEXEXTRACT(C3472, ""🏘️ \w+ \w+ (.*) ✅""),'Quartier prepositio"&amp;"ns'!A:E, 5, 0) ,  if(H3472=""region"",vlookup(REGEXEXTRACT(C3472, ""🏘️ \w+ \w+ (.*) ✅""),'Region prepositions'!B:F, 5, 0),  REGEXEXTRACT(C3472, ""🏘️ \w+ \w+ (.*) ✅""))))"),"#N/A")</f>
        <v>#N/A</v>
      </c>
      <c r="I3472" s="4" t="str">
        <f>IFERROR(__xludf.DUMMYFUNCTION("if(D3472=""variant"",  substitute(filter(Templates!E:E, Templates!A:A = F3472, Templates!B:B = G3472, Templates!C:C = H3472), ""{{}}"", E3472), B3472)"),"Vendre maison Fribourg ville: Trouvez le bien immobilier qui correspond idéalement à vos désirs sur ImmoScout24 - La plateforme de l'immobilier en Suisse.")</f>
        <v>Vendre maison Fribourg ville: Trouvez le bien immobilier qui correspond idéalement à vos désirs sur ImmoScout24 - La plateforme de l'immobilier en Suisse.</v>
      </c>
    </row>
    <row r="3473" hidden="1">
      <c r="A3473" s="5" t="s">
        <v>10049</v>
      </c>
      <c r="B3473" s="2" t="s">
        <v>10050</v>
      </c>
      <c r="C3473" s="2" t="s">
        <v>10050</v>
      </c>
      <c r="D3473" s="4" t="str">
        <f>vlookup(A3473, Sheet2!D:E, 2, 0)</f>
        <v>control</v>
      </c>
      <c r="E3473" s="4" t="str">
        <f>IFERROR(__xludf.DUMMYFUNCTION("if(H3473=""pays"",vlookup(REGEXEXTRACT(C3473, ""🏘️ \w+ \w+ (.*) ✅""),'Country prepositions'!A:B, 2, 0) &amp; "" "" &amp; REGEXEXTRACT(C3473, ""🏘️ \w+ \w+ (.*) ✅"") ,  if(H3473=""quartier"",vlookup(REGEXEXTRACT(C3473, ""🏘️ \w+ \w+ (.*) ✅""),'Quartier prepositio"&amp;"ns'!A:E, 5, 0) ,  if(H3473=""region"",vlookup(REGEXEXTRACT(C3473, ""🏘️ \w+ \w+ (.*) ✅""),'Region prepositions'!B:F, 5, 0),  REGEXEXTRACT(C3473, ""🏘️ \w+ \w+ (.*) ✅""))))"),"#N/A")</f>
        <v>#N/A</v>
      </c>
      <c r="I3473" s="4" t="str">
        <f>IFERROR(__xludf.DUMMYFUNCTION("if(D3473=""variant"",  substitute(filter(Templates!E:E, Templates!A:A = F3473, Templates!B:B = G3473, Templates!C:C = H3473), ""{{}}"", E3473), B3473)"),"Vendre maison Cormondrèche: Trouvez le bien immobilier qui correspond idéalement à vos désirs sur ImmoScout24 - La plateforme de l'immobilier en Suisse.")</f>
        <v>Vendre maison Cormondrèche: Trouvez le bien immobilier qui correspond idéalement à vos désirs sur ImmoScout24 - La plateforme de l'immobilier en Suisse.</v>
      </c>
    </row>
    <row r="3474" hidden="1">
      <c r="A3474" s="5" t="s">
        <v>10051</v>
      </c>
      <c r="B3474" s="2" t="s">
        <v>10052</v>
      </c>
      <c r="C3474" s="2" t="s">
        <v>10052</v>
      </c>
      <c r="D3474" s="4" t="str">
        <f>vlookup(A3474, Sheet2!D:E, 2, 0)</f>
        <v>control</v>
      </c>
      <c r="E3474" s="4" t="str">
        <f>IFERROR(__xludf.DUMMYFUNCTION("if(H3474=""pays"",vlookup(REGEXEXTRACT(C3474, ""🏘️ \w+ \w+ (.*) ✅""),'Country prepositions'!A:B, 2, 0) &amp; "" "" &amp; REGEXEXTRACT(C3474, ""🏘️ \w+ \w+ (.*) ✅"") ,  if(H3474=""quartier"",vlookup(REGEXEXTRACT(C3474, ""🏘️ \w+ \w+ (.*) ✅""),'Quartier prepositio"&amp;"ns'!A:E, 5, 0) ,  if(H3474=""region"",vlookup(REGEXEXTRACT(C3474, ""🏘️ \w+ \w+ (.*) ✅""),'Region prepositions'!B:F, 5, 0),  REGEXEXTRACT(C3474, ""🏘️ \w+ \w+ (.*) ✅""))))"),"#N/A")</f>
        <v>#N/A</v>
      </c>
      <c r="I3474" s="4" t="str">
        <f>IFERROR(__xludf.DUMMYFUNCTION("if(D3474=""variant"",  substitute(filter(Templates!E:E, Templates!A:A = F3474, Templates!B:B = G3474, Templates!C:C = H3474), ""{{}}"", E3474), B3474)"),"Vendre appartement Zofingen: Trouvez le bien immobilier qui correspond idéalement à vos désirs sur ImmoScout24 - La plateforme de l'immobilier en Suisse.")</f>
        <v>Vendre appartement Zofingen: Trouvez le bien immobilier qui correspond idéalement à vos désirs sur ImmoScout24 - La plateforme de l'immobilier en Suisse.</v>
      </c>
    </row>
    <row r="3475" hidden="1">
      <c r="A3475" s="5" t="s">
        <v>10053</v>
      </c>
      <c r="B3475" s="2" t="s">
        <v>10054</v>
      </c>
      <c r="C3475" s="2" t="s">
        <v>10054</v>
      </c>
      <c r="D3475" s="4" t="str">
        <f>vlookup(A3475, Sheet2!D:E, 2, 0)</f>
        <v>control</v>
      </c>
      <c r="E3475" s="4" t="str">
        <f>IFERROR(__xludf.DUMMYFUNCTION("if(H3475=""pays"",vlookup(REGEXEXTRACT(C3475, ""🏘️ \w+ \w+ (.*) ✅""),'Country prepositions'!A:B, 2, 0) &amp; "" "" &amp; REGEXEXTRACT(C3475, ""🏘️ \w+ \w+ (.*) ✅"") ,  if(H3475=""quartier"",vlookup(REGEXEXTRACT(C3475, ""🏘️ \w+ \w+ (.*) ✅""),'Quartier prepositio"&amp;"ns'!A:E, 5, 0) ,  if(H3475=""region"",vlookup(REGEXEXTRACT(C3475, ""🏘️ \w+ \w+ (.*) ✅""),'Region prepositions'!B:F, 5, 0),  REGEXEXTRACT(C3475, ""🏘️ \w+ \w+ (.*) ✅""))))"),"#N/A")</f>
        <v>#N/A</v>
      </c>
      <c r="I3475" s="4" t="str">
        <f>IFERROR(__xludf.DUMMYFUNCTION("if(D3475=""variant"",  substitute(filter(Templates!E:E, Templates!A:A = F3475, Templates!B:B = G3475, Templates!C:C = H3475), ""{{}}"", E3475), B3475)"),"Louer appartement Rossens VD: Trouvez le bien immobilier qui correspond idéalement à vos désirs sur ImmoScout24 - La plateforme de l'immobilier en Suisse.")</f>
        <v>Louer appartement Rossens VD: Trouvez le bien immobilier qui correspond idéalement à vos désirs sur ImmoScout24 - La plateforme de l'immobilier en Suisse.</v>
      </c>
    </row>
    <row r="3476" hidden="1">
      <c r="A3476" s="5" t="s">
        <v>10055</v>
      </c>
      <c r="B3476" s="2" t="s">
        <v>10056</v>
      </c>
      <c r="C3476" s="2" t="s">
        <v>10056</v>
      </c>
      <c r="D3476" s="4" t="str">
        <f>vlookup(A3476, Sheet2!D:E, 2, 0)</f>
        <v>control</v>
      </c>
      <c r="E3476" s="4" t="str">
        <f>IFERROR(__xludf.DUMMYFUNCTION("if(H3476=""pays"",vlookup(REGEXEXTRACT(C3476, ""🏘️ \w+ \w+ (.*) ✅""),'Country prepositions'!A:B, 2, 0) &amp; "" "" &amp; REGEXEXTRACT(C3476, ""🏘️ \w+ \w+ (.*) ✅"") ,  if(H3476=""quartier"",vlookup(REGEXEXTRACT(C3476, ""🏘️ \w+ \w+ (.*) ✅""),'Quartier prepositio"&amp;"ns'!A:E, 5, 0) ,  if(H3476=""region"",vlookup(REGEXEXTRACT(C3476, ""🏘️ \w+ \w+ (.*) ✅""),'Region prepositions'!B:F, 5, 0),  REGEXEXTRACT(C3476, ""🏘️ \w+ \w+ (.*) ✅""))))"),"#N/A")</f>
        <v>#N/A</v>
      </c>
      <c r="I3476" s="4" t="str">
        <f>IFERROR(__xludf.DUMMYFUNCTION("if(D3476=""variant"",  substitute(filter(Templates!E:E, Templates!A:A = F3476, Templates!B:B = G3476, Templates!C:C = H3476), ""{{}}"", E3476), B3476)"),"Louer appartement Vico Morcote: Trouvez le bien immobilier qui correspond idéalement à vos désirs sur ImmoScout24 - La plateforme de l'immobilier en Suisse.")</f>
        <v>Louer appartement Vico Morcote: Trouvez le bien immobilier qui correspond idéalement à vos désirs sur ImmoScout24 - La plateforme de l'immobilier en Suisse.</v>
      </c>
    </row>
    <row r="3477" hidden="1">
      <c r="A3477" s="5" t="s">
        <v>10057</v>
      </c>
      <c r="B3477" s="2" t="s">
        <v>10058</v>
      </c>
      <c r="C3477" s="2" t="s">
        <v>10058</v>
      </c>
      <c r="D3477" s="4" t="str">
        <f>vlookup(A3477, Sheet2!D:E, 2, 0)</f>
        <v>control</v>
      </c>
      <c r="E3477" s="4" t="str">
        <f>IFERROR(__xludf.DUMMYFUNCTION("if(H3477=""pays"",vlookup(REGEXEXTRACT(C3477, ""🏘️ \w+ \w+ (.*) ✅""),'Country prepositions'!A:B, 2, 0) &amp; "" "" &amp; REGEXEXTRACT(C3477, ""🏘️ \w+ \w+ (.*) ✅"") ,  if(H3477=""quartier"",vlookup(REGEXEXTRACT(C3477, ""🏘️ \w+ \w+ (.*) ✅""),'Quartier prepositio"&amp;"ns'!A:E, 5, 0) ,  if(H3477=""region"",vlookup(REGEXEXTRACT(C3477, ""🏘️ \w+ \w+ (.*) ✅""),'Region prepositions'!B:F, 5, 0),  REGEXEXTRACT(C3477, ""🏘️ \w+ \w+ (.*) ✅""))))"),"#N/A")</f>
        <v>#N/A</v>
      </c>
      <c r="I3477" s="4" t="str">
        <f>IFERROR(__xludf.DUMMYFUNCTION("if(D3477=""variant"",  substitute(filter(Templates!E:E, Templates!A:A = F3477, Templates!B:B = G3477, Templates!C:C = H3477), ""{{}}"", E3477), B3477)"),"Louer appartement Longirod: Trouvez le bien immobilier qui correspond idéalement à vos désirs sur ImmoScout24 - La plateforme de l'immobilier en Suisse.")</f>
        <v>Louer appartement Longirod: Trouvez le bien immobilier qui correspond idéalement à vos désirs sur ImmoScout24 - La plateforme de l'immobilier en Suisse.</v>
      </c>
    </row>
    <row r="3478" hidden="1">
      <c r="A3478" s="5" t="s">
        <v>10059</v>
      </c>
      <c r="B3478" s="2" t="s">
        <v>10060</v>
      </c>
      <c r="C3478" s="2" t="s">
        <v>10060</v>
      </c>
      <c r="D3478" s="4" t="str">
        <f>vlookup(A3478, Sheet2!D:E, 2, 0)</f>
        <v>control</v>
      </c>
      <c r="E3478" s="4" t="str">
        <f>IFERROR(__xludf.DUMMYFUNCTION("if(H3478=""pays"",vlookup(REGEXEXTRACT(C3478, ""🏘️ \w+ \w+ (.*) ✅""),'Country prepositions'!A:B, 2, 0) &amp; "" "" &amp; REGEXEXTRACT(C3478, ""🏘️ \w+ \w+ (.*) ✅"") ,  if(H3478=""quartier"",vlookup(REGEXEXTRACT(C3478, ""🏘️ \w+ \w+ (.*) ✅""),'Quartier prepositio"&amp;"ns'!A:E, 5, 0) ,  if(H3478=""region"",vlookup(REGEXEXTRACT(C3478, ""🏘️ \w+ \w+ (.*) ✅""),'Region prepositions'!B:F, 5, 0),  REGEXEXTRACT(C3478, ""🏘️ \w+ \w+ (.*) ✅""))))"),"#N/A")</f>
        <v>#N/A</v>
      </c>
      <c r="I3478" s="4" t="str">
        <f>IFERROR(__xludf.DUMMYFUNCTION("if(D3478=""variant"",  substitute(filter(Templates!E:E, Templates!A:A = F3478, Templates!B:B = G3478, Templates!C:C = H3478), ""{{}}"", E3478), B3478)"),"Vendre maison Worben: Trouvez le bien immobilier qui correspond idéalement à vos désirs sur ImmoScout24 - La plateforme de l'immobilier en Suisse.")</f>
        <v>Vendre maison Worben: Trouvez le bien immobilier qui correspond idéalement à vos désirs sur ImmoScout24 - La plateforme de l'immobilier en Suisse.</v>
      </c>
    </row>
    <row r="3479" hidden="1">
      <c r="A3479" s="5" t="s">
        <v>10061</v>
      </c>
      <c r="B3479" s="2" t="s">
        <v>10062</v>
      </c>
      <c r="C3479" s="2" t="s">
        <v>10062</v>
      </c>
      <c r="D3479" s="4" t="str">
        <f>vlookup(A3479, Sheet2!D:E, 2, 0)</f>
        <v>control</v>
      </c>
      <c r="E3479" s="4" t="str">
        <f>IFERROR(__xludf.DUMMYFUNCTION("if(H3479=""pays"",vlookup(REGEXEXTRACT(C3479, ""🏘️ \w+ \w+ (.*) ✅""),'Country prepositions'!A:B, 2, 0) &amp; "" "" &amp; REGEXEXTRACT(C3479, ""🏘️ \w+ \w+ (.*) ✅"") ,  if(H3479=""quartier"",vlookup(REGEXEXTRACT(C3479, ""🏘️ \w+ \w+ (.*) ✅""),'Quartier prepositio"&amp;"ns'!A:E, 5, 0) ,  if(H3479=""region"",vlookup(REGEXEXTRACT(C3479, ""🏘️ \w+ \w+ (.*) ✅""),'Region prepositions'!B:F, 5, 0),  REGEXEXTRACT(C3479, ""🏘️ \w+ \w+ (.*) ✅""))))"),"#N/A")</f>
        <v>#N/A</v>
      </c>
      <c r="I3479" s="4" t="str">
        <f>IFERROR(__xludf.DUMMYFUNCTION("if(D3479=""variant"",  substitute(filter(Templates!E:E, Templates!A:A = F3479, Templates!B:B = G3479, Templates!C:C = H3479), ""{{}}"", E3479), B3479)"),"Vendre appartement Aldesago (Lugano): Trouvez le bien immobilier qui correspond idéalement à vos désirs sur ImmoScout24 - La plateforme de l'immobilier en Suisse.")</f>
        <v>Vendre appartement Aldesago (Lugano): Trouvez le bien immobilier qui correspond idéalement à vos désirs sur ImmoScout24 - La plateforme de l'immobilier en Suisse.</v>
      </c>
    </row>
    <row r="3480" hidden="1">
      <c r="A3480" s="5" t="s">
        <v>10063</v>
      </c>
      <c r="B3480" s="2" t="s">
        <v>10064</v>
      </c>
      <c r="C3480" s="2" t="s">
        <v>10064</v>
      </c>
      <c r="D3480" s="4" t="str">
        <f>vlookup(A3480, Sheet2!D:E, 2, 0)</f>
        <v>control</v>
      </c>
      <c r="E3480" s="4" t="str">
        <f>IFERROR(__xludf.DUMMYFUNCTION("if(H3480=""pays"",vlookup(REGEXEXTRACT(C3480, ""🏘️ \w+ \w+ (.*) ✅""),'Country prepositions'!A:B, 2, 0) &amp; "" "" &amp; REGEXEXTRACT(C3480, ""🏘️ \w+ \w+ (.*) ✅"") ,  if(H3480=""quartier"",vlookup(REGEXEXTRACT(C3480, ""🏘️ \w+ \w+ (.*) ✅""),'Quartier prepositio"&amp;"ns'!A:E, 5, 0) ,  if(H3480=""region"",vlookup(REGEXEXTRACT(C3480, ""🏘️ \w+ \w+ (.*) ✅""),'Region prepositions'!B:F, 5, 0),  REGEXEXTRACT(C3480, ""🏘️ \w+ \w+ (.*) ✅""))))"),"#N/A")</f>
        <v>#N/A</v>
      </c>
      <c r="I3480" s="4" t="str">
        <f>IFERROR(__xludf.DUMMYFUNCTION("if(D3480=""variant"",  substitute(filter(Templates!E:E, Templates!A:A = F3480, Templates!B:B = G3480, Templates!C:C = H3480), ""{{}}"", E3480), B3480)"),"Louer appartement Fleurier: Trouvez le bien immobilier qui correspond idéalement à vos désirs sur ImmoScout24 - La plateforme de l'immobilier en Suisse.")</f>
        <v>Louer appartement Fleurier: Trouvez le bien immobilier qui correspond idéalement à vos désirs sur ImmoScout24 - La plateforme de l'immobilier en Suisse.</v>
      </c>
    </row>
    <row r="3481" hidden="1">
      <c r="A3481" s="5" t="s">
        <v>10065</v>
      </c>
      <c r="B3481" s="2" t="s">
        <v>10066</v>
      </c>
      <c r="C3481" s="2" t="s">
        <v>10066</v>
      </c>
      <c r="D3481" s="4" t="str">
        <f>vlookup(A3481, Sheet2!D:E, 2, 0)</f>
        <v>control</v>
      </c>
      <c r="E3481" s="4" t="str">
        <f>IFERROR(__xludf.DUMMYFUNCTION("if(H3481=""pays"",vlookup(REGEXEXTRACT(C3481, ""🏘️ \w+ \w+ (.*) ✅""),'Country prepositions'!A:B, 2, 0) &amp; "" "" &amp; REGEXEXTRACT(C3481, ""🏘️ \w+ \w+ (.*) ✅"") ,  if(H3481=""quartier"",vlookup(REGEXEXTRACT(C3481, ""🏘️ \w+ \w+ (.*) ✅""),'Quartier prepositio"&amp;"ns'!A:E, 5, 0) ,  if(H3481=""region"",vlookup(REGEXEXTRACT(C3481, ""🏘️ \w+ \w+ (.*) ✅""),'Region prepositions'!B:F, 5, 0),  REGEXEXTRACT(C3481, ""🏘️ \w+ \w+ (.*) ✅""))))"),"#N/A")</f>
        <v>#N/A</v>
      </c>
      <c r="I3481" s="4" t="str">
        <f>IFERROR(__xludf.DUMMYFUNCTION("if(D3481=""variant"",  substitute(filter(Templates!E:E, Templates!A:A = F3481, Templates!B:B = G3481, Templates!C:C = H3481), ""{{}}"", E3481), B3481)"),"Louer maison Les Agettes: Trouvez le bien immobilier qui correspond idéalement à vos désirs sur ImmoScout24 - La plateforme de l'immobilier en Suisse.")</f>
        <v>Louer maison Les Agettes: Trouvez le bien immobilier qui correspond idéalement à vos désirs sur ImmoScout24 - La plateforme de l'immobilier en Suisse.</v>
      </c>
    </row>
    <row r="3482" hidden="1">
      <c r="A3482" s="5" t="s">
        <v>10067</v>
      </c>
      <c r="B3482" s="2" t="s">
        <v>10068</v>
      </c>
      <c r="C3482" s="2" t="s">
        <v>10068</v>
      </c>
      <c r="D3482" s="4" t="str">
        <f>vlookup(A3482, Sheet2!D:E, 2, 0)</f>
        <v>control</v>
      </c>
      <c r="E3482" s="4" t="str">
        <f>IFERROR(__xludf.DUMMYFUNCTION("if(H3482=""pays"",vlookup(REGEXEXTRACT(C3482, ""🏘️ \w+ \w+ (.*) ✅""),'Country prepositions'!A:B, 2, 0) &amp; "" "" &amp; REGEXEXTRACT(C3482, ""🏘️ \w+ \w+ (.*) ✅"") ,  if(H3482=""quartier"",vlookup(REGEXEXTRACT(C3482, ""🏘️ \w+ \w+ (.*) ✅""),'Quartier prepositio"&amp;"ns'!A:E, 5, 0) ,  if(H3482=""region"",vlookup(REGEXEXTRACT(C3482, ""🏘️ \w+ \w+ (.*) ✅""),'Region prepositions'!B:F, 5, 0),  REGEXEXTRACT(C3482, ""🏘️ \w+ \w+ (.*) ✅""))))"),"#N/A")</f>
        <v>#N/A</v>
      </c>
      <c r="I3482" s="4" t="str">
        <f>IFERROR(__xludf.DUMMYFUNCTION("if(D3482=""variant"",  substitute(filter(Templates!E:E, Templates!A:A = F3482, Templates!B:B = G3482, Templates!C:C = H3482), ""{{}}"", E3482), B3482)"),"Vendre maison Kaiserstuhl AG: Trouvez le bien immobilier qui correspond idéalement à vos désirs sur ImmoScout24 - La plateforme de l'immobilier en Suisse.")</f>
        <v>Vendre maison Kaiserstuhl AG: Trouvez le bien immobilier qui correspond idéalement à vos désirs sur ImmoScout24 - La plateforme de l'immobilier en Suisse.</v>
      </c>
    </row>
    <row r="3483" hidden="1">
      <c r="A3483" s="5" t="s">
        <v>10069</v>
      </c>
      <c r="B3483" s="2" t="s">
        <v>10070</v>
      </c>
      <c r="C3483" s="2" t="s">
        <v>10070</v>
      </c>
      <c r="D3483" s="4" t="str">
        <f>vlookup(A3483, Sheet2!D:E, 2, 0)</f>
        <v>control</v>
      </c>
      <c r="E3483" s="4" t="str">
        <f>IFERROR(__xludf.DUMMYFUNCTION("if(H3483=""pays"",vlookup(REGEXEXTRACT(C3483, ""🏘️ \w+ \w+ (.*) ✅""),'Country prepositions'!A:B, 2, 0) &amp; "" "" &amp; REGEXEXTRACT(C3483, ""🏘️ \w+ \w+ (.*) ✅"") ,  if(H3483=""quartier"",vlookup(REGEXEXTRACT(C3483, ""🏘️ \w+ \w+ (.*) ✅""),'Quartier prepositio"&amp;"ns'!A:E, 5, 0) ,  if(H3483=""region"",vlookup(REGEXEXTRACT(C3483, ""🏘️ \w+ \w+ (.*) ✅""),'Region prepositions'!B:F, 5, 0),  REGEXEXTRACT(C3483, ""🏘️ \w+ \w+ (.*) ✅""))))"),"#N/A")</f>
        <v>#N/A</v>
      </c>
      <c r="I3483" s="4" t="str">
        <f>IFERROR(__xludf.DUMMYFUNCTION("if(D3483=""variant"",  substitute(filter(Templates!E:E, Templates!A:A = F3483, Templates!B:B = G3483, Templates!C:C = H3483), ""{{}}"", E3483), B3483)"),"Louer appartement Lugano e dintorni: Trouvez le bien immobilier qui correspond idéalement à vos désirs sur ImmoScout24 - La plateforme de l'immobilier en Suisse.")</f>
        <v>Louer appartement Lugano e dintorni: Trouvez le bien immobilier qui correspond idéalement à vos désirs sur ImmoScout24 - La plateforme de l'immobilier en Suisse.</v>
      </c>
    </row>
    <row r="3484" hidden="1">
      <c r="A3484" s="5" t="s">
        <v>10071</v>
      </c>
      <c r="B3484" s="2" t="s">
        <v>10072</v>
      </c>
      <c r="C3484" s="2" t="s">
        <v>10072</v>
      </c>
      <c r="D3484" s="4" t="str">
        <f>vlookup(A3484, Sheet2!D:E, 2, 0)</f>
        <v>control</v>
      </c>
      <c r="E3484" s="4" t="str">
        <f>IFERROR(__xludf.DUMMYFUNCTION("if(H3484=""pays"",vlookup(REGEXEXTRACT(C3484, ""🏘️ \w+ \w+ (.*) ✅""),'Country prepositions'!A:B, 2, 0) &amp; "" "" &amp; REGEXEXTRACT(C3484, ""🏘️ \w+ \w+ (.*) ✅"") ,  if(H3484=""quartier"",vlookup(REGEXEXTRACT(C3484, ""🏘️ \w+ \w+ (.*) ✅""),'Quartier prepositio"&amp;"ns'!A:E, 5, 0) ,  if(H3484=""region"",vlookup(REGEXEXTRACT(C3484, ""🏘️ \w+ \w+ (.*) ✅""),'Region prepositions'!B:F, 5, 0),  REGEXEXTRACT(C3484, ""🏘️ \w+ \w+ (.*) ✅""))))"),"#N/A")</f>
        <v>#N/A</v>
      </c>
      <c r="I3484" s="4" t="str">
        <f>IFERROR(__xludf.DUMMYFUNCTION("if(D3484=""variant"",  substitute(filter(Templates!E:E, Templates!A:A = F3484, Templates!B:B = G3484, Templates!C:C = H3484), ""{{}}"", E3484), B3484)"),"Louer appartement Diessenhofen: Trouvez le bien immobilier qui correspond idéalement à vos désirs sur ImmoScout24 - La plateforme de l'immobilier en Suisse.")</f>
        <v>Louer appartement Diessenhofen: Trouvez le bien immobilier qui correspond idéalement à vos désirs sur ImmoScout24 - La plateforme de l'immobilier en Suisse.</v>
      </c>
    </row>
    <row r="3485" hidden="1">
      <c r="A3485" s="5" t="s">
        <v>10073</v>
      </c>
      <c r="B3485" s="2" t="s">
        <v>10074</v>
      </c>
      <c r="C3485" s="2" t="s">
        <v>10074</v>
      </c>
      <c r="D3485" s="4" t="str">
        <f>vlookup(A3485, Sheet2!D:E, 2, 0)</f>
        <v>control</v>
      </c>
      <c r="E3485" s="4" t="str">
        <f>IFERROR(__xludf.DUMMYFUNCTION("if(H3485=""pays"",vlookup(REGEXEXTRACT(C3485, ""🏘️ \w+ \w+ (.*) ✅""),'Country prepositions'!A:B, 2, 0) &amp; "" "" &amp; REGEXEXTRACT(C3485, ""🏘️ \w+ \w+ (.*) ✅"") ,  if(H3485=""quartier"",vlookup(REGEXEXTRACT(C3485, ""🏘️ \w+ \w+ (.*) ✅""),'Quartier prepositio"&amp;"ns'!A:E, 5, 0) ,  if(H3485=""region"",vlookup(REGEXEXTRACT(C3485, ""🏘️ \w+ \w+ (.*) ✅""),'Region prepositions'!B:F, 5, 0),  REGEXEXTRACT(C3485, ""🏘️ \w+ \w+ (.*) ✅""))))"),"#N/A")</f>
        <v>#N/A</v>
      </c>
      <c r="I3485" s="4" t="str">
        <f>IFERROR(__xludf.DUMMYFUNCTION("if(D3485=""variant"",  substitute(filter(Templates!E:E, Templates!A:A = F3485, Templates!B:B = G3485, Templates!C:C = H3485), ""{{}}"", E3485), B3485)"),"Louer appartement Sommentier: Trouvez le bien immobilier qui correspond idéalement à vos désirs sur ImmoScout24 - La plateforme de l'immobilier en Suisse.")</f>
        <v>Louer appartement Sommentier: Trouvez le bien immobilier qui correspond idéalement à vos désirs sur ImmoScout24 - La plateforme de l'immobilier en Suisse.</v>
      </c>
    </row>
    <row r="3486" hidden="1">
      <c r="A3486" s="5" t="s">
        <v>10075</v>
      </c>
      <c r="B3486" s="2" t="s">
        <v>10076</v>
      </c>
      <c r="C3486" s="2" t="s">
        <v>10076</v>
      </c>
      <c r="D3486" s="4" t="str">
        <f>vlookup(A3486, Sheet2!D:E, 2, 0)</f>
        <v>control</v>
      </c>
      <c r="E3486" s="4" t="str">
        <f>IFERROR(__xludf.DUMMYFUNCTION("if(H3486=""pays"",vlookup(REGEXEXTRACT(C3486, ""🏘️ \w+ \w+ (.*) ✅""),'Country prepositions'!A:B, 2, 0) &amp; "" "" &amp; REGEXEXTRACT(C3486, ""🏘️ \w+ \w+ (.*) ✅"") ,  if(H3486=""quartier"",vlookup(REGEXEXTRACT(C3486, ""🏘️ \w+ \w+ (.*) ✅""),'Quartier prepositio"&amp;"ns'!A:E, 5, 0) ,  if(H3486=""region"",vlookup(REGEXEXTRACT(C3486, ""🏘️ \w+ \w+ (.*) ✅""),'Region prepositions'!B:F, 5, 0),  REGEXEXTRACT(C3486, ""🏘️ \w+ \w+ (.*) ✅""))))"),"#N/A")</f>
        <v>#N/A</v>
      </c>
      <c r="I3486" s="4" t="str">
        <f>IFERROR(__xludf.DUMMYFUNCTION("if(D3486=""variant"",  substitute(filter(Templates!E:E, Templates!A:A = F3486, Templates!B:B = G3486, Templates!C:C = H3486), ""{{}}"", E3486), B3486)"),"Louer appartement Murist: Trouvez le bien immobilier qui correspond idéalement à vos désirs sur ImmoScout24 - La plateforme de l'immobilier en Suisse.")</f>
        <v>Louer appartement Murist: Trouvez le bien immobilier qui correspond idéalement à vos désirs sur ImmoScout24 - La plateforme de l'immobilier en Suisse.</v>
      </c>
    </row>
    <row r="3487" hidden="1">
      <c r="A3487" s="5" t="s">
        <v>10077</v>
      </c>
      <c r="B3487" s="2" t="s">
        <v>10078</v>
      </c>
      <c r="C3487" s="2" t="s">
        <v>10078</v>
      </c>
      <c r="D3487" s="4" t="str">
        <f>vlookup(A3487, Sheet2!D:E, 2, 0)</f>
        <v>control</v>
      </c>
      <c r="E3487" s="4" t="str">
        <f>IFERROR(__xludf.DUMMYFUNCTION("if(H3487=""pays"",vlookup(REGEXEXTRACT(C3487, ""🏘️ \w+ \w+ (.*) ✅""),'Country prepositions'!A:B, 2, 0) &amp; "" "" &amp; REGEXEXTRACT(C3487, ""🏘️ \w+ \w+ (.*) ✅"") ,  if(H3487=""quartier"",vlookup(REGEXEXTRACT(C3487, ""🏘️ \w+ \w+ (.*) ✅""),'Quartier prepositio"&amp;"ns'!A:E, 5, 0) ,  if(H3487=""region"",vlookup(REGEXEXTRACT(C3487, ""🏘️ \w+ \w+ (.*) ✅""),'Region prepositions'!B:F, 5, 0),  REGEXEXTRACT(C3487, ""🏘️ \w+ \w+ (.*) ✅""))))"),"#N/A")</f>
        <v>#N/A</v>
      </c>
      <c r="I3487" s="4" t="str">
        <f>IFERROR(__xludf.DUMMYFUNCTION("if(D3487=""variant"",  substitute(filter(Templates!E:E, Templates!A:A = F3487, Templates!B:B = G3487, Templates!C:C = H3487), ""{{}}"", E3487), B3487)"),"Vendre maison Heimberg: Trouvez le bien immobilier qui correspond idéalement à vos désirs sur ImmoScout24 - La plateforme de l'immobilier en Suisse.")</f>
        <v>Vendre maison Heimberg: Trouvez le bien immobilier qui correspond idéalement à vos désirs sur ImmoScout24 - La plateforme de l'immobilier en Suisse.</v>
      </c>
    </row>
    <row r="3488" hidden="1">
      <c r="A3488" s="5" t="s">
        <v>10079</v>
      </c>
      <c r="B3488" s="2" t="s">
        <v>10080</v>
      </c>
      <c r="C3488" s="2" t="s">
        <v>10080</v>
      </c>
      <c r="D3488" s="4" t="str">
        <f>vlookup(A3488, Sheet2!D:E, 2, 0)</f>
        <v>control</v>
      </c>
      <c r="E3488" s="4" t="str">
        <f>IFERROR(__xludf.DUMMYFUNCTION("if(H3488=""pays"",vlookup(REGEXEXTRACT(C3488, ""🏘️ \w+ \w+ (.*) ✅""),'Country prepositions'!A:B, 2, 0) &amp; "" "" &amp; REGEXEXTRACT(C3488, ""🏘️ \w+ \w+ (.*) ✅"") ,  if(H3488=""quartier"",vlookup(REGEXEXTRACT(C3488, ""🏘️ \w+ \w+ (.*) ✅""),'Quartier prepositio"&amp;"ns'!A:E, 5, 0) ,  if(H3488=""region"",vlookup(REGEXEXTRACT(C3488, ""🏘️ \w+ \w+ (.*) ✅""),'Region prepositions'!B:F, 5, 0),  REGEXEXTRACT(C3488, ""🏘️ \w+ \w+ (.*) ✅""))))"),"#N/A")</f>
        <v>#N/A</v>
      </c>
      <c r="I3488" s="4" t="str">
        <f>IFERROR(__xludf.DUMMYFUNCTION("if(D3488=""variant"",  substitute(filter(Templates!E:E, Templates!A:A = F3488, Templates!B:B = G3488, Templates!C:C = H3488), ""{{}}"", E3488), B3488)"),"Louer maison Morgins: Trouvez le bien immobilier qui correspond idéalement à vos désirs sur ImmoScout24 - La plateforme de l'immobilier en Suisse.")</f>
        <v>Louer maison Morgins: Trouvez le bien immobilier qui correspond idéalement à vos désirs sur ImmoScout24 - La plateforme de l'immobilier en Suisse.</v>
      </c>
    </row>
    <row r="3489" hidden="1">
      <c r="A3489" s="5" t="s">
        <v>10081</v>
      </c>
      <c r="B3489" s="2" t="s">
        <v>10082</v>
      </c>
      <c r="C3489" s="2" t="s">
        <v>10082</v>
      </c>
      <c r="D3489" s="4" t="str">
        <f>vlookup(A3489, Sheet2!D:E, 2, 0)</f>
        <v>control</v>
      </c>
      <c r="E3489" s="4" t="str">
        <f>IFERROR(__xludf.DUMMYFUNCTION("if(H3489=""pays"",vlookup(REGEXEXTRACT(C3489, ""🏘️ \w+ \w+ (.*) ✅""),'Country prepositions'!A:B, 2, 0) &amp; "" "" &amp; REGEXEXTRACT(C3489, ""🏘️ \w+ \w+ (.*) ✅"") ,  if(H3489=""quartier"",vlookup(REGEXEXTRACT(C3489, ""🏘️ \w+ \w+ (.*) ✅""),'Quartier prepositio"&amp;"ns'!A:E, 5, 0) ,  if(H3489=""region"",vlookup(REGEXEXTRACT(C3489, ""🏘️ \w+ \w+ (.*) ✅""),'Region prepositions'!B:F, 5, 0),  REGEXEXTRACT(C3489, ""🏘️ \w+ \w+ (.*) ✅""))))"),"#N/A")</f>
        <v>#N/A</v>
      </c>
      <c r="I3489" s="4" t="str">
        <f>IFERROR(__xludf.DUMMYFUNCTION("if(D3489=""variant"",  substitute(filter(Templates!E:E, Templates!A:A = F3489, Templates!B:B = G3489, Templates!C:C = H3489), ""{{}}"", E3489), B3489)"),"Louer maison Morrens VD: Trouvez le bien immobilier qui correspond idéalement à vos désirs sur ImmoScout24 - La plateforme de l'immobilier en Suisse.")</f>
        <v>Louer maison Morrens VD: Trouvez le bien immobilier qui correspond idéalement à vos désirs sur ImmoScout24 - La plateforme de l'immobilier en Suisse.</v>
      </c>
    </row>
    <row r="3490" hidden="1">
      <c r="A3490" s="5" t="s">
        <v>10083</v>
      </c>
      <c r="B3490" s="2" t="s">
        <v>10084</v>
      </c>
      <c r="C3490" s="2" t="s">
        <v>10084</v>
      </c>
      <c r="D3490" s="4" t="str">
        <f>vlookup(A3490, Sheet2!D:E, 2, 0)</f>
        <v>control</v>
      </c>
      <c r="E3490" s="4" t="str">
        <f>IFERROR(__xludf.DUMMYFUNCTION("if(H3490=""pays"",vlookup(REGEXEXTRACT(C3490, ""🏘️ \w+ \w+ (.*) ✅""),'Country prepositions'!A:B, 2, 0) &amp; "" "" &amp; REGEXEXTRACT(C3490, ""🏘️ \w+ \w+ (.*) ✅"") ,  if(H3490=""quartier"",vlookup(REGEXEXTRACT(C3490, ""🏘️ \w+ \w+ (.*) ✅""),'Quartier prepositio"&amp;"ns'!A:E, 5, 0) ,  if(H3490=""region"",vlookup(REGEXEXTRACT(C3490, ""🏘️ \w+ \w+ (.*) ✅""),'Region prepositions'!B:F, 5, 0),  REGEXEXTRACT(C3490, ""🏘️ \w+ \w+ (.*) ✅""))))"),"#N/A")</f>
        <v>#N/A</v>
      </c>
      <c r="I3490" s="4" t="str">
        <f>IFERROR(__xludf.DUMMYFUNCTION("if(D3490=""variant"",  substitute(filter(Templates!E:E, Templates!A:A = F3490, Templates!B:B = G3490, Templates!C:C = H3490), ""{{}}"", E3490), B3490)"),"Louer appartement Schoenberg (Fribourg): Trouvez le bien immobilier qui correspond idéalement à vos désirs sur ImmoScout24 - La plateforme de l'immobilier en Suisse.")</f>
        <v>Louer appartement Schoenberg (Fribourg): Trouvez le bien immobilier qui correspond idéalement à vos désirs sur ImmoScout24 - La plateforme de l'immobilier en Suisse.</v>
      </c>
    </row>
    <row r="3491" hidden="1">
      <c r="A3491" s="5" t="s">
        <v>10085</v>
      </c>
      <c r="B3491" s="2" t="s">
        <v>10086</v>
      </c>
      <c r="C3491" s="2" t="s">
        <v>10086</v>
      </c>
      <c r="D3491" s="4" t="str">
        <f>vlookup(A3491, Sheet2!D:E, 2, 0)</f>
        <v>control</v>
      </c>
      <c r="E3491" s="4" t="str">
        <f>IFERROR(__xludf.DUMMYFUNCTION("if(H3491=""pays"",vlookup(REGEXEXTRACT(C3491, ""🏘️ \w+ \w+ (.*) ✅""),'Country prepositions'!A:B, 2, 0) &amp; "" "" &amp; REGEXEXTRACT(C3491, ""🏘️ \w+ \w+ (.*) ✅"") ,  if(H3491=""quartier"",vlookup(REGEXEXTRACT(C3491, ""🏘️ \w+ \w+ (.*) ✅""),'Quartier prepositio"&amp;"ns'!A:E, 5, 0) ,  if(H3491=""region"",vlookup(REGEXEXTRACT(C3491, ""🏘️ \w+ \w+ (.*) ✅""),'Region prepositions'!B:F, 5, 0),  REGEXEXTRACT(C3491, ""🏘️ \w+ \w+ (.*) ✅""))))"),"#N/A")</f>
        <v>#N/A</v>
      </c>
      <c r="I3491" s="4" t="str">
        <f>IFERROR(__xludf.DUMMYFUNCTION("if(D3491=""variant"",  substitute(filter(Templates!E:E, Templates!A:A = F3491, Templates!B:B = G3491, Templates!C:C = H3491), ""{{}}"", E3491), B3491)"),"Louer appartement Grengiols: Trouvez le bien immobilier qui correspond idéalement à vos désirs sur ImmoScout24 - La plateforme de l'immobilier en Suisse.")</f>
        <v>Louer appartement Grengiols: Trouvez le bien immobilier qui correspond idéalement à vos désirs sur ImmoScout24 - La plateforme de l'immobilier en Suisse.</v>
      </c>
    </row>
    <row r="3492" hidden="1">
      <c r="A3492" s="5" t="s">
        <v>10087</v>
      </c>
      <c r="B3492" s="2" t="s">
        <v>10088</v>
      </c>
      <c r="C3492" s="2" t="s">
        <v>10088</v>
      </c>
      <c r="D3492" s="4" t="str">
        <f>vlookup(A3492, Sheet2!D:E, 2, 0)</f>
        <v>control</v>
      </c>
      <c r="E3492" s="4" t="str">
        <f>IFERROR(__xludf.DUMMYFUNCTION("if(H3492=""pays"",vlookup(REGEXEXTRACT(C3492, ""🏘️ \w+ \w+ (.*) ✅""),'Country prepositions'!A:B, 2, 0) &amp; "" "" &amp; REGEXEXTRACT(C3492, ""🏘️ \w+ \w+ (.*) ✅"") ,  if(H3492=""quartier"",vlookup(REGEXEXTRACT(C3492, ""🏘️ \w+ \w+ (.*) ✅""),'Quartier prepositio"&amp;"ns'!A:E, 5, 0) ,  if(H3492=""region"",vlookup(REGEXEXTRACT(C3492, ""🏘️ \w+ \w+ (.*) ✅""),'Region prepositions'!B:F, 5, 0),  REGEXEXTRACT(C3492, ""🏘️ \w+ \w+ (.*) ✅""))))"),"#N/A")</f>
        <v>#N/A</v>
      </c>
      <c r="I3492" s="4" t="str">
        <f>IFERROR(__xludf.DUMMYFUNCTION("if(D3492=""variant"",  substitute(filter(Templates!E:E, Templates!A:A = F3492, Templates!B:B = G3492, Templates!C:C = H3492), ""{{}}"", E3492), B3492)"),"Louer appartement Rüttenen: Trouvez le bien immobilier qui correspond idéalement à vos désirs sur ImmoScout24 - La plateforme de l'immobilier en Suisse.")</f>
        <v>Louer appartement Rüttenen: Trouvez le bien immobilier qui correspond idéalement à vos désirs sur ImmoScout24 - La plateforme de l'immobilier en Suisse.</v>
      </c>
    </row>
    <row r="3493" hidden="1">
      <c r="A3493" s="5" t="s">
        <v>10089</v>
      </c>
      <c r="B3493" s="2" t="s">
        <v>10090</v>
      </c>
      <c r="C3493" s="2" t="s">
        <v>10090</v>
      </c>
      <c r="D3493" s="4" t="str">
        <f>vlookup(A3493, Sheet2!D:E, 2, 0)</f>
        <v>control</v>
      </c>
      <c r="E3493" s="4" t="str">
        <f>IFERROR(__xludf.DUMMYFUNCTION("if(H3493=""pays"",vlookup(REGEXEXTRACT(C3493, ""🏘️ \w+ \w+ (.*) ✅""),'Country prepositions'!A:B, 2, 0) &amp; "" "" &amp; REGEXEXTRACT(C3493, ""🏘️ \w+ \w+ (.*) ✅"") ,  if(H3493=""quartier"",vlookup(REGEXEXTRACT(C3493, ""🏘️ \w+ \w+ (.*) ✅""),'Quartier prepositio"&amp;"ns'!A:E, 5, 0) ,  if(H3493=""region"",vlookup(REGEXEXTRACT(C3493, ""🏘️ \w+ \w+ (.*) ✅""),'Region prepositions'!B:F, 5, 0),  REGEXEXTRACT(C3493, ""🏘️ \w+ \w+ (.*) ✅""))))"),"#N/A")</f>
        <v>#N/A</v>
      </c>
      <c r="I3493" s="4" t="str">
        <f>IFERROR(__xludf.DUMMYFUNCTION("if(D3493=""variant"",  substitute(filter(Templates!E:E, Templates!A:A = F3493, Templates!B:B = G3493, Templates!C:C = H3493), ""{{}}"", E3493), B3493)"),"Louer maison Schlierbach: Trouvez le bien immobilier qui correspond idéalement à vos désirs sur ImmoScout24 - La plateforme de l'immobilier en Suisse.")</f>
        <v>Louer maison Schlierbach: Trouvez le bien immobilier qui correspond idéalement à vos désirs sur ImmoScout24 - La plateforme de l'immobilier en Suisse.</v>
      </c>
    </row>
    <row r="3494" hidden="1">
      <c r="A3494" s="5" t="s">
        <v>10091</v>
      </c>
      <c r="B3494" s="2" t="s">
        <v>10092</v>
      </c>
      <c r="C3494" s="2" t="s">
        <v>10092</v>
      </c>
      <c r="D3494" s="4" t="str">
        <f>vlookup(A3494, Sheet2!D:E, 2, 0)</f>
        <v>control</v>
      </c>
      <c r="E3494" s="4" t="str">
        <f>IFERROR(__xludf.DUMMYFUNCTION("if(H3494=""pays"",vlookup(REGEXEXTRACT(C3494, ""🏘️ \w+ \w+ (.*) ✅""),'Country prepositions'!A:B, 2, 0) &amp; "" "" &amp; REGEXEXTRACT(C3494, ""🏘️ \w+ \w+ (.*) ✅"") ,  if(H3494=""quartier"",vlookup(REGEXEXTRACT(C3494, ""🏘️ \w+ \w+ (.*) ✅""),'Quartier prepositio"&amp;"ns'!A:E, 5, 0) ,  if(H3494=""region"",vlookup(REGEXEXTRACT(C3494, ""🏘️ \w+ \w+ (.*) ✅""),'Region prepositions'!B:F, 5, 0),  REGEXEXTRACT(C3494, ""🏘️ \w+ \w+ (.*) ✅""))))"),"#N/A")</f>
        <v>#N/A</v>
      </c>
      <c r="I3494" s="4" t="str">
        <f>IFERROR(__xludf.DUMMYFUNCTION("if(D3494=""variant"",  substitute(filter(Templates!E:E, Templates!A:A = F3494, Templates!B:B = G3494, Templates!C:C = H3494), ""{{}}"", E3494), B3494)"),"Vendre maison Aven: Trouvez le bien immobilier qui correspond idéalement à vos désirs sur ImmoScout24 - La plateforme de l'immobilier en Suisse.")</f>
        <v>Vendre maison Aven: Trouvez le bien immobilier qui correspond idéalement à vos désirs sur ImmoScout24 - La plateforme de l'immobilier en Suisse.</v>
      </c>
    </row>
    <row r="3495" hidden="1">
      <c r="A3495" s="5" t="s">
        <v>10093</v>
      </c>
      <c r="B3495" s="2" t="s">
        <v>10094</v>
      </c>
      <c r="C3495" s="2" t="s">
        <v>10094</v>
      </c>
      <c r="D3495" s="4" t="str">
        <f>vlookup(A3495, Sheet2!D:E, 2, 0)</f>
        <v>control</v>
      </c>
      <c r="E3495" s="4" t="str">
        <f>IFERROR(__xludf.DUMMYFUNCTION("if(H3495=""pays"",vlookup(REGEXEXTRACT(C3495, ""🏘️ \w+ \w+ (.*) ✅""),'Country prepositions'!A:B, 2, 0) &amp; "" "" &amp; REGEXEXTRACT(C3495, ""🏘️ \w+ \w+ (.*) ✅"") ,  if(H3495=""quartier"",vlookup(REGEXEXTRACT(C3495, ""🏘️ \w+ \w+ (.*) ✅""),'Quartier prepositio"&amp;"ns'!A:E, 5, 0) ,  if(H3495=""region"",vlookup(REGEXEXTRACT(C3495, ""🏘️ \w+ \w+ (.*) ✅""),'Region prepositions'!B:F, 5, 0),  REGEXEXTRACT(C3495, ""🏘️ \w+ \w+ (.*) ✅""))))"),"#N/A")</f>
        <v>#N/A</v>
      </c>
      <c r="I3495" s="4" t="str">
        <f>IFERROR(__xludf.DUMMYFUNCTION("if(D3495=""variant"",  substitute(filter(Templates!E:E, Templates!A:A = F3495, Templates!B:B = G3495, Templates!C:C = H3495), ""{{}}"", E3495), B3495)"),"Louer maison Basel: Trouvez le bien immobilier qui correspond idéalement à vos désirs sur ImmoScout24 - La plateforme de l'immobilier en Suisse.")</f>
        <v>Louer maison Basel: Trouvez le bien immobilier qui correspond idéalement à vos désirs sur ImmoScout24 - La plateforme de l'immobilier en Suisse.</v>
      </c>
    </row>
    <row r="3496" hidden="1">
      <c r="A3496" s="5" t="s">
        <v>10095</v>
      </c>
      <c r="B3496" s="2" t="s">
        <v>10096</v>
      </c>
      <c r="C3496" s="2" t="s">
        <v>10096</v>
      </c>
      <c r="D3496" s="4" t="str">
        <f>vlookup(A3496, Sheet2!D:E, 2, 0)</f>
        <v>control</v>
      </c>
      <c r="E3496" s="4" t="str">
        <f>IFERROR(__xludf.DUMMYFUNCTION("if(H3496=""pays"",vlookup(REGEXEXTRACT(C3496, ""🏘️ \w+ \w+ (.*) ✅""),'Country prepositions'!A:B, 2, 0) &amp; "" "" &amp; REGEXEXTRACT(C3496, ""🏘️ \w+ \w+ (.*) ✅"") ,  if(H3496=""quartier"",vlookup(REGEXEXTRACT(C3496, ""🏘️ \w+ \w+ (.*) ✅""),'Quartier prepositio"&amp;"ns'!A:E, 5, 0) ,  if(H3496=""region"",vlookup(REGEXEXTRACT(C3496, ""🏘️ \w+ \w+ (.*) ✅""),'Region prepositions'!B:F, 5, 0),  REGEXEXTRACT(C3496, ""🏘️ \w+ \w+ (.*) ✅""))))"),"#N/A")</f>
        <v>#N/A</v>
      </c>
      <c r="I3496" s="4" t="str">
        <f>IFERROR(__xludf.DUMMYFUNCTION("if(D3496=""variant"",  substitute(filter(Templates!E:E, Templates!A:A = F3496, Templates!B:B = G3496, Templates!C:C = H3496), ""{{}}"", E3496), B3496)"),"Louer appartement Norvège: Trouvez le bien immobilier qui correspond idéalement à vos désirs sur ImmoScout24 - La plateforme de l'immobilier en Suisse.")</f>
        <v>Louer appartement Norvège: Trouvez le bien immobilier qui correspond idéalement à vos désirs sur ImmoScout24 - La plateforme de l'immobilier en Suisse.</v>
      </c>
    </row>
    <row r="3497" hidden="1">
      <c r="A3497" s="5" t="s">
        <v>10097</v>
      </c>
      <c r="B3497" s="2" t="s">
        <v>10098</v>
      </c>
      <c r="C3497" s="2" t="s">
        <v>10098</v>
      </c>
      <c r="D3497" s="4" t="str">
        <f>vlookup(A3497, Sheet2!D:E, 2, 0)</f>
        <v>control</v>
      </c>
      <c r="E3497" s="4" t="str">
        <f>IFERROR(__xludf.DUMMYFUNCTION("if(H3497=""pays"",vlookup(REGEXEXTRACT(C3497, ""🏘️ \w+ \w+ (.*) ✅""),'Country prepositions'!A:B, 2, 0) &amp; "" "" &amp; REGEXEXTRACT(C3497, ""🏘️ \w+ \w+ (.*) ✅"") ,  if(H3497=""quartier"",vlookup(REGEXEXTRACT(C3497, ""🏘️ \w+ \w+ (.*) ✅""),'Quartier prepositio"&amp;"ns'!A:E, 5, 0) ,  if(H3497=""region"",vlookup(REGEXEXTRACT(C3497, ""🏘️ \w+ \w+ (.*) ✅""),'Region prepositions'!B:F, 5, 0),  REGEXEXTRACT(C3497, ""🏘️ \w+ \w+ (.*) ✅""))))"),"#N/A")</f>
        <v>#N/A</v>
      </c>
      <c r="I3497" s="4" t="str">
        <f>IFERROR(__xludf.DUMMYFUNCTION("if(D3497=""variant"",  substitute(filter(Templates!E:E, Templates!A:A = F3497, Templates!B:B = G3497, Templates!C:C = H3497), ""{{}}"", E3497), B3497)"),"Vendre appartement Collex: Trouvez le bien immobilier qui correspond idéalement à vos désirs sur ImmoScout24 - La plateforme de l'immobilier en Suisse.")</f>
        <v>Vendre appartement Collex: Trouvez le bien immobilier qui correspond idéalement à vos désirs sur ImmoScout24 - La plateforme de l'immobilier en Suisse.</v>
      </c>
    </row>
    <row r="3498" hidden="1">
      <c r="A3498" s="5" t="s">
        <v>10099</v>
      </c>
      <c r="B3498" s="2" t="s">
        <v>10100</v>
      </c>
      <c r="C3498" s="2" t="s">
        <v>10100</v>
      </c>
      <c r="D3498" s="4" t="str">
        <f>vlookup(A3498, Sheet2!D:E, 2, 0)</f>
        <v>control</v>
      </c>
      <c r="E3498" s="4" t="str">
        <f>IFERROR(__xludf.DUMMYFUNCTION("if(H3498=""pays"",vlookup(REGEXEXTRACT(C3498, ""🏘️ \w+ \w+ (.*) ✅""),'Country prepositions'!A:B, 2, 0) &amp; "" "" &amp; REGEXEXTRACT(C3498, ""🏘️ \w+ \w+ (.*) ✅"") ,  if(H3498=""quartier"",vlookup(REGEXEXTRACT(C3498, ""🏘️ \w+ \w+ (.*) ✅""),'Quartier prepositio"&amp;"ns'!A:E, 5, 0) ,  if(H3498=""region"",vlookup(REGEXEXTRACT(C3498, ""🏘️ \w+ \w+ (.*) ✅""),'Region prepositions'!B:F, 5, 0),  REGEXEXTRACT(C3498, ""🏘️ \w+ \w+ (.*) ✅""))))"),"#N/A")</f>
        <v>#N/A</v>
      </c>
      <c r="I3498" s="4" t="str">
        <f>IFERROR(__xludf.DUMMYFUNCTION("if(D3498=""variant"",  substitute(filter(Templates!E:E, Templates!A:A = F3498, Templates!B:B = G3498, Templates!C:C = H3498), ""{{}}"", E3498), B3498)"),"Louer appartement Dielsdorf: Trouvez le bien immobilier qui correspond idéalement à vos désirs sur ImmoScout24 - La plateforme de l'immobilier en Suisse.")</f>
        <v>Louer appartement Dielsdorf: Trouvez le bien immobilier qui correspond idéalement à vos désirs sur ImmoScout24 - La plateforme de l'immobilier en Suisse.</v>
      </c>
    </row>
    <row r="3499" hidden="1">
      <c r="A3499" s="5" t="s">
        <v>10101</v>
      </c>
      <c r="B3499" s="2" t="s">
        <v>10102</v>
      </c>
      <c r="C3499" s="2" t="s">
        <v>10102</v>
      </c>
      <c r="D3499" s="4" t="str">
        <f>vlookup(A3499, Sheet2!D:E, 2, 0)</f>
        <v>control</v>
      </c>
      <c r="E3499" s="4" t="str">
        <f>IFERROR(__xludf.DUMMYFUNCTION("if(H3499=""pays"",vlookup(REGEXEXTRACT(C3499, ""🏘️ \w+ \w+ (.*) ✅""),'Country prepositions'!A:B, 2, 0) &amp; "" "" &amp; REGEXEXTRACT(C3499, ""🏘️ \w+ \w+ (.*) ✅"") ,  if(H3499=""quartier"",vlookup(REGEXEXTRACT(C3499, ""🏘️ \w+ \w+ (.*) ✅""),'Quartier prepositio"&amp;"ns'!A:E, 5, 0) ,  if(H3499=""region"",vlookup(REGEXEXTRACT(C3499, ""🏘️ \w+ \w+ (.*) ✅""),'Region prepositions'!B:F, 5, 0),  REGEXEXTRACT(C3499, ""🏘️ \w+ \w+ (.*) ✅""))))"),"#N/A")</f>
        <v>#N/A</v>
      </c>
      <c r="I3499" s="4" t="str">
        <f>IFERROR(__xludf.DUMMYFUNCTION("if(D3499=""variant"",  substitute(filter(Templates!E:E, Templates!A:A = F3499, Templates!B:B = G3499, Templates!C:C = H3499), ""{{}}"", E3499), B3499)"),"Louer maison Bernex: Trouvez le bien immobilier qui correspond idéalement à vos désirs sur ImmoScout24 - La plateforme de l'immobilier en Suisse.")</f>
        <v>Louer maison Bernex: Trouvez le bien immobilier qui correspond idéalement à vos désirs sur ImmoScout24 - La plateforme de l'immobilier en Suisse.</v>
      </c>
    </row>
    <row r="3500" hidden="1">
      <c r="A3500" s="5" t="s">
        <v>10103</v>
      </c>
      <c r="B3500" s="2" t="s">
        <v>10104</v>
      </c>
      <c r="C3500" s="2" t="s">
        <v>10104</v>
      </c>
      <c r="D3500" s="4" t="str">
        <f>vlookup(A3500, Sheet2!D:E, 2, 0)</f>
        <v>control</v>
      </c>
      <c r="E3500" s="4" t="str">
        <f>IFERROR(__xludf.DUMMYFUNCTION("if(H3500=""pays"",vlookup(REGEXEXTRACT(C3500, ""🏘️ \w+ \w+ (.*) ✅""),'Country prepositions'!A:B, 2, 0) &amp; "" "" &amp; REGEXEXTRACT(C3500, ""🏘️ \w+ \w+ (.*) ✅"") ,  if(H3500=""quartier"",vlookup(REGEXEXTRACT(C3500, ""🏘️ \w+ \w+ (.*) ✅""),'Quartier prepositio"&amp;"ns'!A:E, 5, 0) ,  if(H3500=""region"",vlookup(REGEXEXTRACT(C3500, ""🏘️ \w+ \w+ (.*) ✅""),'Region prepositions'!B:F, 5, 0),  REGEXEXTRACT(C3500, ""🏘️ \w+ \w+ (.*) ✅""))))"),"#N/A")</f>
        <v>#N/A</v>
      </c>
      <c r="I3500" s="4" t="str">
        <f>IFERROR(__xludf.DUMMYFUNCTION("if(D3500=""variant"",  substitute(filter(Templates!E:E, Templates!A:A = F3500, Templates!B:B = G3500, Templates!C:C = H3500), ""{{}}"", E3500), B3500)"),"Vendre maison Prilly: Trouvez le bien immobilier qui correspond idéalement à vos désirs sur ImmoScout24 - La plateforme de l'immobilier en Suisse.")</f>
        <v>Vendre maison Prilly: Trouvez le bien immobilier qui correspond idéalement à vos désirs sur ImmoScout24 - La plateforme de l'immobilier en Suisse.</v>
      </c>
    </row>
    <row r="3501" hidden="1">
      <c r="A3501" s="5" t="s">
        <v>10105</v>
      </c>
      <c r="B3501" s="2" t="s">
        <v>10106</v>
      </c>
      <c r="C3501" s="2" t="s">
        <v>10106</v>
      </c>
      <c r="D3501" s="4" t="str">
        <f>vlookup(A3501, Sheet2!D:E, 2, 0)</f>
        <v>control</v>
      </c>
      <c r="E3501" s="4" t="str">
        <f>IFERROR(__xludf.DUMMYFUNCTION("if(H3501=""pays"",vlookup(REGEXEXTRACT(C3501, ""🏘️ \w+ \w+ (.*) ✅""),'Country prepositions'!A:B, 2, 0) &amp; "" "" &amp; REGEXEXTRACT(C3501, ""🏘️ \w+ \w+ (.*) ✅"") ,  if(H3501=""quartier"",vlookup(REGEXEXTRACT(C3501, ""🏘️ \w+ \w+ (.*) ✅""),'Quartier prepositio"&amp;"ns'!A:E, 5, 0) ,  if(H3501=""region"",vlookup(REGEXEXTRACT(C3501, ""🏘️ \w+ \w+ (.*) ✅""),'Region prepositions'!B:F, 5, 0),  REGEXEXTRACT(C3501, ""🏘️ \w+ \w+ (.*) ✅""))))"),"#N/A")</f>
        <v>#N/A</v>
      </c>
      <c r="I3501" s="4" t="str">
        <f>IFERROR(__xludf.DUMMYFUNCTION("if(D3501=""variant"",  substitute(filter(Templates!E:E, Templates!A:A = F3501, Templates!B:B = G3501, Templates!C:C = H3501), ""{{}}"", E3501), B3501)"),"Vendre maison Biel/Bienne: Trouvez le bien immobilier qui correspond idéalement à vos désirs sur ImmoScout24 - La plateforme de l'immobilier en Suisse.")</f>
        <v>Vendre maison Biel/Bienne: Trouvez le bien immobilier qui correspond idéalement à vos désirs sur ImmoScout24 - La plateforme de l'immobilier en Suisse.</v>
      </c>
    </row>
    <row r="3502" hidden="1">
      <c r="A3502" s="5" t="s">
        <v>10107</v>
      </c>
      <c r="B3502" s="2" t="s">
        <v>10108</v>
      </c>
      <c r="C3502" s="2" t="s">
        <v>10108</v>
      </c>
      <c r="D3502" s="4" t="str">
        <f>vlookup(A3502, Sheet2!D:E, 2, 0)</f>
        <v>control</v>
      </c>
      <c r="E3502" s="4" t="str">
        <f>IFERROR(__xludf.DUMMYFUNCTION("if(H3502=""pays"",vlookup(REGEXEXTRACT(C3502, ""🏘️ \w+ \w+ (.*) ✅""),'Country prepositions'!A:B, 2, 0) &amp; "" "" &amp; REGEXEXTRACT(C3502, ""🏘️ \w+ \w+ (.*) ✅"") ,  if(H3502=""quartier"",vlookup(REGEXEXTRACT(C3502, ""🏘️ \w+ \w+ (.*) ✅""),'Quartier prepositio"&amp;"ns'!A:E, 5, 0) ,  if(H3502=""region"",vlookup(REGEXEXTRACT(C3502, ""🏘️ \w+ \w+ (.*) ✅""),'Region prepositions'!B:F, 5, 0),  REGEXEXTRACT(C3502, ""🏘️ \w+ \w+ (.*) ✅""))))"),"#N/A")</f>
        <v>#N/A</v>
      </c>
      <c r="I3502" s="4" t="str">
        <f>IFERROR(__xludf.DUMMYFUNCTION("if(D3502=""variant"",  substitute(filter(Templates!E:E, Templates!A:A = F3502, Templates!B:B = G3502, Templates!C:C = H3502), ""{{}}"", E3502), B3502)"),"Louer maison Jura Vaudois: Trouvez le bien immobilier qui correspond idéalement à vos désirs sur ImmoScout24 - La plateforme de l'immobilier en Suisse.")</f>
        <v>Louer maison Jura Vaudois: Trouvez le bien immobilier qui correspond idéalement à vos désirs sur ImmoScout24 - La plateforme de l'immobilier en Suisse.</v>
      </c>
    </row>
    <row r="3503" hidden="1">
      <c r="A3503" s="5" t="s">
        <v>10109</v>
      </c>
      <c r="B3503" s="2" t="s">
        <v>10110</v>
      </c>
      <c r="C3503" s="2" t="s">
        <v>10110</v>
      </c>
      <c r="D3503" s="4" t="str">
        <f>vlookup(A3503, Sheet2!D:E, 2, 0)</f>
        <v>control</v>
      </c>
      <c r="E3503" s="4" t="str">
        <f>IFERROR(__xludf.DUMMYFUNCTION("if(H3503=""pays"",vlookup(REGEXEXTRACT(C3503, ""🏘️ \w+ \w+ (.*) ✅""),'Country prepositions'!A:B, 2, 0) &amp; "" "" &amp; REGEXEXTRACT(C3503, ""🏘️ \w+ \w+ (.*) ✅"") ,  if(H3503=""quartier"",vlookup(REGEXEXTRACT(C3503, ""🏘️ \w+ \w+ (.*) ✅""),'Quartier prepositio"&amp;"ns'!A:E, 5, 0) ,  if(H3503=""region"",vlookup(REGEXEXTRACT(C3503, ""🏘️ \w+ \w+ (.*) ✅""),'Region prepositions'!B:F, 5, 0),  REGEXEXTRACT(C3503, ""🏘️ \w+ \w+ (.*) ✅""))))"),"#N/A")</f>
        <v>#N/A</v>
      </c>
      <c r="I3503" s="4" t="str">
        <f>IFERROR(__xludf.DUMMYFUNCTION("if(D3503=""variant"",  substitute(filter(Templates!E:E, Templates!A:A = F3503, Templates!B:B = G3503, Templates!C:C = H3503), ""{{}}"", E3503), B3503)"),"Louer maison Sattel: Trouvez le bien immobilier qui correspond idéalement à vos désirs sur ImmoScout24 - La plateforme de l'immobilier en Suisse.")</f>
        <v>Louer maison Sattel: Trouvez le bien immobilier qui correspond idéalement à vos désirs sur ImmoScout24 - La plateforme de l'immobilier en Suisse.</v>
      </c>
    </row>
    <row r="3504" hidden="1">
      <c r="A3504" s="5" t="s">
        <v>10111</v>
      </c>
      <c r="B3504" s="2" t="s">
        <v>10112</v>
      </c>
      <c r="C3504" s="2" t="s">
        <v>10112</v>
      </c>
      <c r="D3504" s="4" t="str">
        <f>vlookup(A3504, Sheet2!D:E, 2, 0)</f>
        <v>control</v>
      </c>
      <c r="E3504" s="4" t="str">
        <f>IFERROR(__xludf.DUMMYFUNCTION("if(H3504=""pays"",vlookup(REGEXEXTRACT(C3504, ""🏘️ \w+ \w+ (.*) ✅""),'Country prepositions'!A:B, 2, 0) &amp; "" "" &amp; REGEXEXTRACT(C3504, ""🏘️ \w+ \w+ (.*) ✅"") ,  if(H3504=""quartier"",vlookup(REGEXEXTRACT(C3504, ""🏘️ \w+ \w+ (.*) ✅""),'Quartier prepositio"&amp;"ns'!A:E, 5, 0) ,  if(H3504=""region"",vlookup(REGEXEXTRACT(C3504, ""🏘️ \w+ \w+ (.*) ✅""),'Region prepositions'!B:F, 5, 0),  REGEXEXTRACT(C3504, ""🏘️ \w+ \w+ (.*) ✅""))))"),"#N/A")</f>
        <v>#N/A</v>
      </c>
      <c r="I3504" s="4" t="str">
        <f>IFERROR(__xludf.DUMMYFUNCTION("if(D3504=""variant"",  substitute(filter(Templates!E:E, Templates!A:A = F3504, Templates!B:B = G3504, Templates!C:C = H3504), ""{{}}"", E3504), B3504)"),"Vendre maison Choëx: Trouvez le bien immobilier qui correspond idéalement à vos désirs sur ImmoScout24 - La plateforme de l'immobilier en Suisse.")</f>
        <v>Vendre maison Choëx: Trouvez le bien immobilier qui correspond idéalement à vos désirs sur ImmoScout24 - La plateforme de l'immobilier en Suisse.</v>
      </c>
    </row>
    <row r="3505" hidden="1">
      <c r="A3505" s="5" t="s">
        <v>10113</v>
      </c>
      <c r="B3505" s="2" t="s">
        <v>10114</v>
      </c>
      <c r="C3505" s="2" t="s">
        <v>10114</v>
      </c>
      <c r="D3505" s="4" t="str">
        <f>vlookup(A3505, Sheet2!D:E, 2, 0)</f>
        <v>control</v>
      </c>
      <c r="E3505" s="4" t="str">
        <f>IFERROR(__xludf.DUMMYFUNCTION("if(H3505=""pays"",vlookup(REGEXEXTRACT(C3505, ""🏘️ \w+ \w+ (.*) ✅""),'Country prepositions'!A:B, 2, 0) &amp; "" "" &amp; REGEXEXTRACT(C3505, ""🏘️ \w+ \w+ (.*) ✅"") ,  if(H3505=""quartier"",vlookup(REGEXEXTRACT(C3505, ""🏘️ \w+ \w+ (.*) ✅""),'Quartier prepositio"&amp;"ns'!A:E, 5, 0) ,  if(H3505=""region"",vlookup(REGEXEXTRACT(C3505, ""🏘️ \w+ \w+ (.*) ✅""),'Region prepositions'!B:F, 5, 0),  REGEXEXTRACT(C3505, ""🏘️ \w+ \w+ (.*) ✅""))))"),"#N/A")</f>
        <v>#N/A</v>
      </c>
      <c r="I3505" s="4" t="str">
        <f>IFERROR(__xludf.DUMMYFUNCTION("if(D3505=""variant"",  substitute(filter(Templates!E:E, Templates!A:A = F3505, Templates!B:B = G3505, Templates!C:C = H3505), ""{{}}"", E3505), B3505)"),"Louer maison St. Gallen: Trouvez le bien immobilier qui correspond idéalement à vos désirs sur ImmoScout24 - La plateforme de l'immobilier en Suisse.")</f>
        <v>Louer maison St. Gallen: Trouvez le bien immobilier qui correspond idéalement à vos désirs sur ImmoScout24 - La plateforme de l'immobilier en Suisse.</v>
      </c>
    </row>
    <row r="3506" hidden="1">
      <c r="A3506" s="5" t="s">
        <v>10115</v>
      </c>
      <c r="B3506" s="2" t="s">
        <v>10116</v>
      </c>
      <c r="C3506" s="2" t="s">
        <v>10116</v>
      </c>
      <c r="D3506" s="4" t="str">
        <f>vlookup(A3506, Sheet2!D:E, 2, 0)</f>
        <v>control</v>
      </c>
      <c r="E3506" s="4" t="str">
        <f>IFERROR(__xludf.DUMMYFUNCTION("if(H3506=""pays"",vlookup(REGEXEXTRACT(C3506, ""🏘️ \w+ \w+ (.*) ✅""),'Country prepositions'!A:B, 2, 0) &amp; "" "" &amp; REGEXEXTRACT(C3506, ""🏘️ \w+ \w+ (.*) ✅"") ,  if(H3506=""quartier"",vlookup(REGEXEXTRACT(C3506, ""🏘️ \w+ \w+ (.*) ✅""),'Quartier prepositio"&amp;"ns'!A:E, 5, 0) ,  if(H3506=""region"",vlookup(REGEXEXTRACT(C3506, ""🏘️ \w+ \w+ (.*) ✅""),'Region prepositions'!B:F, 5, 0),  REGEXEXTRACT(C3506, ""🏘️ \w+ \w+ (.*) ✅""))))"),"#N/A")</f>
        <v>#N/A</v>
      </c>
      <c r="I3506" s="4" t="str">
        <f>IFERROR(__xludf.DUMMYFUNCTION("if(D3506=""variant"",  substitute(filter(Templates!E:E, Templates!A:A = F3506, Templates!B:B = G3506, Templates!C:C = H3506), ""{{}}"", E3506), B3506)"),"Vendre maison Goumois: Trouvez le bien immobilier qui correspond idéalement à vos désirs sur ImmoScout24 - La plateforme de l'immobilier en Suisse.")</f>
        <v>Vendre maison Goumois: Trouvez le bien immobilier qui correspond idéalement à vos désirs sur ImmoScout24 - La plateforme de l'immobilier en Suisse.</v>
      </c>
    </row>
    <row r="3507" hidden="1">
      <c r="A3507" s="5" t="s">
        <v>10117</v>
      </c>
      <c r="B3507" s="2" t="s">
        <v>10118</v>
      </c>
      <c r="C3507" s="2" t="s">
        <v>10118</v>
      </c>
      <c r="D3507" s="4" t="str">
        <f>vlookup(A3507, Sheet2!D:E, 2, 0)</f>
        <v>control</v>
      </c>
      <c r="E3507" s="4" t="str">
        <f>IFERROR(__xludf.DUMMYFUNCTION("if(H3507=""pays"",vlookup(REGEXEXTRACT(C3507, ""🏘️ \w+ \w+ (.*) ✅""),'Country prepositions'!A:B, 2, 0) &amp; "" "" &amp; REGEXEXTRACT(C3507, ""🏘️ \w+ \w+ (.*) ✅"") ,  if(H3507=""quartier"",vlookup(REGEXEXTRACT(C3507, ""🏘️ \w+ \w+ (.*) ✅""),'Quartier prepositio"&amp;"ns'!A:E, 5, 0) ,  if(H3507=""region"",vlookup(REGEXEXTRACT(C3507, ""🏘️ \w+ \w+ (.*) ✅""),'Region prepositions'!B:F, 5, 0),  REGEXEXTRACT(C3507, ""🏘️ \w+ \w+ (.*) ✅""))))"),"#N/A")</f>
        <v>#N/A</v>
      </c>
      <c r="I3507" s="4" t="str">
        <f>IFERROR(__xludf.DUMMYFUNCTION("if(D3507=""variant"",  substitute(filter(Templates!E:E, Templates!A:A = F3507, Templates!B:B = G3507, Templates!C:C = H3507), ""{{}}"", E3507), B3507)"),"Vendre maison Trey: Trouvez le bien immobilier qui correspond idéalement à vos désirs sur ImmoScout24 - La plateforme de l'immobilier en Suisse.")</f>
        <v>Vendre maison Trey: Trouvez le bien immobilier qui correspond idéalement à vos désirs sur ImmoScout24 - La plateforme de l'immobilier en Suisse.</v>
      </c>
    </row>
    <row r="3508" hidden="1">
      <c r="A3508" s="5" t="s">
        <v>10119</v>
      </c>
      <c r="B3508" s="2" t="s">
        <v>10120</v>
      </c>
      <c r="C3508" s="2" t="s">
        <v>10120</v>
      </c>
      <c r="D3508" s="4" t="str">
        <f>vlookup(A3508, Sheet2!D:E, 2, 0)</f>
        <v>control</v>
      </c>
      <c r="E3508" s="4" t="str">
        <f>IFERROR(__xludf.DUMMYFUNCTION("if(H3508=""pays"",vlookup(REGEXEXTRACT(C3508, ""🏘️ \w+ \w+ (.*) ✅""),'Country prepositions'!A:B, 2, 0) &amp; "" "" &amp; REGEXEXTRACT(C3508, ""🏘️ \w+ \w+ (.*) ✅"") ,  if(H3508=""quartier"",vlookup(REGEXEXTRACT(C3508, ""🏘️ \w+ \w+ (.*) ✅""),'Quartier prepositio"&amp;"ns'!A:E, 5, 0) ,  if(H3508=""region"",vlookup(REGEXEXTRACT(C3508, ""🏘️ \w+ \w+ (.*) ✅""),'Region prepositions'!B:F, 5, 0),  REGEXEXTRACT(C3508, ""🏘️ \w+ \w+ (.*) ✅""))))"),"#N/A")</f>
        <v>#N/A</v>
      </c>
      <c r="I3508" s="4" t="str">
        <f>IFERROR(__xludf.DUMMYFUNCTION("if(D3508=""variant"",  substitute(filter(Templates!E:E, Templates!A:A = F3508, Templates!B:B = G3508, Templates!C:C = H3508), ""{{}}"", E3508), B3508)"),"Vendre maison Balerna: Trouvez le bien immobilier qui correspond idéalement à vos désirs sur ImmoScout24 - La plateforme de l'immobilier en Suisse.")</f>
        <v>Vendre maison Balerna: Trouvez le bien immobilier qui correspond idéalement à vos désirs sur ImmoScout24 - La plateforme de l'immobilier en Suisse.</v>
      </c>
    </row>
    <row r="3509" hidden="1">
      <c r="A3509" s="5" t="s">
        <v>10121</v>
      </c>
      <c r="B3509" s="2" t="s">
        <v>10122</v>
      </c>
      <c r="C3509" s="2" t="s">
        <v>10122</v>
      </c>
      <c r="D3509" s="4" t="str">
        <f>vlookup(A3509, Sheet2!D:E, 2, 0)</f>
        <v>control</v>
      </c>
      <c r="E3509" s="4" t="str">
        <f>IFERROR(__xludf.DUMMYFUNCTION("if(H3509=""pays"",vlookup(REGEXEXTRACT(C3509, ""🏘️ \w+ \w+ (.*) ✅""),'Country prepositions'!A:B, 2, 0) &amp; "" "" &amp; REGEXEXTRACT(C3509, ""🏘️ \w+ \w+ (.*) ✅"") ,  if(H3509=""quartier"",vlookup(REGEXEXTRACT(C3509, ""🏘️ \w+ \w+ (.*) ✅""),'Quartier prepositio"&amp;"ns'!A:E, 5, 0) ,  if(H3509=""region"",vlookup(REGEXEXTRACT(C3509, ""🏘️ \w+ \w+ (.*) ✅""),'Region prepositions'!B:F, 5, 0),  REGEXEXTRACT(C3509, ""🏘️ \w+ \w+ (.*) ✅""))))"),"#N/A")</f>
        <v>#N/A</v>
      </c>
      <c r="I3509" s="4" t="str">
        <f>IFERROR(__xludf.DUMMYFUNCTION("if(D3509=""variant"",  substitute(filter(Templates!E:E, Templates!A:A = F3509, Templates!B:B = G3509, Templates!C:C = H3509), ""{{}}"", E3509), B3509)"),"Vendre appartement Versoix: Trouvez le bien immobilier qui correspond idéalement à vos désirs sur ImmoScout24 - La plateforme de l'immobilier en Suisse.")</f>
        <v>Vendre appartement Versoix: Trouvez le bien immobilier qui correspond idéalement à vos désirs sur ImmoScout24 - La plateforme de l'immobilier en Suisse.</v>
      </c>
    </row>
    <row r="3510" hidden="1">
      <c r="A3510" s="5" t="s">
        <v>10123</v>
      </c>
      <c r="B3510" s="2" t="s">
        <v>10124</v>
      </c>
      <c r="C3510" s="2" t="s">
        <v>10124</v>
      </c>
      <c r="D3510" s="4" t="str">
        <f>vlookup(A3510, Sheet2!D:E, 2, 0)</f>
        <v>control</v>
      </c>
      <c r="E3510" s="4" t="str">
        <f>IFERROR(__xludf.DUMMYFUNCTION("if(H3510=""pays"",vlookup(REGEXEXTRACT(C3510, ""🏘️ \w+ \w+ (.*) ✅""),'Country prepositions'!A:B, 2, 0) &amp; "" "" &amp; REGEXEXTRACT(C3510, ""🏘️ \w+ \w+ (.*) ✅"") ,  if(H3510=""quartier"",vlookup(REGEXEXTRACT(C3510, ""🏘️ \w+ \w+ (.*) ✅""),'Quartier prepositio"&amp;"ns'!A:E, 5, 0) ,  if(H3510=""region"",vlookup(REGEXEXTRACT(C3510, ""🏘️ \w+ \w+ (.*) ✅""),'Region prepositions'!B:F, 5, 0),  REGEXEXTRACT(C3510, ""🏘️ \w+ \w+ (.*) ✅""))))"),"#N/A")</f>
        <v>#N/A</v>
      </c>
      <c r="I3510" s="4" t="str">
        <f>IFERROR(__xludf.DUMMYFUNCTION("if(D3510=""variant"",  substitute(filter(Templates!E:E, Templates!A:A = F3510, Templates!B:B = G3510, Templates!C:C = H3510), ""{{}}"", E3510), B3510)"),"Vendre appartement Canton des Grisons: Trouvez le bien immobilier qui correspond idéalement à vos désirs sur ImmoScout24 - La plateforme de l'immobilier en Suisse.")</f>
        <v>Vendre appartement Canton des Grisons: Trouvez le bien immobilier qui correspond idéalement à vos désirs sur ImmoScout24 - La plateforme de l'immobilier en Suisse.</v>
      </c>
    </row>
    <row r="3511" hidden="1">
      <c r="A3511" s="5" t="s">
        <v>10125</v>
      </c>
      <c r="B3511" s="2" t="s">
        <v>10126</v>
      </c>
      <c r="C3511" s="2" t="s">
        <v>10126</v>
      </c>
      <c r="D3511" s="4" t="str">
        <f>vlookup(A3511, Sheet2!D:E, 2, 0)</f>
        <v>control</v>
      </c>
      <c r="E3511" s="4" t="str">
        <f>IFERROR(__xludf.DUMMYFUNCTION("if(H3511=""pays"",vlookup(REGEXEXTRACT(C3511, ""🏘️ \w+ \w+ (.*) ✅""),'Country prepositions'!A:B, 2, 0) &amp; "" "" &amp; REGEXEXTRACT(C3511, ""🏘️ \w+ \w+ (.*) ✅"") ,  if(H3511=""quartier"",vlookup(REGEXEXTRACT(C3511, ""🏘️ \w+ \w+ (.*) ✅""),'Quartier prepositio"&amp;"ns'!A:E, 5, 0) ,  if(H3511=""region"",vlookup(REGEXEXTRACT(C3511, ""🏘️ \w+ \w+ (.*) ✅""),'Region prepositions'!B:F, 5, 0),  REGEXEXTRACT(C3511, ""🏘️ \w+ \w+ (.*) ✅""))))"),"#N/A")</f>
        <v>#N/A</v>
      </c>
      <c r="I3511" s="4" t="str">
        <f>IFERROR(__xludf.DUMMYFUNCTION("if(D3511=""variant"",  substitute(filter(Templates!E:E, Templates!A:A = F3511, Templates!B:B = G3511, Templates!C:C = H3511), ""{{}}"", E3511), B3511)"),"Vendre appartement Steckborn: Trouvez le bien immobilier qui correspond idéalement à vos désirs sur ImmoScout24 - La plateforme de l'immobilier en Suisse.")</f>
        <v>Vendre appartement Steckborn: Trouvez le bien immobilier qui correspond idéalement à vos désirs sur ImmoScout24 - La plateforme de l'immobilier en Suisse.</v>
      </c>
    </row>
    <row r="3512" hidden="1">
      <c r="A3512" s="5" t="s">
        <v>10127</v>
      </c>
      <c r="B3512" s="2" t="s">
        <v>10128</v>
      </c>
      <c r="C3512" s="2" t="s">
        <v>10128</v>
      </c>
      <c r="D3512" s="4" t="str">
        <f>vlookup(A3512, Sheet2!D:E, 2, 0)</f>
        <v>control</v>
      </c>
      <c r="E3512" s="4" t="str">
        <f>IFERROR(__xludf.DUMMYFUNCTION("if(H3512=""pays"",vlookup(REGEXEXTRACT(C3512, ""🏘️ \w+ \w+ (.*) ✅""),'Country prepositions'!A:B, 2, 0) &amp; "" "" &amp; REGEXEXTRACT(C3512, ""🏘️ \w+ \w+ (.*) ✅"") ,  if(H3512=""quartier"",vlookup(REGEXEXTRACT(C3512, ""🏘️ \w+ \w+ (.*) ✅""),'Quartier prepositio"&amp;"ns'!A:E, 5, 0) ,  if(H3512=""region"",vlookup(REGEXEXTRACT(C3512, ""🏘️ \w+ \w+ (.*) ✅""),'Region prepositions'!B:F, 5, 0),  REGEXEXTRACT(C3512, ""🏘️ \w+ \w+ (.*) ✅""))))"),"#N/A")</f>
        <v>#N/A</v>
      </c>
      <c r="I3512" s="4" t="str">
        <f>IFERROR(__xludf.DUMMYFUNCTION("if(D3512=""variant"",  substitute(filter(Templates!E:E, Templates!A:A = F3512, Templates!B:B = G3512, Templates!C:C = H3512), ""{{}}"", E3512), B3512)"),"Louer appartement Bibern SO: Trouvez le bien immobilier qui correspond idéalement à vos désirs sur ImmoScout24 - La plateforme de l'immobilier en Suisse.")</f>
        <v>Louer appartement Bibern SO: Trouvez le bien immobilier qui correspond idéalement à vos désirs sur ImmoScout24 - La plateforme de l'immobilier en Suisse.</v>
      </c>
    </row>
    <row r="3513" hidden="1">
      <c r="A3513" s="5" t="s">
        <v>10129</v>
      </c>
      <c r="B3513" s="2" t="s">
        <v>10130</v>
      </c>
      <c r="C3513" s="2" t="s">
        <v>10130</v>
      </c>
      <c r="D3513" s="4" t="str">
        <f>vlookup(A3513, Sheet2!D:E, 2, 0)</f>
        <v>control</v>
      </c>
      <c r="E3513" s="4" t="str">
        <f>IFERROR(__xludf.DUMMYFUNCTION("if(H3513=""pays"",vlookup(REGEXEXTRACT(C3513, ""🏘️ \w+ \w+ (.*) ✅""),'Country prepositions'!A:B, 2, 0) &amp; "" "" &amp; REGEXEXTRACT(C3513, ""🏘️ \w+ \w+ (.*) ✅"") ,  if(H3513=""quartier"",vlookup(REGEXEXTRACT(C3513, ""🏘️ \w+ \w+ (.*) ✅""),'Quartier prepositio"&amp;"ns'!A:E, 5, 0) ,  if(H3513=""region"",vlookup(REGEXEXTRACT(C3513, ""🏘️ \w+ \w+ (.*) ✅""),'Region prepositions'!B:F, 5, 0),  REGEXEXTRACT(C3513, ""🏘️ \w+ \w+ (.*) ✅""))))"),"#N/A")</f>
        <v>#N/A</v>
      </c>
      <c r="I3513" s="4" t="str">
        <f>IFERROR(__xludf.DUMMYFUNCTION("if(D3513=""variant"",  substitute(filter(Templates!E:E, Templates!A:A = F3513, Templates!B:B = G3513, Templates!C:C = H3513), ""{{}}"", E3513), B3513)"),"Vendre maison Epalinges: Trouvez le bien immobilier qui correspond idéalement à vos désirs sur ImmoScout24 - La plateforme de l'immobilier en Suisse.")</f>
        <v>Vendre maison Epalinges: Trouvez le bien immobilier qui correspond idéalement à vos désirs sur ImmoScout24 - La plateforme de l'immobilier en Suisse.</v>
      </c>
    </row>
    <row r="3514" hidden="1">
      <c r="A3514" s="5" t="s">
        <v>10131</v>
      </c>
      <c r="B3514" s="2" t="s">
        <v>10132</v>
      </c>
      <c r="C3514" s="2" t="s">
        <v>10132</v>
      </c>
      <c r="D3514" s="4" t="str">
        <f>vlookup(A3514, Sheet2!D:E, 2, 0)</f>
        <v>control</v>
      </c>
      <c r="E3514" s="4" t="str">
        <f>IFERROR(__xludf.DUMMYFUNCTION("if(H3514=""pays"",vlookup(REGEXEXTRACT(C3514, ""🏘️ \w+ \w+ (.*) ✅""),'Country prepositions'!A:B, 2, 0) &amp; "" "" &amp; REGEXEXTRACT(C3514, ""🏘️ \w+ \w+ (.*) ✅"") ,  if(H3514=""quartier"",vlookup(REGEXEXTRACT(C3514, ""🏘️ \w+ \w+ (.*) ✅""),'Quartier prepositio"&amp;"ns'!A:E, 5, 0) ,  if(H3514=""region"",vlookup(REGEXEXTRACT(C3514, ""🏘️ \w+ \w+ (.*) ✅""),'Region prepositions'!B:F, 5, 0),  REGEXEXTRACT(C3514, ""🏘️ \w+ \w+ (.*) ✅""))))"),"#N/A")</f>
        <v>#N/A</v>
      </c>
      <c r="I3514" s="4" t="str">
        <f>IFERROR(__xludf.DUMMYFUNCTION("if(D3514=""variant"",  substitute(filter(Templates!E:E, Templates!A:A = F3514, Templates!B:B = G3514, Templates!C:C = H3514), ""{{}}"", E3514), B3514)"),"Vendre maison Cadro: Trouvez le bien immobilier qui correspond idéalement à vos désirs sur ImmoScout24 - La plateforme de l'immobilier en Suisse.")</f>
        <v>Vendre maison Cadro: Trouvez le bien immobilier qui correspond idéalement à vos désirs sur ImmoScout24 - La plateforme de l'immobilier en Suisse.</v>
      </c>
    </row>
    <row r="3515" hidden="1">
      <c r="A3515" s="5" t="s">
        <v>10133</v>
      </c>
      <c r="B3515" s="2" t="s">
        <v>10134</v>
      </c>
      <c r="C3515" s="2" t="s">
        <v>10134</v>
      </c>
      <c r="D3515" s="4" t="str">
        <f>vlookup(A3515, Sheet2!D:E, 2, 0)</f>
        <v>control</v>
      </c>
      <c r="E3515" s="4" t="str">
        <f>IFERROR(__xludf.DUMMYFUNCTION("if(H3515=""pays"",vlookup(REGEXEXTRACT(C3515, ""🏘️ \w+ \w+ (.*) ✅""),'Country prepositions'!A:B, 2, 0) &amp; "" "" &amp; REGEXEXTRACT(C3515, ""🏘️ \w+ \w+ (.*) ✅"") ,  if(H3515=""quartier"",vlookup(REGEXEXTRACT(C3515, ""🏘️ \w+ \w+ (.*) ✅""),'Quartier prepositio"&amp;"ns'!A:E, 5, 0) ,  if(H3515=""region"",vlookup(REGEXEXTRACT(C3515, ""🏘️ \w+ \w+ (.*) ✅""),'Region prepositions'!B:F, 5, 0),  REGEXEXTRACT(C3515, ""🏘️ \w+ \w+ (.*) ✅""))))"),"#N/A")</f>
        <v>#N/A</v>
      </c>
      <c r="I3515" s="4" t="str">
        <f>IFERROR(__xludf.DUMMYFUNCTION("if(D3515=""variant"",  substitute(filter(Templates!E:E, Templates!A:A = F3515, Templates!B:B = G3515, Templates!C:C = H3515), ""{{}}"", E3515), B3515)"),"Vendre maison Lugano e dintorni: Trouvez le bien immobilier qui correspond idéalement à vos désirs sur ImmoScout24 - La plateforme de l'immobilier en Suisse.")</f>
        <v>Vendre maison Lugano e dintorni: Trouvez le bien immobilier qui correspond idéalement à vos désirs sur ImmoScout24 - La plateforme de l'immobilier en Suisse.</v>
      </c>
    </row>
    <row r="3516" hidden="1">
      <c r="A3516" s="5" t="s">
        <v>10135</v>
      </c>
      <c r="B3516" s="2" t="s">
        <v>10136</v>
      </c>
      <c r="C3516" s="2" t="s">
        <v>10136</v>
      </c>
      <c r="D3516" s="4" t="str">
        <f>vlookup(A3516, Sheet2!D:E, 2, 0)</f>
        <v>control</v>
      </c>
      <c r="E3516" s="4" t="str">
        <f>IFERROR(__xludf.DUMMYFUNCTION("if(H3516=""pays"",vlookup(REGEXEXTRACT(C3516, ""🏘️ \w+ \w+ (.*) ✅""),'Country prepositions'!A:B, 2, 0) &amp; "" "" &amp; REGEXEXTRACT(C3516, ""🏘️ \w+ \w+ (.*) ✅"") ,  if(H3516=""quartier"",vlookup(REGEXEXTRACT(C3516, ""🏘️ \w+ \w+ (.*) ✅""),'Quartier prepositio"&amp;"ns'!A:E, 5, 0) ,  if(H3516=""region"",vlookup(REGEXEXTRACT(C3516, ""🏘️ \w+ \w+ (.*) ✅""),'Region prepositions'!B:F, 5, 0),  REGEXEXTRACT(C3516, ""🏘️ \w+ \w+ (.*) ✅""))))"),"#N/A")</f>
        <v>#N/A</v>
      </c>
      <c r="I3516" s="4" t="str">
        <f>IFERROR(__xludf.DUMMYFUNCTION("if(D3516=""variant"",  substitute(filter(Templates!E:E, Templates!A:A = F3516, Templates!B:B = G3516, Templates!C:C = H3516), ""{{}}"", E3516), B3516)"),"Louer maison Les Marécottes: Trouvez le bien immobilier qui correspond idéalement à vos désirs sur ImmoScout24 - La plateforme de l'immobilier en Suisse.")</f>
        <v>Louer maison Les Marécottes: Trouvez le bien immobilier qui correspond idéalement à vos désirs sur ImmoScout24 - La plateforme de l'immobilier en Suisse.</v>
      </c>
    </row>
    <row r="3517" hidden="1">
      <c r="A3517" s="5" t="s">
        <v>10137</v>
      </c>
      <c r="B3517" s="2" t="s">
        <v>10138</v>
      </c>
      <c r="C3517" s="2" t="s">
        <v>10138</v>
      </c>
      <c r="D3517" s="4" t="str">
        <f>vlookup(A3517, Sheet2!D:E, 2, 0)</f>
        <v>control</v>
      </c>
      <c r="E3517" s="4" t="str">
        <f>IFERROR(__xludf.DUMMYFUNCTION("if(H3517=""pays"",vlookup(REGEXEXTRACT(C3517, ""🏘️ \w+ \w+ (.*) ✅""),'Country prepositions'!A:B, 2, 0) &amp; "" "" &amp; REGEXEXTRACT(C3517, ""🏘️ \w+ \w+ (.*) ✅"") ,  if(H3517=""quartier"",vlookup(REGEXEXTRACT(C3517, ""🏘️ \w+ \w+ (.*) ✅""),'Quartier prepositio"&amp;"ns'!A:E, 5, 0) ,  if(H3517=""region"",vlookup(REGEXEXTRACT(C3517, ""🏘️ \w+ \w+ (.*) ✅""),'Region prepositions'!B:F, 5, 0),  REGEXEXTRACT(C3517, ""🏘️ \w+ \w+ (.*) ✅""))))"),"#N/A")</f>
        <v>#N/A</v>
      </c>
      <c r="I3517" s="4" t="str">
        <f>IFERROR(__xludf.DUMMYFUNCTION("if(D3517=""variant"",  substitute(filter(Templates!E:E, Templates!A:A = F3517, Templates!B:B = G3517, Templates!C:C = H3517), ""{{}}"", E3517), B3517)"),"Louer maison Salvenach: Trouvez le bien immobilier qui correspond idéalement à vos désirs sur ImmoScout24 - La plateforme de l'immobilier en Suisse.")</f>
        <v>Louer maison Salvenach: Trouvez le bien immobilier qui correspond idéalement à vos désirs sur ImmoScout24 - La plateforme de l'immobilier en Suisse.</v>
      </c>
    </row>
    <row r="3518" hidden="1">
      <c r="A3518" s="5" t="s">
        <v>10139</v>
      </c>
      <c r="B3518" s="2" t="s">
        <v>10140</v>
      </c>
      <c r="C3518" s="2" t="s">
        <v>10140</v>
      </c>
      <c r="D3518" s="4" t="str">
        <f>vlookup(A3518, Sheet2!D:E, 2, 0)</f>
        <v>control</v>
      </c>
      <c r="E3518" s="4" t="str">
        <f>IFERROR(__xludf.DUMMYFUNCTION("if(H3518=""pays"",vlookup(REGEXEXTRACT(C3518, ""🏘️ \w+ \w+ (.*) ✅""),'Country prepositions'!A:B, 2, 0) &amp; "" "" &amp; REGEXEXTRACT(C3518, ""🏘️ \w+ \w+ (.*) ✅"") ,  if(H3518=""quartier"",vlookup(REGEXEXTRACT(C3518, ""🏘️ \w+ \w+ (.*) ✅""),'Quartier prepositio"&amp;"ns'!A:E, 5, 0) ,  if(H3518=""region"",vlookup(REGEXEXTRACT(C3518, ""🏘️ \w+ \w+ (.*) ✅""),'Region prepositions'!B:F, 5, 0),  REGEXEXTRACT(C3518, ""🏘️ \w+ \w+ (.*) ✅""))))"),"#N/A")</f>
        <v>#N/A</v>
      </c>
      <c r="I3518" s="4" t="str">
        <f>IFERROR(__xludf.DUMMYFUNCTION("if(D3518=""variant"",  substitute(filter(Templates!E:E, Templates!A:A = F3518, Templates!B:B = G3518, Templates!C:C = H3518), ""{{}}"", E3518), B3518)"),"Vendre maison Chandolin: Trouvez le bien immobilier qui correspond idéalement à vos désirs sur ImmoScout24 - La plateforme de l'immobilier en Suisse.")</f>
        <v>Vendre maison Chandolin: Trouvez le bien immobilier qui correspond idéalement à vos désirs sur ImmoScout24 - La plateforme de l'immobilier en Suisse.</v>
      </c>
    </row>
    <row r="3519" hidden="1">
      <c r="A3519" s="5" t="s">
        <v>10141</v>
      </c>
      <c r="B3519" s="2" t="s">
        <v>10142</v>
      </c>
      <c r="C3519" s="2" t="s">
        <v>10142</v>
      </c>
      <c r="D3519" s="4" t="str">
        <f>vlookup(A3519, Sheet2!D:E, 2, 0)</f>
        <v>control</v>
      </c>
      <c r="E3519" s="4" t="str">
        <f>IFERROR(__xludf.DUMMYFUNCTION("if(H3519=""pays"",vlookup(REGEXEXTRACT(C3519, ""🏘️ \w+ \w+ (.*) ✅""),'Country prepositions'!A:B, 2, 0) &amp; "" "" &amp; REGEXEXTRACT(C3519, ""🏘️ \w+ \w+ (.*) ✅"") ,  if(H3519=""quartier"",vlookup(REGEXEXTRACT(C3519, ""🏘️ \w+ \w+ (.*) ✅""),'Quartier prepositio"&amp;"ns'!A:E, 5, 0) ,  if(H3519=""region"",vlookup(REGEXEXTRACT(C3519, ""🏘️ \w+ \w+ (.*) ✅""),'Region prepositions'!B:F, 5, 0),  REGEXEXTRACT(C3519, ""🏘️ \w+ \w+ (.*) ✅""))))"),"#N/A")</f>
        <v>#N/A</v>
      </c>
      <c r="I3519" s="4" t="str">
        <f>IFERROR(__xludf.DUMMYFUNCTION("if(D3519=""variant"",  substitute(filter(Templates!E:E, Templates!A:A = F3519, Templates!B:B = G3519, Templates!C:C = H3519), ""{{}}"", E3519), B3519)"),"Louer appartement Saicourt: Trouvez le bien immobilier qui correspond idéalement à vos désirs sur ImmoScout24 - La plateforme de l'immobilier en Suisse.")</f>
        <v>Louer appartement Saicourt: Trouvez le bien immobilier qui correspond idéalement à vos désirs sur ImmoScout24 - La plateforme de l'immobilier en Suisse.</v>
      </c>
    </row>
    <row r="3520" hidden="1">
      <c r="A3520" s="5" t="s">
        <v>10143</v>
      </c>
      <c r="B3520" s="2" t="s">
        <v>10144</v>
      </c>
      <c r="C3520" s="2" t="s">
        <v>10144</v>
      </c>
      <c r="D3520" s="4" t="str">
        <f>vlookup(A3520, Sheet2!D:E, 2, 0)</f>
        <v>control</v>
      </c>
      <c r="E3520" s="4" t="str">
        <f>IFERROR(__xludf.DUMMYFUNCTION("if(H3520=""pays"",vlookup(REGEXEXTRACT(C3520, ""🏘️ \w+ \w+ (.*) ✅""),'Country prepositions'!A:B, 2, 0) &amp; "" "" &amp; REGEXEXTRACT(C3520, ""🏘️ \w+ \w+ (.*) ✅"") ,  if(H3520=""quartier"",vlookup(REGEXEXTRACT(C3520, ""🏘️ \w+ \w+ (.*) ✅""),'Quartier prepositio"&amp;"ns'!A:E, 5, 0) ,  if(H3520=""region"",vlookup(REGEXEXTRACT(C3520, ""🏘️ \w+ \w+ (.*) ✅""),'Region prepositions'!B:F, 5, 0),  REGEXEXTRACT(C3520, ""🏘️ \w+ \w+ (.*) ✅""))))"),"#N/A")</f>
        <v>#N/A</v>
      </c>
      <c r="I3520" s="4" t="str">
        <f>IFERROR(__xludf.DUMMYFUNCTION("if(D3520=""variant"",  substitute(filter(Templates!E:E, Templates!A:A = F3520, Templates!B:B = G3520, Templates!C:C = H3520), ""{{}}"", E3520), B3520)"),"Louer appartement Rudolfstetten: Trouvez le bien immobilier qui correspond idéalement à vos désirs sur ImmoScout24 - La plateforme de l'immobilier en Suisse.")</f>
        <v>Louer appartement Rudolfstetten: Trouvez le bien immobilier qui correspond idéalement à vos désirs sur ImmoScout24 - La plateforme de l'immobilier en Suisse.</v>
      </c>
    </row>
    <row r="3521" hidden="1">
      <c r="A3521" s="5" t="s">
        <v>10145</v>
      </c>
      <c r="B3521" s="2" t="s">
        <v>10146</v>
      </c>
      <c r="C3521" s="2" t="s">
        <v>10146</v>
      </c>
      <c r="D3521" s="4" t="str">
        <f>vlookup(A3521, Sheet2!D:E, 2, 0)</f>
        <v>control</v>
      </c>
      <c r="E3521" s="4" t="str">
        <f>IFERROR(__xludf.DUMMYFUNCTION("if(H3521=""pays"",vlookup(REGEXEXTRACT(C3521, ""🏘️ \w+ \w+ (.*) ✅""),'Country prepositions'!A:B, 2, 0) &amp; "" "" &amp; REGEXEXTRACT(C3521, ""🏘️ \w+ \w+ (.*) ✅"") ,  if(H3521=""quartier"",vlookup(REGEXEXTRACT(C3521, ""🏘️ \w+ \w+ (.*) ✅""),'Quartier prepositio"&amp;"ns'!A:E, 5, 0) ,  if(H3521=""region"",vlookup(REGEXEXTRACT(C3521, ""🏘️ \w+ \w+ (.*) ✅""),'Region prepositions'!B:F, 5, 0),  REGEXEXTRACT(C3521, ""🏘️ \w+ \w+ (.*) ✅""))))"),"#N/A")</f>
        <v>#N/A</v>
      </c>
      <c r="I3521" s="4" t="str">
        <f>IFERROR(__xludf.DUMMYFUNCTION("if(D3521=""variant"",  substitute(filter(Templates!E:E, Templates!A:A = F3521, Templates!B:B = G3521, Templates!C:C = H3521), ""{{}}"", E3521), B3521)"),"Vendre appartement Belmont-sur-Yverdon: Trouvez le bien immobilier qui correspond idéalement à vos désirs sur ImmoScout24 - La plateforme de l'immobilier en Suisse.")</f>
        <v>Vendre appartement Belmont-sur-Yverdon: Trouvez le bien immobilier qui correspond idéalement à vos désirs sur ImmoScout24 - La plateforme de l'immobilier en Suisse.</v>
      </c>
    </row>
    <row r="3522" hidden="1">
      <c r="A3522" s="5" t="s">
        <v>10147</v>
      </c>
      <c r="B3522" s="2" t="s">
        <v>10148</v>
      </c>
      <c r="C3522" s="2" t="s">
        <v>10148</v>
      </c>
      <c r="D3522" s="4" t="str">
        <f>vlookup(A3522, Sheet2!D:E, 2, 0)</f>
        <v>control</v>
      </c>
      <c r="E3522" s="4" t="str">
        <f>IFERROR(__xludf.DUMMYFUNCTION("if(H3522=""pays"",vlookup(REGEXEXTRACT(C3522, ""🏘️ \w+ \w+ (.*) ✅""),'Country prepositions'!A:B, 2, 0) &amp; "" "" &amp; REGEXEXTRACT(C3522, ""🏘️ \w+ \w+ (.*) ✅"") ,  if(H3522=""quartier"",vlookup(REGEXEXTRACT(C3522, ""🏘️ \w+ \w+ (.*) ✅""),'Quartier prepositio"&amp;"ns'!A:E, 5, 0) ,  if(H3522=""region"",vlookup(REGEXEXTRACT(C3522, ""🏘️ \w+ \w+ (.*) ✅""),'Region prepositions'!B:F, 5, 0),  REGEXEXTRACT(C3522, ""🏘️ \w+ \w+ (.*) ✅""))))"),"#N/A")</f>
        <v>#N/A</v>
      </c>
      <c r="I3522" s="4" t="str">
        <f>IFERROR(__xludf.DUMMYFUNCTION("if(D3522=""variant"",  substitute(filter(Templates!E:E, Templates!A:A = F3522, Templates!B:B = G3522, Templates!C:C = H3522), ""{{}}"", E3522), B3522)"),"Vendre maison Frauenfeld - Münchwilen: Trouvez le bien immobilier qui correspond idéalement à vos désirs sur ImmoScout24 - La plateforme de l'immobilier en Suisse.")</f>
        <v>Vendre maison Frauenfeld - Münchwilen: Trouvez le bien immobilier qui correspond idéalement à vos désirs sur ImmoScout24 - La plateforme de l'immobilier en Suisse.</v>
      </c>
    </row>
    <row r="3523" hidden="1">
      <c r="A3523" s="5" t="s">
        <v>10149</v>
      </c>
      <c r="B3523" s="2" t="s">
        <v>10150</v>
      </c>
      <c r="C3523" s="2" t="s">
        <v>10150</v>
      </c>
      <c r="D3523" s="4" t="str">
        <f>vlookup(A3523, Sheet2!D:E, 2, 0)</f>
        <v>control</v>
      </c>
      <c r="E3523" s="4" t="str">
        <f>IFERROR(__xludf.DUMMYFUNCTION("if(H3523=""pays"",vlookup(REGEXEXTRACT(C3523, ""🏘️ \w+ \w+ (.*) ✅""),'Country prepositions'!A:B, 2, 0) &amp; "" "" &amp; REGEXEXTRACT(C3523, ""🏘️ \w+ \w+ (.*) ✅"") ,  if(H3523=""quartier"",vlookup(REGEXEXTRACT(C3523, ""🏘️ \w+ \w+ (.*) ✅""),'Quartier prepositio"&amp;"ns'!A:E, 5, 0) ,  if(H3523=""region"",vlookup(REGEXEXTRACT(C3523, ""🏘️ \w+ \w+ (.*) ✅""),'Region prepositions'!B:F, 5, 0),  REGEXEXTRACT(C3523, ""🏘️ \w+ \w+ (.*) ✅""))))"),"#N/A")</f>
        <v>#N/A</v>
      </c>
      <c r="I3523" s="4" t="str">
        <f>IFERROR(__xludf.DUMMYFUNCTION("if(D3523=""variant"",  substitute(filter(Templates!E:E, Templates!A:A = F3523, Templates!B:B = G3523, Templates!C:C = H3523), ""{{}}"", E3523), B3523)"),"Vendre maison Villars-sous-Mont: Trouvez le bien immobilier qui correspond idéalement à vos désirs sur ImmoScout24 - La plateforme de l'immobilier en Suisse.")</f>
        <v>Vendre maison Villars-sous-Mont: Trouvez le bien immobilier qui correspond idéalement à vos désirs sur ImmoScout24 - La plateforme de l'immobilier en Suisse.</v>
      </c>
    </row>
    <row r="3524" hidden="1">
      <c r="A3524" s="5" t="s">
        <v>10151</v>
      </c>
      <c r="B3524" s="2" t="s">
        <v>10152</v>
      </c>
      <c r="C3524" s="2" t="s">
        <v>10152</v>
      </c>
      <c r="D3524" s="4" t="str">
        <f>vlookup(A3524, Sheet2!D:E, 2, 0)</f>
        <v>control</v>
      </c>
      <c r="E3524" s="4" t="str">
        <f>IFERROR(__xludf.DUMMYFUNCTION("if(H3524=""pays"",vlookup(REGEXEXTRACT(C3524, ""🏘️ \w+ \w+ (.*) ✅""),'Country prepositions'!A:B, 2, 0) &amp; "" "" &amp; REGEXEXTRACT(C3524, ""🏘️ \w+ \w+ (.*) ✅"") ,  if(H3524=""quartier"",vlookup(REGEXEXTRACT(C3524, ""🏘️ \w+ \w+ (.*) ✅""),'Quartier prepositio"&amp;"ns'!A:E, 5, 0) ,  if(H3524=""region"",vlookup(REGEXEXTRACT(C3524, ""🏘️ \w+ \w+ (.*) ✅""),'Region prepositions'!B:F, 5, 0),  REGEXEXTRACT(C3524, ""🏘️ \w+ \w+ (.*) ✅""))))"),"#N/A")</f>
        <v>#N/A</v>
      </c>
      <c r="I3524" s="4" t="str">
        <f>IFERROR(__xludf.DUMMYFUNCTION("if(D3524=""variant"",  substitute(filter(Templates!E:E, Templates!A:A = F3524, Templates!B:B = G3524, Templates!C:C = H3524), ""{{}}"", E3524), B3524)"),"Vendre maison Thoune - Lac de Thoune nord: Trouvez le bien immobilier qui correspond idéalement à vos désirs sur ImmoScout24 - La plateforme de l'immobilier en Suisse.")</f>
        <v>Vendre maison Thoune - Lac de Thoune nord: Trouvez le bien immobilier qui correspond idéalement à vos désirs sur ImmoScout24 - La plateforme de l'immobilier en Suisse.</v>
      </c>
    </row>
    <row r="3525" hidden="1">
      <c r="A3525" s="5" t="s">
        <v>10153</v>
      </c>
      <c r="B3525" s="2" t="s">
        <v>10154</v>
      </c>
      <c r="C3525" s="2" t="s">
        <v>10154</v>
      </c>
      <c r="D3525" s="4" t="str">
        <f>vlookup(A3525, Sheet2!D:E, 2, 0)</f>
        <v>control</v>
      </c>
      <c r="E3525" s="4" t="str">
        <f>IFERROR(__xludf.DUMMYFUNCTION("if(H3525=""pays"",vlookup(REGEXEXTRACT(C3525, ""🏘️ \w+ \w+ (.*) ✅""),'Country prepositions'!A:B, 2, 0) &amp; "" "" &amp; REGEXEXTRACT(C3525, ""🏘️ \w+ \w+ (.*) ✅"") ,  if(H3525=""quartier"",vlookup(REGEXEXTRACT(C3525, ""🏘️ \w+ \w+ (.*) ✅""),'Quartier prepositio"&amp;"ns'!A:E, 5, 0) ,  if(H3525=""region"",vlookup(REGEXEXTRACT(C3525, ""🏘️ \w+ \w+ (.*) ✅""),'Region prepositions'!B:F, 5, 0),  REGEXEXTRACT(C3525, ""🏘️ \w+ \w+ (.*) ✅""))))"),"#N/A")</f>
        <v>#N/A</v>
      </c>
      <c r="I3525" s="4" t="str">
        <f>IFERROR(__xludf.DUMMYFUNCTION("if(D3525=""variant"",  substitute(filter(Templates!E:E, Templates!A:A = F3525, Templates!B:B = G3525, Templates!C:C = H3525), ""{{}}"", E3525), B3525)"),"Louer appartement Grandvaux: Trouvez le bien immobilier qui correspond idéalement à vos désirs sur ImmoScout24 - La plateforme de l'immobilier en Suisse.")</f>
        <v>Louer appartement Grandvaux: Trouvez le bien immobilier qui correspond idéalement à vos désirs sur ImmoScout24 - La plateforme de l'immobilier en Suisse.</v>
      </c>
    </row>
    <row r="3526" hidden="1">
      <c r="A3526" s="5" t="s">
        <v>10155</v>
      </c>
      <c r="B3526" s="2" t="s">
        <v>10156</v>
      </c>
      <c r="C3526" s="2" t="s">
        <v>10156</v>
      </c>
      <c r="D3526" s="4" t="str">
        <f>vlookup(A3526, Sheet2!D:E, 2, 0)</f>
        <v>control</v>
      </c>
      <c r="E3526" s="4" t="str">
        <f>IFERROR(__xludf.DUMMYFUNCTION("if(H3526=""pays"",vlookup(REGEXEXTRACT(C3526, ""🏘️ \w+ \w+ (.*) ✅""),'Country prepositions'!A:B, 2, 0) &amp; "" "" &amp; REGEXEXTRACT(C3526, ""🏘️ \w+ \w+ (.*) ✅"") ,  if(H3526=""quartier"",vlookup(REGEXEXTRACT(C3526, ""🏘️ \w+ \w+ (.*) ✅""),'Quartier prepositio"&amp;"ns'!A:E, 5, 0) ,  if(H3526=""region"",vlookup(REGEXEXTRACT(C3526, ""🏘️ \w+ \w+ (.*) ✅""),'Region prepositions'!B:F, 5, 0),  REGEXEXTRACT(C3526, ""🏘️ \w+ \w+ (.*) ✅""))))"),"#N/A")</f>
        <v>#N/A</v>
      </c>
      <c r="I3526" s="4" t="str">
        <f>IFERROR(__xludf.DUMMYFUNCTION("if(D3526=""variant"",  substitute(filter(Templates!E:E, Templates!A:A = F3526, Templates!B:B = G3526, Templates!C:C = H3526), ""{{}}"", E3526), B3526)"),"Vendre maison Ferlens VD: Trouvez le bien immobilier qui correspond idéalement à vos désirs sur ImmoScout24 - La plateforme de l'immobilier en Suisse.")</f>
        <v>Vendre maison Ferlens VD: Trouvez le bien immobilier qui correspond idéalement à vos désirs sur ImmoScout24 - La plateforme de l'immobilier en Suisse.</v>
      </c>
    </row>
    <row r="3527" hidden="1">
      <c r="A3527" s="5" t="s">
        <v>10157</v>
      </c>
      <c r="B3527" s="2" t="s">
        <v>10158</v>
      </c>
      <c r="C3527" s="2" t="s">
        <v>10158</v>
      </c>
      <c r="D3527" s="4" t="str">
        <f>vlookup(A3527, Sheet2!D:E, 2, 0)</f>
        <v>control</v>
      </c>
      <c r="E3527" s="4" t="str">
        <f>IFERROR(__xludf.DUMMYFUNCTION("if(H3527=""pays"",vlookup(REGEXEXTRACT(C3527, ""🏘️ \w+ \w+ (.*) ✅""),'Country prepositions'!A:B, 2, 0) &amp; "" "" &amp; REGEXEXTRACT(C3527, ""🏘️ \w+ \w+ (.*) ✅"") ,  if(H3527=""quartier"",vlookup(REGEXEXTRACT(C3527, ""🏘️ \w+ \w+ (.*) ✅""),'Quartier prepositio"&amp;"ns'!A:E, 5, 0) ,  if(H3527=""region"",vlookup(REGEXEXTRACT(C3527, ""🏘️ \w+ \w+ (.*) ✅""),'Region prepositions'!B:F, 5, 0),  REGEXEXTRACT(C3527, ""🏘️ \w+ \w+ (.*) ✅""))))"),"#N/A")</f>
        <v>#N/A</v>
      </c>
      <c r="I3527" s="4" t="str">
        <f>IFERROR(__xludf.DUMMYFUNCTION("if(D3527=""variant"",  substitute(filter(Templates!E:E, Templates!A:A = F3527, Templates!B:B = G3527, Templates!C:C = H3527), ""{{}}"", E3527), B3527)"),"Louer maison Wollerau: Trouvez le bien immobilier qui correspond idéalement à vos désirs sur ImmoScout24 - La plateforme de l'immobilier en Suisse.")</f>
        <v>Louer maison Wollerau: Trouvez le bien immobilier qui correspond idéalement à vos désirs sur ImmoScout24 - La plateforme de l'immobilier en Suisse.</v>
      </c>
    </row>
    <row r="3528" hidden="1">
      <c r="A3528" s="5" t="s">
        <v>10159</v>
      </c>
      <c r="B3528" s="2" t="s">
        <v>10160</v>
      </c>
      <c r="C3528" s="2" t="s">
        <v>10160</v>
      </c>
      <c r="D3528" s="4" t="str">
        <f>vlookup(A3528, Sheet2!D:E, 2, 0)</f>
        <v>control</v>
      </c>
      <c r="E3528" s="4" t="str">
        <f>IFERROR(__xludf.DUMMYFUNCTION("if(H3528=""pays"",vlookup(REGEXEXTRACT(C3528, ""🏘️ \w+ \w+ (.*) ✅""),'Country prepositions'!A:B, 2, 0) &amp; "" "" &amp; REGEXEXTRACT(C3528, ""🏘️ \w+ \w+ (.*) ✅"") ,  if(H3528=""quartier"",vlookup(REGEXEXTRACT(C3528, ""🏘️ \w+ \w+ (.*) ✅""),'Quartier prepositio"&amp;"ns'!A:E, 5, 0) ,  if(H3528=""region"",vlookup(REGEXEXTRACT(C3528, ""🏘️ \w+ \w+ (.*) ✅""),'Region prepositions'!B:F, 5, 0),  REGEXEXTRACT(C3528, ""🏘️ \w+ \w+ (.*) ✅""))))"),"#N/A")</f>
        <v>#N/A</v>
      </c>
      <c r="I3528" s="4" t="str">
        <f>IFERROR(__xludf.DUMMYFUNCTION("if(D3528=""variant"",  substitute(filter(Templates!E:E, Templates!A:A = F3528, Templates!B:B = G3528, Templates!C:C = H3528), ""{{}}"", E3528), B3528)"),"Vendre maison Montmagny: Trouvez le bien immobilier qui correspond idéalement à vos désirs sur ImmoScout24 - La plateforme de l'immobilier en Suisse.")</f>
        <v>Vendre maison Montmagny: Trouvez le bien immobilier qui correspond idéalement à vos désirs sur ImmoScout24 - La plateforme de l'immobilier en Suisse.</v>
      </c>
    </row>
    <row r="3529" hidden="1">
      <c r="A3529" s="5" t="s">
        <v>10161</v>
      </c>
      <c r="B3529" s="2" t="s">
        <v>10162</v>
      </c>
      <c r="C3529" s="2" t="s">
        <v>10162</v>
      </c>
      <c r="D3529" s="4" t="str">
        <f>vlookup(A3529, Sheet2!D:E, 2, 0)</f>
        <v>control</v>
      </c>
      <c r="E3529" s="4" t="str">
        <f>IFERROR(__xludf.DUMMYFUNCTION("if(H3529=""pays"",vlookup(REGEXEXTRACT(C3529, ""🏘️ \w+ \w+ (.*) ✅""),'Country prepositions'!A:B, 2, 0) &amp; "" "" &amp; REGEXEXTRACT(C3529, ""🏘️ \w+ \w+ (.*) ✅"") ,  if(H3529=""quartier"",vlookup(REGEXEXTRACT(C3529, ""🏘️ \w+ \w+ (.*) ✅""),'Quartier prepositio"&amp;"ns'!A:E, 5, 0) ,  if(H3529=""region"",vlookup(REGEXEXTRACT(C3529, ""🏘️ \w+ \w+ (.*) ✅""),'Region prepositions'!B:F, 5, 0),  REGEXEXTRACT(C3529, ""🏘️ \w+ \w+ (.*) ✅""))))"),"#N/A")</f>
        <v>#N/A</v>
      </c>
      <c r="I3529" s="4" t="str">
        <f>IFERROR(__xludf.DUMMYFUNCTION("if(D3529=""variant"",  substitute(filter(Templates!E:E, Templates!A:A = F3529, Templates!B:B = G3529, Templates!C:C = H3529), ""{{}}"", E3529), B3529)"),"Vendre appartement Les Evouettes: Trouvez le bien immobilier qui correspond idéalement à vos désirs sur ImmoScout24 - La plateforme de l'immobilier en Suisse.")</f>
        <v>Vendre appartement Les Evouettes: Trouvez le bien immobilier qui correspond idéalement à vos désirs sur ImmoScout24 - La plateforme de l'immobilier en Suisse.</v>
      </c>
    </row>
    <row r="3530" hidden="1">
      <c r="A3530" s="5" t="s">
        <v>10163</v>
      </c>
      <c r="B3530" s="2" t="s">
        <v>10164</v>
      </c>
      <c r="C3530" s="2" t="s">
        <v>10164</v>
      </c>
      <c r="D3530" s="4" t="str">
        <f>vlookup(A3530, Sheet2!D:E, 2, 0)</f>
        <v>control</v>
      </c>
      <c r="E3530" s="4" t="str">
        <f>IFERROR(__xludf.DUMMYFUNCTION("if(H3530=""pays"",vlookup(REGEXEXTRACT(C3530, ""🏘️ \w+ \w+ (.*) ✅""),'Country prepositions'!A:B, 2, 0) &amp; "" "" &amp; REGEXEXTRACT(C3530, ""🏘️ \w+ \w+ (.*) ✅"") ,  if(H3530=""quartier"",vlookup(REGEXEXTRACT(C3530, ""🏘️ \w+ \w+ (.*) ✅""),'Quartier prepositio"&amp;"ns'!A:E, 5, 0) ,  if(H3530=""region"",vlookup(REGEXEXTRACT(C3530, ""🏘️ \w+ \w+ (.*) ✅""),'Region prepositions'!B:F, 5, 0),  REGEXEXTRACT(C3530, ""🏘️ \w+ \w+ (.*) ✅""))))"),"#N/A")</f>
        <v>#N/A</v>
      </c>
      <c r="I3530" s="4" t="str">
        <f>IFERROR(__xludf.DUMMYFUNCTION("if(D3530=""variant"",  substitute(filter(Templates!E:E, Templates!A:A = F3530, Templates!B:B = G3530, Templates!C:C = H3530), ""{{}}"", E3530), B3530)"),"Vendre appartement Ambrì: Trouvez le bien immobilier qui correspond idéalement à vos désirs sur ImmoScout24 - La plateforme de l'immobilier en Suisse.")</f>
        <v>Vendre appartement Ambrì: Trouvez le bien immobilier qui correspond idéalement à vos désirs sur ImmoScout24 - La plateforme de l'immobilier en Suisse.</v>
      </c>
    </row>
    <row r="3531" hidden="1">
      <c r="A3531" s="5" t="s">
        <v>10165</v>
      </c>
      <c r="B3531" s="2" t="s">
        <v>10166</v>
      </c>
      <c r="C3531" s="2" t="s">
        <v>10166</v>
      </c>
      <c r="D3531" s="4" t="str">
        <f>vlookup(A3531, Sheet2!D:E, 2, 0)</f>
        <v>control</v>
      </c>
      <c r="E3531" s="4" t="str">
        <f>IFERROR(__xludf.DUMMYFUNCTION("if(H3531=""pays"",vlookup(REGEXEXTRACT(C3531, ""🏘️ \w+ \w+ (.*) ✅""),'Country prepositions'!A:B, 2, 0) &amp; "" "" &amp; REGEXEXTRACT(C3531, ""🏘️ \w+ \w+ (.*) ✅"") ,  if(H3531=""quartier"",vlookup(REGEXEXTRACT(C3531, ""🏘️ \w+ \w+ (.*) ✅""),'Quartier prepositio"&amp;"ns'!A:E, 5, 0) ,  if(H3531=""region"",vlookup(REGEXEXTRACT(C3531, ""🏘️ \w+ \w+ (.*) ✅""),'Region prepositions'!B:F, 5, 0),  REGEXEXTRACT(C3531, ""🏘️ \w+ \w+ (.*) ✅""))))"),"#N/A")</f>
        <v>#N/A</v>
      </c>
      <c r="I3531" s="4" t="str">
        <f>IFERROR(__xludf.DUMMYFUNCTION("if(D3531=""variant"",  substitute(filter(Templates!E:E, Templates!A:A = F3531, Templates!B:B = G3531, Templates!C:C = H3531), ""{{}}"", E3531), B3531)"),"Louer appartement Serrières (Neuchâtel): Trouvez le bien immobilier qui correspond idéalement à vos désirs sur ImmoScout24 - La plateforme de l'immobilier en Suisse.")</f>
        <v>Louer appartement Serrières (Neuchâtel): Trouvez le bien immobilier qui correspond idéalement à vos désirs sur ImmoScout24 - La plateforme de l'immobilier en Suisse.</v>
      </c>
    </row>
    <row r="3532" hidden="1">
      <c r="A3532" s="5" t="s">
        <v>10167</v>
      </c>
      <c r="B3532" s="2" t="s">
        <v>10168</v>
      </c>
      <c r="C3532" s="2" t="s">
        <v>10168</v>
      </c>
      <c r="D3532" s="4" t="str">
        <f>vlookup(A3532, Sheet2!D:E, 2, 0)</f>
        <v>control</v>
      </c>
      <c r="E3532" s="4" t="str">
        <f>IFERROR(__xludf.DUMMYFUNCTION("if(H3532=""pays"",vlookup(REGEXEXTRACT(C3532, ""🏘️ \w+ \w+ (.*) ✅""),'Country prepositions'!A:B, 2, 0) &amp; "" "" &amp; REGEXEXTRACT(C3532, ""🏘️ \w+ \w+ (.*) ✅"") ,  if(H3532=""quartier"",vlookup(REGEXEXTRACT(C3532, ""🏘️ \w+ \w+ (.*) ✅""),'Quartier prepositio"&amp;"ns'!A:E, 5, 0) ,  if(H3532=""region"",vlookup(REGEXEXTRACT(C3532, ""🏘️ \w+ \w+ (.*) ✅""),'Region prepositions'!B:F, 5, 0),  REGEXEXTRACT(C3532, ""🏘️ \w+ \w+ (.*) ✅""))))"),"#N/A")</f>
        <v>#N/A</v>
      </c>
      <c r="I3532" s="4" t="str">
        <f>IFERROR(__xludf.DUMMYFUNCTION("if(D3532=""variant"",  substitute(filter(Templates!E:E, Templates!A:A = F3532, Templates!B:B = G3532, Templates!C:C = H3532), ""{{}}"", E3532), B3532)"),"Louer appartement Champoussin: Trouvez le bien immobilier qui correspond idéalement à vos désirs sur ImmoScout24 - La plateforme de l'immobilier en Suisse.")</f>
        <v>Louer appartement Champoussin: Trouvez le bien immobilier qui correspond idéalement à vos désirs sur ImmoScout24 - La plateforme de l'immobilier en Suisse.</v>
      </c>
    </row>
    <row r="3533" hidden="1">
      <c r="A3533" s="5" t="s">
        <v>10169</v>
      </c>
      <c r="B3533" s="2" t="s">
        <v>10170</v>
      </c>
      <c r="C3533" s="2" t="s">
        <v>10170</v>
      </c>
      <c r="D3533" s="4" t="str">
        <f>vlookup(A3533, Sheet2!D:E, 2, 0)</f>
        <v>control</v>
      </c>
      <c r="E3533" s="4" t="str">
        <f>IFERROR(__xludf.DUMMYFUNCTION("if(H3533=""pays"",vlookup(REGEXEXTRACT(C3533, ""🏘️ \w+ \w+ (.*) ✅""),'Country prepositions'!A:B, 2, 0) &amp; "" "" &amp; REGEXEXTRACT(C3533, ""🏘️ \w+ \w+ (.*) ✅"") ,  if(H3533=""quartier"",vlookup(REGEXEXTRACT(C3533, ""🏘️ \w+ \w+ (.*) ✅""),'Quartier prepositio"&amp;"ns'!A:E, 5, 0) ,  if(H3533=""region"",vlookup(REGEXEXTRACT(C3533, ""🏘️ \w+ \w+ (.*) ✅""),'Region prepositions'!B:F, 5, 0),  REGEXEXTRACT(C3533, ""🏘️ \w+ \w+ (.*) ✅""))))"),"#N/A")</f>
        <v>#N/A</v>
      </c>
      <c r="I3533" s="4" t="str">
        <f>IFERROR(__xludf.DUMMYFUNCTION("if(D3533=""variant"",  substitute(filter(Templates!E:E, Templates!A:A = F3533, Templates!B:B = G3533, Templates!C:C = H3533), ""{{}}"", E3533), B3533)"),"Vendre maison Carrouge VD: Trouvez le bien immobilier qui correspond idéalement à vos désirs sur ImmoScout24 - La plateforme de l'immobilier en Suisse.")</f>
        <v>Vendre maison Carrouge VD: Trouvez le bien immobilier qui correspond idéalement à vos désirs sur ImmoScout24 - La plateforme de l'immobilier en Suisse.</v>
      </c>
    </row>
    <row r="3534" hidden="1">
      <c r="A3534" s="5" t="s">
        <v>10171</v>
      </c>
      <c r="B3534" s="2" t="s">
        <v>10172</v>
      </c>
      <c r="C3534" s="2" t="s">
        <v>10172</v>
      </c>
      <c r="D3534" s="4" t="str">
        <f>vlookup(A3534, Sheet2!D:E, 2, 0)</f>
        <v>control</v>
      </c>
      <c r="E3534" s="4" t="str">
        <f>IFERROR(__xludf.DUMMYFUNCTION("if(H3534=""pays"",vlookup(REGEXEXTRACT(C3534, ""🏘️ \w+ \w+ (.*) ✅""),'Country prepositions'!A:B, 2, 0) &amp; "" "" &amp; REGEXEXTRACT(C3534, ""🏘️ \w+ \w+ (.*) ✅"") ,  if(H3534=""quartier"",vlookup(REGEXEXTRACT(C3534, ""🏘️ \w+ \w+ (.*) ✅""),'Quartier prepositio"&amp;"ns'!A:E, 5, 0) ,  if(H3534=""region"",vlookup(REGEXEXTRACT(C3534, ""🏘️ \w+ \w+ (.*) ✅""),'Region prepositions'!B:F, 5, 0),  REGEXEXTRACT(C3534, ""🏘️ \w+ \w+ (.*) ✅""))))"),"#N/A")</f>
        <v>#N/A</v>
      </c>
      <c r="I3534" s="4" t="str">
        <f>IFERROR(__xludf.DUMMYFUNCTION("if(D3534=""variant"",  substitute(filter(Templates!E:E, Templates!A:A = F3534, Templates!B:B = G3534, Templates!C:C = H3534), ""{{}}"", E3534), B3534)"),"Louer appartement Le Sépey: Trouvez le bien immobilier qui correspond idéalement à vos désirs sur ImmoScout24 - La plateforme de l'immobilier en Suisse.")</f>
        <v>Louer appartement Le Sépey: Trouvez le bien immobilier qui correspond idéalement à vos désirs sur ImmoScout24 - La plateforme de l'immobilier en Suisse.</v>
      </c>
    </row>
    <row r="3535" hidden="1">
      <c r="A3535" s="5" t="s">
        <v>10173</v>
      </c>
      <c r="B3535" s="2" t="s">
        <v>10174</v>
      </c>
      <c r="C3535" s="2" t="s">
        <v>10174</v>
      </c>
      <c r="D3535" s="4" t="str">
        <f>vlookup(A3535, Sheet2!D:E, 2, 0)</f>
        <v>control</v>
      </c>
      <c r="E3535" s="4" t="str">
        <f>IFERROR(__xludf.DUMMYFUNCTION("if(H3535=""pays"",vlookup(REGEXEXTRACT(C3535, ""🏘️ \w+ \w+ (.*) ✅""),'Country prepositions'!A:B, 2, 0) &amp; "" "" &amp; REGEXEXTRACT(C3535, ""🏘️ \w+ \w+ (.*) ✅"") ,  if(H3535=""quartier"",vlookup(REGEXEXTRACT(C3535, ""🏘️ \w+ \w+ (.*) ✅""),'Quartier prepositio"&amp;"ns'!A:E, 5, 0) ,  if(H3535=""region"",vlookup(REGEXEXTRACT(C3535, ""🏘️ \w+ \w+ (.*) ✅""),'Region prepositions'!B:F, 5, 0),  REGEXEXTRACT(C3535, ""🏘️ \w+ \w+ (.*) ✅""))))"),"#N/A")</f>
        <v>#N/A</v>
      </c>
      <c r="I3535" s="4" t="str">
        <f>IFERROR(__xludf.DUMMYFUNCTION("if(D3535=""variant"",  substitute(filter(Templates!E:E, Templates!A:A = F3535, Templates!B:B = G3535, Templates!C:C = H3535), ""{{}}"", E3535), B3535)"),"Louer maison Vaulruz: Trouvez le bien immobilier qui correspond idéalement à vos désirs sur ImmoScout24 - La plateforme de l'immobilier en Suisse.")</f>
        <v>Louer maison Vaulruz: Trouvez le bien immobilier qui correspond idéalement à vos désirs sur ImmoScout24 - La plateforme de l'immobilier en Suisse.</v>
      </c>
    </row>
    <row r="3536" hidden="1">
      <c r="A3536" s="5" t="s">
        <v>10175</v>
      </c>
      <c r="B3536" s="2" t="s">
        <v>10176</v>
      </c>
      <c r="C3536" s="2" t="s">
        <v>10176</v>
      </c>
      <c r="D3536" s="4" t="str">
        <f>vlookup(A3536, Sheet2!D:E, 2, 0)</f>
        <v>control</v>
      </c>
      <c r="E3536" s="4" t="str">
        <f>IFERROR(__xludf.DUMMYFUNCTION("if(H3536=""pays"",vlookup(REGEXEXTRACT(C3536, ""🏘️ \w+ \w+ (.*) ✅""),'Country prepositions'!A:B, 2, 0) &amp; "" "" &amp; REGEXEXTRACT(C3536, ""🏘️ \w+ \w+ (.*) ✅"") ,  if(H3536=""quartier"",vlookup(REGEXEXTRACT(C3536, ""🏘️ \w+ \w+ (.*) ✅""),'Quartier prepositio"&amp;"ns'!A:E, 5, 0) ,  if(H3536=""region"",vlookup(REGEXEXTRACT(C3536, ""🏘️ \w+ \w+ (.*) ✅""),'Region prepositions'!B:F, 5, 0),  REGEXEXTRACT(C3536, ""🏘️ \w+ \w+ (.*) ✅""))))"),"#N/A")</f>
        <v>#N/A</v>
      </c>
      <c r="I3536" s="4" t="str">
        <f>IFERROR(__xludf.DUMMYFUNCTION("if(D3536=""variant"",  substitute(filter(Templates!E:E, Templates!A:A = F3536, Templates!B:B = G3536, Templates!C:C = H3536), ""{{}}"", E3536), B3536)"),"Vendre maison Herisau: Trouvez le bien immobilier qui correspond idéalement à vos désirs sur ImmoScout24 - La plateforme de l'immobilier en Suisse.")</f>
        <v>Vendre maison Herisau: Trouvez le bien immobilier qui correspond idéalement à vos désirs sur ImmoScout24 - La plateforme de l'immobilier en Suisse.</v>
      </c>
    </row>
    <row r="3537" hidden="1">
      <c r="A3537" s="5" t="s">
        <v>10177</v>
      </c>
      <c r="B3537" s="2" t="s">
        <v>10178</v>
      </c>
      <c r="C3537" s="2" t="s">
        <v>10178</v>
      </c>
      <c r="D3537" s="4" t="str">
        <f>vlookup(A3537, Sheet2!D:E, 2, 0)</f>
        <v>control</v>
      </c>
      <c r="E3537" s="4" t="str">
        <f>IFERROR(__xludf.DUMMYFUNCTION("if(H3537=""pays"",vlookup(REGEXEXTRACT(C3537, ""🏘️ \w+ \w+ (.*) ✅""),'Country prepositions'!A:B, 2, 0) &amp; "" "" &amp; REGEXEXTRACT(C3537, ""🏘️ \w+ \w+ (.*) ✅"") ,  if(H3537=""quartier"",vlookup(REGEXEXTRACT(C3537, ""🏘️ \w+ \w+ (.*) ✅""),'Quartier prepositio"&amp;"ns'!A:E, 5, 0) ,  if(H3537=""region"",vlookup(REGEXEXTRACT(C3537, ""🏘️ \w+ \w+ (.*) ✅""),'Region prepositions'!B:F, 5, 0),  REGEXEXTRACT(C3537, ""🏘️ \w+ \w+ (.*) ✅""))))"),"#N/A")</f>
        <v>#N/A</v>
      </c>
      <c r="I3537" s="4" t="str">
        <f>IFERROR(__xludf.DUMMYFUNCTION("if(D3537=""variant"",  substitute(filter(Templates!E:E, Templates!A:A = F3537, Templates!B:B = G3537, Templates!C:C = H3537), ""{{}}"", E3537), B3537)"),"Vendre appartement Oberbipp: Trouvez le bien immobilier qui correspond idéalement à vos désirs sur ImmoScout24 - La plateforme de l'immobilier en Suisse.")</f>
        <v>Vendre appartement Oberbipp: Trouvez le bien immobilier qui correspond idéalement à vos désirs sur ImmoScout24 - La plateforme de l'immobilier en Suisse.</v>
      </c>
    </row>
    <row r="3538" hidden="1">
      <c r="A3538" s="5" t="s">
        <v>10179</v>
      </c>
      <c r="B3538" s="2" t="s">
        <v>10180</v>
      </c>
      <c r="C3538" s="2" t="s">
        <v>10180</v>
      </c>
      <c r="D3538" s="4" t="str">
        <f>vlookup(A3538, Sheet2!D:E, 2, 0)</f>
        <v>control</v>
      </c>
      <c r="E3538" s="4" t="str">
        <f>IFERROR(__xludf.DUMMYFUNCTION("if(H3538=""pays"",vlookup(REGEXEXTRACT(C3538, ""🏘️ \w+ \w+ (.*) ✅""),'Country prepositions'!A:B, 2, 0) &amp; "" "" &amp; REGEXEXTRACT(C3538, ""🏘️ \w+ \w+ (.*) ✅"") ,  if(H3538=""quartier"",vlookup(REGEXEXTRACT(C3538, ""🏘️ \w+ \w+ (.*) ✅""),'Quartier prepositio"&amp;"ns'!A:E, 5, 0) ,  if(H3538=""region"",vlookup(REGEXEXTRACT(C3538, ""🏘️ \w+ \w+ (.*) ✅""),'Region prepositions'!B:F, 5, 0),  REGEXEXTRACT(C3538, ""🏘️ \w+ \w+ (.*) ✅""))))"),"#N/A")</f>
        <v>#N/A</v>
      </c>
      <c r="I3538" s="4" t="str">
        <f>IFERROR(__xludf.DUMMYFUNCTION("if(D3538=""variant"",  substitute(filter(Templates!E:E, Templates!A:A = F3538, Templates!B:B = G3538, Templates!C:C = H3538), ""{{}}"", E3538), B3538)"),"Louer appartement Les Bayards: Trouvez le bien immobilier qui correspond idéalement à vos désirs sur ImmoScout24 - La plateforme de l'immobilier en Suisse.")</f>
        <v>Louer appartement Les Bayards: Trouvez le bien immobilier qui correspond idéalement à vos désirs sur ImmoScout24 - La plateforme de l'immobilier en Suisse.</v>
      </c>
    </row>
    <row r="3539" hidden="1">
      <c r="A3539" s="5" t="s">
        <v>10181</v>
      </c>
      <c r="B3539" s="2" t="s">
        <v>10182</v>
      </c>
      <c r="C3539" s="2" t="s">
        <v>10182</v>
      </c>
      <c r="D3539" s="4" t="str">
        <f>vlookup(A3539, Sheet2!D:E, 2, 0)</f>
        <v>control</v>
      </c>
      <c r="E3539" s="4" t="str">
        <f>IFERROR(__xludf.DUMMYFUNCTION("if(H3539=""pays"",vlookup(REGEXEXTRACT(C3539, ""🏘️ \w+ \w+ (.*) ✅""),'Country prepositions'!A:B, 2, 0) &amp; "" "" &amp; REGEXEXTRACT(C3539, ""🏘️ \w+ \w+ (.*) ✅"") ,  if(H3539=""quartier"",vlookup(REGEXEXTRACT(C3539, ""🏘️ \w+ \w+ (.*) ✅""),'Quartier prepositio"&amp;"ns'!A:E, 5, 0) ,  if(H3539=""region"",vlookup(REGEXEXTRACT(C3539, ""🏘️ \w+ \w+ (.*) ✅""),'Region prepositions'!B:F, 5, 0),  REGEXEXTRACT(C3539, ""🏘️ \w+ \w+ (.*) ✅""))))"),"#N/A")</f>
        <v>#N/A</v>
      </c>
      <c r="I3539" s="4" t="str">
        <f>IFERROR(__xludf.DUMMYFUNCTION("if(D3539=""variant"",  substitute(filter(Templates!E:E, Templates!A:A = F3539, Templates!B:B = G3539, Templates!C:C = H3539), ""{{}}"", E3539), B3539)"),"Louer appartement Wangs: Trouvez le bien immobilier qui correspond idéalement à vos désirs sur ImmoScout24 - La plateforme de l'immobilier en Suisse.")</f>
        <v>Louer appartement Wangs: Trouvez le bien immobilier qui correspond idéalement à vos désirs sur ImmoScout24 - La plateforme de l'immobilier en Suisse.</v>
      </c>
    </row>
    <row r="3540" hidden="1">
      <c r="A3540" s="5" t="s">
        <v>10183</v>
      </c>
      <c r="B3540" s="2" t="s">
        <v>10184</v>
      </c>
      <c r="C3540" s="2" t="s">
        <v>10184</v>
      </c>
      <c r="D3540" s="4" t="str">
        <f>vlookup(A3540, Sheet2!D:E, 2, 0)</f>
        <v>control</v>
      </c>
      <c r="E3540" s="4" t="str">
        <f>IFERROR(__xludf.DUMMYFUNCTION("if(H3540=""pays"",vlookup(REGEXEXTRACT(C3540, ""🏘️ \w+ \w+ (.*) ✅""),'Country prepositions'!A:B, 2, 0) &amp; "" "" &amp; REGEXEXTRACT(C3540, ""🏘️ \w+ \w+ (.*) ✅"") ,  if(H3540=""quartier"",vlookup(REGEXEXTRACT(C3540, ""🏘️ \w+ \w+ (.*) ✅""),'Quartier prepositio"&amp;"ns'!A:E, 5, 0) ,  if(H3540=""region"",vlookup(REGEXEXTRACT(C3540, ""🏘️ \w+ \w+ (.*) ✅""),'Region prepositions'!B:F, 5, 0),  REGEXEXTRACT(C3540, ""🏘️ \w+ \w+ (.*) ✅""))))"),"#N/A")</f>
        <v>#N/A</v>
      </c>
      <c r="I3540" s="4" t="str">
        <f>IFERROR(__xludf.DUMMYFUNCTION("if(D3540=""variant"",  substitute(filter(Templates!E:E, Templates!A:A = F3540, Templates!B:B = G3540, Templates!C:C = H3540), ""{{}}"", E3540), B3540)"),"Louer appartement Salavaux: Trouvez le bien immobilier qui correspond idéalement à vos désirs sur ImmoScout24 - La plateforme de l'immobilier en Suisse.")</f>
        <v>Louer appartement Salavaux: Trouvez le bien immobilier qui correspond idéalement à vos désirs sur ImmoScout24 - La plateforme de l'immobilier en Suisse.</v>
      </c>
    </row>
    <row r="3541" hidden="1">
      <c r="A3541" s="5" t="s">
        <v>10185</v>
      </c>
      <c r="B3541" s="2" t="s">
        <v>10186</v>
      </c>
      <c r="C3541" s="2" t="s">
        <v>10186</v>
      </c>
      <c r="D3541" s="4" t="str">
        <f>vlookup(A3541, Sheet2!D:E, 2, 0)</f>
        <v>control</v>
      </c>
      <c r="E3541" s="4" t="str">
        <f>IFERROR(__xludf.DUMMYFUNCTION("if(H3541=""pays"",vlookup(REGEXEXTRACT(C3541, ""🏘️ \w+ \w+ (.*) ✅""),'Country prepositions'!A:B, 2, 0) &amp; "" "" &amp; REGEXEXTRACT(C3541, ""🏘️ \w+ \w+ (.*) ✅"") ,  if(H3541=""quartier"",vlookup(REGEXEXTRACT(C3541, ""🏘️ \w+ \w+ (.*) ✅""),'Quartier prepositio"&amp;"ns'!A:E, 5, 0) ,  if(H3541=""region"",vlookup(REGEXEXTRACT(C3541, ""🏘️ \w+ \w+ (.*) ✅""),'Region prepositions'!B:F, 5, 0),  REGEXEXTRACT(C3541, ""🏘️ \w+ \w+ (.*) ✅""))))"),"#N/A")</f>
        <v>#N/A</v>
      </c>
      <c r="I3541" s="4" t="str">
        <f>IFERROR(__xludf.DUMMYFUNCTION("if(D3541=""variant"",  substitute(filter(Templates!E:E, Templates!A:A = F3541, Templates!B:B = G3541, Templates!C:C = H3541), ""{{}}"", E3541), B3541)"),"Vendre maison St-Maurice: Trouvez le bien immobilier qui correspond idéalement à vos désirs sur ImmoScout24 - La plateforme de l'immobilier en Suisse.")</f>
        <v>Vendre maison St-Maurice: Trouvez le bien immobilier qui correspond idéalement à vos désirs sur ImmoScout24 - La plateforme de l'immobilier en Suisse.</v>
      </c>
    </row>
    <row r="3542" hidden="1">
      <c r="A3542" s="5" t="s">
        <v>10187</v>
      </c>
      <c r="B3542" s="2" t="s">
        <v>10188</v>
      </c>
      <c r="C3542" s="2" t="s">
        <v>10188</v>
      </c>
      <c r="D3542" s="4" t="str">
        <f>vlookup(A3542, Sheet2!D:E, 2, 0)</f>
        <v>control</v>
      </c>
      <c r="E3542" s="4" t="str">
        <f>IFERROR(__xludf.DUMMYFUNCTION("if(H3542=""pays"",vlookup(REGEXEXTRACT(C3542, ""🏘️ \w+ \w+ (.*) ✅""),'Country prepositions'!A:B, 2, 0) &amp; "" "" &amp; REGEXEXTRACT(C3542, ""🏘️ \w+ \w+ (.*) ✅"") ,  if(H3542=""quartier"",vlookup(REGEXEXTRACT(C3542, ""🏘️ \w+ \w+ (.*) ✅""),'Quartier prepositio"&amp;"ns'!A:E, 5, 0) ,  if(H3542=""region"",vlookup(REGEXEXTRACT(C3542, ""🏘️ \w+ \w+ (.*) ✅""),'Region prepositions'!B:F, 5, 0),  REGEXEXTRACT(C3542, ""🏘️ \w+ \w+ (.*) ✅""))))"),"#N/A")</f>
        <v>#N/A</v>
      </c>
      <c r="I3542" s="4" t="str">
        <f>IFERROR(__xludf.DUMMYFUNCTION("if(D3542=""variant"",  substitute(filter(Templates!E:E, Templates!A:A = F3542, Templates!B:B = G3542, Templates!C:C = H3542), ""{{}}"", E3542), B3542)"),"Louer appartement Sorens: Trouvez le bien immobilier qui correspond idéalement à vos désirs sur ImmoScout24 - La plateforme de l'immobilier en Suisse.")</f>
        <v>Louer appartement Sorens: Trouvez le bien immobilier qui correspond idéalement à vos désirs sur ImmoScout24 - La plateforme de l'immobilier en Suisse.</v>
      </c>
    </row>
    <row r="3543" hidden="1">
      <c r="A3543" s="5" t="s">
        <v>10189</v>
      </c>
      <c r="B3543" s="2" t="s">
        <v>10190</v>
      </c>
      <c r="C3543" s="2" t="s">
        <v>10190</v>
      </c>
      <c r="D3543" s="4" t="str">
        <f>vlookup(A3543, Sheet2!D:E, 2, 0)</f>
        <v>control</v>
      </c>
      <c r="E3543" s="4" t="str">
        <f>IFERROR(__xludf.DUMMYFUNCTION("if(H3543=""pays"",vlookup(REGEXEXTRACT(C3543, ""🏘️ \w+ \w+ (.*) ✅""),'Country prepositions'!A:B, 2, 0) &amp; "" "" &amp; REGEXEXTRACT(C3543, ""🏘️ \w+ \w+ (.*) ✅"") ,  if(H3543=""quartier"",vlookup(REGEXEXTRACT(C3543, ""🏘️ \w+ \w+ (.*) ✅""),'Quartier prepositio"&amp;"ns'!A:E, 5, 0) ,  if(H3543=""region"",vlookup(REGEXEXTRACT(C3543, ""🏘️ \w+ \w+ (.*) ✅""),'Region prepositions'!B:F, 5, 0),  REGEXEXTRACT(C3543, ""🏘️ \w+ \w+ (.*) ✅""))))"),"#N/A")</f>
        <v>#N/A</v>
      </c>
      <c r="I3543" s="4" t="str">
        <f>IFERROR(__xludf.DUMMYFUNCTION("if(D3543=""variant"",  substitute(filter(Templates!E:E, Templates!A:A = F3543, Templates!B:B = G3543, Templates!C:C = H3543), ""{{}}"", E3543), B3543)"),"Louer appartement Hallwil: Trouvez le bien immobilier qui correspond idéalement à vos désirs sur ImmoScout24 - La plateforme de l'immobilier en Suisse.")</f>
        <v>Louer appartement Hallwil: Trouvez le bien immobilier qui correspond idéalement à vos désirs sur ImmoScout24 - La plateforme de l'immobilier en Suisse.</v>
      </c>
    </row>
    <row r="3544" hidden="1">
      <c r="A3544" s="5" t="s">
        <v>10191</v>
      </c>
      <c r="B3544" s="2" t="s">
        <v>10192</v>
      </c>
      <c r="C3544" s="2" t="s">
        <v>10192</v>
      </c>
      <c r="D3544" s="4" t="str">
        <f>vlookup(A3544, Sheet2!D:E, 2, 0)</f>
        <v>control</v>
      </c>
      <c r="E3544" s="4" t="str">
        <f>IFERROR(__xludf.DUMMYFUNCTION("if(H3544=""pays"",vlookup(REGEXEXTRACT(C3544, ""🏘️ \w+ \w+ (.*) ✅""),'Country prepositions'!A:B, 2, 0) &amp; "" "" &amp; REGEXEXTRACT(C3544, ""🏘️ \w+ \w+ (.*) ✅"") ,  if(H3544=""quartier"",vlookup(REGEXEXTRACT(C3544, ""🏘️ \w+ \w+ (.*) ✅""),'Quartier prepositio"&amp;"ns'!A:E, 5, 0) ,  if(H3544=""region"",vlookup(REGEXEXTRACT(C3544, ""🏘️ \w+ \w+ (.*) ✅""),'Region prepositions'!B:F, 5, 0),  REGEXEXTRACT(C3544, ""🏘️ \w+ \w+ (.*) ✅""))))"),"#N/A")</f>
        <v>#N/A</v>
      </c>
      <c r="I3544" s="4" t="str">
        <f>IFERROR(__xludf.DUMMYFUNCTION("if(D3544=""variant"",  substitute(filter(Templates!E:E, Templates!A:A = F3544, Templates!B:B = G3544, Templates!C:C = H3544), ""{{}}"", E3544), B3544)"),"Louer maison Chaumont: Trouvez le bien immobilier qui correspond idéalement à vos désirs sur ImmoScout24 - La plateforme de l'immobilier en Suisse.")</f>
        <v>Louer maison Chaumont: Trouvez le bien immobilier qui correspond idéalement à vos désirs sur ImmoScout24 - La plateforme de l'immobilier en Suisse.</v>
      </c>
    </row>
    <row r="3545" hidden="1">
      <c r="A3545" s="5" t="s">
        <v>10193</v>
      </c>
      <c r="B3545" s="2" t="s">
        <v>10194</v>
      </c>
      <c r="C3545" s="2" t="s">
        <v>10194</v>
      </c>
      <c r="D3545" s="4" t="str">
        <f>vlookup(A3545, Sheet2!D:E, 2, 0)</f>
        <v>control</v>
      </c>
      <c r="E3545" s="4" t="str">
        <f>IFERROR(__xludf.DUMMYFUNCTION("if(H3545=""pays"",vlookup(REGEXEXTRACT(C3545, ""🏘️ \w+ \w+ (.*) ✅""),'Country prepositions'!A:B, 2, 0) &amp; "" "" &amp; REGEXEXTRACT(C3545, ""🏘️ \w+ \w+ (.*) ✅"") ,  if(H3545=""quartier"",vlookup(REGEXEXTRACT(C3545, ""🏘️ \w+ \w+ (.*) ✅""),'Quartier prepositio"&amp;"ns'!A:E, 5, 0) ,  if(H3545=""region"",vlookup(REGEXEXTRACT(C3545, ""🏘️ \w+ \w+ (.*) ✅""),'Region prepositions'!B:F, 5, 0),  REGEXEXTRACT(C3545, ""🏘️ \w+ \w+ (.*) ✅""))))"),"#N/A")</f>
        <v>#N/A</v>
      </c>
      <c r="I3545" s="4" t="str">
        <f>IFERROR(__xludf.DUMMYFUNCTION("if(D3545=""variant"",  substitute(filter(Templates!E:E, Templates!A:A = F3545, Templates!B:B = G3545, Templates!C:C = H3545), ""{{}}"", E3545), B3545)"),"Louer appartement Köniz (Köniz): Trouvez le bien immobilier qui correspond idéalement à vos désirs sur ImmoScout24 - La plateforme de l'immobilier en Suisse.")</f>
        <v>Louer appartement Köniz (Köniz): Trouvez le bien immobilier qui correspond idéalement à vos désirs sur ImmoScout24 - La plateforme de l'immobilier en Suisse.</v>
      </c>
    </row>
    <row r="3546" hidden="1">
      <c r="A3546" s="5" t="s">
        <v>10195</v>
      </c>
      <c r="B3546" s="2" t="s">
        <v>10196</v>
      </c>
      <c r="C3546" s="2" t="s">
        <v>10196</v>
      </c>
      <c r="D3546" s="4" t="str">
        <f>vlookup(A3546, Sheet2!D:E, 2, 0)</f>
        <v>control</v>
      </c>
      <c r="E3546" s="4" t="str">
        <f>IFERROR(__xludf.DUMMYFUNCTION("if(H3546=""pays"",vlookup(REGEXEXTRACT(C3546, ""🏘️ \w+ \w+ (.*) ✅""),'Country prepositions'!A:B, 2, 0) &amp; "" "" &amp; REGEXEXTRACT(C3546, ""🏘️ \w+ \w+ (.*) ✅"") ,  if(H3546=""quartier"",vlookup(REGEXEXTRACT(C3546, ""🏘️ \w+ \w+ (.*) ✅""),'Quartier prepositio"&amp;"ns'!A:E, 5, 0) ,  if(H3546=""region"",vlookup(REGEXEXTRACT(C3546, ""🏘️ \w+ \w+ (.*) ✅""),'Region prepositions'!B:F, 5, 0),  REGEXEXTRACT(C3546, ""🏘️ \w+ \w+ (.*) ✅""))))"),"#N/A")</f>
        <v>#N/A</v>
      </c>
      <c r="I3546" s="4" t="str">
        <f>IFERROR(__xludf.DUMMYFUNCTION("if(D3546=""variant"",  substitute(filter(Templates!E:E, Templates!A:A = F3546, Templates!B:B = G3546, Templates!C:C = H3546), ""{{}}"", E3546), B3546)"),"Louer appartement Bellach: Trouvez le bien immobilier qui correspond idéalement à vos désirs sur ImmoScout24 - La plateforme de l'immobilier en Suisse.")</f>
        <v>Louer appartement Bellach: Trouvez le bien immobilier qui correspond idéalement à vos désirs sur ImmoScout24 - La plateforme de l'immobilier en Suisse.</v>
      </c>
    </row>
    <row r="3547" hidden="1">
      <c r="A3547" s="5" t="s">
        <v>10197</v>
      </c>
      <c r="B3547" s="2" t="s">
        <v>10198</v>
      </c>
      <c r="C3547" s="2" t="s">
        <v>10198</v>
      </c>
      <c r="D3547" s="4" t="str">
        <f>vlookup(A3547, Sheet2!D:E, 2, 0)</f>
        <v>control</v>
      </c>
      <c r="E3547" s="4" t="str">
        <f>IFERROR(__xludf.DUMMYFUNCTION("if(H3547=""pays"",vlookup(REGEXEXTRACT(C3547, ""🏘️ \w+ \w+ (.*) ✅""),'Country prepositions'!A:B, 2, 0) &amp; "" "" &amp; REGEXEXTRACT(C3547, ""🏘️ \w+ \w+ (.*) ✅"") ,  if(H3547=""quartier"",vlookup(REGEXEXTRACT(C3547, ""🏘️ \w+ \w+ (.*) ✅""),'Quartier prepositio"&amp;"ns'!A:E, 5, 0) ,  if(H3547=""region"",vlookup(REGEXEXTRACT(C3547, ""🏘️ \w+ \w+ (.*) ✅""),'Region prepositions'!B:F, 5, 0),  REGEXEXTRACT(C3547, ""🏘️ \w+ \w+ (.*) ✅""))))"),"#N/A")</f>
        <v>#N/A</v>
      </c>
      <c r="I3547" s="4" t="str">
        <f>IFERROR(__xludf.DUMMYFUNCTION("if(D3547=""variant"",  substitute(filter(Templates!E:E, Templates!A:A = F3547, Templates!B:B = G3547, Templates!C:C = H3547), ""{{}}"", E3547), B3547)"),"Louer maison Avenches - Payerne: Trouvez le bien immobilier qui correspond idéalement à vos désirs sur ImmoScout24 - La plateforme de l'immobilier en Suisse.")</f>
        <v>Louer maison Avenches - Payerne: Trouvez le bien immobilier qui correspond idéalement à vos désirs sur ImmoScout24 - La plateforme de l'immobilier en Suisse.</v>
      </c>
    </row>
    <row r="3548" hidden="1">
      <c r="A3548" s="5" t="s">
        <v>10199</v>
      </c>
      <c r="B3548" s="2" t="s">
        <v>10200</v>
      </c>
      <c r="C3548" s="2" t="s">
        <v>10200</v>
      </c>
      <c r="D3548" s="4" t="str">
        <f>vlookup(A3548, Sheet2!D:E, 2, 0)</f>
        <v>control</v>
      </c>
      <c r="E3548" s="4" t="str">
        <f>IFERROR(__xludf.DUMMYFUNCTION("if(H3548=""pays"",vlookup(REGEXEXTRACT(C3548, ""🏘️ \w+ \w+ (.*) ✅""),'Country prepositions'!A:B, 2, 0) &amp; "" "" &amp; REGEXEXTRACT(C3548, ""🏘️ \w+ \w+ (.*) ✅"") ,  if(H3548=""quartier"",vlookup(REGEXEXTRACT(C3548, ""🏘️ \w+ \w+ (.*) ✅""),'Quartier prepositio"&amp;"ns'!A:E, 5, 0) ,  if(H3548=""region"",vlookup(REGEXEXTRACT(C3548, ""🏘️ \w+ \w+ (.*) ✅""),'Region prepositions'!B:F, 5, 0),  REGEXEXTRACT(C3548, ""🏘️ \w+ \w+ (.*) ✅""))))"),"#N/A")</f>
        <v>#N/A</v>
      </c>
      <c r="I3548" s="4" t="str">
        <f>IFERROR(__xludf.DUMMYFUNCTION("if(D3548=""variant"",  substitute(filter(Templates!E:E, Templates!A:A = F3548, Templates!B:B = G3548, Templates!C:C = H3548), ""{{}}"", E3548), B3548)"),"Vendre maison St-Saphorin (Lavaux): Trouvez le bien immobilier qui correspond idéalement à vos désirs sur ImmoScout24 - La plateforme de l'immobilier en Suisse.")</f>
        <v>Vendre maison St-Saphorin (Lavaux): Trouvez le bien immobilier qui correspond idéalement à vos désirs sur ImmoScout24 - La plateforme de l'immobilier en Suisse.</v>
      </c>
    </row>
    <row r="3549" hidden="1">
      <c r="A3549" s="5" t="s">
        <v>10201</v>
      </c>
      <c r="B3549" s="2" t="s">
        <v>10202</v>
      </c>
      <c r="C3549" s="2" t="s">
        <v>10202</v>
      </c>
      <c r="D3549" s="4" t="str">
        <f>vlookup(A3549, Sheet2!D:E, 2, 0)</f>
        <v>control</v>
      </c>
      <c r="E3549" s="4" t="str">
        <f>IFERROR(__xludf.DUMMYFUNCTION("if(H3549=""pays"",vlookup(REGEXEXTRACT(C3549, ""🏘️ \w+ \w+ (.*) ✅""),'Country prepositions'!A:B, 2, 0) &amp; "" "" &amp; REGEXEXTRACT(C3549, ""🏘️ \w+ \w+ (.*) ✅"") ,  if(H3549=""quartier"",vlookup(REGEXEXTRACT(C3549, ""🏘️ \w+ \w+ (.*) ✅""),'Quartier prepositio"&amp;"ns'!A:E, 5, 0) ,  if(H3549=""region"",vlookup(REGEXEXTRACT(C3549, ""🏘️ \w+ \w+ (.*) ✅""),'Region prepositions'!B:F, 5, 0),  REGEXEXTRACT(C3549, ""🏘️ \w+ \w+ (.*) ✅""))))"),"#N/A")</f>
        <v>#N/A</v>
      </c>
      <c r="I3549" s="4" t="str">
        <f>IFERROR(__xludf.DUMMYFUNCTION("if(D3549=""variant"",  substitute(filter(Templates!E:E, Templates!A:A = F3549, Templates!B:B = G3549, Templates!C:C = H3549), ""{{}}"", E3549), B3549)"),"Vendre appartement La Tour-de-Peilz: Trouvez le bien immobilier qui correspond idéalement à vos désirs sur ImmoScout24 - La plateforme de l'immobilier en Suisse.")</f>
        <v>Vendre appartement La Tour-de-Peilz: Trouvez le bien immobilier qui correspond idéalement à vos désirs sur ImmoScout24 - La plateforme de l'immobilier en Suisse.</v>
      </c>
    </row>
    <row r="3550" hidden="1">
      <c r="A3550" s="5" t="s">
        <v>10203</v>
      </c>
      <c r="B3550" s="2" t="s">
        <v>10204</v>
      </c>
      <c r="C3550" s="2" t="s">
        <v>10204</v>
      </c>
      <c r="D3550" s="4" t="str">
        <f>vlookup(A3550, Sheet2!D:E, 2, 0)</f>
        <v>control</v>
      </c>
      <c r="E3550" s="4" t="str">
        <f>IFERROR(__xludf.DUMMYFUNCTION("if(H3550=""pays"",vlookup(REGEXEXTRACT(C3550, ""🏘️ \w+ \w+ (.*) ✅""),'Country prepositions'!A:B, 2, 0) &amp; "" "" &amp; REGEXEXTRACT(C3550, ""🏘️ \w+ \w+ (.*) ✅"") ,  if(H3550=""quartier"",vlookup(REGEXEXTRACT(C3550, ""🏘️ \w+ \w+ (.*) ✅""),'Quartier prepositio"&amp;"ns'!A:E, 5, 0) ,  if(H3550=""region"",vlookup(REGEXEXTRACT(C3550, ""🏘️ \w+ \w+ (.*) ✅""),'Region prepositions'!B:F, 5, 0),  REGEXEXTRACT(C3550, ""🏘️ \w+ \w+ (.*) ✅""))))"),"#N/A")</f>
        <v>#N/A</v>
      </c>
      <c r="I3550" s="4" t="str">
        <f>IFERROR(__xludf.DUMMYFUNCTION("if(D3550=""variant"",  substitute(filter(Templates!E:E, Templates!A:A = F3550, Templates!B:B = G3550, Templates!C:C = H3550), ""{{}}"", E3550), B3550)"),"Louer maison Montpreveyres: Trouvez le bien immobilier qui correspond idéalement à vos désirs sur ImmoScout24 - La plateforme de l'immobilier en Suisse.")</f>
        <v>Louer maison Montpreveyres: Trouvez le bien immobilier qui correspond idéalement à vos désirs sur ImmoScout24 - La plateforme de l'immobilier en Suisse.</v>
      </c>
    </row>
    <row r="3551" hidden="1">
      <c r="A3551" s="5" t="s">
        <v>10205</v>
      </c>
      <c r="B3551" s="2" t="s">
        <v>10206</v>
      </c>
      <c r="C3551" s="2" t="s">
        <v>10206</v>
      </c>
      <c r="D3551" s="4" t="str">
        <f>vlookup(A3551, Sheet2!D:E, 2, 0)</f>
        <v>control</v>
      </c>
      <c r="E3551" s="4" t="str">
        <f>IFERROR(__xludf.DUMMYFUNCTION("if(H3551=""pays"",vlookup(REGEXEXTRACT(C3551, ""🏘️ \w+ \w+ (.*) ✅""),'Country prepositions'!A:B, 2, 0) &amp; "" "" &amp; REGEXEXTRACT(C3551, ""🏘️ \w+ \w+ (.*) ✅"") ,  if(H3551=""quartier"",vlookup(REGEXEXTRACT(C3551, ""🏘️ \w+ \w+ (.*) ✅""),'Quartier prepositio"&amp;"ns'!A:E, 5, 0) ,  if(H3551=""region"",vlookup(REGEXEXTRACT(C3551, ""🏘️ \w+ \w+ (.*) ✅""),'Region prepositions'!B:F, 5, 0),  REGEXEXTRACT(C3551, ""🏘️ \w+ \w+ (.*) ✅""))))"),"#N/A")</f>
        <v>#N/A</v>
      </c>
      <c r="I3551" s="4" t="str">
        <f>IFERROR(__xludf.DUMMYFUNCTION("if(D3551=""variant"",  substitute(filter(Templates!E:E, Templates!A:A = F3551, Templates!B:B = G3551, Templates!C:C = H3551), ""{{}}"", E3551), B3551)"),"Louer appartement Attalens: Trouvez le bien immobilier qui correspond idéalement à vos désirs sur ImmoScout24 - La plateforme de l'immobilier en Suisse.")</f>
        <v>Louer appartement Attalens: Trouvez le bien immobilier qui correspond idéalement à vos désirs sur ImmoScout24 - La plateforme de l'immobilier en Suisse.</v>
      </c>
    </row>
    <row r="3552" hidden="1">
      <c r="A3552" s="5" t="s">
        <v>10207</v>
      </c>
      <c r="B3552" s="2" t="s">
        <v>10208</v>
      </c>
      <c r="C3552" s="2" t="s">
        <v>10208</v>
      </c>
      <c r="D3552" s="4" t="str">
        <f>vlookup(A3552, Sheet2!D:E, 2, 0)</f>
        <v>control</v>
      </c>
      <c r="E3552" s="4" t="str">
        <f>IFERROR(__xludf.DUMMYFUNCTION("if(H3552=""pays"",vlookup(REGEXEXTRACT(C3552, ""🏘️ \w+ \w+ (.*) ✅""),'Country prepositions'!A:B, 2, 0) &amp; "" "" &amp; REGEXEXTRACT(C3552, ""🏘️ \w+ \w+ (.*) ✅"") ,  if(H3552=""quartier"",vlookup(REGEXEXTRACT(C3552, ""🏘️ \w+ \w+ (.*) ✅""),'Quartier prepositio"&amp;"ns'!A:E, 5, 0) ,  if(H3552=""region"",vlookup(REGEXEXTRACT(C3552, ""🏘️ \w+ \w+ (.*) ✅""),'Region prepositions'!B:F, 5, 0),  REGEXEXTRACT(C3552, ""🏘️ \w+ \w+ (.*) ✅""))))"),"#N/A")</f>
        <v>#N/A</v>
      </c>
      <c r="I3552" s="4" t="str">
        <f>IFERROR(__xludf.DUMMYFUNCTION("if(D3552=""variant"",  substitute(filter(Templates!E:E, Templates!A:A = F3552, Templates!B:B = G3552, Templates!C:C = H3552), ""{{}}"", E3552), B3552)"),"Louer appartement Orbe: Trouvez le bien immobilier qui correspond idéalement à vos désirs sur ImmoScout24 - La plateforme de l'immobilier en Suisse.")</f>
        <v>Louer appartement Orbe: Trouvez le bien immobilier qui correspond idéalement à vos désirs sur ImmoScout24 - La plateforme de l'immobilier en Suisse.</v>
      </c>
    </row>
    <row r="3553" hidden="1">
      <c r="A3553" s="5" t="s">
        <v>10209</v>
      </c>
      <c r="B3553" s="2" t="s">
        <v>10210</v>
      </c>
      <c r="C3553" s="2" t="s">
        <v>10210</v>
      </c>
      <c r="D3553" s="4" t="str">
        <f>vlookup(A3553, Sheet2!D:E, 2, 0)</f>
        <v>control</v>
      </c>
      <c r="E3553" s="4" t="str">
        <f>IFERROR(__xludf.DUMMYFUNCTION("if(H3553=""pays"",vlookup(REGEXEXTRACT(C3553, ""🏘️ \w+ \w+ (.*) ✅""),'Country prepositions'!A:B, 2, 0) &amp; "" "" &amp; REGEXEXTRACT(C3553, ""🏘️ \w+ \w+ (.*) ✅"") ,  if(H3553=""quartier"",vlookup(REGEXEXTRACT(C3553, ""🏘️ \w+ \w+ (.*) ✅""),'Quartier prepositio"&amp;"ns'!A:E, 5, 0) ,  if(H3553=""region"",vlookup(REGEXEXTRACT(C3553, ""🏘️ \w+ \w+ (.*) ✅""),'Region prepositions'!B:F, 5, 0),  REGEXEXTRACT(C3553, ""🏘️ \w+ \w+ (.*) ✅""))))"),"#N/A")</f>
        <v>#N/A</v>
      </c>
      <c r="I3553" s="4" t="str">
        <f>IFERROR(__xludf.DUMMYFUNCTION("if(D3553=""variant"",  substitute(filter(Templates!E:E, Templates!A:A = F3553, Templates!B:B = G3553, Templates!C:C = H3553), ""{{}}"", E3553), B3553)"),"Louer appartement Madretsch Süd (Biel/Bienne): Trouvez le bien immobilier qui correspond idéalement à vos désirs sur ImmoScout24 - La plateforme de l'immobilier en Suisse.")</f>
        <v>Louer appartement Madretsch Süd (Biel/Bienne): Trouvez le bien immobilier qui correspond idéalement à vos désirs sur ImmoScout24 - La plateforme de l'immobilier en Suisse.</v>
      </c>
    </row>
    <row r="3554" hidden="1">
      <c r="A3554" s="5" t="s">
        <v>10211</v>
      </c>
      <c r="B3554" s="2" t="s">
        <v>10212</v>
      </c>
      <c r="C3554" s="2" t="s">
        <v>10212</v>
      </c>
      <c r="D3554" s="4" t="str">
        <f>vlookup(A3554, Sheet2!D:E, 2, 0)</f>
        <v>control</v>
      </c>
      <c r="E3554" s="4" t="str">
        <f>IFERROR(__xludf.DUMMYFUNCTION("if(H3554=""pays"",vlookup(REGEXEXTRACT(C3554, ""🏘️ \w+ \w+ (.*) ✅""),'Country prepositions'!A:B, 2, 0) &amp; "" "" &amp; REGEXEXTRACT(C3554, ""🏘️ \w+ \w+ (.*) ✅"") ,  if(H3554=""quartier"",vlookup(REGEXEXTRACT(C3554, ""🏘️ \w+ \w+ (.*) ✅""),'Quartier prepositio"&amp;"ns'!A:E, 5, 0) ,  if(H3554=""region"",vlookup(REGEXEXTRACT(C3554, ""🏘️ \w+ \w+ (.*) ✅""),'Region prepositions'!B:F, 5, 0),  REGEXEXTRACT(C3554, ""🏘️ \w+ \w+ (.*) ✅""))))"),"#N/A")</f>
        <v>#N/A</v>
      </c>
      <c r="I3554" s="4" t="str">
        <f>IFERROR(__xludf.DUMMYFUNCTION("if(D3554=""variant"",  substitute(filter(Templates!E:E, Templates!A:A = F3554, Templates!B:B = G3554, Templates!C:C = H3554), ""{{}}"", E3554), B3554)"),"Louer appartement Bühl b. Aarberg: Trouvez le bien immobilier qui correspond idéalement à vos désirs sur ImmoScout24 - La plateforme de l'immobilier en Suisse.")</f>
        <v>Louer appartement Bühl b. Aarberg: Trouvez le bien immobilier qui correspond idéalement à vos désirs sur ImmoScout24 - La plateforme de l'immobilier en Suisse.</v>
      </c>
    </row>
    <row r="3555" hidden="1">
      <c r="A3555" s="5" t="s">
        <v>10213</v>
      </c>
      <c r="B3555" s="2" t="s">
        <v>10214</v>
      </c>
      <c r="C3555" s="2" t="s">
        <v>10214</v>
      </c>
      <c r="D3555" s="4" t="str">
        <f>vlookup(A3555, Sheet2!D:E, 2, 0)</f>
        <v>control</v>
      </c>
      <c r="E3555" s="4" t="str">
        <f>IFERROR(__xludf.DUMMYFUNCTION("if(H3555=""pays"",vlookup(REGEXEXTRACT(C3555, ""🏘️ \w+ \w+ (.*) ✅""),'Country prepositions'!A:B, 2, 0) &amp; "" "" &amp; REGEXEXTRACT(C3555, ""🏘️ \w+ \w+ (.*) ✅"") ,  if(H3555=""quartier"",vlookup(REGEXEXTRACT(C3555, ""🏘️ \w+ \w+ (.*) ✅""),'Quartier prepositio"&amp;"ns'!A:E, 5, 0) ,  if(H3555=""region"",vlookup(REGEXEXTRACT(C3555, ""🏘️ \w+ \w+ (.*) ✅""),'Region prepositions'!B:F, 5, 0),  REGEXEXTRACT(C3555, ""🏘️ \w+ \w+ (.*) ✅""))))"),"#N/A")</f>
        <v>#N/A</v>
      </c>
      <c r="I3555" s="4" t="str">
        <f>IFERROR(__xludf.DUMMYFUNCTION("if(D3555=""variant"",  substitute(filter(Templates!E:E, Templates!A:A = F3555, Templates!B:B = G3555, Templates!C:C = H3555), ""{{}}"", E3555), B3555)"),"Vendre maison Bowil: Trouvez le bien immobilier qui correspond idéalement à vos désirs sur ImmoScout24 - La plateforme de l'immobilier en Suisse.")</f>
        <v>Vendre maison Bowil: Trouvez le bien immobilier qui correspond idéalement à vos désirs sur ImmoScout24 - La plateforme de l'immobilier en Suisse.</v>
      </c>
    </row>
    <row r="3556" hidden="1">
      <c r="A3556" s="5" t="s">
        <v>10215</v>
      </c>
      <c r="B3556" s="2" t="s">
        <v>10216</v>
      </c>
      <c r="C3556" s="2" t="s">
        <v>10216</v>
      </c>
      <c r="D3556" s="4" t="str">
        <f>vlookup(A3556, Sheet2!D:E, 2, 0)</f>
        <v>control</v>
      </c>
      <c r="E3556" s="4" t="str">
        <f>IFERROR(__xludf.DUMMYFUNCTION("if(H3556=""pays"",vlookup(REGEXEXTRACT(C3556, ""🏘️ \w+ \w+ (.*) ✅""),'Country prepositions'!A:B, 2, 0) &amp; "" "" &amp; REGEXEXTRACT(C3556, ""🏘️ \w+ \w+ (.*) ✅"") ,  if(H3556=""quartier"",vlookup(REGEXEXTRACT(C3556, ""🏘️ \w+ \w+ (.*) ✅""),'Quartier prepositio"&amp;"ns'!A:E, 5, 0) ,  if(H3556=""region"",vlookup(REGEXEXTRACT(C3556, ""🏘️ \w+ \w+ (.*) ✅""),'Region prepositions'!B:F, 5, 0),  REGEXEXTRACT(C3556, ""🏘️ \w+ \w+ (.*) ✅""))))"),"#N/A")</f>
        <v>#N/A</v>
      </c>
      <c r="I3556" s="4" t="str">
        <f>IFERROR(__xludf.DUMMYFUNCTION("if(D3556=""variant"",  substitute(filter(Templates!E:E, Templates!A:A = F3556, Templates!B:B = G3556, Templates!C:C = H3556), ""{{}}"", E3556), B3556)"),"Louer appartement Collonges: Trouvez le bien immobilier qui correspond idéalement à vos désirs sur ImmoScout24 - La plateforme de l'immobilier en Suisse.")</f>
        <v>Louer appartement Collonges: Trouvez le bien immobilier qui correspond idéalement à vos désirs sur ImmoScout24 - La plateforme de l'immobilier en Suisse.</v>
      </c>
    </row>
    <row r="3557" hidden="1">
      <c r="A3557" s="5" t="s">
        <v>10217</v>
      </c>
      <c r="B3557" s="2" t="s">
        <v>10218</v>
      </c>
      <c r="C3557" s="2" t="s">
        <v>10218</v>
      </c>
      <c r="D3557" s="4" t="str">
        <f>vlookup(A3557, Sheet2!D:E, 2, 0)</f>
        <v>control</v>
      </c>
      <c r="E3557" s="4" t="str">
        <f>IFERROR(__xludf.DUMMYFUNCTION("if(H3557=""pays"",vlookup(REGEXEXTRACT(C3557, ""🏘️ \w+ \w+ (.*) ✅""),'Country prepositions'!A:B, 2, 0) &amp; "" "" &amp; REGEXEXTRACT(C3557, ""🏘️ \w+ \w+ (.*) ✅"") ,  if(H3557=""quartier"",vlookup(REGEXEXTRACT(C3557, ""🏘️ \w+ \w+ (.*) ✅""),'Quartier prepositio"&amp;"ns'!A:E, 5, 0) ,  if(H3557=""region"",vlookup(REGEXEXTRACT(C3557, ""🏘️ \w+ \w+ (.*) ✅""),'Region prepositions'!B:F, 5, 0),  REGEXEXTRACT(C3557, ""🏘️ \w+ \w+ (.*) ✅""))))"),"#N/A")</f>
        <v>#N/A</v>
      </c>
      <c r="I3557" s="4" t="str">
        <f>IFERROR(__xludf.DUMMYFUNCTION("if(D3557=""variant"",  substitute(filter(Templates!E:E, Templates!A:A = F3557, Templates!B:B = G3557, Templates!C:C = H3557), ""{{}}"", E3557), B3557)"),"Vendre maison Hedingen: Trouvez le bien immobilier qui correspond idéalement à vos désirs sur ImmoScout24 - La plateforme de l'immobilier en Suisse.")</f>
        <v>Vendre maison Hedingen: Trouvez le bien immobilier qui correspond idéalement à vos désirs sur ImmoScout24 - La plateforme de l'immobilier en Suisse.</v>
      </c>
    </row>
    <row r="3558" hidden="1">
      <c r="A3558" s="5" t="s">
        <v>10219</v>
      </c>
      <c r="B3558" s="2" t="s">
        <v>10220</v>
      </c>
      <c r="C3558" s="2" t="s">
        <v>10220</v>
      </c>
      <c r="D3558" s="4" t="str">
        <f>vlookup(A3558, Sheet2!D:E, 2, 0)</f>
        <v>control</v>
      </c>
      <c r="E3558" s="4" t="str">
        <f>IFERROR(__xludf.DUMMYFUNCTION("if(H3558=""pays"",vlookup(REGEXEXTRACT(C3558, ""🏘️ \w+ \w+ (.*) ✅""),'Country prepositions'!A:B, 2, 0) &amp; "" "" &amp; REGEXEXTRACT(C3558, ""🏘️ \w+ \w+ (.*) ✅"") ,  if(H3558=""quartier"",vlookup(REGEXEXTRACT(C3558, ""🏘️ \w+ \w+ (.*) ✅""),'Quartier prepositio"&amp;"ns'!A:E, 5, 0) ,  if(H3558=""region"",vlookup(REGEXEXTRACT(C3558, ""🏘️ \w+ \w+ (.*) ✅""),'Region prepositions'!B:F, 5, 0),  REGEXEXTRACT(C3558, ""🏘️ \w+ \w+ (.*) ✅""))))"),"#N/A")</f>
        <v>#N/A</v>
      </c>
      <c r="I3558" s="4" t="str">
        <f>IFERROR(__xludf.DUMMYFUNCTION("if(D3558=""variant"",  substitute(filter(Templates!E:E, Templates!A:A = F3558, Templates!B:B = G3558, Templates!C:C = H3558), ""{{}}"", E3558), B3558)"),"Vendre maison Appenzell et environs: Trouvez le bien immobilier qui correspond idéalement à vos désirs sur ImmoScout24 - La plateforme de l'immobilier en Suisse.")</f>
        <v>Vendre maison Appenzell et environs: Trouvez le bien immobilier qui correspond idéalement à vos désirs sur ImmoScout24 - La plateforme de l'immobilier en Suisse.</v>
      </c>
    </row>
    <row r="3559" hidden="1">
      <c r="A3559" s="5" t="s">
        <v>10221</v>
      </c>
      <c r="B3559" s="2" t="s">
        <v>10222</v>
      </c>
      <c r="C3559" s="2" t="s">
        <v>10222</v>
      </c>
      <c r="D3559" s="4" t="str">
        <f>vlookup(A3559, Sheet2!D:E, 2, 0)</f>
        <v>control</v>
      </c>
      <c r="E3559" s="4" t="str">
        <f>IFERROR(__xludf.DUMMYFUNCTION("if(H3559=""pays"",vlookup(REGEXEXTRACT(C3559, ""🏘️ \w+ \w+ (.*) ✅""),'Country prepositions'!A:B, 2, 0) &amp; "" "" &amp; REGEXEXTRACT(C3559, ""🏘️ \w+ \w+ (.*) ✅"") ,  if(H3559=""quartier"",vlookup(REGEXEXTRACT(C3559, ""🏘️ \w+ \w+ (.*) ✅""),'Quartier prepositio"&amp;"ns'!A:E, 5, 0) ,  if(H3559=""region"",vlookup(REGEXEXTRACT(C3559, ""🏘️ \w+ \w+ (.*) ✅""),'Region prepositions'!B:F, 5, 0),  REGEXEXTRACT(C3559, ""🏘️ \w+ \w+ (.*) ✅""))))"),"#N/A")</f>
        <v>#N/A</v>
      </c>
      <c r="I3559" s="4" t="str">
        <f>IFERROR(__xludf.DUMMYFUNCTION("if(D3559=""variant"",  substitute(filter(Templates!E:E, Templates!A:A = F3559, Templates!B:B = G3559, Templates!C:C = H3559), ""{{}}"", E3559), B3559)"),"Vendre appartement Ponte Tresa: Trouvez le bien immobilier qui correspond idéalement à vos désirs sur ImmoScout24 - La plateforme de l'immobilier en Suisse.")</f>
        <v>Vendre appartement Ponte Tresa: Trouvez le bien immobilier qui correspond idéalement à vos désirs sur ImmoScout24 - La plateforme de l'immobilier en Suisse.</v>
      </c>
    </row>
    <row r="3560" hidden="1">
      <c r="A3560" s="5" t="s">
        <v>10223</v>
      </c>
      <c r="B3560" s="2" t="s">
        <v>10224</v>
      </c>
      <c r="C3560" s="2" t="s">
        <v>10224</v>
      </c>
      <c r="D3560" s="4" t="str">
        <f>vlookup(A3560, Sheet2!D:E, 2, 0)</f>
        <v>control</v>
      </c>
      <c r="E3560" s="4" t="str">
        <f>IFERROR(__xludf.DUMMYFUNCTION("if(H3560=""pays"",vlookup(REGEXEXTRACT(C3560, ""🏘️ \w+ \w+ (.*) ✅""),'Country prepositions'!A:B, 2, 0) &amp; "" "" &amp; REGEXEXTRACT(C3560, ""🏘️ \w+ \w+ (.*) ✅"") ,  if(H3560=""quartier"",vlookup(REGEXEXTRACT(C3560, ""🏘️ \w+ \w+ (.*) ✅""),'Quartier prepositio"&amp;"ns'!A:E, 5, 0) ,  if(H3560=""region"",vlookup(REGEXEXTRACT(C3560, ""🏘️ \w+ \w+ (.*) ✅""),'Region prepositions'!B:F, 5, 0),  REGEXEXTRACT(C3560, ""🏘️ \w+ \w+ (.*) ✅""))))"),"#N/A")</f>
        <v>#N/A</v>
      </c>
      <c r="I3560" s="4" t="str">
        <f>IFERROR(__xludf.DUMMYFUNCTION("if(D3560=""variant"",  substitute(filter(Templates!E:E, Templates!A:A = F3560, Templates!B:B = G3560, Templates!C:C = H3560), ""{{}}"", E3560), B3560)"),"Vendre appartement Cries (Vollèges): Trouvez le bien immobilier qui correspond idéalement à vos désirs sur ImmoScout24 - La plateforme de l'immobilier en Suisse.")</f>
        <v>Vendre appartement Cries (Vollèges): Trouvez le bien immobilier qui correspond idéalement à vos désirs sur ImmoScout24 - La plateforme de l'immobilier en Suisse.</v>
      </c>
    </row>
    <row r="3561" hidden="1">
      <c r="A3561" s="5" t="s">
        <v>10225</v>
      </c>
      <c r="B3561" s="2" t="s">
        <v>10226</v>
      </c>
      <c r="C3561" s="2" t="s">
        <v>10226</v>
      </c>
      <c r="D3561" s="4" t="str">
        <f>vlookup(A3561, Sheet2!D:E, 2, 0)</f>
        <v>control</v>
      </c>
      <c r="E3561" s="4" t="str">
        <f>IFERROR(__xludf.DUMMYFUNCTION("if(H3561=""pays"",vlookup(REGEXEXTRACT(C3561, ""🏘️ \w+ \w+ (.*) ✅""),'Country prepositions'!A:B, 2, 0) &amp; "" "" &amp; REGEXEXTRACT(C3561, ""🏘️ \w+ \w+ (.*) ✅"") ,  if(H3561=""quartier"",vlookup(REGEXEXTRACT(C3561, ""🏘️ \w+ \w+ (.*) ✅""),'Quartier prepositio"&amp;"ns'!A:E, 5, 0) ,  if(H3561=""region"",vlookup(REGEXEXTRACT(C3561, ""🏘️ \w+ \w+ (.*) ✅""),'Region prepositions'!B:F, 5, 0),  REGEXEXTRACT(C3561, ""🏘️ \w+ \w+ (.*) ✅""))))"),"#N/A")</f>
        <v>#N/A</v>
      </c>
      <c r="I3561" s="4" t="str">
        <f>IFERROR(__xludf.DUMMYFUNCTION("if(D3561=""variant"",  substitute(filter(Templates!E:E, Templates!A:A = F3561, Templates!B:B = G3561, Templates!C:C = H3561), ""{{}}"", E3561), B3561)"),"Vendre maison Rheinau: Trouvez le bien immobilier qui correspond idéalement à vos désirs sur ImmoScout24 - La plateforme de l'immobilier en Suisse.")</f>
        <v>Vendre maison Rheinau: Trouvez le bien immobilier qui correspond idéalement à vos désirs sur ImmoScout24 - La plateforme de l'immobilier en Suisse.</v>
      </c>
    </row>
    <row r="3562" hidden="1">
      <c r="A3562" s="5" t="s">
        <v>10227</v>
      </c>
      <c r="B3562" s="2" t="s">
        <v>10228</v>
      </c>
      <c r="C3562" s="2" t="s">
        <v>10228</v>
      </c>
      <c r="D3562" s="4" t="str">
        <f>vlookup(A3562, Sheet2!D:E, 2, 0)</f>
        <v>control</v>
      </c>
      <c r="E3562" s="4" t="str">
        <f>IFERROR(__xludf.DUMMYFUNCTION("if(H3562=""pays"",vlookup(REGEXEXTRACT(C3562, ""🏘️ \w+ \w+ (.*) ✅""),'Country prepositions'!A:B, 2, 0) &amp; "" "" &amp; REGEXEXTRACT(C3562, ""🏘️ \w+ \w+ (.*) ✅"") ,  if(H3562=""quartier"",vlookup(REGEXEXTRACT(C3562, ""🏘️ \w+ \w+ (.*) ✅""),'Quartier prepositio"&amp;"ns'!A:E, 5, 0) ,  if(H3562=""region"",vlookup(REGEXEXTRACT(C3562, ""🏘️ \w+ \w+ (.*) ✅""),'Region prepositions'!B:F, 5, 0),  REGEXEXTRACT(C3562, ""🏘️ \w+ \w+ (.*) ✅""))))"),"#N/A")</f>
        <v>#N/A</v>
      </c>
      <c r="I3562" s="4" t="str">
        <f>IFERROR(__xludf.DUMMYFUNCTION("if(D3562=""variant"",  substitute(filter(Templates!E:E, Templates!A:A = F3562, Templates!B:B = G3562, Templates!C:C = H3562), ""{{}}"", E3562), B3562)"),"Louer appartement La Rippe: Trouvez le bien immobilier qui correspond idéalement à vos désirs sur ImmoScout24 - La plateforme de l'immobilier en Suisse.")</f>
        <v>Louer appartement La Rippe: Trouvez le bien immobilier qui correspond idéalement à vos désirs sur ImmoScout24 - La plateforme de l'immobilier en Suisse.</v>
      </c>
    </row>
    <row r="3563" hidden="1">
      <c r="A3563" s="5" t="s">
        <v>10229</v>
      </c>
      <c r="B3563" s="2" t="s">
        <v>10230</v>
      </c>
      <c r="C3563" s="2" t="s">
        <v>10230</v>
      </c>
      <c r="D3563" s="4" t="str">
        <f>vlookup(A3563, Sheet2!D:E, 2, 0)</f>
        <v>control</v>
      </c>
      <c r="E3563" s="4" t="str">
        <f>IFERROR(__xludf.DUMMYFUNCTION("if(H3563=""pays"",vlookup(REGEXEXTRACT(C3563, ""🏘️ \w+ \w+ (.*) ✅""),'Country prepositions'!A:B, 2, 0) &amp; "" "" &amp; REGEXEXTRACT(C3563, ""🏘️ \w+ \w+ (.*) ✅"") ,  if(H3563=""quartier"",vlookup(REGEXEXTRACT(C3563, ""🏘️ \w+ \w+ (.*) ✅""),'Quartier prepositio"&amp;"ns'!A:E, 5, 0) ,  if(H3563=""region"",vlookup(REGEXEXTRACT(C3563, ""🏘️ \w+ \w+ (.*) ✅""),'Region prepositions'!B:F, 5, 0),  REGEXEXTRACT(C3563, ""🏘️ \w+ \w+ (.*) ✅""))))"),"#N/A")</f>
        <v>#N/A</v>
      </c>
      <c r="I3563" s="4" t="str">
        <f>IFERROR(__xludf.DUMMYFUNCTION("if(D3563=""variant"",  substitute(filter(Templates!E:E, Templates!A:A = F3563, Templates!B:B = G3563, Templates!C:C = H3563), ""{{}}"", E3563), B3563)"),"Louer appartement Orges: Trouvez le bien immobilier qui correspond idéalement à vos désirs sur ImmoScout24 - La plateforme de l'immobilier en Suisse.")</f>
        <v>Louer appartement Orges: Trouvez le bien immobilier qui correspond idéalement à vos désirs sur ImmoScout24 - La plateforme de l'immobilier en Suisse.</v>
      </c>
    </row>
    <row r="3564" hidden="1">
      <c r="A3564" s="5" t="s">
        <v>10231</v>
      </c>
      <c r="B3564" s="2" t="s">
        <v>10232</v>
      </c>
      <c r="C3564" s="2" t="s">
        <v>10232</v>
      </c>
      <c r="D3564" s="4" t="str">
        <f>vlookup(A3564, Sheet2!D:E, 2, 0)</f>
        <v>control</v>
      </c>
      <c r="E3564" s="4" t="str">
        <f>IFERROR(__xludf.DUMMYFUNCTION("if(H3564=""pays"",vlookup(REGEXEXTRACT(C3564, ""🏘️ \w+ \w+ (.*) ✅""),'Country prepositions'!A:B, 2, 0) &amp; "" "" &amp; REGEXEXTRACT(C3564, ""🏘️ \w+ \w+ (.*) ✅"") ,  if(H3564=""quartier"",vlookup(REGEXEXTRACT(C3564, ""🏘️ \w+ \w+ (.*) ✅""),'Quartier prepositio"&amp;"ns'!A:E, 5, 0) ,  if(H3564=""region"",vlookup(REGEXEXTRACT(C3564, ""🏘️ \w+ \w+ (.*) ✅""),'Region prepositions'!B:F, 5, 0),  REGEXEXTRACT(C3564, ""🏘️ \w+ \w+ (.*) ✅""))))"),"#N/A")</f>
        <v>#N/A</v>
      </c>
      <c r="I3564" s="4" t="str">
        <f>IFERROR(__xludf.DUMMYFUNCTION("if(D3564=""variant"",  substitute(filter(Templates!E:E, Templates!A:A = F3564, Templates!B:B = G3564, Templates!C:C = H3564), ""{{}}"", E3564), B3564)"),"Louer maison Wohlenschwil: Trouvez le bien immobilier qui correspond idéalement à vos désirs sur ImmoScout24 - La plateforme de l'immobilier en Suisse.")</f>
        <v>Louer maison Wohlenschwil: Trouvez le bien immobilier qui correspond idéalement à vos désirs sur ImmoScout24 - La plateforme de l'immobilier en Suisse.</v>
      </c>
    </row>
    <row r="3565" hidden="1">
      <c r="A3565" s="5" t="s">
        <v>10233</v>
      </c>
      <c r="B3565" s="2" t="s">
        <v>10234</v>
      </c>
      <c r="C3565" s="2" t="s">
        <v>10234</v>
      </c>
      <c r="D3565" s="4" t="str">
        <f>vlookup(A3565, Sheet2!D:E, 2, 0)</f>
        <v>control</v>
      </c>
      <c r="E3565" s="4" t="str">
        <f>IFERROR(__xludf.DUMMYFUNCTION("if(H3565=""pays"",vlookup(REGEXEXTRACT(C3565, ""🏘️ \w+ \w+ (.*) ✅""),'Country prepositions'!A:B, 2, 0) &amp; "" "" &amp; REGEXEXTRACT(C3565, ""🏘️ \w+ \w+ (.*) ✅"") ,  if(H3565=""quartier"",vlookup(REGEXEXTRACT(C3565, ""🏘️ \w+ \w+ (.*) ✅""),'Quartier prepositio"&amp;"ns'!A:E, 5, 0) ,  if(H3565=""region"",vlookup(REGEXEXTRACT(C3565, ""🏘️ \w+ \w+ (.*) ✅""),'Region prepositions'!B:F, 5, 0),  REGEXEXTRACT(C3565, ""🏘️ \w+ \w+ (.*) ✅""))))"),"#N/A")</f>
        <v>#N/A</v>
      </c>
      <c r="I3565" s="4" t="str">
        <f>IFERROR(__xludf.DUMMYFUNCTION("if(D3565=""variant"",  substitute(filter(Templates!E:E, Templates!A:A = F3565, Templates!B:B = G3565, Templates!C:C = H3565), ""{{}}"", E3565), B3565)"),"Vendre maison Pleigne: Trouvez le bien immobilier qui correspond idéalement à vos désirs sur ImmoScout24 - La plateforme de l'immobilier en Suisse.")</f>
        <v>Vendre maison Pleigne: Trouvez le bien immobilier qui correspond idéalement à vos désirs sur ImmoScout24 - La plateforme de l'immobilier en Suisse.</v>
      </c>
    </row>
    <row r="3566" hidden="1">
      <c r="A3566" s="5" t="s">
        <v>10235</v>
      </c>
      <c r="B3566" s="2" t="s">
        <v>10236</v>
      </c>
      <c r="C3566" s="2" t="s">
        <v>10236</v>
      </c>
      <c r="D3566" s="4" t="str">
        <f>vlookup(A3566, Sheet2!D:E, 2, 0)</f>
        <v>control</v>
      </c>
      <c r="E3566" s="4" t="str">
        <f>IFERROR(__xludf.DUMMYFUNCTION("if(H3566=""pays"",vlookup(REGEXEXTRACT(C3566, ""🏘️ \w+ \w+ (.*) ✅""),'Country prepositions'!A:B, 2, 0) &amp; "" "" &amp; REGEXEXTRACT(C3566, ""🏘️ \w+ \w+ (.*) ✅"") ,  if(H3566=""quartier"",vlookup(REGEXEXTRACT(C3566, ""🏘️ \w+ \w+ (.*) ✅""),'Quartier prepositio"&amp;"ns'!A:E, 5, 0) ,  if(H3566=""region"",vlookup(REGEXEXTRACT(C3566, ""🏘️ \w+ \w+ (.*) ✅""),'Region prepositions'!B:F, 5, 0),  REGEXEXTRACT(C3566, ""🏘️ \w+ \w+ (.*) ✅""))))"),"#N/A")</f>
        <v>#N/A</v>
      </c>
      <c r="I3566" s="4" t="str">
        <f>IFERROR(__xludf.DUMMYFUNCTION("if(D3566=""variant"",  substitute(filter(Templates!E:E, Templates!A:A = F3566, Templates!B:B = G3566, Templates!C:C = H3566), ""{{}}"", E3566), B3566)"),"Louer appartement Birmensdorf ZH: Trouvez le bien immobilier qui correspond idéalement à vos désirs sur ImmoScout24 - La plateforme de l'immobilier en Suisse.")</f>
        <v>Louer appartement Birmensdorf ZH: Trouvez le bien immobilier qui correspond idéalement à vos désirs sur ImmoScout24 - La plateforme de l'immobilier en Suisse.</v>
      </c>
    </row>
    <row r="3567" hidden="1">
      <c r="A3567" s="5" t="s">
        <v>10237</v>
      </c>
      <c r="B3567" s="2" t="s">
        <v>10238</v>
      </c>
      <c r="C3567" s="2" t="s">
        <v>10238</v>
      </c>
      <c r="D3567" s="4" t="str">
        <f>vlookup(A3567, Sheet2!D:E, 2, 0)</f>
        <v>control</v>
      </c>
      <c r="E3567" s="4" t="str">
        <f>IFERROR(__xludf.DUMMYFUNCTION("if(H3567=""pays"",vlookup(REGEXEXTRACT(C3567, ""🏘️ \w+ \w+ (.*) ✅""),'Country prepositions'!A:B, 2, 0) &amp; "" "" &amp; REGEXEXTRACT(C3567, ""🏘️ \w+ \w+ (.*) ✅"") ,  if(H3567=""quartier"",vlookup(REGEXEXTRACT(C3567, ""🏘️ \w+ \w+ (.*) ✅""),'Quartier prepositio"&amp;"ns'!A:E, 5, 0) ,  if(H3567=""region"",vlookup(REGEXEXTRACT(C3567, ""🏘️ \w+ \w+ (.*) ✅""),'Region prepositions'!B:F, 5, 0),  REGEXEXTRACT(C3567, ""🏘️ \w+ \w+ (.*) ✅""))))"),"#N/A")</f>
        <v>#N/A</v>
      </c>
      <c r="I3567" s="4" t="str">
        <f>IFERROR(__xludf.DUMMYFUNCTION("if(D3567=""variant"",  substitute(filter(Templates!E:E, Templates!A:A = F3567, Templates!B:B = G3567, Templates!C:C = H3567), ""{{}}"", E3567), B3567)"),"Vendre maison Herbriggen: Trouvez le bien immobilier qui correspond idéalement à vos désirs sur ImmoScout24 - La plateforme de l'immobilier en Suisse.")</f>
        <v>Vendre maison Herbriggen: Trouvez le bien immobilier qui correspond idéalement à vos désirs sur ImmoScout24 - La plateforme de l'immobilier en Suisse.</v>
      </c>
    </row>
    <row r="3568" hidden="1">
      <c r="A3568" s="5" t="s">
        <v>10239</v>
      </c>
      <c r="B3568" s="2" t="s">
        <v>10240</v>
      </c>
      <c r="C3568" s="2" t="s">
        <v>10240</v>
      </c>
      <c r="D3568" s="4" t="str">
        <f>vlookup(A3568, Sheet2!D:E, 2, 0)</f>
        <v>control</v>
      </c>
      <c r="E3568" s="4" t="str">
        <f>IFERROR(__xludf.DUMMYFUNCTION("if(H3568=""pays"",vlookup(REGEXEXTRACT(C3568, ""🏘️ \w+ \w+ (.*) ✅""),'Country prepositions'!A:B, 2, 0) &amp; "" "" &amp; REGEXEXTRACT(C3568, ""🏘️ \w+ \w+ (.*) ✅"") ,  if(H3568=""quartier"",vlookup(REGEXEXTRACT(C3568, ""🏘️ \w+ \w+ (.*) ✅""),'Quartier prepositio"&amp;"ns'!A:E, 5, 0) ,  if(H3568=""region"",vlookup(REGEXEXTRACT(C3568, ""🏘️ \w+ \w+ (.*) ✅""),'Region prepositions'!B:F, 5, 0),  REGEXEXTRACT(C3568, ""🏘️ \w+ \w+ (.*) ✅""))))"),"#N/A")</f>
        <v>#N/A</v>
      </c>
      <c r="I3568" s="4" t="str">
        <f>IFERROR(__xludf.DUMMYFUNCTION("if(D3568=""variant"",  substitute(filter(Templates!E:E, Templates!A:A = F3568, Templates!B:B = G3568, Templates!C:C = H3568), ""{{}}"", E3568), B3568)"),"Vendre appartement Montagny-la-Ville: Trouvez le bien immobilier qui correspond idéalement à vos désirs sur ImmoScout24 - La plateforme de l'immobilier en Suisse.")</f>
        <v>Vendre appartement Montagny-la-Ville: Trouvez le bien immobilier qui correspond idéalement à vos désirs sur ImmoScout24 - La plateforme de l'immobilier en Suisse.</v>
      </c>
    </row>
    <row r="3569" hidden="1">
      <c r="A3569" s="5" t="s">
        <v>10241</v>
      </c>
      <c r="B3569" s="2" t="s">
        <v>10242</v>
      </c>
      <c r="C3569" s="2" t="s">
        <v>10242</v>
      </c>
      <c r="D3569" s="4" t="str">
        <f>vlookup(A3569, Sheet2!D:E, 2, 0)</f>
        <v>control</v>
      </c>
      <c r="E3569" s="4" t="str">
        <f>IFERROR(__xludf.DUMMYFUNCTION("if(H3569=""pays"",vlookup(REGEXEXTRACT(C3569, ""🏘️ \w+ \w+ (.*) ✅""),'Country prepositions'!A:B, 2, 0) &amp; "" "" &amp; REGEXEXTRACT(C3569, ""🏘️ \w+ \w+ (.*) ✅"") ,  if(H3569=""quartier"",vlookup(REGEXEXTRACT(C3569, ""🏘️ \w+ \w+ (.*) ✅""),'Quartier prepositio"&amp;"ns'!A:E, 5, 0) ,  if(H3569=""region"",vlookup(REGEXEXTRACT(C3569, ""🏘️ \w+ \w+ (.*) ✅""),'Region prepositions'!B:F, 5, 0),  REGEXEXTRACT(C3569, ""🏘️ \w+ \w+ (.*) ✅""))))"),"#N/A")</f>
        <v>#N/A</v>
      </c>
      <c r="I3569" s="4" t="str">
        <f>IFERROR(__xludf.DUMMYFUNCTION("if(D3569=""variant"",  substitute(filter(Templates!E:E, Templates!A:A = F3569, Templates!B:B = G3569, Templates!C:C = H3569), ""{{}}"", E3569), B3569)"),"Louer appartement La Heutte: Trouvez le bien immobilier qui correspond idéalement à vos désirs sur ImmoScout24 - La plateforme de l'immobilier en Suisse.")</f>
        <v>Louer appartement La Heutte: Trouvez le bien immobilier qui correspond idéalement à vos désirs sur ImmoScout24 - La plateforme de l'immobilier en Suisse.</v>
      </c>
    </row>
    <row r="3570" hidden="1">
      <c r="A3570" s="5" t="s">
        <v>10243</v>
      </c>
      <c r="B3570" s="2" t="s">
        <v>10244</v>
      </c>
      <c r="C3570" s="2" t="s">
        <v>10244</v>
      </c>
      <c r="D3570" s="4" t="str">
        <f>vlookup(A3570, Sheet2!D:E, 2, 0)</f>
        <v>control</v>
      </c>
      <c r="E3570" s="4" t="str">
        <f>IFERROR(__xludf.DUMMYFUNCTION("if(H3570=""pays"",vlookup(REGEXEXTRACT(C3570, ""🏘️ \w+ \w+ (.*) ✅""),'Country prepositions'!A:B, 2, 0) &amp; "" "" &amp; REGEXEXTRACT(C3570, ""🏘️ \w+ \w+ (.*) ✅"") ,  if(H3570=""quartier"",vlookup(REGEXEXTRACT(C3570, ""🏘️ \w+ \w+ (.*) ✅""),'Quartier prepositio"&amp;"ns'!A:E, 5, 0) ,  if(H3570=""region"",vlookup(REGEXEXTRACT(C3570, ""🏘️ \w+ \w+ (.*) ✅""),'Region prepositions'!B:F, 5, 0),  REGEXEXTRACT(C3570, ""🏘️ \w+ \w+ (.*) ✅""))))"),"#N/A")</f>
        <v>#N/A</v>
      </c>
      <c r="I3570" s="4" t="str">
        <f>IFERROR(__xludf.DUMMYFUNCTION("if(D3570=""variant"",  substitute(filter(Templates!E:E, Templates!A:A = F3570, Templates!B:B = G3570, Templates!C:C = H3570), ""{{}}"", E3570), B3570)"),"Vendre maison Zug: Trouvez le bien immobilier qui correspond idéalement à vos désirs sur ImmoScout24 - La plateforme de l'immobilier en Suisse.")</f>
        <v>Vendre maison Zug: Trouvez le bien immobilier qui correspond idéalement à vos désirs sur ImmoScout24 - La plateforme de l'immobilier en Suisse.</v>
      </c>
    </row>
    <row r="3571" hidden="1">
      <c r="A3571" s="5" t="s">
        <v>10245</v>
      </c>
      <c r="B3571" s="2" t="s">
        <v>10246</v>
      </c>
      <c r="C3571" s="2" t="s">
        <v>10246</v>
      </c>
      <c r="D3571" s="4" t="str">
        <f>vlookup(A3571, Sheet2!D:E, 2, 0)</f>
        <v>control</v>
      </c>
      <c r="E3571" s="4" t="str">
        <f>IFERROR(__xludf.DUMMYFUNCTION("if(H3571=""pays"",vlookup(REGEXEXTRACT(C3571, ""🏘️ \w+ \w+ (.*) ✅""),'Country prepositions'!A:B, 2, 0) &amp; "" "" &amp; REGEXEXTRACT(C3571, ""🏘️ \w+ \w+ (.*) ✅"") ,  if(H3571=""quartier"",vlookup(REGEXEXTRACT(C3571, ""🏘️ \w+ \w+ (.*) ✅""),'Quartier prepositio"&amp;"ns'!A:E, 5, 0) ,  if(H3571=""region"",vlookup(REGEXEXTRACT(C3571, ""🏘️ \w+ \w+ (.*) ✅""),'Region prepositions'!B:F, 5, 0),  REGEXEXTRACT(C3571, ""🏘️ \w+ \w+ (.*) ✅""))))"),"#N/A")</f>
        <v>#N/A</v>
      </c>
      <c r="I3571" s="4" t="str">
        <f>IFERROR(__xludf.DUMMYFUNCTION("if(D3571=""variant"",  substitute(filter(Templates!E:E, Templates!A:A = F3571, Templates!B:B = G3571, Templates!C:C = H3571), ""{{}}"", E3571), B3571)"),"Vendre appartement Delémont: Trouvez le bien immobilier qui correspond idéalement à vos désirs sur ImmoScout24 - La plateforme de l'immobilier en Suisse.")</f>
        <v>Vendre appartement Delémont: Trouvez le bien immobilier qui correspond idéalement à vos désirs sur ImmoScout24 - La plateforme de l'immobilier en Suisse.</v>
      </c>
    </row>
    <row r="3572" hidden="1">
      <c r="A3572" s="5" t="s">
        <v>10247</v>
      </c>
      <c r="B3572" s="2" t="s">
        <v>10248</v>
      </c>
      <c r="C3572" s="2" t="s">
        <v>10248</v>
      </c>
      <c r="D3572" s="4" t="str">
        <f>vlookup(A3572, Sheet2!D:E, 2, 0)</f>
        <v>control</v>
      </c>
      <c r="E3572" s="4" t="str">
        <f>IFERROR(__xludf.DUMMYFUNCTION("if(H3572=""pays"",vlookup(REGEXEXTRACT(C3572, ""🏘️ \w+ \w+ (.*) ✅""),'Country prepositions'!A:B, 2, 0) &amp; "" "" &amp; REGEXEXTRACT(C3572, ""🏘️ \w+ \w+ (.*) ✅"") ,  if(H3572=""quartier"",vlookup(REGEXEXTRACT(C3572, ""🏘️ \w+ \w+ (.*) ✅""),'Quartier prepositio"&amp;"ns'!A:E, 5, 0) ,  if(H3572=""region"",vlookup(REGEXEXTRACT(C3572, ""🏘️ \w+ \w+ (.*) ✅""),'Region prepositions'!B:F, 5, 0),  REGEXEXTRACT(C3572, ""🏘️ \w+ \w+ (.*) ✅""))))"),"#N/A")</f>
        <v>#N/A</v>
      </c>
      <c r="I3572" s="4" t="str">
        <f>IFERROR(__xludf.DUMMYFUNCTION("if(D3572=""variant"",  substitute(filter(Templates!E:E, Templates!A:A = F3572, Templates!B:B = G3572, Templates!C:C = H3572), ""{{}}"", E3572), B3572)"),"Vendre maison Lentigny: Trouvez le bien immobilier qui correspond idéalement à vos désirs sur ImmoScout24 - La plateforme de l'immobilier en Suisse.")</f>
        <v>Vendre maison Lentigny: Trouvez le bien immobilier qui correspond idéalement à vos désirs sur ImmoScout24 - La plateforme de l'immobilier en Suisse.</v>
      </c>
    </row>
    <row r="3573" hidden="1">
      <c r="A3573" s="5" t="s">
        <v>10249</v>
      </c>
      <c r="B3573" s="2" t="s">
        <v>10250</v>
      </c>
      <c r="C3573" s="2" t="s">
        <v>10250</v>
      </c>
      <c r="D3573" s="4" t="str">
        <f>vlookup(A3573, Sheet2!D:E, 2, 0)</f>
        <v>control</v>
      </c>
      <c r="E3573" s="4" t="str">
        <f>IFERROR(__xludf.DUMMYFUNCTION("if(H3573=""pays"",vlookup(REGEXEXTRACT(C3573, ""🏘️ \w+ \w+ (.*) ✅""),'Country prepositions'!A:B, 2, 0) &amp; "" "" &amp; REGEXEXTRACT(C3573, ""🏘️ \w+ \w+ (.*) ✅"") ,  if(H3573=""quartier"",vlookup(REGEXEXTRACT(C3573, ""🏘️ \w+ \w+ (.*) ✅""),'Quartier prepositio"&amp;"ns'!A:E, 5, 0) ,  if(H3573=""region"",vlookup(REGEXEXTRACT(C3573, ""🏘️ \w+ \w+ (.*) ✅""),'Region prepositions'!B:F, 5, 0),  REGEXEXTRACT(C3573, ""🏘️ \w+ \w+ (.*) ✅""))))"),"#N/A")</f>
        <v>#N/A</v>
      </c>
      <c r="I3573" s="4" t="str">
        <f>IFERROR(__xludf.DUMMYFUNCTION("if(D3573=""variant"",  substitute(filter(Templates!E:E, Templates!A:A = F3573, Templates!B:B = G3573, Templates!C:C = H3573), ""{{}}"", E3573), B3573)"),"Louer maison Mur (Vully) VD: Trouvez le bien immobilier qui correspond idéalement à vos désirs sur ImmoScout24 - La plateforme de l'immobilier en Suisse.")</f>
        <v>Louer maison Mur (Vully) VD: Trouvez le bien immobilier qui correspond idéalement à vos désirs sur ImmoScout24 - La plateforme de l'immobilier en Suisse.</v>
      </c>
    </row>
    <row r="3574" hidden="1">
      <c r="A3574" s="5" t="s">
        <v>10251</v>
      </c>
      <c r="B3574" s="2" t="s">
        <v>10252</v>
      </c>
      <c r="C3574" s="2" t="s">
        <v>10252</v>
      </c>
      <c r="D3574" s="4" t="str">
        <f>vlookup(A3574, Sheet2!D:E, 2, 0)</f>
        <v>control</v>
      </c>
      <c r="E3574" s="4" t="str">
        <f>IFERROR(__xludf.DUMMYFUNCTION("if(H3574=""pays"",vlookup(REGEXEXTRACT(C3574, ""🏘️ \w+ \w+ (.*) ✅""),'Country prepositions'!A:B, 2, 0) &amp; "" "" &amp; REGEXEXTRACT(C3574, ""🏘️ \w+ \w+ (.*) ✅"") ,  if(H3574=""quartier"",vlookup(REGEXEXTRACT(C3574, ""🏘️ \w+ \w+ (.*) ✅""),'Quartier prepositio"&amp;"ns'!A:E, 5, 0) ,  if(H3574=""region"",vlookup(REGEXEXTRACT(C3574, ""🏘️ \w+ \w+ (.*) ✅""),'Region prepositions'!B:F, 5, 0),  REGEXEXTRACT(C3574, ""🏘️ \w+ \w+ (.*) ✅""))))"),"#N/A")</f>
        <v>#N/A</v>
      </c>
      <c r="I3574" s="4" t="str">
        <f>IFERROR(__xludf.DUMMYFUNCTION("if(D3574=""variant"",  substitute(filter(Templates!E:E, Templates!A:A = F3574, Templates!B:B = G3574, Templates!C:C = H3574), ""{{}}"", E3574), B3574)"),"Vendre maison Torre: Trouvez le bien immobilier qui correspond idéalement à vos désirs sur ImmoScout24 - La plateforme de l'immobilier en Suisse.")</f>
        <v>Vendre maison Torre: Trouvez le bien immobilier qui correspond idéalement à vos désirs sur ImmoScout24 - La plateforme de l'immobilier en Suisse.</v>
      </c>
    </row>
    <row r="3575" hidden="1">
      <c r="A3575" s="5" t="s">
        <v>10253</v>
      </c>
      <c r="B3575" s="2" t="s">
        <v>10254</v>
      </c>
      <c r="C3575" s="2" t="s">
        <v>10254</v>
      </c>
      <c r="D3575" s="4" t="str">
        <f>vlookup(A3575, Sheet2!D:E, 2, 0)</f>
        <v>control</v>
      </c>
      <c r="E3575" s="4" t="str">
        <f>IFERROR(__xludf.DUMMYFUNCTION("if(H3575=""pays"",vlookup(REGEXEXTRACT(C3575, ""🏘️ \w+ \w+ (.*) ✅""),'Country prepositions'!A:B, 2, 0) &amp; "" "" &amp; REGEXEXTRACT(C3575, ""🏘️ \w+ \w+ (.*) ✅"") ,  if(H3575=""quartier"",vlookup(REGEXEXTRACT(C3575, ""🏘️ \w+ \w+ (.*) ✅""),'Quartier prepositio"&amp;"ns'!A:E, 5, 0) ,  if(H3575=""region"",vlookup(REGEXEXTRACT(C3575, ""🏘️ \w+ \w+ (.*) ✅""),'Region prepositions'!B:F, 5, 0),  REGEXEXTRACT(C3575, ""🏘️ \w+ \w+ (.*) ✅""))))"),"#N/A")</f>
        <v>#N/A</v>
      </c>
      <c r="I3575" s="4" t="str">
        <f>IFERROR(__xludf.DUMMYFUNCTION("if(D3575=""variant"",  substitute(filter(Templates!E:E, Templates!A:A = F3575, Templates!B:B = G3575, Templates!C:C = H3575), ""{{}}"", E3575), B3575)"),"Vendre appartement Lenzerheide/Lai: Trouvez le bien immobilier qui correspond idéalement à vos désirs sur ImmoScout24 - La plateforme de l'immobilier en Suisse.")</f>
        <v>Vendre appartement Lenzerheide/Lai: Trouvez le bien immobilier qui correspond idéalement à vos désirs sur ImmoScout24 - La plateforme de l'immobilier en Suisse.</v>
      </c>
    </row>
    <row r="3576" hidden="1">
      <c r="A3576" s="5" t="s">
        <v>10255</v>
      </c>
      <c r="B3576" s="2" t="s">
        <v>10256</v>
      </c>
      <c r="C3576" s="2" t="s">
        <v>10256</v>
      </c>
      <c r="D3576" s="4" t="str">
        <f>vlookup(A3576, Sheet2!D:E, 2, 0)</f>
        <v>control</v>
      </c>
      <c r="E3576" s="4" t="str">
        <f>IFERROR(__xludf.DUMMYFUNCTION("if(H3576=""pays"",vlookup(REGEXEXTRACT(C3576, ""🏘️ \w+ \w+ (.*) ✅""),'Country prepositions'!A:B, 2, 0) &amp; "" "" &amp; REGEXEXTRACT(C3576, ""🏘️ \w+ \w+ (.*) ✅"") ,  if(H3576=""quartier"",vlookup(REGEXEXTRACT(C3576, ""🏘️ \w+ \w+ (.*) ✅""),'Quartier prepositio"&amp;"ns'!A:E, 5, 0) ,  if(H3576=""region"",vlookup(REGEXEXTRACT(C3576, ""🏘️ \w+ \w+ (.*) ✅""),'Region prepositions'!B:F, 5, 0),  REGEXEXTRACT(C3576, ""🏘️ \w+ \w+ (.*) ✅""))))"),"#N/A")</f>
        <v>#N/A</v>
      </c>
      <c r="I3576" s="4" t="str">
        <f>IFERROR(__xludf.DUMMYFUNCTION("if(D3576=""variant"",  substitute(filter(Templates!E:E, Templates!A:A = F3576, Templates!B:B = G3576, Templates!C:C = H3576), ""{{}}"", E3576), B3576)"),"Louer maison Belfaux: Trouvez le bien immobilier qui correspond idéalement à vos désirs sur ImmoScout24 - La plateforme de l'immobilier en Suisse.")</f>
        <v>Louer maison Belfaux: Trouvez le bien immobilier qui correspond idéalement à vos désirs sur ImmoScout24 - La plateforme de l'immobilier en Suisse.</v>
      </c>
    </row>
    <row r="3577" hidden="1">
      <c r="A3577" s="5" t="s">
        <v>10257</v>
      </c>
      <c r="B3577" s="2" t="s">
        <v>10258</v>
      </c>
      <c r="C3577" s="2" t="s">
        <v>10258</v>
      </c>
      <c r="D3577" s="4" t="str">
        <f>vlookup(A3577, Sheet2!D:E, 2, 0)</f>
        <v>control</v>
      </c>
      <c r="E3577" s="4" t="str">
        <f>IFERROR(__xludf.DUMMYFUNCTION("if(H3577=""pays"",vlookup(REGEXEXTRACT(C3577, ""🏘️ \w+ \w+ (.*) ✅""),'Country prepositions'!A:B, 2, 0) &amp; "" "" &amp; REGEXEXTRACT(C3577, ""🏘️ \w+ \w+ (.*) ✅"") ,  if(H3577=""quartier"",vlookup(REGEXEXTRACT(C3577, ""🏘️ \w+ \w+ (.*) ✅""),'Quartier prepositio"&amp;"ns'!A:E, 5, 0) ,  if(H3577=""region"",vlookup(REGEXEXTRACT(C3577, ""🏘️ \w+ \w+ (.*) ✅""),'Region prepositions'!B:F, 5, 0),  REGEXEXTRACT(C3577, ""🏘️ \w+ \w+ (.*) ✅""))))"),"#N/A")</f>
        <v>#N/A</v>
      </c>
      <c r="I3577" s="4" t="str">
        <f>IFERROR(__xludf.DUMMYFUNCTION("if(D3577=""variant"",  substitute(filter(Templates!E:E, Templates!A:A = F3577, Templates!B:B = G3577, Templates!C:C = H3577), ""{{}}"", E3577), B3577)"),"Vendre maison Kenya: Trouvez le bien immobilier qui correspond idéalement à vos désirs sur ImmoScout24 - La plateforme de l'immobilier en Suisse.")</f>
        <v>Vendre maison Kenya: Trouvez le bien immobilier qui correspond idéalement à vos désirs sur ImmoScout24 - La plateforme de l'immobilier en Suisse.</v>
      </c>
    </row>
    <row r="3578" hidden="1">
      <c r="A3578" s="5" t="s">
        <v>10259</v>
      </c>
      <c r="B3578" s="2" t="s">
        <v>10260</v>
      </c>
      <c r="C3578" s="2" t="s">
        <v>10260</v>
      </c>
      <c r="D3578" s="4" t="str">
        <f>vlookup(A3578, Sheet2!D:E, 2, 0)</f>
        <v>control</v>
      </c>
      <c r="E3578" s="4" t="str">
        <f>IFERROR(__xludf.DUMMYFUNCTION("if(H3578=""pays"",vlookup(REGEXEXTRACT(C3578, ""🏘️ \w+ \w+ (.*) ✅""),'Country prepositions'!A:B, 2, 0) &amp; "" "" &amp; REGEXEXTRACT(C3578, ""🏘️ \w+ \w+ (.*) ✅"") ,  if(H3578=""quartier"",vlookup(REGEXEXTRACT(C3578, ""🏘️ \w+ \w+ (.*) ✅""),'Quartier prepositio"&amp;"ns'!A:E, 5, 0) ,  if(H3578=""region"",vlookup(REGEXEXTRACT(C3578, ""🏘️ \w+ \w+ (.*) ✅""),'Region prepositions'!B:F, 5, 0),  REGEXEXTRACT(C3578, ""🏘️ \w+ \w+ (.*) ✅""))))"),"#N/A")</f>
        <v>#N/A</v>
      </c>
      <c r="I3578" s="4" t="str">
        <f>IFERROR(__xludf.DUMMYFUNCTION("if(D3578=""variant"",  substitute(filter(Templates!E:E, Templates!A:A = F3578, Templates!B:B = G3578, Templates!C:C = H3578), ""{{}}"", E3578), B3578)"),"Vendre appartement Eclépens: Trouvez le bien immobilier qui correspond idéalement à vos désirs sur ImmoScout24 - La plateforme de l'immobilier en Suisse.")</f>
        <v>Vendre appartement Eclépens: Trouvez le bien immobilier qui correspond idéalement à vos désirs sur ImmoScout24 - La plateforme de l'immobilier en Suisse.</v>
      </c>
    </row>
    <row r="3579" hidden="1">
      <c r="A3579" s="5" t="s">
        <v>10261</v>
      </c>
      <c r="B3579" s="2" t="s">
        <v>10262</v>
      </c>
      <c r="C3579" s="2" t="s">
        <v>10262</v>
      </c>
      <c r="D3579" s="4" t="str">
        <f>vlookup(A3579, Sheet2!D:E, 2, 0)</f>
        <v>control</v>
      </c>
      <c r="E3579" s="4" t="str">
        <f>IFERROR(__xludf.DUMMYFUNCTION("if(H3579=""pays"",vlookup(REGEXEXTRACT(C3579, ""🏘️ \w+ \w+ (.*) ✅""),'Country prepositions'!A:B, 2, 0) &amp; "" "" &amp; REGEXEXTRACT(C3579, ""🏘️ \w+ \w+ (.*) ✅"") ,  if(H3579=""quartier"",vlookup(REGEXEXTRACT(C3579, ""🏘️ \w+ \w+ (.*) ✅""),'Quartier prepositio"&amp;"ns'!A:E, 5, 0) ,  if(H3579=""region"",vlookup(REGEXEXTRACT(C3579, ""🏘️ \w+ \w+ (.*) ✅""),'Region prepositions'!B:F, 5, 0),  REGEXEXTRACT(C3579, ""🏘️ \w+ \w+ (.*) ✅""))))"),"#N/A")</f>
        <v>#N/A</v>
      </c>
      <c r="I3579" s="4" t="str">
        <f>IFERROR(__xludf.DUMMYFUNCTION("if(D3579=""variant"",  substitute(filter(Templates!E:E, Templates!A:A = F3579, Templates!B:B = G3579, Templates!C:C = H3579), ""{{}}"", E3579), B3579)"),"Louer appartement Dietwil: Trouvez le bien immobilier qui correspond idéalement à vos désirs sur ImmoScout24 - La plateforme de l'immobilier en Suisse.")</f>
        <v>Louer appartement Dietwil: Trouvez le bien immobilier qui correspond idéalement à vos désirs sur ImmoScout24 - La plateforme de l'immobilier en Suisse.</v>
      </c>
    </row>
    <row r="3580" hidden="1">
      <c r="A3580" s="5" t="s">
        <v>10263</v>
      </c>
      <c r="B3580" s="2" t="s">
        <v>10264</v>
      </c>
      <c r="C3580" s="2" t="s">
        <v>10264</v>
      </c>
      <c r="D3580" s="4" t="str">
        <f>vlookup(A3580, Sheet2!D:E, 2, 0)</f>
        <v>control</v>
      </c>
      <c r="E3580" s="4" t="str">
        <f>IFERROR(__xludf.DUMMYFUNCTION("if(H3580=""pays"",vlookup(REGEXEXTRACT(C3580, ""🏘️ \w+ \w+ (.*) ✅""),'Country prepositions'!A:B, 2, 0) &amp; "" "" &amp; REGEXEXTRACT(C3580, ""🏘️ \w+ \w+ (.*) ✅"") ,  if(H3580=""quartier"",vlookup(REGEXEXTRACT(C3580, ""🏘️ \w+ \w+ (.*) ✅""),'Quartier prepositio"&amp;"ns'!A:E, 5, 0) ,  if(H3580=""region"",vlookup(REGEXEXTRACT(C3580, ""🏘️ \w+ \w+ (.*) ✅""),'Region prepositions'!B:F, 5, 0),  REGEXEXTRACT(C3580, ""🏘️ \w+ \w+ (.*) ✅""))))"),"#N/A")</f>
        <v>#N/A</v>
      </c>
      <c r="I3580" s="4" t="str">
        <f>IFERROR(__xludf.DUMMYFUNCTION("if(D3580=""variant"",  substitute(filter(Templates!E:E, Templates!A:A = F3580, Templates!B:B = G3580, Templates!C:C = H3580), ""{{}}"", E3580), B3580)"),"Louer appartement Prahins: Trouvez le bien immobilier qui correspond idéalement à vos désirs sur ImmoScout24 - La plateforme de l'immobilier en Suisse.")</f>
        <v>Louer appartement Prahins: Trouvez le bien immobilier qui correspond idéalement à vos désirs sur ImmoScout24 - La plateforme de l'immobilier en Suisse.</v>
      </c>
    </row>
    <row r="3581" hidden="1">
      <c r="A3581" s="5" t="s">
        <v>10265</v>
      </c>
      <c r="B3581" s="2" t="s">
        <v>10266</v>
      </c>
      <c r="C3581" s="2" t="s">
        <v>10266</v>
      </c>
      <c r="D3581" s="4" t="str">
        <f>vlookup(A3581, Sheet2!D:E, 2, 0)</f>
        <v>control</v>
      </c>
      <c r="E3581" s="4" t="str">
        <f>IFERROR(__xludf.DUMMYFUNCTION("if(H3581=""pays"",vlookup(REGEXEXTRACT(C3581, ""🏘️ \w+ \w+ (.*) ✅""),'Country prepositions'!A:B, 2, 0) &amp; "" "" &amp; REGEXEXTRACT(C3581, ""🏘️ \w+ \w+ (.*) ✅"") ,  if(H3581=""quartier"",vlookup(REGEXEXTRACT(C3581, ""🏘️ \w+ \w+ (.*) ✅""),'Quartier prepositio"&amp;"ns'!A:E, 5, 0) ,  if(H3581=""region"",vlookup(REGEXEXTRACT(C3581, ""🏘️ \w+ \w+ (.*) ✅""),'Region prepositions'!B:F, 5, 0),  REGEXEXTRACT(C3581, ""🏘️ \w+ \w+ (.*) ✅""))))"),"#N/A")</f>
        <v>#N/A</v>
      </c>
      <c r="I3581" s="4" t="str">
        <f>IFERROR(__xludf.DUMMYFUNCTION("if(D3581=""variant"",  substitute(filter(Templates!E:E, Templates!A:A = F3581, Templates!B:B = G3581, Templates!C:C = H3581), ""{{}}"", E3581), B3581)"),"Vendre maison Niederscherli: Trouvez le bien immobilier qui correspond idéalement à vos désirs sur ImmoScout24 - La plateforme de l'immobilier en Suisse.")</f>
        <v>Vendre maison Niederscherli: Trouvez le bien immobilier qui correspond idéalement à vos désirs sur ImmoScout24 - La plateforme de l'immobilier en Suisse.</v>
      </c>
    </row>
    <row r="3582" hidden="1">
      <c r="A3582" s="5" t="s">
        <v>10267</v>
      </c>
      <c r="B3582" s="2" t="s">
        <v>10268</v>
      </c>
      <c r="C3582" s="2" t="s">
        <v>10268</v>
      </c>
      <c r="D3582" s="4" t="str">
        <f>vlookup(A3582, Sheet2!D:E, 2, 0)</f>
        <v>control</v>
      </c>
      <c r="E3582" s="4" t="str">
        <f>IFERROR(__xludf.DUMMYFUNCTION("if(H3582=""pays"",vlookup(REGEXEXTRACT(C3582, ""🏘️ \w+ \w+ (.*) ✅""),'Country prepositions'!A:B, 2, 0) &amp; "" "" &amp; REGEXEXTRACT(C3582, ""🏘️ \w+ \w+ (.*) ✅"") ,  if(H3582=""quartier"",vlookup(REGEXEXTRACT(C3582, ""🏘️ \w+ \w+ (.*) ✅""),'Quartier prepositio"&amp;"ns'!A:E, 5, 0) ,  if(H3582=""region"",vlookup(REGEXEXTRACT(C3582, ""🏘️ \w+ \w+ (.*) ✅""),'Region prepositions'!B:F, 5, 0),  REGEXEXTRACT(C3582, ""🏘️ \w+ \w+ (.*) ✅""))))"),"#N/A")</f>
        <v>#N/A</v>
      </c>
      <c r="I3582" s="4" t="str">
        <f>IFERROR(__xludf.DUMMYFUNCTION("if(D3582=""variant"",  substitute(filter(Templates!E:E, Templates!A:A = F3582, Templates!B:B = G3582, Templates!C:C = H3582), ""{{}}"", E3582), B3582)"),"Vendre appartement Spiez: Trouvez le bien immobilier qui correspond idéalement à vos désirs sur ImmoScout24 - La plateforme de l'immobilier en Suisse.")</f>
        <v>Vendre appartement Spiez: Trouvez le bien immobilier qui correspond idéalement à vos désirs sur ImmoScout24 - La plateforme de l'immobilier en Suisse.</v>
      </c>
    </row>
    <row r="3583" hidden="1">
      <c r="A3583" s="5" t="s">
        <v>10269</v>
      </c>
      <c r="B3583" s="2" t="s">
        <v>10270</v>
      </c>
      <c r="C3583" s="2" t="s">
        <v>10270</v>
      </c>
      <c r="D3583" s="4" t="str">
        <f>vlookup(A3583, Sheet2!D:E, 2, 0)</f>
        <v>control</v>
      </c>
      <c r="E3583" s="4" t="str">
        <f>IFERROR(__xludf.DUMMYFUNCTION("if(H3583=""pays"",vlookup(REGEXEXTRACT(C3583, ""🏘️ \w+ \w+ (.*) ✅""),'Country prepositions'!A:B, 2, 0) &amp; "" "" &amp; REGEXEXTRACT(C3583, ""🏘️ \w+ \w+ (.*) ✅"") ,  if(H3583=""quartier"",vlookup(REGEXEXTRACT(C3583, ""🏘️ \w+ \w+ (.*) ✅""),'Quartier prepositio"&amp;"ns'!A:E, 5, 0) ,  if(H3583=""region"",vlookup(REGEXEXTRACT(C3583, ""🏘️ \w+ \w+ (.*) ✅""),'Region prepositions'!B:F, 5, 0),  REGEXEXTRACT(C3583, ""🏘️ \w+ \w+ (.*) ✅""))))"),"#N/A")</f>
        <v>#N/A</v>
      </c>
      <c r="I3583" s="4" t="str">
        <f>IFERROR(__xludf.DUMMYFUNCTION("if(D3583=""variant"",  substitute(filter(Templates!E:E, Templates!A:A = F3583, Templates!B:B = G3583, Templates!C:C = H3583), ""{{}}"", E3583), B3583)"),"Vendre appartement Canton de Schaffhouse: Trouvez le bien immobilier qui correspond idéalement à vos désirs sur ImmoScout24 - La plateforme de l'immobilier en Suisse.")</f>
        <v>Vendre appartement Canton de Schaffhouse: Trouvez le bien immobilier qui correspond idéalement à vos désirs sur ImmoScout24 - La plateforme de l'immobilier en Suisse.</v>
      </c>
    </row>
    <row r="3584" hidden="1">
      <c r="A3584" s="5" t="s">
        <v>10271</v>
      </c>
      <c r="B3584" s="2" t="s">
        <v>10272</v>
      </c>
      <c r="C3584" s="2" t="s">
        <v>10272</v>
      </c>
      <c r="D3584" s="4" t="str">
        <f>vlookup(A3584, Sheet2!D:E, 2, 0)</f>
        <v>control</v>
      </c>
      <c r="E3584" s="4" t="str">
        <f>IFERROR(__xludf.DUMMYFUNCTION("if(H3584=""pays"",vlookup(REGEXEXTRACT(C3584, ""🏘️ \w+ \w+ (.*) ✅""),'Country prepositions'!A:B, 2, 0) &amp; "" "" &amp; REGEXEXTRACT(C3584, ""🏘️ \w+ \w+ (.*) ✅"") ,  if(H3584=""quartier"",vlookup(REGEXEXTRACT(C3584, ""🏘️ \w+ \w+ (.*) ✅""),'Quartier prepositio"&amp;"ns'!A:E, 5, 0) ,  if(H3584=""region"",vlookup(REGEXEXTRACT(C3584, ""🏘️ \w+ \w+ (.*) ✅""),'Region prepositions'!B:F, 5, 0),  REGEXEXTRACT(C3584, ""🏘️ \w+ \w+ (.*) ✅""))))"),"#N/A")</f>
        <v>#N/A</v>
      </c>
      <c r="I3584" s="4" t="str">
        <f>IFERROR(__xludf.DUMMYFUNCTION("if(D3584=""variant"",  substitute(filter(Templates!E:E, Templates!A:A = F3584, Templates!B:B = G3584, Templates!C:C = H3584), ""{{}}"", E3584), B3584)"),"Vendre maison Muraz (Collombey): Trouvez le bien immobilier qui correspond idéalement à vos désirs sur ImmoScout24 - La plateforme de l'immobilier en Suisse.")</f>
        <v>Vendre maison Muraz (Collombey): Trouvez le bien immobilier qui correspond idéalement à vos désirs sur ImmoScout24 - La plateforme de l'immobilier en Suisse.</v>
      </c>
    </row>
    <row r="3585" hidden="1">
      <c r="A3585" s="5" t="s">
        <v>10273</v>
      </c>
      <c r="B3585" s="2" t="s">
        <v>10274</v>
      </c>
      <c r="C3585" s="2" t="s">
        <v>10274</v>
      </c>
      <c r="D3585" s="4" t="str">
        <f>vlookup(A3585, Sheet2!D:E, 2, 0)</f>
        <v>control</v>
      </c>
      <c r="E3585" s="4" t="str">
        <f>IFERROR(__xludf.DUMMYFUNCTION("if(H3585=""pays"",vlookup(REGEXEXTRACT(C3585, ""🏘️ \w+ \w+ (.*) ✅""),'Country prepositions'!A:B, 2, 0) &amp; "" "" &amp; REGEXEXTRACT(C3585, ""🏘️ \w+ \w+ (.*) ✅"") ,  if(H3585=""quartier"",vlookup(REGEXEXTRACT(C3585, ""🏘️ \w+ \w+ (.*) ✅""),'Quartier prepositio"&amp;"ns'!A:E, 5, 0) ,  if(H3585=""region"",vlookup(REGEXEXTRACT(C3585, ""🏘️ \w+ \w+ (.*) ✅""),'Region prepositions'!B:F, 5, 0),  REGEXEXTRACT(C3585, ""🏘️ \w+ \w+ (.*) ✅""))))"),"#N/A")</f>
        <v>#N/A</v>
      </c>
      <c r="I3585" s="4" t="str">
        <f>IFERROR(__xludf.DUMMYFUNCTION("if(D3585=""variant"",  substitute(filter(Templates!E:E, Templates!A:A = F3585, Templates!B:B = G3585, Templates!C:C = H3585), ""{{}}"", E3585), B3585)"),"Vendre maison Tavanasa: Trouvez le bien immobilier qui correspond idéalement à vos désirs sur ImmoScout24 - La plateforme de l'immobilier en Suisse.")</f>
        <v>Vendre maison Tavanasa: Trouvez le bien immobilier qui correspond idéalement à vos désirs sur ImmoScout24 - La plateforme de l'immobilier en Suisse.</v>
      </c>
    </row>
    <row r="3586" hidden="1">
      <c r="A3586" s="5" t="s">
        <v>10275</v>
      </c>
      <c r="B3586" s="2" t="s">
        <v>10276</v>
      </c>
      <c r="C3586" s="2" t="s">
        <v>10276</v>
      </c>
      <c r="D3586" s="4" t="str">
        <f>vlookup(A3586, Sheet2!D:E, 2, 0)</f>
        <v>control</v>
      </c>
      <c r="E3586" s="4" t="str">
        <f>IFERROR(__xludf.DUMMYFUNCTION("if(H3586=""pays"",vlookup(REGEXEXTRACT(C3586, ""🏘️ \w+ \w+ (.*) ✅""),'Country prepositions'!A:B, 2, 0) &amp; "" "" &amp; REGEXEXTRACT(C3586, ""🏘️ \w+ \w+ (.*) ✅"") ,  if(H3586=""quartier"",vlookup(REGEXEXTRACT(C3586, ""🏘️ \w+ \w+ (.*) ✅""),'Quartier prepositio"&amp;"ns'!A:E, 5, 0) ,  if(H3586=""region"",vlookup(REGEXEXTRACT(C3586, ""🏘️ \w+ \w+ (.*) ✅""),'Region prepositions'!B:F, 5, 0),  REGEXEXTRACT(C3586, ""🏘️ \w+ \w+ (.*) ✅""))))"),"#N/A")</f>
        <v>#N/A</v>
      </c>
      <c r="I3586" s="4" t="str">
        <f>IFERROR(__xludf.DUMMYFUNCTION("if(D3586=""variant"",  substitute(filter(Templates!E:E, Templates!A:A = F3586, Templates!B:B = G3586, Templates!C:C = H3586), ""{{}}"", E3586), B3586)"),"Vendre appartement St-Ursanne: Trouvez le bien immobilier qui correspond idéalement à vos désirs sur ImmoScout24 - La plateforme de l'immobilier en Suisse.")</f>
        <v>Vendre appartement St-Ursanne: Trouvez le bien immobilier qui correspond idéalement à vos désirs sur ImmoScout24 - La plateforme de l'immobilier en Suisse.</v>
      </c>
    </row>
    <row r="3587" hidden="1">
      <c r="A3587" s="5" t="s">
        <v>10277</v>
      </c>
      <c r="B3587" s="2" t="s">
        <v>10278</v>
      </c>
      <c r="C3587" s="2" t="s">
        <v>10278</v>
      </c>
      <c r="D3587" s="4" t="str">
        <f>vlookup(A3587, Sheet2!D:E, 2, 0)</f>
        <v>control</v>
      </c>
      <c r="E3587" s="4" t="str">
        <f>IFERROR(__xludf.DUMMYFUNCTION("if(H3587=""pays"",vlookup(REGEXEXTRACT(C3587, ""🏘️ \w+ \w+ (.*) ✅""),'Country prepositions'!A:B, 2, 0) &amp; "" "" &amp; REGEXEXTRACT(C3587, ""🏘️ \w+ \w+ (.*) ✅"") ,  if(H3587=""quartier"",vlookup(REGEXEXTRACT(C3587, ""🏘️ \w+ \w+ (.*) ✅""),'Quartier prepositio"&amp;"ns'!A:E, 5, 0) ,  if(H3587=""region"",vlookup(REGEXEXTRACT(C3587, ""🏘️ \w+ \w+ (.*) ✅""),'Region prepositions'!B:F, 5, 0),  REGEXEXTRACT(C3587, ""🏘️ \w+ \w+ (.*) ✅""))))"),"#N/A")</f>
        <v>#N/A</v>
      </c>
      <c r="I3587" s="4" t="str">
        <f>IFERROR(__xludf.DUMMYFUNCTION("if(D3587=""variant"",  substitute(filter(Templates!E:E, Templates!A:A = F3587, Templates!B:B = G3587, Templates!C:C = H3587), ""{{}}"", E3587), B3587)"),"Louer appartement Villars-sous-Yens: Trouvez le bien immobilier qui correspond idéalement à vos désirs sur ImmoScout24 - La plateforme de l'immobilier en Suisse.")</f>
        <v>Louer appartement Villars-sous-Yens: Trouvez le bien immobilier qui correspond idéalement à vos désirs sur ImmoScout24 - La plateforme de l'immobilier en Suisse.</v>
      </c>
    </row>
    <row r="3588" hidden="1">
      <c r="A3588" s="5" t="s">
        <v>10279</v>
      </c>
      <c r="B3588" s="2" t="s">
        <v>10280</v>
      </c>
      <c r="C3588" s="2" t="s">
        <v>10280</v>
      </c>
      <c r="D3588" s="4" t="str">
        <f>vlookup(A3588, Sheet2!D:E, 2, 0)</f>
        <v>control</v>
      </c>
      <c r="E3588" s="4" t="str">
        <f>IFERROR(__xludf.DUMMYFUNCTION("if(H3588=""pays"",vlookup(REGEXEXTRACT(C3588, ""🏘️ \w+ \w+ (.*) ✅""),'Country prepositions'!A:B, 2, 0) &amp; "" "" &amp; REGEXEXTRACT(C3588, ""🏘️ \w+ \w+ (.*) ✅"") ,  if(H3588=""quartier"",vlookup(REGEXEXTRACT(C3588, ""🏘️ \w+ \w+ (.*) ✅""),'Quartier prepositio"&amp;"ns'!A:E, 5, 0) ,  if(H3588=""region"",vlookup(REGEXEXTRACT(C3588, ""🏘️ \w+ \w+ (.*) ✅""),'Region prepositions'!B:F, 5, 0),  REGEXEXTRACT(C3588, ""🏘️ \w+ \w+ (.*) ✅""))))"),"#N/A")</f>
        <v>#N/A</v>
      </c>
      <c r="I3588" s="4" t="str">
        <f>IFERROR(__xludf.DUMMYFUNCTION("if(D3588=""variant"",  substitute(filter(Templates!E:E, Templates!A:A = F3588, Templates!B:B = G3588, Templates!C:C = H3588), ""{{}}"", E3588), B3588)"),"Louer appartement Guntershausen b. Aadorf: Trouvez le bien immobilier qui correspond idéalement à vos désirs sur ImmoScout24 - La plateforme de l'immobilier en Suisse.")</f>
        <v>Louer appartement Guntershausen b. Aadorf: Trouvez le bien immobilier qui correspond idéalement à vos désirs sur ImmoScout24 - La plateforme de l'immobilier en Suisse.</v>
      </c>
    </row>
    <row r="3589" hidden="1">
      <c r="A3589" s="5" t="s">
        <v>10281</v>
      </c>
      <c r="B3589" s="2" t="s">
        <v>10282</v>
      </c>
      <c r="C3589" s="2" t="s">
        <v>10282</v>
      </c>
      <c r="D3589" s="4" t="str">
        <f>vlookup(A3589, Sheet2!D:E, 2, 0)</f>
        <v>control</v>
      </c>
      <c r="E3589" s="4" t="str">
        <f>IFERROR(__xludf.DUMMYFUNCTION("if(H3589=""pays"",vlookup(REGEXEXTRACT(C3589, ""🏘️ \w+ \w+ (.*) ✅""),'Country prepositions'!A:B, 2, 0) &amp; "" "" &amp; REGEXEXTRACT(C3589, ""🏘️ \w+ \w+ (.*) ✅"") ,  if(H3589=""quartier"",vlookup(REGEXEXTRACT(C3589, ""🏘️ \w+ \w+ (.*) ✅""),'Quartier prepositio"&amp;"ns'!A:E, 5, 0) ,  if(H3589=""region"",vlookup(REGEXEXTRACT(C3589, ""🏘️ \w+ \w+ (.*) ✅""),'Region prepositions'!B:F, 5, 0),  REGEXEXTRACT(C3589, ""🏘️ \w+ \w+ (.*) ✅""))))"),"#N/A")</f>
        <v>#N/A</v>
      </c>
      <c r="I3589" s="4" t="str">
        <f>IFERROR(__xludf.DUMMYFUNCTION("if(D3589=""variant"",  substitute(filter(Templates!E:E, Templates!A:A = F3589, Templates!B:B = G3589, Templates!C:C = H3589), ""{{}}"", E3589), B3589)"),"Louer appartement La Croix (Lutry): Trouvez le bien immobilier qui correspond idéalement à vos désirs sur ImmoScout24 - La plateforme de l'immobilier en Suisse.")</f>
        <v>Louer appartement La Croix (Lutry): Trouvez le bien immobilier qui correspond idéalement à vos désirs sur ImmoScout24 - La plateforme de l'immobilier en Suisse.</v>
      </c>
    </row>
    <row r="3590" hidden="1">
      <c r="A3590" s="5" t="s">
        <v>10283</v>
      </c>
      <c r="B3590" s="2" t="s">
        <v>10284</v>
      </c>
      <c r="C3590" s="2" t="s">
        <v>10284</v>
      </c>
      <c r="D3590" s="4" t="str">
        <f>vlookup(A3590, Sheet2!D:E, 2, 0)</f>
        <v>control</v>
      </c>
      <c r="E3590" s="4" t="str">
        <f>IFERROR(__xludf.DUMMYFUNCTION("if(H3590=""pays"",vlookup(REGEXEXTRACT(C3590, ""🏘️ \w+ \w+ (.*) ✅""),'Country prepositions'!A:B, 2, 0) &amp; "" "" &amp; REGEXEXTRACT(C3590, ""🏘️ \w+ \w+ (.*) ✅"") ,  if(H3590=""quartier"",vlookup(REGEXEXTRACT(C3590, ""🏘️ \w+ \w+ (.*) ✅""),'Quartier prepositio"&amp;"ns'!A:E, 5, 0) ,  if(H3590=""region"",vlookup(REGEXEXTRACT(C3590, ""🏘️ \w+ \w+ (.*) ✅""),'Region prepositions'!B:F, 5, 0),  REGEXEXTRACT(C3590, ""🏘️ \w+ \w+ (.*) ✅""))))"),"#N/A")</f>
        <v>#N/A</v>
      </c>
      <c r="I3590" s="4" t="str">
        <f>IFERROR(__xludf.DUMMYFUNCTION("if(D3590=""variant"",  substitute(filter(Templates!E:E, Templates!A:A = F3590, Templates!B:B = G3590, Templates!C:C = H3590), ""{{}}"", E3590), B3590)"),"Louer appartement Brüttelen: Trouvez le bien immobilier qui correspond idéalement à vos désirs sur ImmoScout24 - La plateforme de l'immobilier en Suisse.")</f>
        <v>Louer appartement Brüttelen: Trouvez le bien immobilier qui correspond idéalement à vos désirs sur ImmoScout24 - La plateforme de l'immobilier en Suisse.</v>
      </c>
    </row>
    <row r="3591" hidden="1">
      <c r="A3591" s="5" t="s">
        <v>10285</v>
      </c>
      <c r="B3591" s="2" t="s">
        <v>10286</v>
      </c>
      <c r="C3591" s="2" t="s">
        <v>10286</v>
      </c>
      <c r="D3591" s="4" t="str">
        <f>vlookup(A3591, Sheet2!D:E, 2, 0)</f>
        <v>control</v>
      </c>
      <c r="E3591" s="4" t="str">
        <f>IFERROR(__xludf.DUMMYFUNCTION("if(H3591=""pays"",vlookup(REGEXEXTRACT(C3591, ""🏘️ \w+ \w+ (.*) ✅""),'Country prepositions'!A:B, 2, 0) &amp; "" "" &amp; REGEXEXTRACT(C3591, ""🏘️ \w+ \w+ (.*) ✅"") ,  if(H3591=""quartier"",vlookup(REGEXEXTRACT(C3591, ""🏘️ \w+ \w+ (.*) ✅""),'Quartier prepositio"&amp;"ns'!A:E, 5, 0) ,  if(H3591=""region"",vlookup(REGEXEXTRACT(C3591, ""🏘️ \w+ \w+ (.*) ✅""),'Region prepositions'!B:F, 5, 0),  REGEXEXTRACT(C3591, ""🏘️ \w+ \w+ (.*) ✅""))))"),"#N/A")</f>
        <v>#N/A</v>
      </c>
      <c r="I3591" s="4" t="str">
        <f>IFERROR(__xludf.DUMMYFUNCTION("if(D3591=""variant"",  substitute(filter(Templates!E:E, Templates!A:A = F3591, Templates!B:B = G3591, Templates!C:C = H3591), ""{{}}"", E3591), B3591)"),"Vendre maison Emmental: Trouvez le bien immobilier qui correspond idéalement à vos désirs sur ImmoScout24 - La plateforme de l'immobilier en Suisse.")</f>
        <v>Vendre maison Emmental: Trouvez le bien immobilier qui correspond idéalement à vos désirs sur ImmoScout24 - La plateforme de l'immobilier en Suisse.</v>
      </c>
    </row>
    <row r="3592" hidden="1">
      <c r="A3592" s="5" t="s">
        <v>10287</v>
      </c>
      <c r="B3592" s="2" t="s">
        <v>10288</v>
      </c>
      <c r="C3592" s="2" t="s">
        <v>10288</v>
      </c>
      <c r="D3592" s="4" t="str">
        <f>vlookup(A3592, Sheet2!D:E, 2, 0)</f>
        <v>control</v>
      </c>
      <c r="E3592" s="4" t="str">
        <f>IFERROR(__xludf.DUMMYFUNCTION("if(H3592=""pays"",vlookup(REGEXEXTRACT(C3592, ""🏘️ \w+ \w+ (.*) ✅""),'Country prepositions'!A:B, 2, 0) &amp; "" "" &amp; REGEXEXTRACT(C3592, ""🏘️ \w+ \w+ (.*) ✅"") ,  if(H3592=""quartier"",vlookup(REGEXEXTRACT(C3592, ""🏘️ \w+ \w+ (.*) ✅""),'Quartier prepositio"&amp;"ns'!A:E, 5, 0) ,  if(H3592=""region"",vlookup(REGEXEXTRACT(C3592, ""🏘️ \w+ \w+ (.*) ✅""),'Region prepositions'!B:F, 5, 0),  REGEXEXTRACT(C3592, ""🏘️ \w+ \w+ (.*) ✅""))))"),"#N/A")</f>
        <v>#N/A</v>
      </c>
      <c r="I3592" s="4" t="str">
        <f>IFERROR(__xludf.DUMMYFUNCTION("if(D3592=""variant"",  substitute(filter(Templates!E:E, Templates!A:A = F3592, Templates!B:B = G3592, Templates!C:C = H3592), ""{{}}"", E3592), B3592)"),"Vendre appartement Bavois: Trouvez le bien immobilier qui correspond idéalement à vos désirs sur ImmoScout24 - La plateforme de l'immobilier en Suisse.")</f>
        <v>Vendre appartement Bavois: Trouvez le bien immobilier qui correspond idéalement à vos désirs sur ImmoScout24 - La plateforme de l'immobilier en Suisse.</v>
      </c>
    </row>
    <row r="3593" hidden="1">
      <c r="A3593" s="5" t="s">
        <v>10289</v>
      </c>
      <c r="B3593" s="2" t="s">
        <v>10290</v>
      </c>
      <c r="C3593" s="2" t="s">
        <v>10290</v>
      </c>
      <c r="D3593" s="4" t="str">
        <f>vlookup(A3593, Sheet2!D:E, 2, 0)</f>
        <v>control</v>
      </c>
      <c r="E3593" s="4" t="str">
        <f>IFERROR(__xludf.DUMMYFUNCTION("if(H3593=""pays"",vlookup(REGEXEXTRACT(C3593, ""🏘️ \w+ \w+ (.*) ✅""),'Country prepositions'!A:B, 2, 0) &amp; "" "" &amp; REGEXEXTRACT(C3593, ""🏘️ \w+ \w+ (.*) ✅"") ,  if(H3593=""quartier"",vlookup(REGEXEXTRACT(C3593, ""🏘️ \w+ \w+ (.*) ✅""),'Quartier prepositio"&amp;"ns'!A:E, 5, 0) ,  if(H3593=""region"",vlookup(REGEXEXTRACT(C3593, ""🏘️ \w+ \w+ (.*) ✅""),'Region prepositions'!B:F, 5, 0),  REGEXEXTRACT(C3593, ""🏘️ \w+ \w+ (.*) ✅""))))"),"#N/A")</f>
        <v>#N/A</v>
      </c>
      <c r="I3593" s="4" t="str">
        <f>IFERROR(__xludf.DUMMYFUNCTION("if(D3593=""variant"",  substitute(filter(Templates!E:E, Templates!A:A = F3593, Templates!B:B = G3593, Templates!C:C = H3593), ""{{}}"", E3593), B3593)"),"Vendre maison Chamblon: Trouvez le bien immobilier qui correspond idéalement à vos désirs sur ImmoScout24 - La plateforme de l'immobilier en Suisse.")</f>
        <v>Vendre maison Chamblon: Trouvez le bien immobilier qui correspond idéalement à vos désirs sur ImmoScout24 - La plateforme de l'immobilier en Suisse.</v>
      </c>
    </row>
    <row r="3594" hidden="1">
      <c r="A3594" s="5" t="s">
        <v>10291</v>
      </c>
      <c r="B3594" s="2" t="s">
        <v>10292</v>
      </c>
      <c r="C3594" s="2" t="s">
        <v>10292</v>
      </c>
      <c r="D3594" s="4" t="str">
        <f>vlookup(A3594, Sheet2!D:E, 2, 0)</f>
        <v>control</v>
      </c>
      <c r="E3594" s="4" t="str">
        <f>IFERROR(__xludf.DUMMYFUNCTION("if(H3594=""pays"",vlookup(REGEXEXTRACT(C3594, ""🏘️ \w+ \w+ (.*) ✅""),'Country prepositions'!A:B, 2, 0) &amp; "" "" &amp; REGEXEXTRACT(C3594, ""🏘️ \w+ \w+ (.*) ✅"") ,  if(H3594=""quartier"",vlookup(REGEXEXTRACT(C3594, ""🏘️ \w+ \w+ (.*) ✅""),'Quartier prepositio"&amp;"ns'!A:E, 5, 0) ,  if(H3594=""region"",vlookup(REGEXEXTRACT(C3594, ""🏘️ \w+ \w+ (.*) ✅""),'Region prepositions'!B:F, 5, 0),  REGEXEXTRACT(C3594, ""🏘️ \w+ \w+ (.*) ✅""))))"),"#N/A")</f>
        <v>#N/A</v>
      </c>
      <c r="I3594" s="4" t="str">
        <f>IFERROR(__xludf.DUMMYFUNCTION("if(D3594=""variant"",  substitute(filter(Templates!E:E, Templates!A:A = F3594, Templates!B:B = G3594, Templates!C:C = H3594), ""{{}}"", E3594), B3594)"),"Louer appartement Olten - Thal - Gäu - Gösgen: Trouvez le bien immobilier qui correspond idéalement à vos désirs sur ImmoScout24 - La plateforme de l'immobilier en Suisse.")</f>
        <v>Louer appartement Olten - Thal - Gäu - Gösgen: Trouvez le bien immobilier qui correspond idéalement à vos désirs sur ImmoScout24 - La plateforme de l'immobilier en Suisse.</v>
      </c>
    </row>
    <row r="3595" hidden="1">
      <c r="A3595" s="5" t="s">
        <v>10293</v>
      </c>
      <c r="B3595" s="2" t="s">
        <v>10294</v>
      </c>
      <c r="C3595" s="2" t="s">
        <v>10294</v>
      </c>
      <c r="D3595" s="4" t="str">
        <f>vlookup(A3595, Sheet2!D:E, 2, 0)</f>
        <v>control</v>
      </c>
      <c r="E3595" s="4" t="str">
        <f>IFERROR(__xludf.DUMMYFUNCTION("if(H3595=""pays"",vlookup(REGEXEXTRACT(C3595, ""🏘️ \w+ \w+ (.*) ✅""),'Country prepositions'!A:B, 2, 0) &amp; "" "" &amp; REGEXEXTRACT(C3595, ""🏘️ \w+ \w+ (.*) ✅"") ,  if(H3595=""quartier"",vlookup(REGEXEXTRACT(C3595, ""🏘️ \w+ \w+ (.*) ✅""),'Quartier prepositio"&amp;"ns'!A:E, 5, 0) ,  if(H3595=""region"",vlookup(REGEXEXTRACT(C3595, ""🏘️ \w+ \w+ (.*) ✅""),'Region prepositions'!B:F, 5, 0),  REGEXEXTRACT(C3595, ""🏘️ \w+ \w+ (.*) ✅""))))"),"#N/A")</f>
        <v>#N/A</v>
      </c>
      <c r="I3595" s="4" t="str">
        <f>IFERROR(__xludf.DUMMYFUNCTION("if(D3595=""variant"",  substitute(filter(Templates!E:E, Templates!A:A = F3595, Templates!B:B = G3595, Templates!C:C = H3595), ""{{}}"", E3595), B3595)"),"Louer appartement Geuensee: Trouvez le bien immobilier qui correspond idéalement à vos désirs sur ImmoScout24 - La plateforme de l'immobilier en Suisse.")</f>
        <v>Louer appartement Geuensee: Trouvez le bien immobilier qui correspond idéalement à vos désirs sur ImmoScout24 - La plateforme de l'immobilier en Suisse.</v>
      </c>
    </row>
    <row r="3596" hidden="1">
      <c r="A3596" s="5" t="s">
        <v>10295</v>
      </c>
      <c r="B3596" s="2" t="s">
        <v>10296</v>
      </c>
      <c r="C3596" s="2" t="s">
        <v>10296</v>
      </c>
      <c r="D3596" s="4" t="str">
        <f>vlookup(A3596, Sheet2!D:E, 2, 0)</f>
        <v>control</v>
      </c>
      <c r="E3596" s="4" t="str">
        <f>IFERROR(__xludf.DUMMYFUNCTION("if(H3596=""pays"",vlookup(REGEXEXTRACT(C3596, ""🏘️ \w+ \w+ (.*) ✅""),'Country prepositions'!A:B, 2, 0) &amp; "" "" &amp; REGEXEXTRACT(C3596, ""🏘️ \w+ \w+ (.*) ✅"") ,  if(H3596=""quartier"",vlookup(REGEXEXTRACT(C3596, ""🏘️ \w+ \w+ (.*) ✅""),'Quartier prepositio"&amp;"ns'!A:E, 5, 0) ,  if(H3596=""region"",vlookup(REGEXEXTRACT(C3596, ""🏘️ \w+ \w+ (.*) ✅""),'Region prepositions'!B:F, 5, 0),  REGEXEXTRACT(C3596, ""🏘️ \w+ \w+ (.*) ✅""))))"),"#N/A")</f>
        <v>#N/A</v>
      </c>
      <c r="I3596" s="4" t="str">
        <f>IFERROR(__xludf.DUMMYFUNCTION("if(D3596=""variant"",  substitute(filter(Templates!E:E, Templates!A:A = F3596, Templates!B:B = G3596, Templates!C:C = H3596), ""{{}}"", E3596), B3596)"),"Louer appartement Cugy VD: Trouvez le bien immobilier qui correspond idéalement à vos désirs sur ImmoScout24 - La plateforme de l'immobilier en Suisse.")</f>
        <v>Louer appartement Cugy VD: Trouvez le bien immobilier qui correspond idéalement à vos désirs sur ImmoScout24 - La plateforme de l'immobilier en Suisse.</v>
      </c>
    </row>
    <row r="3597" hidden="1">
      <c r="A3597" s="5" t="s">
        <v>10297</v>
      </c>
      <c r="B3597" s="2" t="s">
        <v>10298</v>
      </c>
      <c r="C3597" s="2" t="s">
        <v>10298</v>
      </c>
      <c r="D3597" s="4" t="str">
        <f>vlookup(A3597, Sheet2!D:E, 2, 0)</f>
        <v>control</v>
      </c>
      <c r="E3597" s="4" t="str">
        <f>IFERROR(__xludf.DUMMYFUNCTION("if(H3597=""pays"",vlookup(REGEXEXTRACT(C3597, ""🏘️ \w+ \w+ (.*) ✅""),'Country prepositions'!A:B, 2, 0) &amp; "" "" &amp; REGEXEXTRACT(C3597, ""🏘️ \w+ \w+ (.*) ✅"") ,  if(H3597=""quartier"",vlookup(REGEXEXTRACT(C3597, ""🏘️ \w+ \w+ (.*) ✅""),'Quartier prepositio"&amp;"ns'!A:E, 5, 0) ,  if(H3597=""region"",vlookup(REGEXEXTRACT(C3597, ""🏘️ \w+ \w+ (.*) ✅""),'Region prepositions'!B:F, 5, 0),  REGEXEXTRACT(C3597, ""🏘️ \w+ \w+ (.*) ✅""))))"),"#N/A")</f>
        <v>#N/A</v>
      </c>
      <c r="I3597" s="4" t="str">
        <f>IFERROR(__xludf.DUMMYFUNCTION("if(D3597=""variant"",  substitute(filter(Templates!E:E, Templates!A:A = F3597, Templates!B:B = G3597, Templates!C:C = H3597), ""{{}}"", E3597), B3597)"),"Vendre maison Gy: Trouvez le bien immobilier qui correspond idéalement à vos désirs sur ImmoScout24 - La plateforme de l'immobilier en Suisse.")</f>
        <v>Vendre maison Gy: Trouvez le bien immobilier qui correspond idéalement à vos désirs sur ImmoScout24 - La plateforme de l'immobilier en Suisse.</v>
      </c>
    </row>
    <row r="3598" hidden="1">
      <c r="A3598" s="5" t="s">
        <v>10299</v>
      </c>
      <c r="B3598" s="2" t="s">
        <v>10300</v>
      </c>
      <c r="C3598" s="2" t="s">
        <v>10300</v>
      </c>
      <c r="D3598" s="4" t="str">
        <f>vlookup(A3598, Sheet2!D:E, 2, 0)</f>
        <v>control</v>
      </c>
      <c r="E3598" s="4" t="str">
        <f>IFERROR(__xludf.DUMMYFUNCTION("if(H3598=""pays"",vlookup(REGEXEXTRACT(C3598, ""🏘️ \w+ \w+ (.*) ✅""),'Country prepositions'!A:B, 2, 0) &amp; "" "" &amp; REGEXEXTRACT(C3598, ""🏘️ \w+ \w+ (.*) ✅"") ,  if(H3598=""quartier"",vlookup(REGEXEXTRACT(C3598, ""🏘️ \w+ \w+ (.*) ✅""),'Quartier prepositio"&amp;"ns'!A:E, 5, 0) ,  if(H3598=""region"",vlookup(REGEXEXTRACT(C3598, ""🏘️ \w+ \w+ (.*) ✅""),'Region prepositions'!B:F, 5, 0),  REGEXEXTRACT(C3598, ""🏘️ \w+ \w+ (.*) ✅""))))"),"#N/A")</f>
        <v>#N/A</v>
      </c>
      <c r="I3598" s="4" t="str">
        <f>IFERROR(__xludf.DUMMYFUNCTION("if(D3598=""variant"",  substitute(filter(Templates!E:E, Templates!A:A = F3598, Templates!B:B = G3598, Templates!C:C = H3598), ""{{}}"", E3598), B3598)"),"Louer appartement Mellingen: Trouvez le bien immobilier qui correspond idéalement à vos désirs sur ImmoScout24 - La plateforme de l'immobilier en Suisse.")</f>
        <v>Louer appartement Mellingen: Trouvez le bien immobilier qui correspond idéalement à vos désirs sur ImmoScout24 - La plateforme de l'immobilier en Suisse.</v>
      </c>
    </row>
    <row r="3599" hidden="1">
      <c r="A3599" s="5" t="s">
        <v>10301</v>
      </c>
      <c r="B3599" s="2" t="s">
        <v>10302</v>
      </c>
      <c r="C3599" s="2" t="s">
        <v>10302</v>
      </c>
      <c r="D3599" s="4" t="str">
        <f>vlookup(A3599, Sheet2!D:E, 2, 0)</f>
        <v>control</v>
      </c>
      <c r="E3599" s="4" t="str">
        <f>IFERROR(__xludf.DUMMYFUNCTION("if(H3599=""pays"",vlookup(REGEXEXTRACT(C3599, ""🏘️ \w+ \w+ (.*) ✅""),'Country prepositions'!A:B, 2, 0) &amp; "" "" &amp; REGEXEXTRACT(C3599, ""🏘️ \w+ \w+ (.*) ✅"") ,  if(H3599=""quartier"",vlookup(REGEXEXTRACT(C3599, ""🏘️ \w+ \w+ (.*) ✅""),'Quartier prepositio"&amp;"ns'!A:E, 5, 0) ,  if(H3599=""region"",vlookup(REGEXEXTRACT(C3599, ""🏘️ \w+ \w+ (.*) ✅""),'Region prepositions'!B:F, 5, 0),  REGEXEXTRACT(C3599, ""🏘️ \w+ \w+ (.*) ✅""))))"),"#N/A")</f>
        <v>#N/A</v>
      </c>
      <c r="I3599" s="4" t="str">
        <f>IFERROR(__xludf.DUMMYFUNCTION("if(D3599=""variant"",  substitute(filter(Templates!E:E, Templates!A:A = F3599, Templates!B:B = G3599, Templates!C:C = H3599), ""{{}}"", E3599), B3599)"),"Vendre appartement Hünenberg: Trouvez le bien immobilier qui correspond idéalement à vos désirs sur ImmoScout24 - La plateforme de l'immobilier en Suisse.")</f>
        <v>Vendre appartement Hünenberg: Trouvez le bien immobilier qui correspond idéalement à vos désirs sur ImmoScout24 - La plateforme de l'immobilier en Suisse.</v>
      </c>
    </row>
    <row r="3600" hidden="1">
      <c r="A3600" s="5" t="s">
        <v>10303</v>
      </c>
      <c r="B3600" s="2" t="s">
        <v>10304</v>
      </c>
      <c r="C3600" s="2" t="s">
        <v>10304</v>
      </c>
      <c r="D3600" s="4" t="str">
        <f>vlookup(A3600, Sheet2!D:E, 2, 0)</f>
        <v>control</v>
      </c>
      <c r="E3600" s="4" t="str">
        <f>IFERROR(__xludf.DUMMYFUNCTION("if(H3600=""pays"",vlookup(REGEXEXTRACT(C3600, ""🏘️ \w+ \w+ (.*) ✅""),'Country prepositions'!A:B, 2, 0) &amp; "" "" &amp; REGEXEXTRACT(C3600, ""🏘️ \w+ \w+ (.*) ✅"") ,  if(H3600=""quartier"",vlookup(REGEXEXTRACT(C3600, ""🏘️ \w+ \w+ (.*) ✅""),'Quartier prepositio"&amp;"ns'!A:E, 5, 0) ,  if(H3600=""region"",vlookup(REGEXEXTRACT(C3600, ""🏘️ \w+ \w+ (.*) ✅""),'Region prepositions'!B:F, 5, 0),  REGEXEXTRACT(C3600, ""🏘️ \w+ \w+ (.*) ✅""))))"),"#N/A")</f>
        <v>#N/A</v>
      </c>
      <c r="I3600" s="4" t="str">
        <f>IFERROR(__xludf.DUMMYFUNCTION("if(D3600=""variant"",  substitute(filter(Templates!E:E, Templates!A:A = F3600, Templates!B:B = G3600, Templates!C:C = H3600), ""{{}}"", E3600), B3600)"),"Vendre maison Goldach: Trouvez le bien immobilier qui correspond idéalement à vos désirs sur ImmoScout24 - La plateforme de l'immobilier en Suisse.")</f>
        <v>Vendre maison Goldach: Trouvez le bien immobilier qui correspond idéalement à vos désirs sur ImmoScout24 - La plateforme de l'immobilier en Suisse.</v>
      </c>
    </row>
    <row r="3601" hidden="1">
      <c r="A3601" s="5" t="s">
        <v>10305</v>
      </c>
      <c r="B3601" s="2" t="s">
        <v>10306</v>
      </c>
      <c r="C3601" s="2" t="s">
        <v>10306</v>
      </c>
      <c r="D3601" s="4" t="str">
        <f>vlookup(A3601, Sheet2!D:E, 2, 0)</f>
        <v>control</v>
      </c>
      <c r="E3601" s="4" t="str">
        <f>IFERROR(__xludf.DUMMYFUNCTION("if(H3601=""pays"",vlookup(REGEXEXTRACT(C3601, ""🏘️ \w+ \w+ (.*) ✅""),'Country prepositions'!A:B, 2, 0) &amp; "" "" &amp; REGEXEXTRACT(C3601, ""🏘️ \w+ \w+ (.*) ✅"") ,  if(H3601=""quartier"",vlookup(REGEXEXTRACT(C3601, ""🏘️ \w+ \w+ (.*) ✅""),'Quartier prepositio"&amp;"ns'!A:E, 5, 0) ,  if(H3601=""region"",vlookup(REGEXEXTRACT(C3601, ""🏘️ \w+ \w+ (.*) ✅""),'Region prepositions'!B:F, 5, 0),  REGEXEXTRACT(C3601, ""🏘️ \w+ \w+ (.*) ✅""))))"),"#N/A")</f>
        <v>#N/A</v>
      </c>
      <c r="I3601" s="4" t="str">
        <f>IFERROR(__xludf.DUMMYFUNCTION("if(D3601=""variant"",  substitute(filter(Templates!E:E, Templates!A:A = F3601, Templates!B:B = G3601, Templates!C:C = H3601), ""{{}}"", E3601), B3601)"),"Vendre maison St-Martin FR: Trouvez le bien immobilier qui correspond idéalement à vos désirs sur ImmoScout24 - La plateforme de l'immobilier en Suisse.")</f>
        <v>Vendre maison St-Martin FR: Trouvez le bien immobilier qui correspond idéalement à vos désirs sur ImmoScout24 - La plateforme de l'immobilier en Suisse.</v>
      </c>
    </row>
    <row r="3602" hidden="1">
      <c r="A3602" s="5" t="s">
        <v>10307</v>
      </c>
      <c r="B3602" s="2" t="s">
        <v>10308</v>
      </c>
      <c r="C3602" s="2" t="s">
        <v>10308</v>
      </c>
      <c r="D3602" s="4" t="str">
        <f>vlookup(A3602, Sheet2!D:E, 2, 0)</f>
        <v>control</v>
      </c>
      <c r="E3602" s="4" t="str">
        <f>IFERROR(__xludf.DUMMYFUNCTION("if(H3602=""pays"",vlookup(REGEXEXTRACT(C3602, ""🏘️ \w+ \w+ (.*) ✅""),'Country prepositions'!A:B, 2, 0) &amp; "" "" &amp; REGEXEXTRACT(C3602, ""🏘️ \w+ \w+ (.*) ✅"") ,  if(H3602=""quartier"",vlookup(REGEXEXTRACT(C3602, ""🏘️ \w+ \w+ (.*) ✅""),'Quartier prepositio"&amp;"ns'!A:E, 5, 0) ,  if(H3602=""region"",vlookup(REGEXEXTRACT(C3602, ""🏘️ \w+ \w+ (.*) ✅""),'Region prepositions'!B:F, 5, 0),  REGEXEXTRACT(C3602, ""🏘️ \w+ \w+ (.*) ✅""))))"),"#N/A")</f>
        <v>#N/A</v>
      </c>
      <c r="I3602" s="4" t="str">
        <f>IFERROR(__xludf.DUMMYFUNCTION("if(D3602=""variant"",  substitute(filter(Templates!E:E, Templates!A:A = F3602, Templates!B:B = G3602, Templates!C:C = H3602), ""{{}}"", E3602), B3602)"),"Louer maison Versegères: Trouvez le bien immobilier qui correspond idéalement à vos désirs sur ImmoScout24 - La plateforme de l'immobilier en Suisse.")</f>
        <v>Louer maison Versegères: Trouvez le bien immobilier qui correspond idéalement à vos désirs sur ImmoScout24 - La plateforme de l'immobilier en Suisse.</v>
      </c>
    </row>
    <row r="3603" hidden="1">
      <c r="A3603" s="5" t="s">
        <v>10309</v>
      </c>
      <c r="B3603" s="2" t="s">
        <v>10310</v>
      </c>
      <c r="C3603" s="2" t="s">
        <v>10310</v>
      </c>
      <c r="D3603" s="4" t="str">
        <f>vlookup(A3603, Sheet2!D:E, 2, 0)</f>
        <v>control</v>
      </c>
      <c r="E3603" s="4" t="str">
        <f>IFERROR(__xludf.DUMMYFUNCTION("if(H3603=""pays"",vlookup(REGEXEXTRACT(C3603, ""🏘️ \w+ \w+ (.*) ✅""),'Country prepositions'!A:B, 2, 0) &amp; "" "" &amp; REGEXEXTRACT(C3603, ""🏘️ \w+ \w+ (.*) ✅"") ,  if(H3603=""quartier"",vlookup(REGEXEXTRACT(C3603, ""🏘️ \w+ \w+ (.*) ✅""),'Quartier prepositio"&amp;"ns'!A:E, 5, 0) ,  if(H3603=""region"",vlookup(REGEXEXTRACT(C3603, ""🏘️ \w+ \w+ (.*) ✅""),'Region prepositions'!B:F, 5, 0),  REGEXEXTRACT(C3603, ""🏘️ \w+ \w+ (.*) ✅""))))"),"#N/A")</f>
        <v>#N/A</v>
      </c>
      <c r="I3603" s="4" t="str">
        <f>IFERROR(__xludf.DUMMYFUNCTION("if(D3603=""variant"",  substitute(filter(Templates!E:E, Templates!A:A = F3603, Templates!B:B = G3603, Templates!C:C = H3603), ""{{}}"", E3603), B3603)"),"Vendre maison Réclère: Trouvez le bien immobilier qui correspond idéalement à vos désirs sur ImmoScout24 - La plateforme de l'immobilier en Suisse.")</f>
        <v>Vendre maison Réclère: Trouvez le bien immobilier qui correspond idéalement à vos désirs sur ImmoScout24 - La plateforme de l'immobilier en Suisse.</v>
      </c>
    </row>
    <row r="3604" hidden="1">
      <c r="A3604" s="5" t="s">
        <v>10311</v>
      </c>
      <c r="B3604" s="2" t="s">
        <v>10312</v>
      </c>
      <c r="C3604" s="2" t="s">
        <v>10312</v>
      </c>
      <c r="D3604" s="4" t="str">
        <f>vlookup(A3604, Sheet2!D:E, 2, 0)</f>
        <v>control</v>
      </c>
      <c r="E3604" s="4" t="str">
        <f>IFERROR(__xludf.DUMMYFUNCTION("if(H3604=""pays"",vlookup(REGEXEXTRACT(C3604, ""🏘️ \w+ \w+ (.*) ✅""),'Country prepositions'!A:B, 2, 0) &amp; "" "" &amp; REGEXEXTRACT(C3604, ""🏘️ \w+ \w+ (.*) ✅"") ,  if(H3604=""quartier"",vlookup(REGEXEXTRACT(C3604, ""🏘️ \w+ \w+ (.*) ✅""),'Quartier prepositio"&amp;"ns'!A:E, 5, 0) ,  if(H3604=""region"",vlookup(REGEXEXTRACT(C3604, ""🏘️ \w+ \w+ (.*) ✅""),'Region prepositions'!B:F, 5, 0),  REGEXEXTRACT(C3604, ""🏘️ \w+ \w+ (.*) ✅""))))"),"#N/A")</f>
        <v>#N/A</v>
      </c>
      <c r="I3604" s="4" t="str">
        <f>IFERROR(__xludf.DUMMYFUNCTION("if(D3604=""variant"",  substitute(filter(Templates!E:E, Templates!A:A = F3604, Templates!B:B = G3604, Templates!C:C = H3604), ""{{}}"", E3604), B3604)"),"Vendre appartement Susten: Trouvez le bien immobilier qui correspond idéalement à vos désirs sur ImmoScout24 - La plateforme de l'immobilier en Suisse.")</f>
        <v>Vendre appartement Susten: Trouvez le bien immobilier qui correspond idéalement à vos désirs sur ImmoScout24 - La plateforme de l'immobilier en Suisse.</v>
      </c>
    </row>
    <row r="3605" hidden="1">
      <c r="A3605" s="5" t="s">
        <v>10313</v>
      </c>
      <c r="B3605" s="2" t="s">
        <v>10314</v>
      </c>
      <c r="C3605" s="2" t="s">
        <v>10314</v>
      </c>
      <c r="D3605" s="4" t="str">
        <f>vlookup(A3605, Sheet2!D:E, 2, 0)</f>
        <v>control</v>
      </c>
      <c r="E3605" s="4" t="str">
        <f>IFERROR(__xludf.DUMMYFUNCTION("if(H3605=""pays"",vlookup(REGEXEXTRACT(C3605, ""🏘️ \w+ \w+ (.*) ✅""),'Country prepositions'!A:B, 2, 0) &amp; "" "" &amp; REGEXEXTRACT(C3605, ""🏘️ \w+ \w+ (.*) ✅"") ,  if(H3605=""quartier"",vlookup(REGEXEXTRACT(C3605, ""🏘️ \w+ \w+ (.*) ✅""),'Quartier prepositio"&amp;"ns'!A:E, 5, 0) ,  if(H3605=""region"",vlookup(REGEXEXTRACT(C3605, ""🏘️ \w+ \w+ (.*) ✅""),'Region prepositions'!B:F, 5, 0),  REGEXEXTRACT(C3605, ""🏘️ \w+ \w+ (.*) ✅""))))"),"#N/A")</f>
        <v>#N/A</v>
      </c>
      <c r="I3605" s="4" t="str">
        <f>IFERROR(__xludf.DUMMYFUNCTION("if(D3605=""variant"",  substitute(filter(Templates!E:E, Templates!A:A = F3605, Templates!B:B = G3605, Templates!C:C = H3605), ""{{}}"", E3605), B3605)"),"Louer maison Grolley: Trouvez le bien immobilier qui correspond idéalement à vos désirs sur ImmoScout24 - La plateforme de l'immobilier en Suisse.")</f>
        <v>Louer maison Grolley: Trouvez le bien immobilier qui correspond idéalement à vos désirs sur ImmoScout24 - La plateforme de l'immobilier en Suisse.</v>
      </c>
    </row>
    <row r="3606" hidden="1">
      <c r="A3606" s="5" t="s">
        <v>10315</v>
      </c>
      <c r="B3606" s="2" t="s">
        <v>10316</v>
      </c>
      <c r="C3606" s="2" t="s">
        <v>10316</v>
      </c>
      <c r="D3606" s="4" t="str">
        <f>vlookup(A3606, Sheet2!D:E, 2, 0)</f>
        <v>control</v>
      </c>
      <c r="E3606" s="4" t="str">
        <f>IFERROR(__xludf.DUMMYFUNCTION("if(H3606=""pays"",vlookup(REGEXEXTRACT(C3606, ""🏘️ \w+ \w+ (.*) ✅""),'Country prepositions'!A:B, 2, 0) &amp; "" "" &amp; REGEXEXTRACT(C3606, ""🏘️ \w+ \w+ (.*) ✅"") ,  if(H3606=""quartier"",vlookup(REGEXEXTRACT(C3606, ""🏘️ \w+ \w+ (.*) ✅""),'Quartier prepositio"&amp;"ns'!A:E, 5, 0) ,  if(H3606=""region"",vlookup(REGEXEXTRACT(C3606, ""🏘️ \w+ \w+ (.*) ✅""),'Region prepositions'!B:F, 5, 0),  REGEXEXTRACT(C3606, ""🏘️ \w+ \w+ (.*) ✅""))))"),"#N/A")</f>
        <v>#N/A</v>
      </c>
      <c r="I3606" s="4" t="str">
        <f>IFERROR(__xludf.DUMMYFUNCTION("if(D3606=""variant"",  substitute(filter(Templates!E:E, Templates!A:A = F3606, Templates!B:B = G3606, Templates!C:C = H3606), ""{{}}"", E3606), B3606)"),"Louer appartement Blonay: Trouvez le bien immobilier qui correspond idéalement à vos désirs sur ImmoScout24 - La plateforme de l'immobilier en Suisse.")</f>
        <v>Louer appartement Blonay: Trouvez le bien immobilier qui correspond idéalement à vos désirs sur ImmoScout24 - La plateforme de l'immobilier en Suisse.</v>
      </c>
    </row>
    <row r="3607" hidden="1">
      <c r="A3607" s="5" t="s">
        <v>10317</v>
      </c>
      <c r="B3607" s="2" t="s">
        <v>10318</v>
      </c>
      <c r="C3607" s="2" t="s">
        <v>10318</v>
      </c>
      <c r="D3607" s="4" t="str">
        <f>vlookup(A3607, Sheet2!D:E, 2, 0)</f>
        <v>control</v>
      </c>
      <c r="E3607" s="4" t="str">
        <f>IFERROR(__xludf.DUMMYFUNCTION("if(H3607=""pays"",vlookup(REGEXEXTRACT(C3607, ""🏘️ \w+ \w+ (.*) ✅""),'Country prepositions'!A:B, 2, 0) &amp; "" "" &amp; REGEXEXTRACT(C3607, ""🏘️ \w+ \w+ (.*) ✅"") ,  if(H3607=""quartier"",vlookup(REGEXEXTRACT(C3607, ""🏘️ \w+ \w+ (.*) ✅""),'Quartier prepositio"&amp;"ns'!A:E, 5, 0) ,  if(H3607=""region"",vlookup(REGEXEXTRACT(C3607, ""🏘️ \w+ \w+ (.*) ✅""),'Region prepositions'!B:F, 5, 0),  REGEXEXTRACT(C3607, ""🏘️ \w+ \w+ (.*) ✅""))))"),"#N/A")</f>
        <v>#N/A</v>
      </c>
      <c r="I3607" s="4" t="str">
        <f>IFERROR(__xludf.DUMMYFUNCTION("if(D3607=""variant"",  substitute(filter(Templates!E:E, Templates!A:A = F3607, Templates!B:B = G3607, Templates!C:C = H3607), ""{{}}"", E3607), B3607)"),"Louer appartement Châtelaine: Trouvez le bien immobilier qui correspond idéalement à vos désirs sur ImmoScout24 - La plateforme de l'immobilier en Suisse.")</f>
        <v>Louer appartement Châtelaine: Trouvez le bien immobilier qui correspond idéalement à vos désirs sur ImmoScout24 - La plateforme de l'immobilier en Suisse.</v>
      </c>
    </row>
    <row r="3608" hidden="1">
      <c r="A3608" s="5" t="s">
        <v>10319</v>
      </c>
      <c r="B3608" s="2" t="s">
        <v>10320</v>
      </c>
      <c r="C3608" s="2" t="s">
        <v>10320</v>
      </c>
      <c r="D3608" s="4" t="str">
        <f>vlookup(A3608, Sheet2!D:E, 2, 0)</f>
        <v>control</v>
      </c>
      <c r="E3608" s="4" t="str">
        <f>IFERROR(__xludf.DUMMYFUNCTION("if(H3608=""pays"",vlookup(REGEXEXTRACT(C3608, ""🏘️ \w+ \w+ (.*) ✅""),'Country prepositions'!A:B, 2, 0) &amp; "" "" &amp; REGEXEXTRACT(C3608, ""🏘️ \w+ \w+ (.*) ✅"") ,  if(H3608=""quartier"",vlookup(REGEXEXTRACT(C3608, ""🏘️ \w+ \w+ (.*) ✅""),'Quartier prepositio"&amp;"ns'!A:E, 5, 0) ,  if(H3608=""region"",vlookup(REGEXEXTRACT(C3608, ""🏘️ \w+ \w+ (.*) ✅""),'Region prepositions'!B:F, 5, 0),  REGEXEXTRACT(C3608, ""🏘️ \w+ \w+ (.*) ✅""))))"),"#N/A")</f>
        <v>#N/A</v>
      </c>
      <c r="I3608" s="4" t="str">
        <f>IFERROR(__xludf.DUMMYFUNCTION("if(D3608=""variant"",  substitute(filter(Templates!E:E, Templates!A:A = F3608, Templates!B:B = G3608, Templates!C:C = H3608), ""{{}}"", E3608), B3608)"),"Louer appartement Sornard (Nendaz): Trouvez le bien immobilier qui correspond idéalement à vos désirs sur ImmoScout24 - La plateforme de l'immobilier en Suisse.")</f>
        <v>Louer appartement Sornard (Nendaz): Trouvez le bien immobilier qui correspond idéalement à vos désirs sur ImmoScout24 - La plateforme de l'immobilier en Suisse.</v>
      </c>
    </row>
    <row r="3609" hidden="1">
      <c r="A3609" s="5" t="s">
        <v>10321</v>
      </c>
      <c r="B3609" s="2" t="s">
        <v>10322</v>
      </c>
      <c r="C3609" s="2" t="s">
        <v>10322</v>
      </c>
      <c r="D3609" s="4" t="str">
        <f>vlookup(A3609, Sheet2!D:E, 2, 0)</f>
        <v>control</v>
      </c>
      <c r="E3609" s="4" t="str">
        <f>IFERROR(__xludf.DUMMYFUNCTION("if(H3609=""pays"",vlookup(REGEXEXTRACT(C3609, ""🏘️ \w+ \w+ (.*) ✅""),'Country prepositions'!A:B, 2, 0) &amp; "" "" &amp; REGEXEXTRACT(C3609, ""🏘️ \w+ \w+ (.*) ✅"") ,  if(H3609=""quartier"",vlookup(REGEXEXTRACT(C3609, ""🏘️ \w+ \w+ (.*) ✅""),'Quartier prepositio"&amp;"ns'!A:E, 5, 0) ,  if(H3609=""region"",vlookup(REGEXEXTRACT(C3609, ""🏘️ \w+ \w+ (.*) ✅""),'Region prepositions'!B:F, 5, 0),  REGEXEXTRACT(C3609, ""🏘️ \w+ \w+ (.*) ✅""))))"),"#N/A")</f>
        <v>#N/A</v>
      </c>
      <c r="I3609" s="4" t="str">
        <f>IFERROR(__xludf.DUMMYFUNCTION("if(D3609=""variant"",  substitute(filter(Templates!E:E, Templates!A:A = F3609, Templates!B:B = G3609, Templates!C:C = H3609), ""{{}}"", E3609), B3609)"),"Vendre appartement Prilly: Trouvez le bien immobilier qui correspond idéalement à vos désirs sur ImmoScout24 - La plateforme de l'immobilier en Suisse.")</f>
        <v>Vendre appartement Prilly: Trouvez le bien immobilier qui correspond idéalement à vos désirs sur ImmoScout24 - La plateforme de l'immobilier en Suisse.</v>
      </c>
    </row>
    <row r="3610" hidden="1">
      <c r="A3610" s="5" t="s">
        <v>10323</v>
      </c>
      <c r="B3610" s="2" t="s">
        <v>10324</v>
      </c>
      <c r="C3610" s="2" t="s">
        <v>10324</v>
      </c>
      <c r="D3610" s="4" t="str">
        <f>vlookup(A3610, Sheet2!D:E, 2, 0)</f>
        <v>control</v>
      </c>
      <c r="E3610" s="4" t="str">
        <f>IFERROR(__xludf.DUMMYFUNCTION("if(H3610=""pays"",vlookup(REGEXEXTRACT(C3610, ""🏘️ \w+ \w+ (.*) ✅""),'Country prepositions'!A:B, 2, 0) &amp; "" "" &amp; REGEXEXTRACT(C3610, ""🏘️ \w+ \w+ (.*) ✅"") ,  if(H3610=""quartier"",vlookup(REGEXEXTRACT(C3610, ""🏘️ \w+ \w+ (.*) ✅""),'Quartier prepositio"&amp;"ns'!A:E, 5, 0) ,  if(H3610=""region"",vlookup(REGEXEXTRACT(C3610, ""🏘️ \w+ \w+ (.*) ✅""),'Region prepositions'!B:F, 5, 0),  REGEXEXTRACT(C3610, ""🏘️ \w+ \w+ (.*) ✅""))))"),"#N/A")</f>
        <v>#N/A</v>
      </c>
      <c r="I3610" s="4" t="str">
        <f>IFERROR(__xludf.DUMMYFUNCTION("if(D3610=""variant"",  substitute(filter(Templates!E:E, Templates!A:A = F3610, Templates!B:B = G3610, Templates!C:C = H3610), ""{{}}"", E3610), B3610)"),"Vendre appartement Mont-Soleil: Trouvez le bien immobilier qui correspond idéalement à vos désirs sur ImmoScout24 - La plateforme de l'immobilier en Suisse.")</f>
        <v>Vendre appartement Mont-Soleil: Trouvez le bien immobilier qui correspond idéalement à vos désirs sur ImmoScout24 - La plateforme de l'immobilier en Suisse.</v>
      </c>
    </row>
    <row r="3611" hidden="1">
      <c r="A3611" s="5" t="s">
        <v>10325</v>
      </c>
      <c r="B3611" s="2" t="s">
        <v>10326</v>
      </c>
      <c r="C3611" s="2" t="s">
        <v>10326</v>
      </c>
      <c r="D3611" s="4" t="str">
        <f>vlookup(A3611, Sheet2!D:E, 2, 0)</f>
        <v>control</v>
      </c>
      <c r="E3611" s="4" t="str">
        <f>IFERROR(__xludf.DUMMYFUNCTION("if(H3611=""pays"",vlookup(REGEXEXTRACT(C3611, ""🏘️ \w+ \w+ (.*) ✅""),'Country prepositions'!A:B, 2, 0) &amp; "" "" &amp; REGEXEXTRACT(C3611, ""🏘️ \w+ \w+ (.*) ✅"") ,  if(H3611=""quartier"",vlookup(REGEXEXTRACT(C3611, ""🏘️ \w+ \w+ (.*) ✅""),'Quartier prepositio"&amp;"ns'!A:E, 5, 0) ,  if(H3611=""region"",vlookup(REGEXEXTRACT(C3611, ""🏘️ \w+ \w+ (.*) ✅""),'Region prepositions'!B:F, 5, 0),  REGEXEXTRACT(C3611, ""🏘️ \w+ \w+ (.*) ✅""))))"),"#N/A")</f>
        <v>#N/A</v>
      </c>
      <c r="I3611" s="4" t="str">
        <f>IFERROR(__xludf.DUMMYFUNCTION("if(D3611=""variant"",  substitute(filter(Templates!E:E, Templates!A:A = F3611, Templates!B:B = G3611, Templates!C:C = H3611), ""{{}}"", E3611), B3611)"),"Vendre appartement Staad SG: Trouvez le bien immobilier qui correspond idéalement à vos désirs sur ImmoScout24 - La plateforme de l'immobilier en Suisse.")</f>
        <v>Vendre appartement Staad SG: Trouvez le bien immobilier qui correspond idéalement à vos désirs sur ImmoScout24 - La plateforme de l'immobilier en Suisse.</v>
      </c>
    </row>
    <row r="3612" hidden="1">
      <c r="A3612" s="5" t="s">
        <v>10327</v>
      </c>
      <c r="B3612" s="2" t="s">
        <v>10328</v>
      </c>
      <c r="C3612" s="2" t="s">
        <v>10328</v>
      </c>
      <c r="D3612" s="4" t="str">
        <f>vlookup(A3612, Sheet2!D:E, 2, 0)</f>
        <v>control</v>
      </c>
      <c r="E3612" s="4" t="str">
        <f>IFERROR(__xludf.DUMMYFUNCTION("if(H3612=""pays"",vlookup(REGEXEXTRACT(C3612, ""🏘️ \w+ \w+ (.*) ✅""),'Country prepositions'!A:B, 2, 0) &amp; "" "" &amp; REGEXEXTRACT(C3612, ""🏘️ \w+ \w+ (.*) ✅"") ,  if(H3612=""quartier"",vlookup(REGEXEXTRACT(C3612, ""🏘️ \w+ \w+ (.*) ✅""),'Quartier prepositio"&amp;"ns'!A:E, 5, 0) ,  if(H3612=""region"",vlookup(REGEXEXTRACT(C3612, ""🏘️ \w+ \w+ (.*) ✅""),'Region prepositions'!B:F, 5, 0),  REGEXEXTRACT(C3612, ""🏘️ \w+ \w+ (.*) ✅""))))"),"#N/A")</f>
        <v>#N/A</v>
      </c>
      <c r="I3612" s="4" t="str">
        <f>IFERROR(__xludf.DUMMYFUNCTION("if(D3612=""variant"",  substitute(filter(Templates!E:E, Templates!A:A = F3612, Templates!B:B = G3612, Templates!C:C = H3612), ""{{}}"", E3612), B3612)"),"Louer appartement Zimmerberg - Sihltal: Trouvez le bien immobilier qui correspond idéalement à vos désirs sur ImmoScout24 - La plateforme de l'immobilier en Suisse.")</f>
        <v>Louer appartement Zimmerberg - Sihltal: Trouvez le bien immobilier qui correspond idéalement à vos désirs sur ImmoScout24 - La plateforme de l'immobilier en Suisse.</v>
      </c>
    </row>
    <row r="3613" hidden="1">
      <c r="A3613" s="5" t="s">
        <v>10329</v>
      </c>
      <c r="B3613" s="2" t="s">
        <v>10330</v>
      </c>
      <c r="C3613" s="2" t="s">
        <v>10330</v>
      </c>
      <c r="D3613" s="4" t="str">
        <f>vlookup(A3613, Sheet2!D:E, 2, 0)</f>
        <v>control</v>
      </c>
      <c r="E3613" s="4" t="str">
        <f>IFERROR(__xludf.DUMMYFUNCTION("if(H3613=""pays"",vlookup(REGEXEXTRACT(C3613, ""🏘️ \w+ \w+ (.*) ✅""),'Country prepositions'!A:B, 2, 0) &amp; "" "" &amp; REGEXEXTRACT(C3613, ""🏘️ \w+ \w+ (.*) ✅"") ,  if(H3613=""quartier"",vlookup(REGEXEXTRACT(C3613, ""🏘️ \w+ \w+ (.*) ✅""),'Quartier prepositio"&amp;"ns'!A:E, 5, 0) ,  if(H3613=""region"",vlookup(REGEXEXTRACT(C3613, ""🏘️ \w+ \w+ (.*) ✅""),'Region prepositions'!B:F, 5, 0),  REGEXEXTRACT(C3613, ""🏘️ \w+ \w+ (.*) ✅""))))"),"#N/A")</f>
        <v>#N/A</v>
      </c>
      <c r="I3613" s="4" t="str">
        <f>IFERROR(__xludf.DUMMYFUNCTION("if(D3613=""variant"",  substitute(filter(Templates!E:E, Templates!A:A = F3613, Templates!B:B = G3613, Templates!C:C = H3613), ""{{}}"", E3613), B3613)"),"Vendre appartement Seeland: Trouvez le bien immobilier qui correspond idéalement à vos désirs sur ImmoScout24 - La plateforme de l'immobilier en Suisse.")</f>
        <v>Vendre appartement Seeland: Trouvez le bien immobilier qui correspond idéalement à vos désirs sur ImmoScout24 - La plateforme de l'immobilier en Suisse.</v>
      </c>
    </row>
    <row r="3614" hidden="1">
      <c r="A3614" s="5" t="s">
        <v>10331</v>
      </c>
      <c r="B3614" s="2" t="s">
        <v>10332</v>
      </c>
      <c r="C3614" s="2" t="s">
        <v>10332</v>
      </c>
      <c r="D3614" s="4" t="str">
        <f>vlookup(A3614, Sheet2!D:E, 2, 0)</f>
        <v>control</v>
      </c>
      <c r="E3614" s="4" t="str">
        <f>IFERROR(__xludf.DUMMYFUNCTION("if(H3614=""pays"",vlookup(REGEXEXTRACT(C3614, ""🏘️ \w+ \w+ (.*) ✅""),'Country prepositions'!A:B, 2, 0) &amp; "" "" &amp; REGEXEXTRACT(C3614, ""🏘️ \w+ \w+ (.*) ✅"") ,  if(H3614=""quartier"",vlookup(REGEXEXTRACT(C3614, ""🏘️ \w+ \w+ (.*) ✅""),'Quartier prepositio"&amp;"ns'!A:E, 5, 0) ,  if(H3614=""region"",vlookup(REGEXEXTRACT(C3614, ""🏘️ \w+ \w+ (.*) ✅""),'Region prepositions'!B:F, 5, 0),  REGEXEXTRACT(C3614, ""🏘️ \w+ \w+ (.*) ✅""))))"),"#N/A")</f>
        <v>#N/A</v>
      </c>
      <c r="I3614" s="4" t="str">
        <f>IFERROR(__xludf.DUMMYFUNCTION("if(D3614=""variant"",  substitute(filter(Templates!E:E, Templates!A:A = F3614, Templates!B:B = G3614, Templates!C:C = H3614), ""{{}}"", E3614), B3614)"),"Vendre appartement Bissone: Trouvez le bien immobilier qui correspond idéalement à vos désirs sur ImmoScout24 - La plateforme de l'immobilier en Suisse.")</f>
        <v>Vendre appartement Bissone: Trouvez le bien immobilier qui correspond idéalement à vos désirs sur ImmoScout24 - La plateforme de l'immobilier en Suisse.</v>
      </c>
    </row>
    <row r="3615" hidden="1">
      <c r="A3615" s="5" t="s">
        <v>10333</v>
      </c>
      <c r="B3615" s="2" t="s">
        <v>10334</v>
      </c>
      <c r="C3615" s="2" t="s">
        <v>10334</v>
      </c>
      <c r="D3615" s="4" t="str">
        <f>vlookup(A3615, Sheet2!D:E, 2, 0)</f>
        <v>control</v>
      </c>
      <c r="E3615" s="4" t="str">
        <f>IFERROR(__xludf.DUMMYFUNCTION("if(H3615=""pays"",vlookup(REGEXEXTRACT(C3615, ""🏘️ \w+ \w+ (.*) ✅""),'Country prepositions'!A:B, 2, 0) &amp; "" "" &amp; REGEXEXTRACT(C3615, ""🏘️ \w+ \w+ (.*) ✅"") ,  if(H3615=""quartier"",vlookup(REGEXEXTRACT(C3615, ""🏘️ \w+ \w+ (.*) ✅""),'Quartier prepositio"&amp;"ns'!A:E, 5, 0) ,  if(H3615=""region"",vlookup(REGEXEXTRACT(C3615, ""🏘️ \w+ \w+ (.*) ✅""),'Region prepositions'!B:F, 5, 0),  REGEXEXTRACT(C3615, ""🏘️ \w+ \w+ (.*) ✅""))))"),"#N/A")</f>
        <v>#N/A</v>
      </c>
      <c r="I3615" s="4" t="str">
        <f>IFERROR(__xludf.DUMMYFUNCTION("if(D3615=""variant"",  substitute(filter(Templates!E:E, Templates!A:A = F3615, Templates!B:B = G3615, Templates!C:C = H3615), ""{{}}"", E3615), B3615)"),"Louer maison St-Blaise: Trouvez le bien immobilier qui correspond idéalement à vos désirs sur ImmoScout24 - La plateforme de l'immobilier en Suisse.")</f>
        <v>Louer maison St-Blaise: Trouvez le bien immobilier qui correspond idéalement à vos désirs sur ImmoScout24 - La plateforme de l'immobilier en Suisse.</v>
      </c>
    </row>
    <row r="3616" hidden="1">
      <c r="A3616" s="5" t="s">
        <v>10335</v>
      </c>
      <c r="B3616" s="2" t="s">
        <v>10336</v>
      </c>
      <c r="C3616" s="2" t="s">
        <v>10336</v>
      </c>
      <c r="D3616" s="4" t="str">
        <f>vlookup(A3616, Sheet2!D:E, 2, 0)</f>
        <v>control</v>
      </c>
      <c r="E3616" s="4" t="str">
        <f>IFERROR(__xludf.DUMMYFUNCTION("if(H3616=""pays"",vlookup(REGEXEXTRACT(C3616, ""🏘️ \w+ \w+ (.*) ✅""),'Country prepositions'!A:B, 2, 0) &amp; "" "" &amp; REGEXEXTRACT(C3616, ""🏘️ \w+ \w+ (.*) ✅"") ,  if(H3616=""quartier"",vlookup(REGEXEXTRACT(C3616, ""🏘️ \w+ \w+ (.*) ✅""),'Quartier prepositio"&amp;"ns'!A:E, 5, 0) ,  if(H3616=""region"",vlookup(REGEXEXTRACT(C3616, ""🏘️ \w+ \w+ (.*) ✅""),'Region prepositions'!B:F, 5, 0),  REGEXEXTRACT(C3616, ""🏘️ \w+ \w+ (.*) ✅""))))"),"#N/A")</f>
        <v>#N/A</v>
      </c>
      <c r="I3616" s="4" t="str">
        <f>IFERROR(__xludf.DUMMYFUNCTION("if(D3616=""variant"",  substitute(filter(Templates!E:E, Templates!A:A = F3616, Templates!B:B = G3616, Templates!C:C = H3616), ""{{}}"", E3616), B3616)"),"Vendre maison Rüschegg Heubach: Trouvez le bien immobilier qui correspond idéalement à vos désirs sur ImmoScout24 - La plateforme de l'immobilier en Suisse.")</f>
        <v>Vendre maison Rüschegg Heubach: Trouvez le bien immobilier qui correspond idéalement à vos désirs sur ImmoScout24 - La plateforme de l'immobilier en Suisse.</v>
      </c>
    </row>
    <row r="3617" hidden="1">
      <c r="A3617" s="5" t="s">
        <v>10337</v>
      </c>
      <c r="B3617" s="2" t="s">
        <v>10338</v>
      </c>
      <c r="C3617" s="2" t="s">
        <v>10338</v>
      </c>
      <c r="D3617" s="4" t="str">
        <f>vlookup(A3617, Sheet2!D:E, 2, 0)</f>
        <v>control</v>
      </c>
      <c r="E3617" s="4" t="str">
        <f>IFERROR(__xludf.DUMMYFUNCTION("if(H3617=""pays"",vlookup(REGEXEXTRACT(C3617, ""🏘️ \w+ \w+ (.*) ✅""),'Country prepositions'!A:B, 2, 0) &amp; "" "" &amp; REGEXEXTRACT(C3617, ""🏘️ \w+ \w+ (.*) ✅"") ,  if(H3617=""quartier"",vlookup(REGEXEXTRACT(C3617, ""🏘️ \w+ \w+ (.*) ✅""),'Quartier prepositio"&amp;"ns'!A:E, 5, 0) ,  if(H3617=""region"",vlookup(REGEXEXTRACT(C3617, ""🏘️ \w+ \w+ (.*) ✅""),'Region prepositions'!B:F, 5, 0),  REGEXEXTRACT(C3617, ""🏘️ \w+ \w+ (.*) ✅""))))"),"#N/A")</f>
        <v>#N/A</v>
      </c>
      <c r="I3617" s="4" t="str">
        <f>IFERROR(__xludf.DUMMYFUNCTION("if(D3617=""variant"",  substitute(filter(Templates!E:E, Templates!A:A = F3617, Templates!B:B = G3617, Templates!C:C = H3617), ""{{}}"", E3617), B3617)"),"Louer maison Allemagne: Trouvez le bien immobilier qui correspond idéalement à vos désirs sur ImmoScout24 - La plateforme de l'immobilier en Suisse.")</f>
        <v>Louer maison Allemagne: Trouvez le bien immobilier qui correspond idéalement à vos désirs sur ImmoScout24 - La plateforme de l'immobilier en Suisse.</v>
      </c>
    </row>
    <row r="3618" hidden="1">
      <c r="A3618" s="5" t="s">
        <v>10339</v>
      </c>
      <c r="B3618" s="2" t="s">
        <v>10340</v>
      </c>
      <c r="C3618" s="2" t="s">
        <v>10340</v>
      </c>
      <c r="D3618" s="4" t="str">
        <f>vlookup(A3618, Sheet2!D:E, 2, 0)</f>
        <v>control</v>
      </c>
      <c r="E3618" s="4" t="str">
        <f>IFERROR(__xludf.DUMMYFUNCTION("if(H3618=""pays"",vlookup(REGEXEXTRACT(C3618, ""🏘️ \w+ \w+ (.*) ✅""),'Country prepositions'!A:B, 2, 0) &amp; "" "" &amp; REGEXEXTRACT(C3618, ""🏘️ \w+ \w+ (.*) ✅"") ,  if(H3618=""quartier"",vlookup(REGEXEXTRACT(C3618, ""🏘️ \w+ \w+ (.*) ✅""),'Quartier prepositio"&amp;"ns'!A:E, 5, 0) ,  if(H3618=""region"",vlookup(REGEXEXTRACT(C3618, ""🏘️ \w+ \w+ (.*) ✅""),'Region prepositions'!B:F, 5, 0),  REGEXEXTRACT(C3618, ""🏘️ \w+ \w+ (.*) ✅""))))"),"#N/A")</f>
        <v>#N/A</v>
      </c>
      <c r="I3618" s="4" t="str">
        <f>IFERROR(__xludf.DUMMYFUNCTION("if(D3618=""variant"",  substitute(filter(Templates!E:E, Templates!A:A = F3618, Templates!B:B = G3618, Templates!C:C = H3618), ""{{}}"", E3618), B3618)"),"Louer appartement Lignerolle: Trouvez le bien immobilier qui correspond idéalement à vos désirs sur ImmoScout24 - La plateforme de l'immobilier en Suisse.")</f>
        <v>Louer appartement Lignerolle: Trouvez le bien immobilier qui correspond idéalement à vos désirs sur ImmoScout24 - La plateforme de l'immobilier en Suisse.</v>
      </c>
    </row>
    <row r="3619" hidden="1">
      <c r="A3619" s="5" t="s">
        <v>10341</v>
      </c>
      <c r="B3619" s="2" t="s">
        <v>10342</v>
      </c>
      <c r="C3619" s="2" t="s">
        <v>10342</v>
      </c>
      <c r="D3619" s="4" t="str">
        <f>vlookup(A3619, Sheet2!D:E, 2, 0)</f>
        <v>control</v>
      </c>
      <c r="E3619" s="4" t="str">
        <f>IFERROR(__xludf.DUMMYFUNCTION("if(H3619=""pays"",vlookup(REGEXEXTRACT(C3619, ""🏘️ \w+ \w+ (.*) ✅""),'Country prepositions'!A:B, 2, 0) &amp; "" "" &amp; REGEXEXTRACT(C3619, ""🏘️ \w+ \w+ (.*) ✅"") ,  if(H3619=""quartier"",vlookup(REGEXEXTRACT(C3619, ""🏘️ \w+ \w+ (.*) ✅""),'Quartier prepositio"&amp;"ns'!A:E, 5, 0) ,  if(H3619=""region"",vlookup(REGEXEXTRACT(C3619, ""🏘️ \w+ \w+ (.*) ✅""),'Region prepositions'!B:F, 5, 0),  REGEXEXTRACT(C3619, ""🏘️ \w+ \w+ (.*) ✅""))))"),"#N/A")</f>
        <v>#N/A</v>
      </c>
      <c r="I3619" s="4" t="str">
        <f>IFERROR(__xludf.DUMMYFUNCTION("if(D3619=""variant"",  substitute(filter(Templates!E:E, Templates!A:A = F3619, Templates!B:B = G3619, Templates!C:C = H3619), ""{{}}"", E3619), B3619)"),"Vendre maison La Tzoumaz: Trouvez le bien immobilier qui correspond idéalement à vos désirs sur ImmoScout24 - La plateforme de l'immobilier en Suisse.")</f>
        <v>Vendre maison La Tzoumaz: Trouvez le bien immobilier qui correspond idéalement à vos désirs sur ImmoScout24 - La plateforme de l'immobilier en Suisse.</v>
      </c>
    </row>
    <row r="3620" hidden="1">
      <c r="A3620" s="5" t="s">
        <v>10343</v>
      </c>
      <c r="B3620" s="2" t="s">
        <v>10344</v>
      </c>
      <c r="C3620" s="2" t="s">
        <v>10344</v>
      </c>
      <c r="D3620" s="4" t="str">
        <f>vlookup(A3620, Sheet2!D:E, 2, 0)</f>
        <v>control</v>
      </c>
      <c r="E3620" s="4" t="str">
        <f>IFERROR(__xludf.DUMMYFUNCTION("if(H3620=""pays"",vlookup(REGEXEXTRACT(C3620, ""🏘️ \w+ \w+ (.*) ✅""),'Country prepositions'!A:B, 2, 0) &amp; "" "" &amp; REGEXEXTRACT(C3620, ""🏘️ \w+ \w+ (.*) ✅"") ,  if(H3620=""quartier"",vlookup(REGEXEXTRACT(C3620, ""🏘️ \w+ \w+ (.*) ✅""),'Quartier prepositio"&amp;"ns'!A:E, 5, 0) ,  if(H3620=""region"",vlookup(REGEXEXTRACT(C3620, ""🏘️ \w+ \w+ (.*) ✅""),'Region prepositions'!B:F, 5, 0),  REGEXEXTRACT(C3620, ""🏘️ \w+ \w+ (.*) ✅""))))"),"#N/A")</f>
        <v>#N/A</v>
      </c>
      <c r="I3620" s="4" t="str">
        <f>IFERROR(__xludf.DUMMYFUNCTION("if(D3620=""variant"",  substitute(filter(Templates!E:E, Templates!A:A = F3620, Templates!B:B = G3620, Templates!C:C = H3620), ""{{}}"", E3620), B3620)"),"Louer appartement Villeret: Trouvez le bien immobilier qui correspond idéalement à vos désirs sur ImmoScout24 - La plateforme de l'immobilier en Suisse.")</f>
        <v>Louer appartement Villeret: Trouvez le bien immobilier qui correspond idéalement à vos désirs sur ImmoScout24 - La plateforme de l'immobilier en Suisse.</v>
      </c>
    </row>
    <row r="3621" hidden="1">
      <c r="A3621" s="5" t="s">
        <v>10345</v>
      </c>
      <c r="B3621" s="2" t="s">
        <v>10346</v>
      </c>
      <c r="C3621" s="2" t="s">
        <v>10346</v>
      </c>
      <c r="D3621" s="4" t="str">
        <f>vlookup(A3621, Sheet2!D:E, 2, 0)</f>
        <v>control</v>
      </c>
      <c r="E3621" s="4" t="str">
        <f>IFERROR(__xludf.DUMMYFUNCTION("if(H3621=""pays"",vlookup(REGEXEXTRACT(C3621, ""🏘️ \w+ \w+ (.*) ✅""),'Country prepositions'!A:B, 2, 0) &amp; "" "" &amp; REGEXEXTRACT(C3621, ""🏘️ \w+ \w+ (.*) ✅"") ,  if(H3621=""quartier"",vlookup(REGEXEXTRACT(C3621, ""🏘️ \w+ \w+ (.*) ✅""),'Quartier prepositio"&amp;"ns'!A:E, 5, 0) ,  if(H3621=""region"",vlookup(REGEXEXTRACT(C3621, ""🏘️ \w+ \w+ (.*) ✅""),'Region prepositions'!B:F, 5, 0),  REGEXEXTRACT(C3621, ""🏘️ \w+ \w+ (.*) ✅""))))"),"#N/A")</f>
        <v>#N/A</v>
      </c>
      <c r="I3621" s="4" t="str">
        <f>IFERROR(__xludf.DUMMYFUNCTION("if(D3621=""variant"",  substitute(filter(Templates!E:E, Templates!A:A = F3621, Templates!B:B = G3621, Templates!C:C = H3621), ""{{}}"", E3621), B3621)"),"Louer appartement Knonaueramt: Trouvez le bien immobilier qui correspond idéalement à vos désirs sur ImmoScout24 - La plateforme de l'immobilier en Suisse.")</f>
        <v>Louer appartement Knonaueramt: Trouvez le bien immobilier qui correspond idéalement à vos désirs sur ImmoScout24 - La plateforme de l'immobilier en Suisse.</v>
      </c>
    </row>
    <row r="3622" hidden="1">
      <c r="A3622" s="5" t="s">
        <v>10347</v>
      </c>
      <c r="B3622" s="2" t="s">
        <v>10348</v>
      </c>
      <c r="C3622" s="2" t="s">
        <v>10348</v>
      </c>
      <c r="D3622" s="4" t="str">
        <f>vlookup(A3622, Sheet2!D:E, 2, 0)</f>
        <v>control</v>
      </c>
      <c r="E3622" s="4" t="str">
        <f>IFERROR(__xludf.DUMMYFUNCTION("if(H3622=""pays"",vlookup(REGEXEXTRACT(C3622, ""🏘️ \w+ \w+ (.*) ✅""),'Country prepositions'!A:B, 2, 0) &amp; "" "" &amp; REGEXEXTRACT(C3622, ""🏘️ \w+ \w+ (.*) ✅"") ,  if(H3622=""quartier"",vlookup(REGEXEXTRACT(C3622, ""🏘️ \w+ \w+ (.*) ✅""),'Quartier prepositio"&amp;"ns'!A:E, 5, 0) ,  if(H3622=""region"",vlookup(REGEXEXTRACT(C3622, ""🏘️ \w+ \w+ (.*) ✅""),'Region prepositions'!B:F, 5, 0),  REGEXEXTRACT(C3622, ""🏘️ \w+ \w+ (.*) ✅""))))"),"#N/A")</f>
        <v>#N/A</v>
      </c>
      <c r="I3622" s="4" t="str">
        <f>IFERROR(__xludf.DUMMYFUNCTION("if(D3622=""variant"",  substitute(filter(Templates!E:E, Templates!A:A = F3622, Templates!B:B = G3622, Templates!C:C = H3622), ""{{}}"", E3622), B3622)"),"Louer appartement La Tour-de-Trême: Trouvez le bien immobilier qui correspond idéalement à vos désirs sur ImmoScout24 - La plateforme de l'immobilier en Suisse.")</f>
        <v>Louer appartement La Tour-de-Trême: Trouvez le bien immobilier qui correspond idéalement à vos désirs sur ImmoScout24 - La plateforme de l'immobilier en Suisse.</v>
      </c>
    </row>
    <row r="3623" hidden="1">
      <c r="A3623" s="5" t="s">
        <v>10349</v>
      </c>
      <c r="B3623" s="2" t="s">
        <v>10350</v>
      </c>
      <c r="C3623" s="2" t="s">
        <v>10350</v>
      </c>
      <c r="D3623" s="4" t="str">
        <f>vlookup(A3623, Sheet2!D:E, 2, 0)</f>
        <v>control</v>
      </c>
      <c r="E3623" s="4" t="str">
        <f>IFERROR(__xludf.DUMMYFUNCTION("if(H3623=""pays"",vlookup(REGEXEXTRACT(C3623, ""🏘️ \w+ \w+ (.*) ✅""),'Country prepositions'!A:B, 2, 0) &amp; "" "" &amp; REGEXEXTRACT(C3623, ""🏘️ \w+ \w+ (.*) ✅"") ,  if(H3623=""quartier"",vlookup(REGEXEXTRACT(C3623, ""🏘️ \w+ \w+ (.*) ✅""),'Quartier prepositio"&amp;"ns'!A:E, 5, 0) ,  if(H3623=""region"",vlookup(REGEXEXTRACT(C3623, ""🏘️ \w+ \w+ (.*) ✅""),'Region prepositions'!B:F, 5, 0),  REGEXEXTRACT(C3623, ""🏘️ \w+ \w+ (.*) ✅""))))"),"#N/A")</f>
        <v>#N/A</v>
      </c>
      <c r="I3623" s="4" t="str">
        <f>IFERROR(__xludf.DUMMYFUNCTION("if(D3623=""variant"",  substitute(filter(Templates!E:E, Templates!A:A = F3623, Templates!B:B = G3623, Templates!C:C = H3623), ""{{}}"", E3623), B3623)"),"Louer appartement Chemin: Trouvez le bien immobilier qui correspond idéalement à vos désirs sur ImmoScout24 - La plateforme de l'immobilier en Suisse.")</f>
        <v>Louer appartement Chemin: Trouvez le bien immobilier qui correspond idéalement à vos désirs sur ImmoScout24 - La plateforme de l'immobilier en Suisse.</v>
      </c>
    </row>
    <row r="3624" hidden="1">
      <c r="A3624" s="5" t="s">
        <v>10351</v>
      </c>
      <c r="B3624" s="2" t="s">
        <v>10352</v>
      </c>
      <c r="C3624" s="2" t="s">
        <v>10352</v>
      </c>
      <c r="D3624" s="4" t="str">
        <f>vlookup(A3624, Sheet2!D:E, 2, 0)</f>
        <v>control</v>
      </c>
      <c r="E3624" s="4" t="str">
        <f>IFERROR(__xludf.DUMMYFUNCTION("if(H3624=""pays"",vlookup(REGEXEXTRACT(C3624, ""🏘️ \w+ \w+ (.*) ✅""),'Country prepositions'!A:B, 2, 0) &amp; "" "" &amp; REGEXEXTRACT(C3624, ""🏘️ \w+ \w+ (.*) ✅"") ,  if(H3624=""quartier"",vlookup(REGEXEXTRACT(C3624, ""🏘️ \w+ \w+ (.*) ✅""),'Quartier prepositio"&amp;"ns'!A:E, 5, 0) ,  if(H3624=""region"",vlookup(REGEXEXTRACT(C3624, ""🏘️ \w+ \w+ (.*) ✅""),'Region prepositions'!B:F, 5, 0),  REGEXEXTRACT(C3624, ""🏘️ \w+ \w+ (.*) ✅""))))"),"#N/A")</f>
        <v>#N/A</v>
      </c>
      <c r="I3624" s="4" t="str">
        <f>IFERROR(__xludf.DUMMYFUNCTION("if(D3624=""variant"",  substitute(filter(Templates!E:E, Templates!A:A = F3624, Templates!B:B = G3624, Templates!C:C = H3624), ""{{}}"", E3624), B3624)"),"Vendre appartement Les Valettes (Bovernier): Trouvez le bien immobilier qui correspond idéalement à vos désirs sur ImmoScout24 - La plateforme de l'immobilier en Suisse.")</f>
        <v>Vendre appartement Les Valettes (Bovernier): Trouvez le bien immobilier qui correspond idéalement à vos désirs sur ImmoScout24 - La plateforme de l'immobilier en Suisse.</v>
      </c>
    </row>
    <row r="3625" hidden="1">
      <c r="A3625" s="5" t="s">
        <v>10353</v>
      </c>
      <c r="B3625" s="2" t="s">
        <v>10354</v>
      </c>
      <c r="C3625" s="2" t="s">
        <v>10354</v>
      </c>
      <c r="D3625" s="4" t="str">
        <f>vlookup(A3625, Sheet2!D:E, 2, 0)</f>
        <v>control</v>
      </c>
      <c r="E3625" s="4" t="str">
        <f>IFERROR(__xludf.DUMMYFUNCTION("if(H3625=""pays"",vlookup(REGEXEXTRACT(C3625, ""🏘️ \w+ \w+ (.*) ✅""),'Country prepositions'!A:B, 2, 0) &amp; "" "" &amp; REGEXEXTRACT(C3625, ""🏘️ \w+ \w+ (.*) ✅"") ,  if(H3625=""quartier"",vlookup(REGEXEXTRACT(C3625, ""🏘️ \w+ \w+ (.*) ✅""),'Quartier prepositio"&amp;"ns'!A:E, 5, 0) ,  if(H3625=""region"",vlookup(REGEXEXTRACT(C3625, ""🏘️ \w+ \w+ (.*) ✅""),'Region prepositions'!B:F, 5, 0),  REGEXEXTRACT(C3625, ""🏘️ \w+ \w+ (.*) ✅""))))"),"#N/A")</f>
        <v>#N/A</v>
      </c>
      <c r="I3625" s="4" t="str">
        <f>IFERROR(__xludf.DUMMYFUNCTION("if(D3625=""variant"",  substitute(filter(Templates!E:E, Templates!A:A = F3625, Templates!B:B = G3625, Templates!C:C = H3625), ""{{}}"", E3625), B3625)"),"Vendre maison Zürcher Oberland: Trouvez le bien immobilier qui correspond idéalement à vos désirs sur ImmoScout24 - La plateforme de l'immobilier en Suisse.")</f>
        <v>Vendre maison Zürcher Oberland: Trouvez le bien immobilier qui correspond idéalement à vos désirs sur ImmoScout24 - La plateforme de l'immobilier en Suisse.</v>
      </c>
    </row>
    <row r="3626" hidden="1">
      <c r="A3626" s="5" t="s">
        <v>10355</v>
      </c>
      <c r="B3626" s="2" t="s">
        <v>10356</v>
      </c>
      <c r="C3626" s="2" t="s">
        <v>10356</v>
      </c>
      <c r="D3626" s="4" t="str">
        <f>vlookup(A3626, Sheet2!D:E, 2, 0)</f>
        <v>control</v>
      </c>
      <c r="E3626" s="4" t="str">
        <f>IFERROR(__xludf.DUMMYFUNCTION("if(H3626=""pays"",vlookup(REGEXEXTRACT(C3626, ""🏘️ \w+ \w+ (.*) ✅""),'Country prepositions'!A:B, 2, 0) &amp; "" "" &amp; REGEXEXTRACT(C3626, ""🏘️ \w+ \w+ (.*) ✅"") ,  if(H3626=""quartier"",vlookup(REGEXEXTRACT(C3626, ""🏘️ \w+ \w+ (.*) ✅""),'Quartier prepositio"&amp;"ns'!A:E, 5, 0) ,  if(H3626=""region"",vlookup(REGEXEXTRACT(C3626, ""🏘️ \w+ \w+ (.*) ✅""),'Region prepositions'!B:F, 5, 0),  REGEXEXTRACT(C3626, ""🏘️ \w+ \w+ (.*) ✅""))))"),"#N/A")</f>
        <v>#N/A</v>
      </c>
      <c r="I3626" s="4" t="str">
        <f>IFERROR(__xludf.DUMMYFUNCTION("if(D3626=""variant"",  substitute(filter(Templates!E:E, Templates!A:A = F3626, Templates!B:B = G3626, Templates!C:C = H3626), ""{{}}"", E3626), B3626)"),"Vendre maison Sonvilier: Trouvez le bien immobilier qui correspond idéalement à vos désirs sur ImmoScout24 - La plateforme de l'immobilier en Suisse.")</f>
        <v>Vendre maison Sonvilier: Trouvez le bien immobilier qui correspond idéalement à vos désirs sur ImmoScout24 - La plateforme de l'immobilier en Suisse.</v>
      </c>
    </row>
    <row r="3627" hidden="1">
      <c r="A3627" s="5" t="s">
        <v>10357</v>
      </c>
      <c r="B3627" s="2" t="s">
        <v>10358</v>
      </c>
      <c r="C3627" s="2" t="s">
        <v>10358</v>
      </c>
      <c r="D3627" s="4" t="str">
        <f>vlookup(A3627, Sheet2!D:E, 2, 0)</f>
        <v>control</v>
      </c>
      <c r="E3627" s="4" t="str">
        <f>IFERROR(__xludf.DUMMYFUNCTION("if(H3627=""pays"",vlookup(REGEXEXTRACT(C3627, ""🏘️ \w+ \w+ (.*) ✅""),'Country prepositions'!A:B, 2, 0) &amp; "" "" &amp; REGEXEXTRACT(C3627, ""🏘️ \w+ \w+ (.*) ✅"") ,  if(H3627=""quartier"",vlookup(REGEXEXTRACT(C3627, ""🏘️ \w+ \w+ (.*) ✅""),'Quartier prepositio"&amp;"ns'!A:E, 5, 0) ,  if(H3627=""region"",vlookup(REGEXEXTRACT(C3627, ""🏘️ \w+ \w+ (.*) ✅""),'Region prepositions'!B:F, 5, 0),  REGEXEXTRACT(C3627, ""🏘️ \w+ \w+ (.*) ✅""))))"),"#N/A")</f>
        <v>#N/A</v>
      </c>
      <c r="I3627" s="4" t="str">
        <f>IFERROR(__xludf.DUMMYFUNCTION("if(D3627=""variant"",  substitute(filter(Templates!E:E, Templates!A:A = F3627, Templates!B:B = G3627, Templates!C:C = H3627), ""{{}}"", E3627), B3627)"),"Louer maison Vallamand: Trouvez le bien immobilier qui correspond idéalement à vos désirs sur ImmoScout24 - La plateforme de l'immobilier en Suisse.")</f>
        <v>Louer maison Vallamand: Trouvez le bien immobilier qui correspond idéalement à vos désirs sur ImmoScout24 - La plateforme de l'immobilier en Suisse.</v>
      </c>
    </row>
    <row r="3628" hidden="1">
      <c r="A3628" s="5" t="s">
        <v>10359</v>
      </c>
      <c r="B3628" s="2" t="s">
        <v>10360</v>
      </c>
      <c r="C3628" s="2" t="s">
        <v>10360</v>
      </c>
      <c r="D3628" s="4" t="str">
        <f>vlookup(A3628, Sheet2!D:E, 2, 0)</f>
        <v>control</v>
      </c>
      <c r="E3628" s="4" t="str">
        <f>IFERROR(__xludf.DUMMYFUNCTION("if(H3628=""pays"",vlookup(REGEXEXTRACT(C3628, ""🏘️ \w+ \w+ (.*) ✅""),'Country prepositions'!A:B, 2, 0) &amp; "" "" &amp; REGEXEXTRACT(C3628, ""🏘️ \w+ \w+ (.*) ✅"") ,  if(H3628=""quartier"",vlookup(REGEXEXTRACT(C3628, ""🏘️ \w+ \w+ (.*) ✅""),'Quartier prepositio"&amp;"ns'!A:E, 5, 0) ,  if(H3628=""region"",vlookup(REGEXEXTRACT(C3628, ""🏘️ \w+ \w+ (.*) ✅""),'Region prepositions'!B:F, 5, 0),  REGEXEXTRACT(C3628, ""🏘️ \w+ \w+ (.*) ✅""))))"),"#N/A")</f>
        <v>#N/A</v>
      </c>
      <c r="I3628" s="4" t="str">
        <f>IFERROR(__xludf.DUMMYFUNCTION("if(D3628=""variant"",  substitute(filter(Templates!E:E, Templates!A:A = F3628, Templates!B:B = G3628, Templates!C:C = H3628), ""{{}}"", E3628), B3628)"),"Louer maison Fribourg: Trouvez le bien immobilier qui correspond idéalement à vos désirs sur ImmoScout24 - La plateforme de l'immobilier en Suisse.")</f>
        <v>Louer maison Fribourg: Trouvez le bien immobilier qui correspond idéalement à vos désirs sur ImmoScout24 - La plateforme de l'immobilier en Suisse.</v>
      </c>
    </row>
    <row r="3629" hidden="1">
      <c r="A3629" s="5" t="s">
        <v>10361</v>
      </c>
      <c r="B3629" s="2" t="s">
        <v>10362</v>
      </c>
      <c r="C3629" s="2" t="s">
        <v>10362</v>
      </c>
      <c r="D3629" s="4" t="str">
        <f>vlookup(A3629, Sheet2!D:E, 2, 0)</f>
        <v>control</v>
      </c>
      <c r="E3629" s="4" t="str">
        <f>IFERROR(__xludf.DUMMYFUNCTION("if(H3629=""pays"",vlookup(REGEXEXTRACT(C3629, ""🏘️ \w+ \w+ (.*) ✅""),'Country prepositions'!A:B, 2, 0) &amp; "" "" &amp; REGEXEXTRACT(C3629, ""🏘️ \w+ \w+ (.*) ✅"") ,  if(H3629=""quartier"",vlookup(REGEXEXTRACT(C3629, ""🏘️ \w+ \w+ (.*) ✅""),'Quartier prepositio"&amp;"ns'!A:E, 5, 0) ,  if(H3629=""region"",vlookup(REGEXEXTRACT(C3629, ""🏘️ \w+ \w+ (.*) ✅""),'Region prepositions'!B:F, 5, 0),  REGEXEXTRACT(C3629, ""🏘️ \w+ \w+ (.*) ✅""))))"),"#N/A")</f>
        <v>#N/A</v>
      </c>
      <c r="I3629" s="4" t="str">
        <f>IFERROR(__xludf.DUMMYFUNCTION("if(D3629=""variant"",  substitute(filter(Templates!E:E, Templates!A:A = F3629, Templates!B:B = G3629, Templates!C:C = H3629), ""{{}}"", E3629), B3629)"),"Louer maison Botyre (Ayent): Trouvez le bien immobilier qui correspond idéalement à vos désirs sur ImmoScout24 - La plateforme de l'immobilier en Suisse.")</f>
        <v>Louer maison Botyre (Ayent): Trouvez le bien immobilier qui correspond idéalement à vos désirs sur ImmoScout24 - La plateforme de l'immobilier en Suisse.</v>
      </c>
    </row>
    <row r="3630" hidden="1">
      <c r="A3630" s="5" t="s">
        <v>10363</v>
      </c>
      <c r="B3630" s="2" t="s">
        <v>10364</v>
      </c>
      <c r="C3630" s="2" t="s">
        <v>10364</v>
      </c>
      <c r="D3630" s="4" t="str">
        <f>vlookup(A3630, Sheet2!D:E, 2, 0)</f>
        <v>control</v>
      </c>
      <c r="E3630" s="4" t="str">
        <f>IFERROR(__xludf.DUMMYFUNCTION("if(H3630=""pays"",vlookup(REGEXEXTRACT(C3630, ""🏘️ \w+ \w+ (.*) ✅""),'Country prepositions'!A:B, 2, 0) &amp; "" "" &amp; REGEXEXTRACT(C3630, ""🏘️ \w+ \w+ (.*) ✅"") ,  if(H3630=""quartier"",vlookup(REGEXEXTRACT(C3630, ""🏘️ \w+ \w+ (.*) ✅""),'Quartier prepositio"&amp;"ns'!A:E, 5, 0) ,  if(H3630=""region"",vlookup(REGEXEXTRACT(C3630, ""🏘️ \w+ \w+ (.*) ✅""),'Region prepositions'!B:F, 5, 0),  REGEXEXTRACT(C3630, ""🏘️ \w+ \w+ (.*) ✅""))))"),"#N/A")</f>
        <v>#N/A</v>
      </c>
      <c r="I3630" s="4" t="str">
        <f>IFERROR(__xludf.DUMMYFUNCTION("if(D3630=""variant"",  substitute(filter(Templates!E:E, Templates!A:A = F3630, Templates!B:B = G3630, Templates!C:C = H3630), ""{{}}"", E3630), B3630)"),"Louer maison Canton du Valais: Trouvez le bien immobilier qui correspond idéalement à vos désirs sur ImmoScout24 - La plateforme de l'immobilier en Suisse.")</f>
        <v>Louer maison Canton du Valais: Trouvez le bien immobilier qui correspond idéalement à vos désirs sur ImmoScout24 - La plateforme de l'immobilier en Suisse.</v>
      </c>
    </row>
    <row r="3631" hidden="1">
      <c r="A3631" s="5" t="s">
        <v>10365</v>
      </c>
      <c r="B3631" s="2" t="s">
        <v>10366</v>
      </c>
      <c r="C3631" s="2" t="s">
        <v>10366</v>
      </c>
      <c r="D3631" s="4" t="str">
        <f>vlookup(A3631, Sheet2!D:E, 2, 0)</f>
        <v>control</v>
      </c>
      <c r="E3631" s="4" t="str">
        <f>IFERROR(__xludf.DUMMYFUNCTION("if(H3631=""pays"",vlookup(REGEXEXTRACT(C3631, ""🏘️ \w+ \w+ (.*) ✅""),'Country prepositions'!A:B, 2, 0) &amp; "" "" &amp; REGEXEXTRACT(C3631, ""🏘️ \w+ \w+ (.*) ✅"") ,  if(H3631=""quartier"",vlookup(REGEXEXTRACT(C3631, ""🏘️ \w+ \w+ (.*) ✅""),'Quartier prepositio"&amp;"ns'!A:E, 5, 0) ,  if(H3631=""region"",vlookup(REGEXEXTRACT(C3631, ""🏘️ \w+ \w+ (.*) ✅""),'Region prepositions'!B:F, 5, 0),  REGEXEXTRACT(C3631, ""🏘️ \w+ \w+ (.*) ✅""))))"),"#N/A")</f>
        <v>#N/A</v>
      </c>
      <c r="I3631" s="4" t="str">
        <f>IFERROR(__xludf.DUMMYFUNCTION("if(D3631=""variant"",  substitute(filter(Templates!E:E, Templates!A:A = F3631, Templates!B:B = G3631, Templates!C:C = H3631), ""{{}}"", E3631), B3631)"),"Louer appartement Formangueires: Trouvez le bien immobilier qui correspond idéalement à vos désirs sur ImmoScout24 - La plateforme de l'immobilier en Suisse.")</f>
        <v>Louer appartement Formangueires: Trouvez le bien immobilier qui correspond idéalement à vos désirs sur ImmoScout24 - La plateforme de l'immobilier en Suisse.</v>
      </c>
    </row>
    <row r="3632" hidden="1">
      <c r="A3632" s="5" t="s">
        <v>10367</v>
      </c>
      <c r="B3632" s="2" t="s">
        <v>10368</v>
      </c>
      <c r="C3632" s="2" t="s">
        <v>10368</v>
      </c>
      <c r="D3632" s="4" t="str">
        <f>vlookup(A3632, Sheet2!D:E, 2, 0)</f>
        <v>control</v>
      </c>
      <c r="E3632" s="4" t="str">
        <f>IFERROR(__xludf.DUMMYFUNCTION("if(H3632=""pays"",vlookup(REGEXEXTRACT(C3632, ""🏘️ \w+ \w+ (.*) ✅""),'Country prepositions'!A:B, 2, 0) &amp; "" "" &amp; REGEXEXTRACT(C3632, ""🏘️ \w+ \w+ (.*) ✅"") ,  if(H3632=""quartier"",vlookup(REGEXEXTRACT(C3632, ""🏘️ \w+ \w+ (.*) ✅""),'Quartier prepositio"&amp;"ns'!A:E, 5, 0) ,  if(H3632=""region"",vlookup(REGEXEXTRACT(C3632, ""🏘️ \w+ \w+ (.*) ✅""),'Region prepositions'!B:F, 5, 0),  REGEXEXTRACT(C3632, ""🏘️ \w+ \w+ (.*) ✅""))))"),"#N/A")</f>
        <v>#N/A</v>
      </c>
      <c r="I3632" s="4" t="str">
        <f>IFERROR(__xludf.DUMMYFUNCTION("if(D3632=""variant"",  substitute(filter(Templates!E:E, Templates!A:A = F3632, Templates!B:B = G3632, Templates!C:C = H3632), ""{{}}"", E3632), B3632)"),"Vendre maison Soubey: Trouvez le bien immobilier qui correspond idéalement à vos désirs sur ImmoScout24 - La plateforme de l'immobilier en Suisse.")</f>
        <v>Vendre maison Soubey: Trouvez le bien immobilier qui correspond idéalement à vos désirs sur ImmoScout24 - La plateforme de l'immobilier en Suisse.</v>
      </c>
    </row>
    <row r="3633" hidden="1">
      <c r="A3633" s="5" t="s">
        <v>10369</v>
      </c>
      <c r="B3633" s="2" t="s">
        <v>10370</v>
      </c>
      <c r="C3633" s="2" t="s">
        <v>10370</v>
      </c>
      <c r="D3633" s="4" t="str">
        <f>vlookup(A3633, Sheet2!D:E, 2, 0)</f>
        <v>control</v>
      </c>
      <c r="E3633" s="4" t="str">
        <f>IFERROR(__xludf.DUMMYFUNCTION("if(H3633=""pays"",vlookup(REGEXEXTRACT(C3633, ""🏘️ \w+ \w+ (.*) ✅""),'Country prepositions'!A:B, 2, 0) &amp; "" "" &amp; REGEXEXTRACT(C3633, ""🏘️ \w+ \w+ (.*) ✅"") ,  if(H3633=""quartier"",vlookup(REGEXEXTRACT(C3633, ""🏘️ \w+ \w+ (.*) ✅""),'Quartier prepositio"&amp;"ns'!A:E, 5, 0) ,  if(H3633=""region"",vlookup(REGEXEXTRACT(C3633, ""🏘️ \w+ \w+ (.*) ✅""),'Region prepositions'!B:F, 5, 0),  REGEXEXTRACT(C3633, ""🏘️ \w+ \w+ (.*) ✅""))))"),"#N/A")</f>
        <v>#N/A</v>
      </c>
      <c r="I3633" s="4" t="str">
        <f>IFERROR(__xludf.DUMMYFUNCTION("if(D3633=""variant"",  substitute(filter(Templates!E:E, Templates!A:A = F3633, Templates!B:B = G3633, Templates!C:C = H3633), ""{{}}"", E3633), B3633)"),"Louer appartement Marin-Epagnier: Trouvez le bien immobilier qui correspond idéalement à vos désirs sur ImmoScout24 - La plateforme de l'immobilier en Suisse.")</f>
        <v>Louer appartement Marin-Epagnier: Trouvez le bien immobilier qui correspond idéalement à vos désirs sur ImmoScout24 - La plateforme de l'immobilier en Suisse.</v>
      </c>
    </row>
    <row r="3634" hidden="1">
      <c r="A3634" s="5" t="s">
        <v>10371</v>
      </c>
      <c r="B3634" s="2" t="s">
        <v>10372</v>
      </c>
      <c r="C3634" s="2" t="s">
        <v>10372</v>
      </c>
      <c r="D3634" s="4" t="str">
        <f>vlookup(A3634, Sheet2!D:E, 2, 0)</f>
        <v>control</v>
      </c>
      <c r="E3634" s="4" t="str">
        <f>IFERROR(__xludf.DUMMYFUNCTION("if(H3634=""pays"",vlookup(REGEXEXTRACT(C3634, ""🏘️ \w+ \w+ (.*) ✅""),'Country prepositions'!A:B, 2, 0) &amp; "" "" &amp; REGEXEXTRACT(C3634, ""🏘️ \w+ \w+ (.*) ✅"") ,  if(H3634=""quartier"",vlookup(REGEXEXTRACT(C3634, ""🏘️ \w+ \w+ (.*) ✅""),'Quartier prepositio"&amp;"ns'!A:E, 5, 0) ,  if(H3634=""region"",vlookup(REGEXEXTRACT(C3634, ""🏘️ \w+ \w+ (.*) ✅""),'Region prepositions'!B:F, 5, 0),  REGEXEXTRACT(C3634, ""🏘️ \w+ \w+ (.*) ✅""))))"),"#N/A")</f>
        <v>#N/A</v>
      </c>
      <c r="I3634" s="4" t="str">
        <f>IFERROR(__xludf.DUMMYFUNCTION("if(D3634=""variant"",  substitute(filter(Templates!E:E, Templates!A:A = F3634, Templates!B:B = G3634, Templates!C:C = H3634), ""{{}}"", E3634), B3634)"),"Louer maison Therwil: Trouvez le bien immobilier qui correspond idéalement à vos désirs sur ImmoScout24 - La plateforme de l'immobilier en Suisse.")</f>
        <v>Louer maison Therwil: Trouvez le bien immobilier qui correspond idéalement à vos désirs sur ImmoScout24 - La plateforme de l'immobilier en Suisse.</v>
      </c>
    </row>
    <row r="3635" hidden="1">
      <c r="A3635" s="5" t="s">
        <v>10373</v>
      </c>
      <c r="B3635" s="2" t="s">
        <v>10374</v>
      </c>
      <c r="C3635" s="2" t="s">
        <v>10374</v>
      </c>
      <c r="D3635" s="4" t="str">
        <f>vlookup(A3635, Sheet2!D:E, 2, 0)</f>
        <v>control</v>
      </c>
      <c r="E3635" s="4" t="str">
        <f>IFERROR(__xludf.DUMMYFUNCTION("if(H3635=""pays"",vlookup(REGEXEXTRACT(C3635, ""🏘️ \w+ \w+ (.*) ✅""),'Country prepositions'!A:B, 2, 0) &amp; "" "" &amp; REGEXEXTRACT(C3635, ""🏘️ \w+ \w+ (.*) ✅"") ,  if(H3635=""quartier"",vlookup(REGEXEXTRACT(C3635, ""🏘️ \w+ \w+ (.*) ✅""),'Quartier prepositio"&amp;"ns'!A:E, 5, 0) ,  if(H3635=""region"",vlookup(REGEXEXTRACT(C3635, ""🏘️ \w+ \w+ (.*) ✅""),'Region prepositions'!B:F, 5, 0),  REGEXEXTRACT(C3635, ""🏘️ \w+ \w+ (.*) ✅""))))"),"#N/A")</f>
        <v>#N/A</v>
      </c>
      <c r="I3635" s="4" t="str">
        <f>IFERROR(__xludf.DUMMYFUNCTION("if(D3635=""variant"",  substitute(filter(Templates!E:E, Templates!A:A = F3635, Templates!B:B = G3635, Templates!C:C = H3635), ""{{}}"", E3635), B3635)"),"Louer maison Bulle: Trouvez le bien immobilier qui correspond idéalement à vos désirs sur ImmoScout24 - La plateforme de l'immobilier en Suisse.")</f>
        <v>Louer maison Bulle: Trouvez le bien immobilier qui correspond idéalement à vos désirs sur ImmoScout24 - La plateforme de l'immobilier en Suisse.</v>
      </c>
    </row>
    <row r="3636" hidden="1">
      <c r="A3636" s="5" t="s">
        <v>10375</v>
      </c>
      <c r="B3636" s="2" t="s">
        <v>10376</v>
      </c>
      <c r="C3636" s="2" t="s">
        <v>10376</v>
      </c>
      <c r="D3636" s="4" t="str">
        <f>vlookup(A3636, Sheet2!D:E, 2, 0)</f>
        <v>control</v>
      </c>
      <c r="E3636" s="4" t="str">
        <f>IFERROR(__xludf.DUMMYFUNCTION("if(H3636=""pays"",vlookup(REGEXEXTRACT(C3636, ""🏘️ \w+ \w+ (.*) ✅""),'Country prepositions'!A:B, 2, 0) &amp; "" "" &amp; REGEXEXTRACT(C3636, ""🏘️ \w+ \w+ (.*) ✅"") ,  if(H3636=""quartier"",vlookup(REGEXEXTRACT(C3636, ""🏘️ \w+ \w+ (.*) ✅""),'Quartier prepositio"&amp;"ns'!A:E, 5, 0) ,  if(H3636=""region"",vlookup(REGEXEXTRACT(C3636, ""🏘️ \w+ \w+ (.*) ✅""),'Region prepositions'!B:F, 5, 0),  REGEXEXTRACT(C3636, ""🏘️ \w+ \w+ (.*) ✅""))))"),"#N/A")</f>
        <v>#N/A</v>
      </c>
      <c r="I3636" s="4" t="str">
        <f>IFERROR(__xludf.DUMMYFUNCTION("if(D3636=""variant"",  substitute(filter(Templates!E:E, Templates!A:A = F3636, Templates!B:B = G3636, Templates!C:C = H3636), ""{{}}"", E3636), B3636)"),"Vendre maison Penthalaz: Trouvez le bien immobilier qui correspond idéalement à vos désirs sur ImmoScout24 - La plateforme de l'immobilier en Suisse.")</f>
        <v>Vendre maison Penthalaz: Trouvez le bien immobilier qui correspond idéalement à vos désirs sur ImmoScout24 - La plateforme de l'immobilier en Suisse.</v>
      </c>
    </row>
    <row r="3637" hidden="1">
      <c r="A3637" s="5" t="s">
        <v>10377</v>
      </c>
      <c r="B3637" s="2" t="s">
        <v>10378</v>
      </c>
      <c r="C3637" s="2" t="s">
        <v>10378</v>
      </c>
      <c r="D3637" s="4" t="str">
        <f>vlookup(A3637, Sheet2!D:E, 2, 0)</f>
        <v>control</v>
      </c>
      <c r="E3637" s="4" t="str">
        <f>IFERROR(__xludf.DUMMYFUNCTION("if(H3637=""pays"",vlookup(REGEXEXTRACT(C3637, ""🏘️ \w+ \w+ (.*) ✅""),'Country prepositions'!A:B, 2, 0) &amp; "" "" &amp; REGEXEXTRACT(C3637, ""🏘️ \w+ \w+ (.*) ✅"") ,  if(H3637=""quartier"",vlookup(REGEXEXTRACT(C3637, ""🏘️ \w+ \w+ (.*) ✅""),'Quartier prepositio"&amp;"ns'!A:E, 5, 0) ,  if(H3637=""region"",vlookup(REGEXEXTRACT(C3637, ""🏘️ \w+ \w+ (.*) ✅""),'Region prepositions'!B:F, 5, 0),  REGEXEXTRACT(C3637, ""🏘️ \w+ \w+ (.*) ✅""))))"),"#N/A")</f>
        <v>#N/A</v>
      </c>
      <c r="I3637" s="4" t="str">
        <f>IFERROR(__xludf.DUMMYFUNCTION("if(D3637=""variant"",  substitute(filter(Templates!E:E, Templates!A:A = F3637, Templates!B:B = G3637, Templates!C:C = H3637), ""{{}}"", E3637), B3637)"),"Louer maison Essertines-sur-Yverdon: Trouvez le bien immobilier qui correspond idéalement à vos désirs sur ImmoScout24 - La plateforme de l'immobilier en Suisse.")</f>
        <v>Louer maison Essertines-sur-Yverdon: Trouvez le bien immobilier qui correspond idéalement à vos désirs sur ImmoScout24 - La plateforme de l'immobilier en Suisse.</v>
      </c>
    </row>
    <row r="3638" hidden="1">
      <c r="A3638" s="5" t="s">
        <v>10379</v>
      </c>
      <c r="B3638" s="2" t="s">
        <v>10380</v>
      </c>
      <c r="C3638" s="2" t="s">
        <v>10380</v>
      </c>
      <c r="D3638" s="4" t="str">
        <f>vlookup(A3638, Sheet2!D:E, 2, 0)</f>
        <v>control</v>
      </c>
      <c r="E3638" s="4" t="str">
        <f>IFERROR(__xludf.DUMMYFUNCTION("if(H3638=""pays"",vlookup(REGEXEXTRACT(C3638, ""🏘️ \w+ \w+ (.*) ✅""),'Country prepositions'!A:B, 2, 0) &amp; "" "" &amp; REGEXEXTRACT(C3638, ""🏘️ \w+ \w+ (.*) ✅"") ,  if(H3638=""quartier"",vlookup(REGEXEXTRACT(C3638, ""🏘️ \w+ \w+ (.*) ✅""),'Quartier prepositio"&amp;"ns'!A:E, 5, 0) ,  if(H3638=""region"",vlookup(REGEXEXTRACT(C3638, ""🏘️ \w+ \w+ (.*) ✅""),'Region prepositions'!B:F, 5, 0),  REGEXEXTRACT(C3638, ""🏘️ \w+ \w+ (.*) ✅""))))"),"#N/A")</f>
        <v>#N/A</v>
      </c>
      <c r="I3638" s="4" t="str">
        <f>IFERROR(__xludf.DUMMYFUNCTION("if(D3638=""variant"",  substitute(filter(Templates!E:E, Templates!A:A = F3638, Templates!B:B = G3638, Templates!C:C = H3638), ""{{}}"", E3638), B3638)"),"Louer appartement Combremont-le-Petit: Trouvez le bien immobilier qui correspond idéalement à vos désirs sur ImmoScout24 - La plateforme de l'immobilier en Suisse.")</f>
        <v>Louer appartement Combremont-le-Petit: Trouvez le bien immobilier qui correspond idéalement à vos désirs sur ImmoScout24 - La plateforme de l'immobilier en Suisse.</v>
      </c>
    </row>
    <row r="3639" hidden="1">
      <c r="A3639" s="5" t="s">
        <v>10381</v>
      </c>
      <c r="B3639" s="2" t="s">
        <v>10382</v>
      </c>
      <c r="C3639" s="2" t="s">
        <v>10382</v>
      </c>
      <c r="D3639" s="4" t="str">
        <f>vlookup(A3639, Sheet2!D:E, 2, 0)</f>
        <v>control</v>
      </c>
      <c r="E3639" s="4" t="str">
        <f>IFERROR(__xludf.DUMMYFUNCTION("if(H3639=""pays"",vlookup(REGEXEXTRACT(C3639, ""🏘️ \w+ \w+ (.*) ✅""),'Country prepositions'!A:B, 2, 0) &amp; "" "" &amp; REGEXEXTRACT(C3639, ""🏘️ \w+ \w+ (.*) ✅"") ,  if(H3639=""quartier"",vlookup(REGEXEXTRACT(C3639, ""🏘️ \w+ \w+ (.*) ✅""),'Quartier prepositio"&amp;"ns'!A:E, 5, 0) ,  if(H3639=""region"",vlookup(REGEXEXTRACT(C3639, ""🏘️ \w+ \w+ (.*) ✅""),'Region prepositions'!B:F, 5, 0),  REGEXEXTRACT(C3639, ""🏘️ \w+ \w+ (.*) ✅""))))"),"#N/A")</f>
        <v>#N/A</v>
      </c>
      <c r="I3639" s="4" t="str">
        <f>IFERROR(__xludf.DUMMYFUNCTION("if(D3639=""variant"",  substitute(filter(Templates!E:E, Templates!A:A = F3639, Templates!B:B = G3639, Templates!C:C = H3639), ""{{}}"", E3639), B3639)"),"Louer appartement Belp: Trouvez le bien immobilier qui correspond idéalement à vos désirs sur ImmoScout24 - La plateforme de l'immobilier en Suisse.")</f>
        <v>Louer appartement Belp: Trouvez le bien immobilier qui correspond idéalement à vos désirs sur ImmoScout24 - La plateforme de l'immobilier en Suisse.</v>
      </c>
    </row>
    <row r="3640" hidden="1">
      <c r="A3640" s="5" t="s">
        <v>10383</v>
      </c>
      <c r="B3640" s="2" t="s">
        <v>10384</v>
      </c>
      <c r="C3640" s="2" t="s">
        <v>10384</v>
      </c>
      <c r="D3640" s="4" t="str">
        <f>vlookup(A3640, Sheet2!D:E, 2, 0)</f>
        <v>control</v>
      </c>
      <c r="E3640" s="4" t="str">
        <f>IFERROR(__xludf.DUMMYFUNCTION("if(H3640=""pays"",vlookup(REGEXEXTRACT(C3640, ""🏘️ \w+ \w+ (.*) ✅""),'Country prepositions'!A:B, 2, 0) &amp; "" "" &amp; REGEXEXTRACT(C3640, ""🏘️ \w+ \w+ (.*) ✅"") ,  if(H3640=""quartier"",vlookup(REGEXEXTRACT(C3640, ""🏘️ \w+ \w+ (.*) ✅""),'Quartier prepositio"&amp;"ns'!A:E, 5, 0) ,  if(H3640=""region"",vlookup(REGEXEXTRACT(C3640, ""🏘️ \w+ \w+ (.*) ✅""),'Region prepositions'!B:F, 5, 0),  REGEXEXTRACT(C3640, ""🏘️ \w+ \w+ (.*) ✅""))))"),"#N/A")</f>
        <v>#N/A</v>
      </c>
      <c r="I3640" s="4" t="str">
        <f>IFERROR(__xludf.DUMMYFUNCTION("if(D3640=""variant"",  substitute(filter(Templates!E:E, Templates!A:A = F3640, Templates!B:B = G3640, Templates!C:C = H3640), ""{{}}"", E3640), B3640)"),"Louer appartement Lugnorre: Trouvez le bien immobilier qui correspond idéalement à vos désirs sur ImmoScout24 - La plateforme de l'immobilier en Suisse.")</f>
        <v>Louer appartement Lugnorre: Trouvez le bien immobilier qui correspond idéalement à vos désirs sur ImmoScout24 - La plateforme de l'immobilier en Suisse.</v>
      </c>
    </row>
    <row r="3641" hidden="1">
      <c r="A3641" s="5" t="s">
        <v>10385</v>
      </c>
      <c r="B3641" s="2" t="s">
        <v>10386</v>
      </c>
      <c r="C3641" s="2" t="s">
        <v>10386</v>
      </c>
      <c r="D3641" s="4" t="str">
        <f>vlookup(A3641, Sheet2!D:E, 2, 0)</f>
        <v>control</v>
      </c>
      <c r="E3641" s="4" t="str">
        <f>IFERROR(__xludf.DUMMYFUNCTION("if(H3641=""pays"",vlookup(REGEXEXTRACT(C3641, ""🏘️ \w+ \w+ (.*) ✅""),'Country prepositions'!A:B, 2, 0) &amp; "" "" &amp; REGEXEXTRACT(C3641, ""🏘️ \w+ \w+ (.*) ✅"") ,  if(H3641=""quartier"",vlookup(REGEXEXTRACT(C3641, ""🏘️ \w+ \w+ (.*) ✅""),'Quartier prepositio"&amp;"ns'!A:E, 5, 0) ,  if(H3641=""region"",vlookup(REGEXEXTRACT(C3641, ""🏘️ \w+ \w+ (.*) ✅""),'Region prepositions'!B:F, 5, 0),  REGEXEXTRACT(C3641, ""🏘️ \w+ \w+ (.*) ✅""))))"),"#N/A")</f>
        <v>#N/A</v>
      </c>
      <c r="I3641" s="4" t="str">
        <f>IFERROR(__xludf.DUMMYFUNCTION("if(D3641=""variant"",  substitute(filter(Templates!E:E, Templates!A:A = F3641, Templates!B:B = G3641, Templates!C:C = H3641), ""{{}}"", E3641), B3641)"),"Louer appartement Hausen AG: Trouvez le bien immobilier qui correspond idéalement à vos désirs sur ImmoScout24 - La plateforme de l'immobilier en Suisse.")</f>
        <v>Louer appartement Hausen AG: Trouvez le bien immobilier qui correspond idéalement à vos désirs sur ImmoScout24 - La plateforme de l'immobilier en Suisse.</v>
      </c>
    </row>
    <row r="3642" hidden="1">
      <c r="A3642" s="5" t="s">
        <v>10387</v>
      </c>
      <c r="B3642" s="2" t="s">
        <v>10388</v>
      </c>
      <c r="C3642" s="2" t="s">
        <v>10388</v>
      </c>
      <c r="D3642" s="4" t="str">
        <f>vlookup(A3642, Sheet2!D:E, 2, 0)</f>
        <v>control</v>
      </c>
      <c r="E3642" s="4" t="str">
        <f>IFERROR(__xludf.DUMMYFUNCTION("if(H3642=""pays"",vlookup(REGEXEXTRACT(C3642, ""🏘️ \w+ \w+ (.*) ✅""),'Country prepositions'!A:B, 2, 0) &amp; "" "" &amp; REGEXEXTRACT(C3642, ""🏘️ \w+ \w+ (.*) ✅"") ,  if(H3642=""quartier"",vlookup(REGEXEXTRACT(C3642, ""🏘️ \w+ \w+ (.*) ✅""),'Quartier prepositio"&amp;"ns'!A:E, 5, 0) ,  if(H3642=""region"",vlookup(REGEXEXTRACT(C3642, ""🏘️ \w+ \w+ (.*) ✅""),'Region prepositions'!B:F, 5, 0),  REGEXEXTRACT(C3642, ""🏘️ \w+ \w+ (.*) ✅""))))"),"#N/A")</f>
        <v>#N/A</v>
      </c>
      <c r="I3642" s="4" t="str">
        <f>IFERROR(__xludf.DUMMYFUNCTION("if(D3642=""variant"",  substitute(filter(Templates!E:E, Templates!A:A = F3642, Templates!B:B = G3642, Templates!C:C = H3642), ""{{}}"", E3642), B3642)"),"Louer appartement Starrkirch-Wil: Trouvez le bien immobilier qui correspond idéalement à vos désirs sur ImmoScout24 - La plateforme de l'immobilier en Suisse.")</f>
        <v>Louer appartement Starrkirch-Wil: Trouvez le bien immobilier qui correspond idéalement à vos désirs sur ImmoScout24 - La plateforme de l'immobilier en Suisse.</v>
      </c>
    </row>
    <row r="3643" hidden="1">
      <c r="A3643" s="5" t="s">
        <v>10389</v>
      </c>
      <c r="B3643" s="2" t="s">
        <v>10390</v>
      </c>
      <c r="C3643" s="2" t="s">
        <v>10390</v>
      </c>
      <c r="D3643" s="4" t="str">
        <f>vlookup(A3643, Sheet2!D:E, 2, 0)</f>
        <v>control</v>
      </c>
      <c r="E3643" s="4" t="str">
        <f>IFERROR(__xludf.DUMMYFUNCTION("if(H3643=""pays"",vlookup(REGEXEXTRACT(C3643, ""🏘️ \w+ \w+ (.*) ✅""),'Country prepositions'!A:B, 2, 0) &amp; "" "" &amp; REGEXEXTRACT(C3643, ""🏘️ \w+ \w+ (.*) ✅"") ,  if(H3643=""quartier"",vlookup(REGEXEXTRACT(C3643, ""🏘️ \w+ \w+ (.*) ✅""),'Quartier prepositio"&amp;"ns'!A:E, 5, 0) ,  if(H3643=""region"",vlookup(REGEXEXTRACT(C3643, ""🏘️ \w+ \w+ (.*) ✅""),'Region prepositions'!B:F, 5, 0),  REGEXEXTRACT(C3643, ""🏘️ \w+ \w+ (.*) ✅""))))"),"#N/A")</f>
        <v>#N/A</v>
      </c>
      <c r="I3643" s="4" t="str">
        <f>IFERROR(__xludf.DUMMYFUNCTION("if(D3643=""variant"",  substitute(filter(Templates!E:E, Templates!A:A = F3643, Templates!B:B = G3643, Templates!C:C = H3643), ""{{}}"", E3643), B3643)"),"Louer appartement Vercorin: Trouvez le bien immobilier qui correspond idéalement à vos désirs sur ImmoScout24 - La plateforme de l'immobilier en Suisse.")</f>
        <v>Louer appartement Vercorin: Trouvez le bien immobilier qui correspond idéalement à vos désirs sur ImmoScout24 - La plateforme de l'immobilier en Suisse.</v>
      </c>
    </row>
    <row r="3644" hidden="1">
      <c r="A3644" s="5" t="s">
        <v>10391</v>
      </c>
      <c r="B3644" s="2" t="s">
        <v>10392</v>
      </c>
      <c r="C3644" s="2" t="s">
        <v>10392</v>
      </c>
      <c r="D3644" s="4" t="str">
        <f>vlookup(A3644, Sheet2!D:E, 2, 0)</f>
        <v>control</v>
      </c>
      <c r="E3644" s="4" t="str">
        <f>IFERROR(__xludf.DUMMYFUNCTION("if(H3644=""pays"",vlookup(REGEXEXTRACT(C3644, ""🏘️ \w+ \w+ (.*) ✅""),'Country prepositions'!A:B, 2, 0) &amp; "" "" &amp; REGEXEXTRACT(C3644, ""🏘️ \w+ \w+ (.*) ✅"") ,  if(H3644=""quartier"",vlookup(REGEXEXTRACT(C3644, ""🏘️ \w+ \w+ (.*) ✅""),'Quartier prepositio"&amp;"ns'!A:E, 5, 0) ,  if(H3644=""region"",vlookup(REGEXEXTRACT(C3644, ""🏘️ \w+ \w+ (.*) ✅""),'Region prepositions'!B:F, 5, 0),  REGEXEXTRACT(C3644, ""🏘️ \w+ \w+ (.*) ✅""))))"),"#N/A")</f>
        <v>#N/A</v>
      </c>
      <c r="I3644" s="4" t="str">
        <f>IFERROR(__xludf.DUMMYFUNCTION("if(D3644=""variant"",  substitute(filter(Templates!E:E, Templates!A:A = F3644, Templates!B:B = G3644, Templates!C:C = H3644), ""{{}}"", E3644), B3644)"),"Louer maison Yverdon - Grandson: Trouvez le bien immobilier qui correspond idéalement à vos désirs sur ImmoScout24 - La plateforme de l'immobilier en Suisse.")</f>
        <v>Louer maison Yverdon - Grandson: Trouvez le bien immobilier qui correspond idéalement à vos désirs sur ImmoScout24 - La plateforme de l'immobilier en Suisse.</v>
      </c>
    </row>
    <row r="3645" hidden="1">
      <c r="A3645" s="5" t="s">
        <v>10393</v>
      </c>
      <c r="B3645" s="2" t="s">
        <v>10394</v>
      </c>
      <c r="C3645" s="2" t="s">
        <v>10394</v>
      </c>
      <c r="D3645" s="4" t="str">
        <f>vlookup(A3645, Sheet2!D:E, 2, 0)</f>
        <v>control</v>
      </c>
      <c r="E3645" s="4" t="str">
        <f>IFERROR(__xludf.DUMMYFUNCTION("if(H3645=""pays"",vlookup(REGEXEXTRACT(C3645, ""🏘️ \w+ \w+ (.*) ✅""),'Country prepositions'!A:B, 2, 0) &amp; "" "" &amp; REGEXEXTRACT(C3645, ""🏘️ \w+ \w+ (.*) ✅"") ,  if(H3645=""quartier"",vlookup(REGEXEXTRACT(C3645, ""🏘️ \w+ \w+ (.*) ✅""),'Quartier prepositio"&amp;"ns'!A:E, 5, 0) ,  if(H3645=""region"",vlookup(REGEXEXTRACT(C3645, ""🏘️ \w+ \w+ (.*) ✅""),'Region prepositions'!B:F, 5, 0),  REGEXEXTRACT(C3645, ""🏘️ \w+ \w+ (.*) ✅""))))"),"#N/A")</f>
        <v>#N/A</v>
      </c>
      <c r="I3645" s="4" t="str">
        <f>IFERROR(__xludf.DUMMYFUNCTION("if(D3645=""variant"",  substitute(filter(Templates!E:E, Templates!A:A = F3645, Templates!B:B = G3645, Templates!C:C = H3645), ""{{}}"", E3645), B3645)"),"Vendre maison La Forclaz VD: Trouvez le bien immobilier qui correspond idéalement à vos désirs sur ImmoScout24 - La plateforme de l'immobilier en Suisse.")</f>
        <v>Vendre maison La Forclaz VD: Trouvez le bien immobilier qui correspond idéalement à vos désirs sur ImmoScout24 - La plateforme de l'immobilier en Suisse.</v>
      </c>
    </row>
    <row r="3646" hidden="1">
      <c r="A3646" s="5" t="s">
        <v>10395</v>
      </c>
      <c r="B3646" s="2" t="s">
        <v>10396</v>
      </c>
      <c r="C3646" s="2" t="s">
        <v>10396</v>
      </c>
      <c r="D3646" s="4" t="str">
        <f>vlookup(A3646, Sheet2!D:E, 2, 0)</f>
        <v>control</v>
      </c>
      <c r="E3646" s="4" t="str">
        <f>IFERROR(__xludf.DUMMYFUNCTION("if(H3646=""pays"",vlookup(REGEXEXTRACT(C3646, ""🏘️ \w+ \w+ (.*) ✅""),'Country prepositions'!A:B, 2, 0) &amp; "" "" &amp; REGEXEXTRACT(C3646, ""🏘️ \w+ \w+ (.*) ✅"") ,  if(H3646=""quartier"",vlookup(REGEXEXTRACT(C3646, ""🏘️ \w+ \w+ (.*) ✅""),'Quartier prepositio"&amp;"ns'!A:E, 5, 0) ,  if(H3646=""region"",vlookup(REGEXEXTRACT(C3646, ""🏘️ \w+ \w+ (.*) ✅""),'Region prepositions'!B:F, 5, 0),  REGEXEXTRACT(C3646, ""🏘️ \w+ \w+ (.*) ✅""))))"),"#N/A")</f>
        <v>#N/A</v>
      </c>
      <c r="I3646" s="4" t="str">
        <f>IFERROR(__xludf.DUMMYFUNCTION("if(D3646=""variant"",  substitute(filter(Templates!E:E, Templates!A:A = F3646, Templates!B:B = G3646, Templates!C:C = H3646), ""{{}}"", E3646), B3646)"),"Vendre maison Château-d'Oex: Trouvez le bien immobilier qui correspond idéalement à vos désirs sur ImmoScout24 - La plateforme de l'immobilier en Suisse.")</f>
        <v>Vendre maison Château-d'Oex: Trouvez le bien immobilier qui correspond idéalement à vos désirs sur ImmoScout24 - La plateforme de l'immobilier en Suisse.</v>
      </c>
    </row>
    <row r="3647" hidden="1">
      <c r="A3647" s="5" t="s">
        <v>10397</v>
      </c>
      <c r="B3647" s="2" t="s">
        <v>10398</v>
      </c>
      <c r="C3647" s="2" t="s">
        <v>10398</v>
      </c>
      <c r="D3647" s="4" t="str">
        <f>vlookup(A3647, Sheet2!D:E, 2, 0)</f>
        <v>control</v>
      </c>
      <c r="E3647" s="4" t="str">
        <f>IFERROR(__xludf.DUMMYFUNCTION("if(H3647=""pays"",vlookup(REGEXEXTRACT(C3647, ""🏘️ \w+ \w+ (.*) ✅""),'Country prepositions'!A:B, 2, 0) &amp; "" "" &amp; REGEXEXTRACT(C3647, ""🏘️ \w+ \w+ (.*) ✅"") ,  if(H3647=""quartier"",vlookup(REGEXEXTRACT(C3647, ""🏘️ \w+ \w+ (.*) ✅""),'Quartier prepositio"&amp;"ns'!A:E, 5, 0) ,  if(H3647=""region"",vlookup(REGEXEXTRACT(C3647, ""🏘️ \w+ \w+ (.*) ✅""),'Region prepositions'!B:F, 5, 0),  REGEXEXTRACT(C3647, ""🏘️ \w+ \w+ (.*) ✅""))))"),"#N/A")</f>
        <v>#N/A</v>
      </c>
      <c r="I3647" s="4" t="str">
        <f>IFERROR(__xludf.DUMMYFUNCTION("if(D3647=""variant"",  substitute(filter(Templates!E:E, Templates!A:A = F3647, Templates!B:B = G3647, Templates!C:C = H3647), ""{{}}"", E3647), B3647)"),"Vendre maison Donatyre: Trouvez le bien immobilier qui correspond idéalement à vos désirs sur ImmoScout24 - La plateforme de l'immobilier en Suisse.")</f>
        <v>Vendre maison Donatyre: Trouvez le bien immobilier qui correspond idéalement à vos désirs sur ImmoScout24 - La plateforme de l'immobilier en Suisse.</v>
      </c>
    </row>
    <row r="3648" hidden="1">
      <c r="A3648" s="5" t="s">
        <v>10399</v>
      </c>
      <c r="B3648" s="2" t="s">
        <v>10400</v>
      </c>
      <c r="C3648" s="2" t="s">
        <v>10400</v>
      </c>
      <c r="D3648" s="4" t="str">
        <f>vlookup(A3648, Sheet2!D:E, 2, 0)</f>
        <v>control</v>
      </c>
      <c r="E3648" s="4" t="str">
        <f>IFERROR(__xludf.DUMMYFUNCTION("if(H3648=""pays"",vlookup(REGEXEXTRACT(C3648, ""🏘️ \w+ \w+ (.*) ✅""),'Country prepositions'!A:B, 2, 0) &amp; "" "" &amp; REGEXEXTRACT(C3648, ""🏘️ \w+ \w+ (.*) ✅"") ,  if(H3648=""quartier"",vlookup(REGEXEXTRACT(C3648, ""🏘️ \w+ \w+ (.*) ✅""),'Quartier prepositio"&amp;"ns'!A:E, 5, 0) ,  if(H3648=""region"",vlookup(REGEXEXTRACT(C3648, ""🏘️ \w+ \w+ (.*) ✅""),'Region prepositions'!B:F, 5, 0),  REGEXEXTRACT(C3648, ""🏘️ \w+ \w+ (.*) ✅""))))"),"#N/A")</f>
        <v>#N/A</v>
      </c>
      <c r="I3648" s="4" t="str">
        <f>IFERROR(__xludf.DUMMYFUNCTION("if(D3648=""variant"",  substitute(filter(Templates!E:E, Templates!A:A = F3648, Templates!B:B = G3648, Templates!C:C = H3648), ""{{}}"", E3648), B3648)"),"Louer appartement Cortaillod: Trouvez le bien immobilier qui correspond idéalement à vos désirs sur ImmoScout24 - La plateforme de l'immobilier en Suisse.")</f>
        <v>Louer appartement Cortaillod: Trouvez le bien immobilier qui correspond idéalement à vos désirs sur ImmoScout24 - La plateforme de l'immobilier en Suisse.</v>
      </c>
    </row>
    <row r="3649" hidden="1">
      <c r="A3649" s="5" t="s">
        <v>10401</v>
      </c>
      <c r="B3649" s="2" t="s">
        <v>10402</v>
      </c>
      <c r="C3649" s="2" t="s">
        <v>10402</v>
      </c>
      <c r="D3649" s="4" t="str">
        <f>vlookup(A3649, Sheet2!D:E, 2, 0)</f>
        <v>control</v>
      </c>
      <c r="E3649" s="4" t="str">
        <f>IFERROR(__xludf.DUMMYFUNCTION("if(H3649=""pays"",vlookup(REGEXEXTRACT(C3649, ""🏘️ \w+ \w+ (.*) ✅""),'Country prepositions'!A:B, 2, 0) &amp; "" "" &amp; REGEXEXTRACT(C3649, ""🏘️ \w+ \w+ (.*) ✅"") ,  if(H3649=""quartier"",vlookup(REGEXEXTRACT(C3649, ""🏘️ \w+ \w+ (.*) ✅""),'Quartier prepositio"&amp;"ns'!A:E, 5, 0) ,  if(H3649=""region"",vlookup(REGEXEXTRACT(C3649, ""🏘️ \w+ \w+ (.*) ✅""),'Region prepositions'!B:F, 5, 0),  REGEXEXTRACT(C3649, ""🏘️ \w+ \w+ (.*) ✅""))))"),"#N/A")</f>
        <v>#N/A</v>
      </c>
      <c r="I3649" s="4" t="str">
        <f>IFERROR(__xludf.DUMMYFUNCTION("if(D3649=""variant"",  substitute(filter(Templates!E:E, Templates!A:A = F3649, Templates!B:B = G3649, Templates!C:C = H3649), ""{{}}"", E3649), B3649)"),"Louer appartement Grône: Trouvez le bien immobilier qui correspond idéalement à vos désirs sur ImmoScout24 - La plateforme de l'immobilier en Suisse.")</f>
        <v>Louer appartement Grône: Trouvez le bien immobilier qui correspond idéalement à vos désirs sur ImmoScout24 - La plateforme de l'immobilier en Suisse.</v>
      </c>
    </row>
    <row r="3650" hidden="1">
      <c r="A3650" s="5" t="s">
        <v>10403</v>
      </c>
      <c r="B3650" s="2" t="s">
        <v>10404</v>
      </c>
      <c r="C3650" s="2" t="s">
        <v>10404</v>
      </c>
      <c r="D3650" s="4" t="str">
        <f>vlookup(A3650, Sheet2!D:E, 2, 0)</f>
        <v>control</v>
      </c>
      <c r="E3650" s="4" t="str">
        <f>IFERROR(__xludf.DUMMYFUNCTION("if(H3650=""pays"",vlookup(REGEXEXTRACT(C3650, ""🏘️ \w+ \w+ (.*) ✅""),'Country prepositions'!A:B, 2, 0) &amp; "" "" &amp; REGEXEXTRACT(C3650, ""🏘️ \w+ \w+ (.*) ✅"") ,  if(H3650=""quartier"",vlookup(REGEXEXTRACT(C3650, ""🏘️ \w+ \w+ (.*) ✅""),'Quartier prepositio"&amp;"ns'!A:E, 5, 0) ,  if(H3650=""region"",vlookup(REGEXEXTRACT(C3650, ""🏘️ \w+ \w+ (.*) ✅""),'Region prepositions'!B:F, 5, 0),  REGEXEXTRACT(C3650, ""🏘️ \w+ \w+ (.*) ✅""))))"),"#N/A")</f>
        <v>#N/A</v>
      </c>
      <c r="I3650" s="4" t="str">
        <f>IFERROR(__xludf.DUMMYFUNCTION("if(D3650=""variant"",  substitute(filter(Templates!E:E, Templates!A:A = F3650, Templates!B:B = G3650, Templates!C:C = H3650), ""{{}}"", E3650), B3650)"),"Vendre appartement Le Locle: Trouvez le bien immobilier qui correspond idéalement à vos désirs sur ImmoScout24 - La plateforme de l'immobilier en Suisse.")</f>
        <v>Vendre appartement Le Locle: Trouvez le bien immobilier qui correspond idéalement à vos désirs sur ImmoScout24 - La plateforme de l'immobilier en Suisse.</v>
      </c>
    </row>
    <row r="3651" hidden="1">
      <c r="A3651" s="5" t="s">
        <v>10405</v>
      </c>
      <c r="B3651" s="2" t="s">
        <v>10406</v>
      </c>
      <c r="C3651" s="2" t="s">
        <v>10406</v>
      </c>
      <c r="D3651" s="4" t="str">
        <f>vlookup(A3651, Sheet2!D:E, 2, 0)</f>
        <v>control</v>
      </c>
      <c r="E3651" s="4" t="str">
        <f>IFERROR(__xludf.DUMMYFUNCTION("if(H3651=""pays"",vlookup(REGEXEXTRACT(C3651, ""🏘️ \w+ \w+ (.*) ✅""),'Country prepositions'!A:B, 2, 0) &amp; "" "" &amp; REGEXEXTRACT(C3651, ""🏘️ \w+ \w+ (.*) ✅"") ,  if(H3651=""quartier"",vlookup(REGEXEXTRACT(C3651, ""🏘️ \w+ \w+ (.*) ✅""),'Quartier prepositio"&amp;"ns'!A:E, 5, 0) ,  if(H3651=""region"",vlookup(REGEXEXTRACT(C3651, ""🏘️ \w+ \w+ (.*) ✅""),'Region prepositions'!B:F, 5, 0),  REGEXEXTRACT(C3651, ""🏘️ \w+ \w+ (.*) ✅""))))"),"#N/A")</f>
        <v>#N/A</v>
      </c>
      <c r="I3651" s="4" t="str">
        <f>IFERROR(__xludf.DUMMYFUNCTION("if(D3651=""variant"",  substitute(filter(Templates!E:E, Templates!A:A = F3651, Templates!B:B = G3651, Templates!C:C = H3651), ""{{}}"", E3651), B3651)"),"Louer maison Courtepin: Trouvez le bien immobilier qui correspond idéalement à vos désirs sur ImmoScout24 - La plateforme de l'immobilier en Suisse.")</f>
        <v>Louer maison Courtepin: Trouvez le bien immobilier qui correspond idéalement à vos désirs sur ImmoScout24 - La plateforme de l'immobilier en Suisse.</v>
      </c>
    </row>
    <row r="3652" hidden="1">
      <c r="A3652" s="5" t="s">
        <v>10407</v>
      </c>
      <c r="B3652" s="2" t="s">
        <v>10408</v>
      </c>
      <c r="C3652" s="2" t="s">
        <v>10408</v>
      </c>
      <c r="D3652" s="4" t="str">
        <f>vlookup(A3652, Sheet2!D:E, 2, 0)</f>
        <v>control</v>
      </c>
      <c r="E3652" s="4" t="str">
        <f>IFERROR(__xludf.DUMMYFUNCTION("if(H3652=""pays"",vlookup(REGEXEXTRACT(C3652, ""🏘️ \w+ \w+ (.*) ✅""),'Country prepositions'!A:B, 2, 0) &amp; "" "" &amp; REGEXEXTRACT(C3652, ""🏘️ \w+ \w+ (.*) ✅"") ,  if(H3652=""quartier"",vlookup(REGEXEXTRACT(C3652, ""🏘️ \w+ \w+ (.*) ✅""),'Quartier prepositio"&amp;"ns'!A:E, 5, 0) ,  if(H3652=""region"",vlookup(REGEXEXTRACT(C3652, ""🏘️ \w+ \w+ (.*) ✅""),'Region prepositions'!B:F, 5, 0),  REGEXEXTRACT(C3652, ""🏘️ \w+ \w+ (.*) ✅""))))"),"#N/A")</f>
        <v>#N/A</v>
      </c>
      <c r="I3652" s="4" t="str">
        <f>IFERROR(__xludf.DUMMYFUNCTION("if(D3652=""variant"",  substitute(filter(Templates!E:E, Templates!A:A = F3652, Templates!B:B = G3652, Templates!C:C = H3652), ""{{}}"", E3652), B3652)"),"Vendre maison Rivera: Trouvez le bien immobilier qui correspond idéalement à vos désirs sur ImmoScout24 - La plateforme de l'immobilier en Suisse.")</f>
        <v>Vendre maison Rivera: Trouvez le bien immobilier qui correspond idéalement à vos désirs sur ImmoScout24 - La plateforme de l'immobilier en Suisse.</v>
      </c>
    </row>
    <row r="3653" hidden="1">
      <c r="A3653" s="5" t="s">
        <v>10409</v>
      </c>
      <c r="B3653" s="2" t="s">
        <v>10410</v>
      </c>
      <c r="C3653" s="2" t="s">
        <v>10410</v>
      </c>
      <c r="D3653" s="4" t="str">
        <f>vlookup(A3653, Sheet2!D:E, 2, 0)</f>
        <v>control</v>
      </c>
      <c r="E3653" s="4" t="str">
        <f>IFERROR(__xludf.DUMMYFUNCTION("if(H3653=""pays"",vlookup(REGEXEXTRACT(C3653, ""🏘️ \w+ \w+ (.*) ✅""),'Country prepositions'!A:B, 2, 0) &amp; "" "" &amp; REGEXEXTRACT(C3653, ""🏘️ \w+ \w+ (.*) ✅"") ,  if(H3653=""quartier"",vlookup(REGEXEXTRACT(C3653, ""🏘️ \w+ \w+ (.*) ✅""),'Quartier prepositio"&amp;"ns'!A:E, 5, 0) ,  if(H3653=""region"",vlookup(REGEXEXTRACT(C3653, ""🏘️ \w+ \w+ (.*) ✅""),'Region prepositions'!B:F, 5, 0),  REGEXEXTRACT(C3653, ""🏘️ \w+ \w+ (.*) ✅""))))"),"#N/A")</f>
        <v>#N/A</v>
      </c>
      <c r="I3653" s="4" t="str">
        <f>IFERROR(__xludf.DUMMYFUNCTION("if(D3653=""variant"",  substitute(filter(Templates!E:E, Templates!A:A = F3653, Templates!B:B = G3653, Templates!C:C = H3653), ""{{}}"", E3653), B3653)"),"Vendre appartement Kesswil: Trouvez le bien immobilier qui correspond idéalement à vos désirs sur ImmoScout24 - La plateforme de l'immobilier en Suisse.")</f>
        <v>Vendre appartement Kesswil: Trouvez le bien immobilier qui correspond idéalement à vos désirs sur ImmoScout24 - La plateforme de l'immobilier en Suisse.</v>
      </c>
    </row>
    <row r="3654" hidden="1">
      <c r="A3654" s="5" t="s">
        <v>10411</v>
      </c>
      <c r="B3654" s="2" t="s">
        <v>10412</v>
      </c>
      <c r="C3654" s="2" t="s">
        <v>10412</v>
      </c>
      <c r="D3654" s="4" t="str">
        <f>vlookup(A3654, Sheet2!D:E, 2, 0)</f>
        <v>control</v>
      </c>
      <c r="E3654" s="4" t="str">
        <f>IFERROR(__xludf.DUMMYFUNCTION("if(H3654=""pays"",vlookup(REGEXEXTRACT(C3654, ""🏘️ \w+ \w+ (.*) ✅""),'Country prepositions'!A:B, 2, 0) &amp; "" "" &amp; REGEXEXTRACT(C3654, ""🏘️ \w+ \w+ (.*) ✅"") ,  if(H3654=""quartier"",vlookup(REGEXEXTRACT(C3654, ""🏘️ \w+ \w+ (.*) ✅""),'Quartier prepositio"&amp;"ns'!A:E, 5, 0) ,  if(H3654=""region"",vlookup(REGEXEXTRACT(C3654, ""🏘️ \w+ \w+ (.*) ✅""),'Region prepositions'!B:F, 5, 0),  REGEXEXTRACT(C3654, ""🏘️ \w+ \w+ (.*) ✅""))))"),"#N/A")</f>
        <v>#N/A</v>
      </c>
      <c r="I3654" s="4" t="str">
        <f>IFERROR(__xludf.DUMMYFUNCTION("if(D3654=""variant"",  substitute(filter(Templates!E:E, Templates!A:A = F3654, Templates!B:B = G3654, Templates!C:C = H3654), ""{{}}"", E3654), B3654)"),"Louer appartement Collex: Trouvez le bien immobilier qui correspond idéalement à vos désirs sur ImmoScout24 - La plateforme de l'immobilier en Suisse.")</f>
        <v>Louer appartement Collex: Trouvez le bien immobilier qui correspond idéalement à vos désirs sur ImmoScout24 - La plateforme de l'immobilier en Suisse.</v>
      </c>
    </row>
    <row r="3655" hidden="1">
      <c r="A3655" s="5" t="s">
        <v>10413</v>
      </c>
      <c r="B3655" s="2" t="s">
        <v>10414</v>
      </c>
      <c r="C3655" s="2" t="s">
        <v>10414</v>
      </c>
      <c r="D3655" s="4" t="str">
        <f>vlookup(A3655, Sheet2!D:E, 2, 0)</f>
        <v>control</v>
      </c>
      <c r="E3655" s="4" t="str">
        <f>IFERROR(__xludf.DUMMYFUNCTION("if(H3655=""pays"",vlookup(REGEXEXTRACT(C3655, ""🏘️ \w+ \w+ (.*) ✅""),'Country prepositions'!A:B, 2, 0) &amp; "" "" &amp; REGEXEXTRACT(C3655, ""🏘️ \w+ \w+ (.*) ✅"") ,  if(H3655=""quartier"",vlookup(REGEXEXTRACT(C3655, ""🏘️ \w+ \w+ (.*) ✅""),'Quartier prepositio"&amp;"ns'!A:E, 5, 0) ,  if(H3655=""region"",vlookup(REGEXEXTRACT(C3655, ""🏘️ \w+ \w+ (.*) ✅""),'Region prepositions'!B:F, 5, 0),  REGEXEXTRACT(C3655, ""🏘️ \w+ \w+ (.*) ✅""))))"),"#N/A")</f>
        <v>#N/A</v>
      </c>
      <c r="I3655" s="4" t="str">
        <f>IFERROR(__xludf.DUMMYFUNCTION("if(D3655=""variant"",  substitute(filter(Templates!E:E, Templates!A:A = F3655, Templates!B:B = G3655, Templates!C:C = H3655), ""{{}}"", E3655), B3655)"),"Louer appartement Gysenstein: Trouvez le bien immobilier qui correspond idéalement à vos désirs sur ImmoScout24 - La plateforme de l'immobilier en Suisse.")</f>
        <v>Louer appartement Gysenstein: Trouvez le bien immobilier qui correspond idéalement à vos désirs sur ImmoScout24 - La plateforme de l'immobilier en Suisse.</v>
      </c>
    </row>
    <row r="3656" hidden="1">
      <c r="A3656" s="5" t="s">
        <v>10415</v>
      </c>
      <c r="B3656" s="2" t="s">
        <v>10416</v>
      </c>
      <c r="C3656" s="2" t="s">
        <v>10416</v>
      </c>
      <c r="D3656" s="4" t="str">
        <f>vlookup(A3656, Sheet2!D:E, 2, 0)</f>
        <v>control</v>
      </c>
      <c r="E3656" s="4" t="str">
        <f>IFERROR(__xludf.DUMMYFUNCTION("if(H3656=""pays"",vlookup(REGEXEXTRACT(C3656, ""🏘️ \w+ \w+ (.*) ✅""),'Country prepositions'!A:B, 2, 0) &amp; "" "" &amp; REGEXEXTRACT(C3656, ""🏘️ \w+ \w+ (.*) ✅"") ,  if(H3656=""quartier"",vlookup(REGEXEXTRACT(C3656, ""🏘️ \w+ \w+ (.*) ✅""),'Quartier prepositio"&amp;"ns'!A:E, 5, 0) ,  if(H3656=""region"",vlookup(REGEXEXTRACT(C3656, ""🏘️ \w+ \w+ (.*) ✅""),'Region prepositions'!B:F, 5, 0),  REGEXEXTRACT(C3656, ""🏘️ \w+ \w+ (.*) ✅""))))"),"#N/A")</f>
        <v>#N/A</v>
      </c>
      <c r="I3656" s="4" t="str">
        <f>IFERROR(__xludf.DUMMYFUNCTION("if(D3656=""variant"",  substitute(filter(Templates!E:E, Templates!A:A = F3656, Templates!B:B = G3656, Templates!C:C = H3656), ""{{}}"", E3656), B3656)"),"Vendre maison Apples: Trouvez le bien immobilier qui correspond idéalement à vos désirs sur ImmoScout24 - La plateforme de l'immobilier en Suisse.")</f>
        <v>Vendre maison Apples: Trouvez le bien immobilier qui correspond idéalement à vos désirs sur ImmoScout24 - La plateforme de l'immobilier en Suisse.</v>
      </c>
    </row>
    <row r="3657" hidden="1">
      <c r="A3657" s="5" t="s">
        <v>10417</v>
      </c>
      <c r="B3657" s="2" t="s">
        <v>10418</v>
      </c>
      <c r="C3657" s="2" t="s">
        <v>10418</v>
      </c>
      <c r="D3657" s="4" t="str">
        <f>vlookup(A3657, Sheet2!D:E, 2, 0)</f>
        <v>control</v>
      </c>
      <c r="E3657" s="4" t="str">
        <f>IFERROR(__xludf.DUMMYFUNCTION("if(H3657=""pays"",vlookup(REGEXEXTRACT(C3657, ""🏘️ \w+ \w+ (.*) ✅""),'Country prepositions'!A:B, 2, 0) &amp; "" "" &amp; REGEXEXTRACT(C3657, ""🏘️ \w+ \w+ (.*) ✅"") ,  if(H3657=""quartier"",vlookup(REGEXEXTRACT(C3657, ""🏘️ \w+ \w+ (.*) ✅""),'Quartier prepositio"&amp;"ns'!A:E, 5, 0) ,  if(H3657=""region"",vlookup(REGEXEXTRACT(C3657, ""🏘️ \w+ \w+ (.*) ✅""),'Region prepositions'!B:F, 5, 0),  REGEXEXTRACT(C3657, ""🏘️ \w+ \w+ (.*) ✅""))))"),"#N/A")</f>
        <v>#N/A</v>
      </c>
      <c r="I3657" s="4" t="str">
        <f>IFERROR(__xludf.DUMMYFUNCTION("if(D3657=""variant"",  substitute(filter(Templates!E:E, Templates!A:A = F3657, Templates!B:B = G3657, Templates!C:C = H3657), ""{{}}"", E3657), B3657)"),"Louer appartement Sax: Trouvez le bien immobilier qui correspond idéalement à vos désirs sur ImmoScout24 - La plateforme de l'immobilier en Suisse.")</f>
        <v>Louer appartement Sax: Trouvez le bien immobilier qui correspond idéalement à vos désirs sur ImmoScout24 - La plateforme de l'immobilier en Suisse.</v>
      </c>
    </row>
    <row r="3658" hidden="1">
      <c r="A3658" s="5" t="s">
        <v>10419</v>
      </c>
      <c r="B3658" s="2" t="s">
        <v>10420</v>
      </c>
      <c r="C3658" s="2" t="s">
        <v>10420</v>
      </c>
      <c r="D3658" s="4" t="str">
        <f>vlookup(A3658, Sheet2!D:E, 2, 0)</f>
        <v>control</v>
      </c>
      <c r="E3658" s="4" t="str">
        <f>IFERROR(__xludf.DUMMYFUNCTION("if(H3658=""pays"",vlookup(REGEXEXTRACT(C3658, ""🏘️ \w+ \w+ (.*) ✅""),'Country prepositions'!A:B, 2, 0) &amp; "" "" &amp; REGEXEXTRACT(C3658, ""🏘️ \w+ \w+ (.*) ✅"") ,  if(H3658=""quartier"",vlookup(REGEXEXTRACT(C3658, ""🏘️ \w+ \w+ (.*) ✅""),'Quartier prepositio"&amp;"ns'!A:E, 5, 0) ,  if(H3658=""region"",vlookup(REGEXEXTRACT(C3658, ""🏘️ \w+ \w+ (.*) ✅""),'Region prepositions'!B:F, 5, 0),  REGEXEXTRACT(C3658, ""🏘️ \w+ \w+ (.*) ✅""))))"),"#N/A")</f>
        <v>#N/A</v>
      </c>
      <c r="I3658" s="4" t="str">
        <f>IFERROR(__xludf.DUMMYFUNCTION("if(D3658=""variant"",  substitute(filter(Templates!E:E, Templates!A:A = F3658, Templates!B:B = G3658, Templates!C:C = H3658), ""{{}}"", E3658), B3658)"),"Louer maison Veyrier: Trouvez le bien immobilier qui correspond idéalement à vos désirs sur ImmoScout24 - La plateforme de l'immobilier en Suisse.")</f>
        <v>Louer maison Veyrier: Trouvez le bien immobilier qui correspond idéalement à vos désirs sur ImmoScout24 - La plateforme de l'immobilier en Suisse.</v>
      </c>
    </row>
    <row r="3659" hidden="1">
      <c r="A3659" s="5" t="s">
        <v>10421</v>
      </c>
      <c r="B3659" s="2" t="s">
        <v>10422</v>
      </c>
      <c r="C3659" s="2" t="s">
        <v>10422</v>
      </c>
      <c r="D3659" s="4" t="str">
        <f>vlookup(A3659, Sheet2!D:E, 2, 0)</f>
        <v>control</v>
      </c>
      <c r="E3659" s="4" t="str">
        <f>IFERROR(__xludf.DUMMYFUNCTION("if(H3659=""pays"",vlookup(REGEXEXTRACT(C3659, ""🏘️ \w+ \w+ (.*) ✅""),'Country prepositions'!A:B, 2, 0) &amp; "" "" &amp; REGEXEXTRACT(C3659, ""🏘️ \w+ \w+ (.*) ✅"") ,  if(H3659=""quartier"",vlookup(REGEXEXTRACT(C3659, ""🏘️ \w+ \w+ (.*) ✅""),'Quartier prepositio"&amp;"ns'!A:E, 5, 0) ,  if(H3659=""region"",vlookup(REGEXEXTRACT(C3659, ""🏘️ \w+ \w+ (.*) ✅""),'Region prepositions'!B:F, 5, 0),  REGEXEXTRACT(C3659, ""🏘️ \w+ \w+ (.*) ✅""))))"),"#N/A")</f>
        <v>#N/A</v>
      </c>
      <c r="I3659" s="4" t="str">
        <f>IFERROR(__xludf.DUMMYFUNCTION("if(D3659=""variant"",  substitute(filter(Templates!E:E, Templates!A:A = F3659, Templates!B:B = G3659, Templates!C:C = H3659), ""{{}}"", E3659), B3659)"),"Vendre appartement Nyon: Trouvez le bien immobilier qui correspond idéalement à vos désirs sur ImmoScout24 - La plateforme de l'immobilier en Suisse.")</f>
        <v>Vendre appartement Nyon: Trouvez le bien immobilier qui correspond idéalement à vos désirs sur ImmoScout24 - La plateforme de l'immobilier en Suisse.</v>
      </c>
    </row>
    <row r="3660" hidden="1">
      <c r="A3660" s="5" t="s">
        <v>10423</v>
      </c>
      <c r="B3660" s="2" t="s">
        <v>10424</v>
      </c>
      <c r="C3660" s="2" t="s">
        <v>10424</v>
      </c>
      <c r="D3660" s="4" t="str">
        <f>vlookup(A3660, Sheet2!D:E, 2, 0)</f>
        <v>control</v>
      </c>
      <c r="E3660" s="4" t="str">
        <f>IFERROR(__xludf.DUMMYFUNCTION("if(H3660=""pays"",vlookup(REGEXEXTRACT(C3660, ""🏘️ \w+ \w+ (.*) ✅""),'Country prepositions'!A:B, 2, 0) &amp; "" "" &amp; REGEXEXTRACT(C3660, ""🏘️ \w+ \w+ (.*) ✅"") ,  if(H3660=""quartier"",vlookup(REGEXEXTRACT(C3660, ""🏘️ \w+ \w+ (.*) ✅""),'Quartier prepositio"&amp;"ns'!A:E, 5, 0) ,  if(H3660=""region"",vlookup(REGEXEXTRACT(C3660, ""🏘️ \w+ \w+ (.*) ✅""),'Region prepositions'!B:F, 5, 0),  REGEXEXTRACT(C3660, ""🏘️ \w+ \w+ (.*) ✅""))))"),"#N/A")</f>
        <v>#N/A</v>
      </c>
      <c r="I3660" s="4" t="str">
        <f>IFERROR(__xludf.DUMMYFUNCTION("if(D3660=""variant"",  substitute(filter(Templates!E:E, Templates!A:A = F3660, Templates!B:B = G3660, Templates!C:C = H3660), ""{{}}"", E3660), B3660)"),"Louer maison Vuibroye: Trouvez le bien immobilier qui correspond idéalement à vos désirs sur ImmoScout24 - La plateforme de l'immobilier en Suisse.")</f>
        <v>Louer maison Vuibroye: Trouvez le bien immobilier qui correspond idéalement à vos désirs sur ImmoScout24 - La plateforme de l'immobilier en Suisse.</v>
      </c>
    </row>
    <row r="3661" hidden="1">
      <c r="A3661" s="5" t="s">
        <v>10425</v>
      </c>
      <c r="B3661" s="2" t="s">
        <v>10426</v>
      </c>
      <c r="C3661" s="2" t="s">
        <v>10426</v>
      </c>
      <c r="D3661" s="4" t="str">
        <f>vlookup(A3661, Sheet2!D:E, 2, 0)</f>
        <v>control</v>
      </c>
      <c r="E3661" s="4" t="str">
        <f>IFERROR(__xludf.DUMMYFUNCTION("if(H3661=""pays"",vlookup(REGEXEXTRACT(C3661, ""🏘️ \w+ \w+ (.*) ✅""),'Country prepositions'!A:B, 2, 0) &amp; "" "" &amp; REGEXEXTRACT(C3661, ""🏘️ \w+ \w+ (.*) ✅"") ,  if(H3661=""quartier"",vlookup(REGEXEXTRACT(C3661, ""🏘️ \w+ \w+ (.*) ✅""),'Quartier prepositio"&amp;"ns'!A:E, 5, 0) ,  if(H3661=""region"",vlookup(REGEXEXTRACT(C3661, ""🏘️ \w+ \w+ (.*) ✅""),'Region prepositions'!B:F, 5, 0),  REGEXEXTRACT(C3661, ""🏘️ \w+ \w+ (.*) ✅""))))"),"#N/A")</f>
        <v>#N/A</v>
      </c>
      <c r="I3661" s="4" t="str">
        <f>IFERROR(__xludf.DUMMYFUNCTION("if(D3661=""variant"",  substitute(filter(Templates!E:E, Templates!A:A = F3661, Templates!B:B = G3661, Templates!C:C = H3661), ""{{}}"", E3661), B3661)"),"Vendre maison Cossonay-Ville: Trouvez le bien immobilier qui correspond idéalement à vos désirs sur ImmoScout24 - La plateforme de l'immobilier en Suisse.")</f>
        <v>Vendre maison Cossonay-Ville: Trouvez le bien immobilier qui correspond idéalement à vos désirs sur ImmoScout24 - La plateforme de l'immobilier en Suisse.</v>
      </c>
    </row>
    <row r="3662" hidden="1">
      <c r="A3662" s="5" t="s">
        <v>10427</v>
      </c>
      <c r="B3662" s="2" t="s">
        <v>10428</v>
      </c>
      <c r="C3662" s="2" t="s">
        <v>10428</v>
      </c>
      <c r="D3662" s="4" t="str">
        <f>vlookup(A3662, Sheet2!D:E, 2, 0)</f>
        <v>control</v>
      </c>
      <c r="E3662" s="4" t="str">
        <f>IFERROR(__xludf.DUMMYFUNCTION("if(H3662=""pays"",vlookup(REGEXEXTRACT(C3662, ""🏘️ \w+ \w+ (.*) ✅""),'Country prepositions'!A:B, 2, 0) &amp; "" "" &amp; REGEXEXTRACT(C3662, ""🏘️ \w+ \w+ (.*) ✅"") ,  if(H3662=""quartier"",vlookup(REGEXEXTRACT(C3662, ""🏘️ \w+ \w+ (.*) ✅""),'Quartier prepositio"&amp;"ns'!A:E, 5, 0) ,  if(H3662=""region"",vlookup(REGEXEXTRACT(C3662, ""🏘️ \w+ \w+ (.*) ✅""),'Region prepositions'!B:F, 5, 0),  REGEXEXTRACT(C3662, ""🏘️ \w+ \w+ (.*) ✅""))))"),"#N/A")</f>
        <v>#N/A</v>
      </c>
      <c r="I3662" s="4" t="str">
        <f>IFERROR(__xludf.DUMMYFUNCTION("if(D3662=""variant"",  substitute(filter(Templates!E:E, Templates!A:A = F3662, Templates!B:B = G3662, Templates!C:C = H3662), ""{{}}"", E3662), B3662)"),"Vendre appartement Attalens: Trouvez le bien immobilier qui correspond idéalement à vos désirs sur ImmoScout24 - La plateforme de l'immobilier en Suisse.")</f>
        <v>Vendre appartement Attalens: Trouvez le bien immobilier qui correspond idéalement à vos désirs sur ImmoScout24 - La plateforme de l'immobilier en Suisse.</v>
      </c>
    </row>
    <row r="3663" hidden="1">
      <c r="A3663" s="5" t="s">
        <v>10429</v>
      </c>
      <c r="B3663" s="2" t="s">
        <v>10430</v>
      </c>
      <c r="C3663" s="2" t="s">
        <v>10430</v>
      </c>
      <c r="D3663" s="4" t="str">
        <f>vlookup(A3663, Sheet2!D:E, 2, 0)</f>
        <v>control</v>
      </c>
      <c r="E3663" s="4" t="str">
        <f>IFERROR(__xludf.DUMMYFUNCTION("if(H3663=""pays"",vlookup(REGEXEXTRACT(C3663, ""🏘️ \w+ \w+ (.*) ✅""),'Country prepositions'!A:B, 2, 0) &amp; "" "" &amp; REGEXEXTRACT(C3663, ""🏘️ \w+ \w+ (.*) ✅"") ,  if(H3663=""quartier"",vlookup(REGEXEXTRACT(C3663, ""🏘️ \w+ \w+ (.*) ✅""),'Quartier prepositio"&amp;"ns'!A:E, 5, 0) ,  if(H3663=""region"",vlookup(REGEXEXTRACT(C3663, ""🏘️ \w+ \w+ (.*) ✅""),'Region prepositions'!B:F, 5, 0),  REGEXEXTRACT(C3663, ""🏘️ \w+ \w+ (.*) ✅""))))"),"#N/A")</f>
        <v>#N/A</v>
      </c>
      <c r="I3663" s="4" t="str">
        <f>IFERROR(__xludf.DUMMYFUNCTION("if(D3663=""variant"",  substitute(filter(Templates!E:E, Templates!A:A = F3663, Templates!B:B = G3663, Templates!C:C = H3663), ""{{}}"", E3663), B3663)"),"Louer appartement Madiswil: Trouvez le bien immobilier qui correspond idéalement à vos désirs sur ImmoScout24 - La plateforme de l'immobilier en Suisse.")</f>
        <v>Louer appartement Madiswil: Trouvez le bien immobilier qui correspond idéalement à vos désirs sur ImmoScout24 - La plateforme de l'immobilier en Suisse.</v>
      </c>
    </row>
    <row r="3664" hidden="1">
      <c r="A3664" s="5" t="s">
        <v>10431</v>
      </c>
      <c r="B3664" s="2" t="s">
        <v>10432</v>
      </c>
      <c r="C3664" s="2" t="s">
        <v>10432</v>
      </c>
      <c r="D3664" s="4" t="str">
        <f>vlookup(A3664, Sheet2!D:E, 2, 0)</f>
        <v>control</v>
      </c>
      <c r="E3664" s="4" t="str">
        <f>IFERROR(__xludf.DUMMYFUNCTION("if(H3664=""pays"",vlookup(REGEXEXTRACT(C3664, ""🏘️ \w+ \w+ (.*) ✅""),'Country prepositions'!A:B, 2, 0) &amp; "" "" &amp; REGEXEXTRACT(C3664, ""🏘️ \w+ \w+ (.*) ✅"") ,  if(H3664=""quartier"",vlookup(REGEXEXTRACT(C3664, ""🏘️ \w+ \w+ (.*) ✅""),'Quartier prepositio"&amp;"ns'!A:E, 5, 0) ,  if(H3664=""region"",vlookup(REGEXEXTRACT(C3664, ""🏘️ \w+ \w+ (.*) ✅""),'Region prepositions'!B:F, 5, 0),  REGEXEXTRACT(C3664, ""🏘️ \w+ \w+ (.*) ✅""))))"),"#N/A")</f>
        <v>#N/A</v>
      </c>
      <c r="I3664" s="4" t="str">
        <f>IFERROR(__xludf.DUMMYFUNCTION("if(D3664=""variant"",  substitute(filter(Templates!E:E, Templates!A:A = F3664, Templates!B:B = G3664, Templates!C:C = H3664), ""{{}}"", E3664), B3664)"),"Vendre maison Luxembourg: Trouvez le bien immobilier qui correspond idéalement à vos désirs sur ImmoScout24 - La plateforme de l'immobilier en Suisse.")</f>
        <v>Vendre maison Luxembourg: Trouvez le bien immobilier qui correspond idéalement à vos désirs sur ImmoScout24 - La plateforme de l'immobilier en Suisse.</v>
      </c>
    </row>
    <row r="3665" hidden="1">
      <c r="A3665" s="5" t="s">
        <v>10433</v>
      </c>
      <c r="B3665" s="2" t="s">
        <v>10434</v>
      </c>
      <c r="C3665" s="2" t="s">
        <v>10434</v>
      </c>
      <c r="D3665" s="4" t="str">
        <f>vlookup(A3665, Sheet2!D:E, 2, 0)</f>
        <v>control</v>
      </c>
      <c r="E3665" s="4" t="str">
        <f>IFERROR(__xludf.DUMMYFUNCTION("if(H3665=""pays"",vlookup(REGEXEXTRACT(C3665, ""🏘️ \w+ \w+ (.*) ✅""),'Country prepositions'!A:B, 2, 0) &amp; "" "" &amp; REGEXEXTRACT(C3665, ""🏘️ \w+ \w+ (.*) ✅"") ,  if(H3665=""quartier"",vlookup(REGEXEXTRACT(C3665, ""🏘️ \w+ \w+ (.*) ✅""),'Quartier prepositio"&amp;"ns'!A:E, 5, 0) ,  if(H3665=""region"",vlookup(REGEXEXTRACT(C3665, ""🏘️ \w+ \w+ (.*) ✅""),'Region prepositions'!B:F, 5, 0),  REGEXEXTRACT(C3665, ""🏘️ \w+ \w+ (.*) ✅""))))"),"#N/A")</f>
        <v>#N/A</v>
      </c>
      <c r="I3665" s="4" t="str">
        <f>IFERROR(__xludf.DUMMYFUNCTION("if(D3665=""variant"",  substitute(filter(Templates!E:E, Templates!A:A = F3665, Templates!B:B = G3665, Templates!C:C = H3665), ""{{}}"", E3665), B3665)"),"Vendre maison Develier: Trouvez le bien immobilier qui correspond idéalement à vos désirs sur ImmoScout24 - La plateforme de l'immobilier en Suisse.")</f>
        <v>Vendre maison Develier: Trouvez le bien immobilier qui correspond idéalement à vos désirs sur ImmoScout24 - La plateforme de l'immobilier en Suisse.</v>
      </c>
    </row>
    <row r="3666" hidden="1">
      <c r="A3666" s="5" t="s">
        <v>10435</v>
      </c>
      <c r="B3666" s="2" t="s">
        <v>10436</v>
      </c>
      <c r="C3666" s="2" t="s">
        <v>10436</v>
      </c>
      <c r="D3666" s="4" t="str">
        <f>vlookup(A3666, Sheet2!D:E, 2, 0)</f>
        <v>control</v>
      </c>
      <c r="E3666" s="4" t="str">
        <f>IFERROR(__xludf.DUMMYFUNCTION("if(H3666=""pays"",vlookup(REGEXEXTRACT(C3666, ""🏘️ \w+ \w+ (.*) ✅""),'Country prepositions'!A:B, 2, 0) &amp; "" "" &amp; REGEXEXTRACT(C3666, ""🏘️ \w+ \w+ (.*) ✅"") ,  if(H3666=""quartier"",vlookup(REGEXEXTRACT(C3666, ""🏘️ \w+ \w+ (.*) ✅""),'Quartier prepositio"&amp;"ns'!A:E, 5, 0) ,  if(H3666=""region"",vlookup(REGEXEXTRACT(C3666, ""🏘️ \w+ \w+ (.*) ✅""),'Region prepositions'!B:F, 5, 0),  REGEXEXTRACT(C3666, ""🏘️ \w+ \w+ (.*) ✅""))))"),"#N/A")</f>
        <v>#N/A</v>
      </c>
      <c r="I3666" s="4" t="str">
        <f>IFERROR(__xludf.DUMMYFUNCTION("if(D3666=""variant"",  substitute(filter(Templates!E:E, Templates!A:A = F3666, Templates!B:B = G3666, Templates!C:C = H3666), ""{{}}"", E3666), B3666)"),"Vendre maison Bolligen: Trouvez le bien immobilier qui correspond idéalement à vos désirs sur ImmoScout24 - La plateforme de l'immobilier en Suisse.")</f>
        <v>Vendre maison Bolligen: Trouvez le bien immobilier qui correspond idéalement à vos désirs sur ImmoScout24 - La plateforme de l'immobilier en Suisse.</v>
      </c>
    </row>
    <row r="3667" hidden="1">
      <c r="A3667" s="5" t="s">
        <v>10437</v>
      </c>
      <c r="B3667" s="2" t="s">
        <v>10438</v>
      </c>
      <c r="C3667" s="2" t="s">
        <v>10438</v>
      </c>
      <c r="D3667" s="4" t="str">
        <f>vlookup(A3667, Sheet2!D:E, 2, 0)</f>
        <v>control</v>
      </c>
      <c r="E3667" s="4" t="str">
        <f>IFERROR(__xludf.DUMMYFUNCTION("if(H3667=""pays"",vlookup(REGEXEXTRACT(C3667, ""🏘️ \w+ \w+ (.*) ✅""),'Country prepositions'!A:B, 2, 0) &amp; "" "" &amp; REGEXEXTRACT(C3667, ""🏘️ \w+ \w+ (.*) ✅"") ,  if(H3667=""quartier"",vlookup(REGEXEXTRACT(C3667, ""🏘️ \w+ \w+ (.*) ✅""),'Quartier prepositio"&amp;"ns'!A:E, 5, 0) ,  if(H3667=""region"",vlookup(REGEXEXTRACT(C3667, ""🏘️ \w+ \w+ (.*) ✅""),'Region prepositions'!B:F, 5, 0),  REGEXEXTRACT(C3667, ""🏘️ \w+ \w+ (.*) ✅""))))"),"#N/A")</f>
        <v>#N/A</v>
      </c>
      <c r="I3667" s="4" t="str">
        <f>IFERROR(__xludf.DUMMYFUNCTION("if(D3667=""variant"",  substitute(filter(Templates!E:E, Templates!A:A = F3667, Templates!B:B = G3667, Templates!C:C = H3667), ""{{}}"", E3667), B3667)"),"Louer appartement Saanenmöser: Trouvez le bien immobilier qui correspond idéalement à vos désirs sur ImmoScout24 - La plateforme de l'immobilier en Suisse.")</f>
        <v>Louer appartement Saanenmöser: Trouvez le bien immobilier qui correspond idéalement à vos désirs sur ImmoScout24 - La plateforme de l'immobilier en Suisse.</v>
      </c>
    </row>
    <row r="3668" hidden="1">
      <c r="A3668" s="5" t="s">
        <v>10439</v>
      </c>
      <c r="B3668" s="2" t="s">
        <v>10440</v>
      </c>
      <c r="C3668" s="2" t="s">
        <v>10440</v>
      </c>
      <c r="D3668" s="4" t="str">
        <f>vlookup(A3668, Sheet2!D:E, 2, 0)</f>
        <v>control</v>
      </c>
      <c r="E3668" s="4" t="str">
        <f>IFERROR(__xludf.DUMMYFUNCTION("if(H3668=""pays"",vlookup(REGEXEXTRACT(C3668, ""🏘️ \w+ \w+ (.*) ✅""),'Country prepositions'!A:B, 2, 0) &amp; "" "" &amp; REGEXEXTRACT(C3668, ""🏘️ \w+ \w+ (.*) ✅"") ,  if(H3668=""quartier"",vlookup(REGEXEXTRACT(C3668, ""🏘️ \w+ \w+ (.*) ✅""),'Quartier prepositio"&amp;"ns'!A:E, 5, 0) ,  if(H3668=""region"",vlookup(REGEXEXTRACT(C3668, ""🏘️ \w+ \w+ (.*) ✅""),'Region prepositions'!B:F, 5, 0),  REGEXEXTRACT(C3668, ""🏘️ \w+ \w+ (.*) ✅""))))"),"#N/A")</f>
        <v>#N/A</v>
      </c>
      <c r="I3668" s="4" t="str">
        <f>IFERROR(__xludf.DUMMYFUNCTION("if(D3668=""variant"",  substitute(filter(Templates!E:E, Templates!A:A = F3668, Templates!B:B = G3668, Templates!C:C = H3668), ""{{}}"", E3668), B3668)"),"Vendre maison Châtel-sur-Montsalvens: Trouvez le bien immobilier qui correspond idéalement à vos désirs sur ImmoScout24 - La plateforme de l'immobilier en Suisse.")</f>
        <v>Vendre maison Châtel-sur-Montsalvens: Trouvez le bien immobilier qui correspond idéalement à vos désirs sur ImmoScout24 - La plateforme de l'immobilier en Suisse.</v>
      </c>
    </row>
    <row r="3669" hidden="1">
      <c r="A3669" s="5" t="s">
        <v>10441</v>
      </c>
      <c r="B3669" s="2" t="s">
        <v>10442</v>
      </c>
      <c r="C3669" s="2" t="s">
        <v>10442</v>
      </c>
      <c r="D3669" s="4" t="str">
        <f>vlookup(A3669, Sheet2!D:E, 2, 0)</f>
        <v>control</v>
      </c>
      <c r="E3669" s="4" t="str">
        <f>IFERROR(__xludf.DUMMYFUNCTION("if(H3669=""pays"",vlookup(REGEXEXTRACT(C3669, ""🏘️ \w+ \w+ (.*) ✅""),'Country prepositions'!A:B, 2, 0) &amp; "" "" &amp; REGEXEXTRACT(C3669, ""🏘️ \w+ \w+ (.*) ✅"") ,  if(H3669=""quartier"",vlookup(REGEXEXTRACT(C3669, ""🏘️ \w+ \w+ (.*) ✅""),'Quartier prepositio"&amp;"ns'!A:E, 5, 0) ,  if(H3669=""region"",vlookup(REGEXEXTRACT(C3669, ""🏘️ \w+ \w+ (.*) ✅""),'Region prepositions'!B:F, 5, 0),  REGEXEXTRACT(C3669, ""🏘️ \w+ \w+ (.*) ✅""))))"),"#N/A")</f>
        <v>#N/A</v>
      </c>
      <c r="I3669" s="4" t="str">
        <f>IFERROR(__xludf.DUMMYFUNCTION("if(D3669=""variant"",  substitute(filter(Templates!E:E, Templates!A:A = F3669, Templates!B:B = G3669, Templates!C:C = H3669), ""{{}}"", E3669), B3669)"),"Vendre maison Wohlen AG: Trouvez le bien immobilier qui correspond idéalement à vos désirs sur ImmoScout24 - La plateforme de l'immobilier en Suisse.")</f>
        <v>Vendre maison Wohlen AG: Trouvez le bien immobilier qui correspond idéalement à vos désirs sur ImmoScout24 - La plateforme de l'immobilier en Suisse.</v>
      </c>
    </row>
    <row r="3670" hidden="1">
      <c r="A3670" s="5" t="s">
        <v>10443</v>
      </c>
      <c r="B3670" s="2" t="s">
        <v>10444</v>
      </c>
      <c r="C3670" s="2" t="s">
        <v>10444</v>
      </c>
      <c r="D3670" s="4" t="str">
        <f>vlookup(A3670, Sheet2!D:E, 2, 0)</f>
        <v>control</v>
      </c>
      <c r="E3670" s="4" t="str">
        <f>IFERROR(__xludf.DUMMYFUNCTION("if(H3670=""pays"",vlookup(REGEXEXTRACT(C3670, ""🏘️ \w+ \w+ (.*) ✅""),'Country prepositions'!A:B, 2, 0) &amp; "" "" &amp; REGEXEXTRACT(C3670, ""🏘️ \w+ \w+ (.*) ✅"") ,  if(H3670=""quartier"",vlookup(REGEXEXTRACT(C3670, ""🏘️ \w+ \w+ (.*) ✅""),'Quartier prepositio"&amp;"ns'!A:E, 5, 0) ,  if(H3670=""region"",vlookup(REGEXEXTRACT(C3670, ""🏘️ \w+ \w+ (.*) ✅""),'Region prepositions'!B:F, 5, 0),  REGEXEXTRACT(C3670, ""🏘️ \w+ \w+ (.*) ✅""))))"),"#N/A")</f>
        <v>#N/A</v>
      </c>
      <c r="I3670" s="4" t="str">
        <f>IFERROR(__xludf.DUMMYFUNCTION("if(D3670=""variant"",  substitute(filter(Templates!E:E, Templates!A:A = F3670, Templates!B:B = G3670, Templates!C:C = H3670), ""{{}}"", E3670), B3670)"),"Louer appartement Samstagern: Trouvez le bien immobilier qui correspond idéalement à vos désirs sur ImmoScout24 - La plateforme de l'immobilier en Suisse.")</f>
        <v>Louer appartement Samstagern: Trouvez le bien immobilier qui correspond idéalement à vos désirs sur ImmoScout24 - La plateforme de l'immobilier en Suisse.</v>
      </c>
    </row>
    <row r="3671" hidden="1">
      <c r="A3671" s="5" t="s">
        <v>10445</v>
      </c>
      <c r="B3671" s="2" t="s">
        <v>10446</v>
      </c>
      <c r="C3671" s="2" t="s">
        <v>10446</v>
      </c>
      <c r="D3671" s="4" t="str">
        <f>vlookup(A3671, Sheet2!D:E, 2, 0)</f>
        <v>control</v>
      </c>
      <c r="E3671" s="4" t="str">
        <f>IFERROR(__xludf.DUMMYFUNCTION("if(H3671=""pays"",vlookup(REGEXEXTRACT(C3671, ""🏘️ \w+ \w+ (.*) ✅""),'Country prepositions'!A:B, 2, 0) &amp; "" "" &amp; REGEXEXTRACT(C3671, ""🏘️ \w+ \w+ (.*) ✅"") ,  if(H3671=""quartier"",vlookup(REGEXEXTRACT(C3671, ""🏘️ \w+ \w+ (.*) ✅""),'Quartier prepositio"&amp;"ns'!A:E, 5, 0) ,  if(H3671=""region"",vlookup(REGEXEXTRACT(C3671, ""🏘️ \w+ \w+ (.*) ✅""),'Region prepositions'!B:F, 5, 0),  REGEXEXTRACT(C3671, ""🏘️ \w+ \w+ (.*) ✅""))))"),"#N/A")</f>
        <v>#N/A</v>
      </c>
      <c r="I3671" s="4" t="str">
        <f>IFERROR(__xludf.DUMMYFUNCTION("if(D3671=""variant"",  substitute(filter(Templates!E:E, Templates!A:A = F3671, Templates!B:B = G3671, Templates!C:C = H3671), ""{{}}"", E3671), B3671)"),"Vendre appartement Le Pâquier-Montbarry: Trouvez le bien immobilier qui correspond idéalement à vos désirs sur ImmoScout24 - La plateforme de l'immobilier en Suisse.")</f>
        <v>Vendre appartement Le Pâquier-Montbarry: Trouvez le bien immobilier qui correspond idéalement à vos désirs sur ImmoScout24 - La plateforme de l'immobilier en Suisse.</v>
      </c>
    </row>
    <row r="3672" hidden="1">
      <c r="A3672" s="5" t="s">
        <v>10447</v>
      </c>
      <c r="B3672" s="2" t="s">
        <v>10448</v>
      </c>
      <c r="C3672" s="2" t="s">
        <v>10448</v>
      </c>
      <c r="D3672" s="4" t="str">
        <f>vlookup(A3672, Sheet2!D:E, 2, 0)</f>
        <v>control</v>
      </c>
      <c r="E3672" s="4" t="str">
        <f>IFERROR(__xludf.DUMMYFUNCTION("if(H3672=""pays"",vlookup(REGEXEXTRACT(C3672, ""🏘️ \w+ \w+ (.*) ✅""),'Country prepositions'!A:B, 2, 0) &amp; "" "" &amp; REGEXEXTRACT(C3672, ""🏘️ \w+ \w+ (.*) ✅"") ,  if(H3672=""quartier"",vlookup(REGEXEXTRACT(C3672, ""🏘️ \w+ \w+ (.*) ✅""),'Quartier prepositio"&amp;"ns'!A:E, 5, 0) ,  if(H3672=""region"",vlookup(REGEXEXTRACT(C3672, ""🏘️ \w+ \w+ (.*) ✅""),'Region prepositions'!B:F, 5, 0),  REGEXEXTRACT(C3672, ""🏘️ \w+ \w+ (.*) ✅""))))"),"#N/A")</f>
        <v>#N/A</v>
      </c>
      <c r="I3672" s="4" t="str">
        <f>IFERROR(__xludf.DUMMYFUNCTION("if(D3672=""variant"",  substitute(filter(Templates!E:E, Templates!A:A = F3672, Templates!B:B = G3672, Templates!C:C = H3672), ""{{}}"", E3672), B3672)"),"Louer appartement Belfaux: Trouvez le bien immobilier qui correspond idéalement à vos désirs sur ImmoScout24 - La plateforme de l'immobilier en Suisse.")</f>
        <v>Louer appartement Belfaux: Trouvez le bien immobilier qui correspond idéalement à vos désirs sur ImmoScout24 - La plateforme de l'immobilier en Suisse.</v>
      </c>
    </row>
    <row r="3673" hidden="1">
      <c r="A3673" s="5" t="s">
        <v>10449</v>
      </c>
      <c r="B3673" s="2" t="s">
        <v>10450</v>
      </c>
      <c r="C3673" s="2" t="s">
        <v>10450</v>
      </c>
      <c r="D3673" s="4" t="str">
        <f>vlookup(A3673, Sheet2!D:E, 2, 0)</f>
        <v>control</v>
      </c>
      <c r="E3673" s="4" t="str">
        <f>IFERROR(__xludf.DUMMYFUNCTION("if(H3673=""pays"",vlookup(REGEXEXTRACT(C3673, ""🏘️ \w+ \w+ (.*) ✅""),'Country prepositions'!A:B, 2, 0) &amp; "" "" &amp; REGEXEXTRACT(C3673, ""🏘️ \w+ \w+ (.*) ✅"") ,  if(H3673=""quartier"",vlookup(REGEXEXTRACT(C3673, ""🏘️ \w+ \w+ (.*) ✅""),'Quartier prepositio"&amp;"ns'!A:E, 5, 0) ,  if(H3673=""region"",vlookup(REGEXEXTRACT(C3673, ""🏘️ \w+ \w+ (.*) ✅""),'Region prepositions'!B:F, 5, 0),  REGEXEXTRACT(C3673, ""🏘️ \w+ \w+ (.*) ✅""))))"),"#N/A")</f>
        <v>#N/A</v>
      </c>
      <c r="I3673" s="4" t="str">
        <f>IFERROR(__xludf.DUMMYFUNCTION("if(D3673=""variant"",  substitute(filter(Templates!E:E, Templates!A:A = F3673, Templates!B:B = G3673, Templates!C:C = H3673), ""{{}}"", E3673), B3673)"),"Louer appartement Naters: Trouvez le bien immobilier qui correspond idéalement à vos désirs sur ImmoScout24 - La plateforme de l'immobilier en Suisse.")</f>
        <v>Louer appartement Naters: Trouvez le bien immobilier qui correspond idéalement à vos désirs sur ImmoScout24 - La plateforme de l'immobilier en Suisse.</v>
      </c>
    </row>
    <row r="3674" hidden="1">
      <c r="A3674" s="5" t="s">
        <v>10451</v>
      </c>
      <c r="B3674" s="2" t="s">
        <v>3441</v>
      </c>
      <c r="C3674" s="2" t="s">
        <v>3441</v>
      </c>
      <c r="D3674" s="4" t="str">
        <f>vlookup(A3674, Sheet2!D:E, 2, 0)</f>
        <v>control</v>
      </c>
      <c r="E3674" s="4" t="str">
        <f>IFERROR(__xludf.DUMMYFUNCTION("if(H3674=""pays"",vlookup(REGEXEXTRACT(C3674, ""🏘️ \w+ \w+ (.*) ✅""),'Country prepositions'!A:B, 2, 0) &amp; "" "" &amp; REGEXEXTRACT(C3674, ""🏘️ \w+ \w+ (.*) ✅"") ,  if(H3674=""quartier"",vlookup(REGEXEXTRACT(C3674, ""🏘️ \w+ \w+ (.*) ✅""),'Quartier prepositio"&amp;"ns'!A:E, 5, 0) ,  if(H3674=""region"",vlookup(REGEXEXTRACT(C3674, ""🏘️ \w+ \w+ (.*) ✅""),'Region prepositions'!B:F, 5, 0),  REGEXEXTRACT(C3674, ""🏘️ \w+ \w+ (.*) ✅""))))"),"#N/A")</f>
        <v>#N/A</v>
      </c>
      <c r="I3674" s="4" t="str">
        <f>IFERROR(__xludf.DUMMYFUNCTION("if(D3674=""variant"",  substitute(filter(Templates!E:E, Templates!A:A = F3674, Templates!B:B = G3674, Templates!C:C = H3674), ""{{}}"", E3674), B3674)"),"Louer appartement Delémont: Trouvez le bien immobilier qui correspond idéalement à vos désirs sur ImmoScout24 - La plateforme de l'immobilier en Suisse.")</f>
        <v>Louer appartement Delémont: Trouvez le bien immobilier qui correspond idéalement à vos désirs sur ImmoScout24 - La plateforme de l'immobilier en Suisse.</v>
      </c>
    </row>
    <row r="3675" hidden="1">
      <c r="A3675" s="5" t="s">
        <v>10452</v>
      </c>
      <c r="B3675" s="2" t="s">
        <v>10453</v>
      </c>
      <c r="C3675" s="2" t="s">
        <v>10453</v>
      </c>
      <c r="D3675" s="4" t="str">
        <f>vlookup(A3675, Sheet2!D:E, 2, 0)</f>
        <v>control</v>
      </c>
      <c r="E3675" s="4" t="str">
        <f>IFERROR(__xludf.DUMMYFUNCTION("if(H3675=""pays"",vlookup(REGEXEXTRACT(C3675, ""🏘️ \w+ \w+ (.*) ✅""),'Country prepositions'!A:B, 2, 0) &amp; "" "" &amp; REGEXEXTRACT(C3675, ""🏘️ \w+ \w+ (.*) ✅"") ,  if(H3675=""quartier"",vlookup(REGEXEXTRACT(C3675, ""🏘️ \w+ \w+ (.*) ✅""),'Quartier prepositio"&amp;"ns'!A:E, 5, 0) ,  if(H3675=""region"",vlookup(REGEXEXTRACT(C3675, ""🏘️ \w+ \w+ (.*) ✅""),'Region prepositions'!B:F, 5, 0),  REGEXEXTRACT(C3675, ""🏘️ \w+ \w+ (.*) ✅""))))"),"#N/A")</f>
        <v>#N/A</v>
      </c>
      <c r="I3675" s="4" t="str">
        <f>IFERROR(__xludf.DUMMYFUNCTION("if(D3675=""variant"",  substitute(filter(Templates!E:E, Templates!A:A = F3675, Templates!B:B = G3675, Templates!C:C = H3675), ""{{}}"", E3675), B3675)"),"Vendre appartement Soleure: Trouvez le bien immobilier qui correspond idéalement à vos désirs sur ImmoScout24 - La plateforme de l'immobilier en Suisse.")</f>
        <v>Vendre appartement Soleure: Trouvez le bien immobilier qui correspond idéalement à vos désirs sur ImmoScout24 - La plateforme de l'immobilier en Suisse.</v>
      </c>
    </row>
    <row r="3676" hidden="1">
      <c r="A3676" s="5" t="s">
        <v>10454</v>
      </c>
      <c r="B3676" s="2" t="s">
        <v>10455</v>
      </c>
      <c r="C3676" s="2" t="s">
        <v>10455</v>
      </c>
      <c r="D3676" s="4" t="str">
        <f>vlookup(A3676, Sheet2!D:E, 2, 0)</f>
        <v>control</v>
      </c>
      <c r="E3676" s="4" t="str">
        <f>IFERROR(__xludf.DUMMYFUNCTION("if(H3676=""pays"",vlookup(REGEXEXTRACT(C3676, ""🏘️ \w+ \w+ (.*) ✅""),'Country prepositions'!A:B, 2, 0) &amp; "" "" &amp; REGEXEXTRACT(C3676, ""🏘️ \w+ \w+ (.*) ✅"") ,  if(H3676=""quartier"",vlookup(REGEXEXTRACT(C3676, ""🏘️ \w+ \w+ (.*) ✅""),'Quartier prepositio"&amp;"ns'!A:E, 5, 0) ,  if(H3676=""region"",vlookup(REGEXEXTRACT(C3676, ""🏘️ \w+ \w+ (.*) ✅""),'Region prepositions'!B:F, 5, 0),  REGEXEXTRACT(C3676, ""🏘️ \w+ \w+ (.*) ✅""))))"),"#N/A")</f>
        <v>#N/A</v>
      </c>
      <c r="I3676" s="4" t="str">
        <f>IFERROR(__xludf.DUMMYFUNCTION("if(D3676=""variant"",  substitute(filter(Templates!E:E, Templates!A:A = F3676, Templates!B:B = G3676, Templates!C:C = H3676), ""{{}}"", E3676), B3676)"),"Vendre maison Matran: Trouvez le bien immobilier qui correspond idéalement à vos désirs sur ImmoScout24 - La plateforme de l'immobilier en Suisse.")</f>
        <v>Vendre maison Matran: Trouvez le bien immobilier qui correspond idéalement à vos désirs sur ImmoScout24 - La plateforme de l'immobilier en Suisse.</v>
      </c>
    </row>
    <row r="3677" hidden="1">
      <c r="A3677" s="5" t="s">
        <v>10456</v>
      </c>
      <c r="B3677" s="2" t="s">
        <v>10457</v>
      </c>
      <c r="C3677" s="2" t="s">
        <v>10457</v>
      </c>
      <c r="D3677" s="4" t="str">
        <f>vlookup(A3677, Sheet2!D:E, 2, 0)</f>
        <v>control</v>
      </c>
      <c r="E3677" s="4" t="str">
        <f>IFERROR(__xludf.DUMMYFUNCTION("if(H3677=""pays"",vlookup(REGEXEXTRACT(C3677, ""🏘️ \w+ \w+ (.*) ✅""),'Country prepositions'!A:B, 2, 0) &amp; "" "" &amp; REGEXEXTRACT(C3677, ""🏘️ \w+ \w+ (.*) ✅"") ,  if(H3677=""quartier"",vlookup(REGEXEXTRACT(C3677, ""🏘️ \w+ \w+ (.*) ✅""),'Quartier prepositio"&amp;"ns'!A:E, 5, 0) ,  if(H3677=""region"",vlookup(REGEXEXTRACT(C3677, ""🏘️ \w+ \w+ (.*) ✅""),'Region prepositions'!B:F, 5, 0),  REGEXEXTRACT(C3677, ""🏘️ \w+ \w+ (.*) ✅""))))"),"#N/A")</f>
        <v>#N/A</v>
      </c>
      <c r="I3677" s="4" t="str">
        <f>IFERROR(__xludf.DUMMYFUNCTION("if(D3677=""variant"",  substitute(filter(Templates!E:E, Templates!A:A = F3677, Templates!B:B = G3677, Templates!C:C = H3677), ""{{}}"", E3677), B3677)"),"Vendre appartement Thyon: Trouvez le bien immobilier qui correspond idéalement à vos désirs sur ImmoScout24 - La plateforme de l'immobilier en Suisse.")</f>
        <v>Vendre appartement Thyon: Trouvez le bien immobilier qui correspond idéalement à vos désirs sur ImmoScout24 - La plateforme de l'immobilier en Suisse.</v>
      </c>
    </row>
    <row r="3678" hidden="1">
      <c r="A3678" s="5" t="s">
        <v>10458</v>
      </c>
      <c r="B3678" s="2" t="s">
        <v>10459</v>
      </c>
      <c r="C3678" s="2" t="s">
        <v>10459</v>
      </c>
      <c r="D3678" s="4" t="str">
        <f>vlookup(A3678, Sheet2!D:E, 2, 0)</f>
        <v>control</v>
      </c>
      <c r="E3678" s="4" t="str">
        <f>IFERROR(__xludf.DUMMYFUNCTION("if(H3678=""pays"",vlookup(REGEXEXTRACT(C3678, ""🏘️ \w+ \w+ (.*) ✅""),'Country prepositions'!A:B, 2, 0) &amp; "" "" &amp; REGEXEXTRACT(C3678, ""🏘️ \w+ \w+ (.*) ✅"") ,  if(H3678=""quartier"",vlookup(REGEXEXTRACT(C3678, ""🏘️ \w+ \w+ (.*) ✅""),'Quartier prepositio"&amp;"ns'!A:E, 5, 0) ,  if(H3678=""region"",vlookup(REGEXEXTRACT(C3678, ""🏘️ \w+ \w+ (.*) ✅""),'Region prepositions'!B:F, 5, 0),  REGEXEXTRACT(C3678, ""🏘️ \w+ \w+ (.*) ✅""))))"),"#N/A")</f>
        <v>#N/A</v>
      </c>
      <c r="I3678" s="4" t="str">
        <f>IFERROR(__xludf.DUMMYFUNCTION("if(D3678=""variant"",  substitute(filter(Templates!E:E, Templates!A:A = F3678, Templates!B:B = G3678, Templates!C:C = H3678), ""{{}}"", E3678), B3678)"),"Vendre maison Arvillard (Salins): Trouvez le bien immobilier qui correspond idéalement à vos désirs sur ImmoScout24 - La plateforme de l'immobilier en Suisse.")</f>
        <v>Vendre maison Arvillard (Salins): Trouvez le bien immobilier qui correspond idéalement à vos désirs sur ImmoScout24 - La plateforme de l'immobilier en Suisse.</v>
      </c>
    </row>
    <row r="3679" hidden="1">
      <c r="A3679" s="5" t="s">
        <v>10460</v>
      </c>
      <c r="B3679" s="2" t="s">
        <v>10461</v>
      </c>
      <c r="C3679" s="2" t="s">
        <v>10461</v>
      </c>
      <c r="D3679" s="4" t="str">
        <f>vlookup(A3679, Sheet2!D:E, 2, 0)</f>
        <v>control</v>
      </c>
      <c r="E3679" s="4" t="str">
        <f>IFERROR(__xludf.DUMMYFUNCTION("if(H3679=""pays"",vlookup(REGEXEXTRACT(C3679, ""🏘️ \w+ \w+ (.*) ✅""),'Country prepositions'!A:B, 2, 0) &amp; "" "" &amp; REGEXEXTRACT(C3679, ""🏘️ \w+ \w+ (.*) ✅"") ,  if(H3679=""quartier"",vlookup(REGEXEXTRACT(C3679, ""🏘️ \w+ \w+ (.*) ✅""),'Quartier prepositio"&amp;"ns'!A:E, 5, 0) ,  if(H3679=""region"",vlookup(REGEXEXTRACT(C3679, ""🏘️ \w+ \w+ (.*) ✅""),'Region prepositions'!B:F, 5, 0),  REGEXEXTRACT(C3679, ""🏘️ \w+ \w+ (.*) ✅""))))"),"#N/A")</f>
        <v>#N/A</v>
      </c>
      <c r="I3679" s="4" t="str">
        <f>IFERROR(__xludf.DUMMYFUNCTION("if(D3679=""variant"",  substitute(filter(Templates!E:E, Templates!A:A = F3679, Templates!B:B = G3679, Templates!C:C = H3679), ""{{}}"", E3679), B3679)"),"Louer appartement Mauborget: Trouvez le bien immobilier qui correspond idéalement à vos désirs sur ImmoScout24 - La plateforme de l'immobilier en Suisse.")</f>
        <v>Louer appartement Mauborget: Trouvez le bien immobilier qui correspond idéalement à vos désirs sur ImmoScout24 - La plateforme de l'immobilier en Suisse.</v>
      </c>
    </row>
    <row r="3680" hidden="1">
      <c r="A3680" s="5" t="s">
        <v>10462</v>
      </c>
      <c r="B3680" s="2" t="s">
        <v>10463</v>
      </c>
      <c r="C3680" s="2" t="s">
        <v>10463</v>
      </c>
      <c r="D3680" s="4" t="str">
        <f>vlookup(A3680, Sheet2!D:E, 2, 0)</f>
        <v>control</v>
      </c>
      <c r="E3680" s="4" t="str">
        <f>IFERROR(__xludf.DUMMYFUNCTION("if(H3680=""pays"",vlookup(REGEXEXTRACT(C3680, ""🏘️ \w+ \w+ (.*) ✅""),'Country prepositions'!A:B, 2, 0) &amp; "" "" &amp; REGEXEXTRACT(C3680, ""🏘️ \w+ \w+ (.*) ✅"") ,  if(H3680=""quartier"",vlookup(REGEXEXTRACT(C3680, ""🏘️ \w+ \w+ (.*) ✅""),'Quartier prepositio"&amp;"ns'!A:E, 5, 0) ,  if(H3680=""region"",vlookup(REGEXEXTRACT(C3680, ""🏘️ \w+ \w+ (.*) ✅""),'Region prepositions'!B:F, 5, 0),  REGEXEXTRACT(C3680, ""🏘️ \w+ \w+ (.*) ✅""))))"),"#N/A")</f>
        <v>#N/A</v>
      </c>
      <c r="I3680" s="4" t="str">
        <f>IFERROR(__xludf.DUMMYFUNCTION("if(D3680=""variant"",  substitute(filter(Templates!E:E, Templates!A:A = F3680, Templates!B:B = G3680, Templates!C:C = H3680), ""{{}}"", E3680), B3680)"),"Louer appartement Tann: Trouvez le bien immobilier qui correspond idéalement à vos désirs sur ImmoScout24 - La plateforme de l'immobilier en Suisse.")</f>
        <v>Louer appartement Tann: Trouvez le bien immobilier qui correspond idéalement à vos désirs sur ImmoScout24 - La plateforme de l'immobilier en Suisse.</v>
      </c>
    </row>
    <row r="3681" hidden="1">
      <c r="A3681" s="5" t="s">
        <v>10464</v>
      </c>
      <c r="B3681" s="2" t="s">
        <v>10465</v>
      </c>
      <c r="C3681" s="2" t="s">
        <v>10465</v>
      </c>
      <c r="D3681" s="4" t="str">
        <f>vlookup(A3681, Sheet2!D:E, 2, 0)</f>
        <v>control</v>
      </c>
      <c r="E3681" s="4" t="str">
        <f>IFERROR(__xludf.DUMMYFUNCTION("if(H3681=""pays"",vlookup(REGEXEXTRACT(C3681, ""🏘️ \w+ \w+ (.*) ✅""),'Country prepositions'!A:B, 2, 0) &amp; "" "" &amp; REGEXEXTRACT(C3681, ""🏘️ \w+ \w+ (.*) ✅"") ,  if(H3681=""quartier"",vlookup(REGEXEXTRACT(C3681, ""🏘️ \w+ \w+ (.*) ✅""),'Quartier prepositio"&amp;"ns'!A:E, 5, 0) ,  if(H3681=""region"",vlookup(REGEXEXTRACT(C3681, ""🏘️ \w+ \w+ (.*) ✅""),'Region prepositions'!B:F, 5, 0),  REGEXEXTRACT(C3681, ""🏘️ \w+ \w+ (.*) ✅""))))"),"#N/A")</f>
        <v>#N/A</v>
      </c>
      <c r="I3681" s="4" t="str">
        <f>IFERROR(__xludf.DUMMYFUNCTION("if(D3681=""variant"",  substitute(filter(Templates!E:E, Templates!A:A = F3681, Templates!B:B = G3681, Templates!C:C = H3681), ""{{}}"", E3681), B3681)"),"Vendre maison Aarburg: Trouvez le bien immobilier qui correspond idéalement à vos désirs sur ImmoScout24 - La plateforme de l'immobilier en Suisse.")</f>
        <v>Vendre maison Aarburg: Trouvez le bien immobilier qui correspond idéalement à vos désirs sur ImmoScout24 - La plateforme de l'immobilier en Suisse.</v>
      </c>
    </row>
    <row r="3682" hidden="1">
      <c r="A3682" s="5" t="s">
        <v>10466</v>
      </c>
      <c r="B3682" s="2" t="s">
        <v>10467</v>
      </c>
      <c r="C3682" s="2" t="s">
        <v>10467</v>
      </c>
      <c r="D3682" s="4" t="str">
        <f>vlookup(A3682, Sheet2!D:E, 2, 0)</f>
        <v>control</v>
      </c>
      <c r="E3682" s="4" t="str">
        <f>IFERROR(__xludf.DUMMYFUNCTION("if(H3682=""pays"",vlookup(REGEXEXTRACT(C3682, ""🏘️ \w+ \w+ (.*) ✅""),'Country prepositions'!A:B, 2, 0) &amp; "" "" &amp; REGEXEXTRACT(C3682, ""🏘️ \w+ \w+ (.*) ✅"") ,  if(H3682=""quartier"",vlookup(REGEXEXTRACT(C3682, ""🏘️ \w+ \w+ (.*) ✅""),'Quartier prepositio"&amp;"ns'!A:E, 5, 0) ,  if(H3682=""region"",vlookup(REGEXEXTRACT(C3682, ""🏘️ \w+ \w+ (.*) ✅""),'Region prepositions'!B:F, 5, 0),  REGEXEXTRACT(C3682, ""🏘️ \w+ \w+ (.*) ✅""))))"),"#N/A")</f>
        <v>#N/A</v>
      </c>
      <c r="I3682" s="4" t="str">
        <f>IFERROR(__xludf.DUMMYFUNCTION("if(D3682=""variant"",  substitute(filter(Templates!E:E, Templates!A:A = F3682, Templates!B:B = G3682, Templates!C:C = H3682), ""{{}}"", E3682), B3682)"),"Vendre maison Arnex-sur-Nyon: Trouvez le bien immobilier qui correspond idéalement à vos désirs sur ImmoScout24 - La plateforme de l'immobilier en Suisse.")</f>
        <v>Vendre maison Arnex-sur-Nyon: Trouvez le bien immobilier qui correspond idéalement à vos désirs sur ImmoScout24 - La plateforme de l'immobilier en Suisse.</v>
      </c>
    </row>
    <row r="3683" hidden="1">
      <c r="A3683" s="5" t="s">
        <v>10468</v>
      </c>
      <c r="B3683" s="2" t="s">
        <v>10469</v>
      </c>
      <c r="C3683" s="2" t="s">
        <v>10469</v>
      </c>
      <c r="D3683" s="4" t="str">
        <f>vlookup(A3683, Sheet2!D:E, 2, 0)</f>
        <v>control</v>
      </c>
      <c r="E3683" s="4" t="str">
        <f>IFERROR(__xludf.DUMMYFUNCTION("if(H3683=""pays"",vlookup(REGEXEXTRACT(C3683, ""🏘️ \w+ \w+ (.*) ✅""),'Country prepositions'!A:B, 2, 0) &amp; "" "" &amp; REGEXEXTRACT(C3683, ""🏘️ \w+ \w+ (.*) ✅"") ,  if(H3683=""quartier"",vlookup(REGEXEXTRACT(C3683, ""🏘️ \w+ \w+ (.*) ✅""),'Quartier prepositio"&amp;"ns'!A:E, 5, 0) ,  if(H3683=""region"",vlookup(REGEXEXTRACT(C3683, ""🏘️ \w+ \w+ (.*) ✅""),'Region prepositions'!B:F, 5, 0),  REGEXEXTRACT(C3683, ""🏘️ \w+ \w+ (.*) ✅""))))"),"#N/A")</f>
        <v>#N/A</v>
      </c>
      <c r="I3683" s="4" t="str">
        <f>IFERROR(__xludf.DUMMYFUNCTION("if(D3683=""variant"",  substitute(filter(Templates!E:E, Templates!A:A = F3683, Templates!B:B = G3683, Templates!C:C = H3683), ""{{}}"", E3683), B3683)"),"Louer appartement Monnaz: Trouvez le bien immobilier qui correspond idéalement à vos désirs sur ImmoScout24 - La plateforme de l'immobilier en Suisse.")</f>
        <v>Louer appartement Monnaz: Trouvez le bien immobilier qui correspond idéalement à vos désirs sur ImmoScout24 - La plateforme de l'immobilier en Suisse.</v>
      </c>
    </row>
    <row r="3684" hidden="1">
      <c r="A3684" s="5" t="s">
        <v>10470</v>
      </c>
      <c r="B3684" s="2" t="s">
        <v>10471</v>
      </c>
      <c r="C3684" s="2" t="s">
        <v>10471</v>
      </c>
      <c r="D3684" s="4" t="str">
        <f>vlookup(A3684, Sheet2!D:E, 2, 0)</f>
        <v>control</v>
      </c>
      <c r="E3684" s="4" t="str">
        <f>IFERROR(__xludf.DUMMYFUNCTION("if(H3684=""pays"",vlookup(REGEXEXTRACT(C3684, ""🏘️ \w+ \w+ (.*) ✅""),'Country prepositions'!A:B, 2, 0) &amp; "" "" &amp; REGEXEXTRACT(C3684, ""🏘️ \w+ \w+ (.*) ✅"") ,  if(H3684=""quartier"",vlookup(REGEXEXTRACT(C3684, ""🏘️ \w+ \w+ (.*) ✅""),'Quartier prepositio"&amp;"ns'!A:E, 5, 0) ,  if(H3684=""region"",vlookup(REGEXEXTRACT(C3684, ""🏘️ \w+ \w+ (.*) ✅""),'Region prepositions'!B:F, 5, 0),  REGEXEXTRACT(C3684, ""🏘️ \w+ \w+ (.*) ✅""))))"),"#N/A")</f>
        <v>#N/A</v>
      </c>
      <c r="I3684" s="4" t="str">
        <f>IFERROR(__xludf.DUMMYFUNCTION("if(D3684=""variant"",  substitute(filter(Templates!E:E, Templates!A:A = F3684, Templates!B:B = G3684, Templates!C:C = H3684), ""{{}}"", E3684), B3684)"),"Vendre maison Uitikon Waldegg: Trouvez le bien immobilier qui correspond idéalement à vos désirs sur ImmoScout24 - La plateforme de l'immobilier en Suisse.")</f>
        <v>Vendre maison Uitikon Waldegg: Trouvez le bien immobilier qui correspond idéalement à vos désirs sur ImmoScout24 - La plateforme de l'immobilier en Suisse.</v>
      </c>
    </row>
    <row r="3685" hidden="1">
      <c r="A3685" s="5" t="s">
        <v>10472</v>
      </c>
      <c r="B3685" s="2" t="s">
        <v>10473</v>
      </c>
      <c r="C3685" s="2" t="s">
        <v>10473</v>
      </c>
      <c r="D3685" s="4" t="str">
        <f>vlookup(A3685, Sheet2!D:E, 2, 0)</f>
        <v>control</v>
      </c>
      <c r="E3685" s="4" t="str">
        <f>IFERROR(__xludf.DUMMYFUNCTION("if(H3685=""pays"",vlookup(REGEXEXTRACT(C3685, ""🏘️ \w+ \w+ (.*) ✅""),'Country prepositions'!A:B, 2, 0) &amp; "" "" &amp; REGEXEXTRACT(C3685, ""🏘️ \w+ \w+ (.*) ✅"") ,  if(H3685=""quartier"",vlookup(REGEXEXTRACT(C3685, ""🏘️ \w+ \w+ (.*) ✅""),'Quartier prepositio"&amp;"ns'!A:E, 5, 0) ,  if(H3685=""region"",vlookup(REGEXEXTRACT(C3685, ""🏘️ \w+ \w+ (.*) ✅""),'Region prepositions'!B:F, 5, 0),  REGEXEXTRACT(C3685, ""🏘️ \w+ \w+ (.*) ✅""))))"),"#N/A")</f>
        <v>#N/A</v>
      </c>
      <c r="I3685" s="4" t="str">
        <f>IFERROR(__xludf.DUMMYFUNCTION("if(D3685=""variant"",  substitute(filter(Templates!E:E, Templates!A:A = F3685, Templates!B:B = G3685, Templates!C:C = H3685), ""{{}}"", E3685), B3685)"),"Louer maison Grandval: Trouvez le bien immobilier qui correspond idéalement à vos désirs sur ImmoScout24 - La plateforme de l'immobilier en Suisse.")</f>
        <v>Louer maison Grandval: Trouvez le bien immobilier qui correspond idéalement à vos désirs sur ImmoScout24 - La plateforme de l'immobilier en Suisse.</v>
      </c>
    </row>
    <row r="3686" hidden="1">
      <c r="A3686" s="5" t="s">
        <v>10474</v>
      </c>
      <c r="B3686" s="2" t="s">
        <v>10475</v>
      </c>
      <c r="C3686" s="2" t="s">
        <v>10475</v>
      </c>
      <c r="D3686" s="4" t="str">
        <f>vlookup(A3686, Sheet2!D:E, 2, 0)</f>
        <v>control</v>
      </c>
      <c r="E3686" s="4" t="str">
        <f>IFERROR(__xludf.DUMMYFUNCTION("if(H3686=""pays"",vlookup(REGEXEXTRACT(C3686, ""🏘️ \w+ \w+ (.*) ✅""),'Country prepositions'!A:B, 2, 0) &amp; "" "" &amp; REGEXEXTRACT(C3686, ""🏘️ \w+ \w+ (.*) ✅"") ,  if(H3686=""quartier"",vlookup(REGEXEXTRACT(C3686, ""🏘️ \w+ \w+ (.*) ✅""),'Quartier prepositio"&amp;"ns'!A:E, 5, 0) ,  if(H3686=""region"",vlookup(REGEXEXTRACT(C3686, ""🏘️ \w+ \w+ (.*) ✅""),'Region prepositions'!B:F, 5, 0),  REGEXEXTRACT(C3686, ""🏘️ \w+ \w+ (.*) ✅""))))"),"#N/A")</f>
        <v>#N/A</v>
      </c>
      <c r="I3686" s="4" t="str">
        <f>IFERROR(__xludf.DUMMYFUNCTION("if(D3686=""variant"",  substitute(filter(Templates!E:E, Templates!A:A = F3686, Templates!B:B = G3686, Templates!C:C = H3686), ""{{}}"", E3686), B3686)"),"Vendre maison Gals: Trouvez le bien immobilier qui correspond idéalement à vos désirs sur ImmoScout24 - La plateforme de l'immobilier en Suisse.")</f>
        <v>Vendre maison Gals: Trouvez le bien immobilier qui correspond idéalement à vos désirs sur ImmoScout24 - La plateforme de l'immobilier en Suisse.</v>
      </c>
    </row>
    <row r="3687" hidden="1">
      <c r="A3687" s="5" t="s">
        <v>10476</v>
      </c>
      <c r="B3687" s="2" t="s">
        <v>10477</v>
      </c>
      <c r="C3687" s="2" t="s">
        <v>10477</v>
      </c>
      <c r="D3687" s="4" t="str">
        <f>vlookup(A3687, Sheet2!D:E, 2, 0)</f>
        <v>control</v>
      </c>
      <c r="E3687" s="4" t="str">
        <f>IFERROR(__xludf.DUMMYFUNCTION("if(H3687=""pays"",vlookup(REGEXEXTRACT(C3687, ""🏘️ \w+ \w+ (.*) ✅""),'Country prepositions'!A:B, 2, 0) &amp; "" "" &amp; REGEXEXTRACT(C3687, ""🏘️ \w+ \w+ (.*) ✅"") ,  if(H3687=""quartier"",vlookup(REGEXEXTRACT(C3687, ""🏘️ \w+ \w+ (.*) ✅""),'Quartier prepositio"&amp;"ns'!A:E, 5, 0) ,  if(H3687=""region"",vlookup(REGEXEXTRACT(C3687, ""🏘️ \w+ \w+ (.*) ✅""),'Region prepositions'!B:F, 5, 0),  REGEXEXTRACT(C3687, ""🏘️ \w+ \w+ (.*) ✅""))))"),"#N/A")</f>
        <v>#N/A</v>
      </c>
      <c r="I3687" s="4" t="str">
        <f>IFERROR(__xludf.DUMMYFUNCTION("if(D3687=""variant"",  substitute(filter(Templates!E:E, Templates!A:A = F3687, Templates!B:B = G3687, Templates!C:C = H3687), ""{{}}"", E3687), B3687)"),"Louer appartement Studen BE: Trouvez le bien immobilier qui correspond idéalement à vos désirs sur ImmoScout24 - La plateforme de l'immobilier en Suisse.")</f>
        <v>Louer appartement Studen BE: Trouvez le bien immobilier qui correspond idéalement à vos désirs sur ImmoScout24 - La plateforme de l'immobilier en Suisse.</v>
      </c>
    </row>
    <row r="3688" hidden="1">
      <c r="A3688" s="5" t="s">
        <v>10478</v>
      </c>
      <c r="B3688" s="2" t="s">
        <v>10479</v>
      </c>
      <c r="C3688" s="2" t="s">
        <v>10479</v>
      </c>
      <c r="D3688" s="4" t="str">
        <f>vlookup(A3688, Sheet2!D:E, 2, 0)</f>
        <v>control</v>
      </c>
      <c r="E3688" s="4" t="str">
        <f>IFERROR(__xludf.DUMMYFUNCTION("if(H3688=""pays"",vlookup(REGEXEXTRACT(C3688, ""🏘️ \w+ \w+ (.*) ✅""),'Country prepositions'!A:B, 2, 0) &amp; "" "" &amp; REGEXEXTRACT(C3688, ""🏘️ \w+ \w+ (.*) ✅"") ,  if(H3688=""quartier"",vlookup(REGEXEXTRACT(C3688, ""🏘️ \w+ \w+ (.*) ✅""),'Quartier prepositio"&amp;"ns'!A:E, 5, 0) ,  if(H3688=""region"",vlookup(REGEXEXTRACT(C3688, ""🏘️ \w+ \w+ (.*) ✅""),'Region prepositions'!B:F, 5, 0),  REGEXEXTRACT(C3688, ""🏘️ \w+ \w+ (.*) ✅""))))"),"#N/A")</f>
        <v>#N/A</v>
      </c>
      <c r="I3688" s="4" t="str">
        <f>IFERROR(__xludf.DUMMYFUNCTION("if(D3688=""variant"",  substitute(filter(Templates!E:E, Templates!A:A = F3688, Templates!B:B = G3688, Templates!C:C = H3688), ""{{}}"", E3688), B3688)"),"Louer maison Lyss: Trouvez le bien immobilier qui correspond idéalement à vos désirs sur ImmoScout24 - La plateforme de l'immobilier en Suisse.")</f>
        <v>Louer maison Lyss: Trouvez le bien immobilier qui correspond idéalement à vos désirs sur ImmoScout24 - La plateforme de l'immobilier en Suisse.</v>
      </c>
    </row>
    <row r="3689" hidden="1">
      <c r="A3689" s="5" t="s">
        <v>10480</v>
      </c>
      <c r="B3689" s="2" t="s">
        <v>10481</v>
      </c>
      <c r="C3689" s="2" t="s">
        <v>10481</v>
      </c>
      <c r="D3689" s="4" t="str">
        <f>vlookup(A3689, Sheet2!D:E, 2, 0)</f>
        <v>control</v>
      </c>
      <c r="E3689" s="4" t="str">
        <f>IFERROR(__xludf.DUMMYFUNCTION("if(H3689=""pays"",vlookup(REGEXEXTRACT(C3689, ""🏘️ \w+ \w+ (.*) ✅""),'Country prepositions'!A:B, 2, 0) &amp; "" "" &amp; REGEXEXTRACT(C3689, ""🏘️ \w+ \w+ (.*) ✅"") ,  if(H3689=""quartier"",vlookup(REGEXEXTRACT(C3689, ""🏘️ \w+ \w+ (.*) ✅""),'Quartier prepositio"&amp;"ns'!A:E, 5, 0) ,  if(H3689=""region"",vlookup(REGEXEXTRACT(C3689, ""🏘️ \w+ \w+ (.*) ✅""),'Region prepositions'!B:F, 5, 0),  REGEXEXTRACT(C3689, ""🏘️ \w+ \w+ (.*) ✅""))))"),"#N/A")</f>
        <v>#N/A</v>
      </c>
      <c r="I3689" s="4" t="str">
        <f>IFERROR(__xludf.DUMMYFUNCTION("if(D3689=""variant"",  substitute(filter(Templates!E:E, Templates!A:A = F3689, Templates!B:B = G3689, Templates!C:C = H3689), ""{{}}"", E3689), B3689)"),"Vendre appartement Vercorin: Trouvez le bien immobilier qui correspond idéalement à vos désirs sur ImmoScout24 - La plateforme de l'immobilier en Suisse.")</f>
        <v>Vendre appartement Vercorin: Trouvez le bien immobilier qui correspond idéalement à vos désirs sur ImmoScout24 - La plateforme de l'immobilier en Suisse.</v>
      </c>
    </row>
    <row r="3690" hidden="1">
      <c r="A3690" s="5" t="s">
        <v>10482</v>
      </c>
      <c r="B3690" s="2" t="s">
        <v>10483</v>
      </c>
      <c r="C3690" s="2" t="s">
        <v>10483</v>
      </c>
      <c r="D3690" s="4" t="str">
        <f>vlookup(A3690, Sheet2!D:E, 2, 0)</f>
        <v>control</v>
      </c>
      <c r="E3690" s="4" t="str">
        <f>IFERROR(__xludf.DUMMYFUNCTION("if(H3690=""pays"",vlookup(REGEXEXTRACT(C3690, ""🏘️ \w+ \w+ (.*) ✅""),'Country prepositions'!A:B, 2, 0) &amp; "" "" &amp; REGEXEXTRACT(C3690, ""🏘️ \w+ \w+ (.*) ✅"") ,  if(H3690=""quartier"",vlookup(REGEXEXTRACT(C3690, ""🏘️ \w+ \w+ (.*) ✅""),'Quartier prepositio"&amp;"ns'!A:E, 5, 0) ,  if(H3690=""region"",vlookup(REGEXEXTRACT(C3690, ""🏘️ \w+ \w+ (.*) ✅""),'Region prepositions'!B:F, 5, 0),  REGEXEXTRACT(C3690, ""🏘️ \w+ \w+ (.*) ✅""))))"),"#N/A")</f>
        <v>#N/A</v>
      </c>
      <c r="I3690" s="4" t="str">
        <f>IFERROR(__xludf.DUMMYFUNCTION("if(D3690=""variant"",  substitute(filter(Templates!E:E, Templates!A:A = F3690, Templates!B:B = G3690, Templates!C:C = H3690), ""{{}}"", E3690), B3690)"),"Vendre maison Sommentier: Trouvez le bien immobilier qui correspond idéalement à vos désirs sur ImmoScout24 - La plateforme de l'immobilier en Suisse.")</f>
        <v>Vendre maison Sommentier: Trouvez le bien immobilier qui correspond idéalement à vos désirs sur ImmoScout24 - La plateforme de l'immobilier en Suisse.</v>
      </c>
    </row>
    <row r="3691" hidden="1">
      <c r="A3691" s="5" t="s">
        <v>10484</v>
      </c>
      <c r="B3691" s="2" t="s">
        <v>10485</v>
      </c>
      <c r="C3691" s="2" t="s">
        <v>10485</v>
      </c>
      <c r="D3691" s="4" t="str">
        <f>vlookup(A3691, Sheet2!D:E, 2, 0)</f>
        <v>control</v>
      </c>
      <c r="E3691" s="4" t="str">
        <f>IFERROR(__xludf.DUMMYFUNCTION("if(H3691=""pays"",vlookup(REGEXEXTRACT(C3691, ""🏘️ \w+ \w+ (.*) ✅""),'Country prepositions'!A:B, 2, 0) &amp; "" "" &amp; REGEXEXTRACT(C3691, ""🏘️ \w+ \w+ (.*) ✅"") ,  if(H3691=""quartier"",vlookup(REGEXEXTRACT(C3691, ""🏘️ \w+ \w+ (.*) ✅""),'Quartier prepositio"&amp;"ns'!A:E, 5, 0) ,  if(H3691=""region"",vlookup(REGEXEXTRACT(C3691, ""🏘️ \w+ \w+ (.*) ✅""),'Region prepositions'!B:F, 5, 0),  REGEXEXTRACT(C3691, ""🏘️ \w+ \w+ (.*) ✅""))))"),"#N/A")</f>
        <v>#N/A</v>
      </c>
      <c r="I3691" s="4" t="str">
        <f>IFERROR(__xludf.DUMMYFUNCTION("if(D3691=""variant"",  substitute(filter(Templates!E:E, Templates!A:A = F3691, Templates!B:B = G3691, Templates!C:C = H3691), ""{{}}"", E3691), B3691)"),"Vendre maison Cousset: Trouvez le bien immobilier qui correspond idéalement à vos désirs sur ImmoScout24 - La plateforme de l'immobilier en Suisse.")</f>
        <v>Vendre maison Cousset: Trouvez le bien immobilier qui correspond idéalement à vos désirs sur ImmoScout24 - La plateforme de l'immobilier en Suisse.</v>
      </c>
    </row>
    <row r="3692" hidden="1">
      <c r="A3692" s="5" t="s">
        <v>10486</v>
      </c>
      <c r="B3692" s="2" t="s">
        <v>10487</v>
      </c>
      <c r="C3692" s="2" t="s">
        <v>10487</v>
      </c>
      <c r="D3692" s="4" t="str">
        <f>vlookup(A3692, Sheet2!D:E, 2, 0)</f>
        <v>control</v>
      </c>
      <c r="E3692" s="4" t="str">
        <f>IFERROR(__xludf.DUMMYFUNCTION("if(H3692=""pays"",vlookup(REGEXEXTRACT(C3692, ""🏘️ \w+ \w+ (.*) ✅""),'Country prepositions'!A:B, 2, 0) &amp; "" "" &amp; REGEXEXTRACT(C3692, ""🏘️ \w+ \w+ (.*) ✅"") ,  if(H3692=""quartier"",vlookup(REGEXEXTRACT(C3692, ""🏘️ \w+ \w+ (.*) ✅""),'Quartier prepositio"&amp;"ns'!A:E, 5, 0) ,  if(H3692=""region"",vlookup(REGEXEXTRACT(C3692, ""🏘️ \w+ \w+ (.*) ✅""),'Region prepositions'!B:F, 5, 0),  REGEXEXTRACT(C3692, ""🏘️ \w+ \w+ (.*) ✅""))))"),"#N/A")</f>
        <v>#N/A</v>
      </c>
      <c r="I3692" s="4" t="str">
        <f>IFERROR(__xludf.DUMMYFUNCTION("if(D3692=""variant"",  substitute(filter(Templates!E:E, Templates!A:A = F3692, Templates!B:B = G3692, Templates!C:C = H3692), ""{{}}"", E3692), B3692)"),"Vendre maison Ste-Croix: Trouvez le bien immobilier qui correspond idéalement à vos désirs sur ImmoScout24 - La plateforme de l'immobilier en Suisse.")</f>
        <v>Vendre maison Ste-Croix: Trouvez le bien immobilier qui correspond idéalement à vos désirs sur ImmoScout24 - La plateforme de l'immobilier en Suisse.</v>
      </c>
    </row>
    <row r="3693" hidden="1">
      <c r="A3693" s="5" t="s">
        <v>10488</v>
      </c>
      <c r="B3693" s="2" t="s">
        <v>10489</v>
      </c>
      <c r="C3693" s="2" t="s">
        <v>10489</v>
      </c>
      <c r="D3693" s="4" t="str">
        <f>vlookup(A3693, Sheet2!D:E, 2, 0)</f>
        <v>control</v>
      </c>
      <c r="E3693" s="4" t="str">
        <f>IFERROR(__xludf.DUMMYFUNCTION("if(H3693=""pays"",vlookup(REGEXEXTRACT(C3693, ""🏘️ \w+ \w+ (.*) ✅""),'Country prepositions'!A:B, 2, 0) &amp; "" "" &amp; REGEXEXTRACT(C3693, ""🏘️ \w+ \w+ (.*) ✅"") ,  if(H3693=""quartier"",vlookup(REGEXEXTRACT(C3693, ""🏘️ \w+ \w+ (.*) ✅""),'Quartier prepositio"&amp;"ns'!A:E, 5, 0) ,  if(H3693=""region"",vlookup(REGEXEXTRACT(C3693, ""🏘️ \w+ \w+ (.*) ✅""),'Region prepositions'!B:F, 5, 0),  REGEXEXTRACT(C3693, ""🏘️ \w+ \w+ (.*) ✅""))))"),"#N/A")</f>
        <v>#N/A</v>
      </c>
      <c r="I3693" s="4" t="str">
        <f>IFERROR(__xludf.DUMMYFUNCTION("if(D3693=""variant"",  substitute(filter(Templates!E:E, Templates!A:A = F3693, Templates!B:B = G3693, Templates!C:C = H3693), ""{{}}"", E3693), B3693)"),"Louer maison Némiaz (Chamoson): Trouvez le bien immobilier qui correspond idéalement à vos désirs sur ImmoScout24 - La plateforme de l'immobilier en Suisse.")</f>
        <v>Louer maison Némiaz (Chamoson): Trouvez le bien immobilier qui correspond idéalement à vos désirs sur ImmoScout24 - La plateforme de l'immobilier en Suisse.</v>
      </c>
    </row>
    <row r="3694" hidden="1">
      <c r="A3694" s="5" t="s">
        <v>10490</v>
      </c>
      <c r="B3694" s="2" t="s">
        <v>10491</v>
      </c>
      <c r="C3694" s="2" t="s">
        <v>10491</v>
      </c>
      <c r="D3694" s="4" t="str">
        <f>vlookup(A3694, Sheet2!D:E, 2, 0)</f>
        <v>control</v>
      </c>
      <c r="E3694" s="4" t="str">
        <f>IFERROR(__xludf.DUMMYFUNCTION("if(H3694=""pays"",vlookup(REGEXEXTRACT(C3694, ""🏘️ \w+ \w+ (.*) ✅""),'Country prepositions'!A:B, 2, 0) &amp; "" "" &amp; REGEXEXTRACT(C3694, ""🏘️ \w+ \w+ (.*) ✅"") ,  if(H3694=""quartier"",vlookup(REGEXEXTRACT(C3694, ""🏘️ \w+ \w+ (.*) ✅""),'Quartier prepositio"&amp;"ns'!A:E, 5, 0) ,  if(H3694=""region"",vlookup(REGEXEXTRACT(C3694, ""🏘️ \w+ \w+ (.*) ✅""),'Region prepositions'!B:F, 5, 0),  REGEXEXTRACT(C3694, ""🏘️ \w+ \w+ (.*) ✅""))))"),"#N/A")</f>
        <v>#N/A</v>
      </c>
      <c r="I3694" s="4" t="str">
        <f>IFERROR(__xludf.DUMMYFUNCTION("if(D3694=""variant"",  substitute(filter(Templates!E:E, Templates!A:A = F3694, Templates!B:B = G3694, Templates!C:C = H3694), ""{{}}"", E3694), B3694)"),"Vendre maison Genève: Trouvez le bien immobilier qui correspond idéalement à vos désirs sur ImmoScout24 - La plateforme de l'immobilier en Suisse.")</f>
        <v>Vendre maison Genève: Trouvez le bien immobilier qui correspond idéalement à vos désirs sur ImmoScout24 - La plateforme de l'immobilier en Suisse.</v>
      </c>
    </row>
    <row r="3695" hidden="1">
      <c r="A3695" s="5" t="s">
        <v>10492</v>
      </c>
      <c r="B3695" s="2" t="s">
        <v>10493</v>
      </c>
      <c r="C3695" s="2" t="s">
        <v>10493</v>
      </c>
      <c r="D3695" s="4" t="str">
        <f>vlookup(A3695, Sheet2!D:E, 2, 0)</f>
        <v>control</v>
      </c>
      <c r="E3695" s="4" t="str">
        <f>IFERROR(__xludf.DUMMYFUNCTION("if(H3695=""pays"",vlookup(REGEXEXTRACT(C3695, ""🏘️ \w+ \w+ (.*) ✅""),'Country prepositions'!A:B, 2, 0) &amp; "" "" &amp; REGEXEXTRACT(C3695, ""🏘️ \w+ \w+ (.*) ✅"") ,  if(H3695=""quartier"",vlookup(REGEXEXTRACT(C3695, ""🏘️ \w+ \w+ (.*) ✅""),'Quartier prepositio"&amp;"ns'!A:E, 5, 0) ,  if(H3695=""region"",vlookup(REGEXEXTRACT(C3695, ""🏘️ \w+ \w+ (.*) ✅""),'Region prepositions'!B:F, 5, 0),  REGEXEXTRACT(C3695, ""🏘️ \w+ \w+ (.*) ✅""))))"),"#N/A")</f>
        <v>#N/A</v>
      </c>
      <c r="I3695" s="4" t="str">
        <f>IFERROR(__xludf.DUMMYFUNCTION("if(D3695=""variant"",  substitute(filter(Templates!E:E, Templates!A:A = F3695, Templates!B:B = G3695, Templates!C:C = H3695), ""{{}}"", E3695), B3695)"),"Vendre maison Kriegstetten: Trouvez le bien immobilier qui correspond idéalement à vos désirs sur ImmoScout24 - La plateforme de l'immobilier en Suisse.")</f>
        <v>Vendre maison Kriegstetten: Trouvez le bien immobilier qui correspond idéalement à vos désirs sur ImmoScout24 - La plateforme de l'immobilier en Suisse.</v>
      </c>
    </row>
    <row r="3696" hidden="1">
      <c r="A3696" s="5" t="s">
        <v>10494</v>
      </c>
      <c r="B3696" s="2" t="s">
        <v>10495</v>
      </c>
      <c r="C3696" s="2" t="s">
        <v>10495</v>
      </c>
      <c r="D3696" s="4" t="str">
        <f>vlookup(A3696, Sheet2!D:E, 2, 0)</f>
        <v>control</v>
      </c>
      <c r="E3696" s="4" t="str">
        <f>IFERROR(__xludf.DUMMYFUNCTION("if(H3696=""pays"",vlookup(REGEXEXTRACT(C3696, ""🏘️ \w+ \w+ (.*) ✅""),'Country prepositions'!A:B, 2, 0) &amp; "" "" &amp; REGEXEXTRACT(C3696, ""🏘️ \w+ \w+ (.*) ✅"") ,  if(H3696=""quartier"",vlookup(REGEXEXTRACT(C3696, ""🏘️ \w+ \w+ (.*) ✅""),'Quartier prepositio"&amp;"ns'!A:E, 5, 0) ,  if(H3696=""region"",vlookup(REGEXEXTRACT(C3696, ""🏘️ \w+ \w+ (.*) ✅""),'Region prepositions'!B:F, 5, 0),  REGEXEXTRACT(C3696, ""🏘️ \w+ \w+ (.*) ✅""))))"),"#N/A")</f>
        <v>#N/A</v>
      </c>
      <c r="I3696" s="4" t="str">
        <f>IFERROR(__xludf.DUMMYFUNCTION("if(D3696=""variant"",  substitute(filter(Templates!E:E, Templates!A:A = F3696, Templates!B:B = G3696, Templates!C:C = H3696), ""{{}}"", E3696), B3696)"),"Louer appartement Hauterive NE: Trouvez le bien immobilier qui correspond idéalement à vos désirs sur ImmoScout24 - La plateforme de l'immobilier en Suisse.")</f>
        <v>Louer appartement Hauterive NE: Trouvez le bien immobilier qui correspond idéalement à vos désirs sur ImmoScout24 - La plateforme de l'immobilier en Suisse.</v>
      </c>
    </row>
    <row r="3697" hidden="1">
      <c r="A3697" s="5" t="s">
        <v>10496</v>
      </c>
      <c r="B3697" s="2" t="s">
        <v>10497</v>
      </c>
      <c r="C3697" s="2" t="s">
        <v>10497</v>
      </c>
      <c r="D3697" s="4" t="str">
        <f>vlookup(A3697, Sheet2!D:E, 2, 0)</f>
        <v>control</v>
      </c>
      <c r="E3697" s="4" t="str">
        <f>IFERROR(__xludf.DUMMYFUNCTION("if(H3697=""pays"",vlookup(REGEXEXTRACT(C3697, ""🏘️ \w+ \w+ (.*) ✅""),'Country prepositions'!A:B, 2, 0) &amp; "" "" &amp; REGEXEXTRACT(C3697, ""🏘️ \w+ \w+ (.*) ✅"") ,  if(H3697=""quartier"",vlookup(REGEXEXTRACT(C3697, ""🏘️ \w+ \w+ (.*) ✅""),'Quartier prepositio"&amp;"ns'!A:E, 5, 0) ,  if(H3697=""region"",vlookup(REGEXEXTRACT(C3697, ""🏘️ \w+ \w+ (.*) ✅""),'Region prepositions'!B:F, 5, 0),  REGEXEXTRACT(C3697, ""🏘️ \w+ \w+ (.*) ✅""))))"),"#N/A")</f>
        <v>#N/A</v>
      </c>
      <c r="I3697" s="4" t="str">
        <f>IFERROR(__xludf.DUMMYFUNCTION("if(D3697=""variant"",  substitute(filter(Templates!E:E, Templates!A:A = F3697, Templates!B:B = G3697, Templates!C:C = H3697), ""{{}}"", E3697), B3697)"),"Louer appartement Flims Dorf: Trouvez le bien immobilier qui correspond idéalement à vos désirs sur ImmoScout24 - La plateforme de l'immobilier en Suisse.")</f>
        <v>Louer appartement Flims Dorf: Trouvez le bien immobilier qui correspond idéalement à vos désirs sur ImmoScout24 - La plateforme de l'immobilier en Suisse.</v>
      </c>
    </row>
    <row r="3698" hidden="1">
      <c r="A3698" s="5" t="s">
        <v>10498</v>
      </c>
      <c r="B3698" s="2" t="s">
        <v>10499</v>
      </c>
      <c r="C3698" s="2" t="s">
        <v>10499</v>
      </c>
      <c r="D3698" s="4" t="str">
        <f>vlookup(A3698, Sheet2!D:E, 2, 0)</f>
        <v>control</v>
      </c>
      <c r="E3698" s="4" t="str">
        <f>IFERROR(__xludf.DUMMYFUNCTION("if(H3698=""pays"",vlookup(REGEXEXTRACT(C3698, ""🏘️ \w+ \w+ (.*) ✅""),'Country prepositions'!A:B, 2, 0) &amp; "" "" &amp; REGEXEXTRACT(C3698, ""🏘️ \w+ \w+ (.*) ✅"") ,  if(H3698=""quartier"",vlookup(REGEXEXTRACT(C3698, ""🏘️ \w+ \w+ (.*) ✅""),'Quartier prepositio"&amp;"ns'!A:E, 5, 0) ,  if(H3698=""region"",vlookup(REGEXEXTRACT(C3698, ""🏘️ \w+ \w+ (.*) ✅""),'Region prepositions'!B:F, 5, 0),  REGEXEXTRACT(C3698, ""🏘️ \w+ \w+ (.*) ✅""))))"),"#N/A")</f>
        <v>#N/A</v>
      </c>
      <c r="I3698" s="4" t="str">
        <f>IFERROR(__xludf.DUMMYFUNCTION("if(D3698=""variant"",  substitute(filter(Templates!E:E, Templates!A:A = F3698, Templates!B:B = G3698, Templates!C:C = H3698), ""{{}}"", E3698), B3698)"),"Vendre maison Irlande: Trouvez le bien immobilier qui correspond idéalement à vos désirs sur ImmoScout24 - La plateforme de l'immobilier en Suisse.")</f>
        <v>Vendre maison Irlande: Trouvez le bien immobilier qui correspond idéalement à vos désirs sur ImmoScout24 - La plateforme de l'immobilier en Suisse.</v>
      </c>
    </row>
    <row r="3699" hidden="1">
      <c r="A3699" s="5" t="s">
        <v>10500</v>
      </c>
      <c r="B3699" s="2" t="s">
        <v>10501</v>
      </c>
      <c r="C3699" s="2" t="s">
        <v>10501</v>
      </c>
      <c r="D3699" s="4" t="str">
        <f>vlookup(A3699, Sheet2!D:E, 2, 0)</f>
        <v>control</v>
      </c>
      <c r="E3699" s="4" t="str">
        <f>IFERROR(__xludf.DUMMYFUNCTION("if(H3699=""pays"",vlookup(REGEXEXTRACT(C3699, ""🏘️ \w+ \w+ (.*) ✅""),'Country prepositions'!A:B, 2, 0) &amp; "" "" &amp; REGEXEXTRACT(C3699, ""🏘️ \w+ \w+ (.*) ✅"") ,  if(H3699=""quartier"",vlookup(REGEXEXTRACT(C3699, ""🏘️ \w+ \w+ (.*) ✅""),'Quartier prepositio"&amp;"ns'!A:E, 5, 0) ,  if(H3699=""region"",vlookup(REGEXEXTRACT(C3699, ""🏘️ \w+ \w+ (.*) ✅""),'Region prepositions'!B:F, 5, 0),  REGEXEXTRACT(C3699, ""🏘️ \w+ \w+ (.*) ✅""))))"),"#N/A")</f>
        <v>#N/A</v>
      </c>
      <c r="I3699" s="4" t="str">
        <f>IFERROR(__xludf.DUMMYFUNCTION("if(D3699=""variant"",  substitute(filter(Templates!E:E, Templates!A:A = F3699, Templates!B:B = G3699, Templates!C:C = H3699), ""{{}}"", E3699), B3699)"),"Louer appartement Stalden VS: Trouvez le bien immobilier qui correspond idéalement à vos désirs sur ImmoScout24 - La plateforme de l'immobilier en Suisse.")</f>
        <v>Louer appartement Stalden VS: Trouvez le bien immobilier qui correspond idéalement à vos désirs sur ImmoScout24 - La plateforme de l'immobilier en Suisse.</v>
      </c>
    </row>
    <row r="3700" hidden="1">
      <c r="A3700" s="5" t="s">
        <v>10502</v>
      </c>
      <c r="B3700" s="2" t="s">
        <v>10503</v>
      </c>
      <c r="C3700" s="2" t="s">
        <v>10503</v>
      </c>
      <c r="D3700" s="4" t="str">
        <f>vlookup(A3700, Sheet2!D:E, 2, 0)</f>
        <v>control</v>
      </c>
      <c r="E3700" s="4" t="str">
        <f>IFERROR(__xludf.DUMMYFUNCTION("if(H3700=""pays"",vlookup(REGEXEXTRACT(C3700, ""🏘️ \w+ \w+ (.*) ✅""),'Country prepositions'!A:B, 2, 0) &amp; "" "" &amp; REGEXEXTRACT(C3700, ""🏘️ \w+ \w+ (.*) ✅"") ,  if(H3700=""quartier"",vlookup(REGEXEXTRACT(C3700, ""🏘️ \w+ \w+ (.*) ✅""),'Quartier prepositio"&amp;"ns'!A:E, 5, 0) ,  if(H3700=""region"",vlookup(REGEXEXTRACT(C3700, ""🏘️ \w+ \w+ (.*) ✅""),'Region prepositions'!B:F, 5, 0),  REGEXEXTRACT(C3700, ""🏘️ \w+ \w+ (.*) ✅""))))"),"#N/A")</f>
        <v>#N/A</v>
      </c>
      <c r="I3700" s="4" t="str">
        <f>IFERROR(__xludf.DUMMYFUNCTION("if(D3700=""variant"",  substitute(filter(Templates!E:E, Templates!A:A = F3700, Templates!B:B = G3700, Templates!C:C = H3700), ""{{}}"", E3700), B3700)"),"Vendre appartement Villars-le-Terroir: Trouvez le bien immobilier qui correspond idéalement à vos désirs sur ImmoScout24 - La plateforme de l'immobilier en Suisse.")</f>
        <v>Vendre appartement Villars-le-Terroir: Trouvez le bien immobilier qui correspond idéalement à vos désirs sur ImmoScout24 - La plateforme de l'immobilier en Suisse.</v>
      </c>
    </row>
    <row r="3701" hidden="1">
      <c r="A3701" s="5" t="s">
        <v>10504</v>
      </c>
      <c r="B3701" s="2" t="s">
        <v>10505</v>
      </c>
      <c r="C3701" s="2" t="s">
        <v>10505</v>
      </c>
      <c r="D3701" s="4" t="str">
        <f>vlookup(A3701, Sheet2!D:E, 2, 0)</f>
        <v>control</v>
      </c>
      <c r="E3701" s="4" t="str">
        <f>IFERROR(__xludf.DUMMYFUNCTION("if(H3701=""pays"",vlookup(REGEXEXTRACT(C3701, ""🏘️ \w+ \w+ (.*) ✅""),'Country prepositions'!A:B, 2, 0) &amp; "" "" &amp; REGEXEXTRACT(C3701, ""🏘️ \w+ \w+ (.*) ✅"") ,  if(H3701=""quartier"",vlookup(REGEXEXTRACT(C3701, ""🏘️ \w+ \w+ (.*) ✅""),'Quartier prepositio"&amp;"ns'!A:E, 5, 0) ,  if(H3701=""region"",vlookup(REGEXEXTRACT(C3701, ""🏘️ \w+ \w+ (.*) ✅""),'Region prepositions'!B:F, 5, 0),  REGEXEXTRACT(C3701, ""🏘️ \w+ \w+ (.*) ✅""))))"),"#N/A")</f>
        <v>#N/A</v>
      </c>
      <c r="I3701" s="4" t="str">
        <f>IFERROR(__xludf.DUMMYFUNCTION("if(D3701=""variant"",  substitute(filter(Templates!E:E, Templates!A:A = F3701, Templates!B:B = G3701, Templates!C:C = H3701), ""{{}}"", E3701), B3701)"),"Vendre appartement Arbedo: Trouvez le bien immobilier qui correspond idéalement à vos désirs sur ImmoScout24 - La plateforme de l'immobilier en Suisse.")</f>
        <v>Vendre appartement Arbedo: Trouvez le bien immobilier qui correspond idéalement à vos désirs sur ImmoScout24 - La plateforme de l'immobilier en Suisse.</v>
      </c>
    </row>
    <row r="3702" hidden="1">
      <c r="A3702" s="5" t="s">
        <v>10506</v>
      </c>
      <c r="B3702" s="2" t="s">
        <v>10507</v>
      </c>
      <c r="C3702" s="2" t="s">
        <v>10507</v>
      </c>
      <c r="D3702" s="4" t="str">
        <f>vlookup(A3702, Sheet2!D:E, 2, 0)</f>
        <v>control</v>
      </c>
      <c r="E3702" s="4" t="str">
        <f>IFERROR(__xludf.DUMMYFUNCTION("if(H3702=""pays"",vlookup(REGEXEXTRACT(C3702, ""🏘️ \w+ \w+ (.*) ✅""),'Country prepositions'!A:B, 2, 0) &amp; "" "" &amp; REGEXEXTRACT(C3702, ""🏘️ \w+ \w+ (.*) ✅"") ,  if(H3702=""quartier"",vlookup(REGEXEXTRACT(C3702, ""🏘️ \w+ \w+ (.*) ✅""),'Quartier prepositio"&amp;"ns'!A:E, 5, 0) ,  if(H3702=""region"",vlookup(REGEXEXTRACT(C3702, ""🏘️ \w+ \w+ (.*) ✅""),'Region prepositions'!B:F, 5, 0),  REGEXEXTRACT(C3702, ""🏘️ \w+ \w+ (.*) ✅""))))"),"#N/A")</f>
        <v>#N/A</v>
      </c>
      <c r="I3702" s="4" t="str">
        <f>IFERROR(__xludf.DUMMYFUNCTION("if(D3702=""variant"",  substitute(filter(Templates!E:E, Templates!A:A = F3702, Templates!B:B = G3702, Templates!C:C = H3702), ""{{}}"", E3702), B3702)"),"Vendre appartement Soleure et environs: Trouvez le bien immobilier qui correspond idéalement à vos désirs sur ImmoScout24 - La plateforme de l'immobilier en Suisse.")</f>
        <v>Vendre appartement Soleure et environs: Trouvez le bien immobilier qui correspond idéalement à vos désirs sur ImmoScout24 - La plateforme de l'immobilier en Suisse.</v>
      </c>
    </row>
    <row r="3703" hidden="1">
      <c r="A3703" s="5" t="s">
        <v>10508</v>
      </c>
      <c r="B3703" s="2" t="s">
        <v>10509</v>
      </c>
      <c r="C3703" s="2" t="s">
        <v>10509</v>
      </c>
      <c r="D3703" s="4" t="str">
        <f>vlookup(A3703, Sheet2!D:E, 2, 0)</f>
        <v>control</v>
      </c>
      <c r="E3703" s="4" t="str">
        <f>IFERROR(__xludf.DUMMYFUNCTION("if(H3703=""pays"",vlookup(REGEXEXTRACT(C3703, ""🏘️ \w+ \w+ (.*) ✅""),'Country prepositions'!A:B, 2, 0) &amp; "" "" &amp; REGEXEXTRACT(C3703, ""🏘️ \w+ \w+ (.*) ✅"") ,  if(H3703=""quartier"",vlookup(REGEXEXTRACT(C3703, ""🏘️ \w+ \w+ (.*) ✅""),'Quartier prepositio"&amp;"ns'!A:E, 5, 0) ,  if(H3703=""region"",vlookup(REGEXEXTRACT(C3703, ""🏘️ \w+ \w+ (.*) ✅""),'Region prepositions'!B:F, 5, 0),  REGEXEXTRACT(C3703, ""🏘️ \w+ \w+ (.*) ✅""))))"),"#N/A")</f>
        <v>#N/A</v>
      </c>
      <c r="I3703" s="4" t="str">
        <f>IFERROR(__xludf.DUMMYFUNCTION("if(D3703=""variant"",  substitute(filter(Templates!E:E, Templates!A:A = F3703, Templates!B:B = G3703, Templates!C:C = H3703), ""{{}}"", E3703), B3703)"),"Vendre maison Agarn: Trouvez le bien immobilier qui correspond idéalement à vos désirs sur ImmoScout24 - La plateforme de l'immobilier en Suisse.")</f>
        <v>Vendre maison Agarn: Trouvez le bien immobilier qui correspond idéalement à vos désirs sur ImmoScout24 - La plateforme de l'immobilier en Suisse.</v>
      </c>
    </row>
    <row r="3704" hidden="1">
      <c r="A3704" s="5" t="s">
        <v>10510</v>
      </c>
      <c r="B3704" s="2" t="s">
        <v>10511</v>
      </c>
      <c r="C3704" s="2" t="s">
        <v>10511</v>
      </c>
      <c r="D3704" s="4" t="str">
        <f>vlookup(A3704, Sheet2!D:E, 2, 0)</f>
        <v>control</v>
      </c>
      <c r="E3704" s="4" t="str">
        <f>IFERROR(__xludf.DUMMYFUNCTION("if(H3704=""pays"",vlookup(REGEXEXTRACT(C3704, ""🏘️ \w+ \w+ (.*) ✅""),'Country prepositions'!A:B, 2, 0) &amp; "" "" &amp; REGEXEXTRACT(C3704, ""🏘️ \w+ \w+ (.*) ✅"") ,  if(H3704=""quartier"",vlookup(REGEXEXTRACT(C3704, ""🏘️ \w+ \w+ (.*) ✅""),'Quartier prepositio"&amp;"ns'!A:E, 5, 0) ,  if(H3704=""region"",vlookup(REGEXEXTRACT(C3704, ""🏘️ \w+ \w+ (.*) ✅""),'Region prepositions'!B:F, 5, 0),  REGEXEXTRACT(C3704, ""🏘️ \w+ \w+ (.*) ✅""))))"),"#N/A")</f>
        <v>#N/A</v>
      </c>
      <c r="I3704" s="4" t="str">
        <f>IFERROR(__xludf.DUMMYFUNCTION("if(D3704=""variant"",  substitute(filter(Templates!E:E, Templates!A:A = F3704, Templates!B:B = G3704, Templates!C:C = H3704), ""{{}}"", E3704), B3704)"),"Vendre maison Forch: Trouvez le bien immobilier qui correspond idéalement à vos désirs sur ImmoScout24 - La plateforme de l'immobilier en Suisse.")</f>
        <v>Vendre maison Forch: Trouvez le bien immobilier qui correspond idéalement à vos désirs sur ImmoScout24 - La plateforme de l'immobilier en Suisse.</v>
      </c>
    </row>
    <row r="3705" hidden="1">
      <c r="A3705" s="5" t="s">
        <v>10512</v>
      </c>
      <c r="B3705" s="2" t="s">
        <v>10513</v>
      </c>
      <c r="C3705" s="2" t="s">
        <v>10513</v>
      </c>
      <c r="D3705" s="4" t="str">
        <f>vlookup(A3705, Sheet2!D:E, 2, 0)</f>
        <v>control</v>
      </c>
      <c r="E3705" s="4" t="str">
        <f>IFERROR(__xludf.DUMMYFUNCTION("if(H3705=""pays"",vlookup(REGEXEXTRACT(C3705, ""🏘️ \w+ \w+ (.*) ✅""),'Country prepositions'!A:B, 2, 0) &amp; "" "" &amp; REGEXEXTRACT(C3705, ""🏘️ \w+ \w+ (.*) ✅"") ,  if(H3705=""quartier"",vlookup(REGEXEXTRACT(C3705, ""🏘️ \w+ \w+ (.*) ✅""),'Quartier prepositio"&amp;"ns'!A:E, 5, 0) ,  if(H3705=""region"",vlookup(REGEXEXTRACT(C3705, ""🏘️ \w+ \w+ (.*) ✅""),'Region prepositions'!B:F, 5, 0),  REGEXEXTRACT(C3705, ""🏘️ \w+ \w+ (.*) ✅""))))"),"#N/A")</f>
        <v>#N/A</v>
      </c>
      <c r="I3705" s="4" t="str">
        <f>IFERROR(__xludf.DUMMYFUNCTION("if(D3705=""variant"",  substitute(filter(Templates!E:E, Templates!A:A = F3705, Templates!B:B = G3705, Templates!C:C = H3705), ""{{}}"", E3705), B3705)"),"Vendre maison Dättwil AG: Trouvez le bien immobilier qui correspond idéalement à vos désirs sur ImmoScout24 - La plateforme de l'immobilier en Suisse.")</f>
        <v>Vendre maison Dättwil AG: Trouvez le bien immobilier qui correspond idéalement à vos désirs sur ImmoScout24 - La plateforme de l'immobilier en Suisse.</v>
      </c>
    </row>
    <row r="3706" hidden="1">
      <c r="A3706" s="5" t="s">
        <v>10514</v>
      </c>
      <c r="B3706" s="2" t="s">
        <v>10515</v>
      </c>
      <c r="C3706" s="2" t="s">
        <v>10515</v>
      </c>
      <c r="D3706" s="4" t="str">
        <f>vlookup(A3706, Sheet2!D:E, 2, 0)</f>
        <v>control</v>
      </c>
      <c r="E3706" s="4" t="str">
        <f>IFERROR(__xludf.DUMMYFUNCTION("if(H3706=""pays"",vlookup(REGEXEXTRACT(C3706, ""🏘️ \w+ \w+ (.*) ✅""),'Country prepositions'!A:B, 2, 0) &amp; "" "" &amp; REGEXEXTRACT(C3706, ""🏘️ \w+ \w+ (.*) ✅"") ,  if(H3706=""quartier"",vlookup(REGEXEXTRACT(C3706, ""🏘️ \w+ \w+ (.*) ✅""),'Quartier prepositio"&amp;"ns'!A:E, 5, 0) ,  if(H3706=""region"",vlookup(REGEXEXTRACT(C3706, ""🏘️ \w+ \w+ (.*) ✅""),'Region prepositions'!B:F, 5, 0),  REGEXEXTRACT(C3706, ""🏘️ \w+ \w+ (.*) ✅""))))"),"#N/A")</f>
        <v>#N/A</v>
      </c>
      <c r="I3706" s="4" t="str">
        <f>IFERROR(__xludf.DUMMYFUNCTION("if(D3706=""variant"",  substitute(filter(Templates!E:E, Templates!A:A = F3706, Templates!B:B = G3706, Templates!C:C = H3706), ""{{}}"", E3706), B3706)"),"Louer maison Conches: Trouvez le bien immobilier qui correspond idéalement à vos désirs sur ImmoScout24 - La plateforme de l'immobilier en Suisse.")</f>
        <v>Louer maison Conches: Trouvez le bien immobilier qui correspond idéalement à vos désirs sur ImmoScout24 - La plateforme de l'immobilier en Suisse.</v>
      </c>
    </row>
    <row r="3707" hidden="1">
      <c r="A3707" s="5" t="s">
        <v>10516</v>
      </c>
      <c r="B3707" s="2" t="s">
        <v>10517</v>
      </c>
      <c r="C3707" s="2" t="s">
        <v>10517</v>
      </c>
      <c r="D3707" s="4" t="str">
        <f>vlookup(A3707, Sheet2!D:E, 2, 0)</f>
        <v>control</v>
      </c>
      <c r="E3707" s="4" t="str">
        <f>IFERROR(__xludf.DUMMYFUNCTION("if(H3707=""pays"",vlookup(REGEXEXTRACT(C3707, ""🏘️ \w+ \w+ (.*) ✅""),'Country prepositions'!A:B, 2, 0) &amp; "" "" &amp; REGEXEXTRACT(C3707, ""🏘️ \w+ \w+ (.*) ✅"") ,  if(H3707=""quartier"",vlookup(REGEXEXTRACT(C3707, ""🏘️ \w+ \w+ (.*) ✅""),'Quartier prepositio"&amp;"ns'!A:E, 5, 0) ,  if(H3707=""region"",vlookup(REGEXEXTRACT(C3707, ""🏘️ \w+ \w+ (.*) ✅""),'Region prepositions'!B:F, 5, 0),  REGEXEXTRACT(C3707, ""🏘️ \w+ \w+ (.*) ✅""))))"),"#N/A")</f>
        <v>#N/A</v>
      </c>
      <c r="I3707" s="4" t="str">
        <f>IFERROR(__xludf.DUMMYFUNCTION("if(D3707=""variant"",  substitute(filter(Templates!E:E, Templates!A:A = F3707, Templates!B:B = G3707, Templates!C:C = H3707), ""{{}}"", E3707), B3707)"),"Vendre maison Gümligen: Trouvez le bien immobilier qui correspond idéalement à vos désirs sur ImmoScout24 - La plateforme de l'immobilier en Suisse.")</f>
        <v>Vendre maison Gümligen: Trouvez le bien immobilier qui correspond idéalement à vos désirs sur ImmoScout24 - La plateforme de l'immobilier en Suisse.</v>
      </c>
    </row>
    <row r="3708" hidden="1">
      <c r="A3708" s="5" t="s">
        <v>10518</v>
      </c>
      <c r="B3708" s="2" t="s">
        <v>10519</v>
      </c>
      <c r="C3708" s="2" t="s">
        <v>10519</v>
      </c>
      <c r="D3708" s="4" t="str">
        <f>vlookup(A3708, Sheet2!D:E, 2, 0)</f>
        <v>control</v>
      </c>
      <c r="E3708" s="4" t="str">
        <f>IFERROR(__xludf.DUMMYFUNCTION("if(H3708=""pays"",vlookup(REGEXEXTRACT(C3708, ""🏘️ \w+ \w+ (.*) ✅""),'Country prepositions'!A:B, 2, 0) &amp; "" "" &amp; REGEXEXTRACT(C3708, ""🏘️ \w+ \w+ (.*) ✅"") ,  if(H3708=""quartier"",vlookup(REGEXEXTRACT(C3708, ""🏘️ \w+ \w+ (.*) ✅""),'Quartier prepositio"&amp;"ns'!A:E, 5, 0) ,  if(H3708=""region"",vlookup(REGEXEXTRACT(C3708, ""🏘️ \w+ \w+ (.*) ✅""),'Region prepositions'!B:F, 5, 0),  REGEXEXTRACT(C3708, ""🏘️ \w+ \w+ (.*) ✅""))))"),"#N/A")</f>
        <v>#N/A</v>
      </c>
      <c r="I3708" s="4" t="str">
        <f>IFERROR(__xludf.DUMMYFUNCTION("if(D3708=""variant"",  substitute(filter(Templates!E:E, Templates!A:A = F3708, Templates!B:B = G3708, Templates!C:C = H3708), ""{{}}"", E3708), B3708)"),"Louer maison Bourg (Fribourg): Trouvez le bien immobilier qui correspond idéalement à vos désirs sur ImmoScout24 - La plateforme de l'immobilier en Suisse.")</f>
        <v>Louer maison Bourg (Fribourg): Trouvez le bien immobilier qui correspond idéalement à vos désirs sur ImmoScout24 - La plateforme de l'immobilier en Suisse.</v>
      </c>
    </row>
    <row r="3709" hidden="1">
      <c r="A3709" s="5" t="s">
        <v>10520</v>
      </c>
      <c r="B3709" s="2" t="s">
        <v>10521</v>
      </c>
      <c r="C3709" s="2" t="s">
        <v>10521</v>
      </c>
      <c r="D3709" s="4" t="str">
        <f>vlookup(A3709, Sheet2!D:E, 2, 0)</f>
        <v>control</v>
      </c>
      <c r="E3709" s="4" t="str">
        <f>IFERROR(__xludf.DUMMYFUNCTION("if(H3709=""pays"",vlookup(REGEXEXTRACT(C3709, ""🏘️ \w+ \w+ (.*) ✅""),'Country prepositions'!A:B, 2, 0) &amp; "" "" &amp; REGEXEXTRACT(C3709, ""🏘️ \w+ \w+ (.*) ✅"") ,  if(H3709=""quartier"",vlookup(REGEXEXTRACT(C3709, ""🏘️ \w+ \w+ (.*) ✅""),'Quartier prepositio"&amp;"ns'!A:E, 5, 0) ,  if(H3709=""region"",vlookup(REGEXEXTRACT(C3709, ""🏘️ \w+ \w+ (.*) ✅""),'Region prepositions'!B:F, 5, 0),  REGEXEXTRACT(C3709, ""🏘️ \w+ \w+ (.*) ✅""))))"),"#N/A")</f>
        <v>#N/A</v>
      </c>
      <c r="I3709" s="4" t="str">
        <f>IFERROR(__xludf.DUMMYFUNCTION("if(D3709=""variant"",  substitute(filter(Templates!E:E, Templates!A:A = F3709, Templates!B:B = G3709, Templates!C:C = H3709), ""{{}}"", E3709), B3709)"),"Vendre appartement Lausanne: Trouvez le bien immobilier qui correspond idéalement à vos désirs sur ImmoScout24 - La plateforme de l'immobilier en Suisse.")</f>
        <v>Vendre appartement Lausanne: Trouvez le bien immobilier qui correspond idéalement à vos désirs sur ImmoScout24 - La plateforme de l'immobilier en Suisse.</v>
      </c>
    </row>
    <row r="3710" hidden="1">
      <c r="A3710" s="5" t="s">
        <v>10522</v>
      </c>
      <c r="B3710" s="2" t="s">
        <v>10523</v>
      </c>
      <c r="C3710" s="2" t="s">
        <v>10523</v>
      </c>
      <c r="D3710" s="4" t="str">
        <f>vlookup(A3710, Sheet2!D:E, 2, 0)</f>
        <v>control</v>
      </c>
      <c r="E3710" s="4" t="str">
        <f>IFERROR(__xludf.DUMMYFUNCTION("if(H3710=""pays"",vlookup(REGEXEXTRACT(C3710, ""🏘️ \w+ \w+ (.*) ✅""),'Country prepositions'!A:B, 2, 0) &amp; "" "" &amp; REGEXEXTRACT(C3710, ""🏘️ \w+ \w+ (.*) ✅"") ,  if(H3710=""quartier"",vlookup(REGEXEXTRACT(C3710, ""🏘️ \w+ \w+ (.*) ✅""),'Quartier prepositio"&amp;"ns'!A:E, 5, 0) ,  if(H3710=""region"",vlookup(REGEXEXTRACT(C3710, ""🏘️ \w+ \w+ (.*) ✅""),'Region prepositions'!B:F, 5, 0),  REGEXEXTRACT(C3710, ""🏘️ \w+ \w+ (.*) ✅""))))"),"#N/A")</f>
        <v>#N/A</v>
      </c>
      <c r="I3710" s="4" t="str">
        <f>IFERROR(__xludf.DUMMYFUNCTION("if(D3710=""variant"",  substitute(filter(Templates!E:E, Templates!A:A = F3710, Templates!B:B = G3710, Templates!C:C = H3710), ""{{}}"", E3710), B3710)"),"Vendre maison Sursee: Trouvez le bien immobilier qui correspond idéalement à vos désirs sur ImmoScout24 - La plateforme de l'immobilier en Suisse.")</f>
        <v>Vendre maison Sursee: Trouvez le bien immobilier qui correspond idéalement à vos désirs sur ImmoScout24 - La plateforme de l'immobilier en Suisse.</v>
      </c>
    </row>
    <row r="3711" hidden="1">
      <c r="A3711" s="5" t="s">
        <v>10524</v>
      </c>
      <c r="B3711" s="2" t="s">
        <v>10525</v>
      </c>
      <c r="C3711" s="2" t="s">
        <v>10525</v>
      </c>
      <c r="D3711" s="4" t="str">
        <f>vlookup(A3711, Sheet2!D:E, 2, 0)</f>
        <v>control</v>
      </c>
      <c r="E3711" s="4" t="str">
        <f>IFERROR(__xludf.DUMMYFUNCTION("if(H3711=""pays"",vlookup(REGEXEXTRACT(C3711, ""🏘️ \w+ \w+ (.*) ✅""),'Country prepositions'!A:B, 2, 0) &amp; "" "" &amp; REGEXEXTRACT(C3711, ""🏘️ \w+ \w+ (.*) ✅"") ,  if(H3711=""quartier"",vlookup(REGEXEXTRACT(C3711, ""🏘️ \w+ \w+ (.*) ✅""),'Quartier prepositio"&amp;"ns'!A:E, 5, 0) ,  if(H3711=""region"",vlookup(REGEXEXTRACT(C3711, ""🏘️ \w+ \w+ (.*) ✅""),'Region prepositions'!B:F, 5, 0),  REGEXEXTRACT(C3711, ""🏘️ \w+ \w+ (.*) ✅""))))"),"#N/A")</f>
        <v>#N/A</v>
      </c>
      <c r="I3711" s="4" t="str">
        <f>IFERROR(__xludf.DUMMYFUNCTION("if(D3711=""variant"",  substitute(filter(Templates!E:E, Templates!A:A = F3711, Templates!B:B = G3711, Templates!C:C = H3711), ""{{}}"", E3711), B3711)"),"Louer appartement Arnex-sur-Nyon: Trouvez le bien immobilier qui correspond idéalement à vos désirs sur ImmoScout24 - La plateforme de l'immobilier en Suisse.")</f>
        <v>Louer appartement Arnex-sur-Nyon: Trouvez le bien immobilier qui correspond idéalement à vos désirs sur ImmoScout24 - La plateforme de l'immobilier en Suisse.</v>
      </c>
    </row>
    <row r="3712" hidden="1">
      <c r="A3712" s="5" t="s">
        <v>10526</v>
      </c>
      <c r="B3712" s="2" t="s">
        <v>10527</v>
      </c>
      <c r="C3712" s="2" t="s">
        <v>10527</v>
      </c>
      <c r="D3712" s="4" t="str">
        <f>vlookup(A3712, Sheet2!D:E, 2, 0)</f>
        <v>control</v>
      </c>
      <c r="E3712" s="4" t="str">
        <f>IFERROR(__xludf.DUMMYFUNCTION("if(H3712=""pays"",vlookup(REGEXEXTRACT(C3712, ""🏘️ \w+ \w+ (.*) ✅""),'Country prepositions'!A:B, 2, 0) &amp; "" "" &amp; REGEXEXTRACT(C3712, ""🏘️ \w+ \w+ (.*) ✅"") ,  if(H3712=""quartier"",vlookup(REGEXEXTRACT(C3712, ""🏘️ \w+ \w+ (.*) ✅""),'Quartier prepositio"&amp;"ns'!A:E, 5, 0) ,  if(H3712=""region"",vlookup(REGEXEXTRACT(C3712, ""🏘️ \w+ \w+ (.*) ✅""),'Region prepositions'!B:F, 5, 0),  REGEXEXTRACT(C3712, ""🏘️ \w+ \w+ (.*) ✅""))))"),"#N/A")</f>
        <v>#N/A</v>
      </c>
      <c r="I3712" s="4" t="str">
        <f>IFERROR(__xludf.DUMMYFUNCTION("if(D3712=""variant"",  substitute(filter(Templates!E:E, Templates!A:A = F3712, Templates!B:B = G3712, Templates!C:C = H3712), ""{{}}"", E3712), B3712)"),"Vendre appartement Sonvico (Lugano): Trouvez le bien immobilier qui correspond idéalement à vos désirs sur ImmoScout24 - La plateforme de l'immobilier en Suisse.")</f>
        <v>Vendre appartement Sonvico (Lugano): Trouvez le bien immobilier qui correspond idéalement à vos désirs sur ImmoScout24 - La plateforme de l'immobilier en Suisse.</v>
      </c>
    </row>
    <row r="3713" hidden="1">
      <c r="A3713" s="5" t="s">
        <v>10528</v>
      </c>
      <c r="B3713" s="2" t="s">
        <v>10529</v>
      </c>
      <c r="C3713" s="2" t="s">
        <v>10529</v>
      </c>
      <c r="D3713" s="4" t="str">
        <f>vlookup(A3713, Sheet2!D:E, 2, 0)</f>
        <v>control</v>
      </c>
      <c r="E3713" s="4" t="str">
        <f>IFERROR(__xludf.DUMMYFUNCTION("if(H3713=""pays"",vlookup(REGEXEXTRACT(C3713, ""🏘️ \w+ \w+ (.*) ✅""),'Country prepositions'!A:B, 2, 0) &amp; "" "" &amp; REGEXEXTRACT(C3713, ""🏘️ \w+ \w+ (.*) ✅"") ,  if(H3713=""quartier"",vlookup(REGEXEXTRACT(C3713, ""🏘️ \w+ \w+ (.*) ✅""),'Quartier prepositio"&amp;"ns'!A:E, 5, 0) ,  if(H3713=""region"",vlookup(REGEXEXTRACT(C3713, ""🏘️ \w+ \w+ (.*) ✅""),'Region prepositions'!B:F, 5, 0),  REGEXEXTRACT(C3713, ""🏘️ \w+ \w+ (.*) ✅""))))"),"#N/A")</f>
        <v>#N/A</v>
      </c>
      <c r="I3713" s="4" t="str">
        <f>IFERROR(__xludf.DUMMYFUNCTION("if(D3713=""variant"",  substitute(filter(Templates!E:E, Templates!A:A = F3713, Templates!B:B = G3713, Templates!C:C = H3713), ""{{}}"", E3713), B3713)"),"Vendre appartement Champex-Lac: Trouvez le bien immobilier qui correspond idéalement à vos désirs sur ImmoScout24 - La plateforme de l'immobilier en Suisse.")</f>
        <v>Vendre appartement Champex-Lac: Trouvez le bien immobilier qui correspond idéalement à vos désirs sur ImmoScout24 - La plateforme de l'immobilier en Suisse.</v>
      </c>
    </row>
    <row r="3714" hidden="1">
      <c r="A3714" s="5" t="s">
        <v>10530</v>
      </c>
      <c r="B3714" s="2" t="s">
        <v>10531</v>
      </c>
      <c r="C3714" s="2" t="s">
        <v>10531</v>
      </c>
      <c r="D3714" s="4" t="str">
        <f>vlookup(A3714, Sheet2!D:E, 2, 0)</f>
        <v>control</v>
      </c>
      <c r="E3714" s="4" t="str">
        <f>IFERROR(__xludf.DUMMYFUNCTION("if(H3714=""pays"",vlookup(REGEXEXTRACT(C3714, ""🏘️ \w+ \w+ (.*) ✅""),'Country prepositions'!A:B, 2, 0) &amp; "" "" &amp; REGEXEXTRACT(C3714, ""🏘️ \w+ \w+ (.*) ✅"") ,  if(H3714=""quartier"",vlookup(REGEXEXTRACT(C3714, ""🏘️ \w+ \w+ (.*) ✅""),'Quartier prepositio"&amp;"ns'!A:E, 5, 0) ,  if(H3714=""region"",vlookup(REGEXEXTRACT(C3714, ""🏘️ \w+ \w+ (.*) ✅""),'Region prepositions'!B:F, 5, 0),  REGEXEXTRACT(C3714, ""🏘️ \w+ \w+ (.*) ✅""))))"),"#N/A")</f>
        <v>#N/A</v>
      </c>
      <c r="I3714" s="4" t="str">
        <f>IFERROR(__xludf.DUMMYFUNCTION("if(D3714=""variant"",  substitute(filter(Templates!E:E, Templates!A:A = F3714, Templates!B:B = G3714, Templates!C:C = H3714), ""{{}}"", E3714), B3714)"),"Louer appartement Buchs SG: Trouvez le bien immobilier qui correspond idéalement à vos désirs sur ImmoScout24 - La plateforme de l'immobilier en Suisse.")</f>
        <v>Louer appartement Buchs SG: Trouvez le bien immobilier qui correspond idéalement à vos désirs sur ImmoScout24 - La plateforme de l'immobilier en Suisse.</v>
      </c>
    </row>
    <row r="3715" hidden="1">
      <c r="A3715" s="5" t="s">
        <v>10532</v>
      </c>
      <c r="B3715" s="2" t="s">
        <v>10533</v>
      </c>
      <c r="C3715" s="2" t="s">
        <v>10533</v>
      </c>
      <c r="D3715" s="4" t="str">
        <f>vlookup(A3715, Sheet2!D:E, 2, 0)</f>
        <v>control</v>
      </c>
      <c r="E3715" s="4" t="str">
        <f>IFERROR(__xludf.DUMMYFUNCTION("if(H3715=""pays"",vlookup(REGEXEXTRACT(C3715, ""🏘️ \w+ \w+ (.*) ✅""),'Country prepositions'!A:B, 2, 0) &amp; "" "" &amp; REGEXEXTRACT(C3715, ""🏘️ \w+ \w+ (.*) ✅"") ,  if(H3715=""quartier"",vlookup(REGEXEXTRACT(C3715, ""🏘️ \w+ \w+ (.*) ✅""),'Quartier prepositio"&amp;"ns'!A:E, 5, 0) ,  if(H3715=""region"",vlookup(REGEXEXTRACT(C3715, ""🏘️ \w+ \w+ (.*) ✅""),'Region prepositions'!B:F, 5, 0),  REGEXEXTRACT(C3715, ""🏘️ \w+ \w+ (.*) ✅""))))"),"#N/A")</f>
        <v>#N/A</v>
      </c>
      <c r="I3715" s="4" t="str">
        <f>IFERROR(__xludf.DUMMYFUNCTION("if(D3715=""variant"",  substitute(filter(Templates!E:E, Templates!A:A = F3715, Templates!B:B = G3715, Templates!C:C = H3715), ""{{}}"", E3715), B3715)"),"Louer appartement Muraz (Collombey): Trouvez le bien immobilier qui correspond idéalement à vos désirs sur ImmoScout24 - La plateforme de l'immobilier en Suisse.")</f>
        <v>Louer appartement Muraz (Collombey): Trouvez le bien immobilier qui correspond idéalement à vos désirs sur ImmoScout24 - La plateforme de l'immobilier en Suisse.</v>
      </c>
    </row>
    <row r="3716" hidden="1">
      <c r="A3716" s="5" t="s">
        <v>10534</v>
      </c>
      <c r="B3716" s="2" t="s">
        <v>10535</v>
      </c>
      <c r="C3716" s="2" t="s">
        <v>10535</v>
      </c>
      <c r="D3716" s="4" t="str">
        <f>vlookup(A3716, Sheet2!D:E, 2, 0)</f>
        <v>control</v>
      </c>
      <c r="E3716" s="4" t="str">
        <f>IFERROR(__xludf.DUMMYFUNCTION("if(H3716=""pays"",vlookup(REGEXEXTRACT(C3716, ""🏘️ \w+ \w+ (.*) ✅""),'Country prepositions'!A:B, 2, 0) &amp; "" "" &amp; REGEXEXTRACT(C3716, ""🏘️ \w+ \w+ (.*) ✅"") ,  if(H3716=""quartier"",vlookup(REGEXEXTRACT(C3716, ""🏘️ \w+ \w+ (.*) ✅""),'Quartier prepositio"&amp;"ns'!A:E, 5, 0) ,  if(H3716=""region"",vlookup(REGEXEXTRACT(C3716, ""🏘️ \w+ \w+ (.*) ✅""),'Region prepositions'!B:F, 5, 0),  REGEXEXTRACT(C3716, ""🏘️ \w+ \w+ (.*) ✅""))))"),"#N/A")</f>
        <v>#N/A</v>
      </c>
      <c r="I3716" s="4" t="str">
        <f>IFERROR(__xludf.DUMMYFUNCTION("if(D3716=""variant"",  substitute(filter(Templates!E:E, Templates!A:A = F3716, Templates!B:B = G3716, Templates!C:C = H3716), ""{{}}"", E3716), B3716)"),"Vendre maison Susch: Trouvez le bien immobilier qui correspond idéalement à vos désirs sur ImmoScout24 - La plateforme de l'immobilier en Suisse.")</f>
        <v>Vendre maison Susch: Trouvez le bien immobilier qui correspond idéalement à vos désirs sur ImmoScout24 - La plateforme de l'immobilier en Suisse.</v>
      </c>
    </row>
    <row r="3717" hidden="1">
      <c r="A3717" s="5" t="s">
        <v>10536</v>
      </c>
      <c r="B3717" s="2" t="s">
        <v>10537</v>
      </c>
      <c r="C3717" s="2" t="s">
        <v>10537</v>
      </c>
      <c r="D3717" s="4" t="str">
        <f>vlookup(A3717, Sheet2!D:E, 2, 0)</f>
        <v>control</v>
      </c>
      <c r="E3717" s="4" t="str">
        <f>IFERROR(__xludf.DUMMYFUNCTION("if(H3717=""pays"",vlookup(REGEXEXTRACT(C3717, ""🏘️ \w+ \w+ (.*) ✅""),'Country prepositions'!A:B, 2, 0) &amp; "" "" &amp; REGEXEXTRACT(C3717, ""🏘️ \w+ \w+ (.*) ✅"") ,  if(H3717=""quartier"",vlookup(REGEXEXTRACT(C3717, ""🏘️ \w+ \w+ (.*) ✅""),'Quartier prepositio"&amp;"ns'!A:E, 5, 0) ,  if(H3717=""region"",vlookup(REGEXEXTRACT(C3717, ""🏘️ \w+ \w+ (.*) ✅""),'Region prepositions'!B:F, 5, 0),  REGEXEXTRACT(C3717, ""🏘️ \w+ \w+ (.*) ✅""))))"),"#N/A")</f>
        <v>#N/A</v>
      </c>
      <c r="I3717" s="4" t="str">
        <f>IFERROR(__xludf.DUMMYFUNCTION("if(D3717=""variant"",  substitute(filter(Templates!E:E, Templates!A:A = F3717, Templates!B:B = G3717, Templates!C:C = H3717), ""{{}}"", E3717), B3717)"),"Vendre maison Campione d'Italia: Trouvez le bien immobilier qui correspond idéalement à vos désirs sur ImmoScout24 - La plateforme de l'immobilier en Suisse.")</f>
        <v>Vendre maison Campione d'Italia: Trouvez le bien immobilier qui correspond idéalement à vos désirs sur ImmoScout24 - La plateforme de l'immobilier en Suisse.</v>
      </c>
    </row>
    <row r="3718" hidden="1">
      <c r="A3718" s="5" t="s">
        <v>10538</v>
      </c>
      <c r="B3718" s="2" t="s">
        <v>10539</v>
      </c>
      <c r="C3718" s="2" t="s">
        <v>10539</v>
      </c>
      <c r="D3718" s="4" t="str">
        <f>vlookup(A3718, Sheet2!D:E, 2, 0)</f>
        <v>control</v>
      </c>
      <c r="E3718" s="4" t="str">
        <f>IFERROR(__xludf.DUMMYFUNCTION("if(H3718=""pays"",vlookup(REGEXEXTRACT(C3718, ""🏘️ \w+ \w+ (.*) ✅""),'Country prepositions'!A:B, 2, 0) &amp; "" "" &amp; REGEXEXTRACT(C3718, ""🏘️ \w+ \w+ (.*) ✅"") ,  if(H3718=""quartier"",vlookup(REGEXEXTRACT(C3718, ""🏘️ \w+ \w+ (.*) ✅""),'Quartier prepositio"&amp;"ns'!A:E, 5, 0) ,  if(H3718=""region"",vlookup(REGEXEXTRACT(C3718, ""🏘️ \w+ \w+ (.*) ✅""),'Region prepositions'!B:F, 5, 0),  REGEXEXTRACT(C3718, ""🏘️ \w+ \w+ (.*) ✅""))))"),"#N/A")</f>
        <v>#N/A</v>
      </c>
      <c r="I3718" s="4" t="str">
        <f>IFERROR(__xludf.DUMMYFUNCTION("if(D3718=""variant"",  substitute(filter(Templates!E:E, Templates!A:A = F3718, Templates!B:B = G3718, Templates!C:C = H3718), ""{{}}"", E3718), B3718)"),"Vendre maison Versoix: Trouvez le bien immobilier qui correspond idéalement à vos désirs sur ImmoScout24 - La plateforme de l'immobilier en Suisse.")</f>
        <v>Vendre maison Versoix: Trouvez le bien immobilier qui correspond idéalement à vos désirs sur ImmoScout24 - La plateforme de l'immobilier en Suisse.</v>
      </c>
    </row>
    <row r="3719" hidden="1">
      <c r="A3719" s="5" t="s">
        <v>10540</v>
      </c>
      <c r="B3719" s="2" t="s">
        <v>10541</v>
      </c>
      <c r="C3719" s="2" t="s">
        <v>10541</v>
      </c>
      <c r="D3719" s="4" t="str">
        <f>vlookup(A3719, Sheet2!D:E, 2, 0)</f>
        <v>control</v>
      </c>
      <c r="E3719" s="4" t="str">
        <f>IFERROR(__xludf.DUMMYFUNCTION("if(H3719=""pays"",vlookup(REGEXEXTRACT(C3719, ""🏘️ \w+ \w+ (.*) ✅""),'Country prepositions'!A:B, 2, 0) &amp; "" "" &amp; REGEXEXTRACT(C3719, ""🏘️ \w+ \w+ (.*) ✅"") ,  if(H3719=""quartier"",vlookup(REGEXEXTRACT(C3719, ""🏘️ \w+ \w+ (.*) ✅""),'Quartier prepositio"&amp;"ns'!A:E, 5, 0) ,  if(H3719=""region"",vlookup(REGEXEXTRACT(C3719, ""🏘️ \w+ \w+ (.*) ✅""),'Region prepositions'!B:F, 5, 0),  REGEXEXTRACT(C3719, ""🏘️ \w+ \w+ (.*) ✅""))))"),"#N/A")</f>
        <v>#N/A</v>
      </c>
      <c r="I3719" s="4" t="str">
        <f>IFERROR(__xludf.DUMMYFUNCTION("if(D3719=""variant"",  substitute(filter(Templates!E:E, Templates!A:A = F3719, Templates!B:B = G3719, Templates!C:C = H3719), ""{{}}"", E3719), B3719)"),"Vendre maison Bösingen: Trouvez le bien immobilier qui correspond idéalement à vos désirs sur ImmoScout24 - La plateforme de l'immobilier en Suisse.")</f>
        <v>Vendre maison Bösingen: Trouvez le bien immobilier qui correspond idéalement à vos désirs sur ImmoScout24 - La plateforme de l'immobilier en Suisse.</v>
      </c>
    </row>
    <row r="3720" hidden="1">
      <c r="A3720" s="5" t="s">
        <v>10542</v>
      </c>
      <c r="B3720" s="2" t="s">
        <v>10543</v>
      </c>
      <c r="C3720" s="2" t="s">
        <v>10543</v>
      </c>
      <c r="D3720" s="4" t="str">
        <f>vlookup(A3720, Sheet2!D:E, 2, 0)</f>
        <v>control</v>
      </c>
      <c r="E3720" s="4" t="str">
        <f>IFERROR(__xludf.DUMMYFUNCTION("if(H3720=""pays"",vlookup(REGEXEXTRACT(C3720, ""🏘️ \w+ \w+ (.*) ✅""),'Country prepositions'!A:B, 2, 0) &amp; "" "" &amp; REGEXEXTRACT(C3720, ""🏘️ \w+ \w+ (.*) ✅"") ,  if(H3720=""quartier"",vlookup(REGEXEXTRACT(C3720, ""🏘️ \w+ \w+ (.*) ✅""),'Quartier prepositio"&amp;"ns'!A:E, 5, 0) ,  if(H3720=""region"",vlookup(REGEXEXTRACT(C3720, ""🏘️ \w+ \w+ (.*) ✅""),'Region prepositions'!B:F, 5, 0),  REGEXEXTRACT(C3720, ""🏘️ \w+ \w+ (.*) ✅""))))"),"#N/A")</f>
        <v>#N/A</v>
      </c>
      <c r="I3720" s="4" t="str">
        <f>IFERROR(__xludf.DUMMYFUNCTION("if(D3720=""variant"",  substitute(filter(Templates!E:E, Templates!A:A = F3720, Templates!B:B = G3720, Templates!C:C = H3720), ""{{}}"", E3720), B3720)"),"Vendre maison Corippo: Trouvez le bien immobilier qui correspond idéalement à vos désirs sur ImmoScout24 - La plateforme de l'immobilier en Suisse.")</f>
        <v>Vendre maison Corippo: Trouvez le bien immobilier qui correspond idéalement à vos désirs sur ImmoScout24 - La plateforme de l'immobilier en Suisse.</v>
      </c>
    </row>
    <row r="3721" hidden="1">
      <c r="A3721" s="5" t="s">
        <v>10544</v>
      </c>
      <c r="B3721" s="2" t="s">
        <v>10545</v>
      </c>
      <c r="C3721" s="2" t="s">
        <v>10545</v>
      </c>
      <c r="D3721" s="4" t="str">
        <f>vlookup(A3721, Sheet2!D:E, 2, 0)</f>
        <v>control</v>
      </c>
      <c r="E3721" s="4" t="str">
        <f>IFERROR(__xludf.DUMMYFUNCTION("if(H3721=""pays"",vlookup(REGEXEXTRACT(C3721, ""🏘️ \w+ \w+ (.*) ✅""),'Country prepositions'!A:B, 2, 0) &amp; "" "" &amp; REGEXEXTRACT(C3721, ""🏘️ \w+ \w+ (.*) ✅"") ,  if(H3721=""quartier"",vlookup(REGEXEXTRACT(C3721, ""🏘️ \w+ \w+ (.*) ✅""),'Quartier prepositio"&amp;"ns'!A:E, 5, 0) ,  if(H3721=""region"",vlookup(REGEXEXTRACT(C3721, ""🏘️ \w+ \w+ (.*) ✅""),'Region prepositions'!B:F, 5, 0),  REGEXEXTRACT(C3721, ""🏘️ \w+ \w+ (.*) ✅""))))"),"#N/A")</f>
        <v>#N/A</v>
      </c>
      <c r="I3721" s="4" t="str">
        <f>IFERROR(__xludf.DUMMYFUNCTION("if(D3721=""variant"",  substitute(filter(Templates!E:E, Templates!A:A = F3721, Templates!B:B = G3721, Templates!C:C = H3721), ""{{}}"", E3721), B3721)"),"Louer appartement Cottens VD: Trouvez le bien immobilier qui correspond idéalement à vos désirs sur ImmoScout24 - La plateforme de l'immobilier en Suisse.")</f>
        <v>Louer appartement Cottens VD: Trouvez le bien immobilier qui correspond idéalement à vos désirs sur ImmoScout24 - La plateforme de l'immobilier en Suisse.</v>
      </c>
    </row>
    <row r="3722" hidden="1">
      <c r="A3722" s="5" t="s">
        <v>10546</v>
      </c>
      <c r="B3722" s="2" t="s">
        <v>10547</v>
      </c>
      <c r="C3722" s="2" t="s">
        <v>10547</v>
      </c>
      <c r="D3722" s="4" t="str">
        <f>vlookup(A3722, Sheet2!D:E, 2, 0)</f>
        <v>control</v>
      </c>
      <c r="E3722" s="4" t="str">
        <f>IFERROR(__xludf.DUMMYFUNCTION("if(H3722=""pays"",vlookup(REGEXEXTRACT(C3722, ""🏘️ \w+ \w+ (.*) ✅""),'Country prepositions'!A:B, 2, 0) &amp; "" "" &amp; REGEXEXTRACT(C3722, ""🏘️ \w+ \w+ (.*) ✅"") ,  if(H3722=""quartier"",vlookup(REGEXEXTRACT(C3722, ""🏘️ \w+ \w+ (.*) ✅""),'Quartier prepositio"&amp;"ns'!A:E, 5, 0) ,  if(H3722=""region"",vlookup(REGEXEXTRACT(C3722, ""🏘️ \w+ \w+ (.*) ✅""),'Region prepositions'!B:F, 5, 0),  REGEXEXTRACT(C3722, ""🏘️ \w+ \w+ (.*) ✅""))))"),"#N/A")</f>
        <v>#N/A</v>
      </c>
      <c r="I3722" s="4" t="str">
        <f>IFERROR(__xludf.DUMMYFUNCTION("if(D3722=""variant"",  substitute(filter(Templates!E:E, Templates!A:A = F3722, Templates!B:B = G3722, Templates!C:C = H3722), ""{{}}"", E3722), B3722)"),"Louer appartement Breite (Bâle): Trouvez le bien immobilier qui correspond idéalement à vos désirs sur ImmoScout24 - La plateforme de l'immobilier en Suisse.")</f>
        <v>Louer appartement Breite (Bâle): Trouvez le bien immobilier qui correspond idéalement à vos désirs sur ImmoScout24 - La plateforme de l'immobilier en Suisse.</v>
      </c>
    </row>
    <row r="3723" hidden="1">
      <c r="A3723" s="5" t="s">
        <v>10548</v>
      </c>
      <c r="B3723" s="2" t="s">
        <v>10549</v>
      </c>
      <c r="C3723" s="2" t="s">
        <v>10549</v>
      </c>
      <c r="D3723" s="4" t="str">
        <f>vlookup(A3723, Sheet2!D:E, 2, 0)</f>
        <v>control</v>
      </c>
      <c r="E3723" s="4" t="str">
        <f>IFERROR(__xludf.DUMMYFUNCTION("if(H3723=""pays"",vlookup(REGEXEXTRACT(C3723, ""🏘️ \w+ \w+ (.*) ✅""),'Country prepositions'!A:B, 2, 0) &amp; "" "" &amp; REGEXEXTRACT(C3723, ""🏘️ \w+ \w+ (.*) ✅"") ,  if(H3723=""quartier"",vlookup(REGEXEXTRACT(C3723, ""🏘️ \w+ \w+ (.*) ✅""),'Quartier prepositio"&amp;"ns'!A:E, 5, 0) ,  if(H3723=""region"",vlookup(REGEXEXTRACT(C3723, ""🏘️ \w+ \w+ (.*) ✅""),'Region prepositions'!B:F, 5, 0),  REGEXEXTRACT(C3723, ""🏘️ \w+ \w+ (.*) ✅""))))"),"#N/A")</f>
        <v>#N/A</v>
      </c>
      <c r="I3723" s="4" t="str">
        <f>IFERROR(__xludf.DUMMYFUNCTION("if(D3723=""variant"",  substitute(filter(Templates!E:E, Templates!A:A = F3723, Templates!B:B = G3723, Templates!C:C = H3723), ""{{}}"", E3723), B3723)"),"Vendre maison Courfaivre: Trouvez le bien immobilier qui correspond idéalement à vos désirs sur ImmoScout24 - La plateforme de l'immobilier en Suisse.")</f>
        <v>Vendre maison Courfaivre: Trouvez le bien immobilier qui correspond idéalement à vos désirs sur ImmoScout24 - La plateforme de l'immobilier en Suisse.</v>
      </c>
    </row>
    <row r="3724" hidden="1">
      <c r="A3724" s="5" t="s">
        <v>10550</v>
      </c>
      <c r="B3724" s="2" t="s">
        <v>10551</v>
      </c>
      <c r="C3724" s="2" t="s">
        <v>10551</v>
      </c>
      <c r="D3724" s="4" t="str">
        <f>vlookup(A3724, Sheet2!D:E, 2, 0)</f>
        <v>control</v>
      </c>
      <c r="E3724" s="4" t="str">
        <f>IFERROR(__xludf.DUMMYFUNCTION("if(H3724=""pays"",vlookup(REGEXEXTRACT(C3724, ""🏘️ \w+ \w+ (.*) ✅""),'Country prepositions'!A:B, 2, 0) &amp; "" "" &amp; REGEXEXTRACT(C3724, ""🏘️ \w+ \w+ (.*) ✅"") ,  if(H3724=""quartier"",vlookup(REGEXEXTRACT(C3724, ""🏘️ \w+ \w+ (.*) ✅""),'Quartier prepositio"&amp;"ns'!A:E, 5, 0) ,  if(H3724=""region"",vlookup(REGEXEXTRACT(C3724, ""🏘️ \w+ \w+ (.*) ✅""),'Region prepositions'!B:F, 5, 0),  REGEXEXTRACT(C3724, ""🏘️ \w+ \w+ (.*) ✅""))))"),"#N/A")</f>
        <v>#N/A</v>
      </c>
      <c r="I3724" s="4" t="str">
        <f>IFERROR(__xludf.DUMMYFUNCTION("if(D3724=""variant"",  substitute(filter(Templates!E:E, Templates!A:A = F3724, Templates!B:B = G3724, Templates!C:C = H3724), ""{{}}"", E3724), B3724)"),"Vendre appartement Adligenswil: Trouvez le bien immobilier qui correspond idéalement à vos désirs sur ImmoScout24 - La plateforme de l'immobilier en Suisse.")</f>
        <v>Vendre appartement Adligenswil: Trouvez le bien immobilier qui correspond idéalement à vos désirs sur ImmoScout24 - La plateforme de l'immobilier en Suisse.</v>
      </c>
    </row>
    <row r="3725" hidden="1">
      <c r="A3725" s="5" t="s">
        <v>10552</v>
      </c>
      <c r="B3725" s="2" t="s">
        <v>10553</v>
      </c>
      <c r="C3725" s="2" t="s">
        <v>10553</v>
      </c>
      <c r="D3725" s="4" t="str">
        <f>vlookup(A3725, Sheet2!D:E, 2, 0)</f>
        <v>control</v>
      </c>
      <c r="E3725" s="4" t="str">
        <f>IFERROR(__xludf.DUMMYFUNCTION("if(H3725=""pays"",vlookup(REGEXEXTRACT(C3725, ""🏘️ \w+ \w+ (.*) ✅""),'Country prepositions'!A:B, 2, 0) &amp; "" "" &amp; REGEXEXTRACT(C3725, ""🏘️ \w+ \w+ (.*) ✅"") ,  if(H3725=""quartier"",vlookup(REGEXEXTRACT(C3725, ""🏘️ \w+ \w+ (.*) ✅""),'Quartier prepositio"&amp;"ns'!A:E, 5, 0) ,  if(H3725=""region"",vlookup(REGEXEXTRACT(C3725, ""🏘️ \w+ \w+ (.*) ✅""),'Region prepositions'!B:F, 5, 0),  REGEXEXTRACT(C3725, ""🏘️ \w+ \w+ (.*) ✅""))))"),"#N/A")</f>
        <v>#N/A</v>
      </c>
      <c r="I3725" s="4" t="str">
        <f>IFERROR(__xludf.DUMMYFUNCTION("if(D3725=""variant"",  substitute(filter(Templates!E:E, Templates!A:A = F3725, Templates!B:B = G3725, Templates!C:C = H3725), ""{{}}"", E3725), B3725)"),"Louer appartement Moléson-sur-Gruyères: Trouvez le bien immobilier qui correspond idéalement à vos désirs sur ImmoScout24 - La plateforme de l'immobilier en Suisse.")</f>
        <v>Louer appartement Moléson-sur-Gruyères: Trouvez le bien immobilier qui correspond idéalement à vos désirs sur ImmoScout24 - La plateforme de l'immobilier en Suisse.</v>
      </c>
    </row>
    <row r="3726" hidden="1">
      <c r="A3726" s="5" t="s">
        <v>10554</v>
      </c>
      <c r="B3726" s="2" t="s">
        <v>10555</v>
      </c>
      <c r="C3726" s="2" t="s">
        <v>10555</v>
      </c>
      <c r="D3726" s="4" t="str">
        <f>vlookup(A3726, Sheet2!D:E, 2, 0)</f>
        <v>control</v>
      </c>
      <c r="E3726" s="4" t="str">
        <f>IFERROR(__xludf.DUMMYFUNCTION("if(H3726=""pays"",vlookup(REGEXEXTRACT(C3726, ""🏘️ \w+ \w+ (.*) ✅""),'Country prepositions'!A:B, 2, 0) &amp; "" "" &amp; REGEXEXTRACT(C3726, ""🏘️ \w+ \w+ (.*) ✅"") ,  if(H3726=""quartier"",vlookup(REGEXEXTRACT(C3726, ""🏘️ \w+ \w+ (.*) ✅""),'Quartier prepositio"&amp;"ns'!A:E, 5, 0) ,  if(H3726=""region"",vlookup(REGEXEXTRACT(C3726, ""🏘️ \w+ \w+ (.*) ✅""),'Region prepositions'!B:F, 5, 0),  REGEXEXTRACT(C3726, ""🏘️ \w+ \w+ (.*) ✅""))))"),"#N/A")</f>
        <v>#N/A</v>
      </c>
      <c r="I3726" s="4" t="str">
        <f>IFERROR(__xludf.DUMMYFUNCTION("if(D3726=""variant"",  substitute(filter(Templates!E:E, Templates!A:A = F3726, Templates!B:B = G3726, Templates!C:C = H3726), ""{{}}"", E3726), B3726)"),"Louer appartement Sargans et environs: Trouvez le bien immobilier qui correspond idéalement à vos désirs sur ImmoScout24 - La plateforme de l'immobilier en Suisse.")</f>
        <v>Louer appartement Sargans et environs: Trouvez le bien immobilier qui correspond idéalement à vos désirs sur ImmoScout24 - La plateforme de l'immobilier en Suisse.</v>
      </c>
    </row>
    <row r="3727" hidden="1">
      <c r="A3727" s="5" t="s">
        <v>10556</v>
      </c>
      <c r="B3727" s="2" t="s">
        <v>10557</v>
      </c>
      <c r="C3727" s="2" t="s">
        <v>10557</v>
      </c>
      <c r="D3727" s="4" t="str">
        <f>vlookup(A3727, Sheet2!D:E, 2, 0)</f>
        <v>control</v>
      </c>
      <c r="E3727" s="4" t="str">
        <f>IFERROR(__xludf.DUMMYFUNCTION("if(H3727=""pays"",vlookup(REGEXEXTRACT(C3727, ""🏘️ \w+ \w+ (.*) ✅""),'Country prepositions'!A:B, 2, 0) &amp; "" "" &amp; REGEXEXTRACT(C3727, ""🏘️ \w+ \w+ (.*) ✅"") ,  if(H3727=""quartier"",vlookup(REGEXEXTRACT(C3727, ""🏘️ \w+ \w+ (.*) ✅""),'Quartier prepositio"&amp;"ns'!A:E, 5, 0) ,  if(H3727=""region"",vlookup(REGEXEXTRACT(C3727, ""🏘️ \w+ \w+ (.*) ✅""),'Region prepositions'!B:F, 5, 0),  REGEXEXTRACT(C3727, ""🏘️ \w+ \w+ (.*) ✅""))))"),"#N/A")</f>
        <v>#N/A</v>
      </c>
      <c r="I3727" s="4" t="str">
        <f>IFERROR(__xludf.DUMMYFUNCTION("if(D3727=""variant"",  substitute(filter(Templates!E:E, Templates!A:A = F3727, Templates!B:B = G3727, Templates!C:C = H3727), ""{{}}"", E3727), B3727)"),"Louer appartement Cheiry: Trouvez le bien immobilier qui correspond idéalement à vos désirs sur ImmoScout24 - La plateforme de l'immobilier en Suisse.")</f>
        <v>Louer appartement Cheiry: Trouvez le bien immobilier qui correspond idéalement à vos désirs sur ImmoScout24 - La plateforme de l'immobilier en Suisse.</v>
      </c>
    </row>
    <row r="3728" hidden="1">
      <c r="A3728" s="5" t="s">
        <v>10558</v>
      </c>
      <c r="B3728" s="2" t="s">
        <v>10559</v>
      </c>
      <c r="C3728" s="2" t="s">
        <v>10559</v>
      </c>
      <c r="D3728" s="4" t="str">
        <f>vlookup(A3728, Sheet2!D:E, 2, 0)</f>
        <v>control</v>
      </c>
      <c r="E3728" s="4" t="str">
        <f>IFERROR(__xludf.DUMMYFUNCTION("if(H3728=""pays"",vlookup(REGEXEXTRACT(C3728, ""🏘️ \w+ \w+ (.*) ✅""),'Country prepositions'!A:B, 2, 0) &amp; "" "" &amp; REGEXEXTRACT(C3728, ""🏘️ \w+ \w+ (.*) ✅"") ,  if(H3728=""quartier"",vlookup(REGEXEXTRACT(C3728, ""🏘️ \w+ \w+ (.*) ✅""),'Quartier prepositio"&amp;"ns'!A:E, 5, 0) ,  if(H3728=""region"",vlookup(REGEXEXTRACT(C3728, ""🏘️ \w+ \w+ (.*) ✅""),'Region prepositions'!B:F, 5, 0),  REGEXEXTRACT(C3728, ""🏘️ \w+ \w+ (.*) ✅""))))"),"#N/A")</f>
        <v>#N/A</v>
      </c>
      <c r="I3728" s="4" t="str">
        <f>IFERROR(__xludf.DUMMYFUNCTION("if(D3728=""variant"",  substitute(filter(Templates!E:E, Templates!A:A = F3728, Templates!B:B = G3728, Templates!C:C = H3728), ""{{}}"", E3728), B3728)"),"Louer appartement Maladière - Mail (Neuchâtel): Trouvez le bien immobilier qui correspond idéalement à vos désirs sur ImmoScout24 - La plateforme de l'immobilier en Suisse.")</f>
        <v>Louer appartement Maladière - Mail (Neuchâtel): Trouvez le bien immobilier qui correspond idéalement à vos désirs sur ImmoScout24 - La plateforme de l'immobilier en Suisse.</v>
      </c>
    </row>
    <row r="3729" hidden="1">
      <c r="A3729" s="5" t="s">
        <v>10560</v>
      </c>
      <c r="B3729" s="2" t="s">
        <v>10561</v>
      </c>
      <c r="C3729" s="2" t="s">
        <v>10561</v>
      </c>
      <c r="D3729" s="4" t="str">
        <f>vlookup(A3729, Sheet2!D:E, 2, 0)</f>
        <v>control</v>
      </c>
      <c r="E3729" s="4" t="str">
        <f>IFERROR(__xludf.DUMMYFUNCTION("if(H3729=""pays"",vlookup(REGEXEXTRACT(C3729, ""🏘️ \w+ \w+ (.*) ✅""),'Country prepositions'!A:B, 2, 0) &amp; "" "" &amp; REGEXEXTRACT(C3729, ""🏘️ \w+ \w+ (.*) ✅"") ,  if(H3729=""quartier"",vlookup(REGEXEXTRACT(C3729, ""🏘️ \w+ \w+ (.*) ✅""),'Quartier prepositio"&amp;"ns'!A:E, 5, 0) ,  if(H3729=""region"",vlookup(REGEXEXTRACT(C3729, ""🏘️ \w+ \w+ (.*) ✅""),'Region prepositions'!B:F, 5, 0),  REGEXEXTRACT(C3729, ""🏘️ \w+ \w+ (.*) ✅""))))"),"#N/A")</f>
        <v>#N/A</v>
      </c>
      <c r="I3729" s="4" t="str">
        <f>IFERROR(__xludf.DUMMYFUNCTION("if(D3729=""variant"",  substitute(filter(Templates!E:E, Templates!A:A = F3729, Templates!B:B = G3729, Templates!C:C = H3729), ""{{}}"", E3729), B3729)"),"Vendre maison La Coudre (Neuchâtel): Trouvez le bien immobilier qui correspond idéalement à vos désirs sur ImmoScout24 - La plateforme de l'immobilier en Suisse.")</f>
        <v>Vendre maison La Coudre (Neuchâtel): Trouvez le bien immobilier qui correspond idéalement à vos désirs sur ImmoScout24 - La plateforme de l'immobilier en Suisse.</v>
      </c>
    </row>
    <row r="3730" hidden="1">
      <c r="A3730" s="5" t="s">
        <v>10562</v>
      </c>
      <c r="B3730" s="2" t="s">
        <v>10563</v>
      </c>
      <c r="C3730" s="2" t="s">
        <v>10563</v>
      </c>
      <c r="D3730" s="4" t="str">
        <f>vlookup(A3730, Sheet2!D:E, 2, 0)</f>
        <v>control</v>
      </c>
      <c r="E3730" s="4" t="str">
        <f>IFERROR(__xludf.DUMMYFUNCTION("if(H3730=""pays"",vlookup(REGEXEXTRACT(C3730, ""🏘️ \w+ \w+ (.*) ✅""),'Country prepositions'!A:B, 2, 0) &amp; "" "" &amp; REGEXEXTRACT(C3730, ""🏘️ \w+ \w+ (.*) ✅"") ,  if(H3730=""quartier"",vlookup(REGEXEXTRACT(C3730, ""🏘️ \w+ \w+ (.*) ✅""),'Quartier prepositio"&amp;"ns'!A:E, 5, 0) ,  if(H3730=""region"",vlookup(REGEXEXTRACT(C3730, ""🏘️ \w+ \w+ (.*) ✅""),'Region prepositions'!B:F, 5, 0),  REGEXEXTRACT(C3730, ""🏘️ \w+ \w+ (.*) ✅""))))"),"#N/A")</f>
        <v>#N/A</v>
      </c>
      <c r="I3730" s="4" t="str">
        <f>IFERROR(__xludf.DUMMYFUNCTION("if(D3730=""variant"",  substitute(filter(Templates!E:E, Templates!A:A = F3730, Templates!B:B = G3730, Templates!C:C = H3730), ""{{}}"", E3730), B3730)"),"Louer appartement Loreto (Lugano): Trouvez le bien immobilier qui correspond idéalement à vos désirs sur ImmoScout24 - La plateforme de l'immobilier en Suisse.")</f>
        <v>Louer appartement Loreto (Lugano): Trouvez le bien immobilier qui correspond idéalement à vos désirs sur ImmoScout24 - La plateforme de l'immobilier en Suisse.</v>
      </c>
    </row>
    <row r="3731" hidden="1">
      <c r="A3731" s="5" t="s">
        <v>10564</v>
      </c>
      <c r="B3731" s="2" t="s">
        <v>10565</v>
      </c>
      <c r="C3731" s="2" t="s">
        <v>10565</v>
      </c>
      <c r="D3731" s="4" t="str">
        <f>vlookup(A3731, Sheet2!D:E, 2, 0)</f>
        <v>control</v>
      </c>
      <c r="E3731" s="4" t="str">
        <f>IFERROR(__xludf.DUMMYFUNCTION("if(H3731=""pays"",vlookup(REGEXEXTRACT(C3731, ""🏘️ \w+ \w+ (.*) ✅""),'Country prepositions'!A:B, 2, 0) &amp; "" "" &amp; REGEXEXTRACT(C3731, ""🏘️ \w+ \w+ (.*) ✅"") ,  if(H3731=""quartier"",vlookup(REGEXEXTRACT(C3731, ""🏘️ \w+ \w+ (.*) ✅""),'Quartier prepositio"&amp;"ns'!A:E, 5, 0) ,  if(H3731=""region"",vlookup(REGEXEXTRACT(C3731, ""🏘️ \w+ \w+ (.*) ✅""),'Region prepositions'!B:F, 5, 0),  REGEXEXTRACT(C3731, ""🏘️ \w+ \w+ (.*) ✅""))))"),"#N/A")</f>
        <v>#N/A</v>
      </c>
      <c r="I3731" s="4" t="str">
        <f>IFERROR(__xludf.DUMMYFUNCTION("if(D3731=""variant"",  substitute(filter(Templates!E:E, Templates!A:A = F3731, Templates!B:B = G3731, Templates!C:C = H3731), ""{{}}"", E3731), B3731)"),"Louer appartement Dully: Trouvez le bien immobilier qui correspond idéalement à vos désirs sur ImmoScout24 - La plateforme de l'immobilier en Suisse.")</f>
        <v>Louer appartement Dully: Trouvez le bien immobilier qui correspond idéalement à vos désirs sur ImmoScout24 - La plateforme de l'immobilier en Suisse.</v>
      </c>
    </row>
    <row r="3732" hidden="1">
      <c r="A3732" s="5" t="s">
        <v>10566</v>
      </c>
      <c r="B3732" s="2" t="s">
        <v>10567</v>
      </c>
      <c r="C3732" s="2" t="s">
        <v>10567</v>
      </c>
      <c r="D3732" s="4" t="str">
        <f>vlookup(A3732, Sheet2!D:E, 2, 0)</f>
        <v>control</v>
      </c>
      <c r="E3732" s="4" t="str">
        <f>IFERROR(__xludf.DUMMYFUNCTION("if(H3732=""pays"",vlookup(REGEXEXTRACT(C3732, ""🏘️ \w+ \w+ (.*) ✅""),'Country prepositions'!A:B, 2, 0) &amp; "" "" &amp; REGEXEXTRACT(C3732, ""🏘️ \w+ \w+ (.*) ✅"") ,  if(H3732=""quartier"",vlookup(REGEXEXTRACT(C3732, ""🏘️ \w+ \w+ (.*) ✅""),'Quartier prepositio"&amp;"ns'!A:E, 5, 0) ,  if(H3732=""region"",vlookup(REGEXEXTRACT(C3732, ""🏘️ \w+ \w+ (.*) ✅""),'Region prepositions'!B:F, 5, 0),  REGEXEXTRACT(C3732, ""🏘️ \w+ \w+ (.*) ✅""))))"),"#N/A")</f>
        <v>#N/A</v>
      </c>
      <c r="I3732" s="4" t="str">
        <f>IFERROR(__xludf.DUMMYFUNCTION("if(D3732=""variant"",  substitute(filter(Templates!E:E, Templates!A:A = F3732, Templates!B:B = G3732, Templates!C:C = H3732), ""{{}}"", E3732), B3732)"),"Louer appartement Triengen: Trouvez le bien immobilier qui correspond idéalement à vos désirs sur ImmoScout24 - La plateforme de l'immobilier en Suisse.")</f>
        <v>Louer appartement Triengen: Trouvez le bien immobilier qui correspond idéalement à vos désirs sur ImmoScout24 - La plateforme de l'immobilier en Suisse.</v>
      </c>
    </row>
    <row r="3733" hidden="1">
      <c r="A3733" s="5" t="s">
        <v>10568</v>
      </c>
      <c r="B3733" s="2" t="s">
        <v>10569</v>
      </c>
      <c r="C3733" s="2" t="s">
        <v>10569</v>
      </c>
      <c r="D3733" s="4" t="str">
        <f>vlookup(A3733, Sheet2!D:E, 2, 0)</f>
        <v>control</v>
      </c>
      <c r="E3733" s="4" t="str">
        <f>IFERROR(__xludf.DUMMYFUNCTION("if(H3733=""pays"",vlookup(REGEXEXTRACT(C3733, ""🏘️ \w+ \w+ (.*) ✅""),'Country prepositions'!A:B, 2, 0) &amp; "" "" &amp; REGEXEXTRACT(C3733, ""🏘️ \w+ \w+ (.*) ✅"") ,  if(H3733=""quartier"",vlookup(REGEXEXTRACT(C3733, ""🏘️ \w+ \w+ (.*) ✅""),'Quartier prepositio"&amp;"ns'!A:E, 5, 0) ,  if(H3733=""region"",vlookup(REGEXEXTRACT(C3733, ""🏘️ \w+ \w+ (.*) ✅""),'Region prepositions'!B:F, 5, 0),  REGEXEXTRACT(C3733, ""🏘️ \w+ \w+ (.*) ✅""))))"),"#N/A")</f>
        <v>#N/A</v>
      </c>
      <c r="I3733" s="4" t="str">
        <f>IFERROR(__xludf.DUMMYFUNCTION("if(D3733=""variant"",  substitute(filter(Templates!E:E, Templates!A:A = F3733, Templates!B:B = G3733, Templates!C:C = H3733), ""{{}}"", E3733), B3733)"),"Vendre maison Gasel (Köniz): Trouvez le bien immobilier qui correspond idéalement à vos désirs sur ImmoScout24 - La plateforme de l'immobilier en Suisse.")</f>
        <v>Vendre maison Gasel (Köniz): Trouvez le bien immobilier qui correspond idéalement à vos désirs sur ImmoScout24 - La plateforme de l'immobilier en Suisse.</v>
      </c>
    </row>
    <row r="3734" hidden="1">
      <c r="A3734" s="5" t="s">
        <v>10570</v>
      </c>
      <c r="B3734" s="2" t="s">
        <v>10571</v>
      </c>
      <c r="C3734" s="2" t="s">
        <v>10571</v>
      </c>
      <c r="D3734" s="4" t="str">
        <f>vlookup(A3734, Sheet2!D:E, 2, 0)</f>
        <v>control</v>
      </c>
      <c r="E3734" s="4" t="str">
        <f>IFERROR(__xludf.DUMMYFUNCTION("if(H3734=""pays"",vlookup(REGEXEXTRACT(C3734, ""🏘️ \w+ \w+ (.*) ✅""),'Country prepositions'!A:B, 2, 0) &amp; "" "" &amp; REGEXEXTRACT(C3734, ""🏘️ \w+ \w+ (.*) ✅"") ,  if(H3734=""quartier"",vlookup(REGEXEXTRACT(C3734, ""🏘️ \w+ \w+ (.*) ✅""),'Quartier prepositio"&amp;"ns'!A:E, 5, 0) ,  if(H3734=""region"",vlookup(REGEXEXTRACT(C3734, ""🏘️ \w+ \w+ (.*) ✅""),'Region prepositions'!B:F, 5, 0),  REGEXEXTRACT(C3734, ""🏘️ \w+ \w+ (.*) ✅""))))"),"#N/A")</f>
        <v>#N/A</v>
      </c>
      <c r="I3734" s="4" t="str">
        <f>IFERROR(__xludf.DUMMYFUNCTION("if(D3734=""variant"",  substitute(filter(Templates!E:E, Templates!A:A = F3734, Templates!B:B = G3734, Templates!C:C = H3734), ""{{}}"", E3734), B3734)"),"Louer appartement Nunningen: Trouvez le bien immobilier qui correspond idéalement à vos désirs sur ImmoScout24 - La plateforme de l'immobilier en Suisse.")</f>
        <v>Louer appartement Nunningen: Trouvez le bien immobilier qui correspond idéalement à vos désirs sur ImmoScout24 - La plateforme de l'immobilier en Suisse.</v>
      </c>
    </row>
    <row r="3735" hidden="1">
      <c r="A3735" s="5" t="s">
        <v>10572</v>
      </c>
      <c r="B3735" s="2" t="s">
        <v>10573</v>
      </c>
      <c r="C3735" s="2" t="s">
        <v>10573</v>
      </c>
      <c r="D3735" s="4" t="str">
        <f>vlookup(A3735, Sheet2!D:E, 2, 0)</f>
        <v>control</v>
      </c>
      <c r="E3735" s="4" t="str">
        <f>IFERROR(__xludf.DUMMYFUNCTION("if(H3735=""pays"",vlookup(REGEXEXTRACT(C3735, ""🏘️ \w+ \w+ (.*) ✅""),'Country prepositions'!A:B, 2, 0) &amp; "" "" &amp; REGEXEXTRACT(C3735, ""🏘️ \w+ \w+ (.*) ✅"") ,  if(H3735=""quartier"",vlookup(REGEXEXTRACT(C3735, ""🏘️ \w+ \w+ (.*) ✅""),'Quartier prepositio"&amp;"ns'!A:E, 5, 0) ,  if(H3735=""region"",vlookup(REGEXEXTRACT(C3735, ""🏘️ \w+ \w+ (.*) ✅""),'Region prepositions'!B:F, 5, 0),  REGEXEXTRACT(C3735, ""🏘️ \w+ \w+ (.*) ✅""))))"),"#N/A")</f>
        <v>#N/A</v>
      </c>
      <c r="I3735" s="4" t="str">
        <f>IFERROR(__xludf.DUMMYFUNCTION("if(D3735=""variant"",  substitute(filter(Templates!E:E, Templates!A:A = F3735, Templates!B:B = G3735, Templates!C:C = H3735), ""{{}}"", E3735), B3735)"),"Louer appartement Elsau: Trouvez le bien immobilier qui correspond idéalement à vos désirs sur ImmoScout24 - La plateforme de l'immobilier en Suisse.")</f>
        <v>Louer appartement Elsau: Trouvez le bien immobilier qui correspond idéalement à vos désirs sur ImmoScout24 - La plateforme de l'immobilier en Suisse.</v>
      </c>
    </row>
    <row r="3736" hidden="1">
      <c r="A3736" s="5" t="s">
        <v>10574</v>
      </c>
      <c r="B3736" s="2" t="s">
        <v>10575</v>
      </c>
      <c r="C3736" s="2" t="s">
        <v>10575</v>
      </c>
      <c r="D3736" s="4" t="str">
        <f>vlookup(A3736, Sheet2!D:E, 2, 0)</f>
        <v>control</v>
      </c>
      <c r="E3736" s="4" t="str">
        <f>IFERROR(__xludf.DUMMYFUNCTION("if(H3736=""pays"",vlookup(REGEXEXTRACT(C3736, ""🏘️ \w+ \w+ (.*) ✅""),'Country prepositions'!A:B, 2, 0) &amp; "" "" &amp; REGEXEXTRACT(C3736, ""🏘️ \w+ \w+ (.*) ✅"") ,  if(H3736=""quartier"",vlookup(REGEXEXTRACT(C3736, ""🏘️ \w+ \w+ (.*) ✅""),'Quartier prepositio"&amp;"ns'!A:E, 5, 0) ,  if(H3736=""region"",vlookup(REGEXEXTRACT(C3736, ""🏘️ \w+ \w+ (.*) ✅""),'Region prepositions'!B:F, 5, 0),  REGEXEXTRACT(C3736, ""🏘️ \w+ \w+ (.*) ✅""))))"),"#N/A")</f>
        <v>#N/A</v>
      </c>
      <c r="I3736" s="4" t="str">
        <f>IFERROR(__xludf.DUMMYFUNCTION("if(D3736=""variant"",  substitute(filter(Templates!E:E, Templates!A:A = F3736, Templates!B:B = G3736, Templates!C:C = H3736), ""{{}}"", E3736), B3736)"),"Louer appartement Cologny: Trouvez le bien immobilier qui correspond idéalement à vos désirs sur ImmoScout24 - La plateforme de l'immobilier en Suisse.")</f>
        <v>Louer appartement Cologny: Trouvez le bien immobilier qui correspond idéalement à vos désirs sur ImmoScout24 - La plateforme de l'immobilier en Suisse.</v>
      </c>
    </row>
    <row r="3737" hidden="1">
      <c r="A3737" s="5" t="s">
        <v>10576</v>
      </c>
      <c r="B3737" s="2" t="s">
        <v>10577</v>
      </c>
      <c r="C3737" s="2" t="s">
        <v>10577</v>
      </c>
      <c r="D3737" s="4" t="str">
        <f>vlookup(A3737, Sheet2!D:E, 2, 0)</f>
        <v>control</v>
      </c>
      <c r="E3737" s="4" t="str">
        <f>IFERROR(__xludf.DUMMYFUNCTION("if(H3737=""pays"",vlookup(REGEXEXTRACT(C3737, ""🏘️ \w+ \w+ (.*) ✅""),'Country prepositions'!A:B, 2, 0) &amp; "" "" &amp; REGEXEXTRACT(C3737, ""🏘️ \w+ \w+ (.*) ✅"") ,  if(H3737=""quartier"",vlookup(REGEXEXTRACT(C3737, ""🏘️ \w+ \w+ (.*) ✅""),'Quartier prepositio"&amp;"ns'!A:E, 5, 0) ,  if(H3737=""region"",vlookup(REGEXEXTRACT(C3737, ""🏘️ \w+ \w+ (.*) ✅""),'Region prepositions'!B:F, 5, 0),  REGEXEXTRACT(C3737, ""🏘️ \w+ \w+ (.*) ✅""))))"),"#N/A")</f>
        <v>#N/A</v>
      </c>
      <c r="I3737" s="4" t="str">
        <f>IFERROR(__xludf.DUMMYFUNCTION("if(D3737=""variant"",  substitute(filter(Templates!E:E, Templates!A:A = F3737, Templates!B:B = G3737, Templates!C:C = H3737), ""{{}}"", E3737), B3737)"),"Vendre appartement Galgenen: Trouvez le bien immobilier qui correspond idéalement à vos désirs sur ImmoScout24 - La plateforme de l'immobilier en Suisse.")</f>
        <v>Vendre appartement Galgenen: Trouvez le bien immobilier qui correspond idéalement à vos désirs sur ImmoScout24 - La plateforme de l'immobilier en Suisse.</v>
      </c>
    </row>
    <row r="3738" hidden="1">
      <c r="A3738" s="5" t="s">
        <v>10578</v>
      </c>
      <c r="B3738" s="2" t="s">
        <v>10579</v>
      </c>
      <c r="C3738" s="2" t="s">
        <v>10579</v>
      </c>
      <c r="D3738" s="4" t="str">
        <f>vlookup(A3738, Sheet2!D:E, 2, 0)</f>
        <v>control</v>
      </c>
      <c r="E3738" s="4" t="str">
        <f>IFERROR(__xludf.DUMMYFUNCTION("if(H3738=""pays"",vlookup(REGEXEXTRACT(C3738, ""🏘️ \w+ \w+ (.*) ✅""),'Country prepositions'!A:B, 2, 0) &amp; "" "" &amp; REGEXEXTRACT(C3738, ""🏘️ \w+ \w+ (.*) ✅"") ,  if(H3738=""quartier"",vlookup(REGEXEXTRACT(C3738, ""🏘️ \w+ \w+ (.*) ✅""),'Quartier prepositio"&amp;"ns'!A:E, 5, 0) ,  if(H3738=""region"",vlookup(REGEXEXTRACT(C3738, ""🏘️ \w+ \w+ (.*) ✅""),'Region prepositions'!B:F, 5, 0),  REGEXEXTRACT(C3738, ""🏘️ \w+ \w+ (.*) ✅""))))"),"#N/A")</f>
        <v>#N/A</v>
      </c>
      <c r="I3738" s="4" t="str">
        <f>IFERROR(__xludf.DUMMYFUNCTION("if(D3738=""variant"",  substitute(filter(Templates!E:E, Templates!A:A = F3738, Templates!B:B = G3738, Templates!C:C = H3738), ""{{}}"", E3738), B3738)"),"Vendre maison Orpund: Trouvez le bien immobilier qui correspond idéalement à vos désirs sur ImmoScout24 - La plateforme de l'immobilier en Suisse.")</f>
        <v>Vendre maison Orpund: Trouvez le bien immobilier qui correspond idéalement à vos désirs sur ImmoScout24 - La plateforme de l'immobilier en Suisse.</v>
      </c>
    </row>
    <row r="3739" hidden="1">
      <c r="A3739" s="5" t="s">
        <v>10580</v>
      </c>
      <c r="B3739" s="2" t="s">
        <v>10581</v>
      </c>
      <c r="C3739" s="2" t="s">
        <v>10581</v>
      </c>
      <c r="D3739" s="4" t="str">
        <f>vlookup(A3739, Sheet2!D:E, 2, 0)</f>
        <v>control</v>
      </c>
      <c r="E3739" s="4" t="str">
        <f>IFERROR(__xludf.DUMMYFUNCTION("if(H3739=""pays"",vlookup(REGEXEXTRACT(C3739, ""🏘️ \w+ \w+ (.*) ✅""),'Country prepositions'!A:B, 2, 0) &amp; "" "" &amp; REGEXEXTRACT(C3739, ""🏘️ \w+ \w+ (.*) ✅"") ,  if(H3739=""quartier"",vlookup(REGEXEXTRACT(C3739, ""🏘️ \w+ \w+ (.*) ✅""),'Quartier prepositio"&amp;"ns'!A:E, 5, 0) ,  if(H3739=""region"",vlookup(REGEXEXTRACT(C3739, ""🏘️ \w+ \w+ (.*) ✅""),'Region prepositions'!B:F, 5, 0),  REGEXEXTRACT(C3739, ""🏘️ \w+ \w+ (.*) ✅""))))"),"#N/A")</f>
        <v>#N/A</v>
      </c>
      <c r="I3739" s="4" t="str">
        <f>IFERROR(__xludf.DUMMYFUNCTION("if(D3739=""variant"",  substitute(filter(Templates!E:E, Templates!A:A = F3739, Templates!B:B = G3739, Templates!C:C = H3739), ""{{}}"", E3739), B3739)"),"Louer maison Semione: Trouvez le bien immobilier qui correspond idéalement à vos désirs sur ImmoScout24 - La plateforme de l'immobilier en Suisse.")</f>
        <v>Louer maison Semione: Trouvez le bien immobilier qui correspond idéalement à vos désirs sur ImmoScout24 - La plateforme de l'immobilier en Suisse.</v>
      </c>
    </row>
    <row r="3740" hidden="1">
      <c r="A3740" s="5" t="s">
        <v>10582</v>
      </c>
      <c r="B3740" s="2" t="s">
        <v>10583</v>
      </c>
      <c r="C3740" s="2" t="s">
        <v>10583</v>
      </c>
      <c r="D3740" s="4" t="str">
        <f>vlookup(A3740, Sheet2!D:E, 2, 0)</f>
        <v>control</v>
      </c>
      <c r="E3740" s="4" t="str">
        <f>IFERROR(__xludf.DUMMYFUNCTION("if(H3740=""pays"",vlookup(REGEXEXTRACT(C3740, ""🏘️ \w+ \w+ (.*) ✅""),'Country prepositions'!A:B, 2, 0) &amp; "" "" &amp; REGEXEXTRACT(C3740, ""🏘️ \w+ \w+ (.*) ✅"") ,  if(H3740=""quartier"",vlookup(REGEXEXTRACT(C3740, ""🏘️ \w+ \w+ (.*) ✅""),'Quartier prepositio"&amp;"ns'!A:E, 5, 0) ,  if(H3740=""region"",vlookup(REGEXEXTRACT(C3740, ""🏘️ \w+ \w+ (.*) ✅""),'Region prepositions'!B:F, 5, 0),  REGEXEXTRACT(C3740, ""🏘️ \w+ \w+ (.*) ✅""))))"),"#N/A")</f>
        <v>#N/A</v>
      </c>
      <c r="I3740" s="4" t="str">
        <f>IFERROR(__xludf.DUMMYFUNCTION("if(D3740=""variant"",  substitute(filter(Templates!E:E, Templates!A:A = F3740, Templates!B:B = G3740, Templates!C:C = H3740), ""{{}}"", E3740), B3740)"),"Vendre maison Mex VS: Trouvez le bien immobilier qui correspond idéalement à vos désirs sur ImmoScout24 - La plateforme de l'immobilier en Suisse.")</f>
        <v>Vendre maison Mex VS: Trouvez le bien immobilier qui correspond idéalement à vos désirs sur ImmoScout24 - La plateforme de l'immobilier en Suisse.</v>
      </c>
    </row>
    <row r="3741" hidden="1">
      <c r="A3741" s="5" t="s">
        <v>10584</v>
      </c>
      <c r="B3741" s="2" t="s">
        <v>10585</v>
      </c>
      <c r="C3741" s="2" t="s">
        <v>10585</v>
      </c>
      <c r="D3741" s="4" t="str">
        <f>vlookup(A3741, Sheet2!D:E, 2, 0)</f>
        <v>control</v>
      </c>
      <c r="E3741" s="4" t="str">
        <f>IFERROR(__xludf.DUMMYFUNCTION("if(H3741=""pays"",vlookup(REGEXEXTRACT(C3741, ""🏘️ \w+ \w+ (.*) ✅""),'Country prepositions'!A:B, 2, 0) &amp; "" "" &amp; REGEXEXTRACT(C3741, ""🏘️ \w+ \w+ (.*) ✅"") ,  if(H3741=""quartier"",vlookup(REGEXEXTRACT(C3741, ""🏘️ \w+ \w+ (.*) ✅""),'Quartier prepositio"&amp;"ns'!A:E, 5, 0) ,  if(H3741=""region"",vlookup(REGEXEXTRACT(C3741, ""🏘️ \w+ \w+ (.*) ✅""),'Region prepositions'!B:F, 5, 0),  REGEXEXTRACT(C3741, ""🏘️ \w+ \w+ (.*) ✅""))))"),"#N/A")</f>
        <v>#N/A</v>
      </c>
      <c r="I3741" s="4" t="str">
        <f>IFERROR(__xludf.DUMMYFUNCTION("if(D3741=""variant"",  substitute(filter(Templates!E:E, Templates!A:A = F3741, Templates!B:B = G3741, Templates!C:C = H3741), ""{{}}"", E3741), B3741)"),"Louer appartement Courtion: Trouvez le bien immobilier qui correspond idéalement à vos désirs sur ImmoScout24 - La plateforme de l'immobilier en Suisse.")</f>
        <v>Louer appartement Courtion: Trouvez le bien immobilier qui correspond idéalement à vos désirs sur ImmoScout24 - La plateforme de l'immobilier en Suisse.</v>
      </c>
    </row>
    <row r="3742" hidden="1">
      <c r="A3742" s="5" t="s">
        <v>10586</v>
      </c>
      <c r="B3742" s="2" t="s">
        <v>10587</v>
      </c>
      <c r="C3742" s="2" t="s">
        <v>10587</v>
      </c>
      <c r="D3742" s="4" t="str">
        <f>vlookup(A3742, Sheet2!D:E, 2, 0)</f>
        <v>control</v>
      </c>
      <c r="E3742" s="4" t="str">
        <f>IFERROR(__xludf.DUMMYFUNCTION("if(H3742=""pays"",vlookup(REGEXEXTRACT(C3742, ""🏘️ \w+ \w+ (.*) ✅""),'Country prepositions'!A:B, 2, 0) &amp; "" "" &amp; REGEXEXTRACT(C3742, ""🏘️ \w+ \w+ (.*) ✅"") ,  if(H3742=""quartier"",vlookup(REGEXEXTRACT(C3742, ""🏘️ \w+ \w+ (.*) ✅""),'Quartier prepositio"&amp;"ns'!A:E, 5, 0) ,  if(H3742=""region"",vlookup(REGEXEXTRACT(C3742, ""🏘️ \w+ \w+ (.*) ✅""),'Region prepositions'!B:F, 5, 0),  REGEXEXTRACT(C3742, ""🏘️ \w+ \w+ (.*) ✅""))))"),"#N/A")</f>
        <v>#N/A</v>
      </c>
      <c r="I3742" s="4" t="str">
        <f>IFERROR(__xludf.DUMMYFUNCTION("if(D3742=""variant"",  substitute(filter(Templates!E:E, Templates!A:A = F3742, Templates!B:B = G3742, Templates!C:C = H3742), ""{{}}"", E3742), B3742)"),"Louer appartement Mont-la-Ville: Trouvez le bien immobilier qui correspond idéalement à vos désirs sur ImmoScout24 - La plateforme de l'immobilier en Suisse.")</f>
        <v>Louer appartement Mont-la-Ville: Trouvez le bien immobilier qui correspond idéalement à vos désirs sur ImmoScout24 - La plateforme de l'immobilier en Suisse.</v>
      </c>
    </row>
    <row r="3743" hidden="1">
      <c r="A3743" s="5" t="s">
        <v>10588</v>
      </c>
      <c r="B3743" s="2" t="s">
        <v>10589</v>
      </c>
      <c r="C3743" s="2" t="s">
        <v>10589</v>
      </c>
      <c r="D3743" s="4" t="str">
        <f>vlookup(A3743, Sheet2!D:E, 2, 0)</f>
        <v>control</v>
      </c>
      <c r="E3743" s="4" t="str">
        <f>IFERROR(__xludf.DUMMYFUNCTION("if(H3743=""pays"",vlookup(REGEXEXTRACT(C3743, ""🏘️ \w+ \w+ (.*) ✅""),'Country prepositions'!A:B, 2, 0) &amp; "" "" &amp; REGEXEXTRACT(C3743, ""🏘️ \w+ \w+ (.*) ✅"") ,  if(H3743=""quartier"",vlookup(REGEXEXTRACT(C3743, ""🏘️ \w+ \w+ (.*) ✅""),'Quartier prepositio"&amp;"ns'!A:E, 5, 0) ,  if(H3743=""region"",vlookup(REGEXEXTRACT(C3743, ""🏘️ \w+ \w+ (.*) ✅""),'Region prepositions'!B:F, 5, 0),  REGEXEXTRACT(C3743, ""🏘️ \w+ \w+ (.*) ✅""))))"),"#N/A")</f>
        <v>#N/A</v>
      </c>
      <c r="I3743" s="4" t="str">
        <f>IFERROR(__xludf.DUMMYFUNCTION("if(D3743=""variant"",  substitute(filter(Templates!E:E, Templates!A:A = F3743, Templates!B:B = G3743, Templates!C:C = H3743), ""{{}}"", E3743), B3743)"),"Vendre maison Albeuve: Trouvez le bien immobilier qui correspond idéalement à vos désirs sur ImmoScout24 - La plateforme de l'immobilier en Suisse.")</f>
        <v>Vendre maison Albeuve: Trouvez le bien immobilier qui correspond idéalement à vos désirs sur ImmoScout24 - La plateforme de l'immobilier en Suisse.</v>
      </c>
    </row>
    <row r="3744" hidden="1">
      <c r="A3744" s="5" t="s">
        <v>10590</v>
      </c>
      <c r="B3744" s="2" t="s">
        <v>10591</v>
      </c>
      <c r="C3744" s="2" t="s">
        <v>10591</v>
      </c>
      <c r="D3744" s="4" t="str">
        <f>vlookup(A3744, Sheet2!D:E, 2, 0)</f>
        <v>control</v>
      </c>
      <c r="E3744" s="4" t="str">
        <f>IFERROR(__xludf.DUMMYFUNCTION("if(H3744=""pays"",vlookup(REGEXEXTRACT(C3744, ""🏘️ \w+ \w+ (.*) ✅""),'Country prepositions'!A:B, 2, 0) &amp; "" "" &amp; REGEXEXTRACT(C3744, ""🏘️ \w+ \w+ (.*) ✅"") ,  if(H3744=""quartier"",vlookup(REGEXEXTRACT(C3744, ""🏘️ \w+ \w+ (.*) ✅""),'Quartier prepositio"&amp;"ns'!A:E, 5, 0) ,  if(H3744=""region"",vlookup(REGEXEXTRACT(C3744, ""🏘️ \w+ \w+ (.*) ✅""),'Region prepositions'!B:F, 5, 0),  REGEXEXTRACT(C3744, ""🏘️ \w+ \w+ (.*) ✅""))))"),"#N/A")</f>
        <v>#N/A</v>
      </c>
      <c r="I3744" s="4" t="str">
        <f>IFERROR(__xludf.DUMMYFUNCTION("if(D3744=""variant"",  substitute(filter(Templates!E:E, Templates!A:A = F3744, Templates!B:B = G3744, Templates!C:C = H3744), ""{{}}"", E3744), B3744)"),"Vendre maison Vaduz: Trouvez le bien immobilier qui correspond idéalement à vos désirs sur ImmoScout24 - La plateforme de l'immobilier en Suisse.")</f>
        <v>Vendre maison Vaduz: Trouvez le bien immobilier qui correspond idéalement à vos désirs sur ImmoScout24 - La plateforme de l'immobilier en Suisse.</v>
      </c>
    </row>
    <row r="3745" hidden="1">
      <c r="A3745" s="5" t="s">
        <v>10592</v>
      </c>
      <c r="B3745" s="2" t="s">
        <v>10593</v>
      </c>
      <c r="C3745" s="2" t="s">
        <v>10593</v>
      </c>
      <c r="D3745" s="4" t="str">
        <f>vlookup(A3745, Sheet2!D:E, 2, 0)</f>
        <v>control</v>
      </c>
      <c r="E3745" s="4" t="str">
        <f>IFERROR(__xludf.DUMMYFUNCTION("if(H3745=""pays"",vlookup(REGEXEXTRACT(C3745, ""🏘️ \w+ \w+ (.*) ✅""),'Country prepositions'!A:B, 2, 0) &amp; "" "" &amp; REGEXEXTRACT(C3745, ""🏘️ \w+ \w+ (.*) ✅"") ,  if(H3745=""quartier"",vlookup(REGEXEXTRACT(C3745, ""🏘️ \w+ \w+ (.*) ✅""),'Quartier prepositio"&amp;"ns'!A:E, 5, 0) ,  if(H3745=""region"",vlookup(REGEXEXTRACT(C3745, ""🏘️ \w+ \w+ (.*) ✅""),'Region prepositions'!B:F, 5, 0),  REGEXEXTRACT(C3745, ""🏘️ \w+ \w+ (.*) ✅""))))"),"#N/A")</f>
        <v>#N/A</v>
      </c>
      <c r="I3745" s="4" t="str">
        <f>IFERROR(__xludf.DUMMYFUNCTION("if(D3745=""variant"",  substitute(filter(Templates!E:E, Templates!A:A = F3745, Templates!B:B = G3745, Templates!C:C = H3745), ""{{}}"", E3745), B3745)"),"Vendre maison Campello: Trouvez le bien immobilier qui correspond idéalement à vos désirs sur ImmoScout24 - La plateforme de l'immobilier en Suisse.")</f>
        <v>Vendre maison Campello: Trouvez le bien immobilier qui correspond idéalement à vos désirs sur ImmoScout24 - La plateforme de l'immobilier en Suisse.</v>
      </c>
    </row>
    <row r="3746" hidden="1">
      <c r="A3746" s="5" t="s">
        <v>10594</v>
      </c>
      <c r="B3746" s="2" t="s">
        <v>10595</v>
      </c>
      <c r="C3746" s="2" t="s">
        <v>10595</v>
      </c>
      <c r="D3746" s="4" t="str">
        <f>vlookup(A3746, Sheet2!D:E, 2, 0)</f>
        <v>control</v>
      </c>
      <c r="E3746" s="4" t="str">
        <f>IFERROR(__xludf.DUMMYFUNCTION("if(H3746=""pays"",vlookup(REGEXEXTRACT(C3746, ""🏘️ \w+ \w+ (.*) ✅""),'Country prepositions'!A:B, 2, 0) &amp; "" "" &amp; REGEXEXTRACT(C3746, ""🏘️ \w+ \w+ (.*) ✅"") ,  if(H3746=""quartier"",vlookup(REGEXEXTRACT(C3746, ""🏘️ \w+ \w+ (.*) ✅""),'Quartier prepositio"&amp;"ns'!A:E, 5, 0) ,  if(H3746=""region"",vlookup(REGEXEXTRACT(C3746, ""🏘️ \w+ \w+ (.*) ✅""),'Region prepositions'!B:F, 5, 0),  REGEXEXTRACT(C3746, ""🏘️ \w+ \w+ (.*) ✅""))))"),"#N/A")</f>
        <v>#N/A</v>
      </c>
      <c r="I3746" s="4" t="str">
        <f>IFERROR(__xludf.DUMMYFUNCTION("if(D3746=""variant"",  substitute(filter(Templates!E:E, Templates!A:A = F3746, Templates!B:B = G3746, Templates!C:C = H3746), ""{{}}"", E3746), B3746)"),"Vendre maison St. Niklaus VS: Trouvez le bien immobilier qui correspond idéalement à vos désirs sur ImmoScout24 - La plateforme de l'immobilier en Suisse.")</f>
        <v>Vendre maison St. Niklaus VS: Trouvez le bien immobilier qui correspond idéalement à vos désirs sur ImmoScout24 - La plateforme de l'immobilier en Suisse.</v>
      </c>
    </row>
    <row r="3747" hidden="1">
      <c r="A3747" s="5" t="s">
        <v>10596</v>
      </c>
      <c r="B3747" s="2" t="s">
        <v>10597</v>
      </c>
      <c r="C3747" s="2" t="s">
        <v>10597</v>
      </c>
      <c r="D3747" s="4" t="str">
        <f>vlookup(A3747, Sheet2!D:E, 2, 0)</f>
        <v>control</v>
      </c>
      <c r="E3747" s="4" t="str">
        <f>IFERROR(__xludf.DUMMYFUNCTION("if(H3747=""pays"",vlookup(REGEXEXTRACT(C3747, ""🏘️ \w+ \w+ (.*) ✅""),'Country prepositions'!A:B, 2, 0) &amp; "" "" &amp; REGEXEXTRACT(C3747, ""🏘️ \w+ \w+ (.*) ✅"") ,  if(H3747=""quartier"",vlookup(REGEXEXTRACT(C3747, ""🏘️ \w+ \w+ (.*) ✅""),'Quartier prepositio"&amp;"ns'!A:E, 5, 0) ,  if(H3747=""region"",vlookup(REGEXEXTRACT(C3747, ""🏘️ \w+ \w+ (.*) ✅""),'Region prepositions'!B:F, 5, 0),  REGEXEXTRACT(C3747, ""🏘️ \w+ \w+ (.*) ✅""))))"),"#N/A")</f>
        <v>#N/A</v>
      </c>
      <c r="I3747" s="4" t="str">
        <f>IFERROR(__xludf.DUMMYFUNCTION("if(D3747=""variant"",  substitute(filter(Templates!E:E, Templates!A:A = F3747, Templates!B:B = G3747, Templates!C:C = H3747), ""{{}}"", E3747), B3747)"),"Vendre appartement Veytaux: Trouvez le bien immobilier qui correspond idéalement à vos désirs sur ImmoScout24 - La plateforme de l'immobilier en Suisse.")</f>
        <v>Vendre appartement Veytaux: Trouvez le bien immobilier qui correspond idéalement à vos désirs sur ImmoScout24 - La plateforme de l'immobilier en Suisse.</v>
      </c>
    </row>
    <row r="3748" hidden="1">
      <c r="A3748" s="5" t="s">
        <v>10598</v>
      </c>
      <c r="B3748" s="2" t="s">
        <v>10599</v>
      </c>
      <c r="C3748" s="2" t="s">
        <v>10599</v>
      </c>
      <c r="D3748" s="4" t="str">
        <f>vlookup(A3748, Sheet2!D:E, 2, 0)</f>
        <v>control</v>
      </c>
      <c r="E3748" s="4" t="str">
        <f>IFERROR(__xludf.DUMMYFUNCTION("if(H3748=""pays"",vlookup(REGEXEXTRACT(C3748, ""🏘️ \w+ \w+ (.*) ✅""),'Country prepositions'!A:B, 2, 0) &amp; "" "" &amp; REGEXEXTRACT(C3748, ""🏘️ \w+ \w+ (.*) ✅"") ,  if(H3748=""quartier"",vlookup(REGEXEXTRACT(C3748, ""🏘️ \w+ \w+ (.*) ✅""),'Quartier prepositio"&amp;"ns'!A:E, 5, 0) ,  if(H3748=""region"",vlookup(REGEXEXTRACT(C3748, ""🏘️ \w+ \w+ (.*) ✅""),'Region prepositions'!B:F, 5, 0),  REGEXEXTRACT(C3748, ""🏘️ \w+ \w+ (.*) ✅""))))"),"#N/A")</f>
        <v>#N/A</v>
      </c>
      <c r="I3748" s="4" t="str">
        <f>IFERROR(__xludf.DUMMYFUNCTION("if(D3748=""variant"",  substitute(filter(Templates!E:E, Templates!A:A = F3748, Templates!B:B = G3748, Templates!C:C = H3748), ""{{}}"", E3748), B3748)"),"Vendre maison Tannay: Trouvez le bien immobilier qui correspond idéalement à vos désirs sur ImmoScout24 - La plateforme de l'immobilier en Suisse.")</f>
        <v>Vendre maison Tannay: Trouvez le bien immobilier qui correspond idéalement à vos désirs sur ImmoScout24 - La plateforme de l'immobilier en Suisse.</v>
      </c>
    </row>
    <row r="3749" hidden="1">
      <c r="A3749" s="5" t="s">
        <v>10600</v>
      </c>
      <c r="B3749" s="2" t="s">
        <v>10601</v>
      </c>
      <c r="C3749" s="2" t="s">
        <v>10601</v>
      </c>
      <c r="D3749" s="4" t="str">
        <f>vlookup(A3749, Sheet2!D:E, 2, 0)</f>
        <v>control</v>
      </c>
      <c r="E3749" s="4" t="str">
        <f>IFERROR(__xludf.DUMMYFUNCTION("if(H3749=""pays"",vlookup(REGEXEXTRACT(C3749, ""🏘️ \w+ \w+ (.*) ✅""),'Country prepositions'!A:B, 2, 0) &amp; "" "" &amp; REGEXEXTRACT(C3749, ""🏘️ \w+ \w+ (.*) ✅"") ,  if(H3749=""quartier"",vlookup(REGEXEXTRACT(C3749, ""🏘️ \w+ \w+ (.*) ✅""),'Quartier prepositio"&amp;"ns'!A:E, 5, 0) ,  if(H3749=""region"",vlookup(REGEXEXTRACT(C3749, ""🏘️ \w+ \w+ (.*) ✅""),'Region prepositions'!B:F, 5, 0),  REGEXEXTRACT(C3749, ""🏘️ \w+ \w+ (.*) ✅""))))"),"#N/A")</f>
        <v>#N/A</v>
      </c>
      <c r="I3749" s="4" t="str">
        <f>IFERROR(__xludf.DUMMYFUNCTION("if(D3749=""variant"",  substitute(filter(Templates!E:E, Templates!A:A = F3749, Templates!B:B = G3749, Templates!C:C = H3749), ""{{}}"", E3749), B3749)"),"Louer maison Bellelay: Trouvez le bien immobilier qui correspond idéalement à vos désirs sur ImmoScout24 - La plateforme de l'immobilier en Suisse.")</f>
        <v>Louer maison Bellelay: Trouvez le bien immobilier qui correspond idéalement à vos désirs sur ImmoScout24 - La plateforme de l'immobilier en Suisse.</v>
      </c>
    </row>
    <row r="3750" hidden="1">
      <c r="A3750" s="5" t="s">
        <v>10602</v>
      </c>
      <c r="B3750" s="2" t="s">
        <v>10603</v>
      </c>
      <c r="C3750" s="2" t="s">
        <v>10603</v>
      </c>
      <c r="D3750" s="4" t="str">
        <f>vlookup(A3750, Sheet2!D:E, 2, 0)</f>
        <v>control</v>
      </c>
      <c r="E3750" s="4" t="str">
        <f>IFERROR(__xludf.DUMMYFUNCTION("if(H3750=""pays"",vlookup(REGEXEXTRACT(C3750, ""🏘️ \w+ \w+ (.*) ✅""),'Country prepositions'!A:B, 2, 0) &amp; "" "" &amp; REGEXEXTRACT(C3750, ""🏘️ \w+ \w+ (.*) ✅"") ,  if(H3750=""quartier"",vlookup(REGEXEXTRACT(C3750, ""🏘️ \w+ \w+ (.*) ✅""),'Quartier prepositio"&amp;"ns'!A:E, 5, 0) ,  if(H3750=""region"",vlookup(REGEXEXTRACT(C3750, ""🏘️ \w+ \w+ (.*) ✅""),'Region prepositions'!B:F, 5, 0),  REGEXEXTRACT(C3750, ""🏘️ \w+ \w+ (.*) ✅""))))"),"#N/A")</f>
        <v>#N/A</v>
      </c>
      <c r="I3750" s="4" t="str">
        <f>IFERROR(__xludf.DUMMYFUNCTION("if(D3750=""variant"",  substitute(filter(Templates!E:E, Templates!A:A = F3750, Templates!B:B = G3750, Templates!C:C = H3750), ""{{}}"", E3750), B3750)"),"Vendre appartement Canton de Berne: Trouvez le bien immobilier qui correspond idéalement à vos désirs sur ImmoScout24 - La plateforme de l'immobilier en Suisse.")</f>
        <v>Vendre appartement Canton de Berne: Trouvez le bien immobilier qui correspond idéalement à vos désirs sur ImmoScout24 - La plateforme de l'immobilier en Suisse.</v>
      </c>
    </row>
    <row r="3751" hidden="1">
      <c r="A3751" s="5" t="s">
        <v>10604</v>
      </c>
      <c r="B3751" s="2" t="s">
        <v>10605</v>
      </c>
      <c r="C3751" s="2" t="s">
        <v>10605</v>
      </c>
      <c r="D3751" s="4" t="str">
        <f>vlookup(A3751, Sheet2!D:E, 2, 0)</f>
        <v>control</v>
      </c>
      <c r="E3751" s="4" t="str">
        <f>IFERROR(__xludf.DUMMYFUNCTION("if(H3751=""pays"",vlookup(REGEXEXTRACT(C3751, ""🏘️ \w+ \w+ (.*) ✅""),'Country prepositions'!A:B, 2, 0) &amp; "" "" &amp; REGEXEXTRACT(C3751, ""🏘️ \w+ \w+ (.*) ✅"") ,  if(H3751=""quartier"",vlookup(REGEXEXTRACT(C3751, ""🏘️ \w+ \w+ (.*) ✅""),'Quartier prepositio"&amp;"ns'!A:E, 5, 0) ,  if(H3751=""region"",vlookup(REGEXEXTRACT(C3751, ""🏘️ \w+ \w+ (.*) ✅""),'Region prepositions'!B:F, 5, 0),  REGEXEXTRACT(C3751, ""🏘️ \w+ \w+ (.*) ✅""))))"),"#N/A")</f>
        <v>#N/A</v>
      </c>
      <c r="I3751" s="4" t="str">
        <f>IFERROR(__xludf.DUMMYFUNCTION("if(D3751=""variant"",  substitute(filter(Templates!E:E, Templates!A:A = F3751, Templates!B:B = G3751, Templates!C:C = H3751), ""{{}}"", E3751), B3751)"),"Louer appartement L'Abergement: Trouvez le bien immobilier qui correspond idéalement à vos désirs sur ImmoScout24 - La plateforme de l'immobilier en Suisse.")</f>
        <v>Louer appartement L'Abergement: Trouvez le bien immobilier qui correspond idéalement à vos désirs sur ImmoScout24 - La plateforme de l'immobilier en Suisse.</v>
      </c>
    </row>
    <row r="3752" hidden="1">
      <c r="A3752" s="5" t="s">
        <v>10606</v>
      </c>
      <c r="B3752" s="2" t="s">
        <v>10607</v>
      </c>
      <c r="C3752" s="2" t="s">
        <v>10607</v>
      </c>
      <c r="D3752" s="4" t="str">
        <f>vlookup(A3752, Sheet2!D:E, 2, 0)</f>
        <v>control</v>
      </c>
      <c r="E3752" s="4" t="str">
        <f>IFERROR(__xludf.DUMMYFUNCTION("if(H3752=""pays"",vlookup(REGEXEXTRACT(C3752, ""🏘️ \w+ \w+ (.*) ✅""),'Country prepositions'!A:B, 2, 0) &amp; "" "" &amp; REGEXEXTRACT(C3752, ""🏘️ \w+ \w+ (.*) ✅"") ,  if(H3752=""quartier"",vlookup(REGEXEXTRACT(C3752, ""🏘️ \w+ \w+ (.*) ✅""),'Quartier prepositio"&amp;"ns'!A:E, 5, 0) ,  if(H3752=""region"",vlookup(REGEXEXTRACT(C3752, ""🏘️ \w+ \w+ (.*) ✅""),'Region prepositions'!B:F, 5, 0),  REGEXEXTRACT(C3752, ""🏘️ \w+ \w+ (.*) ✅""))))"),"#N/A")</f>
        <v>#N/A</v>
      </c>
      <c r="I3752" s="4" t="str">
        <f>IFERROR(__xludf.DUMMYFUNCTION("if(D3752=""variant"",  substitute(filter(Templates!E:E, Templates!A:A = F3752, Templates!B:B = G3752, Templates!C:C = H3752), ""{{}}"", E3752), B3752)"),"Vendre appartement Niederönz: Trouvez le bien immobilier qui correspond idéalement à vos désirs sur ImmoScout24 - La plateforme de l'immobilier en Suisse.")</f>
        <v>Vendre appartement Niederönz: Trouvez le bien immobilier qui correspond idéalement à vos désirs sur ImmoScout24 - La plateforme de l'immobilier en Suisse.</v>
      </c>
    </row>
    <row r="3753" hidden="1">
      <c r="A3753" s="5" t="s">
        <v>10608</v>
      </c>
      <c r="B3753" s="2" t="s">
        <v>10609</v>
      </c>
      <c r="C3753" s="2" t="s">
        <v>10609</v>
      </c>
      <c r="D3753" s="4" t="str">
        <f>vlookup(A3753, Sheet2!D:E, 2, 0)</f>
        <v>control</v>
      </c>
      <c r="E3753" s="4" t="str">
        <f>IFERROR(__xludf.DUMMYFUNCTION("if(H3753=""pays"",vlookup(REGEXEXTRACT(C3753, ""🏘️ \w+ \w+ (.*) ✅""),'Country prepositions'!A:B, 2, 0) &amp; "" "" &amp; REGEXEXTRACT(C3753, ""🏘️ \w+ \w+ (.*) ✅"") ,  if(H3753=""quartier"",vlookup(REGEXEXTRACT(C3753, ""🏘️ \w+ \w+ (.*) ✅""),'Quartier prepositio"&amp;"ns'!A:E, 5, 0) ,  if(H3753=""region"",vlookup(REGEXEXTRACT(C3753, ""🏘️ \w+ \w+ (.*) ✅""),'Region prepositions'!B:F, 5, 0),  REGEXEXTRACT(C3753, ""🏘️ \w+ \w+ (.*) ✅""))))"),"#N/A")</f>
        <v>#N/A</v>
      </c>
      <c r="I3753" s="4" t="str">
        <f>IFERROR(__xludf.DUMMYFUNCTION("if(D3753=""variant"",  substitute(filter(Templates!E:E, Templates!A:A = F3753, Templates!B:B = G3753, Templates!C:C = H3753), ""{{}}"", E3753), B3753)"),"Louer appartement Bonaduz: Trouvez le bien immobilier qui correspond idéalement à vos désirs sur ImmoScout24 - La plateforme de l'immobilier en Suisse.")</f>
        <v>Louer appartement Bonaduz: Trouvez le bien immobilier qui correspond idéalement à vos désirs sur ImmoScout24 - La plateforme de l'immobilier en Suisse.</v>
      </c>
    </row>
    <row r="3754" hidden="1">
      <c r="A3754" s="5" t="s">
        <v>10610</v>
      </c>
      <c r="B3754" s="2" t="s">
        <v>10611</v>
      </c>
      <c r="C3754" s="2" t="s">
        <v>10611</v>
      </c>
      <c r="D3754" s="4" t="str">
        <f>vlookup(A3754, Sheet2!D:E, 2, 0)</f>
        <v>control</v>
      </c>
      <c r="E3754" s="4" t="str">
        <f>IFERROR(__xludf.DUMMYFUNCTION("if(H3754=""pays"",vlookup(REGEXEXTRACT(C3754, ""🏘️ \w+ \w+ (.*) ✅""),'Country prepositions'!A:B, 2, 0) &amp; "" "" &amp; REGEXEXTRACT(C3754, ""🏘️ \w+ \w+ (.*) ✅"") ,  if(H3754=""quartier"",vlookup(REGEXEXTRACT(C3754, ""🏘️ \w+ \w+ (.*) ✅""),'Quartier prepositio"&amp;"ns'!A:E, 5, 0) ,  if(H3754=""region"",vlookup(REGEXEXTRACT(C3754, ""🏘️ \w+ \w+ (.*) ✅""),'Region prepositions'!B:F, 5, 0),  REGEXEXTRACT(C3754, ""🏘️ \w+ \w+ (.*) ✅""))))"),"#N/A")</f>
        <v>#N/A</v>
      </c>
      <c r="I3754" s="4" t="str">
        <f>IFERROR(__xludf.DUMMYFUNCTION("if(D3754=""variant"",  substitute(filter(Templates!E:E, Templates!A:A = F3754, Templates!B:B = G3754, Templates!C:C = H3754), ""{{}}"", E3754), B3754)"),"Louer appartement Agiez: Trouvez le bien immobilier qui correspond idéalement à vos désirs sur ImmoScout24 - La plateforme de l'immobilier en Suisse.")</f>
        <v>Louer appartement Agiez: Trouvez le bien immobilier qui correspond idéalement à vos désirs sur ImmoScout24 - La plateforme de l'immobilier en Suisse.</v>
      </c>
    </row>
    <row r="3755" hidden="1">
      <c r="A3755" s="5" t="s">
        <v>10612</v>
      </c>
      <c r="B3755" s="2" t="s">
        <v>10613</v>
      </c>
      <c r="C3755" s="2" t="s">
        <v>10613</v>
      </c>
      <c r="D3755" s="4" t="str">
        <f>vlookup(A3755, Sheet2!D:E, 2, 0)</f>
        <v>control</v>
      </c>
      <c r="E3755" s="4" t="str">
        <f>IFERROR(__xludf.DUMMYFUNCTION("if(H3755=""pays"",vlookup(REGEXEXTRACT(C3755, ""🏘️ \w+ \w+ (.*) ✅""),'Country prepositions'!A:B, 2, 0) &amp; "" "" &amp; REGEXEXTRACT(C3755, ""🏘️ \w+ \w+ (.*) ✅"") ,  if(H3755=""quartier"",vlookup(REGEXEXTRACT(C3755, ""🏘️ \w+ \w+ (.*) ✅""),'Quartier prepositio"&amp;"ns'!A:E, 5, 0) ,  if(H3755=""region"",vlookup(REGEXEXTRACT(C3755, ""🏘️ \w+ \w+ (.*) ✅""),'Region prepositions'!B:F, 5, 0),  REGEXEXTRACT(C3755, ""🏘️ \w+ \w+ (.*) ✅""))))"),"#N/A")</f>
        <v>#N/A</v>
      </c>
      <c r="I3755" s="4" t="str">
        <f>IFERROR(__xludf.DUMMYFUNCTION("if(D3755=""variant"",  substitute(filter(Templates!E:E, Templates!A:A = F3755, Templates!B:B = G3755, Templates!C:C = H3755), ""{{}}"", E3755), B3755)"),"Vendre maison Jouxtens-Mézery: Trouvez le bien immobilier qui correspond idéalement à vos désirs sur ImmoScout24 - La plateforme de l'immobilier en Suisse.")</f>
        <v>Vendre maison Jouxtens-Mézery: Trouvez le bien immobilier qui correspond idéalement à vos désirs sur ImmoScout24 - La plateforme de l'immobilier en Suisse.</v>
      </c>
    </row>
    <row r="3756" hidden="1">
      <c r="A3756" s="5" t="s">
        <v>10614</v>
      </c>
      <c r="B3756" s="2" t="s">
        <v>10615</v>
      </c>
      <c r="C3756" s="2" t="s">
        <v>10615</v>
      </c>
      <c r="D3756" s="4" t="str">
        <f>vlookup(A3756, Sheet2!D:E, 2, 0)</f>
        <v>control</v>
      </c>
      <c r="E3756" s="4" t="str">
        <f>IFERROR(__xludf.DUMMYFUNCTION("if(H3756=""pays"",vlookup(REGEXEXTRACT(C3756, ""🏘️ \w+ \w+ (.*) ✅""),'Country prepositions'!A:B, 2, 0) &amp; "" "" &amp; REGEXEXTRACT(C3756, ""🏘️ \w+ \w+ (.*) ✅"") ,  if(H3756=""quartier"",vlookup(REGEXEXTRACT(C3756, ""🏘️ \w+ \w+ (.*) ✅""),'Quartier prepositio"&amp;"ns'!A:E, 5, 0) ,  if(H3756=""region"",vlookup(REGEXEXTRACT(C3756, ""🏘️ \w+ \w+ (.*) ✅""),'Region prepositions'!B:F, 5, 0),  REGEXEXTRACT(C3756, ""🏘️ \w+ \w+ (.*) ✅""))))"),"#N/A")</f>
        <v>#N/A</v>
      </c>
      <c r="I3756" s="4" t="str">
        <f>IFERROR(__xludf.DUMMYFUNCTION("if(D3756=""variant"",  substitute(filter(Templates!E:E, Templates!A:A = F3756, Templates!B:B = G3756, Templates!C:C = H3756), ""{{}}"", E3756), B3756)"),"Louer appartement Provence: Trouvez le bien immobilier qui correspond idéalement à vos désirs sur ImmoScout24 - La plateforme de l'immobilier en Suisse.")</f>
        <v>Louer appartement Provence: Trouvez le bien immobilier qui correspond idéalement à vos désirs sur ImmoScout24 - La plateforme de l'immobilier en Suisse.</v>
      </c>
    </row>
    <row r="3757" hidden="1">
      <c r="A3757" s="5" t="s">
        <v>10616</v>
      </c>
      <c r="B3757" s="2" t="s">
        <v>10617</v>
      </c>
      <c r="C3757" s="2" t="s">
        <v>10617</v>
      </c>
      <c r="D3757" s="4" t="str">
        <f>vlookup(A3757, Sheet2!D:E, 2, 0)</f>
        <v>control</v>
      </c>
      <c r="E3757" s="4" t="str">
        <f>IFERROR(__xludf.DUMMYFUNCTION("if(H3757=""pays"",vlookup(REGEXEXTRACT(C3757, ""🏘️ \w+ \w+ (.*) ✅""),'Country prepositions'!A:B, 2, 0) &amp; "" "" &amp; REGEXEXTRACT(C3757, ""🏘️ \w+ \w+ (.*) ✅"") ,  if(H3757=""quartier"",vlookup(REGEXEXTRACT(C3757, ""🏘️ \w+ \w+ (.*) ✅""),'Quartier prepositio"&amp;"ns'!A:E, 5, 0) ,  if(H3757=""region"",vlookup(REGEXEXTRACT(C3757, ""🏘️ \w+ \w+ (.*) ✅""),'Region prepositions'!B:F, 5, 0),  REGEXEXTRACT(C3757, ""🏘️ \w+ \w+ (.*) ✅""))))"),"#N/A")</f>
        <v>#N/A</v>
      </c>
      <c r="I3757" s="4" t="str">
        <f>IFERROR(__xludf.DUMMYFUNCTION("if(D3757=""variant"",  substitute(filter(Templates!E:E, Templates!A:A = F3757, Templates!B:B = G3757, Templates!C:C = H3757), ""{{}}"", E3757), B3757)"),"Louer appartement Avenches: Trouvez le bien immobilier qui correspond idéalement à vos désirs sur ImmoScout24 - La plateforme de l'immobilier en Suisse.")</f>
        <v>Louer appartement Avenches: Trouvez le bien immobilier qui correspond idéalement à vos désirs sur ImmoScout24 - La plateforme de l'immobilier en Suisse.</v>
      </c>
    </row>
    <row r="3758" hidden="1">
      <c r="A3758" s="5" t="s">
        <v>10618</v>
      </c>
      <c r="B3758" s="2" t="s">
        <v>10619</v>
      </c>
      <c r="C3758" s="2" t="s">
        <v>10619</v>
      </c>
      <c r="D3758" s="4" t="str">
        <f>vlookup(A3758, Sheet2!D:E, 2, 0)</f>
        <v>control</v>
      </c>
      <c r="E3758" s="4" t="str">
        <f>IFERROR(__xludf.DUMMYFUNCTION("if(H3758=""pays"",vlookup(REGEXEXTRACT(C3758, ""🏘️ \w+ \w+ (.*) ✅""),'Country prepositions'!A:B, 2, 0) &amp; "" "" &amp; REGEXEXTRACT(C3758, ""🏘️ \w+ \w+ (.*) ✅"") ,  if(H3758=""quartier"",vlookup(REGEXEXTRACT(C3758, ""🏘️ \w+ \w+ (.*) ✅""),'Quartier prepositio"&amp;"ns'!A:E, 5, 0) ,  if(H3758=""region"",vlookup(REGEXEXTRACT(C3758, ""🏘️ \w+ \w+ (.*) ✅""),'Region prepositions'!B:F, 5, 0),  REGEXEXTRACT(C3758, ""🏘️ \w+ \w+ (.*) ✅""))))"),"#N/A")</f>
        <v>#N/A</v>
      </c>
      <c r="I3758" s="4" t="str">
        <f>IFERROR(__xludf.DUMMYFUNCTION("if(D3758=""variant"",  substitute(filter(Templates!E:E, Templates!A:A = F3758, Templates!B:B = G3758, Templates!C:C = H3758), ""{{}}"", E3758), B3758)"),"Louer maison Bellinzone: Trouvez le bien immobilier qui correspond idéalement à vos désirs sur ImmoScout24 - La plateforme de l'immobilier en Suisse.")</f>
        <v>Louer maison Bellinzone: Trouvez le bien immobilier qui correspond idéalement à vos désirs sur ImmoScout24 - La plateforme de l'immobilier en Suisse.</v>
      </c>
    </row>
    <row r="3759" hidden="1">
      <c r="A3759" s="5" t="s">
        <v>10620</v>
      </c>
      <c r="B3759" s="2" t="s">
        <v>10621</v>
      </c>
      <c r="C3759" s="2" t="s">
        <v>10621</v>
      </c>
      <c r="D3759" s="4" t="str">
        <f>vlookup(A3759, Sheet2!D:E, 2, 0)</f>
        <v>control</v>
      </c>
      <c r="E3759" s="4" t="str">
        <f>IFERROR(__xludf.DUMMYFUNCTION("if(H3759=""pays"",vlookup(REGEXEXTRACT(C3759, ""🏘️ \w+ \w+ (.*) ✅""),'Country prepositions'!A:B, 2, 0) &amp; "" "" &amp; REGEXEXTRACT(C3759, ""🏘️ \w+ \w+ (.*) ✅"") ,  if(H3759=""quartier"",vlookup(REGEXEXTRACT(C3759, ""🏘️ \w+ \w+ (.*) ✅""),'Quartier prepositio"&amp;"ns'!A:E, 5, 0) ,  if(H3759=""region"",vlookup(REGEXEXTRACT(C3759, ""🏘️ \w+ \w+ (.*) ✅""),'Region prepositions'!B:F, 5, 0),  REGEXEXTRACT(C3759, ""🏘️ \w+ \w+ (.*) ✅""))))"),"#N/A")</f>
        <v>#N/A</v>
      </c>
      <c r="I3759" s="4" t="str">
        <f>IFERROR(__xludf.DUMMYFUNCTION("if(D3759=""variant"",  substitute(filter(Templates!E:E, Templates!A:A = F3759, Templates!B:B = G3759, Templates!C:C = H3759), ""{{}}"", E3759), B3759)"),"Louer appartement Chessel: Trouvez le bien immobilier qui correspond idéalement à vos désirs sur ImmoScout24 - La plateforme de l'immobilier en Suisse.")</f>
        <v>Louer appartement Chessel: Trouvez le bien immobilier qui correspond idéalement à vos désirs sur ImmoScout24 - La plateforme de l'immobilier en Suisse.</v>
      </c>
    </row>
    <row r="3760" hidden="1">
      <c r="A3760" s="5" t="s">
        <v>10622</v>
      </c>
      <c r="B3760" s="2" t="s">
        <v>10623</v>
      </c>
      <c r="C3760" s="2" t="s">
        <v>10623</v>
      </c>
      <c r="D3760" s="4" t="str">
        <f>vlookup(A3760, Sheet2!D:E, 2, 0)</f>
        <v>control</v>
      </c>
      <c r="E3760" s="4" t="str">
        <f>IFERROR(__xludf.DUMMYFUNCTION("if(H3760=""pays"",vlookup(REGEXEXTRACT(C3760, ""🏘️ \w+ \w+ (.*) ✅""),'Country prepositions'!A:B, 2, 0) &amp; "" "" &amp; REGEXEXTRACT(C3760, ""🏘️ \w+ \w+ (.*) ✅"") ,  if(H3760=""quartier"",vlookup(REGEXEXTRACT(C3760, ""🏘️ \w+ \w+ (.*) ✅""),'Quartier prepositio"&amp;"ns'!A:E, 5, 0) ,  if(H3760=""region"",vlookup(REGEXEXTRACT(C3760, ""🏘️ \w+ \w+ (.*) ✅""),'Region prepositions'!B:F, 5, 0),  REGEXEXTRACT(C3760, ""🏘️ \w+ \w+ (.*) ✅""))))"),"#N/A")</f>
        <v>#N/A</v>
      </c>
      <c r="I3760" s="4" t="str">
        <f>IFERROR(__xludf.DUMMYFUNCTION("if(D3760=""variant"",  substitute(filter(Templates!E:E, Templates!A:A = F3760, Templates!B:B = G3760, Templates!C:C = H3760), ""{{}}"", E3760), B3760)"),"Louer appartement Cimadera (Lugano): Trouvez le bien immobilier qui correspond idéalement à vos désirs sur ImmoScout24 - La plateforme de l'immobilier en Suisse.")</f>
        <v>Louer appartement Cimadera (Lugano): Trouvez le bien immobilier qui correspond idéalement à vos désirs sur ImmoScout24 - La plateforme de l'immobilier en Suisse.</v>
      </c>
    </row>
    <row r="3761" hidden="1">
      <c r="A3761" s="5" t="s">
        <v>10624</v>
      </c>
      <c r="B3761" s="2" t="s">
        <v>10625</v>
      </c>
      <c r="C3761" s="2" t="s">
        <v>10625</v>
      </c>
      <c r="D3761" s="4" t="str">
        <f>vlookup(A3761, Sheet2!D:E, 2, 0)</f>
        <v>control</v>
      </c>
      <c r="E3761" s="4" t="str">
        <f>IFERROR(__xludf.DUMMYFUNCTION("if(H3761=""pays"",vlookup(REGEXEXTRACT(C3761, ""🏘️ \w+ \w+ (.*) ✅""),'Country prepositions'!A:B, 2, 0) &amp; "" "" &amp; REGEXEXTRACT(C3761, ""🏘️ \w+ \w+ (.*) ✅"") ,  if(H3761=""quartier"",vlookup(REGEXEXTRACT(C3761, ""🏘️ \w+ \w+ (.*) ✅""),'Quartier prepositio"&amp;"ns'!A:E, 5, 0) ,  if(H3761=""region"",vlookup(REGEXEXTRACT(C3761, ""🏘️ \w+ \w+ (.*) ✅""),'Region prepositions'!B:F, 5, 0),  REGEXEXTRACT(C3761, ""🏘️ \w+ \w+ (.*) ✅""))))"),"#N/A")</f>
        <v>#N/A</v>
      </c>
      <c r="I3761" s="4" t="str">
        <f>IFERROR(__xludf.DUMMYFUNCTION("if(D3761=""variant"",  substitute(filter(Templates!E:E, Templates!A:A = F3761, Templates!B:B = G3761, Templates!C:C = H3761), ""{{}}"", E3761), B3761)"),"Louer appartement Rapperswil SG: Trouvez le bien immobilier qui correspond idéalement à vos désirs sur ImmoScout24 - La plateforme de l'immobilier en Suisse.")</f>
        <v>Louer appartement Rapperswil SG: Trouvez le bien immobilier qui correspond idéalement à vos désirs sur ImmoScout24 - La plateforme de l'immobilier en Suisse.</v>
      </c>
    </row>
    <row r="3762" hidden="1">
      <c r="A3762" s="5" t="s">
        <v>10626</v>
      </c>
      <c r="B3762" s="2" t="s">
        <v>10627</v>
      </c>
      <c r="C3762" s="2" t="s">
        <v>10627</v>
      </c>
      <c r="D3762" s="4" t="str">
        <f>vlookup(A3762, Sheet2!D:E, 2, 0)</f>
        <v>control</v>
      </c>
      <c r="E3762" s="4" t="str">
        <f>IFERROR(__xludf.DUMMYFUNCTION("if(H3762=""pays"",vlookup(REGEXEXTRACT(C3762, ""🏘️ \w+ \w+ (.*) ✅""),'Country prepositions'!A:B, 2, 0) &amp; "" "" &amp; REGEXEXTRACT(C3762, ""🏘️ \w+ \w+ (.*) ✅"") ,  if(H3762=""quartier"",vlookup(REGEXEXTRACT(C3762, ""🏘️ \w+ \w+ (.*) ✅""),'Quartier prepositio"&amp;"ns'!A:E, 5, 0) ,  if(H3762=""region"",vlookup(REGEXEXTRACT(C3762, ""🏘️ \w+ \w+ (.*) ✅""),'Region prepositions'!B:F, 5, 0),  REGEXEXTRACT(C3762, ""🏘️ \w+ \w+ (.*) ✅""))))"),"#N/A")</f>
        <v>#N/A</v>
      </c>
      <c r="I3762" s="4" t="str">
        <f>IFERROR(__xludf.DUMMYFUNCTION("if(D3762=""variant"",  substitute(filter(Templates!E:E, Templates!A:A = F3762, Templates!B:B = G3762, Templates!C:C = H3762), ""{{}}"", E3762), B3762)"),"Vendre appartement Liechtenstein: Trouvez le bien immobilier qui correspond idéalement à vos désirs sur ImmoScout24 - La plateforme de l'immobilier en Suisse.")</f>
        <v>Vendre appartement Liechtenstein: Trouvez le bien immobilier qui correspond idéalement à vos désirs sur ImmoScout24 - La plateforme de l'immobilier en Suisse.</v>
      </c>
    </row>
    <row r="3763" hidden="1">
      <c r="A3763" s="5" t="s">
        <v>10628</v>
      </c>
      <c r="B3763" s="2" t="s">
        <v>10629</v>
      </c>
      <c r="C3763" s="2" t="s">
        <v>10629</v>
      </c>
      <c r="D3763" s="4" t="str">
        <f>vlookup(A3763, Sheet2!D:E, 2, 0)</f>
        <v>control</v>
      </c>
      <c r="E3763" s="4" t="str">
        <f>IFERROR(__xludf.DUMMYFUNCTION("if(H3763=""pays"",vlookup(REGEXEXTRACT(C3763, ""🏘️ \w+ \w+ (.*) ✅""),'Country prepositions'!A:B, 2, 0) &amp; "" "" &amp; REGEXEXTRACT(C3763, ""🏘️ \w+ \w+ (.*) ✅"") ,  if(H3763=""quartier"",vlookup(REGEXEXTRACT(C3763, ""🏘️ \w+ \w+ (.*) ✅""),'Quartier prepositio"&amp;"ns'!A:E, 5, 0) ,  if(H3763=""region"",vlookup(REGEXEXTRACT(C3763, ""🏘️ \w+ \w+ (.*) ✅""),'Region prepositions'!B:F, 5, 0),  REGEXEXTRACT(C3763, ""🏘️ \w+ \w+ (.*) ✅""))))"),"#N/A")</f>
        <v>#N/A</v>
      </c>
      <c r="I3763" s="4" t="str">
        <f>IFERROR(__xludf.DUMMYFUNCTION("if(D3763=""variant"",  substitute(filter(Templates!E:E, Templates!A:A = F3763, Templates!B:B = G3763, Templates!C:C = H3763), ""{{}}"", E3763), B3763)"),"Louer appartement Kiental: Trouvez le bien immobilier qui correspond idéalement à vos désirs sur ImmoScout24 - La plateforme de l'immobilier en Suisse.")</f>
        <v>Louer appartement Kiental: Trouvez le bien immobilier qui correspond idéalement à vos désirs sur ImmoScout24 - La plateforme de l'immobilier en Suisse.</v>
      </c>
    </row>
    <row r="3764" hidden="1">
      <c r="A3764" s="5" t="s">
        <v>10630</v>
      </c>
      <c r="B3764" s="2" t="s">
        <v>10631</v>
      </c>
      <c r="C3764" s="2" t="s">
        <v>10631</v>
      </c>
      <c r="D3764" s="4" t="str">
        <f>vlookup(A3764, Sheet2!D:E, 2, 0)</f>
        <v>control</v>
      </c>
      <c r="E3764" s="4" t="str">
        <f>IFERROR(__xludf.DUMMYFUNCTION("if(H3764=""pays"",vlookup(REGEXEXTRACT(C3764, ""🏘️ \w+ \w+ (.*) ✅""),'Country prepositions'!A:B, 2, 0) &amp; "" "" &amp; REGEXEXTRACT(C3764, ""🏘️ \w+ \w+ (.*) ✅"") ,  if(H3764=""quartier"",vlookup(REGEXEXTRACT(C3764, ""🏘️ \w+ \w+ (.*) ✅""),'Quartier prepositio"&amp;"ns'!A:E, 5, 0) ,  if(H3764=""region"",vlookup(REGEXEXTRACT(C3764, ""🏘️ \w+ \w+ (.*) ✅""),'Region prepositions'!B:F, 5, 0),  REGEXEXTRACT(C3764, ""🏘️ \w+ \w+ (.*) ✅""))))"),"#N/A")</f>
        <v>#N/A</v>
      </c>
      <c r="I3764" s="4" t="str">
        <f>IFERROR(__xludf.DUMMYFUNCTION("if(D3764=""variant"",  substitute(filter(Templates!E:E, Templates!A:A = F3764, Templates!B:B = G3764, Templates!C:C = H3764), ""{{}}"", E3764), B3764)"),"Louer appartement Eplatures-Crêt du Locle (La Chaux-de-Fonds): Trouvez le bien immobilier qui correspond idéalement à vos désirs sur ImmoScout24 - La plateforme de l'immobilier en Suisse.")</f>
        <v>Louer appartement Eplatures-Crêt du Locle (La Chaux-de-Fonds): Trouvez le bien immobilier qui correspond idéalement à vos désirs sur ImmoScout24 - La plateforme de l'immobilier en Suisse.</v>
      </c>
    </row>
    <row r="3765" hidden="1">
      <c r="A3765" s="5" t="s">
        <v>10632</v>
      </c>
      <c r="B3765" s="2" t="s">
        <v>10633</v>
      </c>
      <c r="C3765" s="2" t="s">
        <v>10633</v>
      </c>
      <c r="D3765" s="4" t="str">
        <f>vlookup(A3765, Sheet2!D:E, 2, 0)</f>
        <v>control</v>
      </c>
      <c r="E3765" s="4" t="str">
        <f>IFERROR(__xludf.DUMMYFUNCTION("if(H3765=""pays"",vlookup(REGEXEXTRACT(C3765, ""🏘️ \w+ \w+ (.*) ✅""),'Country prepositions'!A:B, 2, 0) &amp; "" "" &amp; REGEXEXTRACT(C3765, ""🏘️ \w+ \w+ (.*) ✅"") ,  if(H3765=""quartier"",vlookup(REGEXEXTRACT(C3765, ""🏘️ \w+ \w+ (.*) ✅""),'Quartier prepositio"&amp;"ns'!A:E, 5, 0) ,  if(H3765=""region"",vlookup(REGEXEXTRACT(C3765, ""🏘️ \w+ \w+ (.*) ✅""),'Region prepositions'!B:F, 5, 0),  REGEXEXTRACT(C3765, ""🏘️ \w+ \w+ (.*) ✅""))))"),"#N/A")</f>
        <v>#N/A</v>
      </c>
      <c r="I3765" s="4" t="str">
        <f>IFERROR(__xludf.DUMMYFUNCTION("if(D3765=""variant"",  substitute(filter(Templates!E:E, Templates!A:A = F3765, Templates!B:B = G3765, Templates!C:C = H3765), ""{{}}"", E3765), B3765)"),"Vendre appartement Roggwil BE: Trouvez le bien immobilier qui correspond idéalement à vos désirs sur ImmoScout24 - La plateforme de l'immobilier en Suisse.")</f>
        <v>Vendre appartement Roggwil BE: Trouvez le bien immobilier qui correspond idéalement à vos désirs sur ImmoScout24 - La plateforme de l'immobilier en Suisse.</v>
      </c>
    </row>
    <row r="3766" hidden="1">
      <c r="A3766" s="5" t="s">
        <v>10634</v>
      </c>
      <c r="B3766" s="2" t="s">
        <v>10635</v>
      </c>
      <c r="C3766" s="2" t="s">
        <v>10635</v>
      </c>
      <c r="D3766" s="4" t="str">
        <f>vlookup(A3766, Sheet2!D:E, 2, 0)</f>
        <v>control</v>
      </c>
      <c r="E3766" s="4" t="str">
        <f>IFERROR(__xludf.DUMMYFUNCTION("if(H3766=""pays"",vlookup(REGEXEXTRACT(C3766, ""🏘️ \w+ \w+ (.*) ✅""),'Country prepositions'!A:B, 2, 0) &amp; "" "" &amp; REGEXEXTRACT(C3766, ""🏘️ \w+ \w+ (.*) ✅"") ,  if(H3766=""quartier"",vlookup(REGEXEXTRACT(C3766, ""🏘️ \w+ \w+ (.*) ✅""),'Quartier prepositio"&amp;"ns'!A:E, 5, 0) ,  if(H3766=""region"",vlookup(REGEXEXTRACT(C3766, ""🏘️ \w+ \w+ (.*) ✅""),'Region prepositions'!B:F, 5, 0),  REGEXEXTRACT(C3766, ""🏘️ \w+ \w+ (.*) ✅""))))"),"#N/A")</f>
        <v>#N/A</v>
      </c>
      <c r="I3766" s="4" t="str">
        <f>IFERROR(__xludf.DUMMYFUNCTION("if(D3766=""variant"",  substitute(filter(Templates!E:E, Templates!A:A = F3766, Templates!B:B = G3766, Templates!C:C = H3766), ""{{}}"", E3766), B3766)"),"Louer appartement Herrenschwanden: Trouvez le bien immobilier qui correspond idéalement à vos désirs sur ImmoScout24 - La plateforme de l'immobilier en Suisse.")</f>
        <v>Louer appartement Herrenschwanden: Trouvez le bien immobilier qui correspond idéalement à vos désirs sur ImmoScout24 - La plateforme de l'immobilier en Suisse.</v>
      </c>
    </row>
    <row r="3767" hidden="1">
      <c r="A3767" s="5" t="s">
        <v>10636</v>
      </c>
      <c r="B3767" s="2" t="s">
        <v>10637</v>
      </c>
      <c r="C3767" s="2" t="s">
        <v>10637</v>
      </c>
      <c r="D3767" s="4" t="str">
        <f>vlookup(A3767, Sheet2!D:E, 2, 0)</f>
        <v>control</v>
      </c>
      <c r="E3767" s="4" t="str">
        <f>IFERROR(__xludf.DUMMYFUNCTION("if(H3767=""pays"",vlookup(REGEXEXTRACT(C3767, ""🏘️ \w+ \w+ (.*) ✅""),'Country prepositions'!A:B, 2, 0) &amp; "" "" &amp; REGEXEXTRACT(C3767, ""🏘️ \w+ \w+ (.*) ✅"") ,  if(H3767=""quartier"",vlookup(REGEXEXTRACT(C3767, ""🏘️ \w+ \w+ (.*) ✅""),'Quartier prepositio"&amp;"ns'!A:E, 5, 0) ,  if(H3767=""region"",vlookup(REGEXEXTRACT(C3767, ""🏘️ \w+ \w+ (.*) ✅""),'Region prepositions'!B:F, 5, 0),  REGEXEXTRACT(C3767, ""🏘️ \w+ \w+ (.*) ✅""))))"),"#N/A")</f>
        <v>#N/A</v>
      </c>
      <c r="I3767" s="4" t="str">
        <f>IFERROR(__xludf.DUMMYFUNCTION("if(D3767=""variant"",  substitute(filter(Templates!E:E, Templates!A:A = F3767, Templates!B:B = G3767, Templates!C:C = H3767), ""{{}}"", E3767), B3767)"),"Louer appartement Pampigny: Trouvez le bien immobilier qui correspond idéalement à vos désirs sur ImmoScout24 - La plateforme de l'immobilier en Suisse.")</f>
        <v>Louer appartement Pampigny: Trouvez le bien immobilier qui correspond idéalement à vos désirs sur ImmoScout24 - La plateforme de l'immobilier en Suisse.</v>
      </c>
    </row>
    <row r="3768" hidden="1">
      <c r="A3768" s="5" t="s">
        <v>10638</v>
      </c>
      <c r="B3768" s="2" t="s">
        <v>10639</v>
      </c>
      <c r="C3768" s="2" t="s">
        <v>10639</v>
      </c>
      <c r="D3768" s="4" t="str">
        <f>vlookup(A3768, Sheet2!D:E, 2, 0)</f>
        <v>control</v>
      </c>
      <c r="E3768" s="4" t="str">
        <f>IFERROR(__xludf.DUMMYFUNCTION("if(H3768=""pays"",vlookup(REGEXEXTRACT(C3768, ""🏘️ \w+ \w+ (.*) ✅""),'Country prepositions'!A:B, 2, 0) &amp; "" "" &amp; REGEXEXTRACT(C3768, ""🏘️ \w+ \w+ (.*) ✅"") ,  if(H3768=""quartier"",vlookup(REGEXEXTRACT(C3768, ""🏘️ \w+ \w+ (.*) ✅""),'Quartier prepositio"&amp;"ns'!A:E, 5, 0) ,  if(H3768=""region"",vlookup(REGEXEXTRACT(C3768, ""🏘️ \w+ \w+ (.*) ✅""),'Region prepositions'!B:F, 5, 0),  REGEXEXTRACT(C3768, ""🏘️ \w+ \w+ (.*) ✅""))))"),"#N/A")</f>
        <v>#N/A</v>
      </c>
      <c r="I3768" s="4" t="str">
        <f>IFERROR(__xludf.DUMMYFUNCTION("if(D3768=""variant"",  substitute(filter(Templates!E:E, Templates!A:A = F3768, Templates!B:B = G3768, Templates!C:C = H3768), ""{{}}"", E3768), B3768)"),"Louer appartement Gollion: Trouvez le bien immobilier qui correspond idéalement à vos désirs sur ImmoScout24 - La plateforme de l'immobilier en Suisse.")</f>
        <v>Louer appartement Gollion: Trouvez le bien immobilier qui correspond idéalement à vos désirs sur ImmoScout24 - La plateforme de l'immobilier en Suisse.</v>
      </c>
    </row>
    <row r="3769" hidden="1">
      <c r="A3769" s="5" t="s">
        <v>10640</v>
      </c>
      <c r="B3769" s="2" t="s">
        <v>10641</v>
      </c>
      <c r="C3769" s="2" t="s">
        <v>10641</v>
      </c>
      <c r="D3769" s="4" t="str">
        <f>vlookup(A3769, Sheet2!D:E, 2, 0)</f>
        <v>control</v>
      </c>
      <c r="E3769" s="4" t="str">
        <f>IFERROR(__xludf.DUMMYFUNCTION("if(H3769=""pays"",vlookup(REGEXEXTRACT(C3769, ""🏘️ \w+ \w+ (.*) ✅""),'Country prepositions'!A:B, 2, 0) &amp; "" "" &amp; REGEXEXTRACT(C3769, ""🏘️ \w+ \w+ (.*) ✅"") ,  if(H3769=""quartier"",vlookup(REGEXEXTRACT(C3769, ""🏘️ \w+ \w+ (.*) ✅""),'Quartier prepositio"&amp;"ns'!A:E, 5, 0) ,  if(H3769=""region"",vlookup(REGEXEXTRACT(C3769, ""🏘️ \w+ \w+ (.*) ✅""),'Region prepositions'!B:F, 5, 0),  REGEXEXTRACT(C3769, ""🏘️ \w+ \w+ (.*) ✅""))))"),"#N/A")</f>
        <v>#N/A</v>
      </c>
      <c r="I3769" s="4" t="str">
        <f>IFERROR(__xludf.DUMMYFUNCTION("if(D3769=""variant"",  substitute(filter(Templates!E:E, Templates!A:A = F3769, Templates!B:B = G3769, Templates!C:C = H3769), ""{{}}"", E3769), B3769)"),"Louer appartement Champel - Roseraie (Genève): Trouvez le bien immobilier qui correspond idéalement à vos désirs sur ImmoScout24 - La plateforme de l'immobilier en Suisse.")</f>
        <v>Louer appartement Champel - Roseraie (Genève): Trouvez le bien immobilier qui correspond idéalement à vos désirs sur ImmoScout24 - La plateforme de l'immobilier en Suisse.</v>
      </c>
    </row>
    <row r="3770" hidden="1">
      <c r="A3770" s="5" t="s">
        <v>10642</v>
      </c>
      <c r="B3770" s="2" t="s">
        <v>10643</v>
      </c>
      <c r="C3770" s="2" t="s">
        <v>10643</v>
      </c>
      <c r="D3770" s="4" t="str">
        <f>vlookup(A3770, Sheet2!D:E, 2, 0)</f>
        <v>control</v>
      </c>
      <c r="E3770" s="4" t="str">
        <f>IFERROR(__xludf.DUMMYFUNCTION("if(H3770=""pays"",vlookup(REGEXEXTRACT(C3770, ""🏘️ \w+ \w+ (.*) ✅""),'Country prepositions'!A:B, 2, 0) &amp; "" "" &amp; REGEXEXTRACT(C3770, ""🏘️ \w+ \w+ (.*) ✅"") ,  if(H3770=""quartier"",vlookup(REGEXEXTRACT(C3770, ""🏘️ \w+ \w+ (.*) ✅""),'Quartier prepositio"&amp;"ns'!A:E, 5, 0) ,  if(H3770=""region"",vlookup(REGEXEXTRACT(C3770, ""🏘️ \w+ \w+ (.*) ✅""),'Region prepositions'!B:F, 5, 0),  REGEXEXTRACT(C3770, ""🏘️ \w+ \w+ (.*) ✅""))))"),"#N/A")</f>
        <v>#N/A</v>
      </c>
      <c r="I3770" s="4" t="str">
        <f>IFERROR(__xludf.DUMMYFUNCTION("if(D3770=""variant"",  substitute(filter(Templates!E:E, Templates!A:A = F3770, Templates!B:B = G3770, Templates!C:C = H3770), ""{{}}"", E3770), B3770)"),"Vendre maison Zullwil: Trouvez le bien immobilier qui correspond idéalement à vos désirs sur ImmoScout24 - La plateforme de l'immobilier en Suisse.")</f>
        <v>Vendre maison Zullwil: Trouvez le bien immobilier qui correspond idéalement à vos désirs sur ImmoScout24 - La plateforme de l'immobilier en Suisse.</v>
      </c>
    </row>
    <row r="3771" hidden="1">
      <c r="A3771" s="5" t="s">
        <v>10644</v>
      </c>
      <c r="B3771" s="2" t="s">
        <v>10645</v>
      </c>
      <c r="C3771" s="2" t="s">
        <v>10645</v>
      </c>
      <c r="D3771" s="4" t="str">
        <f>vlookup(A3771, Sheet2!D:E, 2, 0)</f>
        <v>control</v>
      </c>
      <c r="E3771" s="4" t="str">
        <f>IFERROR(__xludf.DUMMYFUNCTION("if(H3771=""pays"",vlookup(REGEXEXTRACT(C3771, ""🏘️ \w+ \w+ (.*) ✅""),'Country prepositions'!A:B, 2, 0) &amp; "" "" &amp; REGEXEXTRACT(C3771, ""🏘️ \w+ \w+ (.*) ✅"") ,  if(H3771=""quartier"",vlookup(REGEXEXTRACT(C3771, ""🏘️ \w+ \w+ (.*) ✅""),'Quartier prepositio"&amp;"ns'!A:E, 5, 0) ,  if(H3771=""region"",vlookup(REGEXEXTRACT(C3771, ""🏘️ \w+ \w+ (.*) ✅""),'Region prepositions'!B:F, 5, 0),  REGEXEXTRACT(C3771, ""🏘️ \w+ \w+ (.*) ✅""))))"),"#N/A")</f>
        <v>#N/A</v>
      </c>
      <c r="I3771" s="4" t="str">
        <f>IFERROR(__xludf.DUMMYFUNCTION("if(D3771=""variant"",  substitute(filter(Templates!E:E, Templates!A:A = F3771, Templates!B:B = G3771, Templates!C:C = H3771), ""{{}}"", E3771), B3771)"),"Louer appartement Affoltern am Albis: Trouvez le bien immobilier qui correspond idéalement à vos désirs sur ImmoScout24 - La plateforme de l'immobilier en Suisse.")</f>
        <v>Louer appartement Affoltern am Albis: Trouvez le bien immobilier qui correspond idéalement à vos désirs sur ImmoScout24 - La plateforme de l'immobilier en Suisse.</v>
      </c>
    </row>
    <row r="3772" hidden="1">
      <c r="A3772" s="5" t="s">
        <v>10646</v>
      </c>
      <c r="B3772" s="2" t="s">
        <v>10647</v>
      </c>
      <c r="C3772" s="2" t="s">
        <v>10647</v>
      </c>
      <c r="D3772" s="4" t="str">
        <f>vlookup(A3772, Sheet2!D:E, 2, 0)</f>
        <v>control</v>
      </c>
      <c r="E3772" s="4" t="str">
        <f>IFERROR(__xludf.DUMMYFUNCTION("if(H3772=""pays"",vlookup(REGEXEXTRACT(C3772, ""🏘️ \w+ \w+ (.*) ✅""),'Country prepositions'!A:B, 2, 0) &amp; "" "" &amp; REGEXEXTRACT(C3772, ""🏘️ \w+ \w+ (.*) ✅"") ,  if(H3772=""quartier"",vlookup(REGEXEXTRACT(C3772, ""🏘️ \w+ \w+ (.*) ✅""),'Quartier prepositio"&amp;"ns'!A:E, 5, 0) ,  if(H3772=""region"",vlookup(REGEXEXTRACT(C3772, ""🏘️ \w+ \w+ (.*) ✅""),'Region prepositions'!B:F, 5, 0),  REGEXEXTRACT(C3772, ""🏘️ \w+ \w+ (.*) ✅""))))"),"#N/A")</f>
        <v>#N/A</v>
      </c>
      <c r="I3772" s="4" t="str">
        <f>IFERROR(__xludf.DUMMYFUNCTION("if(D3772=""variant"",  substitute(filter(Templates!E:E, Templates!A:A = F3772, Templates!B:B = G3772, Templates!C:C = H3772), ""{{}}"", E3772), B3772)"),"Louer appartement Courgevaux: Trouvez le bien immobilier qui correspond idéalement à vos désirs sur ImmoScout24 - La plateforme de l'immobilier en Suisse.")</f>
        <v>Louer appartement Courgevaux: Trouvez le bien immobilier qui correspond idéalement à vos désirs sur ImmoScout24 - La plateforme de l'immobilier en Suisse.</v>
      </c>
    </row>
    <row r="3773" hidden="1">
      <c r="A3773" s="5" t="s">
        <v>10648</v>
      </c>
      <c r="B3773" s="2" t="s">
        <v>10649</v>
      </c>
      <c r="C3773" s="2" t="s">
        <v>10649</v>
      </c>
      <c r="D3773" s="4" t="str">
        <f>vlookup(A3773, Sheet2!D:E, 2, 0)</f>
        <v>control</v>
      </c>
      <c r="E3773" s="4" t="str">
        <f>IFERROR(__xludf.DUMMYFUNCTION("if(H3773=""pays"",vlookup(REGEXEXTRACT(C3773, ""🏘️ \w+ \w+ (.*) ✅""),'Country prepositions'!A:B, 2, 0) &amp; "" "" &amp; REGEXEXTRACT(C3773, ""🏘️ \w+ \w+ (.*) ✅"") ,  if(H3773=""quartier"",vlookup(REGEXEXTRACT(C3773, ""🏘️ \w+ \w+ (.*) ✅""),'Quartier prepositio"&amp;"ns'!A:E, 5, 0) ,  if(H3773=""region"",vlookup(REGEXEXTRACT(C3773, ""🏘️ \w+ \w+ (.*) ✅""),'Region prepositions'!B:F, 5, 0),  REGEXEXTRACT(C3773, ""🏘️ \w+ \w+ (.*) ✅""))))"),"#N/A")</f>
        <v>#N/A</v>
      </c>
      <c r="I3773" s="4" t="str">
        <f>IFERROR(__xludf.DUMMYFUNCTION("if(D3773=""variant"",  substitute(filter(Templates!E:E, Templates!A:A = F3773, Templates!B:B = G3773, Templates!C:C = H3773), ""{{}}"", E3773), B3773)"),"Vendre maison Cuarny: Trouvez le bien immobilier qui correspond idéalement à vos désirs sur ImmoScout24 - La plateforme de l'immobilier en Suisse.")</f>
        <v>Vendre maison Cuarny: Trouvez le bien immobilier qui correspond idéalement à vos désirs sur ImmoScout24 - La plateforme de l'immobilier en Suisse.</v>
      </c>
    </row>
    <row r="3774" hidden="1">
      <c r="A3774" s="5" t="s">
        <v>10650</v>
      </c>
      <c r="B3774" s="2" t="s">
        <v>10651</v>
      </c>
      <c r="C3774" s="2" t="s">
        <v>10651</v>
      </c>
      <c r="D3774" s="4" t="str">
        <f>vlookup(A3774, Sheet2!D:E, 2, 0)</f>
        <v>control</v>
      </c>
      <c r="E3774" s="4" t="str">
        <f>IFERROR(__xludf.DUMMYFUNCTION("if(H3774=""pays"",vlookup(REGEXEXTRACT(C3774, ""🏘️ \w+ \w+ (.*) ✅""),'Country prepositions'!A:B, 2, 0) &amp; "" "" &amp; REGEXEXTRACT(C3774, ""🏘️ \w+ \w+ (.*) ✅"") ,  if(H3774=""quartier"",vlookup(REGEXEXTRACT(C3774, ""🏘️ \w+ \w+ (.*) ✅""),'Quartier prepositio"&amp;"ns'!A:E, 5, 0) ,  if(H3774=""region"",vlookup(REGEXEXTRACT(C3774, ""🏘️ \w+ \w+ (.*) ✅""),'Region prepositions'!B:F, 5, 0),  REGEXEXTRACT(C3774, ""🏘️ \w+ \w+ (.*) ✅""))))"),"#N/A")</f>
        <v>#N/A</v>
      </c>
      <c r="I3774" s="4" t="str">
        <f>IFERROR(__xludf.DUMMYFUNCTION("if(D3774=""variant"",  substitute(filter(Templates!E:E, Templates!A:A = F3774, Templates!B:B = G3774, Templates!C:C = H3774), ""{{}}"", E3774), B3774)"),"Louer appartement Grandval: Trouvez le bien immobilier qui correspond idéalement à vos désirs sur ImmoScout24 - La plateforme de l'immobilier en Suisse.")</f>
        <v>Louer appartement Grandval: Trouvez le bien immobilier qui correspond idéalement à vos désirs sur ImmoScout24 - La plateforme de l'immobilier en Suisse.</v>
      </c>
    </row>
    <row r="3775" hidden="1">
      <c r="A3775" s="5" t="s">
        <v>10652</v>
      </c>
      <c r="B3775" s="2" t="s">
        <v>10653</v>
      </c>
      <c r="C3775" s="2" t="s">
        <v>10653</v>
      </c>
      <c r="D3775" s="4" t="str">
        <f>vlookup(A3775, Sheet2!D:E, 2, 0)</f>
        <v>control</v>
      </c>
      <c r="E3775" s="4" t="str">
        <f>IFERROR(__xludf.DUMMYFUNCTION("if(H3775=""pays"",vlookup(REGEXEXTRACT(C3775, ""🏘️ \w+ \w+ (.*) ✅""),'Country prepositions'!A:B, 2, 0) &amp; "" "" &amp; REGEXEXTRACT(C3775, ""🏘️ \w+ \w+ (.*) ✅"") ,  if(H3775=""quartier"",vlookup(REGEXEXTRACT(C3775, ""🏘️ \w+ \w+ (.*) ✅""),'Quartier prepositio"&amp;"ns'!A:E, 5, 0) ,  if(H3775=""region"",vlookup(REGEXEXTRACT(C3775, ""🏘️ \w+ \w+ (.*) ✅""),'Region prepositions'!B:F, 5, 0),  REGEXEXTRACT(C3775, ""🏘️ \w+ \w+ (.*) ✅""))))"),"#N/A")</f>
        <v>#N/A</v>
      </c>
      <c r="I3775" s="4" t="str">
        <f>IFERROR(__xludf.DUMMYFUNCTION("if(D3775=""variant"",  substitute(filter(Templates!E:E, Templates!A:A = F3775, Templates!B:B = G3775, Templates!C:C = H3775), ""{{}}"", E3775), B3775)"),"Vendre maison Mönchaltorf: Trouvez le bien immobilier qui correspond idéalement à vos désirs sur ImmoScout24 - La plateforme de l'immobilier en Suisse.")</f>
        <v>Vendre maison Mönchaltorf: Trouvez le bien immobilier qui correspond idéalement à vos désirs sur ImmoScout24 - La plateforme de l'immobilier en Suisse.</v>
      </c>
    </row>
    <row r="3776" hidden="1">
      <c r="A3776" s="5" t="s">
        <v>10654</v>
      </c>
      <c r="B3776" s="2" t="s">
        <v>10655</v>
      </c>
      <c r="C3776" s="2" t="s">
        <v>10655</v>
      </c>
      <c r="D3776" s="4" t="str">
        <f>vlookup(A3776, Sheet2!D:E, 2, 0)</f>
        <v>control</v>
      </c>
      <c r="E3776" s="4" t="str">
        <f>IFERROR(__xludf.DUMMYFUNCTION("if(H3776=""pays"",vlookup(REGEXEXTRACT(C3776, ""🏘️ \w+ \w+ (.*) ✅""),'Country prepositions'!A:B, 2, 0) &amp; "" "" &amp; REGEXEXTRACT(C3776, ""🏘️ \w+ \w+ (.*) ✅"") ,  if(H3776=""quartier"",vlookup(REGEXEXTRACT(C3776, ""🏘️ \w+ \w+ (.*) ✅""),'Quartier prepositio"&amp;"ns'!A:E, 5, 0) ,  if(H3776=""region"",vlookup(REGEXEXTRACT(C3776, ""🏘️ \w+ \w+ (.*) ✅""),'Region prepositions'!B:F, 5, 0),  REGEXEXTRACT(C3776, ""🏘️ \w+ \w+ (.*) ✅""))))"),"#N/A")</f>
        <v>#N/A</v>
      </c>
      <c r="I3776" s="4" t="str">
        <f>IFERROR(__xludf.DUMMYFUNCTION("if(D3776=""variant"",  substitute(filter(Templates!E:E, Templates!A:A = F3776, Templates!B:B = G3776, Templates!C:C = H3776), ""{{}}"", E3776), B3776)"),"Louer maison Saclentse: Trouvez le bien immobilier qui correspond idéalement à vos désirs sur ImmoScout24 - La plateforme de l'immobilier en Suisse.")</f>
        <v>Louer maison Saclentse: Trouvez le bien immobilier qui correspond idéalement à vos désirs sur ImmoScout24 - La plateforme de l'immobilier en Suisse.</v>
      </c>
    </row>
    <row r="3777" hidden="1">
      <c r="A3777" s="5" t="s">
        <v>10656</v>
      </c>
      <c r="B3777" s="2" t="s">
        <v>10657</v>
      </c>
      <c r="C3777" s="2" t="s">
        <v>10657</v>
      </c>
      <c r="D3777" s="4" t="str">
        <f>vlookup(A3777, Sheet2!D:E, 2, 0)</f>
        <v>control</v>
      </c>
      <c r="E3777" s="4" t="str">
        <f>IFERROR(__xludf.DUMMYFUNCTION("if(H3777=""pays"",vlookup(REGEXEXTRACT(C3777, ""🏘️ \w+ \w+ (.*) ✅""),'Country prepositions'!A:B, 2, 0) &amp; "" "" &amp; REGEXEXTRACT(C3777, ""🏘️ \w+ \w+ (.*) ✅"") ,  if(H3777=""quartier"",vlookup(REGEXEXTRACT(C3777, ""🏘️ \w+ \w+ (.*) ✅""),'Quartier prepositio"&amp;"ns'!A:E, 5, 0) ,  if(H3777=""region"",vlookup(REGEXEXTRACT(C3777, ""🏘️ \w+ \w+ (.*) ✅""),'Region prepositions'!B:F, 5, 0),  REGEXEXTRACT(C3777, ""🏘️ \w+ \w+ (.*) ✅""))))"),"#N/A")</f>
        <v>#N/A</v>
      </c>
      <c r="I3777" s="4" t="str">
        <f>IFERROR(__xludf.DUMMYFUNCTION("if(D3777=""variant"",  substitute(filter(Templates!E:E, Templates!A:A = F3777, Templates!B:B = G3777, Templates!C:C = H3777), ""{{}}"", E3777), B3777)"),"Vendre appartement Avenches: Trouvez le bien immobilier qui correspond idéalement à vos désirs sur ImmoScout24 - La plateforme de l'immobilier en Suisse.")</f>
        <v>Vendre appartement Avenches: Trouvez le bien immobilier qui correspond idéalement à vos désirs sur ImmoScout24 - La plateforme de l'immobilier en Suisse.</v>
      </c>
    </row>
    <row r="3778" hidden="1">
      <c r="A3778" s="5" t="s">
        <v>10658</v>
      </c>
      <c r="B3778" s="2" t="s">
        <v>10659</v>
      </c>
      <c r="C3778" s="2" t="s">
        <v>10659</v>
      </c>
      <c r="D3778" s="4" t="str">
        <f>vlookup(A3778, Sheet2!D:E, 2, 0)</f>
        <v>control</v>
      </c>
      <c r="E3778" s="4" t="str">
        <f>IFERROR(__xludf.DUMMYFUNCTION("if(H3778=""pays"",vlookup(REGEXEXTRACT(C3778, ""🏘️ \w+ \w+ (.*) ✅""),'Country prepositions'!A:B, 2, 0) &amp; "" "" &amp; REGEXEXTRACT(C3778, ""🏘️ \w+ \w+ (.*) ✅"") ,  if(H3778=""quartier"",vlookup(REGEXEXTRACT(C3778, ""🏘️ \w+ \w+ (.*) ✅""),'Quartier prepositio"&amp;"ns'!A:E, 5, 0) ,  if(H3778=""region"",vlookup(REGEXEXTRACT(C3778, ""🏘️ \w+ \w+ (.*) ✅""),'Region prepositions'!B:F, 5, 0),  REGEXEXTRACT(C3778, ""🏘️ \w+ \w+ (.*) ✅""))))"),"#N/A")</f>
        <v>#N/A</v>
      </c>
      <c r="I3778" s="4" t="str">
        <f>IFERROR(__xludf.DUMMYFUNCTION("if(D3778=""variant"",  substitute(filter(Templates!E:E, Templates!A:A = F3778, Templates!B:B = G3778, Templates!C:C = H3778), ""{{}}"", E3778), B3778)"),"Louer appartement Golaten: Trouvez le bien immobilier qui correspond idéalement à vos désirs sur ImmoScout24 - La plateforme de l'immobilier en Suisse.")</f>
        <v>Louer appartement Golaten: Trouvez le bien immobilier qui correspond idéalement à vos désirs sur ImmoScout24 - La plateforme de l'immobilier en Suisse.</v>
      </c>
    </row>
    <row r="3779" hidden="1">
      <c r="A3779" s="5" t="s">
        <v>10660</v>
      </c>
      <c r="B3779" s="2" t="s">
        <v>10661</v>
      </c>
      <c r="C3779" s="2" t="s">
        <v>10661</v>
      </c>
      <c r="D3779" s="4" t="str">
        <f>vlookup(A3779, Sheet2!D:E, 2, 0)</f>
        <v>control</v>
      </c>
      <c r="E3779" s="4" t="str">
        <f>IFERROR(__xludf.DUMMYFUNCTION("if(H3779=""pays"",vlookup(REGEXEXTRACT(C3779, ""🏘️ \w+ \w+ (.*) ✅""),'Country prepositions'!A:B, 2, 0) &amp; "" "" &amp; REGEXEXTRACT(C3779, ""🏘️ \w+ \w+ (.*) ✅"") ,  if(H3779=""quartier"",vlookup(REGEXEXTRACT(C3779, ""🏘️ \w+ \w+ (.*) ✅""),'Quartier prepositio"&amp;"ns'!A:E, 5, 0) ,  if(H3779=""region"",vlookup(REGEXEXTRACT(C3779, ""🏘️ \w+ \w+ (.*) ✅""),'Region prepositions'!B:F, 5, 0),  REGEXEXTRACT(C3779, ""🏘️ \w+ \w+ (.*) ✅""))))"),"#N/A")</f>
        <v>#N/A</v>
      </c>
      <c r="I3779" s="4" t="str">
        <f>IFERROR(__xludf.DUMMYFUNCTION("if(D3779=""variant"",  substitute(filter(Templates!E:E, Templates!A:A = F3779, Templates!B:B = G3779, Templates!C:C = H3779), ""{{}}"", E3779), B3779)"),"Vendre maison Estavayer-le-Gibloux: Trouvez le bien immobilier qui correspond idéalement à vos désirs sur ImmoScout24 - La plateforme de l'immobilier en Suisse.")</f>
        <v>Vendre maison Estavayer-le-Gibloux: Trouvez le bien immobilier qui correspond idéalement à vos désirs sur ImmoScout24 - La plateforme de l'immobilier en Suisse.</v>
      </c>
    </row>
    <row r="3780" hidden="1">
      <c r="A3780" s="5" t="s">
        <v>10662</v>
      </c>
      <c r="B3780" s="2" t="s">
        <v>10663</v>
      </c>
      <c r="C3780" s="2" t="s">
        <v>10663</v>
      </c>
      <c r="D3780" s="4" t="str">
        <f>vlookup(A3780, Sheet2!D:E, 2, 0)</f>
        <v>control</v>
      </c>
      <c r="E3780" s="4" t="str">
        <f>IFERROR(__xludf.DUMMYFUNCTION("if(H3780=""pays"",vlookup(REGEXEXTRACT(C3780, ""🏘️ \w+ \w+ (.*) ✅""),'Country prepositions'!A:B, 2, 0) &amp; "" "" &amp; REGEXEXTRACT(C3780, ""🏘️ \w+ \w+ (.*) ✅"") ,  if(H3780=""quartier"",vlookup(REGEXEXTRACT(C3780, ""🏘️ \w+ \w+ (.*) ✅""),'Quartier prepositio"&amp;"ns'!A:E, 5, 0) ,  if(H3780=""region"",vlookup(REGEXEXTRACT(C3780, ""🏘️ \w+ \w+ (.*) ✅""),'Region prepositions'!B:F, 5, 0),  REGEXEXTRACT(C3780, ""🏘️ \w+ \w+ (.*) ✅""))))"),"#N/A")</f>
        <v>#N/A</v>
      </c>
      <c r="I3780" s="4" t="str">
        <f>IFERROR(__xludf.DUMMYFUNCTION("if(D3780=""variant"",  substitute(filter(Templates!E:E, Templates!A:A = F3780, Templates!B:B = G3780, Templates!C:C = H3780), ""{{}}"", E3780), B3780)"),"Louer appartement Carrouge VD: Trouvez le bien immobilier qui correspond idéalement à vos désirs sur ImmoScout24 - La plateforme de l'immobilier en Suisse.")</f>
        <v>Louer appartement Carrouge VD: Trouvez le bien immobilier qui correspond idéalement à vos désirs sur ImmoScout24 - La plateforme de l'immobilier en Suisse.</v>
      </c>
    </row>
    <row r="3781" hidden="1">
      <c r="A3781" s="5" t="s">
        <v>10664</v>
      </c>
      <c r="B3781" s="2" t="s">
        <v>10665</v>
      </c>
      <c r="C3781" s="2" t="s">
        <v>10665</v>
      </c>
      <c r="D3781" s="4" t="str">
        <f>vlookup(A3781, Sheet2!D:E, 2, 0)</f>
        <v>control</v>
      </c>
      <c r="E3781" s="4" t="str">
        <f>IFERROR(__xludf.DUMMYFUNCTION("if(H3781=""pays"",vlookup(REGEXEXTRACT(C3781, ""🏘️ \w+ \w+ (.*) ✅""),'Country prepositions'!A:B, 2, 0) &amp; "" "" &amp; REGEXEXTRACT(C3781, ""🏘️ \w+ \w+ (.*) ✅"") ,  if(H3781=""quartier"",vlookup(REGEXEXTRACT(C3781, ""🏘️ \w+ \w+ (.*) ✅""),'Quartier prepositio"&amp;"ns'!A:E, 5, 0) ,  if(H3781=""region"",vlookup(REGEXEXTRACT(C3781, ""🏘️ \w+ \w+ (.*) ✅""),'Region prepositions'!B:F, 5, 0),  REGEXEXTRACT(C3781, ""🏘️ \w+ \w+ (.*) ✅""))))"),"#N/A")</f>
        <v>#N/A</v>
      </c>
      <c r="I3781" s="4" t="str">
        <f>IFERROR(__xludf.DUMMYFUNCTION("if(D3781=""variant"",  substitute(filter(Templates!E:E, Templates!A:A = F3781, Templates!B:B = G3781, Templates!C:C = H3781), ""{{}}"", E3781), B3781)"),"Vendre appartement Ganterschwil: Trouvez le bien immobilier qui correspond idéalement à vos désirs sur ImmoScout24 - La plateforme de l'immobilier en Suisse.")</f>
        <v>Vendre appartement Ganterschwil: Trouvez le bien immobilier qui correspond idéalement à vos désirs sur ImmoScout24 - La plateforme de l'immobilier en Suisse.</v>
      </c>
    </row>
    <row r="3782" hidden="1">
      <c r="A3782" s="5" t="s">
        <v>10666</v>
      </c>
      <c r="B3782" s="2" t="s">
        <v>10667</v>
      </c>
      <c r="C3782" s="2" t="s">
        <v>10667</v>
      </c>
      <c r="D3782" s="4" t="str">
        <f>vlookup(A3782, Sheet2!D:E, 2, 0)</f>
        <v>control</v>
      </c>
      <c r="E3782" s="4" t="str">
        <f>IFERROR(__xludf.DUMMYFUNCTION("if(H3782=""pays"",vlookup(REGEXEXTRACT(C3782, ""🏘️ \w+ \w+ (.*) ✅""),'Country prepositions'!A:B, 2, 0) &amp; "" "" &amp; REGEXEXTRACT(C3782, ""🏘️ \w+ \w+ (.*) ✅"") ,  if(H3782=""quartier"",vlookup(REGEXEXTRACT(C3782, ""🏘️ \w+ \w+ (.*) ✅""),'Quartier prepositio"&amp;"ns'!A:E, 5, 0) ,  if(H3782=""region"",vlookup(REGEXEXTRACT(C3782, ""🏘️ \w+ \w+ (.*) ✅""),'Region prepositions'!B:F, 5, 0),  REGEXEXTRACT(C3782, ""🏘️ \w+ \w+ (.*) ✅""))))"),"#N/A")</f>
        <v>#N/A</v>
      </c>
      <c r="I3782" s="4" t="str">
        <f>IFERROR(__xludf.DUMMYFUNCTION("if(D3782=""variant"",  substitute(filter(Templates!E:E, Templates!A:A = F3782, Templates!B:B = G3782, Templates!C:C = H3782), ""{{}}"", E3782), B3782)"),"Vendre appartement Val-d'Illiez: Trouvez le bien immobilier qui correspond idéalement à vos désirs sur ImmoScout24 - La plateforme de l'immobilier en Suisse.")</f>
        <v>Vendre appartement Val-d'Illiez: Trouvez le bien immobilier qui correspond idéalement à vos désirs sur ImmoScout24 - La plateforme de l'immobilier en Suisse.</v>
      </c>
    </row>
    <row r="3783" hidden="1">
      <c r="A3783" s="5" t="s">
        <v>10668</v>
      </c>
      <c r="B3783" s="2" t="s">
        <v>10669</v>
      </c>
      <c r="C3783" s="2" t="s">
        <v>10669</v>
      </c>
      <c r="D3783" s="4" t="str">
        <f>vlookup(A3783, Sheet2!D:E, 2, 0)</f>
        <v>control</v>
      </c>
      <c r="E3783" s="4" t="str">
        <f>IFERROR(__xludf.DUMMYFUNCTION("if(H3783=""pays"",vlookup(REGEXEXTRACT(C3783, ""🏘️ \w+ \w+ (.*) ✅""),'Country prepositions'!A:B, 2, 0) &amp; "" "" &amp; REGEXEXTRACT(C3783, ""🏘️ \w+ \w+ (.*) ✅"") ,  if(H3783=""quartier"",vlookup(REGEXEXTRACT(C3783, ""🏘️ \w+ \w+ (.*) ✅""),'Quartier prepositio"&amp;"ns'!A:E, 5, 0) ,  if(H3783=""region"",vlookup(REGEXEXTRACT(C3783, ""🏘️ \w+ \w+ (.*) ✅""),'Region prepositions'!B:F, 5, 0),  REGEXEXTRACT(C3783, ""🏘️ \w+ \w+ (.*) ✅""))))"),"#N/A")</f>
        <v>#N/A</v>
      </c>
      <c r="I3783" s="4" t="str">
        <f>IFERROR(__xludf.DUMMYFUNCTION("if(D3783=""variant"",  substitute(filter(Templates!E:E, Templates!A:A = F3783, Templates!B:B = G3783, Templates!C:C = H3783), ""{{}}"", E3783), B3783)"),"Vendre maison Lenzburg: Trouvez le bien immobilier qui correspond idéalement à vos désirs sur ImmoScout24 - La plateforme de l'immobilier en Suisse.")</f>
        <v>Vendre maison Lenzburg: Trouvez le bien immobilier qui correspond idéalement à vos désirs sur ImmoScout24 - La plateforme de l'immobilier en Suisse.</v>
      </c>
    </row>
    <row r="3784" hidden="1">
      <c r="A3784" s="5" t="s">
        <v>10670</v>
      </c>
      <c r="B3784" s="2" t="s">
        <v>10671</v>
      </c>
      <c r="C3784" s="2" t="s">
        <v>10671</v>
      </c>
      <c r="D3784" s="4" t="str">
        <f>vlookup(A3784, Sheet2!D:E, 2, 0)</f>
        <v>control</v>
      </c>
      <c r="E3784" s="4" t="str">
        <f>IFERROR(__xludf.DUMMYFUNCTION("if(H3784=""pays"",vlookup(REGEXEXTRACT(C3784, ""🏘️ \w+ \w+ (.*) ✅""),'Country prepositions'!A:B, 2, 0) &amp; "" "" &amp; REGEXEXTRACT(C3784, ""🏘️ \w+ \w+ (.*) ✅"") ,  if(H3784=""quartier"",vlookup(REGEXEXTRACT(C3784, ""🏘️ \w+ \w+ (.*) ✅""),'Quartier prepositio"&amp;"ns'!A:E, 5, 0) ,  if(H3784=""region"",vlookup(REGEXEXTRACT(C3784, ""🏘️ \w+ \w+ (.*) ✅""),'Region prepositions'!B:F, 5, 0),  REGEXEXTRACT(C3784, ""🏘️ \w+ \w+ (.*) ✅""))))"),"#N/A")</f>
        <v>#N/A</v>
      </c>
      <c r="I3784" s="4" t="str">
        <f>IFERROR(__xludf.DUMMYFUNCTION("if(D3784=""variant"",  substitute(filter(Templates!E:E, Templates!A:A = F3784, Templates!B:B = G3784, Templates!C:C = H3784), ""{{}}"", E3784), B3784)"),"Vendre appartement Merlischachen: Trouvez le bien immobilier qui correspond idéalement à vos désirs sur ImmoScout24 - La plateforme de l'immobilier en Suisse.")</f>
        <v>Vendre appartement Merlischachen: Trouvez le bien immobilier qui correspond idéalement à vos désirs sur ImmoScout24 - La plateforme de l'immobilier en Suisse.</v>
      </c>
    </row>
    <row r="3785" hidden="1">
      <c r="A3785" s="5" t="s">
        <v>10672</v>
      </c>
      <c r="B3785" s="2" t="s">
        <v>10673</v>
      </c>
      <c r="C3785" s="2" t="s">
        <v>10673</v>
      </c>
      <c r="D3785" s="4" t="str">
        <f>vlookup(A3785, Sheet2!D:E, 2, 0)</f>
        <v>control</v>
      </c>
      <c r="E3785" s="4" t="str">
        <f>IFERROR(__xludf.DUMMYFUNCTION("if(H3785=""pays"",vlookup(REGEXEXTRACT(C3785, ""🏘️ \w+ \w+ (.*) ✅""),'Country prepositions'!A:B, 2, 0) &amp; "" "" &amp; REGEXEXTRACT(C3785, ""🏘️ \w+ \w+ (.*) ✅"") ,  if(H3785=""quartier"",vlookup(REGEXEXTRACT(C3785, ""🏘️ \w+ \w+ (.*) ✅""),'Quartier prepositio"&amp;"ns'!A:E, 5, 0) ,  if(H3785=""region"",vlookup(REGEXEXTRACT(C3785, ""🏘️ \w+ \w+ (.*) ✅""),'Region prepositions'!B:F, 5, 0),  REGEXEXTRACT(C3785, ""🏘️ \w+ \w+ (.*) ✅""))))"),"#N/A")</f>
        <v>#N/A</v>
      </c>
      <c r="I3785" s="4" t="str">
        <f>IFERROR(__xludf.DUMMYFUNCTION("if(D3785=""variant"",  substitute(filter(Templates!E:E, Templates!A:A = F3785, Templates!B:B = G3785, Templates!C:C = H3785), ""{{}}"", E3785), B3785)"),"Vendre maison Rüschlikon: Trouvez le bien immobilier qui correspond idéalement à vos désirs sur ImmoScout24 - La plateforme de l'immobilier en Suisse.")</f>
        <v>Vendre maison Rüschlikon: Trouvez le bien immobilier qui correspond idéalement à vos désirs sur ImmoScout24 - La plateforme de l'immobilier en Suisse.</v>
      </c>
    </row>
    <row r="3786" hidden="1">
      <c r="A3786" s="5" t="s">
        <v>10674</v>
      </c>
      <c r="B3786" s="2" t="s">
        <v>10675</v>
      </c>
      <c r="C3786" s="2" t="s">
        <v>10675</v>
      </c>
      <c r="D3786" s="4" t="str">
        <f>vlookup(A3786, Sheet2!D:E, 2, 0)</f>
        <v>control</v>
      </c>
      <c r="E3786" s="4" t="str">
        <f>IFERROR(__xludf.DUMMYFUNCTION("if(H3786=""pays"",vlookup(REGEXEXTRACT(C3786, ""🏘️ \w+ \w+ (.*) ✅""),'Country prepositions'!A:B, 2, 0) &amp; "" "" &amp; REGEXEXTRACT(C3786, ""🏘️ \w+ \w+ (.*) ✅"") ,  if(H3786=""quartier"",vlookup(REGEXEXTRACT(C3786, ""🏘️ \w+ \w+ (.*) ✅""),'Quartier prepositio"&amp;"ns'!A:E, 5, 0) ,  if(H3786=""region"",vlookup(REGEXEXTRACT(C3786, ""🏘️ \w+ \w+ (.*) ✅""),'Region prepositions'!B:F, 5, 0),  REGEXEXTRACT(C3786, ""🏘️ \w+ \w+ (.*) ✅""))))"),"#N/A")</f>
        <v>#N/A</v>
      </c>
      <c r="I3786" s="4" t="str">
        <f>IFERROR(__xludf.DUMMYFUNCTION("if(D3786=""variant"",  substitute(filter(Templates!E:E, Templates!A:A = F3786, Templates!B:B = G3786, Templates!C:C = H3786), ""{{}}"", E3786), B3786)"),"Louer maison Aubonne: Trouvez le bien immobilier qui correspond idéalement à vos désirs sur ImmoScout24 - La plateforme de l'immobilier en Suisse.")</f>
        <v>Louer maison Aubonne: Trouvez le bien immobilier qui correspond idéalement à vos désirs sur ImmoScout24 - La plateforme de l'immobilier en Suisse.</v>
      </c>
    </row>
    <row r="3787" hidden="1">
      <c r="A3787" s="5" t="s">
        <v>10676</v>
      </c>
      <c r="B3787" s="2" t="s">
        <v>10677</v>
      </c>
      <c r="C3787" s="2" t="s">
        <v>10677</v>
      </c>
      <c r="D3787" s="4" t="str">
        <f>vlookup(A3787, Sheet2!D:E, 2, 0)</f>
        <v>control</v>
      </c>
      <c r="E3787" s="4" t="str">
        <f>IFERROR(__xludf.DUMMYFUNCTION("if(H3787=""pays"",vlookup(REGEXEXTRACT(C3787, ""🏘️ \w+ \w+ (.*) ✅""),'Country prepositions'!A:B, 2, 0) &amp; "" "" &amp; REGEXEXTRACT(C3787, ""🏘️ \w+ \w+ (.*) ✅"") ,  if(H3787=""quartier"",vlookup(REGEXEXTRACT(C3787, ""🏘️ \w+ \w+ (.*) ✅""),'Quartier prepositio"&amp;"ns'!A:E, 5, 0) ,  if(H3787=""region"",vlookup(REGEXEXTRACT(C3787, ""🏘️ \w+ \w+ (.*) ✅""),'Region prepositions'!B:F, 5, 0),  REGEXEXTRACT(C3787, ""🏘️ \w+ \w+ (.*) ✅""))))"),"#N/A")</f>
        <v>#N/A</v>
      </c>
      <c r="I3787" s="4" t="str">
        <f>IFERROR(__xludf.DUMMYFUNCTION("if(D3787=""variant"",  substitute(filter(Templates!E:E, Templates!A:A = F3787, Templates!B:B = G3787, Templates!C:C = H3787), ""{{}}"", E3787), B3787)"),"Louer appartement Bellinzona: Trouvez le bien immobilier qui correspond idéalement à vos désirs sur ImmoScout24 - La plateforme de l'immobilier en Suisse.")</f>
        <v>Louer appartement Bellinzona: Trouvez le bien immobilier qui correspond idéalement à vos désirs sur ImmoScout24 - La plateforme de l'immobilier en Suisse.</v>
      </c>
    </row>
    <row r="3788" hidden="1">
      <c r="A3788" s="5" t="s">
        <v>10678</v>
      </c>
      <c r="B3788" s="2" t="s">
        <v>10679</v>
      </c>
      <c r="C3788" s="2" t="s">
        <v>10679</v>
      </c>
      <c r="D3788" s="4" t="str">
        <f>vlookup(A3788, Sheet2!D:E, 2, 0)</f>
        <v>control</v>
      </c>
      <c r="E3788" s="4" t="str">
        <f>IFERROR(__xludf.DUMMYFUNCTION("if(H3788=""pays"",vlookup(REGEXEXTRACT(C3788, ""🏘️ \w+ \w+ (.*) ✅""),'Country prepositions'!A:B, 2, 0) &amp; "" "" &amp; REGEXEXTRACT(C3788, ""🏘️ \w+ \w+ (.*) ✅"") ,  if(H3788=""quartier"",vlookup(REGEXEXTRACT(C3788, ""🏘️ \w+ \w+ (.*) ✅""),'Quartier prepositio"&amp;"ns'!A:E, 5, 0) ,  if(H3788=""region"",vlookup(REGEXEXTRACT(C3788, ""🏘️ \w+ \w+ (.*) ✅""),'Region prepositions'!B:F, 5, 0),  REGEXEXTRACT(C3788, ""🏘️ \w+ \w+ (.*) ✅""))))"),"#N/A")</f>
        <v>#N/A</v>
      </c>
      <c r="I3788" s="4" t="str">
        <f>IFERROR(__xludf.DUMMYFUNCTION("if(D3788=""variant"",  substitute(filter(Templates!E:E, Templates!A:A = F3788, Templates!B:B = G3788, Templates!C:C = H3788), ""{{}}"", E3788), B3788)"),"Louer maison Eplatures-Crêt du Locle (La Chaux-de-Fonds): Trouvez le bien immobilier qui correspond idéalement à vos désirs sur ImmoScout24 - La plateforme de l'immobilier en Suisse.")</f>
        <v>Louer maison Eplatures-Crêt du Locle (La Chaux-de-Fonds): Trouvez le bien immobilier qui correspond idéalement à vos désirs sur ImmoScout24 - La plateforme de l'immobilier en Suisse.</v>
      </c>
    </row>
    <row r="3789" hidden="1">
      <c r="A3789" s="5" t="s">
        <v>10680</v>
      </c>
      <c r="B3789" s="2" t="s">
        <v>10681</v>
      </c>
      <c r="C3789" s="2" t="s">
        <v>10681</v>
      </c>
      <c r="D3789" s="4" t="str">
        <f>vlookup(A3789, Sheet2!D:E, 2, 0)</f>
        <v>control</v>
      </c>
      <c r="E3789" s="4" t="str">
        <f>IFERROR(__xludf.DUMMYFUNCTION("if(H3789=""pays"",vlookup(REGEXEXTRACT(C3789, ""🏘️ \w+ \w+ (.*) ✅""),'Country prepositions'!A:B, 2, 0) &amp; "" "" &amp; REGEXEXTRACT(C3789, ""🏘️ \w+ \w+ (.*) ✅"") ,  if(H3789=""quartier"",vlookup(REGEXEXTRACT(C3789, ""🏘️ \w+ \w+ (.*) ✅""),'Quartier prepositio"&amp;"ns'!A:E, 5, 0) ,  if(H3789=""region"",vlookup(REGEXEXTRACT(C3789, ""🏘️ \w+ \w+ (.*) ✅""),'Region prepositions'!B:F, 5, 0),  REGEXEXTRACT(C3789, ""🏘️ \w+ \w+ (.*) ✅""))))"),"#N/A")</f>
        <v>#N/A</v>
      </c>
      <c r="I3789" s="4" t="str">
        <f>IFERROR(__xludf.DUMMYFUNCTION("if(D3789=""variant"",  substitute(filter(Templates!E:E, Templates!A:A = F3789, Templates!B:B = G3789, Templates!C:C = H3789), ""{{}}"", E3789), B3789)"),"Vendre appartement Jonction - Plainpalais (Genève): Trouvez le bien immobilier qui correspond idéalement à vos désirs sur ImmoScout24 - La plateforme de l'immobilier en Suisse.")</f>
        <v>Vendre appartement Jonction - Plainpalais (Genève): Trouvez le bien immobilier qui correspond idéalement à vos désirs sur ImmoScout24 - La plateforme de l'immobilier en Suisse.</v>
      </c>
    </row>
    <row r="3790" hidden="1">
      <c r="A3790" s="5" t="s">
        <v>10682</v>
      </c>
      <c r="B3790" s="2" t="s">
        <v>10683</v>
      </c>
      <c r="C3790" s="2" t="s">
        <v>10683</v>
      </c>
      <c r="D3790" s="4" t="str">
        <f>vlookup(A3790, Sheet2!D:E, 2, 0)</f>
        <v>control</v>
      </c>
      <c r="E3790" s="4" t="str">
        <f>IFERROR(__xludf.DUMMYFUNCTION("if(H3790=""pays"",vlookup(REGEXEXTRACT(C3790, ""🏘️ \w+ \w+ (.*) ✅""),'Country prepositions'!A:B, 2, 0) &amp; "" "" &amp; REGEXEXTRACT(C3790, ""🏘️ \w+ \w+ (.*) ✅"") ,  if(H3790=""quartier"",vlookup(REGEXEXTRACT(C3790, ""🏘️ \w+ \w+ (.*) ✅""),'Quartier prepositio"&amp;"ns'!A:E, 5, 0) ,  if(H3790=""region"",vlookup(REGEXEXTRACT(C3790, ""🏘️ \w+ \w+ (.*) ✅""),'Region prepositions'!B:F, 5, 0),  REGEXEXTRACT(C3790, ""🏘️ \w+ \w+ (.*) ✅""))))"),"#N/A")</f>
        <v>#N/A</v>
      </c>
      <c r="I3790" s="4" t="str">
        <f>IFERROR(__xludf.DUMMYFUNCTION("if(D3790=""variant"",  substitute(filter(Templates!E:E, Templates!A:A = F3790, Templates!B:B = G3790, Templates!C:C = H3790), ""{{}}"", E3790), B3790)"),"Vendre maison Rochefort: Trouvez le bien immobilier qui correspond idéalement à vos désirs sur ImmoScout24 - La plateforme de l'immobilier en Suisse.")</f>
        <v>Vendre maison Rochefort: Trouvez le bien immobilier qui correspond idéalement à vos désirs sur ImmoScout24 - La plateforme de l'immobilier en Suisse.</v>
      </c>
    </row>
    <row r="3791" hidden="1">
      <c r="A3791" s="5" t="s">
        <v>10684</v>
      </c>
      <c r="B3791" s="2" t="s">
        <v>10685</v>
      </c>
      <c r="C3791" s="2" t="s">
        <v>10685</v>
      </c>
      <c r="D3791" s="4" t="str">
        <f>vlookup(A3791, Sheet2!D:E, 2, 0)</f>
        <v>control</v>
      </c>
      <c r="E3791" s="4" t="str">
        <f>IFERROR(__xludf.DUMMYFUNCTION("if(H3791=""pays"",vlookup(REGEXEXTRACT(C3791, ""🏘️ \w+ \w+ (.*) ✅""),'Country prepositions'!A:B, 2, 0) &amp; "" "" &amp; REGEXEXTRACT(C3791, ""🏘️ \w+ \w+ (.*) ✅"") ,  if(H3791=""quartier"",vlookup(REGEXEXTRACT(C3791, ""🏘️ \w+ \w+ (.*) ✅""),'Quartier prepositio"&amp;"ns'!A:E, 5, 0) ,  if(H3791=""region"",vlookup(REGEXEXTRACT(C3791, ""🏘️ \w+ \w+ (.*) ✅""),'Region prepositions'!B:F, 5, 0),  REGEXEXTRACT(C3791, ""🏘️ \w+ \w+ (.*) ✅""))))"),"#N/A")</f>
        <v>#N/A</v>
      </c>
      <c r="I3791" s="4" t="str">
        <f>IFERROR(__xludf.DUMMYFUNCTION("if(D3791=""variant"",  substitute(filter(Templates!E:E, Templates!A:A = F3791, Templates!B:B = G3791, Templates!C:C = H3791), ""{{}}"", E3791), B3791)"),"Vendre appartement Gstaad: Trouvez le bien immobilier qui correspond idéalement à vos désirs sur ImmoScout24 - La plateforme de l'immobilier en Suisse.")</f>
        <v>Vendre appartement Gstaad: Trouvez le bien immobilier qui correspond idéalement à vos désirs sur ImmoScout24 - La plateforme de l'immobilier en Suisse.</v>
      </c>
    </row>
    <row r="3792" hidden="1">
      <c r="A3792" s="5" t="s">
        <v>10686</v>
      </c>
      <c r="B3792" s="2" t="s">
        <v>10687</v>
      </c>
      <c r="C3792" s="2" t="s">
        <v>10687</v>
      </c>
      <c r="D3792" s="4" t="str">
        <f>vlookup(A3792, Sheet2!D:E, 2, 0)</f>
        <v>control</v>
      </c>
      <c r="E3792" s="4" t="str">
        <f>IFERROR(__xludf.DUMMYFUNCTION("if(H3792=""pays"",vlookup(REGEXEXTRACT(C3792, ""🏘️ \w+ \w+ (.*) ✅""),'Country prepositions'!A:B, 2, 0) &amp; "" "" &amp; REGEXEXTRACT(C3792, ""🏘️ \w+ \w+ (.*) ✅"") ,  if(H3792=""quartier"",vlookup(REGEXEXTRACT(C3792, ""🏘️ \w+ \w+ (.*) ✅""),'Quartier prepositio"&amp;"ns'!A:E, 5, 0) ,  if(H3792=""region"",vlookup(REGEXEXTRACT(C3792, ""🏘️ \w+ \w+ (.*) ✅""),'Region prepositions'!B:F, 5, 0),  REGEXEXTRACT(C3792, ""🏘️ \w+ \w+ (.*) ✅""))))"),"#N/A")</f>
        <v>#N/A</v>
      </c>
      <c r="I3792" s="4" t="str">
        <f>IFERROR(__xludf.DUMMYFUNCTION("if(D3792=""variant"",  substitute(filter(Templates!E:E, Templates!A:A = F3792, Templates!B:B = G3792, Templates!C:C = H3792), ""{{}}"", E3792), B3792)"),"Louer maison Domdidier: Trouvez le bien immobilier qui correspond idéalement à vos désirs sur ImmoScout24 - La plateforme de l'immobilier en Suisse.")</f>
        <v>Louer maison Domdidier: Trouvez le bien immobilier qui correspond idéalement à vos désirs sur ImmoScout24 - La plateforme de l'immobilier en Suisse.</v>
      </c>
    </row>
    <row r="3793" hidden="1">
      <c r="A3793" s="5" t="s">
        <v>10688</v>
      </c>
      <c r="B3793" s="2" t="s">
        <v>10689</v>
      </c>
      <c r="C3793" s="2" t="s">
        <v>10689</v>
      </c>
      <c r="D3793" s="4" t="str">
        <f>vlookup(A3793, Sheet2!D:E, 2, 0)</f>
        <v>control</v>
      </c>
      <c r="E3793" s="4" t="str">
        <f>IFERROR(__xludf.DUMMYFUNCTION("if(H3793=""pays"",vlookup(REGEXEXTRACT(C3793, ""🏘️ \w+ \w+ (.*) ✅""),'Country prepositions'!A:B, 2, 0) &amp; "" "" &amp; REGEXEXTRACT(C3793, ""🏘️ \w+ \w+ (.*) ✅"") ,  if(H3793=""quartier"",vlookup(REGEXEXTRACT(C3793, ""🏘️ \w+ \w+ (.*) ✅""),'Quartier prepositio"&amp;"ns'!A:E, 5, 0) ,  if(H3793=""region"",vlookup(REGEXEXTRACT(C3793, ""🏘️ \w+ \w+ (.*) ✅""),'Region prepositions'!B:F, 5, 0),  REGEXEXTRACT(C3793, ""🏘️ \w+ \w+ (.*) ✅""))))"),"#N/A")</f>
        <v>#N/A</v>
      </c>
      <c r="I3793" s="4" t="str">
        <f>IFERROR(__xludf.DUMMYFUNCTION("if(D3793=""variant"",  substitute(filter(Templates!E:E, Templates!A:A = F3793, Templates!B:B = G3793, Templates!C:C = H3793), ""{{}}"", E3793), B3793)"),"Louer appartement Rivera: Trouvez le bien immobilier qui correspond idéalement à vos désirs sur ImmoScout24 - La plateforme de l'immobilier en Suisse.")</f>
        <v>Louer appartement Rivera: Trouvez le bien immobilier qui correspond idéalement à vos désirs sur ImmoScout24 - La plateforme de l'immobilier en Suisse.</v>
      </c>
    </row>
    <row r="3794" hidden="1">
      <c r="A3794" s="5" t="s">
        <v>10690</v>
      </c>
      <c r="B3794" s="2" t="s">
        <v>10691</v>
      </c>
      <c r="C3794" s="2" t="s">
        <v>10691</v>
      </c>
      <c r="D3794" s="4" t="str">
        <f>vlookup(A3794, Sheet2!D:E, 2, 0)</f>
        <v>control</v>
      </c>
      <c r="E3794" s="4" t="str">
        <f>IFERROR(__xludf.DUMMYFUNCTION("if(H3794=""pays"",vlookup(REGEXEXTRACT(C3794, ""🏘️ \w+ \w+ (.*) ✅""),'Country prepositions'!A:B, 2, 0) &amp; "" "" &amp; REGEXEXTRACT(C3794, ""🏘️ \w+ \w+ (.*) ✅"") ,  if(H3794=""quartier"",vlookup(REGEXEXTRACT(C3794, ""🏘️ \w+ \w+ (.*) ✅""),'Quartier prepositio"&amp;"ns'!A:E, 5, 0) ,  if(H3794=""region"",vlookup(REGEXEXTRACT(C3794, ""🏘️ \w+ \w+ (.*) ✅""),'Region prepositions'!B:F, 5, 0),  REGEXEXTRACT(C3794, ""🏘️ \w+ \w+ (.*) ✅""))))"),"#N/A")</f>
        <v>#N/A</v>
      </c>
      <c r="I3794" s="4" t="str">
        <f>IFERROR(__xludf.DUMMYFUNCTION("if(D3794=""variant"",  substitute(filter(Templates!E:E, Templates!A:A = F3794, Templates!B:B = G3794, Templates!C:C = H3794), ""{{}}"", E3794), B3794)"),"Vendre maison Fislisbach: Trouvez le bien immobilier qui correspond idéalement à vos désirs sur ImmoScout24 - La plateforme de l'immobilier en Suisse.")</f>
        <v>Vendre maison Fislisbach: Trouvez le bien immobilier qui correspond idéalement à vos désirs sur ImmoScout24 - La plateforme de l'immobilier en Suisse.</v>
      </c>
    </row>
    <row r="3795" hidden="1">
      <c r="A3795" s="5" t="s">
        <v>10692</v>
      </c>
      <c r="B3795" s="2" t="s">
        <v>10693</v>
      </c>
      <c r="C3795" s="2" t="s">
        <v>10693</v>
      </c>
      <c r="D3795" s="4" t="str">
        <f>vlookup(A3795, Sheet2!D:E, 2, 0)</f>
        <v>control</v>
      </c>
      <c r="E3795" s="4" t="str">
        <f>IFERROR(__xludf.DUMMYFUNCTION("if(H3795=""pays"",vlookup(REGEXEXTRACT(C3795, ""🏘️ \w+ \w+ (.*) ✅""),'Country prepositions'!A:B, 2, 0) &amp; "" "" &amp; REGEXEXTRACT(C3795, ""🏘️ \w+ \w+ (.*) ✅"") ,  if(H3795=""quartier"",vlookup(REGEXEXTRACT(C3795, ""🏘️ \w+ \w+ (.*) ✅""),'Quartier prepositio"&amp;"ns'!A:E, 5, 0) ,  if(H3795=""region"",vlookup(REGEXEXTRACT(C3795, ""🏘️ \w+ \w+ (.*) ✅""),'Region prepositions'!B:F, 5, 0),  REGEXEXTRACT(C3795, ""🏘️ \w+ \w+ (.*) ✅""))))"),"#N/A")</f>
        <v>#N/A</v>
      </c>
      <c r="I3795" s="4" t="str">
        <f>IFERROR(__xludf.DUMMYFUNCTION("if(D3795=""variant"",  substitute(filter(Templates!E:E, Templates!A:A = F3795, Templates!B:B = G3795, Templates!C:C = H3795), ""{{}}"", E3795), B3795)"),"Vendre maison Sullens: Trouvez le bien immobilier qui correspond idéalement à vos désirs sur ImmoScout24 - La plateforme de l'immobilier en Suisse.")</f>
        <v>Vendre maison Sullens: Trouvez le bien immobilier qui correspond idéalement à vos désirs sur ImmoScout24 - La plateforme de l'immobilier en Suisse.</v>
      </c>
    </row>
    <row r="3796" hidden="1">
      <c r="A3796" s="5" t="s">
        <v>10694</v>
      </c>
      <c r="B3796" s="2" t="s">
        <v>10695</v>
      </c>
      <c r="C3796" s="2" t="s">
        <v>10695</v>
      </c>
      <c r="D3796" s="4" t="str">
        <f>vlookup(A3796, Sheet2!D:E, 2, 0)</f>
        <v>control</v>
      </c>
      <c r="E3796" s="4" t="str">
        <f>IFERROR(__xludf.DUMMYFUNCTION("if(H3796=""pays"",vlookup(REGEXEXTRACT(C3796, ""🏘️ \w+ \w+ (.*) ✅""),'Country prepositions'!A:B, 2, 0) &amp; "" "" &amp; REGEXEXTRACT(C3796, ""🏘️ \w+ \w+ (.*) ✅"") ,  if(H3796=""quartier"",vlookup(REGEXEXTRACT(C3796, ""🏘️ \w+ \w+ (.*) ✅""),'Quartier prepositio"&amp;"ns'!A:E, 5, 0) ,  if(H3796=""region"",vlookup(REGEXEXTRACT(C3796, ""🏘️ \w+ \w+ (.*) ✅""),'Region prepositions'!B:F, 5, 0),  REGEXEXTRACT(C3796, ""🏘️ \w+ \w+ (.*) ✅""))))"),"#N/A")</f>
        <v>#N/A</v>
      </c>
      <c r="I3796" s="4" t="str">
        <f>IFERROR(__xludf.DUMMYFUNCTION("if(D3796=""variant"",  substitute(filter(Templates!E:E, Templates!A:A = F3796, Templates!B:B = G3796, Templates!C:C = H3796), ""{{}}"", E3796), B3796)"),"Vendre appartement Tavannes: Trouvez le bien immobilier qui correspond idéalement à vos désirs sur ImmoScout24 - La plateforme de l'immobilier en Suisse.")</f>
        <v>Vendre appartement Tavannes: Trouvez le bien immobilier qui correspond idéalement à vos désirs sur ImmoScout24 - La plateforme de l'immobilier en Suisse.</v>
      </c>
    </row>
    <row r="3797" hidden="1">
      <c r="A3797" s="5" t="s">
        <v>10696</v>
      </c>
      <c r="B3797" s="2" t="s">
        <v>10697</v>
      </c>
      <c r="C3797" s="2" t="s">
        <v>10697</v>
      </c>
      <c r="D3797" s="4" t="str">
        <f>vlookup(A3797, Sheet2!D:E, 2, 0)</f>
        <v>control</v>
      </c>
      <c r="E3797" s="4" t="str">
        <f>IFERROR(__xludf.DUMMYFUNCTION("if(H3797=""pays"",vlookup(REGEXEXTRACT(C3797, ""🏘️ \w+ \w+ (.*) ✅""),'Country prepositions'!A:B, 2, 0) &amp; "" "" &amp; REGEXEXTRACT(C3797, ""🏘️ \w+ \w+ (.*) ✅"") ,  if(H3797=""quartier"",vlookup(REGEXEXTRACT(C3797, ""🏘️ \w+ \w+ (.*) ✅""),'Quartier prepositio"&amp;"ns'!A:E, 5, 0) ,  if(H3797=""region"",vlookup(REGEXEXTRACT(C3797, ""🏘️ \w+ \w+ (.*) ✅""),'Region prepositions'!B:F, 5, 0),  REGEXEXTRACT(C3797, ""🏘️ \w+ \w+ (.*) ✅""))))"),"#N/A")</f>
        <v>#N/A</v>
      </c>
      <c r="I3797" s="4" t="str">
        <f>IFERROR(__xludf.DUMMYFUNCTION("if(D3797=""variant"",  substitute(filter(Templates!E:E, Templates!A:A = F3797, Templates!B:B = G3797, Templates!C:C = H3797), ""{{}}"", E3797), B3797)"),"Louer appartement Les Granges (Salvan): Trouvez le bien immobilier qui correspond idéalement à vos désirs sur ImmoScout24 - La plateforme de l'immobilier en Suisse.")</f>
        <v>Louer appartement Les Granges (Salvan): Trouvez le bien immobilier qui correspond idéalement à vos désirs sur ImmoScout24 - La plateforme de l'immobilier en Suisse.</v>
      </c>
    </row>
    <row r="3798" hidden="1">
      <c r="A3798" s="5" t="s">
        <v>10698</v>
      </c>
      <c r="B3798" s="2" t="s">
        <v>10699</v>
      </c>
      <c r="C3798" s="2" t="s">
        <v>10699</v>
      </c>
      <c r="D3798" s="4" t="str">
        <f>vlookup(A3798, Sheet2!D:E, 2, 0)</f>
        <v>control</v>
      </c>
      <c r="E3798" s="4" t="str">
        <f>IFERROR(__xludf.DUMMYFUNCTION("if(H3798=""pays"",vlookup(REGEXEXTRACT(C3798, ""🏘️ \w+ \w+ (.*) ✅""),'Country prepositions'!A:B, 2, 0) &amp; "" "" &amp; REGEXEXTRACT(C3798, ""🏘️ \w+ \w+ (.*) ✅"") ,  if(H3798=""quartier"",vlookup(REGEXEXTRACT(C3798, ""🏘️ \w+ \w+ (.*) ✅""),'Quartier prepositio"&amp;"ns'!A:E, 5, 0) ,  if(H3798=""region"",vlookup(REGEXEXTRACT(C3798, ""🏘️ \w+ \w+ (.*) ✅""),'Region prepositions'!B:F, 5, 0),  REGEXEXTRACT(C3798, ""🏘️ \w+ \w+ (.*) ✅""))))"),"#N/A")</f>
        <v>#N/A</v>
      </c>
      <c r="I3798" s="4" t="str">
        <f>IFERROR(__xludf.DUMMYFUNCTION("if(D3798=""variant"",  substitute(filter(Templates!E:E, Templates!A:A = F3798, Templates!B:B = G3798, Templates!C:C = H3798), ""{{}}"", E3798), B3798)"),"Louer appartement Nürensdorf: Trouvez le bien immobilier qui correspond idéalement à vos désirs sur ImmoScout24 - La plateforme de l'immobilier en Suisse.")</f>
        <v>Louer appartement Nürensdorf: Trouvez le bien immobilier qui correspond idéalement à vos désirs sur ImmoScout24 - La plateforme de l'immobilier en Suisse.</v>
      </c>
    </row>
    <row r="3799" hidden="1">
      <c r="A3799" s="5" t="s">
        <v>10700</v>
      </c>
      <c r="B3799" s="2" t="s">
        <v>10701</v>
      </c>
      <c r="C3799" s="2" t="s">
        <v>10701</v>
      </c>
      <c r="D3799" s="4" t="str">
        <f>vlookup(A3799, Sheet2!D:E, 2, 0)</f>
        <v>control</v>
      </c>
      <c r="E3799" s="4" t="str">
        <f>IFERROR(__xludf.DUMMYFUNCTION("if(H3799=""pays"",vlookup(REGEXEXTRACT(C3799, ""🏘️ \w+ \w+ (.*) ✅""),'Country prepositions'!A:B, 2, 0) &amp; "" "" &amp; REGEXEXTRACT(C3799, ""🏘️ \w+ \w+ (.*) ✅"") ,  if(H3799=""quartier"",vlookup(REGEXEXTRACT(C3799, ""🏘️ \w+ \w+ (.*) ✅""),'Quartier prepositio"&amp;"ns'!A:E, 5, 0) ,  if(H3799=""region"",vlookup(REGEXEXTRACT(C3799, ""🏘️ \w+ \w+ (.*) ✅""),'Region prepositions'!B:F, 5, 0),  REGEXEXTRACT(C3799, ""🏘️ \w+ \w+ (.*) ✅""))))"),"#N/A")</f>
        <v>#N/A</v>
      </c>
      <c r="I3799" s="4" t="str">
        <f>IFERROR(__xludf.DUMMYFUNCTION("if(D3799=""variant"",  substitute(filter(Templates!E:E, Templates!A:A = F3799, Templates!B:B = G3799, Templates!C:C = H3799), ""{{}}"", E3799), B3799)"),"Louer appartement Corsier-sur-Vevey: Trouvez le bien immobilier qui correspond idéalement à vos désirs sur ImmoScout24 - La plateforme de l'immobilier en Suisse.")</f>
        <v>Louer appartement Corsier-sur-Vevey: Trouvez le bien immobilier qui correspond idéalement à vos désirs sur ImmoScout24 - La plateforme de l'immobilier en Suisse.</v>
      </c>
    </row>
    <row r="3800" hidden="1">
      <c r="A3800" s="5" t="s">
        <v>10702</v>
      </c>
      <c r="B3800" s="2" t="s">
        <v>10703</v>
      </c>
      <c r="C3800" s="2" t="s">
        <v>10703</v>
      </c>
      <c r="D3800" s="4" t="str">
        <f>vlookup(A3800, Sheet2!D:E, 2, 0)</f>
        <v>control</v>
      </c>
      <c r="E3800" s="4" t="str">
        <f>IFERROR(__xludf.DUMMYFUNCTION("if(H3800=""pays"",vlookup(REGEXEXTRACT(C3800, ""🏘️ \w+ \w+ (.*) ✅""),'Country prepositions'!A:B, 2, 0) &amp; "" "" &amp; REGEXEXTRACT(C3800, ""🏘️ \w+ \w+ (.*) ✅"") ,  if(H3800=""quartier"",vlookup(REGEXEXTRACT(C3800, ""🏘️ \w+ \w+ (.*) ✅""),'Quartier prepositio"&amp;"ns'!A:E, 5, 0) ,  if(H3800=""region"",vlookup(REGEXEXTRACT(C3800, ""🏘️ \w+ \w+ (.*) ✅""),'Region prepositions'!B:F, 5, 0),  REGEXEXTRACT(C3800, ""🏘️ \w+ \w+ (.*) ✅""))))"),"#N/A")</f>
        <v>#N/A</v>
      </c>
      <c r="I3800" s="4" t="str">
        <f>IFERROR(__xludf.DUMMYFUNCTION("if(D3800=""variant"",  substitute(filter(Templates!E:E, Templates!A:A = F3800, Templates!B:B = G3800, Templates!C:C = H3800), ""{{}}"", E3800), B3800)"),"Louer appartement Corcelles-près-Concise: Trouvez le bien immobilier qui correspond idéalement à vos désirs sur ImmoScout24 - La plateforme de l'immobilier en Suisse.")</f>
        <v>Louer appartement Corcelles-près-Concise: Trouvez le bien immobilier qui correspond idéalement à vos désirs sur ImmoScout24 - La plateforme de l'immobilier en Suisse.</v>
      </c>
    </row>
    <row r="3801" hidden="1">
      <c r="A3801" s="5" t="s">
        <v>10704</v>
      </c>
      <c r="B3801" s="2" t="s">
        <v>10705</v>
      </c>
      <c r="C3801" s="2" t="s">
        <v>10705</v>
      </c>
      <c r="D3801" s="4" t="str">
        <f>vlookup(A3801, Sheet2!D:E, 2, 0)</f>
        <v>control</v>
      </c>
      <c r="E3801" s="4" t="str">
        <f>IFERROR(__xludf.DUMMYFUNCTION("if(H3801=""pays"",vlookup(REGEXEXTRACT(C3801, ""🏘️ \w+ \w+ (.*) ✅""),'Country prepositions'!A:B, 2, 0) &amp; "" "" &amp; REGEXEXTRACT(C3801, ""🏘️ \w+ \w+ (.*) ✅"") ,  if(H3801=""quartier"",vlookup(REGEXEXTRACT(C3801, ""🏘️ \w+ \w+ (.*) ✅""),'Quartier prepositio"&amp;"ns'!A:E, 5, 0) ,  if(H3801=""region"",vlookup(REGEXEXTRACT(C3801, ""🏘️ \w+ \w+ (.*) ✅""),'Region prepositions'!B:F, 5, 0),  REGEXEXTRACT(C3801, ""🏘️ \w+ \w+ (.*) ✅""))))"),"#N/A")</f>
        <v>#N/A</v>
      </c>
      <c r="I3801" s="4" t="str">
        <f>IFERROR(__xludf.DUMMYFUNCTION("if(D3801=""variant"",  substitute(filter(Templates!E:E, Templates!A:A = F3801, Templates!B:B = G3801, Templates!C:C = H3801), ""{{}}"", E3801), B3801)"),"Vendre maison St-George: Trouvez le bien immobilier qui correspond idéalement à vos désirs sur ImmoScout24 - La plateforme de l'immobilier en Suisse.")</f>
        <v>Vendre maison St-George: Trouvez le bien immobilier qui correspond idéalement à vos désirs sur ImmoScout24 - La plateforme de l'immobilier en Suisse.</v>
      </c>
    </row>
    <row r="3802" hidden="1">
      <c r="A3802" s="5" t="s">
        <v>10706</v>
      </c>
      <c r="B3802" s="2" t="s">
        <v>10707</v>
      </c>
      <c r="C3802" s="2" t="s">
        <v>10707</v>
      </c>
      <c r="D3802" s="4" t="str">
        <f>vlookup(A3802, Sheet2!D:E, 2, 0)</f>
        <v>control</v>
      </c>
      <c r="E3802" s="4" t="str">
        <f>IFERROR(__xludf.DUMMYFUNCTION("if(H3802=""pays"",vlookup(REGEXEXTRACT(C3802, ""🏘️ \w+ \w+ (.*) ✅""),'Country prepositions'!A:B, 2, 0) &amp; "" "" &amp; REGEXEXTRACT(C3802, ""🏘️ \w+ \w+ (.*) ✅"") ,  if(H3802=""quartier"",vlookup(REGEXEXTRACT(C3802, ""🏘️ \w+ \w+ (.*) ✅""),'Quartier prepositio"&amp;"ns'!A:E, 5, 0) ,  if(H3802=""region"",vlookup(REGEXEXTRACT(C3802, ""🏘️ \w+ \w+ (.*) ✅""),'Region prepositions'!B:F, 5, 0),  REGEXEXTRACT(C3802, ""🏘️ \w+ \w+ (.*) ✅""))))"),"#N/A")</f>
        <v>#N/A</v>
      </c>
      <c r="I3802" s="4" t="str">
        <f>IFERROR(__xludf.DUMMYFUNCTION("if(D3802=""variant"",  substitute(filter(Templates!E:E, Templates!A:A = F3802, Templates!B:B = G3802, Templates!C:C = H3802), ""{{}}"", E3802), B3802)"),"Vendre appartement Silvaplana: Trouvez le bien immobilier qui correspond idéalement à vos désirs sur ImmoScout24 - La plateforme de l'immobilier en Suisse.")</f>
        <v>Vendre appartement Silvaplana: Trouvez le bien immobilier qui correspond idéalement à vos désirs sur ImmoScout24 - La plateforme de l'immobilier en Suisse.</v>
      </c>
    </row>
    <row r="3803" hidden="1">
      <c r="A3803" s="5" t="s">
        <v>10708</v>
      </c>
      <c r="B3803" s="2" t="s">
        <v>10709</v>
      </c>
      <c r="C3803" s="2" t="s">
        <v>10709</v>
      </c>
      <c r="D3803" s="4" t="str">
        <f>vlookup(A3803, Sheet2!D:E, 2, 0)</f>
        <v>control</v>
      </c>
      <c r="E3803" s="4" t="str">
        <f>IFERROR(__xludf.DUMMYFUNCTION("if(H3803=""pays"",vlookup(REGEXEXTRACT(C3803, ""🏘️ \w+ \w+ (.*) ✅""),'Country prepositions'!A:B, 2, 0) &amp; "" "" &amp; REGEXEXTRACT(C3803, ""🏘️ \w+ \w+ (.*) ✅"") ,  if(H3803=""quartier"",vlookup(REGEXEXTRACT(C3803, ""🏘️ \w+ \w+ (.*) ✅""),'Quartier prepositio"&amp;"ns'!A:E, 5, 0) ,  if(H3803=""region"",vlookup(REGEXEXTRACT(C3803, ""🏘️ \w+ \w+ (.*) ✅""),'Region prepositions'!B:F, 5, 0),  REGEXEXTRACT(C3803, ""🏘️ \w+ \w+ (.*) ✅""))))"),"#N/A")</f>
        <v>#N/A</v>
      </c>
      <c r="I3803" s="4" t="str">
        <f>IFERROR(__xludf.DUMMYFUNCTION("if(D3803=""variant"",  substitute(filter(Templates!E:E, Templates!A:A = F3803, Templates!B:B = G3803, Templates!C:C = H3803), ""{{}}"", E3803), B3803)"),"Louer appartement Breganzona (Lugano): Trouvez le bien immobilier qui correspond idéalement à vos désirs sur ImmoScout24 - La plateforme de l'immobilier en Suisse.")</f>
        <v>Louer appartement Breganzona (Lugano): Trouvez le bien immobilier qui correspond idéalement à vos désirs sur ImmoScout24 - La plateforme de l'immobilier en Suisse.</v>
      </c>
    </row>
    <row r="3804" hidden="1">
      <c r="A3804" s="5" t="s">
        <v>10710</v>
      </c>
      <c r="B3804" s="2" t="s">
        <v>10711</v>
      </c>
      <c r="C3804" s="2" t="s">
        <v>10711</v>
      </c>
      <c r="D3804" s="4" t="str">
        <f>vlookup(A3804, Sheet2!D:E, 2, 0)</f>
        <v>control</v>
      </c>
      <c r="E3804" s="4" t="str">
        <f>IFERROR(__xludf.DUMMYFUNCTION("if(H3804=""pays"",vlookup(REGEXEXTRACT(C3804, ""🏘️ \w+ \w+ (.*) ✅""),'Country prepositions'!A:B, 2, 0) &amp; "" "" &amp; REGEXEXTRACT(C3804, ""🏘️ \w+ \w+ (.*) ✅"") ,  if(H3804=""quartier"",vlookup(REGEXEXTRACT(C3804, ""🏘️ \w+ \w+ (.*) ✅""),'Quartier prepositio"&amp;"ns'!A:E, 5, 0) ,  if(H3804=""region"",vlookup(REGEXEXTRACT(C3804, ""🏘️ \w+ \w+ (.*) ✅""),'Region prepositions'!B:F, 5, 0),  REGEXEXTRACT(C3804, ""🏘️ \w+ \w+ (.*) ✅""))))"),"#N/A")</f>
        <v>#N/A</v>
      </c>
      <c r="I3804" s="4" t="str">
        <f>IFERROR(__xludf.DUMMYFUNCTION("if(D3804=""variant"",  substitute(filter(Templates!E:E, Templates!A:A = F3804, Templates!B:B = G3804, Templates!C:C = H3804), ""{{}}"", E3804), B3804)"),"Vendre maison Chardonne: Trouvez le bien immobilier qui correspond idéalement à vos désirs sur ImmoScout24 - La plateforme de l'immobilier en Suisse.")</f>
        <v>Vendre maison Chardonne: Trouvez le bien immobilier qui correspond idéalement à vos désirs sur ImmoScout24 - La plateforme de l'immobilier en Suisse.</v>
      </c>
    </row>
    <row r="3805" hidden="1">
      <c r="A3805" s="5" t="s">
        <v>10712</v>
      </c>
      <c r="B3805" s="2" t="s">
        <v>10713</v>
      </c>
      <c r="C3805" s="2" t="s">
        <v>10713</v>
      </c>
      <c r="D3805" s="4" t="str">
        <f>vlookup(A3805, Sheet2!D:E, 2, 0)</f>
        <v>control</v>
      </c>
      <c r="E3805" s="4" t="str">
        <f>IFERROR(__xludf.DUMMYFUNCTION("if(H3805=""pays"",vlookup(REGEXEXTRACT(C3805, ""🏘️ \w+ \w+ (.*) ✅""),'Country prepositions'!A:B, 2, 0) &amp; "" "" &amp; REGEXEXTRACT(C3805, ""🏘️ \w+ \w+ (.*) ✅"") ,  if(H3805=""quartier"",vlookup(REGEXEXTRACT(C3805, ""🏘️ \w+ \w+ (.*) ✅""),'Quartier prepositio"&amp;"ns'!A:E, 5, 0) ,  if(H3805=""region"",vlookup(REGEXEXTRACT(C3805, ""🏘️ \w+ \w+ (.*) ✅""),'Region prepositions'!B:F, 5, 0),  REGEXEXTRACT(C3805, ""🏘️ \w+ \w+ (.*) ✅""))))"),"#N/A")</f>
        <v>#N/A</v>
      </c>
      <c r="I3805" s="4" t="str">
        <f>IFERROR(__xludf.DUMMYFUNCTION("if(D3805=""variant"",  substitute(filter(Templates!E:E, Templates!A:A = F3805, Templates!B:B = G3805, Templates!C:C = H3805), ""{{}}"", E3805), B3805)"),"Vendre appartement Agno: Trouvez le bien immobilier qui correspond idéalement à vos désirs sur ImmoScout24 - La plateforme de l'immobilier en Suisse.")</f>
        <v>Vendre appartement Agno: Trouvez le bien immobilier qui correspond idéalement à vos désirs sur ImmoScout24 - La plateforme de l'immobilier en Suisse.</v>
      </c>
    </row>
    <row r="3806" hidden="1">
      <c r="A3806" s="5" t="s">
        <v>10714</v>
      </c>
      <c r="B3806" s="2" t="s">
        <v>10715</v>
      </c>
      <c r="C3806" s="2" t="s">
        <v>10715</v>
      </c>
      <c r="D3806" s="4" t="str">
        <f>vlookup(A3806, Sheet2!D:E, 2, 0)</f>
        <v>control</v>
      </c>
      <c r="E3806" s="4" t="str">
        <f>IFERROR(__xludf.DUMMYFUNCTION("if(H3806=""pays"",vlookup(REGEXEXTRACT(C3806, ""🏘️ \w+ \w+ (.*) ✅""),'Country prepositions'!A:B, 2, 0) &amp; "" "" &amp; REGEXEXTRACT(C3806, ""🏘️ \w+ \w+ (.*) ✅"") ,  if(H3806=""quartier"",vlookup(REGEXEXTRACT(C3806, ""🏘️ \w+ \w+ (.*) ✅""),'Quartier prepositio"&amp;"ns'!A:E, 5, 0) ,  if(H3806=""region"",vlookup(REGEXEXTRACT(C3806, ""🏘️ \w+ \w+ (.*) ✅""),'Region prepositions'!B:F, 5, 0),  REGEXEXTRACT(C3806, ""🏘️ \w+ \w+ (.*) ✅""))))"),"#N/A")</f>
        <v>#N/A</v>
      </c>
      <c r="I3806" s="4" t="str">
        <f>IFERROR(__xludf.DUMMYFUNCTION("if(D3806=""variant"",  substitute(filter(Templates!E:E, Templates!A:A = F3806, Templates!B:B = G3806, Templates!C:C = H3806), ""{{}}"", E3806), B3806)"),"Louer appartement Les Acacias: Trouvez le bien immobilier qui correspond idéalement à vos désirs sur ImmoScout24 - La plateforme de l'immobilier en Suisse.")</f>
        <v>Louer appartement Les Acacias: Trouvez le bien immobilier qui correspond idéalement à vos désirs sur ImmoScout24 - La plateforme de l'immobilier en Suisse.</v>
      </c>
    </row>
    <row r="3807" hidden="1">
      <c r="A3807" s="5" t="s">
        <v>10716</v>
      </c>
      <c r="B3807" s="2" t="s">
        <v>10717</v>
      </c>
      <c r="C3807" s="2" t="s">
        <v>10717</v>
      </c>
      <c r="D3807" s="4" t="str">
        <f>vlookup(A3807, Sheet2!D:E, 2, 0)</f>
        <v>control</v>
      </c>
      <c r="E3807" s="4" t="str">
        <f>IFERROR(__xludf.DUMMYFUNCTION("if(H3807=""pays"",vlookup(REGEXEXTRACT(C3807, ""🏘️ \w+ \w+ (.*) ✅""),'Country prepositions'!A:B, 2, 0) &amp; "" "" &amp; REGEXEXTRACT(C3807, ""🏘️ \w+ \w+ (.*) ✅"") ,  if(H3807=""quartier"",vlookup(REGEXEXTRACT(C3807, ""🏘️ \w+ \w+ (.*) ✅""),'Quartier prepositio"&amp;"ns'!A:E, 5, 0) ,  if(H3807=""region"",vlookup(REGEXEXTRACT(C3807, ""🏘️ \w+ \w+ (.*) ✅""),'Region prepositions'!B:F, 5, 0),  REGEXEXTRACT(C3807, ""🏘️ \w+ \w+ (.*) ✅""))))"),"#N/A")</f>
        <v>#N/A</v>
      </c>
      <c r="I3807" s="4" t="str">
        <f>IFERROR(__xludf.DUMMYFUNCTION("if(D3807=""variant"",  substitute(filter(Templates!E:E, Templates!A:A = F3807, Templates!B:B = G3807, Templates!C:C = H3807), ""{{}}"", E3807), B3807)"),"Vendre maison Comologno: Trouvez le bien immobilier qui correspond idéalement à vos désirs sur ImmoScout24 - La plateforme de l'immobilier en Suisse.")</f>
        <v>Vendre maison Comologno: Trouvez le bien immobilier qui correspond idéalement à vos désirs sur ImmoScout24 - La plateforme de l'immobilier en Suisse.</v>
      </c>
    </row>
    <row r="3808" hidden="1">
      <c r="A3808" s="5" t="s">
        <v>10718</v>
      </c>
      <c r="B3808" s="2" t="s">
        <v>10719</v>
      </c>
      <c r="C3808" s="2" t="s">
        <v>10719</v>
      </c>
      <c r="D3808" s="4" t="str">
        <f>vlookup(A3808, Sheet2!D:E, 2, 0)</f>
        <v>control</v>
      </c>
      <c r="E3808" s="4" t="str">
        <f>IFERROR(__xludf.DUMMYFUNCTION("if(H3808=""pays"",vlookup(REGEXEXTRACT(C3808, ""🏘️ \w+ \w+ (.*) ✅""),'Country prepositions'!A:B, 2, 0) &amp; "" "" &amp; REGEXEXTRACT(C3808, ""🏘️ \w+ \w+ (.*) ✅"") ,  if(H3808=""quartier"",vlookup(REGEXEXTRACT(C3808, ""🏘️ \w+ \w+ (.*) ✅""),'Quartier prepositio"&amp;"ns'!A:E, 5, 0) ,  if(H3808=""region"",vlookup(REGEXEXTRACT(C3808, ""🏘️ \w+ \w+ (.*) ✅""),'Region prepositions'!B:F, 5, 0),  REGEXEXTRACT(C3808, ""🏘️ \w+ \w+ (.*) ✅""))))"),"#N/A")</f>
        <v>#N/A</v>
      </c>
      <c r="I3808" s="4" t="str">
        <f>IFERROR(__xludf.DUMMYFUNCTION("if(D3808=""variant"",  substitute(filter(Templates!E:E, Templates!A:A = F3808, Templates!B:B = G3808, Templates!C:C = H3808), ""{{}}"", E3808), B3808)"),"Vendre maison Rances: Trouvez le bien immobilier qui correspond idéalement à vos désirs sur ImmoScout24 - La plateforme de l'immobilier en Suisse.")</f>
        <v>Vendre maison Rances: Trouvez le bien immobilier qui correspond idéalement à vos désirs sur ImmoScout24 - La plateforme de l'immobilier en Suisse.</v>
      </c>
    </row>
    <row r="3809" hidden="1">
      <c r="A3809" s="5" t="s">
        <v>10720</v>
      </c>
      <c r="B3809" s="2" t="s">
        <v>10721</v>
      </c>
      <c r="C3809" s="2" t="s">
        <v>10721</v>
      </c>
      <c r="D3809" s="4" t="str">
        <f>vlookup(A3809, Sheet2!D:E, 2, 0)</f>
        <v>control</v>
      </c>
      <c r="E3809" s="4" t="str">
        <f>IFERROR(__xludf.DUMMYFUNCTION("if(H3809=""pays"",vlookup(REGEXEXTRACT(C3809, ""🏘️ \w+ \w+ (.*) ✅""),'Country prepositions'!A:B, 2, 0) &amp; "" "" &amp; REGEXEXTRACT(C3809, ""🏘️ \w+ \w+ (.*) ✅"") ,  if(H3809=""quartier"",vlookup(REGEXEXTRACT(C3809, ""🏘️ \w+ \w+ (.*) ✅""),'Quartier prepositio"&amp;"ns'!A:E, 5, 0) ,  if(H3809=""region"",vlookup(REGEXEXTRACT(C3809, ""🏘️ \w+ \w+ (.*) ✅""),'Region prepositions'!B:F, 5, 0),  REGEXEXTRACT(C3809, ""🏘️ \w+ \w+ (.*) ✅""))))"),"#N/A")</f>
        <v>#N/A</v>
      </c>
      <c r="I3809" s="4" t="str">
        <f>IFERROR(__xludf.DUMMYFUNCTION("if(D3809=""variant"",  substitute(filter(Templates!E:E, Templates!A:A = F3809, Templates!B:B = G3809, Templates!C:C = H3809), ""{{}}"", E3809), B3809)"),"Louer maison Fétigny: Trouvez le bien immobilier qui correspond idéalement à vos désirs sur ImmoScout24 - La plateforme de l'immobilier en Suisse.")</f>
        <v>Louer maison Fétigny: Trouvez le bien immobilier qui correspond idéalement à vos désirs sur ImmoScout24 - La plateforme de l'immobilier en Suisse.</v>
      </c>
    </row>
    <row r="3810" hidden="1">
      <c r="A3810" s="5" t="s">
        <v>10722</v>
      </c>
      <c r="B3810" s="2" t="s">
        <v>10723</v>
      </c>
      <c r="C3810" s="2" t="s">
        <v>10723</v>
      </c>
      <c r="D3810" s="4" t="str">
        <f>vlookup(A3810, Sheet2!D:E, 2, 0)</f>
        <v>control</v>
      </c>
      <c r="E3810" s="4" t="str">
        <f>IFERROR(__xludf.DUMMYFUNCTION("if(H3810=""pays"",vlookup(REGEXEXTRACT(C3810, ""🏘️ \w+ \w+ (.*) ✅""),'Country prepositions'!A:B, 2, 0) &amp; "" "" &amp; REGEXEXTRACT(C3810, ""🏘️ \w+ \w+ (.*) ✅"") ,  if(H3810=""quartier"",vlookup(REGEXEXTRACT(C3810, ""🏘️ \w+ \w+ (.*) ✅""),'Quartier prepositio"&amp;"ns'!A:E, 5, 0) ,  if(H3810=""region"",vlookup(REGEXEXTRACT(C3810, ""🏘️ \w+ \w+ (.*) ✅""),'Region prepositions'!B:F, 5, 0),  REGEXEXTRACT(C3810, ""🏘️ \w+ \w+ (.*) ✅""))))"),"#N/A")</f>
        <v>#N/A</v>
      </c>
      <c r="I3810" s="4" t="str">
        <f>IFERROR(__xludf.DUMMYFUNCTION("if(D3810=""variant"",  substitute(filter(Templates!E:E, Templates!A:A = F3810, Templates!B:B = G3810, Templates!C:C = H3810), ""{{}}"", E3810), B3810)"),"Louer appartement Torny-le-Grand: Trouvez le bien immobilier qui correspond idéalement à vos désirs sur ImmoScout24 - La plateforme de l'immobilier en Suisse.")</f>
        <v>Louer appartement Torny-le-Grand: Trouvez le bien immobilier qui correspond idéalement à vos désirs sur ImmoScout24 - La plateforme de l'immobilier en Suisse.</v>
      </c>
    </row>
    <row r="3811" hidden="1">
      <c r="A3811" s="5" t="s">
        <v>10724</v>
      </c>
      <c r="B3811" s="2" t="s">
        <v>10725</v>
      </c>
      <c r="C3811" s="2" t="s">
        <v>10725</v>
      </c>
      <c r="D3811" s="4" t="str">
        <f>vlookup(A3811, Sheet2!D:E, 2, 0)</f>
        <v>control</v>
      </c>
      <c r="E3811" s="4" t="str">
        <f>IFERROR(__xludf.DUMMYFUNCTION("if(H3811=""pays"",vlookup(REGEXEXTRACT(C3811, ""🏘️ \w+ \w+ (.*) ✅""),'Country prepositions'!A:B, 2, 0) &amp; "" "" &amp; REGEXEXTRACT(C3811, ""🏘️ \w+ \w+ (.*) ✅"") ,  if(H3811=""quartier"",vlookup(REGEXEXTRACT(C3811, ""🏘️ \w+ \w+ (.*) ✅""),'Quartier prepositio"&amp;"ns'!A:E, 5, 0) ,  if(H3811=""region"",vlookup(REGEXEXTRACT(C3811, ""🏘️ \w+ \w+ (.*) ✅""),'Region prepositions'!B:F, 5, 0),  REGEXEXTRACT(C3811, ""🏘️ \w+ \w+ (.*) ✅""))))"),"#N/A")</f>
        <v>#N/A</v>
      </c>
      <c r="I3811" s="4" t="str">
        <f>IFERROR(__xludf.DUMMYFUNCTION("if(D3811=""variant"",  substitute(filter(Templates!E:E, Templates!A:A = F3811, Templates!B:B = G3811, Templates!C:C = H3811), ""{{}}"", E3811), B3811)"),"Louer appartement St-Romain (Ayent): Trouvez le bien immobilier qui correspond idéalement à vos désirs sur ImmoScout24 - La plateforme de l'immobilier en Suisse.")</f>
        <v>Louer appartement St-Romain (Ayent): Trouvez le bien immobilier qui correspond idéalement à vos désirs sur ImmoScout24 - La plateforme de l'immobilier en Suisse.</v>
      </c>
    </row>
    <row r="3812" hidden="1">
      <c r="A3812" s="5" t="s">
        <v>10726</v>
      </c>
      <c r="B3812" s="2" t="s">
        <v>10727</v>
      </c>
      <c r="C3812" s="2" t="s">
        <v>10727</v>
      </c>
      <c r="D3812" s="4" t="str">
        <f>vlookup(A3812, Sheet2!D:E, 2, 0)</f>
        <v>control</v>
      </c>
      <c r="E3812" s="4" t="str">
        <f>IFERROR(__xludf.DUMMYFUNCTION("if(H3812=""pays"",vlookup(REGEXEXTRACT(C3812, ""🏘️ \w+ \w+ (.*) ✅""),'Country prepositions'!A:B, 2, 0) &amp; "" "" &amp; REGEXEXTRACT(C3812, ""🏘️ \w+ \w+ (.*) ✅"") ,  if(H3812=""quartier"",vlookup(REGEXEXTRACT(C3812, ""🏘️ \w+ \w+ (.*) ✅""),'Quartier prepositio"&amp;"ns'!A:E, 5, 0) ,  if(H3812=""region"",vlookup(REGEXEXTRACT(C3812, ""🏘️ \w+ \w+ (.*) ✅""),'Region prepositions'!B:F, 5, 0),  REGEXEXTRACT(C3812, ""🏘️ \w+ \w+ (.*) ✅""))))"),"#N/A")</f>
        <v>#N/A</v>
      </c>
      <c r="I3812" s="4" t="str">
        <f>IFERROR(__xludf.DUMMYFUNCTION("if(D3812=""variant"",  substitute(filter(Templates!E:E, Templates!A:A = F3812, Templates!B:B = G3812, Templates!C:C = H3812), ""{{}}"", E3812), B3812)"),"Louer appartement Oberengstringen: Trouvez le bien immobilier qui correspond idéalement à vos désirs sur ImmoScout24 - La plateforme de l'immobilier en Suisse.")</f>
        <v>Louer appartement Oberengstringen: Trouvez le bien immobilier qui correspond idéalement à vos désirs sur ImmoScout24 - La plateforme de l'immobilier en Suisse.</v>
      </c>
    </row>
    <row r="3813" hidden="1">
      <c r="A3813" s="5" t="s">
        <v>10728</v>
      </c>
      <c r="B3813" s="2" t="s">
        <v>10729</v>
      </c>
      <c r="C3813" s="2" t="s">
        <v>10729</v>
      </c>
      <c r="D3813" s="4" t="str">
        <f>vlookup(A3813, Sheet2!D:E, 2, 0)</f>
        <v>control</v>
      </c>
      <c r="E3813" s="4" t="str">
        <f>IFERROR(__xludf.DUMMYFUNCTION("if(H3813=""pays"",vlookup(REGEXEXTRACT(C3813, ""🏘️ \w+ \w+ (.*) ✅""),'Country prepositions'!A:B, 2, 0) &amp; "" "" &amp; REGEXEXTRACT(C3813, ""🏘️ \w+ \w+ (.*) ✅"") ,  if(H3813=""quartier"",vlookup(REGEXEXTRACT(C3813, ""🏘️ \w+ \w+ (.*) ✅""),'Quartier prepositio"&amp;"ns'!A:E, 5, 0) ,  if(H3813=""region"",vlookup(REGEXEXTRACT(C3813, ""🏘️ \w+ \w+ (.*) ✅""),'Region prepositions'!B:F, 5, 0),  REGEXEXTRACT(C3813, ""🏘️ \w+ \w+ (.*) ✅""))))"),"#N/A")</f>
        <v>#N/A</v>
      </c>
      <c r="I3813" s="4" t="str">
        <f>IFERROR(__xludf.DUMMYFUNCTION("if(D3813=""variant"",  substitute(filter(Templates!E:E, Templates!A:A = F3813, Templates!B:B = G3813, Templates!C:C = H3813), ""{{}}"", E3813), B3813)"),"Vendre maison Moléson-sur-Gruyères: Trouvez le bien immobilier qui correspond idéalement à vos désirs sur ImmoScout24 - La plateforme de l'immobilier en Suisse.")</f>
        <v>Vendre maison Moléson-sur-Gruyères: Trouvez le bien immobilier qui correspond idéalement à vos désirs sur ImmoScout24 - La plateforme de l'immobilier en Suisse.</v>
      </c>
    </row>
    <row r="3814" hidden="1">
      <c r="A3814" s="5" t="s">
        <v>10730</v>
      </c>
      <c r="B3814" s="2" t="s">
        <v>10731</v>
      </c>
      <c r="C3814" s="2" t="s">
        <v>10731</v>
      </c>
      <c r="D3814" s="4" t="str">
        <f>vlookup(A3814, Sheet2!D:E, 2, 0)</f>
        <v>control</v>
      </c>
      <c r="E3814" s="4" t="str">
        <f>IFERROR(__xludf.DUMMYFUNCTION("if(H3814=""pays"",vlookup(REGEXEXTRACT(C3814, ""🏘️ \w+ \w+ (.*) ✅""),'Country prepositions'!A:B, 2, 0) &amp; "" "" &amp; REGEXEXTRACT(C3814, ""🏘️ \w+ \w+ (.*) ✅"") ,  if(H3814=""quartier"",vlookup(REGEXEXTRACT(C3814, ""🏘️ \w+ \w+ (.*) ✅""),'Quartier prepositio"&amp;"ns'!A:E, 5, 0) ,  if(H3814=""region"",vlookup(REGEXEXTRACT(C3814, ""🏘️ \w+ \w+ (.*) ✅""),'Region prepositions'!B:F, 5, 0),  REGEXEXTRACT(C3814, ""🏘️ \w+ \w+ (.*) ✅""))))"),"#N/A")</f>
        <v>#N/A</v>
      </c>
      <c r="I3814" s="4" t="str">
        <f>IFERROR(__xludf.DUMMYFUNCTION("if(D3814=""variant"",  substitute(filter(Templates!E:E, Templates!A:A = F3814, Templates!B:B = G3814, Templates!C:C = H3814), ""{{}}"", E3814), B3814)"),"Louer appartement Vuisternens-devant-Romont: Trouvez le bien immobilier qui correspond idéalement à vos désirs sur ImmoScout24 - La plateforme de l'immobilier en Suisse.")</f>
        <v>Louer appartement Vuisternens-devant-Romont: Trouvez le bien immobilier qui correspond idéalement à vos désirs sur ImmoScout24 - La plateforme de l'immobilier en Suisse.</v>
      </c>
    </row>
    <row r="3815" hidden="1">
      <c r="A3815" s="5" t="s">
        <v>10732</v>
      </c>
      <c r="B3815" s="2" t="s">
        <v>10733</v>
      </c>
      <c r="C3815" s="2" t="s">
        <v>10733</v>
      </c>
      <c r="D3815" s="4" t="str">
        <f>vlookup(A3815, Sheet2!D:E, 2, 0)</f>
        <v>control</v>
      </c>
      <c r="E3815" s="4" t="str">
        <f>IFERROR(__xludf.DUMMYFUNCTION("if(H3815=""pays"",vlookup(REGEXEXTRACT(C3815, ""🏘️ \w+ \w+ (.*) ✅""),'Country prepositions'!A:B, 2, 0) &amp; "" "" &amp; REGEXEXTRACT(C3815, ""🏘️ \w+ \w+ (.*) ✅"") ,  if(H3815=""quartier"",vlookup(REGEXEXTRACT(C3815, ""🏘️ \w+ \w+ (.*) ✅""),'Quartier prepositio"&amp;"ns'!A:E, 5, 0) ,  if(H3815=""region"",vlookup(REGEXEXTRACT(C3815, ""🏘️ \w+ \w+ (.*) ✅""),'Region prepositions'!B:F, 5, 0),  REGEXEXTRACT(C3815, ""🏘️ \w+ \w+ (.*) ✅""))))"),"#N/A")</f>
        <v>#N/A</v>
      </c>
      <c r="I3815" s="4" t="str">
        <f>IFERROR(__xludf.DUMMYFUNCTION("if(D3815=""variant"",  substitute(filter(Templates!E:E, Templates!A:A = F3815, Templates!B:B = G3815, Templates!C:C = H3815), ""{{}}"", E3815), B3815)"),"Louer appartement Bühler: Trouvez le bien immobilier qui correspond idéalement à vos désirs sur ImmoScout24 - La plateforme de l'immobilier en Suisse.")</f>
        <v>Louer appartement Bühler: Trouvez le bien immobilier qui correspond idéalement à vos désirs sur ImmoScout24 - La plateforme de l'immobilier en Suisse.</v>
      </c>
    </row>
    <row r="3816" hidden="1">
      <c r="A3816" s="5" t="s">
        <v>10734</v>
      </c>
      <c r="B3816" s="2" t="s">
        <v>10735</v>
      </c>
      <c r="C3816" s="2" t="s">
        <v>10735</v>
      </c>
      <c r="D3816" s="4" t="str">
        <f>vlookup(A3816, Sheet2!D:E, 2, 0)</f>
        <v>control</v>
      </c>
      <c r="E3816" s="4" t="str">
        <f>IFERROR(__xludf.DUMMYFUNCTION("if(H3816=""pays"",vlookup(REGEXEXTRACT(C3816, ""🏘️ \w+ \w+ (.*) ✅""),'Country prepositions'!A:B, 2, 0) &amp; "" "" &amp; REGEXEXTRACT(C3816, ""🏘️ \w+ \w+ (.*) ✅"") ,  if(H3816=""quartier"",vlookup(REGEXEXTRACT(C3816, ""🏘️ \w+ \w+ (.*) ✅""),'Quartier prepositio"&amp;"ns'!A:E, 5, 0) ,  if(H3816=""region"",vlookup(REGEXEXTRACT(C3816, ""🏘️ \w+ \w+ (.*) ✅""),'Region prepositions'!B:F, 5, 0),  REGEXEXTRACT(C3816, ""🏘️ \w+ \w+ (.*) ✅""))))"),"#N/A")</f>
        <v>#N/A</v>
      </c>
      <c r="I3816" s="4" t="str">
        <f>IFERROR(__xludf.DUMMYFUNCTION("if(D3816=""variant"",  substitute(filter(Templates!E:E, Templates!A:A = F3816, Templates!B:B = G3816, Templates!C:C = H3816), ""{{}}"", E3816), B3816)"),"Louer appartement Aristau: Trouvez le bien immobilier qui correspond idéalement à vos désirs sur ImmoScout24 - La plateforme de l'immobilier en Suisse.")</f>
        <v>Louer appartement Aristau: Trouvez le bien immobilier qui correspond idéalement à vos désirs sur ImmoScout24 - La plateforme de l'immobilier en Suisse.</v>
      </c>
    </row>
    <row r="3817" hidden="1">
      <c r="A3817" s="5" t="s">
        <v>10736</v>
      </c>
      <c r="B3817" s="2" t="s">
        <v>10737</v>
      </c>
      <c r="C3817" s="2" t="s">
        <v>10737</v>
      </c>
      <c r="D3817" s="4" t="str">
        <f>vlookup(A3817, Sheet2!D:E, 2, 0)</f>
        <v>control</v>
      </c>
      <c r="E3817" s="4" t="str">
        <f>IFERROR(__xludf.DUMMYFUNCTION("if(H3817=""pays"",vlookup(REGEXEXTRACT(C3817, ""🏘️ \w+ \w+ (.*) ✅""),'Country prepositions'!A:B, 2, 0) &amp; "" "" &amp; REGEXEXTRACT(C3817, ""🏘️ \w+ \w+ (.*) ✅"") ,  if(H3817=""quartier"",vlookup(REGEXEXTRACT(C3817, ""🏘️ \w+ \w+ (.*) ✅""),'Quartier prepositio"&amp;"ns'!A:E, 5, 0) ,  if(H3817=""region"",vlookup(REGEXEXTRACT(C3817, ""🏘️ \w+ \w+ (.*) ✅""),'Region prepositions'!B:F, 5, 0),  REGEXEXTRACT(C3817, ""🏘️ \w+ \w+ (.*) ✅""))))"),"#N/A")</f>
        <v>#N/A</v>
      </c>
      <c r="I3817" s="4" t="str">
        <f>IFERROR(__xludf.DUMMYFUNCTION("if(D3817=""variant"",  substitute(filter(Templates!E:E, Templates!A:A = F3817, Templates!B:B = G3817, Templates!C:C = H3817), ""{{}}"", E3817), B3817)"),"Vendre appartement Marly: Trouvez le bien immobilier qui correspond idéalement à vos désirs sur ImmoScout24 - La plateforme de l'immobilier en Suisse.")</f>
        <v>Vendre appartement Marly: Trouvez le bien immobilier qui correspond idéalement à vos désirs sur ImmoScout24 - La plateforme de l'immobilier en Suisse.</v>
      </c>
    </row>
    <row r="3818" hidden="1">
      <c r="A3818" s="5" t="s">
        <v>10738</v>
      </c>
      <c r="B3818" s="2" t="s">
        <v>10739</v>
      </c>
      <c r="C3818" s="2" t="s">
        <v>10739</v>
      </c>
      <c r="D3818" s="4" t="str">
        <f>vlookup(A3818, Sheet2!D:E, 2, 0)</f>
        <v>control</v>
      </c>
      <c r="E3818" s="4" t="str">
        <f>IFERROR(__xludf.DUMMYFUNCTION("if(H3818=""pays"",vlookup(REGEXEXTRACT(C3818, ""🏘️ \w+ \w+ (.*) ✅""),'Country prepositions'!A:B, 2, 0) &amp; "" "" &amp; REGEXEXTRACT(C3818, ""🏘️ \w+ \w+ (.*) ✅"") ,  if(H3818=""quartier"",vlookup(REGEXEXTRACT(C3818, ""🏘️ \w+ \w+ (.*) ✅""),'Quartier prepositio"&amp;"ns'!A:E, 5, 0) ,  if(H3818=""region"",vlookup(REGEXEXTRACT(C3818, ""🏘️ \w+ \w+ (.*) ✅""),'Region prepositions'!B:F, 5, 0),  REGEXEXTRACT(C3818, ""🏘️ \w+ \w+ (.*) ✅""))))"),"#N/A")</f>
        <v>#N/A</v>
      </c>
      <c r="I3818" s="4" t="str">
        <f>IFERROR(__xludf.DUMMYFUNCTION("if(D3818=""variant"",  substitute(filter(Templates!E:E, Templates!A:A = F3818, Templates!B:B = G3818, Templates!C:C = H3818), ""{{}}"", E3818), B3818)"),"Louer appartement Thônex: Trouvez le bien immobilier qui correspond idéalement à vos désirs sur ImmoScout24 - La plateforme de l'immobilier en Suisse.")</f>
        <v>Louer appartement Thônex: Trouvez le bien immobilier qui correspond idéalement à vos désirs sur ImmoScout24 - La plateforme de l'immobilier en Suisse.</v>
      </c>
    </row>
    <row r="3819" hidden="1">
      <c r="A3819" s="5" t="s">
        <v>10740</v>
      </c>
      <c r="B3819" s="2" t="s">
        <v>10741</v>
      </c>
      <c r="C3819" s="2" t="s">
        <v>10741</v>
      </c>
      <c r="D3819" s="4" t="str">
        <f>vlookup(A3819, Sheet2!D:E, 2, 0)</f>
        <v>control</v>
      </c>
      <c r="E3819" s="4" t="str">
        <f>IFERROR(__xludf.DUMMYFUNCTION("if(H3819=""pays"",vlookup(REGEXEXTRACT(C3819, ""🏘️ \w+ \w+ (.*) ✅""),'Country prepositions'!A:B, 2, 0) &amp; "" "" &amp; REGEXEXTRACT(C3819, ""🏘️ \w+ \w+ (.*) ✅"") ,  if(H3819=""quartier"",vlookup(REGEXEXTRACT(C3819, ""🏘️ \w+ \w+ (.*) ✅""),'Quartier prepositio"&amp;"ns'!A:E, 5, 0) ,  if(H3819=""region"",vlookup(REGEXEXTRACT(C3819, ""🏘️ \w+ \w+ (.*) ✅""),'Region prepositions'!B:F, 5, 0),  REGEXEXTRACT(C3819, ""🏘️ \w+ \w+ (.*) ✅""))))"),"#N/A")</f>
        <v>#N/A</v>
      </c>
      <c r="I3819" s="4" t="str">
        <f>IFERROR(__xludf.DUMMYFUNCTION("if(D3819=""variant"",  substitute(filter(Templates!E:E, Templates!A:A = F3819, Templates!B:B = G3819, Templates!C:C = H3819), ""{{}}"", E3819), B3819)"),"Vendre maison Chêne-Bourg: Trouvez le bien immobilier qui correspond idéalement à vos désirs sur ImmoScout24 - La plateforme de l'immobilier en Suisse.")</f>
        <v>Vendre maison Chêne-Bourg: Trouvez le bien immobilier qui correspond idéalement à vos désirs sur ImmoScout24 - La plateforme de l'immobilier en Suisse.</v>
      </c>
    </row>
    <row r="3820" hidden="1">
      <c r="A3820" s="5" t="s">
        <v>10742</v>
      </c>
      <c r="B3820" s="2" t="s">
        <v>10743</v>
      </c>
      <c r="C3820" s="2" t="s">
        <v>10743</v>
      </c>
      <c r="D3820" s="4" t="str">
        <f>vlookup(A3820, Sheet2!D:E, 2, 0)</f>
        <v>control</v>
      </c>
      <c r="E3820" s="4" t="str">
        <f>IFERROR(__xludf.DUMMYFUNCTION("if(H3820=""pays"",vlookup(REGEXEXTRACT(C3820, ""🏘️ \w+ \w+ (.*) ✅""),'Country prepositions'!A:B, 2, 0) &amp; "" "" &amp; REGEXEXTRACT(C3820, ""🏘️ \w+ \w+ (.*) ✅"") ,  if(H3820=""quartier"",vlookup(REGEXEXTRACT(C3820, ""🏘️ \w+ \w+ (.*) ✅""),'Quartier prepositio"&amp;"ns'!A:E, 5, 0) ,  if(H3820=""region"",vlookup(REGEXEXTRACT(C3820, ""🏘️ \w+ \w+ (.*) ✅""),'Region prepositions'!B:F, 5, 0),  REGEXEXTRACT(C3820, ""🏘️ \w+ \w+ (.*) ✅""))))"),"#N/A")</f>
        <v>#N/A</v>
      </c>
      <c r="I3820" s="4" t="str">
        <f>IFERROR(__xludf.DUMMYFUNCTION("if(D3820=""variant"",  substitute(filter(Templates!E:E, Templates!A:A = F3820, Templates!B:B = G3820, Templates!C:C = H3820), ""{{}}"", E3820), B3820)"),"Vendre maison Wettstein (Bâle): Trouvez le bien immobilier qui correspond idéalement à vos désirs sur ImmoScout24 - La plateforme de l'immobilier en Suisse.")</f>
        <v>Vendre maison Wettstein (Bâle): Trouvez le bien immobilier qui correspond idéalement à vos désirs sur ImmoScout24 - La plateforme de l'immobilier en Suisse.</v>
      </c>
    </row>
    <row r="3821" hidden="1">
      <c r="A3821" s="5" t="s">
        <v>10744</v>
      </c>
      <c r="B3821" s="2" t="s">
        <v>10745</v>
      </c>
      <c r="C3821" s="2" t="s">
        <v>10745</v>
      </c>
      <c r="D3821" s="4" t="str">
        <f>vlookup(A3821, Sheet2!D:E, 2, 0)</f>
        <v>control</v>
      </c>
      <c r="E3821" s="4" t="str">
        <f>IFERROR(__xludf.DUMMYFUNCTION("if(H3821=""pays"",vlookup(REGEXEXTRACT(C3821, ""🏘️ \w+ \w+ (.*) ✅""),'Country prepositions'!A:B, 2, 0) &amp; "" "" &amp; REGEXEXTRACT(C3821, ""🏘️ \w+ \w+ (.*) ✅"") ,  if(H3821=""quartier"",vlookup(REGEXEXTRACT(C3821, ""🏘️ \w+ \w+ (.*) ✅""),'Quartier prepositio"&amp;"ns'!A:E, 5, 0) ,  if(H3821=""region"",vlookup(REGEXEXTRACT(C3821, ""🏘️ \w+ \w+ (.*) ✅""),'Region prepositions'!B:F, 5, 0),  REGEXEXTRACT(C3821, ""🏘️ \w+ \w+ (.*) ✅""))))"),"#N/A")</f>
        <v>#N/A</v>
      </c>
      <c r="I3821" s="4" t="str">
        <f>IFERROR(__xludf.DUMMYFUNCTION("if(D3821=""variant"",  substitute(filter(Templates!E:E, Templates!A:A = F3821, Templates!B:B = G3821, Templates!C:C = H3821), ""{{}}"", E3821), B3821)"),"Vendre maison Gampelen: Trouvez le bien immobilier qui correspond idéalement à vos désirs sur ImmoScout24 - La plateforme de l'immobilier en Suisse.")</f>
        <v>Vendre maison Gampelen: Trouvez le bien immobilier qui correspond idéalement à vos désirs sur ImmoScout24 - La plateforme de l'immobilier en Suisse.</v>
      </c>
    </row>
    <row r="3822" hidden="1">
      <c r="A3822" s="5" t="s">
        <v>10746</v>
      </c>
      <c r="B3822" s="2" t="s">
        <v>10747</v>
      </c>
      <c r="C3822" s="2" t="s">
        <v>10747</v>
      </c>
      <c r="D3822" s="4" t="str">
        <f>vlookup(A3822, Sheet2!D:E, 2, 0)</f>
        <v>control</v>
      </c>
      <c r="E3822" s="4" t="str">
        <f>IFERROR(__xludf.DUMMYFUNCTION("if(H3822=""pays"",vlookup(REGEXEXTRACT(C3822, ""🏘️ \w+ \w+ (.*) ✅""),'Country prepositions'!A:B, 2, 0) &amp; "" "" &amp; REGEXEXTRACT(C3822, ""🏘️ \w+ \w+ (.*) ✅"") ,  if(H3822=""quartier"",vlookup(REGEXEXTRACT(C3822, ""🏘️ \w+ \w+ (.*) ✅""),'Quartier prepositio"&amp;"ns'!A:E, 5, 0) ,  if(H3822=""region"",vlookup(REGEXEXTRACT(C3822, ""🏘️ \w+ \w+ (.*) ✅""),'Region prepositions'!B:F, 5, 0),  REGEXEXTRACT(C3822, ""🏘️ \w+ \w+ (.*) ✅""))))"),"#N/A")</f>
        <v>#N/A</v>
      </c>
      <c r="I3822" s="4" t="str">
        <f>IFERROR(__xludf.DUMMYFUNCTION("if(D3822=""variant"",  substitute(filter(Templates!E:E, Templates!A:A = F3822, Templates!B:B = G3822, Templates!C:C = H3822), ""{{}}"", E3822), B3822)"),"Vendre maison Cormagens: Trouvez le bien immobilier qui correspond idéalement à vos désirs sur ImmoScout24 - La plateforme de l'immobilier en Suisse.")</f>
        <v>Vendre maison Cormagens: Trouvez le bien immobilier qui correspond idéalement à vos désirs sur ImmoScout24 - La plateforme de l'immobilier en Suisse.</v>
      </c>
    </row>
    <row r="3823" hidden="1">
      <c r="A3823" s="5" t="s">
        <v>10748</v>
      </c>
      <c r="B3823" s="2" t="s">
        <v>10749</v>
      </c>
      <c r="C3823" s="2" t="s">
        <v>10749</v>
      </c>
      <c r="D3823" s="4" t="str">
        <f>vlookup(A3823, Sheet2!D:E, 2, 0)</f>
        <v>control</v>
      </c>
      <c r="E3823" s="4" t="str">
        <f>IFERROR(__xludf.DUMMYFUNCTION("if(H3823=""pays"",vlookup(REGEXEXTRACT(C3823, ""🏘️ \w+ \w+ (.*) ✅""),'Country prepositions'!A:B, 2, 0) &amp; "" "" &amp; REGEXEXTRACT(C3823, ""🏘️ \w+ \w+ (.*) ✅"") ,  if(H3823=""quartier"",vlookup(REGEXEXTRACT(C3823, ""🏘️ \w+ \w+ (.*) ✅""),'Quartier prepositio"&amp;"ns'!A:E, 5, 0) ,  if(H3823=""region"",vlookup(REGEXEXTRACT(C3823, ""🏘️ \w+ \w+ (.*) ✅""),'Region prepositions'!B:F, 5, 0),  REGEXEXTRACT(C3823, ""🏘️ \w+ \w+ (.*) ✅""))))"),"#N/A")</f>
        <v>#N/A</v>
      </c>
      <c r="I3823" s="4" t="str">
        <f>IFERROR(__xludf.DUMMYFUNCTION("if(D3823=""variant"",  substitute(filter(Templates!E:E, Templates!A:A = F3823, Templates!B:B = G3823, Templates!C:C = H3823), ""{{}}"", E3823), B3823)"),"Vendre maison Boncourt: Trouvez le bien immobilier qui correspond idéalement à vos désirs sur ImmoScout24 - La plateforme de l'immobilier en Suisse.")</f>
        <v>Vendre maison Boncourt: Trouvez le bien immobilier qui correspond idéalement à vos désirs sur ImmoScout24 - La plateforme de l'immobilier en Suisse.</v>
      </c>
    </row>
    <row r="3824" hidden="1">
      <c r="A3824" s="5" t="s">
        <v>10750</v>
      </c>
      <c r="B3824" s="2" t="s">
        <v>10751</v>
      </c>
      <c r="C3824" s="2" t="s">
        <v>10751</v>
      </c>
      <c r="D3824" s="4" t="str">
        <f>vlookup(A3824, Sheet2!D:E, 2, 0)</f>
        <v>control</v>
      </c>
      <c r="E3824" s="4" t="str">
        <f>IFERROR(__xludf.DUMMYFUNCTION("if(H3824=""pays"",vlookup(REGEXEXTRACT(C3824, ""🏘️ \w+ \w+ (.*) ✅""),'Country prepositions'!A:B, 2, 0) &amp; "" "" &amp; REGEXEXTRACT(C3824, ""🏘️ \w+ \w+ (.*) ✅"") ,  if(H3824=""quartier"",vlookup(REGEXEXTRACT(C3824, ""🏘️ \w+ \w+ (.*) ✅""),'Quartier prepositio"&amp;"ns'!A:E, 5, 0) ,  if(H3824=""region"",vlookup(REGEXEXTRACT(C3824, ""🏘️ \w+ \w+ (.*) ✅""),'Region prepositions'!B:F, 5, 0),  REGEXEXTRACT(C3824, ""🏘️ \w+ \w+ (.*) ✅""))))"),"#N/A")</f>
        <v>#N/A</v>
      </c>
      <c r="I3824" s="4" t="str">
        <f>IFERROR(__xludf.DUMMYFUNCTION("if(D3824=""variant"",  substitute(filter(Templates!E:E, Templates!A:A = F3824, Templates!B:B = G3824, Templates!C:C = H3824), ""{{}}"", E3824), B3824)"),"Louer appartement Bussy-Chardonney: Trouvez le bien immobilier qui correspond idéalement à vos désirs sur ImmoScout24 - La plateforme de l'immobilier en Suisse.")</f>
        <v>Louer appartement Bussy-Chardonney: Trouvez le bien immobilier qui correspond idéalement à vos désirs sur ImmoScout24 - La plateforme de l'immobilier en Suisse.</v>
      </c>
    </row>
    <row r="3825" hidden="1">
      <c r="A3825" s="5" t="s">
        <v>10752</v>
      </c>
      <c r="B3825" s="2" t="s">
        <v>10753</v>
      </c>
      <c r="C3825" s="2" t="s">
        <v>10753</v>
      </c>
      <c r="D3825" s="4" t="str">
        <f>vlookup(A3825, Sheet2!D:E, 2, 0)</f>
        <v>control</v>
      </c>
      <c r="E3825" s="4" t="str">
        <f>IFERROR(__xludf.DUMMYFUNCTION("if(H3825=""pays"",vlookup(REGEXEXTRACT(C3825, ""🏘️ \w+ \w+ (.*) ✅""),'Country prepositions'!A:B, 2, 0) &amp; "" "" &amp; REGEXEXTRACT(C3825, ""🏘️ \w+ \w+ (.*) ✅"") ,  if(H3825=""quartier"",vlookup(REGEXEXTRACT(C3825, ""🏘️ \w+ \w+ (.*) ✅""),'Quartier prepositio"&amp;"ns'!A:E, 5, 0) ,  if(H3825=""region"",vlookup(REGEXEXTRACT(C3825, ""🏘️ \w+ \w+ (.*) ✅""),'Region prepositions'!B:F, 5, 0),  REGEXEXTRACT(C3825, ""🏘️ \w+ \w+ (.*) ✅""))))"),"#N/A")</f>
        <v>#N/A</v>
      </c>
      <c r="I3825" s="4" t="str">
        <f>IFERROR(__xludf.DUMMYFUNCTION("if(D3825=""variant"",  substitute(filter(Templates!E:E, Templates!A:A = F3825, Templates!B:B = G3825, Templates!C:C = H3825), ""{{}}"", E3825), B3825)"),"Vendre maison Liechtenstein: Trouvez le bien immobilier qui correspond idéalement à vos désirs sur ImmoScout24 - La plateforme de l'immobilier en Suisse.")</f>
        <v>Vendre maison Liechtenstein: Trouvez le bien immobilier qui correspond idéalement à vos désirs sur ImmoScout24 - La plateforme de l'immobilier en Suisse.</v>
      </c>
    </row>
    <row r="3826" hidden="1">
      <c r="A3826" s="5" t="s">
        <v>10754</v>
      </c>
      <c r="B3826" s="2" t="s">
        <v>10755</v>
      </c>
      <c r="C3826" s="2" t="s">
        <v>10755</v>
      </c>
      <c r="D3826" s="4" t="str">
        <f>vlookup(A3826, Sheet2!D:E, 2, 0)</f>
        <v>control</v>
      </c>
      <c r="E3826" s="4" t="str">
        <f>IFERROR(__xludf.DUMMYFUNCTION("if(H3826=""pays"",vlookup(REGEXEXTRACT(C3826, ""🏘️ \w+ \w+ (.*) ✅""),'Country prepositions'!A:B, 2, 0) &amp; "" "" &amp; REGEXEXTRACT(C3826, ""🏘️ \w+ \w+ (.*) ✅"") ,  if(H3826=""quartier"",vlookup(REGEXEXTRACT(C3826, ""🏘️ \w+ \w+ (.*) ✅""),'Quartier prepositio"&amp;"ns'!A:E, 5, 0) ,  if(H3826=""region"",vlookup(REGEXEXTRACT(C3826, ""🏘️ \w+ \w+ (.*) ✅""),'Region prepositions'!B:F, 5, 0),  REGEXEXTRACT(C3826, ""🏘️ \w+ \w+ (.*) ✅""))))"),"#N/A")</f>
        <v>#N/A</v>
      </c>
      <c r="I3826" s="4" t="str">
        <f>IFERROR(__xludf.DUMMYFUNCTION("if(D3826=""variant"",  substitute(filter(Templates!E:E, Templates!A:A = F3826, Templates!B:B = G3826, Templates!C:C = H3826), ""{{}}"", E3826), B3826)"),"Louer appartement Romainmôtier: Trouvez le bien immobilier qui correspond idéalement à vos désirs sur ImmoScout24 - La plateforme de l'immobilier en Suisse.")</f>
        <v>Louer appartement Romainmôtier: Trouvez le bien immobilier qui correspond idéalement à vos désirs sur ImmoScout24 - La plateforme de l'immobilier en Suisse.</v>
      </c>
    </row>
    <row r="3827" hidden="1">
      <c r="A3827" s="5" t="s">
        <v>10756</v>
      </c>
      <c r="B3827" s="2" t="s">
        <v>10757</v>
      </c>
      <c r="C3827" s="2" t="s">
        <v>10757</v>
      </c>
      <c r="D3827" s="4" t="str">
        <f>vlookup(A3827, Sheet2!D:E, 2, 0)</f>
        <v>control</v>
      </c>
      <c r="E3827" s="4" t="str">
        <f>IFERROR(__xludf.DUMMYFUNCTION("if(H3827=""pays"",vlookup(REGEXEXTRACT(C3827, ""🏘️ \w+ \w+ (.*) ✅""),'Country prepositions'!A:B, 2, 0) &amp; "" "" &amp; REGEXEXTRACT(C3827, ""🏘️ \w+ \w+ (.*) ✅"") ,  if(H3827=""quartier"",vlookup(REGEXEXTRACT(C3827, ""🏘️ \w+ \w+ (.*) ✅""),'Quartier prepositio"&amp;"ns'!A:E, 5, 0) ,  if(H3827=""region"",vlookup(REGEXEXTRACT(C3827, ""🏘️ \w+ \w+ (.*) ✅""),'Region prepositions'!B:F, 5, 0),  REGEXEXTRACT(C3827, ""🏘️ \w+ \w+ (.*) ✅""))))"),"#N/A")</f>
        <v>#N/A</v>
      </c>
      <c r="I3827" s="4" t="str">
        <f>IFERROR(__xludf.DUMMYFUNCTION("if(D3827=""variant"",  substitute(filter(Templates!E:E, Templates!A:A = F3827, Templates!B:B = G3827, Templates!C:C = H3827), ""{{}}"", E3827), B3827)"),"Vendre maison Muri b. Bern: Trouvez le bien immobilier qui correspond idéalement à vos désirs sur ImmoScout24 - La plateforme de l'immobilier en Suisse.")</f>
        <v>Vendre maison Muri b. Bern: Trouvez le bien immobilier qui correspond idéalement à vos désirs sur ImmoScout24 - La plateforme de l'immobilier en Suisse.</v>
      </c>
    </row>
    <row r="3828" hidden="1">
      <c r="A3828" s="5" t="s">
        <v>10758</v>
      </c>
      <c r="B3828" s="2" t="s">
        <v>10759</v>
      </c>
      <c r="C3828" s="2" t="s">
        <v>10759</v>
      </c>
      <c r="D3828" s="4" t="str">
        <f>vlookup(A3828, Sheet2!D:E, 2, 0)</f>
        <v>control</v>
      </c>
      <c r="E3828" s="4" t="str">
        <f>IFERROR(__xludf.DUMMYFUNCTION("if(H3828=""pays"",vlookup(REGEXEXTRACT(C3828, ""🏘️ \w+ \w+ (.*) ✅""),'Country prepositions'!A:B, 2, 0) &amp; "" "" &amp; REGEXEXTRACT(C3828, ""🏘️ \w+ \w+ (.*) ✅"") ,  if(H3828=""quartier"",vlookup(REGEXEXTRACT(C3828, ""🏘️ \w+ \w+ (.*) ✅""),'Quartier prepositio"&amp;"ns'!A:E, 5, 0) ,  if(H3828=""region"",vlookup(REGEXEXTRACT(C3828, ""🏘️ \w+ \w+ (.*) ✅""),'Region prepositions'!B:F, 5, 0),  REGEXEXTRACT(C3828, ""🏘️ \w+ \w+ (.*) ✅""))))"),"#N/A")</f>
        <v>#N/A</v>
      </c>
      <c r="I3828" s="4" t="str">
        <f>IFERROR(__xludf.DUMMYFUNCTION("if(D3828=""variant"",  substitute(filter(Templates!E:E, Templates!A:A = F3828, Templates!B:B = G3828, Templates!C:C = H3828), ""{{}}"", E3828), B3828)"),"Vendre appartement Bulle: Trouvez le bien immobilier qui correspond idéalement à vos désirs sur ImmoScout24 - La plateforme de l'immobilier en Suisse.")</f>
        <v>Vendre appartement Bulle: Trouvez le bien immobilier qui correspond idéalement à vos désirs sur ImmoScout24 - La plateforme de l'immobilier en Suisse.</v>
      </c>
    </row>
    <row r="3829" hidden="1">
      <c r="A3829" s="5" t="s">
        <v>10760</v>
      </c>
      <c r="B3829" s="2" t="s">
        <v>10761</v>
      </c>
      <c r="C3829" s="2" t="s">
        <v>10761</v>
      </c>
      <c r="D3829" s="4" t="str">
        <f>vlookup(A3829, Sheet2!D:E, 2, 0)</f>
        <v>control</v>
      </c>
      <c r="E3829" s="4" t="str">
        <f>IFERROR(__xludf.DUMMYFUNCTION("if(H3829=""pays"",vlookup(REGEXEXTRACT(C3829, ""🏘️ \w+ \w+ (.*) ✅""),'Country prepositions'!A:B, 2, 0) &amp; "" "" &amp; REGEXEXTRACT(C3829, ""🏘️ \w+ \w+ (.*) ✅"") ,  if(H3829=""quartier"",vlookup(REGEXEXTRACT(C3829, ""🏘️ \w+ \w+ (.*) ✅""),'Quartier prepositio"&amp;"ns'!A:E, 5, 0) ,  if(H3829=""region"",vlookup(REGEXEXTRACT(C3829, ""🏘️ \w+ \w+ (.*) ✅""),'Region prepositions'!B:F, 5, 0),  REGEXEXTRACT(C3829, ""🏘️ \w+ \w+ (.*) ✅""))))"),"#N/A")</f>
        <v>#N/A</v>
      </c>
      <c r="I3829" s="4" t="str">
        <f>IFERROR(__xludf.DUMMYFUNCTION("if(D3829=""variant"",  substitute(filter(Templates!E:E, Templates!A:A = F3829, Templates!B:B = G3829, Templates!C:C = H3829), ""{{}}"", E3829), B3829)"),"Vendre appartement Hongrie: Trouvez le bien immobilier qui correspond idéalement à vos désirs sur ImmoScout24 - La plateforme de l'immobilier en Suisse.")</f>
        <v>Vendre appartement Hongrie: Trouvez le bien immobilier qui correspond idéalement à vos désirs sur ImmoScout24 - La plateforme de l'immobilier en Suisse.</v>
      </c>
    </row>
    <row r="3830" hidden="1">
      <c r="A3830" s="5" t="s">
        <v>10762</v>
      </c>
      <c r="B3830" s="2" t="s">
        <v>10763</v>
      </c>
      <c r="C3830" s="2" t="s">
        <v>10763</v>
      </c>
      <c r="D3830" s="4" t="str">
        <f>vlookup(A3830, Sheet2!D:E, 2, 0)</f>
        <v>control</v>
      </c>
      <c r="E3830" s="4" t="str">
        <f>IFERROR(__xludf.DUMMYFUNCTION("if(H3830=""pays"",vlookup(REGEXEXTRACT(C3830, ""🏘️ \w+ \w+ (.*) ✅""),'Country prepositions'!A:B, 2, 0) &amp; "" "" &amp; REGEXEXTRACT(C3830, ""🏘️ \w+ \w+ (.*) ✅"") ,  if(H3830=""quartier"",vlookup(REGEXEXTRACT(C3830, ""🏘️ \w+ \w+ (.*) ✅""),'Quartier prepositio"&amp;"ns'!A:E, 5, 0) ,  if(H3830=""region"",vlookup(REGEXEXTRACT(C3830, ""🏘️ \w+ \w+ (.*) ✅""),'Region prepositions'!B:F, 5, 0),  REGEXEXTRACT(C3830, ""🏘️ \w+ \w+ (.*) ✅""))))"),"#N/A")</f>
        <v>#N/A</v>
      </c>
      <c r="I3830" s="4" t="str">
        <f>IFERROR(__xludf.DUMMYFUNCTION("if(D3830=""variant"",  substitute(filter(Templates!E:E, Templates!A:A = F3830, Templates!B:B = G3830, Templates!C:C = H3830), ""{{}}"", E3830), B3830)"),"Vendre maison Liestal: Trouvez le bien immobilier qui correspond idéalement à vos désirs sur ImmoScout24 - La plateforme de l'immobilier en Suisse.")</f>
        <v>Vendre maison Liestal: Trouvez le bien immobilier qui correspond idéalement à vos désirs sur ImmoScout24 - La plateforme de l'immobilier en Suisse.</v>
      </c>
    </row>
    <row r="3831" hidden="1">
      <c r="A3831" s="5" t="s">
        <v>10764</v>
      </c>
      <c r="B3831" s="2" t="s">
        <v>10765</v>
      </c>
      <c r="C3831" s="2" t="s">
        <v>10765</v>
      </c>
      <c r="D3831" s="4" t="str">
        <f>vlookup(A3831, Sheet2!D:E, 2, 0)</f>
        <v>control</v>
      </c>
      <c r="E3831" s="4" t="str">
        <f>IFERROR(__xludf.DUMMYFUNCTION("if(H3831=""pays"",vlookup(REGEXEXTRACT(C3831, ""🏘️ \w+ \w+ (.*) ✅""),'Country prepositions'!A:B, 2, 0) &amp; "" "" &amp; REGEXEXTRACT(C3831, ""🏘️ \w+ \w+ (.*) ✅"") ,  if(H3831=""quartier"",vlookup(REGEXEXTRACT(C3831, ""🏘️ \w+ \w+ (.*) ✅""),'Quartier prepositio"&amp;"ns'!A:E, 5, 0) ,  if(H3831=""region"",vlookup(REGEXEXTRACT(C3831, ""🏘️ \w+ \w+ (.*) ✅""),'Region prepositions'!B:F, 5, 0),  REGEXEXTRACT(C3831, ""🏘️ \w+ \w+ (.*) ✅""))))"),"#N/A")</f>
        <v>#N/A</v>
      </c>
      <c r="I3831" s="4" t="str">
        <f>IFERROR(__xludf.DUMMYFUNCTION("if(D3831=""variant"",  substitute(filter(Templates!E:E, Templates!A:A = F3831, Templates!B:B = G3831, Templates!C:C = H3831), ""{{}}"", E3831), B3831)"),"Vendre appartement Schlieren: Trouvez le bien immobilier qui correspond idéalement à vos désirs sur ImmoScout24 - La plateforme de l'immobilier en Suisse.")</f>
        <v>Vendre appartement Schlieren: Trouvez le bien immobilier qui correspond idéalement à vos désirs sur ImmoScout24 - La plateforme de l'immobilier en Suisse.</v>
      </c>
    </row>
    <row r="3832" hidden="1">
      <c r="A3832" s="5" t="s">
        <v>10766</v>
      </c>
      <c r="B3832" s="2" t="s">
        <v>10767</v>
      </c>
      <c r="C3832" s="2" t="s">
        <v>10767</v>
      </c>
      <c r="D3832" s="4" t="str">
        <f>vlookup(A3832, Sheet2!D:E, 2, 0)</f>
        <v>control</v>
      </c>
      <c r="E3832" s="4" t="str">
        <f>IFERROR(__xludf.DUMMYFUNCTION("if(H3832=""pays"",vlookup(REGEXEXTRACT(C3832, ""🏘️ \w+ \w+ (.*) ✅""),'Country prepositions'!A:B, 2, 0) &amp; "" "" &amp; REGEXEXTRACT(C3832, ""🏘️ \w+ \w+ (.*) ✅"") ,  if(H3832=""quartier"",vlookup(REGEXEXTRACT(C3832, ""🏘️ \w+ \w+ (.*) ✅""),'Quartier prepositio"&amp;"ns'!A:E, 5, 0) ,  if(H3832=""region"",vlookup(REGEXEXTRACT(C3832, ""🏘️ \w+ \w+ (.*) ✅""),'Region prepositions'!B:F, 5, 0),  REGEXEXTRACT(C3832, ""🏘️ \w+ \w+ (.*) ✅""))))"),"#N/A")</f>
        <v>#N/A</v>
      </c>
      <c r="I3832" s="4" t="str">
        <f>IFERROR(__xludf.DUMMYFUNCTION("if(D3832=""variant"",  substitute(filter(Templates!E:E, Templates!A:A = F3832, Templates!B:B = G3832, Templates!C:C = H3832), ""{{}}"", E3832), B3832)"),"Vendre appartement St. Moritz: Trouvez le bien immobilier qui correspond idéalement à vos désirs sur ImmoScout24 - La plateforme de l'immobilier en Suisse.")</f>
        <v>Vendre appartement St. Moritz: Trouvez le bien immobilier qui correspond idéalement à vos désirs sur ImmoScout24 - La plateforme de l'immobilier en Suisse.</v>
      </c>
    </row>
    <row r="3833" hidden="1">
      <c r="A3833" s="5" t="s">
        <v>10768</v>
      </c>
      <c r="B3833" s="2" t="s">
        <v>10769</v>
      </c>
      <c r="C3833" s="2" t="s">
        <v>10769</v>
      </c>
      <c r="D3833" s="4" t="str">
        <f>vlookup(A3833, Sheet2!D:E, 2, 0)</f>
        <v>control</v>
      </c>
      <c r="E3833" s="4" t="str">
        <f>IFERROR(__xludf.DUMMYFUNCTION("if(H3833=""pays"",vlookup(REGEXEXTRACT(C3833, ""🏘️ \w+ \w+ (.*) ✅""),'Country prepositions'!A:B, 2, 0) &amp; "" "" &amp; REGEXEXTRACT(C3833, ""🏘️ \w+ \w+ (.*) ✅"") ,  if(H3833=""quartier"",vlookup(REGEXEXTRACT(C3833, ""🏘️ \w+ \w+ (.*) ✅""),'Quartier prepositio"&amp;"ns'!A:E, 5, 0) ,  if(H3833=""region"",vlookup(REGEXEXTRACT(C3833, ""🏘️ \w+ \w+ (.*) ✅""),'Region prepositions'!B:F, 5, 0),  REGEXEXTRACT(C3833, ""🏘️ \w+ \w+ (.*) ✅""))))"),"#N/A")</f>
        <v>#N/A</v>
      </c>
      <c r="I3833" s="4" t="str">
        <f>IFERROR(__xludf.DUMMYFUNCTION("if(D3833=""variant"",  substitute(filter(Templates!E:E, Templates!A:A = F3833, Templates!B:B = G3833, Templates!C:C = H3833), ""{{}}"", E3833), B3833)"),"Louer appartement Hunzenschwil: Trouvez le bien immobilier qui correspond idéalement à vos désirs sur ImmoScout24 - La plateforme de l'immobilier en Suisse.")</f>
        <v>Louer appartement Hunzenschwil: Trouvez le bien immobilier qui correspond idéalement à vos désirs sur ImmoScout24 - La plateforme de l'immobilier en Suisse.</v>
      </c>
    </row>
    <row r="3834" hidden="1">
      <c r="A3834" s="5" t="s">
        <v>10770</v>
      </c>
      <c r="B3834" s="2" t="s">
        <v>10771</v>
      </c>
      <c r="C3834" s="2" t="s">
        <v>10771</v>
      </c>
      <c r="D3834" s="4" t="str">
        <f>vlookup(A3834, Sheet2!D:E, 2, 0)</f>
        <v>control</v>
      </c>
      <c r="E3834" s="4" t="str">
        <f>IFERROR(__xludf.DUMMYFUNCTION("if(H3834=""pays"",vlookup(REGEXEXTRACT(C3834, ""🏘️ \w+ \w+ (.*) ✅""),'Country prepositions'!A:B, 2, 0) &amp; "" "" &amp; REGEXEXTRACT(C3834, ""🏘️ \w+ \w+ (.*) ✅"") ,  if(H3834=""quartier"",vlookup(REGEXEXTRACT(C3834, ""🏘️ \w+ \w+ (.*) ✅""),'Quartier prepositio"&amp;"ns'!A:E, 5, 0) ,  if(H3834=""region"",vlookup(REGEXEXTRACT(C3834, ""🏘️ \w+ \w+ (.*) ✅""),'Region prepositions'!B:F, 5, 0),  REGEXEXTRACT(C3834, ""🏘️ \w+ \w+ (.*) ✅""))))"),"#N/A")</f>
        <v>#N/A</v>
      </c>
      <c r="I3834" s="4" t="str">
        <f>IFERROR(__xludf.DUMMYFUNCTION("if(D3834=""variant"",  substitute(filter(Templates!E:E, Templates!A:A = F3834, Templates!B:B = G3834, Templates!C:C = H3834), ""{{}}"", E3834), B3834)"),"Louer appartement Val-d'Illiez: Trouvez le bien immobilier qui correspond idéalement à vos désirs sur ImmoScout24 - La plateforme de l'immobilier en Suisse.")</f>
        <v>Louer appartement Val-d'Illiez: Trouvez le bien immobilier qui correspond idéalement à vos désirs sur ImmoScout24 - La plateforme de l'immobilier en Suisse.</v>
      </c>
    </row>
    <row r="3835" hidden="1">
      <c r="A3835" s="5" t="s">
        <v>10772</v>
      </c>
      <c r="B3835" s="2" t="s">
        <v>10773</v>
      </c>
      <c r="C3835" s="2" t="s">
        <v>10773</v>
      </c>
      <c r="D3835" s="4" t="str">
        <f>vlookup(A3835, Sheet2!D:E, 2, 0)</f>
        <v>control</v>
      </c>
      <c r="E3835" s="4" t="str">
        <f>IFERROR(__xludf.DUMMYFUNCTION("if(H3835=""pays"",vlookup(REGEXEXTRACT(C3835, ""🏘️ \w+ \w+ (.*) ✅""),'Country prepositions'!A:B, 2, 0) &amp; "" "" &amp; REGEXEXTRACT(C3835, ""🏘️ \w+ \w+ (.*) ✅"") ,  if(H3835=""quartier"",vlookup(REGEXEXTRACT(C3835, ""🏘️ \w+ \w+ (.*) ✅""),'Quartier prepositio"&amp;"ns'!A:E, 5, 0) ,  if(H3835=""region"",vlookup(REGEXEXTRACT(C3835, ""🏘️ \w+ \w+ (.*) ✅""),'Region prepositions'!B:F, 5, 0),  REGEXEXTRACT(C3835, ""🏘️ \w+ \w+ (.*) ✅""))))"),"#N/A")</f>
        <v>#N/A</v>
      </c>
      <c r="I3835" s="4" t="str">
        <f>IFERROR(__xludf.DUMMYFUNCTION("if(D3835=""variant"",  substitute(filter(Templates!E:E, Templates!A:A = F3835, Templates!B:B = G3835, Templates!C:C = H3835), ""{{}}"", E3835), B3835)"),"Louer appartement Bützberg: Trouvez le bien immobilier qui correspond idéalement à vos désirs sur ImmoScout24 - La plateforme de l'immobilier en Suisse.")</f>
        <v>Louer appartement Bützberg: Trouvez le bien immobilier qui correspond idéalement à vos désirs sur ImmoScout24 - La plateforme de l'immobilier en Suisse.</v>
      </c>
    </row>
    <row r="3836" hidden="1">
      <c r="A3836" s="5" t="s">
        <v>10774</v>
      </c>
      <c r="B3836" s="2" t="s">
        <v>10775</v>
      </c>
      <c r="C3836" s="2" t="s">
        <v>10775</v>
      </c>
      <c r="D3836" s="4" t="str">
        <f>vlookup(A3836, Sheet2!D:E, 2, 0)</f>
        <v>control</v>
      </c>
      <c r="E3836" s="4" t="str">
        <f>IFERROR(__xludf.DUMMYFUNCTION("if(H3836=""pays"",vlookup(REGEXEXTRACT(C3836, ""🏘️ \w+ \w+ (.*) ✅""),'Country prepositions'!A:B, 2, 0) &amp; "" "" &amp; REGEXEXTRACT(C3836, ""🏘️ \w+ \w+ (.*) ✅"") ,  if(H3836=""quartier"",vlookup(REGEXEXTRACT(C3836, ""🏘️ \w+ \w+ (.*) ✅""),'Quartier prepositio"&amp;"ns'!A:E, 5, 0) ,  if(H3836=""region"",vlookup(REGEXEXTRACT(C3836, ""🏘️ \w+ \w+ (.*) ✅""),'Region prepositions'!B:F, 5, 0),  REGEXEXTRACT(C3836, ""🏘️ \w+ \w+ (.*) ✅""))))"),"#N/A")</f>
        <v>#N/A</v>
      </c>
      <c r="I3836" s="4" t="str">
        <f>IFERROR(__xludf.DUMMYFUNCTION("if(D3836=""variant"",  substitute(filter(Templates!E:E, Templates!A:A = F3836, Templates!B:B = G3836, Templates!C:C = H3836), ""{{}}"", E3836), B3836)"),"Vendre maison Ferreyres: Trouvez le bien immobilier qui correspond idéalement à vos désirs sur ImmoScout24 - La plateforme de l'immobilier en Suisse.")</f>
        <v>Vendre maison Ferreyres: Trouvez le bien immobilier qui correspond idéalement à vos désirs sur ImmoScout24 - La plateforme de l'immobilier en Suisse.</v>
      </c>
    </row>
    <row r="3837" hidden="1">
      <c r="A3837" s="5" t="s">
        <v>10776</v>
      </c>
      <c r="B3837" s="2" t="s">
        <v>10777</v>
      </c>
      <c r="C3837" s="2" t="s">
        <v>10777</v>
      </c>
      <c r="D3837" s="4" t="str">
        <f>vlookup(A3837, Sheet2!D:E, 2, 0)</f>
        <v>control</v>
      </c>
      <c r="E3837" s="4" t="str">
        <f>IFERROR(__xludf.DUMMYFUNCTION("if(H3837=""pays"",vlookup(REGEXEXTRACT(C3837, ""🏘️ \w+ \w+ (.*) ✅""),'Country prepositions'!A:B, 2, 0) &amp; "" "" &amp; REGEXEXTRACT(C3837, ""🏘️ \w+ \w+ (.*) ✅"") ,  if(H3837=""quartier"",vlookup(REGEXEXTRACT(C3837, ""🏘️ \w+ \w+ (.*) ✅""),'Quartier prepositio"&amp;"ns'!A:E, 5, 0) ,  if(H3837=""region"",vlookup(REGEXEXTRACT(C3837, ""🏘️ \w+ \w+ (.*) ✅""),'Region prepositions'!B:F, 5, 0),  REGEXEXTRACT(C3837, ""🏘️ \w+ \w+ (.*) ✅""))))"),"#N/A")</f>
        <v>#N/A</v>
      </c>
      <c r="I3837" s="4" t="str">
        <f>IFERROR(__xludf.DUMMYFUNCTION("if(D3837=""variant"",  substitute(filter(Templates!E:E, Templates!A:A = F3837, Templates!B:B = G3837, Templates!C:C = H3837), ""{{}}"", E3837), B3837)"),"Louer appartement Tenero: Trouvez le bien immobilier qui correspond idéalement à vos désirs sur ImmoScout24 - La plateforme de l'immobilier en Suisse.")</f>
        <v>Louer appartement Tenero: Trouvez le bien immobilier qui correspond idéalement à vos désirs sur ImmoScout24 - La plateforme de l'immobilier en Suisse.</v>
      </c>
    </row>
    <row r="3838" hidden="1">
      <c r="A3838" s="5" t="s">
        <v>10778</v>
      </c>
      <c r="B3838" s="2" t="s">
        <v>10779</v>
      </c>
      <c r="C3838" s="2" t="s">
        <v>10779</v>
      </c>
      <c r="D3838" s="4" t="str">
        <f>vlookup(A3838, Sheet2!D:E, 2, 0)</f>
        <v>control</v>
      </c>
      <c r="E3838" s="4" t="str">
        <f>IFERROR(__xludf.DUMMYFUNCTION("if(H3838=""pays"",vlookup(REGEXEXTRACT(C3838, ""🏘️ \w+ \w+ (.*) ✅""),'Country prepositions'!A:B, 2, 0) &amp; "" "" &amp; REGEXEXTRACT(C3838, ""🏘️ \w+ \w+ (.*) ✅"") ,  if(H3838=""quartier"",vlookup(REGEXEXTRACT(C3838, ""🏘️ \w+ \w+ (.*) ✅""),'Quartier prepositio"&amp;"ns'!A:E, 5, 0) ,  if(H3838=""region"",vlookup(REGEXEXTRACT(C3838, ""🏘️ \w+ \w+ (.*) ✅""),'Region prepositions'!B:F, 5, 0),  REGEXEXTRACT(C3838, ""🏘️ \w+ \w+ (.*) ✅""))))"),"#N/A")</f>
        <v>#N/A</v>
      </c>
      <c r="I3838" s="4" t="str">
        <f>IFERROR(__xludf.DUMMYFUNCTION("if(D3838=""variant"",  substitute(filter(Templates!E:E, Templates!A:A = F3838, Templates!B:B = G3838, Templates!C:C = H3838), ""{{}}"", E3838), B3838)"),"Vendre maison Formangueires: Trouvez le bien immobilier qui correspond idéalement à vos désirs sur ImmoScout24 - La plateforme de l'immobilier en Suisse.")</f>
        <v>Vendre maison Formangueires: Trouvez le bien immobilier qui correspond idéalement à vos désirs sur ImmoScout24 - La plateforme de l'immobilier en Suisse.</v>
      </c>
    </row>
    <row r="3839" hidden="1">
      <c r="A3839" s="5" t="s">
        <v>10780</v>
      </c>
      <c r="B3839" s="2" t="s">
        <v>10781</v>
      </c>
      <c r="C3839" s="2" t="s">
        <v>10781</v>
      </c>
      <c r="D3839" s="4" t="str">
        <f>vlookup(A3839, Sheet2!D:E, 2, 0)</f>
        <v>control</v>
      </c>
      <c r="E3839" s="4" t="str">
        <f>IFERROR(__xludf.DUMMYFUNCTION("if(H3839=""pays"",vlookup(REGEXEXTRACT(C3839, ""🏘️ \w+ \w+ (.*) ✅""),'Country prepositions'!A:B, 2, 0) &amp; "" "" &amp; REGEXEXTRACT(C3839, ""🏘️ \w+ \w+ (.*) ✅"") ,  if(H3839=""quartier"",vlookup(REGEXEXTRACT(C3839, ""🏘️ \w+ \w+ (.*) ✅""),'Quartier prepositio"&amp;"ns'!A:E, 5, 0) ,  if(H3839=""region"",vlookup(REGEXEXTRACT(C3839, ""🏘️ \w+ \w+ (.*) ✅""),'Region prepositions'!B:F, 5, 0),  REGEXEXTRACT(C3839, ""🏘️ \w+ \w+ (.*) ✅""))))"),"#N/A")</f>
        <v>#N/A</v>
      </c>
      <c r="I3839" s="4" t="str">
        <f>IFERROR(__xludf.DUMMYFUNCTION("if(D3839=""variant"",  substitute(filter(Templates!E:E, Templates!A:A = F3839, Templates!B:B = G3839, Templates!C:C = H3839), ""{{}}"", E3839), B3839)"),"Louer appartement Bretonnières: Trouvez le bien immobilier qui correspond idéalement à vos désirs sur ImmoScout24 - La plateforme de l'immobilier en Suisse.")</f>
        <v>Louer appartement Bretonnières: Trouvez le bien immobilier qui correspond idéalement à vos désirs sur ImmoScout24 - La plateforme de l'immobilier en Suisse.</v>
      </c>
    </row>
    <row r="3840" hidden="1">
      <c r="A3840" s="5" t="s">
        <v>10782</v>
      </c>
      <c r="B3840" s="2" t="s">
        <v>10783</v>
      </c>
      <c r="C3840" s="2" t="s">
        <v>10783</v>
      </c>
      <c r="D3840" s="4" t="str">
        <f>vlookup(A3840, Sheet2!D:E, 2, 0)</f>
        <v>control</v>
      </c>
      <c r="E3840" s="4" t="str">
        <f>IFERROR(__xludf.DUMMYFUNCTION("if(H3840=""pays"",vlookup(REGEXEXTRACT(C3840, ""🏘️ \w+ \w+ (.*) ✅""),'Country prepositions'!A:B, 2, 0) &amp; "" "" &amp; REGEXEXTRACT(C3840, ""🏘️ \w+ \w+ (.*) ✅"") ,  if(H3840=""quartier"",vlookup(REGEXEXTRACT(C3840, ""🏘️ \w+ \w+ (.*) ✅""),'Quartier prepositio"&amp;"ns'!A:E, 5, 0) ,  if(H3840=""region"",vlookup(REGEXEXTRACT(C3840, ""🏘️ \w+ \w+ (.*) ✅""),'Region prepositions'!B:F, 5, 0),  REGEXEXTRACT(C3840, ""🏘️ \w+ \w+ (.*) ✅""))))"),"#N/A")</f>
        <v>#N/A</v>
      </c>
      <c r="I3840" s="4" t="str">
        <f>IFERROR(__xludf.DUMMYFUNCTION("if(D3840=""variant"",  substitute(filter(Templates!E:E, Templates!A:A = F3840, Templates!B:B = G3840, Templates!C:C = H3840), ""{{}}"", E3840), B3840)"),"Louer maison Schoenberg (Fribourg): Trouvez le bien immobilier qui correspond idéalement à vos désirs sur ImmoScout24 - La plateforme de l'immobilier en Suisse.")</f>
        <v>Louer maison Schoenberg (Fribourg): Trouvez le bien immobilier qui correspond idéalement à vos désirs sur ImmoScout24 - La plateforme de l'immobilier en Suisse.</v>
      </c>
    </row>
    <row r="3841" hidden="1">
      <c r="A3841" s="5" t="s">
        <v>10784</v>
      </c>
      <c r="B3841" s="2" t="s">
        <v>10785</v>
      </c>
      <c r="C3841" s="2" t="s">
        <v>10785</v>
      </c>
      <c r="D3841" s="4" t="str">
        <f>vlookup(A3841, Sheet2!D:E, 2, 0)</f>
        <v>control</v>
      </c>
      <c r="E3841" s="4" t="str">
        <f>IFERROR(__xludf.DUMMYFUNCTION("if(H3841=""pays"",vlookup(REGEXEXTRACT(C3841, ""🏘️ \w+ \w+ (.*) ✅""),'Country prepositions'!A:B, 2, 0) &amp; "" "" &amp; REGEXEXTRACT(C3841, ""🏘️ \w+ \w+ (.*) ✅"") ,  if(H3841=""quartier"",vlookup(REGEXEXTRACT(C3841, ""🏘️ \w+ \w+ (.*) ✅""),'Quartier prepositio"&amp;"ns'!A:E, 5, 0) ,  if(H3841=""region"",vlookup(REGEXEXTRACT(C3841, ""🏘️ \w+ \w+ (.*) ✅""),'Region prepositions'!B:F, 5, 0),  REGEXEXTRACT(C3841, ""🏘️ \w+ \w+ (.*) ✅""))))"),"#N/A")</f>
        <v>#N/A</v>
      </c>
      <c r="I3841" s="4" t="str">
        <f>IFERROR(__xludf.DUMMYFUNCTION("if(D3841=""variant"",  substitute(filter(Templates!E:E, Templates!A:A = F3841, Templates!B:B = G3841, Templates!C:C = H3841), ""{{}}"", E3841), B3841)"),"Vendre maison Neyruz FR: Trouvez le bien immobilier qui correspond idéalement à vos désirs sur ImmoScout24 - La plateforme de l'immobilier en Suisse.")</f>
        <v>Vendre maison Neyruz FR: Trouvez le bien immobilier qui correspond idéalement à vos désirs sur ImmoScout24 - La plateforme de l'immobilier en Suisse.</v>
      </c>
    </row>
    <row r="3842" hidden="1">
      <c r="A3842" s="5" t="s">
        <v>10786</v>
      </c>
      <c r="B3842" s="2" t="s">
        <v>10787</v>
      </c>
      <c r="C3842" s="2" t="s">
        <v>10787</v>
      </c>
      <c r="D3842" s="4" t="str">
        <f>vlookup(A3842, Sheet2!D:E, 2, 0)</f>
        <v>control</v>
      </c>
      <c r="E3842" s="4" t="str">
        <f>IFERROR(__xludf.DUMMYFUNCTION("if(H3842=""pays"",vlookup(REGEXEXTRACT(C3842, ""🏘️ \w+ \w+ (.*) ✅""),'Country prepositions'!A:B, 2, 0) &amp; "" "" &amp; REGEXEXTRACT(C3842, ""🏘️ \w+ \w+ (.*) ✅"") ,  if(H3842=""quartier"",vlookup(REGEXEXTRACT(C3842, ""🏘️ \w+ \w+ (.*) ✅""),'Quartier prepositio"&amp;"ns'!A:E, 5, 0) ,  if(H3842=""region"",vlookup(REGEXEXTRACT(C3842, ""🏘️ \w+ \w+ (.*) ✅""),'Region prepositions'!B:F, 5, 0),  REGEXEXTRACT(C3842, ""🏘️ \w+ \w+ (.*) ✅""))))"),"#N/A")</f>
        <v>#N/A</v>
      </c>
      <c r="I3842" s="4" t="str">
        <f>IFERROR(__xludf.DUMMYFUNCTION("if(D3842=""variant"",  substitute(filter(Templates!E:E, Templates!A:A = F3842, Templates!B:B = G3842, Templates!C:C = H3842), ""{{}}"", E3842), B3842)"),"Louer appartement Cormondrèche: Trouvez le bien immobilier qui correspond idéalement à vos désirs sur ImmoScout24 - La plateforme de l'immobilier en Suisse.")</f>
        <v>Louer appartement Cormondrèche: Trouvez le bien immobilier qui correspond idéalement à vos désirs sur ImmoScout24 - La plateforme de l'immobilier en Suisse.</v>
      </c>
    </row>
    <row r="3843" hidden="1">
      <c r="A3843" s="5" t="s">
        <v>10788</v>
      </c>
      <c r="B3843" s="2" t="s">
        <v>10789</v>
      </c>
      <c r="C3843" s="2" t="s">
        <v>10789</v>
      </c>
      <c r="D3843" s="4" t="str">
        <f>vlookup(A3843, Sheet2!D:E, 2, 0)</f>
        <v>control</v>
      </c>
      <c r="E3843" s="4" t="str">
        <f>IFERROR(__xludf.DUMMYFUNCTION("if(H3843=""pays"",vlookup(REGEXEXTRACT(C3843, ""🏘️ \w+ \w+ (.*) ✅""),'Country prepositions'!A:B, 2, 0) &amp; "" "" &amp; REGEXEXTRACT(C3843, ""🏘️ \w+ \w+ (.*) ✅"") ,  if(H3843=""quartier"",vlookup(REGEXEXTRACT(C3843, ""🏘️ \w+ \w+ (.*) ✅""),'Quartier prepositio"&amp;"ns'!A:E, 5, 0) ,  if(H3843=""region"",vlookup(REGEXEXTRACT(C3843, ""🏘️ \w+ \w+ (.*) ✅""),'Region prepositions'!B:F, 5, 0),  REGEXEXTRACT(C3843, ""🏘️ \w+ \w+ (.*) ✅""))))"),"#N/A")</f>
        <v>#N/A</v>
      </c>
      <c r="I3843" s="4" t="str">
        <f>IFERROR(__xludf.DUMMYFUNCTION("if(D3843=""variant"",  substitute(filter(Templates!E:E, Templates!A:A = F3843, Templates!B:B = G3843, Templates!C:C = H3843), ""{{}}"", E3843), B3843)"),"Vendre appartement La Rippe: Trouvez le bien immobilier qui correspond idéalement à vos désirs sur ImmoScout24 - La plateforme de l'immobilier en Suisse.")</f>
        <v>Vendre appartement La Rippe: Trouvez le bien immobilier qui correspond idéalement à vos désirs sur ImmoScout24 - La plateforme de l'immobilier en Suisse.</v>
      </c>
    </row>
    <row r="3844" hidden="1">
      <c r="A3844" s="5" t="s">
        <v>10790</v>
      </c>
      <c r="B3844" s="2" t="s">
        <v>10791</v>
      </c>
      <c r="C3844" s="2" t="s">
        <v>10791</v>
      </c>
      <c r="D3844" s="4" t="str">
        <f>vlookup(A3844, Sheet2!D:E, 2, 0)</f>
        <v>control</v>
      </c>
      <c r="E3844" s="4" t="str">
        <f>IFERROR(__xludf.DUMMYFUNCTION("if(H3844=""pays"",vlookup(REGEXEXTRACT(C3844, ""🏘️ \w+ \w+ (.*) ✅""),'Country prepositions'!A:B, 2, 0) &amp; "" "" &amp; REGEXEXTRACT(C3844, ""🏘️ \w+ \w+ (.*) ✅"") ,  if(H3844=""quartier"",vlookup(REGEXEXTRACT(C3844, ""🏘️ \w+ \w+ (.*) ✅""),'Quartier prepositio"&amp;"ns'!A:E, 5, 0) ,  if(H3844=""region"",vlookup(REGEXEXTRACT(C3844, ""🏘️ \w+ \w+ (.*) ✅""),'Region prepositions'!B:F, 5, 0),  REGEXEXTRACT(C3844, ""🏘️ \w+ \w+ (.*) ✅""))))"),"#N/A")</f>
        <v>#N/A</v>
      </c>
      <c r="I3844" s="4" t="str">
        <f>IFERROR(__xludf.DUMMYFUNCTION("if(D3844=""variant"",  substitute(filter(Templates!E:E, Templates!A:A = F3844, Templates!B:B = G3844, Templates!C:C = H3844), ""{{}}"", E3844), B3844)"),"Vendre maison Guschelmuth: Trouvez le bien immobilier qui correspond idéalement à vos désirs sur ImmoScout24 - La plateforme de l'immobilier en Suisse.")</f>
        <v>Vendre maison Guschelmuth: Trouvez le bien immobilier qui correspond idéalement à vos désirs sur ImmoScout24 - La plateforme de l'immobilier en Suisse.</v>
      </c>
    </row>
    <row r="3845" hidden="1">
      <c r="A3845" s="5" t="s">
        <v>10792</v>
      </c>
      <c r="B3845" s="2" t="s">
        <v>10793</v>
      </c>
      <c r="C3845" s="2" t="s">
        <v>10793</v>
      </c>
      <c r="D3845" s="4" t="str">
        <f>vlookup(A3845, Sheet2!D:E, 2, 0)</f>
        <v>control</v>
      </c>
      <c r="E3845" s="4" t="str">
        <f>IFERROR(__xludf.DUMMYFUNCTION("if(H3845=""pays"",vlookup(REGEXEXTRACT(C3845, ""🏘️ \w+ \w+ (.*) ✅""),'Country prepositions'!A:B, 2, 0) &amp; "" "" &amp; REGEXEXTRACT(C3845, ""🏘️ \w+ \w+ (.*) ✅"") ,  if(H3845=""quartier"",vlookup(REGEXEXTRACT(C3845, ""🏘️ \w+ \w+ (.*) ✅""),'Quartier prepositio"&amp;"ns'!A:E, 5, 0) ,  if(H3845=""region"",vlookup(REGEXEXTRACT(C3845, ""🏘️ \w+ \w+ (.*) ✅""),'Region prepositions'!B:F, 5, 0),  REGEXEXTRACT(C3845, ""🏘️ \w+ \w+ (.*) ✅""))))"),"#N/A")</f>
        <v>#N/A</v>
      </c>
      <c r="I3845" s="4" t="str">
        <f>IFERROR(__xludf.DUMMYFUNCTION("if(D3845=""variant"",  substitute(filter(Templates!E:E, Templates!A:A = F3845, Templates!B:B = G3845, Templates!C:C = H3845), ""{{}}"", E3845), B3845)"),"Vendre maison Bern et environs: Trouvez le bien immobilier qui correspond idéalement à vos désirs sur ImmoScout24 - La plateforme de l'immobilier en Suisse.")</f>
        <v>Vendre maison Bern et environs: Trouvez le bien immobilier qui correspond idéalement à vos désirs sur ImmoScout24 - La plateforme de l'immobilier en Suisse.</v>
      </c>
    </row>
    <row r="3846" hidden="1">
      <c r="A3846" s="5" t="s">
        <v>10794</v>
      </c>
      <c r="B3846" s="2" t="s">
        <v>10795</v>
      </c>
      <c r="C3846" s="2" t="s">
        <v>10795</v>
      </c>
      <c r="D3846" s="4" t="str">
        <f>vlookup(A3846, Sheet2!D:E, 2, 0)</f>
        <v>control</v>
      </c>
      <c r="E3846" s="4" t="str">
        <f>IFERROR(__xludf.DUMMYFUNCTION("if(H3846=""pays"",vlookup(REGEXEXTRACT(C3846, ""🏘️ \w+ \w+ (.*) ✅""),'Country prepositions'!A:B, 2, 0) &amp; "" "" &amp; REGEXEXTRACT(C3846, ""🏘️ \w+ \w+ (.*) ✅"") ,  if(H3846=""quartier"",vlookup(REGEXEXTRACT(C3846, ""🏘️ \w+ \w+ (.*) ✅""),'Quartier prepositio"&amp;"ns'!A:E, 5, 0) ,  if(H3846=""region"",vlookup(REGEXEXTRACT(C3846, ""🏘️ \w+ \w+ (.*) ✅""),'Region prepositions'!B:F, 5, 0),  REGEXEXTRACT(C3846, ""🏘️ \w+ \w+ (.*) ✅""))))"),"#N/A")</f>
        <v>#N/A</v>
      </c>
      <c r="I3846" s="4" t="str">
        <f>IFERROR(__xludf.DUMMYFUNCTION("if(D3846=""variant"",  substitute(filter(Templates!E:E, Templates!A:A = F3846, Templates!B:B = G3846, Templates!C:C = H3846), ""{{}}"", E3846), B3846)"),"Louer maison Lucerne Hinterland: Trouvez le bien immobilier qui correspond idéalement à vos désirs sur ImmoScout24 - La plateforme de l'immobilier en Suisse.")</f>
        <v>Louer maison Lucerne Hinterland: Trouvez le bien immobilier qui correspond idéalement à vos désirs sur ImmoScout24 - La plateforme de l'immobilier en Suisse.</v>
      </c>
    </row>
    <row r="3847" hidden="1">
      <c r="A3847" s="5" t="s">
        <v>10796</v>
      </c>
      <c r="B3847" s="2" t="s">
        <v>10797</v>
      </c>
      <c r="C3847" s="2" t="s">
        <v>10797</v>
      </c>
      <c r="D3847" s="4" t="str">
        <f>vlookup(A3847, Sheet2!D:E, 2, 0)</f>
        <v>control</v>
      </c>
      <c r="E3847" s="4" t="str">
        <f>IFERROR(__xludf.DUMMYFUNCTION("if(H3847=""pays"",vlookup(REGEXEXTRACT(C3847, ""🏘️ \w+ \w+ (.*) ✅""),'Country prepositions'!A:B, 2, 0) &amp; "" "" &amp; REGEXEXTRACT(C3847, ""🏘️ \w+ \w+ (.*) ✅"") ,  if(H3847=""quartier"",vlookup(REGEXEXTRACT(C3847, ""🏘️ \w+ \w+ (.*) ✅""),'Quartier prepositio"&amp;"ns'!A:E, 5, 0) ,  if(H3847=""region"",vlookup(REGEXEXTRACT(C3847, ""🏘️ \w+ \w+ (.*) ✅""),'Region prepositions'!B:F, 5, 0),  REGEXEXTRACT(C3847, ""🏘️ \w+ \w+ (.*) ✅""))))"),"#N/A")</f>
        <v>#N/A</v>
      </c>
      <c r="I3847" s="4" t="str">
        <f>IFERROR(__xludf.DUMMYFUNCTION("if(D3847=""variant"",  substitute(filter(Templates!E:E, Templates!A:A = F3847, Templates!B:B = G3847, Templates!C:C = H3847), ""{{}}"", E3847), B3847)"),"Louer appartement Vesin: Trouvez le bien immobilier qui correspond idéalement à vos désirs sur ImmoScout24 - La plateforme de l'immobilier en Suisse.")</f>
        <v>Louer appartement Vesin: Trouvez le bien immobilier qui correspond idéalement à vos désirs sur ImmoScout24 - La plateforme de l'immobilier en Suisse.</v>
      </c>
    </row>
    <row r="3848" hidden="1">
      <c r="A3848" s="5" t="s">
        <v>10798</v>
      </c>
      <c r="B3848" s="2" t="s">
        <v>10799</v>
      </c>
      <c r="C3848" s="2" t="s">
        <v>10799</v>
      </c>
      <c r="D3848" s="4" t="str">
        <f>vlookup(A3848, Sheet2!D:E, 2, 0)</f>
        <v>control</v>
      </c>
      <c r="E3848" s="4" t="str">
        <f>IFERROR(__xludf.DUMMYFUNCTION("if(H3848=""pays"",vlookup(REGEXEXTRACT(C3848, ""🏘️ \w+ \w+ (.*) ✅""),'Country prepositions'!A:B, 2, 0) &amp; "" "" &amp; REGEXEXTRACT(C3848, ""🏘️ \w+ \w+ (.*) ✅"") ,  if(H3848=""quartier"",vlookup(REGEXEXTRACT(C3848, ""🏘️ \w+ \w+ (.*) ✅""),'Quartier prepositio"&amp;"ns'!A:E, 5, 0) ,  if(H3848=""region"",vlookup(REGEXEXTRACT(C3848, ""🏘️ \w+ \w+ (.*) ✅""),'Region prepositions'!B:F, 5, 0),  REGEXEXTRACT(C3848, ""🏘️ \w+ \w+ (.*) ✅""))))"),"#N/A")</f>
        <v>#N/A</v>
      </c>
      <c r="I3848" s="4" t="str">
        <f>IFERROR(__xludf.DUMMYFUNCTION("if(D3848=""variant"",  substitute(filter(Templates!E:E, Templates!A:A = F3848, Templates!B:B = G3848, Templates!C:C = H3848), ""{{}}"", E3848), B3848)"),"Louer appartement Maracon: Trouvez le bien immobilier qui correspond idéalement à vos désirs sur ImmoScout24 - La plateforme de l'immobilier en Suisse.")</f>
        <v>Louer appartement Maracon: Trouvez le bien immobilier qui correspond idéalement à vos désirs sur ImmoScout24 - La plateforme de l'immobilier en Suisse.</v>
      </c>
    </row>
    <row r="3849" hidden="1">
      <c r="A3849" s="5" t="s">
        <v>10800</v>
      </c>
      <c r="B3849" s="2" t="s">
        <v>10801</v>
      </c>
      <c r="C3849" s="2" t="s">
        <v>10801</v>
      </c>
      <c r="D3849" s="4" t="str">
        <f>vlookup(A3849, Sheet2!D:E, 2, 0)</f>
        <v>control</v>
      </c>
      <c r="E3849" s="4" t="str">
        <f>IFERROR(__xludf.DUMMYFUNCTION("if(H3849=""pays"",vlookup(REGEXEXTRACT(C3849, ""🏘️ \w+ \w+ (.*) ✅""),'Country prepositions'!A:B, 2, 0) &amp; "" "" &amp; REGEXEXTRACT(C3849, ""🏘️ \w+ \w+ (.*) ✅"") ,  if(H3849=""quartier"",vlookup(REGEXEXTRACT(C3849, ""🏘️ \w+ \w+ (.*) ✅""),'Quartier prepositio"&amp;"ns'!A:E, 5, 0) ,  if(H3849=""region"",vlookup(REGEXEXTRACT(C3849, ""🏘️ \w+ \w+ (.*) ✅""),'Region prepositions'!B:F, 5, 0),  REGEXEXTRACT(C3849, ""🏘️ \w+ \w+ (.*) ✅""))))"),"#N/A")</f>
        <v>#N/A</v>
      </c>
      <c r="I3849" s="4" t="str">
        <f>IFERROR(__xludf.DUMMYFUNCTION("if(D3849=""variant"",  substitute(filter(Templates!E:E, Templates!A:A = F3849, Templates!B:B = G3849, Templates!C:C = H3849), ""{{}}"", E3849), B3849)"),"Louer appartement Villarsel-le-Gibloux: Trouvez le bien immobilier qui correspond idéalement à vos désirs sur ImmoScout24 - La plateforme de l'immobilier en Suisse.")</f>
        <v>Louer appartement Villarsel-le-Gibloux: Trouvez le bien immobilier qui correspond idéalement à vos désirs sur ImmoScout24 - La plateforme de l'immobilier en Suisse.</v>
      </c>
    </row>
    <row r="3850" hidden="1">
      <c r="A3850" s="5" t="s">
        <v>10802</v>
      </c>
      <c r="B3850" s="2" t="s">
        <v>10803</v>
      </c>
      <c r="C3850" s="2" t="s">
        <v>10803</v>
      </c>
      <c r="D3850" s="4" t="str">
        <f>vlookup(A3850, Sheet2!D:E, 2, 0)</f>
        <v>control</v>
      </c>
      <c r="E3850" s="4" t="str">
        <f>IFERROR(__xludf.DUMMYFUNCTION("if(H3850=""pays"",vlookup(REGEXEXTRACT(C3850, ""🏘️ \w+ \w+ (.*) ✅""),'Country prepositions'!A:B, 2, 0) &amp; "" "" &amp; REGEXEXTRACT(C3850, ""🏘️ \w+ \w+ (.*) ✅"") ,  if(H3850=""quartier"",vlookup(REGEXEXTRACT(C3850, ""🏘️ \w+ \w+ (.*) ✅""),'Quartier prepositio"&amp;"ns'!A:E, 5, 0) ,  if(H3850=""region"",vlookup(REGEXEXTRACT(C3850, ""🏘️ \w+ \w+ (.*) ✅""),'Region prepositions'!B:F, 5, 0),  REGEXEXTRACT(C3850, ""🏘️ \w+ \w+ (.*) ✅""))))"),"#N/A")</f>
        <v>#N/A</v>
      </c>
      <c r="I3850" s="4" t="str">
        <f>IFERROR(__xludf.DUMMYFUNCTION("if(D3850=""variant"",  substitute(filter(Templates!E:E, Templates!A:A = F3850, Templates!B:B = G3850, Templates!C:C = H3850), ""{{}}"", E3850), B3850)"),"Louer maison Plaffeien: Trouvez le bien immobilier qui correspond idéalement à vos désirs sur ImmoScout24 - La plateforme de l'immobilier en Suisse.")</f>
        <v>Louer maison Plaffeien: Trouvez le bien immobilier qui correspond idéalement à vos désirs sur ImmoScout24 - La plateforme de l'immobilier en Suisse.</v>
      </c>
    </row>
    <row r="3851" hidden="1">
      <c r="A3851" s="5" t="s">
        <v>10804</v>
      </c>
      <c r="B3851" s="2" t="s">
        <v>10805</v>
      </c>
      <c r="C3851" s="2" t="s">
        <v>10805</v>
      </c>
      <c r="D3851" s="4" t="str">
        <f>vlookup(A3851, Sheet2!D:E, 2, 0)</f>
        <v>control</v>
      </c>
      <c r="E3851" s="4" t="str">
        <f>IFERROR(__xludf.DUMMYFUNCTION("if(H3851=""pays"",vlookup(REGEXEXTRACT(C3851, ""🏘️ \w+ \w+ (.*) ✅""),'Country prepositions'!A:B, 2, 0) &amp; "" "" &amp; REGEXEXTRACT(C3851, ""🏘️ \w+ \w+ (.*) ✅"") ,  if(H3851=""quartier"",vlookup(REGEXEXTRACT(C3851, ""🏘️ \w+ \w+ (.*) ✅""),'Quartier prepositio"&amp;"ns'!A:E, 5, 0) ,  if(H3851=""region"",vlookup(REGEXEXTRACT(C3851, ""🏘️ \w+ \w+ (.*) ✅""),'Region prepositions'!B:F, 5, 0),  REGEXEXTRACT(C3851, ""🏘️ \w+ \w+ (.*) ✅""))))"),"#N/A")</f>
        <v>#N/A</v>
      </c>
      <c r="I3851" s="4" t="str">
        <f>IFERROR(__xludf.DUMMYFUNCTION("if(D3851=""variant"",  substitute(filter(Templates!E:E, Templates!A:A = F3851, Templates!B:B = G3851, Templates!C:C = H3851), ""{{}}"", E3851), B3851)"),"Louer appartement Rossemaison: Trouvez le bien immobilier qui correspond idéalement à vos désirs sur ImmoScout24 - La plateforme de l'immobilier en Suisse.")</f>
        <v>Louer appartement Rossemaison: Trouvez le bien immobilier qui correspond idéalement à vos désirs sur ImmoScout24 - La plateforme de l'immobilier en Suisse.</v>
      </c>
    </row>
    <row r="3852" hidden="1">
      <c r="A3852" s="5" t="s">
        <v>10806</v>
      </c>
      <c r="B3852" s="2" t="s">
        <v>10807</v>
      </c>
      <c r="C3852" s="2" t="s">
        <v>10807</v>
      </c>
      <c r="D3852" s="4" t="str">
        <f>vlookup(A3852, Sheet2!D:E, 2, 0)</f>
        <v>control</v>
      </c>
      <c r="E3852" s="4" t="str">
        <f>IFERROR(__xludf.DUMMYFUNCTION("if(H3852=""pays"",vlookup(REGEXEXTRACT(C3852, ""🏘️ \w+ \w+ (.*) ✅""),'Country prepositions'!A:B, 2, 0) &amp; "" "" &amp; REGEXEXTRACT(C3852, ""🏘️ \w+ \w+ (.*) ✅"") ,  if(H3852=""quartier"",vlookup(REGEXEXTRACT(C3852, ""🏘️ \w+ \w+ (.*) ✅""),'Quartier prepositio"&amp;"ns'!A:E, 5, 0) ,  if(H3852=""region"",vlookup(REGEXEXTRACT(C3852, ""🏘️ \w+ \w+ (.*) ✅""),'Region prepositions'!B:F, 5, 0),  REGEXEXTRACT(C3852, ""🏘️ \w+ \w+ (.*) ✅""))))"),"#N/A")</f>
        <v>#N/A</v>
      </c>
      <c r="I3852" s="4" t="str">
        <f>IFERROR(__xludf.DUMMYFUNCTION("if(D3852=""variant"",  substitute(filter(Templates!E:E, Templates!A:A = F3852, Templates!B:B = G3852, Templates!C:C = H3852), ""{{}}"", E3852), B3852)"),"Vendre appartement Mörigen: Trouvez le bien immobilier qui correspond idéalement à vos désirs sur ImmoScout24 - La plateforme de l'immobilier en Suisse.")</f>
        <v>Vendre appartement Mörigen: Trouvez le bien immobilier qui correspond idéalement à vos désirs sur ImmoScout24 - La plateforme de l'immobilier en Suisse.</v>
      </c>
    </row>
    <row r="3853" hidden="1">
      <c r="A3853" s="5" t="s">
        <v>10808</v>
      </c>
      <c r="B3853" s="2" t="s">
        <v>10809</v>
      </c>
      <c r="C3853" s="2" t="s">
        <v>10809</v>
      </c>
      <c r="D3853" s="4" t="str">
        <f>vlookup(A3853, Sheet2!D:E, 2, 0)</f>
        <v>control</v>
      </c>
      <c r="E3853" s="4" t="str">
        <f>IFERROR(__xludf.DUMMYFUNCTION("if(H3853=""pays"",vlookup(REGEXEXTRACT(C3853, ""🏘️ \w+ \w+ (.*) ✅""),'Country prepositions'!A:B, 2, 0) &amp; "" "" &amp; REGEXEXTRACT(C3853, ""🏘️ \w+ \w+ (.*) ✅"") ,  if(H3853=""quartier"",vlookup(REGEXEXTRACT(C3853, ""🏘️ \w+ \w+ (.*) ✅""),'Quartier prepositio"&amp;"ns'!A:E, 5, 0) ,  if(H3853=""region"",vlookup(REGEXEXTRACT(C3853, ""🏘️ \w+ \w+ (.*) ✅""),'Region prepositions'!B:F, 5, 0),  REGEXEXTRACT(C3853, ""🏘️ \w+ \w+ (.*) ✅""))))"),"#N/A")</f>
        <v>#N/A</v>
      </c>
      <c r="I3853" s="4" t="str">
        <f>IFERROR(__xludf.DUMMYFUNCTION("if(D3853=""variant"",  substitute(filter(Templates!E:E, Templates!A:A = F3853, Templates!B:B = G3853, Templates!C:C = H3853), ""{{}}"", E3853), B3853)"),"Louer appartement Saules: Trouvez le bien immobilier qui correspond idéalement à vos désirs sur ImmoScout24 - La plateforme de l'immobilier en Suisse.")</f>
        <v>Louer appartement Saules: Trouvez le bien immobilier qui correspond idéalement à vos désirs sur ImmoScout24 - La plateforme de l'immobilier en Suisse.</v>
      </c>
    </row>
    <row r="3854" hidden="1">
      <c r="A3854" s="5" t="s">
        <v>10810</v>
      </c>
      <c r="B3854" s="2" t="s">
        <v>10811</v>
      </c>
      <c r="C3854" s="2" t="s">
        <v>10811</v>
      </c>
      <c r="D3854" s="4" t="str">
        <f>vlookup(A3854, Sheet2!D:E, 2, 0)</f>
        <v>control</v>
      </c>
      <c r="E3854" s="4" t="str">
        <f>IFERROR(__xludf.DUMMYFUNCTION("if(H3854=""pays"",vlookup(REGEXEXTRACT(C3854, ""🏘️ \w+ \w+ (.*) ✅""),'Country prepositions'!A:B, 2, 0) &amp; "" "" &amp; REGEXEXTRACT(C3854, ""🏘️ \w+ \w+ (.*) ✅"") ,  if(H3854=""quartier"",vlookup(REGEXEXTRACT(C3854, ""🏘️ \w+ \w+ (.*) ✅""),'Quartier prepositio"&amp;"ns'!A:E, 5, 0) ,  if(H3854=""region"",vlookup(REGEXEXTRACT(C3854, ""🏘️ \w+ \w+ (.*) ✅""),'Region prepositions'!B:F, 5, 0),  REGEXEXTRACT(C3854, ""🏘️ \w+ \w+ (.*) ✅""))))"),"#N/A")</f>
        <v>#N/A</v>
      </c>
      <c r="I3854" s="4" t="str">
        <f>IFERROR(__xludf.DUMMYFUNCTION("if(D3854=""variant"",  substitute(filter(Templates!E:E, Templates!A:A = F3854, Templates!B:B = G3854, Templates!C:C = H3854), ""{{}}"", E3854), B3854)"),"Vendre maison Brot-Dessous: Trouvez le bien immobilier qui correspond idéalement à vos désirs sur ImmoScout24 - La plateforme de l'immobilier en Suisse.")</f>
        <v>Vendre maison Brot-Dessous: Trouvez le bien immobilier qui correspond idéalement à vos désirs sur ImmoScout24 - La plateforme de l'immobilier en Suisse.</v>
      </c>
    </row>
    <row r="3855" hidden="1">
      <c r="A3855" s="5" t="s">
        <v>10812</v>
      </c>
      <c r="B3855" s="2" t="s">
        <v>10813</v>
      </c>
      <c r="C3855" s="2" t="s">
        <v>10813</v>
      </c>
      <c r="D3855" s="4" t="str">
        <f>vlookup(A3855, Sheet2!D:E, 2, 0)</f>
        <v>control</v>
      </c>
      <c r="E3855" s="4" t="str">
        <f>IFERROR(__xludf.DUMMYFUNCTION("if(H3855=""pays"",vlookup(REGEXEXTRACT(C3855, ""🏘️ \w+ \w+ (.*) ✅""),'Country prepositions'!A:B, 2, 0) &amp; "" "" &amp; REGEXEXTRACT(C3855, ""🏘️ \w+ \w+ (.*) ✅"") ,  if(H3855=""quartier"",vlookup(REGEXEXTRACT(C3855, ""🏘️ \w+ \w+ (.*) ✅""),'Quartier prepositio"&amp;"ns'!A:E, 5, 0) ,  if(H3855=""region"",vlookup(REGEXEXTRACT(C3855, ""🏘️ \w+ \w+ (.*) ✅""),'Region prepositions'!B:F, 5, 0),  REGEXEXTRACT(C3855, ""🏘️ \w+ \w+ (.*) ✅""))))"),"#N/A")</f>
        <v>#N/A</v>
      </c>
      <c r="I3855" s="4" t="str">
        <f>IFERROR(__xludf.DUMMYFUNCTION("if(D3855=""variant"",  substitute(filter(Templates!E:E, Templates!A:A = F3855, Templates!B:B = G3855, Templates!C:C = H3855), ""{{}}"", E3855), B3855)"),"Vendre maison Bussy-sur-Moudon: Trouvez le bien immobilier qui correspond idéalement à vos désirs sur ImmoScout24 - La plateforme de l'immobilier en Suisse.")</f>
        <v>Vendre maison Bussy-sur-Moudon: Trouvez le bien immobilier qui correspond idéalement à vos désirs sur ImmoScout24 - La plateforme de l'immobilier en Suisse.</v>
      </c>
    </row>
    <row r="3856" hidden="1">
      <c r="A3856" s="5" t="s">
        <v>10814</v>
      </c>
      <c r="B3856" s="2" t="s">
        <v>10815</v>
      </c>
      <c r="C3856" s="2" t="s">
        <v>10815</v>
      </c>
      <c r="D3856" s="4" t="str">
        <f>vlookup(A3856, Sheet2!D:E, 2, 0)</f>
        <v>control</v>
      </c>
      <c r="E3856" s="4" t="str">
        <f>IFERROR(__xludf.DUMMYFUNCTION("if(H3856=""pays"",vlookup(REGEXEXTRACT(C3856, ""🏘️ \w+ \w+ (.*) ✅""),'Country prepositions'!A:B, 2, 0) &amp; "" "" &amp; REGEXEXTRACT(C3856, ""🏘️ \w+ \w+ (.*) ✅"") ,  if(H3856=""quartier"",vlookup(REGEXEXTRACT(C3856, ""🏘️ \w+ \w+ (.*) ✅""),'Quartier prepositio"&amp;"ns'!A:E, 5, 0) ,  if(H3856=""region"",vlookup(REGEXEXTRACT(C3856, ""🏘️ \w+ \w+ (.*) ✅""),'Region prepositions'!B:F, 5, 0),  REGEXEXTRACT(C3856, ""🏘️ \w+ \w+ (.*) ✅""))))"),"#N/A")</f>
        <v>#N/A</v>
      </c>
      <c r="I3856" s="4" t="str">
        <f>IFERROR(__xludf.DUMMYFUNCTION("if(D3856=""variant"",  substitute(filter(Templates!E:E, Templates!A:A = F3856, Templates!B:B = G3856, Templates!C:C = H3856), ""{{}}"", E3856), B3856)"),"Vendre maison Reverolle: Trouvez le bien immobilier qui correspond idéalement à vos désirs sur ImmoScout24 - La plateforme de l'immobilier en Suisse.")</f>
        <v>Vendre maison Reverolle: Trouvez le bien immobilier qui correspond idéalement à vos désirs sur ImmoScout24 - La plateforme de l'immobilier en Suisse.</v>
      </c>
    </row>
    <row r="3857" hidden="1">
      <c r="A3857" s="5" t="s">
        <v>10816</v>
      </c>
      <c r="B3857" s="2" t="s">
        <v>10817</v>
      </c>
      <c r="C3857" s="2" t="s">
        <v>10817</v>
      </c>
      <c r="D3857" s="4" t="str">
        <f>vlookup(A3857, Sheet2!D:E, 2, 0)</f>
        <v>control</v>
      </c>
      <c r="E3857" s="4" t="str">
        <f>IFERROR(__xludf.DUMMYFUNCTION("if(H3857=""pays"",vlookup(REGEXEXTRACT(C3857, ""🏘️ \w+ \w+ (.*) ✅""),'Country prepositions'!A:B, 2, 0) &amp; "" "" &amp; REGEXEXTRACT(C3857, ""🏘️ \w+ \w+ (.*) ✅"") ,  if(H3857=""quartier"",vlookup(REGEXEXTRACT(C3857, ""🏘️ \w+ \w+ (.*) ✅""),'Quartier prepositio"&amp;"ns'!A:E, 5, 0) ,  if(H3857=""region"",vlookup(REGEXEXTRACT(C3857, ""🏘️ \w+ \w+ (.*) ✅""),'Region prepositions'!B:F, 5, 0),  REGEXEXTRACT(C3857, ""🏘️ \w+ \w+ (.*) ✅""))))"),"#N/A")</f>
        <v>#N/A</v>
      </c>
      <c r="I3857" s="4" t="str">
        <f>IFERROR(__xludf.DUMMYFUNCTION("if(D3857=""variant"",  substitute(filter(Templates!E:E, Templates!A:A = F3857, Templates!B:B = G3857, Templates!C:C = H3857), ""{{}}"", E3857), B3857)"),"Vendre maison Müntschemier: Trouvez le bien immobilier qui correspond idéalement à vos désirs sur ImmoScout24 - La plateforme de l'immobilier en Suisse.")</f>
        <v>Vendre maison Müntschemier: Trouvez le bien immobilier qui correspond idéalement à vos désirs sur ImmoScout24 - La plateforme de l'immobilier en Suisse.</v>
      </c>
    </row>
    <row r="3858" hidden="1">
      <c r="A3858" s="5" t="s">
        <v>10818</v>
      </c>
      <c r="B3858" s="2" t="s">
        <v>10819</v>
      </c>
      <c r="C3858" s="2" t="s">
        <v>10819</v>
      </c>
      <c r="D3858" s="4" t="str">
        <f>vlookup(A3858, Sheet2!D:E, 2, 0)</f>
        <v>control</v>
      </c>
      <c r="E3858" s="4" t="str">
        <f>IFERROR(__xludf.DUMMYFUNCTION("if(H3858=""pays"",vlookup(REGEXEXTRACT(C3858, ""🏘️ \w+ \w+ (.*) ✅""),'Country prepositions'!A:B, 2, 0) &amp; "" "" &amp; REGEXEXTRACT(C3858, ""🏘️ \w+ \w+ (.*) ✅"") ,  if(H3858=""quartier"",vlookup(REGEXEXTRACT(C3858, ""🏘️ \w+ \w+ (.*) ✅""),'Quartier prepositio"&amp;"ns'!A:E, 5, 0) ,  if(H3858=""region"",vlookup(REGEXEXTRACT(C3858, ""🏘️ \w+ \w+ (.*) ✅""),'Region prepositions'!B:F, 5, 0),  REGEXEXTRACT(C3858, ""🏘️ \w+ \w+ (.*) ✅""))))"),"#N/A")</f>
        <v>#N/A</v>
      </c>
      <c r="I3858" s="4" t="str">
        <f>IFERROR(__xludf.DUMMYFUNCTION("if(D3858=""variant"",  substitute(filter(Templates!E:E, Templates!A:A = F3858, Templates!B:B = G3858, Templates!C:C = H3858), ""{{}}"", E3858), B3858)"),"Vendre appartement Thayngen: Trouvez le bien immobilier qui correspond idéalement à vos désirs sur ImmoScout24 - La plateforme de l'immobilier en Suisse.")</f>
        <v>Vendre appartement Thayngen: Trouvez le bien immobilier qui correspond idéalement à vos désirs sur ImmoScout24 - La plateforme de l'immobilier en Suisse.</v>
      </c>
    </row>
    <row r="3859" hidden="1">
      <c r="A3859" s="5" t="s">
        <v>10820</v>
      </c>
      <c r="B3859" s="2" t="s">
        <v>10821</v>
      </c>
      <c r="C3859" s="2" t="s">
        <v>10821</v>
      </c>
      <c r="D3859" s="4" t="str">
        <f>vlookup(A3859, Sheet2!D:E, 2, 0)</f>
        <v>control</v>
      </c>
      <c r="E3859" s="4" t="str">
        <f>IFERROR(__xludf.DUMMYFUNCTION("if(H3859=""pays"",vlookup(REGEXEXTRACT(C3859, ""🏘️ \w+ \w+ (.*) ✅""),'Country prepositions'!A:B, 2, 0) &amp; "" "" &amp; REGEXEXTRACT(C3859, ""🏘️ \w+ \w+ (.*) ✅"") ,  if(H3859=""quartier"",vlookup(REGEXEXTRACT(C3859, ""🏘️ \w+ \w+ (.*) ✅""),'Quartier prepositio"&amp;"ns'!A:E, 5, 0) ,  if(H3859=""region"",vlookup(REGEXEXTRACT(C3859, ""🏘️ \w+ \w+ (.*) ✅""),'Region prepositions'!B:F, 5, 0),  REGEXEXTRACT(C3859, ""🏘️ \w+ \w+ (.*) ✅""))))"),"#N/A")</f>
        <v>#N/A</v>
      </c>
      <c r="I3859" s="4" t="str">
        <f>IFERROR(__xludf.DUMMYFUNCTION("if(D3859=""variant"",  substitute(filter(Templates!E:E, Templates!A:A = F3859, Templates!B:B = G3859, Templates!C:C = H3859), ""{{}}"", E3859), B3859)"),"Louer appartement Worben: Trouvez le bien immobilier qui correspond idéalement à vos désirs sur ImmoScout24 - La plateforme de l'immobilier en Suisse.")</f>
        <v>Louer appartement Worben: Trouvez le bien immobilier qui correspond idéalement à vos désirs sur ImmoScout24 - La plateforme de l'immobilier en Suisse.</v>
      </c>
    </row>
    <row r="3860" hidden="1">
      <c r="A3860" s="5" t="s">
        <v>10822</v>
      </c>
      <c r="B3860" s="2" t="s">
        <v>10823</v>
      </c>
      <c r="C3860" s="2" t="s">
        <v>10823</v>
      </c>
      <c r="D3860" s="4" t="str">
        <f>vlookup(A3860, Sheet2!D:E, 2, 0)</f>
        <v>control</v>
      </c>
      <c r="E3860" s="4" t="str">
        <f>IFERROR(__xludf.DUMMYFUNCTION("if(H3860=""pays"",vlookup(REGEXEXTRACT(C3860, ""🏘️ \w+ \w+ (.*) ✅""),'Country prepositions'!A:B, 2, 0) &amp; "" "" &amp; REGEXEXTRACT(C3860, ""🏘️ \w+ \w+ (.*) ✅"") ,  if(H3860=""quartier"",vlookup(REGEXEXTRACT(C3860, ""🏘️ \w+ \w+ (.*) ✅""),'Quartier prepositio"&amp;"ns'!A:E, 5, 0) ,  if(H3860=""region"",vlookup(REGEXEXTRACT(C3860, ""🏘️ \w+ \w+ (.*) ✅""),'Region prepositions'!B:F, 5, 0),  REGEXEXTRACT(C3860, ""🏘️ \w+ \w+ (.*) ✅""))))"),"#N/A")</f>
        <v>#N/A</v>
      </c>
      <c r="I3860" s="4" t="str">
        <f>IFERROR(__xludf.DUMMYFUNCTION("if(D3860=""variant"",  substitute(filter(Templates!E:E, Templates!A:A = F3860, Templates!B:B = G3860, Templates!C:C = H3860), ""{{}}"", E3860), B3860)"),"Vendre maison Roveredo TI: Trouvez le bien immobilier qui correspond idéalement à vos désirs sur ImmoScout24 - La plateforme de l'immobilier en Suisse.")</f>
        <v>Vendre maison Roveredo TI: Trouvez le bien immobilier qui correspond idéalement à vos désirs sur ImmoScout24 - La plateforme de l'immobilier en Suisse.</v>
      </c>
    </row>
    <row r="3861" hidden="1">
      <c r="A3861" s="5" t="s">
        <v>10824</v>
      </c>
      <c r="B3861" s="2" t="s">
        <v>10825</v>
      </c>
      <c r="C3861" s="2" t="s">
        <v>10825</v>
      </c>
      <c r="D3861" s="4" t="str">
        <f>vlookup(A3861, Sheet2!D:E, 2, 0)</f>
        <v>control</v>
      </c>
      <c r="E3861" s="4" t="str">
        <f>IFERROR(__xludf.DUMMYFUNCTION("if(H3861=""pays"",vlookup(REGEXEXTRACT(C3861, ""🏘️ \w+ \w+ (.*) ✅""),'Country prepositions'!A:B, 2, 0) &amp; "" "" &amp; REGEXEXTRACT(C3861, ""🏘️ \w+ \w+ (.*) ✅"") ,  if(H3861=""quartier"",vlookup(REGEXEXTRACT(C3861, ""🏘️ \w+ \w+ (.*) ✅""),'Quartier prepositio"&amp;"ns'!A:E, 5, 0) ,  if(H3861=""region"",vlookup(REGEXEXTRACT(C3861, ""🏘️ \w+ \w+ (.*) ✅""),'Region prepositions'!B:F, 5, 0),  REGEXEXTRACT(C3861, ""🏘️ \w+ \w+ (.*) ✅""))))"),"#N/A")</f>
        <v>#N/A</v>
      </c>
      <c r="I3861" s="4" t="str">
        <f>IFERROR(__xludf.DUMMYFUNCTION("if(D3861=""variant"",  substitute(filter(Templates!E:E, Templates!A:A = F3861, Templates!B:B = G3861, Templates!C:C = H3861), ""{{}}"", E3861), B3861)"),"Vendre maison Vuippens: Trouvez le bien immobilier qui correspond idéalement à vos désirs sur ImmoScout24 - La plateforme de l'immobilier en Suisse.")</f>
        <v>Vendre maison Vuippens: Trouvez le bien immobilier qui correspond idéalement à vos désirs sur ImmoScout24 - La plateforme de l'immobilier en Suisse.</v>
      </c>
    </row>
    <row r="3862" hidden="1">
      <c r="A3862" s="5" t="s">
        <v>10826</v>
      </c>
      <c r="B3862" s="2" t="s">
        <v>10827</v>
      </c>
      <c r="C3862" s="2" t="s">
        <v>10827</v>
      </c>
      <c r="D3862" s="4" t="str">
        <f>vlookup(A3862, Sheet2!D:E, 2, 0)</f>
        <v>control</v>
      </c>
      <c r="E3862" s="4" t="str">
        <f>IFERROR(__xludf.DUMMYFUNCTION("if(H3862=""pays"",vlookup(REGEXEXTRACT(C3862, ""🏘️ \w+ \w+ (.*) ✅""),'Country prepositions'!A:B, 2, 0) &amp; "" "" &amp; REGEXEXTRACT(C3862, ""🏘️ \w+ \w+ (.*) ✅"") ,  if(H3862=""quartier"",vlookup(REGEXEXTRACT(C3862, ""🏘️ \w+ \w+ (.*) ✅""),'Quartier prepositio"&amp;"ns'!A:E, 5, 0) ,  if(H3862=""region"",vlookup(REGEXEXTRACT(C3862, ""🏘️ \w+ \w+ (.*) ✅""),'Region prepositions'!B:F, 5, 0),  REGEXEXTRACT(C3862, ""🏘️ \w+ \w+ (.*) ✅""))))"),"#N/A")</f>
        <v>#N/A</v>
      </c>
      <c r="I3862" s="4" t="str">
        <f>IFERROR(__xludf.DUMMYFUNCTION("if(D3862=""variant"",  substitute(filter(Templates!E:E, Templates!A:A = F3862, Templates!B:B = G3862, Templates!C:C = H3862), ""{{}}"", E3862), B3862)"),"Vendre appartement Eiken: Trouvez le bien immobilier qui correspond idéalement à vos désirs sur ImmoScout24 - La plateforme de l'immobilier en Suisse.")</f>
        <v>Vendre appartement Eiken: Trouvez le bien immobilier qui correspond idéalement à vos désirs sur ImmoScout24 - La plateforme de l'immobilier en Suisse.</v>
      </c>
    </row>
    <row r="3863" hidden="1">
      <c r="A3863" s="5" t="s">
        <v>10828</v>
      </c>
      <c r="B3863" s="2" t="s">
        <v>10829</v>
      </c>
      <c r="C3863" s="2" t="s">
        <v>10829</v>
      </c>
      <c r="D3863" s="4" t="str">
        <f>vlookup(A3863, Sheet2!D:E, 2, 0)</f>
        <v>control</v>
      </c>
      <c r="E3863" s="4" t="str">
        <f>IFERROR(__xludf.DUMMYFUNCTION("if(H3863=""pays"",vlookup(REGEXEXTRACT(C3863, ""🏘️ \w+ \w+ (.*) ✅""),'Country prepositions'!A:B, 2, 0) &amp; "" "" &amp; REGEXEXTRACT(C3863, ""🏘️ \w+ \w+ (.*) ✅"") ,  if(H3863=""quartier"",vlookup(REGEXEXTRACT(C3863, ""🏘️ \w+ \w+ (.*) ✅""),'Quartier prepositio"&amp;"ns'!A:E, 5, 0) ,  if(H3863=""region"",vlookup(REGEXEXTRACT(C3863, ""🏘️ \w+ \w+ (.*) ✅""),'Region prepositions'!B:F, 5, 0),  REGEXEXTRACT(C3863, ""🏘️ \w+ \w+ (.*) ✅""))))"),"#N/A")</f>
        <v>#N/A</v>
      </c>
      <c r="I3863" s="4" t="str">
        <f>IFERROR(__xludf.DUMMYFUNCTION("if(D3863=""variant"",  substitute(filter(Templates!E:E, Templates!A:A = F3863, Templates!B:B = G3863, Templates!C:C = H3863), ""{{}}"", E3863), B3863)"),"Vendre maison Colombier VD: Trouvez le bien immobilier qui correspond idéalement à vos désirs sur ImmoScout24 - La plateforme de l'immobilier en Suisse.")</f>
        <v>Vendre maison Colombier VD: Trouvez le bien immobilier qui correspond idéalement à vos désirs sur ImmoScout24 - La plateforme de l'immobilier en Suisse.</v>
      </c>
    </row>
    <row r="3864" hidden="1">
      <c r="A3864" s="5" t="s">
        <v>10830</v>
      </c>
      <c r="B3864" s="2" t="s">
        <v>10831</v>
      </c>
      <c r="C3864" s="2" t="s">
        <v>10831</v>
      </c>
      <c r="D3864" s="4" t="str">
        <f>vlookup(A3864, Sheet2!D:E, 2, 0)</f>
        <v>control</v>
      </c>
      <c r="E3864" s="4" t="str">
        <f>IFERROR(__xludf.DUMMYFUNCTION("if(H3864=""pays"",vlookup(REGEXEXTRACT(C3864, ""🏘️ \w+ \w+ (.*) ✅""),'Country prepositions'!A:B, 2, 0) &amp; "" "" &amp; REGEXEXTRACT(C3864, ""🏘️ \w+ \w+ (.*) ✅"") ,  if(H3864=""quartier"",vlookup(REGEXEXTRACT(C3864, ""🏘️ \w+ \w+ (.*) ✅""),'Quartier prepositio"&amp;"ns'!A:E, 5, 0) ,  if(H3864=""region"",vlookup(REGEXEXTRACT(C3864, ""🏘️ \w+ \w+ (.*) ✅""),'Region prepositions'!B:F, 5, 0),  REGEXEXTRACT(C3864, ""🏘️ \w+ \w+ (.*) ✅""))))"),"#N/A")</f>
        <v>#N/A</v>
      </c>
      <c r="I3864" s="4" t="str">
        <f>IFERROR(__xludf.DUMMYFUNCTION("if(D3864=""variant"",  substitute(filter(Templates!E:E, Templates!A:A = F3864, Templates!B:B = G3864, Templates!C:C = H3864), ""{{}}"", E3864), B3864)"),"Louer maison Chavornay: Trouvez le bien immobilier qui correspond idéalement à vos désirs sur ImmoScout24 - La plateforme de l'immobilier en Suisse.")</f>
        <v>Louer maison Chavornay: Trouvez le bien immobilier qui correspond idéalement à vos désirs sur ImmoScout24 - La plateforme de l'immobilier en Suisse.</v>
      </c>
    </row>
    <row r="3865" hidden="1">
      <c r="A3865" s="5" t="s">
        <v>10832</v>
      </c>
      <c r="B3865" s="2" t="s">
        <v>10833</v>
      </c>
      <c r="C3865" s="2" t="s">
        <v>10833</v>
      </c>
      <c r="D3865" s="4" t="str">
        <f>vlookup(A3865, Sheet2!D:E, 2, 0)</f>
        <v>control</v>
      </c>
      <c r="E3865" s="4" t="str">
        <f>IFERROR(__xludf.DUMMYFUNCTION("if(H3865=""pays"",vlookup(REGEXEXTRACT(C3865, ""🏘️ \w+ \w+ (.*) ✅""),'Country prepositions'!A:B, 2, 0) &amp; "" "" &amp; REGEXEXTRACT(C3865, ""🏘️ \w+ \w+ (.*) ✅"") ,  if(H3865=""quartier"",vlookup(REGEXEXTRACT(C3865, ""🏘️ \w+ \w+ (.*) ✅""),'Quartier prepositio"&amp;"ns'!A:E, 5, 0) ,  if(H3865=""region"",vlookup(REGEXEXTRACT(C3865, ""🏘️ \w+ \w+ (.*) ✅""),'Region prepositions'!B:F, 5, 0),  REGEXEXTRACT(C3865, ""🏘️ \w+ \w+ (.*) ✅""))))"),"#N/A")</f>
        <v>#N/A</v>
      </c>
      <c r="I3865" s="4" t="str">
        <f>IFERROR(__xludf.DUMMYFUNCTION("if(D3865=""variant"",  substitute(filter(Templates!E:E, Templates!A:A = F3865, Templates!B:B = G3865, Templates!C:C = H3865), ""{{}}"", E3865), B3865)"),"Louer appartement Giffers: Trouvez le bien immobilier qui correspond idéalement à vos désirs sur ImmoScout24 - La plateforme de l'immobilier en Suisse.")</f>
        <v>Louer appartement Giffers: Trouvez le bien immobilier qui correspond idéalement à vos désirs sur ImmoScout24 - La plateforme de l'immobilier en Suisse.</v>
      </c>
    </row>
    <row r="3866" hidden="1">
      <c r="A3866" s="5" t="s">
        <v>10834</v>
      </c>
      <c r="B3866" s="2" t="s">
        <v>10835</v>
      </c>
      <c r="C3866" s="2" t="s">
        <v>10835</v>
      </c>
      <c r="D3866" s="4" t="str">
        <f>vlookup(A3866, Sheet2!D:E, 2, 0)</f>
        <v>control</v>
      </c>
      <c r="E3866" s="4" t="str">
        <f>IFERROR(__xludf.DUMMYFUNCTION("if(H3866=""pays"",vlookup(REGEXEXTRACT(C3866, ""🏘️ \w+ \w+ (.*) ✅""),'Country prepositions'!A:B, 2, 0) &amp; "" "" &amp; REGEXEXTRACT(C3866, ""🏘️ \w+ \w+ (.*) ✅"") ,  if(H3866=""quartier"",vlookup(REGEXEXTRACT(C3866, ""🏘️ \w+ \w+ (.*) ✅""),'Quartier prepositio"&amp;"ns'!A:E, 5, 0) ,  if(H3866=""region"",vlookup(REGEXEXTRACT(C3866, ""🏘️ \w+ \w+ (.*) ✅""),'Region prepositions'!B:F, 5, 0),  REGEXEXTRACT(C3866, ""🏘️ \w+ \w+ (.*) ✅""))))"),"#N/A")</f>
        <v>#N/A</v>
      </c>
      <c r="I3866" s="4" t="str">
        <f>IFERROR(__xludf.DUMMYFUNCTION("if(D3866=""variant"",  substitute(filter(Templates!E:E, Templates!A:A = F3866, Templates!B:B = G3866, Templates!C:C = H3866), ""{{}}"", E3866), B3866)"),"Vendre maison Broc: Trouvez le bien immobilier qui correspond idéalement à vos désirs sur ImmoScout24 - La plateforme de l'immobilier en Suisse.")</f>
        <v>Vendre maison Broc: Trouvez le bien immobilier qui correspond idéalement à vos désirs sur ImmoScout24 - La plateforme de l'immobilier en Suisse.</v>
      </c>
    </row>
    <row r="3867" hidden="1">
      <c r="A3867" s="5" t="s">
        <v>10836</v>
      </c>
      <c r="B3867" s="2" t="s">
        <v>10837</v>
      </c>
      <c r="C3867" s="2" t="s">
        <v>10837</v>
      </c>
      <c r="D3867" s="4" t="str">
        <f>vlookup(A3867, Sheet2!D:E, 2, 0)</f>
        <v>control</v>
      </c>
      <c r="E3867" s="4" t="str">
        <f>IFERROR(__xludf.DUMMYFUNCTION("if(H3867=""pays"",vlookup(REGEXEXTRACT(C3867, ""🏘️ \w+ \w+ (.*) ✅""),'Country prepositions'!A:B, 2, 0) &amp; "" "" &amp; REGEXEXTRACT(C3867, ""🏘️ \w+ \w+ (.*) ✅"") ,  if(H3867=""quartier"",vlookup(REGEXEXTRACT(C3867, ""🏘️ \w+ \w+ (.*) ✅""),'Quartier prepositio"&amp;"ns'!A:E, 5, 0) ,  if(H3867=""region"",vlookup(REGEXEXTRACT(C3867, ""🏘️ \w+ \w+ (.*) ✅""),'Region prepositions'!B:F, 5, 0),  REGEXEXTRACT(C3867, ""🏘️ \w+ \w+ (.*) ✅""))))"),"#N/A")</f>
        <v>#N/A</v>
      </c>
      <c r="I3867" s="4" t="str">
        <f>IFERROR(__xludf.DUMMYFUNCTION("if(D3867=""variant"",  substitute(filter(Templates!E:E, Templates!A:A = F3867, Templates!B:B = G3867, Templates!C:C = H3867), ""{{}}"", E3867), B3867)"),"Vendre maison Hasle b. Burgdorf: Trouvez le bien immobilier qui correspond idéalement à vos désirs sur ImmoScout24 - La plateforme de l'immobilier en Suisse.")</f>
        <v>Vendre maison Hasle b. Burgdorf: Trouvez le bien immobilier qui correspond idéalement à vos désirs sur ImmoScout24 - La plateforme de l'immobilier en Suisse.</v>
      </c>
    </row>
    <row r="3868" hidden="1">
      <c r="A3868" s="5" t="s">
        <v>10838</v>
      </c>
      <c r="B3868" s="2" t="s">
        <v>10839</v>
      </c>
      <c r="C3868" s="2" t="s">
        <v>10839</v>
      </c>
      <c r="D3868" s="4" t="str">
        <f>vlookup(A3868, Sheet2!D:E, 2, 0)</f>
        <v>control</v>
      </c>
      <c r="E3868" s="4" t="str">
        <f>IFERROR(__xludf.DUMMYFUNCTION("if(H3868=""pays"",vlookup(REGEXEXTRACT(C3868, ""🏘️ \w+ \w+ (.*) ✅""),'Country prepositions'!A:B, 2, 0) &amp; "" "" &amp; REGEXEXTRACT(C3868, ""🏘️ \w+ \w+ (.*) ✅"") ,  if(H3868=""quartier"",vlookup(REGEXEXTRACT(C3868, ""🏘️ \w+ \w+ (.*) ✅""),'Quartier prepositio"&amp;"ns'!A:E, 5, 0) ,  if(H3868=""region"",vlookup(REGEXEXTRACT(C3868, ""🏘️ \w+ \w+ (.*) ✅""),'Region prepositions'!B:F, 5, 0),  REGEXEXTRACT(C3868, ""🏘️ \w+ \w+ (.*) ✅""))))"),"#N/A")</f>
        <v>#N/A</v>
      </c>
      <c r="I3868" s="4" t="str">
        <f>IFERROR(__xludf.DUMMYFUNCTION("if(D3868=""variant"",  substitute(filter(Templates!E:E, Templates!A:A = F3868, Templates!B:B = G3868, Templates!C:C = H3868), ""{{}}"", E3868), B3868)"),"Vendre maison Bonnefontaine: Trouvez le bien immobilier qui correspond idéalement à vos désirs sur ImmoScout24 - La plateforme de l'immobilier en Suisse.")</f>
        <v>Vendre maison Bonnefontaine: Trouvez le bien immobilier qui correspond idéalement à vos désirs sur ImmoScout24 - La plateforme de l'immobilier en Suisse.</v>
      </c>
    </row>
    <row r="3869" hidden="1">
      <c r="A3869" s="5" t="s">
        <v>10840</v>
      </c>
      <c r="B3869" s="2" t="s">
        <v>10841</v>
      </c>
      <c r="C3869" s="2" t="s">
        <v>10841</v>
      </c>
      <c r="D3869" s="4" t="str">
        <f>vlookup(A3869, Sheet2!D:E, 2, 0)</f>
        <v>control</v>
      </c>
      <c r="E3869" s="4" t="str">
        <f>IFERROR(__xludf.DUMMYFUNCTION("if(H3869=""pays"",vlookup(REGEXEXTRACT(C3869, ""🏘️ \w+ \w+ (.*) ✅""),'Country prepositions'!A:B, 2, 0) &amp; "" "" &amp; REGEXEXTRACT(C3869, ""🏘️ \w+ \w+ (.*) ✅"") ,  if(H3869=""quartier"",vlookup(REGEXEXTRACT(C3869, ""🏘️ \w+ \w+ (.*) ✅""),'Quartier prepositio"&amp;"ns'!A:E, 5, 0) ,  if(H3869=""region"",vlookup(REGEXEXTRACT(C3869, ""🏘️ \w+ \w+ (.*) ✅""),'Region prepositions'!B:F, 5, 0),  REGEXEXTRACT(C3869, ""🏘️ \w+ \w+ (.*) ✅""))))"),"#N/A")</f>
        <v>#N/A</v>
      </c>
      <c r="I3869" s="4" t="str">
        <f>IFERROR(__xludf.DUMMYFUNCTION("if(D3869=""variant"",  substitute(filter(Templates!E:E, Templates!A:A = F3869, Templates!B:B = G3869, Templates!C:C = H3869), ""{{}}"", E3869), B3869)"),"Louer appartement Castagnola: Trouvez le bien immobilier qui correspond idéalement à vos désirs sur ImmoScout24 - La plateforme de l'immobilier en Suisse.")</f>
        <v>Louer appartement Castagnola: Trouvez le bien immobilier qui correspond idéalement à vos désirs sur ImmoScout24 - La plateforme de l'immobilier en Suisse.</v>
      </c>
    </row>
    <row r="3870" hidden="1">
      <c r="A3870" s="5" t="s">
        <v>10842</v>
      </c>
      <c r="B3870" s="2" t="s">
        <v>10843</v>
      </c>
      <c r="C3870" s="2" t="s">
        <v>10843</v>
      </c>
      <c r="D3870" s="4" t="str">
        <f>vlookup(A3870, Sheet2!D:E, 2, 0)</f>
        <v>control</v>
      </c>
      <c r="E3870" s="4" t="str">
        <f>IFERROR(__xludf.DUMMYFUNCTION("if(H3870=""pays"",vlookup(REGEXEXTRACT(C3870, ""🏘️ \w+ \w+ (.*) ✅""),'Country prepositions'!A:B, 2, 0) &amp; "" "" &amp; REGEXEXTRACT(C3870, ""🏘️ \w+ \w+ (.*) ✅"") ,  if(H3870=""quartier"",vlookup(REGEXEXTRACT(C3870, ""🏘️ \w+ \w+ (.*) ✅""),'Quartier prepositio"&amp;"ns'!A:E, 5, 0) ,  if(H3870=""region"",vlookup(REGEXEXTRACT(C3870, ""🏘️ \w+ \w+ (.*) ✅""),'Region prepositions'!B:F, 5, 0),  REGEXEXTRACT(C3870, ""🏘️ \w+ \w+ (.*) ✅""))))"),"#N/A")</f>
        <v>#N/A</v>
      </c>
      <c r="I3870" s="4" t="str">
        <f>IFERROR(__xludf.DUMMYFUNCTION("if(D3870=""variant"",  substitute(filter(Templates!E:E, Templates!A:A = F3870, Templates!B:B = G3870, Templates!C:C = H3870), ""{{}}"", E3870), B3870)"),"Louer appartement Villarsiviriaux: Trouvez le bien immobilier qui correspond idéalement à vos désirs sur ImmoScout24 - La plateforme de l'immobilier en Suisse.")</f>
        <v>Louer appartement Villarsiviriaux: Trouvez le bien immobilier qui correspond idéalement à vos désirs sur ImmoScout24 - La plateforme de l'immobilier en Suisse.</v>
      </c>
    </row>
    <row r="3871" hidden="1">
      <c r="A3871" s="5" t="s">
        <v>10844</v>
      </c>
      <c r="B3871" s="2" t="s">
        <v>10845</v>
      </c>
      <c r="C3871" s="2" t="s">
        <v>10845</v>
      </c>
      <c r="D3871" s="4" t="str">
        <f>vlookup(A3871, Sheet2!D:E, 2, 0)</f>
        <v>control</v>
      </c>
      <c r="E3871" s="4" t="str">
        <f>IFERROR(__xludf.DUMMYFUNCTION("if(H3871=""pays"",vlookup(REGEXEXTRACT(C3871, ""🏘️ \w+ \w+ (.*) ✅""),'Country prepositions'!A:B, 2, 0) &amp; "" "" &amp; REGEXEXTRACT(C3871, ""🏘️ \w+ \w+ (.*) ✅"") ,  if(H3871=""quartier"",vlookup(REGEXEXTRACT(C3871, ""🏘️ \w+ \w+ (.*) ✅""),'Quartier prepositio"&amp;"ns'!A:E, 5, 0) ,  if(H3871=""region"",vlookup(REGEXEXTRACT(C3871, ""🏘️ \w+ \w+ (.*) ✅""),'Region prepositions'!B:F, 5, 0),  REGEXEXTRACT(C3871, ""🏘️ \w+ \w+ (.*) ✅""))))"),"#N/A")</f>
        <v>#N/A</v>
      </c>
      <c r="I3871" s="4" t="str">
        <f>IFERROR(__xludf.DUMMYFUNCTION("if(D3871=""variant"",  substitute(filter(Templates!E:E, Templates!A:A = F3871, Templates!B:B = G3871, Templates!C:C = H3871), ""{{}}"", E3871), B3871)"),"Louer maison La Tanne: Trouvez le bien immobilier qui correspond idéalement à vos désirs sur ImmoScout24 - La plateforme de l'immobilier en Suisse.")</f>
        <v>Louer maison La Tanne: Trouvez le bien immobilier qui correspond idéalement à vos désirs sur ImmoScout24 - La plateforme de l'immobilier en Suisse.</v>
      </c>
    </row>
    <row r="3872" hidden="1">
      <c r="A3872" s="5" t="s">
        <v>10846</v>
      </c>
      <c r="B3872" s="2" t="s">
        <v>10847</v>
      </c>
      <c r="C3872" s="2" t="s">
        <v>10847</v>
      </c>
      <c r="D3872" s="4" t="str">
        <f>vlookup(A3872, Sheet2!D:E, 2, 0)</f>
        <v>control</v>
      </c>
      <c r="E3872" s="4" t="str">
        <f>IFERROR(__xludf.DUMMYFUNCTION("if(H3872=""pays"",vlookup(REGEXEXTRACT(C3872, ""🏘️ \w+ \w+ (.*) ✅""),'Country prepositions'!A:B, 2, 0) &amp; "" "" &amp; REGEXEXTRACT(C3872, ""🏘️ \w+ \w+ (.*) ✅"") ,  if(H3872=""quartier"",vlookup(REGEXEXTRACT(C3872, ""🏘️ \w+ \w+ (.*) ✅""),'Quartier prepositio"&amp;"ns'!A:E, 5, 0) ,  if(H3872=""region"",vlookup(REGEXEXTRACT(C3872, ""🏘️ \w+ \w+ (.*) ✅""),'Region prepositions'!B:F, 5, 0),  REGEXEXTRACT(C3872, ""🏘️ \w+ \w+ (.*) ✅""))))"),"#N/A")</f>
        <v>#N/A</v>
      </c>
      <c r="I3872" s="4" t="str">
        <f>IFERROR(__xludf.DUMMYFUNCTION("if(D3872=""variant"",  substitute(filter(Templates!E:E, Templates!A:A = F3872, Templates!B:B = G3872, Templates!C:C = H3872), ""{{}}"", E3872), B3872)"),"Vendre appartement Bournens: Trouvez le bien immobilier qui correspond idéalement à vos désirs sur ImmoScout24 - La plateforme de l'immobilier en Suisse.")</f>
        <v>Vendre appartement Bournens: Trouvez le bien immobilier qui correspond idéalement à vos désirs sur ImmoScout24 - La plateforme de l'immobilier en Suisse.</v>
      </c>
    </row>
    <row r="3873" hidden="1">
      <c r="A3873" s="5" t="s">
        <v>10848</v>
      </c>
      <c r="B3873" s="2" t="s">
        <v>10849</v>
      </c>
      <c r="C3873" s="2" t="s">
        <v>10849</v>
      </c>
      <c r="D3873" s="4" t="str">
        <f>vlookup(A3873, Sheet2!D:E, 2, 0)</f>
        <v>control</v>
      </c>
      <c r="E3873" s="4" t="str">
        <f>IFERROR(__xludf.DUMMYFUNCTION("if(H3873=""pays"",vlookup(REGEXEXTRACT(C3873, ""🏘️ \w+ \w+ (.*) ✅""),'Country prepositions'!A:B, 2, 0) &amp; "" "" &amp; REGEXEXTRACT(C3873, ""🏘️ \w+ \w+ (.*) ✅"") ,  if(H3873=""quartier"",vlookup(REGEXEXTRACT(C3873, ""🏘️ \w+ \w+ (.*) ✅""),'Quartier prepositio"&amp;"ns'!A:E, 5, 0) ,  if(H3873=""region"",vlookup(REGEXEXTRACT(C3873, ""🏘️ \w+ \w+ (.*) ✅""),'Region prepositions'!B:F, 5, 0),  REGEXEXTRACT(C3873, ""🏘️ \w+ \w+ (.*) ✅""))))"),"#N/A")</f>
        <v>#N/A</v>
      </c>
      <c r="I3873" s="4" t="str">
        <f>IFERROR(__xludf.DUMMYFUNCTION("if(D3873=""variant"",  substitute(filter(Templates!E:E, Templates!A:A = F3873, Templates!B:B = G3873, Templates!C:C = H3873), ""{{}}"", E3873), B3873)"),"Vendre maison Hüttwilen: Trouvez le bien immobilier qui correspond idéalement à vos désirs sur ImmoScout24 - La plateforme de l'immobilier en Suisse.")</f>
        <v>Vendre maison Hüttwilen: Trouvez le bien immobilier qui correspond idéalement à vos désirs sur ImmoScout24 - La plateforme de l'immobilier en Suisse.</v>
      </c>
    </row>
    <row r="3874" hidden="1">
      <c r="A3874" s="5" t="s">
        <v>10850</v>
      </c>
      <c r="B3874" s="2" t="s">
        <v>10851</v>
      </c>
      <c r="C3874" s="2" t="s">
        <v>10851</v>
      </c>
      <c r="D3874" s="4" t="str">
        <f>vlookup(A3874, Sheet2!D:E, 2, 0)</f>
        <v>control</v>
      </c>
      <c r="E3874" s="4" t="str">
        <f>IFERROR(__xludf.DUMMYFUNCTION("if(H3874=""pays"",vlookup(REGEXEXTRACT(C3874, ""🏘️ \w+ \w+ (.*) ✅""),'Country prepositions'!A:B, 2, 0) &amp; "" "" &amp; REGEXEXTRACT(C3874, ""🏘️ \w+ \w+ (.*) ✅"") ,  if(H3874=""quartier"",vlookup(REGEXEXTRACT(C3874, ""🏘️ \w+ \w+ (.*) ✅""),'Quartier prepositio"&amp;"ns'!A:E, 5, 0) ,  if(H3874=""region"",vlookup(REGEXEXTRACT(C3874, ""🏘️ \w+ \w+ (.*) ✅""),'Region prepositions'!B:F, 5, 0),  REGEXEXTRACT(C3874, ""🏘️ \w+ \w+ (.*) ✅""))))"),"#N/A")</f>
        <v>#N/A</v>
      </c>
      <c r="I3874" s="4" t="str">
        <f>IFERROR(__xludf.DUMMYFUNCTION("if(D3874=""variant"",  substitute(filter(Templates!E:E, Templates!A:A = F3874, Templates!B:B = G3874, Templates!C:C = H3874), ""{{}}"", E3874), B3874)"),"Louer appartement Flums: Trouvez le bien immobilier qui correspond idéalement à vos désirs sur ImmoScout24 - La plateforme de l'immobilier en Suisse.")</f>
        <v>Louer appartement Flums: Trouvez le bien immobilier qui correspond idéalement à vos désirs sur ImmoScout24 - La plateforme de l'immobilier en Suisse.</v>
      </c>
    </row>
    <row r="3875" hidden="1">
      <c r="A3875" s="5" t="s">
        <v>10852</v>
      </c>
      <c r="B3875" s="2" t="s">
        <v>10853</v>
      </c>
      <c r="C3875" s="2" t="s">
        <v>10853</v>
      </c>
      <c r="D3875" s="4" t="str">
        <f>vlookup(A3875, Sheet2!D:E, 2, 0)</f>
        <v>control</v>
      </c>
      <c r="E3875" s="4" t="str">
        <f>IFERROR(__xludf.DUMMYFUNCTION("if(H3875=""pays"",vlookup(REGEXEXTRACT(C3875, ""🏘️ \w+ \w+ (.*) ✅""),'Country prepositions'!A:B, 2, 0) &amp; "" "" &amp; REGEXEXTRACT(C3875, ""🏘️ \w+ \w+ (.*) ✅"") ,  if(H3875=""quartier"",vlookup(REGEXEXTRACT(C3875, ""🏘️ \w+ \w+ (.*) ✅""),'Quartier prepositio"&amp;"ns'!A:E, 5, 0) ,  if(H3875=""region"",vlookup(REGEXEXTRACT(C3875, ""🏘️ \w+ \w+ (.*) ✅""),'Region prepositions'!B:F, 5, 0),  REGEXEXTRACT(C3875, ""🏘️ \w+ \w+ (.*) ✅""))))"),"#N/A")</f>
        <v>#N/A</v>
      </c>
      <c r="I3875" s="4" t="str">
        <f>IFERROR(__xludf.DUMMYFUNCTION("if(D3875=""variant"",  substitute(filter(Templates!E:E, Templates!A:A = F3875, Templates!B:B = G3875, Templates!C:C = H3875), ""{{}}"", E3875), B3875)"),"Vendre maison Ruvigliana: Trouvez le bien immobilier qui correspond idéalement à vos désirs sur ImmoScout24 - La plateforme de l'immobilier en Suisse.")</f>
        <v>Vendre maison Ruvigliana: Trouvez le bien immobilier qui correspond idéalement à vos désirs sur ImmoScout24 - La plateforme de l'immobilier en Suisse.</v>
      </c>
    </row>
    <row r="3876" hidden="1">
      <c r="A3876" s="5" t="s">
        <v>10854</v>
      </c>
      <c r="B3876" s="2" t="s">
        <v>10855</v>
      </c>
      <c r="C3876" s="2" t="s">
        <v>10855</v>
      </c>
      <c r="D3876" s="4" t="str">
        <f>vlookup(A3876, Sheet2!D:E, 2, 0)</f>
        <v>control</v>
      </c>
      <c r="E3876" s="4" t="str">
        <f>IFERROR(__xludf.DUMMYFUNCTION("if(H3876=""pays"",vlookup(REGEXEXTRACT(C3876, ""🏘️ \w+ \w+ (.*) ✅""),'Country prepositions'!A:B, 2, 0) &amp; "" "" &amp; REGEXEXTRACT(C3876, ""🏘️ \w+ \w+ (.*) ✅"") ,  if(H3876=""quartier"",vlookup(REGEXEXTRACT(C3876, ""🏘️ \w+ \w+ (.*) ✅""),'Quartier prepositio"&amp;"ns'!A:E, 5, 0) ,  if(H3876=""region"",vlookup(REGEXEXTRACT(C3876, ""🏘️ \w+ \w+ (.*) ✅""),'Region prepositions'!B:F, 5, 0),  REGEXEXTRACT(C3876, ""🏘️ \w+ \w+ (.*) ✅""))))"),"#N/A")</f>
        <v>#N/A</v>
      </c>
      <c r="I3876" s="4" t="str">
        <f>IFERROR(__xludf.DUMMYFUNCTION("if(D3876=""variant"",  substitute(filter(Templates!E:E, Templates!A:A = F3876, Templates!B:B = G3876, Templates!C:C = H3876), ""{{}}"", E3876), B3876)"),"Vendre maison Pratteln: Trouvez le bien immobilier qui correspond idéalement à vos désirs sur ImmoScout24 - La plateforme de l'immobilier en Suisse.")</f>
        <v>Vendre maison Pratteln: Trouvez le bien immobilier qui correspond idéalement à vos désirs sur ImmoScout24 - La plateforme de l'immobilier en Suisse.</v>
      </c>
    </row>
    <row r="3877" hidden="1">
      <c r="A3877" s="5" t="s">
        <v>10856</v>
      </c>
      <c r="B3877" s="2" t="s">
        <v>10857</v>
      </c>
      <c r="C3877" s="2" t="s">
        <v>10857</v>
      </c>
      <c r="D3877" s="4" t="str">
        <f>vlookup(A3877, Sheet2!D:E, 2, 0)</f>
        <v>control</v>
      </c>
      <c r="E3877" s="4" t="str">
        <f>IFERROR(__xludf.DUMMYFUNCTION("if(H3877=""pays"",vlookup(REGEXEXTRACT(C3877, ""🏘️ \w+ \w+ (.*) ✅""),'Country prepositions'!A:B, 2, 0) &amp; "" "" &amp; REGEXEXTRACT(C3877, ""🏘️ \w+ \w+ (.*) ✅"") ,  if(H3877=""quartier"",vlookup(REGEXEXTRACT(C3877, ""🏘️ \w+ \w+ (.*) ✅""),'Quartier prepositio"&amp;"ns'!A:E, 5, 0) ,  if(H3877=""region"",vlookup(REGEXEXTRACT(C3877, ""🏘️ \w+ \w+ (.*) ✅""),'Region prepositions'!B:F, 5, 0),  REGEXEXTRACT(C3877, ""🏘️ \w+ \w+ (.*) ✅""))))"),"#N/A")</f>
        <v>#N/A</v>
      </c>
      <c r="I3877" s="4" t="str">
        <f>IFERROR(__xludf.DUMMYFUNCTION("if(D3877=""variant"",  substitute(filter(Templates!E:E, Templates!A:A = F3877, Templates!B:B = G3877, Templates!C:C = H3877), ""{{}}"", E3877), B3877)"),"Louer appartement Muesmatt (Berne): Trouvez le bien immobilier qui correspond idéalement à vos désirs sur ImmoScout24 - La plateforme de l'immobilier en Suisse.")</f>
        <v>Louer appartement Muesmatt (Berne): Trouvez le bien immobilier qui correspond idéalement à vos désirs sur ImmoScout24 - La plateforme de l'immobilier en Suisse.</v>
      </c>
    </row>
    <row r="3878" hidden="1">
      <c r="A3878" s="5" t="s">
        <v>10858</v>
      </c>
      <c r="B3878" s="2" t="s">
        <v>10859</v>
      </c>
      <c r="C3878" s="2" t="s">
        <v>10859</v>
      </c>
      <c r="D3878" s="4" t="str">
        <f>vlookup(A3878, Sheet2!D:E, 2, 0)</f>
        <v>control</v>
      </c>
      <c r="E3878" s="4" t="str">
        <f>IFERROR(__xludf.DUMMYFUNCTION("if(H3878=""pays"",vlookup(REGEXEXTRACT(C3878, ""🏘️ \w+ \w+ (.*) ✅""),'Country prepositions'!A:B, 2, 0) &amp; "" "" &amp; REGEXEXTRACT(C3878, ""🏘️ \w+ \w+ (.*) ✅"") ,  if(H3878=""quartier"",vlookup(REGEXEXTRACT(C3878, ""🏘️ \w+ \w+ (.*) ✅""),'Quartier prepositio"&amp;"ns'!A:E, 5, 0) ,  if(H3878=""region"",vlookup(REGEXEXTRACT(C3878, ""🏘️ \w+ \w+ (.*) ✅""),'Region prepositions'!B:F, 5, 0),  REGEXEXTRACT(C3878, ""🏘️ \w+ \w+ (.*) ✅""))))"),"#N/A")</f>
        <v>#N/A</v>
      </c>
      <c r="I3878" s="4" t="str">
        <f>IFERROR(__xludf.DUMMYFUNCTION("if(D3878=""variant"",  substitute(filter(Templates!E:E, Templates!A:A = F3878, Templates!B:B = G3878, Templates!C:C = H3878), ""{{}}"", E3878), B3878)"),"Vendre maison Embrach: Trouvez le bien immobilier qui correspond idéalement à vos désirs sur ImmoScout24 - La plateforme de l'immobilier en Suisse.")</f>
        <v>Vendre maison Embrach: Trouvez le bien immobilier qui correspond idéalement à vos désirs sur ImmoScout24 - La plateforme de l'immobilier en Suisse.</v>
      </c>
    </row>
    <row r="3879" hidden="1">
      <c r="A3879" s="5" t="s">
        <v>10860</v>
      </c>
      <c r="B3879" s="2" t="s">
        <v>10861</v>
      </c>
      <c r="C3879" s="2" t="s">
        <v>10861</v>
      </c>
      <c r="D3879" s="4" t="str">
        <f>vlookup(A3879, Sheet2!D:E, 2, 0)</f>
        <v>control</v>
      </c>
      <c r="E3879" s="4" t="str">
        <f>IFERROR(__xludf.DUMMYFUNCTION("if(H3879=""pays"",vlookup(REGEXEXTRACT(C3879, ""🏘️ \w+ \w+ (.*) ✅""),'Country prepositions'!A:B, 2, 0) &amp; "" "" &amp; REGEXEXTRACT(C3879, ""🏘️ \w+ \w+ (.*) ✅"") ,  if(H3879=""quartier"",vlookup(REGEXEXTRACT(C3879, ""🏘️ \w+ \w+ (.*) ✅""),'Quartier prepositio"&amp;"ns'!A:E, 5, 0) ,  if(H3879=""region"",vlookup(REGEXEXTRACT(C3879, ""🏘️ \w+ \w+ (.*) ✅""),'Region prepositions'!B:F, 5, 0),  REGEXEXTRACT(C3879, ""🏘️ \w+ \w+ (.*) ✅""))))"),"#N/A")</f>
        <v>#N/A</v>
      </c>
      <c r="I3879" s="4" t="str">
        <f>IFERROR(__xludf.DUMMYFUNCTION("if(D3879=""variant"",  substitute(filter(Templates!E:E, Templates!A:A = F3879, Templates!B:B = G3879, Templates!C:C = H3879), ""{{}}"", E3879), B3879)"),"Louer maison Pont-la-Ville: Trouvez le bien immobilier qui correspond idéalement à vos désirs sur ImmoScout24 - La plateforme de l'immobilier en Suisse.")</f>
        <v>Louer maison Pont-la-Ville: Trouvez le bien immobilier qui correspond idéalement à vos désirs sur ImmoScout24 - La plateforme de l'immobilier en Suisse.</v>
      </c>
    </row>
    <row r="3880" hidden="1">
      <c r="A3880" s="5" t="s">
        <v>10862</v>
      </c>
      <c r="B3880" s="2" t="s">
        <v>10863</v>
      </c>
      <c r="C3880" s="2" t="s">
        <v>10863</v>
      </c>
      <c r="D3880" s="4" t="str">
        <f>vlookup(A3880, Sheet2!D:E, 2, 0)</f>
        <v>control</v>
      </c>
      <c r="E3880" s="4" t="str">
        <f>IFERROR(__xludf.DUMMYFUNCTION("if(H3880=""pays"",vlookup(REGEXEXTRACT(C3880, ""🏘️ \w+ \w+ (.*) ✅""),'Country prepositions'!A:B, 2, 0) &amp; "" "" &amp; REGEXEXTRACT(C3880, ""🏘️ \w+ \w+ (.*) ✅"") ,  if(H3880=""quartier"",vlookup(REGEXEXTRACT(C3880, ""🏘️ \w+ \w+ (.*) ✅""),'Quartier prepositio"&amp;"ns'!A:E, 5, 0) ,  if(H3880=""region"",vlookup(REGEXEXTRACT(C3880, ""🏘️ \w+ \w+ (.*) ✅""),'Region prepositions'!B:F, 5, 0),  REGEXEXTRACT(C3880, ""🏘️ \w+ \w+ (.*) ✅""))))"),"#N/A")</f>
        <v>#N/A</v>
      </c>
      <c r="I3880" s="4" t="str">
        <f>IFERROR(__xludf.DUMMYFUNCTION("if(D3880=""variant"",  substitute(filter(Templates!E:E, Templates!A:A = F3880, Templates!B:B = G3880, Templates!C:C = H3880), ""{{}}"", E3880), B3880)"),"Vendre maison Beundenfeld (Berne): Trouvez le bien immobilier qui correspond idéalement à vos désirs sur ImmoScout24 - La plateforme de l'immobilier en Suisse.")</f>
        <v>Vendre maison Beundenfeld (Berne): Trouvez le bien immobilier qui correspond idéalement à vos désirs sur ImmoScout24 - La plateforme de l'immobilier en Suisse.</v>
      </c>
    </row>
    <row r="3881" hidden="1">
      <c r="A3881" s="5" t="s">
        <v>10864</v>
      </c>
      <c r="B3881" s="2" t="s">
        <v>10865</v>
      </c>
      <c r="C3881" s="2" t="s">
        <v>10865</v>
      </c>
      <c r="D3881" s="4" t="str">
        <f>vlookup(A3881, Sheet2!D:E, 2, 0)</f>
        <v>control</v>
      </c>
      <c r="E3881" s="4" t="str">
        <f>IFERROR(__xludf.DUMMYFUNCTION("if(H3881=""pays"",vlookup(REGEXEXTRACT(C3881, ""🏘️ \w+ \w+ (.*) ✅""),'Country prepositions'!A:B, 2, 0) &amp; "" "" &amp; REGEXEXTRACT(C3881, ""🏘️ \w+ \w+ (.*) ✅"") ,  if(H3881=""quartier"",vlookup(REGEXEXTRACT(C3881, ""🏘️ \w+ \w+ (.*) ✅""),'Quartier prepositio"&amp;"ns'!A:E, 5, 0) ,  if(H3881=""region"",vlookup(REGEXEXTRACT(C3881, ""🏘️ \w+ \w+ (.*) ✅""),'Region prepositions'!B:F, 5, 0),  REGEXEXTRACT(C3881, ""🏘️ \w+ \w+ (.*) ✅""))))"),"#N/A")</f>
        <v>#N/A</v>
      </c>
      <c r="I3881" s="4" t="str">
        <f>IFERROR(__xludf.DUMMYFUNCTION("if(D3881=""variant"",  substitute(filter(Templates!E:E, Templates!A:A = F3881, Templates!B:B = G3881, Templates!C:C = H3881), ""{{}}"", E3881), B3881)"),"Louer maison Vuisternens-en-Ogoz: Trouvez le bien immobilier qui correspond idéalement à vos désirs sur ImmoScout24 - La plateforme de l'immobilier en Suisse.")</f>
        <v>Louer maison Vuisternens-en-Ogoz: Trouvez le bien immobilier qui correspond idéalement à vos désirs sur ImmoScout24 - La plateforme de l'immobilier en Suisse.</v>
      </c>
    </row>
    <row r="3882" hidden="1">
      <c r="A3882" s="5" t="s">
        <v>10866</v>
      </c>
      <c r="B3882" s="2" t="s">
        <v>10867</v>
      </c>
      <c r="C3882" s="2" t="s">
        <v>10867</v>
      </c>
      <c r="D3882" s="4" t="str">
        <f>vlookup(A3882, Sheet2!D:E, 2, 0)</f>
        <v>control</v>
      </c>
      <c r="E3882" s="4" t="str">
        <f>IFERROR(__xludf.DUMMYFUNCTION("if(H3882=""pays"",vlookup(REGEXEXTRACT(C3882, ""🏘️ \w+ \w+ (.*) ✅""),'Country prepositions'!A:B, 2, 0) &amp; "" "" &amp; REGEXEXTRACT(C3882, ""🏘️ \w+ \w+ (.*) ✅"") ,  if(H3882=""quartier"",vlookup(REGEXEXTRACT(C3882, ""🏘️ \w+ \w+ (.*) ✅""),'Quartier prepositio"&amp;"ns'!A:E, 5, 0) ,  if(H3882=""region"",vlookup(REGEXEXTRACT(C3882, ""🏘️ \w+ \w+ (.*) ✅""),'Region prepositions'!B:F, 5, 0),  REGEXEXTRACT(C3882, ""🏘️ \w+ \w+ (.*) ✅""))))"),"#N/A")</f>
        <v>#N/A</v>
      </c>
      <c r="I3882" s="4" t="str">
        <f>IFERROR(__xludf.DUMMYFUNCTION("if(D3882=""variant"",  substitute(filter(Templates!E:E, Templates!A:A = F3882, Templates!B:B = G3882, Templates!C:C = H3882), ""{{}}"", E3882), B3882)"),"Vendre appartement Dully: Trouvez le bien immobilier qui correspond idéalement à vos désirs sur ImmoScout24 - La plateforme de l'immobilier en Suisse.")</f>
        <v>Vendre appartement Dully: Trouvez le bien immobilier qui correspond idéalement à vos désirs sur ImmoScout24 - La plateforme de l'immobilier en Suisse.</v>
      </c>
    </row>
    <row r="3883" hidden="1">
      <c r="A3883" s="5" t="s">
        <v>10868</v>
      </c>
      <c r="B3883" s="2" t="s">
        <v>10869</v>
      </c>
      <c r="C3883" s="2" t="s">
        <v>10869</v>
      </c>
      <c r="D3883" s="4" t="str">
        <f>vlookup(A3883, Sheet2!D:E, 2, 0)</f>
        <v>control</v>
      </c>
      <c r="E3883" s="4" t="str">
        <f>IFERROR(__xludf.DUMMYFUNCTION("if(H3883=""pays"",vlookup(REGEXEXTRACT(C3883, ""🏘️ \w+ \w+ (.*) ✅""),'Country prepositions'!A:B, 2, 0) &amp; "" "" &amp; REGEXEXTRACT(C3883, ""🏘️ \w+ \w+ (.*) ✅"") ,  if(H3883=""quartier"",vlookup(REGEXEXTRACT(C3883, ""🏘️ \w+ \w+ (.*) ✅""),'Quartier prepositio"&amp;"ns'!A:E, 5, 0) ,  if(H3883=""region"",vlookup(REGEXEXTRACT(C3883, ""🏘️ \w+ \w+ (.*) ✅""),'Region prepositions'!B:F, 5, 0),  REGEXEXTRACT(C3883, ""🏘️ \w+ \w+ (.*) ✅""))))"),"#N/A")</f>
        <v>#N/A</v>
      </c>
      <c r="I3883" s="4" t="str">
        <f>IFERROR(__xludf.DUMMYFUNCTION("if(D3883=""variant"",  substitute(filter(Templates!E:E, Templates!A:A = F3883, Templates!B:B = G3883, Templates!C:C = H3883), ""{{}}"", E3883), B3883)"),"Vendre maison Chessel: Trouvez le bien immobilier qui correspond idéalement à vos désirs sur ImmoScout24 - La plateforme de l'immobilier en Suisse.")</f>
        <v>Vendre maison Chessel: Trouvez le bien immobilier qui correspond idéalement à vos désirs sur ImmoScout24 - La plateforme de l'immobilier en Suisse.</v>
      </c>
    </row>
    <row r="3884" hidden="1">
      <c r="A3884" s="5" t="s">
        <v>10870</v>
      </c>
      <c r="B3884" s="2" t="s">
        <v>10871</v>
      </c>
      <c r="C3884" s="2" t="s">
        <v>10871</v>
      </c>
      <c r="D3884" s="4" t="str">
        <f>vlookup(A3884, Sheet2!D:E, 2, 0)</f>
        <v>control</v>
      </c>
      <c r="E3884" s="4" t="str">
        <f>IFERROR(__xludf.DUMMYFUNCTION("if(H3884=""pays"",vlookup(REGEXEXTRACT(C3884, ""🏘️ \w+ \w+ (.*) ✅""),'Country prepositions'!A:B, 2, 0) &amp; "" "" &amp; REGEXEXTRACT(C3884, ""🏘️ \w+ \w+ (.*) ✅"") ,  if(H3884=""quartier"",vlookup(REGEXEXTRACT(C3884, ""🏘️ \w+ \w+ (.*) ✅""),'Quartier prepositio"&amp;"ns'!A:E, 5, 0) ,  if(H3884=""region"",vlookup(REGEXEXTRACT(C3884, ""🏘️ \w+ \w+ (.*) ✅""),'Region prepositions'!B:F, 5, 0),  REGEXEXTRACT(C3884, ""🏘️ \w+ \w+ (.*) ✅""))))"),"#N/A")</f>
        <v>#N/A</v>
      </c>
      <c r="I3884" s="4" t="str">
        <f>IFERROR(__xludf.DUMMYFUNCTION("if(D3884=""variant"",  substitute(filter(Templates!E:E, Templates!A:A = F3884, Templates!B:B = G3884, Templates!C:C = H3884), ""{{}}"", E3884), B3884)"),"Louer appartement Forges-Endroits (La Chaux-de-Fonds): Trouvez le bien immobilier qui correspond idéalement à vos désirs sur ImmoScout24 - La plateforme de l'immobilier en Suisse.")</f>
        <v>Louer appartement Forges-Endroits (La Chaux-de-Fonds): Trouvez le bien immobilier qui correspond idéalement à vos désirs sur ImmoScout24 - La plateforme de l'immobilier en Suisse.</v>
      </c>
    </row>
    <row r="3885" hidden="1">
      <c r="A3885" s="5" t="s">
        <v>10872</v>
      </c>
      <c r="B3885" s="2" t="s">
        <v>10873</v>
      </c>
      <c r="C3885" s="2" t="s">
        <v>10873</v>
      </c>
      <c r="D3885" s="4" t="str">
        <f>vlookup(A3885, Sheet2!D:E, 2, 0)</f>
        <v>control</v>
      </c>
      <c r="E3885" s="4" t="str">
        <f>IFERROR(__xludf.DUMMYFUNCTION("if(H3885=""pays"",vlookup(REGEXEXTRACT(C3885, ""🏘️ \w+ \w+ (.*) ✅""),'Country prepositions'!A:B, 2, 0) &amp; "" "" &amp; REGEXEXTRACT(C3885, ""🏘️ \w+ \w+ (.*) ✅"") ,  if(H3885=""quartier"",vlookup(REGEXEXTRACT(C3885, ""🏘️ \w+ \w+ (.*) ✅""),'Quartier prepositio"&amp;"ns'!A:E, 5, 0) ,  if(H3885=""region"",vlookup(REGEXEXTRACT(C3885, ""🏘️ \w+ \w+ (.*) ✅""),'Region prepositions'!B:F, 5, 0),  REGEXEXTRACT(C3885, ""🏘️ \w+ \w+ (.*) ✅""))))"),"#N/A")</f>
        <v>#N/A</v>
      </c>
      <c r="I3885" s="4" t="str">
        <f>IFERROR(__xludf.DUMMYFUNCTION("if(D3885=""variant"",  substitute(filter(Templates!E:E, Templates!A:A = F3885, Templates!B:B = G3885, Templates!C:C = H3885), ""{{}}"", E3885), B3885)"),"Vendre appartement Lausanne 26: Trouvez le bien immobilier qui correspond idéalement à vos désirs sur ImmoScout24 - La plateforme de l'immobilier en Suisse.")</f>
        <v>Vendre appartement Lausanne 26: Trouvez le bien immobilier qui correspond idéalement à vos désirs sur ImmoScout24 - La plateforme de l'immobilier en Suisse.</v>
      </c>
    </row>
    <row r="3886" hidden="1">
      <c r="A3886" s="5" t="s">
        <v>10874</v>
      </c>
      <c r="B3886" s="2" t="s">
        <v>10875</v>
      </c>
      <c r="C3886" s="2" t="s">
        <v>10875</v>
      </c>
      <c r="D3886" s="4" t="str">
        <f>vlookup(A3886, Sheet2!D:E, 2, 0)</f>
        <v>control</v>
      </c>
      <c r="E3886" s="4" t="str">
        <f>IFERROR(__xludf.DUMMYFUNCTION("if(H3886=""pays"",vlookup(REGEXEXTRACT(C3886, ""🏘️ \w+ \w+ (.*) ✅""),'Country prepositions'!A:B, 2, 0) &amp; "" "" &amp; REGEXEXTRACT(C3886, ""🏘️ \w+ \w+ (.*) ✅"") ,  if(H3886=""quartier"",vlookup(REGEXEXTRACT(C3886, ""🏘️ \w+ \w+ (.*) ✅""),'Quartier prepositio"&amp;"ns'!A:E, 5, 0) ,  if(H3886=""region"",vlookup(REGEXEXTRACT(C3886, ""🏘️ \w+ \w+ (.*) ✅""),'Region prepositions'!B:F, 5, 0),  REGEXEXTRACT(C3886, ""🏘️ \w+ \w+ (.*) ✅""))))"),"#N/A")</f>
        <v>#N/A</v>
      </c>
      <c r="I3886" s="4" t="str">
        <f>IFERROR(__xludf.DUMMYFUNCTION("if(D3886=""variant"",  substitute(filter(Templates!E:E, Templates!A:A = F3886, Templates!B:B = G3886, Templates!C:C = H3886), ""{{}}"", E3886), B3886)"),"Louer maison Châtelaine: Trouvez le bien immobilier qui correspond idéalement à vos désirs sur ImmoScout24 - La plateforme de l'immobilier en Suisse.")</f>
        <v>Louer maison Châtelaine: Trouvez le bien immobilier qui correspond idéalement à vos désirs sur ImmoScout24 - La plateforme de l'immobilier en Suisse.</v>
      </c>
    </row>
    <row r="3887" hidden="1">
      <c r="A3887" s="5" t="s">
        <v>10876</v>
      </c>
      <c r="B3887" s="2" t="s">
        <v>10877</v>
      </c>
      <c r="C3887" s="2" t="s">
        <v>10877</v>
      </c>
      <c r="D3887" s="4" t="str">
        <f>vlookup(A3887, Sheet2!D:E, 2, 0)</f>
        <v>control</v>
      </c>
      <c r="E3887" s="4" t="str">
        <f>IFERROR(__xludf.DUMMYFUNCTION("if(H3887=""pays"",vlookup(REGEXEXTRACT(C3887, ""🏘️ \w+ \w+ (.*) ✅""),'Country prepositions'!A:B, 2, 0) &amp; "" "" &amp; REGEXEXTRACT(C3887, ""🏘️ \w+ \w+ (.*) ✅"") ,  if(H3887=""quartier"",vlookup(REGEXEXTRACT(C3887, ""🏘️ \w+ \w+ (.*) ✅""),'Quartier prepositio"&amp;"ns'!A:E, 5, 0) ,  if(H3887=""region"",vlookup(REGEXEXTRACT(C3887, ""🏘️ \w+ \w+ (.*) ✅""),'Region prepositions'!B:F, 5, 0),  REGEXEXTRACT(C3887, ""🏘️ \w+ \w+ (.*) ✅""))))"),"#N/A")</f>
        <v>#N/A</v>
      </c>
      <c r="I3887" s="4" t="str">
        <f>IFERROR(__xludf.DUMMYFUNCTION("if(D3887=""variant"",  substitute(filter(Templates!E:E, Templates!A:A = F3887, Templates!B:B = G3887, Templates!C:C = H3887), ""{{}}"", E3887), B3887)"),"Louer maison Croix-Fédérale (La Chaux-de-Fonds): Trouvez le bien immobilier qui correspond idéalement à vos désirs sur ImmoScout24 - La plateforme de l'immobilier en Suisse.")</f>
        <v>Louer maison Croix-Fédérale (La Chaux-de-Fonds): Trouvez le bien immobilier qui correspond idéalement à vos désirs sur ImmoScout24 - La plateforme de l'immobilier en Suisse.</v>
      </c>
    </row>
    <row r="3888" hidden="1">
      <c r="A3888" s="5" t="s">
        <v>10878</v>
      </c>
      <c r="B3888" s="2" t="s">
        <v>10879</v>
      </c>
      <c r="C3888" s="2" t="s">
        <v>10879</v>
      </c>
      <c r="D3888" s="4" t="str">
        <f>vlookup(A3888, Sheet2!D:E, 2, 0)</f>
        <v>control</v>
      </c>
      <c r="E3888" s="4" t="str">
        <f>IFERROR(__xludf.DUMMYFUNCTION("if(H3888=""pays"",vlookup(REGEXEXTRACT(C3888, ""🏘️ \w+ \w+ (.*) ✅""),'Country prepositions'!A:B, 2, 0) &amp; "" "" &amp; REGEXEXTRACT(C3888, ""🏘️ \w+ \w+ (.*) ✅"") ,  if(H3888=""quartier"",vlookup(REGEXEXTRACT(C3888, ""🏘️ \w+ \w+ (.*) ✅""),'Quartier prepositio"&amp;"ns'!A:E, 5, 0) ,  if(H3888=""region"",vlookup(REGEXEXTRACT(C3888, ""🏘️ \w+ \w+ (.*) ✅""),'Region prepositions'!B:F, 5, 0),  REGEXEXTRACT(C3888, ""🏘️ \w+ \w+ (.*) ✅""))))"),"#N/A")</f>
        <v>#N/A</v>
      </c>
      <c r="I3888" s="4" t="str">
        <f>IFERROR(__xludf.DUMMYFUNCTION("if(D3888=""variant"",  substitute(filter(Templates!E:E, Templates!A:A = F3888, Templates!B:B = G3888, Templates!C:C = H3888), ""{{}}"", E3888), B3888)"),"Louer maison Corcelles NE: Trouvez le bien immobilier qui correspond idéalement à vos désirs sur ImmoScout24 - La plateforme de l'immobilier en Suisse.")</f>
        <v>Louer maison Corcelles NE: Trouvez le bien immobilier qui correspond idéalement à vos désirs sur ImmoScout24 - La plateforme de l'immobilier en Suisse.</v>
      </c>
    </row>
    <row r="3889" hidden="1">
      <c r="A3889" s="5" t="s">
        <v>10880</v>
      </c>
      <c r="B3889" s="2" t="s">
        <v>10881</v>
      </c>
      <c r="C3889" s="2" t="s">
        <v>10881</v>
      </c>
      <c r="D3889" s="4" t="str">
        <f>vlookup(A3889, Sheet2!D:E, 2, 0)</f>
        <v>control</v>
      </c>
      <c r="E3889" s="4" t="str">
        <f>IFERROR(__xludf.DUMMYFUNCTION("if(H3889=""pays"",vlookup(REGEXEXTRACT(C3889, ""🏘️ \w+ \w+ (.*) ✅""),'Country prepositions'!A:B, 2, 0) &amp; "" "" &amp; REGEXEXTRACT(C3889, ""🏘️ \w+ \w+ (.*) ✅"") ,  if(H3889=""quartier"",vlookup(REGEXEXTRACT(C3889, ""🏘️ \w+ \w+ (.*) ✅""),'Quartier prepositio"&amp;"ns'!A:E, 5, 0) ,  if(H3889=""region"",vlookup(REGEXEXTRACT(C3889, ""🏘️ \w+ \w+ (.*) ✅""),'Region prepositions'!B:F, 5, 0),  REGEXEXTRACT(C3889, ""🏘️ \w+ \w+ (.*) ✅""))))"),"#N/A")</f>
        <v>#N/A</v>
      </c>
      <c r="I3889" s="4" t="str">
        <f>IFERROR(__xludf.DUMMYFUNCTION("if(D3889=""variant"",  substitute(filter(Templates!E:E, Templates!A:A = F3889, Templates!B:B = G3889, Templates!C:C = H3889), ""{{}}"", E3889), B3889)"),"Vendre maison Bavois: Trouvez le bien immobilier qui correspond idéalement à vos désirs sur ImmoScout24 - La plateforme de l'immobilier en Suisse.")</f>
        <v>Vendre maison Bavois: Trouvez le bien immobilier qui correspond idéalement à vos désirs sur ImmoScout24 - La plateforme de l'immobilier en Suisse.</v>
      </c>
    </row>
    <row r="3890" hidden="1">
      <c r="A3890" s="5" t="s">
        <v>10882</v>
      </c>
      <c r="B3890" s="2" t="s">
        <v>10883</v>
      </c>
      <c r="C3890" s="2" t="s">
        <v>10883</v>
      </c>
      <c r="D3890" s="4" t="str">
        <f>vlookup(A3890, Sheet2!D:E, 2, 0)</f>
        <v>control</v>
      </c>
      <c r="E3890" s="4" t="str">
        <f>IFERROR(__xludf.DUMMYFUNCTION("if(H3890=""pays"",vlookup(REGEXEXTRACT(C3890, ""🏘️ \w+ \w+ (.*) ✅""),'Country prepositions'!A:B, 2, 0) &amp; "" "" &amp; REGEXEXTRACT(C3890, ""🏘️ \w+ \w+ (.*) ✅"") ,  if(H3890=""quartier"",vlookup(REGEXEXTRACT(C3890, ""🏘️ \w+ \w+ (.*) ✅""),'Quartier prepositio"&amp;"ns'!A:E, 5, 0) ,  if(H3890=""region"",vlookup(REGEXEXTRACT(C3890, ""🏘️ \w+ \w+ (.*) ✅""),'Region prepositions'!B:F, 5, 0),  REGEXEXTRACT(C3890, ""🏘️ \w+ \w+ (.*) ✅""))))"),"#N/A")</f>
        <v>#N/A</v>
      </c>
      <c r="I3890" s="4" t="str">
        <f>IFERROR(__xludf.DUMMYFUNCTION("if(D3890=""variant"",  substitute(filter(Templates!E:E, Templates!A:A = F3890, Templates!B:B = G3890, Templates!C:C = H3890), ""{{}}"", E3890), B3890)"),"Louer appartement Sugnens: Trouvez le bien immobilier qui correspond idéalement à vos désirs sur ImmoScout24 - La plateforme de l'immobilier en Suisse.")</f>
        <v>Louer appartement Sugnens: Trouvez le bien immobilier qui correspond idéalement à vos désirs sur ImmoScout24 - La plateforme de l'immobilier en Suisse.</v>
      </c>
    </row>
    <row r="3891" hidden="1">
      <c r="A3891" s="5" t="s">
        <v>10884</v>
      </c>
      <c r="B3891" s="2" t="s">
        <v>10885</v>
      </c>
      <c r="C3891" s="2" t="s">
        <v>10885</v>
      </c>
      <c r="D3891" s="4" t="str">
        <f>vlookup(A3891, Sheet2!D:E, 2, 0)</f>
        <v>control</v>
      </c>
      <c r="E3891" s="4" t="str">
        <f>IFERROR(__xludf.DUMMYFUNCTION("if(H3891=""pays"",vlookup(REGEXEXTRACT(C3891, ""🏘️ \w+ \w+ (.*) ✅""),'Country prepositions'!A:B, 2, 0) &amp; "" "" &amp; REGEXEXTRACT(C3891, ""🏘️ \w+ \w+ (.*) ✅"") ,  if(H3891=""quartier"",vlookup(REGEXEXTRACT(C3891, ""🏘️ \w+ \w+ (.*) ✅""),'Quartier prepositio"&amp;"ns'!A:E, 5, 0) ,  if(H3891=""region"",vlookup(REGEXEXTRACT(C3891, ""🏘️ \w+ \w+ (.*) ✅""),'Region prepositions'!B:F, 5, 0),  REGEXEXTRACT(C3891, ""🏘️ \w+ \w+ (.*) ✅""))))"),"#N/A")</f>
        <v>#N/A</v>
      </c>
      <c r="I3891" s="4" t="str">
        <f>IFERROR(__xludf.DUMMYFUNCTION("if(D3891=""variant"",  substitute(filter(Templates!E:E, Templates!A:A = F3891, Templates!B:B = G3891, Templates!C:C = H3891), ""{{}}"", E3891), B3891)"),"Vendre appartement Balerna: Trouvez le bien immobilier qui correspond idéalement à vos désirs sur ImmoScout24 - La plateforme de l'immobilier en Suisse.")</f>
        <v>Vendre appartement Balerna: Trouvez le bien immobilier qui correspond idéalement à vos désirs sur ImmoScout24 - La plateforme de l'immobilier en Suisse.</v>
      </c>
    </row>
    <row r="3892" hidden="1">
      <c r="A3892" s="5" t="s">
        <v>10886</v>
      </c>
      <c r="B3892" s="2" t="s">
        <v>10887</v>
      </c>
      <c r="C3892" s="2" t="s">
        <v>10887</v>
      </c>
      <c r="D3892" s="4" t="str">
        <f>vlookup(A3892, Sheet2!D:E, 2, 0)</f>
        <v>control</v>
      </c>
      <c r="E3892" s="4" t="str">
        <f>IFERROR(__xludf.DUMMYFUNCTION("if(H3892=""pays"",vlookup(REGEXEXTRACT(C3892, ""🏘️ \w+ \w+ (.*) ✅""),'Country prepositions'!A:B, 2, 0) &amp; "" "" &amp; REGEXEXTRACT(C3892, ""🏘️ \w+ \w+ (.*) ✅"") ,  if(H3892=""quartier"",vlookup(REGEXEXTRACT(C3892, ""🏘️ \w+ \w+ (.*) ✅""),'Quartier prepositio"&amp;"ns'!A:E, 5, 0) ,  if(H3892=""region"",vlookup(REGEXEXTRACT(C3892, ""🏘️ \w+ \w+ (.*) ✅""),'Region prepositions'!B:F, 5, 0),  REGEXEXTRACT(C3892, ""🏘️ \w+ \w+ (.*) ✅""))))"),"#N/A")</f>
        <v>#N/A</v>
      </c>
      <c r="I3892" s="4" t="str">
        <f>IFERROR(__xludf.DUMMYFUNCTION("if(D3892=""variant"",  substitute(filter(Templates!E:E, Templates!A:A = F3892, Templates!B:B = G3892, Templates!C:C = H3892), ""{{}}"", E3892), B3892)"),"Vendre maison Chaumont: Trouvez le bien immobilier qui correspond idéalement à vos désirs sur ImmoScout24 - La plateforme de l'immobilier en Suisse.")</f>
        <v>Vendre maison Chaumont: Trouvez le bien immobilier qui correspond idéalement à vos désirs sur ImmoScout24 - La plateforme de l'immobilier en Suisse.</v>
      </c>
    </row>
    <row r="3893" hidden="1">
      <c r="A3893" s="5" t="s">
        <v>10888</v>
      </c>
      <c r="B3893" s="2" t="s">
        <v>10889</v>
      </c>
      <c r="C3893" s="2" t="s">
        <v>10889</v>
      </c>
      <c r="D3893" s="4" t="str">
        <f>vlookup(A3893, Sheet2!D:E, 2, 0)</f>
        <v>control</v>
      </c>
      <c r="E3893" s="4" t="str">
        <f>IFERROR(__xludf.DUMMYFUNCTION("if(H3893=""pays"",vlookup(REGEXEXTRACT(C3893, ""🏘️ \w+ \w+ (.*) ✅""),'Country prepositions'!A:B, 2, 0) &amp; "" "" &amp; REGEXEXTRACT(C3893, ""🏘️ \w+ \w+ (.*) ✅"") ,  if(H3893=""quartier"",vlookup(REGEXEXTRACT(C3893, ""🏘️ \w+ \w+ (.*) ✅""),'Quartier prepositio"&amp;"ns'!A:E, 5, 0) ,  if(H3893=""region"",vlookup(REGEXEXTRACT(C3893, ""🏘️ \w+ \w+ (.*) ✅""),'Region prepositions'!B:F, 5, 0),  REGEXEXTRACT(C3893, ""🏘️ \w+ \w+ (.*) ✅""))))"),"#N/A")</f>
        <v>#N/A</v>
      </c>
      <c r="I3893" s="4" t="str">
        <f>IFERROR(__xludf.DUMMYFUNCTION("if(D3893=""variant"",  substitute(filter(Templates!E:E, Templates!A:A = F3893, Templates!B:B = G3893, Templates!C:C = H3893), ""{{}}"", E3893), B3893)"),"Louer appartement Vermes: Trouvez le bien immobilier qui correspond idéalement à vos désirs sur ImmoScout24 - La plateforme de l'immobilier en Suisse.")</f>
        <v>Louer appartement Vermes: Trouvez le bien immobilier qui correspond idéalement à vos désirs sur ImmoScout24 - La plateforme de l'immobilier en Suisse.</v>
      </c>
    </row>
    <row r="3894" hidden="1">
      <c r="A3894" s="5" t="s">
        <v>10890</v>
      </c>
      <c r="B3894" s="2" t="s">
        <v>10891</v>
      </c>
      <c r="C3894" s="2" t="s">
        <v>10891</v>
      </c>
      <c r="D3894" s="4" t="str">
        <f>vlookup(A3894, Sheet2!D:E, 2, 0)</f>
        <v>control</v>
      </c>
      <c r="E3894" s="4" t="str">
        <f>IFERROR(__xludf.DUMMYFUNCTION("if(H3894=""pays"",vlookup(REGEXEXTRACT(C3894, ""🏘️ \w+ \w+ (.*) ✅""),'Country prepositions'!A:B, 2, 0) &amp; "" "" &amp; REGEXEXTRACT(C3894, ""🏘️ \w+ \w+ (.*) ✅"") ,  if(H3894=""quartier"",vlookup(REGEXEXTRACT(C3894, ""🏘️ \w+ \w+ (.*) ✅""),'Quartier prepositio"&amp;"ns'!A:E, 5, 0) ,  if(H3894=""region"",vlookup(REGEXEXTRACT(C3894, ""🏘️ \w+ \w+ (.*) ✅""),'Region prepositions'!B:F, 5, 0),  REGEXEXTRACT(C3894, ""🏘️ \w+ \w+ (.*) ✅""))))"),"#N/A")</f>
        <v>#N/A</v>
      </c>
      <c r="I3894" s="4" t="str">
        <f>IFERROR(__xludf.DUMMYFUNCTION("if(D3894=""variant"",  substitute(filter(Templates!E:E, Templates!A:A = F3894, Templates!B:B = G3894, Templates!C:C = H3894), ""{{}}"", E3894), B3894)"),"Vendre maison Montreux: Trouvez le bien immobilier qui correspond idéalement à vos désirs sur ImmoScout24 - La plateforme de l'immobilier en Suisse.")</f>
        <v>Vendre maison Montreux: Trouvez le bien immobilier qui correspond idéalement à vos désirs sur ImmoScout24 - La plateforme de l'immobilier en Suisse.</v>
      </c>
    </row>
    <row r="3895" hidden="1">
      <c r="A3895" s="5" t="s">
        <v>10892</v>
      </c>
      <c r="B3895" s="2" t="s">
        <v>10893</v>
      </c>
      <c r="C3895" s="2" t="s">
        <v>10893</v>
      </c>
      <c r="D3895" s="4" t="str">
        <f>vlookup(A3895, Sheet2!D:E, 2, 0)</f>
        <v>control</v>
      </c>
      <c r="E3895" s="4" t="str">
        <f>IFERROR(__xludf.DUMMYFUNCTION("if(H3895=""pays"",vlookup(REGEXEXTRACT(C3895, ""🏘️ \w+ \w+ (.*) ✅""),'Country prepositions'!A:B, 2, 0) &amp; "" "" &amp; REGEXEXTRACT(C3895, ""🏘️ \w+ \w+ (.*) ✅"") ,  if(H3895=""quartier"",vlookup(REGEXEXTRACT(C3895, ""🏘️ \w+ \w+ (.*) ✅""),'Quartier prepositio"&amp;"ns'!A:E, 5, 0) ,  if(H3895=""region"",vlookup(REGEXEXTRACT(C3895, ""🏘️ \w+ \w+ (.*) ✅""),'Region prepositions'!B:F, 5, 0),  REGEXEXTRACT(C3895, ""🏘️ \w+ \w+ (.*) ✅""))))"),"#N/A")</f>
        <v>#N/A</v>
      </c>
      <c r="I3895" s="4" t="str">
        <f>IFERROR(__xludf.DUMMYFUNCTION("if(D3895=""variant"",  substitute(filter(Templates!E:E, Templates!A:A = F3895, Templates!B:B = G3895, Templates!C:C = H3895), ""{{}}"", E3895), B3895)"),"Louer appartement Ebnat-Kappel: Trouvez le bien immobilier qui correspond idéalement à vos désirs sur ImmoScout24 - La plateforme de l'immobilier en Suisse.")</f>
        <v>Louer appartement Ebnat-Kappel: Trouvez le bien immobilier qui correspond idéalement à vos désirs sur ImmoScout24 - La plateforme de l'immobilier en Suisse.</v>
      </c>
    </row>
    <row r="3896" hidden="1">
      <c r="A3896" s="5" t="s">
        <v>10894</v>
      </c>
      <c r="B3896" s="2" t="s">
        <v>10895</v>
      </c>
      <c r="C3896" s="2" t="s">
        <v>10895</v>
      </c>
      <c r="D3896" s="4" t="str">
        <f>vlookup(A3896, Sheet2!D:E, 2, 0)</f>
        <v>control</v>
      </c>
      <c r="E3896" s="4" t="str">
        <f>IFERROR(__xludf.DUMMYFUNCTION("if(H3896=""pays"",vlookup(REGEXEXTRACT(C3896, ""🏘️ \w+ \w+ (.*) ✅""),'Country prepositions'!A:B, 2, 0) &amp; "" "" &amp; REGEXEXTRACT(C3896, ""🏘️ \w+ \w+ (.*) ✅"") ,  if(H3896=""quartier"",vlookup(REGEXEXTRACT(C3896, ""🏘️ \w+ \w+ (.*) ✅""),'Quartier prepositio"&amp;"ns'!A:E, 5, 0) ,  if(H3896=""region"",vlookup(REGEXEXTRACT(C3896, ""🏘️ \w+ \w+ (.*) ✅""),'Region prepositions'!B:F, 5, 0),  REGEXEXTRACT(C3896, ""🏘️ \w+ \w+ (.*) ✅""))))"),"#N/A")</f>
        <v>#N/A</v>
      </c>
      <c r="I3896" s="4" t="str">
        <f>IFERROR(__xludf.DUMMYFUNCTION("if(D3896=""variant"",  substitute(filter(Templates!E:E, Templates!A:A = F3896, Templates!B:B = G3896, Templates!C:C = H3896), ""{{}}"", E3896), B3896)"),"Louer appartement Ernen: Trouvez le bien immobilier qui correspond idéalement à vos désirs sur ImmoScout24 - La plateforme de l'immobilier en Suisse.")</f>
        <v>Louer appartement Ernen: Trouvez le bien immobilier qui correspond idéalement à vos désirs sur ImmoScout24 - La plateforme de l'immobilier en Suisse.</v>
      </c>
    </row>
    <row r="3897" hidden="1">
      <c r="A3897" s="5" t="s">
        <v>10896</v>
      </c>
      <c r="B3897" s="2" t="s">
        <v>10897</v>
      </c>
      <c r="C3897" s="2" t="s">
        <v>10897</v>
      </c>
      <c r="D3897" s="4" t="str">
        <f>vlookup(A3897, Sheet2!D:E, 2, 0)</f>
        <v>control</v>
      </c>
      <c r="E3897" s="4" t="str">
        <f>IFERROR(__xludf.DUMMYFUNCTION("if(H3897=""pays"",vlookup(REGEXEXTRACT(C3897, ""🏘️ \w+ \w+ (.*) ✅""),'Country prepositions'!A:B, 2, 0) &amp; "" "" &amp; REGEXEXTRACT(C3897, ""🏘️ \w+ \w+ (.*) ✅"") ,  if(H3897=""quartier"",vlookup(REGEXEXTRACT(C3897, ""🏘️ \w+ \w+ (.*) ✅""),'Quartier prepositio"&amp;"ns'!A:E, 5, 0) ,  if(H3897=""region"",vlookup(REGEXEXTRACT(C3897, ""🏘️ \w+ \w+ (.*) ✅""),'Region prepositions'!B:F, 5, 0),  REGEXEXTRACT(C3897, ""🏘️ \w+ \w+ (.*) ✅""))))"),"#N/A")</f>
        <v>#N/A</v>
      </c>
      <c r="I3897" s="4" t="str">
        <f>IFERROR(__xludf.DUMMYFUNCTION("if(D3897=""variant"",  substitute(filter(Templates!E:E, Templates!A:A = F3897, Templates!B:B = G3897, Templates!C:C = H3897), ""{{}}"", E3897), B3897)"),"Louer appartement Essert-sous-Champvent: Trouvez le bien immobilier qui correspond idéalement à vos désirs sur ImmoScout24 - La plateforme de l'immobilier en Suisse.")</f>
        <v>Louer appartement Essert-sous-Champvent: Trouvez le bien immobilier qui correspond idéalement à vos désirs sur ImmoScout24 - La plateforme de l'immobilier en Suisse.</v>
      </c>
    </row>
    <row r="3898" hidden="1">
      <c r="A3898" s="5" t="s">
        <v>10898</v>
      </c>
      <c r="B3898" s="2" t="s">
        <v>10899</v>
      </c>
      <c r="C3898" s="2" t="s">
        <v>10899</v>
      </c>
      <c r="D3898" s="4" t="str">
        <f>vlookup(A3898, Sheet2!D:E, 2, 0)</f>
        <v>control</v>
      </c>
      <c r="E3898" s="4" t="str">
        <f>IFERROR(__xludf.DUMMYFUNCTION("if(H3898=""pays"",vlookup(REGEXEXTRACT(C3898, ""🏘️ \w+ \w+ (.*) ✅""),'Country prepositions'!A:B, 2, 0) &amp; "" "" &amp; REGEXEXTRACT(C3898, ""🏘️ \w+ \w+ (.*) ✅"") ,  if(H3898=""quartier"",vlookup(REGEXEXTRACT(C3898, ""🏘️ \w+ \w+ (.*) ✅""),'Quartier prepositio"&amp;"ns'!A:E, 5, 0) ,  if(H3898=""region"",vlookup(REGEXEXTRACT(C3898, ""🏘️ \w+ \w+ (.*) ✅""),'Region prepositions'!B:F, 5, 0),  REGEXEXTRACT(C3898, ""🏘️ \w+ \w+ (.*) ✅""))))"),"#N/A")</f>
        <v>#N/A</v>
      </c>
      <c r="I3898" s="4" t="str">
        <f>IFERROR(__xludf.DUMMYFUNCTION("if(D3898=""variant"",  substitute(filter(Templates!E:E, Templates!A:A = F3898, Templates!B:B = G3898, Templates!C:C = H3898), ""{{}}"", E3898), B3898)"),"Vendre appartement Lüscherz: Trouvez le bien immobilier qui correspond idéalement à vos désirs sur ImmoScout24 - La plateforme de l'immobilier en Suisse.")</f>
        <v>Vendre appartement Lüscherz: Trouvez le bien immobilier qui correspond idéalement à vos désirs sur ImmoScout24 - La plateforme de l'immobilier en Suisse.</v>
      </c>
    </row>
    <row r="3899" hidden="1">
      <c r="A3899" s="5" t="s">
        <v>10900</v>
      </c>
      <c r="B3899" s="2" t="s">
        <v>10901</v>
      </c>
      <c r="C3899" s="2" t="s">
        <v>10901</v>
      </c>
      <c r="D3899" s="4" t="str">
        <f>vlookup(A3899, Sheet2!D:E, 2, 0)</f>
        <v>control</v>
      </c>
      <c r="E3899" s="4" t="str">
        <f>IFERROR(__xludf.DUMMYFUNCTION("if(H3899=""pays"",vlookup(REGEXEXTRACT(C3899, ""🏘️ \w+ \w+ (.*) ✅""),'Country prepositions'!A:B, 2, 0) &amp; "" "" &amp; REGEXEXTRACT(C3899, ""🏘️ \w+ \w+ (.*) ✅"") ,  if(H3899=""quartier"",vlookup(REGEXEXTRACT(C3899, ""🏘️ \w+ \w+ (.*) ✅""),'Quartier prepositio"&amp;"ns'!A:E, 5, 0) ,  if(H3899=""region"",vlookup(REGEXEXTRACT(C3899, ""🏘️ \w+ \w+ (.*) ✅""),'Region prepositions'!B:F, 5, 0),  REGEXEXTRACT(C3899, ""🏘️ \w+ \w+ (.*) ✅""))))"),"#N/A")</f>
        <v>#N/A</v>
      </c>
      <c r="I3899" s="4" t="str">
        <f>IFERROR(__xludf.DUMMYFUNCTION("if(D3899=""variant"",  substitute(filter(Templates!E:E, Templates!A:A = F3899, Templates!B:B = G3899, Templates!C:C = H3899), ""{{}}"", E3899), B3899)"),"Louer appartement Otelfingen: Trouvez le bien immobilier qui correspond idéalement à vos désirs sur ImmoScout24 - La plateforme de l'immobilier en Suisse.")</f>
        <v>Louer appartement Otelfingen: Trouvez le bien immobilier qui correspond idéalement à vos désirs sur ImmoScout24 - La plateforme de l'immobilier en Suisse.</v>
      </c>
    </row>
    <row r="3900" hidden="1">
      <c r="A3900" s="5" t="s">
        <v>10902</v>
      </c>
      <c r="B3900" s="2" t="s">
        <v>10903</v>
      </c>
      <c r="C3900" s="2" t="s">
        <v>10903</v>
      </c>
      <c r="D3900" s="4" t="str">
        <f>vlookup(A3900, Sheet2!D:E, 2, 0)</f>
        <v>control</v>
      </c>
      <c r="E3900" s="4" t="str">
        <f>IFERROR(__xludf.DUMMYFUNCTION("if(H3900=""pays"",vlookup(REGEXEXTRACT(C3900, ""🏘️ \w+ \w+ (.*) ✅""),'Country prepositions'!A:B, 2, 0) &amp; "" "" &amp; REGEXEXTRACT(C3900, ""🏘️ \w+ \w+ (.*) ✅"") ,  if(H3900=""quartier"",vlookup(REGEXEXTRACT(C3900, ""🏘️ \w+ \w+ (.*) ✅""),'Quartier prepositio"&amp;"ns'!A:E, 5, 0) ,  if(H3900=""region"",vlookup(REGEXEXTRACT(C3900, ""🏘️ \w+ \w+ (.*) ✅""),'Region prepositions'!B:F, 5, 0),  REGEXEXTRACT(C3900, ""🏘️ \w+ \w+ (.*) ✅""))))"),"#N/A")</f>
        <v>#N/A</v>
      </c>
      <c r="I3900" s="4" t="str">
        <f>IFERROR(__xludf.DUMMYFUNCTION("if(D3900=""variant"",  substitute(filter(Templates!E:E, Templates!A:A = F3900, Templates!B:B = G3900, Templates!C:C = H3900), ""{{}}"", E3900), B3900)"),"Vendre maison Aurigeno: Trouvez le bien immobilier qui correspond idéalement à vos désirs sur ImmoScout24 - La plateforme de l'immobilier en Suisse.")</f>
        <v>Vendre maison Aurigeno: Trouvez le bien immobilier qui correspond idéalement à vos désirs sur ImmoScout24 - La plateforme de l'immobilier en Suisse.</v>
      </c>
    </row>
    <row r="3901" hidden="1">
      <c r="A3901" s="5" t="s">
        <v>10904</v>
      </c>
      <c r="B3901" s="2" t="s">
        <v>10905</v>
      </c>
      <c r="C3901" s="2" t="s">
        <v>10905</v>
      </c>
      <c r="D3901" s="4" t="str">
        <f>vlookup(A3901, Sheet2!D:E, 2, 0)</f>
        <v>control</v>
      </c>
      <c r="E3901" s="4" t="str">
        <f>IFERROR(__xludf.DUMMYFUNCTION("if(H3901=""pays"",vlookup(REGEXEXTRACT(C3901, ""🏘️ \w+ \w+ (.*) ✅""),'Country prepositions'!A:B, 2, 0) &amp; "" "" &amp; REGEXEXTRACT(C3901, ""🏘️ \w+ \w+ (.*) ✅"") ,  if(H3901=""quartier"",vlookup(REGEXEXTRACT(C3901, ""🏘️ \w+ \w+ (.*) ✅""),'Quartier prepositio"&amp;"ns'!A:E, 5, 0) ,  if(H3901=""region"",vlookup(REGEXEXTRACT(C3901, ""🏘️ \w+ \w+ (.*) ✅""),'Region prepositions'!B:F, 5, 0),  REGEXEXTRACT(C3901, ""🏘️ \w+ \w+ (.*) ✅""))))"),"#N/A")</f>
        <v>#N/A</v>
      </c>
      <c r="I3901" s="4" t="str">
        <f>IFERROR(__xludf.DUMMYFUNCTION("if(D3901=""variant"",  substitute(filter(Templates!E:E, Templates!A:A = F3901, Templates!B:B = G3901, Templates!C:C = H3901), ""{{}}"", E3901), B3901)"),"Louer appartement Cluse - Philosophes (Genève): Trouvez le bien immobilier qui correspond idéalement à vos désirs sur ImmoScout24 - La plateforme de l'immobilier en Suisse.")</f>
        <v>Louer appartement Cluse - Philosophes (Genève): Trouvez le bien immobilier qui correspond idéalement à vos désirs sur ImmoScout24 - La plateforme de l'immobilier en Suisse.</v>
      </c>
    </row>
    <row r="3902" hidden="1">
      <c r="A3902" s="5" t="s">
        <v>10906</v>
      </c>
      <c r="B3902" s="2" t="s">
        <v>10907</v>
      </c>
      <c r="C3902" s="2" t="s">
        <v>10907</v>
      </c>
      <c r="D3902" s="4" t="str">
        <f>vlookup(A3902, Sheet2!D:E, 2, 0)</f>
        <v>control</v>
      </c>
      <c r="E3902" s="4" t="str">
        <f>IFERROR(__xludf.DUMMYFUNCTION("if(H3902=""pays"",vlookup(REGEXEXTRACT(C3902, ""🏘️ \w+ \w+ (.*) ✅""),'Country prepositions'!A:B, 2, 0) &amp; "" "" &amp; REGEXEXTRACT(C3902, ""🏘️ \w+ \w+ (.*) ✅"") ,  if(H3902=""quartier"",vlookup(REGEXEXTRACT(C3902, ""🏘️ \w+ \w+ (.*) ✅""),'Quartier prepositio"&amp;"ns'!A:E, 5, 0) ,  if(H3902=""region"",vlookup(REGEXEXTRACT(C3902, ""🏘️ \w+ \w+ (.*) ✅""),'Region prepositions'!B:F, 5, 0),  REGEXEXTRACT(C3902, ""🏘️ \w+ \w+ (.*) ✅""))))"),"#N/A")</f>
        <v>#N/A</v>
      </c>
      <c r="I3902" s="4" t="str">
        <f>IFERROR(__xludf.DUMMYFUNCTION("if(D3902=""variant"",  substitute(filter(Templates!E:E, Templates!A:A = F3902, Templates!B:B = G3902, Templates!C:C = H3902), ""{{}}"", E3902), B3902)"),"Vendre maison Constantine: Trouvez le bien immobilier qui correspond idéalement à vos désirs sur ImmoScout24 - La plateforme de l'immobilier en Suisse.")</f>
        <v>Vendre maison Constantine: Trouvez le bien immobilier qui correspond idéalement à vos désirs sur ImmoScout24 - La plateforme de l'immobilier en Suisse.</v>
      </c>
    </row>
    <row r="3903" hidden="1">
      <c r="A3903" s="5" t="s">
        <v>10908</v>
      </c>
      <c r="B3903" s="2" t="s">
        <v>10909</v>
      </c>
      <c r="C3903" s="2" t="s">
        <v>10909</v>
      </c>
      <c r="D3903" s="4" t="str">
        <f>vlookup(A3903, Sheet2!D:E, 2, 0)</f>
        <v>control</v>
      </c>
      <c r="E3903" s="4" t="str">
        <f>IFERROR(__xludf.DUMMYFUNCTION("if(H3903=""pays"",vlookup(REGEXEXTRACT(C3903, ""🏘️ \w+ \w+ (.*) ✅""),'Country prepositions'!A:B, 2, 0) &amp; "" "" &amp; REGEXEXTRACT(C3903, ""🏘️ \w+ \w+ (.*) ✅"") ,  if(H3903=""quartier"",vlookup(REGEXEXTRACT(C3903, ""🏘️ \w+ \w+ (.*) ✅""),'Quartier prepositio"&amp;"ns'!A:E, 5, 0) ,  if(H3903=""region"",vlookup(REGEXEXTRACT(C3903, ""🏘️ \w+ \w+ (.*) ✅""),'Region prepositions'!B:F, 5, 0),  REGEXEXTRACT(C3903, ""🏘️ \w+ \w+ (.*) ✅""))))"),"#N/A")</f>
        <v>#N/A</v>
      </c>
      <c r="I3903" s="4" t="str">
        <f>IFERROR(__xludf.DUMMYFUNCTION("if(D3903=""variant"",  substitute(filter(Templates!E:E, Templates!A:A = F3903, Templates!B:B = G3903, Templates!C:C = H3903), ""{{}}"", E3903), B3903)"),"Vendre appartement St-Saphorin-sur-Morges: Trouvez le bien immobilier qui correspond idéalement à vos désirs sur ImmoScout24 - La plateforme de l'immobilier en Suisse.")</f>
        <v>Vendre appartement St-Saphorin-sur-Morges: Trouvez le bien immobilier qui correspond idéalement à vos désirs sur ImmoScout24 - La plateforme de l'immobilier en Suisse.</v>
      </c>
    </row>
    <row r="3904" hidden="1">
      <c r="A3904" s="5" t="s">
        <v>10910</v>
      </c>
      <c r="B3904" s="2" t="s">
        <v>10911</v>
      </c>
      <c r="C3904" s="2" t="s">
        <v>10911</v>
      </c>
      <c r="D3904" s="4" t="str">
        <f>vlookup(A3904, Sheet2!D:E, 2, 0)</f>
        <v>control</v>
      </c>
      <c r="E3904" s="4" t="str">
        <f>IFERROR(__xludf.DUMMYFUNCTION("if(H3904=""pays"",vlookup(REGEXEXTRACT(C3904, ""🏘️ \w+ \w+ (.*) ✅""),'Country prepositions'!A:B, 2, 0) &amp; "" "" &amp; REGEXEXTRACT(C3904, ""🏘️ \w+ \w+ (.*) ✅"") ,  if(H3904=""quartier"",vlookup(REGEXEXTRACT(C3904, ""🏘️ \w+ \w+ (.*) ✅""),'Quartier prepositio"&amp;"ns'!A:E, 5, 0) ,  if(H3904=""region"",vlookup(REGEXEXTRACT(C3904, ""🏘️ \w+ \w+ (.*) ✅""),'Region prepositions'!B:F, 5, 0),  REGEXEXTRACT(C3904, ""🏘️ \w+ \w+ (.*) ✅""))))"),"#N/A")</f>
        <v>#N/A</v>
      </c>
      <c r="I3904" s="4" t="str">
        <f>IFERROR(__xludf.DUMMYFUNCTION("if(D3904=""variant"",  substitute(filter(Templates!E:E, Templates!A:A = F3904, Templates!B:B = G3904, Templates!C:C = H3904), ""{{}}"", E3904), B3904)"),"Louer maison Rasa: Trouvez le bien immobilier qui correspond idéalement à vos désirs sur ImmoScout24 - La plateforme de l'immobilier en Suisse.")</f>
        <v>Louer maison Rasa: Trouvez le bien immobilier qui correspond idéalement à vos désirs sur ImmoScout24 - La plateforme de l'immobilier en Suisse.</v>
      </c>
    </row>
    <row r="3905" hidden="1">
      <c r="A3905" s="5" t="s">
        <v>10912</v>
      </c>
      <c r="B3905" s="2" t="s">
        <v>10913</v>
      </c>
      <c r="C3905" s="2" t="s">
        <v>10913</v>
      </c>
      <c r="D3905" s="4" t="str">
        <f>vlookup(A3905, Sheet2!D:E, 2, 0)</f>
        <v>control</v>
      </c>
      <c r="E3905" s="4" t="str">
        <f>IFERROR(__xludf.DUMMYFUNCTION("if(H3905=""pays"",vlookup(REGEXEXTRACT(C3905, ""🏘️ \w+ \w+ (.*) ✅""),'Country prepositions'!A:B, 2, 0) &amp; "" "" &amp; REGEXEXTRACT(C3905, ""🏘️ \w+ \w+ (.*) ✅"") ,  if(H3905=""quartier"",vlookup(REGEXEXTRACT(C3905, ""🏘️ \w+ \w+ (.*) ✅""),'Quartier prepositio"&amp;"ns'!A:E, 5, 0) ,  if(H3905=""region"",vlookup(REGEXEXTRACT(C3905, ""🏘️ \w+ \w+ (.*) ✅""),'Region prepositions'!B:F, 5, 0),  REGEXEXTRACT(C3905, ""🏘️ \w+ \w+ (.*) ✅""))))"),"#N/A")</f>
        <v>#N/A</v>
      </c>
      <c r="I3905" s="4" t="str">
        <f>IFERROR(__xludf.DUMMYFUNCTION("if(D3905=""variant"",  substitute(filter(Templates!E:E, Templates!A:A = F3905, Templates!B:B = G3905, Templates!C:C = H3905), ""{{}}"", E3905), B3905)"),"Vendre appartement Morschach: Trouvez le bien immobilier qui correspond idéalement à vos désirs sur ImmoScout24 - La plateforme de l'immobilier en Suisse.")</f>
        <v>Vendre appartement Morschach: Trouvez le bien immobilier qui correspond idéalement à vos désirs sur ImmoScout24 - La plateforme de l'immobilier en Suisse.</v>
      </c>
    </row>
    <row r="3906" hidden="1">
      <c r="A3906" s="5" t="s">
        <v>10914</v>
      </c>
      <c r="B3906" s="2" t="s">
        <v>10915</v>
      </c>
      <c r="C3906" s="2" t="s">
        <v>10915</v>
      </c>
      <c r="D3906" s="4" t="str">
        <f>vlookup(A3906, Sheet2!D:E, 2, 0)</f>
        <v>control</v>
      </c>
      <c r="E3906" s="4" t="str">
        <f>IFERROR(__xludf.DUMMYFUNCTION("if(H3906=""pays"",vlookup(REGEXEXTRACT(C3906, ""🏘️ \w+ \w+ (.*) ✅""),'Country prepositions'!A:B, 2, 0) &amp; "" "" &amp; REGEXEXTRACT(C3906, ""🏘️ \w+ \w+ (.*) ✅"") ,  if(H3906=""quartier"",vlookup(REGEXEXTRACT(C3906, ""🏘️ \w+ \w+ (.*) ✅""),'Quartier prepositio"&amp;"ns'!A:E, 5, 0) ,  if(H3906=""region"",vlookup(REGEXEXTRACT(C3906, ""🏘️ \w+ \w+ (.*) ✅""),'Region prepositions'!B:F, 5, 0),  REGEXEXTRACT(C3906, ""🏘️ \w+ \w+ (.*) ✅""))))"),"#N/A")</f>
        <v>#N/A</v>
      </c>
      <c r="I3906" s="4" t="str">
        <f>IFERROR(__xludf.DUMMYFUNCTION("if(D3906=""variant"",  substitute(filter(Templates!E:E, Templates!A:A = F3906, Templates!B:B = G3906, Templates!C:C = H3906), ""{{}}"", E3906), B3906)"),"Vendre maison Chavannes-sous-Orsonnens: Trouvez le bien immobilier qui correspond idéalement à vos désirs sur ImmoScout24 - La plateforme de l'immobilier en Suisse.")</f>
        <v>Vendre maison Chavannes-sous-Orsonnens: Trouvez le bien immobilier qui correspond idéalement à vos désirs sur ImmoScout24 - La plateforme de l'immobilier en Suisse.</v>
      </c>
    </row>
    <row r="3907" hidden="1">
      <c r="A3907" s="5" t="s">
        <v>10916</v>
      </c>
      <c r="B3907" s="2" t="s">
        <v>10917</v>
      </c>
      <c r="C3907" s="2" t="s">
        <v>10917</v>
      </c>
      <c r="D3907" s="4" t="str">
        <f>vlookup(A3907, Sheet2!D:E, 2, 0)</f>
        <v>control</v>
      </c>
      <c r="E3907" s="4" t="str">
        <f>IFERROR(__xludf.DUMMYFUNCTION("if(H3907=""pays"",vlookup(REGEXEXTRACT(C3907, ""🏘️ \w+ \w+ (.*) ✅""),'Country prepositions'!A:B, 2, 0) &amp; "" "" &amp; REGEXEXTRACT(C3907, ""🏘️ \w+ \w+ (.*) ✅"") ,  if(H3907=""quartier"",vlookup(REGEXEXTRACT(C3907, ""🏘️ \w+ \w+ (.*) ✅""),'Quartier prepositio"&amp;"ns'!A:E, 5, 0) ,  if(H3907=""region"",vlookup(REGEXEXTRACT(C3907, ""🏘️ \w+ \w+ (.*) ✅""),'Region prepositions'!B:F, 5, 0),  REGEXEXTRACT(C3907, ""🏘️ \w+ \w+ (.*) ✅""))))"),"#N/A")</f>
        <v>#N/A</v>
      </c>
      <c r="I3907" s="4" t="str">
        <f>IFERROR(__xludf.DUMMYFUNCTION("if(D3907=""variant"",  substitute(filter(Templates!E:E, Templates!A:A = F3907, Templates!B:B = G3907, Templates!C:C = H3907), ""{{}}"", E3907), B3907)"),"Vendre maison Solothurn: Trouvez le bien immobilier qui correspond idéalement à vos désirs sur ImmoScout24 - La plateforme de l'immobilier en Suisse.")</f>
        <v>Vendre maison Solothurn: Trouvez le bien immobilier qui correspond idéalement à vos désirs sur ImmoScout24 - La plateforme de l'immobilier en Suisse.</v>
      </c>
    </row>
    <row r="3908" hidden="1">
      <c r="A3908" s="5" t="s">
        <v>10918</v>
      </c>
      <c r="B3908" s="2" t="s">
        <v>10919</v>
      </c>
      <c r="C3908" s="2" t="s">
        <v>10919</v>
      </c>
      <c r="D3908" s="4" t="str">
        <f>vlookup(A3908, Sheet2!D:E, 2, 0)</f>
        <v>control</v>
      </c>
      <c r="E3908" s="4" t="str">
        <f>IFERROR(__xludf.DUMMYFUNCTION("if(H3908=""pays"",vlookup(REGEXEXTRACT(C3908, ""🏘️ \w+ \w+ (.*) ✅""),'Country prepositions'!A:B, 2, 0) &amp; "" "" &amp; REGEXEXTRACT(C3908, ""🏘️ \w+ \w+ (.*) ✅"") ,  if(H3908=""quartier"",vlookup(REGEXEXTRACT(C3908, ""🏘️ \w+ \w+ (.*) ✅""),'Quartier prepositio"&amp;"ns'!A:E, 5, 0) ,  if(H3908=""region"",vlookup(REGEXEXTRACT(C3908, ""🏘️ \w+ \w+ (.*) ✅""),'Region prepositions'!B:F, 5, 0),  REGEXEXTRACT(C3908, ""🏘️ \w+ \w+ (.*) ✅""))))"),"#N/A")</f>
        <v>#N/A</v>
      </c>
      <c r="I3908" s="4" t="str">
        <f>IFERROR(__xludf.DUMMYFUNCTION("if(D3908=""variant"",  substitute(filter(Templates!E:E, Templates!A:A = F3908, Templates!B:B = G3908, Templates!C:C = H3908), ""{{}}"", E3908), B3908)"),"Vendre maison Spiez: Trouvez le bien immobilier qui correspond idéalement à vos désirs sur ImmoScout24 - La plateforme de l'immobilier en Suisse.")</f>
        <v>Vendre maison Spiez: Trouvez le bien immobilier qui correspond idéalement à vos désirs sur ImmoScout24 - La plateforme de l'immobilier en Suisse.</v>
      </c>
    </row>
    <row r="3909" hidden="1">
      <c r="A3909" s="5" t="s">
        <v>10920</v>
      </c>
      <c r="B3909" s="2" t="s">
        <v>10921</v>
      </c>
      <c r="C3909" s="2" t="s">
        <v>10921</v>
      </c>
      <c r="D3909" s="4" t="str">
        <f>vlookup(A3909, Sheet2!D:E, 2, 0)</f>
        <v>control</v>
      </c>
      <c r="E3909" s="4" t="str">
        <f>IFERROR(__xludf.DUMMYFUNCTION("if(H3909=""pays"",vlookup(REGEXEXTRACT(C3909, ""🏘️ \w+ \w+ (.*) ✅""),'Country prepositions'!A:B, 2, 0) &amp; "" "" &amp; REGEXEXTRACT(C3909, ""🏘️ \w+ \w+ (.*) ✅"") ,  if(H3909=""quartier"",vlookup(REGEXEXTRACT(C3909, ""🏘️ \w+ \w+ (.*) ✅""),'Quartier prepositio"&amp;"ns'!A:E, 5, 0) ,  if(H3909=""region"",vlookup(REGEXEXTRACT(C3909, ""🏘️ \w+ \w+ (.*) ✅""),'Region prepositions'!B:F, 5, 0),  REGEXEXTRACT(C3909, ""🏘️ \w+ \w+ (.*) ✅""))))"),"#N/A")</f>
        <v>#N/A</v>
      </c>
      <c r="I3909" s="4" t="str">
        <f>IFERROR(__xludf.DUMMYFUNCTION("if(D3909=""variant"",  substitute(filter(Templates!E:E, Templates!A:A = F3909, Templates!B:B = G3909, Templates!C:C = H3909), ""{{}}"", E3909), B3909)"),"Louer appartement Wanzwil: Trouvez le bien immobilier qui correspond idéalement à vos désirs sur ImmoScout24 - La plateforme de l'immobilier en Suisse.")</f>
        <v>Louer appartement Wanzwil: Trouvez le bien immobilier qui correspond idéalement à vos désirs sur ImmoScout24 - La plateforme de l'immobilier en Suisse.</v>
      </c>
    </row>
    <row r="3910" hidden="1">
      <c r="A3910" s="5" t="s">
        <v>10922</v>
      </c>
      <c r="B3910" s="2" t="s">
        <v>10923</v>
      </c>
      <c r="C3910" s="2" t="s">
        <v>10923</v>
      </c>
      <c r="D3910" s="4" t="str">
        <f>vlookup(A3910, Sheet2!D:E, 2, 0)</f>
        <v>control</v>
      </c>
      <c r="E3910" s="4" t="str">
        <f>IFERROR(__xludf.DUMMYFUNCTION("if(H3910=""pays"",vlookup(REGEXEXTRACT(C3910, ""🏘️ \w+ \w+ (.*) ✅""),'Country prepositions'!A:B, 2, 0) &amp; "" "" &amp; REGEXEXTRACT(C3910, ""🏘️ \w+ \w+ (.*) ✅"") ,  if(H3910=""quartier"",vlookup(REGEXEXTRACT(C3910, ""🏘️ \w+ \w+ (.*) ✅""),'Quartier prepositio"&amp;"ns'!A:E, 5, 0) ,  if(H3910=""region"",vlookup(REGEXEXTRACT(C3910, ""🏘️ \w+ \w+ (.*) ✅""),'Region prepositions'!B:F, 5, 0),  REGEXEXTRACT(C3910, ""🏘️ \w+ \w+ (.*) ✅""))))"),"#N/A")</f>
        <v>#N/A</v>
      </c>
      <c r="I3910" s="4" t="str">
        <f>IFERROR(__xludf.DUMMYFUNCTION("if(D3910=""variant"",  substitute(filter(Templates!E:E, Templates!A:A = F3910, Templates!B:B = G3910, Templates!C:C = H3910), ""{{}}"", E3910), B3910)"),"Vendre maison Farvagny-le-Grand: Trouvez le bien immobilier qui correspond idéalement à vos désirs sur ImmoScout24 - La plateforme de l'immobilier en Suisse.")</f>
        <v>Vendre maison Farvagny-le-Grand: Trouvez le bien immobilier qui correspond idéalement à vos désirs sur ImmoScout24 - La plateforme de l'immobilier en Suisse.</v>
      </c>
    </row>
    <row r="3911" hidden="1">
      <c r="A3911" s="5" t="s">
        <v>10924</v>
      </c>
      <c r="B3911" s="2" t="s">
        <v>10925</v>
      </c>
      <c r="C3911" s="2" t="s">
        <v>10925</v>
      </c>
      <c r="D3911" s="4" t="str">
        <f>vlookup(A3911, Sheet2!D:E, 2, 0)</f>
        <v>control</v>
      </c>
      <c r="E3911" s="4" t="str">
        <f>IFERROR(__xludf.DUMMYFUNCTION("if(H3911=""pays"",vlookup(REGEXEXTRACT(C3911, ""🏘️ \w+ \w+ (.*) ✅""),'Country prepositions'!A:B, 2, 0) &amp; "" "" &amp; REGEXEXTRACT(C3911, ""🏘️ \w+ \w+ (.*) ✅"") ,  if(H3911=""quartier"",vlookup(REGEXEXTRACT(C3911, ""🏘️ \w+ \w+ (.*) ✅""),'Quartier prepositio"&amp;"ns'!A:E, 5, 0) ,  if(H3911=""region"",vlookup(REGEXEXTRACT(C3911, ""🏘️ \w+ \w+ (.*) ✅""),'Region prepositions'!B:F, 5, 0),  REGEXEXTRACT(C3911, ""🏘️ \w+ \w+ (.*) ✅""))))"),"#N/A")</f>
        <v>#N/A</v>
      </c>
      <c r="I3911" s="4" t="str">
        <f>IFERROR(__xludf.DUMMYFUNCTION("if(D3911=""variant"",  substitute(filter(Templates!E:E, Templates!A:A = F3911, Templates!B:B = G3911, Templates!C:C = H3911), ""{{}}"", E3911), B3911)"),"Vendre maison Hausen am Albis: Trouvez le bien immobilier qui correspond idéalement à vos désirs sur ImmoScout24 - La plateforme de l'immobilier en Suisse.")</f>
        <v>Vendre maison Hausen am Albis: Trouvez le bien immobilier qui correspond idéalement à vos désirs sur ImmoScout24 - La plateforme de l'immobilier en Suisse.</v>
      </c>
    </row>
    <row r="3912" hidden="1">
      <c r="A3912" s="5" t="s">
        <v>10926</v>
      </c>
      <c r="B3912" s="2" t="s">
        <v>10927</v>
      </c>
      <c r="C3912" s="2" t="s">
        <v>10927</v>
      </c>
      <c r="D3912" s="4" t="str">
        <f>vlookup(A3912, Sheet2!D:E, 2, 0)</f>
        <v>control</v>
      </c>
      <c r="E3912" s="4" t="str">
        <f>IFERROR(__xludf.DUMMYFUNCTION("if(H3912=""pays"",vlookup(REGEXEXTRACT(C3912, ""🏘️ \w+ \w+ (.*) ✅""),'Country prepositions'!A:B, 2, 0) &amp; "" "" &amp; REGEXEXTRACT(C3912, ""🏘️ \w+ \w+ (.*) ✅"") ,  if(H3912=""quartier"",vlookup(REGEXEXTRACT(C3912, ""🏘️ \w+ \w+ (.*) ✅""),'Quartier prepositio"&amp;"ns'!A:E, 5, 0) ,  if(H3912=""region"",vlookup(REGEXEXTRACT(C3912, ""🏘️ \w+ \w+ (.*) ✅""),'Region prepositions'!B:F, 5, 0),  REGEXEXTRACT(C3912, ""🏘️ \w+ \w+ (.*) ✅""))))"),"#N/A")</f>
        <v>#N/A</v>
      </c>
      <c r="I3912" s="4" t="str">
        <f>IFERROR(__xludf.DUMMYFUNCTION("if(D3912=""variant"",  substitute(filter(Templates!E:E, Templates!A:A = F3912, Templates!B:B = G3912, Templates!C:C = H3912), ""{{}}"", E3912), B3912)"),"Louer maison Ardon: Trouvez le bien immobilier qui correspond idéalement à vos désirs sur ImmoScout24 - La plateforme de l'immobilier en Suisse.")</f>
        <v>Louer maison Ardon: Trouvez le bien immobilier qui correspond idéalement à vos désirs sur ImmoScout24 - La plateforme de l'immobilier en Suisse.</v>
      </c>
    </row>
    <row r="3913" hidden="1">
      <c r="A3913" s="5" t="s">
        <v>10928</v>
      </c>
      <c r="B3913" s="2" t="s">
        <v>10929</v>
      </c>
      <c r="C3913" s="2" t="s">
        <v>10929</v>
      </c>
      <c r="D3913" s="4" t="str">
        <f>vlookup(A3913, Sheet2!D:E, 2, 0)</f>
        <v>control</v>
      </c>
      <c r="E3913" s="4" t="str">
        <f>IFERROR(__xludf.DUMMYFUNCTION("if(H3913=""pays"",vlookup(REGEXEXTRACT(C3913, ""🏘️ \w+ \w+ (.*) ✅""),'Country prepositions'!A:B, 2, 0) &amp; "" "" &amp; REGEXEXTRACT(C3913, ""🏘️ \w+ \w+ (.*) ✅"") ,  if(H3913=""quartier"",vlookup(REGEXEXTRACT(C3913, ""🏘️ \w+ \w+ (.*) ✅""),'Quartier prepositio"&amp;"ns'!A:E, 5, 0) ,  if(H3913=""region"",vlookup(REGEXEXTRACT(C3913, ""🏘️ \w+ \w+ (.*) ✅""),'Region prepositions'!B:F, 5, 0),  REGEXEXTRACT(C3913, ""🏘️ \w+ \w+ (.*) ✅""))))"),"#N/A")</f>
        <v>#N/A</v>
      </c>
      <c r="I3913" s="4" t="str">
        <f>IFERROR(__xludf.DUMMYFUNCTION("if(D3913=""variant"",  substitute(filter(Templates!E:E, Templates!A:A = F3913, Templates!B:B = G3913, Templates!C:C = H3913), ""{{}}"", E3913), B3913)"),"Vendre maison Le Cerneux-Péquignot: Trouvez le bien immobilier qui correspond idéalement à vos désirs sur ImmoScout24 - La plateforme de l'immobilier en Suisse.")</f>
        <v>Vendre maison Le Cerneux-Péquignot: Trouvez le bien immobilier qui correspond idéalement à vos désirs sur ImmoScout24 - La plateforme de l'immobilier en Suisse.</v>
      </c>
    </row>
    <row r="3914" hidden="1">
      <c r="A3914" s="5" t="s">
        <v>10930</v>
      </c>
      <c r="B3914" s="2" t="s">
        <v>10931</v>
      </c>
      <c r="C3914" s="2" t="s">
        <v>10931</v>
      </c>
      <c r="D3914" s="4" t="str">
        <f>vlookup(A3914, Sheet2!D:E, 2, 0)</f>
        <v>control</v>
      </c>
      <c r="E3914" s="4" t="str">
        <f>IFERROR(__xludf.DUMMYFUNCTION("if(H3914=""pays"",vlookup(REGEXEXTRACT(C3914, ""🏘️ \w+ \w+ (.*) ✅""),'Country prepositions'!A:B, 2, 0) &amp; "" "" &amp; REGEXEXTRACT(C3914, ""🏘️ \w+ \w+ (.*) ✅"") ,  if(H3914=""quartier"",vlookup(REGEXEXTRACT(C3914, ""🏘️ \w+ \w+ (.*) ✅""),'Quartier prepositio"&amp;"ns'!A:E, 5, 0) ,  if(H3914=""region"",vlookup(REGEXEXTRACT(C3914, ""🏘️ \w+ \w+ (.*) ✅""),'Region prepositions'!B:F, 5, 0),  REGEXEXTRACT(C3914, ""🏘️ \w+ \w+ (.*) ✅""))))"),"#N/A")</f>
        <v>#N/A</v>
      </c>
      <c r="I3914" s="4" t="str">
        <f>IFERROR(__xludf.DUMMYFUNCTION("if(D3914=""variant"",  substitute(filter(Templates!E:E, Templates!A:A = F3914, Templates!B:B = G3914, Templates!C:C = H3914), ""{{}}"", E3914), B3914)"),"Louer maison Seigneux: Trouvez le bien immobilier qui correspond idéalement à vos désirs sur ImmoScout24 - La plateforme de l'immobilier en Suisse.")</f>
        <v>Louer maison Seigneux: Trouvez le bien immobilier qui correspond idéalement à vos désirs sur ImmoScout24 - La plateforme de l'immobilier en Suisse.</v>
      </c>
    </row>
    <row r="3915" hidden="1">
      <c r="A3915" s="5" t="s">
        <v>10932</v>
      </c>
      <c r="B3915" s="2" t="s">
        <v>10933</v>
      </c>
      <c r="C3915" s="2" t="s">
        <v>10933</v>
      </c>
      <c r="D3915" s="4" t="str">
        <f>vlookup(A3915, Sheet2!D:E, 2, 0)</f>
        <v>control</v>
      </c>
      <c r="E3915" s="4" t="str">
        <f>IFERROR(__xludf.DUMMYFUNCTION("if(H3915=""pays"",vlookup(REGEXEXTRACT(C3915, ""🏘️ \w+ \w+ (.*) ✅""),'Country prepositions'!A:B, 2, 0) &amp; "" "" &amp; REGEXEXTRACT(C3915, ""🏘️ \w+ \w+ (.*) ✅"") ,  if(H3915=""quartier"",vlookup(REGEXEXTRACT(C3915, ""🏘️ \w+ \w+ (.*) ✅""),'Quartier prepositio"&amp;"ns'!A:E, 5, 0) ,  if(H3915=""region"",vlookup(REGEXEXTRACT(C3915, ""🏘️ \w+ \w+ (.*) ✅""),'Region prepositions'!B:F, 5, 0),  REGEXEXTRACT(C3915, ""🏘️ \w+ \w+ (.*) ✅""))))"),"#N/A")</f>
        <v>#N/A</v>
      </c>
      <c r="I3915" s="4" t="str">
        <f>IFERROR(__xludf.DUMMYFUNCTION("if(D3915=""variant"",  substitute(filter(Templates!E:E, Templates!A:A = F3915, Templates!B:B = G3915, Templates!C:C = H3915), ""{{}}"", E3915), B3915)"),"Louer maison Couvet: Trouvez le bien immobilier qui correspond idéalement à vos désirs sur ImmoScout24 - La plateforme de l'immobilier en Suisse.")</f>
        <v>Louer maison Couvet: Trouvez le bien immobilier qui correspond idéalement à vos désirs sur ImmoScout24 - La plateforme de l'immobilier en Suisse.</v>
      </c>
    </row>
    <row r="3916" hidden="1">
      <c r="A3916" s="5" t="s">
        <v>10934</v>
      </c>
      <c r="B3916" s="2" t="s">
        <v>10935</v>
      </c>
      <c r="C3916" s="2" t="s">
        <v>10935</v>
      </c>
      <c r="D3916" s="4" t="str">
        <f>vlookup(A3916, Sheet2!D:E, 2, 0)</f>
        <v>control</v>
      </c>
      <c r="E3916" s="4" t="str">
        <f>IFERROR(__xludf.DUMMYFUNCTION("if(H3916=""pays"",vlookup(REGEXEXTRACT(C3916, ""🏘️ \w+ \w+ (.*) ✅""),'Country prepositions'!A:B, 2, 0) &amp; "" "" &amp; REGEXEXTRACT(C3916, ""🏘️ \w+ \w+ (.*) ✅"") ,  if(H3916=""quartier"",vlookup(REGEXEXTRACT(C3916, ""🏘️ \w+ \w+ (.*) ✅""),'Quartier prepositio"&amp;"ns'!A:E, 5, 0) ,  if(H3916=""region"",vlookup(REGEXEXTRACT(C3916, ""🏘️ \w+ \w+ (.*) ✅""),'Region prepositions'!B:F, 5, 0),  REGEXEXTRACT(C3916, ""🏘️ \w+ \w+ (.*) ✅""))))"),"#N/A")</f>
        <v>#N/A</v>
      </c>
      <c r="I3916" s="4" t="str">
        <f>IFERROR(__xludf.DUMMYFUNCTION("if(D3916=""variant"",  substitute(filter(Templates!E:E, Templates!A:A = F3916, Templates!B:B = G3916, Templates!C:C = H3916), ""{{}}"", E3916), B3916)"),"Vendre maison Ollon VD: Trouvez le bien immobilier qui correspond idéalement à vos désirs sur ImmoScout24 - La plateforme de l'immobilier en Suisse.")</f>
        <v>Vendre maison Ollon VD: Trouvez le bien immobilier qui correspond idéalement à vos désirs sur ImmoScout24 - La plateforme de l'immobilier en Suisse.</v>
      </c>
    </row>
    <row r="3917" hidden="1">
      <c r="A3917" s="5" t="s">
        <v>10936</v>
      </c>
      <c r="B3917" s="2" t="s">
        <v>10937</v>
      </c>
      <c r="C3917" s="2" t="s">
        <v>10937</v>
      </c>
      <c r="D3917" s="4" t="str">
        <f>vlookup(A3917, Sheet2!D:E, 2, 0)</f>
        <v>control</v>
      </c>
      <c r="E3917" s="4" t="str">
        <f>IFERROR(__xludf.DUMMYFUNCTION("if(H3917=""pays"",vlookup(REGEXEXTRACT(C3917, ""🏘️ \w+ \w+ (.*) ✅""),'Country prepositions'!A:B, 2, 0) &amp; "" "" &amp; REGEXEXTRACT(C3917, ""🏘️ \w+ \w+ (.*) ✅"") ,  if(H3917=""quartier"",vlookup(REGEXEXTRACT(C3917, ""🏘️ \w+ \w+ (.*) ✅""),'Quartier prepositio"&amp;"ns'!A:E, 5, 0) ,  if(H3917=""region"",vlookup(REGEXEXTRACT(C3917, ""🏘️ \w+ \w+ (.*) ✅""),'Region prepositions'!B:F, 5, 0),  REGEXEXTRACT(C3917, ""🏘️ \w+ \w+ (.*) ✅""))))"),"#N/A")</f>
        <v>#N/A</v>
      </c>
      <c r="I3917" s="4" t="str">
        <f>IFERROR(__xludf.DUMMYFUNCTION("if(D3917=""variant"",  substitute(filter(Templates!E:E, Templates!A:A = F3917, Templates!B:B = G3917, Templates!C:C = H3917), ""{{}}"", E3917), B3917)"),"Louer appartement Gletterens: Trouvez le bien immobilier qui correspond idéalement à vos désirs sur ImmoScout24 - La plateforme de l'immobilier en Suisse.")</f>
        <v>Louer appartement Gletterens: Trouvez le bien immobilier qui correspond idéalement à vos désirs sur ImmoScout24 - La plateforme de l'immobilier en Suisse.</v>
      </c>
    </row>
    <row r="3918" hidden="1">
      <c r="A3918" s="5" t="s">
        <v>10938</v>
      </c>
      <c r="B3918" s="2" t="s">
        <v>10939</v>
      </c>
      <c r="C3918" s="2" t="s">
        <v>10939</v>
      </c>
      <c r="D3918" s="4" t="str">
        <f>vlookup(A3918, Sheet2!D:E, 2, 0)</f>
        <v>control</v>
      </c>
      <c r="E3918" s="4" t="str">
        <f>IFERROR(__xludf.DUMMYFUNCTION("if(H3918=""pays"",vlookup(REGEXEXTRACT(C3918, ""🏘️ \w+ \w+ (.*) ✅""),'Country prepositions'!A:B, 2, 0) &amp; "" "" &amp; REGEXEXTRACT(C3918, ""🏘️ \w+ \w+ (.*) ✅"") ,  if(H3918=""quartier"",vlookup(REGEXEXTRACT(C3918, ""🏘️ \w+ \w+ (.*) ✅""),'Quartier prepositio"&amp;"ns'!A:E, 5, 0) ,  if(H3918=""region"",vlookup(REGEXEXTRACT(C3918, ""🏘️ \w+ \w+ (.*) ✅""),'Region prepositions'!B:F, 5, 0),  REGEXEXTRACT(C3918, ""🏘️ \w+ \w+ (.*) ✅""))))"),"#N/A")</f>
        <v>#N/A</v>
      </c>
      <c r="I3918" s="4" t="str">
        <f>IFERROR(__xludf.DUMMYFUNCTION("if(D3918=""variant"",  substitute(filter(Templates!E:E, Templates!A:A = F3918, Templates!B:B = G3918, Templates!C:C = H3918), ""{{}}"", E3918), B3918)"),"Louer appartement Saxon: Trouvez le bien immobilier qui correspond idéalement à vos désirs sur ImmoScout24 - La plateforme de l'immobilier en Suisse.")</f>
        <v>Louer appartement Saxon: Trouvez le bien immobilier qui correspond idéalement à vos désirs sur ImmoScout24 - La plateforme de l'immobilier en Suisse.</v>
      </c>
    </row>
    <row r="3919" hidden="1">
      <c r="A3919" s="5" t="s">
        <v>10940</v>
      </c>
      <c r="B3919" s="2" t="s">
        <v>10941</v>
      </c>
      <c r="C3919" s="2" t="s">
        <v>10941</v>
      </c>
      <c r="D3919" s="4" t="str">
        <f>vlookup(A3919, Sheet2!D:E, 2, 0)</f>
        <v>control</v>
      </c>
      <c r="E3919" s="4" t="str">
        <f>IFERROR(__xludf.DUMMYFUNCTION("if(H3919=""pays"",vlookup(REGEXEXTRACT(C3919, ""🏘️ \w+ \w+ (.*) ✅""),'Country prepositions'!A:B, 2, 0) &amp; "" "" &amp; REGEXEXTRACT(C3919, ""🏘️ \w+ \w+ (.*) ✅"") ,  if(H3919=""quartier"",vlookup(REGEXEXTRACT(C3919, ""🏘️ \w+ \w+ (.*) ✅""),'Quartier prepositio"&amp;"ns'!A:E, 5, 0) ,  if(H3919=""region"",vlookup(REGEXEXTRACT(C3919, ""🏘️ \w+ \w+ (.*) ✅""),'Region prepositions'!B:F, 5, 0),  REGEXEXTRACT(C3919, ""🏘️ \w+ \w+ (.*) ✅""))))"),"#N/A")</f>
        <v>#N/A</v>
      </c>
      <c r="I3919" s="4" t="str">
        <f>IFERROR(__xludf.DUMMYFUNCTION("if(D3919=""variant"",  substitute(filter(Templates!E:E, Templates!A:A = F3919, Templates!B:B = G3919, Templates!C:C = H3919), ""{{}}"", E3919), B3919)"),"Vendre maison Euseigne: Trouvez le bien immobilier qui correspond idéalement à vos désirs sur ImmoScout24 - La plateforme de l'immobilier en Suisse.")</f>
        <v>Vendre maison Euseigne: Trouvez le bien immobilier qui correspond idéalement à vos désirs sur ImmoScout24 - La plateforme de l'immobilier en Suisse.</v>
      </c>
    </row>
    <row r="3920" hidden="1">
      <c r="A3920" s="5" t="s">
        <v>10942</v>
      </c>
      <c r="B3920" s="2" t="s">
        <v>10943</v>
      </c>
      <c r="C3920" s="2" t="s">
        <v>10943</v>
      </c>
      <c r="D3920" s="4" t="str">
        <f>vlookup(A3920, Sheet2!D:E, 2, 0)</f>
        <v>control</v>
      </c>
      <c r="E3920" s="4" t="str">
        <f>IFERROR(__xludf.DUMMYFUNCTION("if(H3920=""pays"",vlookup(REGEXEXTRACT(C3920, ""🏘️ \w+ \w+ (.*) ✅""),'Country prepositions'!A:B, 2, 0) &amp; "" "" &amp; REGEXEXTRACT(C3920, ""🏘️ \w+ \w+ (.*) ✅"") ,  if(H3920=""quartier"",vlookup(REGEXEXTRACT(C3920, ""🏘️ \w+ \w+ (.*) ✅""),'Quartier prepositio"&amp;"ns'!A:E, 5, 0) ,  if(H3920=""region"",vlookup(REGEXEXTRACT(C3920, ""🏘️ \w+ \w+ (.*) ✅""),'Region prepositions'!B:F, 5, 0),  REGEXEXTRACT(C3920, ""🏘️ \w+ \w+ (.*) ✅""))))"),"#N/A")</f>
        <v>#N/A</v>
      </c>
      <c r="I3920" s="4" t="str">
        <f>IFERROR(__xludf.DUMMYFUNCTION("if(D3920=""variant"",  substitute(filter(Templates!E:E, Templates!A:A = F3920, Templates!B:B = G3920, Templates!C:C = H3920), ""{{}}"", E3920), B3920)"),"Louer appartement Seseglio: Trouvez le bien immobilier qui correspond idéalement à vos désirs sur ImmoScout24 - La plateforme de l'immobilier en Suisse.")</f>
        <v>Louer appartement Seseglio: Trouvez le bien immobilier qui correspond idéalement à vos désirs sur ImmoScout24 - La plateforme de l'immobilier en Suisse.</v>
      </c>
    </row>
    <row r="3921" hidden="1">
      <c r="A3921" s="5" t="s">
        <v>10944</v>
      </c>
      <c r="B3921" s="2" t="s">
        <v>10945</v>
      </c>
      <c r="C3921" s="2" t="s">
        <v>10945</v>
      </c>
      <c r="D3921" s="4" t="str">
        <f>vlookup(A3921, Sheet2!D:E, 2, 0)</f>
        <v>control</v>
      </c>
      <c r="E3921" s="4" t="str">
        <f>IFERROR(__xludf.DUMMYFUNCTION("if(H3921=""pays"",vlookup(REGEXEXTRACT(C3921, ""🏘️ \w+ \w+ (.*) ✅""),'Country prepositions'!A:B, 2, 0) &amp; "" "" &amp; REGEXEXTRACT(C3921, ""🏘️ \w+ \w+ (.*) ✅"") ,  if(H3921=""quartier"",vlookup(REGEXEXTRACT(C3921, ""🏘️ \w+ \w+ (.*) ✅""),'Quartier prepositio"&amp;"ns'!A:E, 5, 0) ,  if(H3921=""region"",vlookup(REGEXEXTRACT(C3921, ""🏘️ \w+ \w+ (.*) ✅""),'Region prepositions'!B:F, 5, 0),  REGEXEXTRACT(C3921, ""🏘️ \w+ \w+ (.*) ✅""))))"),"#N/A")</f>
        <v>#N/A</v>
      </c>
      <c r="I3921" s="4" t="str">
        <f>IFERROR(__xludf.DUMMYFUNCTION("if(D3921=""variant"",  substitute(filter(Templates!E:E, Templates!A:A = F3921, Templates!B:B = G3921, Templates!C:C = H3921), ""{{}}"", E3921), B3921)"),"Vendre maison Langnau im Emmental: Trouvez le bien immobilier qui correspond idéalement à vos désirs sur ImmoScout24 - La plateforme de l'immobilier en Suisse.")</f>
        <v>Vendre maison Langnau im Emmental: Trouvez le bien immobilier qui correspond idéalement à vos désirs sur ImmoScout24 - La plateforme de l'immobilier en Suisse.</v>
      </c>
    </row>
    <row r="3922" hidden="1">
      <c r="A3922" s="5" t="s">
        <v>10946</v>
      </c>
      <c r="B3922" s="2" t="s">
        <v>10947</v>
      </c>
      <c r="C3922" s="2" t="s">
        <v>10947</v>
      </c>
      <c r="D3922" s="4" t="str">
        <f>vlookup(A3922, Sheet2!D:E, 2, 0)</f>
        <v>control</v>
      </c>
      <c r="E3922" s="4" t="str">
        <f>IFERROR(__xludf.DUMMYFUNCTION("if(H3922=""pays"",vlookup(REGEXEXTRACT(C3922, ""🏘️ \w+ \w+ (.*) ✅""),'Country prepositions'!A:B, 2, 0) &amp; "" "" &amp; REGEXEXTRACT(C3922, ""🏘️ \w+ \w+ (.*) ✅"") ,  if(H3922=""quartier"",vlookup(REGEXEXTRACT(C3922, ""🏘️ \w+ \w+ (.*) ✅""),'Quartier prepositio"&amp;"ns'!A:E, 5, 0) ,  if(H3922=""region"",vlookup(REGEXEXTRACT(C3922, ""🏘️ \w+ \w+ (.*) ✅""),'Region prepositions'!B:F, 5, 0),  REGEXEXTRACT(C3922, ""🏘️ \w+ \w+ (.*) ✅""))))"),"#N/A")</f>
        <v>#N/A</v>
      </c>
      <c r="I3922" s="4" t="str">
        <f>IFERROR(__xludf.DUMMYFUNCTION("if(D3922=""variant"",  substitute(filter(Templates!E:E, Templates!A:A = F3922, Templates!B:B = G3922, Templates!C:C = H3922), ""{{}}"", E3922), B3922)"),"Louer appartement St. Antoni: Trouvez le bien immobilier qui correspond idéalement à vos désirs sur ImmoScout24 - La plateforme de l'immobilier en Suisse.")</f>
        <v>Louer appartement St. Antoni: Trouvez le bien immobilier qui correspond idéalement à vos désirs sur ImmoScout24 - La plateforme de l'immobilier en Suisse.</v>
      </c>
    </row>
    <row r="3923" hidden="1">
      <c r="A3923" s="5" t="s">
        <v>10948</v>
      </c>
      <c r="B3923" s="2" t="s">
        <v>10949</v>
      </c>
      <c r="C3923" s="2" t="s">
        <v>10949</v>
      </c>
      <c r="D3923" s="4" t="str">
        <f>vlookup(A3923, Sheet2!D:E, 2, 0)</f>
        <v>control</v>
      </c>
      <c r="E3923" s="4" t="str">
        <f>IFERROR(__xludf.DUMMYFUNCTION("if(H3923=""pays"",vlookup(REGEXEXTRACT(C3923, ""🏘️ \w+ \w+ (.*) ✅""),'Country prepositions'!A:B, 2, 0) &amp; "" "" &amp; REGEXEXTRACT(C3923, ""🏘️ \w+ \w+ (.*) ✅"") ,  if(H3923=""quartier"",vlookup(REGEXEXTRACT(C3923, ""🏘️ \w+ \w+ (.*) ✅""),'Quartier prepositio"&amp;"ns'!A:E, 5, 0) ,  if(H3923=""region"",vlookup(REGEXEXTRACT(C3923, ""🏘️ \w+ \w+ (.*) ✅""),'Region prepositions'!B:F, 5, 0),  REGEXEXTRACT(C3923, ""🏘️ \w+ \w+ (.*) ✅""))))"),"#N/A")</f>
        <v>#N/A</v>
      </c>
      <c r="I3923" s="4" t="str">
        <f>IFERROR(__xludf.DUMMYFUNCTION("if(D3923=""variant"",  substitute(filter(Templates!E:E, Templates!A:A = F3923, Templates!B:B = G3923, Templates!C:C = H3923), ""{{}}"", E3923), B3923)"),"Vendre maison Staufen: Trouvez le bien immobilier qui correspond idéalement à vos désirs sur ImmoScout24 - La plateforme de l'immobilier en Suisse.")</f>
        <v>Vendre maison Staufen: Trouvez le bien immobilier qui correspond idéalement à vos désirs sur ImmoScout24 - La plateforme de l'immobilier en Suisse.</v>
      </c>
    </row>
    <row r="3924" hidden="1">
      <c r="A3924" s="5" t="s">
        <v>10950</v>
      </c>
      <c r="B3924" s="2" t="s">
        <v>10951</v>
      </c>
      <c r="C3924" s="2" t="s">
        <v>10951</v>
      </c>
      <c r="D3924" s="4" t="str">
        <f>vlookup(A3924, Sheet2!D:E, 2, 0)</f>
        <v>control</v>
      </c>
      <c r="E3924" s="4" t="str">
        <f>IFERROR(__xludf.DUMMYFUNCTION("if(H3924=""pays"",vlookup(REGEXEXTRACT(C3924, ""🏘️ \w+ \w+ (.*) ✅""),'Country prepositions'!A:B, 2, 0) &amp; "" "" &amp; REGEXEXTRACT(C3924, ""🏘️ \w+ \w+ (.*) ✅"") ,  if(H3924=""quartier"",vlookup(REGEXEXTRACT(C3924, ""🏘️ \w+ \w+ (.*) ✅""),'Quartier prepositio"&amp;"ns'!A:E, 5, 0) ,  if(H3924=""region"",vlookup(REGEXEXTRACT(C3924, ""🏘️ \w+ \w+ (.*) ✅""),'Region prepositions'!B:F, 5, 0),  REGEXEXTRACT(C3924, ""🏘️ \w+ \w+ (.*) ✅""))))"),"#N/A")</f>
        <v>#N/A</v>
      </c>
      <c r="I3924" s="4" t="str">
        <f>IFERROR(__xludf.DUMMYFUNCTION("if(D3924=""variant"",  substitute(filter(Templates!E:E, Templates!A:A = F3924, Templates!B:B = G3924, Templates!C:C = H3924), ""{{}}"", E3924), B3924)"),"Vendre maison Souboz: Trouvez le bien immobilier qui correspond idéalement à vos désirs sur ImmoScout24 - La plateforme de l'immobilier en Suisse.")</f>
        <v>Vendre maison Souboz: Trouvez le bien immobilier qui correspond idéalement à vos désirs sur ImmoScout24 - La plateforme de l'immobilier en Suisse.</v>
      </c>
    </row>
    <row r="3925" hidden="1">
      <c r="A3925" s="5" t="s">
        <v>10952</v>
      </c>
      <c r="B3925" s="2" t="s">
        <v>10953</v>
      </c>
      <c r="C3925" s="2" t="s">
        <v>10953</v>
      </c>
      <c r="D3925" s="4" t="str">
        <f>vlookup(A3925, Sheet2!D:E, 2, 0)</f>
        <v>control</v>
      </c>
      <c r="E3925" s="4" t="str">
        <f>IFERROR(__xludf.DUMMYFUNCTION("if(H3925=""pays"",vlookup(REGEXEXTRACT(C3925, ""🏘️ \w+ \w+ (.*) ✅""),'Country prepositions'!A:B, 2, 0) &amp; "" "" &amp; REGEXEXTRACT(C3925, ""🏘️ \w+ \w+ (.*) ✅"") ,  if(H3925=""quartier"",vlookup(REGEXEXTRACT(C3925, ""🏘️ \w+ \w+ (.*) ✅""),'Quartier prepositio"&amp;"ns'!A:E, 5, 0) ,  if(H3925=""region"",vlookup(REGEXEXTRACT(C3925, ""🏘️ \w+ \w+ (.*) ✅""),'Region prepositions'!B:F, 5, 0),  REGEXEXTRACT(C3925, ""🏘️ \w+ \w+ (.*) ✅""))))"),"#N/A")</f>
        <v>#N/A</v>
      </c>
      <c r="I3925" s="4" t="str">
        <f>IFERROR(__xludf.DUMMYFUNCTION("if(D3925=""variant"",  substitute(filter(Templates!E:E, Templates!A:A = F3925, Templates!B:B = G3925, Templates!C:C = H3925), ""{{}}"", E3925), B3925)"),"Vendre maison Olten: Trouvez le bien immobilier qui correspond idéalement à vos désirs sur ImmoScout24 - La plateforme de l'immobilier en Suisse.")</f>
        <v>Vendre maison Olten: Trouvez le bien immobilier qui correspond idéalement à vos désirs sur ImmoScout24 - La plateforme de l'immobilier en Suisse.</v>
      </c>
    </row>
    <row r="3926" hidden="1">
      <c r="A3926" s="5" t="s">
        <v>10954</v>
      </c>
      <c r="B3926" s="2" t="s">
        <v>10955</v>
      </c>
      <c r="C3926" s="2" t="s">
        <v>10955</v>
      </c>
      <c r="D3926" s="4" t="str">
        <f>vlookup(A3926, Sheet2!D:E, 2, 0)</f>
        <v>control</v>
      </c>
      <c r="E3926" s="4" t="str">
        <f>IFERROR(__xludf.DUMMYFUNCTION("if(H3926=""pays"",vlookup(REGEXEXTRACT(C3926, ""🏘️ \w+ \w+ (.*) ✅""),'Country prepositions'!A:B, 2, 0) &amp; "" "" &amp; REGEXEXTRACT(C3926, ""🏘️ \w+ \w+ (.*) ✅"") ,  if(H3926=""quartier"",vlookup(REGEXEXTRACT(C3926, ""🏘️ \w+ \w+ (.*) ✅""),'Quartier prepositio"&amp;"ns'!A:E, 5, 0) ,  if(H3926=""region"",vlookup(REGEXEXTRACT(C3926, ""🏘️ \w+ \w+ (.*) ✅""),'Region prepositions'!B:F, 5, 0),  REGEXEXTRACT(C3926, ""🏘️ \w+ \w+ (.*) ✅""))))"),"#N/A")</f>
        <v>#N/A</v>
      </c>
      <c r="I3926" s="4" t="str">
        <f>IFERROR(__xludf.DUMMYFUNCTION("if(D3926=""variant"",  substitute(filter(Templates!E:E, Templates!A:A = F3926, Templates!B:B = G3926, Templates!C:C = H3926), ""{{}}"", E3926), B3926)"),"Vendre maison Les Cullayes: Trouvez le bien immobilier qui correspond idéalement à vos désirs sur ImmoScout24 - La plateforme de l'immobilier en Suisse.")</f>
        <v>Vendre maison Les Cullayes: Trouvez le bien immobilier qui correspond idéalement à vos désirs sur ImmoScout24 - La plateforme de l'immobilier en Suisse.</v>
      </c>
    </row>
    <row r="3927" hidden="1">
      <c r="A3927" s="5" t="s">
        <v>10956</v>
      </c>
      <c r="B3927" s="2" t="s">
        <v>10957</v>
      </c>
      <c r="C3927" s="2" t="s">
        <v>10957</v>
      </c>
      <c r="D3927" s="4" t="str">
        <f>vlookup(A3927, Sheet2!D:E, 2, 0)</f>
        <v>control</v>
      </c>
      <c r="E3927" s="4" t="str">
        <f>IFERROR(__xludf.DUMMYFUNCTION("if(H3927=""pays"",vlookup(REGEXEXTRACT(C3927, ""🏘️ \w+ \w+ (.*) ✅""),'Country prepositions'!A:B, 2, 0) &amp; "" "" &amp; REGEXEXTRACT(C3927, ""🏘️ \w+ \w+ (.*) ✅"") ,  if(H3927=""quartier"",vlookup(REGEXEXTRACT(C3927, ""🏘️ \w+ \w+ (.*) ✅""),'Quartier prepositio"&amp;"ns'!A:E, 5, 0) ,  if(H3927=""region"",vlookup(REGEXEXTRACT(C3927, ""🏘️ \w+ \w+ (.*) ✅""),'Region prepositions'!B:F, 5, 0),  REGEXEXTRACT(C3927, ""🏘️ \w+ \w+ (.*) ✅""))))"),"#N/A")</f>
        <v>#N/A</v>
      </c>
      <c r="I3927" s="4" t="str">
        <f>IFERROR(__xludf.DUMMYFUNCTION("if(D3927=""variant"",  substitute(filter(Templates!E:E, Templates!A:A = F3927, Templates!B:B = G3927, Templates!C:C = H3927), ""{{}}"", E3927), B3927)"),"Vendre maison Courtelary: Trouvez le bien immobilier qui correspond idéalement à vos désirs sur ImmoScout24 - La plateforme de l'immobilier en Suisse.")</f>
        <v>Vendre maison Courtelary: Trouvez le bien immobilier qui correspond idéalement à vos désirs sur ImmoScout24 - La plateforme de l'immobilier en Suisse.</v>
      </c>
    </row>
    <row r="3928" hidden="1">
      <c r="A3928" s="5" t="s">
        <v>10958</v>
      </c>
      <c r="B3928" s="2" t="s">
        <v>10959</v>
      </c>
      <c r="C3928" s="2" t="s">
        <v>10959</v>
      </c>
      <c r="D3928" s="4" t="str">
        <f>vlookup(A3928, Sheet2!D:E, 2, 0)</f>
        <v>control</v>
      </c>
      <c r="E3928" s="4" t="str">
        <f>IFERROR(__xludf.DUMMYFUNCTION("if(H3928=""pays"",vlookup(REGEXEXTRACT(C3928, ""🏘️ \w+ \w+ (.*) ✅""),'Country prepositions'!A:B, 2, 0) &amp; "" "" &amp; REGEXEXTRACT(C3928, ""🏘️ \w+ \w+ (.*) ✅"") ,  if(H3928=""quartier"",vlookup(REGEXEXTRACT(C3928, ""🏘️ \w+ \w+ (.*) ✅""),'Quartier prepositio"&amp;"ns'!A:E, 5, 0) ,  if(H3928=""region"",vlookup(REGEXEXTRACT(C3928, ""🏘️ \w+ \w+ (.*) ✅""),'Region prepositions'!B:F, 5, 0),  REGEXEXTRACT(C3928, ""🏘️ \w+ \w+ (.*) ✅""))))"),"#N/A")</f>
        <v>#N/A</v>
      </c>
      <c r="I3928" s="4" t="str">
        <f>IFERROR(__xludf.DUMMYFUNCTION("if(D3928=""variant"",  substitute(filter(Templates!E:E, Templates!A:A = F3928, Templates!B:B = G3928, Templates!C:C = H3928), ""{{}}"", E3928), B3928)"),"Vendre appartement Tafers: Trouvez le bien immobilier qui correspond idéalement à vos désirs sur ImmoScout24 - La plateforme de l'immobilier en Suisse.")</f>
        <v>Vendre appartement Tafers: Trouvez le bien immobilier qui correspond idéalement à vos désirs sur ImmoScout24 - La plateforme de l'immobilier en Suisse.</v>
      </c>
    </row>
    <row r="3929" hidden="1">
      <c r="A3929" s="5" t="s">
        <v>10960</v>
      </c>
      <c r="B3929" s="2" t="s">
        <v>10961</v>
      </c>
      <c r="C3929" s="2" t="s">
        <v>10961</v>
      </c>
      <c r="D3929" s="4" t="str">
        <f>vlookup(A3929, Sheet2!D:E, 2, 0)</f>
        <v>control</v>
      </c>
      <c r="E3929" s="4" t="str">
        <f>IFERROR(__xludf.DUMMYFUNCTION("if(H3929=""pays"",vlookup(REGEXEXTRACT(C3929, ""🏘️ \w+ \w+ (.*) ✅""),'Country prepositions'!A:B, 2, 0) &amp; "" "" &amp; REGEXEXTRACT(C3929, ""🏘️ \w+ \w+ (.*) ✅"") ,  if(H3929=""quartier"",vlookup(REGEXEXTRACT(C3929, ""🏘️ \w+ \w+ (.*) ✅""),'Quartier prepositio"&amp;"ns'!A:E, 5, 0) ,  if(H3929=""region"",vlookup(REGEXEXTRACT(C3929, ""🏘️ \w+ \w+ (.*) ✅""),'Region prepositions'!B:F, 5, 0),  REGEXEXTRACT(C3929, ""🏘️ \w+ \w+ (.*) ✅""))))"),"#N/A")</f>
        <v>#N/A</v>
      </c>
      <c r="I3929" s="4" t="str">
        <f>IFERROR(__xludf.DUMMYFUNCTION("if(D3929=""variant"",  substitute(filter(Templates!E:E, Templates!A:A = F3929, Templates!B:B = G3929, Templates!C:C = H3929), ""{{}}"", E3929), B3929)"),"Louer appartement Ollon VD: Trouvez le bien immobilier qui correspond idéalement à vos désirs sur ImmoScout24 - La plateforme de l'immobilier en Suisse.")</f>
        <v>Louer appartement Ollon VD: Trouvez le bien immobilier qui correspond idéalement à vos désirs sur ImmoScout24 - La plateforme de l'immobilier en Suisse.</v>
      </c>
    </row>
    <row r="3930" hidden="1">
      <c r="A3930" s="5" t="s">
        <v>10962</v>
      </c>
      <c r="B3930" s="2" t="s">
        <v>10963</v>
      </c>
      <c r="C3930" s="2" t="s">
        <v>10963</v>
      </c>
      <c r="D3930" s="4" t="str">
        <f>vlookup(A3930, Sheet2!D:E, 2, 0)</f>
        <v>control</v>
      </c>
      <c r="E3930" s="4" t="str">
        <f>IFERROR(__xludf.DUMMYFUNCTION("if(H3930=""pays"",vlookup(REGEXEXTRACT(C3930, ""🏘️ \w+ \w+ (.*) ✅""),'Country prepositions'!A:B, 2, 0) &amp; "" "" &amp; REGEXEXTRACT(C3930, ""🏘️ \w+ \w+ (.*) ✅"") ,  if(H3930=""quartier"",vlookup(REGEXEXTRACT(C3930, ""🏘️ \w+ \w+ (.*) ✅""),'Quartier prepositio"&amp;"ns'!A:E, 5, 0) ,  if(H3930=""region"",vlookup(REGEXEXTRACT(C3930, ""🏘️ \w+ \w+ (.*) ✅""),'Region prepositions'!B:F, 5, 0),  REGEXEXTRACT(C3930, ""🏘️ \w+ \w+ (.*) ✅""))))"),"#N/A")</f>
        <v>#N/A</v>
      </c>
      <c r="I3930" s="4" t="str">
        <f>IFERROR(__xludf.DUMMYFUNCTION("if(D3930=""variant"",  substitute(filter(Templates!E:E, Templates!A:A = F3930, Templates!B:B = G3930, Templates!C:C = H3930), ""{{}}"", E3930), B3930)"),"Louer appartement Holligen (Berne): Trouvez le bien immobilier qui correspond idéalement à vos désirs sur ImmoScout24 - La plateforme de l'immobilier en Suisse.")</f>
        <v>Louer appartement Holligen (Berne): Trouvez le bien immobilier qui correspond idéalement à vos désirs sur ImmoScout24 - La plateforme de l'immobilier en Suisse.</v>
      </c>
    </row>
    <row r="3931" hidden="1">
      <c r="A3931" s="5" t="s">
        <v>10964</v>
      </c>
      <c r="B3931" s="2" t="s">
        <v>10965</v>
      </c>
      <c r="C3931" s="2" t="s">
        <v>10965</v>
      </c>
      <c r="D3931" s="4" t="str">
        <f>vlookup(A3931, Sheet2!D:E, 2, 0)</f>
        <v>control</v>
      </c>
      <c r="E3931" s="4" t="str">
        <f>IFERROR(__xludf.DUMMYFUNCTION("if(H3931=""pays"",vlookup(REGEXEXTRACT(C3931, ""🏘️ \w+ \w+ (.*) ✅""),'Country prepositions'!A:B, 2, 0) &amp; "" "" &amp; REGEXEXTRACT(C3931, ""🏘️ \w+ \w+ (.*) ✅"") ,  if(H3931=""quartier"",vlookup(REGEXEXTRACT(C3931, ""🏘️ \w+ \w+ (.*) ✅""),'Quartier prepositio"&amp;"ns'!A:E, 5, 0) ,  if(H3931=""region"",vlookup(REGEXEXTRACT(C3931, ""🏘️ \w+ \w+ (.*) ✅""),'Region prepositions'!B:F, 5, 0),  REGEXEXTRACT(C3931, ""🏘️ \w+ \w+ (.*) ✅""))))"),"#N/A")</f>
        <v>#N/A</v>
      </c>
      <c r="I3931" s="4" t="str">
        <f>IFERROR(__xludf.DUMMYFUNCTION("if(D3931=""variant"",  substitute(filter(Templates!E:E, Templates!A:A = F3931, Templates!B:B = G3931, Templates!C:C = H3931), ""{{}}"", E3931), B3931)"),"Vendre maison Giez: Trouvez le bien immobilier qui correspond idéalement à vos désirs sur ImmoScout24 - La plateforme de l'immobilier en Suisse.")</f>
        <v>Vendre maison Giez: Trouvez le bien immobilier qui correspond idéalement à vos désirs sur ImmoScout24 - La plateforme de l'immobilier en Suisse.</v>
      </c>
    </row>
    <row r="3932" hidden="1">
      <c r="A3932" s="5" t="s">
        <v>10966</v>
      </c>
      <c r="B3932" s="2" t="s">
        <v>10967</v>
      </c>
      <c r="C3932" s="2" t="s">
        <v>10967</v>
      </c>
      <c r="D3932" s="4" t="str">
        <f>vlookup(A3932, Sheet2!D:E, 2, 0)</f>
        <v>control</v>
      </c>
      <c r="E3932" s="4" t="str">
        <f>IFERROR(__xludf.DUMMYFUNCTION("if(H3932=""pays"",vlookup(REGEXEXTRACT(C3932, ""🏘️ \w+ \w+ (.*) ✅""),'Country prepositions'!A:B, 2, 0) &amp; "" "" &amp; REGEXEXTRACT(C3932, ""🏘️ \w+ \w+ (.*) ✅"") ,  if(H3932=""quartier"",vlookup(REGEXEXTRACT(C3932, ""🏘️ \w+ \w+ (.*) ✅""),'Quartier prepositio"&amp;"ns'!A:E, 5, 0) ,  if(H3932=""region"",vlookup(REGEXEXTRACT(C3932, ""🏘️ \w+ \w+ (.*) ✅""),'Region prepositions'!B:F, 5, 0),  REGEXEXTRACT(C3932, ""🏘️ \w+ \w+ (.*) ✅""))))"),"#N/A")</f>
        <v>#N/A</v>
      </c>
      <c r="I3932" s="4" t="str">
        <f>IFERROR(__xludf.DUMMYFUNCTION("if(D3932=""variant"",  substitute(filter(Templates!E:E, Templates!A:A = F3932, Templates!B:B = G3932, Templates!C:C = H3932), ""{{}}"", E3932), B3932)"),"Vendre appartement Borde - Bellevaux (Lausanne): Trouvez le bien immobilier qui correspond idéalement à vos désirs sur ImmoScout24 - La plateforme de l'immobilier en Suisse.")</f>
        <v>Vendre appartement Borde - Bellevaux (Lausanne): Trouvez le bien immobilier qui correspond idéalement à vos désirs sur ImmoScout24 - La plateforme de l'immobilier en Suisse.</v>
      </c>
    </row>
    <row r="3933" hidden="1">
      <c r="A3933" s="5" t="s">
        <v>10968</v>
      </c>
      <c r="B3933" s="2" t="s">
        <v>10969</v>
      </c>
      <c r="C3933" s="2" t="s">
        <v>10969</v>
      </c>
      <c r="D3933" s="4" t="str">
        <f>vlookup(A3933, Sheet2!D:E, 2, 0)</f>
        <v>control</v>
      </c>
      <c r="E3933" s="4" t="str">
        <f>IFERROR(__xludf.DUMMYFUNCTION("if(H3933=""pays"",vlookup(REGEXEXTRACT(C3933, ""🏘️ \w+ \w+ (.*) ✅""),'Country prepositions'!A:B, 2, 0) &amp; "" "" &amp; REGEXEXTRACT(C3933, ""🏘️ \w+ \w+ (.*) ✅"") ,  if(H3933=""quartier"",vlookup(REGEXEXTRACT(C3933, ""🏘️ \w+ \w+ (.*) ✅""),'Quartier prepositio"&amp;"ns'!A:E, 5, 0) ,  if(H3933=""region"",vlookup(REGEXEXTRACT(C3933, ""🏘️ \w+ \w+ (.*) ✅""),'Region prepositions'!B:F, 5, 0),  REGEXEXTRACT(C3933, ""🏘️ \w+ \w+ (.*) ✅""))))"),"#N/A")</f>
        <v>#N/A</v>
      </c>
      <c r="I3933" s="4" t="str">
        <f>IFERROR(__xludf.DUMMYFUNCTION("if(D3933=""variant"",  substitute(filter(Templates!E:E, Templates!A:A = F3933, Templates!B:B = G3933, Templates!C:C = H3933), ""{{}}"", E3933), B3933)"),"Louer appartement Vers-chez-Perrin: Trouvez le bien immobilier qui correspond idéalement à vos désirs sur ImmoScout24 - La plateforme de l'immobilier en Suisse.")</f>
        <v>Louer appartement Vers-chez-Perrin: Trouvez le bien immobilier qui correspond idéalement à vos désirs sur ImmoScout24 - La plateforme de l'immobilier en Suisse.</v>
      </c>
    </row>
    <row r="3934" hidden="1">
      <c r="A3934" s="5" t="s">
        <v>10970</v>
      </c>
      <c r="B3934" s="2" t="s">
        <v>10971</v>
      </c>
      <c r="C3934" s="2" t="s">
        <v>10971</v>
      </c>
      <c r="D3934" s="4" t="str">
        <f>vlookup(A3934, Sheet2!D:E, 2, 0)</f>
        <v>control</v>
      </c>
      <c r="E3934" s="4" t="str">
        <f>IFERROR(__xludf.DUMMYFUNCTION("if(H3934=""pays"",vlookup(REGEXEXTRACT(C3934, ""🏘️ \w+ \w+ (.*) ✅""),'Country prepositions'!A:B, 2, 0) &amp; "" "" &amp; REGEXEXTRACT(C3934, ""🏘️ \w+ \w+ (.*) ✅"") ,  if(H3934=""quartier"",vlookup(REGEXEXTRACT(C3934, ""🏘️ \w+ \w+ (.*) ✅""),'Quartier prepositio"&amp;"ns'!A:E, 5, 0) ,  if(H3934=""region"",vlookup(REGEXEXTRACT(C3934, ""🏘️ \w+ \w+ (.*) ✅""),'Region prepositions'!B:F, 5, 0),  REGEXEXTRACT(C3934, ""🏘️ \w+ \w+ (.*) ✅""))))"),"#N/A")</f>
        <v>#N/A</v>
      </c>
      <c r="I3934" s="4" t="str">
        <f>IFERROR(__xludf.DUMMYFUNCTION("if(D3934=""variant"",  substitute(filter(Templates!E:E, Templates!A:A = F3934, Templates!B:B = G3934, Templates!C:C = H3934), ""{{}}"", E3934), B3934)"),"Vendre appartement Penthéréaz: Trouvez le bien immobilier qui correspond idéalement à vos désirs sur ImmoScout24 - La plateforme de l'immobilier en Suisse.")</f>
        <v>Vendre appartement Penthéréaz: Trouvez le bien immobilier qui correspond idéalement à vos désirs sur ImmoScout24 - La plateforme de l'immobilier en Suisse.</v>
      </c>
    </row>
    <row r="3935" hidden="1">
      <c r="A3935" s="5" t="s">
        <v>10972</v>
      </c>
      <c r="B3935" s="2" t="s">
        <v>10973</v>
      </c>
      <c r="C3935" s="2" t="s">
        <v>10973</v>
      </c>
      <c r="D3935" s="4" t="str">
        <f>vlookup(A3935, Sheet2!D:E, 2, 0)</f>
        <v>control</v>
      </c>
      <c r="E3935" s="4" t="str">
        <f>IFERROR(__xludf.DUMMYFUNCTION("if(H3935=""pays"",vlookup(REGEXEXTRACT(C3935, ""🏘️ \w+ \w+ (.*) ✅""),'Country prepositions'!A:B, 2, 0) &amp; "" "" &amp; REGEXEXTRACT(C3935, ""🏘️ \w+ \w+ (.*) ✅"") ,  if(H3935=""quartier"",vlookup(REGEXEXTRACT(C3935, ""🏘️ \w+ \w+ (.*) ✅""),'Quartier prepositio"&amp;"ns'!A:E, 5, 0) ,  if(H3935=""region"",vlookup(REGEXEXTRACT(C3935, ""🏘️ \w+ \w+ (.*) ✅""),'Region prepositions'!B:F, 5, 0),  REGEXEXTRACT(C3935, ""🏘️ \w+ \w+ (.*) ✅""))))"),"#N/A")</f>
        <v>#N/A</v>
      </c>
      <c r="I3935" s="4" t="str">
        <f>IFERROR(__xludf.DUMMYFUNCTION("if(D3935=""variant"",  substitute(filter(Templates!E:E, Templates!A:A = F3935, Templates!B:B = G3935, Templates!C:C = H3935), ""{{}}"", E3935), B3935)"),"Louer appartement Olives - Crosettes (La Chaux-de-Fonds): Trouvez le bien immobilier qui correspond idéalement à vos désirs sur ImmoScout24 - La plateforme de l'immobilier en Suisse.")</f>
        <v>Louer appartement Olives - Crosettes (La Chaux-de-Fonds): Trouvez le bien immobilier qui correspond idéalement à vos désirs sur ImmoScout24 - La plateforme de l'immobilier en Suisse.</v>
      </c>
    </row>
    <row r="3936" hidden="1">
      <c r="A3936" s="5" t="s">
        <v>10974</v>
      </c>
      <c r="B3936" s="2" t="s">
        <v>10975</v>
      </c>
      <c r="C3936" s="2" t="s">
        <v>10975</v>
      </c>
      <c r="D3936" s="4" t="str">
        <f>vlookup(A3936, Sheet2!D:E, 2, 0)</f>
        <v>control</v>
      </c>
      <c r="E3936" s="4" t="str">
        <f>IFERROR(__xludf.DUMMYFUNCTION("if(H3936=""pays"",vlookup(REGEXEXTRACT(C3936, ""🏘️ \w+ \w+ (.*) ✅""),'Country prepositions'!A:B, 2, 0) &amp; "" "" &amp; REGEXEXTRACT(C3936, ""🏘️ \w+ \w+ (.*) ✅"") ,  if(H3936=""quartier"",vlookup(REGEXEXTRACT(C3936, ""🏘️ \w+ \w+ (.*) ✅""),'Quartier prepositio"&amp;"ns'!A:E, 5, 0) ,  if(H3936=""region"",vlookup(REGEXEXTRACT(C3936, ""🏘️ \w+ \w+ (.*) ✅""),'Region prepositions'!B:F, 5, 0),  REGEXEXTRACT(C3936, ""🏘️ \w+ \w+ (.*) ✅""))))"),"#N/A")</f>
        <v>#N/A</v>
      </c>
      <c r="I3936" s="4" t="str">
        <f>IFERROR(__xludf.DUMMYFUNCTION("if(D3936=""variant"",  substitute(filter(Templates!E:E, Templates!A:A = F3936, Templates!B:B = G3936, Templates!C:C = H3936), ""{{}}"", E3936), B3936)"),"Vendre maison Mur (Vully) FR: Trouvez le bien immobilier qui correspond idéalement à vos désirs sur ImmoScout24 - La plateforme de l'immobilier en Suisse.")</f>
        <v>Vendre maison Mur (Vully) FR: Trouvez le bien immobilier qui correspond idéalement à vos désirs sur ImmoScout24 - La plateforme de l'immobilier en Suisse.</v>
      </c>
    </row>
    <row r="3937" hidden="1">
      <c r="A3937" s="5" t="s">
        <v>10976</v>
      </c>
      <c r="B3937" s="2" t="s">
        <v>10977</v>
      </c>
      <c r="C3937" s="2" t="s">
        <v>10977</v>
      </c>
      <c r="D3937" s="4" t="str">
        <f>vlookup(A3937, Sheet2!D:E, 2, 0)</f>
        <v>control</v>
      </c>
      <c r="E3937" s="4" t="str">
        <f>IFERROR(__xludf.DUMMYFUNCTION("if(H3937=""pays"",vlookup(REGEXEXTRACT(C3937, ""🏘️ \w+ \w+ (.*) ✅""),'Country prepositions'!A:B, 2, 0) &amp; "" "" &amp; REGEXEXTRACT(C3937, ""🏘️ \w+ \w+ (.*) ✅"") ,  if(H3937=""quartier"",vlookup(REGEXEXTRACT(C3937, ""🏘️ \w+ \w+ (.*) ✅""),'Quartier prepositio"&amp;"ns'!A:E, 5, 0) ,  if(H3937=""region"",vlookup(REGEXEXTRACT(C3937, ""🏘️ \w+ \w+ (.*) ✅""),'Region prepositions'!B:F, 5, 0),  REGEXEXTRACT(C3937, ""🏘️ \w+ \w+ (.*) ✅""))))"),"#N/A")</f>
        <v>#N/A</v>
      </c>
      <c r="I3937" s="4" t="str">
        <f>IFERROR(__xludf.DUMMYFUNCTION("if(D3937=""variant"",  substitute(filter(Templates!E:E, Templates!A:A = F3937, Templates!B:B = G3937, Templates!C:C = H3937), ""{{}}"", E3937), B3937)"),"Louer maison Gilly: Trouvez le bien immobilier qui correspond idéalement à vos désirs sur ImmoScout24 - La plateforme de l'immobilier en Suisse.")</f>
        <v>Louer maison Gilly: Trouvez le bien immobilier qui correspond idéalement à vos désirs sur ImmoScout24 - La plateforme de l'immobilier en Suisse.</v>
      </c>
    </row>
    <row r="3938" hidden="1">
      <c r="A3938" s="5" t="s">
        <v>10978</v>
      </c>
      <c r="B3938" s="2" t="s">
        <v>10979</v>
      </c>
      <c r="C3938" s="2" t="s">
        <v>10979</v>
      </c>
      <c r="D3938" s="4" t="str">
        <f>vlookup(A3938, Sheet2!D:E, 2, 0)</f>
        <v>control</v>
      </c>
      <c r="E3938" s="4" t="str">
        <f>IFERROR(__xludf.DUMMYFUNCTION("if(H3938=""pays"",vlookup(REGEXEXTRACT(C3938, ""🏘️ \w+ \w+ (.*) ✅""),'Country prepositions'!A:B, 2, 0) &amp; "" "" &amp; REGEXEXTRACT(C3938, ""🏘️ \w+ \w+ (.*) ✅"") ,  if(H3938=""quartier"",vlookup(REGEXEXTRACT(C3938, ""🏘️ \w+ \w+ (.*) ✅""),'Quartier prepositio"&amp;"ns'!A:E, 5, 0) ,  if(H3938=""region"",vlookup(REGEXEXTRACT(C3938, ""🏘️ \w+ \w+ (.*) ✅""),'Region prepositions'!B:F, 5, 0),  REGEXEXTRACT(C3938, ""🏘️ \w+ \w+ (.*) ✅""))))"),"#N/A")</f>
        <v>#N/A</v>
      </c>
      <c r="I3938" s="4" t="str">
        <f>IFERROR(__xludf.DUMMYFUNCTION("if(D3938=""variant"",  substitute(filter(Templates!E:E, Templates!A:A = F3938, Templates!B:B = G3938, Templates!C:C = H3938), ""{{}}"", E3938), B3938)"),"Louer appartement Luc (Ayent): Trouvez le bien immobilier qui correspond idéalement à vos désirs sur ImmoScout24 - La plateforme de l'immobilier en Suisse.")</f>
        <v>Louer appartement Luc (Ayent): Trouvez le bien immobilier qui correspond idéalement à vos désirs sur ImmoScout24 - La plateforme de l'immobilier en Suisse.</v>
      </c>
    </row>
    <row r="3939" hidden="1">
      <c r="A3939" s="5" t="s">
        <v>10980</v>
      </c>
      <c r="B3939" s="2" t="s">
        <v>10981</v>
      </c>
      <c r="C3939" s="2" t="s">
        <v>10981</v>
      </c>
      <c r="D3939" s="4" t="str">
        <f>vlookup(A3939, Sheet2!D:E, 2, 0)</f>
        <v>control</v>
      </c>
      <c r="E3939" s="4" t="str">
        <f>IFERROR(__xludf.DUMMYFUNCTION("if(H3939=""pays"",vlookup(REGEXEXTRACT(C3939, ""🏘️ \w+ \w+ (.*) ✅""),'Country prepositions'!A:B, 2, 0) &amp; "" "" &amp; REGEXEXTRACT(C3939, ""🏘️ \w+ \w+ (.*) ✅"") ,  if(H3939=""quartier"",vlookup(REGEXEXTRACT(C3939, ""🏘️ \w+ \w+ (.*) ✅""),'Quartier prepositio"&amp;"ns'!A:E, 5, 0) ,  if(H3939=""region"",vlookup(REGEXEXTRACT(C3939, ""🏘️ \w+ \w+ (.*) ✅""),'Region prepositions'!B:F, 5, 0),  REGEXEXTRACT(C3939, ""🏘️ \w+ \w+ (.*) ✅""))))"),"#N/A")</f>
        <v>#N/A</v>
      </c>
      <c r="I3939" s="4" t="str">
        <f>IFERROR(__xludf.DUMMYFUNCTION("if(D3939=""variant"",  substitute(filter(Templates!E:E, Templates!A:A = F3939, Templates!B:B = G3939, Templates!C:C = H3939), ""{{}}"", E3939), B3939)"),"Louer appartement Am Ring (Bâle): Trouvez le bien immobilier qui correspond idéalement à vos désirs sur ImmoScout24 - La plateforme de l'immobilier en Suisse.")</f>
        <v>Louer appartement Am Ring (Bâle): Trouvez le bien immobilier qui correspond idéalement à vos désirs sur ImmoScout24 - La plateforme de l'immobilier en Suisse.</v>
      </c>
    </row>
    <row r="3940" hidden="1">
      <c r="A3940" s="5" t="s">
        <v>10982</v>
      </c>
      <c r="B3940" s="2" t="s">
        <v>10983</v>
      </c>
      <c r="C3940" s="2" t="s">
        <v>10983</v>
      </c>
      <c r="D3940" s="4" t="str">
        <f>vlookup(A3940, Sheet2!D:E, 2, 0)</f>
        <v>control</v>
      </c>
      <c r="E3940" s="4" t="str">
        <f>IFERROR(__xludf.DUMMYFUNCTION("if(H3940=""pays"",vlookup(REGEXEXTRACT(C3940, ""🏘️ \w+ \w+ (.*) ✅""),'Country prepositions'!A:B, 2, 0) &amp; "" "" &amp; REGEXEXTRACT(C3940, ""🏘️ \w+ \w+ (.*) ✅"") ,  if(H3940=""quartier"",vlookup(REGEXEXTRACT(C3940, ""🏘️ \w+ \w+ (.*) ✅""),'Quartier prepositio"&amp;"ns'!A:E, 5, 0) ,  if(H3940=""region"",vlookup(REGEXEXTRACT(C3940, ""🏘️ \w+ \w+ (.*) ✅""),'Region prepositions'!B:F, 5, 0),  REGEXEXTRACT(C3940, ""🏘️ \w+ \w+ (.*) ✅""))))"),"#N/A")</f>
        <v>#N/A</v>
      </c>
      <c r="I3940" s="4" t="str">
        <f>IFERROR(__xludf.DUMMYFUNCTION("if(D3940=""variant"",  substitute(filter(Templates!E:E, Templates!A:A = F3940, Templates!B:B = G3940, Templates!C:C = H3940), ""{{}}"", E3940), B3940)"),"Vendre maison Mels: Trouvez le bien immobilier qui correspond idéalement à vos désirs sur ImmoScout24 - La plateforme de l'immobilier en Suisse.")</f>
        <v>Vendre maison Mels: Trouvez le bien immobilier qui correspond idéalement à vos désirs sur ImmoScout24 - La plateforme de l'immobilier en Suisse.</v>
      </c>
    </row>
    <row r="3941" hidden="1">
      <c r="A3941" s="5" t="s">
        <v>10984</v>
      </c>
      <c r="B3941" s="2" t="s">
        <v>10985</v>
      </c>
      <c r="C3941" s="2" t="s">
        <v>10985</v>
      </c>
      <c r="D3941" s="4" t="str">
        <f>vlookup(A3941, Sheet2!D:E, 2, 0)</f>
        <v>control</v>
      </c>
      <c r="E3941" s="4" t="str">
        <f>IFERROR(__xludf.DUMMYFUNCTION("if(H3941=""pays"",vlookup(REGEXEXTRACT(C3941, ""🏘️ \w+ \w+ (.*) ✅""),'Country prepositions'!A:B, 2, 0) &amp; "" "" &amp; REGEXEXTRACT(C3941, ""🏘️ \w+ \w+ (.*) ✅"") ,  if(H3941=""quartier"",vlookup(REGEXEXTRACT(C3941, ""🏘️ \w+ \w+ (.*) ✅""),'Quartier prepositio"&amp;"ns'!A:E, 5, 0) ,  if(H3941=""region"",vlookup(REGEXEXTRACT(C3941, ""🏘️ \w+ \w+ (.*) ✅""),'Region prepositions'!B:F, 5, 0),  REGEXEXTRACT(C3941, ""🏘️ \w+ \w+ (.*) ✅""))))"),"#N/A")</f>
        <v>#N/A</v>
      </c>
      <c r="I3941" s="4" t="str">
        <f>IFERROR(__xludf.DUMMYFUNCTION("if(D3941=""variant"",  substitute(filter(Templates!E:E, Templates!A:A = F3941, Templates!B:B = G3941, Templates!C:C = H3941), ""{{}}"", E3941), B3941)"),"Louer appartement St. Gallen: Trouvez le bien immobilier qui correspond idéalement à vos désirs sur ImmoScout24 - La plateforme de l'immobilier en Suisse.")</f>
        <v>Louer appartement St. Gallen: Trouvez le bien immobilier qui correspond idéalement à vos désirs sur ImmoScout24 - La plateforme de l'immobilier en Suisse.</v>
      </c>
    </row>
    <row r="3942" hidden="1">
      <c r="A3942" s="5" t="s">
        <v>10986</v>
      </c>
      <c r="B3942" s="2" t="s">
        <v>10987</v>
      </c>
      <c r="C3942" s="2" t="s">
        <v>10987</v>
      </c>
      <c r="D3942" s="4" t="str">
        <f>vlookup(A3942, Sheet2!D:E, 2, 0)</f>
        <v>control</v>
      </c>
      <c r="E3942" s="4" t="str">
        <f>IFERROR(__xludf.DUMMYFUNCTION("if(H3942=""pays"",vlookup(REGEXEXTRACT(C3942, ""🏘️ \w+ \w+ (.*) ✅""),'Country prepositions'!A:B, 2, 0) &amp; "" "" &amp; REGEXEXTRACT(C3942, ""🏘️ \w+ \w+ (.*) ✅"") ,  if(H3942=""quartier"",vlookup(REGEXEXTRACT(C3942, ""🏘️ \w+ \w+ (.*) ✅""),'Quartier prepositio"&amp;"ns'!A:E, 5, 0) ,  if(H3942=""region"",vlookup(REGEXEXTRACT(C3942, ""🏘️ \w+ \w+ (.*) ✅""),'Region prepositions'!B:F, 5, 0),  REGEXEXTRACT(C3942, ""🏘️ \w+ \w+ (.*) ✅""))))"),"#N/A")</f>
        <v>#N/A</v>
      </c>
      <c r="I3942" s="4" t="str">
        <f>IFERROR(__xludf.DUMMYFUNCTION("if(D3942=""variant"",  substitute(filter(Templates!E:E, Templates!A:A = F3942, Templates!B:B = G3942, Templates!C:C = H3942), ""{{}}"", E3942), B3942)"),"Louer appartement Grub AR: Trouvez le bien immobilier qui correspond idéalement à vos désirs sur ImmoScout24 - La plateforme de l'immobilier en Suisse.")</f>
        <v>Louer appartement Grub AR: Trouvez le bien immobilier qui correspond idéalement à vos désirs sur ImmoScout24 - La plateforme de l'immobilier en Suisse.</v>
      </c>
    </row>
    <row r="3943" hidden="1">
      <c r="A3943" s="5" t="s">
        <v>10988</v>
      </c>
      <c r="B3943" s="2" t="s">
        <v>10989</v>
      </c>
      <c r="C3943" s="2" t="s">
        <v>10989</v>
      </c>
      <c r="D3943" s="4" t="str">
        <f>vlookup(A3943, Sheet2!D:E, 2, 0)</f>
        <v>control</v>
      </c>
      <c r="E3943" s="4" t="str">
        <f>IFERROR(__xludf.DUMMYFUNCTION("if(H3943=""pays"",vlookup(REGEXEXTRACT(C3943, ""🏘️ \w+ \w+ (.*) ✅""),'Country prepositions'!A:B, 2, 0) &amp; "" "" &amp; REGEXEXTRACT(C3943, ""🏘️ \w+ \w+ (.*) ✅"") ,  if(H3943=""quartier"",vlookup(REGEXEXTRACT(C3943, ""🏘️ \w+ \w+ (.*) ✅""),'Quartier prepositio"&amp;"ns'!A:E, 5, 0) ,  if(H3943=""region"",vlookup(REGEXEXTRACT(C3943, ""🏘️ \w+ \w+ (.*) ✅""),'Region prepositions'!B:F, 5, 0),  REGEXEXTRACT(C3943, ""🏘️ \w+ \w+ (.*) ✅""))))"),"#N/A")</f>
        <v>#N/A</v>
      </c>
      <c r="I3943" s="4" t="str">
        <f>IFERROR(__xludf.DUMMYFUNCTION("if(D3943=""variant"",  substitute(filter(Templates!E:E, Templates!A:A = F3943, Templates!B:B = G3943, Templates!C:C = H3943), ""{{}}"", E3943), B3943)"),"Louer appartement Teufen AR: Trouvez le bien immobilier qui correspond idéalement à vos désirs sur ImmoScout24 - La plateforme de l'immobilier en Suisse.")</f>
        <v>Louer appartement Teufen AR: Trouvez le bien immobilier qui correspond idéalement à vos désirs sur ImmoScout24 - La plateforme de l'immobilier en Suisse.</v>
      </c>
    </row>
    <row r="3944" hidden="1">
      <c r="A3944" s="5" t="s">
        <v>10990</v>
      </c>
      <c r="B3944" s="2" t="s">
        <v>10991</v>
      </c>
      <c r="C3944" s="2" t="s">
        <v>10991</v>
      </c>
      <c r="D3944" s="4" t="str">
        <f>vlookup(A3944, Sheet2!D:E, 2, 0)</f>
        <v>control</v>
      </c>
      <c r="E3944" s="4" t="str">
        <f>IFERROR(__xludf.DUMMYFUNCTION("if(H3944=""pays"",vlookup(REGEXEXTRACT(C3944, ""🏘️ \w+ \w+ (.*) ✅""),'Country prepositions'!A:B, 2, 0) &amp; "" "" &amp; REGEXEXTRACT(C3944, ""🏘️ \w+ \w+ (.*) ✅"") ,  if(H3944=""quartier"",vlookup(REGEXEXTRACT(C3944, ""🏘️ \w+ \w+ (.*) ✅""),'Quartier prepositio"&amp;"ns'!A:E, 5, 0) ,  if(H3944=""region"",vlookup(REGEXEXTRACT(C3944, ""🏘️ \w+ \w+ (.*) ✅""),'Region prepositions'!B:F, 5, 0),  REGEXEXTRACT(C3944, ""🏘️ \w+ \w+ (.*) ✅""))))"),"#N/A")</f>
        <v>#N/A</v>
      </c>
      <c r="I3944" s="4" t="str">
        <f>IFERROR(__xludf.DUMMYFUNCTION("if(D3944=""variant"",  substitute(filter(Templates!E:E, Templates!A:A = F3944, Templates!B:B = G3944, Templates!C:C = H3944), ""{{}}"", E3944), B3944)"),"Louer appartement Mutrux: Trouvez le bien immobilier qui correspond idéalement à vos désirs sur ImmoScout24 - La plateforme de l'immobilier en Suisse.")</f>
        <v>Louer appartement Mutrux: Trouvez le bien immobilier qui correspond idéalement à vos désirs sur ImmoScout24 - La plateforme de l'immobilier en Suisse.</v>
      </c>
    </row>
    <row r="3945" hidden="1">
      <c r="A3945" s="5" t="s">
        <v>10992</v>
      </c>
      <c r="B3945" s="2" t="s">
        <v>10993</v>
      </c>
      <c r="C3945" s="2" t="s">
        <v>10993</v>
      </c>
      <c r="D3945" s="4" t="str">
        <f>vlookup(A3945, Sheet2!D:E, 2, 0)</f>
        <v>control</v>
      </c>
      <c r="E3945" s="4" t="str">
        <f>IFERROR(__xludf.DUMMYFUNCTION("if(H3945=""pays"",vlookup(REGEXEXTRACT(C3945, ""🏘️ \w+ \w+ (.*) ✅""),'Country prepositions'!A:B, 2, 0) &amp; "" "" &amp; REGEXEXTRACT(C3945, ""🏘️ \w+ \w+ (.*) ✅"") ,  if(H3945=""quartier"",vlookup(REGEXEXTRACT(C3945, ""🏘️ \w+ \w+ (.*) ✅""),'Quartier prepositio"&amp;"ns'!A:E, 5, 0) ,  if(H3945=""region"",vlookup(REGEXEXTRACT(C3945, ""🏘️ \w+ \w+ (.*) ✅""),'Region prepositions'!B:F, 5, 0),  REGEXEXTRACT(C3945, ""🏘️ \w+ \w+ (.*) ✅""))))"),"#N/A")</f>
        <v>#N/A</v>
      </c>
      <c r="I3945" s="4" t="str">
        <f>IFERROR(__xludf.DUMMYFUNCTION("if(D3945=""variant"",  substitute(filter(Templates!E:E, Templates!A:A = F3945, Templates!B:B = G3945, Templates!C:C = H3945), ""{{}}"", E3945), B3945)"),"Vendre maison Rupperswil: Trouvez le bien immobilier qui correspond idéalement à vos désirs sur ImmoScout24 - La plateforme de l'immobilier en Suisse.")</f>
        <v>Vendre maison Rupperswil: Trouvez le bien immobilier qui correspond idéalement à vos désirs sur ImmoScout24 - La plateforme de l'immobilier en Suisse.</v>
      </c>
    </row>
    <row r="3946" hidden="1">
      <c r="A3946" s="5" t="s">
        <v>10994</v>
      </c>
      <c r="B3946" s="2" t="s">
        <v>10995</v>
      </c>
      <c r="C3946" s="2" t="s">
        <v>10995</v>
      </c>
      <c r="D3946" s="4" t="str">
        <f>vlookup(A3946, Sheet2!D:E, 2, 0)</f>
        <v>control</v>
      </c>
      <c r="E3946" s="4" t="str">
        <f>IFERROR(__xludf.DUMMYFUNCTION("if(H3946=""pays"",vlookup(REGEXEXTRACT(C3946, ""🏘️ \w+ \w+ (.*) ✅""),'Country prepositions'!A:B, 2, 0) &amp; "" "" &amp; REGEXEXTRACT(C3946, ""🏘️ \w+ \w+ (.*) ✅"") ,  if(H3946=""quartier"",vlookup(REGEXEXTRACT(C3946, ""🏘️ \w+ \w+ (.*) ✅""),'Quartier prepositio"&amp;"ns'!A:E, 5, 0) ,  if(H3946=""region"",vlookup(REGEXEXTRACT(C3946, ""🏘️ \w+ \w+ (.*) ✅""),'Region prepositions'!B:F, 5, 0),  REGEXEXTRACT(C3946, ""🏘️ \w+ \w+ (.*) ✅""))))"),"#N/A")</f>
        <v>#N/A</v>
      </c>
      <c r="I3946" s="4" t="str">
        <f>IFERROR(__xludf.DUMMYFUNCTION("if(D3946=""variant"",  substitute(filter(Templates!E:E, Templates!A:A = F3946, Templates!B:B = G3946, Templates!C:C = H3946), ""{{}}"", E3946), B3946)"),"Louer appartement Lachen (St-Gall): Trouvez le bien immobilier qui correspond idéalement à vos désirs sur ImmoScout24 - La plateforme de l'immobilier en Suisse.")</f>
        <v>Louer appartement Lachen (St-Gall): Trouvez le bien immobilier qui correspond idéalement à vos désirs sur ImmoScout24 - La plateforme de l'immobilier en Suisse.</v>
      </c>
    </row>
    <row r="3947" hidden="1">
      <c r="A3947" s="5" t="s">
        <v>10996</v>
      </c>
      <c r="B3947" s="2" t="s">
        <v>10997</v>
      </c>
      <c r="C3947" s="2" t="s">
        <v>10997</v>
      </c>
      <c r="D3947" s="4" t="str">
        <f>vlookup(A3947, Sheet2!D:E, 2, 0)</f>
        <v>control</v>
      </c>
      <c r="E3947" s="4" t="str">
        <f>IFERROR(__xludf.DUMMYFUNCTION("if(H3947=""pays"",vlookup(REGEXEXTRACT(C3947, ""🏘️ \w+ \w+ (.*) ✅""),'Country prepositions'!A:B, 2, 0) &amp; "" "" &amp; REGEXEXTRACT(C3947, ""🏘️ \w+ \w+ (.*) ✅"") ,  if(H3947=""quartier"",vlookup(REGEXEXTRACT(C3947, ""🏘️ \w+ \w+ (.*) ✅""),'Quartier prepositio"&amp;"ns'!A:E, 5, 0) ,  if(H3947=""region"",vlookup(REGEXEXTRACT(C3947, ""🏘️ \w+ \w+ (.*) ✅""),'Region prepositions'!B:F, 5, 0),  REGEXEXTRACT(C3947, ""🏘️ \w+ \w+ (.*) ✅""))))"),"#N/A")</f>
        <v>#N/A</v>
      </c>
      <c r="I3947" s="4" t="str">
        <f>IFERROR(__xludf.DUMMYFUNCTION("if(D3947=""variant"",  substitute(filter(Templates!E:E, Templates!A:A = F3947, Templates!B:B = G3947, Templates!C:C = H3947), ""{{}}"", E3947), B3947)"),"Louer appartement Gentilino: Trouvez le bien immobilier qui correspond idéalement à vos désirs sur ImmoScout24 - La plateforme de l'immobilier en Suisse.")</f>
        <v>Louer appartement Gentilino: Trouvez le bien immobilier qui correspond idéalement à vos désirs sur ImmoScout24 - La plateforme de l'immobilier en Suisse.</v>
      </c>
    </row>
    <row r="3948" hidden="1">
      <c r="A3948" s="5" t="s">
        <v>10998</v>
      </c>
      <c r="B3948" s="2" t="s">
        <v>10999</v>
      </c>
      <c r="C3948" s="2" t="s">
        <v>10999</v>
      </c>
      <c r="D3948" s="4" t="str">
        <f>vlookup(A3948, Sheet2!D:E, 2, 0)</f>
        <v>control</v>
      </c>
      <c r="E3948" s="4" t="str">
        <f>IFERROR(__xludf.DUMMYFUNCTION("if(H3948=""pays"",vlookup(REGEXEXTRACT(C3948, ""🏘️ \w+ \w+ (.*) ✅""),'Country prepositions'!A:B, 2, 0) &amp; "" "" &amp; REGEXEXTRACT(C3948, ""🏘️ \w+ \w+ (.*) ✅"") ,  if(H3948=""quartier"",vlookup(REGEXEXTRACT(C3948, ""🏘️ \w+ \w+ (.*) ✅""),'Quartier prepositio"&amp;"ns'!A:E, 5, 0) ,  if(H3948=""region"",vlookup(REGEXEXTRACT(C3948, ""🏘️ \w+ \w+ (.*) ✅""),'Region prepositions'!B:F, 5, 0),  REGEXEXTRACT(C3948, ""🏘️ \w+ \w+ (.*) ✅""))))"),"#N/A")</f>
        <v>#N/A</v>
      </c>
      <c r="I3948" s="4" t="str">
        <f>IFERROR(__xludf.DUMMYFUNCTION("if(D3948=""variant"",  substitute(filter(Templates!E:E, Templates!A:A = F3948, Templates!B:B = G3948, Templates!C:C = H3948), ""{{}}"", E3948), B3948)"),"Vendre maison Collombey: Trouvez le bien immobilier qui correspond idéalement à vos désirs sur ImmoScout24 - La plateforme de l'immobilier en Suisse.")</f>
        <v>Vendre maison Collombey: Trouvez le bien immobilier qui correspond idéalement à vos désirs sur ImmoScout24 - La plateforme de l'immobilier en Suisse.</v>
      </c>
    </row>
    <row r="3949" hidden="1">
      <c r="A3949" s="5" t="s">
        <v>11000</v>
      </c>
      <c r="B3949" s="2" t="s">
        <v>11001</v>
      </c>
      <c r="C3949" s="2" t="s">
        <v>11001</v>
      </c>
      <c r="D3949" s="4" t="str">
        <f>vlookup(A3949, Sheet2!D:E, 2, 0)</f>
        <v>control</v>
      </c>
      <c r="E3949" s="4" t="str">
        <f>IFERROR(__xludf.DUMMYFUNCTION("if(H3949=""pays"",vlookup(REGEXEXTRACT(C3949, ""🏘️ \w+ \w+ (.*) ✅""),'Country prepositions'!A:B, 2, 0) &amp; "" "" &amp; REGEXEXTRACT(C3949, ""🏘️ \w+ \w+ (.*) ✅"") ,  if(H3949=""quartier"",vlookup(REGEXEXTRACT(C3949, ""🏘️ \w+ \w+ (.*) ✅""),'Quartier prepositio"&amp;"ns'!A:E, 5, 0) ,  if(H3949=""region"",vlookup(REGEXEXTRACT(C3949, ""🏘️ \w+ \w+ (.*) ✅""),'Region prepositions'!B:F, 5, 0),  REGEXEXTRACT(C3949, ""🏘️ \w+ \w+ (.*) ✅""))))"),"#N/A")</f>
        <v>#N/A</v>
      </c>
      <c r="I3949" s="4" t="str">
        <f>IFERROR(__xludf.DUMMYFUNCTION("if(D3949=""variant"",  substitute(filter(Templates!E:E, Templates!A:A = F3949, Templates!B:B = G3949, Templates!C:C = H3949), ""{{}}"", E3949), B3949)"),"Louer maison Salenstein: Trouvez le bien immobilier qui correspond idéalement à vos désirs sur ImmoScout24 - La plateforme de l'immobilier en Suisse.")</f>
        <v>Louer maison Salenstein: Trouvez le bien immobilier qui correspond idéalement à vos désirs sur ImmoScout24 - La plateforme de l'immobilier en Suisse.</v>
      </c>
    </row>
    <row r="3950" hidden="1">
      <c r="A3950" s="5" t="s">
        <v>11002</v>
      </c>
      <c r="B3950" s="2" t="s">
        <v>11003</v>
      </c>
      <c r="C3950" s="2" t="s">
        <v>11003</v>
      </c>
      <c r="D3950" s="4" t="str">
        <f>vlookup(A3950, Sheet2!D:E, 2, 0)</f>
        <v>control</v>
      </c>
      <c r="E3950" s="4" t="str">
        <f>IFERROR(__xludf.DUMMYFUNCTION("if(H3950=""pays"",vlookup(REGEXEXTRACT(C3950, ""🏘️ \w+ \w+ (.*) ✅""),'Country prepositions'!A:B, 2, 0) &amp; "" "" &amp; REGEXEXTRACT(C3950, ""🏘️ \w+ \w+ (.*) ✅"") ,  if(H3950=""quartier"",vlookup(REGEXEXTRACT(C3950, ""🏘️ \w+ \w+ (.*) ✅""),'Quartier prepositio"&amp;"ns'!A:E, 5, 0) ,  if(H3950=""region"",vlookup(REGEXEXTRACT(C3950, ""🏘️ \w+ \w+ (.*) ✅""),'Region prepositions'!B:F, 5, 0),  REGEXEXTRACT(C3950, ""🏘️ \w+ \w+ (.*) ✅""))))"),"#N/A")</f>
        <v>#N/A</v>
      </c>
      <c r="I3950" s="4" t="str">
        <f>IFERROR(__xludf.DUMMYFUNCTION("if(D3950=""variant"",  substitute(filter(Templates!E:E, Templates!A:A = F3950, Templates!B:B = G3950, Templates!C:C = H3950), ""{{}}"", E3950), B3950)"),"Vendre appartement Manno: Trouvez le bien immobilier qui correspond idéalement à vos désirs sur ImmoScout24 - La plateforme de l'immobilier en Suisse.")</f>
        <v>Vendre appartement Manno: Trouvez le bien immobilier qui correspond idéalement à vos désirs sur ImmoScout24 - La plateforme de l'immobilier en Suisse.</v>
      </c>
    </row>
    <row r="3951" hidden="1">
      <c r="A3951" s="5" t="s">
        <v>11004</v>
      </c>
      <c r="B3951" s="2" t="s">
        <v>11005</v>
      </c>
      <c r="C3951" s="2" t="s">
        <v>11005</v>
      </c>
      <c r="D3951" s="4" t="str">
        <f>vlookup(A3951, Sheet2!D:E, 2, 0)</f>
        <v>control</v>
      </c>
      <c r="E3951" s="4" t="str">
        <f>IFERROR(__xludf.DUMMYFUNCTION("if(H3951=""pays"",vlookup(REGEXEXTRACT(C3951, ""🏘️ \w+ \w+ (.*) ✅""),'Country prepositions'!A:B, 2, 0) &amp; "" "" &amp; REGEXEXTRACT(C3951, ""🏘️ \w+ \w+ (.*) ✅"") ,  if(H3951=""quartier"",vlookup(REGEXEXTRACT(C3951, ""🏘️ \w+ \w+ (.*) ✅""),'Quartier prepositio"&amp;"ns'!A:E, 5, 0) ,  if(H3951=""region"",vlookup(REGEXEXTRACT(C3951, ""🏘️ \w+ \w+ (.*) ✅""),'Region prepositions'!B:F, 5, 0),  REGEXEXTRACT(C3951, ""🏘️ \w+ \w+ (.*) ✅""))))"),"#N/A")</f>
        <v>#N/A</v>
      </c>
      <c r="I3951" s="4" t="str">
        <f>IFERROR(__xludf.DUMMYFUNCTION("if(D3951=""variant"",  substitute(filter(Templates!E:E, Templates!A:A = F3951, Templates!B:B = G3951, Templates!C:C = H3951), ""{{}}"", E3951), B3951)"),"Louer appartement Cinuos-chel: Trouvez le bien immobilier qui correspond idéalement à vos désirs sur ImmoScout24 - La plateforme de l'immobilier en Suisse.")</f>
        <v>Louer appartement Cinuos-chel: Trouvez le bien immobilier qui correspond idéalement à vos désirs sur ImmoScout24 - La plateforme de l'immobilier en Suisse.</v>
      </c>
    </row>
    <row r="3952" hidden="1">
      <c r="A3952" s="5" t="s">
        <v>11006</v>
      </c>
      <c r="B3952" s="2" t="s">
        <v>11007</v>
      </c>
      <c r="C3952" s="2" t="s">
        <v>11007</v>
      </c>
      <c r="D3952" s="4" t="str">
        <f>vlookup(A3952, Sheet2!D:E, 2, 0)</f>
        <v>control</v>
      </c>
      <c r="E3952" s="4" t="str">
        <f>IFERROR(__xludf.DUMMYFUNCTION("if(H3952=""pays"",vlookup(REGEXEXTRACT(C3952, ""🏘️ \w+ \w+ (.*) ✅""),'Country prepositions'!A:B, 2, 0) &amp; "" "" &amp; REGEXEXTRACT(C3952, ""🏘️ \w+ \w+ (.*) ✅"") ,  if(H3952=""quartier"",vlookup(REGEXEXTRACT(C3952, ""🏘️ \w+ \w+ (.*) ✅""),'Quartier prepositio"&amp;"ns'!A:E, 5, 0) ,  if(H3952=""region"",vlookup(REGEXEXTRACT(C3952, ""🏘️ \w+ \w+ (.*) ✅""),'Region prepositions'!B:F, 5, 0),  REGEXEXTRACT(C3952, ""🏘️ \w+ \w+ (.*) ✅""))))"),"#N/A")</f>
        <v>#N/A</v>
      </c>
      <c r="I3952" s="4" t="str">
        <f>IFERROR(__xludf.DUMMYFUNCTION("if(D3952=""variant"",  substitute(filter(Templates!E:E, Templates!A:A = F3952, Templates!B:B = G3952, Templates!C:C = H3952), ""{{}}"", E3952), B3952)"),"Vendre maison Suen (St-Martin): Trouvez le bien immobilier qui correspond idéalement à vos désirs sur ImmoScout24 - La plateforme de l'immobilier en Suisse.")</f>
        <v>Vendre maison Suen (St-Martin): Trouvez le bien immobilier qui correspond idéalement à vos désirs sur ImmoScout24 - La plateforme de l'immobilier en Suisse.</v>
      </c>
    </row>
    <row r="3953" hidden="1">
      <c r="A3953" s="5" t="s">
        <v>11008</v>
      </c>
      <c r="B3953" s="2" t="s">
        <v>11009</v>
      </c>
      <c r="C3953" s="2" t="s">
        <v>11009</v>
      </c>
      <c r="D3953" s="4" t="str">
        <f>vlookup(A3953, Sheet2!D:E, 2, 0)</f>
        <v>control</v>
      </c>
      <c r="E3953" s="4" t="str">
        <f>IFERROR(__xludf.DUMMYFUNCTION("if(H3953=""pays"",vlookup(REGEXEXTRACT(C3953, ""🏘️ \w+ \w+ (.*) ✅""),'Country prepositions'!A:B, 2, 0) &amp; "" "" &amp; REGEXEXTRACT(C3953, ""🏘️ \w+ \w+ (.*) ✅"") ,  if(H3953=""quartier"",vlookup(REGEXEXTRACT(C3953, ""🏘️ \w+ \w+ (.*) ✅""),'Quartier prepositio"&amp;"ns'!A:E, 5, 0) ,  if(H3953=""region"",vlookup(REGEXEXTRACT(C3953, ""🏘️ \w+ \w+ (.*) ✅""),'Region prepositions'!B:F, 5, 0),  REGEXEXTRACT(C3953, ""🏘️ \w+ \w+ (.*) ✅""))))"),"#N/A")</f>
        <v>#N/A</v>
      </c>
      <c r="I3953" s="4" t="str">
        <f>IFERROR(__xludf.DUMMYFUNCTION("if(D3953=""variant"",  substitute(filter(Templates!E:E, Templates!A:A = F3953, Templates!B:B = G3953, Templates!C:C = H3953), ""{{}}"", E3953), B3953)"),"Vendre appartement Oberdorf BL: Trouvez le bien immobilier qui correspond idéalement à vos désirs sur ImmoScout24 - La plateforme de l'immobilier en Suisse.")</f>
        <v>Vendre appartement Oberdorf BL: Trouvez le bien immobilier qui correspond idéalement à vos désirs sur ImmoScout24 - La plateforme de l'immobilier en Suisse.</v>
      </c>
    </row>
    <row r="3954" hidden="1">
      <c r="A3954" s="5" t="s">
        <v>11010</v>
      </c>
      <c r="B3954" s="2" t="s">
        <v>11011</v>
      </c>
      <c r="C3954" s="2" t="s">
        <v>11011</v>
      </c>
      <c r="D3954" s="4" t="str">
        <f>vlookup(A3954, Sheet2!D:E, 2, 0)</f>
        <v>control</v>
      </c>
      <c r="E3954" s="4" t="str">
        <f>IFERROR(__xludf.DUMMYFUNCTION("if(H3954=""pays"",vlookup(REGEXEXTRACT(C3954, ""🏘️ \w+ \w+ (.*) ✅""),'Country prepositions'!A:B, 2, 0) &amp; "" "" &amp; REGEXEXTRACT(C3954, ""🏘️ \w+ \w+ (.*) ✅"") ,  if(H3954=""quartier"",vlookup(REGEXEXTRACT(C3954, ""🏘️ \w+ \w+ (.*) ✅""),'Quartier prepositio"&amp;"ns'!A:E, 5, 0) ,  if(H3954=""region"",vlookup(REGEXEXTRACT(C3954, ""🏘️ \w+ \w+ (.*) ✅""),'Region prepositions'!B:F, 5, 0),  REGEXEXTRACT(C3954, ""🏘️ \w+ \w+ (.*) ✅""))))"),"#N/A")</f>
        <v>#N/A</v>
      </c>
      <c r="I3954" s="4" t="str">
        <f>IFERROR(__xludf.DUMMYFUNCTION("if(D3954=""variant"",  substitute(filter(Templates!E:E, Templates!A:A = F3954, Templates!B:B = G3954, Templates!C:C = H3954), ""{{}}"", E3954), B3954)"),"Louer appartement Reiden: Trouvez le bien immobilier qui correspond idéalement à vos désirs sur ImmoScout24 - La plateforme de l'immobilier en Suisse.")</f>
        <v>Louer appartement Reiden: Trouvez le bien immobilier qui correspond idéalement à vos désirs sur ImmoScout24 - La plateforme de l'immobilier en Suisse.</v>
      </c>
    </row>
    <row r="3955" hidden="1">
      <c r="A3955" s="5" t="s">
        <v>11012</v>
      </c>
      <c r="B3955" s="2" t="s">
        <v>11013</v>
      </c>
      <c r="C3955" s="2" t="s">
        <v>11013</v>
      </c>
      <c r="D3955" s="4" t="str">
        <f>vlookup(A3955, Sheet2!D:E, 2, 0)</f>
        <v>control</v>
      </c>
      <c r="E3955" s="4" t="str">
        <f>IFERROR(__xludf.DUMMYFUNCTION("if(H3955=""pays"",vlookup(REGEXEXTRACT(C3955, ""🏘️ \w+ \w+ (.*) ✅""),'Country prepositions'!A:B, 2, 0) &amp; "" "" &amp; REGEXEXTRACT(C3955, ""🏘️ \w+ \w+ (.*) ✅"") ,  if(H3955=""quartier"",vlookup(REGEXEXTRACT(C3955, ""🏘️ \w+ \w+ (.*) ✅""),'Quartier prepositio"&amp;"ns'!A:E, 5, 0) ,  if(H3955=""region"",vlookup(REGEXEXTRACT(C3955, ""🏘️ \w+ \w+ (.*) ✅""),'Region prepositions'!B:F, 5, 0),  REGEXEXTRACT(C3955, ""🏘️ \w+ \w+ (.*) ✅""))))"),"#N/A")</f>
        <v>#N/A</v>
      </c>
      <c r="I3955" s="4" t="str">
        <f>IFERROR(__xludf.DUMMYFUNCTION("if(D3955=""variant"",  substitute(filter(Templates!E:E, Templates!A:A = F3955, Templates!B:B = G3955, Templates!C:C = H3955), ""{{}}"", E3955), B3955)"),"Vendre maison Salgesch: Trouvez le bien immobilier qui correspond idéalement à vos désirs sur ImmoScout24 - La plateforme de l'immobilier en Suisse.")</f>
        <v>Vendre maison Salgesch: Trouvez le bien immobilier qui correspond idéalement à vos désirs sur ImmoScout24 - La plateforme de l'immobilier en Suisse.</v>
      </c>
    </row>
    <row r="3956" hidden="1">
      <c r="A3956" s="5" t="s">
        <v>11014</v>
      </c>
      <c r="B3956" s="2" t="s">
        <v>11015</v>
      </c>
      <c r="C3956" s="2" t="s">
        <v>11015</v>
      </c>
      <c r="D3956" s="4" t="str">
        <f>vlookup(A3956, Sheet2!D:E, 2, 0)</f>
        <v>control</v>
      </c>
      <c r="E3956" s="4" t="str">
        <f>IFERROR(__xludf.DUMMYFUNCTION("if(H3956=""pays"",vlookup(REGEXEXTRACT(C3956, ""🏘️ \w+ \w+ (.*) ✅""),'Country prepositions'!A:B, 2, 0) &amp; "" "" &amp; REGEXEXTRACT(C3956, ""🏘️ \w+ \w+ (.*) ✅"") ,  if(H3956=""quartier"",vlookup(REGEXEXTRACT(C3956, ""🏘️ \w+ \w+ (.*) ✅""),'Quartier prepositio"&amp;"ns'!A:E, 5, 0) ,  if(H3956=""region"",vlookup(REGEXEXTRACT(C3956, ""🏘️ \w+ \w+ (.*) ✅""),'Region prepositions'!B:F, 5, 0),  REGEXEXTRACT(C3956, ""🏘️ \w+ \w+ (.*) ✅""))))"),"#N/A")</f>
        <v>#N/A</v>
      </c>
      <c r="I3956" s="4" t="str">
        <f>IFERROR(__xludf.DUMMYFUNCTION("if(D3956=""variant"",  substitute(filter(Templates!E:E, Templates!A:A = F3956, Templates!B:B = G3956, Templates!C:C = H3956), ""{{}}"", E3956), B3956)"),"Vendre maison Siviriez: Trouvez le bien immobilier qui correspond idéalement à vos désirs sur ImmoScout24 - La plateforme de l'immobilier en Suisse.")</f>
        <v>Vendre maison Siviriez: Trouvez le bien immobilier qui correspond idéalement à vos désirs sur ImmoScout24 - La plateforme de l'immobilier en Suisse.</v>
      </c>
    </row>
    <row r="3957" hidden="1">
      <c r="A3957" s="5" t="s">
        <v>11016</v>
      </c>
      <c r="B3957" s="2" t="s">
        <v>11017</v>
      </c>
      <c r="C3957" s="2" t="s">
        <v>11017</v>
      </c>
      <c r="D3957" s="4" t="str">
        <f>vlookup(A3957, Sheet2!D:E, 2, 0)</f>
        <v>control</v>
      </c>
      <c r="E3957" s="4" t="str">
        <f>IFERROR(__xludf.DUMMYFUNCTION("if(H3957=""pays"",vlookup(REGEXEXTRACT(C3957, ""🏘️ \w+ \w+ (.*) ✅""),'Country prepositions'!A:B, 2, 0) &amp; "" "" &amp; REGEXEXTRACT(C3957, ""🏘️ \w+ \w+ (.*) ✅"") ,  if(H3957=""quartier"",vlookup(REGEXEXTRACT(C3957, ""🏘️ \w+ \w+ (.*) ✅""),'Quartier prepositio"&amp;"ns'!A:E, 5, 0) ,  if(H3957=""region"",vlookup(REGEXEXTRACT(C3957, ""🏘️ \w+ \w+ (.*) ✅""),'Region prepositions'!B:F, 5, 0),  REGEXEXTRACT(C3957, ""🏘️ \w+ \w+ (.*) ✅""))))"),"#N/A")</f>
        <v>#N/A</v>
      </c>
      <c r="I3957" s="4" t="str">
        <f>IFERROR(__xludf.DUMMYFUNCTION("if(D3957=""variant"",  substitute(filter(Templates!E:E, Templates!A:A = F3957, Templates!B:B = G3957, Templates!C:C = H3957), ""{{}}"", E3957), B3957)"),"Louer appartement Canton d'Argovie: Trouvez le bien immobilier qui correspond idéalement à vos désirs sur ImmoScout24 - La plateforme de l'immobilier en Suisse.")</f>
        <v>Louer appartement Canton d'Argovie: Trouvez le bien immobilier qui correspond idéalement à vos désirs sur ImmoScout24 - La plateforme de l'immobilier en Suisse.</v>
      </c>
    </row>
    <row r="3958" hidden="1">
      <c r="A3958" s="5" t="s">
        <v>11018</v>
      </c>
      <c r="B3958" s="2" t="s">
        <v>11019</v>
      </c>
      <c r="C3958" s="2" t="s">
        <v>11019</v>
      </c>
      <c r="D3958" s="4" t="str">
        <f>vlookup(A3958, Sheet2!D:E, 2, 0)</f>
        <v>control</v>
      </c>
      <c r="E3958" s="4" t="str">
        <f>IFERROR(__xludf.DUMMYFUNCTION("if(H3958=""pays"",vlookup(REGEXEXTRACT(C3958, ""🏘️ \w+ \w+ (.*) ✅""),'Country prepositions'!A:B, 2, 0) &amp; "" "" &amp; REGEXEXTRACT(C3958, ""🏘️ \w+ \w+ (.*) ✅"") ,  if(H3958=""quartier"",vlookup(REGEXEXTRACT(C3958, ""🏘️ \w+ \w+ (.*) ✅""),'Quartier prepositio"&amp;"ns'!A:E, 5, 0) ,  if(H3958=""region"",vlookup(REGEXEXTRACT(C3958, ""🏘️ \w+ \w+ (.*) ✅""),'Region prepositions'!B:F, 5, 0),  REGEXEXTRACT(C3958, ""🏘️ \w+ \w+ (.*) ✅""))))"),"#N/A")</f>
        <v>#N/A</v>
      </c>
      <c r="I3958" s="4" t="str">
        <f>IFERROR(__xludf.DUMMYFUNCTION("if(D3958=""variant"",  substitute(filter(Templates!E:E, Templates!A:A = F3958, Templates!B:B = G3958, Templates!C:C = H3958), ""{{}}"", E3958), B3958)"),"Louer appartement La Chaux (Cossonay): Trouvez le bien immobilier qui correspond idéalement à vos désirs sur ImmoScout24 - La plateforme de l'immobilier en Suisse.")</f>
        <v>Louer appartement La Chaux (Cossonay): Trouvez le bien immobilier qui correspond idéalement à vos désirs sur ImmoScout24 - La plateforme de l'immobilier en Suisse.</v>
      </c>
    </row>
    <row r="3959" hidden="1">
      <c r="A3959" s="5" t="s">
        <v>11020</v>
      </c>
      <c r="B3959" s="2" t="s">
        <v>11021</v>
      </c>
      <c r="C3959" s="2" t="s">
        <v>11021</v>
      </c>
      <c r="D3959" s="4" t="str">
        <f>vlookup(A3959, Sheet2!D:E, 2, 0)</f>
        <v>control</v>
      </c>
      <c r="E3959" s="4" t="str">
        <f>IFERROR(__xludf.DUMMYFUNCTION("if(H3959=""pays"",vlookup(REGEXEXTRACT(C3959, ""🏘️ \w+ \w+ (.*) ✅""),'Country prepositions'!A:B, 2, 0) &amp; "" "" &amp; REGEXEXTRACT(C3959, ""🏘️ \w+ \w+ (.*) ✅"") ,  if(H3959=""quartier"",vlookup(REGEXEXTRACT(C3959, ""🏘️ \w+ \w+ (.*) ✅""),'Quartier prepositio"&amp;"ns'!A:E, 5, 0) ,  if(H3959=""region"",vlookup(REGEXEXTRACT(C3959, ""🏘️ \w+ \w+ (.*) ✅""),'Region prepositions'!B:F, 5, 0),  REGEXEXTRACT(C3959, ""🏘️ \w+ \w+ (.*) ✅""))))"),"#N/A")</f>
        <v>#N/A</v>
      </c>
      <c r="I3959" s="4" t="str">
        <f>IFERROR(__xludf.DUMMYFUNCTION("if(D3959=""variant"",  substitute(filter(Templates!E:E, Templates!A:A = F3959, Templates!B:B = G3959, Templates!C:C = H3959), ""{{}}"", E3959), B3959)"),"Louer appartement Mägenwil: Trouvez le bien immobilier qui correspond idéalement à vos désirs sur ImmoScout24 - La plateforme de l'immobilier en Suisse.")</f>
        <v>Louer appartement Mägenwil: Trouvez le bien immobilier qui correspond idéalement à vos désirs sur ImmoScout24 - La plateforme de l'immobilier en Suisse.</v>
      </c>
    </row>
    <row r="3960" hidden="1">
      <c r="A3960" s="5" t="s">
        <v>11022</v>
      </c>
      <c r="B3960" s="2" t="s">
        <v>11023</v>
      </c>
      <c r="C3960" s="2" t="s">
        <v>11023</v>
      </c>
      <c r="D3960" s="4" t="str">
        <f>vlookup(A3960, Sheet2!D:E, 2, 0)</f>
        <v>control</v>
      </c>
      <c r="E3960" s="4" t="str">
        <f>IFERROR(__xludf.DUMMYFUNCTION("if(H3960=""pays"",vlookup(REGEXEXTRACT(C3960, ""🏘️ \w+ \w+ (.*) ✅""),'Country prepositions'!A:B, 2, 0) &amp; "" "" &amp; REGEXEXTRACT(C3960, ""🏘️ \w+ \w+ (.*) ✅"") ,  if(H3960=""quartier"",vlookup(REGEXEXTRACT(C3960, ""🏘️ \w+ \w+ (.*) ✅""),'Quartier prepositio"&amp;"ns'!A:E, 5, 0) ,  if(H3960=""region"",vlookup(REGEXEXTRACT(C3960, ""🏘️ \w+ \w+ (.*) ✅""),'Region prepositions'!B:F, 5, 0),  REGEXEXTRACT(C3960, ""🏘️ \w+ \w+ (.*) ✅""))))"),"#N/A")</f>
        <v>#N/A</v>
      </c>
      <c r="I3960" s="4" t="str">
        <f>IFERROR(__xludf.DUMMYFUNCTION("if(D3960=""variant"",  substitute(filter(Templates!E:E, Templates!A:A = F3960, Templates!B:B = G3960, Templates!C:C = H3960), ""{{}}"", E3960), B3960)"),"Vendre appartement Sébeillon - Malley (Lausanne): Trouvez le bien immobilier qui correspond idéalement à vos désirs sur ImmoScout24 - La plateforme de l'immobilier en Suisse.")</f>
        <v>Vendre appartement Sébeillon - Malley (Lausanne): Trouvez le bien immobilier qui correspond idéalement à vos désirs sur ImmoScout24 - La plateforme de l'immobilier en Suisse.</v>
      </c>
    </row>
    <row r="3961" hidden="1">
      <c r="A3961" s="5" t="s">
        <v>11024</v>
      </c>
      <c r="B3961" s="2" t="s">
        <v>11025</v>
      </c>
      <c r="C3961" s="2" t="s">
        <v>11025</v>
      </c>
      <c r="D3961" s="4" t="str">
        <f>vlookup(A3961, Sheet2!D:E, 2, 0)</f>
        <v>control</v>
      </c>
      <c r="E3961" s="4" t="str">
        <f>IFERROR(__xludf.DUMMYFUNCTION("if(H3961=""pays"",vlookup(REGEXEXTRACT(C3961, ""🏘️ \w+ \w+ (.*) ✅""),'Country prepositions'!A:B, 2, 0) &amp; "" "" &amp; REGEXEXTRACT(C3961, ""🏘️ \w+ \w+ (.*) ✅"") ,  if(H3961=""quartier"",vlookup(REGEXEXTRACT(C3961, ""🏘️ \w+ \w+ (.*) ✅""),'Quartier prepositio"&amp;"ns'!A:E, 5, 0) ,  if(H3961=""region"",vlookup(REGEXEXTRACT(C3961, ""🏘️ \w+ \w+ (.*) ✅""),'Region prepositions'!B:F, 5, 0),  REGEXEXTRACT(C3961, ""🏘️ \w+ \w+ (.*) ✅""))))"),"#N/A")</f>
        <v>#N/A</v>
      </c>
      <c r="I3961" s="4" t="str">
        <f>IFERROR(__xludf.DUMMYFUNCTION("if(D3961=""variant"",  substitute(filter(Templates!E:E, Templates!A:A = F3961, Templates!B:B = G3961, Templates!C:C = H3961), ""{{}}"", E3961), B3961)"),"Vendre maison Liebistorf: Trouvez le bien immobilier qui correspond idéalement à vos désirs sur ImmoScout24 - La plateforme de l'immobilier en Suisse.")</f>
        <v>Vendre maison Liebistorf: Trouvez le bien immobilier qui correspond idéalement à vos désirs sur ImmoScout24 - La plateforme de l'immobilier en Suisse.</v>
      </c>
    </row>
    <row r="3962" hidden="1">
      <c r="A3962" s="5" t="s">
        <v>11026</v>
      </c>
      <c r="B3962" s="2" t="s">
        <v>11027</v>
      </c>
      <c r="C3962" s="2" t="s">
        <v>11027</v>
      </c>
      <c r="D3962" s="4" t="str">
        <f>vlookup(A3962, Sheet2!D:E, 2, 0)</f>
        <v>control</v>
      </c>
      <c r="E3962" s="4" t="str">
        <f>IFERROR(__xludf.DUMMYFUNCTION("if(H3962=""pays"",vlookup(REGEXEXTRACT(C3962, ""🏘️ \w+ \w+ (.*) ✅""),'Country prepositions'!A:B, 2, 0) &amp; "" "" &amp; REGEXEXTRACT(C3962, ""🏘️ \w+ \w+ (.*) ✅"") ,  if(H3962=""quartier"",vlookup(REGEXEXTRACT(C3962, ""🏘️ \w+ \w+ (.*) ✅""),'Quartier prepositio"&amp;"ns'!A:E, 5, 0) ,  if(H3962=""region"",vlookup(REGEXEXTRACT(C3962, ""🏘️ \w+ \w+ (.*) ✅""),'Region prepositions'!B:F, 5, 0),  REGEXEXTRACT(C3962, ""🏘️ \w+ \w+ (.*) ✅""))))"),"#N/A")</f>
        <v>#N/A</v>
      </c>
      <c r="I3962" s="4" t="str">
        <f>IFERROR(__xludf.DUMMYFUNCTION("if(D3962=""variant"",  substitute(filter(Templates!E:E, Templates!A:A = F3962, Templates!B:B = G3962, Templates!C:C = H3962), ""{{}}"", E3962), B3962)"),"Vendre maison Sonceboz-Sombeval: Trouvez le bien immobilier qui correspond idéalement à vos désirs sur ImmoScout24 - La plateforme de l'immobilier en Suisse.")</f>
        <v>Vendre maison Sonceboz-Sombeval: Trouvez le bien immobilier qui correspond idéalement à vos désirs sur ImmoScout24 - La plateforme de l'immobilier en Suisse.</v>
      </c>
    </row>
    <row r="3963" hidden="1">
      <c r="A3963" s="5" t="s">
        <v>11028</v>
      </c>
      <c r="B3963" s="2" t="s">
        <v>11029</v>
      </c>
      <c r="C3963" s="2" t="s">
        <v>11029</v>
      </c>
      <c r="D3963" s="4" t="str">
        <f>vlookup(A3963, Sheet2!D:E, 2, 0)</f>
        <v>control</v>
      </c>
      <c r="E3963" s="4" t="str">
        <f>IFERROR(__xludf.DUMMYFUNCTION("if(H3963=""pays"",vlookup(REGEXEXTRACT(C3963, ""🏘️ \w+ \w+ (.*) ✅""),'Country prepositions'!A:B, 2, 0) &amp; "" "" &amp; REGEXEXTRACT(C3963, ""🏘️ \w+ \w+ (.*) ✅"") ,  if(H3963=""quartier"",vlookup(REGEXEXTRACT(C3963, ""🏘️ \w+ \w+ (.*) ✅""),'Quartier prepositio"&amp;"ns'!A:E, 5, 0) ,  if(H3963=""region"",vlookup(REGEXEXTRACT(C3963, ""🏘️ \w+ \w+ (.*) ✅""),'Region prepositions'!B:F, 5, 0),  REGEXEXTRACT(C3963, ""🏘️ \w+ \w+ (.*) ✅""))))"),"#N/A")</f>
        <v>#N/A</v>
      </c>
      <c r="I3963" s="4" t="str">
        <f>IFERROR(__xludf.DUMMYFUNCTION("if(D3963=""variant"",  substitute(filter(Templates!E:E, Templates!A:A = F3963, Templates!B:B = G3963, Templates!C:C = H3963), ""{{}}"", E3963), B3963)"),"Louer appartement Lichtensteig: Trouvez le bien immobilier qui correspond idéalement à vos désirs sur ImmoScout24 - La plateforme de l'immobilier en Suisse.")</f>
        <v>Louer appartement Lichtensteig: Trouvez le bien immobilier qui correspond idéalement à vos désirs sur ImmoScout24 - La plateforme de l'immobilier en Suisse.</v>
      </c>
    </row>
    <row r="3964" hidden="1">
      <c r="A3964" s="5" t="s">
        <v>11030</v>
      </c>
      <c r="B3964" s="2" t="s">
        <v>11031</v>
      </c>
      <c r="C3964" s="2" t="s">
        <v>11031</v>
      </c>
      <c r="D3964" s="4" t="str">
        <f>vlookup(A3964, Sheet2!D:E, 2, 0)</f>
        <v>control</v>
      </c>
      <c r="E3964" s="4" t="str">
        <f>IFERROR(__xludf.DUMMYFUNCTION("if(H3964=""pays"",vlookup(REGEXEXTRACT(C3964, ""🏘️ \w+ \w+ (.*) ✅""),'Country prepositions'!A:B, 2, 0) &amp; "" "" &amp; REGEXEXTRACT(C3964, ""🏘️ \w+ \w+ (.*) ✅"") ,  if(H3964=""quartier"",vlookup(REGEXEXTRACT(C3964, ""🏘️ \w+ \w+ (.*) ✅""),'Quartier prepositio"&amp;"ns'!A:E, 5, 0) ,  if(H3964=""region"",vlookup(REGEXEXTRACT(C3964, ""🏘️ \w+ \w+ (.*) ✅""),'Region prepositions'!B:F, 5, 0),  REGEXEXTRACT(C3964, ""🏘️ \w+ \w+ (.*) ✅""))))"),"#N/A")</f>
        <v>#N/A</v>
      </c>
      <c r="I3964" s="4" t="str">
        <f>IFERROR(__xludf.DUMMYFUNCTION("if(D3964=""variant"",  substitute(filter(Templates!E:E, Templates!A:A = F3964, Templates!B:B = G3964, Templates!C:C = H3964), ""{{}}"", E3964), B3964)"),"Vendre appartement Thoune - Lac de Thoune nord: Trouvez le bien immobilier qui correspond idéalement à vos désirs sur ImmoScout24 - La plateforme de l'immobilier en Suisse.")</f>
        <v>Vendre appartement Thoune - Lac de Thoune nord: Trouvez le bien immobilier qui correspond idéalement à vos désirs sur ImmoScout24 - La plateforme de l'immobilier en Suisse.</v>
      </c>
    </row>
    <row r="3965" hidden="1">
      <c r="A3965" s="5" t="s">
        <v>11032</v>
      </c>
      <c r="B3965" s="2" t="s">
        <v>11033</v>
      </c>
      <c r="C3965" s="2" t="s">
        <v>11033</v>
      </c>
      <c r="D3965" s="4" t="str">
        <f>vlookup(A3965, Sheet2!D:E, 2, 0)</f>
        <v>control</v>
      </c>
      <c r="E3965" s="4" t="str">
        <f>IFERROR(__xludf.DUMMYFUNCTION("if(H3965=""pays"",vlookup(REGEXEXTRACT(C3965, ""🏘️ \w+ \w+ (.*) ✅""),'Country prepositions'!A:B, 2, 0) &amp; "" "" &amp; REGEXEXTRACT(C3965, ""🏘️ \w+ \w+ (.*) ✅"") ,  if(H3965=""quartier"",vlookup(REGEXEXTRACT(C3965, ""🏘️ \w+ \w+ (.*) ✅""),'Quartier prepositio"&amp;"ns'!A:E, 5, 0) ,  if(H3965=""region"",vlookup(REGEXEXTRACT(C3965, ""🏘️ \w+ \w+ (.*) ✅""),'Region prepositions'!B:F, 5, 0),  REGEXEXTRACT(C3965, ""🏘️ \w+ \w+ (.*) ✅""))))"),"#N/A")</f>
        <v>#N/A</v>
      </c>
      <c r="I3965" s="4" t="str">
        <f>IFERROR(__xludf.DUMMYFUNCTION("if(D3965=""variant"",  substitute(filter(Templates!E:E, Templates!A:A = F3965, Templates!B:B = G3965, Templates!C:C = H3965), ""{{}}"", E3965), B3965)"),"Vendre appartement Vouvry: Trouvez le bien immobilier qui correspond idéalement à vos désirs sur ImmoScout24 - La plateforme de l'immobilier en Suisse.")</f>
        <v>Vendre appartement Vouvry: Trouvez le bien immobilier qui correspond idéalement à vos désirs sur ImmoScout24 - La plateforme de l'immobilier en Suisse.</v>
      </c>
    </row>
    <row r="3966" hidden="1">
      <c r="A3966" s="5" t="s">
        <v>11034</v>
      </c>
      <c r="B3966" s="2" t="s">
        <v>11035</v>
      </c>
      <c r="C3966" s="2" t="s">
        <v>11035</v>
      </c>
      <c r="D3966" s="4" t="str">
        <f>vlookup(A3966, Sheet2!D:E, 2, 0)</f>
        <v>control</v>
      </c>
      <c r="E3966" s="4" t="str">
        <f>IFERROR(__xludf.DUMMYFUNCTION("if(H3966=""pays"",vlookup(REGEXEXTRACT(C3966, ""🏘️ \w+ \w+ (.*) ✅""),'Country prepositions'!A:B, 2, 0) &amp; "" "" &amp; REGEXEXTRACT(C3966, ""🏘️ \w+ \w+ (.*) ✅"") ,  if(H3966=""quartier"",vlookup(REGEXEXTRACT(C3966, ""🏘️ \w+ \w+ (.*) ✅""),'Quartier prepositio"&amp;"ns'!A:E, 5, 0) ,  if(H3966=""region"",vlookup(REGEXEXTRACT(C3966, ""🏘️ \w+ \w+ (.*) ✅""),'Region prepositions'!B:F, 5, 0),  REGEXEXTRACT(C3966, ""🏘️ \w+ \w+ (.*) ✅""))))"),"#N/A")</f>
        <v>#N/A</v>
      </c>
      <c r="I3966" s="4" t="str">
        <f>IFERROR(__xludf.DUMMYFUNCTION("if(D3966=""variant"",  substitute(filter(Templates!E:E, Templates!A:A = F3966, Templates!B:B = G3966, Templates!C:C = H3966), ""{{}}"", E3966), B3966)"),"Louer appartement Bioggio: Trouvez le bien immobilier qui correspond idéalement à vos désirs sur ImmoScout24 - La plateforme de l'immobilier en Suisse.")</f>
        <v>Louer appartement Bioggio: Trouvez le bien immobilier qui correspond idéalement à vos désirs sur ImmoScout24 - La plateforme de l'immobilier en Suisse.</v>
      </c>
    </row>
    <row r="3967" hidden="1">
      <c r="A3967" s="5" t="s">
        <v>11036</v>
      </c>
      <c r="B3967" s="2" t="s">
        <v>11037</v>
      </c>
      <c r="C3967" s="2" t="s">
        <v>11037</v>
      </c>
      <c r="D3967" s="4" t="str">
        <f>vlookup(A3967, Sheet2!D:E, 2, 0)</f>
        <v>control</v>
      </c>
      <c r="E3967" s="4" t="str">
        <f>IFERROR(__xludf.DUMMYFUNCTION("if(H3967=""pays"",vlookup(REGEXEXTRACT(C3967, ""🏘️ \w+ \w+ (.*) ✅""),'Country prepositions'!A:B, 2, 0) &amp; "" "" &amp; REGEXEXTRACT(C3967, ""🏘️ \w+ \w+ (.*) ✅"") ,  if(H3967=""quartier"",vlookup(REGEXEXTRACT(C3967, ""🏘️ \w+ \w+ (.*) ✅""),'Quartier prepositio"&amp;"ns'!A:E, 5, 0) ,  if(H3967=""region"",vlookup(REGEXEXTRACT(C3967, ""🏘️ \w+ \w+ (.*) ✅""),'Region prepositions'!B:F, 5, 0),  REGEXEXTRACT(C3967, ""🏘️ \w+ \w+ (.*) ✅""))))"),"#N/A")</f>
        <v>#N/A</v>
      </c>
      <c r="I3967" s="4" t="str">
        <f>IFERROR(__xludf.DUMMYFUNCTION("if(D3967=""variant"",  substitute(filter(Templates!E:E, Templates!A:A = F3967, Templates!B:B = G3967, Templates!C:C = H3967), ""{{}}"", E3967), B3967)"),"Louer appartement Lumino: Trouvez le bien immobilier qui correspond idéalement à vos désirs sur ImmoScout24 - La plateforme de l'immobilier en Suisse.")</f>
        <v>Louer appartement Lumino: Trouvez le bien immobilier qui correspond idéalement à vos désirs sur ImmoScout24 - La plateforme de l'immobilier en Suisse.</v>
      </c>
    </row>
    <row r="3968" hidden="1">
      <c r="A3968" s="5" t="s">
        <v>11038</v>
      </c>
      <c r="B3968" s="2" t="s">
        <v>11039</v>
      </c>
      <c r="C3968" s="2" t="s">
        <v>11039</v>
      </c>
      <c r="D3968" s="4" t="str">
        <f>vlookup(A3968, Sheet2!D:E, 2, 0)</f>
        <v>control</v>
      </c>
      <c r="E3968" s="4" t="str">
        <f>IFERROR(__xludf.DUMMYFUNCTION("if(H3968=""pays"",vlookup(REGEXEXTRACT(C3968, ""🏘️ \w+ \w+ (.*) ✅""),'Country prepositions'!A:B, 2, 0) &amp; "" "" &amp; REGEXEXTRACT(C3968, ""🏘️ \w+ \w+ (.*) ✅"") ,  if(H3968=""quartier"",vlookup(REGEXEXTRACT(C3968, ""🏘️ \w+ \w+ (.*) ✅""),'Quartier prepositio"&amp;"ns'!A:E, 5, 0) ,  if(H3968=""region"",vlookup(REGEXEXTRACT(C3968, ""🏘️ \w+ \w+ (.*) ✅""),'Region prepositions'!B:F, 5, 0),  REGEXEXTRACT(C3968, ""🏘️ \w+ \w+ (.*) ✅""))))"),"#N/A")</f>
        <v>#N/A</v>
      </c>
      <c r="I3968" s="4" t="str">
        <f>IFERROR(__xludf.DUMMYFUNCTION("if(D3968=""variant"",  substitute(filter(Templates!E:E, Templates!A:A = F3968, Templates!B:B = G3968, Templates!C:C = H3968), ""{{}}"", E3968), B3968)"),"Louer appartement Bourguillon (Fribourg): Trouvez le bien immobilier qui correspond idéalement à vos désirs sur ImmoScout24 - La plateforme de l'immobilier en Suisse.")</f>
        <v>Louer appartement Bourguillon (Fribourg): Trouvez le bien immobilier qui correspond idéalement à vos désirs sur ImmoScout24 - La plateforme de l'immobilier en Suisse.</v>
      </c>
    </row>
    <row r="3969" hidden="1">
      <c r="A3969" s="5" t="s">
        <v>11040</v>
      </c>
      <c r="B3969" s="2" t="s">
        <v>11041</v>
      </c>
      <c r="C3969" s="2" t="s">
        <v>11041</v>
      </c>
      <c r="D3969" s="4" t="str">
        <f>vlookup(A3969, Sheet2!D:E, 2, 0)</f>
        <v>control</v>
      </c>
      <c r="E3969" s="4" t="str">
        <f>IFERROR(__xludf.DUMMYFUNCTION("if(H3969=""pays"",vlookup(REGEXEXTRACT(C3969, ""🏘️ \w+ \w+ (.*) ✅""),'Country prepositions'!A:B, 2, 0) &amp; "" "" &amp; REGEXEXTRACT(C3969, ""🏘️ \w+ \w+ (.*) ✅"") ,  if(H3969=""quartier"",vlookup(REGEXEXTRACT(C3969, ""🏘️ \w+ \w+ (.*) ✅""),'Quartier prepositio"&amp;"ns'!A:E, 5, 0) ,  if(H3969=""region"",vlookup(REGEXEXTRACT(C3969, ""🏘️ \w+ \w+ (.*) ✅""),'Region prepositions'!B:F, 5, 0),  REGEXEXTRACT(C3969, ""🏘️ \w+ \w+ (.*) ✅""))))"),"#N/A")</f>
        <v>#N/A</v>
      </c>
      <c r="I3969" s="4" t="str">
        <f>IFERROR(__xludf.DUMMYFUNCTION("if(D3969=""variant"",  substitute(filter(Templates!E:E, Templates!A:A = F3969, Templates!B:B = G3969, Templates!C:C = H3969), ""{{}}"", E3969), B3969)"),"Vendre maison Collonges: Trouvez le bien immobilier qui correspond idéalement à vos désirs sur ImmoScout24 - La plateforme de l'immobilier en Suisse.")</f>
        <v>Vendre maison Collonges: Trouvez le bien immobilier qui correspond idéalement à vos désirs sur ImmoScout24 - La plateforme de l'immobilier en Suisse.</v>
      </c>
    </row>
    <row r="3970" hidden="1">
      <c r="A3970" s="5" t="s">
        <v>11042</v>
      </c>
      <c r="B3970" s="2" t="s">
        <v>11043</v>
      </c>
      <c r="C3970" s="2" t="s">
        <v>11043</v>
      </c>
      <c r="D3970" s="4" t="str">
        <f>vlookup(A3970, Sheet2!D:E, 2, 0)</f>
        <v>control</v>
      </c>
      <c r="E3970" s="4" t="str">
        <f>IFERROR(__xludf.DUMMYFUNCTION("if(H3970=""pays"",vlookup(REGEXEXTRACT(C3970, ""🏘️ \w+ \w+ (.*) ✅""),'Country prepositions'!A:B, 2, 0) &amp; "" "" &amp; REGEXEXTRACT(C3970, ""🏘️ \w+ \w+ (.*) ✅"") ,  if(H3970=""quartier"",vlookup(REGEXEXTRACT(C3970, ""🏘️ \w+ \w+ (.*) ✅""),'Quartier prepositio"&amp;"ns'!A:E, 5, 0) ,  if(H3970=""region"",vlookup(REGEXEXTRACT(C3970, ""🏘️ \w+ \w+ (.*) ✅""),'Region prepositions'!B:F, 5, 0),  REGEXEXTRACT(C3970, ""🏘️ \w+ \w+ (.*) ✅""))))"),"#N/A")</f>
        <v>#N/A</v>
      </c>
      <c r="I3970" s="4" t="str">
        <f>IFERROR(__xludf.DUMMYFUNCTION("if(D3970=""variant"",  substitute(filter(Templates!E:E, Templates!A:A = F3970, Templates!B:B = G3970, Templates!C:C = H3970), ""{{}}"", E3970), B3970)"),"Louer maison ONU - Rigot (Genève): Trouvez le bien immobilier qui correspond idéalement à vos désirs sur ImmoScout24 - La plateforme de l'immobilier en Suisse.")</f>
        <v>Louer maison ONU - Rigot (Genève): Trouvez le bien immobilier qui correspond idéalement à vos désirs sur ImmoScout24 - La plateforme de l'immobilier en Suisse.</v>
      </c>
    </row>
    <row r="3971" hidden="1">
      <c r="A3971" s="5" t="s">
        <v>11044</v>
      </c>
      <c r="B3971" s="2" t="s">
        <v>11045</v>
      </c>
      <c r="C3971" s="2" t="s">
        <v>11045</v>
      </c>
      <c r="D3971" s="4" t="str">
        <f>vlookup(A3971, Sheet2!D:E, 2, 0)</f>
        <v>control</v>
      </c>
      <c r="E3971" s="4" t="str">
        <f>IFERROR(__xludf.DUMMYFUNCTION("if(H3971=""pays"",vlookup(REGEXEXTRACT(C3971, ""🏘️ \w+ \w+ (.*) ✅""),'Country prepositions'!A:B, 2, 0) &amp; "" "" &amp; REGEXEXTRACT(C3971, ""🏘️ \w+ \w+ (.*) ✅"") ,  if(H3971=""quartier"",vlookup(REGEXEXTRACT(C3971, ""🏘️ \w+ \w+ (.*) ✅""),'Quartier prepositio"&amp;"ns'!A:E, 5, 0) ,  if(H3971=""region"",vlookup(REGEXEXTRACT(C3971, ""🏘️ \w+ \w+ (.*) ✅""),'Region prepositions'!B:F, 5, 0),  REGEXEXTRACT(C3971, ""🏘️ \w+ \w+ (.*) ✅""))))"),"#N/A")</f>
        <v>#N/A</v>
      </c>
      <c r="I3971" s="4" t="str">
        <f>IFERROR(__xludf.DUMMYFUNCTION("if(D3971=""variant"",  substitute(filter(Templates!E:E, Templates!A:A = F3971, Templates!B:B = G3971, Templates!C:C = H3971), ""{{}}"", E3971), B3971)"),"Vendre appartement Ardez: Trouvez le bien immobilier qui correspond idéalement à vos désirs sur ImmoScout24 - La plateforme de l'immobilier en Suisse.")</f>
        <v>Vendre appartement Ardez: Trouvez le bien immobilier qui correspond idéalement à vos désirs sur ImmoScout24 - La plateforme de l'immobilier en Suisse.</v>
      </c>
    </row>
    <row r="3972" hidden="1">
      <c r="A3972" s="5" t="s">
        <v>11046</v>
      </c>
      <c r="B3972" s="2" t="s">
        <v>11047</v>
      </c>
      <c r="C3972" s="2" t="s">
        <v>11047</v>
      </c>
      <c r="D3972" s="4" t="str">
        <f>vlookup(A3972, Sheet2!D:E, 2, 0)</f>
        <v>control</v>
      </c>
      <c r="E3972" s="4" t="str">
        <f>IFERROR(__xludf.DUMMYFUNCTION("if(H3972=""pays"",vlookup(REGEXEXTRACT(C3972, ""🏘️ \w+ \w+ (.*) ✅""),'Country prepositions'!A:B, 2, 0) &amp; "" "" &amp; REGEXEXTRACT(C3972, ""🏘️ \w+ \w+ (.*) ✅"") ,  if(H3972=""quartier"",vlookup(REGEXEXTRACT(C3972, ""🏘️ \w+ \w+ (.*) ✅""),'Quartier prepositio"&amp;"ns'!A:E, 5, 0) ,  if(H3972=""region"",vlookup(REGEXEXTRACT(C3972, ""🏘️ \w+ \w+ (.*) ✅""),'Region prepositions'!B:F, 5, 0),  REGEXEXTRACT(C3972, ""🏘️ \w+ \w+ (.*) ✅""))))"),"#N/A")</f>
        <v>#N/A</v>
      </c>
      <c r="I3972" s="4" t="str">
        <f>IFERROR(__xludf.DUMMYFUNCTION("if(D3972=""variant"",  substitute(filter(Templates!E:E, Templates!A:A = F3972, Templates!B:B = G3972, Templates!C:C = H3972), ""{{}}"", E3972), B3972)"),"Vendre appartement Sissach: Trouvez le bien immobilier qui correspond idéalement à vos désirs sur ImmoScout24 - La plateforme de l'immobilier en Suisse.")</f>
        <v>Vendre appartement Sissach: Trouvez le bien immobilier qui correspond idéalement à vos désirs sur ImmoScout24 - La plateforme de l'immobilier en Suisse.</v>
      </c>
    </row>
    <row r="3973" hidden="1">
      <c r="A3973" s="5" t="s">
        <v>11048</v>
      </c>
      <c r="B3973" s="2" t="s">
        <v>11049</v>
      </c>
      <c r="C3973" s="2" t="s">
        <v>11049</v>
      </c>
      <c r="D3973" s="4" t="str">
        <f>vlookup(A3973, Sheet2!D:E, 2, 0)</f>
        <v>control</v>
      </c>
      <c r="E3973" s="4" t="str">
        <f>IFERROR(__xludf.DUMMYFUNCTION("if(H3973=""pays"",vlookup(REGEXEXTRACT(C3973, ""🏘️ \w+ \w+ (.*) ✅""),'Country prepositions'!A:B, 2, 0) &amp; "" "" &amp; REGEXEXTRACT(C3973, ""🏘️ \w+ \w+ (.*) ✅"") ,  if(H3973=""quartier"",vlookup(REGEXEXTRACT(C3973, ""🏘️ \w+ \w+ (.*) ✅""),'Quartier prepositio"&amp;"ns'!A:E, 5, 0) ,  if(H3973=""region"",vlookup(REGEXEXTRACT(C3973, ""🏘️ \w+ \w+ (.*) ✅""),'Region prepositions'!B:F, 5, 0),  REGEXEXTRACT(C3973, ""🏘️ \w+ \w+ (.*) ✅""))))"),"#N/A")</f>
        <v>#N/A</v>
      </c>
      <c r="I3973" s="4" t="str">
        <f>IFERROR(__xludf.DUMMYFUNCTION("if(D3973=""variant"",  substitute(filter(Templates!E:E, Templates!A:A = F3973, Templates!B:B = G3973, Templates!C:C = H3973), ""{{}}"", E3973), B3973)"),"Louer appartement Gressy: Trouvez le bien immobilier qui correspond idéalement à vos désirs sur ImmoScout24 - La plateforme de l'immobilier en Suisse.")</f>
        <v>Louer appartement Gressy: Trouvez le bien immobilier qui correspond idéalement à vos désirs sur ImmoScout24 - La plateforme de l'immobilier en Suisse.</v>
      </c>
    </row>
    <row r="3974" hidden="1">
      <c r="A3974" s="5" t="s">
        <v>11050</v>
      </c>
      <c r="B3974" s="2" t="s">
        <v>11051</v>
      </c>
      <c r="C3974" s="2" t="s">
        <v>11051</v>
      </c>
      <c r="D3974" s="4" t="str">
        <f>vlookup(A3974, Sheet2!D:E, 2, 0)</f>
        <v>control</v>
      </c>
      <c r="E3974" s="4" t="str">
        <f>IFERROR(__xludf.DUMMYFUNCTION("if(H3974=""pays"",vlookup(REGEXEXTRACT(C3974, ""🏘️ \w+ \w+ (.*) ✅""),'Country prepositions'!A:B, 2, 0) &amp; "" "" &amp; REGEXEXTRACT(C3974, ""🏘️ \w+ \w+ (.*) ✅"") ,  if(H3974=""quartier"",vlookup(REGEXEXTRACT(C3974, ""🏘️ \w+ \w+ (.*) ✅""),'Quartier prepositio"&amp;"ns'!A:E, 5, 0) ,  if(H3974=""region"",vlookup(REGEXEXTRACT(C3974, ""🏘️ \w+ \w+ (.*) ✅""),'Region prepositions'!B:F, 5, 0),  REGEXEXTRACT(C3974, ""🏘️ \w+ \w+ (.*) ✅""))))"),"#N/A")</f>
        <v>#N/A</v>
      </c>
      <c r="I3974" s="4" t="str">
        <f>IFERROR(__xludf.DUMMYFUNCTION("if(D3974=""variant"",  substitute(filter(Templates!E:E, Templates!A:A = F3974, Templates!B:B = G3974, Templates!C:C = H3974), ""{{}}"", E3974), B3974)"),"Louer appartement Founex: Trouvez le bien immobilier qui correspond idéalement à vos désirs sur ImmoScout24 - La plateforme de l'immobilier en Suisse.")</f>
        <v>Louer appartement Founex: Trouvez le bien immobilier qui correspond idéalement à vos désirs sur ImmoScout24 - La plateforme de l'immobilier en Suisse.</v>
      </c>
    </row>
    <row r="3975" hidden="1">
      <c r="A3975" s="5" t="s">
        <v>11052</v>
      </c>
      <c r="B3975" s="2" t="s">
        <v>11053</v>
      </c>
      <c r="C3975" s="2" t="s">
        <v>11053</v>
      </c>
      <c r="D3975" s="4" t="str">
        <f>vlookup(A3975, Sheet2!D:E, 2, 0)</f>
        <v>control</v>
      </c>
      <c r="E3975" s="4" t="str">
        <f>IFERROR(__xludf.DUMMYFUNCTION("if(H3975=""pays"",vlookup(REGEXEXTRACT(C3975, ""🏘️ \w+ \w+ (.*) ✅""),'Country prepositions'!A:B, 2, 0) &amp; "" "" &amp; REGEXEXTRACT(C3975, ""🏘️ \w+ \w+ (.*) ✅"") ,  if(H3975=""quartier"",vlookup(REGEXEXTRACT(C3975, ""🏘️ \w+ \w+ (.*) ✅""),'Quartier prepositio"&amp;"ns'!A:E, 5, 0) ,  if(H3975=""region"",vlookup(REGEXEXTRACT(C3975, ""🏘️ \w+ \w+ (.*) ✅""),'Region prepositions'!B:F, 5, 0),  REGEXEXTRACT(C3975, ""🏘️ \w+ \w+ (.*) ✅""))))"),"#N/A")</f>
        <v>#N/A</v>
      </c>
      <c r="I3975" s="4" t="str">
        <f>IFERROR(__xludf.DUMMYFUNCTION("if(D3975=""variant"",  substitute(filter(Templates!E:E, Templates!A:A = F3975, Templates!B:B = G3975, Templates!C:C = H3975), ""{{}}"", E3975), B3975)"),"Louer appartement Altstadt - Wey (Lucerne): Trouvez le bien immobilier qui correspond idéalement à vos désirs sur ImmoScout24 - La plateforme de l'immobilier en Suisse.")</f>
        <v>Louer appartement Altstadt - Wey (Lucerne): Trouvez le bien immobilier qui correspond idéalement à vos désirs sur ImmoScout24 - La plateforme de l'immobilier en Suisse.</v>
      </c>
    </row>
    <row r="3976" hidden="1">
      <c r="A3976" s="5" t="s">
        <v>11054</v>
      </c>
      <c r="B3976" s="2" t="s">
        <v>11055</v>
      </c>
      <c r="C3976" s="2" t="s">
        <v>11055</v>
      </c>
      <c r="D3976" s="4" t="str">
        <f>vlookup(A3976, Sheet2!D:E, 2, 0)</f>
        <v>control</v>
      </c>
      <c r="E3976" s="4" t="str">
        <f>IFERROR(__xludf.DUMMYFUNCTION("if(H3976=""pays"",vlookup(REGEXEXTRACT(C3976, ""🏘️ \w+ \w+ (.*) ✅""),'Country prepositions'!A:B, 2, 0) &amp; "" "" &amp; REGEXEXTRACT(C3976, ""🏘️ \w+ \w+ (.*) ✅"") ,  if(H3976=""quartier"",vlookup(REGEXEXTRACT(C3976, ""🏘️ \w+ \w+ (.*) ✅""),'Quartier prepositio"&amp;"ns'!A:E, 5, 0) ,  if(H3976=""region"",vlookup(REGEXEXTRACT(C3976, ""🏘️ \w+ \w+ (.*) ✅""),'Region prepositions'!B:F, 5, 0),  REGEXEXTRACT(C3976, ""🏘️ \w+ \w+ (.*) ✅""))))"),"#N/A")</f>
        <v>#N/A</v>
      </c>
      <c r="I3976" s="4" t="str">
        <f>IFERROR(__xludf.DUMMYFUNCTION("if(D3976=""variant"",  substitute(filter(Templates!E:E, Templates!A:A = F3976, Templates!B:B = G3976, Templates!C:C = H3976), ""{{}}"", E3976), B3976)"),"Louer maison Neuenkirch: Trouvez le bien immobilier qui correspond idéalement à vos désirs sur ImmoScout24 - La plateforme de l'immobilier en Suisse.")</f>
        <v>Louer maison Neuenkirch: Trouvez le bien immobilier qui correspond idéalement à vos désirs sur ImmoScout24 - La plateforme de l'immobilier en Suisse.</v>
      </c>
    </row>
    <row r="3977" hidden="1">
      <c r="A3977" s="5" t="s">
        <v>11056</v>
      </c>
      <c r="B3977" s="2" t="s">
        <v>11057</v>
      </c>
      <c r="C3977" s="2" t="s">
        <v>11057</v>
      </c>
      <c r="D3977" s="4" t="str">
        <f>vlookup(A3977, Sheet2!D:E, 2, 0)</f>
        <v>control</v>
      </c>
      <c r="E3977" s="4" t="str">
        <f>IFERROR(__xludf.DUMMYFUNCTION("if(H3977=""pays"",vlookup(REGEXEXTRACT(C3977, ""🏘️ \w+ \w+ (.*) ✅""),'Country prepositions'!A:B, 2, 0) &amp; "" "" &amp; REGEXEXTRACT(C3977, ""🏘️ \w+ \w+ (.*) ✅"") ,  if(H3977=""quartier"",vlookup(REGEXEXTRACT(C3977, ""🏘️ \w+ \w+ (.*) ✅""),'Quartier prepositio"&amp;"ns'!A:E, 5, 0) ,  if(H3977=""region"",vlookup(REGEXEXTRACT(C3977, ""🏘️ \w+ \w+ (.*) ✅""),'Region prepositions'!B:F, 5, 0),  REGEXEXTRACT(C3977, ""🏘️ \w+ \w+ (.*) ✅""))))"),"#N/A")</f>
        <v>#N/A</v>
      </c>
      <c r="I3977" s="4" t="str">
        <f>IFERROR(__xludf.DUMMYFUNCTION("if(D3977=""variant"",  substitute(filter(Templates!E:E, Templates!A:A = F3977, Templates!B:B = G3977, Templates!C:C = H3977), ""{{}}"", E3977), B3977)"),"Vendre maison Purasca: Trouvez le bien immobilier qui correspond idéalement à vos désirs sur ImmoScout24 - La plateforme de l'immobilier en Suisse.")</f>
        <v>Vendre maison Purasca: Trouvez le bien immobilier qui correspond idéalement à vos désirs sur ImmoScout24 - La plateforme de l'immobilier en Suisse.</v>
      </c>
    </row>
    <row r="3978" hidden="1">
      <c r="A3978" s="5" t="s">
        <v>11058</v>
      </c>
      <c r="B3978" s="2" t="s">
        <v>11059</v>
      </c>
      <c r="C3978" s="2" t="s">
        <v>11059</v>
      </c>
      <c r="D3978" s="4" t="str">
        <f>vlookup(A3978, Sheet2!D:E, 2, 0)</f>
        <v>control</v>
      </c>
      <c r="E3978" s="4" t="str">
        <f>IFERROR(__xludf.DUMMYFUNCTION("if(H3978=""pays"",vlookup(REGEXEXTRACT(C3978, ""🏘️ \w+ \w+ (.*) ✅""),'Country prepositions'!A:B, 2, 0) &amp; "" "" &amp; REGEXEXTRACT(C3978, ""🏘️ \w+ \w+ (.*) ✅"") ,  if(H3978=""quartier"",vlookup(REGEXEXTRACT(C3978, ""🏘️ \w+ \w+ (.*) ✅""),'Quartier prepositio"&amp;"ns'!A:E, 5, 0) ,  if(H3978=""region"",vlookup(REGEXEXTRACT(C3978, ""🏘️ \w+ \w+ (.*) ✅""),'Region prepositions'!B:F, 5, 0),  REGEXEXTRACT(C3978, ""🏘️ \w+ \w+ (.*) ✅""))))"),"#N/A")</f>
        <v>#N/A</v>
      </c>
      <c r="I3978" s="4" t="str">
        <f>IFERROR(__xludf.DUMMYFUNCTION("if(D3978=""variant"",  substitute(filter(Templates!E:E, Templates!A:A = F3978, Templates!B:B = G3978, Templates!C:C = H3978), ""{{}}"", E3978), B3978)"),"Vendre appartement Péry: Trouvez le bien immobilier qui correspond idéalement à vos désirs sur ImmoScout24 - La plateforme de l'immobilier en Suisse.")</f>
        <v>Vendre appartement Péry: Trouvez le bien immobilier qui correspond idéalement à vos désirs sur ImmoScout24 - La plateforme de l'immobilier en Suisse.</v>
      </c>
    </row>
    <row r="3979" hidden="1">
      <c r="A3979" s="5" t="s">
        <v>11060</v>
      </c>
      <c r="B3979" s="2" t="s">
        <v>11061</v>
      </c>
      <c r="C3979" s="2" t="s">
        <v>11061</v>
      </c>
      <c r="D3979" s="4" t="str">
        <f>vlookup(A3979, Sheet2!D:E, 2, 0)</f>
        <v>control</v>
      </c>
      <c r="E3979" s="4" t="str">
        <f>IFERROR(__xludf.DUMMYFUNCTION("if(H3979=""pays"",vlookup(REGEXEXTRACT(C3979, ""🏘️ \w+ \w+ (.*) ✅""),'Country prepositions'!A:B, 2, 0) &amp; "" "" &amp; REGEXEXTRACT(C3979, ""🏘️ \w+ \w+ (.*) ✅"") ,  if(H3979=""quartier"",vlookup(REGEXEXTRACT(C3979, ""🏘️ \w+ \w+ (.*) ✅""),'Quartier prepositio"&amp;"ns'!A:E, 5, 0) ,  if(H3979=""region"",vlookup(REGEXEXTRACT(C3979, ""🏘️ \w+ \w+ (.*) ✅""),'Region prepositions'!B:F, 5, 0),  REGEXEXTRACT(C3979, ""🏘️ \w+ \w+ (.*) ✅""))))"),"#N/A")</f>
        <v>#N/A</v>
      </c>
      <c r="I3979" s="4" t="str">
        <f>IFERROR(__xludf.DUMMYFUNCTION("if(D3979=""variant"",  substitute(filter(Templates!E:E, Templates!A:A = F3979, Templates!B:B = G3979, Templates!C:C = H3979), ""{{}}"", E3979), B3979)"),"Louer appartement Feldbrunnen: Trouvez le bien immobilier qui correspond idéalement à vos désirs sur ImmoScout24 - La plateforme de l'immobilier en Suisse.")</f>
        <v>Louer appartement Feldbrunnen: Trouvez le bien immobilier qui correspond idéalement à vos désirs sur ImmoScout24 - La plateforme de l'immobilier en Suisse.</v>
      </c>
    </row>
    <row r="3980" hidden="1">
      <c r="A3980" s="5" t="s">
        <v>11062</v>
      </c>
      <c r="B3980" s="2" t="s">
        <v>11063</v>
      </c>
      <c r="C3980" s="2" t="s">
        <v>11063</v>
      </c>
      <c r="D3980" s="4" t="str">
        <f>vlookup(A3980, Sheet2!D:E, 2, 0)</f>
        <v>control</v>
      </c>
      <c r="E3980" s="4" t="str">
        <f>IFERROR(__xludf.DUMMYFUNCTION("if(H3980=""pays"",vlookup(REGEXEXTRACT(C3980, ""🏘️ \w+ \w+ (.*) ✅""),'Country prepositions'!A:B, 2, 0) &amp; "" "" &amp; REGEXEXTRACT(C3980, ""🏘️ \w+ \w+ (.*) ✅"") ,  if(H3980=""quartier"",vlookup(REGEXEXTRACT(C3980, ""🏘️ \w+ \w+ (.*) ✅""),'Quartier prepositio"&amp;"ns'!A:E, 5, 0) ,  if(H3980=""region"",vlookup(REGEXEXTRACT(C3980, ""🏘️ \w+ \w+ (.*) ✅""),'Region prepositions'!B:F, 5, 0),  REGEXEXTRACT(C3980, ""🏘️ \w+ \w+ (.*) ✅""))))"),"#N/A")</f>
        <v>#N/A</v>
      </c>
      <c r="I3980" s="4" t="str">
        <f>IFERROR(__xludf.DUMMYFUNCTION("if(D3980=""variant"",  substitute(filter(Templates!E:E, Templates!A:A = F3980, Templates!B:B = G3980, Templates!C:C = H3980), ""{{}}"", E3980), B3980)"),"Louer appartement Courtemaîche: Trouvez le bien immobilier qui correspond idéalement à vos désirs sur ImmoScout24 - La plateforme de l'immobilier en Suisse.")</f>
        <v>Louer appartement Courtemaîche: Trouvez le bien immobilier qui correspond idéalement à vos désirs sur ImmoScout24 - La plateforme de l'immobilier en Suisse.</v>
      </c>
    </row>
    <row r="3981" hidden="1">
      <c r="A3981" s="5" t="s">
        <v>11064</v>
      </c>
      <c r="B3981" s="2" t="s">
        <v>11065</v>
      </c>
      <c r="C3981" s="2" t="s">
        <v>11065</v>
      </c>
      <c r="D3981" s="4" t="str">
        <f>vlookup(A3981, Sheet2!D:E, 2, 0)</f>
        <v>control</v>
      </c>
      <c r="E3981" s="4" t="str">
        <f>IFERROR(__xludf.DUMMYFUNCTION("if(H3981=""pays"",vlookup(REGEXEXTRACT(C3981, ""🏘️ \w+ \w+ (.*) ✅""),'Country prepositions'!A:B, 2, 0) &amp; "" "" &amp; REGEXEXTRACT(C3981, ""🏘️ \w+ \w+ (.*) ✅"") ,  if(H3981=""quartier"",vlookup(REGEXEXTRACT(C3981, ""🏘️ \w+ \w+ (.*) ✅""),'Quartier prepositio"&amp;"ns'!A:E, 5, 0) ,  if(H3981=""region"",vlookup(REGEXEXTRACT(C3981, ""🏘️ \w+ \w+ (.*) ✅""),'Region prepositions'!B:F, 5, 0),  REGEXEXTRACT(C3981, ""🏘️ \w+ \w+ (.*) ✅""))))"),"#N/A")</f>
        <v>#N/A</v>
      </c>
      <c r="I3981" s="4" t="str">
        <f>IFERROR(__xludf.DUMMYFUNCTION("if(D3981=""variant"",  substitute(filter(Templates!E:E, Templates!A:A = F3981, Templates!B:B = G3981, Templates!C:C = H3981), ""{{}}"", E3981), B3981)"),"Vendre maison Nyon: Trouvez le bien immobilier qui correspond idéalement à vos désirs sur ImmoScout24 - La plateforme de l'immobilier en Suisse.")</f>
        <v>Vendre maison Nyon: Trouvez le bien immobilier qui correspond idéalement à vos désirs sur ImmoScout24 - La plateforme de l'immobilier en Suisse.</v>
      </c>
    </row>
    <row r="3982" hidden="1">
      <c r="A3982" s="5" t="s">
        <v>11066</v>
      </c>
      <c r="B3982" s="2" t="s">
        <v>11067</v>
      </c>
      <c r="C3982" s="2" t="s">
        <v>11067</v>
      </c>
      <c r="D3982" s="4" t="str">
        <f>vlookup(A3982, Sheet2!D:E, 2, 0)</f>
        <v>control</v>
      </c>
      <c r="E3982" s="4" t="str">
        <f>IFERROR(__xludf.DUMMYFUNCTION("if(H3982=""pays"",vlookup(REGEXEXTRACT(C3982, ""🏘️ \w+ \w+ (.*) ✅""),'Country prepositions'!A:B, 2, 0) &amp; "" "" &amp; REGEXEXTRACT(C3982, ""🏘️ \w+ \w+ (.*) ✅"") ,  if(H3982=""quartier"",vlookup(REGEXEXTRACT(C3982, ""🏘️ \w+ \w+ (.*) ✅""),'Quartier prepositio"&amp;"ns'!A:E, 5, 0) ,  if(H3982=""region"",vlookup(REGEXEXTRACT(C3982, ""🏘️ \w+ \w+ (.*) ✅""),'Region prepositions'!B:F, 5, 0),  REGEXEXTRACT(C3982, ""🏘️ \w+ \w+ (.*) ✅""))))"),"#N/A")</f>
        <v>#N/A</v>
      </c>
      <c r="I3982" s="4" t="str">
        <f>IFERROR(__xludf.DUMMYFUNCTION("if(D3982=""variant"",  substitute(filter(Templates!E:E, Templates!A:A = F3982, Templates!B:B = G3982, Templates!C:C = H3982), ""{{}}"", E3982), B3982)"),"Louer appartement Breitfeld (Berne): Trouvez le bien immobilier qui correspond idéalement à vos désirs sur ImmoScout24 - La plateforme de l'immobilier en Suisse.")</f>
        <v>Louer appartement Breitfeld (Berne): Trouvez le bien immobilier qui correspond idéalement à vos désirs sur ImmoScout24 - La plateforme de l'immobilier en Suisse.</v>
      </c>
    </row>
    <row r="3983" hidden="1">
      <c r="A3983" s="5" t="s">
        <v>11068</v>
      </c>
      <c r="B3983" s="2" t="s">
        <v>11069</v>
      </c>
      <c r="C3983" s="2" t="s">
        <v>11069</v>
      </c>
      <c r="D3983" s="4" t="str">
        <f>vlookup(A3983, Sheet2!D:E, 2, 0)</f>
        <v>control</v>
      </c>
      <c r="E3983" s="4" t="str">
        <f>IFERROR(__xludf.DUMMYFUNCTION("if(H3983=""pays"",vlookup(REGEXEXTRACT(C3983, ""🏘️ \w+ \w+ (.*) ✅""),'Country prepositions'!A:B, 2, 0) &amp; "" "" &amp; REGEXEXTRACT(C3983, ""🏘️ \w+ \w+ (.*) ✅"") ,  if(H3983=""quartier"",vlookup(REGEXEXTRACT(C3983, ""🏘️ \w+ \w+ (.*) ✅""),'Quartier prepositio"&amp;"ns'!A:E, 5, 0) ,  if(H3983=""region"",vlookup(REGEXEXTRACT(C3983, ""🏘️ \w+ \w+ (.*) ✅""),'Region prepositions'!B:F, 5, 0),  REGEXEXTRACT(C3983, ""🏘️ \w+ \w+ (.*) ✅""))))"),"#N/A")</f>
        <v>#N/A</v>
      </c>
      <c r="I3983" s="4" t="str">
        <f>IFERROR(__xludf.DUMMYFUNCTION("if(D3983=""variant"",  substitute(filter(Templates!E:E, Templates!A:A = F3983, Templates!B:B = G3983, Templates!C:C = H3983), ""{{}}"", E3983), B3983)"),"Vendre maison Gollion: Trouvez le bien immobilier qui correspond idéalement à vos désirs sur ImmoScout24 - La plateforme de l'immobilier en Suisse.")</f>
        <v>Vendre maison Gollion: Trouvez le bien immobilier qui correspond idéalement à vos désirs sur ImmoScout24 - La plateforme de l'immobilier en Suisse.</v>
      </c>
    </row>
    <row r="3984" hidden="1">
      <c r="A3984" s="5" t="s">
        <v>11070</v>
      </c>
      <c r="B3984" s="2" t="s">
        <v>11071</v>
      </c>
      <c r="C3984" s="2" t="s">
        <v>11071</v>
      </c>
      <c r="D3984" s="4" t="str">
        <f>vlookup(A3984, Sheet2!D:E, 2, 0)</f>
        <v>control</v>
      </c>
      <c r="E3984" s="4" t="str">
        <f>IFERROR(__xludf.DUMMYFUNCTION("if(H3984=""pays"",vlookup(REGEXEXTRACT(C3984, ""🏘️ \w+ \w+ (.*) ✅""),'Country prepositions'!A:B, 2, 0) &amp; "" "" &amp; REGEXEXTRACT(C3984, ""🏘️ \w+ \w+ (.*) ✅"") ,  if(H3984=""quartier"",vlookup(REGEXEXTRACT(C3984, ""🏘️ \w+ \w+ (.*) ✅""),'Quartier prepositio"&amp;"ns'!A:E, 5, 0) ,  if(H3984=""region"",vlookup(REGEXEXTRACT(C3984, ""🏘️ \w+ \w+ (.*) ✅""),'Region prepositions'!B:F, 5, 0),  REGEXEXTRACT(C3984, ""🏘️ \w+ \w+ (.*) ✅""))))"),"#N/A")</f>
        <v>#N/A</v>
      </c>
      <c r="I3984" s="4" t="str">
        <f>IFERROR(__xludf.DUMMYFUNCTION("if(D3984=""variant"",  substitute(filter(Templates!E:E, Templates!A:A = F3984, Templates!B:B = G3984, Templates!C:C = H3984), ""{{}}"", E3984), B3984)"),"Louer appartement Zunzgen: Trouvez le bien immobilier qui correspond idéalement à vos désirs sur ImmoScout24 - La plateforme de l'immobilier en Suisse.")</f>
        <v>Louer appartement Zunzgen: Trouvez le bien immobilier qui correspond idéalement à vos désirs sur ImmoScout24 - La plateforme de l'immobilier en Suisse.</v>
      </c>
    </row>
    <row r="3985" hidden="1">
      <c r="A3985" s="5" t="s">
        <v>11072</v>
      </c>
      <c r="B3985" s="2" t="s">
        <v>11073</v>
      </c>
      <c r="C3985" s="2" t="s">
        <v>11073</v>
      </c>
      <c r="D3985" s="4" t="str">
        <f>vlookup(A3985, Sheet2!D:E, 2, 0)</f>
        <v>control</v>
      </c>
      <c r="E3985" s="4" t="str">
        <f>IFERROR(__xludf.DUMMYFUNCTION("if(H3985=""pays"",vlookup(REGEXEXTRACT(C3985, ""🏘️ \w+ \w+ (.*) ✅""),'Country prepositions'!A:B, 2, 0) &amp; "" "" &amp; REGEXEXTRACT(C3985, ""🏘️ \w+ \w+ (.*) ✅"") ,  if(H3985=""quartier"",vlookup(REGEXEXTRACT(C3985, ""🏘️ \w+ \w+ (.*) ✅""),'Quartier prepositio"&amp;"ns'!A:E, 5, 0) ,  if(H3985=""region"",vlookup(REGEXEXTRACT(C3985, ""🏘️ \w+ \w+ (.*) ✅""),'Region prepositions'!B:F, 5, 0),  REGEXEXTRACT(C3985, ""🏘️ \w+ \w+ (.*) ✅""))))"),"#N/A")</f>
        <v>#N/A</v>
      </c>
      <c r="I3985" s="4" t="str">
        <f>IFERROR(__xludf.DUMMYFUNCTION("if(D3985=""variant"",  substitute(filter(Templates!E:E, Templates!A:A = F3985, Templates!B:B = G3985, Templates!C:C = H3985), ""{{}}"", E3985), B3985)"),"Vendre maison Yverdon-les-Bains: Trouvez le bien immobilier qui correspond idéalement à vos désirs sur ImmoScout24 - La plateforme de l'immobilier en Suisse.")</f>
        <v>Vendre maison Yverdon-les-Bains: Trouvez le bien immobilier qui correspond idéalement à vos désirs sur ImmoScout24 - La plateforme de l'immobilier en Suisse.</v>
      </c>
    </row>
    <row r="3986" hidden="1">
      <c r="A3986" s="5" t="s">
        <v>11074</v>
      </c>
      <c r="B3986" s="2" t="s">
        <v>11075</v>
      </c>
      <c r="C3986" s="2" t="s">
        <v>11075</v>
      </c>
      <c r="D3986" s="4" t="str">
        <f>vlookup(A3986, Sheet2!D:E, 2, 0)</f>
        <v>control</v>
      </c>
      <c r="E3986" s="4" t="str">
        <f>IFERROR(__xludf.DUMMYFUNCTION("if(H3986=""pays"",vlookup(REGEXEXTRACT(C3986, ""🏘️ \w+ \w+ (.*) ✅""),'Country prepositions'!A:B, 2, 0) &amp; "" "" &amp; REGEXEXTRACT(C3986, ""🏘️ \w+ \w+ (.*) ✅"") ,  if(H3986=""quartier"",vlookup(REGEXEXTRACT(C3986, ""🏘️ \w+ \w+ (.*) ✅""),'Quartier prepositio"&amp;"ns'!A:E, 5, 0) ,  if(H3986=""region"",vlookup(REGEXEXTRACT(C3986, ""🏘️ \w+ \w+ (.*) ✅""),'Region prepositions'!B:F, 5, 0),  REGEXEXTRACT(C3986, ""🏘️ \w+ \w+ (.*) ✅""))))"),"#N/A")</f>
        <v>#N/A</v>
      </c>
      <c r="I3986" s="4" t="str">
        <f>IFERROR(__xludf.DUMMYFUNCTION("if(D3986=""variant"",  substitute(filter(Templates!E:E, Templates!A:A = F3986, Templates!B:B = G3986, Templates!C:C = H3986), ""{{}}"", E3986), B3986)"),"Vendre maison Chavannes-sur-Moudon: Trouvez le bien immobilier qui correspond idéalement à vos désirs sur ImmoScout24 - La plateforme de l'immobilier en Suisse.")</f>
        <v>Vendre maison Chavannes-sur-Moudon: Trouvez le bien immobilier qui correspond idéalement à vos désirs sur ImmoScout24 - La plateforme de l'immobilier en Suisse.</v>
      </c>
    </row>
    <row r="3987" hidden="1">
      <c r="A3987" s="5" t="s">
        <v>11076</v>
      </c>
      <c r="B3987" s="2" t="s">
        <v>11077</v>
      </c>
      <c r="C3987" s="2" t="s">
        <v>11077</v>
      </c>
      <c r="D3987" s="4" t="str">
        <f>vlookup(A3987, Sheet2!D:E, 2, 0)</f>
        <v>control</v>
      </c>
      <c r="E3987" s="4" t="str">
        <f>IFERROR(__xludf.DUMMYFUNCTION("if(H3987=""pays"",vlookup(REGEXEXTRACT(C3987, ""🏘️ \w+ \w+ (.*) ✅""),'Country prepositions'!A:B, 2, 0) &amp; "" "" &amp; REGEXEXTRACT(C3987, ""🏘️ \w+ \w+ (.*) ✅"") ,  if(H3987=""quartier"",vlookup(REGEXEXTRACT(C3987, ""🏘️ \w+ \w+ (.*) ✅""),'Quartier prepositio"&amp;"ns'!A:E, 5, 0) ,  if(H3987=""region"",vlookup(REGEXEXTRACT(C3987, ""🏘️ \w+ \w+ (.*) ✅""),'Region prepositions'!B:F, 5, 0),  REGEXEXTRACT(C3987, ""🏘️ \w+ \w+ (.*) ✅""))))"),"#N/A")</f>
        <v>#N/A</v>
      </c>
      <c r="I3987" s="4" t="str">
        <f>IFERROR(__xludf.DUMMYFUNCTION("if(D3987=""variant"",  substitute(filter(Templates!E:E, Templates!A:A = F3987, Templates!B:B = G3987, Templates!C:C = H3987), ""{{}}"", E3987), B3987)"),"Louer appartement Cugnasco: Trouvez le bien immobilier qui correspond idéalement à vos désirs sur ImmoScout24 - La plateforme de l'immobilier en Suisse.")</f>
        <v>Louer appartement Cugnasco: Trouvez le bien immobilier qui correspond idéalement à vos désirs sur ImmoScout24 - La plateforme de l'immobilier en Suisse.</v>
      </c>
    </row>
    <row r="3988" hidden="1">
      <c r="A3988" s="5" t="s">
        <v>11078</v>
      </c>
      <c r="B3988" s="2" t="s">
        <v>11079</v>
      </c>
      <c r="C3988" s="2" t="s">
        <v>11079</v>
      </c>
      <c r="D3988" s="4" t="str">
        <f>vlookup(A3988, Sheet2!D:E, 2, 0)</f>
        <v>control</v>
      </c>
      <c r="E3988" s="4" t="str">
        <f>IFERROR(__xludf.DUMMYFUNCTION("if(H3988=""pays"",vlookup(REGEXEXTRACT(C3988, ""🏘️ \w+ \w+ (.*) ✅""),'Country prepositions'!A:B, 2, 0) &amp; "" "" &amp; REGEXEXTRACT(C3988, ""🏘️ \w+ \w+ (.*) ✅"") ,  if(H3988=""quartier"",vlookup(REGEXEXTRACT(C3988, ""🏘️ \w+ \w+ (.*) ✅""),'Quartier prepositio"&amp;"ns'!A:E, 5, 0) ,  if(H3988=""region"",vlookup(REGEXEXTRACT(C3988, ""🏘️ \w+ \w+ (.*) ✅""),'Region prepositions'!B:F, 5, 0),  REGEXEXTRACT(C3988, ""🏘️ \w+ \w+ (.*) ✅""))))"),"#N/A")</f>
        <v>#N/A</v>
      </c>
      <c r="I3988" s="4" t="str">
        <f>IFERROR(__xludf.DUMMYFUNCTION("if(D3988=""variant"",  substitute(filter(Templates!E:E, Templates!A:A = F3988, Templates!B:B = G3988, Templates!C:C = H3988), ""{{}}"", E3988), B3988)"),"Vendre maison Sins: Trouvez le bien immobilier qui correspond idéalement à vos désirs sur ImmoScout24 - La plateforme de l'immobilier en Suisse.")</f>
        <v>Vendre maison Sins: Trouvez le bien immobilier qui correspond idéalement à vos désirs sur ImmoScout24 - La plateforme de l'immobilier en Suisse.</v>
      </c>
    </row>
    <row r="3989" hidden="1">
      <c r="A3989" s="5" t="s">
        <v>11080</v>
      </c>
      <c r="B3989" s="2" t="s">
        <v>11081</v>
      </c>
      <c r="C3989" s="2" t="s">
        <v>11081</v>
      </c>
      <c r="D3989" s="4" t="str">
        <f>vlookup(A3989, Sheet2!D:E, 2, 0)</f>
        <v>control</v>
      </c>
      <c r="E3989" s="4" t="str">
        <f>IFERROR(__xludf.DUMMYFUNCTION("if(H3989=""pays"",vlookup(REGEXEXTRACT(C3989, ""🏘️ \w+ \w+ (.*) ✅""),'Country prepositions'!A:B, 2, 0) &amp; "" "" &amp; REGEXEXTRACT(C3989, ""🏘️ \w+ \w+ (.*) ✅"") ,  if(H3989=""quartier"",vlookup(REGEXEXTRACT(C3989, ""🏘️ \w+ \w+ (.*) ✅""),'Quartier prepositio"&amp;"ns'!A:E, 5, 0) ,  if(H3989=""region"",vlookup(REGEXEXTRACT(C3989, ""🏘️ \w+ \w+ (.*) ✅""),'Region prepositions'!B:F, 5, 0),  REGEXEXTRACT(C3989, ""🏘️ \w+ \w+ (.*) ✅""))))"),"#N/A")</f>
        <v>#N/A</v>
      </c>
      <c r="I3989" s="4" t="str">
        <f>IFERROR(__xludf.DUMMYFUNCTION("if(D3989=""variant"",  substitute(filter(Templates!E:E, Templates!A:A = F3989, Templates!B:B = G3989, Templates!C:C = H3989), ""{{}}"", E3989), B3989)"),"Louer appartement Kerzers: Trouvez le bien immobilier qui correspond idéalement à vos désirs sur ImmoScout24 - La plateforme de l'immobilier en Suisse.")</f>
        <v>Louer appartement Kerzers: Trouvez le bien immobilier qui correspond idéalement à vos désirs sur ImmoScout24 - La plateforme de l'immobilier en Suisse.</v>
      </c>
    </row>
    <row r="3990" hidden="1">
      <c r="A3990" s="5" t="s">
        <v>11082</v>
      </c>
      <c r="B3990" s="2" t="s">
        <v>11083</v>
      </c>
      <c r="C3990" s="2" t="s">
        <v>11083</v>
      </c>
      <c r="D3990" s="4" t="str">
        <f>vlookup(A3990, Sheet2!D:E, 2, 0)</f>
        <v>control</v>
      </c>
      <c r="E3990" s="4" t="str">
        <f>IFERROR(__xludf.DUMMYFUNCTION("if(H3990=""pays"",vlookup(REGEXEXTRACT(C3990, ""🏘️ \w+ \w+ (.*) ✅""),'Country prepositions'!A:B, 2, 0) &amp; "" "" &amp; REGEXEXTRACT(C3990, ""🏘️ \w+ \w+ (.*) ✅"") ,  if(H3990=""quartier"",vlookup(REGEXEXTRACT(C3990, ""🏘️ \w+ \w+ (.*) ✅""),'Quartier prepositio"&amp;"ns'!A:E, 5, 0) ,  if(H3990=""region"",vlookup(REGEXEXTRACT(C3990, ""🏘️ \w+ \w+ (.*) ✅""),'Region prepositions'!B:F, 5, 0),  REGEXEXTRACT(C3990, ""🏘️ \w+ \w+ (.*) ✅""))))"),"#N/A")</f>
        <v>#N/A</v>
      </c>
      <c r="I3990" s="4" t="str">
        <f>IFERROR(__xludf.DUMMYFUNCTION("if(D3990=""variant"",  substitute(filter(Templates!E:E, Templates!A:A = F3990, Templates!B:B = G3990, Templates!C:C = H3990), ""{{}}"", E3990), B3990)"),"Vendre maison Saas im Prättigau: Trouvez le bien immobilier qui correspond idéalement à vos désirs sur ImmoScout24 - La plateforme de l'immobilier en Suisse.")</f>
        <v>Vendre maison Saas im Prättigau: Trouvez le bien immobilier qui correspond idéalement à vos désirs sur ImmoScout24 - La plateforme de l'immobilier en Suisse.</v>
      </c>
    </row>
    <row r="3991" hidden="1">
      <c r="A3991" s="5" t="s">
        <v>11084</v>
      </c>
      <c r="B3991" s="2" t="s">
        <v>11085</v>
      </c>
      <c r="C3991" s="2" t="s">
        <v>11085</v>
      </c>
      <c r="D3991" s="4" t="str">
        <f>vlookup(A3991, Sheet2!D:E, 2, 0)</f>
        <v>control</v>
      </c>
      <c r="E3991" s="4" t="str">
        <f>IFERROR(__xludf.DUMMYFUNCTION("if(H3991=""pays"",vlookup(REGEXEXTRACT(C3991, ""🏘️ \w+ \w+ (.*) ✅""),'Country prepositions'!A:B, 2, 0) &amp; "" "" &amp; REGEXEXTRACT(C3991, ""🏘️ \w+ \w+ (.*) ✅"") ,  if(H3991=""quartier"",vlookup(REGEXEXTRACT(C3991, ""🏘️ \w+ \w+ (.*) ✅""),'Quartier prepositio"&amp;"ns'!A:E, 5, 0) ,  if(H3991=""region"",vlookup(REGEXEXTRACT(C3991, ""🏘️ \w+ \w+ (.*) ✅""),'Region prepositions'!B:F, 5, 0),  REGEXEXTRACT(C3991, ""🏘️ \w+ \w+ (.*) ✅""))))"),"#N/A")</f>
        <v>#N/A</v>
      </c>
      <c r="I3991" s="4" t="str">
        <f>IFERROR(__xludf.DUMMYFUNCTION("if(D3991=""variant"",  substitute(filter(Templates!E:E, Templates!A:A = F3991, Templates!B:B = G3991, Templates!C:C = H3991), ""{{}}"", E3991), B3991)"),"Vendre maison Zweisimmen: Trouvez le bien immobilier qui correspond idéalement à vos désirs sur ImmoScout24 - La plateforme de l'immobilier en Suisse.")</f>
        <v>Vendre maison Zweisimmen: Trouvez le bien immobilier qui correspond idéalement à vos désirs sur ImmoScout24 - La plateforme de l'immobilier en Suisse.</v>
      </c>
    </row>
    <row r="3992" hidden="1">
      <c r="A3992" s="5" t="s">
        <v>11086</v>
      </c>
      <c r="B3992" s="2" t="s">
        <v>11087</v>
      </c>
      <c r="C3992" s="2" t="s">
        <v>11087</v>
      </c>
      <c r="D3992" s="4" t="str">
        <f>vlookup(A3992, Sheet2!D:E, 2, 0)</f>
        <v>control</v>
      </c>
      <c r="E3992" s="4" t="str">
        <f>IFERROR(__xludf.DUMMYFUNCTION("if(H3992=""pays"",vlookup(REGEXEXTRACT(C3992, ""🏘️ \w+ \w+ (.*) ✅""),'Country prepositions'!A:B, 2, 0) &amp; "" "" &amp; REGEXEXTRACT(C3992, ""🏘️ \w+ \w+ (.*) ✅"") ,  if(H3992=""quartier"",vlookup(REGEXEXTRACT(C3992, ""🏘️ \w+ \w+ (.*) ✅""),'Quartier prepositio"&amp;"ns'!A:E, 5, 0) ,  if(H3992=""region"",vlookup(REGEXEXTRACT(C3992, ""🏘️ \w+ \w+ (.*) ✅""),'Region prepositions'!B:F, 5, 0),  REGEXEXTRACT(C3992, ""🏘️ \w+ \w+ (.*) ✅""))))"),"#N/A")</f>
        <v>#N/A</v>
      </c>
      <c r="I3992" s="4" t="str">
        <f>IFERROR(__xludf.DUMMYFUNCTION("if(D3992=""variant"",  substitute(filter(Templates!E:E, Templates!A:A = F3992, Templates!B:B = G3992, Templates!C:C = H3992), ""{{}}"", E3992), B3992)"),"Louer maison Losone: Trouvez le bien immobilier qui correspond idéalement à vos désirs sur ImmoScout24 - La plateforme de l'immobilier en Suisse.")</f>
        <v>Louer maison Losone: Trouvez le bien immobilier qui correspond idéalement à vos désirs sur ImmoScout24 - La plateforme de l'immobilier en Suisse.</v>
      </c>
    </row>
    <row r="3993" hidden="1">
      <c r="A3993" s="5" t="s">
        <v>11088</v>
      </c>
      <c r="B3993" s="2" t="s">
        <v>11089</v>
      </c>
      <c r="C3993" s="2" t="s">
        <v>11089</v>
      </c>
      <c r="D3993" s="4" t="str">
        <f>vlookup(A3993, Sheet2!D:E, 2, 0)</f>
        <v>control</v>
      </c>
      <c r="E3993" s="4" t="str">
        <f>IFERROR(__xludf.DUMMYFUNCTION("if(H3993=""pays"",vlookup(REGEXEXTRACT(C3993, ""🏘️ \w+ \w+ (.*) ✅""),'Country prepositions'!A:B, 2, 0) &amp; "" "" &amp; REGEXEXTRACT(C3993, ""🏘️ \w+ \w+ (.*) ✅"") ,  if(H3993=""quartier"",vlookup(REGEXEXTRACT(C3993, ""🏘️ \w+ \w+ (.*) ✅""),'Quartier prepositio"&amp;"ns'!A:E, 5, 0) ,  if(H3993=""region"",vlookup(REGEXEXTRACT(C3993, ""🏘️ \w+ \w+ (.*) ✅""),'Region prepositions'!B:F, 5, 0),  REGEXEXTRACT(C3993, ""🏘️ \w+ \w+ (.*) ✅""))))"),"#N/A")</f>
        <v>#N/A</v>
      </c>
      <c r="I3993" s="4" t="str">
        <f>IFERROR(__xludf.DUMMYFUNCTION("if(D3993=""variant"",  substitute(filter(Templates!E:E, Templates!A:A = F3993, Templates!B:B = G3993, Templates!C:C = H3993), ""{{}}"", E3993), B3993)"),"Vendre maison Novaggio: Trouvez le bien immobilier qui correspond idéalement à vos désirs sur ImmoScout24 - La plateforme de l'immobilier en Suisse.")</f>
        <v>Vendre maison Novaggio: Trouvez le bien immobilier qui correspond idéalement à vos désirs sur ImmoScout24 - La plateforme de l'immobilier en Suisse.</v>
      </c>
    </row>
    <row r="3994" hidden="1">
      <c r="A3994" s="5" t="s">
        <v>11090</v>
      </c>
      <c r="B3994" s="2" t="s">
        <v>11091</v>
      </c>
      <c r="C3994" s="2" t="s">
        <v>11091</v>
      </c>
      <c r="D3994" s="4" t="str">
        <f>vlookup(A3994, Sheet2!D:E, 2, 0)</f>
        <v>control</v>
      </c>
      <c r="E3994" s="4" t="str">
        <f>IFERROR(__xludf.DUMMYFUNCTION("if(H3994=""pays"",vlookup(REGEXEXTRACT(C3994, ""🏘️ \w+ \w+ (.*) ✅""),'Country prepositions'!A:B, 2, 0) &amp; "" "" &amp; REGEXEXTRACT(C3994, ""🏘️ \w+ \w+ (.*) ✅"") ,  if(H3994=""quartier"",vlookup(REGEXEXTRACT(C3994, ""🏘️ \w+ \w+ (.*) ✅""),'Quartier prepositio"&amp;"ns'!A:E, 5, 0) ,  if(H3994=""region"",vlookup(REGEXEXTRACT(C3994, ""🏘️ \w+ \w+ (.*) ✅""),'Region prepositions'!B:F, 5, 0),  REGEXEXTRACT(C3994, ""🏘️ \w+ \w+ (.*) ✅""))))"),"#N/A")</f>
        <v>#N/A</v>
      </c>
      <c r="I3994" s="4" t="str">
        <f>IFERROR(__xludf.DUMMYFUNCTION("if(D3994=""variant"",  substitute(filter(Templates!E:E, Templates!A:A = F3994, Templates!B:B = G3994, Templates!C:C = H3994), ""{{}}"", E3994), B3994)"),"Louer appartement Essert-Pittet: Trouvez le bien immobilier qui correspond idéalement à vos désirs sur ImmoScout24 - La plateforme de l'immobilier en Suisse.")</f>
        <v>Louer appartement Essert-Pittet: Trouvez le bien immobilier qui correspond idéalement à vos désirs sur ImmoScout24 - La plateforme de l'immobilier en Suisse.</v>
      </c>
    </row>
    <row r="3995" hidden="1">
      <c r="A3995" s="5" t="s">
        <v>11092</v>
      </c>
      <c r="B3995" s="2" t="s">
        <v>11093</v>
      </c>
      <c r="C3995" s="2" t="s">
        <v>11093</v>
      </c>
      <c r="D3995" s="4" t="str">
        <f>vlookup(A3995, Sheet2!D:E, 2, 0)</f>
        <v>control</v>
      </c>
      <c r="E3995" s="4" t="str">
        <f>IFERROR(__xludf.DUMMYFUNCTION("if(H3995=""pays"",vlookup(REGEXEXTRACT(C3995, ""🏘️ \w+ \w+ (.*) ✅""),'Country prepositions'!A:B, 2, 0) &amp; "" "" &amp; REGEXEXTRACT(C3995, ""🏘️ \w+ \w+ (.*) ✅"") ,  if(H3995=""quartier"",vlookup(REGEXEXTRACT(C3995, ""🏘️ \w+ \w+ (.*) ✅""),'Quartier prepositio"&amp;"ns'!A:E, 5, 0) ,  if(H3995=""region"",vlookup(REGEXEXTRACT(C3995, ""🏘️ \w+ \w+ (.*) ✅""),'Region prepositions'!B:F, 5, 0),  REGEXEXTRACT(C3995, ""🏘️ \w+ \w+ (.*) ✅""))))"),"#N/A")</f>
        <v>#N/A</v>
      </c>
      <c r="I3995" s="4" t="str">
        <f>IFERROR(__xludf.DUMMYFUNCTION("if(D3995=""variant"",  substitute(filter(Templates!E:E, Templates!A:A = F3995, Templates!B:B = G3995, Templates!C:C = H3995), ""{{}}"", E3995), B3995)"),"Louer appartement Courchavon: Trouvez le bien immobilier qui correspond idéalement à vos désirs sur ImmoScout24 - La plateforme de l'immobilier en Suisse.")</f>
        <v>Louer appartement Courchavon: Trouvez le bien immobilier qui correspond idéalement à vos désirs sur ImmoScout24 - La plateforme de l'immobilier en Suisse.</v>
      </c>
    </row>
    <row r="3996" hidden="1">
      <c r="A3996" s="5" t="s">
        <v>11094</v>
      </c>
      <c r="B3996" s="2" t="s">
        <v>11095</v>
      </c>
      <c r="C3996" s="2" t="s">
        <v>11095</v>
      </c>
      <c r="D3996" s="4" t="str">
        <f>vlookup(A3996, Sheet2!D:E, 2, 0)</f>
        <v>control</v>
      </c>
      <c r="E3996" s="4" t="str">
        <f>IFERROR(__xludf.DUMMYFUNCTION("if(H3996=""pays"",vlookup(REGEXEXTRACT(C3996, ""🏘️ \w+ \w+ (.*) ✅""),'Country prepositions'!A:B, 2, 0) &amp; "" "" &amp; REGEXEXTRACT(C3996, ""🏘️ \w+ \w+ (.*) ✅"") ,  if(H3996=""quartier"",vlookup(REGEXEXTRACT(C3996, ""🏘️ \w+ \w+ (.*) ✅""),'Quartier prepositio"&amp;"ns'!A:E, 5, 0) ,  if(H3996=""region"",vlookup(REGEXEXTRACT(C3996, ""🏘️ \w+ \w+ (.*) ✅""),'Region prepositions'!B:F, 5, 0),  REGEXEXTRACT(C3996, ""🏘️ \w+ \w+ (.*) ✅""))))"),"#N/A")</f>
        <v>#N/A</v>
      </c>
      <c r="I3996" s="4" t="str">
        <f>IFERROR(__xludf.DUMMYFUNCTION("if(D3996=""variant"",  substitute(filter(Templates!E:E, Templates!A:A = F3996, Templates!B:B = G3996, Templates!C:C = H3996), ""{{}}"", E3996), B3996)"),"Louer appartement Buchs ZH: Trouvez le bien immobilier qui correspond idéalement à vos désirs sur ImmoScout24 - La plateforme de l'immobilier en Suisse.")</f>
        <v>Louer appartement Buchs ZH: Trouvez le bien immobilier qui correspond idéalement à vos désirs sur ImmoScout24 - La plateforme de l'immobilier en Suisse.</v>
      </c>
    </row>
    <row r="3997" hidden="1">
      <c r="A3997" s="5" t="s">
        <v>11096</v>
      </c>
      <c r="B3997" s="2" t="s">
        <v>11097</v>
      </c>
      <c r="C3997" s="2" t="s">
        <v>11097</v>
      </c>
      <c r="D3997" s="4" t="str">
        <f>vlookup(A3997, Sheet2!D:E, 2, 0)</f>
        <v>control</v>
      </c>
      <c r="E3997" s="4" t="str">
        <f>IFERROR(__xludf.DUMMYFUNCTION("if(H3997=""pays"",vlookup(REGEXEXTRACT(C3997, ""🏘️ \w+ \w+ (.*) ✅""),'Country prepositions'!A:B, 2, 0) &amp; "" "" &amp; REGEXEXTRACT(C3997, ""🏘️ \w+ \w+ (.*) ✅"") ,  if(H3997=""quartier"",vlookup(REGEXEXTRACT(C3997, ""🏘️ \w+ \w+ (.*) ✅""),'Quartier prepositio"&amp;"ns'!A:E, 5, 0) ,  if(H3997=""region"",vlookup(REGEXEXTRACT(C3997, ""🏘️ \w+ \w+ (.*) ✅""),'Region prepositions'!B:F, 5, 0),  REGEXEXTRACT(C3997, ""🏘️ \w+ \w+ (.*) ✅""))))"),"#N/A")</f>
        <v>#N/A</v>
      </c>
      <c r="I3997" s="4" t="str">
        <f>IFERROR(__xludf.DUMMYFUNCTION("if(D3997=""variant"",  substitute(filter(Templates!E:E, Templates!A:A = F3997, Templates!B:B = G3997, Templates!C:C = H3997), ""{{}}"", E3997), B3997)"),"Vendre maison Essertines-sur-Yverdon: Trouvez le bien immobilier qui correspond idéalement à vos désirs sur ImmoScout24 - La plateforme de l'immobilier en Suisse.")</f>
        <v>Vendre maison Essertines-sur-Yverdon: Trouvez le bien immobilier qui correspond idéalement à vos désirs sur ImmoScout24 - La plateforme de l'immobilier en Suisse.</v>
      </c>
    </row>
    <row r="3998" hidden="1">
      <c r="A3998" s="5" t="s">
        <v>11098</v>
      </c>
      <c r="B3998" s="2" t="s">
        <v>11099</v>
      </c>
      <c r="C3998" s="2" t="s">
        <v>11099</v>
      </c>
      <c r="D3998" s="4" t="str">
        <f>vlookup(A3998, Sheet2!D:E, 2, 0)</f>
        <v>control</v>
      </c>
      <c r="E3998" s="4" t="str">
        <f>IFERROR(__xludf.DUMMYFUNCTION("if(H3998=""pays"",vlookup(REGEXEXTRACT(C3998, ""🏘️ \w+ \w+ (.*) ✅""),'Country prepositions'!A:B, 2, 0) &amp; "" "" &amp; REGEXEXTRACT(C3998, ""🏘️ \w+ \w+ (.*) ✅"") ,  if(H3998=""quartier"",vlookup(REGEXEXTRACT(C3998, ""🏘️ \w+ \w+ (.*) ✅""),'Quartier prepositio"&amp;"ns'!A:E, 5, 0) ,  if(H3998=""region"",vlookup(REGEXEXTRACT(C3998, ""🏘️ \w+ \w+ (.*) ✅""),'Region prepositions'!B:F, 5, 0),  REGEXEXTRACT(C3998, ""🏘️ \w+ \w+ (.*) ✅""))))"),"#N/A")</f>
        <v>#N/A</v>
      </c>
      <c r="I3998" s="4" t="str">
        <f>IFERROR(__xludf.DUMMYFUNCTION("if(D3998=""variant"",  substitute(filter(Templates!E:E, Templates!A:A = F3998, Templates!B:B = G3998, Templates!C:C = H3998), ""{{}}"", E3998), B3998)"),"Vendre appartement Andermatt: Trouvez le bien immobilier qui correspond idéalement à vos désirs sur ImmoScout24 - La plateforme de l'immobilier en Suisse.")</f>
        <v>Vendre appartement Andermatt: Trouvez le bien immobilier qui correspond idéalement à vos désirs sur ImmoScout24 - La plateforme de l'immobilier en Suisse.</v>
      </c>
    </row>
    <row r="3999" hidden="1">
      <c r="A3999" s="5" t="s">
        <v>11100</v>
      </c>
      <c r="B3999" s="2" t="s">
        <v>11101</v>
      </c>
      <c r="C3999" s="2" t="s">
        <v>11101</v>
      </c>
      <c r="D3999" s="4" t="str">
        <f>vlookup(A3999, Sheet2!D:E, 2, 0)</f>
        <v>control</v>
      </c>
      <c r="E3999" s="4" t="str">
        <f>IFERROR(__xludf.DUMMYFUNCTION("if(H3999=""pays"",vlookup(REGEXEXTRACT(C3999, ""🏘️ \w+ \w+ (.*) ✅""),'Country prepositions'!A:B, 2, 0) &amp; "" "" &amp; REGEXEXTRACT(C3999, ""🏘️ \w+ \w+ (.*) ✅"") ,  if(H3999=""quartier"",vlookup(REGEXEXTRACT(C3999, ""🏘️ \w+ \w+ (.*) ✅""),'Quartier prepositio"&amp;"ns'!A:E, 5, 0) ,  if(H3999=""region"",vlookup(REGEXEXTRACT(C3999, ""🏘️ \w+ \w+ (.*) ✅""),'Region prepositions'!B:F, 5, 0),  REGEXEXTRACT(C3999, ""🏘️ \w+ \w+ (.*) ✅""))))"),"#N/A")</f>
        <v>#N/A</v>
      </c>
      <c r="I3999" s="4" t="str">
        <f>IFERROR(__xludf.DUMMYFUNCTION("if(D3999=""variant"",  substitute(filter(Templates!E:E, Templates!A:A = F3999, Templates!B:B = G3999, Templates!C:C = H3999), ""{{}}"", E3999), B3999)"),"Louer maison Genthod: Trouvez le bien immobilier qui correspond idéalement à vos désirs sur ImmoScout24 - La plateforme de l'immobilier en Suisse.")</f>
        <v>Louer maison Genthod: Trouvez le bien immobilier qui correspond idéalement à vos désirs sur ImmoScout24 - La plateforme de l'immobilier en Suisse.</v>
      </c>
    </row>
    <row r="4000" hidden="1">
      <c r="A4000" s="5" t="s">
        <v>11102</v>
      </c>
      <c r="B4000" s="2" t="s">
        <v>11103</v>
      </c>
      <c r="C4000" s="2" t="s">
        <v>11103</v>
      </c>
      <c r="D4000" s="4" t="str">
        <f>vlookup(A4000, Sheet2!D:E, 2, 0)</f>
        <v>control</v>
      </c>
      <c r="E4000" s="4" t="str">
        <f>IFERROR(__xludf.DUMMYFUNCTION("if(H4000=""pays"",vlookup(REGEXEXTRACT(C4000, ""🏘️ \w+ \w+ (.*) ✅""),'Country prepositions'!A:B, 2, 0) &amp; "" "" &amp; REGEXEXTRACT(C4000, ""🏘️ \w+ \w+ (.*) ✅"") ,  if(H4000=""quartier"",vlookup(REGEXEXTRACT(C4000, ""🏘️ \w+ \w+ (.*) ✅""),'Quartier prepositio"&amp;"ns'!A:E, 5, 0) ,  if(H4000=""region"",vlookup(REGEXEXTRACT(C4000, ""🏘️ \w+ \w+ (.*) ✅""),'Region prepositions'!B:F, 5, 0),  REGEXEXTRACT(C4000, ""🏘️ \w+ \w+ (.*) ✅""))))"),"#N/A")</f>
        <v>#N/A</v>
      </c>
      <c r="I4000" s="4" t="str">
        <f>IFERROR(__xludf.DUMMYFUNCTION("if(D4000=""variant"",  substitute(filter(Templates!E:E, Templates!A:A = F4000, Templates!B:B = G4000, Templates!C:C = H4000), ""{{}}"", E4000), B4000)"),"Vendre appartement Yvonand: Trouvez le bien immobilier qui correspond idéalement à vos désirs sur ImmoScout24 - La plateforme de l'immobilier en Suisse.")</f>
        <v>Vendre appartement Yvonand: Trouvez le bien immobilier qui correspond idéalement à vos désirs sur ImmoScout24 - La plateforme de l'immobilier en Suisse.</v>
      </c>
    </row>
    <row r="4001" hidden="1">
      <c r="A4001" s="5" t="s">
        <v>11104</v>
      </c>
      <c r="B4001" s="2" t="s">
        <v>11105</v>
      </c>
      <c r="C4001" s="2" t="s">
        <v>11105</v>
      </c>
      <c r="D4001" s="4" t="str">
        <f>vlookup(A4001, Sheet2!D:E, 2, 0)</f>
        <v>control</v>
      </c>
      <c r="E4001" s="4" t="str">
        <f>IFERROR(__xludf.DUMMYFUNCTION("if(H4001=""pays"",vlookup(REGEXEXTRACT(C4001, ""🏘️ \w+ \w+ (.*) ✅""),'Country prepositions'!A:B, 2, 0) &amp; "" "" &amp; REGEXEXTRACT(C4001, ""🏘️ \w+ \w+ (.*) ✅"") ,  if(H4001=""quartier"",vlookup(REGEXEXTRACT(C4001, ""🏘️ \w+ \w+ (.*) ✅""),'Quartier prepositio"&amp;"ns'!A:E, 5, 0) ,  if(H4001=""region"",vlookup(REGEXEXTRACT(C4001, ""🏘️ \w+ \w+ (.*) ✅""),'Region prepositions'!B:F, 5, 0),  REGEXEXTRACT(C4001, ""🏘️ \w+ \w+ (.*) ✅""))))"),"#N/A")</f>
        <v>#N/A</v>
      </c>
      <c r="I4001" s="4" t="str">
        <f>IFERROR(__xludf.DUMMYFUNCTION("if(D4001=""variant"",  substitute(filter(Templates!E:E, Templates!A:A = F4001, Templates!B:B = G4001, Templates!C:C = H4001), ""{{}}"", E4001), B4001)"),"Louer appartement St-Légier-La Chiésaz: Trouvez le bien immobilier qui correspond idéalement à vos désirs sur ImmoScout24 - La plateforme de l'immobilier en Suisse.")</f>
        <v>Louer appartement St-Légier-La Chiésaz: Trouvez le bien immobilier qui correspond idéalement à vos désirs sur ImmoScout24 - La plateforme de l'immobilier en Suisse.</v>
      </c>
    </row>
    <row r="4002" hidden="1">
      <c r="A4002" s="5" t="s">
        <v>11106</v>
      </c>
      <c r="B4002" s="2" t="s">
        <v>11107</v>
      </c>
      <c r="C4002" s="2" t="s">
        <v>11107</v>
      </c>
      <c r="D4002" s="4" t="str">
        <f>vlookup(A4002, Sheet2!D:E, 2, 0)</f>
        <v>control</v>
      </c>
      <c r="E4002" s="4" t="str">
        <f>IFERROR(__xludf.DUMMYFUNCTION("if(H4002=""pays"",vlookup(REGEXEXTRACT(C4002, ""🏘️ \w+ \w+ (.*) ✅""),'Country prepositions'!A:B, 2, 0) &amp; "" "" &amp; REGEXEXTRACT(C4002, ""🏘️ \w+ \w+ (.*) ✅"") ,  if(H4002=""quartier"",vlookup(REGEXEXTRACT(C4002, ""🏘️ \w+ \w+ (.*) ✅""),'Quartier prepositio"&amp;"ns'!A:E, 5, 0) ,  if(H4002=""region"",vlookup(REGEXEXTRACT(C4002, ""🏘️ \w+ \w+ (.*) ✅""),'Region prepositions'!B:F, 5, 0),  REGEXEXTRACT(C4002, ""🏘️ \w+ \w+ (.*) ✅""))))"),"#N/A")</f>
        <v>#N/A</v>
      </c>
      <c r="I4002" s="4" t="str">
        <f>IFERROR(__xludf.DUMMYFUNCTION("if(D4002=""variant"",  substitute(filter(Templates!E:E, Templates!A:A = F4002, Templates!B:B = G4002, Templates!C:C = H4002), ""{{}}"", E4002), B4002)"),"Vendre maison Rueyres: Trouvez le bien immobilier qui correspond idéalement à vos désirs sur ImmoScout24 - La plateforme de l'immobilier en Suisse.")</f>
        <v>Vendre maison Rueyres: Trouvez le bien immobilier qui correspond idéalement à vos désirs sur ImmoScout24 - La plateforme de l'immobilier en Suisse.</v>
      </c>
    </row>
    <row r="4003" hidden="1">
      <c r="A4003" s="5" t="s">
        <v>11108</v>
      </c>
      <c r="B4003" s="2" t="s">
        <v>11109</v>
      </c>
      <c r="C4003" s="2" t="s">
        <v>11109</v>
      </c>
      <c r="D4003" s="4" t="str">
        <f>vlookup(A4003, Sheet2!D:E, 2, 0)</f>
        <v>control</v>
      </c>
      <c r="E4003" s="4" t="str">
        <f>IFERROR(__xludf.DUMMYFUNCTION("if(H4003=""pays"",vlookup(REGEXEXTRACT(C4003, ""🏘️ \w+ \w+ (.*) ✅""),'Country prepositions'!A:B, 2, 0) &amp; "" "" &amp; REGEXEXTRACT(C4003, ""🏘️ \w+ \w+ (.*) ✅"") ,  if(H4003=""quartier"",vlookup(REGEXEXTRACT(C4003, ""🏘️ \w+ \w+ (.*) ✅""),'Quartier prepositio"&amp;"ns'!A:E, 5, 0) ,  if(H4003=""region"",vlookup(REGEXEXTRACT(C4003, ""🏘️ \w+ \w+ (.*) ✅""),'Region prepositions'!B:F, 5, 0),  REGEXEXTRACT(C4003, ""🏘️ \w+ \w+ (.*) ✅""))))"),"#N/A")</f>
        <v>#N/A</v>
      </c>
      <c r="I4003" s="4" t="str">
        <f>IFERROR(__xludf.DUMMYFUNCTION("if(D4003=""variant"",  substitute(filter(Templates!E:E, Templates!A:A = F4003, Templates!B:B = G4003, Templates!C:C = H4003), ""{{}}"", E4003), B4003)"),"Vendre maison Bidogno: Trouvez le bien immobilier qui correspond idéalement à vos désirs sur ImmoScout24 - La plateforme de l'immobilier en Suisse.")</f>
        <v>Vendre maison Bidogno: Trouvez le bien immobilier qui correspond idéalement à vos désirs sur ImmoScout24 - La plateforme de l'immobilier en Suisse.</v>
      </c>
    </row>
    <row r="4004" hidden="1">
      <c r="A4004" s="5" t="s">
        <v>11110</v>
      </c>
      <c r="B4004" s="2" t="s">
        <v>11111</v>
      </c>
      <c r="C4004" s="2" t="s">
        <v>11111</v>
      </c>
      <c r="D4004" s="4" t="str">
        <f>vlookup(A4004, Sheet2!D:E, 2, 0)</f>
        <v>control</v>
      </c>
      <c r="E4004" s="4" t="str">
        <f>IFERROR(__xludf.DUMMYFUNCTION("if(H4004=""pays"",vlookup(REGEXEXTRACT(C4004, ""🏘️ \w+ \w+ (.*) ✅""),'Country prepositions'!A:B, 2, 0) &amp; "" "" &amp; REGEXEXTRACT(C4004, ""🏘️ \w+ \w+ (.*) ✅"") ,  if(H4004=""quartier"",vlookup(REGEXEXTRACT(C4004, ""🏘️ \w+ \w+ (.*) ✅""),'Quartier prepositio"&amp;"ns'!A:E, 5, 0) ,  if(H4004=""region"",vlookup(REGEXEXTRACT(C4004, ""🏘️ \w+ \w+ (.*) ✅""),'Region prepositions'!B:F, 5, 0),  REGEXEXTRACT(C4004, ""🏘️ \w+ \w+ (.*) ✅""))))"),"#N/A")</f>
        <v>#N/A</v>
      </c>
      <c r="I4004" s="4" t="str">
        <f>IFERROR(__xludf.DUMMYFUNCTION("if(D4004=""variant"",  substitute(filter(Templates!E:E, Templates!A:A = F4004, Templates!B:B = G4004, Templates!C:C = H4004), ""{{}}"", E4004), B4004)"),"Vendre appartement Canton de Zoug: Trouvez le bien immobilier qui correspond idéalement à vos désirs sur ImmoScout24 - La plateforme de l'immobilier en Suisse.")</f>
        <v>Vendre appartement Canton de Zoug: Trouvez le bien immobilier qui correspond idéalement à vos désirs sur ImmoScout24 - La plateforme de l'immobilier en Suisse.</v>
      </c>
    </row>
    <row r="4005" hidden="1">
      <c r="A4005" s="5" t="s">
        <v>11112</v>
      </c>
      <c r="B4005" s="2" t="s">
        <v>11113</v>
      </c>
      <c r="C4005" s="2" t="s">
        <v>11113</v>
      </c>
      <c r="D4005" s="4" t="str">
        <f>vlookup(A4005, Sheet2!D:E, 2, 0)</f>
        <v>control</v>
      </c>
      <c r="E4005" s="4" t="str">
        <f>IFERROR(__xludf.DUMMYFUNCTION("if(H4005=""pays"",vlookup(REGEXEXTRACT(C4005, ""🏘️ \w+ \w+ (.*) ✅""),'Country prepositions'!A:B, 2, 0) &amp; "" "" &amp; REGEXEXTRACT(C4005, ""🏘️ \w+ \w+ (.*) ✅"") ,  if(H4005=""quartier"",vlookup(REGEXEXTRACT(C4005, ""🏘️ \w+ \w+ (.*) ✅""),'Quartier prepositio"&amp;"ns'!A:E, 5, 0) ,  if(H4005=""region"",vlookup(REGEXEXTRACT(C4005, ""🏘️ \w+ \w+ (.*) ✅""),'Region prepositions'!B:F, 5, 0),  REGEXEXTRACT(C4005, ""🏘️ \w+ \w+ (.*) ✅""))))"),"#N/A")</f>
        <v>#N/A</v>
      </c>
      <c r="I4005" s="4" t="str">
        <f>IFERROR(__xludf.DUMMYFUNCTION("if(D4005=""variant"",  substitute(filter(Templates!E:E, Templates!A:A = F4005, Templates!B:B = G4005, Templates!C:C = H4005), ""{{}}"", E4005), B4005)"),"Louer appartement Pringy: Trouvez le bien immobilier qui correspond idéalement à vos désirs sur ImmoScout24 - La plateforme de l'immobilier en Suisse.")</f>
        <v>Louer appartement Pringy: Trouvez le bien immobilier qui correspond idéalement à vos désirs sur ImmoScout24 - La plateforme de l'immobilier en Suisse.</v>
      </c>
    </row>
    <row r="4006" hidden="1">
      <c r="A4006" s="5" t="s">
        <v>11114</v>
      </c>
      <c r="B4006" s="2" t="s">
        <v>11115</v>
      </c>
      <c r="C4006" s="2" t="s">
        <v>11115</v>
      </c>
      <c r="D4006" s="4" t="str">
        <f>vlookup(A4006, Sheet2!D:E, 2, 0)</f>
        <v>control</v>
      </c>
      <c r="E4006" s="4" t="str">
        <f>IFERROR(__xludf.DUMMYFUNCTION("if(H4006=""pays"",vlookup(REGEXEXTRACT(C4006, ""🏘️ \w+ \w+ (.*) ✅""),'Country prepositions'!A:B, 2, 0) &amp; "" "" &amp; REGEXEXTRACT(C4006, ""🏘️ \w+ \w+ (.*) ✅"") ,  if(H4006=""quartier"",vlookup(REGEXEXTRACT(C4006, ""🏘️ \w+ \w+ (.*) ✅""),'Quartier prepositio"&amp;"ns'!A:E, 5, 0) ,  if(H4006=""region"",vlookup(REGEXEXTRACT(C4006, ""🏘️ \w+ \w+ (.*) ✅""),'Region prepositions'!B:F, 5, 0),  REGEXEXTRACT(C4006, ""🏘️ \w+ \w+ (.*) ✅""))))"),"#N/A")</f>
        <v>#N/A</v>
      </c>
      <c r="I4006" s="4" t="str">
        <f>IFERROR(__xludf.DUMMYFUNCTION("if(D4006=""variant"",  substitute(filter(Templates!E:E, Templates!A:A = F4006, Templates!B:B = G4006, Templates!C:C = H4006), ""{{}}"", E4006), B4006)"),"Louer appartement Senèdes: Trouvez le bien immobilier qui correspond idéalement à vos désirs sur ImmoScout24 - La plateforme de l'immobilier en Suisse.")</f>
        <v>Louer appartement Senèdes: Trouvez le bien immobilier qui correspond idéalement à vos désirs sur ImmoScout24 - La plateforme de l'immobilier en Suisse.</v>
      </c>
    </row>
    <row r="4007" hidden="1">
      <c r="A4007" s="5" t="s">
        <v>11116</v>
      </c>
      <c r="B4007" s="2" t="s">
        <v>11117</v>
      </c>
      <c r="C4007" s="2" t="s">
        <v>11117</v>
      </c>
      <c r="D4007" s="4" t="str">
        <f>vlookup(A4007, Sheet2!D:E, 2, 0)</f>
        <v>control</v>
      </c>
      <c r="E4007" s="4" t="str">
        <f>IFERROR(__xludf.DUMMYFUNCTION("if(H4007=""pays"",vlookup(REGEXEXTRACT(C4007, ""🏘️ \w+ \w+ (.*) ✅""),'Country prepositions'!A:B, 2, 0) &amp; "" "" &amp; REGEXEXTRACT(C4007, ""🏘️ \w+ \w+ (.*) ✅"") ,  if(H4007=""quartier"",vlookup(REGEXEXTRACT(C4007, ""🏘️ \w+ \w+ (.*) ✅""),'Quartier prepositio"&amp;"ns'!A:E, 5, 0) ,  if(H4007=""region"",vlookup(REGEXEXTRACT(C4007, ""🏘️ \w+ \w+ (.*) ✅""),'Region prepositions'!B:F, 5, 0),  REGEXEXTRACT(C4007, ""🏘️ \w+ \w+ (.*) ✅""))))"),"#N/A")</f>
        <v>#N/A</v>
      </c>
      <c r="I4007" s="4" t="str">
        <f>IFERROR(__xludf.DUMMYFUNCTION("if(D4007=""variant"",  substitute(filter(Templates!E:E, Templates!A:A = F4007, Templates!B:B = G4007, Templates!C:C = H4007), ""{{}}"", E4007), B4007)"),"Vendre appartement Bilten: Trouvez le bien immobilier qui correspond idéalement à vos désirs sur ImmoScout24 - La plateforme de l'immobilier en Suisse.")</f>
        <v>Vendre appartement Bilten: Trouvez le bien immobilier qui correspond idéalement à vos désirs sur ImmoScout24 - La plateforme de l'immobilier en Suisse.</v>
      </c>
    </row>
    <row r="4008" hidden="1">
      <c r="A4008" s="5" t="s">
        <v>11118</v>
      </c>
      <c r="B4008" s="2" t="s">
        <v>11119</v>
      </c>
      <c r="C4008" s="2" t="s">
        <v>11119</v>
      </c>
      <c r="D4008" s="4" t="str">
        <f>vlookup(A4008, Sheet2!D:E, 2, 0)</f>
        <v>control</v>
      </c>
      <c r="E4008" s="4" t="str">
        <f>IFERROR(__xludf.DUMMYFUNCTION("if(H4008=""pays"",vlookup(REGEXEXTRACT(C4008, ""🏘️ \w+ \w+ (.*) ✅""),'Country prepositions'!A:B, 2, 0) &amp; "" "" &amp; REGEXEXTRACT(C4008, ""🏘️ \w+ \w+ (.*) ✅"") ,  if(H4008=""quartier"",vlookup(REGEXEXTRACT(C4008, ""🏘️ \w+ \w+ (.*) ✅""),'Quartier prepositio"&amp;"ns'!A:E, 5, 0) ,  if(H4008=""region"",vlookup(REGEXEXTRACT(C4008, ""🏘️ \w+ \w+ (.*) ✅""),'Region prepositions'!B:F, 5, 0),  REGEXEXTRACT(C4008, ""🏘️ \w+ \w+ (.*) ✅""))))"),"#N/A")</f>
        <v>#N/A</v>
      </c>
      <c r="I4008" s="4" t="str">
        <f>IFERROR(__xludf.DUMMYFUNCTION("if(D4008=""variant"",  substitute(filter(Templates!E:E, Templates!A:A = F4008, Templates!B:B = G4008, Templates!C:C = H4008), ""{{}}"", E4008), B4008)"),"Vendre maison Orselina: Trouvez le bien immobilier qui correspond idéalement à vos désirs sur ImmoScout24 - La plateforme de l'immobilier en Suisse.")</f>
        <v>Vendre maison Orselina: Trouvez le bien immobilier qui correspond idéalement à vos désirs sur ImmoScout24 - La plateforme de l'immobilier en Suisse.</v>
      </c>
    </row>
    <row r="4009" hidden="1">
      <c r="A4009" s="5" t="s">
        <v>11120</v>
      </c>
      <c r="B4009" s="2" t="s">
        <v>11121</v>
      </c>
      <c r="C4009" s="2" t="s">
        <v>11121</v>
      </c>
      <c r="D4009" s="4" t="str">
        <f>vlookup(A4009, Sheet2!D:E, 2, 0)</f>
        <v>control</v>
      </c>
      <c r="E4009" s="4" t="str">
        <f>IFERROR(__xludf.DUMMYFUNCTION("if(H4009=""pays"",vlookup(REGEXEXTRACT(C4009, ""🏘️ \w+ \w+ (.*) ✅""),'Country prepositions'!A:B, 2, 0) &amp; "" "" &amp; REGEXEXTRACT(C4009, ""🏘️ \w+ \w+ (.*) ✅"") ,  if(H4009=""quartier"",vlookup(REGEXEXTRACT(C4009, ""🏘️ \w+ \w+ (.*) ✅""),'Quartier prepositio"&amp;"ns'!A:E, 5, 0) ,  if(H4009=""region"",vlookup(REGEXEXTRACT(C4009, ""🏘️ \w+ \w+ (.*) ✅""),'Region prepositions'!B:F, 5, 0),  REGEXEXTRACT(C4009, ""🏘️ \w+ \w+ (.*) ✅""))))"),"#N/A")</f>
        <v>#N/A</v>
      </c>
      <c r="I4009" s="4" t="str">
        <f>IFERROR(__xludf.DUMMYFUNCTION("if(D4009=""variant"",  substitute(filter(Templates!E:E, Templates!A:A = F4009, Templates!B:B = G4009, Templates!C:C = H4009), ""{{}}"", E4009), B4009)"),"Vendre maison Dully: Trouvez le bien immobilier qui correspond idéalement à vos désirs sur ImmoScout24 - La plateforme de l'immobilier en Suisse.")</f>
        <v>Vendre maison Dully: Trouvez le bien immobilier qui correspond idéalement à vos désirs sur ImmoScout24 - La plateforme de l'immobilier en Suisse.</v>
      </c>
    </row>
    <row r="4010" hidden="1">
      <c r="A4010" s="5" t="s">
        <v>11122</v>
      </c>
      <c r="B4010" s="2" t="s">
        <v>11123</v>
      </c>
      <c r="C4010" s="2" t="s">
        <v>11123</v>
      </c>
      <c r="D4010" s="4" t="str">
        <f>vlookup(A4010, Sheet2!D:E, 2, 0)</f>
        <v>control</v>
      </c>
      <c r="E4010" s="4" t="str">
        <f>IFERROR(__xludf.DUMMYFUNCTION("if(H4010=""pays"",vlookup(REGEXEXTRACT(C4010, ""🏘️ \w+ \w+ (.*) ✅""),'Country prepositions'!A:B, 2, 0) &amp; "" "" &amp; REGEXEXTRACT(C4010, ""🏘️ \w+ \w+ (.*) ✅"") ,  if(H4010=""quartier"",vlookup(REGEXEXTRACT(C4010, ""🏘️ \w+ \w+ (.*) ✅""),'Quartier prepositio"&amp;"ns'!A:E, 5, 0) ,  if(H4010=""region"",vlookup(REGEXEXTRACT(C4010, ""🏘️ \w+ \w+ (.*) ✅""),'Region prepositions'!B:F, 5, 0),  REGEXEXTRACT(C4010, ""🏘️ \w+ \w+ (.*) ✅""))))"),"#N/A")</f>
        <v>#N/A</v>
      </c>
      <c r="I4010" s="4" t="str">
        <f>IFERROR(__xludf.DUMMYFUNCTION("if(D4010=""variant"",  substitute(filter(Templates!E:E, Templates!A:A = F4010, Templates!B:B = G4010, Templates!C:C = H4010), ""{{}}"", E4010), B4010)"),"Louer appartement Romanel-sur-Morges: Trouvez le bien immobilier qui correspond idéalement à vos désirs sur ImmoScout24 - La plateforme de l'immobilier en Suisse.")</f>
        <v>Louer appartement Romanel-sur-Morges: Trouvez le bien immobilier qui correspond idéalement à vos désirs sur ImmoScout24 - La plateforme de l'immobilier en Suisse.</v>
      </c>
    </row>
    <row r="4011" hidden="1">
      <c r="A4011" s="5" t="s">
        <v>11124</v>
      </c>
      <c r="B4011" s="2" t="s">
        <v>11125</v>
      </c>
      <c r="C4011" s="2" t="s">
        <v>11125</v>
      </c>
      <c r="D4011" s="4" t="str">
        <f>vlookup(A4011, Sheet2!D:E, 2, 0)</f>
        <v>control</v>
      </c>
      <c r="E4011" s="4" t="str">
        <f>IFERROR(__xludf.DUMMYFUNCTION("if(H4011=""pays"",vlookup(REGEXEXTRACT(C4011, ""🏘️ \w+ \w+ (.*) ✅""),'Country prepositions'!A:B, 2, 0) &amp; "" "" &amp; REGEXEXTRACT(C4011, ""🏘️ \w+ \w+ (.*) ✅"") ,  if(H4011=""quartier"",vlookup(REGEXEXTRACT(C4011, ""🏘️ \w+ \w+ (.*) ✅""),'Quartier prepositio"&amp;"ns'!A:E, 5, 0) ,  if(H4011=""region"",vlookup(REGEXEXTRACT(C4011, ""🏘️ \w+ \w+ (.*) ✅""),'Region prepositions'!B:F, 5, 0),  REGEXEXTRACT(C4011, ""🏘️ \w+ \w+ (.*) ✅""))))"),"#N/A")</f>
        <v>#N/A</v>
      </c>
      <c r="I4011" s="4" t="str">
        <f>IFERROR(__xludf.DUMMYFUNCTION("if(D4011=""variant"",  substitute(filter(Templates!E:E, Templates!A:A = F4011, Templates!B:B = G4011, Templates!C:C = H4011), ""{{}}"", E4011), B4011)"),"Louer appartement La Verrerie: Trouvez le bien immobilier qui correspond idéalement à vos désirs sur ImmoScout24 - La plateforme de l'immobilier en Suisse.")</f>
        <v>Louer appartement La Verrerie: Trouvez le bien immobilier qui correspond idéalement à vos désirs sur ImmoScout24 - La plateforme de l'immobilier en Suisse.</v>
      </c>
    </row>
    <row r="4012" hidden="1">
      <c r="A4012" s="5" t="s">
        <v>11126</v>
      </c>
      <c r="B4012" s="2" t="s">
        <v>11127</v>
      </c>
      <c r="C4012" s="2" t="s">
        <v>11127</v>
      </c>
      <c r="D4012" s="4" t="str">
        <f>vlookup(A4012, Sheet2!D:E, 2, 0)</f>
        <v>control</v>
      </c>
      <c r="E4012" s="4" t="str">
        <f>IFERROR(__xludf.DUMMYFUNCTION("if(H4012=""pays"",vlookup(REGEXEXTRACT(C4012, ""🏘️ \w+ \w+ (.*) ✅""),'Country prepositions'!A:B, 2, 0) &amp; "" "" &amp; REGEXEXTRACT(C4012, ""🏘️ \w+ \w+ (.*) ✅"") ,  if(H4012=""quartier"",vlookup(REGEXEXTRACT(C4012, ""🏘️ \w+ \w+ (.*) ✅""),'Quartier prepositio"&amp;"ns'!A:E, 5, 0) ,  if(H4012=""region"",vlookup(REGEXEXTRACT(C4012, ""🏘️ \w+ \w+ (.*) ✅""),'Region prepositions'!B:F, 5, 0),  REGEXEXTRACT(C4012, ""🏘️ \w+ \w+ (.*) ✅""))))"),"#N/A")</f>
        <v>#N/A</v>
      </c>
      <c r="I4012" s="4" t="str">
        <f>IFERROR(__xludf.DUMMYFUNCTION("if(D4012=""variant"",  substitute(filter(Templates!E:E, Templates!A:A = F4012, Templates!B:B = G4012, Templates!C:C = H4012), ""{{}}"", E4012), B4012)"),"Louer appartement Weisses Quartier (Berne): Trouvez le bien immobilier qui correspond idéalement à vos désirs sur ImmoScout24 - La plateforme de l'immobilier en Suisse.")</f>
        <v>Louer appartement Weisses Quartier (Berne): Trouvez le bien immobilier qui correspond idéalement à vos désirs sur ImmoScout24 - La plateforme de l'immobilier en Suisse.</v>
      </c>
    </row>
    <row r="4013" hidden="1">
      <c r="A4013" s="5" t="s">
        <v>11128</v>
      </c>
      <c r="B4013" s="2" t="s">
        <v>11129</v>
      </c>
      <c r="C4013" s="2" t="s">
        <v>11129</v>
      </c>
      <c r="D4013" s="4" t="str">
        <f>vlookup(A4013, Sheet2!D:E, 2, 0)</f>
        <v>control</v>
      </c>
      <c r="E4013" s="4" t="str">
        <f>IFERROR(__xludf.DUMMYFUNCTION("if(H4013=""pays"",vlookup(REGEXEXTRACT(C4013, ""🏘️ \w+ \w+ (.*) ✅""),'Country prepositions'!A:B, 2, 0) &amp; "" "" &amp; REGEXEXTRACT(C4013, ""🏘️ \w+ \w+ (.*) ✅"") ,  if(H4013=""quartier"",vlookup(REGEXEXTRACT(C4013, ""🏘️ \w+ \w+ (.*) ✅""),'Quartier prepositio"&amp;"ns'!A:E, 5, 0) ,  if(H4013=""region"",vlookup(REGEXEXTRACT(C4013, ""🏘️ \w+ \w+ (.*) ✅""),'Region prepositions'!B:F, 5, 0),  REGEXEXTRACT(C4013, ""🏘️ \w+ \w+ (.*) ✅""))))"),"#N/A")</f>
        <v>#N/A</v>
      </c>
      <c r="I4013" s="4" t="str">
        <f>IFERROR(__xludf.DUMMYFUNCTION("if(D4013=""variant"",  substitute(filter(Templates!E:E, Templates!A:A = F4013, Templates!B:B = G4013, Templates!C:C = H4013), ""{{}}"", E4013), B4013)"),"Vendre maison Indemini: Trouvez le bien immobilier qui correspond idéalement à vos désirs sur ImmoScout24 - La plateforme de l'immobilier en Suisse.")</f>
        <v>Vendre maison Indemini: Trouvez le bien immobilier qui correspond idéalement à vos désirs sur ImmoScout24 - La plateforme de l'immobilier en Suisse.</v>
      </c>
    </row>
    <row r="4014" hidden="1">
      <c r="A4014" s="5" t="s">
        <v>11130</v>
      </c>
      <c r="B4014" s="2" t="s">
        <v>11131</v>
      </c>
      <c r="C4014" s="2" t="s">
        <v>11131</v>
      </c>
      <c r="D4014" s="4" t="str">
        <f>vlookup(A4014, Sheet2!D:E, 2, 0)</f>
        <v>control</v>
      </c>
      <c r="E4014" s="4" t="str">
        <f>IFERROR(__xludf.DUMMYFUNCTION("if(H4014=""pays"",vlookup(REGEXEXTRACT(C4014, ""🏘️ \w+ \w+ (.*) ✅""),'Country prepositions'!A:B, 2, 0) &amp; "" "" &amp; REGEXEXTRACT(C4014, ""🏘️ \w+ \w+ (.*) ✅"") ,  if(H4014=""quartier"",vlookup(REGEXEXTRACT(C4014, ""🏘️ \w+ \w+ (.*) ✅""),'Quartier prepositio"&amp;"ns'!A:E, 5, 0) ,  if(H4014=""region"",vlookup(REGEXEXTRACT(C4014, ""🏘️ \w+ \w+ (.*) ✅""),'Region prepositions'!B:F, 5, 0),  REGEXEXTRACT(C4014, ""🏘️ \w+ \w+ (.*) ✅""))))"),"#N/A")</f>
        <v>#N/A</v>
      </c>
      <c r="I4014" s="4" t="str">
        <f>IFERROR(__xludf.DUMMYFUNCTION("if(D4014=""variant"",  substitute(filter(Templates!E:E, Templates!A:A = F4014, Templates!B:B = G4014, Templates!C:C = H4014), ""{{}}"", E4014), B4014)"),"Louer appartement Erlach: Trouvez le bien immobilier qui correspond idéalement à vos désirs sur ImmoScout24 - La plateforme de l'immobilier en Suisse.")</f>
        <v>Louer appartement Erlach: Trouvez le bien immobilier qui correspond idéalement à vos désirs sur ImmoScout24 - La plateforme de l'immobilier en Suisse.</v>
      </c>
    </row>
    <row r="4015" hidden="1">
      <c r="A4015" s="5" t="s">
        <v>11132</v>
      </c>
      <c r="B4015" s="2" t="s">
        <v>11133</v>
      </c>
      <c r="C4015" s="2" t="s">
        <v>11133</v>
      </c>
      <c r="D4015" s="4" t="str">
        <f>vlookup(A4015, Sheet2!D:E, 2, 0)</f>
        <v>control</v>
      </c>
      <c r="E4015" s="4" t="str">
        <f>IFERROR(__xludf.DUMMYFUNCTION("if(H4015=""pays"",vlookup(REGEXEXTRACT(C4015, ""🏘️ \w+ \w+ (.*) ✅""),'Country prepositions'!A:B, 2, 0) &amp; "" "" &amp; REGEXEXTRACT(C4015, ""🏘️ \w+ \w+ (.*) ✅"") ,  if(H4015=""quartier"",vlookup(REGEXEXTRACT(C4015, ""🏘️ \w+ \w+ (.*) ✅""),'Quartier prepositio"&amp;"ns'!A:E, 5, 0) ,  if(H4015=""region"",vlookup(REGEXEXTRACT(C4015, ""🏘️ \w+ \w+ (.*) ✅""),'Region prepositions'!B:F, 5, 0),  REGEXEXTRACT(C4015, ""🏘️ \w+ \w+ (.*) ✅""))))"),"#N/A")</f>
        <v>#N/A</v>
      </c>
      <c r="I4015" s="4" t="str">
        <f>IFERROR(__xludf.DUMMYFUNCTION("if(D4015=""variant"",  substitute(filter(Templates!E:E, Templates!A:A = F4015, Templates!B:B = G4015, Templates!C:C = H4015), ""{{}}"", E4015), B4015)"),"Vendre appartement Biel-Benken BL: Trouvez le bien immobilier qui correspond idéalement à vos désirs sur ImmoScout24 - La plateforme de l'immobilier en Suisse.")</f>
        <v>Vendre appartement Biel-Benken BL: Trouvez le bien immobilier qui correspond idéalement à vos désirs sur ImmoScout24 - La plateforme de l'immobilier en Suisse.</v>
      </c>
    </row>
    <row r="4016" hidden="1">
      <c r="A4016" s="5" t="s">
        <v>11134</v>
      </c>
      <c r="B4016" s="2" t="s">
        <v>11135</v>
      </c>
      <c r="C4016" s="2" t="s">
        <v>11135</v>
      </c>
      <c r="D4016" s="4" t="str">
        <f>vlookup(A4016, Sheet2!D:E, 2, 0)</f>
        <v>control</v>
      </c>
      <c r="E4016" s="4" t="str">
        <f>IFERROR(__xludf.DUMMYFUNCTION("if(H4016=""pays"",vlookup(REGEXEXTRACT(C4016, ""🏘️ \w+ \w+ (.*) ✅""),'Country prepositions'!A:B, 2, 0) &amp; "" "" &amp; REGEXEXTRACT(C4016, ""🏘️ \w+ \w+ (.*) ✅"") ,  if(H4016=""quartier"",vlookup(REGEXEXTRACT(C4016, ""🏘️ \w+ \w+ (.*) ✅""),'Quartier prepositio"&amp;"ns'!A:E, 5, 0) ,  if(H4016=""region"",vlookup(REGEXEXTRACT(C4016, ""🏘️ \w+ \w+ (.*) ✅""),'Region prepositions'!B:F, 5, 0),  REGEXEXTRACT(C4016, ""🏘️ \w+ \w+ (.*) ✅""))))"),"#N/A")</f>
        <v>#N/A</v>
      </c>
      <c r="I4016" s="4" t="str">
        <f>IFERROR(__xludf.DUMMYFUNCTION("if(D4016=""variant"",  substitute(filter(Templates!E:E, Templates!A:A = F4016, Templates!B:B = G4016, Templates!C:C = H4016), ""{{}}"", E4016), B4016)"),"Louer appartement Etzelkofen: Trouvez le bien immobilier qui correspond idéalement à vos désirs sur ImmoScout24 - La plateforme de l'immobilier en Suisse.")</f>
        <v>Louer appartement Etzelkofen: Trouvez le bien immobilier qui correspond idéalement à vos désirs sur ImmoScout24 - La plateforme de l'immobilier en Suisse.</v>
      </c>
    </row>
    <row r="4017" hidden="1">
      <c r="A4017" s="5" t="s">
        <v>11136</v>
      </c>
      <c r="B4017" s="2" t="s">
        <v>11137</v>
      </c>
      <c r="C4017" s="2" t="s">
        <v>11137</v>
      </c>
      <c r="D4017" s="4" t="str">
        <f>vlookup(A4017, Sheet2!D:E, 2, 0)</f>
        <v>control</v>
      </c>
      <c r="E4017" s="4" t="str">
        <f>IFERROR(__xludf.DUMMYFUNCTION("if(H4017=""pays"",vlookup(REGEXEXTRACT(C4017, ""🏘️ \w+ \w+ (.*) ✅""),'Country prepositions'!A:B, 2, 0) &amp; "" "" &amp; REGEXEXTRACT(C4017, ""🏘️ \w+ \w+ (.*) ✅"") ,  if(H4017=""quartier"",vlookup(REGEXEXTRACT(C4017, ""🏘️ \w+ \w+ (.*) ✅""),'Quartier prepositio"&amp;"ns'!A:E, 5, 0) ,  if(H4017=""region"",vlookup(REGEXEXTRACT(C4017, ""🏘️ \w+ \w+ (.*) ✅""),'Region prepositions'!B:F, 5, 0),  REGEXEXTRACT(C4017, ""🏘️ \w+ \w+ (.*) ✅""))))"),"#N/A")</f>
        <v>#N/A</v>
      </c>
      <c r="I4017" s="4" t="str">
        <f>IFERROR(__xludf.DUMMYFUNCTION("if(D4017=""variant"",  substitute(filter(Templates!E:E, Templates!A:A = F4017, Templates!B:B = G4017, Templates!C:C = H4017), ""{{}}"", E4017), B4017)"),"Louer appartement Paradiso: Trouvez le bien immobilier qui correspond idéalement à vos désirs sur ImmoScout24 - La plateforme de l'immobilier en Suisse.")</f>
        <v>Louer appartement Paradiso: Trouvez le bien immobilier qui correspond idéalement à vos désirs sur ImmoScout24 - La plateforme de l'immobilier en Suisse.</v>
      </c>
    </row>
    <row r="4018" hidden="1">
      <c r="A4018" s="5" t="s">
        <v>11138</v>
      </c>
      <c r="B4018" s="2" t="s">
        <v>11139</v>
      </c>
      <c r="C4018" s="2" t="s">
        <v>11139</v>
      </c>
      <c r="D4018" s="4" t="str">
        <f>vlookup(A4018, Sheet2!D:E, 2, 0)</f>
        <v>control</v>
      </c>
      <c r="E4018" s="4" t="str">
        <f>IFERROR(__xludf.DUMMYFUNCTION("if(H4018=""pays"",vlookup(REGEXEXTRACT(C4018, ""🏘️ \w+ \w+ (.*) ✅""),'Country prepositions'!A:B, 2, 0) &amp; "" "" &amp; REGEXEXTRACT(C4018, ""🏘️ \w+ \w+ (.*) ✅"") ,  if(H4018=""quartier"",vlookup(REGEXEXTRACT(C4018, ""🏘️ \w+ \w+ (.*) ✅""),'Quartier prepositio"&amp;"ns'!A:E, 5, 0) ,  if(H4018=""region"",vlookup(REGEXEXTRACT(C4018, ""🏘️ \w+ \w+ (.*) ✅""),'Region prepositions'!B:F, 5, 0),  REGEXEXTRACT(C4018, ""🏘️ \w+ \w+ (.*) ✅""))))"),"#N/A")</f>
        <v>#N/A</v>
      </c>
      <c r="I4018" s="4" t="str">
        <f>IFERROR(__xludf.DUMMYFUNCTION("if(D4018=""variant"",  substitute(filter(Templates!E:E, Templates!A:A = F4018, Templates!B:B = G4018, Templates!C:C = H4018), ""{{}}"", E4018), B4018)"),"Vendre maison Avry-sur-Matran: Trouvez le bien immobilier qui correspond idéalement à vos désirs sur ImmoScout24 - La plateforme de l'immobilier en Suisse.")</f>
        <v>Vendre maison Avry-sur-Matran: Trouvez le bien immobilier qui correspond idéalement à vos désirs sur ImmoScout24 - La plateforme de l'immobilier en Suisse.</v>
      </c>
    </row>
    <row r="4019" hidden="1">
      <c r="A4019" s="5" t="s">
        <v>11140</v>
      </c>
      <c r="B4019" s="2" t="s">
        <v>11141</v>
      </c>
      <c r="C4019" s="2" t="s">
        <v>11141</v>
      </c>
      <c r="D4019" s="4" t="str">
        <f>vlookup(A4019, Sheet2!D:E, 2, 0)</f>
        <v>control</v>
      </c>
      <c r="E4019" s="4" t="str">
        <f>IFERROR(__xludf.DUMMYFUNCTION("if(H4019=""pays"",vlookup(REGEXEXTRACT(C4019, ""🏘️ \w+ \w+ (.*) ✅""),'Country prepositions'!A:B, 2, 0) &amp; "" "" &amp; REGEXEXTRACT(C4019, ""🏘️ \w+ \w+ (.*) ✅"") ,  if(H4019=""quartier"",vlookup(REGEXEXTRACT(C4019, ""🏘️ \w+ \w+ (.*) ✅""),'Quartier prepositio"&amp;"ns'!A:E, 5, 0) ,  if(H4019=""region"",vlookup(REGEXEXTRACT(C4019, ""🏘️ \w+ \w+ (.*) ✅""),'Region prepositions'!B:F, 5, 0),  REGEXEXTRACT(C4019, ""🏘️ \w+ \w+ (.*) ✅""))))"),"#N/A")</f>
        <v>#N/A</v>
      </c>
      <c r="I4019" s="4" t="str">
        <f>IFERROR(__xludf.DUMMYFUNCTION("if(D4019=""variant"",  substitute(filter(Templates!E:E, Templates!A:A = F4019, Templates!B:B = G4019, Templates!C:C = H4019), ""{{}}"", E4019), B4019)"),"Louer maison Herisau: Trouvez le bien immobilier qui correspond idéalement à vos désirs sur ImmoScout24 - La plateforme de l'immobilier en Suisse.")</f>
        <v>Louer maison Herisau: Trouvez le bien immobilier qui correspond idéalement à vos désirs sur ImmoScout24 - La plateforme de l'immobilier en Suisse.</v>
      </c>
    </row>
    <row r="4020" hidden="1">
      <c r="A4020" s="5" t="s">
        <v>11142</v>
      </c>
      <c r="B4020" s="2" t="s">
        <v>11143</v>
      </c>
      <c r="C4020" s="2" t="s">
        <v>11143</v>
      </c>
      <c r="D4020" s="4" t="str">
        <f>vlookup(A4020, Sheet2!D:E, 2, 0)</f>
        <v>control</v>
      </c>
      <c r="E4020" s="4" t="str">
        <f>IFERROR(__xludf.DUMMYFUNCTION("if(H4020=""pays"",vlookup(REGEXEXTRACT(C4020, ""🏘️ \w+ \w+ (.*) ✅""),'Country prepositions'!A:B, 2, 0) &amp; "" "" &amp; REGEXEXTRACT(C4020, ""🏘️ \w+ \w+ (.*) ✅"") ,  if(H4020=""quartier"",vlookup(REGEXEXTRACT(C4020, ""🏘️ \w+ \w+ (.*) ✅""),'Quartier prepositio"&amp;"ns'!A:E, 5, 0) ,  if(H4020=""region"",vlookup(REGEXEXTRACT(C4020, ""🏘️ \w+ \w+ (.*) ✅""),'Region prepositions'!B:F, 5, 0),  REGEXEXTRACT(C4020, ""🏘️ \w+ \w+ (.*) ✅""))))"),"#N/A")</f>
        <v>#N/A</v>
      </c>
      <c r="I4020" s="4" t="str">
        <f>IFERROR(__xludf.DUMMYFUNCTION("if(D4020=""variant"",  substitute(filter(Templates!E:E, Templates!A:A = F4020, Templates!B:B = G4020, Templates!C:C = H4020), ""{{}}"", E4020), B4020)"),"Louer appartement Pierre-à-Bot - Acacias (Neuchâtel): Trouvez le bien immobilier qui correspond idéalement à vos désirs sur ImmoScout24 - La plateforme de l'immobilier en Suisse.")</f>
        <v>Louer appartement Pierre-à-Bot - Acacias (Neuchâtel): Trouvez le bien immobilier qui correspond idéalement à vos désirs sur ImmoScout24 - La plateforme de l'immobilier en Suisse.</v>
      </c>
    </row>
    <row r="4021" hidden="1">
      <c r="A4021" s="5" t="s">
        <v>11144</v>
      </c>
      <c r="B4021" s="2" t="s">
        <v>11145</v>
      </c>
      <c r="C4021" s="2" t="s">
        <v>11145</v>
      </c>
      <c r="D4021" s="4" t="str">
        <f>vlookup(A4021, Sheet2!D:E, 2, 0)</f>
        <v>control</v>
      </c>
      <c r="E4021" s="4" t="str">
        <f>IFERROR(__xludf.DUMMYFUNCTION("if(H4021=""pays"",vlookup(REGEXEXTRACT(C4021, ""🏘️ \w+ \w+ (.*) ✅""),'Country prepositions'!A:B, 2, 0) &amp; "" "" &amp; REGEXEXTRACT(C4021, ""🏘️ \w+ \w+ (.*) ✅"") ,  if(H4021=""quartier"",vlookup(REGEXEXTRACT(C4021, ""🏘️ \w+ \w+ (.*) ✅""),'Quartier prepositio"&amp;"ns'!A:E, 5, 0) ,  if(H4021=""region"",vlookup(REGEXEXTRACT(C4021, ""🏘️ \w+ \w+ (.*) ✅""),'Region prepositions'!B:F, 5, 0),  REGEXEXTRACT(C4021, ""🏘️ \w+ \w+ (.*) ✅""))))"),"#N/A")</f>
        <v>#N/A</v>
      </c>
      <c r="I4021" s="4" t="str">
        <f>IFERROR(__xludf.DUMMYFUNCTION("if(D4021=""variant"",  substitute(filter(Templates!E:E, Templates!A:A = F4021, Templates!B:B = G4021, Templates!C:C = H4021), ""{{}}"", E4021), B4021)"),"Vendre maison Echallens: Trouvez le bien immobilier qui correspond idéalement à vos désirs sur ImmoScout24 - La plateforme de l'immobilier en Suisse.")</f>
        <v>Vendre maison Echallens: Trouvez le bien immobilier qui correspond idéalement à vos désirs sur ImmoScout24 - La plateforme de l'immobilier en Suisse.</v>
      </c>
    </row>
    <row r="4022" hidden="1">
      <c r="A4022" s="5" t="s">
        <v>11146</v>
      </c>
      <c r="B4022" s="2" t="s">
        <v>11147</v>
      </c>
      <c r="C4022" s="2" t="s">
        <v>11147</v>
      </c>
      <c r="D4022" s="4" t="str">
        <f>vlookup(A4022, Sheet2!D:E, 2, 0)</f>
        <v>control</v>
      </c>
      <c r="E4022" s="4" t="str">
        <f>IFERROR(__xludf.DUMMYFUNCTION("if(H4022=""pays"",vlookup(REGEXEXTRACT(C4022, ""🏘️ \w+ \w+ (.*) ✅""),'Country prepositions'!A:B, 2, 0) &amp; "" "" &amp; REGEXEXTRACT(C4022, ""🏘️ \w+ \w+ (.*) ✅"") ,  if(H4022=""quartier"",vlookup(REGEXEXTRACT(C4022, ""🏘️ \w+ \w+ (.*) ✅""),'Quartier prepositio"&amp;"ns'!A:E, 5, 0) ,  if(H4022=""region"",vlookup(REGEXEXTRACT(C4022, ""🏘️ \w+ \w+ (.*) ✅""),'Region prepositions'!B:F, 5, 0),  REGEXEXTRACT(C4022, ""🏘️ \w+ \w+ (.*) ✅""))))"),"#N/A")</f>
        <v>#N/A</v>
      </c>
      <c r="I4022" s="4" t="str">
        <f>IFERROR(__xludf.DUMMYFUNCTION("if(D4022=""variant"",  substitute(filter(Templates!E:E, Templates!A:A = F4022, Templates!B:B = G4022, Templates!C:C = H4022), ""{{}}"", E4022), B4022)"),"Vendre maison Zürcher Unterland: Trouvez le bien immobilier qui correspond idéalement à vos désirs sur ImmoScout24 - La plateforme de l'immobilier en Suisse.")</f>
        <v>Vendre maison Zürcher Unterland: Trouvez le bien immobilier qui correspond idéalement à vos désirs sur ImmoScout24 - La plateforme de l'immobilier en Suisse.</v>
      </c>
    </row>
    <row r="4023" hidden="1">
      <c r="A4023" s="5" t="s">
        <v>11148</v>
      </c>
      <c r="B4023" s="2" t="s">
        <v>11149</v>
      </c>
      <c r="C4023" s="2" t="s">
        <v>11149</v>
      </c>
      <c r="D4023" s="4" t="str">
        <f>vlookup(A4023, Sheet2!D:E, 2, 0)</f>
        <v>control</v>
      </c>
      <c r="E4023" s="4" t="str">
        <f>IFERROR(__xludf.DUMMYFUNCTION("if(H4023=""pays"",vlookup(REGEXEXTRACT(C4023, ""🏘️ \w+ \w+ (.*) ✅""),'Country prepositions'!A:B, 2, 0) &amp; "" "" &amp; REGEXEXTRACT(C4023, ""🏘️ \w+ \w+ (.*) ✅"") ,  if(H4023=""quartier"",vlookup(REGEXEXTRACT(C4023, ""🏘️ \w+ \w+ (.*) ✅""),'Quartier prepositio"&amp;"ns'!A:E, 5, 0) ,  if(H4023=""region"",vlookup(REGEXEXTRACT(C4023, ""🏘️ \w+ \w+ (.*) ✅""),'Region prepositions'!B:F, 5, 0),  REGEXEXTRACT(C4023, ""🏘️ \w+ \w+ (.*) ✅""))))"),"#N/A")</f>
        <v>#N/A</v>
      </c>
      <c r="I4023" s="4" t="str">
        <f>IFERROR(__xludf.DUMMYFUNCTION("if(D4023=""variant"",  substitute(filter(Templates!E:E, Templates!A:A = F4023, Templates!B:B = G4023, Templates!C:C = H4023), ""{{}}"", E4023), B4023)"),"Louer appartement Dotzigen: Trouvez le bien immobilier qui correspond idéalement à vos désirs sur ImmoScout24 - La plateforme de l'immobilier en Suisse.")</f>
        <v>Louer appartement Dotzigen: Trouvez le bien immobilier qui correspond idéalement à vos désirs sur ImmoScout24 - La plateforme de l'immobilier en Suisse.</v>
      </c>
    </row>
    <row r="4024" hidden="1">
      <c r="A4024" s="5" t="s">
        <v>11150</v>
      </c>
      <c r="B4024" s="2" t="s">
        <v>11151</v>
      </c>
      <c r="C4024" s="2" t="s">
        <v>11151</v>
      </c>
      <c r="D4024" s="4" t="str">
        <f>vlookup(A4024, Sheet2!D:E, 2, 0)</f>
        <v>control</v>
      </c>
      <c r="E4024" s="4" t="str">
        <f>IFERROR(__xludf.DUMMYFUNCTION("if(H4024=""pays"",vlookup(REGEXEXTRACT(C4024, ""🏘️ \w+ \w+ (.*) ✅""),'Country prepositions'!A:B, 2, 0) &amp; "" "" &amp; REGEXEXTRACT(C4024, ""🏘️ \w+ \w+ (.*) ✅"") ,  if(H4024=""quartier"",vlookup(REGEXEXTRACT(C4024, ""🏘️ \w+ \w+ (.*) ✅""),'Quartier prepositio"&amp;"ns'!A:E, 5, 0) ,  if(H4024=""region"",vlookup(REGEXEXTRACT(C4024, ""🏘️ \w+ \w+ (.*) ✅""),'Region prepositions'!B:F, 5, 0),  REGEXEXTRACT(C4024, ""🏘️ \w+ \w+ (.*) ✅""))))"),"#N/A")</f>
        <v>#N/A</v>
      </c>
      <c r="I4024" s="4" t="str">
        <f>IFERROR(__xludf.DUMMYFUNCTION("if(D4024=""variant"",  substitute(filter(Templates!E:E, Templates!A:A = F4024, Templates!B:B = G4024, Templates!C:C = H4024), ""{{}}"", E4024), B4024)"),"Vendre maison Evolène: Trouvez le bien immobilier qui correspond idéalement à vos désirs sur ImmoScout24 - La plateforme de l'immobilier en Suisse.")</f>
        <v>Vendre maison Evolène: Trouvez le bien immobilier qui correspond idéalement à vos désirs sur ImmoScout24 - La plateforme de l'immobilier en Suisse.</v>
      </c>
    </row>
    <row r="4025" hidden="1">
      <c r="A4025" s="5" t="s">
        <v>11152</v>
      </c>
      <c r="B4025" s="2" t="s">
        <v>11153</v>
      </c>
      <c r="C4025" s="2" t="s">
        <v>11153</v>
      </c>
      <c r="D4025" s="4" t="str">
        <f>vlookup(A4025, Sheet2!D:E, 2, 0)</f>
        <v>control</v>
      </c>
      <c r="E4025" s="4" t="str">
        <f>IFERROR(__xludf.DUMMYFUNCTION("if(H4025=""pays"",vlookup(REGEXEXTRACT(C4025, ""🏘️ \w+ \w+ (.*) ✅""),'Country prepositions'!A:B, 2, 0) &amp; "" "" &amp; REGEXEXTRACT(C4025, ""🏘️ \w+ \w+ (.*) ✅"") ,  if(H4025=""quartier"",vlookup(REGEXEXTRACT(C4025, ""🏘️ \w+ \w+ (.*) ✅""),'Quartier prepositio"&amp;"ns'!A:E, 5, 0) ,  if(H4025=""region"",vlookup(REGEXEXTRACT(C4025, ""🏘️ \w+ \w+ (.*) ✅""),'Region prepositions'!B:F, 5, 0),  REGEXEXTRACT(C4025, ""🏘️ \w+ \w+ (.*) ✅""))))"),"#N/A")</f>
        <v>#N/A</v>
      </c>
      <c r="I4025" s="4" t="str">
        <f>IFERROR(__xludf.DUMMYFUNCTION("if(D4025=""variant"",  substitute(filter(Templates!E:E, Templates!A:A = F4025, Templates!B:B = G4025, Templates!C:C = H4025), ""{{}}"", E4025), B4025)"),"Louer appartement Therwil: Trouvez le bien immobilier qui correspond idéalement à vos désirs sur ImmoScout24 - La plateforme de l'immobilier en Suisse.")</f>
        <v>Louer appartement Therwil: Trouvez le bien immobilier qui correspond idéalement à vos désirs sur ImmoScout24 - La plateforme de l'immobilier en Suisse.</v>
      </c>
    </row>
    <row r="4026" hidden="1">
      <c r="A4026" s="5" t="s">
        <v>11154</v>
      </c>
      <c r="B4026" s="2" t="s">
        <v>11155</v>
      </c>
      <c r="C4026" s="2" t="s">
        <v>11155</v>
      </c>
      <c r="D4026" s="4" t="str">
        <f>vlookup(A4026, Sheet2!D:E, 2, 0)</f>
        <v>control</v>
      </c>
      <c r="E4026" s="4" t="str">
        <f>IFERROR(__xludf.DUMMYFUNCTION("if(H4026=""pays"",vlookup(REGEXEXTRACT(C4026, ""🏘️ \w+ \w+ (.*) ✅""),'Country prepositions'!A:B, 2, 0) &amp; "" "" &amp; REGEXEXTRACT(C4026, ""🏘️ \w+ \w+ (.*) ✅"") ,  if(H4026=""quartier"",vlookup(REGEXEXTRACT(C4026, ""🏘️ \w+ \w+ (.*) ✅""),'Quartier prepositio"&amp;"ns'!A:E, 5, 0) ,  if(H4026=""region"",vlookup(REGEXEXTRACT(C4026, ""🏘️ \w+ \w+ (.*) ✅""),'Region prepositions'!B:F, 5, 0),  REGEXEXTRACT(C4026, ""🏘️ \w+ \w+ (.*) ✅""))))"),"#N/A")</f>
        <v>#N/A</v>
      </c>
      <c r="I4026" s="4" t="str">
        <f>IFERROR(__xludf.DUMMYFUNCTION("if(D4026=""variant"",  substitute(filter(Templates!E:E, Templates!A:A = F4026, Templates!B:B = G4026, Templates!C:C = H4026), ""{{}}"", E4026), B4026)"),"Louer appartement Vich: Trouvez le bien immobilier qui correspond idéalement à vos désirs sur ImmoScout24 - La plateforme de l'immobilier en Suisse.")</f>
        <v>Louer appartement Vich: Trouvez le bien immobilier qui correspond idéalement à vos désirs sur ImmoScout24 - La plateforme de l'immobilier en Suisse.</v>
      </c>
    </row>
    <row r="4027" hidden="1">
      <c r="A4027" s="5" t="s">
        <v>11156</v>
      </c>
      <c r="B4027" s="2" t="s">
        <v>11157</v>
      </c>
      <c r="C4027" s="2" t="s">
        <v>11157</v>
      </c>
      <c r="D4027" s="4" t="str">
        <f>vlookup(A4027, Sheet2!D:E, 2, 0)</f>
        <v>control</v>
      </c>
      <c r="E4027" s="4" t="str">
        <f>IFERROR(__xludf.DUMMYFUNCTION("if(H4027=""pays"",vlookup(REGEXEXTRACT(C4027, ""🏘️ \w+ \w+ (.*) ✅""),'Country prepositions'!A:B, 2, 0) &amp; "" "" &amp; REGEXEXTRACT(C4027, ""🏘️ \w+ \w+ (.*) ✅"") ,  if(H4027=""quartier"",vlookup(REGEXEXTRACT(C4027, ""🏘️ \w+ \w+ (.*) ✅""),'Quartier prepositio"&amp;"ns'!A:E, 5, 0) ,  if(H4027=""region"",vlookup(REGEXEXTRACT(C4027, ""🏘️ \w+ \w+ (.*) ✅""),'Region prepositions'!B:F, 5, 0),  REGEXEXTRACT(C4027, ""🏘️ \w+ \w+ (.*) ✅""))))"),"#N/A")</f>
        <v>#N/A</v>
      </c>
      <c r="I4027" s="4" t="str">
        <f>IFERROR(__xludf.DUMMYFUNCTION("if(D4027=""variant"",  substitute(filter(Templates!E:E, Templates!A:A = F4027, Templates!B:B = G4027, Templates!C:C = H4027), ""{{}}"", E4027), B4027)"),"Vendre maison La Côte - Nyon: Trouvez le bien immobilier qui correspond idéalement à vos désirs sur ImmoScout24 - La plateforme de l'immobilier en Suisse.")</f>
        <v>Vendre maison La Côte - Nyon: Trouvez le bien immobilier qui correspond idéalement à vos désirs sur ImmoScout24 - La plateforme de l'immobilier en Suisse.</v>
      </c>
    </row>
    <row r="4028" hidden="1">
      <c r="A4028" s="5" t="s">
        <v>11158</v>
      </c>
      <c r="B4028" s="2" t="s">
        <v>11159</v>
      </c>
      <c r="C4028" s="2" t="s">
        <v>11159</v>
      </c>
      <c r="D4028" s="4" t="str">
        <f>vlookup(A4028, Sheet2!D:E, 2, 0)</f>
        <v>control</v>
      </c>
      <c r="E4028" s="4" t="str">
        <f>IFERROR(__xludf.DUMMYFUNCTION("if(H4028=""pays"",vlookup(REGEXEXTRACT(C4028, ""🏘️ \w+ \w+ (.*) ✅""),'Country prepositions'!A:B, 2, 0) &amp; "" "" &amp; REGEXEXTRACT(C4028, ""🏘️ \w+ \w+ (.*) ✅"") ,  if(H4028=""quartier"",vlookup(REGEXEXTRACT(C4028, ""🏘️ \w+ \w+ (.*) ✅""),'Quartier prepositio"&amp;"ns'!A:E, 5, 0) ,  if(H4028=""region"",vlookup(REGEXEXTRACT(C4028, ""🏘️ \w+ \w+ (.*) ✅""),'Region prepositions'!B:F, 5, 0),  REGEXEXTRACT(C4028, ""🏘️ \w+ \w+ (.*) ✅""))))"),"#N/A")</f>
        <v>#N/A</v>
      </c>
      <c r="I4028" s="4" t="str">
        <f>IFERROR(__xludf.DUMMYFUNCTION("if(D4028=""variant"",  substitute(filter(Templates!E:E, Templates!A:A = F4028, Templates!B:B = G4028, Templates!C:C = H4028), ""{{}}"", E4028), B4028)"),"Louer appartement Utzenstorf: Trouvez le bien immobilier qui correspond idéalement à vos désirs sur ImmoScout24 - La plateforme de l'immobilier en Suisse.")</f>
        <v>Louer appartement Utzenstorf: Trouvez le bien immobilier qui correspond idéalement à vos désirs sur ImmoScout24 - La plateforme de l'immobilier en Suisse.</v>
      </c>
    </row>
    <row r="4029" hidden="1">
      <c r="A4029" s="5" t="s">
        <v>11160</v>
      </c>
      <c r="B4029" s="2" t="s">
        <v>11161</v>
      </c>
      <c r="C4029" s="2" t="s">
        <v>11161</v>
      </c>
      <c r="D4029" s="4" t="str">
        <f>vlookup(A4029, Sheet2!D:E, 2, 0)</f>
        <v>control</v>
      </c>
      <c r="E4029" s="4" t="str">
        <f>IFERROR(__xludf.DUMMYFUNCTION("if(H4029=""pays"",vlookup(REGEXEXTRACT(C4029, ""🏘️ \w+ \w+ (.*) ✅""),'Country prepositions'!A:B, 2, 0) &amp; "" "" &amp; REGEXEXTRACT(C4029, ""🏘️ \w+ \w+ (.*) ✅"") ,  if(H4029=""quartier"",vlookup(REGEXEXTRACT(C4029, ""🏘️ \w+ \w+ (.*) ✅""),'Quartier prepositio"&amp;"ns'!A:E, 5, 0) ,  if(H4029=""region"",vlookup(REGEXEXTRACT(C4029, ""🏘️ \w+ \w+ (.*) ✅""),'Region prepositions'!B:F, 5, 0),  REGEXEXTRACT(C4029, ""🏘️ \w+ \w+ (.*) ✅""))))"),"#N/A")</f>
        <v>#N/A</v>
      </c>
      <c r="I4029" s="4" t="str">
        <f>IFERROR(__xludf.DUMMYFUNCTION("if(D4029=""variant"",  substitute(filter(Templates!E:E, Templates!A:A = F4029, Templates!B:B = G4029, Templates!C:C = H4029), ""{{}}"", E4029), B4029)"),"Louer maison Villarvolard: Trouvez le bien immobilier qui correspond idéalement à vos désirs sur ImmoScout24 - La plateforme de l'immobilier en Suisse.")</f>
        <v>Louer maison Villarvolard: Trouvez le bien immobilier qui correspond idéalement à vos désirs sur ImmoScout24 - La plateforme de l'immobilier en Suisse.</v>
      </c>
    </row>
    <row r="4030" hidden="1">
      <c r="A4030" s="5" t="s">
        <v>11162</v>
      </c>
      <c r="B4030" s="2" t="s">
        <v>11163</v>
      </c>
      <c r="C4030" s="2" t="s">
        <v>11163</v>
      </c>
      <c r="D4030" s="4" t="str">
        <f>vlookup(A4030, Sheet2!D:E, 2, 0)</f>
        <v>control</v>
      </c>
      <c r="E4030" s="4" t="str">
        <f>IFERROR(__xludf.DUMMYFUNCTION("if(H4030=""pays"",vlookup(REGEXEXTRACT(C4030, ""🏘️ \w+ \w+ (.*) ✅""),'Country prepositions'!A:B, 2, 0) &amp; "" "" &amp; REGEXEXTRACT(C4030, ""🏘️ \w+ \w+ (.*) ✅"") ,  if(H4030=""quartier"",vlookup(REGEXEXTRACT(C4030, ""🏘️ \w+ \w+ (.*) ✅""),'Quartier prepositio"&amp;"ns'!A:E, 5, 0) ,  if(H4030=""region"",vlookup(REGEXEXTRACT(C4030, ""🏘️ \w+ \w+ (.*) ✅""),'Region prepositions'!B:F, 5, 0),  REGEXEXTRACT(C4030, ""🏘️ \w+ \w+ (.*) ✅""))))"),"#N/A")</f>
        <v>#N/A</v>
      </c>
      <c r="I4030" s="4" t="str">
        <f>IFERROR(__xludf.DUMMYFUNCTION("if(D4030=""variant"",  substitute(filter(Templates!E:E, Templates!A:A = F4030, Templates!B:B = G4030, Templates!C:C = H4030), ""{{}}"", E4030), B4030)"),"Louer appartement Denezy: Trouvez le bien immobilier qui correspond idéalement à vos désirs sur ImmoScout24 - La plateforme de l'immobilier en Suisse.")</f>
        <v>Louer appartement Denezy: Trouvez le bien immobilier qui correspond idéalement à vos désirs sur ImmoScout24 - La plateforme de l'immobilier en Suisse.</v>
      </c>
    </row>
    <row r="4031" hidden="1">
      <c r="A4031" s="5" t="s">
        <v>11164</v>
      </c>
      <c r="B4031" s="2" t="s">
        <v>11165</v>
      </c>
      <c r="C4031" s="2" t="s">
        <v>11165</v>
      </c>
      <c r="D4031" s="4" t="str">
        <f>vlookup(A4031, Sheet2!D:E, 2, 0)</f>
        <v>control</v>
      </c>
      <c r="E4031" s="4" t="str">
        <f>IFERROR(__xludf.DUMMYFUNCTION("if(H4031=""pays"",vlookup(REGEXEXTRACT(C4031, ""🏘️ \w+ \w+ (.*) ✅""),'Country prepositions'!A:B, 2, 0) &amp; "" "" &amp; REGEXEXTRACT(C4031, ""🏘️ \w+ \w+ (.*) ✅"") ,  if(H4031=""quartier"",vlookup(REGEXEXTRACT(C4031, ""🏘️ \w+ \w+ (.*) ✅""),'Quartier prepositio"&amp;"ns'!A:E, 5, 0) ,  if(H4031=""region"",vlookup(REGEXEXTRACT(C4031, ""🏘️ \w+ \w+ (.*) ✅""),'Region prepositions'!B:F, 5, 0),  REGEXEXTRACT(C4031, ""🏘️ \w+ \w+ (.*) ✅""))))"),"#N/A")</f>
        <v>#N/A</v>
      </c>
      <c r="I4031" s="4" t="str">
        <f>IFERROR(__xludf.DUMMYFUNCTION("if(D4031=""variant"",  substitute(filter(Templates!E:E, Templates!A:A = F4031, Templates!B:B = G4031, Templates!C:C = H4031), ""{{}}"", E4031), B4031)"),"Louer maison Sébeillon - Malley (Lausanne): Trouvez le bien immobilier qui correspond idéalement à vos désirs sur ImmoScout24 - La plateforme de l'immobilier en Suisse.")</f>
        <v>Louer maison Sébeillon - Malley (Lausanne): Trouvez le bien immobilier qui correspond idéalement à vos désirs sur ImmoScout24 - La plateforme de l'immobilier en Suisse.</v>
      </c>
    </row>
    <row r="4032" hidden="1">
      <c r="A4032" s="5" t="s">
        <v>11166</v>
      </c>
      <c r="B4032" s="2" t="s">
        <v>11167</v>
      </c>
      <c r="C4032" s="2" t="s">
        <v>11167</v>
      </c>
      <c r="D4032" s="4" t="str">
        <f>vlookup(A4032, Sheet2!D:E, 2, 0)</f>
        <v>control</v>
      </c>
      <c r="E4032" s="4" t="str">
        <f>IFERROR(__xludf.DUMMYFUNCTION("if(H4032=""pays"",vlookup(REGEXEXTRACT(C4032, ""🏘️ \w+ \w+ (.*) ✅""),'Country prepositions'!A:B, 2, 0) &amp; "" "" &amp; REGEXEXTRACT(C4032, ""🏘️ \w+ \w+ (.*) ✅"") ,  if(H4032=""quartier"",vlookup(REGEXEXTRACT(C4032, ""🏘️ \w+ \w+ (.*) ✅""),'Quartier prepositio"&amp;"ns'!A:E, 5, 0) ,  if(H4032=""region"",vlookup(REGEXEXTRACT(C4032, ""🏘️ \w+ \w+ (.*) ✅""),'Region prepositions'!B:F, 5, 0),  REGEXEXTRACT(C4032, ""🏘️ \w+ \w+ (.*) ✅""))))"),"#N/A")</f>
        <v>#N/A</v>
      </c>
      <c r="I4032" s="4" t="str">
        <f>IFERROR(__xludf.DUMMYFUNCTION("if(D4032=""variant"",  substitute(filter(Templates!E:E, Templates!A:A = F4032, Templates!B:B = G4032, Templates!C:C = H4032), ""{{}}"", E4032), B4032)"),"Vendre maison Mutrux: Trouvez le bien immobilier qui correspond idéalement à vos désirs sur ImmoScout24 - La plateforme de l'immobilier en Suisse.")</f>
        <v>Vendre maison Mutrux: Trouvez le bien immobilier qui correspond idéalement à vos désirs sur ImmoScout24 - La plateforme de l'immobilier en Suisse.</v>
      </c>
    </row>
    <row r="4033" hidden="1">
      <c r="A4033" s="5" t="s">
        <v>11168</v>
      </c>
      <c r="B4033" s="2" t="s">
        <v>11169</v>
      </c>
      <c r="C4033" s="2" t="s">
        <v>11169</v>
      </c>
      <c r="D4033" s="4" t="str">
        <f>vlookup(A4033, Sheet2!D:E, 2, 0)</f>
        <v>control</v>
      </c>
      <c r="E4033" s="4" t="str">
        <f>IFERROR(__xludf.DUMMYFUNCTION("if(H4033=""pays"",vlookup(REGEXEXTRACT(C4033, ""🏘️ \w+ \w+ (.*) ✅""),'Country prepositions'!A:B, 2, 0) &amp; "" "" &amp; REGEXEXTRACT(C4033, ""🏘️ \w+ \w+ (.*) ✅"") ,  if(H4033=""quartier"",vlookup(REGEXEXTRACT(C4033, ""🏘️ \w+ \w+ (.*) ✅""),'Quartier prepositio"&amp;"ns'!A:E, 5, 0) ,  if(H4033=""region"",vlookup(REGEXEXTRACT(C4033, ""🏘️ \w+ \w+ (.*) ✅""),'Region prepositions'!B:F, 5, 0),  REGEXEXTRACT(C4033, ""🏘️ \w+ \w+ (.*) ✅""))))"),"#N/A")</f>
        <v>#N/A</v>
      </c>
      <c r="I4033" s="4" t="str">
        <f>IFERROR(__xludf.DUMMYFUNCTION("if(D4033=""variant"",  substitute(filter(Templates!E:E, Templates!A:A = F4033, Templates!B:B = G4033, Templates!C:C = H4033), ""{{}}"", E4033), B4033)"),"Vendre maison Le Pâquier-Montbarry: Trouvez le bien immobilier qui correspond idéalement à vos désirs sur ImmoScout24 - La plateforme de l'immobilier en Suisse.")</f>
        <v>Vendre maison Le Pâquier-Montbarry: Trouvez le bien immobilier qui correspond idéalement à vos désirs sur ImmoScout24 - La plateforme de l'immobilier en Suisse.</v>
      </c>
    </row>
    <row r="4034" hidden="1">
      <c r="A4034" s="5" t="s">
        <v>11170</v>
      </c>
      <c r="B4034" s="2" t="s">
        <v>11171</v>
      </c>
      <c r="C4034" s="2" t="s">
        <v>11171</v>
      </c>
      <c r="D4034" s="4" t="str">
        <f>vlookup(A4034, Sheet2!D:E, 2, 0)</f>
        <v>control</v>
      </c>
      <c r="E4034" s="4" t="str">
        <f>IFERROR(__xludf.DUMMYFUNCTION("if(H4034=""pays"",vlookup(REGEXEXTRACT(C4034, ""🏘️ \w+ \w+ (.*) ✅""),'Country prepositions'!A:B, 2, 0) &amp; "" "" &amp; REGEXEXTRACT(C4034, ""🏘️ \w+ \w+ (.*) ✅"") ,  if(H4034=""quartier"",vlookup(REGEXEXTRACT(C4034, ""🏘️ \w+ \w+ (.*) ✅""),'Quartier prepositio"&amp;"ns'!A:E, 5, 0) ,  if(H4034=""region"",vlookup(REGEXEXTRACT(C4034, ""🏘️ \w+ \w+ (.*) ✅""),'Region prepositions'!B:F, 5, 0),  REGEXEXTRACT(C4034, ""🏘️ \w+ \w+ (.*) ✅""))))"),"#N/A")</f>
        <v>#N/A</v>
      </c>
      <c r="I4034" s="4" t="str">
        <f>IFERROR(__xludf.DUMMYFUNCTION("if(D4034=""variant"",  substitute(filter(Templates!E:E, Templates!A:A = F4034, Templates!B:B = G4034, Templates!C:C = H4034), ""{{}}"", E4034), B4034)"),"Vendre appartement Mézières FR: Trouvez le bien immobilier qui correspond idéalement à vos désirs sur ImmoScout24 - La plateforme de l'immobilier en Suisse.")</f>
        <v>Vendre appartement Mézières FR: Trouvez le bien immobilier qui correspond idéalement à vos désirs sur ImmoScout24 - La plateforme de l'immobilier en Suisse.</v>
      </c>
    </row>
    <row r="4035" hidden="1">
      <c r="A4035" s="5" t="s">
        <v>11172</v>
      </c>
      <c r="B4035" s="2" t="s">
        <v>11173</v>
      </c>
      <c r="C4035" s="2" t="s">
        <v>11173</v>
      </c>
      <c r="D4035" s="4" t="str">
        <f>vlookup(A4035, Sheet2!D:E, 2, 0)</f>
        <v>control</v>
      </c>
      <c r="E4035" s="4" t="str">
        <f>IFERROR(__xludf.DUMMYFUNCTION("if(H4035=""pays"",vlookup(REGEXEXTRACT(C4035, ""🏘️ \w+ \w+ (.*) ✅""),'Country prepositions'!A:B, 2, 0) &amp; "" "" &amp; REGEXEXTRACT(C4035, ""🏘️ \w+ \w+ (.*) ✅"") ,  if(H4035=""quartier"",vlookup(REGEXEXTRACT(C4035, ""🏘️ \w+ \w+ (.*) ✅""),'Quartier prepositio"&amp;"ns'!A:E, 5, 0) ,  if(H4035=""region"",vlookup(REGEXEXTRACT(C4035, ""🏘️ \w+ \w+ (.*) ✅""),'Region prepositions'!B:F, 5, 0),  REGEXEXTRACT(C4035, ""🏘️ \w+ \w+ (.*) ✅""))))"),"#N/A")</f>
        <v>#N/A</v>
      </c>
      <c r="I4035" s="4" t="str">
        <f>IFERROR(__xludf.DUMMYFUNCTION("if(D4035=""variant"",  substitute(filter(Templates!E:E, Templates!A:A = F4035, Templates!B:B = G4035, Templates!C:C = H4035), ""{{}}"", E4035), B4035)"),"Louer appartement Schwanden im Emmental: Trouvez le bien immobilier qui correspond idéalement à vos désirs sur ImmoScout24 - La plateforme de l'immobilier en Suisse.")</f>
        <v>Louer appartement Schwanden im Emmental: Trouvez le bien immobilier qui correspond idéalement à vos désirs sur ImmoScout24 - La plateforme de l'immobilier en Suisse.</v>
      </c>
    </row>
    <row r="4036" hidden="1">
      <c r="A4036" s="5" t="s">
        <v>11174</v>
      </c>
      <c r="B4036" s="2" t="s">
        <v>11175</v>
      </c>
      <c r="C4036" s="2" t="s">
        <v>11175</v>
      </c>
      <c r="D4036" s="4" t="str">
        <f>vlookup(A4036, Sheet2!D:E, 2, 0)</f>
        <v>control</v>
      </c>
      <c r="E4036" s="4" t="str">
        <f>IFERROR(__xludf.DUMMYFUNCTION("if(H4036=""pays"",vlookup(REGEXEXTRACT(C4036, ""🏘️ \w+ \w+ (.*) ✅""),'Country prepositions'!A:B, 2, 0) &amp; "" "" &amp; REGEXEXTRACT(C4036, ""🏘️ \w+ \w+ (.*) ✅"") ,  if(H4036=""quartier"",vlookup(REGEXEXTRACT(C4036, ""🏘️ \w+ \w+ (.*) ✅""),'Quartier prepositio"&amp;"ns'!A:E, 5, 0) ,  if(H4036=""region"",vlookup(REGEXEXTRACT(C4036, ""🏘️ \w+ \w+ (.*) ✅""),'Region prepositions'!B:F, 5, 0),  REGEXEXTRACT(C4036, ""🏘️ \w+ \w+ (.*) ✅""))))"),"#N/A")</f>
        <v>#N/A</v>
      </c>
      <c r="I4036" s="4" t="str">
        <f>IFERROR(__xludf.DUMMYFUNCTION("if(D4036=""variant"",  substitute(filter(Templates!E:E, Templates!A:A = F4036, Templates!B:B = G4036, Templates!C:C = H4036), ""{{}}"", E4036), B4036)"),"Louer maison Les Bois: Trouvez le bien immobilier qui correspond idéalement à vos désirs sur ImmoScout24 - La plateforme de l'immobilier en Suisse.")</f>
        <v>Louer maison Les Bois: Trouvez le bien immobilier qui correspond idéalement à vos désirs sur ImmoScout24 - La plateforme de l'immobilier en Suisse.</v>
      </c>
    </row>
    <row r="4037" hidden="1">
      <c r="A4037" s="5" t="s">
        <v>11176</v>
      </c>
      <c r="B4037" s="2" t="s">
        <v>11177</v>
      </c>
      <c r="C4037" s="2" t="s">
        <v>11177</v>
      </c>
      <c r="D4037" s="4" t="str">
        <f>vlookup(A4037, Sheet2!D:E, 2, 0)</f>
        <v>control</v>
      </c>
      <c r="E4037" s="4" t="str">
        <f>IFERROR(__xludf.DUMMYFUNCTION("if(H4037=""pays"",vlookup(REGEXEXTRACT(C4037, ""🏘️ \w+ \w+ (.*) ✅""),'Country prepositions'!A:B, 2, 0) &amp; "" "" &amp; REGEXEXTRACT(C4037, ""🏘️ \w+ \w+ (.*) ✅"") ,  if(H4037=""quartier"",vlookup(REGEXEXTRACT(C4037, ""🏘️ \w+ \w+ (.*) ✅""),'Quartier prepositio"&amp;"ns'!A:E, 5, 0) ,  if(H4037=""region"",vlookup(REGEXEXTRACT(C4037, ""🏘️ \w+ \w+ (.*) ✅""),'Region prepositions'!B:F, 5, 0),  REGEXEXTRACT(C4037, ""🏘️ \w+ \w+ (.*) ✅""))))"),"#N/A")</f>
        <v>#N/A</v>
      </c>
      <c r="I4037" s="4" t="str">
        <f>IFERROR(__xludf.DUMMYFUNCTION("if(D4037=""variant"",  substitute(filter(Templates!E:E, Templates!A:A = F4037, Templates!B:B = G4037, Templates!C:C = H4037), ""{{}}"", E4037), B4037)"),"Vendre maison Canobbio: Trouvez le bien immobilier qui correspond idéalement à vos désirs sur ImmoScout24 - La plateforme de l'immobilier en Suisse.")</f>
        <v>Vendre maison Canobbio: Trouvez le bien immobilier qui correspond idéalement à vos désirs sur ImmoScout24 - La plateforme de l'immobilier en Suisse.</v>
      </c>
    </row>
    <row r="4038" hidden="1">
      <c r="A4038" s="5" t="s">
        <v>11178</v>
      </c>
      <c r="B4038" s="2" t="s">
        <v>11179</v>
      </c>
      <c r="C4038" s="2" t="s">
        <v>11179</v>
      </c>
      <c r="D4038" s="4" t="str">
        <f>vlookup(A4038, Sheet2!D:E, 2, 0)</f>
        <v>control</v>
      </c>
      <c r="E4038" s="4" t="str">
        <f>IFERROR(__xludf.DUMMYFUNCTION("if(H4038=""pays"",vlookup(REGEXEXTRACT(C4038, ""🏘️ \w+ \w+ (.*) ✅""),'Country prepositions'!A:B, 2, 0) &amp; "" "" &amp; REGEXEXTRACT(C4038, ""🏘️ \w+ \w+ (.*) ✅"") ,  if(H4038=""quartier"",vlookup(REGEXEXTRACT(C4038, ""🏘️ \w+ \w+ (.*) ✅""),'Quartier prepositio"&amp;"ns'!A:E, 5, 0) ,  if(H4038=""region"",vlookup(REGEXEXTRACT(C4038, ""🏘️ \w+ \w+ (.*) ✅""),'Region prepositions'!B:F, 5, 0),  REGEXEXTRACT(C4038, ""🏘️ \w+ \w+ (.*) ✅""))))"),"#N/A")</f>
        <v>#N/A</v>
      </c>
      <c r="I4038" s="4" t="str">
        <f>IFERROR(__xludf.DUMMYFUNCTION("if(D4038=""variant"",  substitute(filter(Templates!E:E, Templates!A:A = F4038, Templates!B:B = G4038, Templates!C:C = H4038), ""{{}}"", E4038), B4038)"),"Vendre maison Ennetbaden: Trouvez le bien immobilier qui correspond idéalement à vos désirs sur ImmoScout24 - La plateforme de l'immobilier en Suisse.")</f>
        <v>Vendre maison Ennetbaden: Trouvez le bien immobilier qui correspond idéalement à vos désirs sur ImmoScout24 - La plateforme de l'immobilier en Suisse.</v>
      </c>
    </row>
    <row r="4039" hidden="1">
      <c r="A4039" s="5" t="s">
        <v>11180</v>
      </c>
      <c r="B4039" s="2" t="s">
        <v>11181</v>
      </c>
      <c r="C4039" s="2" t="s">
        <v>11181</v>
      </c>
      <c r="D4039" s="4" t="str">
        <f>vlookup(A4039, Sheet2!D:E, 2, 0)</f>
        <v>control</v>
      </c>
      <c r="E4039" s="4" t="str">
        <f>IFERROR(__xludf.DUMMYFUNCTION("if(H4039=""pays"",vlookup(REGEXEXTRACT(C4039, ""🏘️ \w+ \w+ (.*) ✅""),'Country prepositions'!A:B, 2, 0) &amp; "" "" &amp; REGEXEXTRACT(C4039, ""🏘️ \w+ \w+ (.*) ✅"") ,  if(H4039=""quartier"",vlookup(REGEXEXTRACT(C4039, ""🏘️ \w+ \w+ (.*) ✅""),'Quartier prepositio"&amp;"ns'!A:E, 5, 0) ,  if(H4039=""region"",vlookup(REGEXEXTRACT(C4039, ""🏘️ \w+ \w+ (.*) ✅""),'Region prepositions'!B:F, 5, 0),  REGEXEXTRACT(C4039, ""🏘️ \w+ \w+ (.*) ✅""))))"),"#N/A")</f>
        <v>#N/A</v>
      </c>
      <c r="I4039" s="4" t="str">
        <f>IFERROR(__xludf.DUMMYFUNCTION("if(D4039=""variant"",  substitute(filter(Templates!E:E, Templates!A:A = F4039, Templates!B:B = G4039, Templates!C:C = H4039), ""{{}}"", E4039), B4039)"),"Louer maison Chabrey: Trouvez le bien immobilier qui correspond idéalement à vos désirs sur ImmoScout24 - La plateforme de l'immobilier en Suisse.")</f>
        <v>Louer maison Chabrey: Trouvez le bien immobilier qui correspond idéalement à vos désirs sur ImmoScout24 - La plateforme de l'immobilier en Suisse.</v>
      </c>
    </row>
    <row r="4040" hidden="1">
      <c r="A4040" s="5" t="s">
        <v>11182</v>
      </c>
      <c r="B4040" s="2" t="s">
        <v>11183</v>
      </c>
      <c r="C4040" s="2" t="s">
        <v>11183</v>
      </c>
      <c r="D4040" s="4" t="str">
        <f>vlookup(A4040, Sheet2!D:E, 2, 0)</f>
        <v>control</v>
      </c>
      <c r="E4040" s="4" t="str">
        <f>IFERROR(__xludf.DUMMYFUNCTION("if(H4040=""pays"",vlookup(REGEXEXTRACT(C4040, ""🏘️ \w+ \w+ (.*) ✅""),'Country prepositions'!A:B, 2, 0) &amp; "" "" &amp; REGEXEXTRACT(C4040, ""🏘️ \w+ \w+ (.*) ✅"") ,  if(H4040=""quartier"",vlookup(REGEXEXTRACT(C4040, ""🏘️ \w+ \w+ (.*) ✅""),'Quartier prepositio"&amp;"ns'!A:E, 5, 0) ,  if(H4040=""region"",vlookup(REGEXEXTRACT(C4040, ""🏘️ \w+ \w+ (.*) ✅""),'Region prepositions'!B:F, 5, 0),  REGEXEXTRACT(C4040, ""🏘️ \w+ \w+ (.*) ✅""))))"),"#N/A")</f>
        <v>#N/A</v>
      </c>
      <c r="I4040" s="4" t="str">
        <f>IFERROR(__xludf.DUMMYFUNCTION("if(D4040=""variant"",  substitute(filter(Templates!E:E, Templates!A:A = F4040, Templates!B:B = G4040, Templates!C:C = H4040), ""{{}}"", E4040), B4040)"),"Louer appartement Coffrane: Trouvez le bien immobilier qui correspond idéalement à vos désirs sur ImmoScout24 - La plateforme de l'immobilier en Suisse.")</f>
        <v>Louer appartement Coffrane: Trouvez le bien immobilier qui correspond idéalement à vos désirs sur ImmoScout24 - La plateforme de l'immobilier en Suisse.</v>
      </c>
    </row>
    <row r="4041" hidden="1">
      <c r="A4041" s="5" t="s">
        <v>11184</v>
      </c>
      <c r="B4041" s="2" t="s">
        <v>11185</v>
      </c>
      <c r="C4041" s="2" t="s">
        <v>11185</v>
      </c>
      <c r="D4041" s="4" t="str">
        <f>vlookup(A4041, Sheet2!D:E, 2, 0)</f>
        <v>control</v>
      </c>
      <c r="E4041" s="4" t="str">
        <f>IFERROR(__xludf.DUMMYFUNCTION("if(H4041=""pays"",vlookup(REGEXEXTRACT(C4041, ""🏘️ \w+ \w+ (.*) ✅""),'Country prepositions'!A:B, 2, 0) &amp; "" "" &amp; REGEXEXTRACT(C4041, ""🏘️ \w+ \w+ (.*) ✅"") ,  if(H4041=""quartier"",vlookup(REGEXEXTRACT(C4041, ""🏘️ \w+ \w+ (.*) ✅""),'Quartier prepositio"&amp;"ns'!A:E, 5, 0) ,  if(H4041=""region"",vlookup(REGEXEXTRACT(C4041, ""🏘️ \w+ \w+ (.*) ✅""),'Region prepositions'!B:F, 5, 0),  REGEXEXTRACT(C4041, ""🏘️ \w+ \w+ (.*) ✅""))))"),"#N/A")</f>
        <v>#N/A</v>
      </c>
      <c r="I4041" s="4" t="str">
        <f>IFERROR(__xludf.DUMMYFUNCTION("if(D4041=""variant"",  substitute(filter(Templates!E:E, Templates!A:A = F4041, Templates!B:B = G4041, Templates!C:C = H4041), ""{{}}"", E4041), B4041)"),"Vendre maison Meyriez: Trouvez le bien immobilier qui correspond idéalement à vos désirs sur ImmoScout24 - La plateforme de l'immobilier en Suisse.")</f>
        <v>Vendre maison Meyriez: Trouvez le bien immobilier qui correspond idéalement à vos désirs sur ImmoScout24 - La plateforme de l'immobilier en Suisse.</v>
      </c>
    </row>
    <row r="4042" hidden="1">
      <c r="A4042" s="5" t="s">
        <v>11186</v>
      </c>
      <c r="B4042" s="2" t="s">
        <v>11187</v>
      </c>
      <c r="C4042" s="2" t="s">
        <v>11187</v>
      </c>
      <c r="D4042" s="4" t="str">
        <f>vlookup(A4042, Sheet2!D:E, 2, 0)</f>
        <v>control</v>
      </c>
      <c r="E4042" s="4" t="str">
        <f>IFERROR(__xludf.DUMMYFUNCTION("if(H4042=""pays"",vlookup(REGEXEXTRACT(C4042, ""🏘️ \w+ \w+ (.*) ✅""),'Country prepositions'!A:B, 2, 0) &amp; "" "" &amp; REGEXEXTRACT(C4042, ""🏘️ \w+ \w+ (.*) ✅"") ,  if(H4042=""quartier"",vlookup(REGEXEXTRACT(C4042, ""🏘️ \w+ \w+ (.*) ✅""),'Quartier prepositio"&amp;"ns'!A:E, 5, 0) ,  if(H4042=""region"",vlookup(REGEXEXTRACT(C4042, ""🏘️ \w+ \w+ (.*) ✅""),'Region prepositions'!B:F, 5, 0),  REGEXEXTRACT(C4042, ""🏘️ \w+ \w+ (.*) ✅""))))"),"#N/A")</f>
        <v>#N/A</v>
      </c>
      <c r="I4042" s="4" t="str">
        <f>IFERROR(__xludf.DUMMYFUNCTION("if(D4042=""variant"",  substitute(filter(Templates!E:E, Templates!A:A = F4042, Templates!B:B = G4042, Templates!C:C = H4042), ""{{}}"", E4042), B4042)"),"Louer maison Kilchberg ZH: Trouvez le bien immobilier qui correspond idéalement à vos désirs sur ImmoScout24 - La plateforme de l'immobilier en Suisse.")</f>
        <v>Louer maison Kilchberg ZH: Trouvez le bien immobilier qui correspond idéalement à vos désirs sur ImmoScout24 - La plateforme de l'immobilier en Suisse.</v>
      </c>
    </row>
    <row r="4043" hidden="1">
      <c r="A4043" s="5" t="s">
        <v>11188</v>
      </c>
      <c r="B4043" s="2" t="s">
        <v>11189</v>
      </c>
      <c r="C4043" s="2" t="s">
        <v>11189</v>
      </c>
      <c r="D4043" s="4" t="str">
        <f>vlookup(A4043, Sheet2!D:E, 2, 0)</f>
        <v>control</v>
      </c>
      <c r="E4043" s="4" t="str">
        <f>IFERROR(__xludf.DUMMYFUNCTION("if(H4043=""pays"",vlookup(REGEXEXTRACT(C4043, ""🏘️ \w+ \w+ (.*) ✅""),'Country prepositions'!A:B, 2, 0) &amp; "" "" &amp; REGEXEXTRACT(C4043, ""🏘️ \w+ \w+ (.*) ✅"") ,  if(H4043=""quartier"",vlookup(REGEXEXTRACT(C4043, ""🏘️ \w+ \w+ (.*) ✅""),'Quartier prepositio"&amp;"ns'!A:E, 5, 0) ,  if(H4043=""region"",vlookup(REGEXEXTRACT(C4043, ""🏘️ \w+ \w+ (.*) ✅""),'Region prepositions'!B:F, 5, 0),  REGEXEXTRACT(C4043, ""🏘️ \w+ \w+ (.*) ✅""))))"),"#N/A")</f>
        <v>#N/A</v>
      </c>
      <c r="I4043" s="4" t="str">
        <f>IFERROR(__xludf.DUMMYFUNCTION("if(D4043=""variant"",  substitute(filter(Templates!E:E, Templates!A:A = F4043, Templates!B:B = G4043, Templates!C:C = H4043), ""{{}}"", E4043), B4043)"),"Vendre maison Slovaquie: Trouvez le bien immobilier qui correspond idéalement à vos désirs sur ImmoScout24 - La plateforme de l'immobilier en Suisse.")</f>
        <v>Vendre maison Slovaquie: Trouvez le bien immobilier qui correspond idéalement à vos désirs sur ImmoScout24 - La plateforme de l'immobilier en Suisse.</v>
      </c>
    </row>
    <row r="4044" hidden="1">
      <c r="A4044" s="5" t="s">
        <v>11190</v>
      </c>
      <c r="B4044" s="2" t="s">
        <v>11191</v>
      </c>
      <c r="C4044" s="2" t="s">
        <v>11191</v>
      </c>
      <c r="D4044" s="4" t="str">
        <f>vlookup(A4044, Sheet2!D:E, 2, 0)</f>
        <v>control</v>
      </c>
      <c r="E4044" s="4" t="str">
        <f>IFERROR(__xludf.DUMMYFUNCTION("if(H4044=""pays"",vlookup(REGEXEXTRACT(C4044, ""🏘️ \w+ \w+ (.*) ✅""),'Country prepositions'!A:B, 2, 0) &amp; "" "" &amp; REGEXEXTRACT(C4044, ""🏘️ \w+ \w+ (.*) ✅"") ,  if(H4044=""quartier"",vlookup(REGEXEXTRACT(C4044, ""🏘️ \w+ \w+ (.*) ✅""),'Quartier prepositio"&amp;"ns'!A:E, 5, 0) ,  if(H4044=""region"",vlookup(REGEXEXTRACT(C4044, ""🏘️ \w+ \w+ (.*) ✅""),'Region prepositions'!B:F, 5, 0),  REGEXEXTRACT(C4044, ""🏘️ \w+ \w+ (.*) ✅""))))"),"#N/A")</f>
        <v>#N/A</v>
      </c>
      <c r="I4044" s="4" t="str">
        <f>IFERROR(__xludf.DUMMYFUNCTION("if(D4044=""variant"",  substitute(filter(Templates!E:E, Templates!A:A = F4044, Templates!B:B = G4044, Templates!C:C = H4044), ""{{}}"", E4044), B4044)"),"Louer appartement St-Barthélemy VD: Trouvez le bien immobilier qui correspond idéalement à vos désirs sur ImmoScout24 - La plateforme de l'immobilier en Suisse.")</f>
        <v>Louer appartement St-Barthélemy VD: Trouvez le bien immobilier qui correspond idéalement à vos désirs sur ImmoScout24 - La plateforme de l'immobilier en Suisse.</v>
      </c>
    </row>
    <row r="4045" hidden="1">
      <c r="A4045" s="5" t="s">
        <v>11192</v>
      </c>
      <c r="B4045" s="2" t="s">
        <v>11193</v>
      </c>
      <c r="C4045" s="2" t="s">
        <v>11193</v>
      </c>
      <c r="D4045" s="4" t="str">
        <f>vlookup(A4045, Sheet2!D:E, 2, 0)</f>
        <v>control</v>
      </c>
      <c r="E4045" s="4" t="str">
        <f>IFERROR(__xludf.DUMMYFUNCTION("if(H4045=""pays"",vlookup(REGEXEXTRACT(C4045, ""🏘️ \w+ \w+ (.*) ✅""),'Country prepositions'!A:B, 2, 0) &amp; "" "" &amp; REGEXEXTRACT(C4045, ""🏘️ \w+ \w+ (.*) ✅"") ,  if(H4045=""quartier"",vlookup(REGEXEXTRACT(C4045, ""🏘️ \w+ \w+ (.*) ✅""),'Quartier prepositio"&amp;"ns'!A:E, 5, 0) ,  if(H4045=""region"",vlookup(REGEXEXTRACT(C4045, ""🏘️ \w+ \w+ (.*) ✅""),'Region prepositions'!B:F, 5, 0),  REGEXEXTRACT(C4045, ""🏘️ \w+ \w+ (.*) ✅""))))"),"#N/A")</f>
        <v>#N/A</v>
      </c>
      <c r="I4045" s="4" t="str">
        <f>IFERROR(__xludf.DUMMYFUNCTION("if(D4045=""variant"",  substitute(filter(Templates!E:E, Templates!A:A = F4045, Templates!B:B = G4045, Templates!C:C = H4045), ""{{}}"", E4045), B4045)"),"Louer maison Aarau et environs: Trouvez le bien immobilier qui correspond idéalement à vos désirs sur ImmoScout24 - La plateforme de l'immobilier en Suisse.")</f>
        <v>Louer maison Aarau et environs: Trouvez le bien immobilier qui correspond idéalement à vos désirs sur ImmoScout24 - La plateforme de l'immobilier en Suisse.</v>
      </c>
    </row>
    <row r="4046" hidden="1">
      <c r="A4046" s="5" t="s">
        <v>11194</v>
      </c>
      <c r="B4046" s="2" t="s">
        <v>11195</v>
      </c>
      <c r="C4046" s="2" t="s">
        <v>11195</v>
      </c>
      <c r="D4046" s="4" t="str">
        <f>vlookup(A4046, Sheet2!D:E, 2, 0)</f>
        <v>control</v>
      </c>
      <c r="E4046" s="4" t="str">
        <f>IFERROR(__xludf.DUMMYFUNCTION("if(H4046=""pays"",vlookup(REGEXEXTRACT(C4046, ""🏘️ \w+ \w+ (.*) ✅""),'Country prepositions'!A:B, 2, 0) &amp; "" "" &amp; REGEXEXTRACT(C4046, ""🏘️ \w+ \w+ (.*) ✅"") ,  if(H4046=""quartier"",vlookup(REGEXEXTRACT(C4046, ""🏘️ \w+ \w+ (.*) ✅""),'Quartier prepositio"&amp;"ns'!A:E, 5, 0) ,  if(H4046=""region"",vlookup(REGEXEXTRACT(C4046, ""🏘️ \w+ \w+ (.*) ✅""),'Region prepositions'!B:F, 5, 0),  REGEXEXTRACT(C4046, ""🏘️ \w+ \w+ (.*) ✅""))))"),"#N/A")</f>
        <v>#N/A</v>
      </c>
      <c r="I4046" s="4" t="str">
        <f>IFERROR(__xludf.DUMMYFUNCTION("if(D4046=""variant"",  substitute(filter(Templates!E:E, Templates!A:A = F4046, Templates!B:B = G4046, Templates!C:C = H4046), ""{{}}"", E4046), B4046)"),"Vendre maison Lucelle: Trouvez le bien immobilier qui correspond idéalement à vos désirs sur ImmoScout24 - La plateforme de l'immobilier en Suisse.")</f>
        <v>Vendre maison Lucelle: Trouvez le bien immobilier qui correspond idéalement à vos désirs sur ImmoScout24 - La plateforme de l'immobilier en Suisse.</v>
      </c>
    </row>
    <row r="4047" hidden="1">
      <c r="A4047" s="5" t="s">
        <v>11196</v>
      </c>
      <c r="B4047" s="2" t="s">
        <v>11197</v>
      </c>
      <c r="C4047" s="2" t="s">
        <v>11197</v>
      </c>
      <c r="D4047" s="4" t="str">
        <f>vlookup(A4047, Sheet2!D:E, 2, 0)</f>
        <v>control</v>
      </c>
      <c r="E4047" s="4" t="str">
        <f>IFERROR(__xludf.DUMMYFUNCTION("if(H4047=""pays"",vlookup(REGEXEXTRACT(C4047, ""🏘️ \w+ \w+ (.*) ✅""),'Country prepositions'!A:B, 2, 0) &amp; "" "" &amp; REGEXEXTRACT(C4047, ""🏘️ \w+ \w+ (.*) ✅"") ,  if(H4047=""quartier"",vlookup(REGEXEXTRACT(C4047, ""🏘️ \w+ \w+ (.*) ✅""),'Quartier prepositio"&amp;"ns'!A:E, 5, 0) ,  if(H4047=""region"",vlookup(REGEXEXTRACT(C4047, ""🏘️ \w+ \w+ (.*) ✅""),'Region prepositions'!B:F, 5, 0),  REGEXEXTRACT(C4047, ""🏘️ \w+ \w+ (.*) ✅""))))"),"#N/A")</f>
        <v>#N/A</v>
      </c>
      <c r="I4047" s="4" t="str">
        <f>IFERROR(__xludf.DUMMYFUNCTION("if(D4047=""variant"",  substitute(filter(Templates!E:E, Templates!A:A = F4047, Templates!B:B = G4047, Templates!C:C = H4047), ""{{}}"", E4047), B4047)"),"Vendre maison Les Marécottes: Trouvez le bien immobilier qui correspond idéalement à vos désirs sur ImmoScout24 - La plateforme de l'immobilier en Suisse.")</f>
        <v>Vendre maison Les Marécottes: Trouvez le bien immobilier qui correspond idéalement à vos désirs sur ImmoScout24 - La plateforme de l'immobilier en Suisse.</v>
      </c>
    </row>
    <row r="4048" hidden="1">
      <c r="A4048" s="5" t="s">
        <v>11198</v>
      </c>
      <c r="B4048" s="2" t="s">
        <v>11199</v>
      </c>
      <c r="C4048" s="2" t="s">
        <v>11199</v>
      </c>
      <c r="D4048" s="4" t="str">
        <f>vlookup(A4048, Sheet2!D:E, 2, 0)</f>
        <v>control</v>
      </c>
      <c r="E4048" s="4" t="str">
        <f>IFERROR(__xludf.DUMMYFUNCTION("if(H4048=""pays"",vlookup(REGEXEXTRACT(C4048, ""🏘️ \w+ \w+ (.*) ✅""),'Country prepositions'!A:B, 2, 0) &amp; "" "" &amp; REGEXEXTRACT(C4048, ""🏘️ \w+ \w+ (.*) ✅"") ,  if(H4048=""quartier"",vlookup(REGEXEXTRACT(C4048, ""🏘️ \w+ \w+ (.*) ✅""),'Quartier prepositio"&amp;"ns'!A:E, 5, 0) ,  if(H4048=""region"",vlookup(REGEXEXTRACT(C4048, ""🏘️ \w+ \w+ (.*) ✅""),'Region prepositions'!B:F, 5, 0),  REGEXEXTRACT(C4048, ""🏘️ \w+ \w+ (.*) ✅""))))"),"#N/A")</f>
        <v>#N/A</v>
      </c>
      <c r="I4048" s="4" t="str">
        <f>IFERROR(__xludf.DUMMYFUNCTION("if(D4048=""variant"",  substitute(filter(Templates!E:E, Templates!A:A = F4048, Templates!B:B = G4048, Templates!C:C = H4048), ""{{}}"", E4048), B4048)"),"Louer maison Chalais: Trouvez le bien immobilier qui correspond idéalement à vos désirs sur ImmoScout24 - La plateforme de l'immobilier en Suisse.")</f>
        <v>Louer maison Chalais: Trouvez le bien immobilier qui correspond idéalement à vos désirs sur ImmoScout24 - La plateforme de l'immobilier en Suisse.</v>
      </c>
    </row>
    <row r="4049" hidden="1">
      <c r="A4049" s="5" t="s">
        <v>11200</v>
      </c>
      <c r="B4049" s="2" t="s">
        <v>11201</v>
      </c>
      <c r="C4049" s="2" t="s">
        <v>11201</v>
      </c>
      <c r="D4049" s="4" t="str">
        <f>vlookup(A4049, Sheet2!D:E, 2, 0)</f>
        <v>control</v>
      </c>
      <c r="E4049" s="4" t="str">
        <f>IFERROR(__xludf.DUMMYFUNCTION("if(H4049=""pays"",vlookup(REGEXEXTRACT(C4049, ""🏘️ \w+ \w+ (.*) ✅""),'Country prepositions'!A:B, 2, 0) &amp; "" "" &amp; REGEXEXTRACT(C4049, ""🏘️ \w+ \w+ (.*) ✅"") ,  if(H4049=""quartier"",vlookup(REGEXEXTRACT(C4049, ""🏘️ \w+ \w+ (.*) ✅""),'Quartier prepositio"&amp;"ns'!A:E, 5, 0) ,  if(H4049=""region"",vlookup(REGEXEXTRACT(C4049, ""🏘️ \w+ \w+ (.*) ✅""),'Region prepositions'!B:F, 5, 0),  REGEXEXTRACT(C4049, ""🏘️ \w+ \w+ (.*) ✅""))))"),"#N/A")</f>
        <v>#N/A</v>
      </c>
      <c r="I4049" s="4" t="str">
        <f>IFERROR(__xludf.DUMMYFUNCTION("if(D4049=""variant"",  substitute(filter(Templates!E:E, Templates!A:A = F4049, Templates!B:B = G4049, Templates!C:C = H4049), ""{{}}"", E4049), B4049)"),"Vendre maison Zollikofen: Trouvez le bien immobilier qui correspond idéalement à vos désirs sur ImmoScout24 - La plateforme de l'immobilier en Suisse.")</f>
        <v>Vendre maison Zollikofen: Trouvez le bien immobilier qui correspond idéalement à vos désirs sur ImmoScout24 - La plateforme de l'immobilier en Suisse.</v>
      </c>
    </row>
    <row r="4050" hidden="1">
      <c r="A4050" s="5" t="s">
        <v>11202</v>
      </c>
      <c r="B4050" s="2" t="s">
        <v>11203</v>
      </c>
      <c r="C4050" s="2" t="s">
        <v>11203</v>
      </c>
      <c r="D4050" s="4" t="str">
        <f>vlookup(A4050, Sheet2!D:E, 2, 0)</f>
        <v>control</v>
      </c>
      <c r="E4050" s="4" t="str">
        <f>IFERROR(__xludf.DUMMYFUNCTION("if(H4050=""pays"",vlookup(REGEXEXTRACT(C4050, ""🏘️ \w+ \w+ (.*) ✅""),'Country prepositions'!A:B, 2, 0) &amp; "" "" &amp; REGEXEXTRACT(C4050, ""🏘️ \w+ \w+ (.*) ✅"") ,  if(H4050=""quartier"",vlookup(REGEXEXTRACT(C4050, ""🏘️ \w+ \w+ (.*) ✅""),'Quartier prepositio"&amp;"ns'!A:E, 5, 0) ,  if(H4050=""region"",vlookup(REGEXEXTRACT(C4050, ""🏘️ \w+ \w+ (.*) ✅""),'Region prepositions'!B:F, 5, 0),  REGEXEXTRACT(C4050, ""🏘️ \w+ \w+ (.*) ✅""))))"),"#N/A")</f>
        <v>#N/A</v>
      </c>
      <c r="I4050" s="4" t="str">
        <f>IFERROR(__xludf.DUMMYFUNCTION("if(D4050=""variant"",  substitute(filter(Templates!E:E, Templates!A:A = F4050, Templates!B:B = G4050, Templates!C:C = H4050), ""{{}}"", E4050), B4050)"),"Vendre appartement Florissant - Malagnou (Genève): Trouvez le bien immobilier qui correspond idéalement à vos désirs sur ImmoScout24 - La plateforme de l'immobilier en Suisse.")</f>
        <v>Vendre appartement Florissant - Malagnou (Genève): Trouvez le bien immobilier qui correspond idéalement à vos désirs sur ImmoScout24 - La plateforme de l'immobilier en Suisse.</v>
      </c>
    </row>
    <row r="4051" hidden="1">
      <c r="A4051" s="5" t="s">
        <v>11204</v>
      </c>
      <c r="B4051" s="2" t="s">
        <v>11205</v>
      </c>
      <c r="C4051" s="2" t="s">
        <v>11205</v>
      </c>
      <c r="D4051" s="4" t="str">
        <f>vlookup(A4051, Sheet2!D:E, 2, 0)</f>
        <v>control</v>
      </c>
      <c r="E4051" s="4" t="str">
        <f>IFERROR(__xludf.DUMMYFUNCTION("if(H4051=""pays"",vlookup(REGEXEXTRACT(C4051, ""🏘️ \w+ \w+ (.*) ✅""),'Country prepositions'!A:B, 2, 0) &amp; "" "" &amp; REGEXEXTRACT(C4051, ""🏘️ \w+ \w+ (.*) ✅"") ,  if(H4051=""quartier"",vlookup(REGEXEXTRACT(C4051, ""🏘️ \w+ \w+ (.*) ✅""),'Quartier prepositio"&amp;"ns'!A:E, 5, 0) ,  if(H4051=""region"",vlookup(REGEXEXTRACT(C4051, ""🏘️ \w+ \w+ (.*) ✅""),'Region prepositions'!B:F, 5, 0),  REGEXEXTRACT(C4051, ""🏘️ \w+ \w+ (.*) ✅""))))"),"#N/A")</f>
        <v>#N/A</v>
      </c>
      <c r="I4051" s="4" t="str">
        <f>IFERROR(__xludf.DUMMYFUNCTION("if(D4051=""variant"",  substitute(filter(Templates!E:E, Templates!A:A = F4051, Templates!B:B = G4051, Templates!C:C = H4051), ""{{}}"", E4051), B4051)"),"Vendre maison Gümmenen: Trouvez le bien immobilier qui correspond idéalement à vos désirs sur ImmoScout24 - La plateforme de l'immobilier en Suisse.")</f>
        <v>Vendre maison Gümmenen: Trouvez le bien immobilier qui correspond idéalement à vos désirs sur ImmoScout24 - La plateforme de l'immobilier en Suisse.</v>
      </c>
    </row>
    <row r="4052" hidden="1">
      <c r="A4052" s="5" t="s">
        <v>11206</v>
      </c>
      <c r="B4052" s="2" t="s">
        <v>11207</v>
      </c>
      <c r="C4052" s="2" t="s">
        <v>11207</v>
      </c>
      <c r="D4052" s="4" t="str">
        <f>vlookup(A4052, Sheet2!D:E, 2, 0)</f>
        <v>control</v>
      </c>
      <c r="E4052" s="4" t="str">
        <f>IFERROR(__xludf.DUMMYFUNCTION("if(H4052=""pays"",vlookup(REGEXEXTRACT(C4052, ""🏘️ \w+ \w+ (.*) ✅""),'Country prepositions'!A:B, 2, 0) &amp; "" "" &amp; REGEXEXTRACT(C4052, ""🏘️ \w+ \w+ (.*) ✅"") ,  if(H4052=""quartier"",vlookup(REGEXEXTRACT(C4052, ""🏘️ \w+ \w+ (.*) ✅""),'Quartier prepositio"&amp;"ns'!A:E, 5, 0) ,  if(H4052=""region"",vlookup(REGEXEXTRACT(C4052, ""🏘️ \w+ \w+ (.*) ✅""),'Region prepositions'!B:F, 5, 0),  REGEXEXTRACT(C4052, ""🏘️ \w+ \w+ (.*) ✅""))))"),"#N/A")</f>
        <v>#N/A</v>
      </c>
      <c r="I4052" s="4" t="str">
        <f>IFERROR(__xludf.DUMMYFUNCTION("if(D4052=""variant"",  substitute(filter(Templates!E:E, Templates!A:A = F4052, Templates!B:B = G4052, Templates!C:C = H4052), ""{{}}"", E4052), B4052)"),"Vendre maison Corcelles NE: Trouvez le bien immobilier qui correspond idéalement à vos désirs sur ImmoScout24 - La plateforme de l'immobilier en Suisse.")</f>
        <v>Vendre maison Corcelles NE: Trouvez le bien immobilier qui correspond idéalement à vos désirs sur ImmoScout24 - La plateforme de l'immobilier en Suisse.</v>
      </c>
    </row>
    <row r="4053" hidden="1">
      <c r="A4053" s="5" t="s">
        <v>11208</v>
      </c>
      <c r="B4053" s="2" t="s">
        <v>11209</v>
      </c>
      <c r="C4053" s="2" t="s">
        <v>11209</v>
      </c>
      <c r="D4053" s="4" t="str">
        <f>vlookup(A4053, Sheet2!D:E, 2, 0)</f>
        <v>control</v>
      </c>
      <c r="E4053" s="4" t="str">
        <f>IFERROR(__xludf.DUMMYFUNCTION("if(H4053=""pays"",vlookup(REGEXEXTRACT(C4053, ""🏘️ \w+ \w+ (.*) ✅""),'Country prepositions'!A:B, 2, 0) &amp; "" "" &amp; REGEXEXTRACT(C4053, ""🏘️ \w+ \w+ (.*) ✅"") ,  if(H4053=""quartier"",vlookup(REGEXEXTRACT(C4053, ""🏘️ \w+ \w+ (.*) ✅""),'Quartier prepositio"&amp;"ns'!A:E, 5, 0) ,  if(H4053=""region"",vlookup(REGEXEXTRACT(C4053, ""🏘️ \w+ \w+ (.*) ✅""),'Region prepositions'!B:F, 5, 0),  REGEXEXTRACT(C4053, ""🏘️ \w+ \w+ (.*) ✅""))))"),"#N/A")</f>
        <v>#N/A</v>
      </c>
      <c r="I4053" s="4" t="str">
        <f>IFERROR(__xludf.DUMMYFUNCTION("if(D4053=""variant"",  substitute(filter(Templates!E:E, Templates!A:A = F4053, Templates!B:B = G4053, Templates!C:C = H4053), ""{{}}"", E4053), B4053)"),"Louer appartement La Chaux-de-Fonds: Trouvez le bien immobilier qui correspond idéalement à vos désirs sur ImmoScout24 - La plateforme de l'immobilier en Suisse.")</f>
        <v>Louer appartement La Chaux-de-Fonds: Trouvez le bien immobilier qui correspond idéalement à vos désirs sur ImmoScout24 - La plateforme de l'immobilier en Suisse.</v>
      </c>
    </row>
    <row r="4054" hidden="1">
      <c r="A4054" s="5" t="s">
        <v>11210</v>
      </c>
      <c r="B4054" s="2" t="s">
        <v>11211</v>
      </c>
      <c r="C4054" s="2" t="s">
        <v>11211</v>
      </c>
      <c r="D4054" s="4" t="str">
        <f>vlookup(A4054, Sheet2!D:E, 2, 0)</f>
        <v>control</v>
      </c>
      <c r="E4054" s="4" t="str">
        <f>IFERROR(__xludf.DUMMYFUNCTION("if(H4054=""pays"",vlookup(REGEXEXTRACT(C4054, ""🏘️ \w+ \w+ (.*) ✅""),'Country prepositions'!A:B, 2, 0) &amp; "" "" &amp; REGEXEXTRACT(C4054, ""🏘️ \w+ \w+ (.*) ✅"") ,  if(H4054=""quartier"",vlookup(REGEXEXTRACT(C4054, ""🏘️ \w+ \w+ (.*) ✅""),'Quartier prepositio"&amp;"ns'!A:E, 5, 0) ,  if(H4054=""region"",vlookup(REGEXEXTRACT(C4054, ""🏘️ \w+ \w+ (.*) ✅""),'Region prepositions'!B:F, 5, 0),  REGEXEXTRACT(C4054, ""🏘️ \w+ \w+ (.*) ✅""))))"),"#N/A")</f>
        <v>#N/A</v>
      </c>
      <c r="I4054" s="4" t="str">
        <f>IFERROR(__xludf.DUMMYFUNCTION("if(D4054=""variant"",  substitute(filter(Templates!E:E, Templates!A:A = F4054, Templates!B:B = G4054, Templates!C:C = H4054), ""{{}}"", E4054), B4054)"),"Vendre appartement Embrach: Trouvez le bien immobilier qui correspond idéalement à vos désirs sur ImmoScout24 - La plateforme de l'immobilier en Suisse.")</f>
        <v>Vendre appartement Embrach: Trouvez le bien immobilier qui correspond idéalement à vos désirs sur ImmoScout24 - La plateforme de l'immobilier en Suisse.</v>
      </c>
    </row>
    <row r="4055" hidden="1">
      <c r="A4055" s="5" t="s">
        <v>11212</v>
      </c>
      <c r="B4055" s="2" t="s">
        <v>11213</v>
      </c>
      <c r="C4055" s="2" t="s">
        <v>11213</v>
      </c>
      <c r="D4055" s="4" t="str">
        <f>vlookup(A4055, Sheet2!D:E, 2, 0)</f>
        <v>control</v>
      </c>
      <c r="E4055" s="4" t="str">
        <f>IFERROR(__xludf.DUMMYFUNCTION("if(H4055=""pays"",vlookup(REGEXEXTRACT(C4055, ""🏘️ \w+ \w+ (.*) ✅""),'Country prepositions'!A:B, 2, 0) &amp; "" "" &amp; REGEXEXTRACT(C4055, ""🏘️ \w+ \w+ (.*) ✅"") ,  if(H4055=""quartier"",vlookup(REGEXEXTRACT(C4055, ""🏘️ \w+ \w+ (.*) ✅""),'Quartier prepositio"&amp;"ns'!A:E, 5, 0) ,  if(H4055=""region"",vlookup(REGEXEXTRACT(C4055, ""🏘️ \w+ \w+ (.*) ✅""),'Region prepositions'!B:F, 5, 0),  REGEXEXTRACT(C4055, ""🏘️ \w+ \w+ (.*) ✅""))))"),"#N/A")</f>
        <v>#N/A</v>
      </c>
      <c r="I4055" s="4" t="str">
        <f>IFERROR(__xludf.DUMMYFUNCTION("if(D4055=""variant"",  substitute(filter(Templates!E:E, Templates!A:A = F4055, Templates!B:B = G4055, Templates!C:C = H4055), ""{{}}"", E4055), B4055)"),"Vendre appartement Chailly-Montreux: Trouvez le bien immobilier qui correspond idéalement à vos désirs sur ImmoScout24 - La plateforme de l'immobilier en Suisse.")</f>
        <v>Vendre appartement Chailly-Montreux: Trouvez le bien immobilier qui correspond idéalement à vos désirs sur ImmoScout24 - La plateforme de l'immobilier en Suisse.</v>
      </c>
    </row>
    <row r="4056" hidden="1">
      <c r="A4056" s="5" t="s">
        <v>11214</v>
      </c>
      <c r="B4056" s="2" t="s">
        <v>11215</v>
      </c>
      <c r="C4056" s="2" t="s">
        <v>11215</v>
      </c>
      <c r="D4056" s="4" t="str">
        <f>vlookup(A4056, Sheet2!D:E, 2, 0)</f>
        <v>control</v>
      </c>
      <c r="E4056" s="4" t="str">
        <f>IFERROR(__xludf.DUMMYFUNCTION("if(H4056=""pays"",vlookup(REGEXEXTRACT(C4056, ""🏘️ \w+ \w+ (.*) ✅""),'Country prepositions'!A:B, 2, 0) &amp; "" "" &amp; REGEXEXTRACT(C4056, ""🏘️ \w+ \w+ (.*) ✅"") ,  if(H4056=""quartier"",vlookup(REGEXEXTRACT(C4056, ""🏘️ \w+ \w+ (.*) ✅""),'Quartier prepositio"&amp;"ns'!A:E, 5, 0) ,  if(H4056=""region"",vlookup(REGEXEXTRACT(C4056, ""🏘️ \w+ \w+ (.*) ✅""),'Region prepositions'!B:F, 5, 0),  REGEXEXTRACT(C4056, ""🏘️ \w+ \w+ (.*) ✅""))))"),"#N/A")</f>
        <v>#N/A</v>
      </c>
      <c r="I4056" s="4" t="str">
        <f>IFERROR(__xludf.DUMMYFUNCTION("if(D4056=""variant"",  substitute(filter(Templates!E:E, Templates!A:A = F4056, Templates!B:B = G4056, Templates!C:C = H4056), ""{{}}"", E4056), B4056)"),"Louer maison Nyon: Trouvez le bien immobilier qui correspond idéalement à vos désirs sur ImmoScout24 - La plateforme de l'immobilier en Suisse.")</f>
        <v>Louer maison Nyon: Trouvez le bien immobilier qui correspond idéalement à vos désirs sur ImmoScout24 - La plateforme de l'immobilier en Suisse.</v>
      </c>
    </row>
    <row r="4057" hidden="1">
      <c r="A4057" s="5" t="s">
        <v>11216</v>
      </c>
      <c r="B4057" s="2" t="s">
        <v>11217</v>
      </c>
      <c r="C4057" s="2" t="s">
        <v>11217</v>
      </c>
      <c r="D4057" s="4" t="str">
        <f>vlookup(A4057, Sheet2!D:E, 2, 0)</f>
        <v>control</v>
      </c>
      <c r="E4057" s="4" t="str">
        <f>IFERROR(__xludf.DUMMYFUNCTION("if(H4057=""pays"",vlookup(REGEXEXTRACT(C4057, ""🏘️ \w+ \w+ (.*) ✅""),'Country prepositions'!A:B, 2, 0) &amp; "" "" &amp; REGEXEXTRACT(C4057, ""🏘️ \w+ \w+ (.*) ✅"") ,  if(H4057=""quartier"",vlookup(REGEXEXTRACT(C4057, ""🏘️ \w+ \w+ (.*) ✅""),'Quartier prepositio"&amp;"ns'!A:E, 5, 0) ,  if(H4057=""region"",vlookup(REGEXEXTRACT(C4057, ""🏘️ \w+ \w+ (.*) ✅""),'Region prepositions'!B:F, 5, 0),  REGEXEXTRACT(C4057, ""🏘️ \w+ \w+ (.*) ✅""))))"),"#N/A")</f>
        <v>#N/A</v>
      </c>
      <c r="I4057" s="4" t="str">
        <f>IFERROR(__xludf.DUMMYFUNCTION("if(D4057=""variant"",  substitute(filter(Templates!E:E, Templates!A:A = F4057, Templates!B:B = G4057, Templates!C:C = H4057), ""{{}}"", E4057), B4057)"),"Vendre appartement Silvaplana-Surlej: Trouvez le bien immobilier qui correspond idéalement à vos désirs sur ImmoScout24 - La plateforme de l'immobilier en Suisse.")</f>
        <v>Vendre appartement Silvaplana-Surlej: Trouvez le bien immobilier qui correspond idéalement à vos désirs sur ImmoScout24 - La plateforme de l'immobilier en Suisse.</v>
      </c>
    </row>
    <row r="4058" hidden="1">
      <c r="A4058" s="5" t="s">
        <v>11218</v>
      </c>
      <c r="B4058" s="2" t="s">
        <v>11219</v>
      </c>
      <c r="C4058" s="2" t="s">
        <v>11219</v>
      </c>
      <c r="D4058" s="4" t="str">
        <f>vlookup(A4058, Sheet2!D:E, 2, 0)</f>
        <v>control</v>
      </c>
      <c r="E4058" s="4" t="str">
        <f>IFERROR(__xludf.DUMMYFUNCTION("if(H4058=""pays"",vlookup(REGEXEXTRACT(C4058, ""🏘️ \w+ \w+ (.*) ✅""),'Country prepositions'!A:B, 2, 0) &amp; "" "" &amp; REGEXEXTRACT(C4058, ""🏘️ \w+ \w+ (.*) ✅"") ,  if(H4058=""quartier"",vlookup(REGEXEXTRACT(C4058, ""🏘️ \w+ \w+ (.*) ✅""),'Quartier prepositio"&amp;"ns'!A:E, 5, 0) ,  if(H4058=""region"",vlookup(REGEXEXTRACT(C4058, ""🏘️ \w+ \w+ (.*) ✅""),'Region prepositions'!B:F, 5, 0),  REGEXEXTRACT(C4058, ""🏘️ \w+ \w+ (.*) ✅""))))"),"#N/A")</f>
        <v>#N/A</v>
      </c>
      <c r="I4058" s="4" t="str">
        <f>IFERROR(__xludf.DUMMYFUNCTION("if(D4058=""variant"",  substitute(filter(Templates!E:E, Templates!A:A = F4058, Templates!B:B = G4058, Templates!C:C = H4058), ""{{}}"", E4058), B4058)"),"Louer appartement Grandvillard: Trouvez le bien immobilier qui correspond idéalement à vos désirs sur ImmoScout24 - La plateforme de l'immobilier en Suisse.")</f>
        <v>Louer appartement Grandvillard: Trouvez le bien immobilier qui correspond idéalement à vos désirs sur ImmoScout24 - La plateforme de l'immobilier en Suisse.</v>
      </c>
    </row>
    <row r="4059" hidden="1">
      <c r="A4059" s="5" t="s">
        <v>11220</v>
      </c>
      <c r="B4059" s="2" t="s">
        <v>11221</v>
      </c>
      <c r="C4059" s="2" t="s">
        <v>11221</v>
      </c>
      <c r="D4059" s="4" t="str">
        <f>vlookup(A4059, Sheet2!D:E, 2, 0)</f>
        <v>control</v>
      </c>
      <c r="E4059" s="4" t="str">
        <f>IFERROR(__xludf.DUMMYFUNCTION("if(H4059=""pays"",vlookup(REGEXEXTRACT(C4059, ""🏘️ \w+ \w+ (.*) ✅""),'Country prepositions'!A:B, 2, 0) &amp; "" "" &amp; REGEXEXTRACT(C4059, ""🏘️ \w+ \w+ (.*) ✅"") ,  if(H4059=""quartier"",vlookup(REGEXEXTRACT(C4059, ""🏘️ \w+ \w+ (.*) ✅""),'Quartier prepositio"&amp;"ns'!A:E, 5, 0) ,  if(H4059=""region"",vlookup(REGEXEXTRACT(C4059, ""🏘️ \w+ \w+ (.*) ✅""),'Region prepositions'!B:F, 5, 0),  REGEXEXTRACT(C4059, ""🏘️ \w+ \w+ (.*) ✅""))))"),"#N/A")</f>
        <v>#N/A</v>
      </c>
      <c r="I4059" s="4" t="str">
        <f>IFERROR(__xludf.DUMMYFUNCTION("if(D4059=""variant"",  substitute(filter(Templates!E:E, Templates!A:A = F4059, Templates!B:B = G4059, Templates!C:C = H4059), ""{{}}"", E4059), B4059)"),"Vendre appartement Loreto (Lugano): Trouvez le bien immobilier qui correspond idéalement à vos désirs sur ImmoScout24 - La plateforme de l'immobilier en Suisse.")</f>
        <v>Vendre appartement Loreto (Lugano): Trouvez le bien immobilier qui correspond idéalement à vos désirs sur ImmoScout24 - La plateforme de l'immobilier en Suisse.</v>
      </c>
    </row>
    <row r="4060" hidden="1">
      <c r="A4060" s="5" t="s">
        <v>11222</v>
      </c>
      <c r="B4060" s="2" t="s">
        <v>11223</v>
      </c>
      <c r="C4060" s="2" t="s">
        <v>11223</v>
      </c>
      <c r="D4060" s="4" t="str">
        <f>vlookup(A4060, Sheet2!D:E, 2, 0)</f>
        <v>control</v>
      </c>
      <c r="E4060" s="4" t="str">
        <f>IFERROR(__xludf.DUMMYFUNCTION("if(H4060=""pays"",vlookup(REGEXEXTRACT(C4060, ""🏘️ \w+ \w+ (.*) ✅""),'Country prepositions'!A:B, 2, 0) &amp; "" "" &amp; REGEXEXTRACT(C4060, ""🏘️ \w+ \w+ (.*) ✅"") ,  if(H4060=""quartier"",vlookup(REGEXEXTRACT(C4060, ""🏘️ \w+ \w+ (.*) ✅""),'Quartier prepositio"&amp;"ns'!A:E, 5, 0) ,  if(H4060=""region"",vlookup(REGEXEXTRACT(C4060, ""🏘️ \w+ \w+ (.*) ✅""),'Region prepositions'!B:F, 5, 0),  REGEXEXTRACT(C4060, ""🏘️ \w+ \w+ (.*) ✅""))))"),"#N/A")</f>
        <v>#N/A</v>
      </c>
      <c r="I4060" s="4" t="str">
        <f>IFERROR(__xludf.DUMMYFUNCTION("if(D4060=""variant"",  substitute(filter(Templates!E:E, Templates!A:A = F4060, Templates!B:B = G4060, Templates!C:C = H4060), ""{{}}"", E4060), B4060)"),"Vendre maison Maur: Trouvez le bien immobilier qui correspond idéalement à vos désirs sur ImmoScout24 - La plateforme de l'immobilier en Suisse.")</f>
        <v>Vendre maison Maur: Trouvez le bien immobilier qui correspond idéalement à vos désirs sur ImmoScout24 - La plateforme de l'immobilier en Suisse.</v>
      </c>
    </row>
    <row r="4061" hidden="1">
      <c r="A4061" s="5" t="s">
        <v>11224</v>
      </c>
      <c r="B4061" s="2" t="s">
        <v>11225</v>
      </c>
      <c r="C4061" s="2" t="s">
        <v>11225</v>
      </c>
      <c r="D4061" s="4" t="str">
        <f>vlookup(A4061, Sheet2!D:E, 2, 0)</f>
        <v>control</v>
      </c>
      <c r="E4061" s="4" t="str">
        <f>IFERROR(__xludf.DUMMYFUNCTION("if(H4061=""pays"",vlookup(REGEXEXTRACT(C4061, ""🏘️ \w+ \w+ (.*) ✅""),'Country prepositions'!A:B, 2, 0) &amp; "" "" &amp; REGEXEXTRACT(C4061, ""🏘️ \w+ \w+ (.*) ✅"") ,  if(H4061=""quartier"",vlookup(REGEXEXTRACT(C4061, ""🏘️ \w+ \w+ (.*) ✅""),'Quartier prepositio"&amp;"ns'!A:E, 5, 0) ,  if(H4061=""region"",vlookup(REGEXEXTRACT(C4061, ""🏘️ \w+ \w+ (.*) ✅""),'Region prepositions'!B:F, 5, 0),  REGEXEXTRACT(C4061, ""🏘️ \w+ \w+ (.*) ✅""))))"),"#N/A")</f>
        <v>#N/A</v>
      </c>
      <c r="I4061" s="4" t="str">
        <f>IFERROR(__xludf.DUMMYFUNCTION("if(D4061=""variant"",  substitute(filter(Templates!E:E, Templates!A:A = F4061, Templates!B:B = G4061, Templates!C:C = H4061), ""{{}}"", E4061), B4061)"),"Vendre appartement Sion: Trouvez le bien immobilier qui correspond idéalement à vos désirs sur ImmoScout24 - La plateforme de l'immobilier en Suisse.")</f>
        <v>Vendre appartement Sion: Trouvez le bien immobilier qui correspond idéalement à vos désirs sur ImmoScout24 - La plateforme de l'immobilier en Suisse.</v>
      </c>
    </row>
    <row r="4062" hidden="1">
      <c r="A4062" s="5" t="s">
        <v>11226</v>
      </c>
      <c r="B4062" s="2" t="s">
        <v>11227</v>
      </c>
      <c r="C4062" s="2" t="s">
        <v>11227</v>
      </c>
      <c r="D4062" s="4" t="str">
        <f>vlookup(A4062, Sheet2!D:E, 2, 0)</f>
        <v>control</v>
      </c>
      <c r="E4062" s="4" t="str">
        <f>IFERROR(__xludf.DUMMYFUNCTION("if(H4062=""pays"",vlookup(REGEXEXTRACT(C4062, ""🏘️ \w+ \w+ (.*) ✅""),'Country prepositions'!A:B, 2, 0) &amp; "" "" &amp; REGEXEXTRACT(C4062, ""🏘️ \w+ \w+ (.*) ✅"") ,  if(H4062=""quartier"",vlookup(REGEXEXTRACT(C4062, ""🏘️ \w+ \w+ (.*) ✅""),'Quartier prepositio"&amp;"ns'!A:E, 5, 0) ,  if(H4062=""region"",vlookup(REGEXEXTRACT(C4062, ""🏘️ \w+ \w+ (.*) ✅""),'Region prepositions'!B:F, 5, 0),  REGEXEXTRACT(C4062, ""🏘️ \w+ \w+ (.*) ✅""))))"),"#N/A")</f>
        <v>#N/A</v>
      </c>
      <c r="I4062" s="4" t="str">
        <f>IFERROR(__xludf.DUMMYFUNCTION("if(D4062=""variant"",  substitute(filter(Templates!E:E, Templates!A:A = F4062, Templates!B:B = G4062, Templates!C:C = H4062), ""{{}}"", E4062), B4062)"),"Vendre maison Les Thioleyres: Trouvez le bien immobilier qui correspond idéalement à vos désirs sur ImmoScout24 - La plateforme de l'immobilier en Suisse.")</f>
        <v>Vendre maison Les Thioleyres: Trouvez le bien immobilier qui correspond idéalement à vos désirs sur ImmoScout24 - La plateforme de l'immobilier en Suisse.</v>
      </c>
    </row>
    <row r="4063" hidden="1">
      <c r="A4063" s="5" t="s">
        <v>11228</v>
      </c>
      <c r="B4063" s="2" t="s">
        <v>11229</v>
      </c>
      <c r="C4063" s="2" t="s">
        <v>11229</v>
      </c>
      <c r="D4063" s="4" t="str">
        <f>vlookup(A4063, Sheet2!D:E, 2, 0)</f>
        <v>control</v>
      </c>
      <c r="E4063" s="4" t="str">
        <f>IFERROR(__xludf.DUMMYFUNCTION("if(H4063=""pays"",vlookup(REGEXEXTRACT(C4063, ""🏘️ \w+ \w+ (.*) ✅""),'Country prepositions'!A:B, 2, 0) &amp; "" "" &amp; REGEXEXTRACT(C4063, ""🏘️ \w+ \w+ (.*) ✅"") ,  if(H4063=""quartier"",vlookup(REGEXEXTRACT(C4063, ""🏘️ \w+ \w+ (.*) ✅""),'Quartier prepositio"&amp;"ns'!A:E, 5, 0) ,  if(H4063=""region"",vlookup(REGEXEXTRACT(C4063, ""🏘️ \w+ \w+ (.*) ✅""),'Region prepositions'!B:F, 5, 0),  REGEXEXTRACT(C4063, ""🏘️ \w+ \w+ (.*) ✅""))))"),"#N/A")</f>
        <v>#N/A</v>
      </c>
      <c r="I4063" s="4" t="str">
        <f>IFERROR(__xludf.DUMMYFUNCTION("if(D4063=""variant"",  substitute(filter(Templates!E:E, Templates!A:A = F4063, Templates!B:B = G4063, Templates!C:C = H4063), ""{{}}"", E4063), B4063)"),"Vendre maison Zollikon: Trouvez le bien immobilier qui correspond idéalement à vos désirs sur ImmoScout24 - La plateforme de l'immobilier en Suisse.")</f>
        <v>Vendre maison Zollikon: Trouvez le bien immobilier qui correspond idéalement à vos désirs sur ImmoScout24 - La plateforme de l'immobilier en Suisse.</v>
      </c>
    </row>
    <row r="4064" hidden="1">
      <c r="A4064" s="5" t="s">
        <v>11230</v>
      </c>
      <c r="B4064" s="2" t="s">
        <v>11231</v>
      </c>
      <c r="C4064" s="2" t="s">
        <v>11231</v>
      </c>
      <c r="D4064" s="4" t="str">
        <f>vlookup(A4064, Sheet2!D:E, 2, 0)</f>
        <v>control</v>
      </c>
      <c r="E4064" s="4" t="str">
        <f>IFERROR(__xludf.DUMMYFUNCTION("if(H4064=""pays"",vlookup(REGEXEXTRACT(C4064, ""🏘️ \w+ \w+ (.*) ✅""),'Country prepositions'!A:B, 2, 0) &amp; "" "" &amp; REGEXEXTRACT(C4064, ""🏘️ \w+ \w+ (.*) ✅"") ,  if(H4064=""quartier"",vlookup(REGEXEXTRACT(C4064, ""🏘️ \w+ \w+ (.*) ✅""),'Quartier prepositio"&amp;"ns'!A:E, 5, 0) ,  if(H4064=""region"",vlookup(REGEXEXTRACT(C4064, ""🏘️ \w+ \w+ (.*) ✅""),'Region prepositions'!B:F, 5, 0),  REGEXEXTRACT(C4064, ""🏘️ \w+ \w+ (.*) ✅""))))"),"#N/A")</f>
        <v>#N/A</v>
      </c>
      <c r="I4064" s="4" t="str">
        <f>IFERROR(__xludf.DUMMYFUNCTION("if(D4064=""variant"",  substitute(filter(Templates!E:E, Templates!A:A = F4064, Templates!B:B = G4064, Templates!C:C = H4064), ""{{}}"", E4064), B4064)"),"Vendre appartement Samstagern: Trouvez le bien immobilier qui correspond idéalement à vos désirs sur ImmoScout24 - La plateforme de l'immobilier en Suisse.")</f>
        <v>Vendre appartement Samstagern: Trouvez le bien immobilier qui correspond idéalement à vos désirs sur ImmoScout24 - La plateforme de l'immobilier en Suisse.</v>
      </c>
    </row>
    <row r="4065" hidden="1">
      <c r="A4065" s="5" t="s">
        <v>11232</v>
      </c>
      <c r="B4065" s="2" t="s">
        <v>11233</v>
      </c>
      <c r="C4065" s="2" t="s">
        <v>11233</v>
      </c>
      <c r="D4065" s="4" t="str">
        <f>vlookup(A4065, Sheet2!D:E, 2, 0)</f>
        <v>control</v>
      </c>
      <c r="E4065" s="4" t="str">
        <f>IFERROR(__xludf.DUMMYFUNCTION("if(H4065=""pays"",vlookup(REGEXEXTRACT(C4065, ""🏘️ \w+ \w+ (.*) ✅""),'Country prepositions'!A:B, 2, 0) &amp; "" "" &amp; REGEXEXTRACT(C4065, ""🏘️ \w+ \w+ (.*) ✅"") ,  if(H4065=""quartier"",vlookup(REGEXEXTRACT(C4065, ""🏘️ \w+ \w+ (.*) ✅""),'Quartier prepositio"&amp;"ns'!A:E, 5, 0) ,  if(H4065=""region"",vlookup(REGEXEXTRACT(C4065, ""🏘️ \w+ \w+ (.*) ✅""),'Region prepositions'!B:F, 5, 0),  REGEXEXTRACT(C4065, ""🏘️ \w+ \w+ (.*) ✅""))))"),"#N/A")</f>
        <v>#N/A</v>
      </c>
      <c r="I4065" s="4" t="str">
        <f>IFERROR(__xludf.DUMMYFUNCTION("if(D4065=""variant"",  substitute(filter(Templates!E:E, Templates!A:A = F4065, Templates!B:B = G4065, Templates!C:C = H4065), ""{{}}"", E4065), B4065)"),"Louer appartement Les Bois: Trouvez le bien immobilier qui correspond idéalement à vos désirs sur ImmoScout24 - La plateforme de l'immobilier en Suisse.")</f>
        <v>Louer appartement Les Bois: Trouvez le bien immobilier qui correspond idéalement à vos désirs sur ImmoScout24 - La plateforme de l'immobilier en Suisse.</v>
      </c>
    </row>
    <row r="4066" hidden="1">
      <c r="A4066" s="5" t="s">
        <v>11234</v>
      </c>
      <c r="B4066" s="2" t="s">
        <v>11235</v>
      </c>
      <c r="C4066" s="2" t="s">
        <v>11235</v>
      </c>
      <c r="D4066" s="4" t="str">
        <f>vlookup(A4066, Sheet2!D:E, 2, 0)</f>
        <v>control</v>
      </c>
      <c r="E4066" s="4" t="str">
        <f>IFERROR(__xludf.DUMMYFUNCTION("if(H4066=""pays"",vlookup(REGEXEXTRACT(C4066, ""🏘️ \w+ \w+ (.*) ✅""),'Country prepositions'!A:B, 2, 0) &amp; "" "" &amp; REGEXEXTRACT(C4066, ""🏘️ \w+ \w+ (.*) ✅"") ,  if(H4066=""quartier"",vlookup(REGEXEXTRACT(C4066, ""🏘️ \w+ \w+ (.*) ✅""),'Quartier prepositio"&amp;"ns'!A:E, 5, 0) ,  if(H4066=""region"",vlookup(REGEXEXTRACT(C4066, ""🏘️ \w+ \w+ (.*) ✅""),'Region prepositions'!B:F, 5, 0),  REGEXEXTRACT(C4066, ""🏘️ \w+ \w+ (.*) ✅""))))"),"#N/A")</f>
        <v>#N/A</v>
      </c>
      <c r="I4066" s="4" t="str">
        <f>IFERROR(__xludf.DUMMYFUNCTION("if(D4066=""variant"",  substitute(filter(Templates!E:E, Templates!A:A = F4066, Templates!B:B = G4066, Templates!C:C = H4066), ""{{}}"", E4066), B4066)"),"Louer appartement Oberwil-Lieli: Trouvez le bien immobilier qui correspond idéalement à vos désirs sur ImmoScout24 - La plateforme de l'immobilier en Suisse.")</f>
        <v>Louer appartement Oberwil-Lieli: Trouvez le bien immobilier qui correspond idéalement à vos désirs sur ImmoScout24 - La plateforme de l'immobilier en Suisse.</v>
      </c>
    </row>
    <row r="4067" hidden="1">
      <c r="A4067" s="5" t="s">
        <v>11236</v>
      </c>
      <c r="B4067" s="2" t="s">
        <v>11237</v>
      </c>
      <c r="C4067" s="2" t="s">
        <v>11237</v>
      </c>
      <c r="D4067" s="4" t="str">
        <f>vlookup(A4067, Sheet2!D:E, 2, 0)</f>
        <v>control</v>
      </c>
      <c r="E4067" s="4" t="str">
        <f>IFERROR(__xludf.DUMMYFUNCTION("if(H4067=""pays"",vlookup(REGEXEXTRACT(C4067, ""🏘️ \w+ \w+ (.*) ✅""),'Country prepositions'!A:B, 2, 0) &amp; "" "" &amp; REGEXEXTRACT(C4067, ""🏘️ \w+ \w+ (.*) ✅"") ,  if(H4067=""quartier"",vlookup(REGEXEXTRACT(C4067, ""🏘️ \w+ \w+ (.*) ✅""),'Quartier prepositio"&amp;"ns'!A:E, 5, 0) ,  if(H4067=""region"",vlookup(REGEXEXTRACT(C4067, ""🏘️ \w+ \w+ (.*) ✅""),'Region prepositions'!B:F, 5, 0),  REGEXEXTRACT(C4067, ""🏘️ \w+ \w+ (.*) ✅""))))"),"#N/A")</f>
        <v>#N/A</v>
      </c>
      <c r="I4067" s="4" t="str">
        <f>IFERROR(__xludf.DUMMYFUNCTION("if(D4067=""variant"",  substitute(filter(Templates!E:E, Templates!A:A = F4067, Templates!B:B = G4067, Templates!C:C = H4067), ""{{}}"", E4067), B4067)"),"Vendre maison Kirchdorf BE: Trouvez le bien immobilier qui correspond idéalement à vos désirs sur ImmoScout24 - La plateforme de l'immobilier en Suisse.")</f>
        <v>Vendre maison Kirchdorf BE: Trouvez le bien immobilier qui correspond idéalement à vos désirs sur ImmoScout24 - La plateforme de l'immobilier en Suisse.</v>
      </c>
    </row>
    <row r="4068" hidden="1">
      <c r="A4068" s="5" t="s">
        <v>11238</v>
      </c>
      <c r="B4068" s="2" t="s">
        <v>11239</v>
      </c>
      <c r="C4068" s="2" t="s">
        <v>11239</v>
      </c>
      <c r="D4068" s="4" t="str">
        <f>vlookup(A4068, Sheet2!D:E, 2, 0)</f>
        <v>control</v>
      </c>
      <c r="E4068" s="4" t="str">
        <f>IFERROR(__xludf.DUMMYFUNCTION("if(H4068=""pays"",vlookup(REGEXEXTRACT(C4068, ""🏘️ \w+ \w+ (.*) ✅""),'Country prepositions'!A:B, 2, 0) &amp; "" "" &amp; REGEXEXTRACT(C4068, ""🏘️ \w+ \w+ (.*) ✅"") ,  if(H4068=""quartier"",vlookup(REGEXEXTRACT(C4068, ""🏘️ \w+ \w+ (.*) ✅""),'Quartier prepositio"&amp;"ns'!A:E, 5, 0) ,  if(H4068=""region"",vlookup(REGEXEXTRACT(C4068, ""🏘️ \w+ \w+ (.*) ✅""),'Region prepositions'!B:F, 5, 0),  REGEXEXTRACT(C4068, ""🏘️ \w+ \w+ (.*) ✅""))))"),"#N/A")</f>
        <v>#N/A</v>
      </c>
      <c r="I4068" s="4" t="str">
        <f>IFERROR(__xludf.DUMMYFUNCTION("if(D4068=""variant"",  substitute(filter(Templates!E:E, Templates!A:A = F4068, Templates!B:B = G4068, Templates!C:C = H4068), ""{{}}"", E4068), B4068)"),"Louer appartement Welschenrohr: Trouvez le bien immobilier qui correspond idéalement à vos désirs sur ImmoScout24 - La plateforme de l'immobilier en Suisse.")</f>
        <v>Louer appartement Welschenrohr: Trouvez le bien immobilier qui correspond idéalement à vos désirs sur ImmoScout24 - La plateforme de l'immobilier en Suisse.</v>
      </c>
    </row>
    <row r="4069" hidden="1">
      <c r="A4069" s="5" t="s">
        <v>11240</v>
      </c>
      <c r="B4069" s="2" t="s">
        <v>11241</v>
      </c>
      <c r="C4069" s="2" t="s">
        <v>11241</v>
      </c>
      <c r="D4069" s="4" t="str">
        <f>vlookup(A4069, Sheet2!D:E, 2, 0)</f>
        <v>control</v>
      </c>
      <c r="E4069" s="4" t="str">
        <f>IFERROR(__xludf.DUMMYFUNCTION("if(H4069=""pays"",vlookup(REGEXEXTRACT(C4069, ""🏘️ \w+ \w+ (.*) ✅""),'Country prepositions'!A:B, 2, 0) &amp; "" "" &amp; REGEXEXTRACT(C4069, ""🏘️ \w+ \w+ (.*) ✅"") ,  if(H4069=""quartier"",vlookup(REGEXEXTRACT(C4069, ""🏘️ \w+ \w+ (.*) ✅""),'Quartier prepositio"&amp;"ns'!A:E, 5, 0) ,  if(H4069=""region"",vlookup(REGEXEXTRACT(C4069, ""🏘️ \w+ \w+ (.*) ✅""),'Region prepositions'!B:F, 5, 0),  REGEXEXTRACT(C4069, ""🏘️ \w+ \w+ (.*) ✅""))))"),"#N/A")</f>
        <v>#N/A</v>
      </c>
      <c r="I4069" s="4" t="str">
        <f>IFERROR(__xludf.DUMMYFUNCTION("if(D4069=""variant"",  substitute(filter(Templates!E:E, Templates!A:A = F4069, Templates!B:B = G4069, Templates!C:C = H4069), ""{{}}"", E4069), B4069)"),"Louer appartement Rue: Trouvez le bien immobilier qui correspond idéalement à vos désirs sur ImmoScout24 - La plateforme de l'immobilier en Suisse.")</f>
        <v>Louer appartement Rue: Trouvez le bien immobilier qui correspond idéalement à vos désirs sur ImmoScout24 - La plateforme de l'immobilier en Suisse.</v>
      </c>
    </row>
    <row r="4070" hidden="1">
      <c r="A4070" s="5" t="s">
        <v>11242</v>
      </c>
      <c r="B4070" s="2" t="s">
        <v>11243</v>
      </c>
      <c r="C4070" s="2" t="s">
        <v>11243</v>
      </c>
      <c r="D4070" s="4" t="str">
        <f>vlookup(A4070, Sheet2!D:E, 2, 0)</f>
        <v>control</v>
      </c>
      <c r="E4070" s="4" t="str">
        <f>IFERROR(__xludf.DUMMYFUNCTION("if(H4070=""pays"",vlookup(REGEXEXTRACT(C4070, ""🏘️ \w+ \w+ (.*) ✅""),'Country prepositions'!A:B, 2, 0) &amp; "" "" &amp; REGEXEXTRACT(C4070, ""🏘️ \w+ \w+ (.*) ✅"") ,  if(H4070=""quartier"",vlookup(REGEXEXTRACT(C4070, ""🏘️ \w+ \w+ (.*) ✅""),'Quartier prepositio"&amp;"ns'!A:E, 5, 0) ,  if(H4070=""region"",vlookup(REGEXEXTRACT(C4070, ""🏘️ \w+ \w+ (.*) ✅""),'Region prepositions'!B:F, 5, 0),  REGEXEXTRACT(C4070, ""🏘️ \w+ \w+ (.*) ✅""))))"),"#N/A")</f>
        <v>#N/A</v>
      </c>
      <c r="I4070" s="4" t="str">
        <f>IFERROR(__xludf.DUMMYFUNCTION("if(D4070=""variant"",  substitute(filter(Templates!E:E, Templates!A:A = F4070, Templates!B:B = G4070, Templates!C:C = H4070), ""{{}}"", E4070), B4070)"),"Louer appartement Billens: Trouvez le bien immobilier qui correspond idéalement à vos désirs sur ImmoScout24 - La plateforme de l'immobilier en Suisse.")</f>
        <v>Louer appartement Billens: Trouvez le bien immobilier qui correspond idéalement à vos désirs sur ImmoScout24 - La plateforme de l'immobilier en Suisse.</v>
      </c>
    </row>
    <row r="4071" hidden="1">
      <c r="A4071" s="5" t="s">
        <v>11244</v>
      </c>
      <c r="B4071" s="2" t="s">
        <v>11245</v>
      </c>
      <c r="C4071" s="2" t="s">
        <v>11245</v>
      </c>
      <c r="D4071" s="4" t="str">
        <f>vlookup(A4071, Sheet2!D:E, 2, 0)</f>
        <v>control</v>
      </c>
      <c r="E4071" s="4" t="str">
        <f>IFERROR(__xludf.DUMMYFUNCTION("if(H4071=""pays"",vlookup(REGEXEXTRACT(C4071, ""🏘️ \w+ \w+ (.*) ✅""),'Country prepositions'!A:B, 2, 0) &amp; "" "" &amp; REGEXEXTRACT(C4071, ""🏘️ \w+ \w+ (.*) ✅"") ,  if(H4071=""quartier"",vlookup(REGEXEXTRACT(C4071, ""🏘️ \w+ \w+ (.*) ✅""),'Quartier prepositio"&amp;"ns'!A:E, 5, 0) ,  if(H4071=""region"",vlookup(REGEXEXTRACT(C4071, ""🏘️ \w+ \w+ (.*) ✅""),'Region prepositions'!B:F, 5, 0),  REGEXEXTRACT(C4071, ""🏘️ \w+ \w+ (.*) ✅""))))"),"#N/A")</f>
        <v>#N/A</v>
      </c>
      <c r="I4071" s="4" t="str">
        <f>IFERROR(__xludf.DUMMYFUNCTION("if(D4071=""variant"",  substitute(filter(Templates!E:E, Templates!A:A = F4071, Templates!B:B = G4071, Templates!C:C = H4071), ""{{}}"", E4071), B4071)"),"Louer maison Clarens: Trouvez le bien immobilier qui correspond idéalement à vos désirs sur ImmoScout24 - La plateforme de l'immobilier en Suisse.")</f>
        <v>Louer maison Clarens: Trouvez le bien immobilier qui correspond idéalement à vos désirs sur ImmoScout24 - La plateforme de l'immobilier en Suisse.</v>
      </c>
    </row>
    <row r="4072" hidden="1">
      <c r="A4072" s="5" t="s">
        <v>11246</v>
      </c>
      <c r="B4072" s="2" t="s">
        <v>11247</v>
      </c>
      <c r="C4072" s="2" t="s">
        <v>11247</v>
      </c>
      <c r="D4072" s="4" t="str">
        <f>vlookup(A4072, Sheet2!D:E, 2, 0)</f>
        <v>control</v>
      </c>
      <c r="E4072" s="4" t="str">
        <f>IFERROR(__xludf.DUMMYFUNCTION("if(H4072=""pays"",vlookup(REGEXEXTRACT(C4072, ""🏘️ \w+ \w+ (.*) ✅""),'Country prepositions'!A:B, 2, 0) &amp; "" "" &amp; REGEXEXTRACT(C4072, ""🏘️ \w+ \w+ (.*) ✅"") ,  if(H4072=""quartier"",vlookup(REGEXEXTRACT(C4072, ""🏘️ \w+ \w+ (.*) ✅""),'Quartier prepositio"&amp;"ns'!A:E, 5, 0) ,  if(H4072=""region"",vlookup(REGEXEXTRACT(C4072, ""🏘️ \w+ \w+ (.*) ✅""),'Region prepositions'!B:F, 5, 0),  REGEXEXTRACT(C4072, ""🏘️ \w+ \w+ (.*) ✅""))))"),"#N/A")</f>
        <v>#N/A</v>
      </c>
      <c r="I4072" s="4" t="str">
        <f>IFERROR(__xludf.DUMMYFUNCTION("if(D4072=""variant"",  substitute(filter(Templates!E:E, Templates!A:A = F4072, Templates!B:B = G4072, Templates!C:C = H4072), ""{{}}"", E4072), B4072)"),"Vendre maison Belalp: Trouvez le bien immobilier qui correspond idéalement à vos désirs sur ImmoScout24 - La plateforme de l'immobilier en Suisse.")</f>
        <v>Vendre maison Belalp: Trouvez le bien immobilier qui correspond idéalement à vos désirs sur ImmoScout24 - La plateforme de l'immobilier en Suisse.</v>
      </c>
    </row>
    <row r="4073" hidden="1">
      <c r="A4073" s="5" t="s">
        <v>11248</v>
      </c>
      <c r="B4073" s="2" t="s">
        <v>11249</v>
      </c>
      <c r="C4073" s="2" t="s">
        <v>11249</v>
      </c>
      <c r="D4073" s="4" t="str">
        <f>vlookup(A4073, Sheet2!D:E, 2, 0)</f>
        <v>control</v>
      </c>
      <c r="E4073" s="4" t="str">
        <f>IFERROR(__xludf.DUMMYFUNCTION("if(H4073=""pays"",vlookup(REGEXEXTRACT(C4073, ""🏘️ \w+ \w+ (.*) ✅""),'Country prepositions'!A:B, 2, 0) &amp; "" "" &amp; REGEXEXTRACT(C4073, ""🏘️ \w+ \w+ (.*) ✅"") ,  if(H4073=""quartier"",vlookup(REGEXEXTRACT(C4073, ""🏘️ \w+ \w+ (.*) ✅""),'Quartier prepositio"&amp;"ns'!A:E, 5, 0) ,  if(H4073=""region"",vlookup(REGEXEXTRACT(C4073, ""🏘️ \w+ \w+ (.*) ✅""),'Region prepositions'!B:F, 5, 0),  REGEXEXTRACT(C4073, ""🏘️ \w+ \w+ (.*) ✅""))))"),"#N/A")</f>
        <v>#N/A</v>
      </c>
      <c r="I4073" s="4" t="str">
        <f>IFERROR(__xludf.DUMMYFUNCTION("if(D4073=""variant"",  substitute(filter(Templates!E:E, Templates!A:A = F4073, Templates!B:B = G4073, Templates!C:C = H4073), ""{{}}"", E4073), B4073)"),"Vendre maison Immensee: Trouvez le bien immobilier qui correspond idéalement à vos désirs sur ImmoScout24 - La plateforme de l'immobilier en Suisse.")</f>
        <v>Vendre maison Immensee: Trouvez le bien immobilier qui correspond idéalement à vos désirs sur ImmoScout24 - La plateforme de l'immobilier en Suisse.</v>
      </c>
    </row>
    <row r="4074" hidden="1">
      <c r="A4074" s="5" t="s">
        <v>11250</v>
      </c>
      <c r="B4074" s="2" t="s">
        <v>11251</v>
      </c>
      <c r="C4074" s="2" t="s">
        <v>11251</v>
      </c>
      <c r="D4074" s="4" t="str">
        <f>vlookup(A4074, Sheet2!D:E, 2, 0)</f>
        <v>control</v>
      </c>
      <c r="E4074" s="4" t="str">
        <f>IFERROR(__xludf.DUMMYFUNCTION("if(H4074=""pays"",vlookup(REGEXEXTRACT(C4074, ""🏘️ \w+ \w+ (.*) ✅""),'Country prepositions'!A:B, 2, 0) &amp; "" "" &amp; REGEXEXTRACT(C4074, ""🏘️ \w+ \w+ (.*) ✅"") ,  if(H4074=""quartier"",vlookup(REGEXEXTRACT(C4074, ""🏘️ \w+ \w+ (.*) ✅""),'Quartier prepositio"&amp;"ns'!A:E, 5, 0) ,  if(H4074=""region"",vlookup(REGEXEXTRACT(C4074, ""🏘️ \w+ \w+ (.*) ✅""),'Region prepositions'!B:F, 5, 0),  REGEXEXTRACT(C4074, ""🏘️ \w+ \w+ (.*) ✅""))))"),"#N/A")</f>
        <v>#N/A</v>
      </c>
      <c r="I4074" s="4" t="str">
        <f>IFERROR(__xludf.DUMMYFUNCTION("if(D4074=""variant"",  substitute(filter(Templates!E:E, Templates!A:A = F4074, Templates!B:B = G4074, Templates!C:C = H4074), ""{{}}"", E4074), B4074)"),"Louer appartement Thielle: Trouvez le bien immobilier qui correspond idéalement à vos désirs sur ImmoScout24 - La plateforme de l'immobilier en Suisse.")</f>
        <v>Louer appartement Thielle: Trouvez le bien immobilier qui correspond idéalement à vos désirs sur ImmoScout24 - La plateforme de l'immobilier en Suisse.</v>
      </c>
    </row>
    <row r="4075" hidden="1">
      <c r="A4075" s="5" t="s">
        <v>11252</v>
      </c>
      <c r="B4075" s="2" t="s">
        <v>11253</v>
      </c>
      <c r="C4075" s="2" t="s">
        <v>11253</v>
      </c>
      <c r="D4075" s="4" t="str">
        <f>vlookup(A4075, Sheet2!D:E, 2, 0)</f>
        <v>control</v>
      </c>
      <c r="E4075" s="4" t="str">
        <f>IFERROR(__xludf.DUMMYFUNCTION("if(H4075=""pays"",vlookup(REGEXEXTRACT(C4075, ""🏘️ \w+ \w+ (.*) ✅""),'Country prepositions'!A:B, 2, 0) &amp; "" "" &amp; REGEXEXTRACT(C4075, ""🏘️ \w+ \w+ (.*) ✅"") ,  if(H4075=""quartier"",vlookup(REGEXEXTRACT(C4075, ""🏘️ \w+ \w+ (.*) ✅""),'Quartier prepositio"&amp;"ns'!A:E, 5, 0) ,  if(H4075=""region"",vlookup(REGEXEXTRACT(C4075, ""🏘️ \w+ \w+ (.*) ✅""),'Region prepositions'!B:F, 5, 0),  REGEXEXTRACT(C4075, ""🏘️ \w+ \w+ (.*) ✅""))))"),"#N/A")</f>
        <v>#N/A</v>
      </c>
      <c r="I4075" s="4" t="str">
        <f>IFERROR(__xludf.DUMMYFUNCTION("if(D4075=""variant"",  substitute(filter(Templates!E:E, Templates!A:A = F4075, Templates!B:B = G4075, Templates!C:C = H4075), ""{{}}"", E4075), B4075)"),"Vendre maison Cournillens: Trouvez le bien immobilier qui correspond idéalement à vos désirs sur ImmoScout24 - La plateforme de l'immobilier en Suisse.")</f>
        <v>Vendre maison Cournillens: Trouvez le bien immobilier qui correspond idéalement à vos désirs sur ImmoScout24 - La plateforme de l'immobilier en Suisse.</v>
      </c>
    </row>
    <row r="4076" hidden="1">
      <c r="A4076" s="5" t="s">
        <v>11254</v>
      </c>
      <c r="B4076" s="2" t="s">
        <v>11255</v>
      </c>
      <c r="C4076" s="2" t="s">
        <v>11255</v>
      </c>
      <c r="D4076" s="4" t="str">
        <f>vlookup(A4076, Sheet2!D:E, 2, 0)</f>
        <v>control</v>
      </c>
      <c r="E4076" s="4" t="str">
        <f>IFERROR(__xludf.DUMMYFUNCTION("if(H4076=""pays"",vlookup(REGEXEXTRACT(C4076, ""🏘️ \w+ \w+ (.*) ✅""),'Country prepositions'!A:B, 2, 0) &amp; "" "" &amp; REGEXEXTRACT(C4076, ""🏘️ \w+ \w+ (.*) ✅"") ,  if(H4076=""quartier"",vlookup(REGEXEXTRACT(C4076, ""🏘️ \w+ \w+ (.*) ✅""),'Quartier prepositio"&amp;"ns'!A:E, 5, 0) ,  if(H4076=""region"",vlookup(REGEXEXTRACT(C4076, ""🏘️ \w+ \w+ (.*) ✅""),'Region prepositions'!B:F, 5, 0),  REGEXEXTRACT(C4076, ""🏘️ \w+ \w+ (.*) ✅""))))"),"#N/A")</f>
        <v>#N/A</v>
      </c>
      <c r="I4076" s="4" t="str">
        <f>IFERROR(__xludf.DUMMYFUNCTION("if(D4076=""variant"",  substitute(filter(Templates!E:E, Templates!A:A = F4076, Templates!B:B = G4076, Templates!C:C = H4076), ""{{}}"", E4076), B4076)"),"Vendre maison Peney-le-Jorat: Trouvez le bien immobilier qui correspond idéalement à vos désirs sur ImmoScout24 - La plateforme de l'immobilier en Suisse.")</f>
        <v>Vendre maison Peney-le-Jorat: Trouvez le bien immobilier qui correspond idéalement à vos désirs sur ImmoScout24 - La plateforme de l'immobilier en Suisse.</v>
      </c>
    </row>
    <row r="4077" hidden="1">
      <c r="A4077" s="5" t="s">
        <v>11256</v>
      </c>
      <c r="B4077" s="2" t="s">
        <v>11257</v>
      </c>
      <c r="C4077" s="2" t="s">
        <v>11257</v>
      </c>
      <c r="D4077" s="4" t="str">
        <f>vlookup(A4077, Sheet2!D:E, 2, 0)</f>
        <v>control</v>
      </c>
      <c r="E4077" s="4" t="str">
        <f>IFERROR(__xludf.DUMMYFUNCTION("if(H4077=""pays"",vlookup(REGEXEXTRACT(C4077, ""🏘️ \w+ \w+ (.*) ✅""),'Country prepositions'!A:B, 2, 0) &amp; "" "" &amp; REGEXEXTRACT(C4077, ""🏘️ \w+ \w+ (.*) ✅"") ,  if(H4077=""quartier"",vlookup(REGEXEXTRACT(C4077, ""🏘️ \w+ \w+ (.*) ✅""),'Quartier prepositio"&amp;"ns'!A:E, 5, 0) ,  if(H4077=""region"",vlookup(REGEXEXTRACT(C4077, ""🏘️ \w+ \w+ (.*) ✅""),'Region prepositions'!B:F, 5, 0),  REGEXEXTRACT(C4077, ""🏘️ \w+ \w+ (.*) ✅""))))"),"#N/A")</f>
        <v>#N/A</v>
      </c>
      <c r="I4077" s="4" t="str">
        <f>IFERROR(__xludf.DUMMYFUNCTION("if(D4077=""variant"",  substitute(filter(Templates!E:E, Templates!A:A = F4077, Templates!B:B = G4077, Templates!C:C = H4077), ""{{}}"", E4077), B4077)"),"Louer maison Moléson-sur-Gruyères: Trouvez le bien immobilier qui correspond idéalement à vos désirs sur ImmoScout24 - La plateforme de l'immobilier en Suisse.")</f>
        <v>Louer maison Moléson-sur-Gruyères: Trouvez le bien immobilier qui correspond idéalement à vos désirs sur ImmoScout24 - La plateforme de l'immobilier en Suisse.</v>
      </c>
    </row>
    <row r="4078" hidden="1">
      <c r="A4078" s="5" t="s">
        <v>11258</v>
      </c>
      <c r="B4078" s="2" t="s">
        <v>11259</v>
      </c>
      <c r="C4078" s="2" t="s">
        <v>11259</v>
      </c>
      <c r="D4078" s="4" t="str">
        <f>vlookup(A4078, Sheet2!D:E, 2, 0)</f>
        <v>control</v>
      </c>
      <c r="E4078" s="4" t="str">
        <f>IFERROR(__xludf.DUMMYFUNCTION("if(H4078=""pays"",vlookup(REGEXEXTRACT(C4078, ""🏘️ \w+ \w+ (.*) ✅""),'Country prepositions'!A:B, 2, 0) &amp; "" "" &amp; REGEXEXTRACT(C4078, ""🏘️ \w+ \w+ (.*) ✅"") ,  if(H4078=""quartier"",vlookup(REGEXEXTRACT(C4078, ""🏘️ \w+ \w+ (.*) ✅""),'Quartier prepositio"&amp;"ns'!A:E, 5, 0) ,  if(H4078=""region"",vlookup(REGEXEXTRACT(C4078, ""🏘️ \w+ \w+ (.*) ✅""),'Region prepositions'!B:F, 5, 0),  REGEXEXTRACT(C4078, ""🏘️ \w+ \w+ (.*) ✅""))))"),"#N/A")</f>
        <v>#N/A</v>
      </c>
      <c r="I4078" s="4" t="str">
        <f>IFERROR(__xludf.DUMMYFUNCTION("if(D4078=""variant"",  substitute(filter(Templates!E:E, Templates!A:A = F4078, Templates!B:B = G4078, Templates!C:C = H4078), ""{{}}"", E4078), B4078)"),"Vendre maison Finlande: Trouvez le bien immobilier qui correspond idéalement à vos désirs sur ImmoScout24 - La plateforme de l'immobilier en Suisse.")</f>
        <v>Vendre maison Finlande: Trouvez le bien immobilier qui correspond idéalement à vos désirs sur ImmoScout24 - La plateforme de l'immobilier en Suisse.</v>
      </c>
    </row>
    <row r="4079" hidden="1">
      <c r="A4079" s="5" t="s">
        <v>11260</v>
      </c>
      <c r="B4079" s="2" t="s">
        <v>11261</v>
      </c>
      <c r="C4079" s="2" t="s">
        <v>11261</v>
      </c>
      <c r="D4079" s="4" t="str">
        <f>vlookup(A4079, Sheet2!D:E, 2, 0)</f>
        <v>control</v>
      </c>
      <c r="E4079" s="4" t="str">
        <f>IFERROR(__xludf.DUMMYFUNCTION("if(H4079=""pays"",vlookup(REGEXEXTRACT(C4079, ""🏘️ \w+ \w+ (.*) ✅""),'Country prepositions'!A:B, 2, 0) &amp; "" "" &amp; REGEXEXTRACT(C4079, ""🏘️ \w+ \w+ (.*) ✅"") ,  if(H4079=""quartier"",vlookup(REGEXEXTRACT(C4079, ""🏘️ \w+ \w+ (.*) ✅""),'Quartier prepositio"&amp;"ns'!A:E, 5, 0) ,  if(H4079=""region"",vlookup(REGEXEXTRACT(C4079, ""🏘️ \w+ \w+ (.*) ✅""),'Region prepositions'!B:F, 5, 0),  REGEXEXTRACT(C4079, ""🏘️ \w+ \w+ (.*) ✅""))))"),"#N/A")</f>
        <v>#N/A</v>
      </c>
      <c r="I4079" s="4" t="str">
        <f>IFERROR(__xludf.DUMMYFUNCTION("if(D4079=""variant"",  substitute(filter(Templates!E:E, Templates!A:A = F4079, Templates!B:B = G4079, Templates!C:C = H4079), ""{{}}"", E4079), B4079)"),"Vendre appartement Lavaux - Vevey: Trouvez le bien immobilier qui correspond idéalement à vos désirs sur ImmoScout24 - La plateforme de l'immobilier en Suisse.")</f>
        <v>Vendre appartement Lavaux - Vevey: Trouvez le bien immobilier qui correspond idéalement à vos désirs sur ImmoScout24 - La plateforme de l'immobilier en Suisse.</v>
      </c>
    </row>
    <row r="4080" hidden="1">
      <c r="A4080" s="5" t="s">
        <v>11262</v>
      </c>
      <c r="B4080" s="2" t="s">
        <v>11263</v>
      </c>
      <c r="C4080" s="2" t="s">
        <v>11263</v>
      </c>
      <c r="D4080" s="4" t="str">
        <f>vlookup(A4080, Sheet2!D:E, 2, 0)</f>
        <v>control</v>
      </c>
      <c r="E4080" s="4" t="str">
        <f>IFERROR(__xludf.DUMMYFUNCTION("if(H4080=""pays"",vlookup(REGEXEXTRACT(C4080, ""🏘️ \w+ \w+ (.*) ✅""),'Country prepositions'!A:B, 2, 0) &amp; "" "" &amp; REGEXEXTRACT(C4080, ""🏘️ \w+ \w+ (.*) ✅"") ,  if(H4080=""quartier"",vlookup(REGEXEXTRACT(C4080, ""🏘️ \w+ \w+ (.*) ✅""),'Quartier prepositio"&amp;"ns'!A:E, 5, 0) ,  if(H4080=""region"",vlookup(REGEXEXTRACT(C4080, ""🏘️ \w+ \w+ (.*) ✅""),'Region prepositions'!B:F, 5, 0),  REGEXEXTRACT(C4080, ""🏘️ \w+ \w+ (.*) ✅""))))"),"#N/A")</f>
        <v>#N/A</v>
      </c>
      <c r="I4080" s="4" t="str">
        <f>IFERROR(__xludf.DUMMYFUNCTION("if(D4080=""variant"",  substitute(filter(Templates!E:E, Templates!A:A = F4080, Templates!B:B = G4080, Templates!C:C = H4080), ""{{}}"", E4080), B4080)"),"Louer appartement Zwingen: Trouvez le bien immobilier qui correspond idéalement à vos désirs sur ImmoScout24 - La plateforme de l'immobilier en Suisse.")</f>
        <v>Louer appartement Zwingen: Trouvez le bien immobilier qui correspond idéalement à vos désirs sur ImmoScout24 - La plateforme de l'immobilier en Suisse.</v>
      </c>
    </row>
    <row r="4081" hidden="1">
      <c r="A4081" s="5" t="s">
        <v>11264</v>
      </c>
      <c r="B4081" s="2" t="s">
        <v>11265</v>
      </c>
      <c r="C4081" s="2" t="s">
        <v>11265</v>
      </c>
      <c r="D4081" s="4" t="str">
        <f>vlookup(A4081, Sheet2!D:E, 2, 0)</f>
        <v>control</v>
      </c>
      <c r="E4081" s="4" t="str">
        <f>IFERROR(__xludf.DUMMYFUNCTION("if(H4081=""pays"",vlookup(REGEXEXTRACT(C4081, ""🏘️ \w+ \w+ (.*) ✅""),'Country prepositions'!A:B, 2, 0) &amp; "" "" &amp; REGEXEXTRACT(C4081, ""🏘️ \w+ \w+ (.*) ✅"") ,  if(H4081=""quartier"",vlookup(REGEXEXTRACT(C4081, ""🏘️ \w+ \w+ (.*) ✅""),'Quartier prepositio"&amp;"ns'!A:E, 5, 0) ,  if(H4081=""region"",vlookup(REGEXEXTRACT(C4081, ""🏘️ \w+ \w+ (.*) ✅""),'Region prepositions'!B:F, 5, 0),  REGEXEXTRACT(C4081, ""🏘️ \w+ \w+ (.*) ✅""))))"),"#N/A")</f>
        <v>#N/A</v>
      </c>
      <c r="I4081" s="4" t="str">
        <f>IFERROR(__xludf.DUMMYFUNCTION("if(D4081=""variant"",  substitute(filter(Templates!E:E, Templates!A:A = F4081, Templates!B:B = G4081, Templates!C:C = H4081), ""{{}}"", E4081), B4081)"),"Vendre maison Emmenbrücke: Trouvez le bien immobilier qui correspond idéalement à vos désirs sur ImmoScout24 - La plateforme de l'immobilier en Suisse.")</f>
        <v>Vendre maison Emmenbrücke: Trouvez le bien immobilier qui correspond idéalement à vos désirs sur ImmoScout24 - La plateforme de l'immobilier en Suisse.</v>
      </c>
    </row>
    <row r="4082" hidden="1">
      <c r="A4082" s="5" t="s">
        <v>11266</v>
      </c>
      <c r="B4082" s="2" t="s">
        <v>11267</v>
      </c>
      <c r="C4082" s="2" t="s">
        <v>11267</v>
      </c>
      <c r="D4082" s="4" t="str">
        <f>vlookup(A4082, Sheet2!D:E, 2, 0)</f>
        <v>control</v>
      </c>
      <c r="E4082" s="4" t="str">
        <f>IFERROR(__xludf.DUMMYFUNCTION("if(H4082=""pays"",vlookup(REGEXEXTRACT(C4082, ""🏘️ \w+ \w+ (.*) ✅""),'Country prepositions'!A:B, 2, 0) &amp; "" "" &amp; REGEXEXTRACT(C4082, ""🏘️ \w+ \w+ (.*) ✅"") ,  if(H4082=""quartier"",vlookup(REGEXEXTRACT(C4082, ""🏘️ \w+ \w+ (.*) ✅""),'Quartier prepositio"&amp;"ns'!A:E, 5, 0) ,  if(H4082=""region"",vlookup(REGEXEXTRACT(C4082, ""🏘️ \w+ \w+ (.*) ✅""),'Region prepositions'!B:F, 5, 0),  REGEXEXTRACT(C4082, ""🏘️ \w+ \w+ (.*) ✅""))))"),"#N/A")</f>
        <v>#N/A</v>
      </c>
      <c r="I4082" s="4" t="str">
        <f>IFERROR(__xludf.DUMMYFUNCTION("if(D4082=""variant"",  substitute(filter(Templates!E:E, Templates!A:A = F4082, Templates!B:B = G4082, Templates!C:C = H4082), ""{{}}"", E4082), B4082)"),"Vendre appartement Matran: Trouvez le bien immobilier qui correspond idéalement à vos désirs sur ImmoScout24 - La plateforme de l'immobilier en Suisse.")</f>
        <v>Vendre appartement Matran: Trouvez le bien immobilier qui correspond idéalement à vos désirs sur ImmoScout24 - La plateforme de l'immobilier en Suisse.</v>
      </c>
    </row>
    <row r="4083" hidden="1">
      <c r="A4083" s="5" t="s">
        <v>11268</v>
      </c>
      <c r="B4083" s="2" t="s">
        <v>11269</v>
      </c>
      <c r="C4083" s="2" t="s">
        <v>11269</v>
      </c>
      <c r="D4083" s="4" t="str">
        <f>vlookup(A4083, Sheet2!D:E, 2, 0)</f>
        <v>control</v>
      </c>
      <c r="E4083" s="4" t="str">
        <f>IFERROR(__xludf.DUMMYFUNCTION("if(H4083=""pays"",vlookup(REGEXEXTRACT(C4083, ""🏘️ \w+ \w+ (.*) ✅""),'Country prepositions'!A:B, 2, 0) &amp; "" "" &amp; REGEXEXTRACT(C4083, ""🏘️ \w+ \w+ (.*) ✅"") ,  if(H4083=""quartier"",vlookup(REGEXEXTRACT(C4083, ""🏘️ \w+ \w+ (.*) ✅""),'Quartier prepositio"&amp;"ns'!A:E, 5, 0) ,  if(H4083=""region"",vlookup(REGEXEXTRACT(C4083, ""🏘️ \w+ \w+ (.*) ✅""),'Region prepositions'!B:F, 5, 0),  REGEXEXTRACT(C4083, ""🏘️ \w+ \w+ (.*) ✅""))))"),"#N/A")</f>
        <v>#N/A</v>
      </c>
      <c r="I4083" s="4" t="str">
        <f>IFERROR(__xludf.DUMMYFUNCTION("if(D4083=""variant"",  substitute(filter(Templates!E:E, Templates!A:A = F4083, Templates!B:B = G4083, Templates!C:C = H4083), ""{{}}"", E4083), B4083)"),"Louer appartement Lovens: Trouvez le bien immobilier qui correspond idéalement à vos désirs sur ImmoScout24 - La plateforme de l'immobilier en Suisse.")</f>
        <v>Louer appartement Lovens: Trouvez le bien immobilier qui correspond idéalement à vos désirs sur ImmoScout24 - La plateforme de l'immobilier en Suisse.</v>
      </c>
    </row>
    <row r="4084" hidden="1">
      <c r="A4084" s="5" t="s">
        <v>11270</v>
      </c>
      <c r="B4084" s="2" t="s">
        <v>11271</v>
      </c>
      <c r="C4084" s="2" t="s">
        <v>11271</v>
      </c>
      <c r="D4084" s="4" t="str">
        <f>vlookup(A4084, Sheet2!D:E, 2, 0)</f>
        <v>control</v>
      </c>
      <c r="E4084" s="4" t="str">
        <f>IFERROR(__xludf.DUMMYFUNCTION("if(H4084=""pays"",vlookup(REGEXEXTRACT(C4084, ""🏘️ \w+ \w+ (.*) ✅""),'Country prepositions'!A:B, 2, 0) &amp; "" "" &amp; REGEXEXTRACT(C4084, ""🏘️ \w+ \w+ (.*) ✅"") ,  if(H4084=""quartier"",vlookup(REGEXEXTRACT(C4084, ""🏘️ \w+ \w+ (.*) ✅""),'Quartier prepositio"&amp;"ns'!A:E, 5, 0) ,  if(H4084=""region"",vlookup(REGEXEXTRACT(C4084, ""🏘️ \w+ \w+ (.*) ✅""),'Region prepositions'!B:F, 5, 0),  REGEXEXTRACT(C4084, ""🏘️ \w+ \w+ (.*) ✅""))))"),"#N/A")</f>
        <v>#N/A</v>
      </c>
      <c r="I4084" s="4" t="str">
        <f>IFERROR(__xludf.DUMMYFUNCTION("if(D4084=""variant"",  substitute(filter(Templates!E:E, Templates!A:A = F4084, Templates!B:B = G4084, Templates!C:C = H4084), ""{{}}"", E4084), B4084)"),"Louer appartement Umiken: Trouvez le bien immobilier qui correspond idéalement à vos désirs sur ImmoScout24 - La plateforme de l'immobilier en Suisse.")</f>
        <v>Louer appartement Umiken: Trouvez le bien immobilier qui correspond idéalement à vos désirs sur ImmoScout24 - La plateforme de l'immobilier en Suisse.</v>
      </c>
    </row>
    <row r="4085" hidden="1">
      <c r="A4085" s="5" t="s">
        <v>11272</v>
      </c>
      <c r="B4085" s="2" t="s">
        <v>11273</v>
      </c>
      <c r="C4085" s="2" t="s">
        <v>11273</v>
      </c>
      <c r="D4085" s="4" t="str">
        <f>vlookup(A4085, Sheet2!D:E, 2, 0)</f>
        <v>control</v>
      </c>
      <c r="E4085" s="4" t="str">
        <f>IFERROR(__xludf.DUMMYFUNCTION("if(H4085=""pays"",vlookup(REGEXEXTRACT(C4085, ""🏘️ \w+ \w+ (.*) ✅""),'Country prepositions'!A:B, 2, 0) &amp; "" "" &amp; REGEXEXTRACT(C4085, ""🏘️ \w+ \w+ (.*) ✅"") ,  if(H4085=""quartier"",vlookup(REGEXEXTRACT(C4085, ""🏘️ \w+ \w+ (.*) ✅""),'Quartier prepositio"&amp;"ns'!A:E, 5, 0) ,  if(H4085=""region"",vlookup(REGEXEXTRACT(C4085, ""🏘️ \w+ \w+ (.*) ✅""),'Region prepositions'!B:F, 5, 0),  REGEXEXTRACT(C4085, ""🏘️ \w+ \w+ (.*) ✅""))))"),"#N/A")</f>
        <v>#N/A</v>
      </c>
      <c r="I4085" s="4" t="str">
        <f>IFERROR(__xludf.DUMMYFUNCTION("if(D4085=""variant"",  substitute(filter(Templates!E:E, Templates!A:A = F4085, Templates!B:B = G4085, Templates!C:C = H4085), ""{{}}"", E4085), B4085)"),"Louer appartement Langendorf: Trouvez le bien immobilier qui correspond idéalement à vos désirs sur ImmoScout24 - La plateforme de l'immobilier en Suisse.")</f>
        <v>Louer appartement Langendorf: Trouvez le bien immobilier qui correspond idéalement à vos désirs sur ImmoScout24 - La plateforme de l'immobilier en Suisse.</v>
      </c>
    </row>
    <row r="4086" hidden="1">
      <c r="A4086" s="5" t="s">
        <v>11274</v>
      </c>
      <c r="B4086" s="2" t="s">
        <v>11275</v>
      </c>
      <c r="C4086" s="2" t="s">
        <v>11275</v>
      </c>
      <c r="D4086" s="4" t="str">
        <f>vlookup(A4086, Sheet2!D:E, 2, 0)</f>
        <v>control</v>
      </c>
      <c r="E4086" s="4" t="str">
        <f>IFERROR(__xludf.DUMMYFUNCTION("if(H4086=""pays"",vlookup(REGEXEXTRACT(C4086, ""🏘️ \w+ \w+ (.*) ✅""),'Country prepositions'!A:B, 2, 0) &amp; "" "" &amp; REGEXEXTRACT(C4086, ""🏘️ \w+ \w+ (.*) ✅"") ,  if(H4086=""quartier"",vlookup(REGEXEXTRACT(C4086, ""🏘️ \w+ \w+ (.*) ✅""),'Quartier prepositio"&amp;"ns'!A:E, 5, 0) ,  if(H4086=""region"",vlookup(REGEXEXTRACT(C4086, ""🏘️ \w+ \w+ (.*) ✅""),'Region prepositions'!B:F, 5, 0),  REGEXEXTRACT(C4086, ""🏘️ \w+ \w+ (.*) ✅""))))"),"#N/A")</f>
        <v>#N/A</v>
      </c>
      <c r="I4086" s="4" t="str">
        <f>IFERROR(__xludf.DUMMYFUNCTION("if(D4086=""variant"",  substitute(filter(Templates!E:E, Templates!A:A = F4086, Templates!B:B = G4086, Templates!C:C = H4086), ""{{}}"", E4086), B4086)"),"Louer appartement Guarda: Trouvez le bien immobilier qui correspond idéalement à vos désirs sur ImmoScout24 - La plateforme de l'immobilier en Suisse.")</f>
        <v>Louer appartement Guarda: Trouvez le bien immobilier qui correspond idéalement à vos désirs sur ImmoScout24 - La plateforme de l'immobilier en Suisse.</v>
      </c>
    </row>
    <row r="4087" hidden="1">
      <c r="A4087" s="5" t="s">
        <v>11276</v>
      </c>
      <c r="B4087" s="2" t="s">
        <v>11277</v>
      </c>
      <c r="C4087" s="2" t="s">
        <v>11277</v>
      </c>
      <c r="D4087" s="4" t="str">
        <f>vlookup(A4087, Sheet2!D:E, 2, 0)</f>
        <v>control</v>
      </c>
      <c r="E4087" s="4" t="str">
        <f>IFERROR(__xludf.DUMMYFUNCTION("if(H4087=""pays"",vlookup(REGEXEXTRACT(C4087, ""🏘️ \w+ \w+ (.*) ✅""),'Country prepositions'!A:B, 2, 0) &amp; "" "" &amp; REGEXEXTRACT(C4087, ""🏘️ \w+ \w+ (.*) ✅"") ,  if(H4087=""quartier"",vlookup(REGEXEXTRACT(C4087, ""🏘️ \w+ \w+ (.*) ✅""),'Quartier prepositio"&amp;"ns'!A:E, 5, 0) ,  if(H4087=""region"",vlookup(REGEXEXTRACT(C4087, ""🏘️ \w+ \w+ (.*) ✅""),'Region prepositions'!B:F, 5, 0),  REGEXEXTRACT(C4087, ""🏘️ \w+ \w+ (.*) ✅""))))"),"#N/A")</f>
        <v>#N/A</v>
      </c>
      <c r="I4087" s="4" t="str">
        <f>IFERROR(__xludf.DUMMYFUNCTION("if(D4087=""variant"",  substitute(filter(Templates!E:E, Templates!A:A = F4087, Templates!B:B = G4087, Templates!C:C = H4087), ""{{}}"", E4087), B4087)"),"Louer maison Chernex: Trouvez le bien immobilier qui correspond idéalement à vos désirs sur ImmoScout24 - La plateforme de l'immobilier en Suisse.")</f>
        <v>Louer maison Chernex: Trouvez le bien immobilier qui correspond idéalement à vos désirs sur ImmoScout24 - La plateforme de l'immobilier en Suisse.</v>
      </c>
    </row>
    <row r="4088" hidden="1">
      <c r="A4088" s="5" t="s">
        <v>11278</v>
      </c>
      <c r="B4088" s="2" t="s">
        <v>11279</v>
      </c>
      <c r="C4088" s="2" t="s">
        <v>11279</v>
      </c>
      <c r="D4088" s="4" t="str">
        <f>vlookup(A4088, Sheet2!D:E, 2, 0)</f>
        <v>control</v>
      </c>
      <c r="E4088" s="4" t="str">
        <f>IFERROR(__xludf.DUMMYFUNCTION("if(H4088=""pays"",vlookup(REGEXEXTRACT(C4088, ""🏘️ \w+ \w+ (.*) ✅""),'Country prepositions'!A:B, 2, 0) &amp; "" "" &amp; REGEXEXTRACT(C4088, ""🏘️ \w+ \w+ (.*) ✅"") ,  if(H4088=""quartier"",vlookup(REGEXEXTRACT(C4088, ""🏘️ \w+ \w+ (.*) ✅""),'Quartier prepositio"&amp;"ns'!A:E, 5, 0) ,  if(H4088=""region"",vlookup(REGEXEXTRACT(C4088, ""🏘️ \w+ \w+ (.*) ✅""),'Region prepositions'!B:F, 5, 0),  REGEXEXTRACT(C4088, ""🏘️ \w+ \w+ (.*) ✅""))))"),"#N/A")</f>
        <v>#N/A</v>
      </c>
      <c r="I4088" s="4" t="str">
        <f>IFERROR(__xludf.DUMMYFUNCTION("if(D4088=""variant"",  substitute(filter(Templates!E:E, Templates!A:A = F4088, Templates!B:B = G4088, Templates!C:C = H4088), ""{{}}"", E4088), B4088)"),"Louer appartement Murten: Trouvez le bien immobilier qui correspond idéalement à vos désirs sur ImmoScout24 - La plateforme de l'immobilier en Suisse.")</f>
        <v>Louer appartement Murten: Trouvez le bien immobilier qui correspond idéalement à vos désirs sur ImmoScout24 - La plateforme de l'immobilier en Suisse.</v>
      </c>
    </row>
    <row r="4089" hidden="1">
      <c r="A4089" s="5" t="s">
        <v>11280</v>
      </c>
      <c r="B4089" s="2" t="s">
        <v>11281</v>
      </c>
      <c r="C4089" s="2" t="s">
        <v>11281</v>
      </c>
      <c r="D4089" s="4" t="str">
        <f>vlookup(A4089, Sheet2!D:E, 2, 0)</f>
        <v>control</v>
      </c>
      <c r="E4089" s="4" t="str">
        <f>IFERROR(__xludf.DUMMYFUNCTION("if(H4089=""pays"",vlookup(REGEXEXTRACT(C4089, ""🏘️ \w+ \w+ (.*) ✅""),'Country prepositions'!A:B, 2, 0) &amp; "" "" &amp; REGEXEXTRACT(C4089, ""🏘️ \w+ \w+ (.*) ✅"") ,  if(H4089=""quartier"",vlookup(REGEXEXTRACT(C4089, ""🏘️ \w+ \w+ (.*) ✅""),'Quartier prepositio"&amp;"ns'!A:E, 5, 0) ,  if(H4089=""region"",vlookup(REGEXEXTRACT(C4089, ""🏘️ \w+ \w+ (.*) ✅""),'Region prepositions'!B:F, 5, 0),  REGEXEXTRACT(C4089, ""🏘️ \w+ \w+ (.*) ✅""))))"),"#N/A")</f>
        <v>#N/A</v>
      </c>
      <c r="I4089" s="4" t="str">
        <f>IFERROR(__xludf.DUMMYFUNCTION("if(D4089=""variant"",  substitute(filter(Templates!E:E, Templates!A:A = F4089, Templates!B:B = G4089, Templates!C:C = H4089), ""{{}}"", E4089), B4089)"),"Louer appartement Froideville: Trouvez le bien immobilier qui correspond idéalement à vos désirs sur ImmoScout24 - La plateforme de l'immobilier en Suisse.")</f>
        <v>Louer appartement Froideville: Trouvez le bien immobilier qui correspond idéalement à vos désirs sur ImmoScout24 - La plateforme de l'immobilier en Suisse.</v>
      </c>
    </row>
    <row r="4090" hidden="1">
      <c r="A4090" s="5" t="s">
        <v>11282</v>
      </c>
      <c r="B4090" s="2" t="s">
        <v>11283</v>
      </c>
      <c r="C4090" s="2" t="s">
        <v>11283</v>
      </c>
      <c r="D4090" s="4" t="str">
        <f>vlookup(A4090, Sheet2!D:E, 2, 0)</f>
        <v>control</v>
      </c>
      <c r="E4090" s="4" t="str">
        <f>IFERROR(__xludf.DUMMYFUNCTION("if(H4090=""pays"",vlookup(REGEXEXTRACT(C4090, ""🏘️ \w+ \w+ (.*) ✅""),'Country prepositions'!A:B, 2, 0) &amp; "" "" &amp; REGEXEXTRACT(C4090, ""🏘️ \w+ \w+ (.*) ✅"") ,  if(H4090=""quartier"",vlookup(REGEXEXTRACT(C4090, ""🏘️ \w+ \w+ (.*) ✅""),'Quartier prepositio"&amp;"ns'!A:E, 5, 0) ,  if(H4090=""region"",vlookup(REGEXEXTRACT(C4090, ""🏘️ \w+ \w+ (.*) ✅""),'Region prepositions'!B:F, 5, 0),  REGEXEXTRACT(C4090, ""🏘️ \w+ \w+ (.*) ✅""))))"),"#N/A")</f>
        <v>#N/A</v>
      </c>
      <c r="I4090" s="4" t="str">
        <f>IFERROR(__xludf.DUMMYFUNCTION("if(D4090=""variant"",  substitute(filter(Templates!E:E, Templates!A:A = F4090, Templates!B:B = G4090, Templates!C:C = H4090), ""{{}}"", E4090), B4090)"),"Louer appartement Les Monts-de-Pully: Trouvez le bien immobilier qui correspond idéalement à vos désirs sur ImmoScout24 - La plateforme de l'immobilier en Suisse.")</f>
        <v>Louer appartement Les Monts-de-Pully: Trouvez le bien immobilier qui correspond idéalement à vos désirs sur ImmoScout24 - La plateforme de l'immobilier en Suisse.</v>
      </c>
    </row>
    <row r="4091" hidden="1">
      <c r="A4091" s="5" t="s">
        <v>11284</v>
      </c>
      <c r="B4091" s="2" t="s">
        <v>11285</v>
      </c>
      <c r="C4091" s="2" t="s">
        <v>11285</v>
      </c>
      <c r="D4091" s="4" t="str">
        <f>vlookup(A4091, Sheet2!D:E, 2, 0)</f>
        <v>control</v>
      </c>
      <c r="E4091" s="4" t="str">
        <f>IFERROR(__xludf.DUMMYFUNCTION("if(H4091=""pays"",vlookup(REGEXEXTRACT(C4091, ""🏘️ \w+ \w+ (.*) ✅""),'Country prepositions'!A:B, 2, 0) &amp; "" "" &amp; REGEXEXTRACT(C4091, ""🏘️ \w+ \w+ (.*) ✅"") ,  if(H4091=""quartier"",vlookup(REGEXEXTRACT(C4091, ""🏘️ \w+ \w+ (.*) ✅""),'Quartier prepositio"&amp;"ns'!A:E, 5, 0) ,  if(H4091=""region"",vlookup(REGEXEXTRACT(C4091, ""🏘️ \w+ \w+ (.*) ✅""),'Region prepositions'!B:F, 5, 0),  REGEXEXTRACT(C4091, ""🏘️ \w+ \w+ (.*) ✅""))))"),"#N/A")</f>
        <v>#N/A</v>
      </c>
      <c r="I4091" s="4" t="str">
        <f>IFERROR(__xludf.DUMMYFUNCTION("if(D4091=""variant"",  substitute(filter(Templates!E:E, Templates!A:A = F4091, Templates!B:B = G4091, Templates!C:C = H4091), ""{{}}"", E4091), B4091)"),"Vendre maison Ependes FR: Trouvez le bien immobilier qui correspond idéalement à vos désirs sur ImmoScout24 - La plateforme de l'immobilier en Suisse.")</f>
        <v>Vendre maison Ependes FR: Trouvez le bien immobilier qui correspond idéalement à vos désirs sur ImmoScout24 - La plateforme de l'immobilier en Suisse.</v>
      </c>
    </row>
    <row r="4092" hidden="1">
      <c r="A4092" s="5" t="s">
        <v>11286</v>
      </c>
      <c r="B4092" s="2" t="s">
        <v>11287</v>
      </c>
      <c r="C4092" s="2" t="s">
        <v>11287</v>
      </c>
      <c r="D4092" s="4" t="str">
        <f>vlookup(A4092, Sheet2!D:E, 2, 0)</f>
        <v>control</v>
      </c>
      <c r="E4092" s="4" t="str">
        <f>IFERROR(__xludf.DUMMYFUNCTION("if(H4092=""pays"",vlookup(REGEXEXTRACT(C4092, ""🏘️ \w+ \w+ (.*) ✅""),'Country prepositions'!A:B, 2, 0) &amp; "" "" &amp; REGEXEXTRACT(C4092, ""🏘️ \w+ \w+ (.*) ✅"") ,  if(H4092=""quartier"",vlookup(REGEXEXTRACT(C4092, ""🏘️ \w+ \w+ (.*) ✅""),'Quartier prepositio"&amp;"ns'!A:E, 5, 0) ,  if(H4092=""region"",vlookup(REGEXEXTRACT(C4092, ""🏘️ \w+ \w+ (.*) ✅""),'Region prepositions'!B:F, 5, 0),  REGEXEXTRACT(C4092, ""🏘️ \w+ \w+ (.*) ✅""))))"),"#N/A")</f>
        <v>#N/A</v>
      </c>
      <c r="I4092" s="4" t="str">
        <f>IFERROR(__xludf.DUMMYFUNCTION("if(D4092=""variant"",  substitute(filter(Templates!E:E, Templates!A:A = F4092, Templates!B:B = G4092, Templates!C:C = H4092), ""{{}}"", E4092), B4092)"),"Vendre maison Gordola: Trouvez le bien immobilier qui correspond idéalement à vos désirs sur ImmoScout24 - La plateforme de l'immobilier en Suisse.")</f>
        <v>Vendre maison Gordola: Trouvez le bien immobilier qui correspond idéalement à vos désirs sur ImmoScout24 - La plateforme de l'immobilier en Suisse.</v>
      </c>
    </row>
    <row r="4093" hidden="1">
      <c r="A4093" s="5" t="s">
        <v>11288</v>
      </c>
      <c r="B4093" s="2" t="s">
        <v>11289</v>
      </c>
      <c r="C4093" s="2" t="s">
        <v>11289</v>
      </c>
      <c r="D4093" s="4" t="str">
        <f>vlookup(A4093, Sheet2!D:E, 2, 0)</f>
        <v>control</v>
      </c>
      <c r="E4093" s="4" t="str">
        <f>IFERROR(__xludf.DUMMYFUNCTION("if(H4093=""pays"",vlookup(REGEXEXTRACT(C4093, ""🏘️ \w+ \w+ (.*) ✅""),'Country prepositions'!A:B, 2, 0) &amp; "" "" &amp; REGEXEXTRACT(C4093, ""🏘️ \w+ \w+ (.*) ✅"") ,  if(H4093=""quartier"",vlookup(REGEXEXTRACT(C4093, ""🏘️ \w+ \w+ (.*) ✅""),'Quartier prepositio"&amp;"ns'!A:E, 5, 0) ,  if(H4093=""region"",vlookup(REGEXEXTRACT(C4093, ""🏘️ \w+ \w+ (.*) ✅""),'Region prepositions'!B:F, 5, 0),  REGEXEXTRACT(C4093, ""🏘️ \w+ \w+ (.*) ✅""))))"),"#N/A")</f>
        <v>#N/A</v>
      </c>
      <c r="I4093" s="4" t="str">
        <f>IFERROR(__xludf.DUMMYFUNCTION("if(D4093=""variant"",  substitute(filter(Templates!E:E, Templates!A:A = F4093, Templates!B:B = G4093, Templates!C:C = H4093), ""{{}}"", E4093), B4093)"),"Vendre maison Fribourg: Trouvez le bien immobilier qui correspond idéalement à vos désirs sur ImmoScout24 - La plateforme de l'immobilier en Suisse.")</f>
        <v>Vendre maison Fribourg: Trouvez le bien immobilier qui correspond idéalement à vos désirs sur ImmoScout24 - La plateforme de l'immobilier en Suisse.</v>
      </c>
    </row>
    <row r="4094" hidden="1">
      <c r="A4094" s="5" t="s">
        <v>11290</v>
      </c>
      <c r="B4094" s="2" t="s">
        <v>11291</v>
      </c>
      <c r="C4094" s="2" t="s">
        <v>11291</v>
      </c>
      <c r="D4094" s="4" t="str">
        <f>vlookup(A4094, Sheet2!D:E, 2, 0)</f>
        <v>control</v>
      </c>
      <c r="E4094" s="4" t="str">
        <f>IFERROR(__xludf.DUMMYFUNCTION("if(H4094=""pays"",vlookup(REGEXEXTRACT(C4094, ""🏘️ \w+ \w+ (.*) ✅""),'Country prepositions'!A:B, 2, 0) &amp; "" "" &amp; REGEXEXTRACT(C4094, ""🏘️ \w+ \w+ (.*) ✅"") ,  if(H4094=""quartier"",vlookup(REGEXEXTRACT(C4094, ""🏘️ \w+ \w+ (.*) ✅""),'Quartier prepositio"&amp;"ns'!A:E, 5, 0) ,  if(H4094=""region"",vlookup(REGEXEXTRACT(C4094, ""🏘️ \w+ \w+ (.*) ✅""),'Region prepositions'!B:F, 5, 0),  REGEXEXTRACT(C4094, ""🏘️ \w+ \w+ (.*) ✅""))))"),"#N/A")</f>
        <v>#N/A</v>
      </c>
      <c r="I4094" s="4" t="str">
        <f>IFERROR(__xludf.DUMMYFUNCTION("if(D4094=""variant"",  substitute(filter(Templates!E:E, Templates!A:A = F4094, Templates!B:B = G4094, Templates!C:C = H4094), ""{{}}"", E4094), B4094)"),"Vendre appartement Estavayer-le-Lac: Trouvez le bien immobilier qui correspond idéalement à vos désirs sur ImmoScout24 - La plateforme de l'immobilier en Suisse.")</f>
        <v>Vendre appartement Estavayer-le-Lac: Trouvez le bien immobilier qui correspond idéalement à vos désirs sur ImmoScout24 - La plateforme de l'immobilier en Suisse.</v>
      </c>
    </row>
    <row r="4095" hidden="1">
      <c r="A4095" s="5" t="s">
        <v>11292</v>
      </c>
      <c r="B4095" s="2" t="s">
        <v>11293</v>
      </c>
      <c r="C4095" s="2" t="s">
        <v>11293</v>
      </c>
      <c r="D4095" s="4" t="str">
        <f>vlookup(A4095, Sheet2!D:E, 2, 0)</f>
        <v>control</v>
      </c>
      <c r="E4095" s="4" t="str">
        <f>IFERROR(__xludf.DUMMYFUNCTION("if(H4095=""pays"",vlookup(REGEXEXTRACT(C4095, ""🏘️ \w+ \w+ (.*) ✅""),'Country prepositions'!A:B, 2, 0) &amp; "" "" &amp; REGEXEXTRACT(C4095, ""🏘️ \w+ \w+ (.*) ✅"") ,  if(H4095=""quartier"",vlookup(REGEXEXTRACT(C4095, ""🏘️ \w+ \w+ (.*) ✅""),'Quartier prepositio"&amp;"ns'!A:E, 5, 0) ,  if(H4095=""region"",vlookup(REGEXEXTRACT(C4095, ""🏘️ \w+ \w+ (.*) ✅""),'Region prepositions'!B:F, 5, 0),  REGEXEXTRACT(C4095, ""🏘️ \w+ \w+ (.*) ✅""))))"),"#N/A")</f>
        <v>#N/A</v>
      </c>
      <c r="I4095" s="4" t="str">
        <f>IFERROR(__xludf.DUMMYFUNCTION("if(D4095=""variant"",  substitute(filter(Templates!E:E, Templates!A:A = F4095, Templates!B:B = G4095, Templates!C:C = H4095), ""{{}}"", E4095), B4095)"),"Louer maison Diesse: Trouvez le bien immobilier qui correspond idéalement à vos désirs sur ImmoScout24 - La plateforme de l'immobilier en Suisse.")</f>
        <v>Louer maison Diesse: Trouvez le bien immobilier qui correspond idéalement à vos désirs sur ImmoScout24 - La plateforme de l'immobilier en Suisse.</v>
      </c>
    </row>
    <row r="4096" hidden="1">
      <c r="A4096" s="5" t="s">
        <v>11294</v>
      </c>
      <c r="B4096" s="2" t="s">
        <v>11295</v>
      </c>
      <c r="C4096" s="2" t="s">
        <v>11295</v>
      </c>
      <c r="D4096" s="4" t="str">
        <f>vlookup(A4096, Sheet2!D:E, 2, 0)</f>
        <v>control</v>
      </c>
      <c r="E4096" s="4" t="str">
        <f>IFERROR(__xludf.DUMMYFUNCTION("if(H4096=""pays"",vlookup(REGEXEXTRACT(C4096, ""🏘️ \w+ \w+ (.*) ✅""),'Country prepositions'!A:B, 2, 0) &amp; "" "" &amp; REGEXEXTRACT(C4096, ""🏘️ \w+ \w+ (.*) ✅"") ,  if(H4096=""quartier"",vlookup(REGEXEXTRACT(C4096, ""🏘️ \w+ \w+ (.*) ✅""),'Quartier prepositio"&amp;"ns'!A:E, 5, 0) ,  if(H4096=""region"",vlookup(REGEXEXTRACT(C4096, ""🏘️ \w+ \w+ (.*) ✅""),'Region prepositions'!B:F, 5, 0),  REGEXEXTRACT(C4096, ""🏘️ \w+ \w+ (.*) ✅""))))"),"#N/A")</f>
        <v>#N/A</v>
      </c>
      <c r="I4096" s="4" t="str">
        <f>IFERROR(__xludf.DUMMYFUNCTION("if(D4096=""variant"",  substitute(filter(Templates!E:E, Templates!A:A = F4096, Templates!B:B = G4096, Templates!C:C = H4096), ""{{}}"", E4096), B4096)"),"Vendre maison Damvant: Trouvez le bien immobilier qui correspond idéalement à vos désirs sur ImmoScout24 - La plateforme de l'immobilier en Suisse.")</f>
        <v>Vendre maison Damvant: Trouvez le bien immobilier qui correspond idéalement à vos désirs sur ImmoScout24 - La plateforme de l'immobilier en Suisse.</v>
      </c>
    </row>
    <row r="4097" hidden="1">
      <c r="A4097" s="5" t="s">
        <v>11296</v>
      </c>
      <c r="B4097" s="2" t="s">
        <v>11297</v>
      </c>
      <c r="C4097" s="2" t="s">
        <v>11297</v>
      </c>
      <c r="D4097" s="4" t="str">
        <f>vlookup(A4097, Sheet2!D:E, 2, 0)</f>
        <v>control</v>
      </c>
      <c r="E4097" s="4" t="str">
        <f>IFERROR(__xludf.DUMMYFUNCTION("if(H4097=""pays"",vlookup(REGEXEXTRACT(C4097, ""🏘️ \w+ \w+ (.*) ✅""),'Country prepositions'!A:B, 2, 0) &amp; "" "" &amp; REGEXEXTRACT(C4097, ""🏘️ \w+ \w+ (.*) ✅"") ,  if(H4097=""quartier"",vlookup(REGEXEXTRACT(C4097, ""🏘️ \w+ \w+ (.*) ✅""),'Quartier prepositio"&amp;"ns'!A:E, 5, 0) ,  if(H4097=""region"",vlookup(REGEXEXTRACT(C4097, ""🏘️ \w+ \w+ (.*) ✅""),'Region prepositions'!B:F, 5, 0),  REGEXEXTRACT(C4097, ""🏘️ \w+ \w+ (.*) ✅""))))"),"#N/A")</f>
        <v>#N/A</v>
      </c>
      <c r="I4097" s="4" t="str">
        <f>IFERROR(__xludf.DUMMYFUNCTION("if(D4097=""variant"",  substitute(filter(Templates!E:E, Templates!A:A = F4097, Templates!B:B = G4097, Templates!C:C = H4097), ""{{}}"", E4097), B4097)"),"Vendre maison Erlinsbach: Trouvez le bien immobilier qui correspond idéalement à vos désirs sur ImmoScout24 - La plateforme de l'immobilier en Suisse.")</f>
        <v>Vendre maison Erlinsbach: Trouvez le bien immobilier qui correspond idéalement à vos désirs sur ImmoScout24 - La plateforme de l'immobilier en Suisse.</v>
      </c>
    </row>
    <row r="4098" hidden="1">
      <c r="A4098" s="5" t="s">
        <v>11298</v>
      </c>
      <c r="B4098" s="2" t="s">
        <v>11299</v>
      </c>
      <c r="C4098" s="2" t="s">
        <v>11299</v>
      </c>
      <c r="D4098" s="4" t="str">
        <f>vlookup(A4098, Sheet2!D:E, 2, 0)</f>
        <v>control</v>
      </c>
      <c r="E4098" s="4" t="str">
        <f>IFERROR(__xludf.DUMMYFUNCTION("if(H4098=""pays"",vlookup(REGEXEXTRACT(C4098, ""🏘️ \w+ \w+ (.*) ✅""),'Country prepositions'!A:B, 2, 0) &amp; "" "" &amp; REGEXEXTRACT(C4098, ""🏘️ \w+ \w+ (.*) ✅"") ,  if(H4098=""quartier"",vlookup(REGEXEXTRACT(C4098, ""🏘️ \w+ \w+ (.*) ✅""),'Quartier prepositio"&amp;"ns'!A:E, 5, 0) ,  if(H4098=""region"",vlookup(REGEXEXTRACT(C4098, ""🏘️ \w+ \w+ (.*) ✅""),'Region prepositions'!B:F, 5, 0),  REGEXEXTRACT(C4098, ""🏘️ \w+ \w+ (.*) ✅""))))"),"#N/A")</f>
        <v>#N/A</v>
      </c>
      <c r="I4098" s="4" t="str">
        <f>IFERROR(__xludf.DUMMYFUNCTION("if(D4098=""variant"",  substitute(filter(Templates!E:E, Templates!A:A = F4098, Templates!B:B = G4098, Templates!C:C = H4098), ""{{}}"", E4098), B4098)"),"Vendre maison Chevenez: Trouvez le bien immobilier qui correspond idéalement à vos désirs sur ImmoScout24 - La plateforme de l'immobilier en Suisse.")</f>
        <v>Vendre maison Chevenez: Trouvez le bien immobilier qui correspond idéalement à vos désirs sur ImmoScout24 - La plateforme de l'immobilier en Suisse.</v>
      </c>
    </row>
    <row r="4099" hidden="1">
      <c r="A4099" s="5" t="s">
        <v>11300</v>
      </c>
      <c r="B4099" s="2" t="s">
        <v>11301</v>
      </c>
      <c r="C4099" s="2" t="s">
        <v>11301</v>
      </c>
      <c r="D4099" s="4" t="str">
        <f>vlookup(A4099, Sheet2!D:E, 2, 0)</f>
        <v>control</v>
      </c>
      <c r="E4099" s="4" t="str">
        <f>IFERROR(__xludf.DUMMYFUNCTION("if(H4099=""pays"",vlookup(REGEXEXTRACT(C4099, ""🏘️ \w+ \w+ (.*) ✅""),'Country prepositions'!A:B, 2, 0) &amp; "" "" &amp; REGEXEXTRACT(C4099, ""🏘️ \w+ \w+ (.*) ✅"") ,  if(H4099=""quartier"",vlookup(REGEXEXTRACT(C4099, ""🏘️ \w+ \w+ (.*) ✅""),'Quartier prepositio"&amp;"ns'!A:E, 5, 0) ,  if(H4099=""region"",vlookup(REGEXEXTRACT(C4099, ""🏘️ \w+ \w+ (.*) ✅""),'Region prepositions'!B:F, 5, 0),  REGEXEXTRACT(C4099, ""🏘️ \w+ \w+ (.*) ✅""))))"),"#N/A")</f>
        <v>#N/A</v>
      </c>
      <c r="I4099" s="4" t="str">
        <f>IFERROR(__xludf.DUMMYFUNCTION("if(D4099=""variant"",  substitute(filter(Templates!E:E, Templates!A:A = F4099, Templates!B:B = G4099, Templates!C:C = H4099), ""{{}}"", E4099), B4099)"),"Vendre appartement Vernier: Trouvez le bien immobilier qui correspond idéalement à vos désirs sur ImmoScout24 - La plateforme de l'immobilier en Suisse.")</f>
        <v>Vendre appartement Vernier: Trouvez le bien immobilier qui correspond idéalement à vos désirs sur ImmoScout24 - La plateforme de l'immobilier en Suisse.</v>
      </c>
    </row>
    <row r="4100" hidden="1">
      <c r="A4100" s="5" t="s">
        <v>11302</v>
      </c>
      <c r="B4100" s="2" t="s">
        <v>11303</v>
      </c>
      <c r="C4100" s="2" t="s">
        <v>11303</v>
      </c>
      <c r="D4100" s="4" t="str">
        <f>vlookup(A4100, Sheet2!D:E, 2, 0)</f>
        <v>control</v>
      </c>
      <c r="E4100" s="4" t="str">
        <f>IFERROR(__xludf.DUMMYFUNCTION("if(H4100=""pays"",vlookup(REGEXEXTRACT(C4100, ""🏘️ \w+ \w+ (.*) ✅""),'Country prepositions'!A:B, 2, 0) &amp; "" "" &amp; REGEXEXTRACT(C4100, ""🏘️ \w+ \w+ (.*) ✅"") ,  if(H4100=""quartier"",vlookup(REGEXEXTRACT(C4100, ""🏘️ \w+ \w+ (.*) ✅""),'Quartier prepositio"&amp;"ns'!A:E, 5, 0) ,  if(H4100=""region"",vlookup(REGEXEXTRACT(C4100, ""🏘️ \w+ \w+ (.*) ✅""),'Region prepositions'!B:F, 5, 0),  REGEXEXTRACT(C4100, ""🏘️ \w+ \w+ (.*) ✅""))))"),"#N/A")</f>
        <v>#N/A</v>
      </c>
      <c r="I4100" s="4" t="str">
        <f>IFERROR(__xludf.DUMMYFUNCTION("if(D4100=""variant"",  substitute(filter(Templates!E:E, Templates!A:A = F4100, Templates!B:B = G4100, Templates!C:C = H4100), ""{{}}"", E4100), B4100)"),"Louer appartement Pambio-Noranco (Lugano): Trouvez le bien immobilier qui correspond idéalement à vos désirs sur ImmoScout24 - La plateforme de l'immobilier en Suisse.")</f>
        <v>Louer appartement Pambio-Noranco (Lugano): Trouvez le bien immobilier qui correspond idéalement à vos désirs sur ImmoScout24 - La plateforme de l'immobilier en Suisse.</v>
      </c>
    </row>
    <row r="4101" hidden="1">
      <c r="A4101" s="5" t="s">
        <v>11304</v>
      </c>
      <c r="B4101" s="2" t="s">
        <v>11305</v>
      </c>
      <c r="C4101" s="2" t="s">
        <v>11305</v>
      </c>
      <c r="D4101" s="4" t="str">
        <f>vlookup(A4101, Sheet2!D:E, 2, 0)</f>
        <v>control</v>
      </c>
      <c r="E4101" s="4" t="str">
        <f>IFERROR(__xludf.DUMMYFUNCTION("if(H4101=""pays"",vlookup(REGEXEXTRACT(C4101, ""🏘️ \w+ \w+ (.*) ✅""),'Country prepositions'!A:B, 2, 0) &amp; "" "" &amp; REGEXEXTRACT(C4101, ""🏘️ \w+ \w+ (.*) ✅"") ,  if(H4101=""quartier"",vlookup(REGEXEXTRACT(C4101, ""🏘️ \w+ \w+ (.*) ✅""),'Quartier prepositio"&amp;"ns'!A:E, 5, 0) ,  if(H4101=""region"",vlookup(REGEXEXTRACT(C4101, ""🏘️ \w+ \w+ (.*) ✅""),'Region prepositions'!B:F, 5, 0),  REGEXEXTRACT(C4101, ""🏘️ \w+ \w+ (.*) ✅""))))"),"#N/A")</f>
        <v>#N/A</v>
      </c>
      <c r="I4101" s="4" t="str">
        <f>IFERROR(__xludf.DUMMYFUNCTION("if(D4101=""variant"",  substitute(filter(Templates!E:E, Templates!A:A = F4101, Templates!B:B = G4101, Templates!C:C = H4101), ""{{}}"", E4101), B4101)"),"Vendre maison Villard-sur-Chamby: Trouvez le bien immobilier qui correspond idéalement à vos désirs sur ImmoScout24 - La plateforme de l'immobilier en Suisse.")</f>
        <v>Vendre maison Villard-sur-Chamby: Trouvez le bien immobilier qui correspond idéalement à vos désirs sur ImmoScout24 - La plateforme de l'immobilier en Suisse.</v>
      </c>
    </row>
    <row r="4102" hidden="1">
      <c r="A4102" s="5" t="s">
        <v>11306</v>
      </c>
      <c r="B4102" s="2" t="s">
        <v>11307</v>
      </c>
      <c r="C4102" s="2" t="s">
        <v>11307</v>
      </c>
      <c r="D4102" s="4" t="str">
        <f>vlookup(A4102, Sheet2!D:E, 2, 0)</f>
        <v>control</v>
      </c>
      <c r="E4102" s="4" t="str">
        <f>IFERROR(__xludf.DUMMYFUNCTION("if(H4102=""pays"",vlookup(REGEXEXTRACT(C4102, ""🏘️ \w+ \w+ (.*) ✅""),'Country prepositions'!A:B, 2, 0) &amp; "" "" &amp; REGEXEXTRACT(C4102, ""🏘️ \w+ \w+ (.*) ✅"") ,  if(H4102=""quartier"",vlookup(REGEXEXTRACT(C4102, ""🏘️ \w+ \w+ (.*) ✅""),'Quartier prepositio"&amp;"ns'!A:E, 5, 0) ,  if(H4102=""region"",vlookup(REGEXEXTRACT(C4102, ""🏘️ \w+ \w+ (.*) ✅""),'Region prepositions'!B:F, 5, 0),  REGEXEXTRACT(C4102, ""🏘️ \w+ \w+ (.*) ✅""))))"),"#N/A")</f>
        <v>#N/A</v>
      </c>
      <c r="I4102" s="4" t="str">
        <f>IFERROR(__xludf.DUMMYFUNCTION("if(D4102=""variant"",  substitute(filter(Templates!E:E, Templates!A:A = F4102, Templates!B:B = G4102, Templates!C:C = H4102), ""{{}}"", E4102), B4102)"),"Louer appartement Zeiningen: Trouvez le bien immobilier qui correspond idéalement à vos désirs sur ImmoScout24 - La plateforme de l'immobilier en Suisse.")</f>
        <v>Louer appartement Zeiningen: Trouvez le bien immobilier qui correspond idéalement à vos désirs sur ImmoScout24 - La plateforme de l'immobilier en Suisse.</v>
      </c>
    </row>
    <row r="4103" hidden="1">
      <c r="A4103" s="5" t="s">
        <v>11308</v>
      </c>
      <c r="B4103" s="2" t="s">
        <v>11309</v>
      </c>
      <c r="C4103" s="2" t="s">
        <v>11309</v>
      </c>
      <c r="D4103" s="4" t="str">
        <f>vlookup(A4103, Sheet2!D:E, 2, 0)</f>
        <v>control</v>
      </c>
      <c r="E4103" s="4" t="str">
        <f>IFERROR(__xludf.DUMMYFUNCTION("if(H4103=""pays"",vlookup(REGEXEXTRACT(C4103, ""🏘️ \w+ \w+ (.*) ✅""),'Country prepositions'!A:B, 2, 0) &amp; "" "" &amp; REGEXEXTRACT(C4103, ""🏘️ \w+ \w+ (.*) ✅"") ,  if(H4103=""quartier"",vlookup(REGEXEXTRACT(C4103, ""🏘️ \w+ \w+ (.*) ✅""),'Quartier prepositio"&amp;"ns'!A:E, 5, 0) ,  if(H4103=""region"",vlookup(REGEXEXTRACT(C4103, ""🏘️ \w+ \w+ (.*) ✅""),'Region prepositions'!B:F, 5, 0),  REGEXEXTRACT(C4103, ""🏘️ \w+ \w+ (.*) ✅""))))"),"#N/A")</f>
        <v>#N/A</v>
      </c>
      <c r="I4103" s="4" t="str">
        <f>IFERROR(__xludf.DUMMYFUNCTION("if(D4103=""variant"",  substitute(filter(Templates!E:E, Templates!A:A = F4103, Templates!B:B = G4103, Templates!C:C = H4103), ""{{}}"", E4103), B4103)"),"Vendre appartement Rovio: Trouvez le bien immobilier qui correspond idéalement à vos désirs sur ImmoScout24 - La plateforme de l'immobilier en Suisse.")</f>
        <v>Vendre appartement Rovio: Trouvez le bien immobilier qui correspond idéalement à vos désirs sur ImmoScout24 - La plateforme de l'immobilier en Suisse.</v>
      </c>
    </row>
    <row r="4104" hidden="1">
      <c r="A4104" s="5" t="s">
        <v>11310</v>
      </c>
      <c r="B4104" s="2" t="s">
        <v>11311</v>
      </c>
      <c r="C4104" s="2" t="s">
        <v>11311</v>
      </c>
      <c r="D4104" s="4" t="str">
        <f>vlookup(A4104, Sheet2!D:E, 2, 0)</f>
        <v>control</v>
      </c>
      <c r="E4104" s="4" t="str">
        <f>IFERROR(__xludf.DUMMYFUNCTION("if(H4104=""pays"",vlookup(REGEXEXTRACT(C4104, ""🏘️ \w+ \w+ (.*) ✅""),'Country prepositions'!A:B, 2, 0) &amp; "" "" &amp; REGEXEXTRACT(C4104, ""🏘️ \w+ \w+ (.*) ✅"") ,  if(H4104=""quartier"",vlookup(REGEXEXTRACT(C4104, ""🏘️ \w+ \w+ (.*) ✅""),'Quartier prepositio"&amp;"ns'!A:E, 5, 0) ,  if(H4104=""region"",vlookup(REGEXEXTRACT(C4104, ""🏘️ \w+ \w+ (.*) ✅""),'Region prepositions'!B:F, 5, 0),  REGEXEXTRACT(C4104, ""🏘️ \w+ \w+ (.*) ✅""))))"),"#N/A")</f>
        <v>#N/A</v>
      </c>
      <c r="I4104" s="4" t="str">
        <f>IFERROR(__xludf.DUMMYFUNCTION("if(D4104=""variant"",  substitute(filter(Templates!E:E, Templates!A:A = F4104, Templates!B:B = G4104, Templates!C:C = H4104), ""{{}}"", E4104), B4104)"),"Louer appartement Orient: Trouvez le bien immobilier qui correspond idéalement à vos désirs sur ImmoScout24 - La plateforme de l'immobilier en Suisse.")</f>
        <v>Louer appartement Orient: Trouvez le bien immobilier qui correspond idéalement à vos désirs sur ImmoScout24 - La plateforme de l'immobilier en Suisse.</v>
      </c>
    </row>
    <row r="4105" hidden="1">
      <c r="A4105" s="5" t="s">
        <v>11312</v>
      </c>
      <c r="B4105" s="2" t="s">
        <v>11313</v>
      </c>
      <c r="C4105" s="2" t="s">
        <v>11313</v>
      </c>
      <c r="D4105" s="4" t="str">
        <f>vlookup(A4105, Sheet2!D:E, 2, 0)</f>
        <v>control</v>
      </c>
      <c r="E4105" s="4" t="str">
        <f>IFERROR(__xludf.DUMMYFUNCTION("if(H4105=""pays"",vlookup(REGEXEXTRACT(C4105, ""🏘️ \w+ \w+ (.*) ✅""),'Country prepositions'!A:B, 2, 0) &amp; "" "" &amp; REGEXEXTRACT(C4105, ""🏘️ \w+ \w+ (.*) ✅"") ,  if(H4105=""quartier"",vlookup(REGEXEXTRACT(C4105, ""🏘️ \w+ \w+ (.*) ✅""),'Quartier prepositio"&amp;"ns'!A:E, 5, 0) ,  if(H4105=""region"",vlookup(REGEXEXTRACT(C4105, ""🏘️ \w+ \w+ (.*) ✅""),'Region prepositions'!B:F, 5, 0),  REGEXEXTRACT(C4105, ""🏘️ \w+ \w+ (.*) ✅""))))"),"#N/A")</f>
        <v>#N/A</v>
      </c>
      <c r="I4105" s="4" t="str">
        <f>IFERROR(__xludf.DUMMYFUNCTION("if(D4105=""variant"",  substitute(filter(Templates!E:E, Templates!A:A = F4105, Templates!B:B = G4105, Templates!C:C = H4105), ""{{}}"", E4105), B4105)"),"Louer appartement Ogens: Trouvez le bien immobilier qui correspond idéalement à vos désirs sur ImmoScout24 - La plateforme de l'immobilier en Suisse.")</f>
        <v>Louer appartement Ogens: Trouvez le bien immobilier qui correspond idéalement à vos désirs sur ImmoScout24 - La plateforme de l'immobilier en Suisse.</v>
      </c>
    </row>
    <row r="4106" hidden="1">
      <c r="A4106" s="5" t="s">
        <v>11314</v>
      </c>
      <c r="B4106" s="2" t="s">
        <v>11315</v>
      </c>
      <c r="C4106" s="2" t="s">
        <v>11315</v>
      </c>
      <c r="D4106" s="4" t="str">
        <f>vlookup(A4106, Sheet2!D:E, 2, 0)</f>
        <v>control</v>
      </c>
      <c r="E4106" s="4" t="str">
        <f>IFERROR(__xludf.DUMMYFUNCTION("if(H4106=""pays"",vlookup(REGEXEXTRACT(C4106, ""🏘️ \w+ \w+ (.*) ✅""),'Country prepositions'!A:B, 2, 0) &amp; "" "" &amp; REGEXEXTRACT(C4106, ""🏘️ \w+ \w+ (.*) ✅"") ,  if(H4106=""quartier"",vlookup(REGEXEXTRACT(C4106, ""🏘️ \w+ \w+ (.*) ✅""),'Quartier prepositio"&amp;"ns'!A:E, 5, 0) ,  if(H4106=""region"",vlookup(REGEXEXTRACT(C4106, ""🏘️ \w+ \w+ (.*) ✅""),'Region prepositions'!B:F, 5, 0),  REGEXEXTRACT(C4106, ""🏘️ \w+ \w+ (.*) ✅""))))"),"#N/A")</f>
        <v>#N/A</v>
      </c>
      <c r="I4106" s="4" t="str">
        <f>IFERROR(__xludf.DUMMYFUNCTION("if(D4106=""variant"",  substitute(filter(Templates!E:E, Templates!A:A = F4106, Templates!B:B = G4106, Templates!C:C = H4106), ""{{}}"", E4106), B4106)"),"Louer appartement Montalchez: Trouvez le bien immobilier qui correspond idéalement à vos désirs sur ImmoScout24 - La plateforme de l'immobilier en Suisse.")</f>
        <v>Louer appartement Montalchez: Trouvez le bien immobilier qui correspond idéalement à vos désirs sur ImmoScout24 - La plateforme de l'immobilier en Suisse.</v>
      </c>
    </row>
    <row r="4107" hidden="1">
      <c r="A4107" s="5" t="s">
        <v>11316</v>
      </c>
      <c r="B4107" s="2" t="s">
        <v>11317</v>
      </c>
      <c r="C4107" s="2" t="s">
        <v>11317</v>
      </c>
      <c r="D4107" s="4" t="str">
        <f>vlookup(A4107, Sheet2!D:E, 2, 0)</f>
        <v>control</v>
      </c>
      <c r="E4107" s="4" t="str">
        <f>IFERROR(__xludf.DUMMYFUNCTION("if(H4107=""pays"",vlookup(REGEXEXTRACT(C4107, ""🏘️ \w+ \w+ (.*) ✅""),'Country prepositions'!A:B, 2, 0) &amp; "" "" &amp; REGEXEXTRACT(C4107, ""🏘️ \w+ \w+ (.*) ✅"") ,  if(H4107=""quartier"",vlookup(REGEXEXTRACT(C4107, ""🏘️ \w+ \w+ (.*) ✅""),'Quartier prepositio"&amp;"ns'!A:E, 5, 0) ,  if(H4107=""region"",vlookup(REGEXEXTRACT(C4107, ""🏘️ \w+ \w+ (.*) ✅""),'Region prepositions'!B:F, 5, 0),  REGEXEXTRACT(C4107, ""🏘️ \w+ \w+ (.*) ✅""))))"),"#N/A")</f>
        <v>#N/A</v>
      </c>
      <c r="I4107" s="4" t="str">
        <f>IFERROR(__xludf.DUMMYFUNCTION("if(D4107=""variant"",  substitute(filter(Templates!E:E, Templates!A:A = F4107, Templates!B:B = G4107, Templates!C:C = H4107), ""{{}}"", E4107), B4107)"),"Louer appartement Canton de Genève: Trouvez le bien immobilier qui correspond idéalement à vos désirs sur ImmoScout24 - La plateforme de l'immobilier en Suisse.")</f>
        <v>Louer appartement Canton de Genève: Trouvez le bien immobilier qui correspond idéalement à vos désirs sur ImmoScout24 - La plateforme de l'immobilier en Suisse.</v>
      </c>
    </row>
    <row r="4108" hidden="1">
      <c r="A4108" s="5" t="s">
        <v>11318</v>
      </c>
      <c r="B4108" s="2" t="s">
        <v>11319</v>
      </c>
      <c r="C4108" s="2" t="s">
        <v>11319</v>
      </c>
      <c r="D4108" s="4" t="str">
        <f>vlookup(A4108, Sheet2!D:E, 2, 0)</f>
        <v>control</v>
      </c>
      <c r="E4108" s="4" t="str">
        <f>IFERROR(__xludf.DUMMYFUNCTION("if(H4108=""pays"",vlookup(REGEXEXTRACT(C4108, ""🏘️ \w+ \w+ (.*) ✅""),'Country prepositions'!A:B, 2, 0) &amp; "" "" &amp; REGEXEXTRACT(C4108, ""🏘️ \w+ \w+ (.*) ✅"") ,  if(H4108=""quartier"",vlookup(REGEXEXTRACT(C4108, ""🏘️ \w+ \w+ (.*) ✅""),'Quartier prepositio"&amp;"ns'!A:E, 5, 0) ,  if(H4108=""region"",vlookup(REGEXEXTRACT(C4108, ""🏘️ \w+ \w+ (.*) ✅""),'Region prepositions'!B:F, 5, 0),  REGEXEXTRACT(C4108, ""🏘️ \w+ \w+ (.*) ✅""))))"),"#N/A")</f>
        <v>#N/A</v>
      </c>
      <c r="I4108" s="4" t="str">
        <f>IFERROR(__xludf.DUMMYFUNCTION("if(D4108=""variant"",  substitute(filter(Templates!E:E, Templates!A:A = F4108, Templates!B:B = G4108, Templates!C:C = H4108), ""{{}}"", E4108), B4108)"),"Louer appartement Les Clées: Trouvez le bien immobilier qui correspond idéalement à vos désirs sur ImmoScout24 - La plateforme de l'immobilier en Suisse.")</f>
        <v>Louer appartement Les Clées: Trouvez le bien immobilier qui correspond idéalement à vos désirs sur ImmoScout24 - La plateforme de l'immobilier en Suisse.</v>
      </c>
    </row>
    <row r="4109" hidden="1">
      <c r="A4109" s="5" t="s">
        <v>11320</v>
      </c>
      <c r="B4109" s="2" t="s">
        <v>11321</v>
      </c>
      <c r="C4109" s="2" t="s">
        <v>11321</v>
      </c>
      <c r="D4109" s="4" t="str">
        <f>vlookup(A4109, Sheet2!D:E, 2, 0)</f>
        <v>control</v>
      </c>
      <c r="E4109" s="4" t="str">
        <f>IFERROR(__xludf.DUMMYFUNCTION("if(H4109=""pays"",vlookup(REGEXEXTRACT(C4109, ""🏘️ \w+ \w+ (.*) ✅""),'Country prepositions'!A:B, 2, 0) &amp; "" "" &amp; REGEXEXTRACT(C4109, ""🏘️ \w+ \w+ (.*) ✅"") ,  if(H4109=""quartier"",vlookup(REGEXEXTRACT(C4109, ""🏘️ \w+ \w+ (.*) ✅""),'Quartier prepositio"&amp;"ns'!A:E, 5, 0) ,  if(H4109=""region"",vlookup(REGEXEXTRACT(C4109, ""🏘️ \w+ \w+ (.*) ✅""),'Region prepositions'!B:F, 5, 0),  REGEXEXTRACT(C4109, ""🏘️ \w+ \w+ (.*) ✅""))))"),"#N/A")</f>
        <v>#N/A</v>
      </c>
      <c r="I4109" s="4" t="str">
        <f>IFERROR(__xludf.DUMMYFUNCTION("if(D4109=""variant"",  substitute(filter(Templates!E:E, Templates!A:A = F4109, Templates!B:B = G4109, Templates!C:C = H4109), ""{{}}"", E4109), B4109)"),"Vendre maison Rossinière: Trouvez le bien immobilier qui correspond idéalement à vos désirs sur ImmoScout24 - La plateforme de l'immobilier en Suisse.")</f>
        <v>Vendre maison Rossinière: Trouvez le bien immobilier qui correspond idéalement à vos désirs sur ImmoScout24 - La plateforme de l'immobilier en Suisse.</v>
      </c>
    </row>
    <row r="4110" hidden="1">
      <c r="A4110" s="5" t="s">
        <v>11322</v>
      </c>
      <c r="B4110" s="2" t="s">
        <v>11323</v>
      </c>
      <c r="C4110" s="2" t="s">
        <v>11323</v>
      </c>
      <c r="D4110" s="4" t="str">
        <f>vlookup(A4110, Sheet2!D:E, 2, 0)</f>
        <v>control</v>
      </c>
      <c r="E4110" s="4" t="str">
        <f>IFERROR(__xludf.DUMMYFUNCTION("if(H4110=""pays"",vlookup(REGEXEXTRACT(C4110, ""🏘️ \w+ \w+ (.*) ✅""),'Country prepositions'!A:B, 2, 0) &amp; "" "" &amp; REGEXEXTRACT(C4110, ""🏘️ \w+ \w+ (.*) ✅"") ,  if(H4110=""quartier"",vlookup(REGEXEXTRACT(C4110, ""🏘️ \w+ \w+ (.*) ✅""),'Quartier prepositio"&amp;"ns'!A:E, 5, 0) ,  if(H4110=""region"",vlookup(REGEXEXTRACT(C4110, ""🏘️ \w+ \w+ (.*) ✅""),'Region prepositions'!B:F, 5, 0),  REGEXEXTRACT(C4110, ""🏘️ \w+ \w+ (.*) ✅""))))"),"#N/A")</f>
        <v>#N/A</v>
      </c>
      <c r="I4110" s="4" t="str">
        <f>IFERROR(__xludf.DUMMYFUNCTION("if(D4110=""variant"",  substitute(filter(Templates!E:E, Templates!A:A = F4110, Templates!B:B = G4110, Templates!C:C = H4110), ""{{}}"", E4110), B4110)"),"Vendre maison Mannens: Trouvez le bien immobilier qui correspond idéalement à vos désirs sur ImmoScout24 - La plateforme de l'immobilier en Suisse.")</f>
        <v>Vendre maison Mannens: Trouvez le bien immobilier qui correspond idéalement à vos désirs sur ImmoScout24 - La plateforme de l'immobilier en Suisse.</v>
      </c>
    </row>
    <row r="4111" hidden="1">
      <c r="A4111" s="5" t="s">
        <v>11324</v>
      </c>
      <c r="B4111" s="2" t="s">
        <v>11325</v>
      </c>
      <c r="C4111" s="2" t="s">
        <v>11325</v>
      </c>
      <c r="D4111" s="4" t="str">
        <f>vlookup(A4111, Sheet2!D:E, 2, 0)</f>
        <v>control</v>
      </c>
      <c r="E4111" s="4" t="str">
        <f>IFERROR(__xludf.DUMMYFUNCTION("if(H4111=""pays"",vlookup(REGEXEXTRACT(C4111, ""🏘️ \w+ \w+ (.*) ✅""),'Country prepositions'!A:B, 2, 0) &amp; "" "" &amp; REGEXEXTRACT(C4111, ""🏘️ \w+ \w+ (.*) ✅"") ,  if(H4111=""quartier"",vlookup(REGEXEXTRACT(C4111, ""🏘️ \w+ \w+ (.*) ✅""),'Quartier prepositio"&amp;"ns'!A:E, 5, 0) ,  if(H4111=""region"",vlookup(REGEXEXTRACT(C4111, ""🏘️ \w+ \w+ (.*) ✅""),'Region prepositions'!B:F, 5, 0),  REGEXEXTRACT(C4111, ""🏘️ \w+ \w+ (.*) ✅""))))"),"#N/A")</f>
        <v>#N/A</v>
      </c>
      <c r="I4111" s="4" t="str">
        <f>IFERROR(__xludf.DUMMYFUNCTION("if(D4111=""variant"",  substitute(filter(Templates!E:E, Templates!A:A = F4111, Templates!B:B = G4111, Templates!C:C = H4111), ""{{}}"", E4111), B4111)"),"Vendre appartement Bas Valais: Trouvez le bien immobilier qui correspond idéalement à vos désirs sur ImmoScout24 - La plateforme de l'immobilier en Suisse.")</f>
        <v>Vendre appartement Bas Valais: Trouvez le bien immobilier qui correspond idéalement à vos désirs sur ImmoScout24 - La plateforme de l'immobilier en Suisse.</v>
      </c>
    </row>
    <row r="4112" hidden="1">
      <c r="A4112" s="5" t="s">
        <v>11326</v>
      </c>
      <c r="B4112" s="2" t="s">
        <v>11327</v>
      </c>
      <c r="C4112" s="2" t="s">
        <v>11327</v>
      </c>
      <c r="D4112" s="4" t="str">
        <f>vlookup(A4112, Sheet2!D:E, 2, 0)</f>
        <v>control</v>
      </c>
      <c r="E4112" s="4" t="str">
        <f>IFERROR(__xludf.DUMMYFUNCTION("if(H4112=""pays"",vlookup(REGEXEXTRACT(C4112, ""🏘️ \w+ \w+ (.*) ✅""),'Country prepositions'!A:B, 2, 0) &amp; "" "" &amp; REGEXEXTRACT(C4112, ""🏘️ \w+ \w+ (.*) ✅"") ,  if(H4112=""quartier"",vlookup(REGEXEXTRACT(C4112, ""🏘️ \w+ \w+ (.*) ✅""),'Quartier prepositio"&amp;"ns'!A:E, 5, 0) ,  if(H4112=""region"",vlookup(REGEXEXTRACT(C4112, ""🏘️ \w+ \w+ (.*) ✅""),'Region prepositions'!B:F, 5, 0),  REGEXEXTRACT(C4112, ""🏘️ \w+ \w+ (.*) ✅""))))"),"#N/A")</f>
        <v>#N/A</v>
      </c>
      <c r="I4112" s="4" t="str">
        <f>IFERROR(__xludf.DUMMYFUNCTION("if(D4112=""variant"",  substitute(filter(Templates!E:E, Templates!A:A = F4112, Templates!B:B = G4112, Templates!C:C = H4112), ""{{}}"", E4112), B4112)"),"Louer appartement Liesberg Dorf: Trouvez le bien immobilier qui correspond idéalement à vos désirs sur ImmoScout24 - La plateforme de l'immobilier en Suisse.")</f>
        <v>Louer appartement Liesberg Dorf: Trouvez le bien immobilier qui correspond idéalement à vos désirs sur ImmoScout24 - La plateforme de l'immobilier en Suisse.</v>
      </c>
    </row>
    <row r="4113" hidden="1">
      <c r="A4113" s="5" t="s">
        <v>11328</v>
      </c>
      <c r="B4113" s="2" t="s">
        <v>11329</v>
      </c>
      <c r="C4113" s="2" t="s">
        <v>11329</v>
      </c>
      <c r="D4113" s="4" t="str">
        <f>vlookup(A4113, Sheet2!D:E, 2, 0)</f>
        <v>control</v>
      </c>
      <c r="E4113" s="4" t="str">
        <f>IFERROR(__xludf.DUMMYFUNCTION("if(H4113=""pays"",vlookup(REGEXEXTRACT(C4113, ""🏘️ \w+ \w+ (.*) ✅""),'Country prepositions'!A:B, 2, 0) &amp; "" "" &amp; REGEXEXTRACT(C4113, ""🏘️ \w+ \w+ (.*) ✅"") ,  if(H4113=""quartier"",vlookup(REGEXEXTRACT(C4113, ""🏘️ \w+ \w+ (.*) ✅""),'Quartier prepositio"&amp;"ns'!A:E, 5, 0) ,  if(H4113=""region"",vlookup(REGEXEXTRACT(C4113, ""🏘️ \w+ \w+ (.*) ✅""),'Region prepositions'!B:F, 5, 0),  REGEXEXTRACT(C4113, ""🏘️ \w+ \w+ (.*) ✅""))))"),"#N/A")</f>
        <v>#N/A</v>
      </c>
      <c r="I4113" s="4" t="str">
        <f>IFERROR(__xludf.DUMMYFUNCTION("if(D4113=""variant"",  substitute(filter(Templates!E:E, Templates!A:A = F4113, Templates!B:B = G4113, Templates!C:C = H4113), ""{{}}"", E4113), B4113)"),"Vendre appartement Troinex: Trouvez le bien immobilier qui correspond idéalement à vos désirs sur ImmoScout24 - La plateforme de l'immobilier en Suisse.")</f>
        <v>Vendre appartement Troinex: Trouvez le bien immobilier qui correspond idéalement à vos désirs sur ImmoScout24 - La plateforme de l'immobilier en Suisse.</v>
      </c>
    </row>
    <row r="4114" hidden="1">
      <c r="A4114" s="5" t="s">
        <v>11330</v>
      </c>
      <c r="B4114" s="2" t="s">
        <v>11331</v>
      </c>
      <c r="C4114" s="2" t="s">
        <v>11331</v>
      </c>
      <c r="D4114" s="4" t="str">
        <f>vlookup(A4114, Sheet2!D:E, 2, 0)</f>
        <v>control</v>
      </c>
      <c r="E4114" s="4" t="str">
        <f>IFERROR(__xludf.DUMMYFUNCTION("if(H4114=""pays"",vlookup(REGEXEXTRACT(C4114, ""🏘️ \w+ \w+ (.*) ✅""),'Country prepositions'!A:B, 2, 0) &amp; "" "" &amp; REGEXEXTRACT(C4114, ""🏘️ \w+ \w+ (.*) ✅"") ,  if(H4114=""quartier"",vlookup(REGEXEXTRACT(C4114, ""🏘️ \w+ \w+ (.*) ✅""),'Quartier prepositio"&amp;"ns'!A:E, 5, 0) ,  if(H4114=""region"",vlookup(REGEXEXTRACT(C4114, ""🏘️ \w+ \w+ (.*) ✅""),'Region prepositions'!B:F, 5, 0),  REGEXEXTRACT(C4114, ""🏘️ \w+ \w+ (.*) ✅""))))"),"#N/A")</f>
        <v>#N/A</v>
      </c>
      <c r="I4114" s="4" t="str">
        <f>IFERROR(__xludf.DUMMYFUNCTION("if(D4114=""variant"",  substitute(filter(Templates!E:E, Templates!A:A = F4114, Templates!B:B = G4114, Templates!C:C = H4114), ""{{}}"", E4114), B4114)"),"Louer appartement Grächen: Trouvez le bien immobilier qui correspond idéalement à vos désirs sur ImmoScout24 - La plateforme de l'immobilier en Suisse.")</f>
        <v>Louer appartement Grächen: Trouvez le bien immobilier qui correspond idéalement à vos désirs sur ImmoScout24 - La plateforme de l'immobilier en Suisse.</v>
      </c>
    </row>
    <row r="4115" hidden="1">
      <c r="A4115" s="5" t="s">
        <v>11332</v>
      </c>
      <c r="B4115" s="2" t="s">
        <v>11333</v>
      </c>
      <c r="C4115" s="2" t="s">
        <v>11333</v>
      </c>
      <c r="D4115" s="4" t="str">
        <f>vlookup(A4115, Sheet2!D:E, 2, 0)</f>
        <v>control</v>
      </c>
      <c r="E4115" s="4" t="str">
        <f>IFERROR(__xludf.DUMMYFUNCTION("if(H4115=""pays"",vlookup(REGEXEXTRACT(C4115, ""🏘️ \w+ \w+ (.*) ✅""),'Country prepositions'!A:B, 2, 0) &amp; "" "" &amp; REGEXEXTRACT(C4115, ""🏘️ \w+ \w+ (.*) ✅"") ,  if(H4115=""quartier"",vlookup(REGEXEXTRACT(C4115, ""🏘️ \w+ \w+ (.*) ✅""),'Quartier prepositio"&amp;"ns'!A:E, 5, 0) ,  if(H4115=""region"",vlookup(REGEXEXTRACT(C4115, ""🏘️ \w+ \w+ (.*) ✅""),'Region prepositions'!B:F, 5, 0),  REGEXEXTRACT(C4115, ""🏘️ \w+ \w+ (.*) ✅""))))"),"#N/A")</f>
        <v>#N/A</v>
      </c>
      <c r="I4115" s="4" t="str">
        <f>IFERROR(__xludf.DUMMYFUNCTION("if(D4115=""variant"",  substitute(filter(Templates!E:E, Templates!A:A = F4115, Templates!B:B = G4115, Templates!C:C = H4115), ""{{}}"", E4115), B4115)"),"Vendre maison Schoenberg (Fribourg): Trouvez le bien immobilier qui correspond idéalement à vos désirs sur ImmoScout24 - La plateforme de l'immobilier en Suisse.")</f>
        <v>Vendre maison Schoenberg (Fribourg): Trouvez le bien immobilier qui correspond idéalement à vos désirs sur ImmoScout24 - La plateforme de l'immobilier en Suisse.</v>
      </c>
    </row>
    <row r="4116" hidden="1">
      <c r="A4116" s="5" t="s">
        <v>11334</v>
      </c>
      <c r="B4116" s="2" t="s">
        <v>11335</v>
      </c>
      <c r="C4116" s="2" t="s">
        <v>11335</v>
      </c>
      <c r="D4116" s="4" t="str">
        <f>vlookup(A4116, Sheet2!D:E, 2, 0)</f>
        <v>control</v>
      </c>
      <c r="E4116" s="4" t="str">
        <f>IFERROR(__xludf.DUMMYFUNCTION("if(H4116=""pays"",vlookup(REGEXEXTRACT(C4116, ""🏘️ \w+ \w+ (.*) ✅""),'Country prepositions'!A:B, 2, 0) &amp; "" "" &amp; REGEXEXTRACT(C4116, ""🏘️ \w+ \w+ (.*) ✅"") ,  if(H4116=""quartier"",vlookup(REGEXEXTRACT(C4116, ""🏘️ \w+ \w+ (.*) ✅""),'Quartier prepositio"&amp;"ns'!A:E, 5, 0) ,  if(H4116=""region"",vlookup(REGEXEXTRACT(C4116, ""🏘️ \w+ \w+ (.*) ✅""),'Region prepositions'!B:F, 5, 0),  REGEXEXTRACT(C4116, ""🏘️ \w+ \w+ (.*) ✅""))))"),"#N/A")</f>
        <v>#N/A</v>
      </c>
      <c r="I4116" s="4" t="str">
        <f>IFERROR(__xludf.DUMMYFUNCTION("if(D4116=""variant"",  substitute(filter(Templates!E:E, Templates!A:A = F4116, Templates!B:B = G4116, Templates!C:C = H4116), ""{{}}"", E4116), B4116)"),"Louer appartement Movelier: Trouvez le bien immobilier qui correspond idéalement à vos désirs sur ImmoScout24 - La plateforme de l'immobilier en Suisse.")</f>
        <v>Louer appartement Movelier: Trouvez le bien immobilier qui correspond idéalement à vos désirs sur ImmoScout24 - La plateforme de l'immobilier en Suisse.</v>
      </c>
    </row>
    <row r="4117" hidden="1">
      <c r="A4117" s="5" t="s">
        <v>11336</v>
      </c>
      <c r="B4117" s="2" t="s">
        <v>11337</v>
      </c>
      <c r="C4117" s="2" t="s">
        <v>11337</v>
      </c>
      <c r="D4117" s="4" t="str">
        <f>vlookup(A4117, Sheet2!D:E, 2, 0)</f>
        <v>control</v>
      </c>
      <c r="E4117" s="4" t="str">
        <f>IFERROR(__xludf.DUMMYFUNCTION("if(H4117=""pays"",vlookup(REGEXEXTRACT(C4117, ""🏘️ \w+ \w+ (.*) ✅""),'Country prepositions'!A:B, 2, 0) &amp; "" "" &amp; REGEXEXTRACT(C4117, ""🏘️ \w+ \w+ (.*) ✅"") ,  if(H4117=""quartier"",vlookup(REGEXEXTRACT(C4117, ""🏘️ \w+ \w+ (.*) ✅""),'Quartier prepositio"&amp;"ns'!A:E, 5, 0) ,  if(H4117=""region"",vlookup(REGEXEXTRACT(C4117, ""🏘️ \w+ \w+ (.*) ✅""),'Region prepositions'!B:F, 5, 0),  REGEXEXTRACT(C4117, ""🏘️ \w+ \w+ (.*) ✅""))))"),"#N/A")</f>
        <v>#N/A</v>
      </c>
      <c r="I4117" s="4" t="str">
        <f>IFERROR(__xludf.DUMMYFUNCTION("if(D4117=""variant"",  substitute(filter(Templates!E:E, Templates!A:A = F4117, Templates!B:B = G4117, Templates!C:C = H4117), ""{{}}"", E4117), B4117)"),"Vendre maison Ville Ancienne (La Chaux-de-Fonds): Trouvez le bien immobilier qui correspond idéalement à vos désirs sur ImmoScout24 - La plateforme de l'immobilier en Suisse.")</f>
        <v>Vendre maison Ville Ancienne (La Chaux-de-Fonds): Trouvez le bien immobilier qui correspond idéalement à vos désirs sur ImmoScout24 - La plateforme de l'immobilier en Suisse.</v>
      </c>
    </row>
    <row r="4118" hidden="1">
      <c r="A4118" s="5" t="s">
        <v>11338</v>
      </c>
      <c r="B4118" s="2" t="s">
        <v>11339</v>
      </c>
      <c r="C4118" s="2" t="s">
        <v>11339</v>
      </c>
      <c r="D4118" s="4" t="str">
        <f>vlookup(A4118, Sheet2!D:E, 2, 0)</f>
        <v>control</v>
      </c>
      <c r="E4118" s="4" t="str">
        <f>IFERROR(__xludf.DUMMYFUNCTION("if(H4118=""pays"",vlookup(REGEXEXTRACT(C4118, ""🏘️ \w+ \w+ (.*) ✅""),'Country prepositions'!A:B, 2, 0) &amp; "" "" &amp; REGEXEXTRACT(C4118, ""🏘️ \w+ \w+ (.*) ✅"") ,  if(H4118=""quartier"",vlookup(REGEXEXTRACT(C4118, ""🏘️ \w+ \w+ (.*) ✅""),'Quartier prepositio"&amp;"ns'!A:E, 5, 0) ,  if(H4118=""region"",vlookup(REGEXEXTRACT(C4118, ""🏘️ \w+ \w+ (.*) ✅""),'Region prepositions'!B:F, 5, 0),  REGEXEXTRACT(C4118, ""🏘️ \w+ \w+ (.*) ✅""))))"),"#N/A")</f>
        <v>#N/A</v>
      </c>
      <c r="I4118" s="4" t="str">
        <f>IFERROR(__xludf.DUMMYFUNCTION("if(D4118=""variant"",  substitute(filter(Templates!E:E, Templates!A:A = F4118, Templates!B:B = G4118, Templates!C:C = H4118), ""{{}}"", E4118), B4118)"),"Louer maison Erlach: Trouvez le bien immobilier qui correspond idéalement à vos désirs sur ImmoScout24 - La plateforme de l'immobilier en Suisse.")</f>
        <v>Louer maison Erlach: Trouvez le bien immobilier qui correspond idéalement à vos désirs sur ImmoScout24 - La plateforme de l'immobilier en Suisse.</v>
      </c>
    </row>
    <row r="4119" hidden="1">
      <c r="A4119" s="5" t="s">
        <v>11340</v>
      </c>
      <c r="B4119" s="2" t="s">
        <v>11341</v>
      </c>
      <c r="C4119" s="2" t="s">
        <v>11341</v>
      </c>
      <c r="D4119" s="4" t="str">
        <f>vlookup(A4119, Sheet2!D:E, 2, 0)</f>
        <v>control</v>
      </c>
      <c r="E4119" s="4" t="str">
        <f>IFERROR(__xludf.DUMMYFUNCTION("if(H4119=""pays"",vlookup(REGEXEXTRACT(C4119, ""🏘️ \w+ \w+ (.*) ✅""),'Country prepositions'!A:B, 2, 0) &amp; "" "" &amp; REGEXEXTRACT(C4119, ""🏘️ \w+ \w+ (.*) ✅"") ,  if(H4119=""quartier"",vlookup(REGEXEXTRACT(C4119, ""🏘️ \w+ \w+ (.*) ✅""),'Quartier prepositio"&amp;"ns'!A:E, 5, 0) ,  if(H4119=""region"",vlookup(REGEXEXTRACT(C4119, ""🏘️ \w+ \w+ (.*) ✅""),'Region prepositions'!B:F, 5, 0),  REGEXEXTRACT(C4119, ""🏘️ \w+ \w+ (.*) ✅""))))"),"#N/A")</f>
        <v>#N/A</v>
      </c>
      <c r="I4119" s="4" t="str">
        <f>IFERROR(__xludf.DUMMYFUNCTION("if(D4119=""variant"",  substitute(filter(Templates!E:E, Templates!A:A = F4119, Templates!B:B = G4119, Templates!C:C = H4119), ""{{}}"", E4119), B4119)"),"Vendre maison Seiry: Trouvez le bien immobilier qui correspond idéalement à vos désirs sur ImmoScout24 - La plateforme de l'immobilier en Suisse.")</f>
        <v>Vendre maison Seiry: Trouvez le bien immobilier qui correspond idéalement à vos désirs sur ImmoScout24 - La plateforme de l'immobilier en Suisse.</v>
      </c>
    </row>
    <row r="4120" hidden="1">
      <c r="A4120" s="5" t="s">
        <v>11342</v>
      </c>
      <c r="B4120" s="2" t="s">
        <v>11343</v>
      </c>
      <c r="C4120" s="2" t="s">
        <v>11343</v>
      </c>
      <c r="D4120" s="4" t="str">
        <f>vlookup(A4120, Sheet2!D:E, 2, 0)</f>
        <v>control</v>
      </c>
      <c r="E4120" s="4" t="str">
        <f>IFERROR(__xludf.DUMMYFUNCTION("if(H4120=""pays"",vlookup(REGEXEXTRACT(C4120, ""🏘️ \w+ \w+ (.*) ✅""),'Country prepositions'!A:B, 2, 0) &amp; "" "" &amp; REGEXEXTRACT(C4120, ""🏘️ \w+ \w+ (.*) ✅"") ,  if(H4120=""quartier"",vlookup(REGEXEXTRACT(C4120, ""🏘️ \w+ \w+ (.*) ✅""),'Quartier prepositio"&amp;"ns'!A:E, 5, 0) ,  if(H4120=""region"",vlookup(REGEXEXTRACT(C4120, ""🏘️ \w+ \w+ (.*) ✅""),'Region prepositions'!B:F, 5, 0),  REGEXEXTRACT(C4120, ""🏘️ \w+ \w+ (.*) ✅""))))"),"#N/A")</f>
        <v>#N/A</v>
      </c>
      <c r="I4120" s="4" t="str">
        <f>IFERROR(__xludf.DUMMYFUNCTION("if(D4120=""variant"",  substitute(filter(Templates!E:E, Templates!A:A = F4120, Templates!B:B = G4120, Templates!C:C = H4120), ""{{}}"", E4120), B4120)"),"Vendre appartement Belalp: Trouvez le bien immobilier qui correspond idéalement à vos désirs sur ImmoScout24 - La plateforme de l'immobilier en Suisse.")</f>
        <v>Vendre appartement Belalp: Trouvez le bien immobilier qui correspond idéalement à vos désirs sur ImmoScout24 - La plateforme de l'immobilier en Suisse.</v>
      </c>
    </row>
    <row r="4121" hidden="1">
      <c r="A4121" s="5" t="s">
        <v>11344</v>
      </c>
      <c r="B4121" s="2" t="s">
        <v>11345</v>
      </c>
      <c r="C4121" s="2" t="s">
        <v>11345</v>
      </c>
      <c r="D4121" s="4" t="str">
        <f>vlookup(A4121, Sheet2!D:E, 2, 0)</f>
        <v>control</v>
      </c>
      <c r="E4121" s="4" t="str">
        <f>IFERROR(__xludf.DUMMYFUNCTION("if(H4121=""pays"",vlookup(REGEXEXTRACT(C4121, ""🏘️ \w+ \w+ (.*) ✅""),'Country prepositions'!A:B, 2, 0) &amp; "" "" &amp; REGEXEXTRACT(C4121, ""🏘️ \w+ \w+ (.*) ✅"") ,  if(H4121=""quartier"",vlookup(REGEXEXTRACT(C4121, ""🏘️ \w+ \w+ (.*) ✅""),'Quartier prepositio"&amp;"ns'!A:E, 5, 0) ,  if(H4121=""region"",vlookup(REGEXEXTRACT(C4121, ""🏘️ \w+ \w+ (.*) ✅""),'Region prepositions'!B:F, 5, 0),  REGEXEXTRACT(C4121, ""🏘️ \w+ \w+ (.*) ✅""))))"),"#N/A")</f>
        <v>#N/A</v>
      </c>
      <c r="I4121" s="4" t="str">
        <f>IFERROR(__xludf.DUMMYFUNCTION("if(D4121=""variant"",  substitute(filter(Templates!E:E, Templates!A:A = F4121, Templates!B:B = G4121, Templates!C:C = H4121), ""{{}}"", E4121), B4121)"),"Louer appartement Jura Bernois: Trouvez le bien immobilier qui correspond idéalement à vos désirs sur ImmoScout24 - La plateforme de l'immobilier en Suisse.")</f>
        <v>Louer appartement Jura Bernois: Trouvez le bien immobilier qui correspond idéalement à vos désirs sur ImmoScout24 - La plateforme de l'immobilier en Suisse.</v>
      </c>
    </row>
    <row r="4122" hidden="1">
      <c r="A4122" s="5" t="s">
        <v>11346</v>
      </c>
      <c r="B4122" s="2" t="s">
        <v>11347</v>
      </c>
      <c r="C4122" s="2" t="s">
        <v>11347</v>
      </c>
      <c r="D4122" s="4" t="str">
        <f>vlookup(A4122, Sheet2!D:E, 2, 0)</f>
        <v>control</v>
      </c>
      <c r="E4122" s="4" t="str">
        <f>IFERROR(__xludf.DUMMYFUNCTION("if(H4122=""pays"",vlookup(REGEXEXTRACT(C4122, ""🏘️ \w+ \w+ (.*) ✅""),'Country prepositions'!A:B, 2, 0) &amp; "" "" &amp; REGEXEXTRACT(C4122, ""🏘️ \w+ \w+ (.*) ✅"") ,  if(H4122=""quartier"",vlookup(REGEXEXTRACT(C4122, ""🏘️ \w+ \w+ (.*) ✅""),'Quartier prepositio"&amp;"ns'!A:E, 5, 0) ,  if(H4122=""region"",vlookup(REGEXEXTRACT(C4122, ""🏘️ \w+ \w+ (.*) ✅""),'Region prepositions'!B:F, 5, 0),  REGEXEXTRACT(C4122, ""🏘️ \w+ \w+ (.*) ✅""))))"),"#N/A")</f>
        <v>#N/A</v>
      </c>
      <c r="I4122" s="4" t="str">
        <f>IFERROR(__xludf.DUMMYFUNCTION("if(D4122=""variant"",  substitute(filter(Templates!E:E, Templates!A:A = F4122, Templates!B:B = G4122, Templates!C:C = H4122), ""{{}}"", E4122), B4122)"),"Louer appartement Remaufens: Trouvez le bien immobilier qui correspond idéalement à vos désirs sur ImmoScout24 - La plateforme de l'immobilier en Suisse.")</f>
        <v>Louer appartement Remaufens: Trouvez le bien immobilier qui correspond idéalement à vos désirs sur ImmoScout24 - La plateforme de l'immobilier en Suisse.</v>
      </c>
    </row>
    <row r="4123" hidden="1">
      <c r="A4123" s="5" t="s">
        <v>11348</v>
      </c>
      <c r="B4123" s="2" t="s">
        <v>11349</v>
      </c>
      <c r="C4123" s="2" t="s">
        <v>11349</v>
      </c>
      <c r="D4123" s="4" t="str">
        <f>vlookup(A4123, Sheet2!D:E, 2, 0)</f>
        <v>control</v>
      </c>
      <c r="E4123" s="4" t="str">
        <f>IFERROR(__xludf.DUMMYFUNCTION("if(H4123=""pays"",vlookup(REGEXEXTRACT(C4123, ""🏘️ \w+ \w+ (.*) ✅""),'Country prepositions'!A:B, 2, 0) &amp; "" "" &amp; REGEXEXTRACT(C4123, ""🏘️ \w+ \w+ (.*) ✅"") ,  if(H4123=""quartier"",vlookup(REGEXEXTRACT(C4123, ""🏘️ \w+ \w+ (.*) ✅""),'Quartier prepositio"&amp;"ns'!A:E, 5, 0) ,  if(H4123=""region"",vlookup(REGEXEXTRACT(C4123, ""🏘️ \w+ \w+ (.*) ✅""),'Region prepositions'!B:F, 5, 0),  REGEXEXTRACT(C4123, ""🏘️ \w+ \w+ (.*) ✅""))))"),"#N/A")</f>
        <v>#N/A</v>
      </c>
      <c r="I4123" s="4" t="str">
        <f>IFERROR(__xludf.DUMMYFUNCTION("if(D4123=""variant"",  substitute(filter(Templates!E:E, Templates!A:A = F4123, Templates!B:B = G4123, Templates!C:C = H4123), ""{{}}"", E4123), B4123)"),"Vendre maison Aarau: Trouvez le bien immobilier qui correspond idéalement à vos désirs sur ImmoScout24 - La plateforme de l'immobilier en Suisse.")</f>
        <v>Vendre maison Aarau: Trouvez le bien immobilier qui correspond idéalement à vos désirs sur ImmoScout24 - La plateforme de l'immobilier en Suisse.</v>
      </c>
    </row>
    <row r="4124" hidden="1">
      <c r="A4124" s="5" t="s">
        <v>11350</v>
      </c>
      <c r="B4124" s="2" t="s">
        <v>11351</v>
      </c>
      <c r="C4124" s="2" t="s">
        <v>11351</v>
      </c>
      <c r="D4124" s="4" t="str">
        <f>vlookup(A4124, Sheet2!D:E, 2, 0)</f>
        <v>control</v>
      </c>
      <c r="E4124" s="4" t="str">
        <f>IFERROR(__xludf.DUMMYFUNCTION("if(H4124=""pays"",vlookup(REGEXEXTRACT(C4124, ""🏘️ \w+ \w+ (.*) ✅""),'Country prepositions'!A:B, 2, 0) &amp; "" "" &amp; REGEXEXTRACT(C4124, ""🏘️ \w+ \w+ (.*) ✅"") ,  if(H4124=""quartier"",vlookup(REGEXEXTRACT(C4124, ""🏘️ \w+ \w+ (.*) ✅""),'Quartier prepositio"&amp;"ns'!A:E, 5, 0) ,  if(H4124=""region"",vlookup(REGEXEXTRACT(C4124, ""🏘️ \w+ \w+ (.*) ✅""),'Region prepositions'!B:F, 5, 0),  REGEXEXTRACT(C4124, ""🏘️ \w+ \w+ (.*) ✅""))))"),"#N/A")</f>
        <v>#N/A</v>
      </c>
      <c r="I4124" s="4" t="str">
        <f>IFERROR(__xludf.DUMMYFUNCTION("if(D4124=""variant"",  substitute(filter(Templates!E:E, Templates!A:A = F4124, Templates!B:B = G4124, Templates!C:C = H4124), ""{{}}"", E4124), B4124)"),"Louer appartement Bösingen: Trouvez le bien immobilier qui correspond idéalement à vos désirs sur ImmoScout24 - La plateforme de l'immobilier en Suisse.")</f>
        <v>Louer appartement Bösingen: Trouvez le bien immobilier qui correspond idéalement à vos désirs sur ImmoScout24 - La plateforme de l'immobilier en Suisse.</v>
      </c>
    </row>
    <row r="4125" hidden="1">
      <c r="A4125" s="5" t="s">
        <v>11352</v>
      </c>
      <c r="B4125" s="2" t="s">
        <v>11353</v>
      </c>
      <c r="C4125" s="2" t="s">
        <v>11353</v>
      </c>
      <c r="D4125" s="4" t="str">
        <f>vlookup(A4125, Sheet2!D:E, 2, 0)</f>
        <v>control</v>
      </c>
      <c r="E4125" s="4" t="str">
        <f>IFERROR(__xludf.DUMMYFUNCTION("if(H4125=""pays"",vlookup(REGEXEXTRACT(C4125, ""🏘️ \w+ \w+ (.*) ✅""),'Country prepositions'!A:B, 2, 0) &amp; "" "" &amp; REGEXEXTRACT(C4125, ""🏘️ \w+ \w+ (.*) ✅"") ,  if(H4125=""quartier"",vlookup(REGEXEXTRACT(C4125, ""🏘️ \w+ \w+ (.*) ✅""),'Quartier prepositio"&amp;"ns'!A:E, 5, 0) ,  if(H4125=""region"",vlookup(REGEXEXTRACT(C4125, ""🏘️ \w+ \w+ (.*) ✅""),'Region prepositions'!B:F, 5, 0),  REGEXEXTRACT(C4125, ""🏘️ \w+ \w+ (.*) ✅""))))"),"#N/A")</f>
        <v>#N/A</v>
      </c>
      <c r="I4125" s="4" t="str">
        <f>IFERROR(__xludf.DUMMYFUNCTION("if(D4125=""variant"",  substitute(filter(Templates!E:E, Templates!A:A = F4125, Templates!B:B = G4125, Templates!C:C = H4125), ""{{}}"", E4125), B4125)"),"Vendre appartement Le Vaud: Trouvez le bien immobilier qui correspond idéalement à vos désirs sur ImmoScout24 - La plateforme de l'immobilier en Suisse.")</f>
        <v>Vendre appartement Le Vaud: Trouvez le bien immobilier qui correspond idéalement à vos désirs sur ImmoScout24 - La plateforme de l'immobilier en Suisse.</v>
      </c>
    </row>
    <row r="4126" hidden="1">
      <c r="A4126" s="5" t="s">
        <v>11354</v>
      </c>
      <c r="B4126" s="2" t="s">
        <v>11355</v>
      </c>
      <c r="C4126" s="2" t="s">
        <v>11355</v>
      </c>
      <c r="D4126" s="4" t="str">
        <f>vlookup(A4126, Sheet2!D:E, 2, 0)</f>
        <v>control</v>
      </c>
      <c r="E4126" s="4" t="str">
        <f>IFERROR(__xludf.DUMMYFUNCTION("if(H4126=""pays"",vlookup(REGEXEXTRACT(C4126, ""🏘️ \w+ \w+ (.*) ✅""),'Country prepositions'!A:B, 2, 0) &amp; "" "" &amp; REGEXEXTRACT(C4126, ""🏘️ \w+ \w+ (.*) ✅"") ,  if(H4126=""quartier"",vlookup(REGEXEXTRACT(C4126, ""🏘️ \w+ \w+ (.*) ✅""),'Quartier prepositio"&amp;"ns'!A:E, 5, 0) ,  if(H4126=""region"",vlookup(REGEXEXTRACT(C4126, ""🏘️ \w+ \w+ (.*) ✅""),'Region prepositions'!B:F, 5, 0),  REGEXEXTRACT(C4126, ""🏘️ \w+ \w+ (.*) ✅""))))"),"#N/A")</f>
        <v>#N/A</v>
      </c>
      <c r="I4126" s="4" t="str">
        <f>IFERROR(__xludf.DUMMYFUNCTION("if(D4126=""variant"",  substitute(filter(Templates!E:E, Templates!A:A = F4126, Templates!B:B = G4126, Templates!C:C = H4126), ""{{}}"", E4126), B4126)"),"Vendre appartement Täsch: Trouvez le bien immobilier qui correspond idéalement à vos désirs sur ImmoScout24 - La plateforme de l'immobilier en Suisse.")</f>
        <v>Vendre appartement Täsch: Trouvez le bien immobilier qui correspond idéalement à vos désirs sur ImmoScout24 - La plateforme de l'immobilier en Suisse.</v>
      </c>
    </row>
    <row r="4127" hidden="1">
      <c r="A4127" s="5" t="s">
        <v>11356</v>
      </c>
      <c r="B4127" s="2" t="s">
        <v>11357</v>
      </c>
      <c r="C4127" s="2" t="s">
        <v>11357</v>
      </c>
      <c r="D4127" s="4" t="str">
        <f>vlookup(A4127, Sheet2!D:E, 2, 0)</f>
        <v>control</v>
      </c>
      <c r="E4127" s="4" t="str">
        <f>IFERROR(__xludf.DUMMYFUNCTION("if(H4127=""pays"",vlookup(REGEXEXTRACT(C4127, ""🏘️ \w+ \w+ (.*) ✅""),'Country prepositions'!A:B, 2, 0) &amp; "" "" &amp; REGEXEXTRACT(C4127, ""🏘️ \w+ \w+ (.*) ✅"") ,  if(H4127=""quartier"",vlookup(REGEXEXTRACT(C4127, ""🏘️ \w+ \w+ (.*) ✅""),'Quartier prepositio"&amp;"ns'!A:E, 5, 0) ,  if(H4127=""region"",vlookup(REGEXEXTRACT(C4127, ""🏘️ \w+ \w+ (.*) ✅""),'Region prepositions'!B:F, 5, 0),  REGEXEXTRACT(C4127, ""🏘️ \w+ \w+ (.*) ✅""))))"),"#N/A")</f>
        <v>#N/A</v>
      </c>
      <c r="I4127" s="4" t="str">
        <f>IFERROR(__xludf.DUMMYFUNCTION("if(D4127=""variant"",  substitute(filter(Templates!E:E, Templates!A:A = F4127, Templates!B:B = G4127, Templates!C:C = H4127), ""{{}}"", E4127), B4127)"),"Vendre maison St-Légier-La Chiésaz: Trouvez le bien immobilier qui correspond idéalement à vos désirs sur ImmoScout24 - La plateforme de l'immobilier en Suisse.")</f>
        <v>Vendre maison St-Légier-La Chiésaz: Trouvez le bien immobilier qui correspond idéalement à vos désirs sur ImmoScout24 - La plateforme de l'immobilier en Suisse.</v>
      </c>
    </row>
    <row r="4128" hidden="1">
      <c r="A4128" s="5" t="s">
        <v>11358</v>
      </c>
      <c r="B4128" s="2" t="s">
        <v>11359</v>
      </c>
      <c r="C4128" s="2" t="s">
        <v>11359</v>
      </c>
      <c r="D4128" s="4" t="str">
        <f>vlookup(A4128, Sheet2!D:E, 2, 0)</f>
        <v>control</v>
      </c>
      <c r="E4128" s="4" t="str">
        <f>IFERROR(__xludf.DUMMYFUNCTION("if(H4128=""pays"",vlookup(REGEXEXTRACT(C4128, ""🏘️ \w+ \w+ (.*) ✅""),'Country prepositions'!A:B, 2, 0) &amp; "" "" &amp; REGEXEXTRACT(C4128, ""🏘️ \w+ \w+ (.*) ✅"") ,  if(H4128=""quartier"",vlookup(REGEXEXTRACT(C4128, ""🏘️ \w+ \w+ (.*) ✅""),'Quartier prepositio"&amp;"ns'!A:E, 5, 0) ,  if(H4128=""region"",vlookup(REGEXEXTRACT(C4128, ""🏘️ \w+ \w+ (.*) ✅""),'Region prepositions'!B:F, 5, 0),  REGEXEXTRACT(C4128, ""🏘️ \w+ \w+ (.*) ✅""))))"),"#N/A")</f>
        <v>#N/A</v>
      </c>
      <c r="I4128" s="4" t="str">
        <f>IFERROR(__xludf.DUMMYFUNCTION("if(D4128=""variant"",  substitute(filter(Templates!E:E, Templates!A:A = F4128, Templates!B:B = G4128, Templates!C:C = H4128), ""{{}}"", E4128), B4128)"),"Vendre maison Corcelles-près-Concise: Trouvez le bien immobilier qui correspond idéalement à vos désirs sur ImmoScout24 - La plateforme de l'immobilier en Suisse.")</f>
        <v>Vendre maison Corcelles-près-Concise: Trouvez le bien immobilier qui correspond idéalement à vos désirs sur ImmoScout24 - La plateforme de l'immobilier en Suisse.</v>
      </c>
    </row>
    <row r="4129" hidden="1">
      <c r="A4129" s="5" t="s">
        <v>11360</v>
      </c>
      <c r="B4129" s="2" t="s">
        <v>11361</v>
      </c>
      <c r="C4129" s="2" t="s">
        <v>11361</v>
      </c>
      <c r="D4129" s="4" t="str">
        <f>vlookup(A4129, Sheet2!D:E, 2, 0)</f>
        <v>control</v>
      </c>
      <c r="E4129" s="4" t="str">
        <f>IFERROR(__xludf.DUMMYFUNCTION("if(H4129=""pays"",vlookup(REGEXEXTRACT(C4129, ""🏘️ \w+ \w+ (.*) ✅""),'Country prepositions'!A:B, 2, 0) &amp; "" "" &amp; REGEXEXTRACT(C4129, ""🏘️ \w+ \w+ (.*) ✅"") ,  if(H4129=""quartier"",vlookup(REGEXEXTRACT(C4129, ""🏘️ \w+ \w+ (.*) ✅""),'Quartier prepositio"&amp;"ns'!A:E, 5, 0) ,  if(H4129=""region"",vlookup(REGEXEXTRACT(C4129, ""🏘️ \w+ \w+ (.*) ✅""),'Region prepositions'!B:F, 5, 0),  REGEXEXTRACT(C4129, ""🏘️ \w+ \w+ (.*) ✅""))))"),"#N/A")</f>
        <v>#N/A</v>
      </c>
      <c r="I4129" s="4" t="str">
        <f>IFERROR(__xludf.DUMMYFUNCTION("if(D4129=""variant"",  substitute(filter(Templates!E:E, Templates!A:A = F4129, Templates!B:B = G4129, Templates!C:C = H4129), ""{{}}"", E4129), B4129)"),"Louer appartement Corpataux: Trouvez le bien immobilier qui correspond idéalement à vos désirs sur ImmoScout24 - La plateforme de l'immobilier en Suisse.")</f>
        <v>Louer appartement Corpataux: Trouvez le bien immobilier qui correspond idéalement à vos désirs sur ImmoScout24 - La plateforme de l'immobilier en Suisse.</v>
      </c>
    </row>
    <row r="4130" hidden="1">
      <c r="A4130" s="5" t="s">
        <v>11362</v>
      </c>
      <c r="B4130" s="2" t="s">
        <v>11363</v>
      </c>
      <c r="C4130" s="2" t="s">
        <v>11363</v>
      </c>
      <c r="D4130" s="4" t="str">
        <f>vlookup(A4130, Sheet2!D:E, 2, 0)</f>
        <v>control</v>
      </c>
      <c r="E4130" s="4" t="str">
        <f>IFERROR(__xludf.DUMMYFUNCTION("if(H4130=""pays"",vlookup(REGEXEXTRACT(C4130, ""🏘️ \w+ \w+ (.*) ✅""),'Country prepositions'!A:B, 2, 0) &amp; "" "" &amp; REGEXEXTRACT(C4130, ""🏘️ \w+ \w+ (.*) ✅"") ,  if(H4130=""quartier"",vlookup(REGEXEXTRACT(C4130, ""🏘️ \w+ \w+ (.*) ✅""),'Quartier prepositio"&amp;"ns'!A:E, 5, 0) ,  if(H4130=""region"",vlookup(REGEXEXTRACT(C4130, ""🏘️ \w+ \w+ (.*) ✅""),'Region prepositions'!B:F, 5, 0),  REGEXEXTRACT(C4130, ""🏘️ \w+ \w+ (.*) ✅""))))"),"#N/A")</f>
        <v>#N/A</v>
      </c>
      <c r="I4130" s="4" t="str">
        <f>IFERROR(__xludf.DUMMYFUNCTION("if(D4130=""variant"",  substitute(filter(Templates!E:E, Templates!A:A = F4130, Templates!B:B = G4130, Templates!C:C = H4130), ""{{}}"", E4130), B4130)"),"Vendre maison Mairengo: Trouvez le bien immobilier qui correspond idéalement à vos désirs sur ImmoScout24 - La plateforme de l'immobilier en Suisse.")</f>
        <v>Vendre maison Mairengo: Trouvez le bien immobilier qui correspond idéalement à vos désirs sur ImmoScout24 - La plateforme de l'immobilier en Suisse.</v>
      </c>
    </row>
    <row r="4131" hidden="1">
      <c r="A4131" s="5" t="s">
        <v>11364</v>
      </c>
      <c r="B4131" s="2" t="s">
        <v>11365</v>
      </c>
      <c r="C4131" s="2" t="s">
        <v>11365</v>
      </c>
      <c r="D4131" s="4" t="str">
        <f>vlookup(A4131, Sheet2!D:E, 2, 0)</f>
        <v>control</v>
      </c>
      <c r="E4131" s="4" t="str">
        <f>IFERROR(__xludf.DUMMYFUNCTION("if(H4131=""pays"",vlookup(REGEXEXTRACT(C4131, ""🏘️ \w+ \w+ (.*) ✅""),'Country prepositions'!A:B, 2, 0) &amp; "" "" &amp; REGEXEXTRACT(C4131, ""🏘️ \w+ \w+ (.*) ✅"") ,  if(H4131=""quartier"",vlookup(REGEXEXTRACT(C4131, ""🏘️ \w+ \w+ (.*) ✅""),'Quartier prepositio"&amp;"ns'!A:E, 5, 0) ,  if(H4131=""region"",vlookup(REGEXEXTRACT(C4131, ""🏘️ \w+ \w+ (.*) ✅""),'Region prepositions'!B:F, 5, 0),  REGEXEXTRACT(C4131, ""🏘️ \w+ \w+ (.*) ✅""))))"),"#N/A")</f>
        <v>#N/A</v>
      </c>
      <c r="I4131" s="4" t="str">
        <f>IFERROR(__xludf.DUMMYFUNCTION("if(D4131=""variant"",  substitute(filter(Templates!E:E, Templates!A:A = F4131, Templates!B:B = G4131, Templates!C:C = H4131), ""{{}}"", E4131), B4131)"),"Vendre maison Sébeillon - Malley (Lausanne): Trouvez le bien immobilier qui correspond idéalement à vos désirs sur ImmoScout24 - La plateforme de l'immobilier en Suisse.")</f>
        <v>Vendre maison Sébeillon - Malley (Lausanne): Trouvez le bien immobilier qui correspond idéalement à vos désirs sur ImmoScout24 - La plateforme de l'immobilier en Suisse.</v>
      </c>
    </row>
    <row r="4132" hidden="1">
      <c r="A4132" s="5" t="s">
        <v>11366</v>
      </c>
      <c r="B4132" s="2" t="s">
        <v>7789</v>
      </c>
      <c r="C4132" s="2" t="s">
        <v>7789</v>
      </c>
      <c r="D4132" s="4" t="str">
        <f>vlookup(A4132, Sheet2!D:E, 2, 0)</f>
        <v>control</v>
      </c>
      <c r="E4132" s="4" t="str">
        <f>IFERROR(__xludf.DUMMYFUNCTION("if(H4132=""pays"",vlookup(REGEXEXTRACT(C4132, ""🏘️ \w+ \w+ (.*) ✅""),'Country prepositions'!A:B, 2, 0) &amp; "" "" &amp; REGEXEXTRACT(C4132, ""🏘️ \w+ \w+ (.*) ✅"") ,  if(H4132=""quartier"",vlookup(REGEXEXTRACT(C4132, ""🏘️ \w+ \w+ (.*) ✅""),'Quartier prepositio"&amp;"ns'!A:E, 5, 0) ,  if(H4132=""region"",vlookup(REGEXEXTRACT(C4132, ""🏘️ \w+ \w+ (.*) ✅""),'Region prepositions'!B:F, 5, 0),  REGEXEXTRACT(C4132, ""🏘️ \w+ \w+ (.*) ✅""))))"),"#N/A")</f>
        <v>#N/A</v>
      </c>
      <c r="I4132" s="4" t="str">
        <f>IFERROR(__xludf.DUMMYFUNCTION("if(D4132=""variant"",  substitute(filter(Templates!E:E, Templates!A:A = F4132, Templates!B:B = G4132, Templates!C:C = H4132), ""{{}}"", E4132), B4132)"),"Louer appartement Porrentruy: Trouvez le bien immobilier qui correspond idéalement à vos désirs sur ImmoScout24 - La plateforme de l'immobilier en Suisse.")</f>
        <v>Louer appartement Porrentruy: Trouvez le bien immobilier qui correspond idéalement à vos désirs sur ImmoScout24 - La plateforme de l'immobilier en Suisse.</v>
      </c>
    </row>
    <row r="4133" hidden="1">
      <c r="A4133" s="5" t="s">
        <v>11367</v>
      </c>
      <c r="B4133" s="2" t="s">
        <v>11368</v>
      </c>
      <c r="C4133" s="2" t="s">
        <v>11368</v>
      </c>
      <c r="D4133" s="4" t="str">
        <f>vlookup(A4133, Sheet2!D:E, 2, 0)</f>
        <v>control</v>
      </c>
      <c r="E4133" s="4" t="str">
        <f>IFERROR(__xludf.DUMMYFUNCTION("if(H4133=""pays"",vlookup(REGEXEXTRACT(C4133, ""🏘️ \w+ \w+ (.*) ✅""),'Country prepositions'!A:B, 2, 0) &amp; "" "" &amp; REGEXEXTRACT(C4133, ""🏘️ \w+ \w+ (.*) ✅"") ,  if(H4133=""quartier"",vlookup(REGEXEXTRACT(C4133, ""🏘️ \w+ \w+ (.*) ✅""),'Quartier prepositio"&amp;"ns'!A:E, 5, 0) ,  if(H4133=""region"",vlookup(REGEXEXTRACT(C4133, ""🏘️ \w+ \w+ (.*) ✅""),'Region prepositions'!B:F, 5, 0),  REGEXEXTRACT(C4133, ""🏘️ \w+ \w+ (.*) ✅""))))"),"#N/A")</f>
        <v>#N/A</v>
      </c>
      <c r="I4133" s="4" t="str">
        <f>IFERROR(__xludf.DUMMYFUNCTION("if(D4133=""variant"",  substitute(filter(Templates!E:E, Templates!A:A = F4133, Templates!B:B = G4133, Templates!C:C = H4133), ""{{}}"", E4133), B4133)"),"Louer maison Oberaargau: Trouvez le bien immobilier qui correspond idéalement à vos désirs sur ImmoScout24 - La plateforme de l'immobilier en Suisse.")</f>
        <v>Louer maison Oberaargau: Trouvez le bien immobilier qui correspond idéalement à vos désirs sur ImmoScout24 - La plateforme de l'immobilier en Suisse.</v>
      </c>
    </row>
    <row r="4134" hidden="1">
      <c r="A4134" s="5" t="s">
        <v>11369</v>
      </c>
      <c r="B4134" s="2" t="s">
        <v>11370</v>
      </c>
      <c r="C4134" s="2" t="s">
        <v>11370</v>
      </c>
      <c r="D4134" s="4" t="str">
        <f>vlookup(A4134, Sheet2!D:E, 2, 0)</f>
        <v>control</v>
      </c>
      <c r="E4134" s="4" t="str">
        <f>IFERROR(__xludf.DUMMYFUNCTION("if(H4134=""pays"",vlookup(REGEXEXTRACT(C4134, ""🏘️ \w+ \w+ (.*) ✅""),'Country prepositions'!A:B, 2, 0) &amp; "" "" &amp; REGEXEXTRACT(C4134, ""🏘️ \w+ \w+ (.*) ✅"") ,  if(H4134=""quartier"",vlookup(REGEXEXTRACT(C4134, ""🏘️ \w+ \w+ (.*) ✅""),'Quartier prepositio"&amp;"ns'!A:E, 5, 0) ,  if(H4134=""region"",vlookup(REGEXEXTRACT(C4134, ""🏘️ \w+ \w+ (.*) ✅""),'Region prepositions'!B:F, 5, 0),  REGEXEXTRACT(C4134, ""🏘️ \w+ \w+ (.*) ✅""))))"),"#N/A")</f>
        <v>#N/A</v>
      </c>
      <c r="I4134" s="4" t="str">
        <f>IFERROR(__xludf.DUMMYFUNCTION("if(D4134=""variant"",  substitute(filter(Templates!E:E, Templates!A:A = F4134, Templates!B:B = G4134, Templates!C:C = H4134), ""{{}}"", E4134), B4134)"),"Louer appartement Rolle: Trouvez le bien immobilier qui correspond idéalement à vos désirs sur ImmoScout24 - La plateforme de l'immobilier en Suisse.")</f>
        <v>Louer appartement Rolle: Trouvez le bien immobilier qui correspond idéalement à vos désirs sur ImmoScout24 - La plateforme de l'immobilier en Suisse.</v>
      </c>
    </row>
    <row r="4135" hidden="1">
      <c r="A4135" s="5" t="s">
        <v>11371</v>
      </c>
      <c r="B4135" s="2" t="s">
        <v>11372</v>
      </c>
      <c r="C4135" s="2" t="s">
        <v>11372</v>
      </c>
      <c r="D4135" s="4" t="str">
        <f>vlookup(A4135, Sheet2!D:E, 2, 0)</f>
        <v>control</v>
      </c>
      <c r="E4135" s="4" t="str">
        <f>IFERROR(__xludf.DUMMYFUNCTION("if(H4135=""pays"",vlookup(REGEXEXTRACT(C4135, ""🏘️ \w+ \w+ (.*) ✅""),'Country prepositions'!A:B, 2, 0) &amp; "" "" &amp; REGEXEXTRACT(C4135, ""🏘️ \w+ \w+ (.*) ✅"") ,  if(H4135=""quartier"",vlookup(REGEXEXTRACT(C4135, ""🏘️ \w+ \w+ (.*) ✅""),'Quartier prepositio"&amp;"ns'!A:E, 5, 0) ,  if(H4135=""region"",vlookup(REGEXEXTRACT(C4135, ""🏘️ \w+ \w+ (.*) ✅""),'Region prepositions'!B:F, 5, 0),  REGEXEXTRACT(C4135, ""🏘️ \w+ \w+ (.*) ✅""))))"),"#N/A")</f>
        <v>#N/A</v>
      </c>
      <c r="I4135" s="4" t="str">
        <f>IFERROR(__xludf.DUMMYFUNCTION("if(D4135=""variant"",  substitute(filter(Templates!E:E, Templates!A:A = F4135, Templates!B:B = G4135, Templates!C:C = H4135), ""{{}}"", E4135), B4135)"),"Vendre maison Mossel: Trouvez le bien immobilier qui correspond idéalement à vos désirs sur ImmoScout24 - La plateforme de l'immobilier en Suisse.")</f>
        <v>Vendre maison Mossel: Trouvez le bien immobilier qui correspond idéalement à vos désirs sur ImmoScout24 - La plateforme de l'immobilier en Suisse.</v>
      </c>
    </row>
    <row r="4136" hidden="1">
      <c r="A4136" s="5" t="s">
        <v>11373</v>
      </c>
      <c r="B4136" s="2" t="s">
        <v>11374</v>
      </c>
      <c r="C4136" s="2" t="s">
        <v>11374</v>
      </c>
      <c r="D4136" s="4" t="str">
        <f>vlookup(A4136, Sheet2!D:E, 2, 0)</f>
        <v>control</v>
      </c>
      <c r="E4136" s="4" t="str">
        <f>IFERROR(__xludf.DUMMYFUNCTION("if(H4136=""pays"",vlookup(REGEXEXTRACT(C4136, ""🏘️ \w+ \w+ (.*) ✅""),'Country prepositions'!A:B, 2, 0) &amp; "" "" &amp; REGEXEXTRACT(C4136, ""🏘️ \w+ \w+ (.*) ✅"") ,  if(H4136=""quartier"",vlookup(REGEXEXTRACT(C4136, ""🏘️ \w+ \w+ (.*) ✅""),'Quartier prepositio"&amp;"ns'!A:E, 5, 0) ,  if(H4136=""region"",vlookup(REGEXEXTRACT(C4136, ""🏘️ \w+ \w+ (.*) ✅""),'Region prepositions'!B:F, 5, 0),  REGEXEXTRACT(C4136, ""🏘️ \w+ \w+ (.*) ✅""))))"),"#N/A")</f>
        <v>#N/A</v>
      </c>
      <c r="I4136" s="4" t="str">
        <f>IFERROR(__xludf.DUMMYFUNCTION("if(D4136=""variant"",  substitute(filter(Templates!E:E, Templates!A:A = F4136, Templates!B:B = G4136, Templates!C:C = H4136), ""{{}}"", E4136), B4136)"),"Louer appartement Le Pâquier-Montbarry: Trouvez le bien immobilier qui correspond idéalement à vos désirs sur ImmoScout24 - La plateforme de l'immobilier en Suisse.")</f>
        <v>Louer appartement Le Pâquier-Montbarry: Trouvez le bien immobilier qui correspond idéalement à vos désirs sur ImmoScout24 - La plateforme de l'immobilier en Suisse.</v>
      </c>
    </row>
    <row r="4137" hidden="1">
      <c r="A4137" s="5" t="s">
        <v>11375</v>
      </c>
      <c r="B4137" s="2" t="s">
        <v>11376</v>
      </c>
      <c r="C4137" s="2" t="s">
        <v>11376</v>
      </c>
      <c r="D4137" s="4" t="str">
        <f>vlookup(A4137, Sheet2!D:E, 2, 0)</f>
        <v>control</v>
      </c>
      <c r="E4137" s="4" t="str">
        <f>IFERROR(__xludf.DUMMYFUNCTION("if(H4137=""pays"",vlookup(REGEXEXTRACT(C4137, ""🏘️ \w+ \w+ (.*) ✅""),'Country prepositions'!A:B, 2, 0) &amp; "" "" &amp; REGEXEXTRACT(C4137, ""🏘️ \w+ \w+ (.*) ✅"") ,  if(H4137=""quartier"",vlookup(REGEXEXTRACT(C4137, ""🏘️ \w+ \w+ (.*) ✅""),'Quartier prepositio"&amp;"ns'!A:E, 5, 0) ,  if(H4137=""region"",vlookup(REGEXEXTRACT(C4137, ""🏘️ \w+ \w+ (.*) ✅""),'Region prepositions'!B:F, 5, 0),  REGEXEXTRACT(C4137, ""🏘️ \w+ \w+ (.*) ✅""))))"),"#N/A")</f>
        <v>#N/A</v>
      </c>
      <c r="I4137" s="4" t="str">
        <f>IFERROR(__xludf.DUMMYFUNCTION("if(D4137=""variant"",  substitute(filter(Templates!E:E, Templates!A:A = F4137, Templates!B:B = G4137, Templates!C:C = H4137), ""{{}}"", E4137), B4137)"),"Vendre maison Schönenwerd: Trouvez le bien immobilier qui correspond idéalement à vos désirs sur ImmoScout24 - La plateforme de l'immobilier en Suisse.")</f>
        <v>Vendre maison Schönenwerd: Trouvez le bien immobilier qui correspond idéalement à vos désirs sur ImmoScout24 - La plateforme de l'immobilier en Suisse.</v>
      </c>
    </row>
    <row r="4138" hidden="1">
      <c r="A4138" s="5" t="s">
        <v>11377</v>
      </c>
      <c r="B4138" s="2" t="s">
        <v>11378</v>
      </c>
      <c r="C4138" s="2" t="s">
        <v>11378</v>
      </c>
      <c r="D4138" s="4" t="str">
        <f>vlookup(A4138, Sheet2!D:E, 2, 0)</f>
        <v>control</v>
      </c>
      <c r="E4138" s="4" t="str">
        <f>IFERROR(__xludf.DUMMYFUNCTION("if(H4138=""pays"",vlookup(REGEXEXTRACT(C4138, ""🏘️ \w+ \w+ (.*) ✅""),'Country prepositions'!A:B, 2, 0) &amp; "" "" &amp; REGEXEXTRACT(C4138, ""🏘️ \w+ \w+ (.*) ✅"") ,  if(H4138=""quartier"",vlookup(REGEXEXTRACT(C4138, ""🏘️ \w+ \w+ (.*) ✅""),'Quartier prepositio"&amp;"ns'!A:E, 5, 0) ,  if(H4138=""region"",vlookup(REGEXEXTRACT(C4138, ""🏘️ \w+ \w+ (.*) ✅""),'Region prepositions'!B:F, 5, 0),  REGEXEXTRACT(C4138, ""🏘️ \w+ \w+ (.*) ✅""))))"),"#N/A")</f>
        <v>#N/A</v>
      </c>
      <c r="I4138" s="4" t="str">
        <f>IFERROR(__xludf.DUMMYFUNCTION("if(D4138=""variant"",  substitute(filter(Templates!E:E, Templates!A:A = F4138, Templates!B:B = G4138, Templates!C:C = H4138), ""{{}}"", E4138), B4138)"),"Louer appartement Cries (Vollèges): Trouvez le bien immobilier qui correspond idéalement à vos désirs sur ImmoScout24 - La plateforme de l'immobilier en Suisse.")</f>
        <v>Louer appartement Cries (Vollèges): Trouvez le bien immobilier qui correspond idéalement à vos désirs sur ImmoScout24 - La plateforme de l'immobilier en Suisse.</v>
      </c>
    </row>
    <row r="4139" hidden="1">
      <c r="A4139" s="5" t="s">
        <v>11379</v>
      </c>
      <c r="B4139" s="2" t="s">
        <v>11380</v>
      </c>
      <c r="C4139" s="2" t="s">
        <v>11380</v>
      </c>
      <c r="D4139" s="4" t="str">
        <f>vlookup(A4139, Sheet2!D:E, 2, 0)</f>
        <v>control</v>
      </c>
      <c r="E4139" s="4" t="str">
        <f>IFERROR(__xludf.DUMMYFUNCTION("if(H4139=""pays"",vlookup(REGEXEXTRACT(C4139, ""🏘️ \w+ \w+ (.*) ✅""),'Country prepositions'!A:B, 2, 0) &amp; "" "" &amp; REGEXEXTRACT(C4139, ""🏘️ \w+ \w+ (.*) ✅"") ,  if(H4139=""quartier"",vlookup(REGEXEXTRACT(C4139, ""🏘️ \w+ \w+ (.*) ✅""),'Quartier prepositio"&amp;"ns'!A:E, 5, 0) ,  if(H4139=""region"",vlookup(REGEXEXTRACT(C4139, ""🏘️ \w+ \w+ (.*) ✅""),'Region prepositions'!B:F, 5, 0),  REGEXEXTRACT(C4139, ""🏘️ \w+ \w+ (.*) ✅""))))"),"#N/A")</f>
        <v>#N/A</v>
      </c>
      <c r="I4139" s="4" t="str">
        <f>IFERROR(__xludf.DUMMYFUNCTION("if(D4139=""variant"",  substitute(filter(Templates!E:E, Templates!A:A = F4139, Templates!B:B = G4139, Templates!C:C = H4139), ""{{}}"", E4139), B4139)"),"Vendre appartement Lens: Trouvez le bien immobilier qui correspond idéalement à vos désirs sur ImmoScout24 - La plateforme de l'immobilier en Suisse.")</f>
        <v>Vendre appartement Lens: Trouvez le bien immobilier qui correspond idéalement à vos désirs sur ImmoScout24 - La plateforme de l'immobilier en Suisse.</v>
      </c>
    </row>
    <row r="4140" hidden="1">
      <c r="A4140" s="5" t="s">
        <v>11381</v>
      </c>
      <c r="B4140" s="2" t="s">
        <v>11382</v>
      </c>
      <c r="C4140" s="2" t="s">
        <v>11382</v>
      </c>
      <c r="D4140" s="4" t="str">
        <f>vlookup(A4140, Sheet2!D:E, 2, 0)</f>
        <v>control</v>
      </c>
      <c r="E4140" s="4" t="str">
        <f>IFERROR(__xludf.DUMMYFUNCTION("if(H4140=""pays"",vlookup(REGEXEXTRACT(C4140, ""🏘️ \w+ \w+ (.*) ✅""),'Country prepositions'!A:B, 2, 0) &amp; "" "" &amp; REGEXEXTRACT(C4140, ""🏘️ \w+ \w+ (.*) ✅"") ,  if(H4140=""quartier"",vlookup(REGEXEXTRACT(C4140, ""🏘️ \w+ \w+ (.*) ✅""),'Quartier prepositio"&amp;"ns'!A:E, 5, 0) ,  if(H4140=""region"",vlookup(REGEXEXTRACT(C4140, ""🏘️ \w+ \w+ (.*) ✅""),'Region prepositions'!B:F, 5, 0),  REGEXEXTRACT(C4140, ""🏘️ \w+ \w+ (.*) ✅""))))"),"#N/A")</f>
        <v>#N/A</v>
      </c>
      <c r="I4140" s="4" t="str">
        <f>IFERROR(__xludf.DUMMYFUNCTION("if(D4140=""variant"",  substitute(filter(Templates!E:E, Templates!A:A = F4140, Templates!B:B = G4140, Templates!C:C = H4140), ""{{}}"", E4140), B4140)"),"Louer appartement Roggenburg: Trouvez le bien immobilier qui correspond idéalement à vos désirs sur ImmoScout24 - La plateforme de l'immobilier en Suisse.")</f>
        <v>Louer appartement Roggenburg: Trouvez le bien immobilier qui correspond idéalement à vos désirs sur ImmoScout24 - La plateforme de l'immobilier en Suisse.</v>
      </c>
    </row>
    <row r="4141" hidden="1">
      <c r="A4141" s="5" t="s">
        <v>11383</v>
      </c>
      <c r="B4141" s="2" t="s">
        <v>11384</v>
      </c>
      <c r="C4141" s="2" t="s">
        <v>11384</v>
      </c>
      <c r="D4141" s="4" t="str">
        <f>vlookup(A4141, Sheet2!D:E, 2, 0)</f>
        <v>control</v>
      </c>
      <c r="E4141" s="4" t="str">
        <f>IFERROR(__xludf.DUMMYFUNCTION("if(H4141=""pays"",vlookup(REGEXEXTRACT(C4141, ""🏘️ \w+ \w+ (.*) ✅""),'Country prepositions'!A:B, 2, 0) &amp; "" "" &amp; REGEXEXTRACT(C4141, ""🏘️ \w+ \w+ (.*) ✅"") ,  if(H4141=""quartier"",vlookup(REGEXEXTRACT(C4141, ""🏘️ \w+ \w+ (.*) ✅""),'Quartier prepositio"&amp;"ns'!A:E, 5, 0) ,  if(H4141=""region"",vlookup(REGEXEXTRACT(C4141, ""🏘️ \w+ \w+ (.*) ✅""),'Region prepositions'!B:F, 5, 0),  REGEXEXTRACT(C4141, ""🏘️ \w+ \w+ (.*) ✅""))))"),"#N/A")</f>
        <v>#N/A</v>
      </c>
      <c r="I4141" s="4" t="str">
        <f>IFERROR(__xludf.DUMMYFUNCTION("if(D4141=""variant"",  substitute(filter(Templates!E:E, Templates!A:A = F4141, Templates!B:B = G4141, Templates!C:C = H4141), ""{{}}"", E4141), B4141)"),"Louer appartement Les Vieux-Prés: Trouvez le bien immobilier qui correspond idéalement à vos désirs sur ImmoScout24 - La plateforme de l'immobilier en Suisse.")</f>
        <v>Louer appartement Les Vieux-Prés: Trouvez le bien immobilier qui correspond idéalement à vos désirs sur ImmoScout24 - La plateforme de l'immobilier en Suisse.</v>
      </c>
    </row>
    <row r="4142" hidden="1">
      <c r="A4142" s="5" t="s">
        <v>11385</v>
      </c>
      <c r="B4142" s="2" t="s">
        <v>11386</v>
      </c>
      <c r="C4142" s="2" t="s">
        <v>11386</v>
      </c>
      <c r="D4142" s="4" t="str">
        <f>vlookup(A4142, Sheet2!D:E, 2, 0)</f>
        <v>control</v>
      </c>
      <c r="E4142" s="4" t="str">
        <f>IFERROR(__xludf.DUMMYFUNCTION("if(H4142=""pays"",vlookup(REGEXEXTRACT(C4142, ""🏘️ \w+ \w+ (.*) ✅""),'Country prepositions'!A:B, 2, 0) &amp; "" "" &amp; REGEXEXTRACT(C4142, ""🏘️ \w+ \w+ (.*) ✅"") ,  if(H4142=""quartier"",vlookup(REGEXEXTRACT(C4142, ""🏘️ \w+ \w+ (.*) ✅""),'Quartier prepositio"&amp;"ns'!A:E, 5, 0) ,  if(H4142=""region"",vlookup(REGEXEXTRACT(C4142, ""🏘️ \w+ \w+ (.*) ✅""),'Region prepositions'!B:F, 5, 0),  REGEXEXTRACT(C4142, ""🏘️ \w+ \w+ (.*) ✅""))))"),"#N/A")</f>
        <v>#N/A</v>
      </c>
      <c r="I4142" s="4" t="str">
        <f>IFERROR(__xludf.DUMMYFUNCTION("if(D4142=""variant"",  substitute(filter(Templates!E:E, Templates!A:A = F4142, Templates!B:B = G4142, Templates!C:C = H4142), ""{{}}"", E4142), B4142)"),"Vendre maison Cordast: Trouvez le bien immobilier qui correspond idéalement à vos désirs sur ImmoScout24 - La plateforme de l'immobilier en Suisse.")</f>
        <v>Vendre maison Cordast: Trouvez le bien immobilier qui correspond idéalement à vos désirs sur ImmoScout24 - La plateforme de l'immobilier en Suisse.</v>
      </c>
    </row>
    <row r="4143" hidden="1">
      <c r="A4143" s="5" t="s">
        <v>11387</v>
      </c>
      <c r="B4143" s="2" t="s">
        <v>11388</v>
      </c>
      <c r="C4143" s="2" t="s">
        <v>11388</v>
      </c>
      <c r="D4143" s="4" t="str">
        <f>vlookup(A4143, Sheet2!D:E, 2, 0)</f>
        <v>control</v>
      </c>
      <c r="E4143" s="4" t="str">
        <f>IFERROR(__xludf.DUMMYFUNCTION("if(H4143=""pays"",vlookup(REGEXEXTRACT(C4143, ""🏘️ \w+ \w+ (.*) ✅""),'Country prepositions'!A:B, 2, 0) &amp; "" "" &amp; REGEXEXTRACT(C4143, ""🏘️ \w+ \w+ (.*) ✅"") ,  if(H4143=""quartier"",vlookup(REGEXEXTRACT(C4143, ""🏘️ \w+ \w+ (.*) ✅""),'Quartier prepositio"&amp;"ns'!A:E, 5, 0) ,  if(H4143=""region"",vlookup(REGEXEXTRACT(C4143, ""🏘️ \w+ \w+ (.*) ✅""),'Region prepositions'!B:F, 5, 0),  REGEXEXTRACT(C4143, ""🏘️ \w+ \w+ (.*) ✅""))))"),"#N/A")</f>
        <v>#N/A</v>
      </c>
      <c r="I4143" s="4" t="str">
        <f>IFERROR(__xludf.DUMMYFUNCTION("if(D4143=""variant"",  substitute(filter(Templates!E:E, Templates!A:A = F4143, Templates!B:B = G4143, Templates!C:C = H4143), ""{{}}"", E4143), B4143)"),"Louer appartement Courgenay: Trouvez le bien immobilier qui correspond idéalement à vos désirs sur ImmoScout24 - La plateforme de l'immobilier en Suisse.")</f>
        <v>Louer appartement Courgenay: Trouvez le bien immobilier qui correspond idéalement à vos désirs sur ImmoScout24 - La plateforme de l'immobilier en Suisse.</v>
      </c>
    </row>
    <row r="4144" hidden="1">
      <c r="A4144" s="5" t="s">
        <v>11389</v>
      </c>
      <c r="B4144" s="2" t="s">
        <v>11390</v>
      </c>
      <c r="C4144" s="2" t="s">
        <v>11390</v>
      </c>
      <c r="D4144" s="4" t="str">
        <f>vlookup(A4144, Sheet2!D:E, 2, 0)</f>
        <v>control</v>
      </c>
      <c r="E4144" s="4" t="str">
        <f>IFERROR(__xludf.DUMMYFUNCTION("if(H4144=""pays"",vlookup(REGEXEXTRACT(C4144, ""🏘️ \w+ \w+ (.*) ✅""),'Country prepositions'!A:B, 2, 0) &amp; "" "" &amp; REGEXEXTRACT(C4144, ""🏘️ \w+ \w+ (.*) ✅"") ,  if(H4144=""quartier"",vlookup(REGEXEXTRACT(C4144, ""🏘️ \w+ \w+ (.*) ✅""),'Quartier prepositio"&amp;"ns'!A:E, 5, 0) ,  if(H4144=""region"",vlookup(REGEXEXTRACT(C4144, ""🏘️ \w+ \w+ (.*) ✅""),'Region prepositions'!B:F, 5, 0),  REGEXEXTRACT(C4144, ""🏘️ \w+ \w+ (.*) ✅""))))"),"#N/A")</f>
        <v>#N/A</v>
      </c>
      <c r="I4144" s="4" t="str">
        <f>IFERROR(__xludf.DUMMYFUNCTION("if(D4144=""variant"",  substitute(filter(Templates!E:E, Templates!A:A = F4144, Templates!B:B = G4144, Templates!C:C = H4144), ""{{}}"", E4144), B4144)"),"Vendre appartement Leytron: Trouvez le bien immobilier qui correspond idéalement à vos désirs sur ImmoScout24 - La plateforme de l'immobilier en Suisse.")</f>
        <v>Vendre appartement Leytron: Trouvez le bien immobilier qui correspond idéalement à vos désirs sur ImmoScout24 - La plateforme de l'immobilier en Suisse.</v>
      </c>
    </row>
    <row r="4145" hidden="1">
      <c r="A4145" s="5" t="s">
        <v>11391</v>
      </c>
      <c r="B4145" s="2" t="s">
        <v>11392</v>
      </c>
      <c r="C4145" s="2" t="s">
        <v>11392</v>
      </c>
      <c r="D4145" s="4" t="str">
        <f>vlookup(A4145, Sheet2!D:E, 2, 0)</f>
        <v>control</v>
      </c>
      <c r="E4145" s="4" t="str">
        <f>IFERROR(__xludf.DUMMYFUNCTION("if(H4145=""pays"",vlookup(REGEXEXTRACT(C4145, ""🏘️ \w+ \w+ (.*) ✅""),'Country prepositions'!A:B, 2, 0) &amp; "" "" &amp; REGEXEXTRACT(C4145, ""🏘️ \w+ \w+ (.*) ✅"") ,  if(H4145=""quartier"",vlookup(REGEXEXTRACT(C4145, ""🏘️ \w+ \w+ (.*) ✅""),'Quartier prepositio"&amp;"ns'!A:E, 5, 0) ,  if(H4145=""region"",vlookup(REGEXEXTRACT(C4145, ""🏘️ \w+ \w+ (.*) ✅""),'Region prepositions'!B:F, 5, 0),  REGEXEXTRACT(C4145, ""🏘️ \w+ \w+ (.*) ✅""))))"),"#N/A")</f>
        <v>#N/A</v>
      </c>
      <c r="I4145" s="4" t="str">
        <f>IFERROR(__xludf.DUMMYFUNCTION("if(D4145=""variant"",  substitute(filter(Templates!E:E, Templates!A:A = F4145, Templates!B:B = G4145, Templates!C:C = H4145), ""{{}}"", E4145), B4145)"),"Louer appartement Münchenstein: Trouvez le bien immobilier qui correspond idéalement à vos désirs sur ImmoScout24 - La plateforme de l'immobilier en Suisse.")</f>
        <v>Louer appartement Münchenstein: Trouvez le bien immobilier qui correspond idéalement à vos désirs sur ImmoScout24 - La plateforme de l'immobilier en Suisse.</v>
      </c>
    </row>
    <row r="4146" hidden="1">
      <c r="A4146" s="5" t="s">
        <v>11393</v>
      </c>
      <c r="B4146" s="2" t="s">
        <v>11394</v>
      </c>
      <c r="C4146" s="2" t="s">
        <v>11394</v>
      </c>
      <c r="D4146" s="4" t="str">
        <f>vlookup(A4146, Sheet2!D:E, 2, 0)</f>
        <v>control</v>
      </c>
      <c r="E4146" s="4" t="str">
        <f>IFERROR(__xludf.DUMMYFUNCTION("if(H4146=""pays"",vlookup(REGEXEXTRACT(C4146, ""🏘️ \w+ \w+ (.*) ✅""),'Country prepositions'!A:B, 2, 0) &amp; "" "" &amp; REGEXEXTRACT(C4146, ""🏘️ \w+ \w+ (.*) ✅"") ,  if(H4146=""quartier"",vlookup(REGEXEXTRACT(C4146, ""🏘️ \w+ \w+ (.*) ✅""),'Quartier prepositio"&amp;"ns'!A:E, 5, 0) ,  if(H4146=""region"",vlookup(REGEXEXTRACT(C4146, ""🏘️ \w+ \w+ (.*) ✅""),'Region prepositions'!B:F, 5, 0),  REGEXEXTRACT(C4146, ""🏘️ \w+ \w+ (.*) ✅""))))"),"#N/A")</f>
        <v>#N/A</v>
      </c>
      <c r="I4146" s="4" t="str">
        <f>IFERROR(__xludf.DUMMYFUNCTION("if(D4146=""variant"",  substitute(filter(Templates!E:E, Templates!A:A = F4146, Templates!B:B = G4146, Templates!C:C = H4146), ""{{}}"", E4146), B4146)"),"Louer appartement Mollens VS: Trouvez le bien immobilier qui correspond idéalement à vos désirs sur ImmoScout24 - La plateforme de l'immobilier en Suisse.")</f>
        <v>Louer appartement Mollens VS: Trouvez le bien immobilier qui correspond idéalement à vos désirs sur ImmoScout24 - La plateforme de l'immobilier en Suisse.</v>
      </c>
    </row>
    <row r="4147" hidden="1">
      <c r="A4147" s="5" t="s">
        <v>11395</v>
      </c>
      <c r="B4147" s="2" t="s">
        <v>11396</v>
      </c>
      <c r="C4147" s="2" t="s">
        <v>11396</v>
      </c>
      <c r="D4147" s="4" t="str">
        <f>vlookup(A4147, Sheet2!D:E, 2, 0)</f>
        <v>control</v>
      </c>
      <c r="E4147" s="4" t="str">
        <f>IFERROR(__xludf.DUMMYFUNCTION("if(H4147=""pays"",vlookup(REGEXEXTRACT(C4147, ""🏘️ \w+ \w+ (.*) ✅""),'Country prepositions'!A:B, 2, 0) &amp; "" "" &amp; REGEXEXTRACT(C4147, ""🏘️ \w+ \w+ (.*) ✅"") ,  if(H4147=""quartier"",vlookup(REGEXEXTRACT(C4147, ""🏘️ \w+ \w+ (.*) ✅""),'Quartier prepositio"&amp;"ns'!A:E, 5, 0) ,  if(H4147=""region"",vlookup(REGEXEXTRACT(C4147, ""🏘️ \w+ \w+ (.*) ✅""),'Region prepositions'!B:F, 5, 0),  REGEXEXTRACT(C4147, ""🏘️ \w+ \w+ (.*) ✅""))))"),"#N/A")</f>
        <v>#N/A</v>
      </c>
      <c r="I4147" s="4" t="str">
        <f>IFERROR(__xludf.DUMMYFUNCTION("if(D4147=""variant"",  substitute(filter(Templates!E:E, Templates!A:A = F4147, Templates!B:B = G4147, Templates!C:C = H4147), ""{{}}"", E4147), B4147)"),"Louer appartement Onnens VD: Trouvez le bien immobilier qui correspond idéalement à vos désirs sur ImmoScout24 - La plateforme de l'immobilier en Suisse.")</f>
        <v>Louer appartement Onnens VD: Trouvez le bien immobilier qui correspond idéalement à vos désirs sur ImmoScout24 - La plateforme de l'immobilier en Suisse.</v>
      </c>
    </row>
    <row r="4148" hidden="1">
      <c r="A4148" s="5" t="s">
        <v>11397</v>
      </c>
      <c r="B4148" s="2" t="s">
        <v>11398</v>
      </c>
      <c r="C4148" s="2" t="s">
        <v>11398</v>
      </c>
      <c r="D4148" s="4" t="str">
        <f>vlookup(A4148, Sheet2!D:E, 2, 0)</f>
        <v>control</v>
      </c>
      <c r="E4148" s="4" t="str">
        <f>IFERROR(__xludf.DUMMYFUNCTION("if(H4148=""pays"",vlookup(REGEXEXTRACT(C4148, ""🏘️ \w+ \w+ (.*) ✅""),'Country prepositions'!A:B, 2, 0) &amp; "" "" &amp; REGEXEXTRACT(C4148, ""🏘️ \w+ \w+ (.*) ✅"") ,  if(H4148=""quartier"",vlookup(REGEXEXTRACT(C4148, ""🏘️ \w+ \w+ (.*) ✅""),'Quartier prepositio"&amp;"ns'!A:E, 5, 0) ,  if(H4148=""region"",vlookup(REGEXEXTRACT(C4148, ""🏘️ \w+ \w+ (.*) ✅""),'Region prepositions'!B:F, 5, 0),  REGEXEXTRACT(C4148, ""🏘️ \w+ \w+ (.*) ✅""))))"),"#N/A")</f>
        <v>#N/A</v>
      </c>
      <c r="I4148" s="4" t="str">
        <f>IFERROR(__xludf.DUMMYFUNCTION("if(D4148=""variant"",  substitute(filter(Templates!E:E, Templates!A:A = F4148, Templates!B:B = G4148, Templates!C:C = H4148), ""{{}}"", E4148), B4148)"),"Louer appartement Campagne - Rive droite: Trouvez le bien immobilier qui correspond idéalement à vos désirs sur ImmoScout24 - La plateforme de l'immobilier en Suisse.")</f>
        <v>Louer appartement Campagne - Rive droite: Trouvez le bien immobilier qui correspond idéalement à vos désirs sur ImmoScout24 - La plateforme de l'immobilier en Suisse.</v>
      </c>
    </row>
    <row r="4149" hidden="1">
      <c r="A4149" s="5" t="s">
        <v>11399</v>
      </c>
      <c r="B4149" s="2" t="s">
        <v>11400</v>
      </c>
      <c r="C4149" s="2" t="s">
        <v>11400</v>
      </c>
      <c r="D4149" s="4" t="str">
        <f>vlookup(A4149, Sheet2!D:E, 2, 0)</f>
        <v>control</v>
      </c>
      <c r="E4149" s="4" t="str">
        <f>IFERROR(__xludf.DUMMYFUNCTION("if(H4149=""pays"",vlookup(REGEXEXTRACT(C4149, ""🏘️ \w+ \w+ (.*) ✅""),'Country prepositions'!A:B, 2, 0) &amp; "" "" &amp; REGEXEXTRACT(C4149, ""🏘️ \w+ \w+ (.*) ✅"") ,  if(H4149=""quartier"",vlookup(REGEXEXTRACT(C4149, ""🏘️ \w+ \w+ (.*) ✅""),'Quartier prepositio"&amp;"ns'!A:E, 5, 0) ,  if(H4149=""region"",vlookup(REGEXEXTRACT(C4149, ""🏘️ \w+ \w+ (.*) ✅""),'Region prepositions'!B:F, 5, 0),  REGEXEXTRACT(C4149, ""🏘️ \w+ \w+ (.*) ✅""))))"),"#N/A")</f>
        <v>#N/A</v>
      </c>
      <c r="I4149" s="4" t="str">
        <f>IFERROR(__xludf.DUMMYFUNCTION("if(D4149=""variant"",  substitute(filter(Templates!E:E, Templates!A:A = F4149, Templates!B:B = G4149, Templates!C:C = H4149), ""{{}}"", E4149), B4149)"),"Vendre maison Brüttelen: Trouvez le bien immobilier qui correspond idéalement à vos désirs sur ImmoScout24 - La plateforme de l'immobilier en Suisse.")</f>
        <v>Vendre maison Brüttelen: Trouvez le bien immobilier qui correspond idéalement à vos désirs sur ImmoScout24 - La plateforme de l'immobilier en Suisse.</v>
      </c>
    </row>
    <row r="4150" hidden="1">
      <c r="A4150" s="5" t="s">
        <v>11401</v>
      </c>
      <c r="B4150" s="2" t="s">
        <v>11402</v>
      </c>
      <c r="C4150" s="2" t="s">
        <v>11402</v>
      </c>
      <c r="D4150" s="4" t="str">
        <f>vlookup(A4150, Sheet2!D:E, 2, 0)</f>
        <v>control</v>
      </c>
      <c r="E4150" s="4" t="str">
        <f>IFERROR(__xludf.DUMMYFUNCTION("if(H4150=""pays"",vlookup(REGEXEXTRACT(C4150, ""🏘️ \w+ \w+ (.*) ✅""),'Country prepositions'!A:B, 2, 0) &amp; "" "" &amp; REGEXEXTRACT(C4150, ""🏘️ \w+ \w+ (.*) ✅"") ,  if(H4150=""quartier"",vlookup(REGEXEXTRACT(C4150, ""🏘️ \w+ \w+ (.*) ✅""),'Quartier prepositio"&amp;"ns'!A:E, 5, 0) ,  if(H4150=""region"",vlookup(REGEXEXTRACT(C4150, ""🏘️ \w+ \w+ (.*) ✅""),'Region prepositions'!B:F, 5, 0),  REGEXEXTRACT(C4150, ""🏘️ \w+ \w+ (.*) ✅""))))"),"#N/A")</f>
        <v>#N/A</v>
      </c>
      <c r="I4150" s="4" t="str">
        <f>IFERROR(__xludf.DUMMYFUNCTION("if(D4150=""variant"",  substitute(filter(Templates!E:E, Templates!A:A = F4150, Templates!B:B = G4150, Templates!C:C = H4150), ""{{}}"", E4150), B4150)"),"Vendre maison Cormoret: Trouvez le bien immobilier qui correspond idéalement à vos désirs sur ImmoScout24 - La plateforme de l'immobilier en Suisse.")</f>
        <v>Vendre maison Cormoret: Trouvez le bien immobilier qui correspond idéalement à vos désirs sur ImmoScout24 - La plateforme de l'immobilier en Suisse.</v>
      </c>
    </row>
    <row r="4151" hidden="1">
      <c r="A4151" s="5" t="s">
        <v>11403</v>
      </c>
      <c r="B4151" s="2" t="s">
        <v>11404</v>
      </c>
      <c r="C4151" s="2" t="s">
        <v>11404</v>
      </c>
      <c r="D4151" s="4" t="str">
        <f>vlookup(A4151, Sheet2!D:E, 2, 0)</f>
        <v>control</v>
      </c>
      <c r="E4151" s="4" t="str">
        <f>IFERROR(__xludf.DUMMYFUNCTION("if(H4151=""pays"",vlookup(REGEXEXTRACT(C4151, ""🏘️ \w+ \w+ (.*) ✅""),'Country prepositions'!A:B, 2, 0) &amp; "" "" &amp; REGEXEXTRACT(C4151, ""🏘️ \w+ \w+ (.*) ✅"") ,  if(H4151=""quartier"",vlookup(REGEXEXTRACT(C4151, ""🏘️ \w+ \w+ (.*) ✅""),'Quartier prepositio"&amp;"ns'!A:E, 5, 0) ,  if(H4151=""region"",vlookup(REGEXEXTRACT(C4151, ""🏘️ \w+ \w+ (.*) ✅""),'Region prepositions'!B:F, 5, 0),  REGEXEXTRACT(C4151, ""🏘️ \w+ \w+ (.*) ✅""))))"),"#N/A")</f>
        <v>#N/A</v>
      </c>
      <c r="I4151" s="4" t="str">
        <f>IFERROR(__xludf.DUMMYFUNCTION("if(D4151=""variant"",  substitute(filter(Templates!E:E, Templates!A:A = F4151, Templates!B:B = G4151, Templates!C:C = H4151), ""{{}}"", E4151), B4151)"),"Louer appartement Schindellegi: Trouvez le bien immobilier qui correspond idéalement à vos désirs sur ImmoScout24 - La plateforme de l'immobilier en Suisse.")</f>
        <v>Louer appartement Schindellegi: Trouvez le bien immobilier qui correspond idéalement à vos désirs sur ImmoScout24 - La plateforme de l'immobilier en Suisse.</v>
      </c>
    </row>
    <row r="4152" hidden="1">
      <c r="A4152" s="5" t="s">
        <v>11405</v>
      </c>
      <c r="B4152" s="2" t="s">
        <v>11406</v>
      </c>
      <c r="C4152" s="2" t="s">
        <v>11406</v>
      </c>
      <c r="D4152" s="4" t="str">
        <f>vlookup(A4152, Sheet2!D:E, 2, 0)</f>
        <v>control</v>
      </c>
      <c r="E4152" s="4" t="str">
        <f>IFERROR(__xludf.DUMMYFUNCTION("if(H4152=""pays"",vlookup(REGEXEXTRACT(C4152, ""🏘️ \w+ \w+ (.*) ✅""),'Country prepositions'!A:B, 2, 0) &amp; "" "" &amp; REGEXEXTRACT(C4152, ""🏘️ \w+ \w+ (.*) ✅"") ,  if(H4152=""quartier"",vlookup(REGEXEXTRACT(C4152, ""🏘️ \w+ \w+ (.*) ✅""),'Quartier prepositio"&amp;"ns'!A:E, 5, 0) ,  if(H4152=""region"",vlookup(REGEXEXTRACT(C4152, ""🏘️ \w+ \w+ (.*) ✅""),'Region prepositions'!B:F, 5, 0),  REGEXEXTRACT(C4152, ""🏘️ \w+ \w+ (.*) ✅""))))"),"#N/A")</f>
        <v>#N/A</v>
      </c>
      <c r="I4152" s="4" t="str">
        <f>IFERROR(__xludf.DUMMYFUNCTION("if(D4152=""variant"",  substitute(filter(Templates!E:E, Templates!A:A = F4152, Templates!B:B = G4152, Templates!C:C = H4152), ""{{}}"", E4152), B4152)"),"Louer appartement Monible: Trouvez le bien immobilier qui correspond idéalement à vos désirs sur ImmoScout24 - La plateforme de l'immobilier en Suisse.")</f>
        <v>Louer appartement Monible: Trouvez le bien immobilier qui correspond idéalement à vos désirs sur ImmoScout24 - La plateforme de l'immobilier en Suisse.</v>
      </c>
    </row>
    <row r="4153" hidden="1">
      <c r="A4153" s="5" t="s">
        <v>11407</v>
      </c>
      <c r="B4153" s="2" t="s">
        <v>11408</v>
      </c>
      <c r="C4153" s="2" t="s">
        <v>11408</v>
      </c>
      <c r="D4153" s="4" t="str">
        <f>vlookup(A4153, Sheet2!D:E, 2, 0)</f>
        <v>control</v>
      </c>
      <c r="E4153" s="4" t="str">
        <f>IFERROR(__xludf.DUMMYFUNCTION("if(H4153=""pays"",vlookup(REGEXEXTRACT(C4153, ""🏘️ \w+ \w+ (.*) ✅""),'Country prepositions'!A:B, 2, 0) &amp; "" "" &amp; REGEXEXTRACT(C4153, ""🏘️ \w+ \w+ (.*) ✅"") ,  if(H4153=""quartier"",vlookup(REGEXEXTRACT(C4153, ""🏘️ \w+ \w+ (.*) ✅""),'Quartier prepositio"&amp;"ns'!A:E, 5, 0) ,  if(H4153=""region"",vlookup(REGEXEXTRACT(C4153, ""🏘️ \w+ \w+ (.*) ✅""),'Region prepositions'!B:F, 5, 0),  REGEXEXTRACT(C4153, ""🏘️ \w+ \w+ (.*) ✅""))))"),"#N/A")</f>
        <v>#N/A</v>
      </c>
      <c r="I4153" s="4" t="str">
        <f>IFERROR(__xludf.DUMMYFUNCTION("if(D4153=""variant"",  substitute(filter(Templates!E:E, Templates!A:A = F4153, Templates!B:B = G4153, Templates!C:C = H4153), ""{{}}"", E4153), B4153)"),"Louer maison Chancy: Trouvez le bien immobilier qui correspond idéalement à vos désirs sur ImmoScout24 - La plateforme de l'immobilier en Suisse.")</f>
        <v>Louer maison Chancy: Trouvez le bien immobilier qui correspond idéalement à vos désirs sur ImmoScout24 - La plateforme de l'immobilier en Suisse.</v>
      </c>
    </row>
    <row r="4154" hidden="1">
      <c r="A4154" s="5" t="s">
        <v>11409</v>
      </c>
      <c r="B4154" s="2" t="s">
        <v>11410</v>
      </c>
      <c r="C4154" s="2" t="s">
        <v>11410</v>
      </c>
      <c r="D4154" s="4" t="str">
        <f>vlookup(A4154, Sheet2!D:E, 2, 0)</f>
        <v>control</v>
      </c>
      <c r="E4154" s="4" t="str">
        <f>IFERROR(__xludf.DUMMYFUNCTION("if(H4154=""pays"",vlookup(REGEXEXTRACT(C4154, ""🏘️ \w+ \w+ (.*) ✅""),'Country prepositions'!A:B, 2, 0) &amp; "" "" &amp; REGEXEXTRACT(C4154, ""🏘️ \w+ \w+ (.*) ✅"") ,  if(H4154=""quartier"",vlookup(REGEXEXTRACT(C4154, ""🏘️ \w+ \w+ (.*) ✅""),'Quartier prepositio"&amp;"ns'!A:E, 5, 0) ,  if(H4154=""region"",vlookup(REGEXEXTRACT(C4154, ""🏘️ \w+ \w+ (.*) ✅""),'Region prepositions'!B:F, 5, 0),  REGEXEXTRACT(C4154, ""🏘️ \w+ \w+ (.*) ✅""))))"),"#N/A")</f>
        <v>#N/A</v>
      </c>
      <c r="I4154" s="4" t="str">
        <f>IFERROR(__xludf.DUMMYFUNCTION("if(D4154=""variant"",  substitute(filter(Templates!E:E, Templates!A:A = F4154, Templates!B:B = G4154, Templates!C:C = H4154), ""{{}}"", E4154), B4154)"),"Louer appartement Romanshorn: Trouvez le bien immobilier qui correspond idéalement à vos désirs sur ImmoScout24 - La plateforme de l'immobilier en Suisse.")</f>
        <v>Louer appartement Romanshorn: Trouvez le bien immobilier qui correspond idéalement à vos désirs sur ImmoScout24 - La plateforme de l'immobilier en Suisse.</v>
      </c>
    </row>
    <row r="4155" hidden="1">
      <c r="A4155" s="5" t="s">
        <v>11411</v>
      </c>
      <c r="B4155" s="2" t="s">
        <v>11412</v>
      </c>
      <c r="C4155" s="2" t="s">
        <v>11412</v>
      </c>
      <c r="D4155" s="4" t="str">
        <f>vlookup(A4155, Sheet2!D:E, 2, 0)</f>
        <v>control</v>
      </c>
      <c r="E4155" s="4" t="str">
        <f>IFERROR(__xludf.DUMMYFUNCTION("if(H4155=""pays"",vlookup(REGEXEXTRACT(C4155, ""🏘️ \w+ \w+ (.*) ✅""),'Country prepositions'!A:B, 2, 0) &amp; "" "" &amp; REGEXEXTRACT(C4155, ""🏘️ \w+ \w+ (.*) ✅"") ,  if(H4155=""quartier"",vlookup(REGEXEXTRACT(C4155, ""🏘️ \w+ \w+ (.*) ✅""),'Quartier prepositio"&amp;"ns'!A:E, 5, 0) ,  if(H4155=""region"",vlookup(REGEXEXTRACT(C4155, ""🏘️ \w+ \w+ (.*) ✅""),'Region prepositions'!B:F, 5, 0),  REGEXEXTRACT(C4155, ""🏘️ \w+ \w+ (.*) ✅""))))"),"#N/A")</f>
        <v>#N/A</v>
      </c>
      <c r="I4155" s="4" t="str">
        <f>IFERROR(__xludf.DUMMYFUNCTION("if(D4155=""variant"",  substitute(filter(Templates!E:E, Templates!A:A = F4155, Templates!B:B = G4155, Templates!C:C = H4155), ""{{}}"", E4155), B4155)"),"Louer appartement S. Nazzaro: Trouvez le bien immobilier qui correspond idéalement à vos désirs sur ImmoScout24 - La plateforme de l'immobilier en Suisse.")</f>
        <v>Louer appartement S. Nazzaro: Trouvez le bien immobilier qui correspond idéalement à vos désirs sur ImmoScout24 - La plateforme de l'immobilier en Suisse.</v>
      </c>
    </row>
    <row r="4156" hidden="1">
      <c r="A4156" s="5" t="s">
        <v>11413</v>
      </c>
      <c r="B4156" s="2" t="s">
        <v>11414</v>
      </c>
      <c r="C4156" s="2" t="s">
        <v>11414</v>
      </c>
      <c r="D4156" s="4" t="str">
        <f>vlookup(A4156, Sheet2!D:E, 2, 0)</f>
        <v>control</v>
      </c>
      <c r="E4156" s="4" t="str">
        <f>IFERROR(__xludf.DUMMYFUNCTION("if(H4156=""pays"",vlookup(REGEXEXTRACT(C4156, ""🏘️ \w+ \w+ (.*) ✅""),'Country prepositions'!A:B, 2, 0) &amp; "" "" &amp; REGEXEXTRACT(C4156, ""🏘️ \w+ \w+ (.*) ✅"") ,  if(H4156=""quartier"",vlookup(REGEXEXTRACT(C4156, ""🏘️ \w+ \w+ (.*) ✅""),'Quartier prepositio"&amp;"ns'!A:E, 5, 0) ,  if(H4156=""region"",vlookup(REGEXEXTRACT(C4156, ""🏘️ \w+ \w+ (.*) ✅""),'Region prepositions'!B:F, 5, 0),  REGEXEXTRACT(C4156, ""🏘️ \w+ \w+ (.*) ✅""))))"),"#N/A")</f>
        <v>#N/A</v>
      </c>
      <c r="I4156" s="4" t="str">
        <f>IFERROR(__xludf.DUMMYFUNCTION("if(D4156=""variant"",  substitute(filter(Templates!E:E, Templates!A:A = F4156, Templates!B:B = G4156, Templates!C:C = H4156), ""{{}}"", E4156), B4156)"),"Louer appartement Salvenach: Trouvez le bien immobilier qui correspond idéalement à vos désirs sur ImmoScout24 - La plateforme de l'immobilier en Suisse.")</f>
        <v>Louer appartement Salvenach: Trouvez le bien immobilier qui correspond idéalement à vos désirs sur ImmoScout24 - La plateforme de l'immobilier en Suisse.</v>
      </c>
    </row>
    <row r="4157" hidden="1">
      <c r="A4157" s="5" t="s">
        <v>11415</v>
      </c>
      <c r="B4157" s="2" t="s">
        <v>11416</v>
      </c>
      <c r="C4157" s="2" t="s">
        <v>11416</v>
      </c>
      <c r="D4157" s="4" t="str">
        <f>vlookup(A4157, Sheet2!D:E, 2, 0)</f>
        <v>control</v>
      </c>
      <c r="E4157" s="4" t="str">
        <f>IFERROR(__xludf.DUMMYFUNCTION("if(H4157=""pays"",vlookup(REGEXEXTRACT(C4157, ""🏘️ \w+ \w+ (.*) ✅""),'Country prepositions'!A:B, 2, 0) &amp; "" "" &amp; REGEXEXTRACT(C4157, ""🏘️ \w+ \w+ (.*) ✅"") ,  if(H4157=""quartier"",vlookup(REGEXEXTRACT(C4157, ""🏘️ \w+ \w+ (.*) ✅""),'Quartier prepositio"&amp;"ns'!A:E, 5, 0) ,  if(H4157=""region"",vlookup(REGEXEXTRACT(C4157, ""🏘️ \w+ \w+ (.*) ✅""),'Region prepositions'!B:F, 5, 0),  REGEXEXTRACT(C4157, ""🏘️ \w+ \w+ (.*) ✅""))))"),"#N/A")</f>
        <v>#N/A</v>
      </c>
      <c r="I4157" s="4" t="str">
        <f>IFERROR(__xludf.DUMMYFUNCTION("if(D4157=""variant"",  substitute(filter(Templates!E:E, Templates!A:A = F4157, Templates!B:B = G4157, Templates!C:C = H4157), ""{{}}"", E4157), B4157)"),"Vendre maison Chavannes-des-Bois: Trouvez le bien immobilier qui correspond idéalement à vos désirs sur ImmoScout24 - La plateforme de l'immobilier en Suisse.")</f>
        <v>Vendre maison Chavannes-des-Bois: Trouvez le bien immobilier qui correspond idéalement à vos désirs sur ImmoScout24 - La plateforme de l'immobilier en Suisse.</v>
      </c>
    </row>
    <row r="4158" hidden="1">
      <c r="A4158" s="5" t="s">
        <v>11417</v>
      </c>
      <c r="B4158" s="2" t="s">
        <v>11418</v>
      </c>
      <c r="C4158" s="2" t="s">
        <v>11418</v>
      </c>
      <c r="D4158" s="4" t="str">
        <f>vlookup(A4158, Sheet2!D:E, 2, 0)</f>
        <v>control</v>
      </c>
      <c r="E4158" s="4" t="str">
        <f>IFERROR(__xludf.DUMMYFUNCTION("if(H4158=""pays"",vlookup(REGEXEXTRACT(C4158, ""🏘️ \w+ \w+ (.*) ✅""),'Country prepositions'!A:B, 2, 0) &amp; "" "" &amp; REGEXEXTRACT(C4158, ""🏘️ \w+ \w+ (.*) ✅"") ,  if(H4158=""quartier"",vlookup(REGEXEXTRACT(C4158, ""🏘️ \w+ \w+ (.*) ✅""),'Quartier prepositio"&amp;"ns'!A:E, 5, 0) ,  if(H4158=""region"",vlookup(REGEXEXTRACT(C4158, ""🏘️ \w+ \w+ (.*) ✅""),'Region prepositions'!B:F, 5, 0),  REGEXEXTRACT(C4158, ""🏘️ \w+ \w+ (.*) ✅""))))"),"#N/A")</f>
        <v>#N/A</v>
      </c>
      <c r="I4158" s="4" t="str">
        <f>IFERROR(__xludf.DUMMYFUNCTION("if(D4158=""variant"",  substitute(filter(Templates!E:E, Templates!A:A = F4158, Templates!B:B = G4158, Templates!C:C = H4158), ""{{}}"", E4158), B4158)"),"Vendre appartement Aproz (Nendaz): Trouvez le bien immobilier qui correspond idéalement à vos désirs sur ImmoScout24 - La plateforme de l'immobilier en Suisse.")</f>
        <v>Vendre appartement Aproz (Nendaz): Trouvez le bien immobilier qui correspond idéalement à vos désirs sur ImmoScout24 - La plateforme de l'immobilier en Suisse.</v>
      </c>
    </row>
    <row r="4159" hidden="1">
      <c r="A4159" s="5" t="s">
        <v>11419</v>
      </c>
      <c r="B4159" s="2" t="s">
        <v>11420</v>
      </c>
      <c r="C4159" s="2" t="s">
        <v>11420</v>
      </c>
      <c r="D4159" s="4" t="str">
        <f>vlookup(A4159, Sheet2!D:E, 2, 0)</f>
        <v>control</v>
      </c>
      <c r="E4159" s="4" t="str">
        <f>IFERROR(__xludf.DUMMYFUNCTION("if(H4159=""pays"",vlookup(REGEXEXTRACT(C4159, ""🏘️ \w+ \w+ (.*) ✅""),'Country prepositions'!A:B, 2, 0) &amp; "" "" &amp; REGEXEXTRACT(C4159, ""🏘️ \w+ \w+ (.*) ✅"") ,  if(H4159=""quartier"",vlookup(REGEXEXTRACT(C4159, ""🏘️ \w+ \w+ (.*) ✅""),'Quartier prepositio"&amp;"ns'!A:E, 5, 0) ,  if(H4159=""region"",vlookup(REGEXEXTRACT(C4159, ""🏘️ \w+ \w+ (.*) ✅""),'Region prepositions'!B:F, 5, 0),  REGEXEXTRACT(C4159, ""🏘️ \w+ \w+ (.*) ✅""))))"),"#N/A")</f>
        <v>#N/A</v>
      </c>
      <c r="I4159" s="4" t="str">
        <f>IFERROR(__xludf.DUMMYFUNCTION("if(D4159=""variant"",  substitute(filter(Templates!E:E, Templates!A:A = F4159, Templates!B:B = G4159, Templates!C:C = H4159), ""{{}}"", E4159), B4159)"),"Louer appartement Bülach: Trouvez le bien immobilier qui correspond idéalement à vos désirs sur ImmoScout24 - La plateforme de l'immobilier en Suisse.")</f>
        <v>Louer appartement Bülach: Trouvez le bien immobilier qui correspond idéalement à vos désirs sur ImmoScout24 - La plateforme de l'immobilier en Suisse.</v>
      </c>
    </row>
    <row r="4160" hidden="1">
      <c r="A4160" s="5" t="s">
        <v>11421</v>
      </c>
      <c r="B4160" s="2" t="s">
        <v>11422</v>
      </c>
      <c r="C4160" s="2" t="s">
        <v>11422</v>
      </c>
      <c r="D4160" s="4" t="str">
        <f>vlookup(A4160, Sheet2!D:E, 2, 0)</f>
        <v>control</v>
      </c>
      <c r="E4160" s="4" t="str">
        <f>IFERROR(__xludf.DUMMYFUNCTION("if(H4160=""pays"",vlookup(REGEXEXTRACT(C4160, ""🏘️ \w+ \w+ (.*) ✅""),'Country prepositions'!A:B, 2, 0) &amp; "" "" &amp; REGEXEXTRACT(C4160, ""🏘️ \w+ \w+ (.*) ✅"") ,  if(H4160=""quartier"",vlookup(REGEXEXTRACT(C4160, ""🏘️ \w+ \w+ (.*) ✅""),'Quartier prepositio"&amp;"ns'!A:E, 5, 0) ,  if(H4160=""region"",vlookup(REGEXEXTRACT(C4160, ""🏘️ \w+ \w+ (.*) ✅""),'Region prepositions'!B:F, 5, 0),  REGEXEXTRACT(C4160, ""🏘️ \w+ \w+ (.*) ✅""))))"),"#N/A")</f>
        <v>#N/A</v>
      </c>
      <c r="I4160" s="4" t="str">
        <f>IFERROR(__xludf.DUMMYFUNCTION("if(D4160=""variant"",  substitute(filter(Templates!E:E, Templates!A:A = F4160, Templates!B:B = G4160, Templates!C:C = H4160), ""{{}}"", E4160), B4160)"),"Louer appartement Canton de Bâle-Ville: Trouvez le bien immobilier qui correspond idéalement à vos désirs sur ImmoScout24 - La plateforme de l'immobilier en Suisse.")</f>
        <v>Louer appartement Canton de Bâle-Ville: Trouvez le bien immobilier qui correspond idéalement à vos désirs sur ImmoScout24 - La plateforme de l'immobilier en Suisse.</v>
      </c>
    </row>
    <row r="4161" hidden="1">
      <c r="A4161" s="5" t="s">
        <v>11423</v>
      </c>
      <c r="B4161" s="2" t="s">
        <v>11424</v>
      </c>
      <c r="C4161" s="2" t="s">
        <v>11424</v>
      </c>
      <c r="D4161" s="4" t="str">
        <f>vlookup(A4161, Sheet2!D:E, 2, 0)</f>
        <v>control</v>
      </c>
      <c r="E4161" s="4" t="str">
        <f>IFERROR(__xludf.DUMMYFUNCTION("if(H4161=""pays"",vlookup(REGEXEXTRACT(C4161, ""🏘️ \w+ \w+ (.*) ✅""),'Country prepositions'!A:B, 2, 0) &amp; "" "" &amp; REGEXEXTRACT(C4161, ""🏘️ \w+ \w+ (.*) ✅"") ,  if(H4161=""quartier"",vlookup(REGEXEXTRACT(C4161, ""🏘️ \w+ \w+ (.*) ✅""),'Quartier prepositio"&amp;"ns'!A:E, 5, 0) ,  if(H4161=""region"",vlookup(REGEXEXTRACT(C4161, ""🏘️ \w+ \w+ (.*) ✅""),'Region prepositions'!B:F, 5, 0),  REGEXEXTRACT(C4161, ""🏘️ \w+ \w+ (.*) ✅""))))"),"#N/A")</f>
        <v>#N/A</v>
      </c>
      <c r="I4161" s="4" t="str">
        <f>IFERROR(__xludf.DUMMYFUNCTION("if(D4161=""variant"",  substitute(filter(Templates!E:E, Templates!A:A = F4161, Templates!B:B = G4161, Templates!C:C = H4161), ""{{}}"", E4161), B4161)"),"Vendre appartement Goumoens-la-Ville: Trouvez le bien immobilier qui correspond idéalement à vos désirs sur ImmoScout24 - La plateforme de l'immobilier en Suisse.")</f>
        <v>Vendre appartement Goumoens-la-Ville: Trouvez le bien immobilier qui correspond idéalement à vos désirs sur ImmoScout24 - La plateforme de l'immobilier en Suisse.</v>
      </c>
    </row>
    <row r="4162" hidden="1">
      <c r="A4162" s="5" t="s">
        <v>11425</v>
      </c>
      <c r="B4162" s="2" t="s">
        <v>11426</v>
      </c>
      <c r="C4162" s="2" t="s">
        <v>11426</v>
      </c>
      <c r="D4162" s="4" t="str">
        <f>vlookup(A4162, Sheet2!D:E, 2, 0)</f>
        <v>control</v>
      </c>
      <c r="E4162" s="4" t="str">
        <f>IFERROR(__xludf.DUMMYFUNCTION("if(H4162=""pays"",vlookup(REGEXEXTRACT(C4162, ""🏘️ \w+ \w+ (.*) ✅""),'Country prepositions'!A:B, 2, 0) &amp; "" "" &amp; REGEXEXTRACT(C4162, ""🏘️ \w+ \w+ (.*) ✅"") ,  if(H4162=""quartier"",vlookup(REGEXEXTRACT(C4162, ""🏘️ \w+ \w+ (.*) ✅""),'Quartier prepositio"&amp;"ns'!A:E, 5, 0) ,  if(H4162=""region"",vlookup(REGEXEXTRACT(C4162, ""🏘️ \w+ \w+ (.*) ✅""),'Region prepositions'!B:F, 5, 0),  REGEXEXTRACT(C4162, ""🏘️ \w+ \w+ (.*) ✅""))))"),"#N/A")</f>
        <v>#N/A</v>
      </c>
      <c r="I4162" s="4" t="str">
        <f>IFERROR(__xludf.DUMMYFUNCTION("if(D4162=""variant"",  substitute(filter(Templates!E:E, Templates!A:A = F4162, Templates!B:B = G4162, Templates!C:C = H4162), ""{{}}"", E4162), B4162)"),"Louer maison Buix: Trouvez le bien immobilier qui correspond idéalement à vos désirs sur ImmoScout24 - La plateforme de l'immobilier en Suisse.")</f>
        <v>Louer maison Buix: Trouvez le bien immobilier qui correspond idéalement à vos désirs sur ImmoScout24 - La plateforme de l'immobilier en Suisse.</v>
      </c>
    </row>
    <row r="4163" hidden="1">
      <c r="A4163" s="5" t="s">
        <v>11427</v>
      </c>
      <c r="B4163" s="2" t="s">
        <v>11428</v>
      </c>
      <c r="C4163" s="2" t="s">
        <v>11428</v>
      </c>
      <c r="D4163" s="4" t="str">
        <f>vlookup(A4163, Sheet2!D:E, 2, 0)</f>
        <v>control</v>
      </c>
      <c r="E4163" s="4" t="str">
        <f>IFERROR(__xludf.DUMMYFUNCTION("if(H4163=""pays"",vlookup(REGEXEXTRACT(C4163, ""🏘️ \w+ \w+ (.*) ✅""),'Country prepositions'!A:B, 2, 0) &amp; "" "" &amp; REGEXEXTRACT(C4163, ""🏘️ \w+ \w+ (.*) ✅"") ,  if(H4163=""quartier"",vlookup(REGEXEXTRACT(C4163, ""🏘️ \w+ \w+ (.*) ✅""),'Quartier prepositio"&amp;"ns'!A:E, 5, 0) ,  if(H4163=""region"",vlookup(REGEXEXTRACT(C4163, ""🏘️ \w+ \w+ (.*) ✅""),'Region prepositions'!B:F, 5, 0),  REGEXEXTRACT(C4163, ""🏘️ \w+ \w+ (.*) ✅""))))"),"#N/A")</f>
        <v>#N/A</v>
      </c>
      <c r="I4163" s="4" t="str">
        <f>IFERROR(__xludf.DUMMYFUNCTION("if(D4163=""variant"",  substitute(filter(Templates!E:E, Templates!A:A = F4163, Templates!B:B = G4163, Templates!C:C = H4163), ""{{}}"", E4163), B4163)"),"Louer appartement Rigi Kaltbad: Trouvez le bien immobilier qui correspond idéalement à vos désirs sur ImmoScout24 - La plateforme de l'immobilier en Suisse.")</f>
        <v>Louer appartement Rigi Kaltbad: Trouvez le bien immobilier qui correspond idéalement à vos désirs sur ImmoScout24 - La plateforme de l'immobilier en Suisse.</v>
      </c>
    </row>
    <row r="4164" hidden="1">
      <c r="A4164" s="5" t="s">
        <v>11429</v>
      </c>
      <c r="B4164" s="2" t="s">
        <v>11430</v>
      </c>
      <c r="C4164" s="2" t="s">
        <v>11430</v>
      </c>
      <c r="D4164" s="4" t="str">
        <f>vlookup(A4164, Sheet2!D:E, 2, 0)</f>
        <v>control</v>
      </c>
      <c r="E4164" s="4" t="str">
        <f>IFERROR(__xludf.DUMMYFUNCTION("if(H4164=""pays"",vlookup(REGEXEXTRACT(C4164, ""🏘️ \w+ \w+ (.*) ✅""),'Country prepositions'!A:B, 2, 0) &amp; "" "" &amp; REGEXEXTRACT(C4164, ""🏘️ \w+ \w+ (.*) ✅"") ,  if(H4164=""quartier"",vlookup(REGEXEXTRACT(C4164, ""🏘️ \w+ \w+ (.*) ✅""),'Quartier prepositio"&amp;"ns'!A:E, 5, 0) ,  if(H4164=""region"",vlookup(REGEXEXTRACT(C4164, ""🏘️ \w+ \w+ (.*) ✅""),'Region prepositions'!B:F, 5, 0),  REGEXEXTRACT(C4164, ""🏘️ \w+ \w+ (.*) ✅""))))"),"#N/A")</f>
        <v>#N/A</v>
      </c>
      <c r="I4164" s="4" t="str">
        <f>IFERROR(__xludf.DUMMYFUNCTION("if(D4164=""variant"",  substitute(filter(Templates!E:E, Templates!A:A = F4164, Templates!B:B = G4164, Templates!C:C = H4164), ""{{}}"", E4164), B4164)"),"Vendre maison Pompaples: Trouvez le bien immobilier qui correspond idéalement à vos désirs sur ImmoScout24 - La plateforme de l'immobilier en Suisse.")</f>
        <v>Vendre maison Pompaples: Trouvez le bien immobilier qui correspond idéalement à vos désirs sur ImmoScout24 - La plateforme de l'immobilier en Suisse.</v>
      </c>
    </row>
    <row r="4165" hidden="1">
      <c r="A4165" s="5" t="s">
        <v>11431</v>
      </c>
      <c r="B4165" s="2" t="s">
        <v>11432</v>
      </c>
      <c r="C4165" s="2" t="s">
        <v>11432</v>
      </c>
      <c r="D4165" s="4" t="str">
        <f>vlookup(A4165, Sheet2!D:E, 2, 0)</f>
        <v>control</v>
      </c>
      <c r="E4165" s="4" t="str">
        <f>IFERROR(__xludf.DUMMYFUNCTION("if(H4165=""pays"",vlookup(REGEXEXTRACT(C4165, ""🏘️ \w+ \w+ (.*) ✅""),'Country prepositions'!A:B, 2, 0) &amp; "" "" &amp; REGEXEXTRACT(C4165, ""🏘️ \w+ \w+ (.*) ✅"") ,  if(H4165=""quartier"",vlookup(REGEXEXTRACT(C4165, ""🏘️ \w+ \w+ (.*) ✅""),'Quartier prepositio"&amp;"ns'!A:E, 5, 0) ,  if(H4165=""region"",vlookup(REGEXEXTRACT(C4165, ""🏘️ \w+ \w+ (.*) ✅""),'Region prepositions'!B:F, 5, 0),  REGEXEXTRACT(C4165, ""🏘️ \w+ \w+ (.*) ✅""))))"),"#N/A")</f>
        <v>#N/A</v>
      </c>
      <c r="I4165" s="4" t="str">
        <f>IFERROR(__xludf.DUMMYFUNCTION("if(D4165=""variant"",  substitute(filter(Templates!E:E, Templates!A:A = F4165, Templates!B:B = G4165, Templates!C:C = H4165), ""{{}}"", E4165), B4165)"),"Louer appartement Brè (Lugano): Trouvez le bien immobilier qui correspond idéalement à vos désirs sur ImmoScout24 - La plateforme de l'immobilier en Suisse.")</f>
        <v>Louer appartement Brè (Lugano): Trouvez le bien immobilier qui correspond idéalement à vos désirs sur ImmoScout24 - La plateforme de l'immobilier en Suisse.</v>
      </c>
    </row>
    <row r="4166" hidden="1">
      <c r="A4166" s="5" t="s">
        <v>11433</v>
      </c>
      <c r="B4166" s="2" t="s">
        <v>11434</v>
      </c>
      <c r="C4166" s="2" t="s">
        <v>11434</v>
      </c>
      <c r="D4166" s="4" t="str">
        <f>vlookup(A4166, Sheet2!D:E, 2, 0)</f>
        <v>control</v>
      </c>
      <c r="E4166" s="4" t="str">
        <f>IFERROR(__xludf.DUMMYFUNCTION("if(H4166=""pays"",vlookup(REGEXEXTRACT(C4166, ""🏘️ \w+ \w+ (.*) ✅""),'Country prepositions'!A:B, 2, 0) &amp; "" "" &amp; REGEXEXTRACT(C4166, ""🏘️ \w+ \w+ (.*) ✅"") ,  if(H4166=""quartier"",vlookup(REGEXEXTRACT(C4166, ""🏘️ \w+ \w+ (.*) ✅""),'Quartier prepositio"&amp;"ns'!A:E, 5, 0) ,  if(H4166=""region"",vlookup(REGEXEXTRACT(C4166, ""🏘️ \w+ \w+ (.*) ✅""),'Region prepositions'!B:F, 5, 0),  REGEXEXTRACT(C4166, ""🏘️ \w+ \w+ (.*) ✅""))))"),"#N/A")</f>
        <v>#N/A</v>
      </c>
      <c r="I4166" s="4" t="str">
        <f>IFERROR(__xludf.DUMMYFUNCTION("if(D4166=""variant"",  substitute(filter(Templates!E:E, Templates!A:A = F4166, Templates!B:B = G4166, Templates!C:C = H4166), ""{{}}"", E4166), B4166)"),"Vendre maison Luthern: Trouvez le bien immobilier qui correspond idéalement à vos désirs sur ImmoScout24 - La plateforme de l'immobilier en Suisse.")</f>
        <v>Vendre maison Luthern: Trouvez le bien immobilier qui correspond idéalement à vos désirs sur ImmoScout24 - La plateforme de l'immobilier en Suisse.</v>
      </c>
    </row>
    <row r="4167" hidden="1">
      <c r="A4167" s="5" t="s">
        <v>11435</v>
      </c>
      <c r="B4167" s="2" t="s">
        <v>11436</v>
      </c>
      <c r="C4167" s="2" t="s">
        <v>11436</v>
      </c>
      <c r="D4167" s="4" t="str">
        <f>vlookup(A4167, Sheet2!D:E, 2, 0)</f>
        <v>control</v>
      </c>
      <c r="E4167" s="4" t="str">
        <f>IFERROR(__xludf.DUMMYFUNCTION("if(H4167=""pays"",vlookup(REGEXEXTRACT(C4167, ""🏘️ \w+ \w+ (.*) ✅""),'Country prepositions'!A:B, 2, 0) &amp; "" "" &amp; REGEXEXTRACT(C4167, ""🏘️ \w+ \w+ (.*) ✅"") ,  if(H4167=""quartier"",vlookup(REGEXEXTRACT(C4167, ""🏘️ \w+ \w+ (.*) ✅""),'Quartier prepositio"&amp;"ns'!A:E, 5, 0) ,  if(H4167=""region"",vlookup(REGEXEXTRACT(C4167, ""🏘️ \w+ \w+ (.*) ✅""),'Region prepositions'!B:F, 5, 0),  REGEXEXTRACT(C4167, ""🏘️ \w+ \w+ (.*) ✅""))))"),"#N/A")</f>
        <v>#N/A</v>
      </c>
      <c r="I4167" s="4" t="str">
        <f>IFERROR(__xludf.DUMMYFUNCTION("if(D4167=""variant"",  substitute(filter(Templates!E:E, Templates!A:A = F4167, Templates!B:B = G4167, Templates!C:C = H4167), ""{{}}"", E4167), B4167)"),"Louer appartement Ayent: Trouvez le bien immobilier qui correspond idéalement à vos désirs sur ImmoScout24 - La plateforme de l'immobilier en Suisse.")</f>
        <v>Louer appartement Ayent: Trouvez le bien immobilier qui correspond idéalement à vos désirs sur ImmoScout24 - La plateforme de l'immobilier en Suisse.</v>
      </c>
    </row>
    <row r="4168" hidden="1">
      <c r="A4168" s="5" t="s">
        <v>11437</v>
      </c>
      <c r="B4168" s="2" t="s">
        <v>11438</v>
      </c>
      <c r="C4168" s="2" t="s">
        <v>11438</v>
      </c>
      <c r="D4168" s="4" t="str">
        <f>vlookup(A4168, Sheet2!D:E, 2, 0)</f>
        <v>control</v>
      </c>
      <c r="E4168" s="4" t="str">
        <f>IFERROR(__xludf.DUMMYFUNCTION("if(H4168=""pays"",vlookup(REGEXEXTRACT(C4168, ""🏘️ \w+ \w+ (.*) ✅""),'Country prepositions'!A:B, 2, 0) &amp; "" "" &amp; REGEXEXTRACT(C4168, ""🏘️ \w+ \w+ (.*) ✅"") ,  if(H4168=""quartier"",vlookup(REGEXEXTRACT(C4168, ""🏘️ \w+ \w+ (.*) ✅""),'Quartier prepositio"&amp;"ns'!A:E, 5, 0) ,  if(H4168=""region"",vlookup(REGEXEXTRACT(C4168, ""🏘️ \w+ \w+ (.*) ✅""),'Region prepositions'!B:F, 5, 0),  REGEXEXTRACT(C4168, ""🏘️ \w+ \w+ (.*) ✅""))))"),"#N/A")</f>
        <v>#N/A</v>
      </c>
      <c r="I4168" s="4" t="str">
        <f>IFERROR(__xludf.DUMMYFUNCTION("if(D4168=""variant"",  substitute(filter(Templates!E:E, Templates!A:A = F4168, Templates!B:B = G4168, Templates!C:C = H4168), ""{{}}"", E4168), B4168)"),"Louer appartement Commugny: Trouvez le bien immobilier qui correspond idéalement à vos désirs sur ImmoScout24 - La plateforme de l'immobilier en Suisse.")</f>
        <v>Louer appartement Commugny: Trouvez le bien immobilier qui correspond idéalement à vos désirs sur ImmoScout24 - La plateforme de l'immobilier en Suisse.</v>
      </c>
    </row>
    <row r="4169" hidden="1">
      <c r="A4169" s="5" t="s">
        <v>11439</v>
      </c>
      <c r="B4169" s="2" t="s">
        <v>11440</v>
      </c>
      <c r="C4169" s="2" t="s">
        <v>11440</v>
      </c>
      <c r="D4169" s="4" t="str">
        <f>vlookup(A4169, Sheet2!D:E, 2, 0)</f>
        <v>control</v>
      </c>
      <c r="E4169" s="4" t="str">
        <f>IFERROR(__xludf.DUMMYFUNCTION("if(H4169=""pays"",vlookup(REGEXEXTRACT(C4169, ""🏘️ \w+ \w+ (.*) ✅""),'Country prepositions'!A:B, 2, 0) &amp; "" "" &amp; REGEXEXTRACT(C4169, ""🏘️ \w+ \w+ (.*) ✅"") ,  if(H4169=""quartier"",vlookup(REGEXEXTRACT(C4169, ""🏘️ \w+ \w+ (.*) ✅""),'Quartier prepositio"&amp;"ns'!A:E, 5, 0) ,  if(H4169=""region"",vlookup(REGEXEXTRACT(C4169, ""🏘️ \w+ \w+ (.*) ✅""),'Region prepositions'!B:F, 5, 0),  REGEXEXTRACT(C4169, ""🏘️ \w+ \w+ (.*) ✅""))))"),"#N/A")</f>
        <v>#N/A</v>
      </c>
      <c r="I4169" s="4" t="str">
        <f>IFERROR(__xludf.DUMMYFUNCTION("if(D4169=""variant"",  substitute(filter(Templates!E:E, Templates!A:A = F4169, Templates!B:B = G4169, Templates!C:C = H4169), ""{{}}"", E4169), B4169)"),"Louer appartement Seiry: Trouvez le bien immobilier qui correspond idéalement à vos désirs sur ImmoScout24 - La plateforme de l'immobilier en Suisse.")</f>
        <v>Louer appartement Seiry: Trouvez le bien immobilier qui correspond idéalement à vos désirs sur ImmoScout24 - La plateforme de l'immobilier en Suisse.</v>
      </c>
    </row>
    <row r="4170" hidden="1">
      <c r="A4170" s="5" t="s">
        <v>11441</v>
      </c>
      <c r="B4170" s="2" t="s">
        <v>11442</v>
      </c>
      <c r="C4170" s="2" t="s">
        <v>11442</v>
      </c>
      <c r="D4170" s="4" t="str">
        <f>vlookup(A4170, Sheet2!D:E, 2, 0)</f>
        <v>control</v>
      </c>
      <c r="E4170" s="4" t="str">
        <f>IFERROR(__xludf.DUMMYFUNCTION("if(H4170=""pays"",vlookup(REGEXEXTRACT(C4170, ""🏘️ \w+ \w+ (.*) ✅""),'Country prepositions'!A:B, 2, 0) &amp; "" "" &amp; REGEXEXTRACT(C4170, ""🏘️ \w+ \w+ (.*) ✅"") ,  if(H4170=""quartier"",vlookup(REGEXEXTRACT(C4170, ""🏘️ \w+ \w+ (.*) ✅""),'Quartier prepositio"&amp;"ns'!A:E, 5, 0) ,  if(H4170=""region"",vlookup(REGEXEXTRACT(C4170, ""🏘️ \w+ \w+ (.*) ✅""),'Region prepositions'!B:F, 5, 0),  REGEXEXTRACT(C4170, ""🏘️ \w+ \w+ (.*) ✅""))))"),"#N/A")</f>
        <v>#N/A</v>
      </c>
      <c r="I4170" s="4" t="str">
        <f>IFERROR(__xludf.DUMMYFUNCTION("if(D4170=""variant"",  substitute(filter(Templates!E:E, Templates!A:A = F4170, Templates!B:B = G4170, Templates!C:C = H4170), ""{{}}"", E4170), B4170)"),"Louer appartement Isérables: Trouvez le bien immobilier qui correspond idéalement à vos désirs sur ImmoScout24 - La plateforme de l'immobilier en Suisse.")</f>
        <v>Louer appartement Isérables: Trouvez le bien immobilier qui correspond idéalement à vos désirs sur ImmoScout24 - La plateforme de l'immobilier en Suisse.</v>
      </c>
    </row>
    <row r="4171" hidden="1">
      <c r="A4171" s="5" t="s">
        <v>11443</v>
      </c>
      <c r="B4171" s="2" t="s">
        <v>11444</v>
      </c>
      <c r="C4171" s="2" t="s">
        <v>11444</v>
      </c>
      <c r="D4171" s="4" t="str">
        <f>vlookup(A4171, Sheet2!D:E, 2, 0)</f>
        <v>control</v>
      </c>
      <c r="E4171" s="4" t="str">
        <f>IFERROR(__xludf.DUMMYFUNCTION("if(H4171=""pays"",vlookup(REGEXEXTRACT(C4171, ""🏘️ \w+ \w+ (.*) ✅""),'Country prepositions'!A:B, 2, 0) &amp; "" "" &amp; REGEXEXTRACT(C4171, ""🏘️ \w+ \w+ (.*) ✅"") ,  if(H4171=""quartier"",vlookup(REGEXEXTRACT(C4171, ""🏘️ \w+ \w+ (.*) ✅""),'Quartier prepositio"&amp;"ns'!A:E, 5, 0) ,  if(H4171=""region"",vlookup(REGEXEXTRACT(C4171, ""🏘️ \w+ \w+ (.*) ✅""),'Region prepositions'!B:F, 5, 0),  REGEXEXTRACT(C4171, ""🏘️ \w+ \w+ (.*) ✅""))))"),"#N/A")</f>
        <v>#N/A</v>
      </c>
      <c r="I4171" s="4" t="str">
        <f>IFERROR(__xludf.DUMMYFUNCTION("if(D4171=""variant"",  substitute(filter(Templates!E:E, Templates!A:A = F4171, Templates!B:B = G4171, Templates!C:C = H4171), ""{{}}"", E4171), B4171)"),"Louer appartement Liebefeld (Köniz): Trouvez le bien immobilier qui correspond idéalement à vos désirs sur ImmoScout24 - La plateforme de l'immobilier en Suisse.")</f>
        <v>Louer appartement Liebefeld (Köniz): Trouvez le bien immobilier qui correspond idéalement à vos désirs sur ImmoScout24 - La plateforme de l'immobilier en Suisse.</v>
      </c>
    </row>
    <row r="4172" hidden="1">
      <c r="A4172" s="5" t="s">
        <v>11445</v>
      </c>
      <c r="B4172" s="2" t="s">
        <v>11446</v>
      </c>
      <c r="C4172" s="2" t="s">
        <v>11446</v>
      </c>
      <c r="D4172" s="4" t="str">
        <f>vlookup(A4172, Sheet2!D:E, 2, 0)</f>
        <v>control</v>
      </c>
      <c r="E4172" s="4" t="str">
        <f>IFERROR(__xludf.DUMMYFUNCTION("if(H4172=""pays"",vlookup(REGEXEXTRACT(C4172, ""🏘️ \w+ \w+ (.*) ✅""),'Country prepositions'!A:B, 2, 0) &amp; "" "" &amp; REGEXEXTRACT(C4172, ""🏘️ \w+ \w+ (.*) ✅"") ,  if(H4172=""quartier"",vlookup(REGEXEXTRACT(C4172, ""🏘️ \w+ \w+ (.*) ✅""),'Quartier prepositio"&amp;"ns'!A:E, 5, 0) ,  if(H4172=""region"",vlookup(REGEXEXTRACT(C4172, ""🏘️ \w+ \w+ (.*) ✅""),'Region prepositions'!B:F, 5, 0),  REGEXEXTRACT(C4172, ""🏘️ \w+ \w+ (.*) ✅""))))"),"#N/A")</f>
        <v>#N/A</v>
      </c>
      <c r="I4172" s="4" t="str">
        <f>IFERROR(__xludf.DUMMYFUNCTION("if(D4172=""variant"",  substitute(filter(Templates!E:E, Templates!A:A = F4172, Templates!B:B = G4172, Templates!C:C = H4172), ""{{}}"", E4172), B4172)"),"Louer maison Cudrefin: Trouvez le bien immobilier qui correspond idéalement à vos désirs sur ImmoScout24 - La plateforme de l'immobilier en Suisse.")</f>
        <v>Louer maison Cudrefin: Trouvez le bien immobilier qui correspond idéalement à vos désirs sur ImmoScout24 - La plateforme de l'immobilier en Suisse.</v>
      </c>
    </row>
    <row r="4173" hidden="1">
      <c r="A4173" s="5" t="s">
        <v>11447</v>
      </c>
      <c r="B4173" s="2" t="s">
        <v>11448</v>
      </c>
      <c r="C4173" s="2" t="s">
        <v>11448</v>
      </c>
      <c r="D4173" s="4" t="str">
        <f>vlookup(A4173, Sheet2!D:E, 2, 0)</f>
        <v>control</v>
      </c>
      <c r="E4173" s="4" t="str">
        <f>IFERROR(__xludf.DUMMYFUNCTION("if(H4173=""pays"",vlookup(REGEXEXTRACT(C4173, ""🏘️ \w+ \w+ (.*) ✅""),'Country prepositions'!A:B, 2, 0) &amp; "" "" &amp; REGEXEXTRACT(C4173, ""🏘️ \w+ \w+ (.*) ✅"") ,  if(H4173=""quartier"",vlookup(REGEXEXTRACT(C4173, ""🏘️ \w+ \w+ (.*) ✅""),'Quartier prepositio"&amp;"ns'!A:E, 5, 0) ,  if(H4173=""region"",vlookup(REGEXEXTRACT(C4173, ""🏘️ \w+ \w+ (.*) ✅""),'Region prepositions'!B:F, 5, 0),  REGEXEXTRACT(C4173, ""🏘️ \w+ \w+ (.*) ✅""))))"),"#N/A")</f>
        <v>#N/A</v>
      </c>
      <c r="I4173" s="4" t="str">
        <f>IFERROR(__xludf.DUMMYFUNCTION("if(D4173=""variant"",  substitute(filter(Templates!E:E, Templates!A:A = F4173, Templates!B:B = G4173, Templates!C:C = H4173), ""{{}}"", E4173), B4173)"),"Louer maison Travers: Trouvez le bien immobilier qui correspond idéalement à vos désirs sur ImmoScout24 - La plateforme de l'immobilier en Suisse.")</f>
        <v>Louer maison Travers: Trouvez le bien immobilier qui correspond idéalement à vos désirs sur ImmoScout24 - La plateforme de l'immobilier en Suisse.</v>
      </c>
    </row>
    <row r="4174" hidden="1">
      <c r="A4174" s="5" t="s">
        <v>11449</v>
      </c>
      <c r="B4174" s="2" t="s">
        <v>11450</v>
      </c>
      <c r="C4174" s="2" t="s">
        <v>11450</v>
      </c>
      <c r="D4174" s="4" t="str">
        <f>vlookup(A4174, Sheet2!D:E, 2, 0)</f>
        <v>control</v>
      </c>
      <c r="E4174" s="4" t="str">
        <f>IFERROR(__xludf.DUMMYFUNCTION("if(H4174=""pays"",vlookup(REGEXEXTRACT(C4174, ""🏘️ \w+ \w+ (.*) ✅""),'Country prepositions'!A:B, 2, 0) &amp; "" "" &amp; REGEXEXTRACT(C4174, ""🏘️ \w+ \w+ (.*) ✅"") ,  if(H4174=""quartier"",vlookup(REGEXEXTRACT(C4174, ""🏘️ \w+ \w+ (.*) ✅""),'Quartier prepositio"&amp;"ns'!A:E, 5, 0) ,  if(H4174=""region"",vlookup(REGEXEXTRACT(C4174, ""🏘️ \w+ \w+ (.*) ✅""),'Region prepositions'!B:F, 5, 0),  REGEXEXTRACT(C4174, ""🏘️ \w+ \w+ (.*) ✅""))))"),"#N/A")</f>
        <v>#N/A</v>
      </c>
      <c r="I4174" s="4" t="str">
        <f>IFERROR(__xludf.DUMMYFUNCTION("if(D4174=""variant"",  substitute(filter(Templates!E:E, Templates!A:A = F4174, Templates!B:B = G4174, Templates!C:C = H4174), ""{{}}"", E4174), B4174)"),"Louer maison Montana: Trouvez le bien immobilier qui correspond idéalement à vos désirs sur ImmoScout24 - La plateforme de l'immobilier en Suisse.")</f>
        <v>Louer maison Montana: Trouvez le bien immobilier qui correspond idéalement à vos désirs sur ImmoScout24 - La plateforme de l'immobilier en Suisse.</v>
      </c>
    </row>
    <row r="4175" hidden="1">
      <c r="A4175" s="5" t="s">
        <v>11451</v>
      </c>
      <c r="B4175" s="2" t="s">
        <v>11452</v>
      </c>
      <c r="C4175" s="2" t="s">
        <v>11452</v>
      </c>
      <c r="D4175" s="4" t="str">
        <f>vlookup(A4175, Sheet2!D:E, 2, 0)</f>
        <v>control</v>
      </c>
      <c r="E4175" s="4" t="str">
        <f>IFERROR(__xludf.DUMMYFUNCTION("if(H4175=""pays"",vlookup(REGEXEXTRACT(C4175, ""🏘️ \w+ \w+ (.*) ✅""),'Country prepositions'!A:B, 2, 0) &amp; "" "" &amp; REGEXEXTRACT(C4175, ""🏘️ \w+ \w+ (.*) ✅"") ,  if(H4175=""quartier"",vlookup(REGEXEXTRACT(C4175, ""🏘️ \w+ \w+ (.*) ✅""),'Quartier prepositio"&amp;"ns'!A:E, 5, 0) ,  if(H4175=""region"",vlookup(REGEXEXTRACT(C4175, ""🏘️ \w+ \w+ (.*) ✅""),'Region prepositions'!B:F, 5, 0),  REGEXEXTRACT(C4175, ""🏘️ \w+ \w+ (.*) ✅""))))"),"#N/A")</f>
        <v>#N/A</v>
      </c>
      <c r="I4175" s="4" t="str">
        <f>IFERROR(__xludf.DUMMYFUNCTION("if(D4175=""variant"",  substitute(filter(Templates!E:E, Templates!A:A = F4175, Templates!B:B = G4175, Templates!C:C = H4175), ""{{}}"", E4175), B4175)"),"Louer maison Echandens: Trouvez le bien immobilier qui correspond idéalement à vos désirs sur ImmoScout24 - La plateforme de l'immobilier en Suisse.")</f>
        <v>Louer maison Echandens: Trouvez le bien immobilier qui correspond idéalement à vos désirs sur ImmoScout24 - La plateforme de l'immobilier en Suisse.</v>
      </c>
    </row>
    <row r="4176" hidden="1">
      <c r="A4176" s="5" t="s">
        <v>11453</v>
      </c>
      <c r="B4176" s="2" t="s">
        <v>11454</v>
      </c>
      <c r="C4176" s="2" t="s">
        <v>11454</v>
      </c>
      <c r="D4176" s="4" t="str">
        <f>vlookup(A4176, Sheet2!D:E, 2, 0)</f>
        <v>control</v>
      </c>
      <c r="E4176" s="4" t="str">
        <f>IFERROR(__xludf.DUMMYFUNCTION("if(H4176=""pays"",vlookup(REGEXEXTRACT(C4176, ""🏘️ \w+ \w+ (.*) ✅""),'Country prepositions'!A:B, 2, 0) &amp; "" "" &amp; REGEXEXTRACT(C4176, ""🏘️ \w+ \w+ (.*) ✅"") ,  if(H4176=""quartier"",vlookup(REGEXEXTRACT(C4176, ""🏘️ \w+ \w+ (.*) ✅""),'Quartier prepositio"&amp;"ns'!A:E, 5, 0) ,  if(H4176=""region"",vlookup(REGEXEXTRACT(C4176, ""🏘️ \w+ \w+ (.*) ✅""),'Region prepositions'!B:F, 5, 0),  REGEXEXTRACT(C4176, ""🏘️ \w+ \w+ (.*) ✅""))))"),"#N/A")</f>
        <v>#N/A</v>
      </c>
      <c r="I4176" s="4" t="str">
        <f>IFERROR(__xludf.DUMMYFUNCTION("if(D4176=""variant"",  substitute(filter(Templates!E:E, Templates!A:A = F4176, Templates!B:B = G4176, Templates!C:C = H4176), ""{{}}"", E4176), B4176)"),"Louer appartement Montriond - Cour (Lausanne): Trouvez le bien immobilier qui correspond idéalement à vos désirs sur ImmoScout24 - La plateforme de l'immobilier en Suisse.")</f>
        <v>Louer appartement Montriond - Cour (Lausanne): Trouvez le bien immobilier qui correspond idéalement à vos désirs sur ImmoScout24 - La plateforme de l'immobilier en Suisse.</v>
      </c>
    </row>
    <row r="4177" hidden="1">
      <c r="A4177" s="5" t="s">
        <v>11455</v>
      </c>
      <c r="B4177" s="2" t="s">
        <v>11456</v>
      </c>
      <c r="C4177" s="2" t="s">
        <v>11456</v>
      </c>
      <c r="D4177" s="4" t="str">
        <f>vlookup(A4177, Sheet2!D:E, 2, 0)</f>
        <v>control</v>
      </c>
      <c r="E4177" s="4" t="str">
        <f>IFERROR(__xludf.DUMMYFUNCTION("if(H4177=""pays"",vlookup(REGEXEXTRACT(C4177, ""🏘️ \w+ \w+ (.*) ✅""),'Country prepositions'!A:B, 2, 0) &amp; "" "" &amp; REGEXEXTRACT(C4177, ""🏘️ \w+ \w+ (.*) ✅"") ,  if(H4177=""quartier"",vlookup(REGEXEXTRACT(C4177, ""🏘️ \w+ \w+ (.*) ✅""),'Quartier prepositio"&amp;"ns'!A:E, 5, 0) ,  if(H4177=""region"",vlookup(REGEXEXTRACT(C4177, ""🏘️ \w+ \w+ (.*) ✅""),'Region prepositions'!B:F, 5, 0),  REGEXEXTRACT(C4177, ""🏘️ \w+ \w+ (.*) ✅""))))"),"#N/A")</f>
        <v>#N/A</v>
      </c>
      <c r="I4177" s="4" t="str">
        <f>IFERROR(__xludf.DUMMYFUNCTION("if(D4177=""variant"",  substitute(filter(Templates!E:E, Templates!A:A = F4177, Templates!B:B = G4177, Templates!C:C = H4177), ""{{}}"", E4177), B4177)"),"Louer appartement Chanéaz: Trouvez le bien immobilier qui correspond idéalement à vos désirs sur ImmoScout24 - La plateforme de l'immobilier en Suisse.")</f>
        <v>Louer appartement Chanéaz: Trouvez le bien immobilier qui correspond idéalement à vos désirs sur ImmoScout24 - La plateforme de l'immobilier en Suisse.</v>
      </c>
    </row>
    <row r="4178" hidden="1">
      <c r="A4178" s="5" t="s">
        <v>11457</v>
      </c>
      <c r="B4178" s="2" t="s">
        <v>11458</v>
      </c>
      <c r="C4178" s="2" t="s">
        <v>11458</v>
      </c>
      <c r="D4178" s="4" t="str">
        <f>vlookup(A4178, Sheet2!D:E, 2, 0)</f>
        <v>control</v>
      </c>
      <c r="E4178" s="4" t="str">
        <f>IFERROR(__xludf.DUMMYFUNCTION("if(H4178=""pays"",vlookup(REGEXEXTRACT(C4178, ""🏘️ \w+ \w+ (.*) ✅""),'Country prepositions'!A:B, 2, 0) &amp; "" "" &amp; REGEXEXTRACT(C4178, ""🏘️ \w+ \w+ (.*) ✅"") ,  if(H4178=""quartier"",vlookup(REGEXEXTRACT(C4178, ""🏘️ \w+ \w+ (.*) ✅""),'Quartier prepositio"&amp;"ns'!A:E, 5, 0) ,  if(H4178=""region"",vlookup(REGEXEXTRACT(C4178, ""🏘️ \w+ \w+ (.*) ✅""),'Region prepositions'!B:F, 5, 0),  REGEXEXTRACT(C4178, ""🏘️ \w+ \w+ (.*) ✅""))))"),"#N/A")</f>
        <v>#N/A</v>
      </c>
      <c r="I4178" s="4" t="str">
        <f>IFERROR(__xludf.DUMMYFUNCTION("if(D4178=""variant"",  substitute(filter(Templates!E:E, Templates!A:A = F4178, Templates!B:B = G4178, Templates!C:C = H4178), ""{{}}"", E4178), B4178)"),"Louer appartement Beromünster: Trouvez le bien immobilier qui correspond idéalement à vos désirs sur ImmoScout24 - La plateforme de l'immobilier en Suisse.")</f>
        <v>Louer appartement Beromünster: Trouvez le bien immobilier qui correspond idéalement à vos désirs sur ImmoScout24 - La plateforme de l'immobilier en Suisse.</v>
      </c>
    </row>
    <row r="4179" hidden="1">
      <c r="A4179" s="5" t="s">
        <v>11459</v>
      </c>
      <c r="B4179" s="2" t="s">
        <v>11460</v>
      </c>
      <c r="C4179" s="2" t="s">
        <v>11460</v>
      </c>
      <c r="D4179" s="4" t="str">
        <f>vlookup(A4179, Sheet2!D:E, 2, 0)</f>
        <v>control</v>
      </c>
      <c r="E4179" s="4" t="str">
        <f>IFERROR(__xludf.DUMMYFUNCTION("if(H4179=""pays"",vlookup(REGEXEXTRACT(C4179, ""🏘️ \w+ \w+ (.*) ✅""),'Country prepositions'!A:B, 2, 0) &amp; "" "" &amp; REGEXEXTRACT(C4179, ""🏘️ \w+ \w+ (.*) ✅"") ,  if(H4179=""quartier"",vlookup(REGEXEXTRACT(C4179, ""🏘️ \w+ \w+ (.*) ✅""),'Quartier prepositio"&amp;"ns'!A:E, 5, 0) ,  if(H4179=""region"",vlookup(REGEXEXTRACT(C4179, ""🏘️ \w+ \w+ (.*) ✅""),'Region prepositions'!B:F, 5, 0),  REGEXEXTRACT(C4179, ""🏘️ \w+ \w+ (.*) ✅""))))"),"#N/A")</f>
        <v>#N/A</v>
      </c>
      <c r="I4179" s="4" t="str">
        <f>IFERROR(__xludf.DUMMYFUNCTION("if(D4179=""variant"",  substitute(filter(Templates!E:E, Templates!A:A = F4179, Templates!B:B = G4179, Templates!C:C = H4179), ""{{}}"", E4179), B4179)"),"Vendre appartement Vinet - Pontaise (Lausanne): Trouvez le bien immobilier qui correspond idéalement à vos désirs sur ImmoScout24 - La plateforme de l'immobilier en Suisse.")</f>
        <v>Vendre appartement Vinet - Pontaise (Lausanne): Trouvez le bien immobilier qui correspond idéalement à vos désirs sur ImmoScout24 - La plateforme de l'immobilier en Suisse.</v>
      </c>
    </row>
    <row r="4180" hidden="1">
      <c r="A4180" s="5" t="s">
        <v>11461</v>
      </c>
      <c r="B4180" s="2" t="s">
        <v>11462</v>
      </c>
      <c r="C4180" s="2" t="s">
        <v>11462</v>
      </c>
      <c r="D4180" s="4" t="str">
        <f>vlookup(A4180, Sheet2!D:E, 2, 0)</f>
        <v>control</v>
      </c>
      <c r="E4180" s="4" t="str">
        <f>IFERROR(__xludf.DUMMYFUNCTION("if(H4180=""pays"",vlookup(REGEXEXTRACT(C4180, ""🏘️ \w+ \w+ (.*) ✅""),'Country prepositions'!A:B, 2, 0) &amp; "" "" &amp; REGEXEXTRACT(C4180, ""🏘️ \w+ \w+ (.*) ✅"") ,  if(H4180=""quartier"",vlookup(REGEXEXTRACT(C4180, ""🏘️ \w+ \w+ (.*) ✅""),'Quartier prepositio"&amp;"ns'!A:E, 5, 0) ,  if(H4180=""region"",vlookup(REGEXEXTRACT(C4180, ""🏘️ \w+ \w+ (.*) ✅""),'Region prepositions'!B:F, 5, 0),  REGEXEXTRACT(C4180, ""🏘️ \w+ \w+ (.*) ✅""))))"),"#N/A")</f>
        <v>#N/A</v>
      </c>
      <c r="I4180" s="4" t="str">
        <f>IFERROR(__xludf.DUMMYFUNCTION("if(D4180=""variant"",  substitute(filter(Templates!E:E, Templates!A:A = F4180, Templates!B:B = G4180, Templates!C:C = H4180), ""{{}}"", E4180), B4180)"),"Louer appartement Grolley: Trouvez le bien immobilier qui correspond idéalement à vos désirs sur ImmoScout24 - La plateforme de l'immobilier en Suisse.")</f>
        <v>Louer appartement Grolley: Trouvez le bien immobilier qui correspond idéalement à vos désirs sur ImmoScout24 - La plateforme de l'immobilier en Suisse.</v>
      </c>
    </row>
    <row r="4181" hidden="1">
      <c r="A4181" s="5" t="s">
        <v>11463</v>
      </c>
      <c r="B4181" s="2" t="s">
        <v>11464</v>
      </c>
      <c r="C4181" s="2" t="s">
        <v>11464</v>
      </c>
      <c r="D4181" s="4" t="str">
        <f>vlookup(A4181, Sheet2!D:E, 2, 0)</f>
        <v>control</v>
      </c>
      <c r="E4181" s="4" t="str">
        <f>IFERROR(__xludf.DUMMYFUNCTION("if(H4181=""pays"",vlookup(REGEXEXTRACT(C4181, ""🏘️ \w+ \w+ (.*) ✅""),'Country prepositions'!A:B, 2, 0) &amp; "" "" &amp; REGEXEXTRACT(C4181, ""🏘️ \w+ \w+ (.*) ✅"") ,  if(H4181=""quartier"",vlookup(REGEXEXTRACT(C4181, ""🏘️ \w+ \w+ (.*) ✅""),'Quartier prepositio"&amp;"ns'!A:E, 5, 0) ,  if(H4181=""region"",vlookup(REGEXEXTRACT(C4181, ""🏘️ \w+ \w+ (.*) ✅""),'Region prepositions'!B:F, 5, 0),  REGEXEXTRACT(C4181, ""🏘️ \w+ \w+ (.*) ✅""))))"),"#N/A")</f>
        <v>#N/A</v>
      </c>
      <c r="I4181" s="4" t="str">
        <f>IFERROR(__xludf.DUMMYFUNCTION("if(D4181=""variant"",  substitute(filter(Templates!E:E, Templates!A:A = F4181, Templates!B:B = G4181, Templates!C:C = H4181), ""{{}}"", E4181), B4181)"),"Vendre appartement Crans-près-Céligny: Trouvez le bien immobilier qui correspond idéalement à vos désirs sur ImmoScout24 - La plateforme de l'immobilier en Suisse.")</f>
        <v>Vendre appartement Crans-près-Céligny: Trouvez le bien immobilier qui correspond idéalement à vos désirs sur ImmoScout24 - La plateforme de l'immobilier en Suisse.</v>
      </c>
    </row>
    <row r="4182" hidden="1">
      <c r="A4182" s="5" t="s">
        <v>11465</v>
      </c>
      <c r="B4182" s="2" t="s">
        <v>11466</v>
      </c>
      <c r="C4182" s="2" t="s">
        <v>11466</v>
      </c>
      <c r="D4182" s="4" t="str">
        <f>vlookup(A4182, Sheet2!D:E, 2, 0)</f>
        <v>control</v>
      </c>
      <c r="E4182" s="4" t="str">
        <f>IFERROR(__xludf.DUMMYFUNCTION("if(H4182=""pays"",vlookup(REGEXEXTRACT(C4182, ""🏘️ \w+ \w+ (.*) ✅""),'Country prepositions'!A:B, 2, 0) &amp; "" "" &amp; REGEXEXTRACT(C4182, ""🏘️ \w+ \w+ (.*) ✅"") ,  if(H4182=""quartier"",vlookup(REGEXEXTRACT(C4182, ""🏘️ \w+ \w+ (.*) ✅""),'Quartier prepositio"&amp;"ns'!A:E, 5, 0) ,  if(H4182=""region"",vlookup(REGEXEXTRACT(C4182, ""🏘️ \w+ \w+ (.*) ✅""),'Region prepositions'!B:F, 5, 0),  REGEXEXTRACT(C4182, ""🏘️ \w+ \w+ (.*) ✅""))))"),"#N/A")</f>
        <v>#N/A</v>
      </c>
      <c r="I4182" s="4" t="str">
        <f>IFERROR(__xludf.DUMMYFUNCTION("if(D4182=""variant"",  substitute(filter(Templates!E:E, Templates!A:A = F4182, Templates!B:B = G4182, Templates!C:C = H4182), ""{{}}"", E4182), B4182)"),"Vendre maison Chermignon-d'en-Bas: Trouvez le bien immobilier qui correspond idéalement à vos désirs sur ImmoScout24 - La plateforme de l'immobilier en Suisse.")</f>
        <v>Vendre maison Chermignon-d'en-Bas: Trouvez le bien immobilier qui correspond idéalement à vos désirs sur ImmoScout24 - La plateforme de l'immobilier en Suisse.</v>
      </c>
    </row>
    <row r="4183" hidden="1">
      <c r="A4183" s="5" t="s">
        <v>11467</v>
      </c>
      <c r="B4183" s="2" t="s">
        <v>11468</v>
      </c>
      <c r="C4183" s="2" t="s">
        <v>11468</v>
      </c>
      <c r="D4183" s="4" t="str">
        <f>vlookup(A4183, Sheet2!D:E, 2, 0)</f>
        <v>control</v>
      </c>
      <c r="E4183" s="4" t="str">
        <f>IFERROR(__xludf.DUMMYFUNCTION("if(H4183=""pays"",vlookup(REGEXEXTRACT(C4183, ""🏘️ \w+ \w+ (.*) ✅""),'Country prepositions'!A:B, 2, 0) &amp; "" "" &amp; REGEXEXTRACT(C4183, ""🏘️ \w+ \w+ (.*) ✅"") ,  if(H4183=""quartier"",vlookup(REGEXEXTRACT(C4183, ""🏘️ \w+ \w+ (.*) ✅""),'Quartier prepositio"&amp;"ns'!A:E, 5, 0) ,  if(H4183=""region"",vlookup(REGEXEXTRACT(C4183, ""🏘️ \w+ \w+ (.*) ✅""),'Region prepositions'!B:F, 5, 0),  REGEXEXTRACT(C4183, ""🏘️ \w+ \w+ (.*) ✅""))))"),"#N/A")</f>
        <v>#N/A</v>
      </c>
      <c r="I4183" s="4" t="str">
        <f>IFERROR(__xludf.DUMMYFUNCTION("if(D4183=""variant"",  substitute(filter(Templates!E:E, Templates!A:A = F4183, Templates!B:B = G4183, Templates!C:C = H4183), ""{{}}"", E4183), B4183)"),"Louer maison Fully: Trouvez le bien immobilier qui correspond idéalement à vos désirs sur ImmoScout24 - La plateforme de l'immobilier en Suisse.")</f>
        <v>Louer maison Fully: Trouvez le bien immobilier qui correspond idéalement à vos désirs sur ImmoScout24 - La plateforme de l'immobilier en Suisse.</v>
      </c>
    </row>
    <row r="4184" hidden="1">
      <c r="A4184" s="5" t="s">
        <v>11469</v>
      </c>
      <c r="B4184" s="2" t="s">
        <v>11470</v>
      </c>
      <c r="C4184" s="2" t="s">
        <v>11470</v>
      </c>
      <c r="D4184" s="4" t="str">
        <f>vlookup(A4184, Sheet2!D:E, 2, 0)</f>
        <v>control</v>
      </c>
      <c r="E4184" s="4" t="str">
        <f>IFERROR(__xludf.DUMMYFUNCTION("if(H4184=""pays"",vlookup(REGEXEXTRACT(C4184, ""🏘️ \w+ \w+ (.*) ✅""),'Country prepositions'!A:B, 2, 0) &amp; "" "" &amp; REGEXEXTRACT(C4184, ""🏘️ \w+ \w+ (.*) ✅"") ,  if(H4184=""quartier"",vlookup(REGEXEXTRACT(C4184, ""🏘️ \w+ \w+ (.*) ✅""),'Quartier prepositio"&amp;"ns'!A:E, 5, 0) ,  if(H4184=""region"",vlookup(REGEXEXTRACT(C4184, ""🏘️ \w+ \w+ (.*) ✅""),'Region prepositions'!B:F, 5, 0),  REGEXEXTRACT(C4184, ""🏘️ \w+ \w+ (.*) ✅""))))"),"#N/A")</f>
        <v>#N/A</v>
      </c>
      <c r="I4184" s="4" t="str">
        <f>IFERROR(__xludf.DUMMYFUNCTION("if(D4184=""variant"",  substitute(filter(Templates!E:E, Templates!A:A = F4184, Templates!B:B = G4184, Templates!C:C = H4184), ""{{}}"", E4184), B4184)"),"Louer appartement Draizes - Vauseyon (Neuchâtel): Trouvez le bien immobilier qui correspond idéalement à vos désirs sur ImmoScout24 - La plateforme de l'immobilier en Suisse.")</f>
        <v>Louer appartement Draizes - Vauseyon (Neuchâtel): Trouvez le bien immobilier qui correspond idéalement à vos désirs sur ImmoScout24 - La plateforme de l'immobilier en Suisse.</v>
      </c>
    </row>
    <row r="4185" hidden="1">
      <c r="A4185" s="5" t="s">
        <v>11471</v>
      </c>
      <c r="B4185" s="2" t="s">
        <v>11472</v>
      </c>
      <c r="C4185" s="2" t="s">
        <v>11472</v>
      </c>
      <c r="D4185" s="4" t="str">
        <f>vlookup(A4185, Sheet2!D:E, 2, 0)</f>
        <v>control</v>
      </c>
      <c r="E4185" s="4" t="str">
        <f>IFERROR(__xludf.DUMMYFUNCTION("if(H4185=""pays"",vlookup(REGEXEXTRACT(C4185, ""🏘️ \w+ \w+ (.*) ✅""),'Country prepositions'!A:B, 2, 0) &amp; "" "" &amp; REGEXEXTRACT(C4185, ""🏘️ \w+ \w+ (.*) ✅"") ,  if(H4185=""quartier"",vlookup(REGEXEXTRACT(C4185, ""🏘️ \w+ \w+ (.*) ✅""),'Quartier prepositio"&amp;"ns'!A:E, 5, 0) ,  if(H4185=""region"",vlookup(REGEXEXTRACT(C4185, ""🏘️ \w+ \w+ (.*) ✅""),'Region prepositions'!B:F, 5, 0),  REGEXEXTRACT(C4185, ""🏘️ \w+ \w+ (.*) ✅""))))"),"#N/A")</f>
        <v>#N/A</v>
      </c>
      <c r="I4185" s="4" t="str">
        <f>IFERROR(__xludf.DUMMYFUNCTION("if(D4185=""variant"",  substitute(filter(Templates!E:E, Templates!A:A = F4185, Templates!B:B = G4185, Templates!C:C = H4185), ""{{}}"", E4185), B4185)"),"Vendre appartement Chavannes-sous-Orsonnens: Trouvez le bien immobilier qui correspond idéalement à vos désirs sur ImmoScout24 - La plateforme de l'immobilier en Suisse.")</f>
        <v>Vendre appartement Chavannes-sous-Orsonnens: Trouvez le bien immobilier qui correspond idéalement à vos désirs sur ImmoScout24 - La plateforme de l'immobilier en Suisse.</v>
      </c>
    </row>
    <row r="4186" hidden="1">
      <c r="A4186" s="5" t="s">
        <v>11473</v>
      </c>
      <c r="B4186" s="2" t="s">
        <v>11474</v>
      </c>
      <c r="C4186" s="2" t="s">
        <v>11474</v>
      </c>
      <c r="D4186" s="4" t="str">
        <f>vlookup(A4186, Sheet2!D:E, 2, 0)</f>
        <v>control</v>
      </c>
      <c r="E4186" s="4" t="str">
        <f>IFERROR(__xludf.DUMMYFUNCTION("if(H4186=""pays"",vlookup(REGEXEXTRACT(C4186, ""🏘️ \w+ \w+ (.*) ✅""),'Country prepositions'!A:B, 2, 0) &amp; "" "" &amp; REGEXEXTRACT(C4186, ""🏘️ \w+ \w+ (.*) ✅"") ,  if(H4186=""quartier"",vlookup(REGEXEXTRACT(C4186, ""🏘️ \w+ \w+ (.*) ✅""),'Quartier prepositio"&amp;"ns'!A:E, 5, 0) ,  if(H4186=""region"",vlookup(REGEXEXTRACT(C4186, ""🏘️ \w+ \w+ (.*) ✅""),'Region prepositions'!B:F, 5, 0),  REGEXEXTRACT(C4186, ""🏘️ \w+ \w+ (.*) ✅""))))"),"#N/A")</f>
        <v>#N/A</v>
      </c>
      <c r="I4186" s="4" t="str">
        <f>IFERROR(__xludf.DUMMYFUNCTION("if(D4186=""variant"",  substitute(filter(Templates!E:E, Templates!A:A = F4186, Templates!B:B = G4186, Templates!C:C = H4186), ""{{}}"", E4186), B4186)"),"Louer maison Laupen - Sense: Trouvez le bien immobilier qui correspond idéalement à vos désirs sur ImmoScout24 - La plateforme de l'immobilier en Suisse.")</f>
        <v>Louer maison Laupen - Sense: Trouvez le bien immobilier qui correspond idéalement à vos désirs sur ImmoScout24 - La plateforme de l'immobilier en Suisse.</v>
      </c>
    </row>
    <row r="4187" hidden="1">
      <c r="A4187" s="5" t="s">
        <v>11475</v>
      </c>
      <c r="B4187" s="2" t="s">
        <v>11476</v>
      </c>
      <c r="C4187" s="2" t="s">
        <v>11476</v>
      </c>
      <c r="D4187" s="4" t="str">
        <f>vlookup(A4187, Sheet2!D:E, 2, 0)</f>
        <v>control</v>
      </c>
      <c r="E4187" s="4" t="str">
        <f>IFERROR(__xludf.DUMMYFUNCTION("if(H4187=""pays"",vlookup(REGEXEXTRACT(C4187, ""🏘️ \w+ \w+ (.*) ✅""),'Country prepositions'!A:B, 2, 0) &amp; "" "" &amp; REGEXEXTRACT(C4187, ""🏘️ \w+ \w+ (.*) ✅"") ,  if(H4187=""quartier"",vlookup(REGEXEXTRACT(C4187, ""🏘️ \w+ \w+ (.*) ✅""),'Quartier prepositio"&amp;"ns'!A:E, 5, 0) ,  if(H4187=""region"",vlookup(REGEXEXTRACT(C4187, ""🏘️ \w+ \w+ (.*) ✅""),'Region prepositions'!B:F, 5, 0),  REGEXEXTRACT(C4187, ""🏘️ \w+ \w+ (.*) ✅""))))"),"#N/A")</f>
        <v>#N/A</v>
      </c>
      <c r="I4187" s="4" t="str">
        <f>IFERROR(__xludf.DUMMYFUNCTION("if(D4187=""variant"",  substitute(filter(Templates!E:E, Templates!A:A = F4187, Templates!B:B = G4187, Templates!C:C = H4187), ""{{}}"", E4187), B4187)"),"Louer appartement Nidwald: Trouvez le bien immobilier qui correspond idéalement à vos désirs sur ImmoScout24 - La plateforme de l'immobilier en Suisse.")</f>
        <v>Louer appartement Nidwald: Trouvez le bien immobilier qui correspond idéalement à vos désirs sur ImmoScout24 - La plateforme de l'immobilier en Suisse.</v>
      </c>
    </row>
    <row r="4188" hidden="1">
      <c r="A4188" s="5" t="s">
        <v>11477</v>
      </c>
      <c r="B4188" s="2" t="s">
        <v>11478</v>
      </c>
      <c r="C4188" s="2" t="s">
        <v>11478</v>
      </c>
      <c r="D4188" s="4" t="str">
        <f>vlookup(A4188, Sheet2!D:E, 2, 0)</f>
        <v>control</v>
      </c>
      <c r="E4188" s="4" t="str">
        <f>IFERROR(__xludf.DUMMYFUNCTION("if(H4188=""pays"",vlookup(REGEXEXTRACT(C4188, ""🏘️ \w+ \w+ (.*) ✅""),'Country prepositions'!A:B, 2, 0) &amp; "" "" &amp; REGEXEXTRACT(C4188, ""🏘️ \w+ \w+ (.*) ✅"") ,  if(H4188=""quartier"",vlookup(REGEXEXTRACT(C4188, ""🏘️ \w+ \w+ (.*) ✅""),'Quartier prepositio"&amp;"ns'!A:E, 5, 0) ,  if(H4188=""region"",vlookup(REGEXEXTRACT(C4188, ""🏘️ \w+ \w+ (.*) ✅""),'Region prepositions'!B:F, 5, 0),  REGEXEXTRACT(C4188, ""🏘️ \w+ \w+ (.*) ✅""))))"),"#N/A")</f>
        <v>#N/A</v>
      </c>
      <c r="I4188" s="4" t="str">
        <f>IFERROR(__xludf.DUMMYFUNCTION("if(D4188=""variant"",  substitute(filter(Templates!E:E, Templates!A:A = F4188, Templates!B:B = G4188, Templates!C:C = H4188), ""{{}}"", E4188), B4188)"),"Vendre maison Canton de Nidwald: Trouvez le bien immobilier qui correspond idéalement à vos désirs sur ImmoScout24 - La plateforme de l'immobilier en Suisse.")</f>
        <v>Vendre maison Canton de Nidwald: Trouvez le bien immobilier qui correspond idéalement à vos désirs sur ImmoScout24 - La plateforme de l'immobilier en Suisse.</v>
      </c>
    </row>
    <row r="4189" hidden="1">
      <c r="A4189" s="5" t="s">
        <v>11479</v>
      </c>
      <c r="B4189" s="2" t="s">
        <v>11480</v>
      </c>
      <c r="C4189" s="2" t="s">
        <v>11480</v>
      </c>
      <c r="D4189" s="4" t="str">
        <f>vlookup(A4189, Sheet2!D:E, 2, 0)</f>
        <v>control</v>
      </c>
      <c r="E4189" s="4" t="str">
        <f>IFERROR(__xludf.DUMMYFUNCTION("if(H4189=""pays"",vlookup(REGEXEXTRACT(C4189, ""🏘️ \w+ \w+ (.*) ✅""),'Country prepositions'!A:B, 2, 0) &amp; "" "" &amp; REGEXEXTRACT(C4189, ""🏘️ \w+ \w+ (.*) ✅"") ,  if(H4189=""quartier"",vlookup(REGEXEXTRACT(C4189, ""🏘️ \w+ \w+ (.*) ✅""),'Quartier prepositio"&amp;"ns'!A:E, 5, 0) ,  if(H4189=""region"",vlookup(REGEXEXTRACT(C4189, ""🏘️ \w+ \w+ (.*) ✅""),'Region prepositions'!B:F, 5, 0),  REGEXEXTRACT(C4189, ""🏘️ \w+ \w+ (.*) ✅""))))"),"#N/A")</f>
        <v>#N/A</v>
      </c>
      <c r="I4189" s="4" t="str">
        <f>IFERROR(__xludf.DUMMYFUNCTION("if(D4189=""variant"",  substitute(filter(Templates!E:E, Templates!A:A = F4189, Templates!B:B = G4189, Templates!C:C = H4189), ""{{}}"", E4189), B4189)"),"Louer appartement Riveo: Trouvez le bien immobilier qui correspond idéalement à vos désirs sur ImmoScout24 - La plateforme de l'immobilier en Suisse.")</f>
        <v>Louer appartement Riveo: Trouvez le bien immobilier qui correspond idéalement à vos désirs sur ImmoScout24 - La plateforme de l'immobilier en Suisse.</v>
      </c>
    </row>
    <row r="4190" hidden="1">
      <c r="A4190" s="5" t="s">
        <v>11481</v>
      </c>
      <c r="B4190" s="2" t="s">
        <v>11482</v>
      </c>
      <c r="C4190" s="2" t="s">
        <v>11482</v>
      </c>
      <c r="D4190" s="4" t="str">
        <f>vlookup(A4190, Sheet2!D:E, 2, 0)</f>
        <v>control</v>
      </c>
      <c r="E4190" s="4" t="str">
        <f>IFERROR(__xludf.DUMMYFUNCTION("if(H4190=""pays"",vlookup(REGEXEXTRACT(C4190, ""🏘️ \w+ \w+ (.*) ✅""),'Country prepositions'!A:B, 2, 0) &amp; "" "" &amp; REGEXEXTRACT(C4190, ""🏘️ \w+ \w+ (.*) ✅"") ,  if(H4190=""quartier"",vlookup(REGEXEXTRACT(C4190, ""🏘️ \w+ \w+ (.*) ✅""),'Quartier prepositio"&amp;"ns'!A:E, 5, 0) ,  if(H4190=""region"",vlookup(REGEXEXTRACT(C4190, ""🏘️ \w+ \w+ (.*) ✅""),'Region prepositions'!B:F, 5, 0),  REGEXEXTRACT(C4190, ""🏘️ \w+ \w+ (.*) ✅""))))"),"#N/A")</f>
        <v>#N/A</v>
      </c>
      <c r="I4190" s="4" t="str">
        <f>IFERROR(__xludf.DUMMYFUNCTION("if(D4190=""variant"",  substitute(filter(Templates!E:E, Templates!A:A = F4190, Templates!B:B = G4190, Templates!C:C = H4190), ""{{}}"", E4190), B4190)"),"Vendre maison Icogne: Trouvez le bien immobilier qui correspond idéalement à vos désirs sur ImmoScout24 - La plateforme de l'immobilier en Suisse.")</f>
        <v>Vendre maison Icogne: Trouvez le bien immobilier qui correspond idéalement à vos désirs sur ImmoScout24 - La plateforme de l'immobilier en Suisse.</v>
      </c>
    </row>
    <row r="4191" hidden="1">
      <c r="A4191" s="5" t="s">
        <v>11483</v>
      </c>
      <c r="B4191" s="2" t="s">
        <v>11484</v>
      </c>
      <c r="C4191" s="2" t="s">
        <v>11484</v>
      </c>
      <c r="D4191" s="4" t="str">
        <f>vlookup(A4191, Sheet2!D:E, 2, 0)</f>
        <v>control</v>
      </c>
      <c r="E4191" s="4" t="str">
        <f>IFERROR(__xludf.DUMMYFUNCTION("if(H4191=""pays"",vlookup(REGEXEXTRACT(C4191, ""🏘️ \w+ \w+ (.*) ✅""),'Country prepositions'!A:B, 2, 0) &amp; "" "" &amp; REGEXEXTRACT(C4191, ""🏘️ \w+ \w+ (.*) ✅"") ,  if(H4191=""quartier"",vlookup(REGEXEXTRACT(C4191, ""🏘️ \w+ \w+ (.*) ✅""),'Quartier prepositio"&amp;"ns'!A:E, 5, 0) ,  if(H4191=""region"",vlookup(REGEXEXTRACT(C4191, ""🏘️ \w+ \w+ (.*) ✅""),'Region prepositions'!B:F, 5, 0),  REGEXEXTRACT(C4191, ""🏘️ \w+ \w+ (.*) ✅""))))"),"#N/A")</f>
        <v>#N/A</v>
      </c>
      <c r="I4191" s="4" t="str">
        <f>IFERROR(__xludf.DUMMYFUNCTION("if(D4191=""variant"",  substitute(filter(Templates!E:E, Templates!A:A = F4191, Templates!B:B = G4191, Templates!C:C = H4191), ""{{}}"", E4191), B4191)"),"Louer appartement Chézard-St-Martin: Trouvez le bien immobilier qui correspond idéalement à vos désirs sur ImmoScout24 - La plateforme de l'immobilier en Suisse.")</f>
        <v>Louer appartement Chézard-St-Martin: Trouvez le bien immobilier qui correspond idéalement à vos désirs sur ImmoScout24 - La plateforme de l'immobilier en Suisse.</v>
      </c>
    </row>
    <row r="4192" hidden="1">
      <c r="A4192" s="5" t="s">
        <v>11485</v>
      </c>
      <c r="B4192" s="2" t="s">
        <v>11486</v>
      </c>
      <c r="C4192" s="2" t="s">
        <v>11486</v>
      </c>
      <c r="D4192" s="4" t="str">
        <f>vlookup(A4192, Sheet2!D:E, 2, 0)</f>
        <v>control</v>
      </c>
      <c r="E4192" s="4" t="str">
        <f>IFERROR(__xludf.DUMMYFUNCTION("if(H4192=""pays"",vlookup(REGEXEXTRACT(C4192, ""🏘️ \w+ \w+ (.*) ✅""),'Country prepositions'!A:B, 2, 0) &amp; "" "" &amp; REGEXEXTRACT(C4192, ""🏘️ \w+ \w+ (.*) ✅"") ,  if(H4192=""quartier"",vlookup(REGEXEXTRACT(C4192, ""🏘️ \w+ \w+ (.*) ✅""),'Quartier prepositio"&amp;"ns'!A:E, 5, 0) ,  if(H4192=""region"",vlookup(REGEXEXTRACT(C4192, ""🏘️ \w+ \w+ (.*) ✅""),'Region prepositions'!B:F, 5, 0),  REGEXEXTRACT(C4192, ""🏘️ \w+ \w+ (.*) ✅""))))"),"#N/A")</f>
        <v>#N/A</v>
      </c>
      <c r="I4192" s="4" t="str">
        <f>IFERROR(__xludf.DUMMYFUNCTION("if(D4192=""variant"",  substitute(filter(Templates!E:E, Templates!A:A = F4192, Templates!B:B = G4192, Templates!C:C = H4192), ""{{}}"", E4192), B4192)"),"Vendre appartement St-Pierre-de-Clages: Trouvez le bien immobilier qui correspond idéalement à vos désirs sur ImmoScout24 - La plateforme de l'immobilier en Suisse.")</f>
        <v>Vendre appartement St-Pierre-de-Clages: Trouvez le bien immobilier qui correspond idéalement à vos désirs sur ImmoScout24 - La plateforme de l'immobilier en Suisse.</v>
      </c>
    </row>
    <row r="4193" hidden="1">
      <c r="A4193" s="5" t="s">
        <v>11487</v>
      </c>
      <c r="B4193" s="2" t="s">
        <v>11488</v>
      </c>
      <c r="C4193" s="2" t="s">
        <v>11488</v>
      </c>
      <c r="D4193" s="4" t="str">
        <f>vlookup(A4193, Sheet2!D:E, 2, 0)</f>
        <v>control</v>
      </c>
      <c r="E4193" s="4" t="str">
        <f>IFERROR(__xludf.DUMMYFUNCTION("if(H4193=""pays"",vlookup(REGEXEXTRACT(C4193, ""🏘️ \w+ \w+ (.*) ✅""),'Country prepositions'!A:B, 2, 0) &amp; "" "" &amp; REGEXEXTRACT(C4193, ""🏘️ \w+ \w+ (.*) ✅"") ,  if(H4193=""quartier"",vlookup(REGEXEXTRACT(C4193, ""🏘️ \w+ \w+ (.*) ✅""),'Quartier prepositio"&amp;"ns'!A:E, 5, 0) ,  if(H4193=""region"",vlookup(REGEXEXTRACT(C4193, ""🏘️ \w+ \w+ (.*) ✅""),'Region prepositions'!B:F, 5, 0),  REGEXEXTRACT(C4193, ""🏘️ \w+ \w+ (.*) ✅""))))"),"#N/A")</f>
        <v>#N/A</v>
      </c>
      <c r="I4193" s="4" t="str">
        <f>IFERROR(__xludf.DUMMYFUNCTION("if(D4193=""variant"",  substitute(filter(Templates!E:E, Templates!A:A = F4193, Templates!B:B = G4193, Templates!C:C = H4193), ""{{}}"", E4193), B4193)"),"Vendre maison Ernen: Trouvez le bien immobilier qui correspond idéalement à vos désirs sur ImmoScout24 - La plateforme de l'immobilier en Suisse.")</f>
        <v>Vendre maison Ernen: Trouvez le bien immobilier qui correspond idéalement à vos désirs sur ImmoScout24 - La plateforme de l'immobilier en Suisse.</v>
      </c>
    </row>
    <row r="4194" hidden="1">
      <c r="A4194" s="5" t="s">
        <v>11489</v>
      </c>
      <c r="B4194" s="2" t="s">
        <v>11490</v>
      </c>
      <c r="C4194" s="2" t="s">
        <v>11490</v>
      </c>
      <c r="D4194" s="4" t="str">
        <f>vlookup(A4194, Sheet2!D:E, 2, 0)</f>
        <v>control</v>
      </c>
      <c r="E4194" s="4" t="str">
        <f>IFERROR(__xludf.DUMMYFUNCTION("if(H4194=""pays"",vlookup(REGEXEXTRACT(C4194, ""🏘️ \w+ \w+ (.*) ✅""),'Country prepositions'!A:B, 2, 0) &amp; "" "" &amp; REGEXEXTRACT(C4194, ""🏘️ \w+ \w+ (.*) ✅"") ,  if(H4194=""quartier"",vlookup(REGEXEXTRACT(C4194, ""🏘️ \w+ \w+ (.*) ✅""),'Quartier prepositio"&amp;"ns'!A:E, 5, 0) ,  if(H4194=""region"",vlookup(REGEXEXTRACT(C4194, ""🏘️ \w+ \w+ (.*) ✅""),'Region prepositions'!B:F, 5, 0),  REGEXEXTRACT(C4194, ""🏘️ \w+ \w+ (.*) ✅""))))"),"#N/A")</f>
        <v>#N/A</v>
      </c>
      <c r="I4194" s="4" t="str">
        <f>IFERROR(__xludf.DUMMYFUNCTION("if(D4194=""variant"",  substitute(filter(Templates!E:E, Templates!A:A = F4194, Templates!B:B = G4194, Templates!C:C = H4194), ""{{}}"", E4194), B4194)"),"Vendre appartement Villarbeney: Trouvez le bien immobilier qui correspond idéalement à vos désirs sur ImmoScout24 - La plateforme de l'immobilier en Suisse.")</f>
        <v>Vendre appartement Villarbeney: Trouvez le bien immobilier qui correspond idéalement à vos désirs sur ImmoScout24 - La plateforme de l'immobilier en Suisse.</v>
      </c>
    </row>
    <row r="4195" hidden="1">
      <c r="A4195" s="5" t="s">
        <v>11491</v>
      </c>
      <c r="B4195" s="2" t="s">
        <v>11492</v>
      </c>
      <c r="C4195" s="2" t="s">
        <v>11492</v>
      </c>
      <c r="D4195" s="4" t="str">
        <f>vlookup(A4195, Sheet2!D:E, 2, 0)</f>
        <v>control</v>
      </c>
      <c r="E4195" s="4" t="str">
        <f>IFERROR(__xludf.DUMMYFUNCTION("if(H4195=""pays"",vlookup(REGEXEXTRACT(C4195, ""🏘️ \w+ \w+ (.*) ✅""),'Country prepositions'!A:B, 2, 0) &amp; "" "" &amp; REGEXEXTRACT(C4195, ""🏘️ \w+ \w+ (.*) ✅"") ,  if(H4195=""quartier"",vlookup(REGEXEXTRACT(C4195, ""🏘️ \w+ \w+ (.*) ✅""),'Quartier prepositio"&amp;"ns'!A:E, 5, 0) ,  if(H4195=""region"",vlookup(REGEXEXTRACT(C4195, ""🏘️ \w+ \w+ (.*) ✅""),'Region prepositions'!B:F, 5, 0),  REGEXEXTRACT(C4195, ""🏘️ \w+ \w+ (.*) ✅""))))"),"#N/A")</f>
        <v>#N/A</v>
      </c>
      <c r="I4195" s="4" t="str">
        <f>IFERROR(__xludf.DUMMYFUNCTION("if(D4195=""variant"",  substitute(filter(Templates!E:E, Templates!A:A = F4195, Templates!B:B = G4195, Templates!C:C = H4195), ""{{}}"", E4195), B4195)"),"Vendre maison Liebefeld (Köniz): Trouvez le bien immobilier qui correspond idéalement à vos désirs sur ImmoScout24 - La plateforme de l'immobilier en Suisse.")</f>
        <v>Vendre maison Liebefeld (Köniz): Trouvez le bien immobilier qui correspond idéalement à vos désirs sur ImmoScout24 - La plateforme de l'immobilier en Suisse.</v>
      </c>
    </row>
    <row r="4196" hidden="1">
      <c r="A4196" s="5" t="s">
        <v>11493</v>
      </c>
      <c r="B4196" s="2" t="s">
        <v>11494</v>
      </c>
      <c r="C4196" s="2" t="s">
        <v>11494</v>
      </c>
      <c r="D4196" s="4" t="str">
        <f>vlookup(A4196, Sheet2!D:E, 2, 0)</f>
        <v>control</v>
      </c>
      <c r="E4196" s="4" t="str">
        <f>IFERROR(__xludf.DUMMYFUNCTION("if(H4196=""pays"",vlookup(REGEXEXTRACT(C4196, ""🏘️ \w+ \w+ (.*) ✅""),'Country prepositions'!A:B, 2, 0) &amp; "" "" &amp; REGEXEXTRACT(C4196, ""🏘️ \w+ \w+ (.*) ✅"") ,  if(H4196=""quartier"",vlookup(REGEXEXTRACT(C4196, ""🏘️ \w+ \w+ (.*) ✅""),'Quartier prepositio"&amp;"ns'!A:E, 5, 0) ,  if(H4196=""region"",vlookup(REGEXEXTRACT(C4196, ""🏘️ \w+ \w+ (.*) ✅""),'Region prepositions'!B:F, 5, 0),  REGEXEXTRACT(C4196, ""🏘️ \w+ \w+ (.*) ✅""))))"),"#N/A")</f>
        <v>#N/A</v>
      </c>
      <c r="I4196" s="4" t="str">
        <f>IFERROR(__xludf.DUMMYFUNCTION("if(D4196=""variant"",  substitute(filter(Templates!E:E, Templates!A:A = F4196, Templates!B:B = G4196, Templates!C:C = H4196), ""{{}}"", E4196), B4196)"),"Louer appartement Montoie - Bourdonette (Lausanne): Trouvez le bien immobilier qui correspond idéalement à vos désirs sur ImmoScout24 - La plateforme de l'immobilier en Suisse.")</f>
        <v>Louer appartement Montoie - Bourdonette (Lausanne): Trouvez le bien immobilier qui correspond idéalement à vos désirs sur ImmoScout24 - La plateforme de l'immobilier en Suisse.</v>
      </c>
    </row>
    <row r="4197" hidden="1">
      <c r="A4197" s="5" t="s">
        <v>11495</v>
      </c>
      <c r="B4197" s="2" t="s">
        <v>11496</v>
      </c>
      <c r="C4197" s="2" t="s">
        <v>11496</v>
      </c>
      <c r="D4197" s="4" t="str">
        <f>vlookup(A4197, Sheet2!D:E, 2, 0)</f>
        <v>control</v>
      </c>
      <c r="E4197" s="4" t="str">
        <f>IFERROR(__xludf.DUMMYFUNCTION("if(H4197=""pays"",vlookup(REGEXEXTRACT(C4197, ""🏘️ \w+ \w+ (.*) ✅""),'Country prepositions'!A:B, 2, 0) &amp; "" "" &amp; REGEXEXTRACT(C4197, ""🏘️ \w+ \w+ (.*) ✅"") ,  if(H4197=""quartier"",vlookup(REGEXEXTRACT(C4197, ""🏘️ \w+ \w+ (.*) ✅""),'Quartier prepositio"&amp;"ns'!A:E, 5, 0) ,  if(H4197=""region"",vlookup(REGEXEXTRACT(C4197, ""🏘️ \w+ \w+ (.*) ✅""),'Region prepositions'!B:F, 5, 0),  REGEXEXTRACT(C4197, ""🏘️ \w+ \w+ (.*) ✅""))))"),"#N/A")</f>
        <v>#N/A</v>
      </c>
      <c r="I4197" s="4" t="str">
        <f>IFERROR(__xludf.DUMMYFUNCTION("if(D4197=""variant"",  substitute(filter(Templates!E:E, Templates!A:A = F4197, Templates!B:B = G4197, Templates!C:C = H4197), ""{{}}"", E4197), B4197)"),"Louer appartement Ferlens VD: Trouvez le bien immobilier qui correspond idéalement à vos désirs sur ImmoScout24 - La plateforme de l'immobilier en Suisse.")</f>
        <v>Louer appartement Ferlens VD: Trouvez le bien immobilier qui correspond idéalement à vos désirs sur ImmoScout24 - La plateforme de l'immobilier en Suisse.</v>
      </c>
    </row>
    <row r="4198" hidden="1">
      <c r="A4198" s="5" t="s">
        <v>11497</v>
      </c>
      <c r="B4198" s="2" t="s">
        <v>11498</v>
      </c>
      <c r="C4198" s="2" t="s">
        <v>11498</v>
      </c>
      <c r="D4198" s="4" t="str">
        <f>vlookup(A4198, Sheet2!D:E, 2, 0)</f>
        <v>control</v>
      </c>
      <c r="E4198" s="4" t="str">
        <f>IFERROR(__xludf.DUMMYFUNCTION("if(H4198=""pays"",vlookup(REGEXEXTRACT(C4198, ""🏘️ \w+ \w+ (.*) ✅""),'Country prepositions'!A:B, 2, 0) &amp; "" "" &amp; REGEXEXTRACT(C4198, ""🏘️ \w+ \w+ (.*) ✅"") ,  if(H4198=""quartier"",vlookup(REGEXEXTRACT(C4198, ""🏘️ \w+ \w+ (.*) ✅""),'Quartier prepositio"&amp;"ns'!A:E, 5, 0) ,  if(H4198=""region"",vlookup(REGEXEXTRACT(C4198, ""🏘️ \w+ \w+ (.*) ✅""),'Region prepositions'!B:F, 5, 0),  REGEXEXTRACT(C4198, ""🏘️ \w+ \w+ (.*) ✅""))))"),"#N/A")</f>
        <v>#N/A</v>
      </c>
      <c r="I4198" s="4" t="str">
        <f>IFERROR(__xludf.DUMMYFUNCTION("if(D4198=""variant"",  substitute(filter(Templates!E:E, Templates!A:A = F4198, Templates!B:B = G4198, Templates!C:C = H4198), ""{{}}"", E4198), B4198)"),"Vendre maison Ecublens VD: Trouvez le bien immobilier qui correspond idéalement à vos désirs sur ImmoScout24 - La plateforme de l'immobilier en Suisse.")</f>
        <v>Vendre maison Ecublens VD: Trouvez le bien immobilier qui correspond idéalement à vos désirs sur ImmoScout24 - La plateforme de l'immobilier en Suisse.</v>
      </c>
    </row>
    <row r="4199" hidden="1">
      <c r="A4199" s="5" t="s">
        <v>11499</v>
      </c>
      <c r="B4199" s="2" t="s">
        <v>11500</v>
      </c>
      <c r="C4199" s="2" t="s">
        <v>11500</v>
      </c>
      <c r="D4199" s="4" t="str">
        <f>vlookup(A4199, Sheet2!D:E, 2, 0)</f>
        <v>control</v>
      </c>
      <c r="E4199" s="4" t="str">
        <f>IFERROR(__xludf.DUMMYFUNCTION("if(H4199=""pays"",vlookup(REGEXEXTRACT(C4199, ""🏘️ \w+ \w+ (.*) ✅""),'Country prepositions'!A:B, 2, 0) &amp; "" "" &amp; REGEXEXTRACT(C4199, ""🏘️ \w+ \w+ (.*) ✅"") ,  if(H4199=""quartier"",vlookup(REGEXEXTRACT(C4199, ""🏘️ \w+ \w+ (.*) ✅""),'Quartier prepositio"&amp;"ns'!A:E, 5, 0) ,  if(H4199=""region"",vlookup(REGEXEXTRACT(C4199, ""🏘️ \w+ \w+ (.*) ✅""),'Region prepositions'!B:F, 5, 0),  REGEXEXTRACT(C4199, ""🏘️ \w+ \w+ (.*) ✅""))))"),"#N/A")</f>
        <v>#N/A</v>
      </c>
      <c r="I4199" s="4" t="str">
        <f>IFERROR(__xludf.DUMMYFUNCTION("if(D4199=""variant"",  substitute(filter(Templates!E:E, Templates!A:A = F4199, Templates!B:B = G4199, Templates!C:C = H4199), ""{{}}"", E4199), B4199)"),"Louer maison Sous-Gare - Ouchy (Lausanne): Trouvez le bien immobilier qui correspond idéalement à vos désirs sur ImmoScout24 - La plateforme de l'immobilier en Suisse.")</f>
        <v>Louer maison Sous-Gare - Ouchy (Lausanne): Trouvez le bien immobilier qui correspond idéalement à vos désirs sur ImmoScout24 - La plateforme de l'immobilier en Suisse.</v>
      </c>
    </row>
    <row r="4200" hidden="1">
      <c r="A4200" s="5" t="s">
        <v>11501</v>
      </c>
      <c r="B4200" s="2" t="s">
        <v>11502</v>
      </c>
      <c r="C4200" s="2" t="s">
        <v>11502</v>
      </c>
      <c r="D4200" s="4" t="str">
        <f>vlookup(A4200, Sheet2!D:E, 2, 0)</f>
        <v>control</v>
      </c>
      <c r="E4200" s="4" t="str">
        <f>IFERROR(__xludf.DUMMYFUNCTION("if(H4200=""pays"",vlookup(REGEXEXTRACT(C4200, ""🏘️ \w+ \w+ (.*) ✅""),'Country prepositions'!A:B, 2, 0) &amp; "" "" &amp; REGEXEXTRACT(C4200, ""🏘️ \w+ \w+ (.*) ✅"") ,  if(H4200=""quartier"",vlookup(REGEXEXTRACT(C4200, ""🏘️ \w+ \w+ (.*) ✅""),'Quartier prepositio"&amp;"ns'!A:E, 5, 0) ,  if(H4200=""region"",vlookup(REGEXEXTRACT(C4200, ""🏘️ \w+ \w+ (.*) ✅""),'Region prepositions'!B:F, 5, 0),  REGEXEXTRACT(C4200, ""🏘️ \w+ \w+ (.*) ✅""))))"),"#N/A")</f>
        <v>#N/A</v>
      </c>
      <c r="I4200" s="4" t="str">
        <f>IFERROR(__xludf.DUMMYFUNCTION("if(D4200=""variant"",  substitute(filter(Templates!E:E, Templates!A:A = F4200, Templates!B:B = G4200, Templates!C:C = H4200), ""{{}}"", E4200), B4200)"),"Vendre appartement Chancy: Trouvez le bien immobilier qui correspond idéalement à vos désirs sur ImmoScout24 - La plateforme de l'immobilier en Suisse.")</f>
        <v>Vendre appartement Chancy: Trouvez le bien immobilier qui correspond idéalement à vos désirs sur ImmoScout24 - La plateforme de l'immobilier en Suisse.</v>
      </c>
    </row>
    <row r="4201" hidden="1">
      <c r="A4201" s="5" t="s">
        <v>11503</v>
      </c>
      <c r="B4201" s="2" t="s">
        <v>11504</v>
      </c>
      <c r="C4201" s="2" t="s">
        <v>11504</v>
      </c>
      <c r="D4201" s="4" t="str">
        <f>vlookup(A4201, Sheet2!D:E, 2, 0)</f>
        <v>control</v>
      </c>
      <c r="E4201" s="4" t="str">
        <f>IFERROR(__xludf.DUMMYFUNCTION("if(H4201=""pays"",vlookup(REGEXEXTRACT(C4201, ""🏘️ \w+ \w+ (.*) ✅""),'Country prepositions'!A:B, 2, 0) &amp; "" "" &amp; REGEXEXTRACT(C4201, ""🏘️ \w+ \w+ (.*) ✅"") ,  if(H4201=""quartier"",vlookup(REGEXEXTRACT(C4201, ""🏘️ \w+ \w+ (.*) ✅""),'Quartier prepositio"&amp;"ns'!A:E, 5, 0) ,  if(H4201=""region"",vlookup(REGEXEXTRACT(C4201, ""🏘️ \w+ \w+ (.*) ✅""),'Region prepositions'!B:F, 5, 0),  REGEXEXTRACT(C4201, ""🏘️ \w+ \w+ (.*) ✅""))))"),"#N/A")</f>
        <v>#N/A</v>
      </c>
      <c r="I4201" s="4" t="str">
        <f>IFERROR(__xludf.DUMMYFUNCTION("if(D4201=""variant"",  substitute(filter(Templates!E:E, Templates!A:A = F4201, Templates!B:B = G4201, Templates!C:C = H4201), ""{{}}"", E4201), B4201)"),"Louer appartement Montet (Glâne): Trouvez le bien immobilier qui correspond idéalement à vos désirs sur ImmoScout24 - La plateforme de l'immobilier en Suisse.")</f>
        <v>Louer appartement Montet (Glâne): Trouvez le bien immobilier qui correspond idéalement à vos désirs sur ImmoScout24 - La plateforme de l'immobilier en Suisse.</v>
      </c>
    </row>
    <row r="4202" hidden="1">
      <c r="A4202" s="5" t="s">
        <v>11505</v>
      </c>
      <c r="B4202" s="2" t="s">
        <v>11506</v>
      </c>
      <c r="C4202" s="2" t="s">
        <v>11506</v>
      </c>
      <c r="D4202" s="4" t="str">
        <f>vlookup(A4202, Sheet2!D:E, 2, 0)</f>
        <v>control</v>
      </c>
      <c r="E4202" s="4" t="str">
        <f>IFERROR(__xludf.DUMMYFUNCTION("if(H4202=""pays"",vlookup(REGEXEXTRACT(C4202, ""🏘️ \w+ \w+ (.*) ✅""),'Country prepositions'!A:B, 2, 0) &amp; "" "" &amp; REGEXEXTRACT(C4202, ""🏘️ \w+ \w+ (.*) ✅"") ,  if(H4202=""quartier"",vlookup(REGEXEXTRACT(C4202, ""🏘️ \w+ \w+ (.*) ✅""),'Quartier prepositio"&amp;"ns'!A:E, 5, 0) ,  if(H4202=""region"",vlookup(REGEXEXTRACT(C4202, ""🏘️ \w+ \w+ (.*) ✅""),'Region prepositions'!B:F, 5, 0),  REGEXEXTRACT(C4202, ""🏘️ \w+ \w+ (.*) ✅""))))"),"#N/A")</f>
        <v>#N/A</v>
      </c>
      <c r="I4202" s="4" t="str">
        <f>IFERROR(__xludf.DUMMYFUNCTION("if(D4202=""variant"",  substitute(filter(Templates!E:E, Templates!A:A = F4202, Templates!B:B = G4202, Templates!C:C = H4202), ""{{}}"", E4202), B4202)"),"Louer appartement Bôle: Trouvez le bien immobilier qui correspond idéalement à vos désirs sur ImmoScout24 - La plateforme de l'immobilier en Suisse.")</f>
        <v>Louer appartement Bôle: Trouvez le bien immobilier qui correspond idéalement à vos désirs sur ImmoScout24 - La plateforme de l'immobilier en Suisse.</v>
      </c>
    </row>
    <row r="4203" hidden="1">
      <c r="A4203" s="5" t="s">
        <v>11507</v>
      </c>
      <c r="B4203" s="2" t="s">
        <v>11508</v>
      </c>
      <c r="C4203" s="2" t="s">
        <v>11508</v>
      </c>
      <c r="D4203" s="4" t="str">
        <f>vlookup(A4203, Sheet2!D:E, 2, 0)</f>
        <v>control</v>
      </c>
      <c r="E4203" s="4" t="str">
        <f>IFERROR(__xludf.DUMMYFUNCTION("if(H4203=""pays"",vlookup(REGEXEXTRACT(C4203, ""🏘️ \w+ \w+ (.*) ✅""),'Country prepositions'!A:B, 2, 0) &amp; "" "" &amp; REGEXEXTRACT(C4203, ""🏘️ \w+ \w+ (.*) ✅"") ,  if(H4203=""quartier"",vlookup(REGEXEXTRACT(C4203, ""🏘️ \w+ \w+ (.*) ✅""),'Quartier prepositio"&amp;"ns'!A:E, 5, 0) ,  if(H4203=""region"",vlookup(REGEXEXTRACT(C4203, ""🏘️ \w+ \w+ (.*) ✅""),'Region prepositions'!B:F, 5, 0),  REGEXEXTRACT(C4203, ""🏘️ \w+ \w+ (.*) ✅""))))"),"#N/A")</f>
        <v>#N/A</v>
      </c>
      <c r="I4203" s="4" t="str">
        <f>IFERROR(__xludf.DUMMYFUNCTION("if(D4203=""variant"",  substitute(filter(Templates!E:E, Templates!A:A = F4203, Templates!B:B = G4203, Templates!C:C = H4203), ""{{}}"", E4203), B4203)"),"Louer appartement Oftringen: Trouvez le bien immobilier qui correspond idéalement à vos désirs sur ImmoScout24 - La plateforme de l'immobilier en Suisse.")</f>
        <v>Louer appartement Oftringen: Trouvez le bien immobilier qui correspond idéalement à vos désirs sur ImmoScout24 - La plateforme de l'immobilier en Suisse.</v>
      </c>
    </row>
    <row r="4204" hidden="1">
      <c r="A4204" s="5" t="s">
        <v>11509</v>
      </c>
      <c r="B4204" s="2" t="s">
        <v>11510</v>
      </c>
      <c r="C4204" s="2" t="s">
        <v>11510</v>
      </c>
      <c r="D4204" s="4" t="str">
        <f>vlookup(A4204, Sheet2!D:E, 2, 0)</f>
        <v>control</v>
      </c>
      <c r="E4204" s="4" t="str">
        <f>IFERROR(__xludf.DUMMYFUNCTION("if(H4204=""pays"",vlookup(REGEXEXTRACT(C4204, ""🏘️ \w+ \w+ (.*) ✅""),'Country prepositions'!A:B, 2, 0) &amp; "" "" &amp; REGEXEXTRACT(C4204, ""🏘️ \w+ \w+ (.*) ✅"") ,  if(H4204=""quartier"",vlookup(REGEXEXTRACT(C4204, ""🏘️ \w+ \w+ (.*) ✅""),'Quartier prepositio"&amp;"ns'!A:E, 5, 0) ,  if(H4204=""region"",vlookup(REGEXEXTRACT(C4204, ""🏘️ \w+ \w+ (.*) ✅""),'Region prepositions'!B:F, 5, 0),  REGEXEXTRACT(C4204, ""🏘️ \w+ \w+ (.*) ✅""))))"),"#N/A")</f>
        <v>#N/A</v>
      </c>
      <c r="I4204" s="4" t="str">
        <f>IFERROR(__xludf.DUMMYFUNCTION("if(D4204=""variant"",  substitute(filter(Templates!E:E, Templates!A:A = F4204, Templates!B:B = G4204, Templates!C:C = H4204), ""{{}}"", E4204), B4204)"),"Louer appartement Vuissens: Trouvez le bien immobilier qui correspond idéalement à vos désirs sur ImmoScout24 - La plateforme de l'immobilier en Suisse.")</f>
        <v>Louer appartement Vuissens: Trouvez le bien immobilier qui correspond idéalement à vos désirs sur ImmoScout24 - La plateforme de l'immobilier en Suisse.</v>
      </c>
    </row>
    <row r="4205" hidden="1">
      <c r="A4205" s="5" t="s">
        <v>11511</v>
      </c>
      <c r="B4205" s="2" t="s">
        <v>11512</v>
      </c>
      <c r="C4205" s="2" t="s">
        <v>11512</v>
      </c>
      <c r="D4205" s="4" t="str">
        <f>vlookup(A4205, Sheet2!D:E, 2, 0)</f>
        <v>control</v>
      </c>
      <c r="E4205" s="4" t="str">
        <f>IFERROR(__xludf.DUMMYFUNCTION("if(H4205=""pays"",vlookup(REGEXEXTRACT(C4205, ""🏘️ \w+ \w+ (.*) ✅""),'Country prepositions'!A:B, 2, 0) &amp; "" "" &amp; REGEXEXTRACT(C4205, ""🏘️ \w+ \w+ (.*) ✅"") ,  if(H4205=""quartier"",vlookup(REGEXEXTRACT(C4205, ""🏘️ \w+ \w+ (.*) ✅""),'Quartier prepositio"&amp;"ns'!A:E, 5, 0) ,  if(H4205=""region"",vlookup(REGEXEXTRACT(C4205, ""🏘️ \w+ \w+ (.*) ✅""),'Region prepositions'!B:F, 5, 0),  REGEXEXTRACT(C4205, ""🏘️ \w+ \w+ (.*) ✅""))))"),"#N/A")</f>
        <v>#N/A</v>
      </c>
      <c r="I4205" s="4" t="str">
        <f>IFERROR(__xludf.DUMMYFUNCTION("if(D4205=""variant"",  substitute(filter(Templates!E:E, Templates!A:A = F4205, Templates!B:B = G4205, Templates!C:C = H4205), ""{{}}"", E4205), B4205)"),"Louer appartement Lauterbrunnen: Trouvez le bien immobilier qui correspond idéalement à vos désirs sur ImmoScout24 - La plateforme de l'immobilier en Suisse.")</f>
        <v>Louer appartement Lauterbrunnen: Trouvez le bien immobilier qui correspond idéalement à vos désirs sur ImmoScout24 - La plateforme de l'immobilier en Suisse.</v>
      </c>
    </row>
    <row r="4206" hidden="1">
      <c r="A4206" s="5" t="s">
        <v>11513</v>
      </c>
      <c r="B4206" s="2" t="s">
        <v>11514</v>
      </c>
      <c r="C4206" s="2" t="s">
        <v>11514</v>
      </c>
      <c r="D4206" s="4" t="str">
        <f>vlookup(A4206, Sheet2!D:E, 2, 0)</f>
        <v>control</v>
      </c>
      <c r="E4206" s="4" t="str">
        <f>IFERROR(__xludf.DUMMYFUNCTION("if(H4206=""pays"",vlookup(REGEXEXTRACT(C4206, ""🏘️ \w+ \w+ (.*) ✅""),'Country prepositions'!A:B, 2, 0) &amp; "" "" &amp; REGEXEXTRACT(C4206, ""🏘️ \w+ \w+ (.*) ✅"") ,  if(H4206=""quartier"",vlookup(REGEXEXTRACT(C4206, ""🏘️ \w+ \w+ (.*) ✅""),'Quartier prepositio"&amp;"ns'!A:E, 5, 0) ,  if(H4206=""region"",vlookup(REGEXEXTRACT(C4206, ""🏘️ \w+ \w+ (.*) ✅""),'Region prepositions'!B:F, 5, 0),  REGEXEXTRACT(C4206, ""🏘️ \w+ \w+ (.*) ✅""))))"),"#N/A")</f>
        <v>#N/A</v>
      </c>
      <c r="I4206" s="4" t="str">
        <f>IFERROR(__xludf.DUMMYFUNCTION("if(D4206=""variant"",  substitute(filter(Templates!E:E, Templates!A:A = F4206, Templates!B:B = G4206, Templates!C:C = H4206), ""{{}}"", E4206), B4206)"),"Louer appartement Thayngen: Trouvez le bien immobilier qui correspond idéalement à vos désirs sur ImmoScout24 - La plateforme de l'immobilier en Suisse.")</f>
        <v>Louer appartement Thayngen: Trouvez le bien immobilier qui correspond idéalement à vos désirs sur ImmoScout24 - La plateforme de l'immobilier en Suisse.</v>
      </c>
    </row>
    <row r="4207" hidden="1">
      <c r="A4207" s="5" t="s">
        <v>11515</v>
      </c>
      <c r="B4207" s="2" t="s">
        <v>11516</v>
      </c>
      <c r="C4207" s="2" t="s">
        <v>11516</v>
      </c>
      <c r="D4207" s="4" t="str">
        <f>vlookup(A4207, Sheet2!D:E, 2, 0)</f>
        <v>control</v>
      </c>
      <c r="E4207" s="4" t="str">
        <f>IFERROR(__xludf.DUMMYFUNCTION("if(H4207=""pays"",vlookup(REGEXEXTRACT(C4207, ""🏘️ \w+ \w+ (.*) ✅""),'Country prepositions'!A:B, 2, 0) &amp; "" "" &amp; REGEXEXTRACT(C4207, ""🏘️ \w+ \w+ (.*) ✅"") ,  if(H4207=""quartier"",vlookup(REGEXEXTRACT(C4207, ""🏘️ \w+ \w+ (.*) ✅""),'Quartier prepositio"&amp;"ns'!A:E, 5, 0) ,  if(H4207=""region"",vlookup(REGEXEXTRACT(C4207, ""🏘️ \w+ \w+ (.*) ✅""),'Region prepositions'!B:F, 5, 0),  REGEXEXTRACT(C4207, ""🏘️ \w+ \w+ (.*) ✅""))))"),"#N/A")</f>
        <v>#N/A</v>
      </c>
      <c r="I4207" s="4" t="str">
        <f>IFERROR(__xludf.DUMMYFUNCTION("if(D4207=""variant"",  substitute(filter(Templates!E:E, Templates!A:A = F4207, Templates!B:B = G4207, Templates!C:C = H4207), ""{{}}"", E4207), B4207)"),"Louer appartement St-Brais: Trouvez le bien immobilier qui correspond idéalement à vos désirs sur ImmoScout24 - La plateforme de l'immobilier en Suisse.")</f>
        <v>Louer appartement St-Brais: Trouvez le bien immobilier qui correspond idéalement à vos désirs sur ImmoScout24 - La plateforme de l'immobilier en Suisse.</v>
      </c>
    </row>
    <row r="4208" hidden="1">
      <c r="A4208" s="5" t="s">
        <v>11517</v>
      </c>
      <c r="B4208" s="2" t="s">
        <v>11518</v>
      </c>
      <c r="C4208" s="2" t="s">
        <v>11518</v>
      </c>
      <c r="D4208" s="4" t="str">
        <f>vlookup(A4208, Sheet2!D:E, 2, 0)</f>
        <v>control</v>
      </c>
      <c r="E4208" s="4" t="str">
        <f>IFERROR(__xludf.DUMMYFUNCTION("if(H4208=""pays"",vlookup(REGEXEXTRACT(C4208, ""🏘️ \w+ \w+ (.*) ✅""),'Country prepositions'!A:B, 2, 0) &amp; "" "" &amp; REGEXEXTRACT(C4208, ""🏘️ \w+ \w+ (.*) ✅"") ,  if(H4208=""quartier"",vlookup(REGEXEXTRACT(C4208, ""🏘️ \w+ \w+ (.*) ✅""),'Quartier prepositio"&amp;"ns'!A:E, 5, 0) ,  if(H4208=""region"",vlookup(REGEXEXTRACT(C4208, ""🏘️ \w+ \w+ (.*) ✅""),'Region prepositions'!B:F, 5, 0),  REGEXEXTRACT(C4208, ""🏘️ \w+ \w+ (.*) ✅""))))"),"#N/A")</f>
        <v>#N/A</v>
      </c>
      <c r="I4208" s="4" t="str">
        <f>IFERROR(__xludf.DUMMYFUNCTION("if(D4208=""variant"",  substitute(filter(Templates!E:E, Templates!A:A = F4208, Templates!B:B = G4208, Templates!C:C = H4208), ""{{}}"", E4208), B4208)"),"Louer appartement Péry: Trouvez le bien immobilier qui correspond idéalement à vos désirs sur ImmoScout24 - La plateforme de l'immobilier en Suisse.")</f>
        <v>Louer appartement Péry: Trouvez le bien immobilier qui correspond idéalement à vos désirs sur ImmoScout24 - La plateforme de l'immobilier en Suisse.</v>
      </c>
    </row>
    <row r="4209" hidden="1">
      <c r="A4209" s="5" t="s">
        <v>11519</v>
      </c>
      <c r="B4209" s="2" t="s">
        <v>11520</v>
      </c>
      <c r="C4209" s="2" t="s">
        <v>11520</v>
      </c>
      <c r="D4209" s="4" t="str">
        <f>vlookup(A4209, Sheet2!D:E, 2, 0)</f>
        <v>control</v>
      </c>
      <c r="E4209" s="4" t="str">
        <f>IFERROR(__xludf.DUMMYFUNCTION("if(H4209=""pays"",vlookup(REGEXEXTRACT(C4209, ""🏘️ \w+ \w+ (.*) ✅""),'Country prepositions'!A:B, 2, 0) &amp; "" "" &amp; REGEXEXTRACT(C4209, ""🏘️ \w+ \w+ (.*) ✅"") ,  if(H4209=""quartier"",vlookup(REGEXEXTRACT(C4209, ""🏘️ \w+ \w+ (.*) ✅""),'Quartier prepositio"&amp;"ns'!A:E, 5, 0) ,  if(H4209=""region"",vlookup(REGEXEXTRACT(C4209, ""🏘️ \w+ \w+ (.*) ✅""),'Region prepositions'!B:F, 5, 0),  REGEXEXTRACT(C4209, ""🏘️ \w+ \w+ (.*) ✅""))))"),"#N/A")</f>
        <v>#N/A</v>
      </c>
      <c r="I4209" s="4" t="str">
        <f>IFERROR(__xludf.DUMMYFUNCTION("if(D4209=""variant"",  substitute(filter(Templates!E:E, Templates!A:A = F4209, Templates!B:B = G4209, Templates!C:C = H4209), ""{{}}"", E4209), B4209)"),"Louer appartement Neuhausen am Rheinfall: Trouvez le bien immobilier qui correspond idéalement à vos désirs sur ImmoScout24 - La plateforme de l'immobilier en Suisse.")</f>
        <v>Louer appartement Neuhausen am Rheinfall: Trouvez le bien immobilier qui correspond idéalement à vos désirs sur ImmoScout24 - La plateforme de l'immobilier en Suisse.</v>
      </c>
    </row>
    <row r="4210" hidden="1">
      <c r="A4210" s="5" t="s">
        <v>11521</v>
      </c>
      <c r="B4210" s="2" t="s">
        <v>11522</v>
      </c>
      <c r="C4210" s="2" t="s">
        <v>11522</v>
      </c>
      <c r="D4210" s="4" t="str">
        <f>vlookup(A4210, Sheet2!D:E, 2, 0)</f>
        <v>control</v>
      </c>
      <c r="E4210" s="4" t="str">
        <f>IFERROR(__xludf.DUMMYFUNCTION("if(H4210=""pays"",vlookup(REGEXEXTRACT(C4210, ""🏘️ \w+ \w+ (.*) ✅""),'Country prepositions'!A:B, 2, 0) &amp; "" "" &amp; REGEXEXTRACT(C4210, ""🏘️ \w+ \w+ (.*) ✅"") ,  if(H4210=""quartier"",vlookup(REGEXEXTRACT(C4210, ""🏘️ \w+ \w+ (.*) ✅""),'Quartier prepositio"&amp;"ns'!A:E, 5, 0) ,  if(H4210=""region"",vlookup(REGEXEXTRACT(C4210, ""🏘️ \w+ \w+ (.*) ✅""),'Region prepositions'!B:F, 5, 0),  REGEXEXTRACT(C4210, ""🏘️ \w+ \w+ (.*) ✅""))))"),"#N/A")</f>
        <v>#N/A</v>
      </c>
      <c r="I4210" s="4" t="str">
        <f>IFERROR(__xludf.DUMMYFUNCTION("if(D4210=""variant"",  substitute(filter(Templates!E:E, Templates!A:A = F4210, Templates!B:B = G4210, Templates!C:C = H4210), ""{{}}"", E4210), B4210)"),"Louer maison Saillon: Trouvez le bien immobilier qui correspond idéalement à vos désirs sur ImmoScout24 - La plateforme de l'immobilier en Suisse.")</f>
        <v>Louer maison Saillon: Trouvez le bien immobilier qui correspond idéalement à vos désirs sur ImmoScout24 - La plateforme de l'immobilier en Suisse.</v>
      </c>
    </row>
    <row r="4211" hidden="1">
      <c r="A4211" s="5" t="s">
        <v>11523</v>
      </c>
      <c r="B4211" s="2" t="s">
        <v>11524</v>
      </c>
      <c r="C4211" s="2" t="s">
        <v>11524</v>
      </c>
      <c r="D4211" s="4" t="str">
        <f>vlookup(A4211, Sheet2!D:E, 2, 0)</f>
        <v>control</v>
      </c>
      <c r="E4211" s="4" t="str">
        <f>IFERROR(__xludf.DUMMYFUNCTION("if(H4211=""pays"",vlookup(REGEXEXTRACT(C4211, ""🏘️ \w+ \w+ (.*) ✅""),'Country prepositions'!A:B, 2, 0) &amp; "" "" &amp; REGEXEXTRACT(C4211, ""🏘️ \w+ \w+ (.*) ✅"") ,  if(H4211=""quartier"",vlookup(REGEXEXTRACT(C4211, ""🏘️ \w+ \w+ (.*) ✅""),'Quartier prepositio"&amp;"ns'!A:E, 5, 0) ,  if(H4211=""region"",vlookup(REGEXEXTRACT(C4211, ""🏘️ \w+ \w+ (.*) ✅""),'Region prepositions'!B:F, 5, 0),  REGEXEXTRACT(C4211, ""🏘️ \w+ \w+ (.*) ✅""))))"),"#N/A")</f>
        <v>#N/A</v>
      </c>
      <c r="I4211" s="4" t="str">
        <f>IFERROR(__xludf.DUMMYFUNCTION("if(D4211=""variant"",  substitute(filter(Templates!E:E, Templates!A:A = F4211, Templates!B:B = G4211, Templates!C:C = H4211), ""{{}}"", E4211), B4211)"),"Vendre maison Oulens-sous-Echallens: Trouvez le bien immobilier qui correspond idéalement à vos désirs sur ImmoScout24 - La plateforme de l'immobilier en Suisse.")</f>
        <v>Vendre maison Oulens-sous-Echallens: Trouvez le bien immobilier qui correspond idéalement à vos désirs sur ImmoScout24 - La plateforme de l'immobilier en Suisse.</v>
      </c>
    </row>
    <row r="4212" hidden="1">
      <c r="A4212" s="5" t="s">
        <v>11525</v>
      </c>
      <c r="B4212" s="2" t="s">
        <v>11526</v>
      </c>
      <c r="C4212" s="2" t="s">
        <v>11526</v>
      </c>
      <c r="D4212" s="4" t="str">
        <f>vlookup(A4212, Sheet2!D:E, 2, 0)</f>
        <v>control</v>
      </c>
      <c r="E4212" s="4" t="str">
        <f>IFERROR(__xludf.DUMMYFUNCTION("if(H4212=""pays"",vlookup(REGEXEXTRACT(C4212, ""🏘️ \w+ \w+ (.*) ✅""),'Country prepositions'!A:B, 2, 0) &amp; "" "" &amp; REGEXEXTRACT(C4212, ""🏘️ \w+ \w+ (.*) ✅"") ,  if(H4212=""quartier"",vlookup(REGEXEXTRACT(C4212, ""🏘️ \w+ \w+ (.*) ✅""),'Quartier prepositio"&amp;"ns'!A:E, 5, 0) ,  if(H4212=""region"",vlookup(REGEXEXTRACT(C4212, ""🏘️ \w+ \w+ (.*) ✅""),'Region prepositions'!B:F, 5, 0),  REGEXEXTRACT(C4212, ""🏘️ \w+ \w+ (.*) ✅""))))"),"#N/A")</f>
        <v>#N/A</v>
      </c>
      <c r="I4212" s="4" t="str">
        <f>IFERROR(__xludf.DUMMYFUNCTION("if(D4212=""variant"",  substitute(filter(Templates!E:E, Templates!A:A = F4212, Templates!B:B = G4212, Templates!C:C = H4212), ""{{}}"", E4212), B4212)"),"Louer appartement Küttigen: Trouvez le bien immobilier qui correspond idéalement à vos désirs sur ImmoScout24 - La plateforme de l'immobilier en Suisse.")</f>
        <v>Louer appartement Küttigen: Trouvez le bien immobilier qui correspond idéalement à vos désirs sur ImmoScout24 - La plateforme de l'immobilier en Suisse.</v>
      </c>
    </row>
    <row r="4213" hidden="1">
      <c r="A4213" s="5" t="s">
        <v>11527</v>
      </c>
      <c r="B4213" s="2" t="s">
        <v>11528</v>
      </c>
      <c r="C4213" s="2" t="s">
        <v>11528</v>
      </c>
      <c r="D4213" s="4" t="str">
        <f>vlookup(A4213, Sheet2!D:E, 2, 0)</f>
        <v>control</v>
      </c>
      <c r="E4213" s="4" t="str">
        <f>IFERROR(__xludf.DUMMYFUNCTION("if(H4213=""pays"",vlookup(REGEXEXTRACT(C4213, ""🏘️ \w+ \w+ (.*) ✅""),'Country prepositions'!A:B, 2, 0) &amp; "" "" &amp; REGEXEXTRACT(C4213, ""🏘️ \w+ \w+ (.*) ✅"") ,  if(H4213=""quartier"",vlookup(REGEXEXTRACT(C4213, ""🏘️ \w+ \w+ (.*) ✅""),'Quartier prepositio"&amp;"ns'!A:E, 5, 0) ,  if(H4213=""region"",vlookup(REGEXEXTRACT(C4213, ""🏘️ \w+ \w+ (.*) ✅""),'Region prepositions'!B:F, 5, 0),  REGEXEXTRACT(C4213, ""🏘️ \w+ \w+ (.*) ✅""))))"),"#N/A")</f>
        <v>#N/A</v>
      </c>
      <c r="I4213" s="4" t="str">
        <f>IFERROR(__xludf.DUMMYFUNCTION("if(D4213=""variant"",  substitute(filter(Templates!E:E, Templates!A:A = F4213, Templates!B:B = G4213, Templates!C:C = H4213), ""{{}}"", E4213), B4213)"),"Louer maison Carabietta: Trouvez le bien immobilier qui correspond idéalement à vos désirs sur ImmoScout24 - La plateforme de l'immobilier en Suisse.")</f>
        <v>Louer maison Carabietta: Trouvez le bien immobilier qui correspond idéalement à vos désirs sur ImmoScout24 - La plateforme de l'immobilier en Suisse.</v>
      </c>
    </row>
    <row r="4214" hidden="1">
      <c r="A4214" s="5" t="s">
        <v>11529</v>
      </c>
      <c r="B4214" s="2" t="s">
        <v>11530</v>
      </c>
      <c r="C4214" s="2" t="s">
        <v>11530</v>
      </c>
      <c r="D4214" s="4" t="str">
        <f>vlookup(A4214, Sheet2!D:E, 2, 0)</f>
        <v>control</v>
      </c>
      <c r="E4214" s="4" t="str">
        <f>IFERROR(__xludf.DUMMYFUNCTION("if(H4214=""pays"",vlookup(REGEXEXTRACT(C4214, ""🏘️ \w+ \w+ (.*) ✅""),'Country prepositions'!A:B, 2, 0) &amp; "" "" &amp; REGEXEXTRACT(C4214, ""🏘️ \w+ \w+ (.*) ✅"") ,  if(H4214=""quartier"",vlookup(REGEXEXTRACT(C4214, ""🏘️ \w+ \w+ (.*) ✅""),'Quartier prepositio"&amp;"ns'!A:E, 5, 0) ,  if(H4214=""region"",vlookup(REGEXEXTRACT(C4214, ""🏘️ \w+ \w+ (.*) ✅""),'Region prepositions'!B:F, 5, 0),  REGEXEXTRACT(C4214, ""🏘️ \w+ \w+ (.*) ✅""))))"),"#N/A")</f>
        <v>#N/A</v>
      </c>
      <c r="I4214" s="4" t="str">
        <f>IFERROR(__xludf.DUMMYFUNCTION("if(D4214=""variant"",  substitute(filter(Templates!E:E, Templates!A:A = F4214, Templates!B:B = G4214, Templates!C:C = H4214), ""{{}}"", E4214), B4214)"),"Louer appartement Heiligenschwendi: Trouvez le bien immobilier qui correspond idéalement à vos désirs sur ImmoScout24 - La plateforme de l'immobilier en Suisse.")</f>
        <v>Louer appartement Heiligenschwendi: Trouvez le bien immobilier qui correspond idéalement à vos désirs sur ImmoScout24 - La plateforme de l'immobilier en Suisse.</v>
      </c>
    </row>
    <row r="4215" hidden="1">
      <c r="A4215" s="5" t="s">
        <v>11531</v>
      </c>
      <c r="B4215" s="2" t="s">
        <v>11532</v>
      </c>
      <c r="C4215" s="2" t="s">
        <v>11532</v>
      </c>
      <c r="D4215" s="4" t="str">
        <f>vlookup(A4215, Sheet2!D:E, 2, 0)</f>
        <v>control</v>
      </c>
      <c r="E4215" s="4" t="str">
        <f>IFERROR(__xludf.DUMMYFUNCTION("if(H4215=""pays"",vlookup(REGEXEXTRACT(C4215, ""🏘️ \w+ \w+ (.*) ✅""),'Country prepositions'!A:B, 2, 0) &amp; "" "" &amp; REGEXEXTRACT(C4215, ""🏘️ \w+ \w+ (.*) ✅"") ,  if(H4215=""quartier"",vlookup(REGEXEXTRACT(C4215, ""🏘️ \w+ \w+ (.*) ✅""),'Quartier prepositio"&amp;"ns'!A:E, 5, 0) ,  if(H4215=""region"",vlookup(REGEXEXTRACT(C4215, ""🏘️ \w+ \w+ (.*) ✅""),'Region prepositions'!B:F, 5, 0),  REGEXEXTRACT(C4215, ""🏘️ \w+ \w+ (.*) ✅""))))"),"#N/A")</f>
        <v>#N/A</v>
      </c>
      <c r="I4215" s="4" t="str">
        <f>IFERROR(__xludf.DUMMYFUNCTION("if(D4215=""variant"",  substitute(filter(Templates!E:E, Templates!A:A = F4215, Templates!B:B = G4215, Templates!C:C = H4215), ""{{}}"", E4215), B4215)"),"Vendre maison Niederhasli: Trouvez le bien immobilier qui correspond idéalement à vos désirs sur ImmoScout24 - La plateforme de l'immobilier en Suisse.")</f>
        <v>Vendre maison Niederhasli: Trouvez le bien immobilier qui correspond idéalement à vos désirs sur ImmoScout24 - La plateforme de l'immobilier en Suisse.</v>
      </c>
    </row>
    <row r="4216" hidden="1">
      <c r="A4216" s="5" t="s">
        <v>11533</v>
      </c>
      <c r="B4216" s="2" t="s">
        <v>11534</v>
      </c>
      <c r="C4216" s="2" t="s">
        <v>11534</v>
      </c>
      <c r="D4216" s="4" t="str">
        <f>vlookup(A4216, Sheet2!D:E, 2, 0)</f>
        <v>control</v>
      </c>
      <c r="E4216" s="4" t="str">
        <f>IFERROR(__xludf.DUMMYFUNCTION("if(H4216=""pays"",vlookup(REGEXEXTRACT(C4216, ""🏘️ \w+ \w+ (.*) ✅""),'Country prepositions'!A:B, 2, 0) &amp; "" "" &amp; REGEXEXTRACT(C4216, ""🏘️ \w+ \w+ (.*) ✅"") ,  if(H4216=""quartier"",vlookup(REGEXEXTRACT(C4216, ""🏘️ \w+ \w+ (.*) ✅""),'Quartier prepositio"&amp;"ns'!A:E, 5, 0) ,  if(H4216=""region"",vlookup(REGEXEXTRACT(C4216, ""🏘️ \w+ \w+ (.*) ✅""),'Region prepositions'!B:F, 5, 0),  REGEXEXTRACT(C4216, ""🏘️ \w+ \w+ (.*) ✅""))))"),"#N/A")</f>
        <v>#N/A</v>
      </c>
      <c r="I4216" s="4" t="str">
        <f>IFERROR(__xludf.DUMMYFUNCTION("if(D4216=""variant"",  substitute(filter(Templates!E:E, Templates!A:A = F4216, Templates!B:B = G4216, Templates!C:C = H4216), ""{{}}"", E4216), B4216)"),"Vendre maison Penthaz: Trouvez le bien immobilier qui correspond idéalement à vos désirs sur ImmoScout24 - La plateforme de l'immobilier en Suisse.")</f>
        <v>Vendre maison Penthaz: Trouvez le bien immobilier qui correspond idéalement à vos désirs sur ImmoScout24 - La plateforme de l'immobilier en Suisse.</v>
      </c>
    </row>
    <row r="4217" hidden="1">
      <c r="A4217" s="5" t="s">
        <v>11535</v>
      </c>
      <c r="B4217" s="2" t="s">
        <v>11536</v>
      </c>
      <c r="C4217" s="2" t="s">
        <v>11536</v>
      </c>
      <c r="D4217" s="4" t="str">
        <f>vlookup(A4217, Sheet2!D:E, 2, 0)</f>
        <v>control</v>
      </c>
      <c r="E4217" s="4" t="str">
        <f>IFERROR(__xludf.DUMMYFUNCTION("if(H4217=""pays"",vlookup(REGEXEXTRACT(C4217, ""🏘️ \w+ \w+ (.*) ✅""),'Country prepositions'!A:B, 2, 0) &amp; "" "" &amp; REGEXEXTRACT(C4217, ""🏘️ \w+ \w+ (.*) ✅"") ,  if(H4217=""quartier"",vlookup(REGEXEXTRACT(C4217, ""🏘️ \w+ \w+ (.*) ✅""),'Quartier prepositio"&amp;"ns'!A:E, 5, 0) ,  if(H4217=""region"",vlookup(REGEXEXTRACT(C4217, ""🏘️ \w+ \w+ (.*) ✅""),'Region prepositions'!B:F, 5, 0),  REGEXEXTRACT(C4217, ""🏘️ \w+ \w+ (.*) ✅""))))"),"#N/A")</f>
        <v>#N/A</v>
      </c>
      <c r="I4217" s="4" t="str">
        <f>IFERROR(__xludf.DUMMYFUNCTION("if(D4217=""variant"",  substitute(filter(Templates!E:E, Templates!A:A = F4217, Templates!B:B = G4217, Templates!C:C = H4217), ""{{}}"", E4217), B4217)"),"Louer appartement Hellikon: Trouvez le bien immobilier qui correspond idéalement à vos désirs sur ImmoScout24 - La plateforme de l'immobilier en Suisse.")</f>
        <v>Louer appartement Hellikon: Trouvez le bien immobilier qui correspond idéalement à vos désirs sur ImmoScout24 - La plateforme de l'immobilier en Suisse.</v>
      </c>
    </row>
    <row r="4218" hidden="1">
      <c r="A4218" s="5" t="s">
        <v>11537</v>
      </c>
      <c r="B4218" s="2" t="s">
        <v>11538</v>
      </c>
      <c r="C4218" s="2" t="s">
        <v>11538</v>
      </c>
      <c r="D4218" s="4" t="str">
        <f>vlookup(A4218, Sheet2!D:E, 2, 0)</f>
        <v>control</v>
      </c>
      <c r="E4218" s="4" t="str">
        <f>IFERROR(__xludf.DUMMYFUNCTION("if(H4218=""pays"",vlookup(REGEXEXTRACT(C4218, ""🏘️ \w+ \w+ (.*) ✅""),'Country prepositions'!A:B, 2, 0) &amp; "" "" &amp; REGEXEXTRACT(C4218, ""🏘️ \w+ \w+ (.*) ✅"") ,  if(H4218=""quartier"",vlookup(REGEXEXTRACT(C4218, ""🏘️ \w+ \w+ (.*) ✅""),'Quartier prepositio"&amp;"ns'!A:E, 5, 0) ,  if(H4218=""region"",vlookup(REGEXEXTRACT(C4218, ""🏘️ \w+ \w+ (.*) ✅""),'Region prepositions'!B:F, 5, 0),  REGEXEXTRACT(C4218, ""🏘️ \w+ \w+ (.*) ✅""))))"),"#N/A")</f>
        <v>#N/A</v>
      </c>
      <c r="I4218" s="4" t="str">
        <f>IFERROR(__xludf.DUMMYFUNCTION("if(D4218=""variant"",  substitute(filter(Templates!E:E, Templates!A:A = F4218, Templates!B:B = G4218, Templates!C:C = H4218), ""{{}}"", E4218), B4218)"),"Louer appartement Pazzallo (Lugano): Trouvez le bien immobilier qui correspond idéalement à vos désirs sur ImmoScout24 - La plateforme de l'immobilier en Suisse.")</f>
        <v>Louer appartement Pazzallo (Lugano): Trouvez le bien immobilier qui correspond idéalement à vos désirs sur ImmoScout24 - La plateforme de l'immobilier en Suisse.</v>
      </c>
    </row>
    <row r="4219" hidden="1">
      <c r="A4219" s="5" t="s">
        <v>11539</v>
      </c>
      <c r="B4219" s="2" t="s">
        <v>11540</v>
      </c>
      <c r="C4219" s="2" t="s">
        <v>11540</v>
      </c>
      <c r="D4219" s="4" t="str">
        <f>vlookup(A4219, Sheet2!D:E, 2, 0)</f>
        <v>control</v>
      </c>
      <c r="E4219" s="4" t="str">
        <f>IFERROR(__xludf.DUMMYFUNCTION("if(H4219=""pays"",vlookup(REGEXEXTRACT(C4219, ""🏘️ \w+ \w+ (.*) ✅""),'Country prepositions'!A:B, 2, 0) &amp; "" "" &amp; REGEXEXTRACT(C4219, ""🏘️ \w+ \w+ (.*) ✅"") ,  if(H4219=""quartier"",vlookup(REGEXEXTRACT(C4219, ""🏘️ \w+ \w+ (.*) ✅""),'Quartier prepositio"&amp;"ns'!A:E, 5, 0) ,  if(H4219=""region"",vlookup(REGEXEXTRACT(C4219, ""🏘️ \w+ \w+ (.*) ✅""),'Region prepositions'!B:F, 5, 0),  REGEXEXTRACT(C4219, ""🏘️ \w+ \w+ (.*) ✅""))))"),"#N/A")</f>
        <v>#N/A</v>
      </c>
      <c r="I4219" s="4" t="str">
        <f>IFERROR(__xludf.DUMMYFUNCTION("if(D4219=""variant"",  substitute(filter(Templates!E:E, Templates!A:A = F4219, Templates!B:B = G4219, Templates!C:C = H4219), ""{{}}"", E4219), B4219)"),"Louer appartement Lavey-Village: Trouvez le bien immobilier qui correspond idéalement à vos désirs sur ImmoScout24 - La plateforme de l'immobilier en Suisse.")</f>
        <v>Louer appartement Lavey-Village: Trouvez le bien immobilier qui correspond idéalement à vos désirs sur ImmoScout24 - La plateforme de l'immobilier en Suisse.</v>
      </c>
    </row>
    <row r="4220" hidden="1">
      <c r="A4220" s="5" t="s">
        <v>11541</v>
      </c>
      <c r="B4220" s="2" t="s">
        <v>11542</v>
      </c>
      <c r="C4220" s="2" t="s">
        <v>11542</v>
      </c>
      <c r="D4220" s="4" t="str">
        <f>vlookup(A4220, Sheet2!D:E, 2, 0)</f>
        <v>control</v>
      </c>
      <c r="E4220" s="4" t="str">
        <f>IFERROR(__xludf.DUMMYFUNCTION("if(H4220=""pays"",vlookup(REGEXEXTRACT(C4220, ""🏘️ \w+ \w+ (.*) ✅""),'Country prepositions'!A:B, 2, 0) &amp; "" "" &amp; REGEXEXTRACT(C4220, ""🏘️ \w+ \w+ (.*) ✅"") ,  if(H4220=""quartier"",vlookup(REGEXEXTRACT(C4220, ""🏘️ \w+ \w+ (.*) ✅""),'Quartier prepositio"&amp;"ns'!A:E, 5, 0) ,  if(H4220=""region"",vlookup(REGEXEXTRACT(C4220, ""🏘️ \w+ \w+ (.*) ✅""),'Region prepositions'!B:F, 5, 0),  REGEXEXTRACT(C4220, ""🏘️ \w+ \w+ (.*) ✅""))))"),"#N/A")</f>
        <v>#N/A</v>
      </c>
      <c r="I4220" s="4" t="str">
        <f>IFERROR(__xludf.DUMMYFUNCTION("if(D4220=""variant"",  substitute(filter(Templates!E:E, Templates!A:A = F4220, Templates!B:B = G4220, Templates!C:C = H4220), ""{{}}"", E4220), B4220)"),"Louer maison Vich: Trouvez le bien immobilier qui correspond idéalement à vos désirs sur ImmoScout24 - La plateforme de l'immobilier en Suisse.")</f>
        <v>Louer maison Vich: Trouvez le bien immobilier qui correspond idéalement à vos désirs sur ImmoScout24 - La plateforme de l'immobilier en Suisse.</v>
      </c>
    </row>
    <row r="4221" hidden="1">
      <c r="A4221" s="5" t="s">
        <v>11543</v>
      </c>
      <c r="B4221" s="2" t="s">
        <v>11544</v>
      </c>
      <c r="C4221" s="2" t="s">
        <v>11544</v>
      </c>
      <c r="D4221" s="4" t="str">
        <f>vlookup(A4221, Sheet2!D:E, 2, 0)</f>
        <v>control</v>
      </c>
      <c r="E4221" s="4" t="str">
        <f>IFERROR(__xludf.DUMMYFUNCTION("if(H4221=""pays"",vlookup(REGEXEXTRACT(C4221, ""🏘️ \w+ \w+ (.*) ✅""),'Country prepositions'!A:B, 2, 0) &amp; "" "" &amp; REGEXEXTRACT(C4221, ""🏘️ \w+ \w+ (.*) ✅"") ,  if(H4221=""quartier"",vlookup(REGEXEXTRACT(C4221, ""🏘️ \w+ \w+ (.*) ✅""),'Quartier prepositio"&amp;"ns'!A:E, 5, 0) ,  if(H4221=""region"",vlookup(REGEXEXTRACT(C4221, ""🏘️ \w+ \w+ (.*) ✅""),'Region prepositions'!B:F, 5, 0),  REGEXEXTRACT(C4221, ""🏘️ \w+ \w+ (.*) ✅""))))"),"#N/A")</f>
        <v>#N/A</v>
      </c>
      <c r="I4221" s="4" t="str">
        <f>IFERROR(__xludf.DUMMYFUNCTION("if(D4221=""variant"",  substitute(filter(Templates!E:E, Templates!A:A = F4221, Templates!B:B = G4221, Templates!C:C = H4221), ""{{}}"", E4221), B4221)"),"Louer appartement Schenkon: Trouvez le bien immobilier qui correspond idéalement à vos désirs sur ImmoScout24 - La plateforme de l'immobilier en Suisse.")</f>
        <v>Louer appartement Schenkon: Trouvez le bien immobilier qui correspond idéalement à vos désirs sur ImmoScout24 - La plateforme de l'immobilier en Suisse.</v>
      </c>
    </row>
    <row r="4222" hidden="1">
      <c r="A4222" s="5" t="s">
        <v>11545</v>
      </c>
      <c r="B4222" s="2" t="s">
        <v>11546</v>
      </c>
      <c r="C4222" s="2" t="s">
        <v>11546</v>
      </c>
      <c r="D4222" s="4" t="str">
        <f>vlookup(A4222, Sheet2!D:E, 2, 0)</f>
        <v>control</v>
      </c>
      <c r="E4222" s="4" t="str">
        <f>IFERROR(__xludf.DUMMYFUNCTION("if(H4222=""pays"",vlookup(REGEXEXTRACT(C4222, ""🏘️ \w+ \w+ (.*) ✅""),'Country prepositions'!A:B, 2, 0) &amp; "" "" &amp; REGEXEXTRACT(C4222, ""🏘️ \w+ \w+ (.*) ✅"") ,  if(H4222=""quartier"",vlookup(REGEXEXTRACT(C4222, ""🏘️ \w+ \w+ (.*) ✅""),'Quartier prepositio"&amp;"ns'!A:E, 5, 0) ,  if(H4222=""region"",vlookup(REGEXEXTRACT(C4222, ""🏘️ \w+ \w+ (.*) ✅""),'Region prepositions'!B:F, 5, 0),  REGEXEXTRACT(C4222, ""🏘️ \w+ \w+ (.*) ✅""))))"),"#N/A")</f>
        <v>#N/A</v>
      </c>
      <c r="I4222" s="4" t="str">
        <f>IFERROR(__xludf.DUMMYFUNCTION("if(D4222=""variant"",  substitute(filter(Templates!E:E, Templates!A:A = F4222, Templates!B:B = G4222, Templates!C:C = H4222), ""{{}}"", E4222), B4222)"),"Vendre maison Rudolfstetten: Trouvez le bien immobilier qui correspond idéalement à vos désirs sur ImmoScout24 - La plateforme de l'immobilier en Suisse.")</f>
        <v>Vendre maison Rudolfstetten: Trouvez le bien immobilier qui correspond idéalement à vos désirs sur ImmoScout24 - La plateforme de l'immobilier en Suisse.</v>
      </c>
    </row>
    <row r="4223" hidden="1">
      <c r="A4223" s="5" t="s">
        <v>11547</v>
      </c>
      <c r="B4223" s="2" t="s">
        <v>11548</v>
      </c>
      <c r="C4223" s="2" t="s">
        <v>11548</v>
      </c>
      <c r="D4223" s="4" t="str">
        <f>vlookup(A4223, Sheet2!D:E, 2, 0)</f>
        <v>control</v>
      </c>
      <c r="E4223" s="4" t="str">
        <f>IFERROR(__xludf.DUMMYFUNCTION("if(H4223=""pays"",vlookup(REGEXEXTRACT(C4223, ""🏘️ \w+ \w+ (.*) ✅""),'Country prepositions'!A:B, 2, 0) &amp; "" "" &amp; REGEXEXTRACT(C4223, ""🏘️ \w+ \w+ (.*) ✅"") ,  if(H4223=""quartier"",vlookup(REGEXEXTRACT(C4223, ""🏘️ \w+ \w+ (.*) ✅""),'Quartier prepositio"&amp;"ns'!A:E, 5, 0) ,  if(H4223=""region"",vlookup(REGEXEXTRACT(C4223, ""🏘️ \w+ \w+ (.*) ✅""),'Region prepositions'!B:F, 5, 0),  REGEXEXTRACT(C4223, ""🏘️ \w+ \w+ (.*) ✅""))))"),"#N/A")</f>
        <v>#N/A</v>
      </c>
      <c r="I4223" s="4" t="str">
        <f>IFERROR(__xludf.DUMMYFUNCTION("if(D4223=""variant"",  substitute(filter(Templates!E:E, Templates!A:A = F4223, Templates!B:B = G4223, Templates!C:C = H4223), ""{{}}"", E4223), B4223)"),"Vendre maison Pigniu: Trouvez le bien immobilier qui correspond idéalement à vos désirs sur ImmoScout24 - La plateforme de l'immobilier en Suisse.")</f>
        <v>Vendre maison Pigniu: Trouvez le bien immobilier qui correspond idéalement à vos désirs sur ImmoScout24 - La plateforme de l'immobilier en Suisse.</v>
      </c>
    </row>
    <row r="4224" hidden="1">
      <c r="A4224" s="5" t="s">
        <v>11549</v>
      </c>
      <c r="B4224" s="2" t="s">
        <v>11550</v>
      </c>
      <c r="C4224" s="2" t="s">
        <v>11550</v>
      </c>
      <c r="D4224" s="4" t="str">
        <f>vlookup(A4224, Sheet2!D:E, 2, 0)</f>
        <v>control</v>
      </c>
      <c r="E4224" s="4" t="str">
        <f>IFERROR(__xludf.DUMMYFUNCTION("if(H4224=""pays"",vlookup(REGEXEXTRACT(C4224, ""🏘️ \w+ \w+ (.*) ✅""),'Country prepositions'!A:B, 2, 0) &amp; "" "" &amp; REGEXEXTRACT(C4224, ""🏘️ \w+ \w+ (.*) ✅"") ,  if(H4224=""quartier"",vlookup(REGEXEXTRACT(C4224, ""🏘️ \w+ \w+ (.*) ✅""),'Quartier prepositio"&amp;"ns'!A:E, 5, 0) ,  if(H4224=""region"",vlookup(REGEXEXTRACT(C4224, ""🏘️ \w+ \w+ (.*) ✅""),'Region prepositions'!B:F, 5, 0),  REGEXEXTRACT(C4224, ""🏘️ \w+ \w+ (.*) ✅""))))"),"#N/A")</f>
        <v>#N/A</v>
      </c>
      <c r="I4224" s="4" t="str">
        <f>IFERROR(__xludf.DUMMYFUNCTION("if(D4224=""variant"",  substitute(filter(Templates!E:E, Templates!A:A = F4224, Templates!B:B = G4224, Templates!C:C = H4224), ""{{}}"", E4224), B4224)"),"Louer maison Twann: Trouvez le bien immobilier qui correspond idéalement à vos désirs sur ImmoScout24 - La plateforme de l'immobilier en Suisse.")</f>
        <v>Louer maison Twann: Trouvez le bien immobilier qui correspond idéalement à vos désirs sur ImmoScout24 - La plateforme de l'immobilier en Suisse.</v>
      </c>
    </row>
    <row r="4225" hidden="1">
      <c r="A4225" s="5" t="s">
        <v>11551</v>
      </c>
      <c r="B4225" s="2" t="s">
        <v>11552</v>
      </c>
      <c r="C4225" s="2" t="s">
        <v>11552</v>
      </c>
      <c r="D4225" s="4" t="str">
        <f>vlookup(A4225, Sheet2!D:E, 2, 0)</f>
        <v>control</v>
      </c>
      <c r="E4225" s="4" t="str">
        <f>IFERROR(__xludf.DUMMYFUNCTION("if(H4225=""pays"",vlookup(REGEXEXTRACT(C4225, ""🏘️ \w+ \w+ (.*) ✅""),'Country prepositions'!A:B, 2, 0) &amp; "" "" &amp; REGEXEXTRACT(C4225, ""🏘️ \w+ \w+ (.*) ✅"") ,  if(H4225=""quartier"",vlookup(REGEXEXTRACT(C4225, ""🏘️ \w+ \w+ (.*) ✅""),'Quartier prepositio"&amp;"ns'!A:E, 5, 0) ,  if(H4225=""region"",vlookup(REGEXEXTRACT(C4225, ""🏘️ \w+ \w+ (.*) ✅""),'Region prepositions'!B:F, 5, 0),  REGEXEXTRACT(C4225, ""🏘️ \w+ \w+ (.*) ✅""))))"),"#N/A")</f>
        <v>#N/A</v>
      </c>
      <c r="I4225" s="4" t="str">
        <f>IFERROR(__xludf.DUMMYFUNCTION("if(D4225=""variant"",  substitute(filter(Templates!E:E, Templates!A:A = F4225, Templates!B:B = G4225, Templates!C:C = H4225), ""{{}}"", E4225), B4225)"),"Vendre maison Bachenbülach: Trouvez le bien immobilier qui correspond idéalement à vos désirs sur ImmoScout24 - La plateforme de l'immobilier en Suisse.")</f>
        <v>Vendre maison Bachenbülach: Trouvez le bien immobilier qui correspond idéalement à vos désirs sur ImmoScout24 - La plateforme de l'immobilier en Suisse.</v>
      </c>
    </row>
    <row r="4226" hidden="1">
      <c r="A4226" s="5" t="s">
        <v>11553</v>
      </c>
      <c r="B4226" s="2" t="s">
        <v>11554</v>
      </c>
      <c r="C4226" s="2" t="s">
        <v>11554</v>
      </c>
      <c r="D4226" s="4" t="str">
        <f>vlookup(A4226, Sheet2!D:E, 2, 0)</f>
        <v>control</v>
      </c>
      <c r="E4226" s="4" t="str">
        <f>IFERROR(__xludf.DUMMYFUNCTION("if(H4226=""pays"",vlookup(REGEXEXTRACT(C4226, ""🏘️ \w+ \w+ (.*) ✅""),'Country prepositions'!A:B, 2, 0) &amp; "" "" &amp; REGEXEXTRACT(C4226, ""🏘️ \w+ \w+ (.*) ✅"") ,  if(H4226=""quartier"",vlookup(REGEXEXTRACT(C4226, ""🏘️ \w+ \w+ (.*) ✅""),'Quartier prepositio"&amp;"ns'!A:E, 5, 0) ,  if(H4226=""region"",vlookup(REGEXEXTRACT(C4226, ""🏘️ \w+ \w+ (.*) ✅""),'Region prepositions'!B:F, 5, 0),  REGEXEXTRACT(C4226, ""🏘️ \w+ \w+ (.*) ✅""))))"),"#N/A")</f>
        <v>#N/A</v>
      </c>
      <c r="I4226" s="4" t="str">
        <f>IFERROR(__xludf.DUMMYFUNCTION("if(D4226=""variant"",  substitute(filter(Templates!E:E, Templates!A:A = F4226, Templates!B:B = G4226, Templates!C:C = H4226), ""{{}}"", E4226), B4226)"),"Vendre appartement Basel: Trouvez le bien immobilier qui correspond idéalement à vos désirs sur ImmoScout24 - La plateforme de l'immobilier en Suisse.")</f>
        <v>Vendre appartement Basel: Trouvez le bien immobilier qui correspond idéalement à vos désirs sur ImmoScout24 - La plateforme de l'immobilier en Suisse.</v>
      </c>
    </row>
    <row r="4227" hidden="1">
      <c r="A4227" s="5" t="s">
        <v>11555</v>
      </c>
      <c r="B4227" s="2" t="s">
        <v>11556</v>
      </c>
      <c r="C4227" s="2" t="s">
        <v>11556</v>
      </c>
      <c r="D4227" s="4" t="str">
        <f>vlookup(A4227, Sheet2!D:E, 2, 0)</f>
        <v>control</v>
      </c>
      <c r="E4227" s="4" t="str">
        <f>IFERROR(__xludf.DUMMYFUNCTION("if(H4227=""pays"",vlookup(REGEXEXTRACT(C4227, ""🏘️ \w+ \w+ (.*) ✅""),'Country prepositions'!A:B, 2, 0) &amp; "" "" &amp; REGEXEXTRACT(C4227, ""🏘️ \w+ \w+ (.*) ✅"") ,  if(H4227=""quartier"",vlookup(REGEXEXTRACT(C4227, ""🏘️ \w+ \w+ (.*) ✅""),'Quartier prepositio"&amp;"ns'!A:E, 5, 0) ,  if(H4227=""region"",vlookup(REGEXEXTRACT(C4227, ""🏘️ \w+ \w+ (.*) ✅""),'Region prepositions'!B:F, 5, 0),  REGEXEXTRACT(C4227, ""🏘️ \w+ \w+ (.*) ✅""))))"),"#N/A")</f>
        <v>#N/A</v>
      </c>
      <c r="I4227" s="4" t="str">
        <f>IFERROR(__xludf.DUMMYFUNCTION("if(D4227=""variant"",  substitute(filter(Templates!E:E, Templates!A:A = F4227, Templates!B:B = G4227, Templates!C:C = H4227), ""{{}}"", E4227), B4227)"),"Vendre appartement Murifeld (Berne): Trouvez le bien immobilier qui correspond idéalement à vos désirs sur ImmoScout24 - La plateforme de l'immobilier en Suisse.")</f>
        <v>Vendre appartement Murifeld (Berne): Trouvez le bien immobilier qui correspond idéalement à vos désirs sur ImmoScout24 - La plateforme de l'immobilier en Suisse.</v>
      </c>
    </row>
    <row r="4228" hidden="1">
      <c r="A4228" s="5" t="s">
        <v>11557</v>
      </c>
      <c r="B4228" s="2" t="s">
        <v>11558</v>
      </c>
      <c r="C4228" s="2" t="s">
        <v>11558</v>
      </c>
      <c r="D4228" s="4" t="str">
        <f>vlookup(A4228, Sheet2!D:E, 2, 0)</f>
        <v>control</v>
      </c>
      <c r="E4228" s="4" t="str">
        <f>IFERROR(__xludf.DUMMYFUNCTION("if(H4228=""pays"",vlookup(REGEXEXTRACT(C4228, ""🏘️ \w+ \w+ (.*) ✅""),'Country prepositions'!A:B, 2, 0) &amp; "" "" &amp; REGEXEXTRACT(C4228, ""🏘️ \w+ \w+ (.*) ✅"") ,  if(H4228=""quartier"",vlookup(REGEXEXTRACT(C4228, ""🏘️ \w+ \w+ (.*) ✅""),'Quartier prepositio"&amp;"ns'!A:E, 5, 0) ,  if(H4228=""region"",vlookup(REGEXEXTRACT(C4228, ""🏘️ \w+ \w+ (.*) ✅""),'Region prepositions'!B:F, 5, 0),  REGEXEXTRACT(C4228, ""🏘️ \w+ \w+ (.*) ✅""))))"),"#N/A")</f>
        <v>#N/A</v>
      </c>
      <c r="I4228" s="4" t="str">
        <f>IFERROR(__xludf.DUMMYFUNCTION("if(D4228=""variant"",  substitute(filter(Templates!E:E, Templates!A:A = F4228, Templates!B:B = G4228, Templates!C:C = H4228), ""{{}}"", E4228), B4228)"),"Louer appartement Obwalden: Trouvez le bien immobilier qui correspond idéalement à vos désirs sur ImmoScout24 - La plateforme de l'immobilier en Suisse.")</f>
        <v>Louer appartement Obwalden: Trouvez le bien immobilier qui correspond idéalement à vos désirs sur ImmoScout24 - La plateforme de l'immobilier en Suisse.</v>
      </c>
    </row>
    <row r="4229" hidden="1">
      <c r="A4229" s="5" t="s">
        <v>11559</v>
      </c>
      <c r="B4229" s="2" t="s">
        <v>11560</v>
      </c>
      <c r="C4229" s="2" t="s">
        <v>11560</v>
      </c>
      <c r="D4229" s="4" t="str">
        <f>vlookup(A4229, Sheet2!D:E, 2, 0)</f>
        <v>control</v>
      </c>
      <c r="E4229" s="4" t="str">
        <f>IFERROR(__xludf.DUMMYFUNCTION("if(H4229=""pays"",vlookup(REGEXEXTRACT(C4229, ""🏘️ \w+ \w+ (.*) ✅""),'Country prepositions'!A:B, 2, 0) &amp; "" "" &amp; REGEXEXTRACT(C4229, ""🏘️ \w+ \w+ (.*) ✅"") ,  if(H4229=""quartier"",vlookup(REGEXEXTRACT(C4229, ""🏘️ \w+ \w+ (.*) ✅""),'Quartier prepositio"&amp;"ns'!A:E, 5, 0) ,  if(H4229=""region"",vlookup(REGEXEXTRACT(C4229, ""🏘️ \w+ \w+ (.*) ✅""),'Region prepositions'!B:F, 5, 0),  REGEXEXTRACT(C4229, ""🏘️ \w+ \w+ (.*) ✅""))))"),"#N/A")</f>
        <v>#N/A</v>
      </c>
      <c r="I4229" s="4" t="str">
        <f>IFERROR(__xludf.DUMMYFUNCTION("if(D4229=""variant"",  substitute(filter(Templates!E:E, Templates!A:A = F4229, Templates!B:B = G4229, Templates!C:C = H4229), ""{{}}"", E4229), B4229)"),"Vendre maison Canton de Fribourg: Trouvez le bien immobilier qui correspond idéalement à vos désirs sur ImmoScout24 - La plateforme de l'immobilier en Suisse.")</f>
        <v>Vendre maison Canton de Fribourg: Trouvez le bien immobilier qui correspond idéalement à vos désirs sur ImmoScout24 - La plateforme de l'immobilier en Suisse.</v>
      </c>
    </row>
    <row r="4230" hidden="1">
      <c r="A4230" s="5" t="s">
        <v>11561</v>
      </c>
      <c r="B4230" s="2" t="s">
        <v>11562</v>
      </c>
      <c r="C4230" s="2" t="s">
        <v>11562</v>
      </c>
      <c r="D4230" s="4" t="str">
        <f>vlookup(A4230, Sheet2!D:E, 2, 0)</f>
        <v>control</v>
      </c>
      <c r="E4230" s="4" t="str">
        <f>IFERROR(__xludf.DUMMYFUNCTION("if(H4230=""pays"",vlookup(REGEXEXTRACT(C4230, ""🏘️ \w+ \w+ (.*) ✅""),'Country prepositions'!A:B, 2, 0) &amp; "" "" &amp; REGEXEXTRACT(C4230, ""🏘️ \w+ \w+ (.*) ✅"") ,  if(H4230=""quartier"",vlookup(REGEXEXTRACT(C4230, ""🏘️ \w+ \w+ (.*) ✅""),'Quartier prepositio"&amp;"ns'!A:E, 5, 0) ,  if(H4230=""region"",vlookup(REGEXEXTRACT(C4230, ""🏘️ \w+ \w+ (.*) ✅""),'Region prepositions'!B:F, 5, 0),  REGEXEXTRACT(C4230, ""🏘️ \w+ \w+ (.*) ✅""))))"),"#N/A")</f>
        <v>#N/A</v>
      </c>
      <c r="I4230" s="4" t="str">
        <f>IFERROR(__xludf.DUMMYFUNCTION("if(D4230=""variant"",  substitute(filter(Templates!E:E, Templates!A:A = F4230, Templates!B:B = G4230, Templates!C:C = H4230), ""{{}}"", E4230), B4230)"),"Louer appartement Gurmels: Trouvez le bien immobilier qui correspond idéalement à vos désirs sur ImmoScout24 - La plateforme de l'immobilier en Suisse.")</f>
        <v>Louer appartement Gurmels: Trouvez le bien immobilier qui correspond idéalement à vos désirs sur ImmoScout24 - La plateforme de l'immobilier en Suisse.</v>
      </c>
    </row>
    <row r="4231" hidden="1">
      <c r="A4231" s="5" t="s">
        <v>11563</v>
      </c>
      <c r="B4231" s="2" t="s">
        <v>11564</v>
      </c>
      <c r="C4231" s="2" t="s">
        <v>11564</v>
      </c>
      <c r="D4231" s="4" t="str">
        <f>vlookup(A4231, Sheet2!D:E, 2, 0)</f>
        <v>control</v>
      </c>
      <c r="E4231" s="4" t="str">
        <f>IFERROR(__xludf.DUMMYFUNCTION("if(H4231=""pays"",vlookup(REGEXEXTRACT(C4231, ""🏘️ \w+ \w+ (.*) ✅""),'Country prepositions'!A:B, 2, 0) &amp; "" "" &amp; REGEXEXTRACT(C4231, ""🏘️ \w+ \w+ (.*) ✅"") ,  if(H4231=""quartier"",vlookup(REGEXEXTRACT(C4231, ""🏘️ \w+ \w+ (.*) ✅""),'Quartier prepositio"&amp;"ns'!A:E, 5, 0) ,  if(H4231=""region"",vlookup(REGEXEXTRACT(C4231, ""🏘️ \w+ \w+ (.*) ✅""),'Region prepositions'!B:F, 5, 0),  REGEXEXTRACT(C4231, ""🏘️ \w+ \w+ (.*) ✅""))))"),"#N/A")</f>
        <v>#N/A</v>
      </c>
      <c r="I4231" s="4" t="str">
        <f>IFERROR(__xludf.DUMMYFUNCTION("if(D4231=""variant"",  substitute(filter(Templates!E:E, Templates!A:A = F4231, Templates!B:B = G4231, Templates!C:C = H4231), ""{{}}"", E4231), B4231)"),"Louer maison Chexbres: Trouvez le bien immobilier qui correspond idéalement à vos désirs sur ImmoScout24 - La plateforme de l'immobilier en Suisse.")</f>
        <v>Louer maison Chexbres: Trouvez le bien immobilier qui correspond idéalement à vos désirs sur ImmoScout24 - La plateforme de l'immobilier en Suisse.</v>
      </c>
    </row>
    <row r="4232" hidden="1">
      <c r="A4232" s="5" t="s">
        <v>11565</v>
      </c>
      <c r="B4232" s="2" t="s">
        <v>11566</v>
      </c>
      <c r="C4232" s="2" t="s">
        <v>11566</v>
      </c>
      <c r="D4232" s="4" t="str">
        <f>vlookup(A4232, Sheet2!D:E, 2, 0)</f>
        <v>control</v>
      </c>
      <c r="E4232" s="4" t="str">
        <f>IFERROR(__xludf.DUMMYFUNCTION("if(H4232=""pays"",vlookup(REGEXEXTRACT(C4232, ""🏘️ \w+ \w+ (.*) ✅""),'Country prepositions'!A:B, 2, 0) &amp; "" "" &amp; REGEXEXTRACT(C4232, ""🏘️ \w+ \w+ (.*) ✅"") ,  if(H4232=""quartier"",vlookup(REGEXEXTRACT(C4232, ""🏘️ \w+ \w+ (.*) ✅""),'Quartier prepositio"&amp;"ns'!A:E, 5, 0) ,  if(H4232=""region"",vlookup(REGEXEXTRACT(C4232, ""🏘️ \w+ \w+ (.*) ✅""),'Region prepositions'!B:F, 5, 0),  REGEXEXTRACT(C4232, ""🏘️ \w+ \w+ (.*) ✅""))))"),"#N/A")</f>
        <v>#N/A</v>
      </c>
      <c r="I4232" s="4" t="str">
        <f>IFERROR(__xludf.DUMMYFUNCTION("if(D4232=""variant"",  substitute(filter(Templates!E:E, Templates!A:A = F4232, Templates!B:B = G4232, Templates!C:C = H4232), ""{{}}"", E4232), B4232)"),"Vendre maison Murten: Trouvez le bien immobilier qui correspond idéalement à vos désirs sur ImmoScout24 - La plateforme de l'immobilier en Suisse.")</f>
        <v>Vendre maison Murten: Trouvez le bien immobilier qui correspond idéalement à vos désirs sur ImmoScout24 - La plateforme de l'immobilier en Suisse.</v>
      </c>
    </row>
    <row r="4233" hidden="1">
      <c r="A4233" s="5" t="s">
        <v>11567</v>
      </c>
      <c r="B4233" s="2" t="s">
        <v>11568</v>
      </c>
      <c r="C4233" s="2" t="s">
        <v>11568</v>
      </c>
      <c r="D4233" s="4" t="str">
        <f>vlookup(A4233, Sheet2!D:E, 2, 0)</f>
        <v>control</v>
      </c>
      <c r="E4233" s="4" t="str">
        <f>IFERROR(__xludf.DUMMYFUNCTION("if(H4233=""pays"",vlookup(REGEXEXTRACT(C4233, ""🏘️ \w+ \w+ (.*) ✅""),'Country prepositions'!A:B, 2, 0) &amp; "" "" &amp; REGEXEXTRACT(C4233, ""🏘️ \w+ \w+ (.*) ✅"") ,  if(H4233=""quartier"",vlookup(REGEXEXTRACT(C4233, ""🏘️ \w+ \w+ (.*) ✅""),'Quartier prepositio"&amp;"ns'!A:E, 5, 0) ,  if(H4233=""region"",vlookup(REGEXEXTRACT(C4233, ""🏘️ \w+ \w+ (.*) ✅""),'Region prepositions'!B:F, 5, 0),  REGEXEXTRACT(C4233, ""🏘️ \w+ \w+ (.*) ✅""))))"),"#N/A")</f>
        <v>#N/A</v>
      </c>
      <c r="I4233" s="4" t="str">
        <f>IFERROR(__xludf.DUMMYFUNCTION("if(D4233=""variant"",  substitute(filter(Templates!E:E, Templates!A:A = F4233, Templates!B:B = G4233, Templates!C:C = H4233), ""{{}}"", E4233), B4233)"),"Vendre appartement Oberhofen am Thunersee: Trouvez le bien immobilier qui correspond idéalement à vos désirs sur ImmoScout24 - La plateforme de l'immobilier en Suisse.")</f>
        <v>Vendre appartement Oberhofen am Thunersee: Trouvez le bien immobilier qui correspond idéalement à vos désirs sur ImmoScout24 - La plateforme de l'immobilier en Suisse.</v>
      </c>
    </row>
    <row r="4234" hidden="1">
      <c r="A4234" s="5" t="s">
        <v>11569</v>
      </c>
      <c r="B4234" s="2" t="s">
        <v>11570</v>
      </c>
      <c r="C4234" s="2" t="s">
        <v>11570</v>
      </c>
      <c r="D4234" s="4" t="str">
        <f>vlookup(A4234, Sheet2!D:E, 2, 0)</f>
        <v>control</v>
      </c>
      <c r="E4234" s="4" t="str">
        <f>IFERROR(__xludf.DUMMYFUNCTION("if(H4234=""pays"",vlookup(REGEXEXTRACT(C4234, ""🏘️ \w+ \w+ (.*) ✅""),'Country prepositions'!A:B, 2, 0) &amp; "" "" &amp; REGEXEXTRACT(C4234, ""🏘️ \w+ \w+ (.*) ✅"") ,  if(H4234=""quartier"",vlookup(REGEXEXTRACT(C4234, ""🏘️ \w+ \w+ (.*) ✅""),'Quartier prepositio"&amp;"ns'!A:E, 5, 0) ,  if(H4234=""region"",vlookup(REGEXEXTRACT(C4234, ""🏘️ \w+ \w+ (.*) ✅""),'Region prepositions'!B:F, 5, 0),  REGEXEXTRACT(C4234, ""🏘️ \w+ \w+ (.*) ✅""))))"),"#N/A")</f>
        <v>#N/A</v>
      </c>
      <c r="I4234" s="4" t="str">
        <f>IFERROR(__xludf.DUMMYFUNCTION("if(D4234=""variant"",  substitute(filter(Templates!E:E, Templates!A:A = F4234, Templates!B:B = G4234, Templates!C:C = H4234), ""{{}}"", E4234), B4234)"),"Vendre maison Morrens VD: Trouvez le bien immobilier qui correspond idéalement à vos désirs sur ImmoScout24 - La plateforme de l'immobilier en Suisse.")</f>
        <v>Vendre maison Morrens VD: Trouvez le bien immobilier qui correspond idéalement à vos désirs sur ImmoScout24 - La plateforme de l'immobilier en Suisse.</v>
      </c>
    </row>
    <row r="4235" hidden="1">
      <c r="A4235" s="5" t="s">
        <v>11571</v>
      </c>
      <c r="B4235" s="2" t="s">
        <v>11572</v>
      </c>
      <c r="C4235" s="2" t="s">
        <v>11572</v>
      </c>
      <c r="D4235" s="4" t="str">
        <f>vlookup(A4235, Sheet2!D:E, 2, 0)</f>
        <v>control</v>
      </c>
      <c r="E4235" s="4" t="str">
        <f>IFERROR(__xludf.DUMMYFUNCTION("if(H4235=""pays"",vlookup(REGEXEXTRACT(C4235, ""🏘️ \w+ \w+ (.*) ✅""),'Country prepositions'!A:B, 2, 0) &amp; "" "" &amp; REGEXEXTRACT(C4235, ""🏘️ \w+ \w+ (.*) ✅"") ,  if(H4235=""quartier"",vlookup(REGEXEXTRACT(C4235, ""🏘️ \w+ \w+ (.*) ✅""),'Quartier prepositio"&amp;"ns'!A:E, 5, 0) ,  if(H4235=""region"",vlookup(REGEXEXTRACT(C4235, ""🏘️ \w+ \w+ (.*) ✅""),'Region prepositions'!B:F, 5, 0),  REGEXEXTRACT(C4235, ""🏘️ \w+ \w+ (.*) ✅""))))"),"#N/A")</f>
        <v>#N/A</v>
      </c>
      <c r="I4235" s="4" t="str">
        <f>IFERROR(__xludf.DUMMYFUNCTION("if(D4235=""variant"",  substitute(filter(Templates!E:E, Templates!A:A = F4235, Templates!B:B = G4235, Templates!C:C = H4235), ""{{}}"", E4235), B4235)"),"Louer appartement Cuarnens: Trouvez le bien immobilier qui correspond idéalement à vos désirs sur ImmoScout24 - La plateforme de l'immobilier en Suisse.")</f>
        <v>Louer appartement Cuarnens: Trouvez le bien immobilier qui correspond idéalement à vos désirs sur ImmoScout24 - La plateforme de l'immobilier en Suisse.</v>
      </c>
    </row>
    <row r="4236" hidden="1">
      <c r="A4236" s="5" t="s">
        <v>11573</v>
      </c>
      <c r="B4236" s="2" t="s">
        <v>11574</v>
      </c>
      <c r="C4236" s="2" t="s">
        <v>11574</v>
      </c>
      <c r="D4236" s="4" t="str">
        <f>vlookup(A4236, Sheet2!D:E, 2, 0)</f>
        <v>control</v>
      </c>
      <c r="E4236" s="4" t="str">
        <f>IFERROR(__xludf.DUMMYFUNCTION("if(H4236=""pays"",vlookup(REGEXEXTRACT(C4236, ""🏘️ \w+ \w+ (.*) ✅""),'Country prepositions'!A:B, 2, 0) &amp; "" "" &amp; REGEXEXTRACT(C4236, ""🏘️ \w+ \w+ (.*) ✅"") ,  if(H4236=""quartier"",vlookup(REGEXEXTRACT(C4236, ""🏘️ \w+ \w+ (.*) ✅""),'Quartier prepositio"&amp;"ns'!A:E, 5, 0) ,  if(H4236=""region"",vlookup(REGEXEXTRACT(C4236, ""🏘️ \w+ \w+ (.*) ✅""),'Region prepositions'!B:F, 5, 0),  REGEXEXTRACT(C4236, ""🏘️ \w+ \w+ (.*) ✅""))))"),"#N/A")</f>
        <v>#N/A</v>
      </c>
      <c r="I4236" s="4" t="str">
        <f>IFERROR(__xludf.DUMMYFUNCTION("if(D4236=""variant"",  substitute(filter(Templates!E:E, Templates!A:A = F4236, Templates!B:B = G4236, Templates!C:C = H4236), ""{{}}"", E4236), B4236)"),"Louer appartement Winterthur: Trouvez le bien immobilier qui correspond idéalement à vos désirs sur ImmoScout24 - La plateforme de l'immobilier en Suisse.")</f>
        <v>Louer appartement Winterthur: Trouvez le bien immobilier qui correspond idéalement à vos désirs sur ImmoScout24 - La plateforme de l'immobilier en Suisse.</v>
      </c>
    </row>
    <row r="4237" hidden="1">
      <c r="A4237" s="5" t="s">
        <v>11575</v>
      </c>
      <c r="B4237" s="2" t="s">
        <v>11576</v>
      </c>
      <c r="C4237" s="2" t="s">
        <v>11576</v>
      </c>
      <c r="D4237" s="4" t="str">
        <f>vlookup(A4237, Sheet2!D:E, 2, 0)</f>
        <v>control</v>
      </c>
      <c r="E4237" s="4" t="str">
        <f>IFERROR(__xludf.DUMMYFUNCTION("if(H4237=""pays"",vlookup(REGEXEXTRACT(C4237, ""🏘️ \w+ \w+ (.*) ✅""),'Country prepositions'!A:B, 2, 0) &amp; "" "" &amp; REGEXEXTRACT(C4237, ""🏘️ \w+ \w+ (.*) ✅"") ,  if(H4237=""quartier"",vlookup(REGEXEXTRACT(C4237, ""🏘️ \w+ \w+ (.*) ✅""),'Quartier prepositio"&amp;"ns'!A:E, 5, 0) ,  if(H4237=""region"",vlookup(REGEXEXTRACT(C4237, ""🏘️ \w+ \w+ (.*) ✅""),'Region prepositions'!B:F, 5, 0),  REGEXEXTRACT(C4237, ""🏘️ \w+ \w+ (.*) ✅""))))"),"#N/A")</f>
        <v>#N/A</v>
      </c>
      <c r="I4237" s="4" t="str">
        <f>IFERROR(__xludf.DUMMYFUNCTION("if(D4237=""variant"",  substitute(filter(Templates!E:E, Templates!A:A = F4237, Templates!B:B = G4237, Templates!C:C = H4237), ""{{}}"", E4237), B4237)"),"Louer appartement Turgi: Trouvez le bien immobilier qui correspond idéalement à vos désirs sur ImmoScout24 - La plateforme de l'immobilier en Suisse.")</f>
        <v>Louer appartement Turgi: Trouvez le bien immobilier qui correspond idéalement à vos désirs sur ImmoScout24 - La plateforme de l'immobilier en Suisse.</v>
      </c>
    </row>
    <row r="4238" hidden="1">
      <c r="A4238" s="5" t="s">
        <v>11577</v>
      </c>
      <c r="B4238" s="2" t="s">
        <v>11578</v>
      </c>
      <c r="C4238" s="2" t="s">
        <v>11578</v>
      </c>
      <c r="D4238" s="4" t="str">
        <f>vlookup(A4238, Sheet2!D:E, 2, 0)</f>
        <v>control</v>
      </c>
      <c r="E4238" s="4" t="str">
        <f>IFERROR(__xludf.DUMMYFUNCTION("if(H4238=""pays"",vlookup(REGEXEXTRACT(C4238, ""🏘️ \w+ \w+ (.*) ✅""),'Country prepositions'!A:B, 2, 0) &amp; "" "" &amp; REGEXEXTRACT(C4238, ""🏘️ \w+ \w+ (.*) ✅"") ,  if(H4238=""quartier"",vlookup(REGEXEXTRACT(C4238, ""🏘️ \w+ \w+ (.*) ✅""),'Quartier prepositio"&amp;"ns'!A:E, 5, 0) ,  if(H4238=""region"",vlookup(REGEXEXTRACT(C4238, ""🏘️ \w+ \w+ (.*) ✅""),'Region prepositions'!B:F, 5, 0),  REGEXEXTRACT(C4238, ""🏘️ \w+ \w+ (.*) ✅""))))"),"#N/A")</f>
        <v>#N/A</v>
      </c>
      <c r="I4238" s="4" t="str">
        <f>IFERROR(__xludf.DUMMYFUNCTION("if(D4238=""variant"",  substitute(filter(Templates!E:E, Templates!A:A = F4238, Templates!B:B = G4238, Templates!C:C = H4238), ""{{}}"", E4238), B4238)"),"Vendre appartement Greppen: Trouvez le bien immobilier qui correspond idéalement à vos désirs sur ImmoScout24 - La plateforme de l'immobilier en Suisse.")</f>
        <v>Vendre appartement Greppen: Trouvez le bien immobilier qui correspond idéalement à vos désirs sur ImmoScout24 - La plateforme de l'immobilier en Suisse.</v>
      </c>
    </row>
    <row r="4239" hidden="1">
      <c r="A4239" s="5" t="s">
        <v>11579</v>
      </c>
      <c r="B4239" s="2" t="s">
        <v>11580</v>
      </c>
      <c r="C4239" s="2" t="s">
        <v>11580</v>
      </c>
      <c r="D4239" s="4" t="str">
        <f>vlookup(A4239, Sheet2!D:E, 2, 0)</f>
        <v>control</v>
      </c>
      <c r="E4239" s="4" t="str">
        <f>IFERROR(__xludf.DUMMYFUNCTION("if(H4239=""pays"",vlookup(REGEXEXTRACT(C4239, ""🏘️ \w+ \w+ (.*) ✅""),'Country prepositions'!A:B, 2, 0) &amp; "" "" &amp; REGEXEXTRACT(C4239, ""🏘️ \w+ \w+ (.*) ✅"") ,  if(H4239=""quartier"",vlookup(REGEXEXTRACT(C4239, ""🏘️ \w+ \w+ (.*) ✅""),'Quartier prepositio"&amp;"ns'!A:E, 5, 0) ,  if(H4239=""region"",vlookup(REGEXEXTRACT(C4239, ""🏘️ \w+ \w+ (.*) ✅""),'Region prepositions'!B:F, 5, 0),  REGEXEXTRACT(C4239, ""🏘️ \w+ \w+ (.*) ✅""))))"),"#N/A")</f>
        <v>#N/A</v>
      </c>
      <c r="I4239" s="4" t="str">
        <f>IFERROR(__xludf.DUMMYFUNCTION("if(D4239=""variant"",  substitute(filter(Templates!E:E, Templates!A:A = F4239, Templates!B:B = G4239, Templates!C:C = H4239), ""{{}}"", E4239), B4239)"),"Louer appartement St-Saphorin (Lavaux): Trouvez le bien immobilier qui correspond idéalement à vos désirs sur ImmoScout24 - La plateforme de l'immobilier en Suisse.")</f>
        <v>Louer appartement St-Saphorin (Lavaux): Trouvez le bien immobilier qui correspond idéalement à vos désirs sur ImmoScout24 - La plateforme de l'immobilier en Suisse.</v>
      </c>
    </row>
    <row r="4240" hidden="1">
      <c r="A4240" s="5" t="s">
        <v>11581</v>
      </c>
      <c r="B4240" s="2" t="s">
        <v>11582</v>
      </c>
      <c r="C4240" s="2" t="s">
        <v>11582</v>
      </c>
      <c r="D4240" s="4" t="str">
        <f>vlookup(A4240, Sheet2!D:E, 2, 0)</f>
        <v>control</v>
      </c>
      <c r="E4240" s="4" t="str">
        <f>IFERROR(__xludf.DUMMYFUNCTION("if(H4240=""pays"",vlookup(REGEXEXTRACT(C4240, ""🏘️ \w+ \w+ (.*) ✅""),'Country prepositions'!A:B, 2, 0) &amp; "" "" &amp; REGEXEXTRACT(C4240, ""🏘️ \w+ \w+ (.*) ✅"") ,  if(H4240=""quartier"",vlookup(REGEXEXTRACT(C4240, ""🏘️ \w+ \w+ (.*) ✅""),'Quartier prepositio"&amp;"ns'!A:E, 5, 0) ,  if(H4240=""region"",vlookup(REGEXEXTRACT(C4240, ""🏘️ \w+ \w+ (.*) ✅""),'Region prepositions'!B:F, 5, 0),  REGEXEXTRACT(C4240, ""🏘️ \w+ \w+ (.*) ✅""))))"),"#N/A")</f>
        <v>#N/A</v>
      </c>
      <c r="I4240" s="4" t="str">
        <f>IFERROR(__xludf.DUMMYFUNCTION("if(D4240=""variant"",  substitute(filter(Templates!E:E, Templates!A:A = F4240, Templates!B:B = G4240, Templates!C:C = H4240), ""{{}}"", E4240), B4240)"),"Vendre appartement Flims Dorf: Trouvez le bien immobilier qui correspond idéalement à vos désirs sur ImmoScout24 - La plateforme de l'immobilier en Suisse.")</f>
        <v>Vendre appartement Flims Dorf: Trouvez le bien immobilier qui correspond idéalement à vos désirs sur ImmoScout24 - La plateforme de l'immobilier en Suisse.</v>
      </c>
    </row>
    <row r="4241" hidden="1">
      <c r="A4241" s="5" t="s">
        <v>11583</v>
      </c>
      <c r="B4241" s="2" t="s">
        <v>11584</v>
      </c>
      <c r="C4241" s="2" t="s">
        <v>11584</v>
      </c>
      <c r="D4241" s="4" t="str">
        <f>vlookup(A4241, Sheet2!D:E, 2, 0)</f>
        <v>control</v>
      </c>
      <c r="E4241" s="4" t="str">
        <f>IFERROR(__xludf.DUMMYFUNCTION("if(H4241=""pays"",vlookup(REGEXEXTRACT(C4241, ""🏘️ \w+ \w+ (.*) ✅""),'Country prepositions'!A:B, 2, 0) &amp; "" "" &amp; REGEXEXTRACT(C4241, ""🏘️ \w+ \w+ (.*) ✅"") ,  if(H4241=""quartier"",vlookup(REGEXEXTRACT(C4241, ""🏘️ \w+ \w+ (.*) ✅""),'Quartier prepositio"&amp;"ns'!A:E, 5, 0) ,  if(H4241=""region"",vlookup(REGEXEXTRACT(C4241, ""🏘️ \w+ \w+ (.*) ✅""),'Region prepositions'!B:F, 5, 0),  REGEXEXTRACT(C4241, ""🏘️ \w+ \w+ (.*) ✅""))))"),"#N/A")</f>
        <v>#N/A</v>
      </c>
      <c r="I4241" s="4" t="str">
        <f>IFERROR(__xludf.DUMMYFUNCTION("if(D4241=""variant"",  substitute(filter(Templates!E:E, Templates!A:A = F4241, Templates!B:B = G4241, Templates!C:C = H4241), ""{{}}"", E4241), B4241)"),"Vendre maison Bouloz: Trouvez le bien immobilier qui correspond idéalement à vos désirs sur ImmoScout24 - La plateforme de l'immobilier en Suisse.")</f>
        <v>Vendre maison Bouloz: Trouvez le bien immobilier qui correspond idéalement à vos désirs sur ImmoScout24 - La plateforme de l'immobilier en Suisse.</v>
      </c>
    </row>
    <row r="4242" hidden="1">
      <c r="A4242" s="5" t="s">
        <v>11585</v>
      </c>
      <c r="B4242" s="2" t="s">
        <v>11586</v>
      </c>
      <c r="C4242" s="2" t="s">
        <v>11586</v>
      </c>
      <c r="D4242" s="4" t="str">
        <f>vlookup(A4242, Sheet2!D:E, 2, 0)</f>
        <v>control</v>
      </c>
      <c r="E4242" s="4" t="str">
        <f>IFERROR(__xludf.DUMMYFUNCTION("if(H4242=""pays"",vlookup(REGEXEXTRACT(C4242, ""🏘️ \w+ \w+ (.*) ✅""),'Country prepositions'!A:B, 2, 0) &amp; "" "" &amp; REGEXEXTRACT(C4242, ""🏘️ \w+ \w+ (.*) ✅"") ,  if(H4242=""quartier"",vlookup(REGEXEXTRACT(C4242, ""🏘️ \w+ \w+ (.*) ✅""),'Quartier prepositio"&amp;"ns'!A:E, 5, 0) ,  if(H4242=""region"",vlookup(REGEXEXTRACT(C4242, ""🏘️ \w+ \w+ (.*) ✅""),'Region prepositions'!B:F, 5, 0),  REGEXEXTRACT(C4242, ""🏘️ \w+ \w+ (.*) ✅""))))"),"#N/A")</f>
        <v>#N/A</v>
      </c>
      <c r="I4242" s="4" t="str">
        <f>IFERROR(__xludf.DUMMYFUNCTION("if(D4242=""variant"",  substitute(filter(Templates!E:E, Templates!A:A = F4242, Templates!B:B = G4242, Templates!C:C = H4242), ""{{}}"", E4242), B4242)"),"Louer appartement Rheineck: Trouvez le bien immobilier qui correspond idéalement à vos désirs sur ImmoScout24 - La plateforme de l'immobilier en Suisse.")</f>
        <v>Louer appartement Rheineck: Trouvez le bien immobilier qui correspond idéalement à vos désirs sur ImmoScout24 - La plateforme de l'immobilier en Suisse.</v>
      </c>
    </row>
    <row r="4243" hidden="1">
      <c r="A4243" s="5" t="s">
        <v>11587</v>
      </c>
      <c r="B4243" s="2" t="s">
        <v>11588</v>
      </c>
      <c r="C4243" s="2" t="s">
        <v>11588</v>
      </c>
      <c r="D4243" s="4" t="str">
        <f>vlookup(A4243, Sheet2!D:E, 2, 0)</f>
        <v>control</v>
      </c>
      <c r="E4243" s="4" t="str">
        <f>IFERROR(__xludf.DUMMYFUNCTION("if(H4243=""pays"",vlookup(REGEXEXTRACT(C4243, ""🏘️ \w+ \w+ (.*) ✅""),'Country prepositions'!A:B, 2, 0) &amp; "" "" &amp; REGEXEXTRACT(C4243, ""🏘️ \w+ \w+ (.*) ✅"") ,  if(H4243=""quartier"",vlookup(REGEXEXTRACT(C4243, ""🏘️ \w+ \w+ (.*) ✅""),'Quartier prepositio"&amp;"ns'!A:E, 5, 0) ,  if(H4243=""region"",vlookup(REGEXEXTRACT(C4243, ""🏘️ \w+ \w+ (.*) ✅""),'Region prepositions'!B:F, 5, 0),  REGEXEXTRACT(C4243, ""🏘️ \w+ \w+ (.*) ✅""))))"),"#N/A")</f>
        <v>#N/A</v>
      </c>
      <c r="I4243" s="4" t="str">
        <f>IFERROR(__xludf.DUMMYFUNCTION("if(D4243=""variant"",  substitute(filter(Templates!E:E, Templates!A:A = F4243, Templates!B:B = G4243, Templates!C:C = H4243), ""{{}}"", E4243), B4243)"),"Louer appartement Zuben: Trouvez le bien immobilier qui correspond idéalement à vos désirs sur ImmoScout24 - La plateforme de l'immobilier en Suisse.")</f>
        <v>Louer appartement Zuben: Trouvez le bien immobilier qui correspond idéalement à vos désirs sur ImmoScout24 - La plateforme de l'immobilier en Suisse.</v>
      </c>
    </row>
    <row r="4244" hidden="1">
      <c r="A4244" s="5" t="s">
        <v>11589</v>
      </c>
      <c r="B4244" s="2" t="s">
        <v>11590</v>
      </c>
      <c r="C4244" s="2" t="s">
        <v>11590</v>
      </c>
      <c r="D4244" s="4" t="str">
        <f>vlookup(A4244, Sheet2!D:E, 2, 0)</f>
        <v>control</v>
      </c>
      <c r="E4244" s="4" t="str">
        <f>IFERROR(__xludf.DUMMYFUNCTION("if(H4244=""pays"",vlookup(REGEXEXTRACT(C4244, ""🏘️ \w+ \w+ (.*) ✅""),'Country prepositions'!A:B, 2, 0) &amp; "" "" &amp; REGEXEXTRACT(C4244, ""🏘️ \w+ \w+ (.*) ✅"") ,  if(H4244=""quartier"",vlookup(REGEXEXTRACT(C4244, ""🏘️ \w+ \w+ (.*) ✅""),'Quartier prepositio"&amp;"ns'!A:E, 5, 0) ,  if(H4244=""region"",vlookup(REGEXEXTRACT(C4244, ""🏘️ \w+ \w+ (.*) ✅""),'Region prepositions'!B:F, 5, 0),  REGEXEXTRACT(C4244, ""🏘️ \w+ \w+ (.*) ✅""))))"),"#N/A")</f>
        <v>#N/A</v>
      </c>
      <c r="I4244" s="4" t="str">
        <f>IFERROR(__xludf.DUMMYFUNCTION("if(D4244=""variant"",  substitute(filter(Templates!E:E, Templates!A:A = F4244, Templates!B:B = G4244, Templates!C:C = H4244), ""{{}}"", E4244), B4244)"),"Louer appartement Le Brassus: Trouvez le bien immobilier qui correspond idéalement à vos désirs sur ImmoScout24 - La plateforme de l'immobilier en Suisse.")</f>
        <v>Louer appartement Le Brassus: Trouvez le bien immobilier qui correspond idéalement à vos désirs sur ImmoScout24 - La plateforme de l'immobilier en Suisse.</v>
      </c>
    </row>
    <row r="4245" hidden="1">
      <c r="A4245" s="5" t="s">
        <v>11591</v>
      </c>
      <c r="B4245" s="2" t="s">
        <v>11592</v>
      </c>
      <c r="C4245" s="2" t="s">
        <v>11592</v>
      </c>
      <c r="D4245" s="4" t="str">
        <f>vlookup(A4245, Sheet2!D:E, 2, 0)</f>
        <v>control</v>
      </c>
      <c r="E4245" s="4" t="str">
        <f>IFERROR(__xludf.DUMMYFUNCTION("if(H4245=""pays"",vlookup(REGEXEXTRACT(C4245, ""🏘️ \w+ \w+ (.*) ✅""),'Country prepositions'!A:B, 2, 0) &amp; "" "" &amp; REGEXEXTRACT(C4245, ""🏘️ \w+ \w+ (.*) ✅"") ,  if(H4245=""quartier"",vlookup(REGEXEXTRACT(C4245, ""🏘️ \w+ \w+ (.*) ✅""),'Quartier prepositio"&amp;"ns'!A:E, 5, 0) ,  if(H4245=""region"",vlookup(REGEXEXTRACT(C4245, ""🏘️ \w+ \w+ (.*) ✅""),'Region prepositions'!B:F, 5, 0),  REGEXEXTRACT(C4245, ""🏘️ \w+ \w+ (.*) ✅""))))"),"#N/A")</f>
        <v>#N/A</v>
      </c>
      <c r="I4245" s="4" t="str">
        <f>IFERROR(__xludf.DUMMYFUNCTION("if(D4245=""variant"",  substitute(filter(Templates!E:E, Templates!A:A = F4245, Templates!B:B = G4245, Templates!C:C = H4245), ""{{}}"", E4245), B4245)"),"Vendre appartement Canton de St. Gall: Trouvez le bien immobilier qui correspond idéalement à vos désirs sur ImmoScout24 - La plateforme de l'immobilier en Suisse.")</f>
        <v>Vendre appartement Canton de St. Gall: Trouvez le bien immobilier qui correspond idéalement à vos désirs sur ImmoScout24 - La plateforme de l'immobilier en Suisse.</v>
      </c>
    </row>
    <row r="4246" hidden="1">
      <c r="A4246" s="5" t="s">
        <v>11593</v>
      </c>
      <c r="B4246" s="2" t="s">
        <v>11594</v>
      </c>
      <c r="C4246" s="2" t="s">
        <v>11594</v>
      </c>
      <c r="D4246" s="4" t="str">
        <f>vlookup(A4246, Sheet2!D:E, 2, 0)</f>
        <v>control</v>
      </c>
      <c r="E4246" s="4" t="str">
        <f>IFERROR(__xludf.DUMMYFUNCTION("if(H4246=""pays"",vlookup(REGEXEXTRACT(C4246, ""🏘️ \w+ \w+ (.*) ✅""),'Country prepositions'!A:B, 2, 0) &amp; "" "" &amp; REGEXEXTRACT(C4246, ""🏘️ \w+ \w+ (.*) ✅"") ,  if(H4246=""quartier"",vlookup(REGEXEXTRACT(C4246, ""🏘️ \w+ \w+ (.*) ✅""),'Quartier prepositio"&amp;"ns'!A:E, 5, 0) ,  if(H4246=""region"",vlookup(REGEXEXTRACT(C4246, ""🏘️ \w+ \w+ (.*) ✅""),'Region prepositions'!B:F, 5, 0),  REGEXEXTRACT(C4246, ""🏘️ \w+ \w+ (.*) ✅""))))"),"#N/A")</f>
        <v>#N/A</v>
      </c>
      <c r="I4246" s="4" t="str">
        <f>IFERROR(__xludf.DUMMYFUNCTION("if(D4246=""variant"",  substitute(filter(Templates!E:E, Templates!A:A = F4246, Templates!B:B = G4246, Templates!C:C = H4246), ""{{}}"", E4246), B4246)"),"Vendre maison Enney: Trouvez le bien immobilier qui correspond idéalement à vos désirs sur ImmoScout24 - La plateforme de l'immobilier en Suisse.")</f>
        <v>Vendre maison Enney: Trouvez le bien immobilier qui correspond idéalement à vos désirs sur ImmoScout24 - La plateforme de l'immobilier en Suisse.</v>
      </c>
    </row>
    <row r="4247" hidden="1">
      <c r="A4247" s="5" t="s">
        <v>11595</v>
      </c>
      <c r="B4247" s="2" t="s">
        <v>11596</v>
      </c>
      <c r="C4247" s="2" t="s">
        <v>11596</v>
      </c>
      <c r="D4247" s="4" t="str">
        <f>vlookup(A4247, Sheet2!D:E, 2, 0)</f>
        <v>control</v>
      </c>
      <c r="E4247" s="4" t="str">
        <f>IFERROR(__xludf.DUMMYFUNCTION("if(H4247=""pays"",vlookup(REGEXEXTRACT(C4247, ""🏘️ \w+ \w+ (.*) ✅""),'Country prepositions'!A:B, 2, 0) &amp; "" "" &amp; REGEXEXTRACT(C4247, ""🏘️ \w+ \w+ (.*) ✅"") ,  if(H4247=""quartier"",vlookup(REGEXEXTRACT(C4247, ""🏘️ \w+ \w+ (.*) ✅""),'Quartier prepositio"&amp;"ns'!A:E, 5, 0) ,  if(H4247=""region"",vlookup(REGEXEXTRACT(C4247, ""🏘️ \w+ \w+ (.*) ✅""),'Region prepositions'!B:F, 5, 0),  REGEXEXTRACT(C4247, ""🏘️ \w+ \w+ (.*) ✅""))))"),"#N/A")</f>
        <v>#N/A</v>
      </c>
      <c r="I4247" s="4" t="str">
        <f>IFERROR(__xludf.DUMMYFUNCTION("if(D4247=""variant"",  substitute(filter(Templates!E:E, Templates!A:A = F4247, Templates!B:B = G4247, Templates!C:C = H4247), ""{{}}"", E4247), B4247)"),"Louer appartement Courchapoix: Trouvez le bien immobilier qui correspond idéalement à vos désirs sur ImmoScout24 - La plateforme de l'immobilier en Suisse.")</f>
        <v>Louer appartement Courchapoix: Trouvez le bien immobilier qui correspond idéalement à vos désirs sur ImmoScout24 - La plateforme de l'immobilier en Suisse.</v>
      </c>
    </row>
    <row r="4248" hidden="1">
      <c r="A4248" s="5" t="s">
        <v>11597</v>
      </c>
      <c r="B4248" s="2" t="s">
        <v>11598</v>
      </c>
      <c r="C4248" s="2" t="s">
        <v>11598</v>
      </c>
      <c r="D4248" s="4" t="str">
        <f>vlookup(A4248, Sheet2!D:E, 2, 0)</f>
        <v>control</v>
      </c>
      <c r="E4248" s="4" t="str">
        <f>IFERROR(__xludf.DUMMYFUNCTION("if(H4248=""pays"",vlookup(REGEXEXTRACT(C4248, ""🏘️ \w+ \w+ (.*) ✅""),'Country prepositions'!A:B, 2, 0) &amp; "" "" &amp; REGEXEXTRACT(C4248, ""🏘️ \w+ \w+ (.*) ✅"") ,  if(H4248=""quartier"",vlookup(REGEXEXTRACT(C4248, ""🏘️ \w+ \w+ (.*) ✅""),'Quartier prepositio"&amp;"ns'!A:E, 5, 0) ,  if(H4248=""region"",vlookup(REGEXEXTRACT(C4248, ""🏘️ \w+ \w+ (.*) ✅""),'Region prepositions'!B:F, 5, 0),  REGEXEXTRACT(C4248, ""🏘️ \w+ \w+ (.*) ✅""))))"),"#N/A")</f>
        <v>#N/A</v>
      </c>
      <c r="I4248" s="4" t="str">
        <f>IFERROR(__xludf.DUMMYFUNCTION("if(D4248=""variant"",  substitute(filter(Templates!E:E, Templates!A:A = F4248, Templates!B:B = G4248, Templates!C:C = H4248), ""{{}}"", E4248), B4248)"),"Louer appartement Champvent: Trouvez le bien immobilier qui correspond idéalement à vos désirs sur ImmoScout24 - La plateforme de l'immobilier en Suisse.")</f>
        <v>Louer appartement Champvent: Trouvez le bien immobilier qui correspond idéalement à vos désirs sur ImmoScout24 - La plateforme de l'immobilier en Suisse.</v>
      </c>
    </row>
    <row r="4249" hidden="1">
      <c r="A4249" s="5" t="s">
        <v>11599</v>
      </c>
      <c r="B4249" s="2" t="s">
        <v>11600</v>
      </c>
      <c r="C4249" s="2" t="s">
        <v>11600</v>
      </c>
      <c r="D4249" s="4" t="str">
        <f>vlookup(A4249, Sheet2!D:E, 2, 0)</f>
        <v>control</v>
      </c>
      <c r="E4249" s="4" t="str">
        <f>IFERROR(__xludf.DUMMYFUNCTION("if(H4249=""pays"",vlookup(REGEXEXTRACT(C4249, ""🏘️ \w+ \w+ (.*) ✅""),'Country prepositions'!A:B, 2, 0) &amp; "" "" &amp; REGEXEXTRACT(C4249, ""🏘️ \w+ \w+ (.*) ✅"") ,  if(H4249=""quartier"",vlookup(REGEXEXTRACT(C4249, ""🏘️ \w+ \w+ (.*) ✅""),'Quartier prepositio"&amp;"ns'!A:E, 5, 0) ,  if(H4249=""region"",vlookup(REGEXEXTRACT(C4249, ""🏘️ \w+ \w+ (.*) ✅""),'Region prepositions'!B:F, 5, 0),  REGEXEXTRACT(C4249, ""🏘️ \w+ \w+ (.*) ✅""))))"),"#N/A")</f>
        <v>#N/A</v>
      </c>
      <c r="I4249" s="4" t="str">
        <f>IFERROR(__xludf.DUMMYFUNCTION("if(D4249=""variant"",  substitute(filter(Templates!E:E, Templates!A:A = F4249, Templates!B:B = G4249, Templates!C:C = H4249), ""{{}}"", E4249), B4249)"),"Vendre appartement Hinterkappelen: Trouvez le bien immobilier qui correspond idéalement à vos désirs sur ImmoScout24 - La plateforme de l'immobilier en Suisse.")</f>
        <v>Vendre appartement Hinterkappelen: Trouvez le bien immobilier qui correspond idéalement à vos désirs sur ImmoScout24 - La plateforme de l'immobilier en Suisse.</v>
      </c>
    </row>
    <row r="4250" hidden="1">
      <c r="A4250" s="5" t="s">
        <v>11601</v>
      </c>
      <c r="B4250" s="2" t="s">
        <v>11602</v>
      </c>
      <c r="C4250" s="2" t="s">
        <v>11602</v>
      </c>
      <c r="D4250" s="4" t="str">
        <f>vlookup(A4250, Sheet2!D:E, 2, 0)</f>
        <v>control</v>
      </c>
      <c r="E4250" s="4" t="str">
        <f>IFERROR(__xludf.DUMMYFUNCTION("if(H4250=""pays"",vlookup(REGEXEXTRACT(C4250, ""🏘️ \w+ \w+ (.*) ✅""),'Country prepositions'!A:B, 2, 0) &amp; "" "" &amp; REGEXEXTRACT(C4250, ""🏘️ \w+ \w+ (.*) ✅"") ,  if(H4250=""quartier"",vlookup(REGEXEXTRACT(C4250, ""🏘️ \w+ \w+ (.*) ✅""),'Quartier prepositio"&amp;"ns'!A:E, 5, 0) ,  if(H4250=""region"",vlookup(REGEXEXTRACT(C4250, ""🏘️ \w+ \w+ (.*) ✅""),'Region prepositions'!B:F, 5, 0),  REGEXEXTRACT(C4250, ""🏘️ \w+ \w+ (.*) ✅""))))"),"#N/A")</f>
        <v>#N/A</v>
      </c>
      <c r="I4250" s="4" t="str">
        <f>IFERROR(__xludf.DUMMYFUNCTION("if(D4250=""variant"",  substitute(filter(Templates!E:E, Templates!A:A = F4250, Templates!B:B = G4250, Templates!C:C = H4250), ""{{}}"", E4250), B4250)"),"Vendre maison Canton du Tessin: Trouvez le bien immobilier qui correspond idéalement à vos désirs sur ImmoScout24 - La plateforme de l'immobilier en Suisse.")</f>
        <v>Vendre maison Canton du Tessin: Trouvez le bien immobilier qui correspond idéalement à vos désirs sur ImmoScout24 - La plateforme de l'immobilier en Suisse.</v>
      </c>
    </row>
    <row r="4251" hidden="1">
      <c r="A4251" s="5" t="s">
        <v>11603</v>
      </c>
      <c r="B4251" s="2" t="s">
        <v>11604</v>
      </c>
      <c r="C4251" s="2" t="s">
        <v>11604</v>
      </c>
      <c r="D4251" s="4" t="str">
        <f>vlookup(A4251, Sheet2!D:E, 2, 0)</f>
        <v>control</v>
      </c>
      <c r="E4251" s="4" t="str">
        <f>IFERROR(__xludf.DUMMYFUNCTION("if(H4251=""pays"",vlookup(REGEXEXTRACT(C4251, ""🏘️ \w+ \w+ (.*) ✅""),'Country prepositions'!A:B, 2, 0) &amp; "" "" &amp; REGEXEXTRACT(C4251, ""🏘️ \w+ \w+ (.*) ✅"") ,  if(H4251=""quartier"",vlookup(REGEXEXTRACT(C4251, ""🏘️ \w+ \w+ (.*) ✅""),'Quartier prepositio"&amp;"ns'!A:E, 5, 0) ,  if(H4251=""region"",vlookup(REGEXEXTRACT(C4251, ""🏘️ \w+ \w+ (.*) ✅""),'Region prepositions'!B:F, 5, 0),  REGEXEXTRACT(C4251, ""🏘️ \w+ \w+ (.*) ✅""))))"),"#N/A")</f>
        <v>#N/A</v>
      </c>
      <c r="I4251" s="4" t="str">
        <f>IFERROR(__xludf.DUMMYFUNCTION("if(D4251=""variant"",  substitute(filter(Templates!E:E, Templates!A:A = F4251, Templates!B:B = G4251, Templates!C:C = H4251), ""{{}}"", E4251), B4251)"),"Louer appartement Mézières VD: Trouvez le bien immobilier qui correspond idéalement à vos désirs sur ImmoScout24 - La plateforme de l'immobilier en Suisse.")</f>
        <v>Louer appartement Mézières VD: Trouvez le bien immobilier qui correspond idéalement à vos désirs sur ImmoScout24 - La plateforme de l'immobilier en Suisse.</v>
      </c>
    </row>
    <row r="4252" hidden="1">
      <c r="A4252" s="5" t="s">
        <v>11605</v>
      </c>
      <c r="B4252" s="2" t="s">
        <v>11606</v>
      </c>
      <c r="C4252" s="2" t="s">
        <v>11606</v>
      </c>
      <c r="D4252" s="4" t="str">
        <f>vlookup(A4252, Sheet2!D:E, 2, 0)</f>
        <v>control</v>
      </c>
      <c r="E4252" s="4" t="str">
        <f>IFERROR(__xludf.DUMMYFUNCTION("if(H4252=""pays"",vlookup(REGEXEXTRACT(C4252, ""🏘️ \w+ \w+ (.*) ✅""),'Country prepositions'!A:B, 2, 0) &amp; "" "" &amp; REGEXEXTRACT(C4252, ""🏘️ \w+ \w+ (.*) ✅"") ,  if(H4252=""quartier"",vlookup(REGEXEXTRACT(C4252, ""🏘️ \w+ \w+ (.*) ✅""),'Quartier prepositio"&amp;"ns'!A:E, 5, 0) ,  if(H4252=""region"",vlookup(REGEXEXTRACT(C4252, ""🏘️ \w+ \w+ (.*) ✅""),'Region prepositions'!B:F, 5, 0),  REGEXEXTRACT(C4252, ""🏘️ \w+ \w+ (.*) ✅""))))"),"#N/A")</f>
        <v>#N/A</v>
      </c>
      <c r="I4252" s="4" t="str">
        <f>IFERROR(__xludf.DUMMYFUNCTION("if(D4252=""variant"",  substitute(filter(Templates!E:E, Templates!A:A = F4252, Templates!B:B = G4252, Templates!C:C = H4252), ""{{}}"", E4252), B4252)"),"Louer appartement Hongrie: Trouvez le bien immobilier qui correspond idéalement à vos désirs sur ImmoScout24 - La plateforme de l'immobilier en Suisse.")</f>
        <v>Louer appartement Hongrie: Trouvez le bien immobilier qui correspond idéalement à vos désirs sur ImmoScout24 - La plateforme de l'immobilier en Suisse.</v>
      </c>
    </row>
    <row r="4253" hidden="1">
      <c r="A4253" s="5" t="s">
        <v>11607</v>
      </c>
      <c r="B4253" s="2" t="s">
        <v>11608</v>
      </c>
      <c r="C4253" s="2" t="s">
        <v>11608</v>
      </c>
      <c r="D4253" s="4" t="str">
        <f>vlookup(A4253, Sheet2!D:E, 2, 0)</f>
        <v>control</v>
      </c>
      <c r="E4253" s="4" t="str">
        <f>IFERROR(__xludf.DUMMYFUNCTION("if(H4253=""pays"",vlookup(REGEXEXTRACT(C4253, ""🏘️ \w+ \w+ (.*) ✅""),'Country prepositions'!A:B, 2, 0) &amp; "" "" &amp; REGEXEXTRACT(C4253, ""🏘️ \w+ \w+ (.*) ✅"") ,  if(H4253=""quartier"",vlookup(REGEXEXTRACT(C4253, ""🏘️ \w+ \w+ (.*) ✅""),'Quartier prepositio"&amp;"ns'!A:E, 5, 0) ,  if(H4253=""region"",vlookup(REGEXEXTRACT(C4253, ""🏘️ \w+ \w+ (.*) ✅""),'Region prepositions'!B:F, 5, 0),  REGEXEXTRACT(C4253, ""🏘️ \w+ \w+ (.*) ✅""))))"),"#N/A")</f>
        <v>#N/A</v>
      </c>
      <c r="I4253" s="4" t="str">
        <f>IFERROR(__xludf.DUMMYFUNCTION("if(D4253=""variant"",  substitute(filter(Templates!E:E, Templates!A:A = F4253, Templates!B:B = G4253, Templates!C:C = H4253), ""{{}}"", E4253), B4253)"),"Louer appartement Arnegg: Trouvez le bien immobilier qui correspond idéalement à vos désirs sur ImmoScout24 - La plateforme de l'immobilier en Suisse.")</f>
        <v>Louer appartement Arnegg: Trouvez le bien immobilier qui correspond idéalement à vos désirs sur ImmoScout24 - La plateforme de l'immobilier en Suisse.</v>
      </c>
    </row>
    <row r="4254" hidden="1">
      <c r="A4254" s="5" t="s">
        <v>11609</v>
      </c>
      <c r="B4254" s="2" t="s">
        <v>11610</v>
      </c>
      <c r="C4254" s="2" t="s">
        <v>11610</v>
      </c>
      <c r="D4254" s="4" t="str">
        <f>vlookup(A4254, Sheet2!D:E, 2, 0)</f>
        <v>control</v>
      </c>
      <c r="E4254" s="4" t="str">
        <f>IFERROR(__xludf.DUMMYFUNCTION("if(H4254=""pays"",vlookup(REGEXEXTRACT(C4254, ""🏘️ \w+ \w+ (.*) ✅""),'Country prepositions'!A:B, 2, 0) &amp; "" "" &amp; REGEXEXTRACT(C4254, ""🏘️ \w+ \w+ (.*) ✅"") ,  if(H4254=""quartier"",vlookup(REGEXEXTRACT(C4254, ""🏘️ \w+ \w+ (.*) ✅""),'Quartier prepositio"&amp;"ns'!A:E, 5, 0) ,  if(H4254=""region"",vlookup(REGEXEXTRACT(C4254, ""🏘️ \w+ \w+ (.*) ✅""),'Region prepositions'!B:F, 5, 0),  REGEXEXTRACT(C4254, ""🏘️ \w+ \w+ (.*) ✅""))))"),"#N/A")</f>
        <v>#N/A</v>
      </c>
      <c r="I4254" s="4" t="str">
        <f>IFERROR(__xludf.DUMMYFUNCTION("if(D4254=""variant"",  substitute(filter(Templates!E:E, Templates!A:A = F4254, Templates!B:B = G4254, Templates!C:C = H4254), ""{{}}"", E4254), B4254)"),"Louer appartement Schmerikon: Trouvez le bien immobilier qui correspond idéalement à vos désirs sur ImmoScout24 - La plateforme de l'immobilier en Suisse.")</f>
        <v>Louer appartement Schmerikon: Trouvez le bien immobilier qui correspond idéalement à vos désirs sur ImmoScout24 - La plateforme de l'immobilier en Suisse.</v>
      </c>
    </row>
    <row r="4255" hidden="1">
      <c r="A4255" s="5" t="s">
        <v>11611</v>
      </c>
      <c r="B4255" s="2" t="s">
        <v>11612</v>
      </c>
      <c r="C4255" s="2" t="s">
        <v>11612</v>
      </c>
      <c r="D4255" s="4" t="str">
        <f>vlookup(A4255, Sheet2!D:E, 2, 0)</f>
        <v>control</v>
      </c>
      <c r="E4255" s="4" t="str">
        <f>IFERROR(__xludf.DUMMYFUNCTION("if(H4255=""pays"",vlookup(REGEXEXTRACT(C4255, ""🏘️ \w+ \w+ (.*) ✅""),'Country prepositions'!A:B, 2, 0) &amp; "" "" &amp; REGEXEXTRACT(C4255, ""🏘️ \w+ \w+ (.*) ✅"") ,  if(H4255=""quartier"",vlookup(REGEXEXTRACT(C4255, ""🏘️ \w+ \w+ (.*) ✅""),'Quartier prepositio"&amp;"ns'!A:E, 5, 0) ,  if(H4255=""region"",vlookup(REGEXEXTRACT(C4255, ""🏘️ \w+ \w+ (.*) ✅""),'Region prepositions'!B:F, 5, 0),  REGEXEXTRACT(C4255, ""🏘️ \w+ \w+ (.*) ✅""))))"),"#N/A")</f>
        <v>#N/A</v>
      </c>
      <c r="I4255" s="4" t="str">
        <f>IFERROR(__xludf.DUMMYFUNCTION("if(D4255=""variant"",  substitute(filter(Templates!E:E, Templates!A:A = F4255, Templates!B:B = G4255, Templates!C:C = H4255), ""{{}}"", E4255), B4255)"),"Louer appartement Châtillens: Trouvez le bien immobilier qui correspond idéalement à vos désirs sur ImmoScout24 - La plateforme de l'immobilier en Suisse.")</f>
        <v>Louer appartement Châtillens: Trouvez le bien immobilier qui correspond idéalement à vos désirs sur ImmoScout24 - La plateforme de l'immobilier en Suisse.</v>
      </c>
    </row>
    <row r="4256" hidden="1">
      <c r="A4256" s="5" t="s">
        <v>11613</v>
      </c>
      <c r="B4256" s="2" t="s">
        <v>11614</v>
      </c>
      <c r="C4256" s="2" t="s">
        <v>11614</v>
      </c>
      <c r="D4256" s="4" t="str">
        <f>vlookup(A4256, Sheet2!D:E, 2, 0)</f>
        <v>control</v>
      </c>
      <c r="E4256" s="4" t="str">
        <f>IFERROR(__xludf.DUMMYFUNCTION("if(H4256=""pays"",vlookup(REGEXEXTRACT(C4256, ""🏘️ \w+ \w+ (.*) ✅""),'Country prepositions'!A:B, 2, 0) &amp; "" "" &amp; REGEXEXTRACT(C4256, ""🏘️ \w+ \w+ (.*) ✅"") ,  if(H4256=""quartier"",vlookup(REGEXEXTRACT(C4256, ""🏘️ \w+ \w+ (.*) ✅""),'Quartier prepositio"&amp;"ns'!A:E, 5, 0) ,  if(H4256=""region"",vlookup(REGEXEXTRACT(C4256, ""🏘️ \w+ \w+ (.*) ✅""),'Region prepositions'!B:F, 5, 0),  REGEXEXTRACT(C4256, ""🏘️ \w+ \w+ (.*) ✅""))))"),"#N/A")</f>
        <v>#N/A</v>
      </c>
      <c r="I4256" s="4" t="str">
        <f>IFERROR(__xludf.DUMMYFUNCTION("if(D4256=""variant"",  substitute(filter(Templates!E:E, Templates!A:A = F4256, Templates!B:B = G4256, Templates!C:C = H4256), ""{{}}"", E4256), B4256)"),"Louer appartement Neustadt - Voltastrasse (Lucerne): Trouvez le bien immobilier qui correspond idéalement à vos désirs sur ImmoScout24 - La plateforme de l'immobilier en Suisse.")</f>
        <v>Louer appartement Neustadt - Voltastrasse (Lucerne): Trouvez le bien immobilier qui correspond idéalement à vos désirs sur ImmoScout24 - La plateforme de l'immobilier en Suisse.</v>
      </c>
    </row>
    <row r="4257" hidden="1">
      <c r="A4257" s="5" t="s">
        <v>11615</v>
      </c>
      <c r="B4257" s="2" t="s">
        <v>11616</v>
      </c>
      <c r="C4257" s="2" t="s">
        <v>11616</v>
      </c>
      <c r="D4257" s="4" t="str">
        <f>vlookup(A4257, Sheet2!D:E, 2, 0)</f>
        <v>control</v>
      </c>
      <c r="E4257" s="4" t="str">
        <f>IFERROR(__xludf.DUMMYFUNCTION("if(H4257=""pays"",vlookup(REGEXEXTRACT(C4257, ""🏘️ \w+ \w+ (.*) ✅""),'Country prepositions'!A:B, 2, 0) &amp; "" "" &amp; REGEXEXTRACT(C4257, ""🏘️ \w+ \w+ (.*) ✅"") ,  if(H4257=""quartier"",vlookup(REGEXEXTRACT(C4257, ""🏘️ \w+ \w+ (.*) ✅""),'Quartier prepositio"&amp;"ns'!A:E, 5, 0) ,  if(H4257=""region"",vlookup(REGEXEXTRACT(C4257, ""🏘️ \w+ \w+ (.*) ✅""),'Region prepositions'!B:F, 5, 0),  REGEXEXTRACT(C4257, ""🏘️ \w+ \w+ (.*) ✅""))))"),"#N/A")</f>
        <v>#N/A</v>
      </c>
      <c r="I4257" s="4" t="str">
        <f>IFERROR(__xludf.DUMMYFUNCTION("if(D4257=""variant"",  substitute(filter(Templates!E:E, Templates!A:A = F4257, Templates!B:B = G4257, Templates!C:C = H4257), ""{{}}"", E4257), B4257)"),"Vendre maison Hendschiken: Trouvez le bien immobilier qui correspond idéalement à vos désirs sur ImmoScout24 - La plateforme de l'immobilier en Suisse.")</f>
        <v>Vendre maison Hendschiken: Trouvez le bien immobilier qui correspond idéalement à vos désirs sur ImmoScout24 - La plateforme de l'immobilier en Suisse.</v>
      </c>
    </row>
    <row r="4258" hidden="1">
      <c r="A4258" s="5" t="s">
        <v>11617</v>
      </c>
      <c r="B4258" s="2" t="s">
        <v>11618</v>
      </c>
      <c r="C4258" s="2" t="s">
        <v>11618</v>
      </c>
      <c r="D4258" s="4" t="str">
        <f>vlookup(A4258, Sheet2!D:E, 2, 0)</f>
        <v>control</v>
      </c>
      <c r="E4258" s="4" t="str">
        <f>IFERROR(__xludf.DUMMYFUNCTION("if(H4258=""pays"",vlookup(REGEXEXTRACT(C4258, ""🏘️ \w+ \w+ (.*) ✅""),'Country prepositions'!A:B, 2, 0) &amp; "" "" &amp; REGEXEXTRACT(C4258, ""🏘️ \w+ \w+ (.*) ✅"") ,  if(H4258=""quartier"",vlookup(REGEXEXTRACT(C4258, ""🏘️ \w+ \w+ (.*) ✅""),'Quartier prepositio"&amp;"ns'!A:E, 5, 0) ,  if(H4258=""region"",vlookup(REGEXEXTRACT(C4258, ""🏘️ \w+ \w+ (.*) ✅""),'Region prepositions'!B:F, 5, 0),  REGEXEXTRACT(C4258, ""🏘️ \w+ \w+ (.*) ✅""))))"),"#N/A")</f>
        <v>#N/A</v>
      </c>
      <c r="I4258" s="4" t="str">
        <f>IFERROR(__xludf.DUMMYFUNCTION("if(D4258=""variant"",  substitute(filter(Templates!E:E, Templates!A:A = F4258, Templates!B:B = G4258, Templates!C:C = H4258), ""{{}}"", E4258), B4258)"),"Vendre appartement Arch: Trouvez le bien immobilier qui correspond idéalement à vos désirs sur ImmoScout24 - La plateforme de l'immobilier en Suisse.")</f>
        <v>Vendre appartement Arch: Trouvez le bien immobilier qui correspond idéalement à vos désirs sur ImmoScout24 - La plateforme de l'immobilier en Suisse.</v>
      </c>
    </row>
    <row r="4259" hidden="1">
      <c r="A4259" s="5" t="s">
        <v>11619</v>
      </c>
      <c r="B4259" s="2" t="s">
        <v>11620</v>
      </c>
      <c r="C4259" s="2" t="s">
        <v>11620</v>
      </c>
      <c r="D4259" s="4" t="str">
        <f>vlookup(A4259, Sheet2!D:E, 2, 0)</f>
        <v>control</v>
      </c>
      <c r="E4259" s="4" t="str">
        <f>IFERROR(__xludf.DUMMYFUNCTION("if(H4259=""pays"",vlookup(REGEXEXTRACT(C4259, ""🏘️ \w+ \w+ (.*) ✅""),'Country prepositions'!A:B, 2, 0) &amp; "" "" &amp; REGEXEXTRACT(C4259, ""🏘️ \w+ \w+ (.*) ✅"") ,  if(H4259=""quartier"",vlookup(REGEXEXTRACT(C4259, ""🏘️ \w+ \w+ (.*) ✅""),'Quartier prepositio"&amp;"ns'!A:E, 5, 0) ,  if(H4259=""region"",vlookup(REGEXEXTRACT(C4259, ""🏘️ \w+ \w+ (.*) ✅""),'Region prepositions'!B:F, 5, 0),  REGEXEXTRACT(C4259, ""🏘️ \w+ \w+ (.*) ✅""))))"),"#N/A")</f>
        <v>#N/A</v>
      </c>
      <c r="I4259" s="4" t="str">
        <f>IFERROR(__xludf.DUMMYFUNCTION("if(D4259=""variant"",  substitute(filter(Templates!E:E, Templates!A:A = F4259, Templates!B:B = G4259, Templates!C:C = H4259), ""{{}}"", E4259), B4259)"),"Vendre maison Champoussin: Trouvez le bien immobilier qui correspond idéalement à vos désirs sur ImmoScout24 - La plateforme de l'immobilier en Suisse.")</f>
        <v>Vendre maison Champoussin: Trouvez le bien immobilier qui correspond idéalement à vos désirs sur ImmoScout24 - La plateforme de l'immobilier en Suisse.</v>
      </c>
    </row>
    <row r="4260" hidden="1">
      <c r="A4260" s="5" t="s">
        <v>11621</v>
      </c>
      <c r="B4260" s="2" t="s">
        <v>11622</v>
      </c>
      <c r="C4260" s="2" t="s">
        <v>11622</v>
      </c>
      <c r="D4260" s="4" t="str">
        <f>vlookup(A4260, Sheet2!D:E, 2, 0)</f>
        <v>control</v>
      </c>
      <c r="E4260" s="4" t="str">
        <f>IFERROR(__xludf.DUMMYFUNCTION("if(H4260=""pays"",vlookup(REGEXEXTRACT(C4260, ""🏘️ \w+ \w+ (.*) ✅""),'Country prepositions'!A:B, 2, 0) &amp; "" "" &amp; REGEXEXTRACT(C4260, ""🏘️ \w+ \w+ (.*) ✅"") ,  if(H4260=""quartier"",vlookup(REGEXEXTRACT(C4260, ""🏘️ \w+ \w+ (.*) ✅""),'Quartier prepositio"&amp;"ns'!A:E, 5, 0) ,  if(H4260=""region"",vlookup(REGEXEXTRACT(C4260, ""🏘️ \w+ \w+ (.*) ✅""),'Region prepositions'!B:F, 5, 0),  REGEXEXTRACT(C4260, ""🏘️ \w+ \w+ (.*) ✅""))))"),"#N/A")</f>
        <v>#N/A</v>
      </c>
      <c r="I4260" s="4" t="str">
        <f>IFERROR(__xludf.DUMMYFUNCTION("if(D4260=""variant"",  substitute(filter(Templates!E:E, Templates!A:A = F4260, Templates!B:B = G4260, Templates!C:C = H4260), ""{{}}"", E4260), B4260)"),"Louer appartement Immensee: Trouvez le bien immobilier qui correspond idéalement à vos désirs sur ImmoScout24 - La plateforme de l'immobilier en Suisse.")</f>
        <v>Louer appartement Immensee: Trouvez le bien immobilier qui correspond idéalement à vos désirs sur ImmoScout24 - La plateforme de l'immobilier en Suisse.</v>
      </c>
    </row>
    <row r="4261" hidden="1">
      <c r="A4261" s="5" t="s">
        <v>11623</v>
      </c>
      <c r="B4261" s="2" t="s">
        <v>11624</v>
      </c>
      <c r="C4261" s="2" t="s">
        <v>11624</v>
      </c>
      <c r="D4261" s="4" t="str">
        <f>vlookup(A4261, Sheet2!D:E, 2, 0)</f>
        <v>control</v>
      </c>
      <c r="E4261" s="4" t="str">
        <f>IFERROR(__xludf.DUMMYFUNCTION("if(H4261=""pays"",vlookup(REGEXEXTRACT(C4261, ""🏘️ \w+ \w+ (.*) ✅""),'Country prepositions'!A:B, 2, 0) &amp; "" "" &amp; REGEXEXTRACT(C4261, ""🏘️ \w+ \w+ (.*) ✅"") ,  if(H4261=""quartier"",vlookup(REGEXEXTRACT(C4261, ""🏘️ \w+ \w+ (.*) ✅""),'Quartier prepositio"&amp;"ns'!A:E, 5, 0) ,  if(H4261=""region"",vlookup(REGEXEXTRACT(C4261, ""🏘️ \w+ \w+ (.*) ✅""),'Region prepositions'!B:F, 5, 0),  REGEXEXTRACT(C4261, ""🏘️ \w+ \w+ (.*) ✅""))))"),"#N/A")</f>
        <v>#N/A</v>
      </c>
      <c r="I4261" s="4" t="str">
        <f>IFERROR(__xludf.DUMMYFUNCTION("if(D4261=""variant"",  substitute(filter(Templates!E:E, Templates!A:A = F4261, Templates!B:B = G4261, Templates!C:C = H4261), ""{{}}"", E4261), B4261)"),"Louer maison Réchy: Trouvez le bien immobilier qui correspond idéalement à vos désirs sur ImmoScout24 - La plateforme de l'immobilier en Suisse.")</f>
        <v>Louer maison Réchy: Trouvez le bien immobilier qui correspond idéalement à vos désirs sur ImmoScout24 - La plateforme de l'immobilier en Suisse.</v>
      </c>
    </row>
    <row r="4262" hidden="1">
      <c r="A4262" s="5" t="s">
        <v>11625</v>
      </c>
      <c r="B4262" s="2" t="s">
        <v>11626</v>
      </c>
      <c r="C4262" s="2" t="s">
        <v>11626</v>
      </c>
      <c r="D4262" s="4" t="str">
        <f>vlookup(A4262, Sheet2!D:E, 2, 0)</f>
        <v>control</v>
      </c>
      <c r="E4262" s="4" t="str">
        <f>IFERROR(__xludf.DUMMYFUNCTION("if(H4262=""pays"",vlookup(REGEXEXTRACT(C4262, ""🏘️ \w+ \w+ (.*) ✅""),'Country prepositions'!A:B, 2, 0) &amp; "" "" &amp; REGEXEXTRACT(C4262, ""🏘️ \w+ \w+ (.*) ✅"") ,  if(H4262=""quartier"",vlookup(REGEXEXTRACT(C4262, ""🏘️ \w+ \w+ (.*) ✅""),'Quartier prepositio"&amp;"ns'!A:E, 5, 0) ,  if(H4262=""region"",vlookup(REGEXEXTRACT(C4262, ""🏘️ \w+ \w+ (.*) ✅""),'Region prepositions'!B:F, 5, 0),  REGEXEXTRACT(C4262, ""🏘️ \w+ \w+ (.*) ✅""))))"),"#N/A")</f>
        <v>#N/A</v>
      </c>
      <c r="I4262" s="4" t="str">
        <f>IFERROR(__xludf.DUMMYFUNCTION("if(D4262=""variant"",  substitute(filter(Templates!E:E, Templates!A:A = F4262, Templates!B:B = G4262, Templates!C:C = H4262), ""{{}}"", E4262), B4262)"),"Vendre maison Taverne: Trouvez le bien immobilier qui correspond idéalement à vos désirs sur ImmoScout24 - La plateforme de l'immobilier en Suisse.")</f>
        <v>Vendre maison Taverne: Trouvez le bien immobilier qui correspond idéalement à vos désirs sur ImmoScout24 - La plateforme de l'immobilier en Suisse.</v>
      </c>
    </row>
    <row r="4263" hidden="1">
      <c r="A4263" s="5" t="s">
        <v>11627</v>
      </c>
      <c r="B4263" s="2" t="s">
        <v>11628</v>
      </c>
      <c r="C4263" s="2" t="s">
        <v>11628</v>
      </c>
      <c r="D4263" s="4" t="str">
        <f>vlookup(A4263, Sheet2!D:E, 2, 0)</f>
        <v>control</v>
      </c>
      <c r="E4263" s="4" t="str">
        <f>IFERROR(__xludf.DUMMYFUNCTION("if(H4263=""pays"",vlookup(REGEXEXTRACT(C4263, ""🏘️ \w+ \w+ (.*) ✅""),'Country prepositions'!A:B, 2, 0) &amp; "" "" &amp; REGEXEXTRACT(C4263, ""🏘️ \w+ \w+ (.*) ✅"") ,  if(H4263=""quartier"",vlookup(REGEXEXTRACT(C4263, ""🏘️ \w+ \w+ (.*) ✅""),'Quartier prepositio"&amp;"ns'!A:E, 5, 0) ,  if(H4263=""region"",vlookup(REGEXEXTRACT(C4263, ""🏘️ \w+ \w+ (.*) ✅""),'Region prepositions'!B:F, 5, 0),  REGEXEXTRACT(C4263, ""🏘️ \w+ \w+ (.*) ✅""))))"),"#N/A")</f>
        <v>#N/A</v>
      </c>
      <c r="I4263" s="4" t="str">
        <f>IFERROR(__xludf.DUMMYFUNCTION("if(D4263=""variant"",  substitute(filter(Templates!E:E, Templates!A:A = F4263, Templates!B:B = G4263, Templates!C:C = H4263), ""{{}}"", E4263), B4263)"),"Louer appartement Lourtier: Trouvez le bien immobilier qui correspond idéalement à vos désirs sur ImmoScout24 - La plateforme de l'immobilier en Suisse.")</f>
        <v>Louer appartement Lourtier: Trouvez le bien immobilier qui correspond idéalement à vos désirs sur ImmoScout24 - La plateforme de l'immobilier en Suisse.</v>
      </c>
    </row>
    <row r="4264" hidden="1">
      <c r="A4264" s="5" t="s">
        <v>11629</v>
      </c>
      <c r="B4264" s="2" t="s">
        <v>11630</v>
      </c>
      <c r="C4264" s="2" t="s">
        <v>11630</v>
      </c>
      <c r="D4264" s="4" t="str">
        <f>vlookup(A4264, Sheet2!D:E, 2, 0)</f>
        <v>control</v>
      </c>
      <c r="E4264" s="4" t="str">
        <f>IFERROR(__xludf.DUMMYFUNCTION("if(H4264=""pays"",vlookup(REGEXEXTRACT(C4264, ""🏘️ \w+ \w+ (.*) ✅""),'Country prepositions'!A:B, 2, 0) &amp; "" "" &amp; REGEXEXTRACT(C4264, ""🏘️ \w+ \w+ (.*) ✅"") ,  if(H4264=""quartier"",vlookup(REGEXEXTRACT(C4264, ""🏘️ \w+ \w+ (.*) ✅""),'Quartier prepositio"&amp;"ns'!A:E, 5, 0) ,  if(H4264=""region"",vlookup(REGEXEXTRACT(C4264, ""🏘️ \w+ \w+ (.*) ✅""),'Region prepositions'!B:F, 5, 0),  REGEXEXTRACT(C4264, ""🏘️ \w+ \w+ (.*) ✅""))))"),"#N/A")</f>
        <v>#N/A</v>
      </c>
      <c r="I4264" s="4" t="str">
        <f>IFERROR(__xludf.DUMMYFUNCTION("if(D4264=""variant"",  substitute(filter(Templates!E:E, Templates!A:A = F4264, Templates!B:B = G4264, Templates!C:C = H4264), ""{{}}"", E4264), B4264)"),"Louer appartement Schaffhausen: Trouvez le bien immobilier qui correspond idéalement à vos désirs sur ImmoScout24 - La plateforme de l'immobilier en Suisse.")</f>
        <v>Louer appartement Schaffhausen: Trouvez le bien immobilier qui correspond idéalement à vos désirs sur ImmoScout24 - La plateforme de l'immobilier en Suisse.</v>
      </c>
    </row>
    <row r="4265" hidden="1">
      <c r="A4265" s="5" t="s">
        <v>11631</v>
      </c>
      <c r="B4265" s="2" t="s">
        <v>11632</v>
      </c>
      <c r="C4265" s="2" t="s">
        <v>11632</v>
      </c>
      <c r="D4265" s="4" t="str">
        <f>vlookup(A4265, Sheet2!D:E, 2, 0)</f>
        <v>control</v>
      </c>
      <c r="E4265" s="4" t="str">
        <f>IFERROR(__xludf.DUMMYFUNCTION("if(H4265=""pays"",vlookup(REGEXEXTRACT(C4265, ""🏘️ \w+ \w+ (.*) ✅""),'Country prepositions'!A:B, 2, 0) &amp; "" "" &amp; REGEXEXTRACT(C4265, ""🏘️ \w+ \w+ (.*) ✅"") ,  if(H4265=""quartier"",vlookup(REGEXEXTRACT(C4265, ""🏘️ \w+ \w+ (.*) ✅""),'Quartier prepositio"&amp;"ns'!A:E, 5, 0) ,  if(H4265=""region"",vlookup(REGEXEXTRACT(C4265, ""🏘️ \w+ \w+ (.*) ✅""),'Region prepositions'!B:F, 5, 0),  REGEXEXTRACT(C4265, ""🏘️ \w+ \w+ (.*) ✅""))))"),"#N/A")</f>
        <v>#N/A</v>
      </c>
      <c r="I4265" s="4" t="str">
        <f>IFERROR(__xludf.DUMMYFUNCTION("if(D4265=""variant"",  substitute(filter(Templates!E:E, Templates!A:A = F4265, Templates!B:B = G4265, Templates!C:C = H4265), ""{{}}"", E4265), B4265)"),"Vendre appartement Kandersteg: Trouvez le bien immobilier qui correspond idéalement à vos désirs sur ImmoScout24 - La plateforme de l'immobilier en Suisse.")</f>
        <v>Vendre appartement Kandersteg: Trouvez le bien immobilier qui correspond idéalement à vos désirs sur ImmoScout24 - La plateforme de l'immobilier en Suisse.</v>
      </c>
    </row>
    <row r="4266" hidden="1">
      <c r="A4266" s="5" t="s">
        <v>11633</v>
      </c>
      <c r="B4266" s="2" t="s">
        <v>11634</v>
      </c>
      <c r="C4266" s="2" t="s">
        <v>11634</v>
      </c>
      <c r="D4266" s="4" t="str">
        <f>vlookup(A4266, Sheet2!D:E, 2, 0)</f>
        <v>control</v>
      </c>
      <c r="E4266" s="4" t="str">
        <f>IFERROR(__xludf.DUMMYFUNCTION("if(H4266=""pays"",vlookup(REGEXEXTRACT(C4266, ""🏘️ \w+ \w+ (.*) ✅""),'Country prepositions'!A:B, 2, 0) &amp; "" "" &amp; REGEXEXTRACT(C4266, ""🏘️ \w+ \w+ (.*) ✅"") ,  if(H4266=""quartier"",vlookup(REGEXEXTRACT(C4266, ""🏘️ \w+ \w+ (.*) ✅""),'Quartier prepositio"&amp;"ns'!A:E, 5, 0) ,  if(H4266=""region"",vlookup(REGEXEXTRACT(C4266, ""🏘️ \w+ \w+ (.*) ✅""),'Region prepositions'!B:F, 5, 0),  REGEXEXTRACT(C4266, ""🏘️ \w+ \w+ (.*) ✅""))))"),"#N/A")</f>
        <v>#N/A</v>
      </c>
      <c r="I4266" s="4" t="str">
        <f>IFERROR(__xludf.DUMMYFUNCTION("if(D4266=""variant"",  substitute(filter(Templates!E:E, Templates!A:A = F4266, Templates!B:B = G4266, Templates!C:C = H4266), ""{{}}"", E4266), B4266)"),"Louer appartement Grandfontaine: Trouvez le bien immobilier qui correspond idéalement à vos désirs sur ImmoScout24 - La plateforme de l'immobilier en Suisse.")</f>
        <v>Louer appartement Grandfontaine: Trouvez le bien immobilier qui correspond idéalement à vos désirs sur ImmoScout24 - La plateforme de l'immobilier en Suisse.</v>
      </c>
    </row>
    <row r="4267" hidden="1">
      <c r="A4267" s="5" t="s">
        <v>11635</v>
      </c>
      <c r="B4267" s="2" t="s">
        <v>11636</v>
      </c>
      <c r="C4267" s="2" t="s">
        <v>11636</v>
      </c>
      <c r="D4267" s="4" t="str">
        <f>vlookup(A4267, Sheet2!D:E, 2, 0)</f>
        <v>control</v>
      </c>
      <c r="E4267" s="4" t="str">
        <f>IFERROR(__xludf.DUMMYFUNCTION("if(H4267=""pays"",vlookup(REGEXEXTRACT(C4267, ""🏘️ \w+ \w+ (.*) ✅""),'Country prepositions'!A:B, 2, 0) &amp; "" "" &amp; REGEXEXTRACT(C4267, ""🏘️ \w+ \w+ (.*) ✅"") ,  if(H4267=""quartier"",vlookup(REGEXEXTRACT(C4267, ""🏘️ \w+ \w+ (.*) ✅""),'Quartier prepositio"&amp;"ns'!A:E, 5, 0) ,  if(H4267=""region"",vlookup(REGEXEXTRACT(C4267, ""🏘️ \w+ \w+ (.*) ✅""),'Region prepositions'!B:F, 5, 0),  REGEXEXTRACT(C4267, ""🏘️ \w+ \w+ (.*) ✅""))))"),"#N/A")</f>
        <v>#N/A</v>
      </c>
      <c r="I4267" s="4" t="str">
        <f>IFERROR(__xludf.DUMMYFUNCTION("if(D4267=""variant"",  substitute(filter(Templates!E:E, Templates!A:A = F4267, Templates!B:B = G4267, Templates!C:C = H4267), ""{{}}"", E4267), B4267)"),"Louer maison Bourg-St-Pierre: Trouvez le bien immobilier qui correspond idéalement à vos désirs sur ImmoScout24 - La plateforme de l'immobilier en Suisse.")</f>
        <v>Louer maison Bourg-St-Pierre: Trouvez le bien immobilier qui correspond idéalement à vos désirs sur ImmoScout24 - La plateforme de l'immobilier en Suisse.</v>
      </c>
    </row>
    <row r="4268" hidden="1">
      <c r="A4268" s="5" t="s">
        <v>11637</v>
      </c>
      <c r="B4268" s="2" t="s">
        <v>11638</v>
      </c>
      <c r="C4268" s="2" t="s">
        <v>11638</v>
      </c>
      <c r="D4268" s="4" t="str">
        <f>vlookup(A4268, Sheet2!D:E, 2, 0)</f>
        <v>control</v>
      </c>
      <c r="E4268" s="4" t="str">
        <f>IFERROR(__xludf.DUMMYFUNCTION("if(H4268=""pays"",vlookup(REGEXEXTRACT(C4268, ""🏘️ \w+ \w+ (.*) ✅""),'Country prepositions'!A:B, 2, 0) &amp; "" "" &amp; REGEXEXTRACT(C4268, ""🏘️ \w+ \w+ (.*) ✅"") ,  if(H4268=""quartier"",vlookup(REGEXEXTRACT(C4268, ""🏘️ \w+ \w+ (.*) ✅""),'Quartier prepositio"&amp;"ns'!A:E, 5, 0) ,  if(H4268=""region"",vlookup(REGEXEXTRACT(C4268, ""🏘️ \w+ \w+ (.*) ✅""),'Region prepositions'!B:F, 5, 0),  REGEXEXTRACT(C4268, ""🏘️ \w+ \w+ (.*) ✅""))))"),"#N/A")</f>
        <v>#N/A</v>
      </c>
      <c r="I4268" s="4" t="str">
        <f>IFERROR(__xludf.DUMMYFUNCTION("if(D4268=""variant"",  substitute(filter(Templates!E:E, Templates!A:A = F4268, Templates!B:B = G4268, Templates!C:C = H4268), ""{{}}"", E4268), B4268)"),"Vendre maison Colombier NE: Trouvez le bien immobilier qui correspond idéalement à vos désirs sur ImmoScout24 - La plateforme de l'immobilier en Suisse.")</f>
        <v>Vendre maison Colombier NE: Trouvez le bien immobilier qui correspond idéalement à vos désirs sur ImmoScout24 - La plateforme de l'immobilier en Suisse.</v>
      </c>
    </row>
    <row r="4269" hidden="1">
      <c r="A4269" s="5" t="s">
        <v>11639</v>
      </c>
      <c r="B4269" s="2" t="s">
        <v>11640</v>
      </c>
      <c r="C4269" s="2" t="s">
        <v>11640</v>
      </c>
      <c r="D4269" s="4" t="str">
        <f>vlookup(A4269, Sheet2!D:E, 2, 0)</f>
        <v>control</v>
      </c>
      <c r="E4269" s="4" t="str">
        <f>IFERROR(__xludf.DUMMYFUNCTION("if(H4269=""pays"",vlookup(REGEXEXTRACT(C4269, ""🏘️ \w+ \w+ (.*) ✅""),'Country prepositions'!A:B, 2, 0) &amp; "" "" &amp; REGEXEXTRACT(C4269, ""🏘️ \w+ \w+ (.*) ✅"") ,  if(H4269=""quartier"",vlookup(REGEXEXTRACT(C4269, ""🏘️ \w+ \w+ (.*) ✅""),'Quartier prepositio"&amp;"ns'!A:E, 5, 0) ,  if(H4269=""region"",vlookup(REGEXEXTRACT(C4269, ""🏘️ \w+ \w+ (.*) ✅""),'Region prepositions'!B:F, 5, 0),  REGEXEXTRACT(C4269, ""🏘️ \w+ \w+ (.*) ✅""))))"),"#N/A")</f>
        <v>#N/A</v>
      </c>
      <c r="I4269" s="4" t="str">
        <f>IFERROR(__xludf.DUMMYFUNCTION("if(D4269=""variant"",  substitute(filter(Templates!E:E, Templates!A:A = F4269, Templates!B:B = G4269, Templates!C:C = H4269), ""{{}}"", E4269), B4269)"),"Louer maison Reconvilier: Trouvez le bien immobilier qui correspond idéalement à vos désirs sur ImmoScout24 - La plateforme de l'immobilier en Suisse.")</f>
        <v>Louer maison Reconvilier: Trouvez le bien immobilier qui correspond idéalement à vos désirs sur ImmoScout24 - La plateforme de l'immobilier en Suisse.</v>
      </c>
    </row>
    <row r="4270" hidden="1">
      <c r="A4270" s="5" t="s">
        <v>11641</v>
      </c>
      <c r="B4270" s="2" t="s">
        <v>11642</v>
      </c>
      <c r="C4270" s="2" t="s">
        <v>11642</v>
      </c>
      <c r="D4270" s="4" t="str">
        <f>vlookup(A4270, Sheet2!D:E, 2, 0)</f>
        <v>control</v>
      </c>
      <c r="E4270" s="4" t="str">
        <f>IFERROR(__xludf.DUMMYFUNCTION("if(H4270=""pays"",vlookup(REGEXEXTRACT(C4270, ""🏘️ \w+ \w+ (.*) ✅""),'Country prepositions'!A:B, 2, 0) &amp; "" "" &amp; REGEXEXTRACT(C4270, ""🏘️ \w+ \w+ (.*) ✅"") ,  if(H4270=""quartier"",vlookup(REGEXEXTRACT(C4270, ""🏘️ \w+ \w+ (.*) ✅""),'Quartier prepositio"&amp;"ns'!A:E, 5, 0) ,  if(H4270=""region"",vlookup(REGEXEXTRACT(C4270, ""🏘️ \w+ \w+ (.*) ✅""),'Region prepositions'!B:F, 5, 0),  REGEXEXTRACT(C4270, ""🏘️ \w+ \w+ (.*) ✅""))))"),"#N/A")</f>
        <v>#N/A</v>
      </c>
      <c r="I4270" s="4" t="str">
        <f>IFERROR(__xludf.DUMMYFUNCTION("if(D4270=""variant"",  substitute(filter(Templates!E:E, Templates!A:A = F4270, Templates!B:B = G4270, Templates!C:C = H4270), ""{{}}"", E4270), B4270)"),"Vendre maison Büren an der Aare: Trouvez le bien immobilier qui correspond idéalement à vos désirs sur ImmoScout24 - La plateforme de l'immobilier en Suisse.")</f>
        <v>Vendre maison Büren an der Aare: Trouvez le bien immobilier qui correspond idéalement à vos désirs sur ImmoScout24 - La plateforme de l'immobilier en Suisse.</v>
      </c>
    </row>
    <row r="4271" hidden="1">
      <c r="A4271" s="5" t="s">
        <v>11643</v>
      </c>
      <c r="B4271" s="2" t="s">
        <v>11644</v>
      </c>
      <c r="C4271" s="2" t="s">
        <v>11644</v>
      </c>
      <c r="D4271" s="4" t="str">
        <f>vlookup(A4271, Sheet2!D:E, 2, 0)</f>
        <v>control</v>
      </c>
      <c r="E4271" s="4" t="str">
        <f>IFERROR(__xludf.DUMMYFUNCTION("if(H4271=""pays"",vlookup(REGEXEXTRACT(C4271, ""🏘️ \w+ \w+ (.*) ✅""),'Country prepositions'!A:B, 2, 0) &amp; "" "" &amp; REGEXEXTRACT(C4271, ""🏘️ \w+ \w+ (.*) ✅"") ,  if(H4271=""quartier"",vlookup(REGEXEXTRACT(C4271, ""🏘️ \w+ \w+ (.*) ✅""),'Quartier prepositio"&amp;"ns'!A:E, 5, 0) ,  if(H4271=""region"",vlookup(REGEXEXTRACT(C4271, ""🏘️ \w+ \w+ (.*) ✅""),'Region prepositions'!B:F, 5, 0),  REGEXEXTRACT(C4271, ""🏘️ \w+ \w+ (.*) ✅""))))"),"#N/A")</f>
        <v>#N/A</v>
      </c>
      <c r="I4271" s="4" t="str">
        <f>IFERROR(__xludf.DUMMYFUNCTION("if(D4271=""variant"",  substitute(filter(Templates!E:E, Templates!A:A = F4271, Templates!B:B = G4271, Templates!C:C = H4271), ""{{}}"", E4271), B4271)"),"Vendre maison Epesses: Trouvez le bien immobilier qui correspond idéalement à vos désirs sur ImmoScout24 - La plateforme de l'immobilier en Suisse.")</f>
        <v>Vendre maison Epesses: Trouvez le bien immobilier qui correspond idéalement à vos désirs sur ImmoScout24 - La plateforme de l'immobilier en Suisse.</v>
      </c>
    </row>
    <row r="4272" hidden="1">
      <c r="A4272" s="5" t="s">
        <v>11645</v>
      </c>
      <c r="B4272" s="2" t="s">
        <v>11646</v>
      </c>
      <c r="C4272" s="2" t="s">
        <v>11646</v>
      </c>
      <c r="D4272" s="4" t="str">
        <f>vlookup(A4272, Sheet2!D:E, 2, 0)</f>
        <v>control</v>
      </c>
      <c r="E4272" s="4" t="str">
        <f>IFERROR(__xludf.DUMMYFUNCTION("if(H4272=""pays"",vlookup(REGEXEXTRACT(C4272, ""🏘️ \w+ \w+ (.*) ✅""),'Country prepositions'!A:B, 2, 0) &amp; "" "" &amp; REGEXEXTRACT(C4272, ""🏘️ \w+ \w+ (.*) ✅"") ,  if(H4272=""quartier"",vlookup(REGEXEXTRACT(C4272, ""🏘️ \w+ \w+ (.*) ✅""),'Quartier prepositio"&amp;"ns'!A:E, 5, 0) ,  if(H4272=""region"",vlookup(REGEXEXTRACT(C4272, ""🏘️ \w+ \w+ (.*) ✅""),'Region prepositions'!B:F, 5, 0),  REGEXEXTRACT(C4272, ""🏘️ \w+ \w+ (.*) ✅""))))"),"#N/A")</f>
        <v>#N/A</v>
      </c>
      <c r="I4272" s="4" t="str">
        <f>IFERROR(__xludf.DUMMYFUNCTION("if(D4272=""variant"",  substitute(filter(Templates!E:E, Templates!A:A = F4272, Templates!B:B = G4272, Templates!C:C = H4272), ""{{}}"", E4272), B4272)"),"Vendre maison Yens: Trouvez le bien immobilier qui correspond idéalement à vos désirs sur ImmoScout24 - La plateforme de l'immobilier en Suisse.")</f>
        <v>Vendre maison Yens: Trouvez le bien immobilier qui correspond idéalement à vos désirs sur ImmoScout24 - La plateforme de l'immobilier en Suisse.</v>
      </c>
    </row>
    <row r="4273" hidden="1">
      <c r="A4273" s="5" t="s">
        <v>11647</v>
      </c>
      <c r="B4273" s="2" t="s">
        <v>11648</v>
      </c>
      <c r="C4273" s="2" t="s">
        <v>11648</v>
      </c>
      <c r="D4273" s="4" t="str">
        <f>vlookup(A4273, Sheet2!D:E, 2, 0)</f>
        <v>control</v>
      </c>
      <c r="E4273" s="4" t="str">
        <f>IFERROR(__xludf.DUMMYFUNCTION("if(H4273=""pays"",vlookup(REGEXEXTRACT(C4273, ""🏘️ \w+ \w+ (.*) ✅""),'Country prepositions'!A:B, 2, 0) &amp; "" "" &amp; REGEXEXTRACT(C4273, ""🏘️ \w+ \w+ (.*) ✅"") ,  if(H4273=""quartier"",vlookup(REGEXEXTRACT(C4273, ""🏘️ \w+ \w+ (.*) ✅""),'Quartier prepositio"&amp;"ns'!A:E, 5, 0) ,  if(H4273=""region"",vlookup(REGEXEXTRACT(C4273, ""🏘️ \w+ \w+ (.*) ✅""),'Region prepositions'!B:F, 5, 0),  REGEXEXTRACT(C4273, ""🏘️ \w+ \w+ (.*) ✅""))))"),"#N/A")</f>
        <v>#N/A</v>
      </c>
      <c r="I4273" s="4" t="str">
        <f>IFERROR(__xludf.DUMMYFUNCTION("if(D4273=""variant"",  substitute(filter(Templates!E:E, Templates!A:A = F4273, Templates!B:B = G4273, Templates!C:C = H4273), ""{{}}"", E4273), B4273)"),"Vendre appartement Wetzikon ZH: Trouvez le bien immobilier qui correspond idéalement à vos désirs sur ImmoScout24 - La plateforme de l'immobilier en Suisse.")</f>
        <v>Vendre appartement Wetzikon ZH: Trouvez le bien immobilier qui correspond idéalement à vos désirs sur ImmoScout24 - La plateforme de l'immobilier en Suisse.</v>
      </c>
    </row>
    <row r="4274" hidden="1">
      <c r="A4274" s="5" t="s">
        <v>11649</v>
      </c>
      <c r="B4274" s="2" t="s">
        <v>11650</v>
      </c>
      <c r="C4274" s="2" t="s">
        <v>11650</v>
      </c>
      <c r="D4274" s="4" t="str">
        <f>vlookup(A4274, Sheet2!D:E, 2, 0)</f>
        <v>control</v>
      </c>
      <c r="E4274" s="4" t="str">
        <f>IFERROR(__xludf.DUMMYFUNCTION("if(H4274=""pays"",vlookup(REGEXEXTRACT(C4274, ""🏘️ \w+ \w+ (.*) ✅""),'Country prepositions'!A:B, 2, 0) &amp; "" "" &amp; REGEXEXTRACT(C4274, ""🏘️ \w+ \w+ (.*) ✅"") ,  if(H4274=""quartier"",vlookup(REGEXEXTRACT(C4274, ""🏘️ \w+ \w+ (.*) ✅""),'Quartier prepositio"&amp;"ns'!A:E, 5, 0) ,  if(H4274=""region"",vlookup(REGEXEXTRACT(C4274, ""🏘️ \w+ \w+ (.*) ✅""),'Region prepositions'!B:F, 5, 0),  REGEXEXTRACT(C4274, ""🏘️ \w+ \w+ (.*) ✅""))))"),"#N/A")</f>
        <v>#N/A</v>
      </c>
      <c r="I4274" s="4" t="str">
        <f>IFERROR(__xludf.DUMMYFUNCTION("if(D4274=""variant"",  substitute(filter(Templates!E:E, Templates!A:A = F4274, Templates!B:B = G4274, Templates!C:C = H4274), ""{{}}"", E4274), B4274)"),"Louer maison Canton de Soleure: Trouvez le bien immobilier qui correspond idéalement à vos désirs sur ImmoScout24 - La plateforme de l'immobilier en Suisse.")</f>
        <v>Louer maison Canton de Soleure: Trouvez le bien immobilier qui correspond idéalement à vos désirs sur ImmoScout24 - La plateforme de l'immobilier en Suisse.</v>
      </c>
    </row>
    <row r="4275" hidden="1">
      <c r="A4275" s="5" t="s">
        <v>11651</v>
      </c>
      <c r="B4275" s="2" t="s">
        <v>11652</v>
      </c>
      <c r="C4275" s="2" t="s">
        <v>11652</v>
      </c>
      <c r="D4275" s="4" t="str">
        <f>vlookup(A4275, Sheet2!D:E, 2, 0)</f>
        <v>control</v>
      </c>
      <c r="E4275" s="4" t="str">
        <f>IFERROR(__xludf.DUMMYFUNCTION("if(H4275=""pays"",vlookup(REGEXEXTRACT(C4275, ""🏘️ \w+ \w+ (.*) ✅""),'Country prepositions'!A:B, 2, 0) &amp; "" "" &amp; REGEXEXTRACT(C4275, ""🏘️ \w+ \w+ (.*) ✅"") ,  if(H4275=""quartier"",vlookup(REGEXEXTRACT(C4275, ""🏘️ \w+ \w+ (.*) ✅""),'Quartier prepositio"&amp;"ns'!A:E, 5, 0) ,  if(H4275=""region"",vlookup(REGEXEXTRACT(C4275, ""🏘️ \w+ \w+ (.*) ✅""),'Region prepositions'!B:F, 5, 0),  REGEXEXTRACT(C4275, ""🏘️ \w+ \w+ (.*) ✅""))))"),"#N/A")</f>
        <v>#N/A</v>
      </c>
      <c r="I4275" s="4" t="str">
        <f>IFERROR(__xludf.DUMMYFUNCTION("if(D4275=""variant"",  substitute(filter(Templates!E:E, Templates!A:A = F4275, Templates!B:B = G4275, Templates!C:C = H4275), ""{{}}"", E4275), B4275)"),"Louer maison Courroux: Trouvez le bien immobilier qui correspond idéalement à vos désirs sur ImmoScout24 - La plateforme de l'immobilier en Suisse.")</f>
        <v>Louer maison Courroux: Trouvez le bien immobilier qui correspond idéalement à vos désirs sur ImmoScout24 - La plateforme de l'immobilier en Suisse.</v>
      </c>
    </row>
    <row r="4276" hidden="1">
      <c r="A4276" s="5" t="s">
        <v>11653</v>
      </c>
      <c r="B4276" s="2" t="s">
        <v>11654</v>
      </c>
      <c r="C4276" s="2" t="s">
        <v>11654</v>
      </c>
      <c r="D4276" s="4" t="str">
        <f>vlookup(A4276, Sheet2!D:E, 2, 0)</f>
        <v>control</v>
      </c>
      <c r="E4276" s="4" t="str">
        <f>IFERROR(__xludf.DUMMYFUNCTION("if(H4276=""pays"",vlookup(REGEXEXTRACT(C4276, ""🏘️ \w+ \w+ (.*) ✅""),'Country prepositions'!A:B, 2, 0) &amp; "" "" &amp; REGEXEXTRACT(C4276, ""🏘️ \w+ \w+ (.*) ✅"") ,  if(H4276=""quartier"",vlookup(REGEXEXTRACT(C4276, ""🏘️ \w+ \w+ (.*) ✅""),'Quartier prepositio"&amp;"ns'!A:E, 5, 0) ,  if(H4276=""region"",vlookup(REGEXEXTRACT(C4276, ""🏘️ \w+ \w+ (.*) ✅""),'Region prepositions'!B:F, 5, 0),  REGEXEXTRACT(C4276, ""🏘️ \w+ \w+ (.*) ✅""))))"),"#N/A")</f>
        <v>#N/A</v>
      </c>
      <c r="I4276" s="4" t="str">
        <f>IFERROR(__xludf.DUMMYFUNCTION("if(D4276=""variant"",  substitute(filter(Templates!E:E, Templates!A:A = F4276, Templates!B:B = G4276, Templates!C:C = H4276), ""{{}}"", E4276), B4276)"),"Louer appartement Wabern (Köniz): Trouvez le bien immobilier qui correspond idéalement à vos désirs sur ImmoScout24 - La plateforme de l'immobilier en Suisse.")</f>
        <v>Louer appartement Wabern (Köniz): Trouvez le bien immobilier qui correspond idéalement à vos désirs sur ImmoScout24 - La plateforme de l'immobilier en Suisse.</v>
      </c>
    </row>
    <row r="4277" hidden="1">
      <c r="A4277" s="5" t="s">
        <v>11655</v>
      </c>
      <c r="B4277" s="2" t="s">
        <v>11656</v>
      </c>
      <c r="C4277" s="2" t="s">
        <v>11656</v>
      </c>
      <c r="D4277" s="4" t="str">
        <f>vlookup(A4277, Sheet2!D:E, 2, 0)</f>
        <v>control</v>
      </c>
      <c r="E4277" s="4" t="str">
        <f>IFERROR(__xludf.DUMMYFUNCTION("if(H4277=""pays"",vlookup(REGEXEXTRACT(C4277, ""🏘️ \w+ \w+ (.*) ✅""),'Country prepositions'!A:B, 2, 0) &amp; "" "" &amp; REGEXEXTRACT(C4277, ""🏘️ \w+ \w+ (.*) ✅"") ,  if(H4277=""quartier"",vlookup(REGEXEXTRACT(C4277, ""🏘️ \w+ \w+ (.*) ✅""),'Quartier prepositio"&amp;"ns'!A:E, 5, 0) ,  if(H4277=""region"",vlookup(REGEXEXTRACT(C4277, ""🏘️ \w+ \w+ (.*) ✅""),'Region prepositions'!B:F, 5, 0),  REGEXEXTRACT(C4277, ""🏘️ \w+ \w+ (.*) ✅""))))"),"#N/A")</f>
        <v>#N/A</v>
      </c>
      <c r="I4277" s="4" t="str">
        <f>IFERROR(__xludf.DUMMYFUNCTION("if(D4277=""variant"",  substitute(filter(Templates!E:E, Templates!A:A = F4277, Templates!B:B = G4277, Templates!C:C = H4277), ""{{}}"", E4277), B4277)"),"Vendre appartement Flamatt: Trouvez le bien immobilier qui correspond idéalement à vos désirs sur ImmoScout24 - La plateforme de l'immobilier en Suisse.")</f>
        <v>Vendre appartement Flamatt: Trouvez le bien immobilier qui correspond idéalement à vos désirs sur ImmoScout24 - La plateforme de l'immobilier en Suisse.</v>
      </c>
    </row>
    <row r="4278" hidden="1">
      <c r="A4278" s="5" t="s">
        <v>11657</v>
      </c>
      <c r="B4278" s="2" t="s">
        <v>11658</v>
      </c>
      <c r="C4278" s="2" t="s">
        <v>11658</v>
      </c>
      <c r="D4278" s="4" t="str">
        <f>vlookup(A4278, Sheet2!D:E, 2, 0)</f>
        <v>control</v>
      </c>
      <c r="E4278" s="4" t="str">
        <f>IFERROR(__xludf.DUMMYFUNCTION("if(H4278=""pays"",vlookup(REGEXEXTRACT(C4278, ""🏘️ \w+ \w+ (.*) ✅""),'Country prepositions'!A:B, 2, 0) &amp; "" "" &amp; REGEXEXTRACT(C4278, ""🏘️ \w+ \w+ (.*) ✅"") ,  if(H4278=""quartier"",vlookup(REGEXEXTRACT(C4278, ""🏘️ \w+ \w+ (.*) ✅""),'Quartier prepositio"&amp;"ns'!A:E, 5, 0) ,  if(H4278=""region"",vlookup(REGEXEXTRACT(C4278, ""🏘️ \w+ \w+ (.*) ✅""),'Region prepositions'!B:F, 5, 0),  REGEXEXTRACT(C4278, ""🏘️ \w+ \w+ (.*) ✅""))))"),"#N/A")</f>
        <v>#N/A</v>
      </c>
      <c r="I4278" s="4" t="str">
        <f>IFERROR(__xludf.DUMMYFUNCTION("if(D4278=""variant"",  substitute(filter(Templates!E:E, Templates!A:A = F4278, Templates!B:B = G4278, Templates!C:C = H4278), ""{{}}"", E4278), B4278)"),"Vendre maison Bellerive VD: Trouvez le bien immobilier qui correspond idéalement à vos désirs sur ImmoScout24 - La plateforme de l'immobilier en Suisse.")</f>
        <v>Vendre maison Bellerive VD: Trouvez le bien immobilier qui correspond idéalement à vos désirs sur ImmoScout24 - La plateforme de l'immobilier en Suisse.</v>
      </c>
    </row>
    <row r="4279" hidden="1">
      <c r="A4279" s="5" t="s">
        <v>11659</v>
      </c>
      <c r="B4279" s="2" t="s">
        <v>11660</v>
      </c>
      <c r="C4279" s="2" t="s">
        <v>11660</v>
      </c>
      <c r="D4279" s="4" t="str">
        <f>vlookup(A4279, Sheet2!D:E, 2, 0)</f>
        <v>control</v>
      </c>
      <c r="E4279" s="4" t="str">
        <f>IFERROR(__xludf.DUMMYFUNCTION("if(H4279=""pays"",vlookup(REGEXEXTRACT(C4279, ""🏘️ \w+ \w+ (.*) ✅""),'Country prepositions'!A:B, 2, 0) &amp; "" "" &amp; REGEXEXTRACT(C4279, ""🏘️ \w+ \w+ (.*) ✅"") ,  if(H4279=""quartier"",vlookup(REGEXEXTRACT(C4279, ""🏘️ \w+ \w+ (.*) ✅""),'Quartier prepositio"&amp;"ns'!A:E, 5, 0) ,  if(H4279=""region"",vlookup(REGEXEXTRACT(C4279, ""🏘️ \w+ \w+ (.*) ✅""),'Region prepositions'!B:F, 5, 0),  REGEXEXTRACT(C4279, ""🏘️ \w+ \w+ (.*) ✅""))))"),"#N/A")</f>
        <v>#N/A</v>
      </c>
      <c r="I4279" s="4" t="str">
        <f>IFERROR(__xludf.DUMMYFUNCTION("if(D4279=""variant"",  substitute(filter(Templates!E:E, Templates!A:A = F4279, Templates!B:B = G4279, Templates!C:C = H4279), ""{{}}"", E4279), B4279)"),"Louer maison Môtier (Vully): Trouvez le bien immobilier qui correspond idéalement à vos désirs sur ImmoScout24 - La plateforme de l'immobilier en Suisse.")</f>
        <v>Louer maison Môtier (Vully): Trouvez le bien immobilier qui correspond idéalement à vos désirs sur ImmoScout24 - La plateforme de l'immobilier en Suisse.</v>
      </c>
    </row>
    <row r="4280" hidden="1">
      <c r="A4280" s="5" t="s">
        <v>11661</v>
      </c>
      <c r="B4280" s="2" t="s">
        <v>11662</v>
      </c>
      <c r="C4280" s="2" t="s">
        <v>11662</v>
      </c>
      <c r="D4280" s="4" t="str">
        <f>vlookup(A4280, Sheet2!D:E, 2, 0)</f>
        <v>control</v>
      </c>
      <c r="E4280" s="4" t="str">
        <f>IFERROR(__xludf.DUMMYFUNCTION("if(H4280=""pays"",vlookup(REGEXEXTRACT(C4280, ""🏘️ \w+ \w+ (.*) ✅""),'Country prepositions'!A:B, 2, 0) &amp; "" "" &amp; REGEXEXTRACT(C4280, ""🏘️ \w+ \w+ (.*) ✅"") ,  if(H4280=""quartier"",vlookup(REGEXEXTRACT(C4280, ""🏘️ \w+ \w+ (.*) ✅""),'Quartier prepositio"&amp;"ns'!A:E, 5, 0) ,  if(H4280=""region"",vlookup(REGEXEXTRACT(C4280, ""🏘️ \w+ \w+ (.*) ✅""),'Region prepositions'!B:F, 5, 0),  REGEXEXTRACT(C4280, ""🏘️ \w+ \w+ (.*) ✅""))))"),"#N/A")</f>
        <v>#N/A</v>
      </c>
      <c r="I4280" s="4" t="str">
        <f>IFERROR(__xludf.DUMMYFUNCTION("if(D4280=""variant"",  substitute(filter(Templates!E:E, Templates!A:A = F4280, Templates!B:B = G4280, Templates!C:C = H4280), ""{{}}"", E4280), B4280)"),"Louer appartement Gillarens: Trouvez le bien immobilier qui correspond idéalement à vos désirs sur ImmoScout24 - La plateforme de l'immobilier en Suisse.")</f>
        <v>Louer appartement Gillarens: Trouvez le bien immobilier qui correspond idéalement à vos désirs sur ImmoScout24 - La plateforme de l'immobilier en Suisse.</v>
      </c>
    </row>
    <row r="4281" hidden="1">
      <c r="A4281" s="5" t="s">
        <v>11663</v>
      </c>
      <c r="B4281" s="2" t="s">
        <v>11664</v>
      </c>
      <c r="C4281" s="2" t="s">
        <v>11664</v>
      </c>
      <c r="D4281" s="4" t="str">
        <f>vlookup(A4281, Sheet2!D:E, 2, 0)</f>
        <v>control</v>
      </c>
      <c r="E4281" s="4" t="str">
        <f>IFERROR(__xludf.DUMMYFUNCTION("if(H4281=""pays"",vlookup(REGEXEXTRACT(C4281, ""🏘️ \w+ \w+ (.*) ✅""),'Country prepositions'!A:B, 2, 0) &amp; "" "" &amp; REGEXEXTRACT(C4281, ""🏘️ \w+ \w+ (.*) ✅"") ,  if(H4281=""quartier"",vlookup(REGEXEXTRACT(C4281, ""🏘️ \w+ \w+ (.*) ✅""),'Quartier prepositio"&amp;"ns'!A:E, 5, 0) ,  if(H4281=""region"",vlookup(REGEXEXTRACT(C4281, ""🏘️ \w+ \w+ (.*) ✅""),'Region prepositions'!B:F, 5, 0),  REGEXEXTRACT(C4281, ""🏘️ \w+ \w+ (.*) ✅""))))"),"#N/A")</f>
        <v>#N/A</v>
      </c>
      <c r="I4281" s="4" t="str">
        <f>IFERROR(__xludf.DUMMYFUNCTION("if(D4281=""variant"",  substitute(filter(Templates!E:E, Templates!A:A = F4281, Templates!B:B = G4281, Templates!C:C = H4281), ""{{}}"", E4281), B4281)"),"Louer maison Curio: Trouvez le bien immobilier qui correspond idéalement à vos désirs sur ImmoScout24 - La plateforme de l'immobilier en Suisse.")</f>
        <v>Louer maison Curio: Trouvez le bien immobilier qui correspond idéalement à vos désirs sur ImmoScout24 - La plateforme de l'immobilier en Suisse.</v>
      </c>
    </row>
    <row r="4282" hidden="1">
      <c r="A4282" s="5" t="s">
        <v>11665</v>
      </c>
      <c r="B4282" s="2" t="s">
        <v>11666</v>
      </c>
      <c r="C4282" s="2" t="s">
        <v>11666</v>
      </c>
      <c r="D4282" s="4" t="str">
        <f>vlookup(A4282, Sheet2!D:E, 2, 0)</f>
        <v>control</v>
      </c>
      <c r="E4282" s="4" t="str">
        <f>IFERROR(__xludf.DUMMYFUNCTION("if(H4282=""pays"",vlookup(REGEXEXTRACT(C4282, ""🏘️ \w+ \w+ (.*) ✅""),'Country prepositions'!A:B, 2, 0) &amp; "" "" &amp; REGEXEXTRACT(C4282, ""🏘️ \w+ \w+ (.*) ✅"") ,  if(H4282=""quartier"",vlookup(REGEXEXTRACT(C4282, ""🏘️ \w+ \w+ (.*) ✅""),'Quartier prepositio"&amp;"ns'!A:E, 5, 0) ,  if(H4282=""region"",vlookup(REGEXEXTRACT(C4282, ""🏘️ \w+ \w+ (.*) ✅""),'Region prepositions'!B:F, 5, 0),  REGEXEXTRACT(C4282, ""🏘️ \w+ \w+ (.*) ✅""))))"),"#N/A")</f>
        <v>#N/A</v>
      </c>
      <c r="I4282" s="4" t="str">
        <f>IFERROR(__xludf.DUMMYFUNCTION("if(D4282=""variant"",  substitute(filter(Templates!E:E, Templates!A:A = F4282, Templates!B:B = G4282, Templates!C:C = H4282), ""{{}}"", E4282), B4282)"),"Vendre maison Sugiez: Trouvez le bien immobilier qui correspond idéalement à vos désirs sur ImmoScout24 - La plateforme de l'immobilier en Suisse.")</f>
        <v>Vendre maison Sugiez: Trouvez le bien immobilier qui correspond idéalement à vos désirs sur ImmoScout24 - La plateforme de l'immobilier en Suisse.</v>
      </c>
    </row>
    <row r="4283" hidden="1">
      <c r="A4283" s="5" t="s">
        <v>11667</v>
      </c>
      <c r="B4283" s="2" t="s">
        <v>11668</v>
      </c>
      <c r="C4283" s="2" t="s">
        <v>11668</v>
      </c>
      <c r="D4283" s="4" t="str">
        <f>vlookup(A4283, Sheet2!D:E, 2, 0)</f>
        <v>control</v>
      </c>
      <c r="E4283" s="4" t="str">
        <f>IFERROR(__xludf.DUMMYFUNCTION("if(H4283=""pays"",vlookup(REGEXEXTRACT(C4283, ""🏘️ \w+ \w+ (.*) ✅""),'Country prepositions'!A:B, 2, 0) &amp; "" "" &amp; REGEXEXTRACT(C4283, ""🏘️ \w+ \w+ (.*) ✅"") ,  if(H4283=""quartier"",vlookup(REGEXEXTRACT(C4283, ""🏘️ \w+ \w+ (.*) ✅""),'Quartier prepositio"&amp;"ns'!A:E, 5, 0) ,  if(H4283=""region"",vlookup(REGEXEXTRACT(C4283, ""🏘️ \w+ \w+ (.*) ✅""),'Region prepositions'!B:F, 5, 0),  REGEXEXTRACT(C4283, ""🏘️ \w+ \w+ (.*) ✅""))))"),"#N/A")</f>
        <v>#N/A</v>
      </c>
      <c r="I4283" s="4" t="str">
        <f>IFERROR(__xludf.DUMMYFUNCTION("if(D4283=""variant"",  substitute(filter(Templates!E:E, Templates!A:A = F4283, Templates!B:B = G4283, Templates!C:C = H4283), ""{{}}"", E4283), B4283)"),"Vendre appartement Gland: Trouvez le bien immobilier qui correspond idéalement à vos désirs sur ImmoScout24 - La plateforme de l'immobilier en Suisse.")</f>
        <v>Vendre appartement Gland: Trouvez le bien immobilier qui correspond idéalement à vos désirs sur ImmoScout24 - La plateforme de l'immobilier en Suisse.</v>
      </c>
    </row>
    <row r="4284" hidden="1">
      <c r="A4284" s="5" t="s">
        <v>11669</v>
      </c>
      <c r="B4284" s="2" t="s">
        <v>11670</v>
      </c>
      <c r="C4284" s="2" t="s">
        <v>11670</v>
      </c>
      <c r="D4284" s="4" t="str">
        <f>vlookup(A4284, Sheet2!D:E, 2, 0)</f>
        <v>control</v>
      </c>
      <c r="E4284" s="4" t="str">
        <f>IFERROR(__xludf.DUMMYFUNCTION("if(H4284=""pays"",vlookup(REGEXEXTRACT(C4284, ""🏘️ \w+ \w+ (.*) ✅""),'Country prepositions'!A:B, 2, 0) &amp; "" "" &amp; REGEXEXTRACT(C4284, ""🏘️ \w+ \w+ (.*) ✅"") ,  if(H4284=""quartier"",vlookup(REGEXEXTRACT(C4284, ""🏘️ \w+ \w+ (.*) ✅""),'Quartier prepositio"&amp;"ns'!A:E, 5, 0) ,  if(H4284=""region"",vlookup(REGEXEXTRACT(C4284, ""🏘️ \w+ \w+ (.*) ✅""),'Region prepositions'!B:F, 5, 0),  REGEXEXTRACT(C4284, ""🏘️ \w+ \w+ (.*) ✅""))))"),"#N/A")</f>
        <v>#N/A</v>
      </c>
      <c r="I4284" s="4" t="str">
        <f>IFERROR(__xludf.DUMMYFUNCTION("if(D4284=""variant"",  substitute(filter(Templates!E:E, Templates!A:A = F4284, Templates!B:B = G4284, Templates!C:C = H4284), ""{{}}"", E4284), B4284)"),"Vendre appartement Oberembrach: Trouvez le bien immobilier qui correspond idéalement à vos désirs sur ImmoScout24 - La plateforme de l'immobilier en Suisse.")</f>
        <v>Vendre appartement Oberembrach: Trouvez le bien immobilier qui correspond idéalement à vos désirs sur ImmoScout24 - La plateforme de l'immobilier en Suisse.</v>
      </c>
    </row>
    <row r="4285" hidden="1">
      <c r="A4285" s="5" t="s">
        <v>11671</v>
      </c>
      <c r="B4285" s="2" t="s">
        <v>11672</v>
      </c>
      <c r="C4285" s="2" t="s">
        <v>11672</v>
      </c>
      <c r="D4285" s="4" t="str">
        <f>vlookup(A4285, Sheet2!D:E, 2, 0)</f>
        <v>control</v>
      </c>
      <c r="E4285" s="4" t="str">
        <f>IFERROR(__xludf.DUMMYFUNCTION("if(H4285=""pays"",vlookup(REGEXEXTRACT(C4285, ""🏘️ \w+ \w+ (.*) ✅""),'Country prepositions'!A:B, 2, 0) &amp; "" "" &amp; REGEXEXTRACT(C4285, ""🏘️ \w+ \w+ (.*) ✅"") ,  if(H4285=""quartier"",vlookup(REGEXEXTRACT(C4285, ""🏘️ \w+ \w+ (.*) ✅""),'Quartier prepositio"&amp;"ns'!A:E, 5, 0) ,  if(H4285=""region"",vlookup(REGEXEXTRACT(C4285, ""🏘️ \w+ \w+ (.*) ✅""),'Region prepositions'!B:F, 5, 0),  REGEXEXTRACT(C4285, ""🏘️ \w+ \w+ (.*) ✅""))))"),"#N/A")</f>
        <v>#N/A</v>
      </c>
      <c r="I4285" s="4" t="str">
        <f>IFERROR(__xludf.DUMMYFUNCTION("if(D4285=""variant"",  substitute(filter(Templates!E:E, Templates!A:A = F4285, Templates!B:B = G4285, Templates!C:C = H4285), ""{{}}"", E4285), B4285)"),"Vendre appartement Arlesheim: Trouvez le bien immobilier qui correspond idéalement à vos désirs sur ImmoScout24 - La plateforme de l'immobilier en Suisse.")</f>
        <v>Vendre appartement Arlesheim: Trouvez le bien immobilier qui correspond idéalement à vos désirs sur ImmoScout24 - La plateforme de l'immobilier en Suisse.</v>
      </c>
    </row>
    <row r="4286" hidden="1">
      <c r="A4286" s="5" t="s">
        <v>11673</v>
      </c>
      <c r="B4286" s="2" t="s">
        <v>11674</v>
      </c>
      <c r="C4286" s="2" t="s">
        <v>11674</v>
      </c>
      <c r="D4286" s="4" t="str">
        <f>vlookup(A4286, Sheet2!D:E, 2, 0)</f>
        <v>control</v>
      </c>
      <c r="E4286" s="4" t="str">
        <f>IFERROR(__xludf.DUMMYFUNCTION("if(H4286=""pays"",vlookup(REGEXEXTRACT(C4286, ""🏘️ \w+ \w+ (.*) ✅""),'Country prepositions'!A:B, 2, 0) &amp; "" "" &amp; REGEXEXTRACT(C4286, ""🏘️ \w+ \w+ (.*) ✅"") ,  if(H4286=""quartier"",vlookup(REGEXEXTRACT(C4286, ""🏘️ \w+ \w+ (.*) ✅""),'Quartier prepositio"&amp;"ns'!A:E, 5, 0) ,  if(H4286=""region"",vlookup(REGEXEXTRACT(C4286, ""🏘️ \w+ \w+ (.*) ✅""),'Region prepositions'!B:F, 5, 0),  REGEXEXTRACT(C4286, ""🏘️ \w+ \w+ (.*) ✅""))))"),"#N/A")</f>
        <v>#N/A</v>
      </c>
      <c r="I4286" s="4" t="str">
        <f>IFERROR(__xludf.DUMMYFUNCTION("if(D4286=""variant"",  substitute(filter(Templates!E:E, Templates!A:A = F4286, Templates!B:B = G4286, Templates!C:C = H4286), ""{{}}"", E4286), B4286)"),"Louer appartement Sévery: Trouvez le bien immobilier qui correspond idéalement à vos désirs sur ImmoScout24 - La plateforme de l'immobilier en Suisse.")</f>
        <v>Louer appartement Sévery: Trouvez le bien immobilier qui correspond idéalement à vos désirs sur ImmoScout24 - La plateforme de l'immobilier en Suisse.</v>
      </c>
    </row>
    <row r="4287" hidden="1">
      <c r="A4287" s="5" t="s">
        <v>11675</v>
      </c>
      <c r="B4287" s="2" t="s">
        <v>11676</v>
      </c>
      <c r="C4287" s="2" t="s">
        <v>11676</v>
      </c>
      <c r="D4287" s="4" t="str">
        <f>vlookup(A4287, Sheet2!D:E, 2, 0)</f>
        <v>control</v>
      </c>
      <c r="E4287" s="4" t="str">
        <f>IFERROR(__xludf.DUMMYFUNCTION("if(H4287=""pays"",vlookup(REGEXEXTRACT(C4287, ""🏘️ \w+ \w+ (.*) ✅""),'Country prepositions'!A:B, 2, 0) &amp; "" "" &amp; REGEXEXTRACT(C4287, ""🏘️ \w+ \w+ (.*) ✅"") ,  if(H4287=""quartier"",vlookup(REGEXEXTRACT(C4287, ""🏘️ \w+ \w+ (.*) ✅""),'Quartier prepositio"&amp;"ns'!A:E, 5, 0) ,  if(H4287=""region"",vlookup(REGEXEXTRACT(C4287, ""🏘️ \w+ \w+ (.*) ✅""),'Region prepositions'!B:F, 5, 0),  REGEXEXTRACT(C4287, ""🏘️ \w+ \w+ (.*) ✅""))))"),"#N/A")</f>
        <v>#N/A</v>
      </c>
      <c r="I4287" s="4" t="str">
        <f>IFERROR(__xludf.DUMMYFUNCTION("if(D4287=""variant"",  substitute(filter(Templates!E:E, Templates!A:A = F4287, Templates!B:B = G4287, Templates!C:C = H4287), ""{{}}"", E4287), B4287)"),"Vendre maison Eclépens: Trouvez le bien immobilier qui correspond idéalement à vos désirs sur ImmoScout24 - La plateforme de l'immobilier en Suisse.")</f>
        <v>Vendre maison Eclépens: Trouvez le bien immobilier qui correspond idéalement à vos désirs sur ImmoScout24 - La plateforme de l'immobilier en Suisse.</v>
      </c>
    </row>
    <row r="4288" hidden="1">
      <c r="A4288" s="5" t="s">
        <v>11677</v>
      </c>
      <c r="B4288" s="2" t="s">
        <v>11678</v>
      </c>
      <c r="C4288" s="2" t="s">
        <v>11678</v>
      </c>
      <c r="D4288" s="4" t="str">
        <f>vlookup(A4288, Sheet2!D:E, 2, 0)</f>
        <v>control</v>
      </c>
      <c r="E4288" s="4" t="str">
        <f>IFERROR(__xludf.DUMMYFUNCTION("if(H4288=""pays"",vlookup(REGEXEXTRACT(C4288, ""🏘️ \w+ \w+ (.*) ✅""),'Country prepositions'!A:B, 2, 0) &amp; "" "" &amp; REGEXEXTRACT(C4288, ""🏘️ \w+ \w+ (.*) ✅"") ,  if(H4288=""quartier"",vlookup(REGEXEXTRACT(C4288, ""🏘️ \w+ \w+ (.*) ✅""),'Quartier prepositio"&amp;"ns'!A:E, 5, 0) ,  if(H4288=""region"",vlookup(REGEXEXTRACT(C4288, ""🏘️ \w+ \w+ (.*) ✅""),'Region prepositions'!B:F, 5, 0),  REGEXEXTRACT(C4288, ""🏘️ \w+ \w+ (.*) ✅""))))"),"#N/A")</f>
        <v>#N/A</v>
      </c>
      <c r="I4288" s="4" t="str">
        <f>IFERROR(__xludf.DUMMYFUNCTION("if(D4288=""variant"",  substitute(filter(Templates!E:E, Templates!A:A = F4288, Templates!B:B = G4288, Templates!C:C = H4288), ""{{}}"", E4288), B4288)"),"Vendre maison Fortunau (Ayent): Trouvez le bien immobilier qui correspond idéalement à vos désirs sur ImmoScout24 - La plateforme de l'immobilier en Suisse.")</f>
        <v>Vendre maison Fortunau (Ayent): Trouvez le bien immobilier qui correspond idéalement à vos désirs sur ImmoScout24 - La plateforme de l'immobilier en Suisse.</v>
      </c>
    </row>
    <row r="4289" hidden="1">
      <c r="A4289" s="5" t="s">
        <v>11679</v>
      </c>
      <c r="B4289" s="2" t="s">
        <v>11680</v>
      </c>
      <c r="C4289" s="2" t="s">
        <v>11680</v>
      </c>
      <c r="D4289" s="4" t="str">
        <f>vlookup(A4289, Sheet2!D:E, 2, 0)</f>
        <v>control</v>
      </c>
      <c r="E4289" s="4" t="str">
        <f>IFERROR(__xludf.DUMMYFUNCTION("if(H4289=""pays"",vlookup(REGEXEXTRACT(C4289, ""🏘️ \w+ \w+ (.*) ✅""),'Country prepositions'!A:B, 2, 0) &amp; "" "" &amp; REGEXEXTRACT(C4289, ""🏘️ \w+ \w+ (.*) ✅"") ,  if(H4289=""quartier"",vlookup(REGEXEXTRACT(C4289, ""🏘️ \w+ \w+ (.*) ✅""),'Quartier prepositio"&amp;"ns'!A:E, 5, 0) ,  if(H4289=""region"",vlookup(REGEXEXTRACT(C4289, ""🏘️ \w+ \w+ (.*) ✅""),'Region prepositions'!B:F, 5, 0),  REGEXEXTRACT(C4289, ""🏘️ \w+ \w+ (.*) ✅""))))"),"#N/A")</f>
        <v>#N/A</v>
      </c>
      <c r="I4289" s="4" t="str">
        <f>IFERROR(__xludf.DUMMYFUNCTION("if(D4289=""variant"",  substitute(filter(Templates!E:E, Templates!A:A = F4289, Templates!B:B = G4289, Templates!C:C = H4289), ""{{}}"", E4289), B4289)"),"Vendre maison Sembrancher: Trouvez le bien immobilier qui correspond idéalement à vos désirs sur ImmoScout24 - La plateforme de l'immobilier en Suisse.")</f>
        <v>Vendre maison Sembrancher: Trouvez le bien immobilier qui correspond idéalement à vos désirs sur ImmoScout24 - La plateforme de l'immobilier en Suisse.</v>
      </c>
    </row>
    <row r="4290" hidden="1">
      <c r="A4290" s="5" t="s">
        <v>11681</v>
      </c>
      <c r="B4290" s="2" t="s">
        <v>11682</v>
      </c>
      <c r="C4290" s="2" t="s">
        <v>11682</v>
      </c>
      <c r="D4290" s="4" t="str">
        <f>vlookup(A4290, Sheet2!D:E, 2, 0)</f>
        <v>control</v>
      </c>
      <c r="E4290" s="4" t="str">
        <f>IFERROR(__xludf.DUMMYFUNCTION("if(H4290=""pays"",vlookup(REGEXEXTRACT(C4290, ""🏘️ \w+ \w+ (.*) ✅""),'Country prepositions'!A:B, 2, 0) &amp; "" "" &amp; REGEXEXTRACT(C4290, ""🏘️ \w+ \w+ (.*) ✅"") ,  if(H4290=""quartier"",vlookup(REGEXEXTRACT(C4290, ""🏘️ \w+ \w+ (.*) ✅""),'Quartier prepositio"&amp;"ns'!A:E, 5, 0) ,  if(H4290=""region"",vlookup(REGEXEXTRACT(C4290, ""🏘️ \w+ \w+ (.*) ✅""),'Region prepositions'!B:F, 5, 0),  REGEXEXTRACT(C4290, ""🏘️ \w+ \w+ (.*) ✅""))))"),"#N/A")</f>
        <v>#N/A</v>
      </c>
      <c r="I4290" s="4" t="str">
        <f>IFERROR(__xludf.DUMMYFUNCTION("if(D4290=""variant"",  substitute(filter(Templates!E:E, Templates!A:A = F4290, Templates!B:B = G4290, Templates!C:C = H4290), ""{{}}"", E4290), B4290)"),"Louer appartement St-Sulpice VD: Trouvez le bien immobilier qui correspond idéalement à vos désirs sur ImmoScout24 - La plateforme de l'immobilier en Suisse.")</f>
        <v>Louer appartement St-Sulpice VD: Trouvez le bien immobilier qui correspond idéalement à vos désirs sur ImmoScout24 - La plateforme de l'immobilier en Suisse.</v>
      </c>
    </row>
    <row r="4291" hidden="1">
      <c r="A4291" s="5" t="s">
        <v>11683</v>
      </c>
      <c r="B4291" s="2" t="s">
        <v>11684</v>
      </c>
      <c r="C4291" s="2" t="s">
        <v>11684</v>
      </c>
      <c r="D4291" s="4" t="str">
        <f>vlookup(A4291, Sheet2!D:E, 2, 0)</f>
        <v>control</v>
      </c>
      <c r="E4291" s="4" t="str">
        <f>IFERROR(__xludf.DUMMYFUNCTION("if(H4291=""pays"",vlookup(REGEXEXTRACT(C4291, ""🏘️ \w+ \w+ (.*) ✅""),'Country prepositions'!A:B, 2, 0) &amp; "" "" &amp; REGEXEXTRACT(C4291, ""🏘️ \w+ \w+ (.*) ✅"") ,  if(H4291=""quartier"",vlookup(REGEXEXTRACT(C4291, ""🏘️ \w+ \w+ (.*) ✅""),'Quartier prepositio"&amp;"ns'!A:E, 5, 0) ,  if(H4291=""region"",vlookup(REGEXEXTRACT(C4291, ""🏘️ \w+ \w+ (.*) ✅""),'Region prepositions'!B:F, 5, 0),  REGEXEXTRACT(C4291, ""🏘️ \w+ \w+ (.*) ✅""))))"),"#N/A")</f>
        <v>#N/A</v>
      </c>
      <c r="I4291" s="4" t="str">
        <f>IFERROR(__xludf.DUMMYFUNCTION("if(D4291=""variant"",  substitute(filter(Templates!E:E, Templates!A:A = F4291, Templates!B:B = G4291, Templates!C:C = H4291), ""{{}}"", E4291), B4291)"),"Louer appartement Vigneules (Biel/Bienne): Trouvez le bien immobilier qui correspond idéalement à vos désirs sur ImmoScout24 - La plateforme de l'immobilier en Suisse.")</f>
        <v>Louer appartement Vigneules (Biel/Bienne): Trouvez le bien immobilier qui correspond idéalement à vos désirs sur ImmoScout24 - La plateforme de l'immobilier en Suisse.</v>
      </c>
    </row>
    <row r="4292" hidden="1">
      <c r="A4292" s="5" t="s">
        <v>11685</v>
      </c>
      <c r="B4292" s="2" t="s">
        <v>11686</v>
      </c>
      <c r="C4292" s="2" t="s">
        <v>11686</v>
      </c>
      <c r="D4292" s="4" t="str">
        <f>vlookup(A4292, Sheet2!D:E, 2, 0)</f>
        <v>control</v>
      </c>
      <c r="E4292" s="4" t="str">
        <f>IFERROR(__xludf.DUMMYFUNCTION("if(H4292=""pays"",vlookup(REGEXEXTRACT(C4292, ""🏘️ \w+ \w+ (.*) ✅""),'Country prepositions'!A:B, 2, 0) &amp; "" "" &amp; REGEXEXTRACT(C4292, ""🏘️ \w+ \w+ (.*) ✅"") ,  if(H4292=""quartier"",vlookup(REGEXEXTRACT(C4292, ""🏘️ \w+ \w+ (.*) ✅""),'Quartier prepositio"&amp;"ns'!A:E, 5, 0) ,  if(H4292=""region"",vlookup(REGEXEXTRACT(C4292, ""🏘️ \w+ \w+ (.*) ✅""),'Region prepositions'!B:F, 5, 0),  REGEXEXTRACT(C4292, ""🏘️ \w+ \w+ (.*) ✅""))))"),"#N/A")</f>
        <v>#N/A</v>
      </c>
      <c r="I4292" s="4" t="str">
        <f>IFERROR(__xludf.DUMMYFUNCTION("if(D4292=""variant"",  substitute(filter(Templates!E:E, Templates!A:A = F4292, Templates!B:B = G4292, Templates!C:C = H4292), ""{{}}"", E4292), B4292)"),"Louer appartement Hägendorf: Trouvez le bien immobilier qui correspond idéalement à vos désirs sur ImmoScout24 - La plateforme de l'immobilier en Suisse.")</f>
        <v>Louer appartement Hägendorf: Trouvez le bien immobilier qui correspond idéalement à vos désirs sur ImmoScout24 - La plateforme de l'immobilier en Suisse.</v>
      </c>
    </row>
    <row r="4293" hidden="1">
      <c r="A4293" s="5" t="s">
        <v>11687</v>
      </c>
      <c r="B4293" s="2" t="s">
        <v>11688</v>
      </c>
      <c r="C4293" s="2" t="s">
        <v>11688</v>
      </c>
      <c r="D4293" s="4" t="str">
        <f>vlookup(A4293, Sheet2!D:E, 2, 0)</f>
        <v>control</v>
      </c>
      <c r="E4293" s="4" t="str">
        <f>IFERROR(__xludf.DUMMYFUNCTION("if(H4293=""pays"",vlookup(REGEXEXTRACT(C4293, ""🏘️ \w+ \w+ (.*) ✅""),'Country prepositions'!A:B, 2, 0) &amp; "" "" &amp; REGEXEXTRACT(C4293, ""🏘️ \w+ \w+ (.*) ✅"") ,  if(H4293=""quartier"",vlookup(REGEXEXTRACT(C4293, ""🏘️ \w+ \w+ (.*) ✅""),'Quartier prepositio"&amp;"ns'!A:E, 5, 0) ,  if(H4293=""region"",vlookup(REGEXEXTRACT(C4293, ""🏘️ \w+ \w+ (.*) ✅""),'Region prepositions'!B:F, 5, 0),  REGEXEXTRACT(C4293, ""🏘️ \w+ \w+ (.*) ✅""))))"),"#N/A")</f>
        <v>#N/A</v>
      </c>
      <c r="I4293" s="4" t="str">
        <f>IFERROR(__xludf.DUMMYFUNCTION("if(D4293=""variant"",  substitute(filter(Templates!E:E, Templates!A:A = F4293, Templates!B:B = G4293, Templates!C:C = H4293), ""{{}}"", E4293), B4293)"),"Vendre appartement Bossonnens: Trouvez le bien immobilier qui correspond idéalement à vos désirs sur ImmoScout24 - La plateforme de l'immobilier en Suisse.")</f>
        <v>Vendre appartement Bossonnens: Trouvez le bien immobilier qui correspond idéalement à vos désirs sur ImmoScout24 - La plateforme de l'immobilier en Suisse.</v>
      </c>
    </row>
    <row r="4294" hidden="1">
      <c r="A4294" s="5" t="s">
        <v>11689</v>
      </c>
      <c r="B4294" s="2" t="s">
        <v>11690</v>
      </c>
      <c r="C4294" s="2" t="s">
        <v>11690</v>
      </c>
      <c r="D4294" s="4" t="str">
        <f>vlookup(A4294, Sheet2!D:E, 2, 0)</f>
        <v>control</v>
      </c>
      <c r="E4294" s="4" t="str">
        <f>IFERROR(__xludf.DUMMYFUNCTION("if(H4294=""pays"",vlookup(REGEXEXTRACT(C4294, ""🏘️ \w+ \w+ (.*) ✅""),'Country prepositions'!A:B, 2, 0) &amp; "" "" &amp; REGEXEXTRACT(C4294, ""🏘️ \w+ \w+ (.*) ✅"") ,  if(H4294=""quartier"",vlookup(REGEXEXTRACT(C4294, ""🏘️ \w+ \w+ (.*) ✅""),'Quartier prepositio"&amp;"ns'!A:E, 5, 0) ,  if(H4294=""region"",vlookup(REGEXEXTRACT(C4294, ""🏘️ \w+ \w+ (.*) ✅""),'Region prepositions'!B:F, 5, 0),  REGEXEXTRACT(C4294, ""🏘️ \w+ \w+ (.*) ✅""))))"),"#N/A")</f>
        <v>#N/A</v>
      </c>
      <c r="I4294" s="4" t="str">
        <f>IFERROR(__xludf.DUMMYFUNCTION("if(D4294=""variant"",  substitute(filter(Templates!E:E, Templates!A:A = F4294, Templates!B:B = G4294, Templates!C:C = H4294), ""{{}}"", E4294), B4294)"),"Louer appartement Maihof - Rotsee (Lucerne): Trouvez le bien immobilier qui correspond idéalement à vos désirs sur ImmoScout24 - La plateforme de l'immobilier en Suisse.")</f>
        <v>Louer appartement Maihof - Rotsee (Lucerne): Trouvez le bien immobilier qui correspond idéalement à vos désirs sur ImmoScout24 - La plateforme de l'immobilier en Suisse.</v>
      </c>
    </row>
    <row r="4295" hidden="1">
      <c r="A4295" s="5" t="s">
        <v>11691</v>
      </c>
      <c r="B4295" s="2" t="s">
        <v>11692</v>
      </c>
      <c r="C4295" s="2" t="s">
        <v>11692</v>
      </c>
      <c r="D4295" s="4" t="str">
        <f>vlookup(A4295, Sheet2!D:E, 2, 0)</f>
        <v>control</v>
      </c>
      <c r="E4295" s="4" t="str">
        <f>IFERROR(__xludf.DUMMYFUNCTION("if(H4295=""pays"",vlookup(REGEXEXTRACT(C4295, ""🏘️ \w+ \w+ (.*) ✅""),'Country prepositions'!A:B, 2, 0) &amp; "" "" &amp; REGEXEXTRACT(C4295, ""🏘️ \w+ \w+ (.*) ✅"") ,  if(H4295=""quartier"",vlookup(REGEXEXTRACT(C4295, ""🏘️ \w+ \w+ (.*) ✅""),'Quartier prepositio"&amp;"ns'!A:E, 5, 0) ,  if(H4295=""region"",vlookup(REGEXEXTRACT(C4295, ""🏘️ \w+ \w+ (.*) ✅""),'Region prepositions'!B:F, 5, 0),  REGEXEXTRACT(C4295, ""🏘️ \w+ \w+ (.*) ✅""))))"),"#N/A")</f>
        <v>#N/A</v>
      </c>
      <c r="I4295" s="4" t="str">
        <f>IFERROR(__xludf.DUMMYFUNCTION("if(D4295=""variant"",  substitute(filter(Templates!E:E, Templates!A:A = F4295, Templates!B:B = G4295, Templates!C:C = H4295), ""{{}}"", E4295), B4295)"),"Vendre maison Gränichen: Trouvez le bien immobilier qui correspond idéalement à vos désirs sur ImmoScout24 - La plateforme de l'immobilier en Suisse.")</f>
        <v>Vendre maison Gränichen: Trouvez le bien immobilier qui correspond idéalement à vos désirs sur ImmoScout24 - La plateforme de l'immobilier en Suisse.</v>
      </c>
    </row>
    <row r="4296" hidden="1">
      <c r="A4296" s="5" t="s">
        <v>11693</v>
      </c>
      <c r="B4296" s="2" t="s">
        <v>11694</v>
      </c>
      <c r="C4296" s="2" t="s">
        <v>11694</v>
      </c>
      <c r="D4296" s="4" t="str">
        <f>vlookup(A4296, Sheet2!D:E, 2, 0)</f>
        <v>control</v>
      </c>
      <c r="E4296" s="4" t="str">
        <f>IFERROR(__xludf.DUMMYFUNCTION("if(H4296=""pays"",vlookup(REGEXEXTRACT(C4296, ""🏘️ \w+ \w+ (.*) ✅""),'Country prepositions'!A:B, 2, 0) &amp; "" "" &amp; REGEXEXTRACT(C4296, ""🏘️ \w+ \w+ (.*) ✅"") ,  if(H4296=""quartier"",vlookup(REGEXEXTRACT(C4296, ""🏘️ \w+ \w+ (.*) ✅""),'Quartier prepositio"&amp;"ns'!A:E, 5, 0) ,  if(H4296=""region"",vlookup(REGEXEXTRACT(C4296, ""🏘️ \w+ \w+ (.*) ✅""),'Region prepositions'!B:F, 5, 0),  REGEXEXTRACT(C4296, ""🏘️ \w+ \w+ (.*) ✅""))))"),"#N/A")</f>
        <v>#N/A</v>
      </c>
      <c r="I4296" s="4" t="str">
        <f>IFERROR(__xludf.DUMMYFUNCTION("if(D4296=""variant"",  substitute(filter(Templates!E:E, Templates!A:A = F4296, Templates!B:B = G4296, Templates!C:C = H4296), ""{{}}"", E4296), B4296)"),"Louer maison Savigny: Trouvez le bien immobilier qui correspond idéalement à vos désirs sur ImmoScout24 - La plateforme de l'immobilier en Suisse.")</f>
        <v>Louer maison Savigny: Trouvez le bien immobilier qui correspond idéalement à vos désirs sur ImmoScout24 - La plateforme de l'immobilier en Suisse.</v>
      </c>
    </row>
    <row r="4297" hidden="1">
      <c r="A4297" s="5" t="s">
        <v>11695</v>
      </c>
      <c r="B4297" s="2" t="s">
        <v>11696</v>
      </c>
      <c r="C4297" s="2" t="s">
        <v>11696</v>
      </c>
      <c r="D4297" s="4" t="str">
        <f>vlookup(A4297, Sheet2!D:E, 2, 0)</f>
        <v>control</v>
      </c>
      <c r="E4297" s="4" t="str">
        <f>IFERROR(__xludf.DUMMYFUNCTION("if(H4297=""pays"",vlookup(REGEXEXTRACT(C4297, ""🏘️ \w+ \w+ (.*) ✅""),'Country prepositions'!A:B, 2, 0) &amp; "" "" &amp; REGEXEXTRACT(C4297, ""🏘️ \w+ \w+ (.*) ✅"") ,  if(H4297=""quartier"",vlookup(REGEXEXTRACT(C4297, ""🏘️ \w+ \w+ (.*) ✅""),'Quartier prepositio"&amp;"ns'!A:E, 5, 0) ,  if(H4297=""region"",vlookup(REGEXEXTRACT(C4297, ""🏘️ \w+ \w+ (.*) ✅""),'Region prepositions'!B:F, 5, 0),  REGEXEXTRACT(C4297, ""🏘️ \w+ \w+ (.*) ✅""))))"),"#N/A")</f>
        <v>#N/A</v>
      </c>
      <c r="I4297" s="4" t="str">
        <f>IFERROR(__xludf.DUMMYFUNCTION("if(D4297=""variant"",  substitute(filter(Templates!E:E, Templates!A:A = F4297, Templates!B:B = G4297, Templates!C:C = H4297), ""{{}}"", E4297), B4297)"),"Louer appartement Urdorf: Trouvez le bien immobilier qui correspond idéalement à vos désirs sur ImmoScout24 - La plateforme de l'immobilier en Suisse.")</f>
        <v>Louer appartement Urdorf: Trouvez le bien immobilier qui correspond idéalement à vos désirs sur ImmoScout24 - La plateforme de l'immobilier en Suisse.</v>
      </c>
    </row>
    <row r="4298" hidden="1">
      <c r="A4298" s="5" t="s">
        <v>11697</v>
      </c>
      <c r="B4298" s="2" t="s">
        <v>11698</v>
      </c>
      <c r="C4298" s="2" t="s">
        <v>11698</v>
      </c>
      <c r="D4298" s="4" t="str">
        <f>vlookup(A4298, Sheet2!D:E, 2, 0)</f>
        <v>control</v>
      </c>
      <c r="E4298" s="4" t="str">
        <f>IFERROR(__xludf.DUMMYFUNCTION("if(H4298=""pays"",vlookup(REGEXEXTRACT(C4298, ""🏘️ \w+ \w+ (.*) ✅""),'Country prepositions'!A:B, 2, 0) &amp; "" "" &amp; REGEXEXTRACT(C4298, ""🏘️ \w+ \w+ (.*) ✅"") ,  if(H4298=""quartier"",vlookup(REGEXEXTRACT(C4298, ""🏘️ \w+ \w+ (.*) ✅""),'Quartier prepositio"&amp;"ns'!A:E, 5, 0) ,  if(H4298=""region"",vlookup(REGEXEXTRACT(C4298, ""🏘️ \w+ \w+ (.*) ✅""),'Region prepositions'!B:F, 5, 0),  REGEXEXTRACT(C4298, ""🏘️ \w+ \w+ (.*) ✅""))))"),"#N/A")</f>
        <v>#N/A</v>
      </c>
      <c r="I4298" s="4" t="str">
        <f>IFERROR(__xludf.DUMMYFUNCTION("if(D4298=""variant"",  substitute(filter(Templates!E:E, Templates!A:A = F4298, Templates!B:B = G4298, Templates!C:C = H4298), ""{{}}"", E4298), B4298)"),"Vendre maison Cronay: Trouvez le bien immobilier qui correspond idéalement à vos désirs sur ImmoScout24 - La plateforme de l'immobilier en Suisse.")</f>
        <v>Vendre maison Cronay: Trouvez le bien immobilier qui correspond idéalement à vos désirs sur ImmoScout24 - La plateforme de l'immobilier en Suisse.</v>
      </c>
    </row>
    <row r="4299" hidden="1">
      <c r="A4299" s="5" t="s">
        <v>11699</v>
      </c>
      <c r="B4299" s="2" t="s">
        <v>11700</v>
      </c>
      <c r="C4299" s="2" t="s">
        <v>11700</v>
      </c>
      <c r="D4299" s="4" t="str">
        <f>vlookup(A4299, Sheet2!D:E, 2, 0)</f>
        <v>control</v>
      </c>
      <c r="E4299" s="4" t="str">
        <f>IFERROR(__xludf.DUMMYFUNCTION("if(H4299=""pays"",vlookup(REGEXEXTRACT(C4299, ""🏘️ \w+ \w+ (.*) ✅""),'Country prepositions'!A:B, 2, 0) &amp; "" "" &amp; REGEXEXTRACT(C4299, ""🏘️ \w+ \w+ (.*) ✅"") ,  if(H4299=""quartier"",vlookup(REGEXEXTRACT(C4299, ""🏘️ \w+ \w+ (.*) ✅""),'Quartier prepositio"&amp;"ns'!A:E, 5, 0) ,  if(H4299=""region"",vlookup(REGEXEXTRACT(C4299, ""🏘️ \w+ \w+ (.*) ✅""),'Region prepositions'!B:F, 5, 0),  REGEXEXTRACT(C4299, ""🏘️ \w+ \w+ (.*) ✅""))))"),"#N/A")</f>
        <v>#N/A</v>
      </c>
      <c r="I4299" s="4" t="str">
        <f>IFERROR(__xludf.DUMMYFUNCTION("if(D4299=""variant"",  substitute(filter(Templates!E:E, Templates!A:A = F4299, Templates!B:B = G4299, Templates!C:C = H4299), ""{{}}"", E4299), B4299)"),"Vendre maison Epagny: Trouvez le bien immobilier qui correspond idéalement à vos désirs sur ImmoScout24 - La plateforme de l'immobilier en Suisse.")</f>
        <v>Vendre maison Epagny: Trouvez le bien immobilier qui correspond idéalement à vos désirs sur ImmoScout24 - La plateforme de l'immobilier en Suisse.</v>
      </c>
    </row>
    <row r="4300" hidden="1">
      <c r="A4300" s="5" t="s">
        <v>11701</v>
      </c>
      <c r="B4300" s="2" t="s">
        <v>11702</v>
      </c>
      <c r="C4300" s="2" t="s">
        <v>11702</v>
      </c>
      <c r="D4300" s="4" t="str">
        <f>vlookup(A4300, Sheet2!D:E, 2, 0)</f>
        <v>control</v>
      </c>
      <c r="E4300" s="4" t="str">
        <f>IFERROR(__xludf.DUMMYFUNCTION("if(H4300=""pays"",vlookup(REGEXEXTRACT(C4300, ""🏘️ \w+ \w+ (.*) ✅""),'Country prepositions'!A:B, 2, 0) &amp; "" "" &amp; REGEXEXTRACT(C4300, ""🏘️ \w+ \w+ (.*) ✅"") ,  if(H4300=""quartier"",vlookup(REGEXEXTRACT(C4300, ""🏘️ \w+ \w+ (.*) ✅""),'Quartier prepositio"&amp;"ns'!A:E, 5, 0) ,  if(H4300=""region"",vlookup(REGEXEXTRACT(C4300, ""🏘️ \w+ \w+ (.*) ✅""),'Region prepositions'!B:F, 5, 0),  REGEXEXTRACT(C4300, ""🏘️ \w+ \w+ (.*) ✅""))))"),"#N/A")</f>
        <v>#N/A</v>
      </c>
      <c r="I4300" s="4" t="str">
        <f>IFERROR(__xludf.DUMMYFUNCTION("if(D4300=""variant"",  substitute(filter(Templates!E:E, Templates!A:A = F4300, Templates!B:B = G4300, Templates!C:C = H4300), ""{{}}"", E4300), B4300)"),"Vendre appartement Prez-vers-Noréaz: Trouvez le bien immobilier qui correspond idéalement à vos désirs sur ImmoScout24 - La plateforme de l'immobilier en Suisse.")</f>
        <v>Vendre appartement Prez-vers-Noréaz: Trouvez le bien immobilier qui correspond idéalement à vos désirs sur ImmoScout24 - La plateforme de l'immobilier en Suisse.</v>
      </c>
    </row>
    <row r="4301" hidden="1">
      <c r="A4301" s="5" t="s">
        <v>11703</v>
      </c>
      <c r="B4301" s="2" t="s">
        <v>11704</v>
      </c>
      <c r="C4301" s="2" t="s">
        <v>11704</v>
      </c>
      <c r="D4301" s="4" t="str">
        <f>vlookup(A4301, Sheet2!D:E, 2, 0)</f>
        <v>control</v>
      </c>
      <c r="E4301" s="4" t="str">
        <f>IFERROR(__xludf.DUMMYFUNCTION("if(H4301=""pays"",vlookup(REGEXEXTRACT(C4301, ""🏘️ \w+ \w+ (.*) ✅""),'Country prepositions'!A:B, 2, 0) &amp; "" "" &amp; REGEXEXTRACT(C4301, ""🏘️ \w+ \w+ (.*) ✅"") ,  if(H4301=""quartier"",vlookup(REGEXEXTRACT(C4301, ""🏘️ \w+ \w+ (.*) ✅""),'Quartier prepositio"&amp;"ns'!A:E, 5, 0) ,  if(H4301=""region"",vlookup(REGEXEXTRACT(C4301, ""🏘️ \w+ \w+ (.*) ✅""),'Region prepositions'!B:F, 5, 0),  REGEXEXTRACT(C4301, ""🏘️ \w+ \w+ (.*) ✅""))))"),"#N/A")</f>
        <v>#N/A</v>
      </c>
      <c r="I4301" s="4" t="str">
        <f>IFERROR(__xludf.DUMMYFUNCTION("if(D4301=""variant"",  substitute(filter(Templates!E:E, Templates!A:A = F4301, Templates!B:B = G4301, Templates!C:C = H4301), ""{{}}"", E4301), B4301)"),"Louer appartement Meilen: Trouvez le bien immobilier qui correspond idéalement à vos désirs sur ImmoScout24 - La plateforme de l'immobilier en Suisse.")</f>
        <v>Louer appartement Meilen: Trouvez le bien immobilier qui correspond idéalement à vos désirs sur ImmoScout24 - La plateforme de l'immobilier en Suisse.</v>
      </c>
    </row>
    <row r="4302" hidden="1">
      <c r="A4302" s="5" t="s">
        <v>11705</v>
      </c>
      <c r="B4302" s="2" t="s">
        <v>11706</v>
      </c>
      <c r="C4302" s="2" t="s">
        <v>11706</v>
      </c>
      <c r="D4302" s="4" t="str">
        <f>vlookup(A4302, Sheet2!D:E, 2, 0)</f>
        <v>control</v>
      </c>
      <c r="E4302" s="4" t="str">
        <f>IFERROR(__xludf.DUMMYFUNCTION("if(H4302=""pays"",vlookup(REGEXEXTRACT(C4302, ""🏘️ \w+ \w+ (.*) ✅""),'Country prepositions'!A:B, 2, 0) &amp; "" "" &amp; REGEXEXTRACT(C4302, ""🏘️ \w+ \w+ (.*) ✅"") ,  if(H4302=""quartier"",vlookup(REGEXEXTRACT(C4302, ""🏘️ \w+ \w+ (.*) ✅""),'Quartier prepositio"&amp;"ns'!A:E, 5, 0) ,  if(H4302=""region"",vlookup(REGEXEXTRACT(C4302, ""🏘️ \w+ \w+ (.*) ✅""),'Region prepositions'!B:F, 5, 0),  REGEXEXTRACT(C4302, ""🏘️ \w+ \w+ (.*) ✅""))))"),"#N/A")</f>
        <v>#N/A</v>
      </c>
      <c r="I4302" s="4" t="str">
        <f>IFERROR(__xludf.DUMMYFUNCTION("if(D4302=""variant"",  substitute(filter(Templates!E:E, Templates!A:A = F4302, Templates!B:B = G4302, Templates!C:C = H4302), ""{{}}"", E4302), B4302)"),"Louer appartement Caslano: Trouvez le bien immobilier qui correspond idéalement à vos désirs sur ImmoScout24 - La plateforme de l'immobilier en Suisse.")</f>
        <v>Louer appartement Caslano: Trouvez le bien immobilier qui correspond idéalement à vos désirs sur ImmoScout24 - La plateforme de l'immobilier en Suisse.</v>
      </c>
    </row>
    <row r="4303" hidden="1">
      <c r="A4303" s="5" t="s">
        <v>11707</v>
      </c>
      <c r="B4303" s="2" t="s">
        <v>11708</v>
      </c>
      <c r="C4303" s="2" t="s">
        <v>11708</v>
      </c>
      <c r="D4303" s="4" t="str">
        <f>vlookup(A4303, Sheet2!D:E, 2, 0)</f>
        <v>control</v>
      </c>
      <c r="E4303" s="4" t="str">
        <f>IFERROR(__xludf.DUMMYFUNCTION("if(H4303=""pays"",vlookup(REGEXEXTRACT(C4303, ""🏘️ \w+ \w+ (.*) ✅""),'Country prepositions'!A:B, 2, 0) &amp; "" "" &amp; REGEXEXTRACT(C4303, ""🏘️ \w+ \w+ (.*) ✅"") ,  if(H4303=""quartier"",vlookup(REGEXEXTRACT(C4303, ""🏘️ \w+ \w+ (.*) ✅""),'Quartier prepositio"&amp;"ns'!A:E, 5, 0) ,  if(H4303=""region"",vlookup(REGEXEXTRACT(C4303, ""🏘️ \w+ \w+ (.*) ✅""),'Region prepositions'!B:F, 5, 0),  REGEXEXTRACT(C4303, ""🏘️ \w+ \w+ (.*) ✅""))))"),"#N/A")</f>
        <v>#N/A</v>
      </c>
      <c r="I4303" s="4" t="str">
        <f>IFERROR(__xludf.DUMMYFUNCTION("if(D4303=""variant"",  substitute(filter(Templates!E:E, Templates!A:A = F4303, Templates!B:B = G4303, Templates!C:C = H4303), ""{{}}"", E4303), B4303)"),"Vendre maison Champoz: Trouvez le bien immobilier qui correspond idéalement à vos désirs sur ImmoScout24 - La plateforme de l'immobilier en Suisse.")</f>
        <v>Vendre maison Champoz: Trouvez le bien immobilier qui correspond idéalement à vos désirs sur ImmoScout24 - La plateforme de l'immobilier en Suisse.</v>
      </c>
    </row>
    <row r="4304" hidden="1">
      <c r="A4304" s="5" t="s">
        <v>11709</v>
      </c>
      <c r="B4304" s="2" t="s">
        <v>11710</v>
      </c>
      <c r="C4304" s="2" t="s">
        <v>11710</v>
      </c>
      <c r="D4304" s="4" t="str">
        <f>vlookup(A4304, Sheet2!D:E, 2, 0)</f>
        <v>control</v>
      </c>
      <c r="E4304" s="4" t="str">
        <f>IFERROR(__xludf.DUMMYFUNCTION("if(H4304=""pays"",vlookup(REGEXEXTRACT(C4304, ""🏘️ \w+ \w+ (.*) ✅""),'Country prepositions'!A:B, 2, 0) &amp; "" "" &amp; REGEXEXTRACT(C4304, ""🏘️ \w+ \w+ (.*) ✅"") ,  if(H4304=""quartier"",vlookup(REGEXEXTRACT(C4304, ""🏘️ \w+ \w+ (.*) ✅""),'Quartier prepositio"&amp;"ns'!A:E, 5, 0) ,  if(H4304=""region"",vlookup(REGEXEXTRACT(C4304, ""🏘️ \w+ \w+ (.*) ✅""),'Region prepositions'!B:F, 5, 0),  REGEXEXTRACT(C4304, ""🏘️ \w+ \w+ (.*) ✅""))))"),"#N/A")</f>
        <v>#N/A</v>
      </c>
      <c r="I4304" s="4" t="str">
        <f>IFERROR(__xludf.DUMMYFUNCTION("if(D4304=""variant"",  substitute(filter(Templates!E:E, Templates!A:A = F4304, Templates!B:B = G4304, Templates!C:C = H4304), ""{{}}"", E4304), B4304)"),"Louer maison Sévaz: Trouvez le bien immobilier qui correspond idéalement à vos désirs sur ImmoScout24 - La plateforme de l'immobilier en Suisse.")</f>
        <v>Louer maison Sévaz: Trouvez le bien immobilier qui correspond idéalement à vos désirs sur ImmoScout24 - La plateforme de l'immobilier en Suisse.</v>
      </c>
    </row>
    <row r="4305" hidden="1">
      <c r="A4305" s="5" t="s">
        <v>11711</v>
      </c>
      <c r="B4305" s="2" t="s">
        <v>11712</v>
      </c>
      <c r="C4305" s="2" t="s">
        <v>11712</v>
      </c>
      <c r="D4305" s="4" t="str">
        <f>vlookup(A4305, Sheet2!D:E, 2, 0)</f>
        <v>control</v>
      </c>
      <c r="E4305" s="4" t="str">
        <f>IFERROR(__xludf.DUMMYFUNCTION("if(H4305=""pays"",vlookup(REGEXEXTRACT(C4305, ""🏘️ \w+ \w+ (.*) ✅""),'Country prepositions'!A:B, 2, 0) &amp; "" "" &amp; REGEXEXTRACT(C4305, ""🏘️ \w+ \w+ (.*) ✅"") ,  if(H4305=""quartier"",vlookup(REGEXEXTRACT(C4305, ""🏘️ \w+ \w+ (.*) ✅""),'Quartier prepositio"&amp;"ns'!A:E, 5, 0) ,  if(H4305=""region"",vlookup(REGEXEXTRACT(C4305, ""🏘️ \w+ \w+ (.*) ✅""),'Region prepositions'!B:F, 5, 0),  REGEXEXTRACT(C4305, ""🏘️ \w+ \w+ (.*) ✅""))))"),"#N/A")</f>
        <v>#N/A</v>
      </c>
      <c r="I4305" s="4" t="str">
        <f>IFERROR(__xludf.DUMMYFUNCTION("if(D4305=""variant"",  substitute(filter(Templates!E:E, Templates!A:A = F4305, Templates!B:B = G4305, Templates!C:C = H4305), ""{{}}"", E4305), B4305)"),"Louer maison Porrentruy: Trouvez le bien immobilier qui correspond idéalement à vos désirs sur ImmoScout24 - La plateforme de l'immobilier en Suisse.")</f>
        <v>Louer maison Porrentruy: Trouvez le bien immobilier qui correspond idéalement à vos désirs sur ImmoScout24 - La plateforme de l'immobilier en Suisse.</v>
      </c>
    </row>
    <row r="4306" hidden="1">
      <c r="A4306" s="5" t="s">
        <v>11713</v>
      </c>
      <c r="B4306" s="2" t="s">
        <v>11714</v>
      </c>
      <c r="C4306" s="2" t="s">
        <v>11714</v>
      </c>
      <c r="D4306" s="4" t="str">
        <f>vlookup(A4306, Sheet2!D:E, 2, 0)</f>
        <v>control</v>
      </c>
      <c r="E4306" s="4" t="str">
        <f>IFERROR(__xludf.DUMMYFUNCTION("if(H4306=""pays"",vlookup(REGEXEXTRACT(C4306, ""🏘️ \w+ \w+ (.*) ✅""),'Country prepositions'!A:B, 2, 0) &amp; "" "" &amp; REGEXEXTRACT(C4306, ""🏘️ \w+ \w+ (.*) ✅"") ,  if(H4306=""quartier"",vlookup(REGEXEXTRACT(C4306, ""🏘️ \w+ \w+ (.*) ✅""),'Quartier prepositio"&amp;"ns'!A:E, 5, 0) ,  if(H4306=""region"",vlookup(REGEXEXTRACT(C4306, ""🏘️ \w+ \w+ (.*) ✅""),'Region prepositions'!B:F, 5, 0),  REGEXEXTRACT(C4306, ""🏘️ \w+ \w+ (.*) ✅""))))"),"#N/A")</f>
        <v>#N/A</v>
      </c>
      <c r="I4306" s="4" t="str">
        <f>IFERROR(__xludf.DUMMYFUNCTION("if(D4306=""variant"",  substitute(filter(Templates!E:E, Templates!A:A = F4306, Templates!B:B = G4306, Templates!C:C = H4306), ""{{}}"", E4306), B4306)"),"Louer maison Sion: Trouvez le bien immobilier qui correspond idéalement à vos désirs sur ImmoScout24 - La plateforme de l'immobilier en Suisse.")</f>
        <v>Louer maison Sion: Trouvez le bien immobilier qui correspond idéalement à vos désirs sur ImmoScout24 - La plateforme de l'immobilier en Suisse.</v>
      </c>
    </row>
    <row r="4307" hidden="1">
      <c r="A4307" s="5" t="s">
        <v>11715</v>
      </c>
      <c r="B4307" s="2" t="s">
        <v>11716</v>
      </c>
      <c r="C4307" s="2" t="s">
        <v>11716</v>
      </c>
      <c r="D4307" s="4" t="str">
        <f>vlookup(A4307, Sheet2!D:E, 2, 0)</f>
        <v>control</v>
      </c>
      <c r="E4307" s="4" t="str">
        <f>IFERROR(__xludf.DUMMYFUNCTION("if(H4307=""pays"",vlookup(REGEXEXTRACT(C4307, ""🏘️ \w+ \w+ (.*) ✅""),'Country prepositions'!A:B, 2, 0) &amp; "" "" &amp; REGEXEXTRACT(C4307, ""🏘️ \w+ \w+ (.*) ✅"") ,  if(H4307=""quartier"",vlookup(REGEXEXTRACT(C4307, ""🏘️ \w+ \w+ (.*) ✅""),'Quartier prepositio"&amp;"ns'!A:E, 5, 0) ,  if(H4307=""region"",vlookup(REGEXEXTRACT(C4307, ""🏘️ \w+ \w+ (.*) ✅""),'Region prepositions'!B:F, 5, 0),  REGEXEXTRACT(C4307, ""🏘️ \w+ \w+ (.*) ✅""))))"),"#N/A")</f>
        <v>#N/A</v>
      </c>
      <c r="I4307" s="4" t="str">
        <f>IFERROR(__xludf.DUMMYFUNCTION("if(D4307=""variant"",  substitute(filter(Templates!E:E, Templates!A:A = F4307, Templates!B:B = G4307, Templates!C:C = H4307), ""{{}}"", E4307), B4307)"),"Louer appartement Dino: Trouvez le bien immobilier qui correspond idéalement à vos désirs sur ImmoScout24 - La plateforme de l'immobilier en Suisse.")</f>
        <v>Louer appartement Dino: Trouvez le bien immobilier qui correspond idéalement à vos désirs sur ImmoScout24 - La plateforme de l'immobilier en Suisse.</v>
      </c>
    </row>
    <row r="4308" hidden="1">
      <c r="A4308" s="5" t="s">
        <v>11717</v>
      </c>
      <c r="B4308" s="2" t="s">
        <v>11718</v>
      </c>
      <c r="C4308" s="2" t="s">
        <v>11718</v>
      </c>
      <c r="D4308" s="4" t="str">
        <f>vlookup(A4308, Sheet2!D:E, 2, 0)</f>
        <v>control</v>
      </c>
      <c r="E4308" s="4" t="str">
        <f>IFERROR(__xludf.DUMMYFUNCTION("if(H4308=""pays"",vlookup(REGEXEXTRACT(C4308, ""🏘️ \w+ \w+ (.*) ✅""),'Country prepositions'!A:B, 2, 0) &amp; "" "" &amp; REGEXEXTRACT(C4308, ""🏘️ \w+ \w+ (.*) ✅"") ,  if(H4308=""quartier"",vlookup(REGEXEXTRACT(C4308, ""🏘️ \w+ \w+ (.*) ✅""),'Quartier prepositio"&amp;"ns'!A:E, 5, 0) ,  if(H4308=""region"",vlookup(REGEXEXTRACT(C4308, ""🏘️ \w+ \w+ (.*) ✅""),'Region prepositions'!B:F, 5, 0),  REGEXEXTRACT(C4308, ""🏘️ \w+ \w+ (.*) ✅""))))"),"#N/A")</f>
        <v>#N/A</v>
      </c>
      <c r="I4308" s="4" t="str">
        <f>IFERROR(__xludf.DUMMYFUNCTION("if(D4308=""variant"",  substitute(filter(Templates!E:E, Templates!A:A = F4308, Templates!B:B = G4308, Templates!C:C = H4308), ""{{}}"", E4308), B4308)"),"Louer appartement Baltschieder: Trouvez le bien immobilier qui correspond idéalement à vos désirs sur ImmoScout24 - La plateforme de l'immobilier en Suisse.")</f>
        <v>Louer appartement Baltschieder: Trouvez le bien immobilier qui correspond idéalement à vos désirs sur ImmoScout24 - La plateforme de l'immobilier en Suisse.</v>
      </c>
    </row>
    <row r="4309" hidden="1">
      <c r="A4309" s="5" t="s">
        <v>11719</v>
      </c>
      <c r="B4309" s="2" t="s">
        <v>11720</v>
      </c>
      <c r="C4309" s="2" t="s">
        <v>11720</v>
      </c>
      <c r="D4309" s="4" t="str">
        <f>vlookup(A4309, Sheet2!D:E, 2, 0)</f>
        <v>control</v>
      </c>
      <c r="E4309" s="4" t="str">
        <f>IFERROR(__xludf.DUMMYFUNCTION("if(H4309=""pays"",vlookup(REGEXEXTRACT(C4309, ""🏘️ \w+ \w+ (.*) ✅""),'Country prepositions'!A:B, 2, 0) &amp; "" "" &amp; REGEXEXTRACT(C4309, ""🏘️ \w+ \w+ (.*) ✅"") ,  if(H4309=""quartier"",vlookup(REGEXEXTRACT(C4309, ""🏘️ \w+ \w+ (.*) ✅""),'Quartier prepositio"&amp;"ns'!A:E, 5, 0) ,  if(H4309=""region"",vlookup(REGEXEXTRACT(C4309, ""🏘️ \w+ \w+ (.*) ✅""),'Region prepositions'!B:F, 5, 0),  REGEXEXTRACT(C4309, ""🏘️ \w+ \w+ (.*) ✅""))))"),"#N/A")</f>
        <v>#N/A</v>
      </c>
      <c r="I4309" s="4" t="str">
        <f>IFERROR(__xludf.DUMMYFUNCTION("if(D4309=""variant"",  substitute(filter(Templates!E:E, Templates!A:A = F4309, Templates!B:B = G4309, Templates!C:C = H4309), ""{{}}"", E4309), B4309)"),"Vendre appartement Zug: Trouvez le bien immobilier qui correspond idéalement à vos désirs sur ImmoScout24 - La plateforme de l'immobilier en Suisse.")</f>
        <v>Vendre appartement Zug: Trouvez le bien immobilier qui correspond idéalement à vos désirs sur ImmoScout24 - La plateforme de l'immobilier en Suisse.</v>
      </c>
    </row>
    <row r="4310" hidden="1">
      <c r="A4310" s="5" t="s">
        <v>11721</v>
      </c>
      <c r="B4310" s="2" t="s">
        <v>11722</v>
      </c>
      <c r="C4310" s="2" t="s">
        <v>11722</v>
      </c>
      <c r="D4310" s="4" t="str">
        <f>vlookup(A4310, Sheet2!D:E, 2, 0)</f>
        <v>control</v>
      </c>
      <c r="E4310" s="4" t="str">
        <f>IFERROR(__xludf.DUMMYFUNCTION("if(H4310=""pays"",vlookup(REGEXEXTRACT(C4310, ""🏘️ \w+ \w+ (.*) ✅""),'Country prepositions'!A:B, 2, 0) &amp; "" "" &amp; REGEXEXTRACT(C4310, ""🏘️ \w+ \w+ (.*) ✅"") ,  if(H4310=""quartier"",vlookup(REGEXEXTRACT(C4310, ""🏘️ \w+ \w+ (.*) ✅""),'Quartier prepositio"&amp;"ns'!A:E, 5, 0) ,  if(H4310=""region"",vlookup(REGEXEXTRACT(C4310, ""🏘️ \w+ \w+ (.*) ✅""),'Region prepositions'!B:F, 5, 0),  REGEXEXTRACT(C4310, ""🏘️ \w+ \w+ (.*) ✅""))))"),"#N/A")</f>
        <v>#N/A</v>
      </c>
      <c r="I4310" s="4" t="str">
        <f>IFERROR(__xludf.DUMMYFUNCTION("if(D4310=""variant"",  substitute(filter(Templates!E:E, Templates!A:A = F4310, Templates!B:B = G4310, Templates!C:C = H4310), ""{{}}"", E4310), B4310)"),"Vendre maison Grangettes-près-Romont: Trouvez le bien immobilier qui correspond idéalement à vos désirs sur ImmoScout24 - La plateforme de l'immobilier en Suisse.")</f>
        <v>Vendre maison Grangettes-près-Romont: Trouvez le bien immobilier qui correspond idéalement à vos désirs sur ImmoScout24 - La plateforme de l'immobilier en Suisse.</v>
      </c>
    </row>
    <row r="4311" hidden="1">
      <c r="A4311" s="5" t="s">
        <v>11723</v>
      </c>
      <c r="B4311" s="2" t="s">
        <v>11724</v>
      </c>
      <c r="C4311" s="2" t="s">
        <v>11724</v>
      </c>
      <c r="D4311" s="4" t="str">
        <f>vlookup(A4311, Sheet2!D:E, 2, 0)</f>
        <v>control</v>
      </c>
      <c r="E4311" s="4" t="str">
        <f>IFERROR(__xludf.DUMMYFUNCTION("if(H4311=""pays"",vlookup(REGEXEXTRACT(C4311, ""🏘️ \w+ \w+ (.*) ✅""),'Country prepositions'!A:B, 2, 0) &amp; "" "" &amp; REGEXEXTRACT(C4311, ""🏘️ \w+ \w+ (.*) ✅"") ,  if(H4311=""quartier"",vlookup(REGEXEXTRACT(C4311, ""🏘️ \w+ \w+ (.*) ✅""),'Quartier prepositio"&amp;"ns'!A:E, 5, 0) ,  if(H4311=""region"",vlookup(REGEXEXTRACT(C4311, ""🏘️ \w+ \w+ (.*) ✅""),'Region prepositions'!B:F, 5, 0),  REGEXEXTRACT(C4311, ""🏘️ \w+ \w+ (.*) ✅""))))"),"#N/A")</f>
        <v>#N/A</v>
      </c>
      <c r="I4311" s="4" t="str">
        <f>IFERROR(__xludf.DUMMYFUNCTION("if(D4311=""variant"",  substitute(filter(Templates!E:E, Templates!A:A = F4311, Templates!B:B = G4311, Templates!C:C = H4311), ""{{}}"", E4311), B4311)"),"Louer appartement Wagen: Trouvez le bien immobilier qui correspond idéalement à vos désirs sur ImmoScout24 - La plateforme de l'immobilier en Suisse.")</f>
        <v>Louer appartement Wagen: Trouvez le bien immobilier qui correspond idéalement à vos désirs sur ImmoScout24 - La plateforme de l'immobilier en Suisse.</v>
      </c>
    </row>
    <row r="4312" hidden="1">
      <c r="A4312" s="5" t="s">
        <v>11725</v>
      </c>
      <c r="B4312" s="2" t="s">
        <v>11726</v>
      </c>
      <c r="C4312" s="2" t="s">
        <v>11726</v>
      </c>
      <c r="D4312" s="4" t="str">
        <f>vlookup(A4312, Sheet2!D:E, 2, 0)</f>
        <v>control</v>
      </c>
      <c r="E4312" s="4" t="str">
        <f>IFERROR(__xludf.DUMMYFUNCTION("if(H4312=""pays"",vlookup(REGEXEXTRACT(C4312, ""🏘️ \w+ \w+ (.*) ✅""),'Country prepositions'!A:B, 2, 0) &amp; "" "" &amp; REGEXEXTRACT(C4312, ""🏘️ \w+ \w+ (.*) ✅"") ,  if(H4312=""quartier"",vlookup(REGEXEXTRACT(C4312, ""🏘️ \w+ \w+ (.*) ✅""),'Quartier prepositio"&amp;"ns'!A:E, 5, 0) ,  if(H4312=""region"",vlookup(REGEXEXTRACT(C4312, ""🏘️ \w+ \w+ (.*) ✅""),'Region prepositions'!B:F, 5, 0),  REGEXEXTRACT(C4312, ""🏘️ \w+ \w+ (.*) ✅""))))"),"#N/A")</f>
        <v>#N/A</v>
      </c>
      <c r="I4312" s="4" t="str">
        <f>IFERROR(__xludf.DUMMYFUNCTION("if(D4312=""variant"",  substitute(filter(Templates!E:E, Templates!A:A = F4312, Templates!B:B = G4312, Templates!C:C = H4312), ""{{}}"", E4312), B4312)"),"Vendre maison Mousquines - Bellevue (Lausanne): Trouvez le bien immobilier qui correspond idéalement à vos désirs sur ImmoScout24 - La plateforme de l'immobilier en Suisse.")</f>
        <v>Vendre maison Mousquines - Bellevue (Lausanne): Trouvez le bien immobilier qui correspond idéalement à vos désirs sur ImmoScout24 - La plateforme de l'immobilier en Suisse.</v>
      </c>
    </row>
    <row r="4313" hidden="1">
      <c r="A4313" s="5" t="s">
        <v>11727</v>
      </c>
      <c r="B4313" s="2" t="s">
        <v>11728</v>
      </c>
      <c r="C4313" s="2" t="s">
        <v>11728</v>
      </c>
      <c r="D4313" s="4" t="str">
        <f>vlookup(A4313, Sheet2!D:E, 2, 0)</f>
        <v>control</v>
      </c>
      <c r="E4313" s="4" t="str">
        <f>IFERROR(__xludf.DUMMYFUNCTION("if(H4313=""pays"",vlookup(REGEXEXTRACT(C4313, ""🏘️ \w+ \w+ (.*) ✅""),'Country prepositions'!A:B, 2, 0) &amp; "" "" &amp; REGEXEXTRACT(C4313, ""🏘️ \w+ \w+ (.*) ✅"") ,  if(H4313=""quartier"",vlookup(REGEXEXTRACT(C4313, ""🏘️ \w+ \w+ (.*) ✅""),'Quartier prepositio"&amp;"ns'!A:E, 5, 0) ,  if(H4313=""region"",vlookup(REGEXEXTRACT(C4313, ""🏘️ \w+ \w+ (.*) ✅""),'Region prepositions'!B:F, 5, 0),  REGEXEXTRACT(C4313, ""🏘️ \w+ \w+ (.*) ✅""))))"),"#N/A")</f>
        <v>#N/A</v>
      </c>
      <c r="I4313" s="4" t="str">
        <f>IFERROR(__xludf.DUMMYFUNCTION("if(D4313=""variant"",  substitute(filter(Templates!E:E, Templates!A:A = F4313, Templates!B:B = G4313, Templates!C:C = H4313), ""{{}}"", E4313), B4313)"),"Louer maison Canton des Grisons: Trouvez le bien immobilier qui correspond idéalement à vos désirs sur ImmoScout24 - La plateforme de l'immobilier en Suisse.")</f>
        <v>Louer maison Canton des Grisons: Trouvez le bien immobilier qui correspond idéalement à vos désirs sur ImmoScout24 - La plateforme de l'immobilier en Suisse.</v>
      </c>
    </row>
    <row r="4314" hidden="1">
      <c r="A4314" s="5" t="s">
        <v>11729</v>
      </c>
      <c r="B4314" s="2" t="s">
        <v>11730</v>
      </c>
      <c r="C4314" s="2" t="s">
        <v>11730</v>
      </c>
      <c r="D4314" s="4" t="str">
        <f>vlookup(A4314, Sheet2!D:E, 2, 0)</f>
        <v>control</v>
      </c>
      <c r="E4314" s="4" t="str">
        <f>IFERROR(__xludf.DUMMYFUNCTION("if(H4314=""pays"",vlookup(REGEXEXTRACT(C4314, ""🏘️ \w+ \w+ (.*) ✅""),'Country prepositions'!A:B, 2, 0) &amp; "" "" &amp; REGEXEXTRACT(C4314, ""🏘️ \w+ \w+ (.*) ✅"") ,  if(H4314=""quartier"",vlookup(REGEXEXTRACT(C4314, ""🏘️ \w+ \w+ (.*) ✅""),'Quartier prepositio"&amp;"ns'!A:E, 5, 0) ,  if(H4314=""region"",vlookup(REGEXEXTRACT(C4314, ""🏘️ \w+ \w+ (.*) ✅""),'Region prepositions'!B:F, 5, 0),  REGEXEXTRACT(C4314, ""🏘️ \w+ \w+ (.*) ✅""))))"),"#N/A")</f>
        <v>#N/A</v>
      </c>
      <c r="I4314" s="4" t="str">
        <f>IFERROR(__xludf.DUMMYFUNCTION("if(D4314=""variant"",  substitute(filter(Templates!E:E, Templates!A:A = F4314, Templates!B:B = G4314, Templates!C:C = H4314), ""{{}}"", E4314), B4314)"),"Louer appartement Signy: Trouvez le bien immobilier qui correspond idéalement à vos désirs sur ImmoScout24 - La plateforme de l'immobilier en Suisse.")</f>
        <v>Louer appartement Signy: Trouvez le bien immobilier qui correspond idéalement à vos désirs sur ImmoScout24 - La plateforme de l'immobilier en Suisse.</v>
      </c>
    </row>
    <row r="4315" hidden="1">
      <c r="A4315" s="5" t="s">
        <v>11731</v>
      </c>
      <c r="B4315" s="2" t="s">
        <v>11732</v>
      </c>
      <c r="C4315" s="2" t="s">
        <v>11732</v>
      </c>
      <c r="D4315" s="4" t="str">
        <f>vlookup(A4315, Sheet2!D:E, 2, 0)</f>
        <v>control</v>
      </c>
      <c r="E4315" s="4" t="str">
        <f>IFERROR(__xludf.DUMMYFUNCTION("if(H4315=""pays"",vlookup(REGEXEXTRACT(C4315, ""🏘️ \w+ \w+ (.*) ✅""),'Country prepositions'!A:B, 2, 0) &amp; "" "" &amp; REGEXEXTRACT(C4315, ""🏘️ \w+ \w+ (.*) ✅"") ,  if(H4315=""quartier"",vlookup(REGEXEXTRACT(C4315, ""🏘️ \w+ \w+ (.*) ✅""),'Quartier prepositio"&amp;"ns'!A:E, 5, 0) ,  if(H4315=""region"",vlookup(REGEXEXTRACT(C4315, ""🏘️ \w+ \w+ (.*) ✅""),'Region prepositions'!B:F, 5, 0),  REGEXEXTRACT(C4315, ""🏘️ \w+ \w+ (.*) ✅""))))"),"#N/A")</f>
        <v>#N/A</v>
      </c>
      <c r="I4315" s="4" t="str">
        <f>IFERROR(__xludf.DUMMYFUNCTION("if(D4315=""variant"",  substitute(filter(Templates!E:E, Templates!A:A = F4315, Templates!B:B = G4315, Templates!C:C = H4315), ""{{}}"", E4315), B4315)"),"Louer appartement Bachenbülach: Trouvez le bien immobilier qui correspond idéalement à vos désirs sur ImmoScout24 - La plateforme de l'immobilier en Suisse.")</f>
        <v>Louer appartement Bachenbülach: Trouvez le bien immobilier qui correspond idéalement à vos désirs sur ImmoScout24 - La plateforme de l'immobilier en Suisse.</v>
      </c>
    </row>
    <row r="4316" hidden="1">
      <c r="A4316" s="5" t="s">
        <v>11733</v>
      </c>
      <c r="B4316" s="2" t="s">
        <v>11734</v>
      </c>
      <c r="C4316" s="2" t="s">
        <v>11734</v>
      </c>
      <c r="D4316" s="4" t="str">
        <f>vlookup(A4316, Sheet2!D:E, 2, 0)</f>
        <v>control</v>
      </c>
      <c r="E4316" s="4" t="str">
        <f>IFERROR(__xludf.DUMMYFUNCTION("if(H4316=""pays"",vlookup(REGEXEXTRACT(C4316, ""🏘️ \w+ \w+ (.*) ✅""),'Country prepositions'!A:B, 2, 0) &amp; "" "" &amp; REGEXEXTRACT(C4316, ""🏘️ \w+ \w+ (.*) ✅"") ,  if(H4316=""quartier"",vlookup(REGEXEXTRACT(C4316, ""🏘️ \w+ \w+ (.*) ✅""),'Quartier prepositio"&amp;"ns'!A:E, 5, 0) ,  if(H4316=""region"",vlookup(REGEXEXTRACT(C4316, ""🏘️ \w+ \w+ (.*) ✅""),'Region prepositions'!B:F, 5, 0),  REGEXEXTRACT(C4316, ""🏘️ \w+ \w+ (.*) ✅""))))"),"#N/A")</f>
        <v>#N/A</v>
      </c>
      <c r="I4316" s="4" t="str">
        <f>IFERROR(__xludf.DUMMYFUNCTION("if(D4316=""variant"",  substitute(filter(Templates!E:E, Templates!A:A = F4316, Templates!B:B = G4316, Templates!C:C = H4316), ""{{}}"", E4316), B4316)"),"Louer maison Aigle: Trouvez le bien immobilier qui correspond idéalement à vos désirs sur ImmoScout24 - La plateforme de l'immobilier en Suisse.")</f>
        <v>Louer maison Aigle: Trouvez le bien immobilier qui correspond idéalement à vos désirs sur ImmoScout24 - La plateforme de l'immobilier en Suisse.</v>
      </c>
    </row>
    <row r="4317" hidden="1">
      <c r="A4317" s="5" t="s">
        <v>11735</v>
      </c>
      <c r="B4317" s="2" t="s">
        <v>11736</v>
      </c>
      <c r="C4317" s="2" t="s">
        <v>11736</v>
      </c>
      <c r="D4317" s="4" t="str">
        <f>vlookup(A4317, Sheet2!D:E, 2, 0)</f>
        <v>control</v>
      </c>
      <c r="E4317" s="4" t="str">
        <f>IFERROR(__xludf.DUMMYFUNCTION("if(H4317=""pays"",vlookup(REGEXEXTRACT(C4317, ""🏘️ \w+ \w+ (.*) ✅""),'Country prepositions'!A:B, 2, 0) &amp; "" "" &amp; REGEXEXTRACT(C4317, ""🏘️ \w+ \w+ (.*) ✅"") ,  if(H4317=""quartier"",vlookup(REGEXEXTRACT(C4317, ""🏘️ \w+ \w+ (.*) ✅""),'Quartier prepositio"&amp;"ns'!A:E, 5, 0) ,  if(H4317=""region"",vlookup(REGEXEXTRACT(C4317, ""🏘️ \w+ \w+ (.*) ✅""),'Region prepositions'!B:F, 5, 0),  REGEXEXTRACT(C4317, ""🏘️ \w+ \w+ (.*) ✅""))))"),"#N/A")</f>
        <v>#N/A</v>
      </c>
      <c r="I4317" s="4" t="str">
        <f>IFERROR(__xludf.DUMMYFUNCTION("if(D4317=""variant"",  substitute(filter(Templates!E:E, Templates!A:A = F4317, Templates!B:B = G4317, Templates!C:C = H4317), ""{{}}"", E4317), B4317)"),"Louer appartement Hergiswil NW: Trouvez le bien immobilier qui correspond idéalement à vos désirs sur ImmoScout24 - La plateforme de l'immobilier en Suisse.")</f>
        <v>Louer appartement Hergiswil NW: Trouvez le bien immobilier qui correspond idéalement à vos désirs sur ImmoScout24 - La plateforme de l'immobilier en Suisse.</v>
      </c>
    </row>
    <row r="4318" hidden="1">
      <c r="A4318" s="5" t="s">
        <v>11737</v>
      </c>
      <c r="B4318" s="2" t="s">
        <v>11738</v>
      </c>
      <c r="C4318" s="2" t="s">
        <v>11738</v>
      </c>
      <c r="D4318" s="4" t="str">
        <f>vlookup(A4318, Sheet2!D:E, 2, 0)</f>
        <v>control</v>
      </c>
      <c r="E4318" s="4" t="str">
        <f>IFERROR(__xludf.DUMMYFUNCTION("if(H4318=""pays"",vlookup(REGEXEXTRACT(C4318, ""🏘️ \w+ \w+ (.*) ✅""),'Country prepositions'!A:B, 2, 0) &amp; "" "" &amp; REGEXEXTRACT(C4318, ""🏘️ \w+ \w+ (.*) ✅"") ,  if(H4318=""quartier"",vlookup(REGEXEXTRACT(C4318, ""🏘️ \w+ \w+ (.*) ✅""),'Quartier prepositio"&amp;"ns'!A:E, 5, 0) ,  if(H4318=""region"",vlookup(REGEXEXTRACT(C4318, ""🏘️ \w+ \w+ (.*) ✅""),'Region prepositions'!B:F, 5, 0),  REGEXEXTRACT(C4318, ""🏘️ \w+ \w+ (.*) ✅""))))"),"#N/A")</f>
        <v>#N/A</v>
      </c>
      <c r="I4318" s="4" t="str">
        <f>IFERROR(__xludf.DUMMYFUNCTION("if(D4318=""variant"",  substitute(filter(Templates!E:E, Templates!A:A = F4318, Templates!B:B = G4318, Templates!C:C = H4318), ""{{}}"", E4318), B4318)"),"Louer appartement Crans-près-Céligny: Trouvez le bien immobilier qui correspond idéalement à vos désirs sur ImmoScout24 - La plateforme de l'immobilier en Suisse.")</f>
        <v>Louer appartement Crans-près-Céligny: Trouvez le bien immobilier qui correspond idéalement à vos désirs sur ImmoScout24 - La plateforme de l'immobilier en Suisse.</v>
      </c>
    </row>
    <row r="4319" hidden="1">
      <c r="A4319" s="5" t="s">
        <v>11739</v>
      </c>
      <c r="B4319" s="2" t="s">
        <v>11740</v>
      </c>
      <c r="C4319" s="2" t="s">
        <v>11740</v>
      </c>
      <c r="D4319" s="4" t="str">
        <f>vlookup(A4319, Sheet2!D:E, 2, 0)</f>
        <v>control</v>
      </c>
      <c r="E4319" s="4" t="str">
        <f>IFERROR(__xludf.DUMMYFUNCTION("if(H4319=""pays"",vlookup(REGEXEXTRACT(C4319, ""🏘️ \w+ \w+ (.*) ✅""),'Country prepositions'!A:B, 2, 0) &amp; "" "" &amp; REGEXEXTRACT(C4319, ""🏘️ \w+ \w+ (.*) ✅"") ,  if(H4319=""quartier"",vlookup(REGEXEXTRACT(C4319, ""🏘️ \w+ \w+ (.*) ✅""),'Quartier prepositio"&amp;"ns'!A:E, 5, 0) ,  if(H4319=""region"",vlookup(REGEXEXTRACT(C4319, ""🏘️ \w+ \w+ (.*) ✅""),'Region prepositions'!B:F, 5, 0),  REGEXEXTRACT(C4319, ""🏘️ \w+ \w+ (.*) ✅""))))"),"#N/A")</f>
        <v>#N/A</v>
      </c>
      <c r="I4319" s="4" t="str">
        <f>IFERROR(__xludf.DUMMYFUNCTION("if(D4319=""variant"",  substitute(filter(Templates!E:E, Templates!A:A = F4319, Templates!B:B = G4319, Templates!C:C = H4319), ""{{}}"", E4319), B4319)"),"Louer maison Oberburg: Trouvez le bien immobilier qui correspond idéalement à vos désirs sur ImmoScout24 - La plateforme de l'immobilier en Suisse.")</f>
        <v>Louer maison Oberburg: Trouvez le bien immobilier qui correspond idéalement à vos désirs sur ImmoScout24 - La plateforme de l'immobilier en Suisse.</v>
      </c>
    </row>
    <row r="4320" hidden="1">
      <c r="A4320" s="5" t="s">
        <v>11741</v>
      </c>
      <c r="B4320" s="2" t="s">
        <v>11742</v>
      </c>
      <c r="C4320" s="2" t="s">
        <v>11742</v>
      </c>
      <c r="D4320" s="4" t="str">
        <f>vlookup(A4320, Sheet2!D:E, 2, 0)</f>
        <v>control</v>
      </c>
      <c r="E4320" s="4" t="str">
        <f>IFERROR(__xludf.DUMMYFUNCTION("if(H4320=""pays"",vlookup(REGEXEXTRACT(C4320, ""🏘️ \w+ \w+ (.*) ✅""),'Country prepositions'!A:B, 2, 0) &amp; "" "" &amp; REGEXEXTRACT(C4320, ""🏘️ \w+ \w+ (.*) ✅"") ,  if(H4320=""quartier"",vlookup(REGEXEXTRACT(C4320, ""🏘️ \w+ \w+ (.*) ✅""),'Quartier prepositio"&amp;"ns'!A:E, 5, 0) ,  if(H4320=""region"",vlookup(REGEXEXTRACT(C4320, ""🏘️ \w+ \w+ (.*) ✅""),'Region prepositions'!B:F, 5, 0),  REGEXEXTRACT(C4320, ""🏘️ \w+ \w+ (.*) ✅""))))"),"#N/A")</f>
        <v>#N/A</v>
      </c>
      <c r="I4320" s="4" t="str">
        <f>IFERROR(__xludf.DUMMYFUNCTION("if(D4320=""variant"",  substitute(filter(Templates!E:E, Templates!A:A = F4320, Templates!B:B = G4320, Templates!C:C = H4320), ""{{}}"", E4320), B4320)"),"Louer appartement La Côte - Nyon: Trouvez le bien immobilier qui correspond idéalement à vos désirs sur ImmoScout24 - La plateforme de l'immobilier en Suisse.")</f>
        <v>Louer appartement La Côte - Nyon: Trouvez le bien immobilier qui correspond idéalement à vos désirs sur ImmoScout24 - La plateforme de l'immobilier en Suisse.</v>
      </c>
    </row>
    <row r="4321" hidden="1">
      <c r="A4321" s="5" t="s">
        <v>11743</v>
      </c>
      <c r="B4321" s="2" t="s">
        <v>11744</v>
      </c>
      <c r="C4321" s="2" t="s">
        <v>11744</v>
      </c>
      <c r="D4321" s="4" t="str">
        <f>vlookup(A4321, Sheet2!D:E, 2, 0)</f>
        <v>control</v>
      </c>
      <c r="E4321" s="4" t="str">
        <f>IFERROR(__xludf.DUMMYFUNCTION("if(H4321=""pays"",vlookup(REGEXEXTRACT(C4321, ""🏘️ \w+ \w+ (.*) ✅""),'Country prepositions'!A:B, 2, 0) &amp; "" "" &amp; REGEXEXTRACT(C4321, ""🏘️ \w+ \w+ (.*) ✅"") ,  if(H4321=""quartier"",vlookup(REGEXEXTRACT(C4321, ""🏘️ \w+ \w+ (.*) ✅""),'Quartier prepositio"&amp;"ns'!A:E, 5, 0) ,  if(H4321=""region"",vlookup(REGEXEXTRACT(C4321, ""🏘️ \w+ \w+ (.*) ✅""),'Region prepositions'!B:F, 5, 0),  REGEXEXTRACT(C4321, ""🏘️ \w+ \w+ (.*) ✅""))))"),"#N/A")</f>
        <v>#N/A</v>
      </c>
      <c r="I4321" s="4" t="str">
        <f>IFERROR(__xludf.DUMMYFUNCTION("if(D4321=""variant"",  substitute(filter(Templates!E:E, Templates!A:A = F4321, Templates!B:B = G4321, Templates!C:C = H4321), ""{{}}"", E4321), B4321)"),"Vendre maison Vuarrens: Trouvez le bien immobilier qui correspond idéalement à vos désirs sur ImmoScout24 - La plateforme de l'immobilier en Suisse.")</f>
        <v>Vendre maison Vuarrens: Trouvez le bien immobilier qui correspond idéalement à vos désirs sur ImmoScout24 - La plateforme de l'immobilier en Suisse.</v>
      </c>
    </row>
    <row r="4322" hidden="1">
      <c r="A4322" s="5" t="s">
        <v>11745</v>
      </c>
      <c r="B4322" s="2" t="s">
        <v>11746</v>
      </c>
      <c r="C4322" s="2" t="s">
        <v>11746</v>
      </c>
      <c r="D4322" s="4" t="str">
        <f>vlookup(A4322, Sheet2!D:E, 2, 0)</f>
        <v>control</v>
      </c>
      <c r="E4322" s="4" t="str">
        <f>IFERROR(__xludf.DUMMYFUNCTION("if(H4322=""pays"",vlookup(REGEXEXTRACT(C4322, ""🏘️ \w+ \w+ (.*) ✅""),'Country prepositions'!A:B, 2, 0) &amp; "" "" &amp; REGEXEXTRACT(C4322, ""🏘️ \w+ \w+ (.*) ✅"") ,  if(H4322=""quartier"",vlookup(REGEXEXTRACT(C4322, ""🏘️ \w+ \w+ (.*) ✅""),'Quartier prepositio"&amp;"ns'!A:E, 5, 0) ,  if(H4322=""region"",vlookup(REGEXEXTRACT(C4322, ""🏘️ \w+ \w+ (.*) ✅""),'Region prepositions'!B:F, 5, 0),  REGEXEXTRACT(C4322, ""🏘️ \w+ \w+ (.*) ✅""))))"),"#N/A")</f>
        <v>#N/A</v>
      </c>
      <c r="I4322" s="4" t="str">
        <f>IFERROR(__xludf.DUMMYFUNCTION("if(D4322=""variant"",  substitute(filter(Templates!E:E, Templates!A:A = F4322, Templates!B:B = G4322, Templates!C:C = H4322), ""{{}}"", E4322), B4322)"),"Vendre maison Besazio: Trouvez le bien immobilier qui correspond idéalement à vos désirs sur ImmoScout24 - La plateforme de l'immobilier en Suisse.")</f>
        <v>Vendre maison Besazio: Trouvez le bien immobilier qui correspond idéalement à vos désirs sur ImmoScout24 - La plateforme de l'immobilier en Suisse.</v>
      </c>
    </row>
    <row r="4323" hidden="1">
      <c r="A4323" s="5" t="s">
        <v>11747</v>
      </c>
      <c r="B4323" s="2" t="s">
        <v>11748</v>
      </c>
      <c r="C4323" s="2" t="s">
        <v>11748</v>
      </c>
      <c r="D4323" s="4" t="str">
        <f>vlookup(A4323, Sheet2!D:E, 2, 0)</f>
        <v>control</v>
      </c>
      <c r="E4323" s="4" t="str">
        <f>IFERROR(__xludf.DUMMYFUNCTION("if(H4323=""pays"",vlookup(REGEXEXTRACT(C4323, ""🏘️ \w+ \w+ (.*) ✅""),'Country prepositions'!A:B, 2, 0) &amp; "" "" &amp; REGEXEXTRACT(C4323, ""🏘️ \w+ \w+ (.*) ✅"") ,  if(H4323=""quartier"",vlookup(REGEXEXTRACT(C4323, ""🏘️ \w+ \w+ (.*) ✅""),'Quartier prepositio"&amp;"ns'!A:E, 5, 0) ,  if(H4323=""region"",vlookup(REGEXEXTRACT(C4323, ""🏘️ \w+ \w+ (.*) ✅""),'Region prepositions'!B:F, 5, 0),  REGEXEXTRACT(C4323, ""🏘️ \w+ \w+ (.*) ✅""))))"),"#N/A")</f>
        <v>#N/A</v>
      </c>
      <c r="I4323" s="4" t="str">
        <f>IFERROR(__xludf.DUMMYFUNCTION("if(D4323=""variant"",  substitute(filter(Templates!E:E, Templates!A:A = F4323, Templates!B:B = G4323, Templates!C:C = H4323), ""{{}}"", E4323), B4323)"),"Vendre appartement Lac Majeur: Trouvez le bien immobilier qui correspond idéalement à vos désirs sur ImmoScout24 - La plateforme de l'immobilier en Suisse.")</f>
        <v>Vendre appartement Lac Majeur: Trouvez le bien immobilier qui correspond idéalement à vos désirs sur ImmoScout24 - La plateforme de l'immobilier en Suisse.</v>
      </c>
    </row>
    <row r="4324" hidden="1">
      <c r="A4324" s="5" t="s">
        <v>11749</v>
      </c>
      <c r="B4324" s="2" t="s">
        <v>11750</v>
      </c>
      <c r="C4324" s="2" t="s">
        <v>11750</v>
      </c>
      <c r="D4324" s="4" t="str">
        <f>vlookup(A4324, Sheet2!D:E, 2, 0)</f>
        <v>control</v>
      </c>
      <c r="E4324" s="4" t="str">
        <f>IFERROR(__xludf.DUMMYFUNCTION("if(H4324=""pays"",vlookup(REGEXEXTRACT(C4324, ""🏘️ \w+ \w+ (.*) ✅""),'Country prepositions'!A:B, 2, 0) &amp; "" "" &amp; REGEXEXTRACT(C4324, ""🏘️ \w+ \w+ (.*) ✅"") ,  if(H4324=""quartier"",vlookup(REGEXEXTRACT(C4324, ""🏘️ \w+ \w+ (.*) ✅""),'Quartier prepositio"&amp;"ns'!A:E, 5, 0) ,  if(H4324=""region"",vlookup(REGEXEXTRACT(C4324, ""🏘️ \w+ \w+ (.*) ✅""),'Region prepositions'!B:F, 5, 0),  REGEXEXTRACT(C4324, ""🏘️ \w+ \w+ (.*) ✅""))))"),"#N/A")</f>
        <v>#N/A</v>
      </c>
      <c r="I4324" s="4" t="str">
        <f>IFERROR(__xludf.DUMMYFUNCTION("if(D4324=""variant"",  substitute(filter(Templates!E:E, Templates!A:A = F4324, Templates!B:B = G4324, Templates!C:C = H4324), ""{{}}"", E4324), B4324)"),"Louer appartement Villars-sur-Fontenais: Trouvez le bien immobilier qui correspond idéalement à vos désirs sur ImmoScout24 - La plateforme de l'immobilier en Suisse.")</f>
        <v>Louer appartement Villars-sur-Fontenais: Trouvez le bien immobilier qui correspond idéalement à vos désirs sur ImmoScout24 - La plateforme de l'immobilier en Suisse.</v>
      </c>
    </row>
    <row r="4325" hidden="1">
      <c r="A4325" s="5" t="s">
        <v>11751</v>
      </c>
      <c r="B4325" s="2" t="s">
        <v>11752</v>
      </c>
      <c r="C4325" s="2" t="s">
        <v>11752</v>
      </c>
      <c r="D4325" s="4" t="str">
        <f>vlookup(A4325, Sheet2!D:E, 2, 0)</f>
        <v>control</v>
      </c>
      <c r="E4325" s="4" t="str">
        <f>IFERROR(__xludf.DUMMYFUNCTION("if(H4325=""pays"",vlookup(REGEXEXTRACT(C4325, ""🏘️ \w+ \w+ (.*) ✅""),'Country prepositions'!A:B, 2, 0) &amp; "" "" &amp; REGEXEXTRACT(C4325, ""🏘️ \w+ \w+ (.*) ✅"") ,  if(H4325=""quartier"",vlookup(REGEXEXTRACT(C4325, ""🏘️ \w+ \w+ (.*) ✅""),'Quartier prepositio"&amp;"ns'!A:E, 5, 0) ,  if(H4325=""region"",vlookup(REGEXEXTRACT(C4325, ""🏘️ \w+ \w+ (.*) ✅""),'Region prepositions'!B:F, 5, 0),  REGEXEXTRACT(C4325, ""🏘️ \w+ \w+ (.*) ✅""))))"),"#N/A")</f>
        <v>#N/A</v>
      </c>
      <c r="I4325" s="4" t="str">
        <f>IFERROR(__xludf.DUMMYFUNCTION("if(D4325=""variant"",  substitute(filter(Templates!E:E, Templates!A:A = F4325, Templates!B:B = G4325, Templates!C:C = H4325), ""{{}}"", E4325), B4325)"),"Vendre maison Bâle-Ville: Trouvez le bien immobilier qui correspond idéalement à vos désirs sur ImmoScout24 - La plateforme de l'immobilier en Suisse.")</f>
        <v>Vendre maison Bâle-Ville: Trouvez le bien immobilier qui correspond idéalement à vos désirs sur ImmoScout24 - La plateforme de l'immobilier en Suisse.</v>
      </c>
    </row>
    <row r="4326" hidden="1">
      <c r="A4326" s="5" t="s">
        <v>11753</v>
      </c>
      <c r="B4326" s="2" t="s">
        <v>11754</v>
      </c>
      <c r="C4326" s="2" t="s">
        <v>11754</v>
      </c>
      <c r="D4326" s="4" t="str">
        <f>vlookup(A4326, Sheet2!D:E, 2, 0)</f>
        <v>control</v>
      </c>
      <c r="E4326" s="4" t="str">
        <f>IFERROR(__xludf.DUMMYFUNCTION("if(H4326=""pays"",vlookup(REGEXEXTRACT(C4326, ""🏘️ \w+ \w+ (.*) ✅""),'Country prepositions'!A:B, 2, 0) &amp; "" "" &amp; REGEXEXTRACT(C4326, ""🏘️ \w+ \w+ (.*) ✅"") ,  if(H4326=""quartier"",vlookup(REGEXEXTRACT(C4326, ""🏘️ \w+ \w+ (.*) ✅""),'Quartier prepositio"&amp;"ns'!A:E, 5, 0) ,  if(H4326=""region"",vlookup(REGEXEXTRACT(C4326, ""🏘️ \w+ \w+ (.*) ✅""),'Region prepositions'!B:F, 5, 0),  REGEXEXTRACT(C4326, ""🏘️ \w+ \w+ (.*) ✅""))))"),"#N/A")</f>
        <v>#N/A</v>
      </c>
      <c r="I4326" s="4" t="str">
        <f>IFERROR(__xludf.DUMMYFUNCTION("if(D4326=""variant"",  substitute(filter(Templates!E:E, Templates!A:A = F4326, Templates!B:B = G4326, Templates!C:C = H4326), ""{{}}"", E4326), B4326)"),"Vendre maison Vinelz: Trouvez le bien immobilier qui correspond idéalement à vos désirs sur ImmoScout24 - La plateforme de l'immobilier en Suisse.")</f>
        <v>Vendre maison Vinelz: Trouvez le bien immobilier qui correspond idéalement à vos désirs sur ImmoScout24 - La plateforme de l'immobilier en Suisse.</v>
      </c>
    </row>
    <row r="4327" hidden="1">
      <c r="A4327" s="5" t="s">
        <v>11755</v>
      </c>
      <c r="B4327" s="2" t="s">
        <v>11756</v>
      </c>
      <c r="C4327" s="2" t="s">
        <v>11756</v>
      </c>
      <c r="D4327" s="4" t="str">
        <f>vlookup(A4327, Sheet2!D:E, 2, 0)</f>
        <v>control</v>
      </c>
      <c r="E4327" s="4" t="str">
        <f>IFERROR(__xludf.DUMMYFUNCTION("if(H4327=""pays"",vlookup(REGEXEXTRACT(C4327, ""🏘️ \w+ \w+ (.*) ✅""),'Country prepositions'!A:B, 2, 0) &amp; "" "" &amp; REGEXEXTRACT(C4327, ""🏘️ \w+ \w+ (.*) ✅"") ,  if(H4327=""quartier"",vlookup(REGEXEXTRACT(C4327, ""🏘️ \w+ \w+ (.*) ✅""),'Quartier prepositio"&amp;"ns'!A:E, 5, 0) ,  if(H4327=""region"",vlookup(REGEXEXTRACT(C4327, ""🏘️ \w+ \w+ (.*) ✅""),'Region prepositions'!B:F, 5, 0),  REGEXEXTRACT(C4327, ""🏘️ \w+ \w+ (.*) ✅""))))"),"#N/A")</f>
        <v>#N/A</v>
      </c>
      <c r="I4327" s="4" t="str">
        <f>IFERROR(__xludf.DUMMYFUNCTION("if(D4327=""variant"",  substitute(filter(Templates!E:E, Templates!A:A = F4327, Templates!B:B = G4327, Templates!C:C = H4327), ""{{}}"", E4327), B4327)"),"Vendre appartement Veyrier: Trouvez le bien immobilier qui correspond idéalement à vos désirs sur ImmoScout24 - La plateforme de l'immobilier en Suisse.")</f>
        <v>Vendre appartement Veyrier: Trouvez le bien immobilier qui correspond idéalement à vos désirs sur ImmoScout24 - La plateforme de l'immobilier en Suisse.</v>
      </c>
    </row>
    <row r="4328" hidden="1">
      <c r="A4328" s="5" t="s">
        <v>11757</v>
      </c>
      <c r="B4328" s="2" t="s">
        <v>11758</v>
      </c>
      <c r="C4328" s="2" t="s">
        <v>11758</v>
      </c>
      <c r="D4328" s="4" t="str">
        <f>vlookup(A4328, Sheet2!D:E, 2, 0)</f>
        <v>control</v>
      </c>
      <c r="E4328" s="4" t="str">
        <f>IFERROR(__xludf.DUMMYFUNCTION("if(H4328=""pays"",vlookup(REGEXEXTRACT(C4328, ""🏘️ \w+ \w+ (.*) ✅""),'Country prepositions'!A:B, 2, 0) &amp; "" "" &amp; REGEXEXTRACT(C4328, ""🏘️ \w+ \w+ (.*) ✅"") ,  if(H4328=""quartier"",vlookup(REGEXEXTRACT(C4328, ""🏘️ \w+ \w+ (.*) ✅""),'Quartier prepositio"&amp;"ns'!A:E, 5, 0) ,  if(H4328=""region"",vlookup(REGEXEXTRACT(C4328, ""🏘️ \w+ \w+ (.*) ✅""),'Region prepositions'!B:F, 5, 0),  REGEXEXTRACT(C4328, ""🏘️ \w+ \w+ (.*) ✅""))))"),"#N/A")</f>
        <v>#N/A</v>
      </c>
      <c r="I4328" s="4" t="str">
        <f>IFERROR(__xludf.DUMMYFUNCTION("if(D4328=""variant"",  substitute(filter(Templates!E:E, Templates!A:A = F4328, Templates!B:B = G4328, Templates!C:C = H4328), ""{{}}"", E4328), B4328)"),"Louer appartement Attiswil: Trouvez le bien immobilier qui correspond idéalement à vos désirs sur ImmoScout24 - La plateforme de l'immobilier en Suisse.")</f>
        <v>Louer appartement Attiswil: Trouvez le bien immobilier qui correspond idéalement à vos désirs sur ImmoScout24 - La plateforme de l'immobilier en Suisse.</v>
      </c>
    </row>
    <row r="4329" hidden="1">
      <c r="A4329" s="5" t="s">
        <v>11759</v>
      </c>
      <c r="B4329" s="2" t="s">
        <v>11760</v>
      </c>
      <c r="C4329" s="2" t="s">
        <v>11760</v>
      </c>
      <c r="D4329" s="4" t="str">
        <f>vlookup(A4329, Sheet2!D:E, 2, 0)</f>
        <v>control</v>
      </c>
      <c r="E4329" s="4" t="str">
        <f>IFERROR(__xludf.DUMMYFUNCTION("if(H4329=""pays"",vlookup(REGEXEXTRACT(C4329, ""🏘️ \w+ \w+ (.*) ✅""),'Country prepositions'!A:B, 2, 0) &amp; "" "" &amp; REGEXEXTRACT(C4329, ""🏘️ \w+ \w+ (.*) ✅"") ,  if(H4329=""quartier"",vlookup(REGEXEXTRACT(C4329, ""🏘️ \w+ \w+ (.*) ✅""),'Quartier prepositio"&amp;"ns'!A:E, 5, 0) ,  if(H4329=""region"",vlookup(REGEXEXTRACT(C4329, ""🏘️ \w+ \w+ (.*) ✅""),'Region prepositions'!B:F, 5, 0),  REGEXEXTRACT(C4329, ""🏘️ \w+ \w+ (.*) ✅""))))"),"#N/A")</f>
        <v>#N/A</v>
      </c>
      <c r="I4329" s="4" t="str">
        <f>IFERROR(__xludf.DUMMYFUNCTION("if(D4329=""variant"",  substitute(filter(Templates!E:E, Templates!A:A = F4329, Templates!B:B = G4329, Templates!C:C = H4329), ""{{}}"", E4329), B4329)"),"Vendre maison Canton de Turgovie: Trouvez le bien immobilier qui correspond idéalement à vos désirs sur ImmoScout24 - La plateforme de l'immobilier en Suisse.")</f>
        <v>Vendre maison Canton de Turgovie: Trouvez le bien immobilier qui correspond idéalement à vos désirs sur ImmoScout24 - La plateforme de l'immobilier en Suisse.</v>
      </c>
    </row>
    <row r="4330" hidden="1">
      <c r="A4330" s="5" t="s">
        <v>11761</v>
      </c>
      <c r="B4330" s="2" t="s">
        <v>11762</v>
      </c>
      <c r="C4330" s="2" t="s">
        <v>11762</v>
      </c>
      <c r="D4330" s="4" t="str">
        <f>vlookup(A4330, Sheet2!D:E, 2, 0)</f>
        <v>control</v>
      </c>
      <c r="E4330" s="4" t="str">
        <f>IFERROR(__xludf.DUMMYFUNCTION("if(H4330=""pays"",vlookup(REGEXEXTRACT(C4330, ""🏘️ \w+ \w+ (.*) ✅""),'Country prepositions'!A:B, 2, 0) &amp; "" "" &amp; REGEXEXTRACT(C4330, ""🏘️ \w+ \w+ (.*) ✅"") ,  if(H4330=""quartier"",vlookup(REGEXEXTRACT(C4330, ""🏘️ \w+ \w+ (.*) ✅""),'Quartier prepositio"&amp;"ns'!A:E, 5, 0) ,  if(H4330=""region"",vlookup(REGEXEXTRACT(C4330, ""🏘️ \w+ \w+ (.*) ✅""),'Region prepositions'!B:F, 5, 0),  REGEXEXTRACT(C4330, ""🏘️ \w+ \w+ (.*) ✅""))))"),"#N/A")</f>
        <v>#N/A</v>
      </c>
      <c r="I4330" s="4" t="str">
        <f>IFERROR(__xludf.DUMMYFUNCTION("if(D4330=""variant"",  substitute(filter(Templates!E:E, Templates!A:A = F4330, Templates!B:B = G4330, Templates!C:C = H4330), ""{{}}"", E4330), B4330)"),"Vendre appartement Etoy: Trouvez le bien immobilier qui correspond idéalement à vos désirs sur ImmoScout24 - La plateforme de l'immobilier en Suisse.")</f>
        <v>Vendre appartement Etoy: Trouvez le bien immobilier qui correspond idéalement à vos désirs sur ImmoScout24 - La plateforme de l'immobilier en Suisse.</v>
      </c>
    </row>
    <row r="4331" hidden="1">
      <c r="A4331" s="5" t="s">
        <v>11763</v>
      </c>
      <c r="B4331" s="2" t="s">
        <v>11764</v>
      </c>
      <c r="C4331" s="2" t="s">
        <v>11764</v>
      </c>
      <c r="D4331" s="4" t="str">
        <f>vlookup(A4331, Sheet2!D:E, 2, 0)</f>
        <v>control</v>
      </c>
      <c r="E4331" s="4" t="str">
        <f>IFERROR(__xludf.DUMMYFUNCTION("if(H4331=""pays"",vlookup(REGEXEXTRACT(C4331, ""🏘️ \w+ \w+ (.*) ✅""),'Country prepositions'!A:B, 2, 0) &amp; "" "" &amp; REGEXEXTRACT(C4331, ""🏘️ \w+ \w+ (.*) ✅"") ,  if(H4331=""quartier"",vlookup(REGEXEXTRACT(C4331, ""🏘️ \w+ \w+ (.*) ✅""),'Quartier prepositio"&amp;"ns'!A:E, 5, 0) ,  if(H4331=""region"",vlookup(REGEXEXTRACT(C4331, ""🏘️ \w+ \w+ (.*) ✅""),'Region prepositions'!B:F, 5, 0),  REGEXEXTRACT(C4331, ""🏘️ \w+ \w+ (.*) ✅""))))"),"#N/A")</f>
        <v>#N/A</v>
      </c>
      <c r="I4331" s="4" t="str">
        <f>IFERROR(__xludf.DUMMYFUNCTION("if(D4331=""variant"",  substitute(filter(Templates!E:E, Templates!A:A = F4331, Templates!B:B = G4331, Templates!C:C = H4331), ""{{}}"", E4331), B4331)"),"Louer appartement Pleujouse: Trouvez le bien immobilier qui correspond idéalement à vos désirs sur ImmoScout24 - La plateforme de l'immobilier en Suisse.")</f>
        <v>Louer appartement Pleujouse: Trouvez le bien immobilier qui correspond idéalement à vos désirs sur ImmoScout24 - La plateforme de l'immobilier en Suisse.</v>
      </c>
    </row>
    <row r="4332" hidden="1">
      <c r="A4332" s="5" t="s">
        <v>11765</v>
      </c>
      <c r="B4332" s="2" t="s">
        <v>11766</v>
      </c>
      <c r="C4332" s="2" t="s">
        <v>11766</v>
      </c>
      <c r="D4332" s="4" t="str">
        <f>vlookup(A4332, Sheet2!D:E, 2, 0)</f>
        <v>control</v>
      </c>
      <c r="E4332" s="4" t="str">
        <f>IFERROR(__xludf.DUMMYFUNCTION("if(H4332=""pays"",vlookup(REGEXEXTRACT(C4332, ""🏘️ \w+ \w+ (.*) ✅""),'Country prepositions'!A:B, 2, 0) &amp; "" "" &amp; REGEXEXTRACT(C4332, ""🏘️ \w+ \w+ (.*) ✅"") ,  if(H4332=""quartier"",vlookup(REGEXEXTRACT(C4332, ""🏘️ \w+ \w+ (.*) ✅""),'Quartier prepositio"&amp;"ns'!A:E, 5, 0) ,  if(H4332=""region"",vlookup(REGEXEXTRACT(C4332, ""🏘️ \w+ \w+ (.*) ✅""),'Region prepositions'!B:F, 5, 0),  REGEXEXTRACT(C4332, ""🏘️ \w+ \w+ (.*) ✅""))))"),"#N/A")</f>
        <v>#N/A</v>
      </c>
      <c r="I4332" s="4" t="str">
        <f>IFERROR(__xludf.DUMMYFUNCTION("if(D4332=""variant"",  substitute(filter(Templates!E:E, Templates!A:A = F4332, Templates!B:B = G4332, Templates!C:C = H4332), ""{{}}"", E4332), B4332)"),"Louer appartement Lac de Constance: Trouvez le bien immobilier qui correspond idéalement à vos désirs sur ImmoScout24 - La plateforme de l'immobilier en Suisse.")</f>
        <v>Louer appartement Lac de Constance: Trouvez le bien immobilier qui correspond idéalement à vos désirs sur ImmoScout24 - La plateforme de l'immobilier en Suisse.</v>
      </c>
    </row>
    <row r="4333" hidden="1">
      <c r="A4333" s="5" t="s">
        <v>11767</v>
      </c>
      <c r="B4333" s="2" t="s">
        <v>11768</v>
      </c>
      <c r="C4333" s="2" t="s">
        <v>11768</v>
      </c>
      <c r="D4333" s="4" t="str">
        <f>vlookup(A4333, Sheet2!D:E, 2, 0)</f>
        <v>control</v>
      </c>
      <c r="E4333" s="4" t="str">
        <f>IFERROR(__xludf.DUMMYFUNCTION("if(H4333=""pays"",vlookup(REGEXEXTRACT(C4333, ""🏘️ \w+ \w+ (.*) ✅""),'Country prepositions'!A:B, 2, 0) &amp; "" "" &amp; REGEXEXTRACT(C4333, ""🏘️ \w+ \w+ (.*) ✅"") ,  if(H4333=""quartier"",vlookup(REGEXEXTRACT(C4333, ""🏘️ \w+ \w+ (.*) ✅""),'Quartier prepositio"&amp;"ns'!A:E, 5, 0) ,  if(H4333=""region"",vlookup(REGEXEXTRACT(C4333, ""🏘️ \w+ \w+ (.*) ✅""),'Region prepositions'!B:F, 5, 0),  REGEXEXTRACT(C4333, ""🏘️ \w+ \w+ (.*) ✅""))))"),"#N/A")</f>
        <v>#N/A</v>
      </c>
      <c r="I4333" s="4" t="str">
        <f>IFERROR(__xludf.DUMMYFUNCTION("if(D4333=""variant"",  substitute(filter(Templates!E:E, Templates!A:A = F4333, Templates!B:B = G4333, Templates!C:C = H4333), ""{{}}"", E4333), B4333)"),"Vendre appartement Sempach Station: Trouvez le bien immobilier qui correspond idéalement à vos désirs sur ImmoScout24 - La plateforme de l'immobilier en Suisse.")</f>
        <v>Vendre appartement Sempach Station: Trouvez le bien immobilier qui correspond idéalement à vos désirs sur ImmoScout24 - La plateforme de l'immobilier en Suisse.</v>
      </c>
    </row>
    <row r="4334" hidden="1">
      <c r="A4334" s="5" t="s">
        <v>11769</v>
      </c>
      <c r="B4334" s="2" t="s">
        <v>11770</v>
      </c>
      <c r="C4334" s="2" t="s">
        <v>11770</v>
      </c>
      <c r="D4334" s="4" t="str">
        <f>vlookup(A4334, Sheet2!D:E, 2, 0)</f>
        <v>control</v>
      </c>
      <c r="E4334" s="4" t="str">
        <f>IFERROR(__xludf.DUMMYFUNCTION("if(H4334=""pays"",vlookup(REGEXEXTRACT(C4334, ""🏘️ \w+ \w+ (.*) ✅""),'Country prepositions'!A:B, 2, 0) &amp; "" "" &amp; REGEXEXTRACT(C4334, ""🏘️ \w+ \w+ (.*) ✅"") ,  if(H4334=""quartier"",vlookup(REGEXEXTRACT(C4334, ""🏘️ \w+ \w+ (.*) ✅""),'Quartier prepositio"&amp;"ns'!A:E, 5, 0) ,  if(H4334=""region"",vlookup(REGEXEXTRACT(C4334, ""🏘️ \w+ \w+ (.*) ✅""),'Region prepositions'!B:F, 5, 0),  REGEXEXTRACT(C4334, ""🏘️ \w+ \w+ (.*) ✅""))))"),"#N/A")</f>
        <v>#N/A</v>
      </c>
      <c r="I4334" s="4" t="str">
        <f>IFERROR(__xludf.DUMMYFUNCTION("if(D4334=""variant"",  substitute(filter(Templates!E:E, Templates!A:A = F4334, Templates!B:B = G4334, Templates!C:C = H4334), ""{{}}"", E4334), B4334)"),"Louer appartement Préverenges: Trouvez le bien immobilier qui correspond idéalement à vos désirs sur ImmoScout24 - La plateforme de l'immobilier en Suisse.")</f>
        <v>Louer appartement Préverenges: Trouvez le bien immobilier qui correspond idéalement à vos désirs sur ImmoScout24 - La plateforme de l'immobilier en Suisse.</v>
      </c>
    </row>
    <row r="4335" hidden="1">
      <c r="A4335" s="5" t="s">
        <v>11771</v>
      </c>
      <c r="B4335" s="2" t="s">
        <v>11772</v>
      </c>
      <c r="C4335" s="2" t="s">
        <v>11772</v>
      </c>
      <c r="D4335" s="4" t="str">
        <f>vlookup(A4335, Sheet2!D:E, 2, 0)</f>
        <v>control</v>
      </c>
      <c r="E4335" s="4" t="str">
        <f>IFERROR(__xludf.DUMMYFUNCTION("if(H4335=""pays"",vlookup(REGEXEXTRACT(C4335, ""🏘️ \w+ \w+ (.*) ✅""),'Country prepositions'!A:B, 2, 0) &amp; "" "" &amp; REGEXEXTRACT(C4335, ""🏘️ \w+ \w+ (.*) ✅"") ,  if(H4335=""quartier"",vlookup(REGEXEXTRACT(C4335, ""🏘️ \w+ \w+ (.*) ✅""),'Quartier prepositio"&amp;"ns'!A:E, 5, 0) ,  if(H4335=""region"",vlookup(REGEXEXTRACT(C4335, ""🏘️ \w+ \w+ (.*) ✅""),'Region prepositions'!B:F, 5, 0),  REGEXEXTRACT(C4335, ""🏘️ \w+ \w+ (.*) ✅""))))"),"#N/A")</f>
        <v>#N/A</v>
      </c>
      <c r="I4335" s="4" t="str">
        <f>IFERROR(__xludf.DUMMYFUNCTION("if(D4335=""variant"",  substitute(filter(Templates!E:E, Templates!A:A = F4335, Templates!B:B = G4335, Templates!C:C = H4335), ""{{}}"", E4335), B4335)"),"Vendre maison Corcelles-sur-Chavornay: Trouvez le bien immobilier qui correspond idéalement à vos désirs sur ImmoScout24 - La plateforme de l'immobilier en Suisse.")</f>
        <v>Vendre maison Corcelles-sur-Chavornay: Trouvez le bien immobilier qui correspond idéalement à vos désirs sur ImmoScout24 - La plateforme de l'immobilier en Suisse.</v>
      </c>
    </row>
    <row r="4336" hidden="1">
      <c r="A4336" s="5" t="s">
        <v>11773</v>
      </c>
      <c r="B4336" s="2" t="s">
        <v>11774</v>
      </c>
      <c r="C4336" s="2" t="s">
        <v>11774</v>
      </c>
      <c r="D4336" s="4" t="str">
        <f>vlookup(A4336, Sheet2!D:E, 2, 0)</f>
        <v>control</v>
      </c>
      <c r="E4336" s="4" t="str">
        <f>IFERROR(__xludf.DUMMYFUNCTION("if(H4336=""pays"",vlookup(REGEXEXTRACT(C4336, ""🏘️ \w+ \w+ (.*) ✅""),'Country prepositions'!A:B, 2, 0) &amp; "" "" &amp; REGEXEXTRACT(C4336, ""🏘️ \w+ \w+ (.*) ✅"") ,  if(H4336=""quartier"",vlookup(REGEXEXTRACT(C4336, ""🏘️ \w+ \w+ (.*) ✅""),'Quartier prepositio"&amp;"ns'!A:E, 5, 0) ,  if(H4336=""region"",vlookup(REGEXEXTRACT(C4336, ""🏘️ \w+ \w+ (.*) ✅""),'Region prepositions'!B:F, 5, 0),  REGEXEXTRACT(C4336, ""🏘️ \w+ \w+ (.*) ✅""))))"),"#N/A")</f>
        <v>#N/A</v>
      </c>
      <c r="I4336" s="4" t="str">
        <f>IFERROR(__xludf.DUMMYFUNCTION("if(D4336=""variant"",  substitute(filter(Templates!E:E, Templates!A:A = F4336, Templates!B:B = G4336, Templates!C:C = H4336), ""{{}}"", E4336), B4336)"),"Vendre maison Ravoire: Trouvez le bien immobilier qui correspond idéalement à vos désirs sur ImmoScout24 - La plateforme de l'immobilier en Suisse.")</f>
        <v>Vendre maison Ravoire: Trouvez le bien immobilier qui correspond idéalement à vos désirs sur ImmoScout24 - La plateforme de l'immobilier en Suisse.</v>
      </c>
    </row>
    <row r="4337" hidden="1">
      <c r="A4337" s="5" t="s">
        <v>11775</v>
      </c>
      <c r="B4337" s="2" t="s">
        <v>11776</v>
      </c>
      <c r="C4337" s="2" t="s">
        <v>11776</v>
      </c>
      <c r="D4337" s="4" t="str">
        <f>vlookup(A4337, Sheet2!D:E, 2, 0)</f>
        <v>control</v>
      </c>
      <c r="E4337" s="4" t="str">
        <f>IFERROR(__xludf.DUMMYFUNCTION("if(H4337=""pays"",vlookup(REGEXEXTRACT(C4337, ""🏘️ \w+ \w+ (.*) ✅""),'Country prepositions'!A:B, 2, 0) &amp; "" "" &amp; REGEXEXTRACT(C4337, ""🏘️ \w+ \w+ (.*) ✅"") ,  if(H4337=""quartier"",vlookup(REGEXEXTRACT(C4337, ""🏘️ \w+ \w+ (.*) ✅""),'Quartier prepositio"&amp;"ns'!A:E, 5, 0) ,  if(H4337=""region"",vlookup(REGEXEXTRACT(C4337, ""🏘️ \w+ \w+ (.*) ✅""),'Region prepositions'!B:F, 5, 0),  REGEXEXTRACT(C4337, ""🏘️ \w+ \w+ (.*) ✅""))))"),"#N/A")</f>
        <v>#N/A</v>
      </c>
      <c r="I4337" s="4" t="str">
        <f>IFERROR(__xludf.DUMMYFUNCTION("if(D4337=""variant"",  substitute(filter(Templates!E:E, Templates!A:A = F4337, Templates!B:B = G4337, Templates!C:C = H4337), ""{{}}"", E4337), B4337)"),"Louer appartement Chez-le-Bart: Trouvez le bien immobilier qui correspond idéalement à vos désirs sur ImmoScout24 - La plateforme de l'immobilier en Suisse.")</f>
        <v>Louer appartement Chez-le-Bart: Trouvez le bien immobilier qui correspond idéalement à vos désirs sur ImmoScout24 - La plateforme de l'immobilier en Suisse.</v>
      </c>
    </row>
    <row r="4338" hidden="1">
      <c r="A4338" s="5" t="s">
        <v>11777</v>
      </c>
      <c r="B4338" s="2" t="s">
        <v>11778</v>
      </c>
      <c r="C4338" s="2" t="s">
        <v>11778</v>
      </c>
      <c r="D4338" s="4" t="str">
        <f>vlookup(A4338, Sheet2!D:E, 2, 0)</f>
        <v>control</v>
      </c>
      <c r="E4338" s="4" t="str">
        <f>IFERROR(__xludf.DUMMYFUNCTION("if(H4338=""pays"",vlookup(REGEXEXTRACT(C4338, ""🏘️ \w+ \w+ (.*) ✅""),'Country prepositions'!A:B, 2, 0) &amp; "" "" &amp; REGEXEXTRACT(C4338, ""🏘️ \w+ \w+ (.*) ✅"") ,  if(H4338=""quartier"",vlookup(REGEXEXTRACT(C4338, ""🏘️ \w+ \w+ (.*) ✅""),'Quartier prepositio"&amp;"ns'!A:E, 5, 0) ,  if(H4338=""region"",vlookup(REGEXEXTRACT(C4338, ""🏘️ \w+ \w+ (.*) ✅""),'Region prepositions'!B:F, 5, 0),  REGEXEXTRACT(C4338, ""🏘️ \w+ \w+ (.*) ✅""))))"),"#N/A")</f>
        <v>#N/A</v>
      </c>
      <c r="I4338" s="4" t="str">
        <f>IFERROR(__xludf.DUMMYFUNCTION("if(D4338=""variant"",  substitute(filter(Templates!E:E, Templates!A:A = F4338, Templates!B:B = G4338, Templates!C:C = H4338), ""{{}}"", E4338), B4338)"),"Louer appartement Pieterlen: Trouvez le bien immobilier qui correspond idéalement à vos désirs sur ImmoScout24 - La plateforme de l'immobilier en Suisse.")</f>
        <v>Louer appartement Pieterlen: Trouvez le bien immobilier qui correspond idéalement à vos désirs sur ImmoScout24 - La plateforme de l'immobilier en Suisse.</v>
      </c>
    </row>
    <row r="4339" hidden="1">
      <c r="A4339" s="5" t="s">
        <v>11779</v>
      </c>
      <c r="B4339" s="2" t="s">
        <v>11780</v>
      </c>
      <c r="C4339" s="2" t="s">
        <v>11780</v>
      </c>
      <c r="D4339" s="4" t="str">
        <f>vlookup(A4339, Sheet2!D:E, 2, 0)</f>
        <v>control</v>
      </c>
      <c r="E4339" s="4" t="str">
        <f>IFERROR(__xludf.DUMMYFUNCTION("if(H4339=""pays"",vlookup(REGEXEXTRACT(C4339, ""🏘️ \w+ \w+ (.*) ✅""),'Country prepositions'!A:B, 2, 0) &amp; "" "" &amp; REGEXEXTRACT(C4339, ""🏘️ \w+ \w+ (.*) ✅"") ,  if(H4339=""quartier"",vlookup(REGEXEXTRACT(C4339, ""🏘️ \w+ \w+ (.*) ✅""),'Quartier prepositio"&amp;"ns'!A:E, 5, 0) ,  if(H4339=""region"",vlookup(REGEXEXTRACT(C4339, ""🏘️ \w+ \w+ (.*) ✅""),'Region prepositions'!B:F, 5, 0),  REGEXEXTRACT(C4339, ""🏘️ \w+ \w+ (.*) ✅""))))"),"#N/A")</f>
        <v>#N/A</v>
      </c>
      <c r="I4339" s="4" t="str">
        <f>IFERROR(__xludf.DUMMYFUNCTION("if(D4339=""variant"",  substitute(filter(Templates!E:E, Templates!A:A = F4339, Templates!B:B = G4339, Templates!C:C = H4339), ""{{}}"", E4339), B4339)"),"Louer appartement Bramberg - St. Karli (Lucerne): Trouvez le bien immobilier qui correspond idéalement à vos désirs sur ImmoScout24 - La plateforme de l'immobilier en Suisse.")</f>
        <v>Louer appartement Bramberg - St. Karli (Lucerne): Trouvez le bien immobilier qui correspond idéalement à vos désirs sur ImmoScout24 - La plateforme de l'immobilier en Suisse.</v>
      </c>
    </row>
    <row r="4340" hidden="1">
      <c r="A4340" s="5" t="s">
        <v>11781</v>
      </c>
      <c r="B4340" s="2" t="s">
        <v>11782</v>
      </c>
      <c r="C4340" s="2" t="s">
        <v>11782</v>
      </c>
      <c r="D4340" s="4" t="str">
        <f>vlookup(A4340, Sheet2!D:E, 2, 0)</f>
        <v>control</v>
      </c>
      <c r="E4340" s="4" t="str">
        <f>IFERROR(__xludf.DUMMYFUNCTION("if(H4340=""pays"",vlookup(REGEXEXTRACT(C4340, ""🏘️ \w+ \w+ (.*) ✅""),'Country prepositions'!A:B, 2, 0) &amp; "" "" &amp; REGEXEXTRACT(C4340, ""🏘️ \w+ \w+ (.*) ✅"") ,  if(H4340=""quartier"",vlookup(REGEXEXTRACT(C4340, ""🏘️ \w+ \w+ (.*) ✅""),'Quartier prepositio"&amp;"ns'!A:E, 5, 0) ,  if(H4340=""region"",vlookup(REGEXEXTRACT(C4340, ""🏘️ \w+ \w+ (.*) ✅""),'Region prepositions'!B:F, 5, 0),  REGEXEXTRACT(C4340, ""🏘️ \w+ \w+ (.*) ✅""))))"),"#N/A")</f>
        <v>#N/A</v>
      </c>
      <c r="I4340" s="4" t="str">
        <f>IFERROR(__xludf.DUMMYFUNCTION("if(D4340=""variant"",  substitute(filter(Templates!E:E, Templates!A:A = F4340, Templates!B:B = G4340, Templates!C:C = H4340), ""{{}}"", E4340), B4340)"),"Louer maison Lussy-sur-Morges: Trouvez le bien immobilier qui correspond idéalement à vos désirs sur ImmoScout24 - La plateforme de l'immobilier en Suisse.")</f>
        <v>Louer maison Lussy-sur-Morges: Trouvez le bien immobilier qui correspond idéalement à vos désirs sur ImmoScout24 - La plateforme de l'immobilier en Suisse.</v>
      </c>
    </row>
    <row r="4341" hidden="1">
      <c r="A4341" s="5" t="s">
        <v>11783</v>
      </c>
      <c r="B4341" s="2" t="s">
        <v>11784</v>
      </c>
      <c r="C4341" s="2" t="s">
        <v>11784</v>
      </c>
      <c r="D4341" s="4" t="str">
        <f>vlookup(A4341, Sheet2!D:E, 2, 0)</f>
        <v>control</v>
      </c>
      <c r="E4341" s="4" t="str">
        <f>IFERROR(__xludf.DUMMYFUNCTION("if(H4341=""pays"",vlookup(REGEXEXTRACT(C4341, ""🏘️ \w+ \w+ (.*) ✅""),'Country prepositions'!A:B, 2, 0) &amp; "" "" &amp; REGEXEXTRACT(C4341, ""🏘️ \w+ \w+ (.*) ✅"") ,  if(H4341=""quartier"",vlookup(REGEXEXTRACT(C4341, ""🏘️ \w+ \w+ (.*) ✅""),'Quartier prepositio"&amp;"ns'!A:E, 5, 0) ,  if(H4341=""region"",vlookup(REGEXEXTRACT(C4341, ""🏘️ \w+ \w+ (.*) ✅""),'Region prepositions'!B:F, 5, 0),  REGEXEXTRACT(C4341, ""🏘️ \w+ \w+ (.*) ✅""))))"),"#N/A")</f>
        <v>#N/A</v>
      </c>
      <c r="I4341" s="4" t="str">
        <f>IFERROR(__xludf.DUMMYFUNCTION("if(D4341=""variant"",  substitute(filter(Templates!E:E, Templates!A:A = F4341, Templates!B:B = G4341, Templates!C:C = H4341), ""{{}}"", E4341), B4341)"),"Vendre appartement Reconvilier: Trouvez le bien immobilier qui correspond idéalement à vos désirs sur ImmoScout24 - La plateforme de l'immobilier en Suisse.")</f>
        <v>Vendre appartement Reconvilier: Trouvez le bien immobilier qui correspond idéalement à vos désirs sur ImmoScout24 - La plateforme de l'immobilier en Suisse.</v>
      </c>
    </row>
    <row r="4342" hidden="1">
      <c r="A4342" s="5" t="s">
        <v>11785</v>
      </c>
      <c r="B4342" s="2" t="s">
        <v>11786</v>
      </c>
      <c r="C4342" s="2" t="s">
        <v>11786</v>
      </c>
      <c r="D4342" s="4" t="str">
        <f>vlookup(A4342, Sheet2!D:E, 2, 0)</f>
        <v>control</v>
      </c>
      <c r="E4342" s="4" t="str">
        <f>IFERROR(__xludf.DUMMYFUNCTION("if(H4342=""pays"",vlookup(REGEXEXTRACT(C4342, ""🏘️ \w+ \w+ (.*) ✅""),'Country prepositions'!A:B, 2, 0) &amp; "" "" &amp; REGEXEXTRACT(C4342, ""🏘️ \w+ \w+ (.*) ✅"") ,  if(H4342=""quartier"",vlookup(REGEXEXTRACT(C4342, ""🏘️ \w+ \w+ (.*) ✅""),'Quartier prepositio"&amp;"ns'!A:E, 5, 0) ,  if(H4342=""region"",vlookup(REGEXEXTRACT(C4342, ""🏘️ \w+ \w+ (.*) ✅""),'Region prepositions'!B:F, 5, 0),  REGEXEXTRACT(C4342, ""🏘️ \w+ \w+ (.*) ✅""))))"),"#N/A")</f>
        <v>#N/A</v>
      </c>
      <c r="I4342" s="4" t="str">
        <f>IFERROR(__xludf.DUMMYFUNCTION("if(D4342=""variant"",  substitute(filter(Templates!E:E, Templates!A:A = F4342, Templates!B:B = G4342, Templates!C:C = H4342), ""{{}}"", E4342), B4342)"),"Louer appartement Charmilles - Châtelaine (Genève): Trouvez le bien immobilier qui correspond idéalement à vos désirs sur ImmoScout24 - La plateforme de l'immobilier en Suisse.")</f>
        <v>Louer appartement Charmilles - Châtelaine (Genève): Trouvez le bien immobilier qui correspond idéalement à vos désirs sur ImmoScout24 - La plateforme de l'immobilier en Suisse.</v>
      </c>
    </row>
    <row r="4343" hidden="1">
      <c r="A4343" s="5" t="s">
        <v>11787</v>
      </c>
      <c r="B4343" s="2" t="s">
        <v>11788</v>
      </c>
      <c r="C4343" s="2" t="s">
        <v>11788</v>
      </c>
      <c r="D4343" s="4" t="str">
        <f>vlookup(A4343, Sheet2!D:E, 2, 0)</f>
        <v>control</v>
      </c>
      <c r="E4343" s="4" t="str">
        <f>IFERROR(__xludf.DUMMYFUNCTION("if(H4343=""pays"",vlookup(REGEXEXTRACT(C4343, ""🏘️ \w+ \w+ (.*) ✅""),'Country prepositions'!A:B, 2, 0) &amp; "" "" &amp; REGEXEXTRACT(C4343, ""🏘️ \w+ \w+ (.*) ✅"") ,  if(H4343=""quartier"",vlookup(REGEXEXTRACT(C4343, ""🏘️ \w+ \w+ (.*) ✅""),'Quartier prepositio"&amp;"ns'!A:E, 5, 0) ,  if(H4343=""region"",vlookup(REGEXEXTRACT(C4343, ""🏘️ \w+ \w+ (.*) ✅""),'Region prepositions'!B:F, 5, 0),  REGEXEXTRACT(C4343, ""🏘️ \w+ \w+ (.*) ✅""))))"),"#N/A")</f>
        <v>#N/A</v>
      </c>
      <c r="I4343" s="4" t="str">
        <f>IFERROR(__xludf.DUMMYFUNCTION("if(D4343=""variant"",  substitute(filter(Templates!E:E, Templates!A:A = F4343, Templates!B:B = G4343, Templates!C:C = H4343), ""{{}}"", E4343), B4343)"),"Louer maison Sédeilles: Trouvez le bien immobilier qui correspond idéalement à vos désirs sur ImmoScout24 - La plateforme de l'immobilier en Suisse.")</f>
        <v>Louer maison Sédeilles: Trouvez le bien immobilier qui correspond idéalement à vos désirs sur ImmoScout24 - La plateforme de l'immobilier en Suisse.</v>
      </c>
    </row>
    <row r="4344" hidden="1">
      <c r="A4344" s="5" t="s">
        <v>11789</v>
      </c>
      <c r="B4344" s="2" t="s">
        <v>11790</v>
      </c>
      <c r="C4344" s="2" t="s">
        <v>11790</v>
      </c>
      <c r="D4344" s="4" t="str">
        <f>vlookup(A4344, Sheet2!D:E, 2, 0)</f>
        <v>control</v>
      </c>
      <c r="E4344" s="4" t="str">
        <f>IFERROR(__xludf.DUMMYFUNCTION("if(H4344=""pays"",vlookup(REGEXEXTRACT(C4344, ""🏘️ \w+ \w+ (.*) ✅""),'Country prepositions'!A:B, 2, 0) &amp; "" "" &amp; REGEXEXTRACT(C4344, ""🏘️ \w+ \w+ (.*) ✅"") ,  if(H4344=""quartier"",vlookup(REGEXEXTRACT(C4344, ""🏘️ \w+ \w+ (.*) ✅""),'Quartier prepositio"&amp;"ns'!A:E, 5, 0) ,  if(H4344=""region"",vlookup(REGEXEXTRACT(C4344, ""🏘️ \w+ \w+ (.*) ✅""),'Region prepositions'!B:F, 5, 0),  REGEXEXTRACT(C4344, ""🏘️ \w+ \w+ (.*) ✅""))))"),"#N/A")</f>
        <v>#N/A</v>
      </c>
      <c r="I4344" s="4" t="str">
        <f>IFERROR(__xludf.DUMMYFUNCTION("if(D4344=""variant"",  substitute(filter(Templates!E:E, Templates!A:A = F4344, Templates!B:B = G4344, Templates!C:C = H4344), ""{{}}"", E4344), B4344)"),"Vendre maison Schwarzenburg: Trouvez le bien immobilier qui correspond idéalement à vos désirs sur ImmoScout24 - La plateforme de l'immobilier en Suisse.")</f>
        <v>Vendre maison Schwarzenburg: Trouvez le bien immobilier qui correspond idéalement à vos désirs sur ImmoScout24 - La plateforme de l'immobilier en Suisse.</v>
      </c>
    </row>
    <row r="4345" hidden="1">
      <c r="A4345" s="5" t="s">
        <v>11791</v>
      </c>
      <c r="B4345" s="2" t="s">
        <v>11792</v>
      </c>
      <c r="C4345" s="2" t="s">
        <v>11792</v>
      </c>
      <c r="D4345" s="4" t="str">
        <f>vlookup(A4345, Sheet2!D:E, 2, 0)</f>
        <v>control</v>
      </c>
      <c r="E4345" s="4" t="str">
        <f>IFERROR(__xludf.DUMMYFUNCTION("if(H4345=""pays"",vlookup(REGEXEXTRACT(C4345, ""🏘️ \w+ \w+ (.*) ✅""),'Country prepositions'!A:B, 2, 0) &amp; "" "" &amp; REGEXEXTRACT(C4345, ""🏘️ \w+ \w+ (.*) ✅"") ,  if(H4345=""quartier"",vlookup(REGEXEXTRACT(C4345, ""🏘️ \w+ \w+ (.*) ✅""),'Quartier prepositio"&amp;"ns'!A:E, 5, 0) ,  if(H4345=""region"",vlookup(REGEXEXTRACT(C4345, ""🏘️ \w+ \w+ (.*) ✅""),'Region prepositions'!B:F, 5, 0),  REGEXEXTRACT(C4345, ""🏘️ \w+ \w+ (.*) ✅""))))"),"#N/A")</f>
        <v>#N/A</v>
      </c>
      <c r="I4345" s="4" t="str">
        <f>IFERROR(__xludf.DUMMYFUNCTION("if(D4345=""variant"",  substitute(filter(Templates!E:E, Templates!A:A = F4345, Templates!B:B = G4345, Templates!C:C = H4345), ""{{}}"", E4345), B4345)"),"Vendre appartement Bruson: Trouvez le bien immobilier qui correspond idéalement à vos désirs sur ImmoScout24 - La plateforme de l'immobilier en Suisse.")</f>
        <v>Vendre appartement Bruson: Trouvez le bien immobilier qui correspond idéalement à vos désirs sur ImmoScout24 - La plateforme de l'immobilier en Suisse.</v>
      </c>
    </row>
    <row r="4346" hidden="1">
      <c r="A4346" s="5" t="s">
        <v>11793</v>
      </c>
      <c r="B4346" s="2" t="s">
        <v>11794</v>
      </c>
      <c r="C4346" s="2" t="s">
        <v>11794</v>
      </c>
      <c r="D4346" s="4" t="str">
        <f>vlookup(A4346, Sheet2!D:E, 2, 0)</f>
        <v>control</v>
      </c>
      <c r="E4346" s="4" t="str">
        <f>IFERROR(__xludf.DUMMYFUNCTION("if(H4346=""pays"",vlookup(REGEXEXTRACT(C4346, ""🏘️ \w+ \w+ (.*) ✅""),'Country prepositions'!A:B, 2, 0) &amp; "" "" &amp; REGEXEXTRACT(C4346, ""🏘️ \w+ \w+ (.*) ✅"") ,  if(H4346=""quartier"",vlookup(REGEXEXTRACT(C4346, ""🏘️ \w+ \w+ (.*) ✅""),'Quartier prepositio"&amp;"ns'!A:E, 5, 0) ,  if(H4346=""region"",vlookup(REGEXEXTRACT(C4346, ""🏘️ \w+ \w+ (.*) ✅""),'Region prepositions'!B:F, 5, 0),  REGEXEXTRACT(C4346, ""🏘️ \w+ \w+ (.*) ✅""))))"),"#N/A")</f>
        <v>#N/A</v>
      </c>
      <c r="I4346" s="4" t="str">
        <f>IFERROR(__xludf.DUMMYFUNCTION("if(D4346=""variant"",  substitute(filter(Templates!E:E, Templates!A:A = F4346, Templates!B:B = G4346, Templates!C:C = H4346), ""{{}}"", E4346), B4346)"),"Vendre appartement Coppet: Trouvez le bien immobilier qui correspond idéalement à vos désirs sur ImmoScout24 - La plateforme de l'immobilier en Suisse.")</f>
        <v>Vendre appartement Coppet: Trouvez le bien immobilier qui correspond idéalement à vos désirs sur ImmoScout24 - La plateforme de l'immobilier en Suisse.</v>
      </c>
    </row>
    <row r="4347" hidden="1">
      <c r="A4347" s="5" t="s">
        <v>11795</v>
      </c>
      <c r="B4347" s="2" t="s">
        <v>11796</v>
      </c>
      <c r="C4347" s="2" t="s">
        <v>11796</v>
      </c>
      <c r="D4347" s="4" t="str">
        <f>vlookup(A4347, Sheet2!D:E, 2, 0)</f>
        <v>control</v>
      </c>
      <c r="E4347" s="4" t="str">
        <f>IFERROR(__xludf.DUMMYFUNCTION("if(H4347=""pays"",vlookup(REGEXEXTRACT(C4347, ""🏘️ \w+ \w+ (.*) ✅""),'Country prepositions'!A:B, 2, 0) &amp; "" "" &amp; REGEXEXTRACT(C4347, ""🏘️ \w+ \w+ (.*) ✅"") ,  if(H4347=""quartier"",vlookup(REGEXEXTRACT(C4347, ""🏘️ \w+ \w+ (.*) ✅""),'Quartier prepositio"&amp;"ns'!A:E, 5, 0) ,  if(H4347=""region"",vlookup(REGEXEXTRACT(C4347, ""🏘️ \w+ \w+ (.*) ✅""),'Region prepositions'!B:F, 5, 0),  REGEXEXTRACT(C4347, ""🏘️ \w+ \w+ (.*) ✅""))))"),"#N/A")</f>
        <v>#N/A</v>
      </c>
      <c r="I4347" s="4" t="str">
        <f>IFERROR(__xludf.DUMMYFUNCTION("if(D4347=""variant"",  substitute(filter(Templates!E:E, Templates!A:A = F4347, Templates!B:B = G4347, Templates!C:C = H4347), ""{{}}"", E4347), B4347)"),"Vendre maison Champtauroz: Trouvez le bien immobilier qui correspond idéalement à vos désirs sur ImmoScout24 - La plateforme de l'immobilier en Suisse.")</f>
        <v>Vendre maison Champtauroz: Trouvez le bien immobilier qui correspond idéalement à vos désirs sur ImmoScout24 - La plateforme de l'immobilier en Suisse.</v>
      </c>
    </row>
    <row r="4348" hidden="1">
      <c r="A4348" s="5" t="s">
        <v>11797</v>
      </c>
      <c r="B4348" s="2" t="s">
        <v>11798</v>
      </c>
      <c r="C4348" s="2" t="s">
        <v>11798</v>
      </c>
      <c r="D4348" s="4" t="str">
        <f>vlookup(A4348, Sheet2!D:E, 2, 0)</f>
        <v>control</v>
      </c>
      <c r="E4348" s="4" t="str">
        <f>IFERROR(__xludf.DUMMYFUNCTION("if(H4348=""pays"",vlookup(REGEXEXTRACT(C4348, ""🏘️ \w+ \w+ (.*) ✅""),'Country prepositions'!A:B, 2, 0) &amp; "" "" &amp; REGEXEXTRACT(C4348, ""🏘️ \w+ \w+ (.*) ✅"") ,  if(H4348=""quartier"",vlookup(REGEXEXTRACT(C4348, ""🏘️ \w+ \w+ (.*) ✅""),'Quartier prepositio"&amp;"ns'!A:E, 5, 0) ,  if(H4348=""region"",vlookup(REGEXEXTRACT(C4348, ""🏘️ \w+ \w+ (.*) ✅""),'Region prepositions'!B:F, 5, 0),  REGEXEXTRACT(C4348, ""🏘️ \w+ \w+ (.*) ✅""))))"),"#N/A")</f>
        <v>#N/A</v>
      </c>
      <c r="I4348" s="4" t="str">
        <f>IFERROR(__xludf.DUMMYFUNCTION("if(D4348=""variant"",  substitute(filter(Templates!E:E, Templates!A:A = F4348, Templates!B:B = G4348, Templates!C:C = H4348), ""{{}}"", E4348), B4348)"),"Vendre maison Castagnola: Trouvez le bien immobilier qui correspond idéalement à vos désirs sur ImmoScout24 - La plateforme de l'immobilier en Suisse.")</f>
        <v>Vendre maison Castagnola: Trouvez le bien immobilier qui correspond idéalement à vos désirs sur ImmoScout24 - La plateforme de l'immobilier en Suisse.</v>
      </c>
    </row>
    <row r="4349" hidden="1">
      <c r="A4349" s="5" t="s">
        <v>11799</v>
      </c>
      <c r="B4349" s="2" t="s">
        <v>11800</v>
      </c>
      <c r="C4349" s="2" t="s">
        <v>11800</v>
      </c>
      <c r="D4349" s="4" t="str">
        <f>vlookup(A4349, Sheet2!D:E, 2, 0)</f>
        <v>control</v>
      </c>
      <c r="E4349" s="4" t="str">
        <f>IFERROR(__xludf.DUMMYFUNCTION("if(H4349=""pays"",vlookup(REGEXEXTRACT(C4349, ""🏘️ \w+ \w+ (.*) ✅""),'Country prepositions'!A:B, 2, 0) &amp; "" "" &amp; REGEXEXTRACT(C4349, ""🏘️ \w+ \w+ (.*) ✅"") ,  if(H4349=""quartier"",vlookup(REGEXEXTRACT(C4349, ""🏘️ \w+ \w+ (.*) ✅""),'Quartier prepositio"&amp;"ns'!A:E, 5, 0) ,  if(H4349=""region"",vlookup(REGEXEXTRACT(C4349, ""🏘️ \w+ \w+ (.*) ✅""),'Region prepositions'!B:F, 5, 0),  REGEXEXTRACT(C4349, ""🏘️ \w+ \w+ (.*) ✅""))))"),"#N/A")</f>
        <v>#N/A</v>
      </c>
      <c r="I4349" s="4" t="str">
        <f>IFERROR(__xludf.DUMMYFUNCTION("if(D4349=""variant"",  substitute(filter(Templates!E:E, Templates!A:A = F4349, Templates!B:B = G4349, Templates!C:C = H4349), ""{{}}"", E4349), B4349)"),"Louer maison Gruyères: Trouvez le bien immobilier qui correspond idéalement à vos désirs sur ImmoScout24 - La plateforme de l'immobilier en Suisse.")</f>
        <v>Louer maison Gruyères: Trouvez le bien immobilier qui correspond idéalement à vos désirs sur ImmoScout24 - La plateforme de l'immobilier en Suisse.</v>
      </c>
    </row>
    <row r="4350" hidden="1">
      <c r="A4350" s="5" t="s">
        <v>11801</v>
      </c>
      <c r="B4350" s="2" t="s">
        <v>11802</v>
      </c>
      <c r="C4350" s="2" t="s">
        <v>11802</v>
      </c>
      <c r="D4350" s="4" t="str">
        <f>vlookup(A4350, Sheet2!D:E, 2, 0)</f>
        <v>control</v>
      </c>
      <c r="E4350" s="4" t="str">
        <f>IFERROR(__xludf.DUMMYFUNCTION("if(H4350=""pays"",vlookup(REGEXEXTRACT(C4350, ""🏘️ \w+ \w+ (.*) ✅""),'Country prepositions'!A:B, 2, 0) &amp; "" "" &amp; REGEXEXTRACT(C4350, ""🏘️ \w+ \w+ (.*) ✅"") ,  if(H4350=""quartier"",vlookup(REGEXEXTRACT(C4350, ""🏘️ \w+ \w+ (.*) ✅""),'Quartier prepositio"&amp;"ns'!A:E, 5, 0) ,  if(H4350=""region"",vlookup(REGEXEXTRACT(C4350, ""🏘️ \w+ \w+ (.*) ✅""),'Region prepositions'!B:F, 5, 0),  REGEXEXTRACT(C4350, ""🏘️ \w+ \w+ (.*) ✅""))))"),"#N/A")</f>
        <v>#N/A</v>
      </c>
      <c r="I4350" s="4" t="str">
        <f>IFERROR(__xludf.DUMMYFUNCTION("if(D4350=""variant"",  substitute(filter(Templates!E:E, Templates!A:A = F4350, Templates!B:B = G4350, Templates!C:C = H4350), ""{{}}"", E4350), B4350)"),"Vendre maison Glarus: Trouvez le bien immobilier qui correspond idéalement à vos désirs sur ImmoScout24 - La plateforme de l'immobilier en Suisse.")</f>
        <v>Vendre maison Glarus: Trouvez le bien immobilier qui correspond idéalement à vos désirs sur ImmoScout24 - La plateforme de l'immobilier en Suisse.</v>
      </c>
    </row>
    <row r="4351" hidden="1">
      <c r="A4351" s="5" t="s">
        <v>11803</v>
      </c>
      <c r="B4351" s="2" t="s">
        <v>11804</v>
      </c>
      <c r="C4351" s="2" t="s">
        <v>11804</v>
      </c>
      <c r="D4351" s="4" t="str">
        <f>vlookup(A4351, Sheet2!D:E, 2, 0)</f>
        <v>control</v>
      </c>
      <c r="E4351" s="4" t="str">
        <f>IFERROR(__xludf.DUMMYFUNCTION("if(H4351=""pays"",vlookup(REGEXEXTRACT(C4351, ""🏘️ \w+ \w+ (.*) ✅""),'Country prepositions'!A:B, 2, 0) &amp; "" "" &amp; REGEXEXTRACT(C4351, ""🏘️ \w+ \w+ (.*) ✅"") ,  if(H4351=""quartier"",vlookup(REGEXEXTRACT(C4351, ""🏘️ \w+ \w+ (.*) ✅""),'Quartier prepositio"&amp;"ns'!A:E, 5, 0) ,  if(H4351=""region"",vlookup(REGEXEXTRACT(C4351, ""🏘️ \w+ \w+ (.*) ✅""),'Region prepositions'!B:F, 5, 0),  REGEXEXTRACT(C4351, ""🏘️ \w+ \w+ (.*) ✅""))))"),"#N/A")</f>
        <v>#N/A</v>
      </c>
      <c r="I4351" s="4" t="str">
        <f>IFERROR(__xludf.DUMMYFUNCTION("if(D4351=""variant"",  substitute(filter(Templates!E:E, Templates!A:A = F4351, Templates!B:B = G4351, Templates!C:C = H4351), ""{{}}"", E4351), B4351)"),"Vendre maison Biberist: Trouvez le bien immobilier qui correspond idéalement à vos désirs sur ImmoScout24 - La plateforme de l'immobilier en Suisse.")</f>
        <v>Vendre maison Biberist: Trouvez le bien immobilier qui correspond idéalement à vos désirs sur ImmoScout24 - La plateforme de l'immobilier en Suisse.</v>
      </c>
    </row>
    <row r="4352" hidden="1">
      <c r="A4352" s="5" t="s">
        <v>11805</v>
      </c>
      <c r="B4352" s="2" t="s">
        <v>11806</v>
      </c>
      <c r="C4352" s="2" t="s">
        <v>11806</v>
      </c>
      <c r="D4352" s="4" t="str">
        <f>vlookup(A4352, Sheet2!D:E, 2, 0)</f>
        <v>control</v>
      </c>
      <c r="E4352" s="4" t="str">
        <f>IFERROR(__xludf.DUMMYFUNCTION("if(H4352=""pays"",vlookup(REGEXEXTRACT(C4352, ""🏘️ \w+ \w+ (.*) ✅""),'Country prepositions'!A:B, 2, 0) &amp; "" "" &amp; REGEXEXTRACT(C4352, ""🏘️ \w+ \w+ (.*) ✅"") ,  if(H4352=""quartier"",vlookup(REGEXEXTRACT(C4352, ""🏘️ \w+ \w+ (.*) ✅""),'Quartier prepositio"&amp;"ns'!A:E, 5, 0) ,  if(H4352=""region"",vlookup(REGEXEXTRACT(C4352, ""🏘️ \w+ \w+ (.*) ✅""),'Region prepositions'!B:F, 5, 0),  REGEXEXTRACT(C4352, ""🏘️ \w+ \w+ (.*) ✅""))))"),"#N/A")</f>
        <v>#N/A</v>
      </c>
      <c r="I4352" s="4" t="str">
        <f>IFERROR(__xludf.DUMMYFUNCTION("if(D4352=""variant"",  substitute(filter(Templates!E:E, Templates!A:A = F4352, Templates!B:B = G4352, Templates!C:C = H4352), ""{{}}"", E4352), B4352)"),"Louer appartement Villiers: Trouvez le bien immobilier qui correspond idéalement à vos désirs sur ImmoScout24 - La plateforme de l'immobilier en Suisse.")</f>
        <v>Louer appartement Villiers: Trouvez le bien immobilier qui correspond idéalement à vos désirs sur ImmoScout24 - La plateforme de l'immobilier en Suisse.</v>
      </c>
    </row>
    <row r="4353" hidden="1">
      <c r="A4353" s="5" t="s">
        <v>11807</v>
      </c>
      <c r="B4353" s="2" t="s">
        <v>11808</v>
      </c>
      <c r="C4353" s="2" t="s">
        <v>11808</v>
      </c>
      <c r="D4353" s="4" t="str">
        <f>vlookup(A4353, Sheet2!D:E, 2, 0)</f>
        <v>control</v>
      </c>
      <c r="E4353" s="4" t="str">
        <f>IFERROR(__xludf.DUMMYFUNCTION("if(H4353=""pays"",vlookup(REGEXEXTRACT(C4353, ""🏘️ \w+ \w+ (.*) ✅""),'Country prepositions'!A:B, 2, 0) &amp; "" "" &amp; REGEXEXTRACT(C4353, ""🏘️ \w+ \w+ (.*) ✅"") ,  if(H4353=""quartier"",vlookup(REGEXEXTRACT(C4353, ""🏘️ \w+ \w+ (.*) ✅""),'Quartier prepositio"&amp;"ns'!A:E, 5, 0) ,  if(H4353=""region"",vlookup(REGEXEXTRACT(C4353, ""🏘️ \w+ \w+ (.*) ✅""),'Region prepositions'!B:F, 5, 0),  REGEXEXTRACT(C4353, ""🏘️ \w+ \w+ (.*) ✅""))))"),"#N/A")</f>
        <v>#N/A</v>
      </c>
      <c r="I4353" s="4" t="str">
        <f>IFERROR(__xludf.DUMMYFUNCTION("if(D4353=""variant"",  substitute(filter(Templates!E:E, Templates!A:A = F4353, Templates!B:B = G4353, Templates!C:C = H4353), ""{{}}"", E4353), B4353)"),"Vendre appartement Le Bry: Trouvez le bien immobilier qui correspond idéalement à vos désirs sur ImmoScout24 - La plateforme de l'immobilier en Suisse.")</f>
        <v>Vendre appartement Le Bry: Trouvez le bien immobilier qui correspond idéalement à vos désirs sur ImmoScout24 - La plateforme de l'immobilier en Suisse.</v>
      </c>
    </row>
    <row r="4354" hidden="1">
      <c r="A4354" s="5" t="s">
        <v>11809</v>
      </c>
      <c r="B4354" s="2" t="s">
        <v>11810</v>
      </c>
      <c r="C4354" s="2" t="s">
        <v>11810</v>
      </c>
      <c r="D4354" s="4" t="str">
        <f>vlookup(A4354, Sheet2!D:E, 2, 0)</f>
        <v>control</v>
      </c>
      <c r="E4354" s="4" t="str">
        <f>IFERROR(__xludf.DUMMYFUNCTION("if(H4354=""pays"",vlookup(REGEXEXTRACT(C4354, ""🏘️ \w+ \w+ (.*) ✅""),'Country prepositions'!A:B, 2, 0) &amp; "" "" &amp; REGEXEXTRACT(C4354, ""🏘️ \w+ \w+ (.*) ✅"") ,  if(H4354=""quartier"",vlookup(REGEXEXTRACT(C4354, ""🏘️ \w+ \w+ (.*) ✅""),'Quartier prepositio"&amp;"ns'!A:E, 5, 0) ,  if(H4354=""region"",vlookup(REGEXEXTRACT(C4354, ""🏘️ \w+ \w+ (.*) ✅""),'Region prepositions'!B:F, 5, 0),  REGEXEXTRACT(C4354, ""🏘️ \w+ \w+ (.*) ✅""))))"),"#N/A")</f>
        <v>#N/A</v>
      </c>
      <c r="I4354" s="4" t="str">
        <f>IFERROR(__xludf.DUMMYFUNCTION("if(D4354=""variant"",  substitute(filter(Templates!E:E, Templates!A:A = F4354, Templates!B:B = G4354, Templates!C:C = H4354), ""{{}}"", E4354), B4354)"),"Louer appartement Tscheppach: Trouvez le bien immobilier qui correspond idéalement à vos désirs sur ImmoScout24 - La plateforme de l'immobilier en Suisse.")</f>
        <v>Louer appartement Tscheppach: Trouvez le bien immobilier qui correspond idéalement à vos désirs sur ImmoScout24 - La plateforme de l'immobilier en Suisse.</v>
      </c>
    </row>
    <row r="4355" hidden="1">
      <c r="A4355" s="5" t="s">
        <v>11811</v>
      </c>
      <c r="B4355" s="2" t="s">
        <v>11812</v>
      </c>
      <c r="C4355" s="2" t="s">
        <v>11812</v>
      </c>
      <c r="D4355" s="4" t="str">
        <f>vlookup(A4355, Sheet2!D:E, 2, 0)</f>
        <v>control</v>
      </c>
      <c r="E4355" s="4" t="str">
        <f>IFERROR(__xludf.DUMMYFUNCTION("if(H4355=""pays"",vlookup(REGEXEXTRACT(C4355, ""🏘️ \w+ \w+ (.*) ✅""),'Country prepositions'!A:B, 2, 0) &amp; "" "" &amp; REGEXEXTRACT(C4355, ""🏘️ \w+ \w+ (.*) ✅"") ,  if(H4355=""quartier"",vlookup(REGEXEXTRACT(C4355, ""🏘️ \w+ \w+ (.*) ✅""),'Quartier prepositio"&amp;"ns'!A:E, 5, 0) ,  if(H4355=""region"",vlookup(REGEXEXTRACT(C4355, ""🏘️ \w+ \w+ (.*) ✅""),'Region prepositions'!B:F, 5, 0),  REGEXEXTRACT(C4355, ""🏘️ \w+ \w+ (.*) ✅""))))"),"#N/A")</f>
        <v>#N/A</v>
      </c>
      <c r="I4355" s="4" t="str">
        <f>IFERROR(__xludf.DUMMYFUNCTION("if(D4355=""variant"",  substitute(filter(Templates!E:E, Templates!A:A = F4355, Templates!B:B = G4355, Templates!C:C = H4355), ""{{}}"", E4355), B4355)"),"Vendre maison Binn: Trouvez le bien immobilier qui correspond idéalement à vos désirs sur ImmoScout24 - La plateforme de l'immobilier en Suisse.")</f>
        <v>Vendre maison Binn: Trouvez le bien immobilier qui correspond idéalement à vos désirs sur ImmoScout24 - La plateforme de l'immobilier en Suisse.</v>
      </c>
    </row>
    <row r="4356" hidden="1">
      <c r="A4356" s="5" t="s">
        <v>11813</v>
      </c>
      <c r="B4356" s="2" t="s">
        <v>11814</v>
      </c>
      <c r="C4356" s="2" t="s">
        <v>11814</v>
      </c>
      <c r="D4356" s="4" t="str">
        <f>vlookup(A4356, Sheet2!D:E, 2, 0)</f>
        <v>control</v>
      </c>
      <c r="E4356" s="4" t="str">
        <f>IFERROR(__xludf.DUMMYFUNCTION("if(H4356=""pays"",vlookup(REGEXEXTRACT(C4356, ""🏘️ \w+ \w+ (.*) ✅""),'Country prepositions'!A:B, 2, 0) &amp; "" "" &amp; REGEXEXTRACT(C4356, ""🏘️ \w+ \w+ (.*) ✅"") ,  if(H4356=""quartier"",vlookup(REGEXEXTRACT(C4356, ""🏘️ \w+ \w+ (.*) ✅""),'Quartier prepositio"&amp;"ns'!A:E, 5, 0) ,  if(H4356=""region"",vlookup(REGEXEXTRACT(C4356, ""🏘️ \w+ \w+ (.*) ✅""),'Region prepositions'!B:F, 5, 0),  REGEXEXTRACT(C4356, ""🏘️ \w+ \w+ (.*) ✅""))))"),"#N/A")</f>
        <v>#N/A</v>
      </c>
      <c r="I4356" s="4" t="str">
        <f>IFERROR(__xludf.DUMMYFUNCTION("if(D4356=""variant"",  substitute(filter(Templates!E:E, Templates!A:A = F4356, Templates!B:B = G4356, Templates!C:C = H4356), ""{{}}"", E4356), B4356)"),"Vendre maison Salvenach: Trouvez le bien immobilier qui correspond idéalement à vos désirs sur ImmoScout24 - La plateforme de l'immobilier en Suisse.")</f>
        <v>Vendre maison Salvenach: Trouvez le bien immobilier qui correspond idéalement à vos désirs sur ImmoScout24 - La plateforme de l'immobilier en Suisse.</v>
      </c>
    </row>
    <row r="4357" hidden="1">
      <c r="A4357" s="5" t="s">
        <v>11815</v>
      </c>
      <c r="B4357" s="2" t="s">
        <v>11816</v>
      </c>
      <c r="C4357" s="2" t="s">
        <v>11816</v>
      </c>
      <c r="D4357" s="4" t="str">
        <f>vlookup(A4357, Sheet2!D:E, 2, 0)</f>
        <v>control</v>
      </c>
      <c r="E4357" s="4" t="str">
        <f>IFERROR(__xludf.DUMMYFUNCTION("if(H4357=""pays"",vlookup(REGEXEXTRACT(C4357, ""🏘️ \w+ \w+ (.*) ✅""),'Country prepositions'!A:B, 2, 0) &amp; "" "" &amp; REGEXEXTRACT(C4357, ""🏘️ \w+ \w+ (.*) ✅"") ,  if(H4357=""quartier"",vlookup(REGEXEXTRACT(C4357, ""🏘️ \w+ \w+ (.*) ✅""),'Quartier prepositio"&amp;"ns'!A:E, 5, 0) ,  if(H4357=""region"",vlookup(REGEXEXTRACT(C4357, ""🏘️ \w+ \w+ (.*) ✅""),'Region prepositions'!B:F, 5, 0),  REGEXEXTRACT(C4357, ""🏘️ \w+ \w+ (.*) ✅""))))"),"#N/A")</f>
        <v>#N/A</v>
      </c>
      <c r="I4357" s="4" t="str">
        <f>IFERROR(__xludf.DUMMYFUNCTION("if(D4357=""variant"",  substitute(filter(Templates!E:E, Templates!A:A = F4357, Templates!B:B = G4357, Templates!C:C = H4357), ""{{}}"", E4357), B4357)"),"Louer appartement Chêne-Pâquier: Trouvez le bien immobilier qui correspond idéalement à vos désirs sur ImmoScout24 - La plateforme de l'immobilier en Suisse.")</f>
        <v>Louer appartement Chêne-Pâquier: Trouvez le bien immobilier qui correspond idéalement à vos désirs sur ImmoScout24 - La plateforme de l'immobilier en Suisse.</v>
      </c>
    </row>
    <row r="4358" hidden="1">
      <c r="A4358" s="5" t="s">
        <v>11817</v>
      </c>
      <c r="B4358" s="2" t="s">
        <v>11818</v>
      </c>
      <c r="C4358" s="2" t="s">
        <v>11818</v>
      </c>
      <c r="D4358" s="4" t="str">
        <f>vlookup(A4358, Sheet2!D:E, 2, 0)</f>
        <v>control</v>
      </c>
      <c r="E4358" s="4" t="str">
        <f>IFERROR(__xludf.DUMMYFUNCTION("if(H4358=""pays"",vlookup(REGEXEXTRACT(C4358, ""🏘️ \w+ \w+ (.*) ✅""),'Country prepositions'!A:B, 2, 0) &amp; "" "" &amp; REGEXEXTRACT(C4358, ""🏘️ \w+ \w+ (.*) ✅"") ,  if(H4358=""quartier"",vlookup(REGEXEXTRACT(C4358, ""🏘️ \w+ \w+ (.*) ✅""),'Quartier prepositio"&amp;"ns'!A:E, 5, 0) ,  if(H4358=""region"",vlookup(REGEXEXTRACT(C4358, ""🏘️ \w+ \w+ (.*) ✅""),'Region prepositions'!B:F, 5, 0),  REGEXEXTRACT(C4358, ""🏘️ \w+ \w+ (.*) ✅""))))"),"#N/A")</f>
        <v>#N/A</v>
      </c>
      <c r="I4358" s="4" t="str">
        <f>IFERROR(__xludf.DUMMYFUNCTION("if(D4358=""variant"",  substitute(filter(Templates!E:E, Templates!A:A = F4358, Templates!B:B = G4358, Templates!C:C = H4358), ""{{}}"", E4358), B4358)"),"Vendre appartement Montagnes Neuchâteloises: Trouvez le bien immobilier qui correspond idéalement à vos désirs sur ImmoScout24 - La plateforme de l'immobilier en Suisse.")</f>
        <v>Vendre appartement Montagnes Neuchâteloises: Trouvez le bien immobilier qui correspond idéalement à vos désirs sur ImmoScout24 - La plateforme de l'immobilier en Suisse.</v>
      </c>
    </row>
    <row r="4359" hidden="1">
      <c r="A4359" s="5" t="s">
        <v>11819</v>
      </c>
      <c r="B4359" s="2" t="s">
        <v>11820</v>
      </c>
      <c r="C4359" s="2" t="s">
        <v>11820</v>
      </c>
      <c r="D4359" s="4" t="str">
        <f>vlookup(A4359, Sheet2!D:E, 2, 0)</f>
        <v>control</v>
      </c>
      <c r="E4359" s="4" t="str">
        <f>IFERROR(__xludf.DUMMYFUNCTION("if(H4359=""pays"",vlookup(REGEXEXTRACT(C4359, ""🏘️ \w+ \w+ (.*) ✅""),'Country prepositions'!A:B, 2, 0) &amp; "" "" &amp; REGEXEXTRACT(C4359, ""🏘️ \w+ \w+ (.*) ✅"") ,  if(H4359=""quartier"",vlookup(REGEXEXTRACT(C4359, ""🏘️ \w+ \w+ (.*) ✅""),'Quartier prepositio"&amp;"ns'!A:E, 5, 0) ,  if(H4359=""region"",vlookup(REGEXEXTRACT(C4359, ""🏘️ \w+ \w+ (.*) ✅""),'Region prepositions'!B:F, 5, 0),  REGEXEXTRACT(C4359, ""🏘️ \w+ \w+ (.*) ✅""))))"),"#N/A")</f>
        <v>#N/A</v>
      </c>
      <c r="I4359" s="4" t="str">
        <f>IFERROR(__xludf.DUMMYFUNCTION("if(D4359=""variant"",  substitute(filter(Templates!E:E, Templates!A:A = F4359, Templates!B:B = G4359, Templates!C:C = H4359), ""{{}}"", E4359), B4359)"),"Louer appartement Maules: Trouvez le bien immobilier qui correspond idéalement à vos désirs sur ImmoScout24 - La plateforme de l'immobilier en Suisse.")</f>
        <v>Louer appartement Maules: Trouvez le bien immobilier qui correspond idéalement à vos désirs sur ImmoScout24 - La plateforme de l'immobilier en Suisse.</v>
      </c>
    </row>
    <row r="4360" hidden="1">
      <c r="A4360" s="5" t="s">
        <v>11821</v>
      </c>
      <c r="B4360" s="2" t="s">
        <v>11822</v>
      </c>
      <c r="C4360" s="2" t="s">
        <v>11822</v>
      </c>
      <c r="D4360" s="4" t="str">
        <f>vlookup(A4360, Sheet2!D:E, 2, 0)</f>
        <v>control</v>
      </c>
      <c r="E4360" s="4" t="str">
        <f>IFERROR(__xludf.DUMMYFUNCTION("if(H4360=""pays"",vlookup(REGEXEXTRACT(C4360, ""🏘️ \w+ \w+ (.*) ✅""),'Country prepositions'!A:B, 2, 0) &amp; "" "" &amp; REGEXEXTRACT(C4360, ""🏘️ \w+ \w+ (.*) ✅"") ,  if(H4360=""quartier"",vlookup(REGEXEXTRACT(C4360, ""🏘️ \w+ \w+ (.*) ✅""),'Quartier prepositio"&amp;"ns'!A:E, 5, 0) ,  if(H4360=""region"",vlookup(REGEXEXTRACT(C4360, ""🏘️ \w+ \w+ (.*) ✅""),'Region prepositions'!B:F, 5, 0),  REGEXEXTRACT(C4360, ""🏘️ \w+ \w+ (.*) ✅""))))"),"#N/A")</f>
        <v>#N/A</v>
      </c>
      <c r="I4360" s="4" t="str">
        <f>IFERROR(__xludf.DUMMYFUNCTION("if(D4360=""variant"",  substitute(filter(Templates!E:E, Templates!A:A = F4360, Templates!B:B = G4360, Templates!C:C = H4360), ""{{}}"", E4360), B4360)"),"Vendre maison Rhône-Arve: Trouvez le bien immobilier qui correspond idéalement à vos désirs sur ImmoScout24 - La plateforme de l'immobilier en Suisse.")</f>
        <v>Vendre maison Rhône-Arve: Trouvez le bien immobilier qui correspond idéalement à vos désirs sur ImmoScout24 - La plateforme de l'immobilier en Suisse.</v>
      </c>
    </row>
    <row r="4361" hidden="1">
      <c r="A4361" s="5" t="s">
        <v>11823</v>
      </c>
      <c r="B4361" s="2" t="s">
        <v>11824</v>
      </c>
      <c r="C4361" s="2" t="s">
        <v>11824</v>
      </c>
      <c r="D4361" s="4" t="str">
        <f>vlookup(A4361, Sheet2!D:E, 2, 0)</f>
        <v>control</v>
      </c>
      <c r="E4361" s="4" t="str">
        <f>IFERROR(__xludf.DUMMYFUNCTION("if(H4361=""pays"",vlookup(REGEXEXTRACT(C4361, ""🏘️ \w+ \w+ (.*) ✅""),'Country prepositions'!A:B, 2, 0) &amp; "" "" &amp; REGEXEXTRACT(C4361, ""🏘️ \w+ \w+ (.*) ✅"") ,  if(H4361=""quartier"",vlookup(REGEXEXTRACT(C4361, ""🏘️ \w+ \w+ (.*) ✅""),'Quartier prepositio"&amp;"ns'!A:E, 5, 0) ,  if(H4361=""region"",vlookup(REGEXEXTRACT(C4361, ""🏘️ \w+ \w+ (.*) ✅""),'Region prepositions'!B:F, 5, 0),  REGEXEXTRACT(C4361, ""🏘️ \w+ \w+ (.*) ✅""))))"),"#N/A")</f>
        <v>#N/A</v>
      </c>
      <c r="I4361" s="4" t="str">
        <f>IFERROR(__xludf.DUMMYFUNCTION("if(D4361=""variant"",  substitute(filter(Templates!E:E, Templates!A:A = F4361, Templates!B:B = G4361, Templates!C:C = H4361), ""{{}}"", E4361), B4361)"),"Louer appartement Lucerne - Lac: Trouvez le bien immobilier qui correspond idéalement à vos désirs sur ImmoScout24 - La plateforme de l'immobilier en Suisse.")</f>
        <v>Louer appartement Lucerne - Lac: Trouvez le bien immobilier qui correspond idéalement à vos désirs sur ImmoScout24 - La plateforme de l'immobilier en Suisse.</v>
      </c>
    </row>
    <row r="4362" hidden="1">
      <c r="A4362" s="5" t="s">
        <v>11825</v>
      </c>
      <c r="B4362" s="2" t="s">
        <v>11826</v>
      </c>
      <c r="C4362" s="2" t="s">
        <v>11826</v>
      </c>
      <c r="D4362" s="4" t="str">
        <f>vlookup(A4362, Sheet2!D:E, 2, 0)</f>
        <v>control</v>
      </c>
      <c r="E4362" s="4" t="str">
        <f>IFERROR(__xludf.DUMMYFUNCTION("if(H4362=""pays"",vlookup(REGEXEXTRACT(C4362, ""🏘️ \w+ \w+ (.*) ✅""),'Country prepositions'!A:B, 2, 0) &amp; "" "" &amp; REGEXEXTRACT(C4362, ""🏘️ \w+ \w+ (.*) ✅"") ,  if(H4362=""quartier"",vlookup(REGEXEXTRACT(C4362, ""🏘️ \w+ \w+ (.*) ✅""),'Quartier prepositio"&amp;"ns'!A:E, 5, 0) ,  if(H4362=""region"",vlookup(REGEXEXTRACT(C4362, ""🏘️ \w+ \w+ (.*) ✅""),'Region prepositions'!B:F, 5, 0),  REGEXEXTRACT(C4362, ""🏘️ \w+ \w+ (.*) ✅""))))"),"#N/A")</f>
        <v>#N/A</v>
      </c>
      <c r="I4362" s="4" t="str">
        <f>IFERROR(__xludf.DUMMYFUNCTION("if(D4362=""variant"",  substitute(filter(Templates!E:E, Templates!A:A = F4362, Templates!B:B = G4362, Templates!C:C = H4362), ""{{}}"", E4362), B4362)"),"Louer appartement Laax GR: Trouvez le bien immobilier qui correspond idéalement à vos désirs sur ImmoScout24 - La plateforme de l'immobilier en Suisse.")</f>
        <v>Louer appartement Laax GR: Trouvez le bien immobilier qui correspond idéalement à vos désirs sur ImmoScout24 - La plateforme de l'immobilier en Suisse.</v>
      </c>
    </row>
    <row r="4363" hidden="1">
      <c r="A4363" s="5" t="s">
        <v>11827</v>
      </c>
      <c r="B4363" s="2" t="s">
        <v>11828</v>
      </c>
      <c r="C4363" s="2" t="s">
        <v>11828</v>
      </c>
      <c r="D4363" s="4" t="str">
        <f>vlookup(A4363, Sheet2!D:E, 2, 0)</f>
        <v>control</v>
      </c>
      <c r="E4363" s="4" t="str">
        <f>IFERROR(__xludf.DUMMYFUNCTION("if(H4363=""pays"",vlookup(REGEXEXTRACT(C4363, ""🏘️ \w+ \w+ (.*) ✅""),'Country prepositions'!A:B, 2, 0) &amp; "" "" &amp; REGEXEXTRACT(C4363, ""🏘️ \w+ \w+ (.*) ✅"") ,  if(H4363=""quartier"",vlookup(REGEXEXTRACT(C4363, ""🏘️ \w+ \w+ (.*) ✅""),'Quartier prepositio"&amp;"ns'!A:E, 5, 0) ,  if(H4363=""region"",vlookup(REGEXEXTRACT(C4363, ""🏘️ \w+ \w+ (.*) ✅""),'Region prepositions'!B:F, 5, 0),  REGEXEXTRACT(C4363, ""🏘️ \w+ \w+ (.*) ✅""))))"),"#N/A")</f>
        <v>#N/A</v>
      </c>
      <c r="I4363" s="4" t="str">
        <f>IFERROR(__xludf.DUMMYFUNCTION("if(D4363=""variant"",  substitute(filter(Templates!E:E, Templates!A:A = F4363, Templates!B:B = G4363, Templates!C:C = H4363), ""{{}}"", E4363), B4363)"),"Vendre maison Turtmann: Trouvez le bien immobilier qui correspond idéalement à vos désirs sur ImmoScout24 - La plateforme de l'immobilier en Suisse.")</f>
        <v>Vendre maison Turtmann: Trouvez le bien immobilier qui correspond idéalement à vos désirs sur ImmoScout24 - La plateforme de l'immobilier en Suisse.</v>
      </c>
    </row>
    <row r="4364" hidden="1">
      <c r="A4364" s="5" t="s">
        <v>11829</v>
      </c>
      <c r="B4364" s="2" t="s">
        <v>11830</v>
      </c>
      <c r="C4364" s="2" t="s">
        <v>11830</v>
      </c>
      <c r="D4364" s="4" t="str">
        <f>vlookup(A4364, Sheet2!D:E, 2, 0)</f>
        <v>control</v>
      </c>
      <c r="E4364" s="4" t="str">
        <f>IFERROR(__xludf.DUMMYFUNCTION("if(H4364=""pays"",vlookup(REGEXEXTRACT(C4364, ""🏘️ \w+ \w+ (.*) ✅""),'Country prepositions'!A:B, 2, 0) &amp; "" "" &amp; REGEXEXTRACT(C4364, ""🏘️ \w+ \w+ (.*) ✅"") ,  if(H4364=""quartier"",vlookup(REGEXEXTRACT(C4364, ""🏘️ \w+ \w+ (.*) ✅""),'Quartier prepositio"&amp;"ns'!A:E, 5, 0) ,  if(H4364=""region"",vlookup(REGEXEXTRACT(C4364, ""🏘️ \w+ \w+ (.*) ✅""),'Region prepositions'!B:F, 5, 0),  REGEXEXTRACT(C4364, ""🏘️ \w+ \w+ (.*) ✅""))))"),"#N/A")</f>
        <v>#N/A</v>
      </c>
      <c r="I4364" s="4" t="str">
        <f>IFERROR(__xludf.DUMMYFUNCTION("if(D4364=""variant"",  substitute(filter(Templates!E:E, Templates!A:A = F4364, Templates!B:B = G4364, Templates!C:C = H4364), ""{{}}"", E4364), B4364)"),"Vendre maison Villaraboud: Trouvez le bien immobilier qui correspond idéalement à vos désirs sur ImmoScout24 - La plateforme de l'immobilier en Suisse.")</f>
        <v>Vendre maison Villaraboud: Trouvez le bien immobilier qui correspond idéalement à vos désirs sur ImmoScout24 - La plateforme de l'immobilier en Suisse.</v>
      </c>
    </row>
    <row r="4365" hidden="1">
      <c r="A4365" s="5" t="s">
        <v>11831</v>
      </c>
      <c r="B4365" s="2" t="s">
        <v>11832</v>
      </c>
      <c r="C4365" s="2" t="s">
        <v>11832</v>
      </c>
      <c r="D4365" s="4" t="str">
        <f>vlookup(A4365, Sheet2!D:E, 2, 0)</f>
        <v>control</v>
      </c>
      <c r="E4365" s="4" t="str">
        <f>IFERROR(__xludf.DUMMYFUNCTION("if(H4365=""pays"",vlookup(REGEXEXTRACT(C4365, ""🏘️ \w+ \w+ (.*) ✅""),'Country prepositions'!A:B, 2, 0) &amp; "" "" &amp; REGEXEXTRACT(C4365, ""🏘️ \w+ \w+ (.*) ✅"") ,  if(H4365=""quartier"",vlookup(REGEXEXTRACT(C4365, ""🏘️ \w+ \w+ (.*) ✅""),'Quartier prepositio"&amp;"ns'!A:E, 5, 0) ,  if(H4365=""region"",vlookup(REGEXEXTRACT(C4365, ""🏘️ \w+ \w+ (.*) ✅""),'Region prepositions'!B:F, 5, 0),  REGEXEXTRACT(C4365, ""🏘️ \w+ \w+ (.*) ✅""))))"),"#N/A")</f>
        <v>#N/A</v>
      </c>
      <c r="I4365" s="4" t="str">
        <f>IFERROR(__xludf.DUMMYFUNCTION("if(D4365=""variant"",  substitute(filter(Templates!E:E, Templates!A:A = F4365, Templates!B:B = G4365, Templates!C:C = H4365), ""{{}}"", E4365), B4365)"),"Vendre maison Bremgarten b. Bern: Trouvez le bien immobilier qui correspond idéalement à vos désirs sur ImmoScout24 - La plateforme de l'immobilier en Suisse.")</f>
        <v>Vendre maison Bremgarten b. Bern: Trouvez le bien immobilier qui correspond idéalement à vos désirs sur ImmoScout24 - La plateforme de l'immobilier en Suisse.</v>
      </c>
    </row>
    <row r="4366" hidden="1">
      <c r="A4366" s="5" t="s">
        <v>11833</v>
      </c>
      <c r="B4366" s="2" t="s">
        <v>11834</v>
      </c>
      <c r="C4366" s="2" t="s">
        <v>11834</v>
      </c>
      <c r="D4366" s="4" t="str">
        <f>vlookup(A4366, Sheet2!D:E, 2, 0)</f>
        <v>control</v>
      </c>
      <c r="E4366" s="4" t="str">
        <f>IFERROR(__xludf.DUMMYFUNCTION("if(H4366=""pays"",vlookup(REGEXEXTRACT(C4366, ""🏘️ \w+ \w+ (.*) ✅""),'Country prepositions'!A:B, 2, 0) &amp; "" "" &amp; REGEXEXTRACT(C4366, ""🏘️ \w+ \w+ (.*) ✅"") ,  if(H4366=""quartier"",vlookup(REGEXEXTRACT(C4366, ""🏘️ \w+ \w+ (.*) ✅""),'Quartier prepositio"&amp;"ns'!A:E, 5, 0) ,  if(H4366=""region"",vlookup(REGEXEXTRACT(C4366, ""🏘️ \w+ \w+ (.*) ✅""),'Region prepositions'!B:F, 5, 0),  REGEXEXTRACT(C4366, ""🏘️ \w+ \w+ (.*) ✅""))))"),"#N/A")</f>
        <v>#N/A</v>
      </c>
      <c r="I4366" s="4" t="str">
        <f>IFERROR(__xludf.DUMMYFUNCTION("if(D4366=""variant"",  substitute(filter(Templates!E:E, Templates!A:A = F4366, Templates!B:B = G4366, Templates!C:C = H4366), ""{{}}"", E4366), B4366)"),"Vendre maison Rueras: Trouvez le bien immobilier qui correspond idéalement à vos désirs sur ImmoScout24 - La plateforme de l'immobilier en Suisse.")</f>
        <v>Vendre maison Rueras: Trouvez le bien immobilier qui correspond idéalement à vos désirs sur ImmoScout24 - La plateforme de l'immobilier en Suisse.</v>
      </c>
    </row>
    <row r="4367" hidden="1">
      <c r="A4367" s="5" t="s">
        <v>11835</v>
      </c>
      <c r="B4367" s="2" t="s">
        <v>11836</v>
      </c>
      <c r="C4367" s="2" t="s">
        <v>11836</v>
      </c>
      <c r="D4367" s="4" t="str">
        <f>vlookup(A4367, Sheet2!D:E, 2, 0)</f>
        <v>control</v>
      </c>
      <c r="E4367" s="4" t="str">
        <f>IFERROR(__xludf.DUMMYFUNCTION("if(H4367=""pays"",vlookup(REGEXEXTRACT(C4367, ""🏘️ \w+ \w+ (.*) ✅""),'Country prepositions'!A:B, 2, 0) &amp; "" "" &amp; REGEXEXTRACT(C4367, ""🏘️ \w+ \w+ (.*) ✅"") ,  if(H4367=""quartier"",vlookup(REGEXEXTRACT(C4367, ""🏘️ \w+ \w+ (.*) ✅""),'Quartier prepositio"&amp;"ns'!A:E, 5, 0) ,  if(H4367=""region"",vlookup(REGEXEXTRACT(C4367, ""🏘️ \w+ \w+ (.*) ✅""),'Region prepositions'!B:F, 5, 0),  REGEXEXTRACT(C4367, ""🏘️ \w+ \w+ (.*) ✅""))))"),"#N/A")</f>
        <v>#N/A</v>
      </c>
      <c r="I4367" s="4" t="str">
        <f>IFERROR(__xludf.DUMMYFUNCTION("if(D4367=""variant"",  substitute(filter(Templates!E:E, Templates!A:A = F4367, Templates!B:B = G4367, Templates!C:C = H4367), ""{{}}"", E4367), B4367)"),"Louer appartement Gorgier: Trouvez le bien immobilier qui correspond idéalement à vos désirs sur ImmoScout24 - La plateforme de l'immobilier en Suisse.")</f>
        <v>Louer appartement Gorgier: Trouvez le bien immobilier qui correspond idéalement à vos désirs sur ImmoScout24 - La plateforme de l'immobilier en Suisse.</v>
      </c>
    </row>
    <row r="4368" hidden="1">
      <c r="A4368" s="5" t="s">
        <v>11837</v>
      </c>
      <c r="B4368" s="2" t="s">
        <v>11838</v>
      </c>
      <c r="C4368" s="2" t="s">
        <v>11838</v>
      </c>
      <c r="D4368" s="4" t="str">
        <f>vlookup(A4368, Sheet2!D:E, 2, 0)</f>
        <v>control</v>
      </c>
      <c r="E4368" s="4" t="str">
        <f>IFERROR(__xludf.DUMMYFUNCTION("if(H4368=""pays"",vlookup(REGEXEXTRACT(C4368, ""🏘️ \w+ \w+ (.*) ✅""),'Country prepositions'!A:B, 2, 0) &amp; "" "" &amp; REGEXEXTRACT(C4368, ""🏘️ \w+ \w+ (.*) ✅"") ,  if(H4368=""quartier"",vlookup(REGEXEXTRACT(C4368, ""🏘️ \w+ \w+ (.*) ✅""),'Quartier prepositio"&amp;"ns'!A:E, 5, 0) ,  if(H4368=""region"",vlookup(REGEXEXTRACT(C4368, ""🏘️ \w+ \w+ (.*) ✅""),'Region prepositions'!B:F, 5, 0),  REGEXEXTRACT(C4368, ""🏘️ \w+ \w+ (.*) ✅""))))"),"#N/A")</f>
        <v>#N/A</v>
      </c>
      <c r="I4368" s="4" t="str">
        <f>IFERROR(__xludf.DUMMYFUNCTION("if(D4368=""variant"",  substitute(filter(Templates!E:E, Templates!A:A = F4368, Templates!B:B = G4368, Templates!C:C = H4368), ""{{}}"", E4368), B4368)"),"Louer appartement Madretsch Nord (Biel/Bienne): Trouvez le bien immobilier qui correspond idéalement à vos désirs sur ImmoScout24 - La plateforme de l'immobilier en Suisse.")</f>
        <v>Louer appartement Madretsch Nord (Biel/Bienne): Trouvez le bien immobilier qui correspond idéalement à vos désirs sur ImmoScout24 - La plateforme de l'immobilier en Suisse.</v>
      </c>
    </row>
    <row r="4369" hidden="1">
      <c r="A4369" s="5" t="s">
        <v>11839</v>
      </c>
      <c r="B4369" s="2" t="s">
        <v>11840</v>
      </c>
      <c r="C4369" s="2" t="s">
        <v>11840</v>
      </c>
      <c r="D4369" s="4" t="str">
        <f>vlookup(A4369, Sheet2!D:E, 2, 0)</f>
        <v>control</v>
      </c>
      <c r="E4369" s="4" t="str">
        <f>IFERROR(__xludf.DUMMYFUNCTION("if(H4369=""pays"",vlookup(REGEXEXTRACT(C4369, ""🏘️ \w+ \w+ (.*) ✅""),'Country prepositions'!A:B, 2, 0) &amp; "" "" &amp; REGEXEXTRACT(C4369, ""🏘️ \w+ \w+ (.*) ✅"") ,  if(H4369=""quartier"",vlookup(REGEXEXTRACT(C4369, ""🏘️ \w+ \w+ (.*) ✅""),'Quartier prepositio"&amp;"ns'!A:E, 5, 0) ,  if(H4369=""region"",vlookup(REGEXEXTRACT(C4369, ""🏘️ \w+ \w+ (.*) ✅""),'Region prepositions'!B:F, 5, 0),  REGEXEXTRACT(C4369, ""🏘️ \w+ \w+ (.*) ✅""))))"),"#N/A")</f>
        <v>#N/A</v>
      </c>
      <c r="I4369" s="4" t="str">
        <f>IFERROR(__xludf.DUMMYFUNCTION("if(D4369=""variant"",  substitute(filter(Templates!E:E, Templates!A:A = F4369, Templates!B:B = G4369, Templates!C:C = H4369), ""{{}}"", E4369), B4369)"),"Vendre maison Nods: Trouvez le bien immobilier qui correspond idéalement à vos désirs sur ImmoScout24 - La plateforme de l'immobilier en Suisse.")</f>
        <v>Vendre maison Nods: Trouvez le bien immobilier qui correspond idéalement à vos désirs sur ImmoScout24 - La plateforme de l'immobilier en Suisse.</v>
      </c>
    </row>
    <row r="4370" hidden="1">
      <c r="A4370" s="5" t="s">
        <v>11841</v>
      </c>
      <c r="B4370" s="2" t="s">
        <v>11842</v>
      </c>
      <c r="C4370" s="2" t="s">
        <v>11842</v>
      </c>
      <c r="D4370" s="4" t="str">
        <f>vlookup(A4370, Sheet2!D:E, 2, 0)</f>
        <v>control</v>
      </c>
      <c r="E4370" s="4" t="str">
        <f>IFERROR(__xludf.DUMMYFUNCTION("if(H4370=""pays"",vlookup(REGEXEXTRACT(C4370, ""🏘️ \w+ \w+ (.*) ✅""),'Country prepositions'!A:B, 2, 0) &amp; "" "" &amp; REGEXEXTRACT(C4370, ""🏘️ \w+ \w+ (.*) ✅"") ,  if(H4370=""quartier"",vlookup(REGEXEXTRACT(C4370, ""🏘️ \w+ \w+ (.*) ✅""),'Quartier prepositio"&amp;"ns'!A:E, 5, 0) ,  if(H4370=""region"",vlookup(REGEXEXTRACT(C4370, ""🏘️ \w+ \w+ (.*) ✅""),'Region prepositions'!B:F, 5, 0),  REGEXEXTRACT(C4370, ""🏘️ \w+ \w+ (.*) ✅""))))"),"#N/A")</f>
        <v>#N/A</v>
      </c>
      <c r="I4370" s="4" t="str">
        <f>IFERROR(__xludf.DUMMYFUNCTION("if(D4370=""variant"",  substitute(filter(Templates!E:E, Templates!A:A = F4370, Templates!B:B = G4370, Templates!C:C = H4370), ""{{}}"", E4370), B4370)"),"Vendre maison Miège: Trouvez le bien immobilier qui correspond idéalement à vos désirs sur ImmoScout24 - La plateforme de l'immobilier en Suisse.")</f>
        <v>Vendre maison Miège: Trouvez le bien immobilier qui correspond idéalement à vos désirs sur ImmoScout24 - La plateforme de l'immobilier en Suisse.</v>
      </c>
    </row>
    <row r="4371" hidden="1">
      <c r="A4371" s="5" t="s">
        <v>11843</v>
      </c>
      <c r="B4371" s="2" t="s">
        <v>11844</v>
      </c>
      <c r="C4371" s="2" t="s">
        <v>11844</v>
      </c>
      <c r="D4371" s="4" t="str">
        <f>vlookup(A4371, Sheet2!D:E, 2, 0)</f>
        <v>control</v>
      </c>
      <c r="E4371" s="4" t="str">
        <f>IFERROR(__xludf.DUMMYFUNCTION("if(H4371=""pays"",vlookup(REGEXEXTRACT(C4371, ""🏘️ \w+ \w+ (.*) ✅""),'Country prepositions'!A:B, 2, 0) &amp; "" "" &amp; REGEXEXTRACT(C4371, ""🏘️ \w+ \w+ (.*) ✅"") ,  if(H4371=""quartier"",vlookup(REGEXEXTRACT(C4371, ""🏘️ \w+ \w+ (.*) ✅""),'Quartier prepositio"&amp;"ns'!A:E, 5, 0) ,  if(H4371=""region"",vlookup(REGEXEXTRACT(C4371, ""🏘️ \w+ \w+ (.*) ✅""),'Region prepositions'!B:F, 5, 0),  REGEXEXTRACT(C4371, ""🏘️ \w+ \w+ (.*) ✅""))))"),"#N/A")</f>
        <v>#N/A</v>
      </c>
      <c r="I4371" s="4" t="str">
        <f>IFERROR(__xludf.DUMMYFUNCTION("if(D4371=""variant"",  substitute(filter(Templates!E:E, Templates!A:A = F4371, Templates!B:B = G4371, Templates!C:C = H4371), ""{{}}"", E4371), B4371)"),"Vendre appartement Ermatingen: Trouvez le bien immobilier qui correspond idéalement à vos désirs sur ImmoScout24 - La plateforme de l'immobilier en Suisse.")</f>
        <v>Vendre appartement Ermatingen: Trouvez le bien immobilier qui correspond idéalement à vos désirs sur ImmoScout24 - La plateforme de l'immobilier en Suisse.</v>
      </c>
    </row>
    <row r="4372" hidden="1">
      <c r="A4372" s="5" t="s">
        <v>11845</v>
      </c>
      <c r="B4372" s="2" t="s">
        <v>11846</v>
      </c>
      <c r="C4372" s="2" t="s">
        <v>11846</v>
      </c>
      <c r="D4372" s="4" t="str">
        <f>vlookup(A4372, Sheet2!D:E, 2, 0)</f>
        <v>control</v>
      </c>
      <c r="E4372" s="4" t="str">
        <f>IFERROR(__xludf.DUMMYFUNCTION("if(H4372=""pays"",vlookup(REGEXEXTRACT(C4372, ""🏘️ \w+ \w+ (.*) ✅""),'Country prepositions'!A:B, 2, 0) &amp; "" "" &amp; REGEXEXTRACT(C4372, ""🏘️ \w+ \w+ (.*) ✅"") ,  if(H4372=""quartier"",vlookup(REGEXEXTRACT(C4372, ""🏘️ \w+ \w+ (.*) ✅""),'Quartier prepositio"&amp;"ns'!A:E, 5, 0) ,  if(H4372=""region"",vlookup(REGEXEXTRACT(C4372, ""🏘️ \w+ \w+ (.*) ✅""),'Region prepositions'!B:F, 5, 0),  REGEXEXTRACT(C4372, ""🏘️ \w+ \w+ (.*) ✅""))))"),"#N/A")</f>
        <v>#N/A</v>
      </c>
      <c r="I4372" s="4" t="str">
        <f>IFERROR(__xludf.DUMMYFUNCTION("if(D4372=""variant"",  substitute(filter(Templates!E:E, Templates!A:A = F4372, Templates!B:B = G4372, Templates!C:C = H4372), ""{{}}"", E4372), B4372)"),"Vendre appartement Hermance: Trouvez le bien immobilier qui correspond idéalement à vos désirs sur ImmoScout24 - La plateforme de l'immobilier en Suisse.")</f>
        <v>Vendre appartement Hermance: Trouvez le bien immobilier qui correspond idéalement à vos désirs sur ImmoScout24 - La plateforme de l'immobilier en Suisse.</v>
      </c>
    </row>
    <row r="4373" hidden="1">
      <c r="A4373" s="5" t="s">
        <v>11847</v>
      </c>
      <c r="B4373" s="2" t="s">
        <v>11848</v>
      </c>
      <c r="C4373" s="2" t="s">
        <v>11848</v>
      </c>
      <c r="D4373" s="4" t="str">
        <f>vlookup(A4373, Sheet2!D:E, 2, 0)</f>
        <v>control</v>
      </c>
      <c r="E4373" s="4" t="str">
        <f>IFERROR(__xludf.DUMMYFUNCTION("if(H4373=""pays"",vlookup(REGEXEXTRACT(C4373, ""🏘️ \w+ \w+ (.*) ✅""),'Country prepositions'!A:B, 2, 0) &amp; "" "" &amp; REGEXEXTRACT(C4373, ""🏘️ \w+ \w+ (.*) ✅"") ,  if(H4373=""quartier"",vlookup(REGEXEXTRACT(C4373, ""🏘️ \w+ \w+ (.*) ✅""),'Quartier prepositio"&amp;"ns'!A:E, 5, 0) ,  if(H4373=""region"",vlookup(REGEXEXTRACT(C4373, ""🏘️ \w+ \w+ (.*) ✅""),'Region prepositions'!B:F, 5, 0),  REGEXEXTRACT(C4373, ""🏘️ \w+ \w+ (.*) ✅""))))"),"#N/A")</f>
        <v>#N/A</v>
      </c>
      <c r="I4373" s="4" t="str">
        <f>IFERROR(__xludf.DUMMYFUNCTION("if(D4373=""variant"",  substitute(filter(Templates!E:E, Templates!A:A = F4373, Templates!B:B = G4373, Templates!C:C = H4373), ""{{}}"", E4373), B4373)"),"Vendre maison Beurnevésin: Trouvez le bien immobilier qui correspond idéalement à vos désirs sur ImmoScout24 - La plateforme de l'immobilier en Suisse.")</f>
        <v>Vendre maison Beurnevésin: Trouvez le bien immobilier qui correspond idéalement à vos désirs sur ImmoScout24 - La plateforme de l'immobilier en Suisse.</v>
      </c>
    </row>
    <row r="4374" hidden="1">
      <c r="A4374" s="5" t="s">
        <v>11849</v>
      </c>
      <c r="B4374" s="2" t="s">
        <v>11850</v>
      </c>
      <c r="C4374" s="2" t="s">
        <v>11850</v>
      </c>
      <c r="D4374" s="4" t="str">
        <f>vlookup(A4374, Sheet2!D:E, 2, 0)</f>
        <v>control</v>
      </c>
      <c r="E4374" s="4" t="str">
        <f>IFERROR(__xludf.DUMMYFUNCTION("if(H4374=""pays"",vlookup(REGEXEXTRACT(C4374, ""🏘️ \w+ \w+ (.*) ✅""),'Country prepositions'!A:B, 2, 0) &amp; "" "" &amp; REGEXEXTRACT(C4374, ""🏘️ \w+ \w+ (.*) ✅"") ,  if(H4374=""quartier"",vlookup(REGEXEXTRACT(C4374, ""🏘️ \w+ \w+ (.*) ✅""),'Quartier prepositio"&amp;"ns'!A:E, 5, 0) ,  if(H4374=""region"",vlookup(REGEXEXTRACT(C4374, ""🏘️ \w+ \w+ (.*) ✅""),'Region prepositions'!B:F, 5, 0),  REGEXEXTRACT(C4374, ""🏘️ \w+ \w+ (.*) ✅""))))"),"#N/A")</f>
        <v>#N/A</v>
      </c>
      <c r="I4374" s="4" t="str">
        <f>IFERROR(__xludf.DUMMYFUNCTION("if(D4374=""variant"",  substitute(filter(Templates!E:E, Templates!A:A = F4374, Templates!B:B = G4374, Templates!C:C = H4374), ""{{}}"", E4374), B4374)"),"Louer appartement Schöftland: Trouvez le bien immobilier qui correspond idéalement à vos désirs sur ImmoScout24 - La plateforme de l'immobilier en Suisse.")</f>
        <v>Louer appartement Schöftland: Trouvez le bien immobilier qui correspond idéalement à vos désirs sur ImmoScout24 - La plateforme de l'immobilier en Suisse.</v>
      </c>
    </row>
    <row r="4375" hidden="1">
      <c r="A4375" s="5" t="s">
        <v>11851</v>
      </c>
      <c r="B4375" s="2" t="s">
        <v>11852</v>
      </c>
      <c r="C4375" s="2" t="s">
        <v>11852</v>
      </c>
      <c r="D4375" s="4" t="str">
        <f>vlookup(A4375, Sheet2!D:E, 2, 0)</f>
        <v>control</v>
      </c>
      <c r="E4375" s="4" t="str">
        <f>IFERROR(__xludf.DUMMYFUNCTION("if(H4375=""pays"",vlookup(REGEXEXTRACT(C4375, ""🏘️ \w+ \w+ (.*) ✅""),'Country prepositions'!A:B, 2, 0) &amp; "" "" &amp; REGEXEXTRACT(C4375, ""🏘️ \w+ \w+ (.*) ✅"") ,  if(H4375=""quartier"",vlookup(REGEXEXTRACT(C4375, ""🏘️ \w+ \w+ (.*) ✅""),'Quartier prepositio"&amp;"ns'!A:E, 5, 0) ,  if(H4375=""region"",vlookup(REGEXEXTRACT(C4375, ""🏘️ \w+ \w+ (.*) ✅""),'Region prepositions'!B:F, 5, 0),  REGEXEXTRACT(C4375, ""🏘️ \w+ \w+ (.*) ✅""))))"),"#N/A")</f>
        <v>#N/A</v>
      </c>
      <c r="I4375" s="4" t="str">
        <f>IFERROR(__xludf.DUMMYFUNCTION("if(D4375=""variant"",  substitute(filter(Templates!E:E, Templates!A:A = F4375, Templates!B:B = G4375, Templates!C:C = H4375), ""{{}}"", E4375), B4375)"),"Louer appartement Beinwil (Freiamt): Trouvez le bien immobilier qui correspond idéalement à vos désirs sur ImmoScout24 - La plateforme de l'immobilier en Suisse.")</f>
        <v>Louer appartement Beinwil (Freiamt): Trouvez le bien immobilier qui correspond idéalement à vos désirs sur ImmoScout24 - La plateforme de l'immobilier en Suisse.</v>
      </c>
    </row>
    <row r="4376" hidden="1">
      <c r="A4376" s="5" t="s">
        <v>11853</v>
      </c>
      <c r="B4376" s="2" t="s">
        <v>11854</v>
      </c>
      <c r="C4376" s="2" t="s">
        <v>11854</v>
      </c>
      <c r="D4376" s="4" t="str">
        <f>vlookup(A4376, Sheet2!D:E, 2, 0)</f>
        <v>control</v>
      </c>
      <c r="E4376" s="4" t="str">
        <f>IFERROR(__xludf.DUMMYFUNCTION("if(H4376=""pays"",vlookup(REGEXEXTRACT(C4376, ""🏘️ \w+ \w+ (.*) ✅""),'Country prepositions'!A:B, 2, 0) &amp; "" "" &amp; REGEXEXTRACT(C4376, ""🏘️ \w+ \w+ (.*) ✅"") ,  if(H4376=""quartier"",vlookup(REGEXEXTRACT(C4376, ""🏘️ \w+ \w+ (.*) ✅""),'Quartier prepositio"&amp;"ns'!A:E, 5, 0) ,  if(H4376=""region"",vlookup(REGEXEXTRACT(C4376, ""🏘️ \w+ \w+ (.*) ✅""),'Region prepositions'!B:F, 5, 0),  REGEXEXTRACT(C4376, ""🏘️ \w+ \w+ (.*) ✅""))))"),"#N/A")</f>
        <v>#N/A</v>
      </c>
      <c r="I4376" s="4" t="str">
        <f>IFERROR(__xludf.DUMMYFUNCTION("if(D4376=""variant"",  substitute(filter(Templates!E:E, Templates!A:A = F4376, Templates!B:B = G4376, Templates!C:C = H4376), ""{{}}"", E4376), B4376)"),"Vendre appartement Vétroz: Trouvez le bien immobilier qui correspond idéalement à vos désirs sur ImmoScout24 - La plateforme de l'immobilier en Suisse.")</f>
        <v>Vendre appartement Vétroz: Trouvez le bien immobilier qui correspond idéalement à vos désirs sur ImmoScout24 - La plateforme de l'immobilier en Suisse.</v>
      </c>
    </row>
    <row r="4377" hidden="1">
      <c r="A4377" s="5" t="s">
        <v>11855</v>
      </c>
      <c r="B4377" s="2" t="s">
        <v>11856</v>
      </c>
      <c r="C4377" s="2" t="s">
        <v>11856</v>
      </c>
      <c r="D4377" s="4" t="str">
        <f>vlookup(A4377, Sheet2!D:E, 2, 0)</f>
        <v>control</v>
      </c>
      <c r="E4377" s="4" t="str">
        <f>IFERROR(__xludf.DUMMYFUNCTION("if(H4377=""pays"",vlookup(REGEXEXTRACT(C4377, ""🏘️ \w+ \w+ (.*) ✅""),'Country prepositions'!A:B, 2, 0) &amp; "" "" &amp; REGEXEXTRACT(C4377, ""🏘️ \w+ \w+ (.*) ✅"") ,  if(H4377=""quartier"",vlookup(REGEXEXTRACT(C4377, ""🏘️ \w+ \w+ (.*) ✅""),'Quartier prepositio"&amp;"ns'!A:E, 5, 0) ,  if(H4377=""region"",vlookup(REGEXEXTRACT(C4377, ""🏘️ \w+ \w+ (.*) ✅""),'Region prepositions'!B:F, 5, 0),  REGEXEXTRACT(C4377, ""🏘️ \w+ \w+ (.*) ✅""))))"),"#N/A")</f>
        <v>#N/A</v>
      </c>
      <c r="I4377" s="4" t="str">
        <f>IFERROR(__xludf.DUMMYFUNCTION("if(D4377=""variant"",  substitute(filter(Templates!E:E, Templates!A:A = F4377, Templates!B:B = G4377, Templates!C:C = H4377), ""{{}}"", E4377), B4377)"),"Vendre maison Randogne: Trouvez le bien immobilier qui correspond idéalement à vos désirs sur ImmoScout24 - La plateforme de l'immobilier en Suisse.")</f>
        <v>Vendre maison Randogne: Trouvez le bien immobilier qui correspond idéalement à vos désirs sur ImmoScout24 - La plateforme de l'immobilier en Suisse.</v>
      </c>
    </row>
    <row r="4378" hidden="1">
      <c r="A4378" s="5" t="s">
        <v>11857</v>
      </c>
      <c r="B4378" s="2" t="s">
        <v>11858</v>
      </c>
      <c r="C4378" s="2" t="s">
        <v>11858</v>
      </c>
      <c r="D4378" s="4" t="str">
        <f>vlookup(A4378, Sheet2!D:E, 2, 0)</f>
        <v>control</v>
      </c>
      <c r="E4378" s="4" t="str">
        <f>IFERROR(__xludf.DUMMYFUNCTION("if(H4378=""pays"",vlookup(REGEXEXTRACT(C4378, ""🏘️ \w+ \w+ (.*) ✅""),'Country prepositions'!A:B, 2, 0) &amp; "" "" &amp; REGEXEXTRACT(C4378, ""🏘️ \w+ \w+ (.*) ✅"") ,  if(H4378=""quartier"",vlookup(REGEXEXTRACT(C4378, ""🏘️ \w+ \w+ (.*) ✅""),'Quartier prepositio"&amp;"ns'!A:E, 5, 0) ,  if(H4378=""region"",vlookup(REGEXEXTRACT(C4378, ""🏘️ \w+ \w+ (.*) ✅""),'Region prepositions'!B:F, 5, 0),  REGEXEXTRACT(C4378, ""🏘️ \w+ \w+ (.*) ✅""))))"),"#N/A")</f>
        <v>#N/A</v>
      </c>
      <c r="I4378" s="4" t="str">
        <f>IFERROR(__xludf.DUMMYFUNCTION("if(D4378=""variant"",  substitute(filter(Templates!E:E, Templates!A:A = F4378, Templates!B:B = G4378, Templates!C:C = H4378), ""{{}}"", E4378), B4378)"),"Vendre maison La Croix (Lutry): Trouvez le bien immobilier qui correspond idéalement à vos désirs sur ImmoScout24 - La plateforme de l'immobilier en Suisse.")</f>
        <v>Vendre maison La Croix (Lutry): Trouvez le bien immobilier qui correspond idéalement à vos désirs sur ImmoScout24 - La plateforme de l'immobilier en Suisse.</v>
      </c>
    </row>
    <row r="4379" hidden="1">
      <c r="A4379" s="5" t="s">
        <v>11859</v>
      </c>
      <c r="B4379" s="2" t="s">
        <v>11860</v>
      </c>
      <c r="C4379" s="2" t="s">
        <v>11860</v>
      </c>
      <c r="D4379" s="4" t="str">
        <f>vlookup(A4379, Sheet2!D:E, 2, 0)</f>
        <v>control</v>
      </c>
      <c r="E4379" s="4" t="str">
        <f>IFERROR(__xludf.DUMMYFUNCTION("if(H4379=""pays"",vlookup(REGEXEXTRACT(C4379, ""🏘️ \w+ \w+ (.*) ✅""),'Country prepositions'!A:B, 2, 0) &amp; "" "" &amp; REGEXEXTRACT(C4379, ""🏘️ \w+ \w+ (.*) ✅"") ,  if(H4379=""quartier"",vlookup(REGEXEXTRACT(C4379, ""🏘️ \w+ \w+ (.*) ✅""),'Quartier prepositio"&amp;"ns'!A:E, 5, 0) ,  if(H4379=""region"",vlookup(REGEXEXTRACT(C4379, ""🏘️ \w+ \w+ (.*) ✅""),'Region prepositions'!B:F, 5, 0),  REGEXEXTRACT(C4379, ""🏘️ \w+ \w+ (.*) ✅""))))"),"#N/A")</f>
        <v>#N/A</v>
      </c>
      <c r="I4379" s="4" t="str">
        <f>IFERROR(__xludf.DUMMYFUNCTION("if(D4379=""variant"",  substitute(filter(Templates!E:E, Templates!A:A = F4379, Templates!B:B = G4379, Templates!C:C = H4379), ""{{}}"", E4379), B4379)"),"Louer appartement Ramsen: Trouvez le bien immobilier qui correspond idéalement à vos désirs sur ImmoScout24 - La plateforme de l'immobilier en Suisse.")</f>
        <v>Louer appartement Ramsen: Trouvez le bien immobilier qui correspond idéalement à vos désirs sur ImmoScout24 - La plateforme de l'immobilier en Suisse.</v>
      </c>
    </row>
    <row r="4380" hidden="1">
      <c r="A4380" s="5" t="s">
        <v>11861</v>
      </c>
      <c r="B4380" s="2" t="s">
        <v>11862</v>
      </c>
      <c r="C4380" s="2" t="s">
        <v>11862</v>
      </c>
      <c r="D4380" s="4" t="str">
        <f>vlookup(A4380, Sheet2!D:E, 2, 0)</f>
        <v>control</v>
      </c>
      <c r="E4380" s="4" t="str">
        <f>IFERROR(__xludf.DUMMYFUNCTION("if(H4380=""pays"",vlookup(REGEXEXTRACT(C4380, ""🏘️ \w+ \w+ (.*) ✅""),'Country prepositions'!A:B, 2, 0) &amp; "" "" &amp; REGEXEXTRACT(C4380, ""🏘️ \w+ \w+ (.*) ✅"") ,  if(H4380=""quartier"",vlookup(REGEXEXTRACT(C4380, ""🏘️ \w+ \w+ (.*) ✅""),'Quartier prepositio"&amp;"ns'!A:E, 5, 0) ,  if(H4380=""region"",vlookup(REGEXEXTRACT(C4380, ""🏘️ \w+ \w+ (.*) ✅""),'Region prepositions'!B:F, 5, 0),  REGEXEXTRACT(C4380, ""🏘️ \w+ \w+ (.*) ✅""))))"),"#N/A")</f>
        <v>#N/A</v>
      </c>
      <c r="I4380" s="4" t="str">
        <f>IFERROR(__xludf.DUMMYFUNCTION("if(D4380=""variant"",  substitute(filter(Templates!E:E, Templates!A:A = F4380, Templates!B:B = G4380, Templates!C:C = H4380), ""{{}}"", E4380), B4380)"),"Louer appartement Wettingen: Trouvez le bien immobilier qui correspond idéalement à vos désirs sur ImmoScout24 - La plateforme de l'immobilier en Suisse.")</f>
        <v>Louer appartement Wettingen: Trouvez le bien immobilier qui correspond idéalement à vos désirs sur ImmoScout24 - La plateforme de l'immobilier en Suisse.</v>
      </c>
    </row>
    <row r="4381" hidden="1">
      <c r="A4381" s="5" t="s">
        <v>11863</v>
      </c>
      <c r="B4381" s="2" t="s">
        <v>11864</v>
      </c>
      <c r="C4381" s="2" t="s">
        <v>11864</v>
      </c>
      <c r="D4381" s="4" t="str">
        <f>vlookup(A4381, Sheet2!D:E, 2, 0)</f>
        <v>control</v>
      </c>
      <c r="E4381" s="4" t="str">
        <f>IFERROR(__xludf.DUMMYFUNCTION("if(H4381=""pays"",vlookup(REGEXEXTRACT(C4381, ""🏘️ \w+ \w+ (.*) ✅""),'Country prepositions'!A:B, 2, 0) &amp; "" "" &amp; REGEXEXTRACT(C4381, ""🏘️ \w+ \w+ (.*) ✅"") ,  if(H4381=""quartier"",vlookup(REGEXEXTRACT(C4381, ""🏘️ \w+ \w+ (.*) ✅""),'Quartier prepositio"&amp;"ns'!A:E, 5, 0) ,  if(H4381=""region"",vlookup(REGEXEXTRACT(C4381, ""🏘️ \w+ \w+ (.*) ✅""),'Region prepositions'!B:F, 5, 0),  REGEXEXTRACT(C4381, ""🏘️ \w+ \w+ (.*) ✅""))))"),"#N/A")</f>
        <v>#N/A</v>
      </c>
      <c r="I4381" s="4" t="str">
        <f>IFERROR(__xludf.DUMMYFUNCTION("if(D4381=""variant"",  substitute(filter(Templates!E:E, Templates!A:A = F4381, Templates!B:B = G4381, Templates!C:C = H4381), ""{{}}"", E4381), B4381)"),"Louer appartement Klybeck (Bâle): Trouvez le bien immobilier qui correspond idéalement à vos désirs sur ImmoScout24 - La plateforme de l'immobilier en Suisse.")</f>
        <v>Louer appartement Klybeck (Bâle): Trouvez le bien immobilier qui correspond idéalement à vos désirs sur ImmoScout24 - La plateforme de l'immobilier en Suisse.</v>
      </c>
    </row>
    <row r="4382" hidden="1">
      <c r="A4382" s="5" t="s">
        <v>11865</v>
      </c>
      <c r="B4382" s="2" t="s">
        <v>11866</v>
      </c>
      <c r="C4382" s="2" t="s">
        <v>11866</v>
      </c>
      <c r="D4382" s="4" t="str">
        <f>vlookup(A4382, Sheet2!D:E, 2, 0)</f>
        <v>control</v>
      </c>
      <c r="E4382" s="4" t="str">
        <f>IFERROR(__xludf.DUMMYFUNCTION("if(H4382=""pays"",vlookup(REGEXEXTRACT(C4382, ""🏘️ \w+ \w+ (.*) ✅""),'Country prepositions'!A:B, 2, 0) &amp; "" "" &amp; REGEXEXTRACT(C4382, ""🏘️ \w+ \w+ (.*) ✅"") ,  if(H4382=""quartier"",vlookup(REGEXEXTRACT(C4382, ""🏘️ \w+ \w+ (.*) ✅""),'Quartier prepositio"&amp;"ns'!A:E, 5, 0) ,  if(H4382=""region"",vlookup(REGEXEXTRACT(C4382, ""🏘️ \w+ \w+ (.*) ✅""),'Region prepositions'!B:F, 5, 0),  REGEXEXTRACT(C4382, ""🏘️ \w+ \w+ (.*) ✅""))))"),"#N/A")</f>
        <v>#N/A</v>
      </c>
      <c r="I4382" s="4" t="str">
        <f>IFERROR(__xludf.DUMMYFUNCTION("if(D4382=""variant"",  substitute(filter(Templates!E:E, Templates!A:A = F4382, Templates!B:B = G4382, Templates!C:C = H4382), ""{{}}"", E4382), B4382)"),"Louer appartement Eaux-Vives - Lac (Genève): Trouvez le bien immobilier qui correspond idéalement à vos désirs sur ImmoScout24 - La plateforme de l'immobilier en Suisse.")</f>
        <v>Louer appartement Eaux-Vives - Lac (Genève): Trouvez le bien immobilier qui correspond idéalement à vos désirs sur ImmoScout24 - La plateforme de l'immobilier en Suisse.</v>
      </c>
    </row>
    <row r="4383" hidden="1">
      <c r="A4383" s="5" t="s">
        <v>11867</v>
      </c>
      <c r="B4383" s="2" t="s">
        <v>11868</v>
      </c>
      <c r="C4383" s="2" t="s">
        <v>11868</v>
      </c>
      <c r="D4383" s="4" t="str">
        <f>vlookup(A4383, Sheet2!D:E, 2, 0)</f>
        <v>control</v>
      </c>
      <c r="E4383" s="4" t="str">
        <f>IFERROR(__xludf.DUMMYFUNCTION("if(H4383=""pays"",vlookup(REGEXEXTRACT(C4383, ""🏘️ \w+ \w+ (.*) ✅""),'Country prepositions'!A:B, 2, 0) &amp; "" "" &amp; REGEXEXTRACT(C4383, ""🏘️ \w+ \w+ (.*) ✅"") ,  if(H4383=""quartier"",vlookup(REGEXEXTRACT(C4383, ""🏘️ \w+ \w+ (.*) ✅""),'Quartier prepositio"&amp;"ns'!A:E, 5, 0) ,  if(H4383=""region"",vlookup(REGEXEXTRACT(C4383, ""🏘️ \w+ \w+ (.*) ✅""),'Region prepositions'!B:F, 5, 0),  REGEXEXTRACT(C4383, ""🏘️ \w+ \w+ (.*) ✅""))))"),"#N/A")</f>
        <v>#N/A</v>
      </c>
      <c r="I4383" s="4" t="str">
        <f>IFERROR(__xludf.DUMMYFUNCTION("if(D4383=""variant"",  substitute(filter(Templates!E:E, Templates!A:A = F4383, Templates!B:B = G4383, Templates!C:C = H4383), ""{{}}"", E4383), B4383)"),"Louer maison Moudon: Trouvez le bien immobilier qui correspond idéalement à vos désirs sur ImmoScout24 - La plateforme de l'immobilier en Suisse.")</f>
        <v>Louer maison Moudon: Trouvez le bien immobilier qui correspond idéalement à vos désirs sur ImmoScout24 - La plateforme de l'immobilier en Suisse.</v>
      </c>
    </row>
    <row r="4384" hidden="1">
      <c r="A4384" s="5" t="s">
        <v>11869</v>
      </c>
      <c r="B4384" s="2" t="s">
        <v>11870</v>
      </c>
      <c r="C4384" s="2" t="s">
        <v>11870</v>
      </c>
      <c r="D4384" s="4" t="str">
        <f>vlookup(A4384, Sheet2!D:E, 2, 0)</f>
        <v>control</v>
      </c>
      <c r="E4384" s="4" t="str">
        <f>IFERROR(__xludf.DUMMYFUNCTION("if(H4384=""pays"",vlookup(REGEXEXTRACT(C4384, ""🏘️ \w+ \w+ (.*) ✅""),'Country prepositions'!A:B, 2, 0) &amp; "" "" &amp; REGEXEXTRACT(C4384, ""🏘️ \w+ \w+ (.*) ✅"") ,  if(H4384=""quartier"",vlookup(REGEXEXTRACT(C4384, ""🏘️ \w+ \w+ (.*) ✅""),'Quartier prepositio"&amp;"ns'!A:E, 5, 0) ,  if(H4384=""region"",vlookup(REGEXEXTRACT(C4384, ""🏘️ \w+ \w+ (.*) ✅""),'Region prepositions'!B:F, 5, 0),  REGEXEXTRACT(C4384, ""🏘️ \w+ \w+ (.*) ✅""))))"),"#N/A")</f>
        <v>#N/A</v>
      </c>
      <c r="I4384" s="4" t="str">
        <f>IFERROR(__xludf.DUMMYFUNCTION("if(D4384=""variant"",  substitute(filter(Templates!E:E, Templates!A:A = F4384, Templates!B:B = G4384, Templates!C:C = H4384), ""{{}}"", E4384), B4384)"),"Louer appartement Nussbaumen AG: Trouvez le bien immobilier qui correspond idéalement à vos désirs sur ImmoScout24 - La plateforme de l'immobilier en Suisse.")</f>
        <v>Louer appartement Nussbaumen AG: Trouvez le bien immobilier qui correspond idéalement à vos désirs sur ImmoScout24 - La plateforme de l'immobilier en Suisse.</v>
      </c>
    </row>
    <row r="4385" hidden="1">
      <c r="A4385" s="5" t="s">
        <v>11871</v>
      </c>
      <c r="B4385" s="2" t="s">
        <v>11872</v>
      </c>
      <c r="C4385" s="2" t="s">
        <v>11872</v>
      </c>
      <c r="D4385" s="4" t="str">
        <f>vlookup(A4385, Sheet2!D:E, 2, 0)</f>
        <v>control</v>
      </c>
      <c r="E4385" s="4" t="str">
        <f>IFERROR(__xludf.DUMMYFUNCTION("if(H4385=""pays"",vlookup(REGEXEXTRACT(C4385, ""🏘️ \w+ \w+ (.*) ✅""),'Country prepositions'!A:B, 2, 0) &amp; "" "" &amp; REGEXEXTRACT(C4385, ""🏘️ \w+ \w+ (.*) ✅"") ,  if(H4385=""quartier"",vlookup(REGEXEXTRACT(C4385, ""🏘️ \w+ \w+ (.*) ✅""),'Quartier prepositio"&amp;"ns'!A:E, 5, 0) ,  if(H4385=""region"",vlookup(REGEXEXTRACT(C4385, ""🏘️ \w+ \w+ (.*) ✅""),'Region prepositions'!B:F, 5, 0),  REGEXEXTRACT(C4385, ""🏘️ \w+ \w+ (.*) ✅""))))"),"#N/A")</f>
        <v>#N/A</v>
      </c>
      <c r="I4385" s="4" t="str">
        <f>IFERROR(__xludf.DUMMYFUNCTION("if(D4385=""variant"",  substitute(filter(Templates!E:E, Templates!A:A = F4385, Templates!B:B = G4385, Templates!C:C = H4385), ""{{}}"", E4385), B4385)"),"Louer appartement Begnins: Trouvez le bien immobilier qui correspond idéalement à vos désirs sur ImmoScout24 - La plateforme de l'immobilier en Suisse.")</f>
        <v>Louer appartement Begnins: Trouvez le bien immobilier qui correspond idéalement à vos désirs sur ImmoScout24 - La plateforme de l'immobilier en Suisse.</v>
      </c>
    </row>
    <row r="4386" hidden="1">
      <c r="A4386" s="5" t="s">
        <v>11873</v>
      </c>
      <c r="B4386" s="2" t="s">
        <v>11874</v>
      </c>
      <c r="C4386" s="2" t="s">
        <v>11874</v>
      </c>
      <c r="D4386" s="4" t="str">
        <f>vlookup(A4386, Sheet2!D:E, 2, 0)</f>
        <v>control</v>
      </c>
      <c r="E4386" s="4" t="str">
        <f>IFERROR(__xludf.DUMMYFUNCTION("if(H4386=""pays"",vlookup(REGEXEXTRACT(C4386, ""🏘️ \w+ \w+ (.*) ✅""),'Country prepositions'!A:B, 2, 0) &amp; "" "" &amp; REGEXEXTRACT(C4386, ""🏘️ \w+ \w+ (.*) ✅"") ,  if(H4386=""quartier"",vlookup(REGEXEXTRACT(C4386, ""🏘️ \w+ \w+ (.*) ✅""),'Quartier prepositio"&amp;"ns'!A:E, 5, 0) ,  if(H4386=""region"",vlookup(REGEXEXTRACT(C4386, ""🏘️ \w+ \w+ (.*) ✅""),'Region prepositions'!B:F, 5, 0),  REGEXEXTRACT(C4386, ""🏘️ \w+ \w+ (.*) ✅""))))"),"#N/A")</f>
        <v>#N/A</v>
      </c>
      <c r="I4386" s="4" t="str">
        <f>IFERROR(__xludf.DUMMYFUNCTION("if(D4386=""variant"",  substitute(filter(Templates!E:E, Templates!A:A = F4386, Templates!B:B = G4386, Templates!C:C = H4386), ""{{}}"", E4386), B4386)"),"Vendre maison Vandoeuvres: Trouvez le bien immobilier qui correspond idéalement à vos désirs sur ImmoScout24 - La plateforme de l'immobilier en Suisse.")</f>
        <v>Vendre maison Vandoeuvres: Trouvez le bien immobilier qui correspond idéalement à vos désirs sur ImmoScout24 - La plateforme de l'immobilier en Suisse.</v>
      </c>
    </row>
    <row r="4387" hidden="1">
      <c r="A4387" s="5" t="s">
        <v>11875</v>
      </c>
      <c r="B4387" s="2" t="s">
        <v>11876</v>
      </c>
      <c r="C4387" s="2" t="s">
        <v>11876</v>
      </c>
      <c r="D4387" s="4" t="str">
        <f>vlookup(A4387, Sheet2!D:E, 2, 0)</f>
        <v>control</v>
      </c>
      <c r="E4387" s="4" t="str">
        <f>IFERROR(__xludf.DUMMYFUNCTION("if(H4387=""pays"",vlookup(REGEXEXTRACT(C4387, ""🏘️ \w+ \w+ (.*) ✅""),'Country prepositions'!A:B, 2, 0) &amp; "" "" &amp; REGEXEXTRACT(C4387, ""🏘️ \w+ \w+ (.*) ✅"") ,  if(H4387=""quartier"",vlookup(REGEXEXTRACT(C4387, ""🏘️ \w+ \w+ (.*) ✅""),'Quartier prepositio"&amp;"ns'!A:E, 5, 0) ,  if(H4387=""region"",vlookup(REGEXEXTRACT(C4387, ""🏘️ \w+ \w+ (.*) ✅""),'Region prepositions'!B:F, 5, 0),  REGEXEXTRACT(C4387, ""🏘️ \w+ \w+ (.*) ✅""))))"),"#N/A")</f>
        <v>#N/A</v>
      </c>
      <c r="I4387" s="4" t="str">
        <f>IFERROR(__xludf.DUMMYFUNCTION("if(D4387=""variant"",  substitute(filter(Templates!E:E, Templates!A:A = F4387, Templates!B:B = G4387, Templates!C:C = H4387), ""{{}}"", E4387), B4387)"),"Vendre appartement La Croix-de-Rozon: Trouvez le bien immobilier qui correspond idéalement à vos désirs sur ImmoScout24 - La plateforme de l'immobilier en Suisse.")</f>
        <v>Vendre appartement La Croix-de-Rozon: Trouvez le bien immobilier qui correspond idéalement à vos désirs sur ImmoScout24 - La plateforme de l'immobilier en Suisse.</v>
      </c>
    </row>
    <row r="4388" hidden="1">
      <c r="A4388" s="5" t="s">
        <v>11877</v>
      </c>
      <c r="B4388" s="2" t="s">
        <v>11878</v>
      </c>
      <c r="C4388" s="2" t="s">
        <v>11878</v>
      </c>
      <c r="D4388" s="4" t="str">
        <f>vlookup(A4388, Sheet2!D:E, 2, 0)</f>
        <v>control</v>
      </c>
      <c r="E4388" s="4" t="str">
        <f>IFERROR(__xludf.DUMMYFUNCTION("if(H4388=""pays"",vlookup(REGEXEXTRACT(C4388, ""🏘️ \w+ \w+ (.*) ✅""),'Country prepositions'!A:B, 2, 0) &amp; "" "" &amp; REGEXEXTRACT(C4388, ""🏘️ \w+ \w+ (.*) ✅"") ,  if(H4388=""quartier"",vlookup(REGEXEXTRACT(C4388, ""🏘️ \w+ \w+ (.*) ✅""),'Quartier prepositio"&amp;"ns'!A:E, 5, 0) ,  if(H4388=""region"",vlookup(REGEXEXTRACT(C4388, ""🏘️ \w+ \w+ (.*) ✅""),'Region prepositions'!B:F, 5, 0),  REGEXEXTRACT(C4388, ""🏘️ \w+ \w+ (.*) ✅""))))"),"#N/A")</f>
        <v>#N/A</v>
      </c>
      <c r="I4388" s="4" t="str">
        <f>IFERROR(__xludf.DUMMYFUNCTION("if(D4388=""variant"",  substitute(filter(Templates!E:E, Templates!A:A = F4388, Templates!B:B = G4388, Templates!C:C = H4388), ""{{}}"", E4388), B4388)"),"Louer appartement Les Mayens-de-Sion: Trouvez le bien immobilier qui correspond idéalement à vos désirs sur ImmoScout24 - La plateforme de l'immobilier en Suisse.")</f>
        <v>Louer appartement Les Mayens-de-Sion: Trouvez le bien immobilier qui correspond idéalement à vos désirs sur ImmoScout24 - La plateforme de l'immobilier en Suisse.</v>
      </c>
    </row>
    <row r="4389" hidden="1">
      <c r="A4389" s="5" t="s">
        <v>11879</v>
      </c>
      <c r="B4389" s="2" t="s">
        <v>11880</v>
      </c>
      <c r="C4389" s="2" t="s">
        <v>11880</v>
      </c>
      <c r="D4389" s="4" t="str">
        <f>vlookup(A4389, Sheet2!D:E, 2, 0)</f>
        <v>control</v>
      </c>
      <c r="E4389" s="4" t="str">
        <f>IFERROR(__xludf.DUMMYFUNCTION("if(H4389=""pays"",vlookup(REGEXEXTRACT(C4389, ""🏘️ \w+ \w+ (.*) ✅""),'Country prepositions'!A:B, 2, 0) &amp; "" "" &amp; REGEXEXTRACT(C4389, ""🏘️ \w+ \w+ (.*) ✅"") ,  if(H4389=""quartier"",vlookup(REGEXEXTRACT(C4389, ""🏘️ \w+ \w+ (.*) ✅""),'Quartier prepositio"&amp;"ns'!A:E, 5, 0) ,  if(H4389=""region"",vlookup(REGEXEXTRACT(C4389, ""🏘️ \w+ \w+ (.*) ✅""),'Region prepositions'!B:F, 5, 0),  REGEXEXTRACT(C4389, ""🏘️ \w+ \w+ (.*) ✅""))))"),"#N/A")</f>
        <v>#N/A</v>
      </c>
      <c r="I4389" s="4" t="str">
        <f>IFERROR(__xludf.DUMMYFUNCTION("if(D4389=""variant"",  substitute(filter(Templates!E:E, Templates!A:A = F4389, Templates!B:B = G4389, Templates!C:C = H4389), ""{{}}"", E4389), B4389)"),"Vendre maison Le Château-de-Ste-Croix: Trouvez le bien immobilier qui correspond idéalement à vos désirs sur ImmoScout24 - La plateforme de l'immobilier en Suisse.")</f>
        <v>Vendre maison Le Château-de-Ste-Croix: Trouvez le bien immobilier qui correspond idéalement à vos désirs sur ImmoScout24 - La plateforme de l'immobilier en Suisse.</v>
      </c>
    </row>
    <row r="4390" hidden="1">
      <c r="A4390" s="5" t="s">
        <v>11881</v>
      </c>
      <c r="B4390" s="2" t="s">
        <v>11882</v>
      </c>
      <c r="C4390" s="2" t="s">
        <v>11882</v>
      </c>
      <c r="D4390" s="4" t="str">
        <f>vlookup(A4390, Sheet2!D:E, 2, 0)</f>
        <v>control</v>
      </c>
      <c r="E4390" s="4" t="str">
        <f>IFERROR(__xludf.DUMMYFUNCTION("if(H4390=""pays"",vlookup(REGEXEXTRACT(C4390, ""🏘️ \w+ \w+ (.*) ✅""),'Country prepositions'!A:B, 2, 0) &amp; "" "" &amp; REGEXEXTRACT(C4390, ""🏘️ \w+ \w+ (.*) ✅"") ,  if(H4390=""quartier"",vlookup(REGEXEXTRACT(C4390, ""🏘️ \w+ \w+ (.*) ✅""),'Quartier prepositio"&amp;"ns'!A:E, 5, 0) ,  if(H4390=""region"",vlookup(REGEXEXTRACT(C4390, ""🏘️ \w+ \w+ (.*) ✅""),'Region prepositions'!B:F, 5, 0),  REGEXEXTRACT(C4390, ""🏘️ \w+ \w+ (.*) ✅""))))"),"#N/A")</f>
        <v>#N/A</v>
      </c>
      <c r="I4390" s="4" t="str">
        <f>IFERROR(__xludf.DUMMYFUNCTION("if(D4390=""variant"",  substitute(filter(Templates!E:E, Templates!A:A = F4390, Templates!B:B = G4390, Templates!C:C = H4390), ""{{}}"", E4390), B4390)"),"Vendre maison Wettswil: Trouvez le bien immobilier qui correspond idéalement à vos désirs sur ImmoScout24 - La plateforme de l'immobilier en Suisse.")</f>
        <v>Vendre maison Wettswil: Trouvez le bien immobilier qui correspond idéalement à vos désirs sur ImmoScout24 - La plateforme de l'immobilier en Suisse.</v>
      </c>
    </row>
    <row r="4391" hidden="1">
      <c r="A4391" s="5" t="s">
        <v>11883</v>
      </c>
      <c r="B4391" s="2" t="s">
        <v>11884</v>
      </c>
      <c r="C4391" s="2" t="s">
        <v>11884</v>
      </c>
      <c r="D4391" s="4" t="str">
        <f>vlookup(A4391, Sheet2!D:E, 2, 0)</f>
        <v>control</v>
      </c>
      <c r="E4391" s="4" t="str">
        <f>IFERROR(__xludf.DUMMYFUNCTION("if(H4391=""pays"",vlookup(REGEXEXTRACT(C4391, ""🏘️ \w+ \w+ (.*) ✅""),'Country prepositions'!A:B, 2, 0) &amp; "" "" &amp; REGEXEXTRACT(C4391, ""🏘️ \w+ \w+ (.*) ✅"") ,  if(H4391=""quartier"",vlookup(REGEXEXTRACT(C4391, ""🏘️ \w+ \w+ (.*) ✅""),'Quartier prepositio"&amp;"ns'!A:E, 5, 0) ,  if(H4391=""region"",vlookup(REGEXEXTRACT(C4391, ""🏘️ \w+ \w+ (.*) ✅""),'Region prepositions'!B:F, 5, 0),  REGEXEXTRACT(C4391, ""🏘️ \w+ \w+ (.*) ✅""))))"),"#N/A")</f>
        <v>#N/A</v>
      </c>
      <c r="I4391" s="4" t="str">
        <f>IFERROR(__xludf.DUMMYFUNCTION("if(D4391=""variant"",  substitute(filter(Templates!E:E, Templates!A:A = F4391, Templates!B:B = G4391, Templates!C:C = H4391), ""{{}}"", E4391), B4391)"),"Vendre appartement Windisch: Trouvez le bien immobilier qui correspond idéalement à vos désirs sur ImmoScout24 - La plateforme de l'immobilier en Suisse.")</f>
        <v>Vendre appartement Windisch: Trouvez le bien immobilier qui correspond idéalement à vos désirs sur ImmoScout24 - La plateforme de l'immobilier en Suisse.</v>
      </c>
    </row>
    <row r="4392" hidden="1">
      <c r="A4392" s="5" t="s">
        <v>11885</v>
      </c>
      <c r="B4392" s="2" t="s">
        <v>11886</v>
      </c>
      <c r="C4392" s="2" t="s">
        <v>11886</v>
      </c>
      <c r="D4392" s="4" t="str">
        <f>vlookup(A4392, Sheet2!D:E, 2, 0)</f>
        <v>control</v>
      </c>
      <c r="E4392" s="4" t="str">
        <f>IFERROR(__xludf.DUMMYFUNCTION("if(H4392=""pays"",vlookup(REGEXEXTRACT(C4392, ""🏘️ \w+ \w+ (.*) ✅""),'Country prepositions'!A:B, 2, 0) &amp; "" "" &amp; REGEXEXTRACT(C4392, ""🏘️ \w+ \w+ (.*) ✅"") ,  if(H4392=""quartier"",vlookup(REGEXEXTRACT(C4392, ""🏘️ \w+ \w+ (.*) ✅""),'Quartier prepositio"&amp;"ns'!A:E, 5, 0) ,  if(H4392=""region"",vlookup(REGEXEXTRACT(C4392, ""🏘️ \w+ \w+ (.*) ✅""),'Region prepositions'!B:F, 5, 0),  REGEXEXTRACT(C4392, ""🏘️ \w+ \w+ (.*) ✅""))))"),"#N/A")</f>
        <v>#N/A</v>
      </c>
      <c r="I4392" s="4" t="str">
        <f>IFERROR(__xludf.DUMMYFUNCTION("if(D4392=""variant"",  substitute(filter(Templates!E:E, Templates!A:A = F4392, Templates!B:B = G4392, Templates!C:C = H4392), ""{{}}"", E4392), B4392)"),"Vendre maison Missy: Trouvez le bien immobilier qui correspond idéalement à vos désirs sur ImmoScout24 - La plateforme de l'immobilier en Suisse.")</f>
        <v>Vendre maison Missy: Trouvez le bien immobilier qui correspond idéalement à vos désirs sur ImmoScout24 - La plateforme de l'immobilier en Suisse.</v>
      </c>
    </row>
    <row r="4393" hidden="1">
      <c r="A4393" s="5" t="s">
        <v>11887</v>
      </c>
      <c r="B4393" s="2" t="s">
        <v>11888</v>
      </c>
      <c r="C4393" s="2" t="s">
        <v>11888</v>
      </c>
      <c r="D4393" s="4" t="str">
        <f>vlookup(A4393, Sheet2!D:E, 2, 0)</f>
        <v>control</v>
      </c>
      <c r="E4393" s="4" t="str">
        <f>IFERROR(__xludf.DUMMYFUNCTION("if(H4393=""pays"",vlookup(REGEXEXTRACT(C4393, ""🏘️ \w+ \w+ (.*) ✅""),'Country prepositions'!A:B, 2, 0) &amp; "" "" &amp; REGEXEXTRACT(C4393, ""🏘️ \w+ \w+ (.*) ✅"") ,  if(H4393=""quartier"",vlookup(REGEXEXTRACT(C4393, ""🏘️ \w+ \w+ (.*) ✅""),'Quartier prepositio"&amp;"ns'!A:E, 5, 0) ,  if(H4393=""region"",vlookup(REGEXEXTRACT(C4393, ""🏘️ \w+ \w+ (.*) ✅""),'Region prepositions'!B:F, 5, 0),  REGEXEXTRACT(C4393, ""🏘️ \w+ \w+ (.*) ✅""))))"),"#N/A")</f>
        <v>#N/A</v>
      </c>
      <c r="I4393" s="4" t="str">
        <f>IFERROR(__xludf.DUMMYFUNCTION("if(D4393=""variant"",  substitute(filter(Templates!E:E, Templates!A:A = F4393, Templates!B:B = G4393, Templates!C:C = H4393), ""{{}}"", E4393), B4393)"),"Vendre maison Le Locle: Trouvez le bien immobilier qui correspond idéalement à vos désirs sur ImmoScout24 - La plateforme de l'immobilier en Suisse.")</f>
        <v>Vendre maison Le Locle: Trouvez le bien immobilier qui correspond idéalement à vos désirs sur ImmoScout24 - La plateforme de l'immobilier en Suisse.</v>
      </c>
    </row>
    <row r="4394" hidden="1">
      <c r="A4394" s="5" t="s">
        <v>11889</v>
      </c>
      <c r="B4394" s="2" t="s">
        <v>11890</v>
      </c>
      <c r="C4394" s="2" t="s">
        <v>11890</v>
      </c>
      <c r="D4394" s="4" t="str">
        <f>vlookup(A4394, Sheet2!D:E, 2, 0)</f>
        <v>control</v>
      </c>
      <c r="E4394" s="4" t="str">
        <f>IFERROR(__xludf.DUMMYFUNCTION("if(H4394=""pays"",vlookup(REGEXEXTRACT(C4394, ""🏘️ \w+ \w+ (.*) ✅""),'Country prepositions'!A:B, 2, 0) &amp; "" "" &amp; REGEXEXTRACT(C4394, ""🏘️ \w+ \w+ (.*) ✅"") ,  if(H4394=""quartier"",vlookup(REGEXEXTRACT(C4394, ""🏘️ \w+ \w+ (.*) ✅""),'Quartier prepositio"&amp;"ns'!A:E, 5, 0) ,  if(H4394=""region"",vlookup(REGEXEXTRACT(C4394, ""🏘️ \w+ \w+ (.*) ✅""),'Region prepositions'!B:F, 5, 0),  REGEXEXTRACT(C4394, ""🏘️ \w+ \w+ (.*) ✅""))))"),"#N/A")</f>
        <v>#N/A</v>
      </c>
      <c r="I4394" s="4" t="str">
        <f>IFERROR(__xludf.DUMMYFUNCTION("if(D4394=""variant"",  substitute(filter(Templates!E:E, Templates!A:A = F4394, Templates!B:B = G4394, Templates!C:C = H4394), ""{{}}"", E4394), B4394)"),"Louer maison Nussbaumen AG: Trouvez le bien immobilier qui correspond idéalement à vos désirs sur ImmoScout24 - La plateforme de l'immobilier en Suisse.")</f>
        <v>Louer maison Nussbaumen AG: Trouvez le bien immobilier qui correspond idéalement à vos désirs sur ImmoScout24 - La plateforme de l'immobilier en Suisse.</v>
      </c>
    </row>
    <row r="4395" hidden="1">
      <c r="A4395" s="5" t="s">
        <v>11891</v>
      </c>
      <c r="B4395" s="2" t="s">
        <v>11892</v>
      </c>
      <c r="C4395" s="2" t="s">
        <v>11892</v>
      </c>
      <c r="D4395" s="4" t="str">
        <f>vlookup(A4395, Sheet2!D:E, 2, 0)</f>
        <v>control</v>
      </c>
      <c r="E4395" s="4" t="str">
        <f>IFERROR(__xludf.DUMMYFUNCTION("if(H4395=""pays"",vlookup(REGEXEXTRACT(C4395, ""🏘️ \w+ \w+ (.*) ✅""),'Country prepositions'!A:B, 2, 0) &amp; "" "" &amp; REGEXEXTRACT(C4395, ""🏘️ \w+ \w+ (.*) ✅"") ,  if(H4395=""quartier"",vlookup(REGEXEXTRACT(C4395, ""🏘️ \w+ \w+ (.*) ✅""),'Quartier prepositio"&amp;"ns'!A:E, 5, 0) ,  if(H4395=""region"",vlookup(REGEXEXTRACT(C4395, ""🏘️ \w+ \w+ (.*) ✅""),'Region prepositions'!B:F, 5, 0),  REGEXEXTRACT(C4395, ""🏘️ \w+ \w+ (.*) ✅""))))"),"#N/A")</f>
        <v>#N/A</v>
      </c>
      <c r="I4395" s="4" t="str">
        <f>IFERROR(__xludf.DUMMYFUNCTION("if(D4395=""variant"",  substitute(filter(Templates!E:E, Templates!A:A = F4395, Templates!B:B = G4395, Templates!C:C = H4395), ""{{}}"", E4395), B4395)"),"Vendre appartement Saillon: Trouvez le bien immobilier qui correspond idéalement à vos désirs sur ImmoScout24 - La plateforme de l'immobilier en Suisse.")</f>
        <v>Vendre appartement Saillon: Trouvez le bien immobilier qui correspond idéalement à vos désirs sur ImmoScout24 - La plateforme de l'immobilier en Suisse.</v>
      </c>
    </row>
    <row r="4396" hidden="1">
      <c r="A4396" s="5" t="s">
        <v>11893</v>
      </c>
      <c r="B4396" s="2" t="s">
        <v>11894</v>
      </c>
      <c r="C4396" s="2" t="s">
        <v>11894</v>
      </c>
      <c r="D4396" s="4" t="str">
        <f>vlookup(A4396, Sheet2!D:E, 2, 0)</f>
        <v>control</v>
      </c>
      <c r="E4396" s="4" t="str">
        <f>IFERROR(__xludf.DUMMYFUNCTION("if(H4396=""pays"",vlookup(REGEXEXTRACT(C4396, ""🏘️ \w+ \w+ (.*) ✅""),'Country prepositions'!A:B, 2, 0) &amp; "" "" &amp; REGEXEXTRACT(C4396, ""🏘️ \w+ \w+ (.*) ✅"") ,  if(H4396=""quartier"",vlookup(REGEXEXTRACT(C4396, ""🏘️ \w+ \w+ (.*) ✅""),'Quartier prepositio"&amp;"ns'!A:E, 5, 0) ,  if(H4396=""region"",vlookup(REGEXEXTRACT(C4396, ""🏘️ \w+ \w+ (.*) ✅""),'Region prepositions'!B:F, 5, 0),  REGEXEXTRACT(C4396, ""🏘️ \w+ \w+ (.*) ✅""))))"),"#N/A")</f>
        <v>#N/A</v>
      </c>
      <c r="I4396" s="4" t="str">
        <f>IFERROR(__xludf.DUMMYFUNCTION("if(D4396=""variant"",  substitute(filter(Templates!E:E, Templates!A:A = F4396, Templates!B:B = G4396, Templates!C:C = H4396), ""{{}}"", E4396), B4396)"),"Vendre maison Triengen: Trouvez le bien immobilier qui correspond idéalement à vos désirs sur ImmoScout24 - La plateforme de l'immobilier en Suisse.")</f>
        <v>Vendre maison Triengen: Trouvez le bien immobilier qui correspond idéalement à vos désirs sur ImmoScout24 - La plateforme de l'immobilier en Suisse.</v>
      </c>
    </row>
    <row r="4397" hidden="1">
      <c r="A4397" s="5" t="s">
        <v>11895</v>
      </c>
      <c r="B4397" s="2" t="s">
        <v>11896</v>
      </c>
      <c r="C4397" s="2" t="s">
        <v>11896</v>
      </c>
      <c r="D4397" s="4" t="str">
        <f>vlookup(A4397, Sheet2!D:E, 2, 0)</f>
        <v>control</v>
      </c>
      <c r="E4397" s="4" t="str">
        <f>IFERROR(__xludf.DUMMYFUNCTION("if(H4397=""pays"",vlookup(REGEXEXTRACT(C4397, ""🏘️ \w+ \w+ (.*) ✅""),'Country prepositions'!A:B, 2, 0) &amp; "" "" &amp; REGEXEXTRACT(C4397, ""🏘️ \w+ \w+ (.*) ✅"") ,  if(H4397=""quartier"",vlookup(REGEXEXTRACT(C4397, ""🏘️ \w+ \w+ (.*) ✅""),'Quartier prepositio"&amp;"ns'!A:E, 5, 0) ,  if(H4397=""region"",vlookup(REGEXEXTRACT(C4397, ""🏘️ \w+ \w+ (.*) ✅""),'Region prepositions'!B:F, 5, 0),  REGEXEXTRACT(C4397, ""🏘️ \w+ \w+ (.*) ✅""))))"),"#N/A")</f>
        <v>#N/A</v>
      </c>
      <c r="I4397" s="4" t="str">
        <f>IFERROR(__xludf.DUMMYFUNCTION("if(D4397=""variant"",  substitute(filter(Templates!E:E, Templates!A:A = F4397, Templates!B:B = G4397, Templates!C:C = H4397), ""{{}}"", E4397), B4397)"),"Vendre maison Hittnau: Trouvez le bien immobilier qui correspond idéalement à vos désirs sur ImmoScout24 - La plateforme de l'immobilier en Suisse.")</f>
        <v>Vendre maison Hittnau: Trouvez le bien immobilier qui correspond idéalement à vos désirs sur ImmoScout24 - La plateforme de l'immobilier en Suisse.</v>
      </c>
    </row>
    <row r="4398" hidden="1">
      <c r="A4398" s="5" t="s">
        <v>11897</v>
      </c>
      <c r="B4398" s="2" t="s">
        <v>11898</v>
      </c>
      <c r="C4398" s="2" t="s">
        <v>11898</v>
      </c>
      <c r="D4398" s="4" t="str">
        <f>vlookup(A4398, Sheet2!D:E, 2, 0)</f>
        <v>control</v>
      </c>
      <c r="E4398" s="4" t="str">
        <f>IFERROR(__xludf.DUMMYFUNCTION("if(H4398=""pays"",vlookup(REGEXEXTRACT(C4398, ""🏘️ \w+ \w+ (.*) ✅""),'Country prepositions'!A:B, 2, 0) &amp; "" "" &amp; REGEXEXTRACT(C4398, ""🏘️ \w+ \w+ (.*) ✅"") ,  if(H4398=""quartier"",vlookup(REGEXEXTRACT(C4398, ""🏘️ \w+ \w+ (.*) ✅""),'Quartier prepositio"&amp;"ns'!A:E, 5, 0) ,  if(H4398=""region"",vlookup(REGEXEXTRACT(C4398, ""🏘️ \w+ \w+ (.*) ✅""),'Region prepositions'!B:F, 5, 0),  REGEXEXTRACT(C4398, ""🏘️ \w+ \w+ (.*) ✅""))))"),"#N/A")</f>
        <v>#N/A</v>
      </c>
      <c r="I4398" s="4" t="str">
        <f>IFERROR(__xludf.DUMMYFUNCTION("if(D4398=""variant"",  substitute(filter(Templates!E:E, Templates!A:A = F4398, Templates!B:B = G4398, Templates!C:C = H4398), ""{{}}"", E4398), B4398)"),"Vendre maison Condémines (Nendaz): Trouvez le bien immobilier qui correspond idéalement à vos désirs sur ImmoScout24 - La plateforme de l'immobilier en Suisse.")</f>
        <v>Vendre maison Condémines (Nendaz): Trouvez le bien immobilier qui correspond idéalement à vos désirs sur ImmoScout24 - La plateforme de l'immobilier en Suisse.</v>
      </c>
    </row>
    <row r="4399" hidden="1">
      <c r="A4399" s="5" t="s">
        <v>11899</v>
      </c>
      <c r="B4399" s="2" t="s">
        <v>11900</v>
      </c>
      <c r="C4399" s="2" t="s">
        <v>11900</v>
      </c>
      <c r="D4399" s="4" t="str">
        <f>vlookup(A4399, Sheet2!D:E, 2, 0)</f>
        <v>control</v>
      </c>
      <c r="E4399" s="4" t="str">
        <f>IFERROR(__xludf.DUMMYFUNCTION("if(H4399=""pays"",vlookup(REGEXEXTRACT(C4399, ""🏘️ \w+ \w+ (.*) ✅""),'Country prepositions'!A:B, 2, 0) &amp; "" "" &amp; REGEXEXTRACT(C4399, ""🏘️ \w+ \w+ (.*) ✅"") ,  if(H4399=""quartier"",vlookup(REGEXEXTRACT(C4399, ""🏘️ \w+ \w+ (.*) ✅""),'Quartier prepositio"&amp;"ns'!A:E, 5, 0) ,  if(H4399=""region"",vlookup(REGEXEXTRACT(C4399, ""🏘️ \w+ \w+ (.*) ✅""),'Region prepositions'!B:F, 5, 0),  REGEXEXTRACT(C4399, ""🏘️ \w+ \w+ (.*) ✅""))))"),"#N/A")</f>
        <v>#N/A</v>
      </c>
      <c r="I4399" s="4" t="str">
        <f>IFERROR(__xludf.DUMMYFUNCTION("if(D4399=""variant"",  substitute(filter(Templates!E:E, Templates!A:A = F4399, Templates!B:B = G4399, Templates!C:C = H4399), ""{{}}"", E4399), B4399)"),"Louer appartement Savièse: Trouvez le bien immobilier qui correspond idéalement à vos désirs sur ImmoScout24 - La plateforme de l'immobilier en Suisse.")</f>
        <v>Louer appartement Savièse: Trouvez le bien immobilier qui correspond idéalement à vos désirs sur ImmoScout24 - La plateforme de l'immobilier en Suisse.</v>
      </c>
    </row>
    <row r="4400" hidden="1">
      <c r="A4400" s="5" t="s">
        <v>11901</v>
      </c>
      <c r="B4400" s="2" t="s">
        <v>11902</v>
      </c>
      <c r="C4400" s="2" t="s">
        <v>11902</v>
      </c>
      <c r="D4400" s="4" t="str">
        <f>vlookup(A4400, Sheet2!D:E, 2, 0)</f>
        <v>control</v>
      </c>
      <c r="E4400" s="4" t="str">
        <f>IFERROR(__xludf.DUMMYFUNCTION("if(H4400=""pays"",vlookup(REGEXEXTRACT(C4400, ""🏘️ \w+ \w+ (.*) ✅""),'Country prepositions'!A:B, 2, 0) &amp; "" "" &amp; REGEXEXTRACT(C4400, ""🏘️ \w+ \w+ (.*) ✅"") ,  if(H4400=""quartier"",vlookup(REGEXEXTRACT(C4400, ""🏘️ \w+ \w+ (.*) ✅""),'Quartier prepositio"&amp;"ns'!A:E, 5, 0) ,  if(H4400=""region"",vlookup(REGEXEXTRACT(C4400, ""🏘️ \w+ \w+ (.*) ✅""),'Region prepositions'!B:F, 5, 0),  REGEXEXTRACT(C4400, ""🏘️ \w+ \w+ (.*) ✅""))))"),"#N/A")</f>
        <v>#N/A</v>
      </c>
      <c r="I4400" s="4" t="str">
        <f>IFERROR(__xludf.DUMMYFUNCTION("if(D4400=""variant"",  substitute(filter(Templates!E:E, Templates!A:A = F4400, Templates!B:B = G4400, Templates!C:C = H4400), ""{{}}"", E4400), B4400)"),"Vendre appartement Mürren: Trouvez le bien immobilier qui correspond idéalement à vos désirs sur ImmoScout24 - La plateforme de l'immobilier en Suisse.")</f>
        <v>Vendre appartement Mürren: Trouvez le bien immobilier qui correspond idéalement à vos désirs sur ImmoScout24 - La plateforme de l'immobilier en Suisse.</v>
      </c>
    </row>
    <row r="4401" hidden="1">
      <c r="A4401" s="5" t="s">
        <v>11903</v>
      </c>
      <c r="B4401" s="2" t="s">
        <v>11904</v>
      </c>
      <c r="C4401" s="2" t="s">
        <v>11904</v>
      </c>
      <c r="D4401" s="4" t="str">
        <f>vlookup(A4401, Sheet2!D:E, 2, 0)</f>
        <v>control</v>
      </c>
      <c r="E4401" s="4" t="str">
        <f>IFERROR(__xludf.DUMMYFUNCTION("if(H4401=""pays"",vlookup(REGEXEXTRACT(C4401, ""🏘️ \w+ \w+ (.*) ✅""),'Country prepositions'!A:B, 2, 0) &amp; "" "" &amp; REGEXEXTRACT(C4401, ""🏘️ \w+ \w+ (.*) ✅"") ,  if(H4401=""quartier"",vlookup(REGEXEXTRACT(C4401, ""🏘️ \w+ \w+ (.*) ✅""),'Quartier prepositio"&amp;"ns'!A:E, 5, 0) ,  if(H4401=""region"",vlookup(REGEXEXTRACT(C4401, ""🏘️ \w+ \w+ (.*) ✅""),'Region prepositions'!B:F, 5, 0),  REGEXEXTRACT(C4401, ""🏘️ \w+ \w+ (.*) ✅""))))"),"#N/A")</f>
        <v>#N/A</v>
      </c>
      <c r="I4401" s="4" t="str">
        <f>IFERROR(__xludf.DUMMYFUNCTION("if(D4401=""variant"",  substitute(filter(Templates!E:E, Templates!A:A = F4401, Templates!B:B = G4401, Templates!C:C = H4401), ""{{}}"", E4401), B4401)"),"Vendre appartement Choulex: Trouvez le bien immobilier qui correspond idéalement à vos désirs sur ImmoScout24 - La plateforme de l'immobilier en Suisse.")</f>
        <v>Vendre appartement Choulex: Trouvez le bien immobilier qui correspond idéalement à vos désirs sur ImmoScout24 - La plateforme de l'immobilier en Suisse.</v>
      </c>
    </row>
    <row r="4402" hidden="1">
      <c r="A4402" s="5" t="s">
        <v>11905</v>
      </c>
      <c r="B4402" s="2" t="s">
        <v>11906</v>
      </c>
      <c r="C4402" s="2" t="s">
        <v>11906</v>
      </c>
      <c r="D4402" s="4" t="str">
        <f>vlookup(A4402, Sheet2!D:E, 2, 0)</f>
        <v>control</v>
      </c>
      <c r="E4402" s="4" t="str">
        <f>IFERROR(__xludf.DUMMYFUNCTION("if(H4402=""pays"",vlookup(REGEXEXTRACT(C4402, ""🏘️ \w+ \w+ (.*) ✅""),'Country prepositions'!A:B, 2, 0) &amp; "" "" &amp; REGEXEXTRACT(C4402, ""🏘️ \w+ \w+ (.*) ✅"") ,  if(H4402=""quartier"",vlookup(REGEXEXTRACT(C4402, ""🏘️ \w+ \w+ (.*) ✅""),'Quartier prepositio"&amp;"ns'!A:E, 5, 0) ,  if(H4402=""region"",vlookup(REGEXEXTRACT(C4402, ""🏘️ \w+ \w+ (.*) ✅""),'Region prepositions'!B:F, 5, 0),  REGEXEXTRACT(C4402, ""🏘️ \w+ \w+ (.*) ✅""))))"),"#N/A")</f>
        <v>#N/A</v>
      </c>
      <c r="I4402" s="4" t="str">
        <f>IFERROR(__xludf.DUMMYFUNCTION("if(D4402=""variant"",  substitute(filter(Templates!E:E, Templates!A:A = F4402, Templates!B:B = G4402, Templates!C:C = H4402), ""{{}}"", E4402), B4402)"),"Louer maison Collonge-Bellerive: Trouvez le bien immobilier qui correspond idéalement à vos désirs sur ImmoScout24 - La plateforme de l'immobilier en Suisse.")</f>
        <v>Louer maison Collonge-Bellerive: Trouvez le bien immobilier qui correspond idéalement à vos désirs sur ImmoScout24 - La plateforme de l'immobilier en Suisse.</v>
      </c>
    </row>
    <row r="4403" hidden="1">
      <c r="A4403" s="5" t="s">
        <v>11907</v>
      </c>
      <c r="B4403" s="2" t="s">
        <v>11908</v>
      </c>
      <c r="C4403" s="2" t="s">
        <v>11908</v>
      </c>
      <c r="D4403" s="4" t="str">
        <f>vlookup(A4403, Sheet2!D:E, 2, 0)</f>
        <v>control</v>
      </c>
      <c r="E4403" s="4" t="str">
        <f>IFERROR(__xludf.DUMMYFUNCTION("if(H4403=""pays"",vlookup(REGEXEXTRACT(C4403, ""🏘️ \w+ \w+ (.*) ✅""),'Country prepositions'!A:B, 2, 0) &amp; "" "" &amp; REGEXEXTRACT(C4403, ""🏘️ \w+ \w+ (.*) ✅"") ,  if(H4403=""quartier"",vlookup(REGEXEXTRACT(C4403, ""🏘️ \w+ \w+ (.*) ✅""),'Quartier prepositio"&amp;"ns'!A:E, 5, 0) ,  if(H4403=""region"",vlookup(REGEXEXTRACT(C4403, ""🏘️ \w+ \w+ (.*) ✅""),'Region prepositions'!B:F, 5, 0),  REGEXEXTRACT(C4403, ""🏘️ \w+ \w+ (.*) ✅""))))"),"#N/A")</f>
        <v>#N/A</v>
      </c>
      <c r="I4403" s="4" t="str">
        <f>IFERROR(__xludf.DUMMYFUNCTION("if(D4403=""variant"",  substitute(filter(Templates!E:E, Templates!A:A = F4403, Templates!B:B = G4403, Templates!C:C = H4403), ""{{}}"", E4403), B4403)"),"Louer appartement Niederscherli (Köniz): Trouvez le bien immobilier qui correspond idéalement à vos désirs sur ImmoScout24 - La plateforme de l'immobilier en Suisse.")</f>
        <v>Louer appartement Niederscherli (Köniz): Trouvez le bien immobilier qui correspond idéalement à vos désirs sur ImmoScout24 - La plateforme de l'immobilier en Suisse.</v>
      </c>
    </row>
    <row r="4404" hidden="1">
      <c r="A4404" s="5" t="s">
        <v>11909</v>
      </c>
      <c r="B4404" s="2" t="s">
        <v>11910</v>
      </c>
      <c r="C4404" s="2" t="s">
        <v>11910</v>
      </c>
      <c r="D4404" s="4" t="str">
        <f>vlookup(A4404, Sheet2!D:E, 2, 0)</f>
        <v>control</v>
      </c>
      <c r="E4404" s="4" t="str">
        <f>IFERROR(__xludf.DUMMYFUNCTION("if(H4404=""pays"",vlookup(REGEXEXTRACT(C4404, ""🏘️ \w+ \w+ (.*) ✅""),'Country prepositions'!A:B, 2, 0) &amp; "" "" &amp; REGEXEXTRACT(C4404, ""🏘️ \w+ \w+ (.*) ✅"") ,  if(H4404=""quartier"",vlookup(REGEXEXTRACT(C4404, ""🏘️ \w+ \w+ (.*) ✅""),'Quartier prepositio"&amp;"ns'!A:E, 5, 0) ,  if(H4404=""region"",vlookup(REGEXEXTRACT(C4404, ""🏘️ \w+ \w+ (.*) ✅""),'Region prepositions'!B:F, 5, 0),  REGEXEXTRACT(C4404, ""🏘️ \w+ \w+ (.*) ✅""))))"),"#N/A")</f>
        <v>#N/A</v>
      </c>
      <c r="I4404" s="4" t="str">
        <f>IFERROR(__xludf.DUMMYFUNCTION("if(D4404=""variant"",  substitute(filter(Templates!E:E, Templates!A:A = F4404, Templates!B:B = G4404, Templates!C:C = H4404), ""{{}}"", E4404), B4404)"),"Louer appartement Weisslingen: Trouvez le bien immobilier qui correspond idéalement à vos désirs sur ImmoScout24 - La plateforme de l'immobilier en Suisse.")</f>
        <v>Louer appartement Weisslingen: Trouvez le bien immobilier qui correspond idéalement à vos désirs sur ImmoScout24 - La plateforme de l'immobilier en Suisse.</v>
      </c>
    </row>
    <row r="4405" hidden="1">
      <c r="A4405" s="5" t="s">
        <v>11911</v>
      </c>
      <c r="B4405" s="2" t="s">
        <v>11912</v>
      </c>
      <c r="C4405" s="2" t="s">
        <v>11912</v>
      </c>
      <c r="D4405" s="4" t="str">
        <f>vlookup(A4405, Sheet2!D:E, 2, 0)</f>
        <v>control</v>
      </c>
      <c r="E4405" s="4" t="str">
        <f>IFERROR(__xludf.DUMMYFUNCTION("if(H4405=""pays"",vlookup(REGEXEXTRACT(C4405, ""🏘️ \w+ \w+ (.*) ✅""),'Country prepositions'!A:B, 2, 0) &amp; "" "" &amp; REGEXEXTRACT(C4405, ""🏘️ \w+ \w+ (.*) ✅"") ,  if(H4405=""quartier"",vlookup(REGEXEXTRACT(C4405, ""🏘️ \w+ \w+ (.*) ✅""),'Quartier prepositio"&amp;"ns'!A:E, 5, 0) ,  if(H4405=""region"",vlookup(REGEXEXTRACT(C4405, ""🏘️ \w+ \w+ (.*) ✅""),'Region prepositions'!B:F, 5, 0),  REGEXEXTRACT(C4405, ""🏘️ \w+ \w+ (.*) ✅""))))"),"#N/A")</f>
        <v>#N/A</v>
      </c>
      <c r="I4405" s="4" t="str">
        <f>IFERROR(__xludf.DUMMYFUNCTION("if(D4405=""variant"",  substitute(filter(Templates!E:E, Templates!A:A = F4405, Templates!B:B = G4405, Templates!C:C = H4405), ""{{}}"", E4405), B4405)"),"Vendre maison Tatroz: Trouvez le bien immobilier qui correspond idéalement à vos désirs sur ImmoScout24 - La plateforme de l'immobilier en Suisse.")</f>
        <v>Vendre maison Tatroz: Trouvez le bien immobilier qui correspond idéalement à vos désirs sur ImmoScout24 - La plateforme de l'immobilier en Suisse.</v>
      </c>
    </row>
    <row r="4406" hidden="1">
      <c r="A4406" s="5" t="s">
        <v>11913</v>
      </c>
      <c r="B4406" s="2" t="s">
        <v>11914</v>
      </c>
      <c r="C4406" s="2" t="s">
        <v>11914</v>
      </c>
      <c r="D4406" s="4" t="str">
        <f>vlookup(A4406, Sheet2!D:E, 2, 0)</f>
        <v>control</v>
      </c>
      <c r="E4406" s="4" t="str">
        <f>IFERROR(__xludf.DUMMYFUNCTION("if(H4406=""pays"",vlookup(REGEXEXTRACT(C4406, ""🏘️ \w+ \w+ (.*) ✅""),'Country prepositions'!A:B, 2, 0) &amp; "" "" &amp; REGEXEXTRACT(C4406, ""🏘️ \w+ \w+ (.*) ✅"") ,  if(H4406=""quartier"",vlookup(REGEXEXTRACT(C4406, ""🏘️ \w+ \w+ (.*) ✅""),'Quartier prepositio"&amp;"ns'!A:E, 5, 0) ,  if(H4406=""region"",vlookup(REGEXEXTRACT(C4406, ""🏘️ \w+ \w+ (.*) ✅""),'Region prepositions'!B:F, 5, 0),  REGEXEXTRACT(C4406, ""🏘️ \w+ \w+ (.*) ✅""))))"),"#N/A")</f>
        <v>#N/A</v>
      </c>
      <c r="I4406" s="4" t="str">
        <f>IFERROR(__xludf.DUMMYFUNCTION("if(D4406=""variant"",  substitute(filter(Templates!E:E, Templates!A:A = F4406, Templates!B:B = G4406, Templates!C:C = H4406), ""{{}}"", E4406), B4406)"),"Vendre appartement Aire-la-Ville: Trouvez le bien immobilier qui correspond idéalement à vos désirs sur ImmoScout24 - La plateforme de l'immobilier en Suisse.")</f>
        <v>Vendre appartement Aire-la-Ville: Trouvez le bien immobilier qui correspond idéalement à vos désirs sur ImmoScout24 - La plateforme de l'immobilier en Suisse.</v>
      </c>
    </row>
    <row r="4407" hidden="1">
      <c r="A4407" s="5" t="s">
        <v>11915</v>
      </c>
      <c r="B4407" s="2" t="s">
        <v>11916</v>
      </c>
      <c r="C4407" s="2" t="s">
        <v>11916</v>
      </c>
      <c r="D4407" s="4" t="str">
        <f>vlookup(A4407, Sheet2!D:E, 2, 0)</f>
        <v>control</v>
      </c>
      <c r="E4407" s="4" t="str">
        <f>IFERROR(__xludf.DUMMYFUNCTION("if(H4407=""pays"",vlookup(REGEXEXTRACT(C4407, ""🏘️ \w+ \w+ (.*) ✅""),'Country prepositions'!A:B, 2, 0) &amp; "" "" &amp; REGEXEXTRACT(C4407, ""🏘️ \w+ \w+ (.*) ✅"") ,  if(H4407=""quartier"",vlookup(REGEXEXTRACT(C4407, ""🏘️ \w+ \w+ (.*) ✅""),'Quartier prepositio"&amp;"ns'!A:E, 5, 0) ,  if(H4407=""region"",vlookup(REGEXEXTRACT(C4407, ""🏘️ \w+ \w+ (.*) ✅""),'Region prepositions'!B:F, 5, 0),  REGEXEXTRACT(C4407, ""🏘️ \w+ \w+ (.*) ✅""))))"),"#N/A")</f>
        <v>#N/A</v>
      </c>
      <c r="I4407" s="4" t="str">
        <f>IFERROR(__xludf.DUMMYFUNCTION("if(D4407=""variant"",  substitute(filter(Templates!E:E, Templates!A:A = F4407, Templates!B:B = G4407, Templates!C:C = H4407), ""{{}}"", E4407), B4407)"),"Louer appartement Salmsach: Trouvez le bien immobilier qui correspond idéalement à vos désirs sur ImmoScout24 - La plateforme de l'immobilier en Suisse.")</f>
        <v>Louer appartement Salmsach: Trouvez le bien immobilier qui correspond idéalement à vos désirs sur ImmoScout24 - La plateforme de l'immobilier en Suisse.</v>
      </c>
    </row>
    <row r="4408" hidden="1">
      <c r="A4408" s="5" t="s">
        <v>11917</v>
      </c>
      <c r="B4408" s="2" t="s">
        <v>11918</v>
      </c>
      <c r="C4408" s="2" t="s">
        <v>11918</v>
      </c>
      <c r="D4408" s="4" t="str">
        <f>vlookup(A4408, Sheet2!D:E, 2, 0)</f>
        <v>control</v>
      </c>
      <c r="E4408" s="4" t="str">
        <f>IFERROR(__xludf.DUMMYFUNCTION("if(H4408=""pays"",vlookup(REGEXEXTRACT(C4408, ""🏘️ \w+ \w+ (.*) ✅""),'Country prepositions'!A:B, 2, 0) &amp; "" "" &amp; REGEXEXTRACT(C4408, ""🏘️ \w+ \w+ (.*) ✅"") ,  if(H4408=""quartier"",vlookup(REGEXEXTRACT(C4408, ""🏘️ \w+ \w+ (.*) ✅""),'Quartier prepositio"&amp;"ns'!A:E, 5, 0) ,  if(H4408=""region"",vlookup(REGEXEXTRACT(C4408, ""🏘️ \w+ \w+ (.*) ✅""),'Region prepositions'!B:F, 5, 0),  REGEXEXTRACT(C4408, ""🏘️ \w+ \w+ (.*) ✅""))))"),"#N/A")</f>
        <v>#N/A</v>
      </c>
      <c r="I4408" s="4" t="str">
        <f>IFERROR(__xludf.DUMMYFUNCTION("if(D4408=""variant"",  substitute(filter(Templates!E:E, Templates!A:A = F4408, Templates!B:B = G4408, Templates!C:C = H4408), ""{{}}"", E4408), B4408)"),"Louer appartement Schaffouse et environs: Trouvez le bien immobilier qui correspond idéalement à vos désirs sur ImmoScout24 - La plateforme de l'immobilier en Suisse.")</f>
        <v>Louer appartement Schaffouse et environs: Trouvez le bien immobilier qui correspond idéalement à vos désirs sur ImmoScout24 - La plateforme de l'immobilier en Suisse.</v>
      </c>
    </row>
    <row r="4409" hidden="1">
      <c r="A4409" s="5" t="s">
        <v>11919</v>
      </c>
      <c r="B4409" s="2" t="s">
        <v>11920</v>
      </c>
      <c r="C4409" s="2" t="s">
        <v>11920</v>
      </c>
      <c r="D4409" s="4" t="str">
        <f>vlookup(A4409, Sheet2!D:E, 2, 0)</f>
        <v>control</v>
      </c>
      <c r="E4409" s="4" t="str">
        <f>IFERROR(__xludf.DUMMYFUNCTION("if(H4409=""pays"",vlookup(REGEXEXTRACT(C4409, ""🏘️ \w+ \w+ (.*) ✅""),'Country prepositions'!A:B, 2, 0) &amp; "" "" &amp; REGEXEXTRACT(C4409, ""🏘️ \w+ \w+ (.*) ✅"") ,  if(H4409=""quartier"",vlookup(REGEXEXTRACT(C4409, ""🏘️ \w+ \w+ (.*) ✅""),'Quartier prepositio"&amp;"ns'!A:E, 5, 0) ,  if(H4409=""region"",vlookup(REGEXEXTRACT(C4409, ""🏘️ \w+ \w+ (.*) ✅""),'Region prepositions'!B:F, 5, 0),  REGEXEXTRACT(C4409, ""🏘️ \w+ \w+ (.*) ✅""))))"),"#N/A")</f>
        <v>#N/A</v>
      </c>
      <c r="I4409" s="4" t="str">
        <f>IFERROR(__xludf.DUMMYFUNCTION("if(D4409=""variant"",  substitute(filter(Templates!E:E, Templates!A:A = F4409, Templates!B:B = G4409, Templates!C:C = H4409), ""{{}}"", E4409), B4409)"),"Louer maison Faoug: Trouvez le bien immobilier qui correspond idéalement à vos désirs sur ImmoScout24 - La plateforme de l'immobilier en Suisse.")</f>
        <v>Louer maison Faoug: Trouvez le bien immobilier qui correspond idéalement à vos désirs sur ImmoScout24 - La plateforme de l'immobilier en Suisse.</v>
      </c>
    </row>
    <row r="4410" hidden="1">
      <c r="A4410" s="5" t="s">
        <v>11921</v>
      </c>
      <c r="B4410" s="2" t="s">
        <v>11922</v>
      </c>
      <c r="C4410" s="2" t="s">
        <v>11922</v>
      </c>
      <c r="D4410" s="4" t="str">
        <f>vlookup(A4410, Sheet2!D:E, 2, 0)</f>
        <v>control</v>
      </c>
      <c r="E4410" s="4" t="str">
        <f>IFERROR(__xludf.DUMMYFUNCTION("if(H4410=""pays"",vlookup(REGEXEXTRACT(C4410, ""🏘️ \w+ \w+ (.*) ✅""),'Country prepositions'!A:B, 2, 0) &amp; "" "" &amp; REGEXEXTRACT(C4410, ""🏘️ \w+ \w+ (.*) ✅"") ,  if(H4410=""quartier"",vlookup(REGEXEXTRACT(C4410, ""🏘️ \w+ \w+ (.*) ✅""),'Quartier prepositio"&amp;"ns'!A:E, 5, 0) ,  if(H4410=""region"",vlookup(REGEXEXTRACT(C4410, ""🏘️ \w+ \w+ (.*) ✅""),'Region prepositions'!B:F, 5, 0),  REGEXEXTRACT(C4410, ""🏘️ \w+ \w+ (.*) ✅""))))"),"#N/A")</f>
        <v>#N/A</v>
      </c>
      <c r="I4410" s="4" t="str">
        <f>IFERROR(__xludf.DUMMYFUNCTION("if(D4410=""variant"",  substitute(filter(Templates!E:E, Templates!A:A = F4410, Templates!B:B = G4410, Templates!C:C = H4410), ""{{}}"", E4410), B4410)"),"Louer appartement Axalp: Trouvez le bien immobilier qui correspond idéalement à vos désirs sur ImmoScout24 - La plateforme de l'immobilier en Suisse.")</f>
        <v>Louer appartement Axalp: Trouvez le bien immobilier qui correspond idéalement à vos désirs sur ImmoScout24 - La plateforme de l'immobilier en Suisse.</v>
      </c>
    </row>
    <row r="4411" hidden="1">
      <c r="A4411" s="5" t="s">
        <v>11923</v>
      </c>
      <c r="B4411" s="2" t="s">
        <v>11924</v>
      </c>
      <c r="C4411" s="2" t="s">
        <v>11924</v>
      </c>
      <c r="D4411" s="4" t="str">
        <f>vlookup(A4411, Sheet2!D:E, 2, 0)</f>
        <v>control</v>
      </c>
      <c r="E4411" s="4" t="str">
        <f>IFERROR(__xludf.DUMMYFUNCTION("if(H4411=""pays"",vlookup(REGEXEXTRACT(C4411, ""🏘️ \w+ \w+ (.*) ✅""),'Country prepositions'!A:B, 2, 0) &amp; "" "" &amp; REGEXEXTRACT(C4411, ""🏘️ \w+ \w+ (.*) ✅"") ,  if(H4411=""quartier"",vlookup(REGEXEXTRACT(C4411, ""🏘️ \w+ \w+ (.*) ✅""),'Quartier prepositio"&amp;"ns'!A:E, 5, 0) ,  if(H4411=""region"",vlookup(REGEXEXTRACT(C4411, ""🏘️ \w+ \w+ (.*) ✅""),'Region prepositions'!B:F, 5, 0),  REGEXEXTRACT(C4411, ""🏘️ \w+ \w+ (.*) ✅""))))"),"#N/A")</f>
        <v>#N/A</v>
      </c>
      <c r="I4411" s="4" t="str">
        <f>IFERROR(__xludf.DUMMYFUNCTION("if(D4411=""variant"",  substitute(filter(Templates!E:E, Templates!A:A = F4411, Templates!B:B = G4411, Templates!C:C = H4411), ""{{}}"", E4411), B4411)"),"Vendre appartement Puidoux: Trouvez le bien immobilier qui correspond idéalement à vos désirs sur ImmoScout24 - La plateforme de l'immobilier en Suisse.")</f>
        <v>Vendre appartement Puidoux: Trouvez le bien immobilier qui correspond idéalement à vos désirs sur ImmoScout24 - La plateforme de l'immobilier en Suisse.</v>
      </c>
    </row>
    <row r="4412" hidden="1">
      <c r="A4412" s="5" t="s">
        <v>11925</v>
      </c>
      <c r="B4412" s="2" t="s">
        <v>11926</v>
      </c>
      <c r="C4412" s="2" t="s">
        <v>11926</v>
      </c>
      <c r="D4412" s="4" t="str">
        <f>vlookup(A4412, Sheet2!D:E, 2, 0)</f>
        <v>control</v>
      </c>
      <c r="E4412" s="4" t="str">
        <f>IFERROR(__xludf.DUMMYFUNCTION("if(H4412=""pays"",vlookup(REGEXEXTRACT(C4412, ""🏘️ \w+ \w+ (.*) ✅""),'Country prepositions'!A:B, 2, 0) &amp; "" "" &amp; REGEXEXTRACT(C4412, ""🏘️ \w+ \w+ (.*) ✅"") ,  if(H4412=""quartier"",vlookup(REGEXEXTRACT(C4412, ""🏘️ \w+ \w+ (.*) ✅""),'Quartier prepositio"&amp;"ns'!A:E, 5, 0) ,  if(H4412=""region"",vlookup(REGEXEXTRACT(C4412, ""🏘️ \w+ \w+ (.*) ✅""),'Region prepositions'!B:F, 5, 0),  REGEXEXTRACT(C4412, ""🏘️ \w+ \w+ (.*) ✅""))))"),"#N/A")</f>
        <v>#N/A</v>
      </c>
      <c r="I4412" s="4" t="str">
        <f>IFERROR(__xludf.DUMMYFUNCTION("if(D4412=""variant"",  substitute(filter(Templates!E:E, Templates!A:A = F4412, Templates!B:B = G4412, Templates!C:C = H4412), ""{{}}"", E4412), B4412)"),"Louer appartement Bettingen: Trouvez le bien immobilier qui correspond idéalement à vos désirs sur ImmoScout24 - La plateforme de l'immobilier en Suisse.")</f>
        <v>Louer appartement Bettingen: Trouvez le bien immobilier qui correspond idéalement à vos désirs sur ImmoScout24 - La plateforme de l'immobilier en Suisse.</v>
      </c>
    </row>
    <row r="4413" hidden="1">
      <c r="A4413" s="5" t="s">
        <v>11927</v>
      </c>
      <c r="B4413" s="2" t="s">
        <v>11928</v>
      </c>
      <c r="C4413" s="2" t="s">
        <v>11928</v>
      </c>
      <c r="D4413" s="4" t="str">
        <f>vlookup(A4413, Sheet2!D:E, 2, 0)</f>
        <v>control</v>
      </c>
      <c r="E4413" s="4" t="str">
        <f>IFERROR(__xludf.DUMMYFUNCTION("if(H4413=""pays"",vlookup(REGEXEXTRACT(C4413, ""🏘️ \w+ \w+ (.*) ✅""),'Country prepositions'!A:B, 2, 0) &amp; "" "" &amp; REGEXEXTRACT(C4413, ""🏘️ \w+ \w+ (.*) ✅"") ,  if(H4413=""quartier"",vlookup(REGEXEXTRACT(C4413, ""🏘️ \w+ \w+ (.*) ✅""),'Quartier prepositio"&amp;"ns'!A:E, 5, 0) ,  if(H4413=""region"",vlookup(REGEXEXTRACT(C4413, ""🏘️ \w+ \w+ (.*) ✅""),'Region prepositions'!B:F, 5, 0),  REGEXEXTRACT(C4413, ""🏘️ \w+ \w+ (.*) ✅""))))"),"#N/A")</f>
        <v>#N/A</v>
      </c>
      <c r="I4413" s="4" t="str">
        <f>IFERROR(__xludf.DUMMYFUNCTION("if(D4413=""variant"",  substitute(filter(Templates!E:E, Templates!A:A = F4413, Templates!B:B = G4413, Templates!C:C = H4413), ""{{}}"", E4413), B4413)"),"Vendre appartement Autigny: Trouvez le bien immobilier qui correspond idéalement à vos désirs sur ImmoScout24 - La plateforme de l'immobilier en Suisse.")</f>
        <v>Vendre appartement Autigny: Trouvez le bien immobilier qui correspond idéalement à vos désirs sur ImmoScout24 - La plateforme de l'immobilier en Suisse.</v>
      </c>
    </row>
    <row r="4414" hidden="1">
      <c r="A4414" s="5" t="s">
        <v>11929</v>
      </c>
      <c r="B4414" s="2" t="s">
        <v>11930</v>
      </c>
      <c r="C4414" s="2" t="s">
        <v>11930</v>
      </c>
      <c r="D4414" s="4" t="str">
        <f>vlookup(A4414, Sheet2!D:E, 2, 0)</f>
        <v>control</v>
      </c>
      <c r="E4414" s="4" t="str">
        <f>IFERROR(__xludf.DUMMYFUNCTION("if(H4414=""pays"",vlookup(REGEXEXTRACT(C4414, ""🏘️ \w+ \w+ (.*) ✅""),'Country prepositions'!A:B, 2, 0) &amp; "" "" &amp; REGEXEXTRACT(C4414, ""🏘️ \w+ \w+ (.*) ✅"") ,  if(H4414=""quartier"",vlookup(REGEXEXTRACT(C4414, ""🏘️ \w+ \w+ (.*) ✅""),'Quartier prepositio"&amp;"ns'!A:E, 5, 0) ,  if(H4414=""region"",vlookup(REGEXEXTRACT(C4414, ""🏘️ \w+ \w+ (.*) ✅""),'Region prepositions'!B:F, 5, 0),  REGEXEXTRACT(C4414, ""🏘️ \w+ \w+ (.*) ✅""))))"),"#N/A")</f>
        <v>#N/A</v>
      </c>
      <c r="I4414" s="4" t="str">
        <f>IFERROR(__xludf.DUMMYFUNCTION("if(D4414=""variant"",  substitute(filter(Templates!E:E, Templates!A:A = F4414, Templates!B:B = G4414, Templates!C:C = H4414), ""{{}}"", E4414), B4414)"),"Vendre appartement Ste-Croix: Trouvez le bien immobilier qui correspond idéalement à vos désirs sur ImmoScout24 - La plateforme de l'immobilier en Suisse.")</f>
        <v>Vendre appartement Ste-Croix: Trouvez le bien immobilier qui correspond idéalement à vos désirs sur ImmoScout24 - La plateforme de l'immobilier en Suisse.</v>
      </c>
    </row>
    <row r="4415" hidden="1">
      <c r="A4415" s="5" t="s">
        <v>11931</v>
      </c>
      <c r="B4415" s="2" t="s">
        <v>11932</v>
      </c>
      <c r="C4415" s="2" t="s">
        <v>11932</v>
      </c>
      <c r="D4415" s="4" t="str">
        <f>vlookup(A4415, Sheet2!D:E, 2, 0)</f>
        <v>control</v>
      </c>
      <c r="E4415" s="4" t="str">
        <f>IFERROR(__xludf.DUMMYFUNCTION("if(H4415=""pays"",vlookup(REGEXEXTRACT(C4415, ""🏘️ \w+ \w+ (.*) ✅""),'Country prepositions'!A:B, 2, 0) &amp; "" "" &amp; REGEXEXTRACT(C4415, ""🏘️ \w+ \w+ (.*) ✅"") ,  if(H4415=""quartier"",vlookup(REGEXEXTRACT(C4415, ""🏘️ \w+ \w+ (.*) ✅""),'Quartier prepositio"&amp;"ns'!A:E, 5, 0) ,  if(H4415=""region"",vlookup(REGEXEXTRACT(C4415, ""🏘️ \w+ \w+ (.*) ✅""),'Region prepositions'!B:F, 5, 0),  REGEXEXTRACT(C4415, ""🏘️ \w+ \w+ (.*) ✅""))))"),"#N/A")</f>
        <v>#N/A</v>
      </c>
      <c r="I4415" s="4" t="str">
        <f>IFERROR(__xludf.DUMMYFUNCTION("if(D4415=""variant"",  substitute(filter(Templates!E:E, Templates!A:A = F4415, Templates!B:B = G4415, Templates!C:C = H4415), ""{{}}"", E4415), B4415)"),"Vendre appartement Essertines-sur-Rolle: Trouvez le bien immobilier qui correspond idéalement à vos désirs sur ImmoScout24 - La plateforme de l'immobilier en Suisse.")</f>
        <v>Vendre appartement Essertines-sur-Rolle: Trouvez le bien immobilier qui correspond idéalement à vos désirs sur ImmoScout24 - La plateforme de l'immobilier en Suisse.</v>
      </c>
    </row>
    <row r="4416" hidden="1">
      <c r="A4416" s="5" t="s">
        <v>11933</v>
      </c>
      <c r="B4416" s="2" t="s">
        <v>11934</v>
      </c>
      <c r="C4416" s="2" t="s">
        <v>11934</v>
      </c>
      <c r="D4416" s="4" t="str">
        <f>vlookup(A4416, Sheet2!D:E, 2, 0)</f>
        <v>control</v>
      </c>
      <c r="E4416" s="4" t="str">
        <f>IFERROR(__xludf.DUMMYFUNCTION("if(H4416=""pays"",vlookup(REGEXEXTRACT(C4416, ""🏘️ \w+ \w+ (.*) ✅""),'Country prepositions'!A:B, 2, 0) &amp; "" "" &amp; REGEXEXTRACT(C4416, ""🏘️ \w+ \w+ (.*) ✅"") ,  if(H4416=""quartier"",vlookup(REGEXEXTRACT(C4416, ""🏘️ \w+ \w+ (.*) ✅""),'Quartier prepositio"&amp;"ns'!A:E, 5, 0) ,  if(H4416=""region"",vlookup(REGEXEXTRACT(C4416, ""🏘️ \w+ \w+ (.*) ✅""),'Region prepositions'!B:F, 5, 0),  REGEXEXTRACT(C4416, ""🏘️ \w+ \w+ (.*) ✅""))))"),"#N/A")</f>
        <v>#N/A</v>
      </c>
      <c r="I4416" s="4" t="str">
        <f>IFERROR(__xludf.DUMMYFUNCTION("if(D4416=""variant"",  substitute(filter(Templates!E:E, Templates!A:A = F4416, Templates!B:B = G4416, Templates!C:C = H4416), ""{{}}"", E4416), B4416)"),"Vendre appartement Grossaffoltern: Trouvez le bien immobilier qui correspond idéalement à vos désirs sur ImmoScout24 - La plateforme de l'immobilier en Suisse.")</f>
        <v>Vendre appartement Grossaffoltern: Trouvez le bien immobilier qui correspond idéalement à vos désirs sur ImmoScout24 - La plateforme de l'immobilier en Suisse.</v>
      </c>
    </row>
    <row r="4417" hidden="1">
      <c r="A4417" s="5" t="s">
        <v>11935</v>
      </c>
      <c r="B4417" s="2" t="s">
        <v>11936</v>
      </c>
      <c r="C4417" s="2" t="s">
        <v>11936</v>
      </c>
      <c r="D4417" s="4" t="str">
        <f>vlookup(A4417, Sheet2!D:E, 2, 0)</f>
        <v>control</v>
      </c>
      <c r="E4417" s="4" t="str">
        <f>IFERROR(__xludf.DUMMYFUNCTION("if(H4417=""pays"",vlookup(REGEXEXTRACT(C4417, ""🏘️ \w+ \w+ (.*) ✅""),'Country prepositions'!A:B, 2, 0) &amp; "" "" &amp; REGEXEXTRACT(C4417, ""🏘️ \w+ \w+ (.*) ✅"") ,  if(H4417=""quartier"",vlookup(REGEXEXTRACT(C4417, ""🏘️ \w+ \w+ (.*) ✅""),'Quartier prepositio"&amp;"ns'!A:E, 5, 0) ,  if(H4417=""region"",vlookup(REGEXEXTRACT(C4417, ""🏘️ \w+ \w+ (.*) ✅""),'Region prepositions'!B:F, 5, 0),  REGEXEXTRACT(C4417, ""🏘️ \w+ \w+ (.*) ✅""))))"),"#N/A")</f>
        <v>#N/A</v>
      </c>
      <c r="I4417" s="4" t="str">
        <f>IFERROR(__xludf.DUMMYFUNCTION("if(D4417=""variant"",  substitute(filter(Templates!E:E, Templates!A:A = F4417, Templates!B:B = G4417, Templates!C:C = H4417), ""{{}}"", E4417), B4417)"),"Vendre appartement Barbengo: Trouvez le bien immobilier qui correspond idéalement à vos désirs sur ImmoScout24 - La plateforme de l'immobilier en Suisse.")</f>
        <v>Vendre appartement Barbengo: Trouvez le bien immobilier qui correspond idéalement à vos désirs sur ImmoScout24 - La plateforme de l'immobilier en Suisse.</v>
      </c>
    </row>
    <row r="4418" hidden="1">
      <c r="A4418" s="5" t="s">
        <v>11937</v>
      </c>
      <c r="B4418" s="2" t="s">
        <v>11938</v>
      </c>
      <c r="C4418" s="2" t="s">
        <v>11938</v>
      </c>
      <c r="D4418" s="4" t="str">
        <f>vlookup(A4418, Sheet2!D:E, 2, 0)</f>
        <v>control</v>
      </c>
      <c r="E4418" s="4" t="str">
        <f>IFERROR(__xludf.DUMMYFUNCTION("if(H4418=""pays"",vlookup(REGEXEXTRACT(C4418, ""🏘️ \w+ \w+ (.*) ✅""),'Country prepositions'!A:B, 2, 0) &amp; "" "" &amp; REGEXEXTRACT(C4418, ""🏘️ \w+ \w+ (.*) ✅"") ,  if(H4418=""quartier"",vlookup(REGEXEXTRACT(C4418, ""🏘️ \w+ \w+ (.*) ✅""),'Quartier prepositio"&amp;"ns'!A:E, 5, 0) ,  if(H4418=""region"",vlookup(REGEXEXTRACT(C4418, ""🏘️ \w+ \w+ (.*) ✅""),'Region prepositions'!B:F, 5, 0),  REGEXEXTRACT(C4418, ""🏘️ \w+ \w+ (.*) ✅""))))"),"#N/A")</f>
        <v>#N/A</v>
      </c>
      <c r="I4418" s="4" t="str">
        <f>IFERROR(__xludf.DUMMYFUNCTION("if(D4418=""variant"",  substitute(filter(Templates!E:E, Templates!A:A = F4418, Templates!B:B = G4418, Templates!C:C = H4418), ""{{}}"", E4418), B4418)"),"Louer maison Chailly-Montreux: Trouvez le bien immobilier qui correspond idéalement à vos désirs sur ImmoScout24 - La plateforme de l'immobilier en Suisse.")</f>
        <v>Louer maison Chailly-Montreux: Trouvez le bien immobilier qui correspond idéalement à vos désirs sur ImmoScout24 - La plateforme de l'immobilier en Suisse.</v>
      </c>
    </row>
    <row r="4419" hidden="1">
      <c r="A4419" s="5" t="s">
        <v>11939</v>
      </c>
      <c r="B4419" s="2" t="s">
        <v>11940</v>
      </c>
      <c r="C4419" s="2" t="s">
        <v>11940</v>
      </c>
      <c r="D4419" s="4" t="str">
        <f>vlookup(A4419, Sheet2!D:E, 2, 0)</f>
        <v>control</v>
      </c>
      <c r="E4419" s="4" t="str">
        <f>IFERROR(__xludf.DUMMYFUNCTION("if(H4419=""pays"",vlookup(REGEXEXTRACT(C4419, ""🏘️ \w+ \w+ (.*) ✅""),'Country prepositions'!A:B, 2, 0) &amp; "" "" &amp; REGEXEXTRACT(C4419, ""🏘️ \w+ \w+ (.*) ✅"") ,  if(H4419=""quartier"",vlookup(REGEXEXTRACT(C4419, ""🏘️ \w+ \w+ (.*) ✅""),'Quartier prepositio"&amp;"ns'!A:E, 5, 0) ,  if(H4419=""region"",vlookup(REGEXEXTRACT(C4419, ""🏘️ \w+ \w+ (.*) ✅""),'Region prepositions'!B:F, 5, 0),  REGEXEXTRACT(C4419, ""🏘️ \w+ \w+ (.*) ✅""))))"),"#N/A")</f>
        <v>#N/A</v>
      </c>
      <c r="I4419" s="4" t="str">
        <f>IFERROR(__xludf.DUMMYFUNCTION("if(D4419=""variant"",  substitute(filter(Templates!E:E, Templates!A:A = F4419, Templates!B:B = G4419, Templates!C:C = H4419), ""{{}}"", E4419), B4419)"),"Louer maison Apples: Trouvez le bien immobilier qui correspond idéalement à vos désirs sur ImmoScout24 - La plateforme de l'immobilier en Suisse.")</f>
        <v>Louer maison Apples: Trouvez le bien immobilier qui correspond idéalement à vos désirs sur ImmoScout24 - La plateforme de l'immobilier en Suisse.</v>
      </c>
    </row>
    <row r="4420" hidden="1">
      <c r="A4420" s="5" t="s">
        <v>11941</v>
      </c>
      <c r="B4420" s="2" t="s">
        <v>11942</v>
      </c>
      <c r="C4420" s="2" t="s">
        <v>11942</v>
      </c>
      <c r="D4420" s="4" t="str">
        <f>vlookup(A4420, Sheet2!D:E, 2, 0)</f>
        <v>control</v>
      </c>
      <c r="E4420" s="4" t="str">
        <f>IFERROR(__xludf.DUMMYFUNCTION("if(H4420=""pays"",vlookup(REGEXEXTRACT(C4420, ""🏘️ \w+ \w+ (.*) ✅""),'Country prepositions'!A:B, 2, 0) &amp; "" "" &amp; REGEXEXTRACT(C4420, ""🏘️ \w+ \w+ (.*) ✅"") ,  if(H4420=""quartier"",vlookup(REGEXEXTRACT(C4420, ""🏘️ \w+ \w+ (.*) ✅""),'Quartier prepositio"&amp;"ns'!A:E, 5, 0) ,  if(H4420=""region"",vlookup(REGEXEXTRACT(C4420, ""🏘️ \w+ \w+ (.*) ✅""),'Region prepositions'!B:F, 5, 0),  REGEXEXTRACT(C4420, ""🏘️ \w+ \w+ (.*) ✅""))))"),"#N/A")</f>
        <v>#N/A</v>
      </c>
      <c r="I4420" s="4" t="str">
        <f>IFERROR(__xludf.DUMMYFUNCTION("if(D4420=""variant"",  substitute(filter(Templates!E:E, Templates!A:A = F4420, Templates!B:B = G4420, Templates!C:C = H4420), ""{{}}"", E4420), B4420)"),"Vendre maison Porsel: Trouvez le bien immobilier qui correspond idéalement à vos désirs sur ImmoScout24 - La plateforme de l'immobilier en Suisse.")</f>
        <v>Vendre maison Porsel: Trouvez le bien immobilier qui correspond idéalement à vos désirs sur ImmoScout24 - La plateforme de l'immobilier en Suisse.</v>
      </c>
    </row>
    <row r="4421" hidden="1">
      <c r="A4421" s="5" t="s">
        <v>11943</v>
      </c>
      <c r="B4421" s="2" t="s">
        <v>11944</v>
      </c>
      <c r="C4421" s="2" t="s">
        <v>11944</v>
      </c>
      <c r="D4421" s="4" t="str">
        <f>vlookup(A4421, Sheet2!D:E, 2, 0)</f>
        <v>control</v>
      </c>
      <c r="E4421" s="4" t="str">
        <f>IFERROR(__xludf.DUMMYFUNCTION("if(H4421=""pays"",vlookup(REGEXEXTRACT(C4421, ""🏘️ \w+ \w+ (.*) ✅""),'Country prepositions'!A:B, 2, 0) &amp; "" "" &amp; REGEXEXTRACT(C4421, ""🏘️ \w+ \w+ (.*) ✅"") ,  if(H4421=""quartier"",vlookup(REGEXEXTRACT(C4421, ""🏘️ \w+ \w+ (.*) ✅""),'Quartier prepositio"&amp;"ns'!A:E, 5, 0) ,  if(H4421=""region"",vlookup(REGEXEXTRACT(C4421, ""🏘️ \w+ \w+ (.*) ✅""),'Region prepositions'!B:F, 5, 0),  REGEXEXTRACT(C4421, ""🏘️ \w+ \w+ (.*) ✅""))))"),"#N/A")</f>
        <v>#N/A</v>
      </c>
      <c r="I4421" s="4" t="str">
        <f>IFERROR(__xludf.DUMMYFUNCTION("if(D4421=""variant"",  substitute(filter(Templates!E:E, Templates!A:A = F4421, Templates!B:B = G4421, Templates!C:C = H4421), ""{{}}"", E4421), B4421)"),"Vendre maison Fully: Trouvez le bien immobilier qui correspond idéalement à vos désirs sur ImmoScout24 - La plateforme de l'immobilier en Suisse.")</f>
        <v>Vendre maison Fully: Trouvez le bien immobilier qui correspond idéalement à vos désirs sur ImmoScout24 - La plateforme de l'immobilier en Suisse.</v>
      </c>
    </row>
    <row r="4422" hidden="1">
      <c r="A4422" s="5" t="s">
        <v>11945</v>
      </c>
      <c r="B4422" s="2" t="s">
        <v>11946</v>
      </c>
      <c r="C4422" s="2" t="s">
        <v>11946</v>
      </c>
      <c r="D4422" s="4" t="str">
        <f>vlookup(A4422, Sheet2!D:E, 2, 0)</f>
        <v>control</v>
      </c>
      <c r="E4422" s="4" t="str">
        <f>IFERROR(__xludf.DUMMYFUNCTION("if(H4422=""pays"",vlookup(REGEXEXTRACT(C4422, ""🏘️ \w+ \w+ (.*) ✅""),'Country prepositions'!A:B, 2, 0) &amp; "" "" &amp; REGEXEXTRACT(C4422, ""🏘️ \w+ \w+ (.*) ✅"") ,  if(H4422=""quartier"",vlookup(REGEXEXTRACT(C4422, ""🏘️ \w+ \w+ (.*) ✅""),'Quartier prepositio"&amp;"ns'!A:E, 5, 0) ,  if(H4422=""region"",vlookup(REGEXEXTRACT(C4422, ""🏘️ \w+ \w+ (.*) ✅""),'Region prepositions'!B:F, 5, 0),  REGEXEXTRACT(C4422, ""🏘️ \w+ \w+ (.*) ✅""))))"),"#N/A")</f>
        <v>#N/A</v>
      </c>
      <c r="I4422" s="4" t="str">
        <f>IFERROR(__xludf.DUMMYFUNCTION("if(D4422=""variant"",  substitute(filter(Templates!E:E, Templates!A:A = F4422, Templates!B:B = G4422, Templates!C:C = H4422), ""{{}}"", E4422), B4422)"),"Louer appartement Marnand: Trouvez le bien immobilier qui correspond idéalement à vos désirs sur ImmoScout24 - La plateforme de l'immobilier en Suisse.")</f>
        <v>Louer appartement Marnand: Trouvez le bien immobilier qui correspond idéalement à vos désirs sur ImmoScout24 - La plateforme de l'immobilier en Suisse.</v>
      </c>
    </row>
    <row r="4423" hidden="1">
      <c r="A4423" s="5" t="s">
        <v>11947</v>
      </c>
      <c r="B4423" s="2" t="s">
        <v>11948</v>
      </c>
      <c r="C4423" s="2" t="s">
        <v>11948</v>
      </c>
      <c r="D4423" s="4" t="str">
        <f>vlookup(A4423, Sheet2!D:E, 2, 0)</f>
        <v>control</v>
      </c>
      <c r="E4423" s="4" t="str">
        <f>IFERROR(__xludf.DUMMYFUNCTION("if(H4423=""pays"",vlookup(REGEXEXTRACT(C4423, ""🏘️ \w+ \w+ (.*) ✅""),'Country prepositions'!A:B, 2, 0) &amp; "" "" &amp; REGEXEXTRACT(C4423, ""🏘️ \w+ \w+ (.*) ✅"") ,  if(H4423=""quartier"",vlookup(REGEXEXTRACT(C4423, ""🏘️ \w+ \w+ (.*) ✅""),'Quartier prepositio"&amp;"ns'!A:E, 5, 0) ,  if(H4423=""region"",vlookup(REGEXEXTRACT(C4423, ""🏘️ \w+ \w+ (.*) ✅""),'Region prepositions'!B:F, 5, 0),  REGEXEXTRACT(C4423, ""🏘️ \w+ \w+ (.*) ✅""))))"),"#N/A")</f>
        <v>#N/A</v>
      </c>
      <c r="I4423" s="4" t="str">
        <f>IFERROR(__xludf.DUMMYFUNCTION("if(D4423=""variant"",  substitute(filter(Templates!E:E, Templates!A:A = F4423, Templates!B:B = G4423, Templates!C:C = H4423), ""{{}}"", E4423), B4423)"),"Vendre maison Unterseen: Trouvez le bien immobilier qui correspond idéalement à vos désirs sur ImmoScout24 - La plateforme de l'immobilier en Suisse.")</f>
        <v>Vendre maison Unterseen: Trouvez le bien immobilier qui correspond idéalement à vos désirs sur ImmoScout24 - La plateforme de l'immobilier en Suisse.</v>
      </c>
    </row>
    <row r="4424" hidden="1">
      <c r="A4424" s="5" t="s">
        <v>11949</v>
      </c>
      <c r="B4424" s="2" t="s">
        <v>11950</v>
      </c>
      <c r="C4424" s="2" t="s">
        <v>11950</v>
      </c>
      <c r="D4424" s="4" t="str">
        <f>vlookup(A4424, Sheet2!D:E, 2, 0)</f>
        <v>control</v>
      </c>
      <c r="E4424" s="4" t="str">
        <f>IFERROR(__xludf.DUMMYFUNCTION("if(H4424=""pays"",vlookup(REGEXEXTRACT(C4424, ""🏘️ \w+ \w+ (.*) ✅""),'Country prepositions'!A:B, 2, 0) &amp; "" "" &amp; REGEXEXTRACT(C4424, ""🏘️ \w+ \w+ (.*) ✅"") ,  if(H4424=""quartier"",vlookup(REGEXEXTRACT(C4424, ""🏘️ \w+ \w+ (.*) ✅""),'Quartier prepositio"&amp;"ns'!A:E, 5, 0) ,  if(H4424=""region"",vlookup(REGEXEXTRACT(C4424, ""🏘️ \w+ \w+ (.*) ✅""),'Region prepositions'!B:F, 5, 0),  REGEXEXTRACT(C4424, ""🏘️ \w+ \w+ (.*) ✅""))))"),"#N/A")</f>
        <v>#N/A</v>
      </c>
      <c r="I4424" s="4" t="str">
        <f>IFERROR(__xludf.DUMMYFUNCTION("if(D4424=""variant"",  substitute(filter(Templates!E:E, Templates!A:A = F4424, Templates!B:B = G4424, Templates!C:C = H4424), ""{{}}"", E4424), B4424)"),"Louer appartement Meikirch: Trouvez le bien immobilier qui correspond idéalement à vos désirs sur ImmoScout24 - La plateforme de l'immobilier en Suisse.")</f>
        <v>Louer appartement Meikirch: Trouvez le bien immobilier qui correspond idéalement à vos désirs sur ImmoScout24 - La plateforme de l'immobilier en Suisse.</v>
      </c>
    </row>
    <row r="4425" hidden="1">
      <c r="A4425" s="5" t="s">
        <v>11951</v>
      </c>
      <c r="B4425" s="2" t="s">
        <v>11952</v>
      </c>
      <c r="C4425" s="2" t="s">
        <v>11952</v>
      </c>
      <c r="D4425" s="4" t="str">
        <f>vlookup(A4425, Sheet2!D:E, 2, 0)</f>
        <v>control</v>
      </c>
      <c r="E4425" s="4" t="str">
        <f>IFERROR(__xludf.DUMMYFUNCTION("if(H4425=""pays"",vlookup(REGEXEXTRACT(C4425, ""🏘️ \w+ \w+ (.*) ✅""),'Country prepositions'!A:B, 2, 0) &amp; "" "" &amp; REGEXEXTRACT(C4425, ""🏘️ \w+ \w+ (.*) ✅"") ,  if(H4425=""quartier"",vlookup(REGEXEXTRACT(C4425, ""🏘️ \w+ \w+ (.*) ✅""),'Quartier prepositio"&amp;"ns'!A:E, 5, 0) ,  if(H4425=""region"",vlookup(REGEXEXTRACT(C4425, ""🏘️ \w+ \w+ (.*) ✅""),'Region prepositions'!B:F, 5, 0),  REGEXEXTRACT(C4425, ""🏘️ \w+ \w+ (.*) ✅""))))"),"#N/A")</f>
        <v>#N/A</v>
      </c>
      <c r="I4425" s="4" t="str">
        <f>IFERROR(__xludf.DUMMYFUNCTION("if(D4425=""variant"",  substitute(filter(Templates!E:E, Templates!A:A = F4425, Templates!B:B = G4425, Templates!C:C = H4425), ""{{}}"", E4425), B4425)"),"Vendre maison La Verrerie: Trouvez le bien immobilier qui correspond idéalement à vos désirs sur ImmoScout24 - La plateforme de l'immobilier en Suisse.")</f>
        <v>Vendre maison La Verrerie: Trouvez le bien immobilier qui correspond idéalement à vos désirs sur ImmoScout24 - La plateforme de l'immobilier en Suisse.</v>
      </c>
    </row>
    <row r="4426" hidden="1">
      <c r="A4426" s="5" t="s">
        <v>11953</v>
      </c>
      <c r="B4426" s="2" t="s">
        <v>11954</v>
      </c>
      <c r="C4426" s="2" t="s">
        <v>11954</v>
      </c>
      <c r="D4426" s="4" t="str">
        <f>vlookup(A4426, Sheet2!D:E, 2, 0)</f>
        <v>control</v>
      </c>
      <c r="E4426" s="4" t="str">
        <f>IFERROR(__xludf.DUMMYFUNCTION("if(H4426=""pays"",vlookup(REGEXEXTRACT(C4426, ""🏘️ \w+ \w+ (.*) ✅""),'Country prepositions'!A:B, 2, 0) &amp; "" "" &amp; REGEXEXTRACT(C4426, ""🏘️ \w+ \w+ (.*) ✅"") ,  if(H4426=""quartier"",vlookup(REGEXEXTRACT(C4426, ""🏘️ \w+ \w+ (.*) ✅""),'Quartier prepositio"&amp;"ns'!A:E, 5, 0) ,  if(H4426=""region"",vlookup(REGEXEXTRACT(C4426, ""🏘️ \w+ \w+ (.*) ✅""),'Region prepositions'!B:F, 5, 0),  REGEXEXTRACT(C4426, ""🏘️ \w+ \w+ (.*) ✅""))))"),"#N/A")</f>
        <v>#N/A</v>
      </c>
      <c r="I4426" s="4" t="str">
        <f>IFERROR(__xludf.DUMMYFUNCTION("if(D4426=""variant"",  substitute(filter(Templates!E:E, Templates!A:A = F4426, Templates!B:B = G4426, Templates!C:C = H4426), ""{{}}"", E4426), B4426)"),"Vendre appartement Montriond - Cour (Lausanne): Trouvez le bien immobilier qui correspond idéalement à vos désirs sur ImmoScout24 - La plateforme de l'immobilier en Suisse.")</f>
        <v>Vendre appartement Montriond - Cour (Lausanne): Trouvez le bien immobilier qui correspond idéalement à vos désirs sur ImmoScout24 - La plateforme de l'immobilier en Suisse.</v>
      </c>
    </row>
    <row r="4427" hidden="1">
      <c r="A4427" s="5" t="s">
        <v>11955</v>
      </c>
      <c r="B4427" s="2" t="s">
        <v>11956</v>
      </c>
      <c r="C4427" s="2" t="s">
        <v>11956</v>
      </c>
      <c r="D4427" s="4" t="str">
        <f>vlookup(A4427, Sheet2!D:E, 2, 0)</f>
        <v>control</v>
      </c>
      <c r="E4427" s="4" t="str">
        <f>IFERROR(__xludf.DUMMYFUNCTION("if(H4427=""pays"",vlookup(REGEXEXTRACT(C4427, ""🏘️ \w+ \w+ (.*) ✅""),'Country prepositions'!A:B, 2, 0) &amp; "" "" &amp; REGEXEXTRACT(C4427, ""🏘️ \w+ \w+ (.*) ✅"") ,  if(H4427=""quartier"",vlookup(REGEXEXTRACT(C4427, ""🏘️ \w+ \w+ (.*) ✅""),'Quartier prepositio"&amp;"ns'!A:E, 5, 0) ,  if(H4427=""region"",vlookup(REGEXEXTRACT(C4427, ""🏘️ \w+ \w+ (.*) ✅""),'Region prepositions'!B:F, 5, 0),  REGEXEXTRACT(C4427, ""🏘️ \w+ \w+ (.*) ✅""))))"),"#N/A")</f>
        <v>#N/A</v>
      </c>
      <c r="I4427" s="4" t="str">
        <f>IFERROR(__xludf.DUMMYFUNCTION("if(D4427=""variant"",  substitute(filter(Templates!E:E, Templates!A:A = F4427, Templates!B:B = G4427, Templates!C:C = H4427), ""{{}}"", E4427), B4427)"),"Vendre maison Meyrin: Trouvez le bien immobilier qui correspond idéalement à vos désirs sur ImmoScout24 - La plateforme de l'immobilier en Suisse.")</f>
        <v>Vendre maison Meyrin: Trouvez le bien immobilier qui correspond idéalement à vos désirs sur ImmoScout24 - La plateforme de l'immobilier en Suisse.</v>
      </c>
    </row>
    <row r="4428" hidden="1">
      <c r="A4428" s="5" t="s">
        <v>11957</v>
      </c>
      <c r="B4428" s="2" t="s">
        <v>11958</v>
      </c>
      <c r="C4428" s="2" t="s">
        <v>11958</v>
      </c>
      <c r="D4428" s="4" t="str">
        <f>vlookup(A4428, Sheet2!D:E, 2, 0)</f>
        <v>control</v>
      </c>
      <c r="E4428" s="4" t="str">
        <f>IFERROR(__xludf.DUMMYFUNCTION("if(H4428=""pays"",vlookup(REGEXEXTRACT(C4428, ""🏘️ \w+ \w+ (.*) ✅""),'Country prepositions'!A:B, 2, 0) &amp; "" "" &amp; REGEXEXTRACT(C4428, ""🏘️ \w+ \w+ (.*) ✅"") ,  if(H4428=""quartier"",vlookup(REGEXEXTRACT(C4428, ""🏘️ \w+ \w+ (.*) ✅""),'Quartier prepositio"&amp;"ns'!A:E, 5, 0) ,  if(H4428=""region"",vlookup(REGEXEXTRACT(C4428, ""🏘️ \w+ \w+ (.*) ✅""),'Region prepositions'!B:F, 5, 0),  REGEXEXTRACT(C4428, ""🏘️ \w+ \w+ (.*) ✅""))))"),"#N/A")</f>
        <v>#N/A</v>
      </c>
      <c r="I4428" s="4" t="str">
        <f>IFERROR(__xludf.DUMMYFUNCTION("if(D4428=""variant"",  substitute(filter(Templates!E:E, Templates!A:A = F4428, Templates!B:B = G4428, Templates!C:C = H4428), ""{{}}"", E4428), B4428)"),"Vendre maison Le Lieu: Trouvez le bien immobilier qui correspond idéalement à vos désirs sur ImmoScout24 - La plateforme de l'immobilier en Suisse.")</f>
        <v>Vendre maison Le Lieu: Trouvez le bien immobilier qui correspond idéalement à vos désirs sur ImmoScout24 - La plateforme de l'immobilier en Suisse.</v>
      </c>
    </row>
    <row r="4429" hidden="1">
      <c r="A4429" s="5" t="s">
        <v>11959</v>
      </c>
      <c r="B4429" s="2" t="s">
        <v>11960</v>
      </c>
      <c r="C4429" s="2" t="s">
        <v>11960</v>
      </c>
      <c r="D4429" s="4" t="str">
        <f>vlookup(A4429, Sheet2!D:E, 2, 0)</f>
        <v>control</v>
      </c>
      <c r="E4429" s="4" t="str">
        <f>IFERROR(__xludf.DUMMYFUNCTION("if(H4429=""pays"",vlookup(REGEXEXTRACT(C4429, ""🏘️ \w+ \w+ (.*) ✅""),'Country prepositions'!A:B, 2, 0) &amp; "" "" &amp; REGEXEXTRACT(C4429, ""🏘️ \w+ \w+ (.*) ✅"") ,  if(H4429=""quartier"",vlookup(REGEXEXTRACT(C4429, ""🏘️ \w+ \w+ (.*) ✅""),'Quartier prepositio"&amp;"ns'!A:E, 5, 0) ,  if(H4429=""region"",vlookup(REGEXEXTRACT(C4429, ""🏘️ \w+ \w+ (.*) ✅""),'Region prepositions'!B:F, 5, 0),  REGEXEXTRACT(C4429, ""🏘️ \w+ \w+ (.*) ✅""))))"),"#N/A")</f>
        <v>#N/A</v>
      </c>
      <c r="I4429" s="4" t="str">
        <f>IFERROR(__xludf.DUMMYFUNCTION("if(D4429=""variant"",  substitute(filter(Templates!E:E, Templates!A:A = F4429, Templates!B:B = G4429, Templates!C:C = H4429), ""{{}}"", E4429), B4429)"),"Vendre maison Oppens: Trouvez le bien immobilier qui correspond idéalement à vos désirs sur ImmoScout24 - La plateforme de l'immobilier en Suisse.")</f>
        <v>Vendre maison Oppens: Trouvez le bien immobilier qui correspond idéalement à vos désirs sur ImmoScout24 - La plateforme de l'immobilier en Suisse.</v>
      </c>
    </row>
    <row r="4430" hidden="1">
      <c r="A4430" s="5" t="s">
        <v>11961</v>
      </c>
      <c r="B4430" s="2" t="s">
        <v>11962</v>
      </c>
      <c r="C4430" s="2" t="s">
        <v>11962</v>
      </c>
      <c r="D4430" s="4" t="str">
        <f>vlookup(A4430, Sheet2!D:E, 2, 0)</f>
        <v>control</v>
      </c>
      <c r="E4430" s="4" t="str">
        <f>IFERROR(__xludf.DUMMYFUNCTION("if(H4430=""pays"",vlookup(REGEXEXTRACT(C4430, ""🏘️ \w+ \w+ (.*) ✅""),'Country prepositions'!A:B, 2, 0) &amp; "" "" &amp; REGEXEXTRACT(C4430, ""🏘️ \w+ \w+ (.*) ✅"") ,  if(H4430=""quartier"",vlookup(REGEXEXTRACT(C4430, ""🏘️ \w+ \w+ (.*) ✅""),'Quartier prepositio"&amp;"ns'!A:E, 5, 0) ,  if(H4430=""region"",vlookup(REGEXEXTRACT(C4430, ""🏘️ \w+ \w+ (.*) ✅""),'Region prepositions'!B:F, 5, 0),  REGEXEXTRACT(C4430, ""🏘️ \w+ \w+ (.*) ✅""))))"),"#N/A")</f>
        <v>#N/A</v>
      </c>
      <c r="I4430" s="4" t="str">
        <f>IFERROR(__xludf.DUMMYFUNCTION("if(D4430=""variant"",  substitute(filter(Templates!E:E, Templates!A:A = F4430, Templates!B:B = G4430, Templates!C:C = H4430), ""{{}}"", E4430), B4430)"),"Vendre appartement Canton de Vaud: Trouvez le bien immobilier qui correspond idéalement à vos désirs sur ImmoScout24 - La plateforme de l'immobilier en Suisse.")</f>
        <v>Vendre appartement Canton de Vaud: Trouvez le bien immobilier qui correspond idéalement à vos désirs sur ImmoScout24 - La plateforme de l'immobilier en Suisse.</v>
      </c>
    </row>
    <row r="4431" hidden="1">
      <c r="A4431" s="5" t="s">
        <v>11963</v>
      </c>
      <c r="B4431" s="2" t="s">
        <v>11964</v>
      </c>
      <c r="C4431" s="2" t="s">
        <v>11964</v>
      </c>
      <c r="D4431" s="4" t="str">
        <f>vlookup(A4431, Sheet2!D:E, 2, 0)</f>
        <v>control</v>
      </c>
      <c r="E4431" s="4" t="str">
        <f>IFERROR(__xludf.DUMMYFUNCTION("if(H4431=""pays"",vlookup(REGEXEXTRACT(C4431, ""🏘️ \w+ \w+ (.*) ✅""),'Country prepositions'!A:B, 2, 0) &amp; "" "" &amp; REGEXEXTRACT(C4431, ""🏘️ \w+ \w+ (.*) ✅"") ,  if(H4431=""quartier"",vlookup(REGEXEXTRACT(C4431, ""🏘️ \w+ \w+ (.*) ✅""),'Quartier prepositio"&amp;"ns'!A:E, 5, 0) ,  if(H4431=""region"",vlookup(REGEXEXTRACT(C4431, ""🏘️ \w+ \w+ (.*) ✅""),'Region prepositions'!B:F, 5, 0),  REGEXEXTRACT(C4431, ""🏘️ \w+ \w+ (.*) ✅""))))"),"#N/A")</f>
        <v>#N/A</v>
      </c>
      <c r="I4431" s="4" t="str">
        <f>IFERROR(__xludf.DUMMYFUNCTION("if(D4431=""variant"",  substitute(filter(Templates!E:E, Templates!A:A = F4431, Templates!B:B = G4431, Templates!C:C = H4431), ""{{}}"", E4431), B4431)"),"Louer appartement Buttes: Trouvez le bien immobilier qui correspond idéalement à vos désirs sur ImmoScout24 - La plateforme de l'immobilier en Suisse.")</f>
        <v>Louer appartement Buttes: Trouvez le bien immobilier qui correspond idéalement à vos désirs sur ImmoScout24 - La plateforme de l'immobilier en Suisse.</v>
      </c>
    </row>
    <row r="4432" hidden="1">
      <c r="A4432" s="5" t="s">
        <v>11965</v>
      </c>
      <c r="B4432" s="2" t="s">
        <v>11966</v>
      </c>
      <c r="C4432" s="2" t="s">
        <v>11966</v>
      </c>
      <c r="D4432" s="4" t="str">
        <f>vlookup(A4432, Sheet2!D:E, 2, 0)</f>
        <v>control</v>
      </c>
      <c r="E4432" s="4" t="str">
        <f>IFERROR(__xludf.DUMMYFUNCTION("if(H4432=""pays"",vlookup(REGEXEXTRACT(C4432, ""🏘️ \w+ \w+ (.*) ✅""),'Country prepositions'!A:B, 2, 0) &amp; "" "" &amp; REGEXEXTRACT(C4432, ""🏘️ \w+ \w+ (.*) ✅"") ,  if(H4432=""quartier"",vlookup(REGEXEXTRACT(C4432, ""🏘️ \w+ \w+ (.*) ✅""),'Quartier prepositio"&amp;"ns'!A:E, 5, 0) ,  if(H4432=""region"",vlookup(REGEXEXTRACT(C4432, ""🏘️ \w+ \w+ (.*) ✅""),'Region prepositions'!B:F, 5, 0),  REGEXEXTRACT(C4432, ""🏘️ \w+ \w+ (.*) ✅""))))"),"#N/A")</f>
        <v>#N/A</v>
      </c>
      <c r="I4432" s="4" t="str">
        <f>IFERROR(__xludf.DUMMYFUNCTION("if(D4432=""variant"",  substitute(filter(Templates!E:E, Templates!A:A = F4432, Templates!B:B = G4432, Templates!C:C = H4432), ""{{}}"", E4432), B4432)"),"Vendre appartement Endingen: Trouvez le bien immobilier qui correspond idéalement à vos désirs sur ImmoScout24 - La plateforme de l'immobilier en Suisse.")</f>
        <v>Vendre appartement Endingen: Trouvez le bien immobilier qui correspond idéalement à vos désirs sur ImmoScout24 - La plateforme de l'immobilier en Suisse.</v>
      </c>
    </row>
    <row r="4433" hidden="1">
      <c r="A4433" s="5" t="s">
        <v>11967</v>
      </c>
      <c r="B4433" s="2" t="s">
        <v>11968</v>
      </c>
      <c r="C4433" s="2" t="s">
        <v>11968</v>
      </c>
      <c r="D4433" s="4" t="str">
        <f>vlookup(A4433, Sheet2!D:E, 2, 0)</f>
        <v>control</v>
      </c>
      <c r="E4433" s="4" t="str">
        <f>IFERROR(__xludf.DUMMYFUNCTION("if(H4433=""pays"",vlookup(REGEXEXTRACT(C4433, ""🏘️ \w+ \w+ (.*) ✅""),'Country prepositions'!A:B, 2, 0) &amp; "" "" &amp; REGEXEXTRACT(C4433, ""🏘️ \w+ \w+ (.*) ✅"") ,  if(H4433=""quartier"",vlookup(REGEXEXTRACT(C4433, ""🏘️ \w+ \w+ (.*) ✅""),'Quartier prepositio"&amp;"ns'!A:E, 5, 0) ,  if(H4433=""region"",vlookup(REGEXEXTRACT(C4433, ""🏘️ \w+ \w+ (.*) ✅""),'Region prepositions'!B:F, 5, 0),  REGEXEXTRACT(C4433, ""🏘️ \w+ \w+ (.*) ✅""))))"),"#N/A")</f>
        <v>#N/A</v>
      </c>
      <c r="I4433" s="4" t="str">
        <f>IFERROR(__xludf.DUMMYFUNCTION("if(D4433=""variant"",  substitute(filter(Templates!E:E, Templates!A:A = F4433, Templates!B:B = G4433, Templates!C:C = H4433), ""{{}}"", E4433), B4433)"),"Louer maison Les Geneveys-sur-Coffrane: Trouvez le bien immobilier qui correspond idéalement à vos désirs sur ImmoScout24 - La plateforme de l'immobilier en Suisse.")</f>
        <v>Louer maison Les Geneveys-sur-Coffrane: Trouvez le bien immobilier qui correspond idéalement à vos désirs sur ImmoScout24 - La plateforme de l'immobilier en Suisse.</v>
      </c>
    </row>
    <row r="4434" hidden="1">
      <c r="A4434" s="5" t="s">
        <v>11969</v>
      </c>
      <c r="B4434" s="2" t="s">
        <v>11970</v>
      </c>
      <c r="C4434" s="2" t="s">
        <v>11970</v>
      </c>
      <c r="D4434" s="4" t="str">
        <f>vlookup(A4434, Sheet2!D:E, 2, 0)</f>
        <v>control</v>
      </c>
      <c r="E4434" s="4" t="str">
        <f>IFERROR(__xludf.DUMMYFUNCTION("if(H4434=""pays"",vlookup(REGEXEXTRACT(C4434, ""🏘️ \w+ \w+ (.*) ✅""),'Country prepositions'!A:B, 2, 0) &amp; "" "" &amp; REGEXEXTRACT(C4434, ""🏘️ \w+ \w+ (.*) ✅"") ,  if(H4434=""quartier"",vlookup(REGEXEXTRACT(C4434, ""🏘️ \w+ \w+ (.*) ✅""),'Quartier prepositio"&amp;"ns'!A:E, 5, 0) ,  if(H4434=""region"",vlookup(REGEXEXTRACT(C4434, ""🏘️ \w+ \w+ (.*) ✅""),'Region prepositions'!B:F, 5, 0),  REGEXEXTRACT(C4434, ""🏘️ \w+ \w+ (.*) ✅""))))"),"#N/A")</f>
        <v>#N/A</v>
      </c>
      <c r="I4434" s="4" t="str">
        <f>IFERROR(__xludf.DUMMYFUNCTION("if(D4434=""variant"",  substitute(filter(Templates!E:E, Templates!A:A = F4434, Templates!B:B = G4434, Templates!C:C = H4434), ""{{}}"", E4434), B4434)"),"Louer appartement Dornach: Trouvez le bien immobilier qui correspond idéalement à vos désirs sur ImmoScout24 - La plateforme de l'immobilier en Suisse.")</f>
        <v>Louer appartement Dornach: Trouvez le bien immobilier qui correspond idéalement à vos désirs sur ImmoScout24 - La plateforme de l'immobilier en Suisse.</v>
      </c>
    </row>
    <row r="4435" hidden="1">
      <c r="A4435" s="5" t="s">
        <v>11971</v>
      </c>
      <c r="B4435" s="2" t="s">
        <v>11972</v>
      </c>
      <c r="C4435" s="2" t="s">
        <v>11972</v>
      </c>
      <c r="D4435" s="4" t="str">
        <f>vlookup(A4435, Sheet2!D:E, 2, 0)</f>
        <v>control</v>
      </c>
      <c r="E4435" s="4" t="str">
        <f>IFERROR(__xludf.DUMMYFUNCTION("if(H4435=""pays"",vlookup(REGEXEXTRACT(C4435, ""🏘️ \w+ \w+ (.*) ✅""),'Country prepositions'!A:B, 2, 0) &amp; "" "" &amp; REGEXEXTRACT(C4435, ""🏘️ \w+ \w+ (.*) ✅"") ,  if(H4435=""quartier"",vlookup(REGEXEXTRACT(C4435, ""🏘️ \w+ \w+ (.*) ✅""),'Quartier prepositio"&amp;"ns'!A:E, 5, 0) ,  if(H4435=""region"",vlookup(REGEXEXTRACT(C4435, ""🏘️ \w+ \w+ (.*) ✅""),'Region prepositions'!B:F, 5, 0),  REGEXEXTRACT(C4435, ""🏘️ \w+ \w+ (.*) ✅""))))"),"#N/A")</f>
        <v>#N/A</v>
      </c>
      <c r="I4435" s="4" t="str">
        <f>IFERROR(__xludf.DUMMYFUNCTION("if(D4435=""variant"",  substitute(filter(Templates!E:E, Templates!A:A = F4435, Templates!B:B = G4435, Templates!C:C = H4435), ""{{}}"", E4435), B4435)"),"Louer maison Pensier: Trouvez le bien immobilier qui correspond idéalement à vos désirs sur ImmoScout24 - La plateforme de l'immobilier en Suisse.")</f>
        <v>Louer maison Pensier: Trouvez le bien immobilier qui correspond idéalement à vos désirs sur ImmoScout24 - La plateforme de l'immobilier en Suisse.</v>
      </c>
    </row>
    <row r="4436" hidden="1">
      <c r="A4436" s="5" t="s">
        <v>11973</v>
      </c>
      <c r="B4436" s="2" t="s">
        <v>11974</v>
      </c>
      <c r="C4436" s="2" t="s">
        <v>11974</v>
      </c>
      <c r="D4436" s="4" t="str">
        <f>vlookup(A4436, Sheet2!D:E, 2, 0)</f>
        <v>control</v>
      </c>
      <c r="E4436" s="4" t="str">
        <f>IFERROR(__xludf.DUMMYFUNCTION("if(H4436=""pays"",vlookup(REGEXEXTRACT(C4436, ""🏘️ \w+ \w+ (.*) ✅""),'Country prepositions'!A:B, 2, 0) &amp; "" "" &amp; REGEXEXTRACT(C4436, ""🏘️ \w+ \w+ (.*) ✅"") ,  if(H4436=""quartier"",vlookup(REGEXEXTRACT(C4436, ""🏘️ \w+ \w+ (.*) ✅""),'Quartier prepositio"&amp;"ns'!A:E, 5, 0) ,  if(H4436=""region"",vlookup(REGEXEXTRACT(C4436, ""🏘️ \w+ \w+ (.*) ✅""),'Region prepositions'!B:F, 5, 0),  REGEXEXTRACT(C4436, ""🏘️ \w+ \w+ (.*) ✅""))))"),"#N/A")</f>
        <v>#N/A</v>
      </c>
      <c r="I4436" s="4" t="str">
        <f>IFERROR(__xludf.DUMMYFUNCTION("if(D4436=""variant"",  substitute(filter(Templates!E:E, Templates!A:A = F4436, Templates!B:B = G4436, Templates!C:C = H4436), ""{{}}"", E4436), B4436)"),"Louer appartement Lorraine (Berne): Trouvez le bien immobilier qui correspond idéalement à vos désirs sur ImmoScout24 - La plateforme de l'immobilier en Suisse.")</f>
        <v>Louer appartement Lorraine (Berne): Trouvez le bien immobilier qui correspond idéalement à vos désirs sur ImmoScout24 - La plateforme de l'immobilier en Suisse.</v>
      </c>
    </row>
    <row r="4437" hidden="1">
      <c r="A4437" s="5" t="s">
        <v>11975</v>
      </c>
      <c r="B4437" s="2" t="s">
        <v>11976</v>
      </c>
      <c r="C4437" s="2" t="s">
        <v>11976</v>
      </c>
      <c r="D4437" s="4" t="str">
        <f>vlookup(A4437, Sheet2!D:E, 2, 0)</f>
        <v>control</v>
      </c>
      <c r="E4437" s="4" t="str">
        <f>IFERROR(__xludf.DUMMYFUNCTION("if(H4437=""pays"",vlookup(REGEXEXTRACT(C4437, ""🏘️ \w+ \w+ (.*) ✅""),'Country prepositions'!A:B, 2, 0) &amp; "" "" &amp; REGEXEXTRACT(C4437, ""🏘️ \w+ \w+ (.*) ✅"") ,  if(H4437=""quartier"",vlookup(REGEXEXTRACT(C4437, ""🏘️ \w+ \w+ (.*) ✅""),'Quartier prepositio"&amp;"ns'!A:E, 5, 0) ,  if(H4437=""region"",vlookup(REGEXEXTRACT(C4437, ""🏘️ \w+ \w+ (.*) ✅""),'Region prepositions'!B:F, 5, 0),  REGEXEXTRACT(C4437, ""🏘️ \w+ \w+ (.*) ✅""))))"),"#N/A")</f>
        <v>#N/A</v>
      </c>
      <c r="I4437" s="4" t="str">
        <f>IFERROR(__xludf.DUMMYFUNCTION("if(D4437=""variant"",  substitute(filter(Templates!E:E, Templates!A:A = F4437, Templates!B:B = G4437, Templates!C:C = H4437), ""{{}}"", E4437), B4437)"),"Vendre maison Bassecourt: Trouvez le bien immobilier qui correspond idéalement à vos désirs sur ImmoScout24 - La plateforme de l'immobilier en Suisse.")</f>
        <v>Vendre maison Bassecourt: Trouvez le bien immobilier qui correspond idéalement à vos désirs sur ImmoScout24 - La plateforme de l'immobilier en Suisse.</v>
      </c>
    </row>
    <row r="4438" hidden="1">
      <c r="A4438" s="5" t="s">
        <v>11977</v>
      </c>
      <c r="B4438" s="2" t="s">
        <v>11978</v>
      </c>
      <c r="C4438" s="2" t="s">
        <v>11978</v>
      </c>
      <c r="D4438" s="4" t="str">
        <f>vlookup(A4438, Sheet2!D:E, 2, 0)</f>
        <v>control</v>
      </c>
      <c r="E4438" s="4" t="str">
        <f>IFERROR(__xludf.DUMMYFUNCTION("if(H4438=""pays"",vlookup(REGEXEXTRACT(C4438, ""🏘️ \w+ \w+ (.*) ✅""),'Country prepositions'!A:B, 2, 0) &amp; "" "" &amp; REGEXEXTRACT(C4438, ""🏘️ \w+ \w+ (.*) ✅"") ,  if(H4438=""quartier"",vlookup(REGEXEXTRACT(C4438, ""🏘️ \w+ \w+ (.*) ✅""),'Quartier prepositio"&amp;"ns'!A:E, 5, 0) ,  if(H4438=""region"",vlookup(REGEXEXTRACT(C4438, ""🏘️ \w+ \w+ (.*) ✅""),'Region prepositions'!B:F, 5, 0),  REGEXEXTRACT(C4438, ""🏘️ \w+ \w+ (.*) ✅""))))"),"#N/A")</f>
        <v>#N/A</v>
      </c>
      <c r="I4438" s="4" t="str">
        <f>IFERROR(__xludf.DUMMYFUNCTION("if(D4438=""variant"",  substitute(filter(Templates!E:E, Templates!A:A = F4438, Templates!B:B = G4438, Templates!C:C = H4438), ""{{}}"", E4438), B4438)"),"Vendre maison Lavigny: Trouvez le bien immobilier qui correspond idéalement à vos désirs sur ImmoScout24 - La plateforme de l'immobilier en Suisse.")</f>
        <v>Vendre maison Lavigny: Trouvez le bien immobilier qui correspond idéalement à vos désirs sur ImmoScout24 - La plateforme de l'immobilier en Suisse.</v>
      </c>
    </row>
    <row r="4439" hidden="1">
      <c r="A4439" s="5" t="s">
        <v>11979</v>
      </c>
      <c r="B4439" s="2" t="s">
        <v>11980</v>
      </c>
      <c r="C4439" s="2" t="s">
        <v>11980</v>
      </c>
      <c r="D4439" s="4" t="str">
        <f>vlookup(A4439, Sheet2!D:E, 2, 0)</f>
        <v>control</v>
      </c>
      <c r="E4439" s="4" t="str">
        <f>IFERROR(__xludf.DUMMYFUNCTION("if(H4439=""pays"",vlookup(REGEXEXTRACT(C4439, ""🏘️ \w+ \w+ (.*) ✅""),'Country prepositions'!A:B, 2, 0) &amp; "" "" &amp; REGEXEXTRACT(C4439, ""🏘️ \w+ \w+ (.*) ✅"") ,  if(H4439=""quartier"",vlookup(REGEXEXTRACT(C4439, ""🏘️ \w+ \w+ (.*) ✅""),'Quartier prepositio"&amp;"ns'!A:E, 5, 0) ,  if(H4439=""region"",vlookup(REGEXEXTRACT(C4439, ""🏘️ \w+ \w+ (.*) ✅""),'Region prepositions'!B:F, 5, 0),  REGEXEXTRACT(C4439, ""🏘️ \w+ \w+ (.*) ✅""))))"),"#N/A")</f>
        <v>#N/A</v>
      </c>
      <c r="I4439" s="4" t="str">
        <f>IFERROR(__xludf.DUMMYFUNCTION("if(D4439=""variant"",  substitute(filter(Templates!E:E, Templates!A:A = F4439, Templates!B:B = G4439, Templates!C:C = H4439), ""{{}}"", E4439), B4439)"),"Louer appartement Loc: Trouvez le bien immobilier qui correspond idéalement à vos désirs sur ImmoScout24 - La plateforme de l'immobilier en Suisse.")</f>
        <v>Louer appartement Loc: Trouvez le bien immobilier qui correspond idéalement à vos désirs sur ImmoScout24 - La plateforme de l'immobilier en Suisse.</v>
      </c>
    </row>
    <row r="4440" hidden="1">
      <c r="A4440" s="5" t="s">
        <v>11981</v>
      </c>
      <c r="B4440" s="2" t="s">
        <v>11982</v>
      </c>
      <c r="C4440" s="2" t="s">
        <v>11982</v>
      </c>
      <c r="D4440" s="4" t="str">
        <f>vlookup(A4440, Sheet2!D:E, 2, 0)</f>
        <v>control</v>
      </c>
      <c r="E4440" s="4" t="str">
        <f>IFERROR(__xludf.DUMMYFUNCTION("if(H4440=""pays"",vlookup(REGEXEXTRACT(C4440, ""🏘️ \w+ \w+ (.*) ✅""),'Country prepositions'!A:B, 2, 0) &amp; "" "" &amp; REGEXEXTRACT(C4440, ""🏘️ \w+ \w+ (.*) ✅"") ,  if(H4440=""quartier"",vlookup(REGEXEXTRACT(C4440, ""🏘️ \w+ \w+ (.*) ✅""),'Quartier prepositio"&amp;"ns'!A:E, 5, 0) ,  if(H4440=""region"",vlookup(REGEXEXTRACT(C4440, ""🏘️ \w+ \w+ (.*) ✅""),'Region prepositions'!B:F, 5, 0),  REGEXEXTRACT(C4440, ""🏘️ \w+ \w+ (.*) ✅""))))"),"#N/A")</f>
        <v>#N/A</v>
      </c>
      <c r="I4440" s="4" t="str">
        <f>IFERROR(__xludf.DUMMYFUNCTION("if(D4440=""variant"",  substitute(filter(Templates!E:E, Templates!A:A = F4440, Templates!B:B = G4440, Templates!C:C = H4440), ""{{}}"", E4440), B4440)"),"Louer appartement Muntelier: Trouvez le bien immobilier qui correspond idéalement à vos désirs sur ImmoScout24 - La plateforme de l'immobilier en Suisse.")</f>
        <v>Louer appartement Muntelier: Trouvez le bien immobilier qui correspond idéalement à vos désirs sur ImmoScout24 - La plateforme de l'immobilier en Suisse.</v>
      </c>
    </row>
    <row r="4441" hidden="1">
      <c r="A4441" s="5" t="s">
        <v>11983</v>
      </c>
      <c r="B4441" s="2" t="s">
        <v>11984</v>
      </c>
      <c r="C4441" s="2" t="s">
        <v>11984</v>
      </c>
      <c r="D4441" s="4" t="str">
        <f>vlookup(A4441, Sheet2!D:E, 2, 0)</f>
        <v>control</v>
      </c>
      <c r="E4441" s="4" t="str">
        <f>IFERROR(__xludf.DUMMYFUNCTION("if(H4441=""pays"",vlookup(REGEXEXTRACT(C4441, ""🏘️ \w+ \w+ (.*) ✅""),'Country prepositions'!A:B, 2, 0) &amp; "" "" &amp; REGEXEXTRACT(C4441, ""🏘️ \w+ \w+ (.*) ✅"") ,  if(H4441=""quartier"",vlookup(REGEXEXTRACT(C4441, ""🏘️ \w+ \w+ (.*) ✅""),'Quartier prepositio"&amp;"ns'!A:E, 5, 0) ,  if(H4441=""region"",vlookup(REGEXEXTRACT(C4441, ""🏘️ \w+ \w+ (.*) ✅""),'Region prepositions'!B:F, 5, 0),  REGEXEXTRACT(C4441, ""🏘️ \w+ \w+ (.*) ✅""))))"),"#N/A")</f>
        <v>#N/A</v>
      </c>
      <c r="I4441" s="4" t="str">
        <f>IFERROR(__xludf.DUMMYFUNCTION("if(D4441=""variant"",  substitute(filter(Templates!E:E, Templates!A:A = F4441, Templates!B:B = G4441, Templates!C:C = H4441), ""{{}}"", E4441), B4441)"),"Vendre maison Laufenburg: Trouvez le bien immobilier qui correspond idéalement à vos désirs sur ImmoScout24 - La plateforme de l'immobilier en Suisse.")</f>
        <v>Vendre maison Laufenburg: Trouvez le bien immobilier qui correspond idéalement à vos désirs sur ImmoScout24 - La plateforme de l'immobilier en Suisse.</v>
      </c>
    </row>
    <row r="4442" hidden="1">
      <c r="A4442" s="5" t="s">
        <v>11985</v>
      </c>
      <c r="B4442" s="2" t="s">
        <v>10246</v>
      </c>
      <c r="C4442" s="2" t="s">
        <v>10246</v>
      </c>
      <c r="D4442" s="4" t="str">
        <f>vlookup(A4442, Sheet2!D:E, 2, 0)</f>
        <v>control</v>
      </c>
      <c r="E4442" s="4" t="str">
        <f>IFERROR(__xludf.DUMMYFUNCTION("if(H4442=""pays"",vlookup(REGEXEXTRACT(C4442, ""🏘️ \w+ \w+ (.*) ✅""),'Country prepositions'!A:B, 2, 0) &amp; "" "" &amp; REGEXEXTRACT(C4442, ""🏘️ \w+ \w+ (.*) ✅"") ,  if(H4442=""quartier"",vlookup(REGEXEXTRACT(C4442, ""🏘️ \w+ \w+ (.*) ✅""),'Quartier prepositio"&amp;"ns'!A:E, 5, 0) ,  if(H4442=""region"",vlookup(REGEXEXTRACT(C4442, ""🏘️ \w+ \w+ (.*) ✅""),'Region prepositions'!B:F, 5, 0),  REGEXEXTRACT(C4442, ""🏘️ \w+ \w+ (.*) ✅""))))"),"#N/A")</f>
        <v>#N/A</v>
      </c>
      <c r="I4442" s="4" t="str">
        <f>IFERROR(__xludf.DUMMYFUNCTION("if(D4442=""variant"",  substitute(filter(Templates!E:E, Templates!A:A = F4442, Templates!B:B = G4442, Templates!C:C = H4442), ""{{}}"", E4442), B4442)"),"Vendre appartement Delémont: Trouvez le bien immobilier qui correspond idéalement à vos désirs sur ImmoScout24 - La plateforme de l'immobilier en Suisse.")</f>
        <v>Vendre appartement Delémont: Trouvez le bien immobilier qui correspond idéalement à vos désirs sur ImmoScout24 - La plateforme de l'immobilier en Suisse.</v>
      </c>
    </row>
    <row r="4443" hidden="1">
      <c r="A4443" s="5" t="s">
        <v>11986</v>
      </c>
      <c r="B4443" s="2" t="s">
        <v>11987</v>
      </c>
      <c r="C4443" s="2" t="s">
        <v>11987</v>
      </c>
      <c r="D4443" s="4" t="str">
        <f>vlookup(A4443, Sheet2!D:E, 2, 0)</f>
        <v>control</v>
      </c>
      <c r="E4443" s="4" t="str">
        <f>IFERROR(__xludf.DUMMYFUNCTION("if(H4443=""pays"",vlookup(REGEXEXTRACT(C4443, ""🏘️ \w+ \w+ (.*) ✅""),'Country prepositions'!A:B, 2, 0) &amp; "" "" &amp; REGEXEXTRACT(C4443, ""🏘️ \w+ \w+ (.*) ✅"") ,  if(H4443=""quartier"",vlookup(REGEXEXTRACT(C4443, ""🏘️ \w+ \w+ (.*) ✅""),'Quartier prepositio"&amp;"ns'!A:E, 5, 0) ,  if(H4443=""region"",vlookup(REGEXEXTRACT(C4443, ""🏘️ \w+ \w+ (.*) ✅""),'Region prepositions'!B:F, 5, 0),  REGEXEXTRACT(C4443, ""🏘️ \w+ \w+ (.*) ✅""))))"),"#N/A")</f>
        <v>#N/A</v>
      </c>
      <c r="I4443" s="4" t="str">
        <f>IFERROR(__xludf.DUMMYFUNCTION("if(D4443=""variant"",  substitute(filter(Templates!E:E, Templates!A:A = F4443, Templates!B:B = G4443, Templates!C:C = H4443), ""{{}}"", E4443), B4443)"),"Louer appartement Twann: Trouvez le bien immobilier qui correspond idéalement à vos désirs sur ImmoScout24 - La plateforme de l'immobilier en Suisse.")</f>
        <v>Louer appartement Twann: Trouvez le bien immobilier qui correspond idéalement à vos désirs sur ImmoScout24 - La plateforme de l'immobilier en Suisse.</v>
      </c>
    </row>
    <row r="4444" hidden="1">
      <c r="A4444" s="5" t="s">
        <v>11988</v>
      </c>
      <c r="B4444" s="2" t="s">
        <v>11989</v>
      </c>
      <c r="C4444" s="2" t="s">
        <v>11989</v>
      </c>
      <c r="D4444" s="4" t="str">
        <f>vlookup(A4444, Sheet2!D:E, 2, 0)</f>
        <v>control</v>
      </c>
      <c r="E4444" s="4" t="str">
        <f>IFERROR(__xludf.DUMMYFUNCTION("if(H4444=""pays"",vlookup(REGEXEXTRACT(C4444, ""🏘️ \w+ \w+ (.*) ✅""),'Country prepositions'!A:B, 2, 0) &amp; "" "" &amp; REGEXEXTRACT(C4444, ""🏘️ \w+ \w+ (.*) ✅"") ,  if(H4444=""quartier"",vlookup(REGEXEXTRACT(C4444, ""🏘️ \w+ \w+ (.*) ✅""),'Quartier prepositio"&amp;"ns'!A:E, 5, 0) ,  if(H4444=""region"",vlookup(REGEXEXTRACT(C4444, ""🏘️ \w+ \w+ (.*) ✅""),'Region prepositions'!B:F, 5, 0),  REGEXEXTRACT(C4444, ""🏘️ \w+ \w+ (.*) ✅""))))"),"#N/A")</f>
        <v>#N/A</v>
      </c>
      <c r="I4444" s="4" t="str">
        <f>IFERROR(__xludf.DUMMYFUNCTION("if(D4444=""variant"",  substitute(filter(Templates!E:E, Templates!A:A = F4444, Templates!B:B = G4444, Templates!C:C = H4444), ""{{}}"", E4444), B4444)"),"Vendre maison Payerne: Trouvez le bien immobilier qui correspond idéalement à vos désirs sur ImmoScout24 - La plateforme de l'immobilier en Suisse.")</f>
        <v>Vendre maison Payerne: Trouvez le bien immobilier qui correspond idéalement à vos désirs sur ImmoScout24 - La plateforme de l'immobilier en Suisse.</v>
      </c>
    </row>
    <row r="4445" hidden="1">
      <c r="A4445" s="5" t="s">
        <v>11990</v>
      </c>
      <c r="B4445" s="2" t="s">
        <v>11991</v>
      </c>
      <c r="C4445" s="2" t="s">
        <v>11991</v>
      </c>
      <c r="D4445" s="4" t="str">
        <f>vlookup(A4445, Sheet2!D:E, 2, 0)</f>
        <v>control</v>
      </c>
      <c r="E4445" s="4" t="str">
        <f>IFERROR(__xludf.DUMMYFUNCTION("if(H4445=""pays"",vlookup(REGEXEXTRACT(C4445, ""🏘️ \w+ \w+ (.*) ✅""),'Country prepositions'!A:B, 2, 0) &amp; "" "" &amp; REGEXEXTRACT(C4445, ""🏘️ \w+ \w+ (.*) ✅"") ,  if(H4445=""quartier"",vlookup(REGEXEXTRACT(C4445, ""🏘️ \w+ \w+ (.*) ✅""),'Quartier prepositio"&amp;"ns'!A:E, 5, 0) ,  if(H4445=""region"",vlookup(REGEXEXTRACT(C4445, ""🏘️ \w+ \w+ (.*) ✅""),'Region prepositions'!B:F, 5, 0),  REGEXEXTRACT(C4445, ""🏘️ \w+ \w+ (.*) ✅""))))"),"#N/A")</f>
        <v>#N/A</v>
      </c>
      <c r="I4445" s="4" t="str">
        <f>IFERROR(__xludf.DUMMYFUNCTION("if(D4445=""variant"",  substitute(filter(Templates!E:E, Templates!A:A = F4445, Templates!B:B = G4445, Templates!C:C = H4445), ""{{}}"", E4445), B4445)"),"Louer appartement Baden: Trouvez le bien immobilier qui correspond idéalement à vos désirs sur ImmoScout24 - La plateforme de l'immobilier en Suisse.")</f>
        <v>Louer appartement Baden: Trouvez le bien immobilier qui correspond idéalement à vos désirs sur ImmoScout24 - La plateforme de l'immobilier en Suisse.</v>
      </c>
    </row>
    <row r="4446" hidden="1">
      <c r="A4446" s="5" t="s">
        <v>11992</v>
      </c>
      <c r="B4446" s="2" t="s">
        <v>11993</v>
      </c>
      <c r="C4446" s="2" t="s">
        <v>11993</v>
      </c>
      <c r="D4446" s="4" t="str">
        <f>vlookup(A4446, Sheet2!D:E, 2, 0)</f>
        <v>control</v>
      </c>
      <c r="E4446" s="4" t="str">
        <f>IFERROR(__xludf.DUMMYFUNCTION("if(H4446=""pays"",vlookup(REGEXEXTRACT(C4446, ""🏘️ \w+ \w+ (.*) ✅""),'Country prepositions'!A:B, 2, 0) &amp; "" "" &amp; REGEXEXTRACT(C4446, ""🏘️ \w+ \w+ (.*) ✅"") ,  if(H4446=""quartier"",vlookup(REGEXEXTRACT(C4446, ""🏘️ \w+ \w+ (.*) ✅""),'Quartier prepositio"&amp;"ns'!A:E, 5, 0) ,  if(H4446=""region"",vlookup(REGEXEXTRACT(C4446, ""🏘️ \w+ \w+ (.*) ✅""),'Region prepositions'!B:F, 5, 0),  REGEXEXTRACT(C4446, ""🏘️ \w+ \w+ (.*) ✅""))))"),"#N/A")</f>
        <v>#N/A</v>
      </c>
      <c r="I4446" s="4" t="str">
        <f>IFERROR(__xludf.DUMMYFUNCTION("if(D4446=""variant"",  substitute(filter(Templates!E:E, Templates!A:A = F4446, Templates!B:B = G4446, Templates!C:C = H4446), ""{{}}"", E4446), B4446)"),"Vendre maison Saxon: Trouvez le bien immobilier qui correspond idéalement à vos désirs sur ImmoScout24 - La plateforme de l'immobilier en Suisse.")</f>
        <v>Vendre maison Saxon: Trouvez le bien immobilier qui correspond idéalement à vos désirs sur ImmoScout24 - La plateforme de l'immobilier en Suisse.</v>
      </c>
    </row>
    <row r="4447" hidden="1">
      <c r="A4447" s="5" t="s">
        <v>11994</v>
      </c>
      <c r="B4447" s="2" t="s">
        <v>11995</v>
      </c>
      <c r="C4447" s="2" t="s">
        <v>11995</v>
      </c>
      <c r="D4447" s="4" t="str">
        <f>vlookup(A4447, Sheet2!D:E, 2, 0)</f>
        <v>control</v>
      </c>
      <c r="E4447" s="4" t="str">
        <f>IFERROR(__xludf.DUMMYFUNCTION("if(H4447=""pays"",vlookup(REGEXEXTRACT(C4447, ""🏘️ \w+ \w+ (.*) ✅""),'Country prepositions'!A:B, 2, 0) &amp; "" "" &amp; REGEXEXTRACT(C4447, ""🏘️ \w+ \w+ (.*) ✅"") ,  if(H4447=""quartier"",vlookup(REGEXEXTRACT(C4447, ""🏘️ \w+ \w+ (.*) ✅""),'Quartier prepositio"&amp;"ns'!A:E, 5, 0) ,  if(H4447=""region"",vlookup(REGEXEXTRACT(C4447, ""🏘️ \w+ \w+ (.*) ✅""),'Region prepositions'!B:F, 5, 0),  REGEXEXTRACT(C4447, ""🏘️ \w+ \w+ (.*) ✅""))))"),"#N/A")</f>
        <v>#N/A</v>
      </c>
      <c r="I4447" s="4" t="str">
        <f>IFERROR(__xludf.DUMMYFUNCTION("if(D4447=""variant"",  substitute(filter(Templates!E:E, Templates!A:A = F4447, Templates!B:B = G4447, Templates!C:C = H4447), ""{{}}"", E4447), B4447)"),"Louer appartement Buchs AG: Trouvez le bien immobilier qui correspond idéalement à vos désirs sur ImmoScout24 - La plateforme de l'immobilier en Suisse.")</f>
        <v>Louer appartement Buchs AG: Trouvez le bien immobilier qui correspond idéalement à vos désirs sur ImmoScout24 - La plateforme de l'immobilier en Suisse.</v>
      </c>
    </row>
    <row r="4448" hidden="1">
      <c r="A4448" s="5" t="s">
        <v>11996</v>
      </c>
      <c r="B4448" s="2" t="s">
        <v>11997</v>
      </c>
      <c r="C4448" s="2" t="s">
        <v>11997</v>
      </c>
      <c r="D4448" s="4" t="str">
        <f>vlookup(A4448, Sheet2!D:E, 2, 0)</f>
        <v>control</v>
      </c>
      <c r="E4448" s="4" t="str">
        <f>IFERROR(__xludf.DUMMYFUNCTION("if(H4448=""pays"",vlookup(REGEXEXTRACT(C4448, ""🏘️ \w+ \w+ (.*) ✅""),'Country prepositions'!A:B, 2, 0) &amp; "" "" &amp; REGEXEXTRACT(C4448, ""🏘️ \w+ \w+ (.*) ✅"") ,  if(H4448=""quartier"",vlookup(REGEXEXTRACT(C4448, ""🏘️ \w+ \w+ (.*) ✅""),'Quartier prepositio"&amp;"ns'!A:E, 5, 0) ,  if(H4448=""region"",vlookup(REGEXEXTRACT(C4448, ""🏘️ \w+ \w+ (.*) ✅""),'Region prepositions'!B:F, 5, 0),  REGEXEXTRACT(C4448, ""🏘️ \w+ \w+ (.*) ✅""))))"),"#N/A")</f>
        <v>#N/A</v>
      </c>
      <c r="I4448" s="4" t="str">
        <f>IFERROR(__xludf.DUMMYFUNCTION("if(D4448=""variant"",  substitute(filter(Templates!E:E, Templates!A:A = F4448, Templates!B:B = G4448, Templates!C:C = H4448), ""{{}}"", E4448), B4448)"),"Louer appartement Schönenbuch: Trouvez le bien immobilier qui correspond idéalement à vos désirs sur ImmoScout24 - La plateforme de l'immobilier en Suisse.")</f>
        <v>Louer appartement Schönenbuch: Trouvez le bien immobilier qui correspond idéalement à vos désirs sur ImmoScout24 - La plateforme de l'immobilier en Suisse.</v>
      </c>
    </row>
    <row r="4449" hidden="1">
      <c r="A4449" s="5" t="s">
        <v>11998</v>
      </c>
      <c r="B4449" s="2" t="s">
        <v>11999</v>
      </c>
      <c r="C4449" s="2" t="s">
        <v>11999</v>
      </c>
      <c r="D4449" s="4" t="str">
        <f>vlookup(A4449, Sheet2!D:E, 2, 0)</f>
        <v>control</v>
      </c>
      <c r="E4449" s="4" t="str">
        <f>IFERROR(__xludf.DUMMYFUNCTION("if(H4449=""pays"",vlookup(REGEXEXTRACT(C4449, ""🏘️ \w+ \w+ (.*) ✅""),'Country prepositions'!A:B, 2, 0) &amp; "" "" &amp; REGEXEXTRACT(C4449, ""🏘️ \w+ \w+ (.*) ✅"") ,  if(H4449=""quartier"",vlookup(REGEXEXTRACT(C4449, ""🏘️ \w+ \w+ (.*) ✅""),'Quartier prepositio"&amp;"ns'!A:E, 5, 0) ,  if(H4449=""region"",vlookup(REGEXEXTRACT(C4449, ""🏘️ \w+ \w+ (.*) ✅""),'Region prepositions'!B:F, 5, 0),  REGEXEXTRACT(C4449, ""🏘️ \w+ \w+ (.*) ✅""))))"),"#N/A")</f>
        <v>#N/A</v>
      </c>
      <c r="I4449" s="4" t="str">
        <f>IFERROR(__xludf.DUMMYFUNCTION("if(D4449=""variant"",  substitute(filter(Templates!E:E, Templates!A:A = F4449, Templates!B:B = G4449, Templates!C:C = H4449), ""{{}}"", E4449), B4449)"),"Louer appartement Valangin: Trouvez le bien immobilier qui correspond idéalement à vos désirs sur ImmoScout24 - La plateforme de l'immobilier en Suisse.")</f>
        <v>Louer appartement Valangin: Trouvez le bien immobilier qui correspond idéalement à vos désirs sur ImmoScout24 - La plateforme de l'immobilier en Suisse.</v>
      </c>
    </row>
    <row r="4450" hidden="1">
      <c r="A4450" s="5" t="s">
        <v>12000</v>
      </c>
      <c r="B4450" s="2" t="s">
        <v>12001</v>
      </c>
      <c r="C4450" s="2" t="s">
        <v>12001</v>
      </c>
      <c r="D4450" s="4" t="str">
        <f>vlookup(A4450, Sheet2!D:E, 2, 0)</f>
        <v>control</v>
      </c>
      <c r="E4450" s="4" t="str">
        <f>IFERROR(__xludf.DUMMYFUNCTION("if(H4450=""pays"",vlookup(REGEXEXTRACT(C4450, ""🏘️ \w+ \w+ (.*) ✅""),'Country prepositions'!A:B, 2, 0) &amp; "" "" &amp; REGEXEXTRACT(C4450, ""🏘️ \w+ \w+ (.*) ✅"") ,  if(H4450=""quartier"",vlookup(REGEXEXTRACT(C4450, ""🏘️ \w+ \w+ (.*) ✅""),'Quartier prepositio"&amp;"ns'!A:E, 5, 0) ,  if(H4450=""region"",vlookup(REGEXEXTRACT(C4450, ""🏘️ \w+ \w+ (.*) ✅""),'Region prepositions'!B:F, 5, 0),  REGEXEXTRACT(C4450, ""🏘️ \w+ \w+ (.*) ✅""))))"),"#N/A")</f>
        <v>#N/A</v>
      </c>
      <c r="I4450" s="4" t="str">
        <f>IFERROR(__xludf.DUMMYFUNCTION("if(D4450=""variant"",  substitute(filter(Templates!E:E, Templates!A:A = F4450, Templates!B:B = G4450, Templates!C:C = H4450), ""{{}}"", E4450), B4450)"),"Louer appartement Rorschach: Trouvez le bien immobilier qui correspond idéalement à vos désirs sur ImmoScout24 - La plateforme de l'immobilier en Suisse.")</f>
        <v>Louer appartement Rorschach: Trouvez le bien immobilier qui correspond idéalement à vos désirs sur ImmoScout24 - La plateforme de l'immobilier en Suisse.</v>
      </c>
    </row>
    <row r="4451" hidden="1">
      <c r="A4451" s="5" t="s">
        <v>12002</v>
      </c>
      <c r="B4451" s="2" t="s">
        <v>12003</v>
      </c>
      <c r="C4451" s="2" t="s">
        <v>12003</v>
      </c>
      <c r="D4451" s="4" t="str">
        <f>vlookup(A4451, Sheet2!D:E, 2, 0)</f>
        <v>control</v>
      </c>
      <c r="E4451" s="4" t="str">
        <f>IFERROR(__xludf.DUMMYFUNCTION("if(H4451=""pays"",vlookup(REGEXEXTRACT(C4451, ""🏘️ \w+ \w+ (.*) ✅""),'Country prepositions'!A:B, 2, 0) &amp; "" "" &amp; REGEXEXTRACT(C4451, ""🏘️ \w+ \w+ (.*) ✅"") ,  if(H4451=""quartier"",vlookup(REGEXEXTRACT(C4451, ""🏘️ \w+ \w+ (.*) ✅""),'Quartier prepositio"&amp;"ns'!A:E, 5, 0) ,  if(H4451=""region"",vlookup(REGEXEXTRACT(C4451, ""🏘️ \w+ \w+ (.*) ✅""),'Region prepositions'!B:F, 5, 0),  REGEXEXTRACT(C4451, ""🏘️ \w+ \w+ (.*) ✅""))))"),"#N/A")</f>
        <v>#N/A</v>
      </c>
      <c r="I4451" s="4" t="str">
        <f>IFERROR(__xludf.DUMMYFUNCTION("if(D4451=""variant"",  substitute(filter(Templates!E:E, Templates!A:A = F4451, Templates!B:B = G4451, Templates!C:C = H4451), ""{{}}"", E4451), B4451)"),"Vendre maison Montmollin: Trouvez le bien immobilier qui correspond idéalement à vos désirs sur ImmoScout24 - La plateforme de l'immobilier en Suisse.")</f>
        <v>Vendre maison Montmollin: Trouvez le bien immobilier qui correspond idéalement à vos désirs sur ImmoScout24 - La plateforme de l'immobilier en Suisse.</v>
      </c>
    </row>
    <row r="4452" hidden="1">
      <c r="A4452" s="5" t="s">
        <v>12004</v>
      </c>
      <c r="B4452" s="2" t="s">
        <v>12005</v>
      </c>
      <c r="C4452" s="2" t="s">
        <v>12005</v>
      </c>
      <c r="D4452" s="4" t="str">
        <f>vlookup(A4452, Sheet2!D:E, 2, 0)</f>
        <v>control</v>
      </c>
      <c r="E4452" s="4" t="str">
        <f>IFERROR(__xludf.DUMMYFUNCTION("if(H4452=""pays"",vlookup(REGEXEXTRACT(C4452, ""🏘️ \w+ \w+ (.*) ✅""),'Country prepositions'!A:B, 2, 0) &amp; "" "" &amp; REGEXEXTRACT(C4452, ""🏘️ \w+ \w+ (.*) ✅"") ,  if(H4452=""quartier"",vlookup(REGEXEXTRACT(C4452, ""🏘️ \w+ \w+ (.*) ✅""),'Quartier prepositio"&amp;"ns'!A:E, 5, 0) ,  if(H4452=""region"",vlookup(REGEXEXTRACT(C4452, ""🏘️ \w+ \w+ (.*) ✅""),'Region prepositions'!B:F, 5, 0),  REGEXEXTRACT(C4452, ""🏘️ \w+ \w+ (.*) ✅""))))"),"#N/A")</f>
        <v>#N/A</v>
      </c>
      <c r="I4452" s="4" t="str">
        <f>IFERROR(__xludf.DUMMYFUNCTION("if(D4452=""variant"",  substitute(filter(Templates!E:E, Templates!A:A = F4452, Templates!B:B = G4452, Templates!C:C = H4452), ""{{}}"", E4452), B4452)"),"Vendre appartement La Chaux-du-Milieu: Trouvez le bien immobilier qui correspond idéalement à vos désirs sur ImmoScout24 - La plateforme de l'immobilier en Suisse.")</f>
        <v>Vendre appartement La Chaux-du-Milieu: Trouvez le bien immobilier qui correspond idéalement à vos désirs sur ImmoScout24 - La plateforme de l'immobilier en Suisse.</v>
      </c>
    </row>
    <row r="4453" hidden="1">
      <c r="A4453" s="5" t="s">
        <v>12006</v>
      </c>
      <c r="B4453" s="2" t="s">
        <v>12007</v>
      </c>
      <c r="C4453" s="2" t="s">
        <v>12007</v>
      </c>
      <c r="D4453" s="4" t="str">
        <f>vlookup(A4453, Sheet2!D:E, 2, 0)</f>
        <v>control</v>
      </c>
      <c r="E4453" s="4" t="str">
        <f>IFERROR(__xludf.DUMMYFUNCTION("if(H4453=""pays"",vlookup(REGEXEXTRACT(C4453, ""🏘️ \w+ \w+ (.*) ✅""),'Country prepositions'!A:B, 2, 0) &amp; "" "" &amp; REGEXEXTRACT(C4453, ""🏘️ \w+ \w+ (.*) ✅"") ,  if(H4453=""quartier"",vlookup(REGEXEXTRACT(C4453, ""🏘️ \w+ \w+ (.*) ✅""),'Quartier prepositio"&amp;"ns'!A:E, 5, 0) ,  if(H4453=""region"",vlookup(REGEXEXTRACT(C4453, ""🏘️ \w+ \w+ (.*) ✅""),'Region prepositions'!B:F, 5, 0),  REGEXEXTRACT(C4453, ""🏘️ \w+ \w+ (.*) ✅""))))"),"#N/A")</f>
        <v>#N/A</v>
      </c>
      <c r="I4453" s="4" t="str">
        <f>IFERROR(__xludf.DUMMYFUNCTION("if(D4453=""variant"",  substitute(filter(Templates!E:E, Templates!A:A = F4453, Templates!B:B = G4453, Templates!C:C = H4453), ""{{}}"", E4453), B4453)"),"Vendre appartement Chailly - Rovéréaz (Lausanne): Trouvez le bien immobilier qui correspond idéalement à vos désirs sur ImmoScout24 - La plateforme de l'immobilier en Suisse.")</f>
        <v>Vendre appartement Chailly - Rovéréaz (Lausanne): Trouvez le bien immobilier qui correspond idéalement à vos désirs sur ImmoScout24 - La plateforme de l'immobilier en Suisse.</v>
      </c>
    </row>
    <row r="4454" hidden="1">
      <c r="A4454" s="5" t="s">
        <v>12008</v>
      </c>
      <c r="B4454" s="2" t="s">
        <v>12009</v>
      </c>
      <c r="C4454" s="2" t="s">
        <v>12009</v>
      </c>
      <c r="D4454" s="4" t="str">
        <f>vlookup(A4454, Sheet2!D:E, 2, 0)</f>
        <v>control</v>
      </c>
      <c r="E4454" s="4" t="str">
        <f>IFERROR(__xludf.DUMMYFUNCTION("if(H4454=""pays"",vlookup(REGEXEXTRACT(C4454, ""🏘️ \w+ \w+ (.*) ✅""),'Country prepositions'!A:B, 2, 0) &amp; "" "" &amp; REGEXEXTRACT(C4454, ""🏘️ \w+ \w+ (.*) ✅"") ,  if(H4454=""quartier"",vlookup(REGEXEXTRACT(C4454, ""🏘️ \w+ \w+ (.*) ✅""),'Quartier prepositio"&amp;"ns'!A:E, 5, 0) ,  if(H4454=""region"",vlookup(REGEXEXTRACT(C4454, ""🏘️ \w+ \w+ (.*) ✅""),'Region prepositions'!B:F, 5, 0),  REGEXEXTRACT(C4454, ""🏘️ \w+ \w+ (.*) ✅""))))"),"#N/A")</f>
        <v>#N/A</v>
      </c>
      <c r="I4454" s="4" t="str">
        <f>IFERROR(__xludf.DUMMYFUNCTION("if(D4454=""variant"",  substitute(filter(Templates!E:E, Templates!A:A = F4454, Templates!B:B = G4454, Templates!C:C = H4454), ""{{}}"", E4454), B4454)"),"Vendre appartement Bülach: Trouvez le bien immobilier qui correspond idéalement à vos désirs sur ImmoScout24 - La plateforme de l'immobilier en Suisse.")</f>
        <v>Vendre appartement Bülach: Trouvez le bien immobilier qui correspond idéalement à vos désirs sur ImmoScout24 - La plateforme de l'immobilier en Suisse.</v>
      </c>
    </row>
    <row r="4455" hidden="1">
      <c r="A4455" s="5" t="s">
        <v>12010</v>
      </c>
      <c r="B4455" s="2" t="s">
        <v>12011</v>
      </c>
      <c r="C4455" s="2" t="s">
        <v>12011</v>
      </c>
      <c r="D4455" s="4" t="str">
        <f>vlookup(A4455, Sheet2!D:E, 2, 0)</f>
        <v>control</v>
      </c>
      <c r="E4455" s="4" t="str">
        <f>IFERROR(__xludf.DUMMYFUNCTION("if(H4455=""pays"",vlookup(REGEXEXTRACT(C4455, ""🏘️ \w+ \w+ (.*) ✅""),'Country prepositions'!A:B, 2, 0) &amp; "" "" &amp; REGEXEXTRACT(C4455, ""🏘️ \w+ \w+ (.*) ✅"") ,  if(H4455=""quartier"",vlookup(REGEXEXTRACT(C4455, ""🏘️ \w+ \w+ (.*) ✅""),'Quartier prepositio"&amp;"ns'!A:E, 5, 0) ,  if(H4455=""region"",vlookup(REGEXEXTRACT(C4455, ""🏘️ \w+ \w+ (.*) ✅""),'Region prepositions'!B:F, 5, 0),  REGEXEXTRACT(C4455, ""🏘️ \w+ \w+ (.*) ✅""))))"),"#N/A")</f>
        <v>#N/A</v>
      </c>
      <c r="I4455" s="4" t="str">
        <f>IFERROR(__xludf.DUMMYFUNCTION("if(D4455=""variant"",  substitute(filter(Templates!E:E, Templates!A:A = F4455, Templates!B:B = G4455, Templates!C:C = H4455), ""{{}}"", E4455), B4455)"),"Louer appartement Gumefens: Trouvez le bien immobilier qui correspond idéalement à vos désirs sur ImmoScout24 - La plateforme de l'immobilier en Suisse.")</f>
        <v>Louer appartement Gumefens: Trouvez le bien immobilier qui correspond idéalement à vos désirs sur ImmoScout24 - La plateforme de l'immobilier en Suisse.</v>
      </c>
    </row>
    <row r="4456" hidden="1">
      <c r="A4456" s="5" t="s">
        <v>12012</v>
      </c>
      <c r="B4456" s="2" t="s">
        <v>12013</v>
      </c>
      <c r="C4456" s="2" t="s">
        <v>12013</v>
      </c>
      <c r="D4456" s="4" t="str">
        <f>vlookup(A4456, Sheet2!D:E, 2, 0)</f>
        <v>control</v>
      </c>
      <c r="E4456" s="4" t="str">
        <f>IFERROR(__xludf.DUMMYFUNCTION("if(H4456=""pays"",vlookup(REGEXEXTRACT(C4456, ""🏘️ \w+ \w+ (.*) ✅""),'Country prepositions'!A:B, 2, 0) &amp; "" "" &amp; REGEXEXTRACT(C4456, ""🏘️ \w+ \w+ (.*) ✅"") ,  if(H4456=""quartier"",vlookup(REGEXEXTRACT(C4456, ""🏘️ \w+ \w+ (.*) ✅""),'Quartier prepositio"&amp;"ns'!A:E, 5, 0) ,  if(H4456=""region"",vlookup(REGEXEXTRACT(C4456, ""🏘️ \w+ \w+ (.*) ✅""),'Region prepositions'!B:F, 5, 0),  REGEXEXTRACT(C4456, ""🏘️ \w+ \w+ (.*) ✅""))))"),"#N/A")</f>
        <v>#N/A</v>
      </c>
      <c r="I4456" s="4" t="str">
        <f>IFERROR(__xludf.DUMMYFUNCTION("if(D4456=""variant"",  substitute(filter(Templates!E:E, Templates!A:A = F4456, Templates!B:B = G4456, Templates!C:C = H4456), ""{{}}"", E4456), B4456)"),"Vendre maison Soral: Trouvez le bien immobilier qui correspond idéalement à vos désirs sur ImmoScout24 - La plateforme de l'immobilier en Suisse.")</f>
        <v>Vendre maison Soral: Trouvez le bien immobilier qui correspond idéalement à vos désirs sur ImmoScout24 - La plateforme de l'immobilier en Suisse.</v>
      </c>
    </row>
    <row r="4457" hidden="1">
      <c r="A4457" s="5" t="s">
        <v>12014</v>
      </c>
      <c r="B4457" s="2" t="s">
        <v>12015</v>
      </c>
      <c r="C4457" s="2" t="s">
        <v>12015</v>
      </c>
      <c r="D4457" s="4" t="str">
        <f>vlookup(A4457, Sheet2!D:E, 2, 0)</f>
        <v>control</v>
      </c>
      <c r="E4457" s="4" t="str">
        <f>IFERROR(__xludf.DUMMYFUNCTION("if(H4457=""pays"",vlookup(REGEXEXTRACT(C4457, ""🏘️ \w+ \w+ (.*) ✅""),'Country prepositions'!A:B, 2, 0) &amp; "" "" &amp; REGEXEXTRACT(C4457, ""🏘️ \w+ \w+ (.*) ✅"") ,  if(H4457=""quartier"",vlookup(REGEXEXTRACT(C4457, ""🏘️ \w+ \w+ (.*) ✅""),'Quartier prepositio"&amp;"ns'!A:E, 5, 0) ,  if(H4457=""region"",vlookup(REGEXEXTRACT(C4457, ""🏘️ \w+ \w+ (.*) ✅""),'Region prepositions'!B:F, 5, 0),  REGEXEXTRACT(C4457, ""🏘️ \w+ \w+ (.*) ✅""))))"),"#N/A")</f>
        <v>#N/A</v>
      </c>
      <c r="I4457" s="4" t="str">
        <f>IFERROR(__xludf.DUMMYFUNCTION("if(D4457=""variant"",  substitute(filter(Templates!E:E, Templates!A:A = F4457, Templates!B:B = G4457, Templates!C:C = H4457), ""{{}}"", E4457), B4457)"),"Vendre maison Muolen: Trouvez le bien immobilier qui correspond idéalement à vos désirs sur ImmoScout24 - La plateforme de l'immobilier en Suisse.")</f>
        <v>Vendre maison Muolen: Trouvez le bien immobilier qui correspond idéalement à vos désirs sur ImmoScout24 - La plateforme de l'immobilier en Suisse.</v>
      </c>
    </row>
    <row r="4458" hidden="1">
      <c r="A4458" s="5" t="s">
        <v>12016</v>
      </c>
      <c r="B4458" s="2" t="s">
        <v>12017</v>
      </c>
      <c r="C4458" s="2" t="s">
        <v>12017</v>
      </c>
      <c r="D4458" s="4" t="str">
        <f>vlookup(A4458, Sheet2!D:E, 2, 0)</f>
        <v>control</v>
      </c>
      <c r="E4458" s="4" t="str">
        <f>IFERROR(__xludf.DUMMYFUNCTION("if(H4458=""pays"",vlookup(REGEXEXTRACT(C4458, ""🏘️ \w+ \w+ (.*) ✅""),'Country prepositions'!A:B, 2, 0) &amp; "" "" &amp; REGEXEXTRACT(C4458, ""🏘️ \w+ \w+ (.*) ✅"") ,  if(H4458=""quartier"",vlookup(REGEXEXTRACT(C4458, ""🏘️ \w+ \w+ (.*) ✅""),'Quartier prepositio"&amp;"ns'!A:E, 5, 0) ,  if(H4458=""region"",vlookup(REGEXEXTRACT(C4458, ""🏘️ \w+ \w+ (.*) ✅""),'Region prepositions'!B:F, 5, 0),  REGEXEXTRACT(C4458, ""🏘️ \w+ \w+ (.*) ✅""))))"),"#N/A")</f>
        <v>#N/A</v>
      </c>
      <c r="I4458" s="4" t="str">
        <f>IFERROR(__xludf.DUMMYFUNCTION("if(D4458=""variant"",  substitute(filter(Templates!E:E, Templates!A:A = F4458, Templates!B:B = G4458, Templates!C:C = H4458), ""{{}}"", E4458), B4458)"),"Vendre appartement Richterswil: Trouvez le bien immobilier qui correspond idéalement à vos désirs sur ImmoScout24 - La plateforme de l'immobilier en Suisse.")</f>
        <v>Vendre appartement Richterswil: Trouvez le bien immobilier qui correspond idéalement à vos désirs sur ImmoScout24 - La plateforme de l'immobilier en Suisse.</v>
      </c>
    </row>
    <row r="4459" hidden="1">
      <c r="A4459" s="5" t="s">
        <v>12018</v>
      </c>
      <c r="B4459" s="2" t="s">
        <v>12019</v>
      </c>
      <c r="C4459" s="2" t="s">
        <v>12019</v>
      </c>
      <c r="D4459" s="4" t="str">
        <f>vlookup(A4459, Sheet2!D:E, 2, 0)</f>
        <v>control</v>
      </c>
      <c r="E4459" s="4" t="str">
        <f>IFERROR(__xludf.DUMMYFUNCTION("if(H4459=""pays"",vlookup(REGEXEXTRACT(C4459, ""🏘️ \w+ \w+ (.*) ✅""),'Country prepositions'!A:B, 2, 0) &amp; "" "" &amp; REGEXEXTRACT(C4459, ""🏘️ \w+ \w+ (.*) ✅"") ,  if(H4459=""quartier"",vlookup(REGEXEXTRACT(C4459, ""🏘️ \w+ \w+ (.*) ✅""),'Quartier prepositio"&amp;"ns'!A:E, 5, 0) ,  if(H4459=""region"",vlookup(REGEXEXTRACT(C4459, ""🏘️ \w+ \w+ (.*) ✅""),'Region prepositions'!B:F, 5, 0),  REGEXEXTRACT(C4459, ""🏘️ \w+ \w+ (.*) ✅""))))"),"#N/A")</f>
        <v>#N/A</v>
      </c>
      <c r="I4459" s="4" t="str">
        <f>IFERROR(__xludf.DUMMYFUNCTION("if(D4459=""variant"",  substitute(filter(Templates!E:E, Templates!A:A = F4459, Templates!B:B = G4459, Templates!C:C = H4459), ""{{}}"", E4459), B4459)"),"Louer appartement Oleyres: Trouvez le bien immobilier qui correspond idéalement à vos désirs sur ImmoScout24 - La plateforme de l'immobilier en Suisse.")</f>
        <v>Louer appartement Oleyres: Trouvez le bien immobilier qui correspond idéalement à vos désirs sur ImmoScout24 - La plateforme de l'immobilier en Suisse.</v>
      </c>
    </row>
    <row r="4460" hidden="1">
      <c r="A4460" s="5" t="s">
        <v>12020</v>
      </c>
      <c r="B4460" s="2" t="s">
        <v>12021</v>
      </c>
      <c r="C4460" s="2" t="s">
        <v>12021</v>
      </c>
      <c r="D4460" s="4" t="str">
        <f>vlookup(A4460, Sheet2!D:E, 2, 0)</f>
        <v>control</v>
      </c>
      <c r="E4460" s="4" t="str">
        <f>IFERROR(__xludf.DUMMYFUNCTION("if(H4460=""pays"",vlookup(REGEXEXTRACT(C4460, ""🏘️ \w+ \w+ (.*) ✅""),'Country prepositions'!A:B, 2, 0) &amp; "" "" &amp; REGEXEXTRACT(C4460, ""🏘️ \w+ \w+ (.*) ✅"") ,  if(H4460=""quartier"",vlookup(REGEXEXTRACT(C4460, ""🏘️ \w+ \w+ (.*) ✅""),'Quartier prepositio"&amp;"ns'!A:E, 5, 0) ,  if(H4460=""region"",vlookup(REGEXEXTRACT(C4460, ""🏘️ \w+ \w+ (.*) ✅""),'Region prepositions'!B:F, 5, 0),  REGEXEXTRACT(C4460, ""🏘️ \w+ \w+ (.*) ✅""))))"),"#N/A")</f>
        <v>#N/A</v>
      </c>
      <c r="I4460" s="4" t="str">
        <f>IFERROR(__xludf.DUMMYFUNCTION("if(D4460=""variant"",  substitute(filter(Templates!E:E, Templates!A:A = F4460, Templates!B:B = G4460, Templates!C:C = H4460), ""{{}}"", E4460), B4460)"),"Louer maison Syens: Trouvez le bien immobilier qui correspond idéalement à vos désirs sur ImmoScout24 - La plateforme de l'immobilier en Suisse.")</f>
        <v>Louer maison Syens: Trouvez le bien immobilier qui correspond idéalement à vos désirs sur ImmoScout24 - La plateforme de l'immobilier en Suisse.</v>
      </c>
    </row>
    <row r="4461" hidden="1">
      <c r="A4461" s="5" t="s">
        <v>12022</v>
      </c>
      <c r="B4461" s="2" t="s">
        <v>12023</v>
      </c>
      <c r="C4461" s="2" t="s">
        <v>12023</v>
      </c>
      <c r="D4461" s="4" t="str">
        <f>vlookup(A4461, Sheet2!D:E, 2, 0)</f>
        <v>control</v>
      </c>
      <c r="E4461" s="4" t="str">
        <f>IFERROR(__xludf.DUMMYFUNCTION("if(H4461=""pays"",vlookup(REGEXEXTRACT(C4461, ""🏘️ \w+ \w+ (.*) ✅""),'Country prepositions'!A:B, 2, 0) &amp; "" "" &amp; REGEXEXTRACT(C4461, ""🏘️ \w+ \w+ (.*) ✅"") ,  if(H4461=""quartier"",vlookup(REGEXEXTRACT(C4461, ""🏘️ \w+ \w+ (.*) ✅""),'Quartier prepositio"&amp;"ns'!A:E, 5, 0) ,  if(H4461=""region"",vlookup(REGEXEXTRACT(C4461, ""🏘️ \w+ \w+ (.*) ✅""),'Region prepositions'!B:F, 5, 0),  REGEXEXTRACT(C4461, ""🏘️ \w+ \w+ (.*) ✅""))))"),"#N/A")</f>
        <v>#N/A</v>
      </c>
      <c r="I4461" s="4" t="str">
        <f>IFERROR(__xludf.DUMMYFUNCTION("if(D4461=""variant"",  substitute(filter(Templates!E:E, Templates!A:A = F4461, Templates!B:B = G4461, Templates!C:C = H4461), ""{{}}"", E4461), B4461)"),"Vendre maison Mur (Vully) VD: Trouvez le bien immobilier qui correspond idéalement à vos désirs sur ImmoScout24 - La plateforme de l'immobilier en Suisse.")</f>
        <v>Vendre maison Mur (Vully) VD: Trouvez le bien immobilier qui correspond idéalement à vos désirs sur ImmoScout24 - La plateforme de l'immobilier en Suisse.</v>
      </c>
    </row>
    <row r="4462" hidden="1">
      <c r="A4462" s="5" t="s">
        <v>12024</v>
      </c>
      <c r="B4462" s="2" t="s">
        <v>12025</v>
      </c>
      <c r="C4462" s="2" t="s">
        <v>12025</v>
      </c>
      <c r="D4462" s="4" t="str">
        <f>vlookup(A4462, Sheet2!D:E, 2, 0)</f>
        <v>control</v>
      </c>
      <c r="E4462" s="4" t="str">
        <f>IFERROR(__xludf.DUMMYFUNCTION("if(H4462=""pays"",vlookup(REGEXEXTRACT(C4462, ""🏘️ \w+ \w+ (.*) ✅""),'Country prepositions'!A:B, 2, 0) &amp; "" "" &amp; REGEXEXTRACT(C4462, ""🏘️ \w+ \w+ (.*) ✅"") ,  if(H4462=""quartier"",vlookup(REGEXEXTRACT(C4462, ""🏘️ \w+ \w+ (.*) ✅""),'Quartier prepositio"&amp;"ns'!A:E, 5, 0) ,  if(H4462=""region"",vlookup(REGEXEXTRACT(C4462, ""🏘️ \w+ \w+ (.*) ✅""),'Region prepositions'!B:F, 5, 0),  REGEXEXTRACT(C4462, ""🏘️ \w+ \w+ (.*) ✅""))))"),"#N/A")</f>
        <v>#N/A</v>
      </c>
      <c r="I4462" s="4" t="str">
        <f>IFERROR(__xludf.DUMMYFUNCTION("if(D4462=""variant"",  substitute(filter(Templates!E:E, Templates!A:A = F4462, Templates!B:B = G4462, Templates!C:C = H4462), ""{{}}"", E4462), B4462)"),"Vendre appartement Albinen: Trouvez le bien immobilier qui correspond idéalement à vos désirs sur ImmoScout24 - La plateforme de l'immobilier en Suisse.")</f>
        <v>Vendre appartement Albinen: Trouvez le bien immobilier qui correspond idéalement à vos désirs sur ImmoScout24 - La plateforme de l'immobilier en Suisse.</v>
      </c>
    </row>
    <row r="4463" hidden="1">
      <c r="A4463" s="5" t="s">
        <v>12026</v>
      </c>
      <c r="B4463" s="2" t="s">
        <v>12027</v>
      </c>
      <c r="C4463" s="2" t="s">
        <v>12027</v>
      </c>
      <c r="D4463" s="4" t="str">
        <f>vlookup(A4463, Sheet2!D:E, 2, 0)</f>
        <v>control</v>
      </c>
      <c r="E4463" s="4" t="str">
        <f>IFERROR(__xludf.DUMMYFUNCTION("if(H4463=""pays"",vlookup(REGEXEXTRACT(C4463, ""🏘️ \w+ \w+ (.*) ✅""),'Country prepositions'!A:B, 2, 0) &amp; "" "" &amp; REGEXEXTRACT(C4463, ""🏘️ \w+ \w+ (.*) ✅"") ,  if(H4463=""quartier"",vlookup(REGEXEXTRACT(C4463, ""🏘️ \w+ \w+ (.*) ✅""),'Quartier prepositio"&amp;"ns'!A:E, 5, 0) ,  if(H4463=""region"",vlookup(REGEXEXTRACT(C4463, ""🏘️ \w+ \w+ (.*) ✅""),'Region prepositions'!B:F, 5, 0),  REGEXEXTRACT(C4463, ""🏘️ \w+ \w+ (.*) ✅""))))"),"#N/A")</f>
        <v>#N/A</v>
      </c>
      <c r="I4463" s="4" t="str">
        <f>IFERROR(__xludf.DUMMYFUNCTION("if(D4463=""variant"",  substitute(filter(Templates!E:E, Templates!A:A = F4463, Templates!B:B = G4463, Templates!C:C = H4463), ""{{}}"", E4463), B4463)"),"Louer appartement Cadro (Lugano): Trouvez le bien immobilier qui correspond idéalement à vos désirs sur ImmoScout24 - La plateforme de l'immobilier en Suisse.")</f>
        <v>Louer appartement Cadro (Lugano): Trouvez le bien immobilier qui correspond idéalement à vos désirs sur ImmoScout24 - La plateforme de l'immobilier en Suisse.</v>
      </c>
    </row>
    <row r="4464" hidden="1">
      <c r="A4464" s="5" t="s">
        <v>12028</v>
      </c>
      <c r="B4464" s="2" t="s">
        <v>12029</v>
      </c>
      <c r="C4464" s="2" t="s">
        <v>12029</v>
      </c>
      <c r="D4464" s="4" t="str">
        <f>vlookup(A4464, Sheet2!D:E, 2, 0)</f>
        <v>control</v>
      </c>
      <c r="E4464" s="4" t="str">
        <f>IFERROR(__xludf.DUMMYFUNCTION("if(H4464=""pays"",vlookup(REGEXEXTRACT(C4464, ""🏘️ \w+ \w+ (.*) ✅""),'Country prepositions'!A:B, 2, 0) &amp; "" "" &amp; REGEXEXTRACT(C4464, ""🏘️ \w+ \w+ (.*) ✅"") ,  if(H4464=""quartier"",vlookup(REGEXEXTRACT(C4464, ""🏘️ \w+ \w+ (.*) ✅""),'Quartier prepositio"&amp;"ns'!A:E, 5, 0) ,  if(H4464=""region"",vlookup(REGEXEXTRACT(C4464, ""🏘️ \w+ \w+ (.*) ✅""),'Region prepositions'!B:F, 5, 0),  REGEXEXTRACT(C4464, ""🏘️ \w+ \w+ (.*) ✅""))))"),"#N/A")</f>
        <v>#N/A</v>
      </c>
      <c r="I4464" s="4" t="str">
        <f>IFERROR(__xludf.DUMMYFUNCTION("if(D4464=""variant"",  substitute(filter(Templates!E:E, Templates!A:A = F4464, Templates!B:B = G4464, Templates!C:C = H4464), ""{{}}"", E4464), B4464)"),"Vendre maison Forges-Endroits (La Chaux-de-Fonds): Trouvez le bien immobilier qui correspond idéalement à vos désirs sur ImmoScout24 - La plateforme de l'immobilier en Suisse.")</f>
        <v>Vendre maison Forges-Endroits (La Chaux-de-Fonds): Trouvez le bien immobilier qui correspond idéalement à vos désirs sur ImmoScout24 - La plateforme de l'immobilier en Suisse.</v>
      </c>
    </row>
    <row r="4465" hidden="1">
      <c r="A4465" s="5" t="s">
        <v>12030</v>
      </c>
      <c r="B4465" s="2" t="s">
        <v>12031</v>
      </c>
      <c r="C4465" s="2" t="s">
        <v>12031</v>
      </c>
      <c r="D4465" s="4" t="str">
        <f>vlookup(A4465, Sheet2!D:E, 2, 0)</f>
        <v>control</v>
      </c>
      <c r="E4465" s="4" t="str">
        <f>IFERROR(__xludf.DUMMYFUNCTION("if(H4465=""pays"",vlookup(REGEXEXTRACT(C4465, ""🏘️ \w+ \w+ (.*) ✅""),'Country prepositions'!A:B, 2, 0) &amp; "" "" &amp; REGEXEXTRACT(C4465, ""🏘️ \w+ \w+ (.*) ✅"") ,  if(H4465=""quartier"",vlookup(REGEXEXTRACT(C4465, ""🏘️ \w+ \w+ (.*) ✅""),'Quartier prepositio"&amp;"ns'!A:E, 5, 0) ,  if(H4465=""region"",vlookup(REGEXEXTRACT(C4465, ""🏘️ \w+ \w+ (.*) ✅""),'Region prepositions'!B:F, 5, 0),  REGEXEXTRACT(C4465, ""🏘️ \w+ \w+ (.*) ✅""))))"),"#N/A")</f>
        <v>#N/A</v>
      </c>
      <c r="I4465" s="4" t="str">
        <f>IFERROR(__xludf.DUMMYFUNCTION("if(D4465=""variant"",  substitute(filter(Templates!E:E, Templates!A:A = F4465, Templates!B:B = G4465, Templates!C:C = H4465), ""{{}}"", E4465), B4465)"),"Vendre maison Binningen: Trouvez le bien immobilier qui correspond idéalement à vos désirs sur ImmoScout24 - La plateforme de l'immobilier en Suisse.")</f>
        <v>Vendre maison Binningen: Trouvez le bien immobilier qui correspond idéalement à vos désirs sur ImmoScout24 - La plateforme de l'immobilier en Suisse.</v>
      </c>
    </row>
    <row r="4466" hidden="1">
      <c r="A4466" s="5" t="s">
        <v>12032</v>
      </c>
      <c r="B4466" s="2" t="s">
        <v>12033</v>
      </c>
      <c r="C4466" s="2" t="s">
        <v>12033</v>
      </c>
      <c r="D4466" s="4" t="str">
        <f>vlookup(A4466, Sheet2!D:E, 2, 0)</f>
        <v>control</v>
      </c>
      <c r="E4466" s="4" t="str">
        <f>IFERROR(__xludf.DUMMYFUNCTION("if(H4466=""pays"",vlookup(REGEXEXTRACT(C4466, ""🏘️ \w+ \w+ (.*) ✅""),'Country prepositions'!A:B, 2, 0) &amp; "" "" &amp; REGEXEXTRACT(C4466, ""🏘️ \w+ \w+ (.*) ✅"") ,  if(H4466=""quartier"",vlookup(REGEXEXTRACT(C4466, ""🏘️ \w+ \w+ (.*) ✅""),'Quartier prepositio"&amp;"ns'!A:E, 5, 0) ,  if(H4466=""region"",vlookup(REGEXEXTRACT(C4466, ""🏘️ \w+ \w+ (.*) ✅""),'Region prepositions'!B:F, 5, 0),  REGEXEXTRACT(C4466, ""🏘️ \w+ \w+ (.*) ✅""))))"),"#N/A")</f>
        <v>#N/A</v>
      </c>
      <c r="I4466" s="4" t="str">
        <f>IFERROR(__xludf.DUMMYFUNCTION("if(D4466=""variant"",  substitute(filter(Templates!E:E, Templates!A:A = F4466, Templates!B:B = G4466, Templates!C:C = H4466), ""{{}}"", E4466), B4466)"),"Louer appartement Jaun: Trouvez le bien immobilier qui correspond idéalement à vos désirs sur ImmoScout24 - La plateforme de l'immobilier en Suisse.")</f>
        <v>Louer appartement Jaun: Trouvez le bien immobilier qui correspond idéalement à vos désirs sur ImmoScout24 - La plateforme de l'immobilier en Suisse.</v>
      </c>
    </row>
    <row r="4467" hidden="1">
      <c r="A4467" s="5" t="s">
        <v>12034</v>
      </c>
      <c r="B4467" s="2" t="s">
        <v>12035</v>
      </c>
      <c r="C4467" s="2" t="s">
        <v>12035</v>
      </c>
      <c r="D4467" s="4" t="str">
        <f>vlookup(A4467, Sheet2!D:E, 2, 0)</f>
        <v>control</v>
      </c>
      <c r="E4467" s="4" t="str">
        <f>IFERROR(__xludf.DUMMYFUNCTION("if(H4467=""pays"",vlookup(REGEXEXTRACT(C4467, ""🏘️ \w+ \w+ (.*) ✅""),'Country prepositions'!A:B, 2, 0) &amp; "" "" &amp; REGEXEXTRACT(C4467, ""🏘️ \w+ \w+ (.*) ✅"") ,  if(H4467=""quartier"",vlookup(REGEXEXTRACT(C4467, ""🏘️ \w+ \w+ (.*) ✅""),'Quartier prepositio"&amp;"ns'!A:E, 5, 0) ,  if(H4467=""region"",vlookup(REGEXEXTRACT(C4467, ""🏘️ \w+ \w+ (.*) ✅""),'Region prepositions'!B:F, 5, 0),  REGEXEXTRACT(C4467, ""🏘️ \w+ \w+ (.*) ✅""))))"),"#N/A")</f>
        <v>#N/A</v>
      </c>
      <c r="I4467" s="4" t="str">
        <f>IFERROR(__xludf.DUMMYFUNCTION("if(D4467=""variant"",  substitute(filter(Templates!E:E, Templates!A:A = F4467, Templates!B:B = G4467, Templates!C:C = H4467), ""{{}}"", E4467), B4467)"),"Louer appartement Niederuzwil: Trouvez le bien immobilier qui correspond idéalement à vos désirs sur ImmoScout24 - La plateforme de l'immobilier en Suisse.")</f>
        <v>Louer appartement Niederuzwil: Trouvez le bien immobilier qui correspond idéalement à vos désirs sur ImmoScout24 - La plateforme de l'immobilier en Suisse.</v>
      </c>
    </row>
    <row r="4468" hidden="1">
      <c r="A4468" s="5" t="s">
        <v>12036</v>
      </c>
      <c r="B4468" s="2" t="s">
        <v>12037</v>
      </c>
      <c r="C4468" s="2" t="s">
        <v>12037</v>
      </c>
      <c r="D4468" s="4" t="str">
        <f>vlookup(A4468, Sheet2!D:E, 2, 0)</f>
        <v>control</v>
      </c>
      <c r="E4468" s="4" t="str">
        <f>IFERROR(__xludf.DUMMYFUNCTION("if(H4468=""pays"",vlookup(REGEXEXTRACT(C4468, ""🏘️ \w+ \w+ (.*) ✅""),'Country prepositions'!A:B, 2, 0) &amp; "" "" &amp; REGEXEXTRACT(C4468, ""🏘️ \w+ \w+ (.*) ✅"") ,  if(H4468=""quartier"",vlookup(REGEXEXTRACT(C4468, ""🏘️ \w+ \w+ (.*) ✅""),'Quartier prepositio"&amp;"ns'!A:E, 5, 0) ,  if(H4468=""region"",vlookup(REGEXEXTRACT(C4468, ""🏘️ \w+ \w+ (.*) ✅""),'Region prepositions'!B:F, 5, 0),  REGEXEXTRACT(C4468, ""🏘️ \w+ \w+ (.*) ✅""))))"),"#N/A")</f>
        <v>#N/A</v>
      </c>
      <c r="I4468" s="4" t="str">
        <f>IFERROR(__xludf.DUMMYFUNCTION("if(D4468=""variant"",  substitute(filter(Templates!E:E, Templates!A:A = F4468, Templates!B:B = G4468, Templates!C:C = H4468), ""{{}}"", E4468), B4468)"),"Vendre appartement Gerra (Gambarogno): Trouvez le bien immobilier qui correspond idéalement à vos désirs sur ImmoScout24 - La plateforme de l'immobilier en Suisse.")</f>
        <v>Vendre appartement Gerra (Gambarogno): Trouvez le bien immobilier qui correspond idéalement à vos désirs sur ImmoScout24 - La plateforme de l'immobilier en Suisse.</v>
      </c>
    </row>
    <row r="4469" hidden="1">
      <c r="A4469" s="5" t="s">
        <v>12038</v>
      </c>
      <c r="B4469" s="2" t="s">
        <v>12039</v>
      </c>
      <c r="C4469" s="2" t="s">
        <v>12039</v>
      </c>
      <c r="D4469" s="4" t="str">
        <f>vlookup(A4469, Sheet2!D:E, 2, 0)</f>
        <v>control</v>
      </c>
      <c r="E4469" s="4" t="str">
        <f>IFERROR(__xludf.DUMMYFUNCTION("if(H4469=""pays"",vlookup(REGEXEXTRACT(C4469, ""🏘️ \w+ \w+ (.*) ✅""),'Country prepositions'!A:B, 2, 0) &amp; "" "" &amp; REGEXEXTRACT(C4469, ""🏘️ \w+ \w+ (.*) ✅"") ,  if(H4469=""quartier"",vlookup(REGEXEXTRACT(C4469, ""🏘️ \w+ \w+ (.*) ✅""),'Quartier prepositio"&amp;"ns'!A:E, 5, 0) ,  if(H4469=""region"",vlookup(REGEXEXTRACT(C4469, ""🏘️ \w+ \w+ (.*) ✅""),'Region prepositions'!B:F, 5, 0),  REGEXEXTRACT(C4469, ""🏘️ \w+ \w+ (.*) ✅""))))"),"#N/A")</f>
        <v>#N/A</v>
      </c>
      <c r="I4469" s="4" t="str">
        <f>IFERROR(__xludf.DUMMYFUNCTION("if(D4469=""variant"",  substitute(filter(Templates!E:E, Templates!A:A = F4469, Templates!B:B = G4469, Templates!C:C = H4469), ""{{}}"", E4469), B4469)"),"Vendre maison Gerlafingen: Trouvez le bien immobilier qui correspond idéalement à vos désirs sur ImmoScout24 - La plateforme de l'immobilier en Suisse.")</f>
        <v>Vendre maison Gerlafingen: Trouvez le bien immobilier qui correspond idéalement à vos désirs sur ImmoScout24 - La plateforme de l'immobilier en Suisse.</v>
      </c>
    </row>
    <row r="4470" hidden="1">
      <c r="A4470" s="5" t="s">
        <v>12040</v>
      </c>
      <c r="B4470" s="2" t="s">
        <v>12041</v>
      </c>
      <c r="C4470" s="2" t="s">
        <v>12041</v>
      </c>
      <c r="D4470" s="4" t="str">
        <f>vlookup(A4470, Sheet2!D:E, 2, 0)</f>
        <v>control</v>
      </c>
      <c r="E4470" s="4" t="str">
        <f>IFERROR(__xludf.DUMMYFUNCTION("if(H4470=""pays"",vlookup(REGEXEXTRACT(C4470, ""🏘️ \w+ \w+ (.*) ✅""),'Country prepositions'!A:B, 2, 0) &amp; "" "" &amp; REGEXEXTRACT(C4470, ""🏘️ \w+ \w+ (.*) ✅"") ,  if(H4470=""quartier"",vlookup(REGEXEXTRACT(C4470, ""🏘️ \w+ \w+ (.*) ✅""),'Quartier prepositio"&amp;"ns'!A:E, 5, 0) ,  if(H4470=""region"",vlookup(REGEXEXTRACT(C4470, ""🏘️ \w+ \w+ (.*) ✅""),'Region prepositions'!B:F, 5, 0),  REGEXEXTRACT(C4470, ""🏘️ \w+ \w+ (.*) ✅""))))"),"#N/A")</f>
        <v>#N/A</v>
      </c>
      <c r="I4470" s="4" t="str">
        <f>IFERROR(__xludf.DUMMYFUNCTION("if(D4470=""variant"",  substitute(filter(Templates!E:E, Templates!A:A = F4470, Templates!B:B = G4470, Templates!C:C = H4470), ""{{}}"", E4470), B4470)"),"Vendre maison Val-d'Illiez: Trouvez le bien immobilier qui correspond idéalement à vos désirs sur ImmoScout24 - La plateforme de l'immobilier en Suisse.")</f>
        <v>Vendre maison Val-d'Illiez: Trouvez le bien immobilier qui correspond idéalement à vos désirs sur ImmoScout24 - La plateforme de l'immobilier en Suisse.</v>
      </c>
    </row>
    <row r="4471" hidden="1">
      <c r="A4471" s="5" t="s">
        <v>12042</v>
      </c>
      <c r="B4471" s="2" t="s">
        <v>12043</v>
      </c>
      <c r="C4471" s="2" t="s">
        <v>12043</v>
      </c>
      <c r="D4471" s="4" t="str">
        <f>vlookup(A4471, Sheet2!D:E, 2, 0)</f>
        <v>control</v>
      </c>
      <c r="E4471" s="4" t="str">
        <f>IFERROR(__xludf.DUMMYFUNCTION("if(H4471=""pays"",vlookup(REGEXEXTRACT(C4471, ""🏘️ \w+ \w+ (.*) ✅""),'Country prepositions'!A:B, 2, 0) &amp; "" "" &amp; REGEXEXTRACT(C4471, ""🏘️ \w+ \w+ (.*) ✅"") ,  if(H4471=""quartier"",vlookup(REGEXEXTRACT(C4471, ""🏘️ \w+ \w+ (.*) ✅""),'Quartier prepositio"&amp;"ns'!A:E, 5, 0) ,  if(H4471=""region"",vlookup(REGEXEXTRACT(C4471, ""🏘️ \w+ \w+ (.*) ✅""),'Region prepositions'!B:F, 5, 0),  REGEXEXTRACT(C4471, ""🏘️ \w+ \w+ (.*) ✅""))))"),"#N/A")</f>
        <v>#N/A</v>
      </c>
      <c r="I4471" s="4" t="str">
        <f>IFERROR(__xludf.DUMMYFUNCTION("if(D4471=""variant"",  substitute(filter(Templates!E:E, Templates!A:A = F4471, Templates!B:B = G4471, Templates!C:C = H4471), ""{{}}"", E4471), B4471)"),"Vendre appartement Zuoz: Trouvez le bien immobilier qui correspond idéalement à vos désirs sur ImmoScout24 - La plateforme de l'immobilier en Suisse.")</f>
        <v>Vendre appartement Zuoz: Trouvez le bien immobilier qui correspond idéalement à vos désirs sur ImmoScout24 - La plateforme de l'immobilier en Suisse.</v>
      </c>
    </row>
    <row r="4472" hidden="1">
      <c r="A4472" s="5" t="s">
        <v>12044</v>
      </c>
      <c r="B4472" s="2" t="s">
        <v>12045</v>
      </c>
      <c r="C4472" s="2" t="s">
        <v>12045</v>
      </c>
      <c r="D4472" s="4" t="str">
        <f>vlookup(A4472, Sheet2!D:E, 2, 0)</f>
        <v>control</v>
      </c>
      <c r="E4472" s="4" t="str">
        <f>IFERROR(__xludf.DUMMYFUNCTION("if(H4472=""pays"",vlookup(REGEXEXTRACT(C4472, ""🏘️ \w+ \w+ (.*) ✅""),'Country prepositions'!A:B, 2, 0) &amp; "" "" &amp; REGEXEXTRACT(C4472, ""🏘️ \w+ \w+ (.*) ✅"") ,  if(H4472=""quartier"",vlookup(REGEXEXTRACT(C4472, ""🏘️ \w+ \w+ (.*) ✅""),'Quartier prepositio"&amp;"ns'!A:E, 5, 0) ,  if(H4472=""region"",vlookup(REGEXEXTRACT(C4472, ""🏘️ \w+ \w+ (.*) ✅""),'Region prepositions'!B:F, 5, 0),  REGEXEXTRACT(C4472, ""🏘️ \w+ \w+ (.*) ✅""))))"),"#N/A")</f>
        <v>#N/A</v>
      </c>
      <c r="I4472" s="4" t="str">
        <f>IFERROR(__xludf.DUMMYFUNCTION("if(D4472=""variant"",  substitute(filter(Templates!E:E, Templates!A:A = F4472, Templates!B:B = G4472, Templates!C:C = H4472), ""{{}}"", E4472), B4472)"),"Vendre appartement Schafisheim: Trouvez le bien immobilier qui correspond idéalement à vos désirs sur ImmoScout24 - La plateforme de l'immobilier en Suisse.")</f>
        <v>Vendre appartement Schafisheim: Trouvez le bien immobilier qui correspond idéalement à vos désirs sur ImmoScout24 - La plateforme de l'immobilier en Suisse.</v>
      </c>
    </row>
    <row r="4473" hidden="1">
      <c r="A4473" s="5" t="s">
        <v>12046</v>
      </c>
      <c r="B4473" s="2" t="s">
        <v>12047</v>
      </c>
      <c r="C4473" s="2" t="s">
        <v>12047</v>
      </c>
      <c r="D4473" s="4" t="str">
        <f>vlookup(A4473, Sheet2!D:E, 2, 0)</f>
        <v>control</v>
      </c>
      <c r="E4473" s="4" t="str">
        <f>IFERROR(__xludf.DUMMYFUNCTION("if(H4473=""pays"",vlookup(REGEXEXTRACT(C4473, ""🏘️ \w+ \w+ (.*) ✅""),'Country prepositions'!A:B, 2, 0) &amp; "" "" &amp; REGEXEXTRACT(C4473, ""🏘️ \w+ \w+ (.*) ✅"") ,  if(H4473=""quartier"",vlookup(REGEXEXTRACT(C4473, ""🏘️ \w+ \w+ (.*) ✅""),'Quartier prepositio"&amp;"ns'!A:E, 5, 0) ,  if(H4473=""region"",vlookup(REGEXEXTRACT(C4473, ""🏘️ \w+ \w+ (.*) ✅""),'Region prepositions'!B:F, 5, 0),  REGEXEXTRACT(C4473, ""🏘️ \w+ \w+ (.*) ✅""))))"),"#N/A")</f>
        <v>#N/A</v>
      </c>
      <c r="I4473" s="4" t="str">
        <f>IFERROR(__xludf.DUMMYFUNCTION("if(D4473=""variant"",  substitute(filter(Templates!E:E, Templates!A:A = F4473, Templates!B:B = G4473, Templates!C:C = H4473), ""{{}}"", E4473), B4473)"),"Louer maison Riedholz: Trouvez le bien immobilier qui correspond idéalement à vos désirs sur ImmoScout24 - La plateforme de l'immobilier en Suisse.")</f>
        <v>Louer maison Riedholz: Trouvez le bien immobilier qui correspond idéalement à vos désirs sur ImmoScout24 - La plateforme de l'immobilier en Suisse.</v>
      </c>
    </row>
    <row r="4474" hidden="1">
      <c r="A4474" s="5" t="s">
        <v>12048</v>
      </c>
      <c r="B4474" s="2" t="s">
        <v>12049</v>
      </c>
      <c r="C4474" s="2" t="s">
        <v>12049</v>
      </c>
      <c r="D4474" s="4" t="str">
        <f>vlookup(A4474, Sheet2!D:E, 2, 0)</f>
        <v>control</v>
      </c>
      <c r="E4474" s="4" t="str">
        <f>IFERROR(__xludf.DUMMYFUNCTION("if(H4474=""pays"",vlookup(REGEXEXTRACT(C4474, ""🏘️ \w+ \w+ (.*) ✅""),'Country prepositions'!A:B, 2, 0) &amp; "" "" &amp; REGEXEXTRACT(C4474, ""🏘️ \w+ \w+ (.*) ✅"") ,  if(H4474=""quartier"",vlookup(REGEXEXTRACT(C4474, ""🏘️ \w+ \w+ (.*) ✅""),'Quartier prepositio"&amp;"ns'!A:E, 5, 0) ,  if(H4474=""region"",vlookup(REGEXEXTRACT(C4474, ""🏘️ \w+ \w+ (.*) ✅""),'Region prepositions'!B:F, 5, 0),  REGEXEXTRACT(C4474, ""🏘️ \w+ \w+ (.*) ✅""))))"),"#N/A")</f>
        <v>#N/A</v>
      </c>
      <c r="I4474" s="4" t="str">
        <f>IFERROR(__xludf.DUMMYFUNCTION("if(D4474=""variant"",  substitute(filter(Templates!E:E, Templates!A:A = F4474, Templates!B:B = G4474, Templates!C:C = H4474), ""{{}}"", E4474), B4474)"),"Louer maison Martigny-Croix: Trouvez le bien immobilier qui correspond idéalement à vos désirs sur ImmoScout24 - La plateforme de l'immobilier en Suisse.")</f>
        <v>Louer maison Martigny-Croix: Trouvez le bien immobilier qui correspond idéalement à vos désirs sur ImmoScout24 - La plateforme de l'immobilier en Suisse.</v>
      </c>
    </row>
    <row r="4475" hidden="1">
      <c r="A4475" s="5" t="s">
        <v>12050</v>
      </c>
      <c r="B4475" s="2" t="s">
        <v>12051</v>
      </c>
      <c r="C4475" s="2" t="s">
        <v>12051</v>
      </c>
      <c r="D4475" s="4" t="str">
        <f>vlookup(A4475, Sheet2!D:E, 2, 0)</f>
        <v>control</v>
      </c>
      <c r="E4475" s="4" t="str">
        <f>IFERROR(__xludf.DUMMYFUNCTION("if(H4475=""pays"",vlookup(REGEXEXTRACT(C4475, ""🏘️ \w+ \w+ (.*) ✅""),'Country prepositions'!A:B, 2, 0) &amp; "" "" &amp; REGEXEXTRACT(C4475, ""🏘️ \w+ \w+ (.*) ✅"") ,  if(H4475=""quartier"",vlookup(REGEXEXTRACT(C4475, ""🏘️ \w+ \w+ (.*) ✅""),'Quartier prepositio"&amp;"ns'!A:E, 5, 0) ,  if(H4475=""region"",vlookup(REGEXEXTRACT(C4475, ""🏘️ \w+ \w+ (.*) ✅""),'Region prepositions'!B:F, 5, 0),  REGEXEXTRACT(C4475, ""🏘️ \w+ \w+ (.*) ✅""))))"),"#N/A")</f>
        <v>#N/A</v>
      </c>
      <c r="I4475" s="4" t="str">
        <f>IFERROR(__xludf.DUMMYFUNCTION("if(D4475=""variant"",  substitute(filter(Templates!E:E, Templates!A:A = F4475, Templates!B:B = G4475, Templates!C:C = H4475), ""{{}}"", E4475), B4475)"),"Louer appartement Ittigen: Trouvez le bien immobilier qui correspond idéalement à vos désirs sur ImmoScout24 - La plateforme de l'immobilier en Suisse.")</f>
        <v>Louer appartement Ittigen: Trouvez le bien immobilier qui correspond idéalement à vos désirs sur ImmoScout24 - La plateforme de l'immobilier en Suisse.</v>
      </c>
    </row>
    <row r="4476" hidden="1">
      <c r="A4476" s="5" t="s">
        <v>12052</v>
      </c>
      <c r="B4476" s="2" t="s">
        <v>12053</v>
      </c>
      <c r="C4476" s="2" t="s">
        <v>12053</v>
      </c>
      <c r="D4476" s="4" t="str">
        <f>vlookup(A4476, Sheet2!D:E, 2, 0)</f>
        <v>control</v>
      </c>
      <c r="E4476" s="4" t="str">
        <f>IFERROR(__xludf.DUMMYFUNCTION("if(H4476=""pays"",vlookup(REGEXEXTRACT(C4476, ""🏘️ \w+ \w+ (.*) ✅""),'Country prepositions'!A:B, 2, 0) &amp; "" "" &amp; REGEXEXTRACT(C4476, ""🏘️ \w+ \w+ (.*) ✅"") ,  if(H4476=""quartier"",vlookup(REGEXEXTRACT(C4476, ""🏘️ \w+ \w+ (.*) ✅""),'Quartier prepositio"&amp;"ns'!A:E, 5, 0) ,  if(H4476=""region"",vlookup(REGEXEXTRACT(C4476, ""🏘️ \w+ \w+ (.*) ✅""),'Region prepositions'!B:F, 5, 0),  REGEXEXTRACT(C4476, ""🏘️ \w+ \w+ (.*) ✅""))))"),"#N/A")</f>
        <v>#N/A</v>
      </c>
      <c r="I4476" s="4" t="str">
        <f>IFERROR(__xludf.DUMMYFUNCTION("if(D4476=""variant"",  substitute(filter(Templates!E:E, Templates!A:A = F4476, Templates!B:B = G4476, Templates!C:C = H4476), ""{{}}"", E4476), B4476)"),"Louer maison Canton d'Obwald: Trouvez le bien immobilier qui correspond idéalement à vos désirs sur ImmoScout24 - La plateforme de l'immobilier en Suisse.")</f>
        <v>Louer maison Canton d'Obwald: Trouvez le bien immobilier qui correspond idéalement à vos désirs sur ImmoScout24 - La plateforme de l'immobilier en Suisse.</v>
      </c>
    </row>
    <row r="4477" hidden="1">
      <c r="A4477" s="5" t="s">
        <v>12054</v>
      </c>
      <c r="B4477" s="2" t="s">
        <v>12055</v>
      </c>
      <c r="C4477" s="2" t="s">
        <v>12055</v>
      </c>
      <c r="D4477" s="4" t="str">
        <f>vlookup(A4477, Sheet2!D:E, 2, 0)</f>
        <v>control</v>
      </c>
      <c r="E4477" s="4" t="str">
        <f>IFERROR(__xludf.DUMMYFUNCTION("if(H4477=""pays"",vlookup(REGEXEXTRACT(C4477, ""🏘️ \w+ \w+ (.*) ✅""),'Country prepositions'!A:B, 2, 0) &amp; "" "" &amp; REGEXEXTRACT(C4477, ""🏘️ \w+ \w+ (.*) ✅"") ,  if(H4477=""quartier"",vlookup(REGEXEXTRACT(C4477, ""🏘️ \w+ \w+ (.*) ✅""),'Quartier prepositio"&amp;"ns'!A:E, 5, 0) ,  if(H4477=""region"",vlookup(REGEXEXTRACT(C4477, ""🏘️ \w+ \w+ (.*) ✅""),'Region prepositions'!B:F, 5, 0),  REGEXEXTRACT(C4477, ""🏘️ \w+ \w+ (.*) ✅""))))"),"#N/A")</f>
        <v>#N/A</v>
      </c>
      <c r="I4477" s="4" t="str">
        <f>IFERROR(__xludf.DUMMYFUNCTION("if(D4477=""variant"",  substitute(filter(Templates!E:E, Templates!A:A = F4477, Templates!B:B = G4477, Templates!C:C = H4477), ""{{}}"", E4477), B4477)"),"Louer appartement Bioley-Magnoux: Trouvez le bien immobilier qui correspond idéalement à vos désirs sur ImmoScout24 - La plateforme de l'immobilier en Suisse.")</f>
        <v>Louer appartement Bioley-Magnoux: Trouvez le bien immobilier qui correspond idéalement à vos désirs sur ImmoScout24 - La plateforme de l'immobilier en Suisse.</v>
      </c>
    </row>
    <row r="4478" hidden="1">
      <c r="A4478" s="5" t="s">
        <v>12056</v>
      </c>
      <c r="B4478" s="2" t="s">
        <v>12057</v>
      </c>
      <c r="C4478" s="2" t="s">
        <v>12057</v>
      </c>
      <c r="D4478" s="4" t="str">
        <f>vlookup(A4478, Sheet2!D:E, 2, 0)</f>
        <v>control</v>
      </c>
      <c r="E4478" s="4" t="str">
        <f>IFERROR(__xludf.DUMMYFUNCTION("if(H4478=""pays"",vlookup(REGEXEXTRACT(C4478, ""🏘️ \w+ \w+ (.*) ✅""),'Country prepositions'!A:B, 2, 0) &amp; "" "" &amp; REGEXEXTRACT(C4478, ""🏘️ \w+ \w+ (.*) ✅"") ,  if(H4478=""quartier"",vlookup(REGEXEXTRACT(C4478, ""🏘️ \w+ \w+ (.*) ✅""),'Quartier prepositio"&amp;"ns'!A:E, 5, 0) ,  if(H4478=""region"",vlookup(REGEXEXTRACT(C4478, ""🏘️ \w+ \w+ (.*) ✅""),'Region prepositions'!B:F, 5, 0),  REGEXEXTRACT(C4478, ""🏘️ \w+ \w+ (.*) ✅""))))"),"#N/A")</f>
        <v>#N/A</v>
      </c>
      <c r="I4478" s="4" t="str">
        <f>IFERROR(__xludf.DUMMYFUNCTION("if(D4478=""variant"",  substitute(filter(Templates!E:E, Templates!A:A = F4478, Templates!B:B = G4478, Templates!C:C = H4478), ""{{}}"", E4478), B4478)"),"Louer appartement Bettlach: Trouvez le bien immobilier qui correspond idéalement à vos désirs sur ImmoScout24 - La plateforme de l'immobilier en Suisse.")</f>
        <v>Louer appartement Bettlach: Trouvez le bien immobilier qui correspond idéalement à vos désirs sur ImmoScout24 - La plateforme de l'immobilier en Suisse.</v>
      </c>
    </row>
    <row r="4479" hidden="1">
      <c r="A4479" s="5" t="s">
        <v>12058</v>
      </c>
      <c r="B4479" s="2" t="s">
        <v>12059</v>
      </c>
      <c r="C4479" s="2" t="s">
        <v>12059</v>
      </c>
      <c r="D4479" s="4" t="str">
        <f>vlookup(A4479, Sheet2!D:E, 2, 0)</f>
        <v>control</v>
      </c>
      <c r="E4479" s="4" t="str">
        <f>IFERROR(__xludf.DUMMYFUNCTION("if(H4479=""pays"",vlookup(REGEXEXTRACT(C4479, ""🏘️ \w+ \w+ (.*) ✅""),'Country prepositions'!A:B, 2, 0) &amp; "" "" &amp; REGEXEXTRACT(C4479, ""🏘️ \w+ \w+ (.*) ✅"") ,  if(H4479=""quartier"",vlookup(REGEXEXTRACT(C4479, ""🏘️ \w+ \w+ (.*) ✅""),'Quartier prepositio"&amp;"ns'!A:E, 5, 0) ,  if(H4479=""region"",vlookup(REGEXEXTRACT(C4479, ""🏘️ \w+ \w+ (.*) ✅""),'Region prepositions'!B:F, 5, 0),  REGEXEXTRACT(C4479, ""🏘️ \w+ \w+ (.*) ✅""))))"),"#N/A")</f>
        <v>#N/A</v>
      </c>
      <c r="I4479" s="4" t="str">
        <f>IFERROR(__xludf.DUMMYFUNCTION("if(D4479=""variant"",  substitute(filter(Templates!E:E, Templates!A:A = F4479, Templates!B:B = G4479, Templates!C:C = H4479), ""{{}}"", E4479), B4479)"),"Vendre maison Bischofszell - Weinfelden: Trouvez le bien immobilier qui correspond idéalement à vos désirs sur ImmoScout24 - La plateforme de l'immobilier en Suisse.")</f>
        <v>Vendre maison Bischofszell - Weinfelden: Trouvez le bien immobilier qui correspond idéalement à vos désirs sur ImmoScout24 - La plateforme de l'immobilier en Suisse.</v>
      </c>
    </row>
    <row r="4480" hidden="1">
      <c r="A4480" s="5" t="s">
        <v>12060</v>
      </c>
      <c r="B4480" s="2" t="s">
        <v>12061</v>
      </c>
      <c r="C4480" s="2" t="s">
        <v>12061</v>
      </c>
      <c r="D4480" s="4" t="str">
        <f>vlookup(A4480, Sheet2!D:E, 2, 0)</f>
        <v>control</v>
      </c>
      <c r="E4480" s="4" t="str">
        <f>IFERROR(__xludf.DUMMYFUNCTION("if(H4480=""pays"",vlookup(REGEXEXTRACT(C4480, ""🏘️ \w+ \w+ (.*) ✅""),'Country prepositions'!A:B, 2, 0) &amp; "" "" &amp; REGEXEXTRACT(C4480, ""🏘️ \w+ \w+ (.*) ✅"") ,  if(H4480=""quartier"",vlookup(REGEXEXTRACT(C4480, ""🏘️ \w+ \w+ (.*) ✅""),'Quartier prepositio"&amp;"ns'!A:E, 5, 0) ,  if(H4480=""region"",vlookup(REGEXEXTRACT(C4480, ""🏘️ \w+ \w+ (.*) ✅""),'Region prepositions'!B:F, 5, 0),  REGEXEXTRACT(C4480, ""🏘️ \w+ \w+ (.*) ✅""))))"),"#N/A")</f>
        <v>#N/A</v>
      </c>
      <c r="I4480" s="4" t="str">
        <f>IFERROR(__xludf.DUMMYFUNCTION("if(D4480=""variant"",  substitute(filter(Templates!E:E, Templates!A:A = F4480, Templates!B:B = G4480, Templates!C:C = H4480), ""{{}}"", E4480), B4480)"),"Vendre maison Crassier: Trouvez le bien immobilier qui correspond idéalement à vos désirs sur ImmoScout24 - La plateforme de l'immobilier en Suisse.")</f>
        <v>Vendre maison Crassier: Trouvez le bien immobilier qui correspond idéalement à vos désirs sur ImmoScout24 - La plateforme de l'immobilier en Suisse.</v>
      </c>
    </row>
    <row r="4481" hidden="1">
      <c r="A4481" s="5" t="s">
        <v>12062</v>
      </c>
      <c r="B4481" s="2" t="s">
        <v>12063</v>
      </c>
      <c r="C4481" s="2" t="s">
        <v>12063</v>
      </c>
      <c r="D4481" s="4" t="str">
        <f>vlookup(A4481, Sheet2!D:E, 2, 0)</f>
        <v>control</v>
      </c>
      <c r="E4481" s="4" t="str">
        <f>IFERROR(__xludf.DUMMYFUNCTION("if(H4481=""pays"",vlookup(REGEXEXTRACT(C4481, ""🏘️ \w+ \w+ (.*) ✅""),'Country prepositions'!A:B, 2, 0) &amp; "" "" &amp; REGEXEXTRACT(C4481, ""🏘️ \w+ \w+ (.*) ✅"") ,  if(H4481=""quartier"",vlookup(REGEXEXTRACT(C4481, ""🏘️ \w+ \w+ (.*) ✅""),'Quartier prepositio"&amp;"ns'!A:E, 5, 0) ,  if(H4481=""region"",vlookup(REGEXEXTRACT(C4481, ""🏘️ \w+ \w+ (.*) ✅""),'Region prepositions'!B:F, 5, 0),  REGEXEXTRACT(C4481, ""🏘️ \w+ \w+ (.*) ✅""))))"),"#N/A")</f>
        <v>#N/A</v>
      </c>
      <c r="I4481" s="4" t="str">
        <f>IFERROR(__xludf.DUMMYFUNCTION("if(D4481=""variant"",  substitute(filter(Templates!E:E, Templates!A:A = F4481, Templates!B:B = G4481, Templates!C:C = H4481), ""{{}}"", E4481), B4481)"),"Louer maison Langenthal: Trouvez le bien immobilier qui correspond idéalement à vos désirs sur ImmoScout24 - La plateforme de l'immobilier en Suisse.")</f>
        <v>Louer maison Langenthal: Trouvez le bien immobilier qui correspond idéalement à vos désirs sur ImmoScout24 - La plateforme de l'immobilier en Suisse.</v>
      </c>
    </row>
    <row r="4482" hidden="1">
      <c r="A4482" s="5" t="s">
        <v>12064</v>
      </c>
      <c r="B4482" s="2" t="s">
        <v>12065</v>
      </c>
      <c r="C4482" s="2" t="s">
        <v>12065</v>
      </c>
      <c r="D4482" s="4" t="str">
        <f>vlookup(A4482, Sheet2!D:E, 2, 0)</f>
        <v>control</v>
      </c>
      <c r="E4482" s="4" t="str">
        <f>IFERROR(__xludf.DUMMYFUNCTION("if(H4482=""pays"",vlookup(REGEXEXTRACT(C4482, ""🏘️ \w+ \w+ (.*) ✅""),'Country prepositions'!A:B, 2, 0) &amp; "" "" &amp; REGEXEXTRACT(C4482, ""🏘️ \w+ \w+ (.*) ✅"") ,  if(H4482=""quartier"",vlookup(REGEXEXTRACT(C4482, ""🏘️ \w+ \w+ (.*) ✅""),'Quartier prepositio"&amp;"ns'!A:E, 5, 0) ,  if(H4482=""region"",vlookup(REGEXEXTRACT(C4482, ""🏘️ \w+ \w+ (.*) ✅""),'Region prepositions'!B:F, 5, 0),  REGEXEXTRACT(C4482, ""🏘️ \w+ \w+ (.*) ✅""))))"),"#N/A")</f>
        <v>#N/A</v>
      </c>
      <c r="I4482" s="4" t="str">
        <f>IFERROR(__xludf.DUMMYFUNCTION("if(D4482=""variant"",  substitute(filter(Templates!E:E, Templates!A:A = F4482, Templates!B:B = G4482, Templates!C:C = H4482), ""{{}}"", E4482), B4482)"),"Louer appartement Würzenbach - Schädrüti (Lucerne): Trouvez le bien immobilier qui correspond idéalement à vos désirs sur ImmoScout24 - La plateforme de l'immobilier en Suisse.")</f>
        <v>Louer appartement Würzenbach - Schädrüti (Lucerne): Trouvez le bien immobilier qui correspond idéalement à vos désirs sur ImmoScout24 - La plateforme de l'immobilier en Suisse.</v>
      </c>
    </row>
    <row r="4483" hidden="1">
      <c r="A4483" s="5" t="s">
        <v>12066</v>
      </c>
      <c r="B4483" s="2" t="s">
        <v>12067</v>
      </c>
      <c r="C4483" s="2" t="s">
        <v>12067</v>
      </c>
      <c r="D4483" s="4" t="str">
        <f>vlookup(A4483, Sheet2!D:E, 2, 0)</f>
        <v>control</v>
      </c>
      <c r="E4483" s="4" t="str">
        <f>IFERROR(__xludf.DUMMYFUNCTION("if(H4483=""pays"",vlookup(REGEXEXTRACT(C4483, ""🏘️ \w+ \w+ (.*) ✅""),'Country prepositions'!A:B, 2, 0) &amp; "" "" &amp; REGEXEXTRACT(C4483, ""🏘️ \w+ \w+ (.*) ✅"") ,  if(H4483=""quartier"",vlookup(REGEXEXTRACT(C4483, ""🏘️ \w+ \w+ (.*) ✅""),'Quartier prepositio"&amp;"ns'!A:E, 5, 0) ,  if(H4483=""region"",vlookup(REGEXEXTRACT(C4483, ""🏘️ \w+ \w+ (.*) ✅""),'Region prepositions'!B:F, 5, 0),  REGEXEXTRACT(C4483, ""🏘️ \w+ \w+ (.*) ✅""))))"),"#N/A")</f>
        <v>#N/A</v>
      </c>
      <c r="I4483" s="4" t="str">
        <f>IFERROR(__xludf.DUMMYFUNCTION("if(D4483=""variant"",  substitute(filter(Templates!E:E, Templates!A:A = F4483, Templates!B:B = G4483, Templates!C:C = H4483), ""{{}}"", E4483), B4483)"),"Louer appartement Oppens: Trouvez le bien immobilier qui correspond idéalement à vos désirs sur ImmoScout24 - La plateforme de l'immobilier en Suisse.")</f>
        <v>Louer appartement Oppens: Trouvez le bien immobilier qui correspond idéalement à vos désirs sur ImmoScout24 - La plateforme de l'immobilier en Suisse.</v>
      </c>
    </row>
    <row r="4484" hidden="1">
      <c r="A4484" s="5" t="s">
        <v>12068</v>
      </c>
      <c r="B4484" s="2" t="s">
        <v>12069</v>
      </c>
      <c r="C4484" s="2" t="s">
        <v>12069</v>
      </c>
      <c r="D4484" s="4" t="str">
        <f>vlookup(A4484, Sheet2!D:E, 2, 0)</f>
        <v>control</v>
      </c>
      <c r="E4484" s="4" t="str">
        <f>IFERROR(__xludf.DUMMYFUNCTION("if(H4484=""pays"",vlookup(REGEXEXTRACT(C4484, ""🏘️ \w+ \w+ (.*) ✅""),'Country prepositions'!A:B, 2, 0) &amp; "" "" &amp; REGEXEXTRACT(C4484, ""🏘️ \w+ \w+ (.*) ✅"") ,  if(H4484=""quartier"",vlookup(REGEXEXTRACT(C4484, ""🏘️ \w+ \w+ (.*) ✅""),'Quartier prepositio"&amp;"ns'!A:E, 5, 0) ,  if(H4484=""region"",vlookup(REGEXEXTRACT(C4484, ""🏘️ \w+ \w+ (.*) ✅""),'Region prepositions'!B:F, 5, 0),  REGEXEXTRACT(C4484, ""🏘️ \w+ \w+ (.*) ✅""))))"),"#N/A")</f>
        <v>#N/A</v>
      </c>
      <c r="I4484" s="4" t="str">
        <f>IFERROR(__xludf.DUMMYFUNCTION("if(D4484=""variant"",  substitute(filter(Templates!E:E, Templates!A:A = F4484, Templates!B:B = G4484, Templates!C:C = H4484), ""{{}}"", E4484), B4484)"),"Louer appartement Sachseln: Trouvez le bien immobilier qui correspond idéalement à vos désirs sur ImmoScout24 - La plateforme de l'immobilier en Suisse.")</f>
        <v>Louer appartement Sachseln: Trouvez le bien immobilier qui correspond idéalement à vos désirs sur ImmoScout24 - La plateforme de l'immobilier en Suisse.</v>
      </c>
    </row>
    <row r="4485" hidden="1">
      <c r="A4485" s="5" t="s">
        <v>12070</v>
      </c>
      <c r="B4485" s="2" t="s">
        <v>12071</v>
      </c>
      <c r="C4485" s="2" t="s">
        <v>12071</v>
      </c>
      <c r="D4485" s="4" t="str">
        <f>vlookup(A4485, Sheet2!D:E, 2, 0)</f>
        <v>control</v>
      </c>
      <c r="E4485" s="4" t="str">
        <f>IFERROR(__xludf.DUMMYFUNCTION("if(H4485=""pays"",vlookup(REGEXEXTRACT(C4485, ""🏘️ \w+ \w+ (.*) ✅""),'Country prepositions'!A:B, 2, 0) &amp; "" "" &amp; REGEXEXTRACT(C4485, ""🏘️ \w+ \w+ (.*) ✅"") ,  if(H4485=""quartier"",vlookup(REGEXEXTRACT(C4485, ""🏘️ \w+ \w+ (.*) ✅""),'Quartier prepositio"&amp;"ns'!A:E, 5, 0) ,  if(H4485=""region"",vlookup(REGEXEXTRACT(C4485, ""🏘️ \w+ \w+ (.*) ✅""),'Region prepositions'!B:F, 5, 0),  REGEXEXTRACT(C4485, ""🏘️ \w+ \w+ (.*) ✅""))))"),"#N/A")</f>
        <v>#N/A</v>
      </c>
      <c r="I4485" s="4" t="str">
        <f>IFERROR(__xludf.DUMMYFUNCTION("if(D4485=""variant"",  substitute(filter(Templates!E:E, Templates!A:A = F4485, Templates!B:B = G4485, Templates!C:C = H4485), ""{{}}"", E4485), B4485)"),"Vendre maison Massongex: Trouvez le bien immobilier qui correspond idéalement à vos désirs sur ImmoScout24 - La plateforme de l'immobilier en Suisse.")</f>
        <v>Vendre maison Massongex: Trouvez le bien immobilier qui correspond idéalement à vos désirs sur ImmoScout24 - La plateforme de l'immobilier en Suisse.</v>
      </c>
    </row>
    <row r="4486" hidden="1">
      <c r="A4486" s="5" t="s">
        <v>12072</v>
      </c>
      <c r="B4486" s="2" t="s">
        <v>12073</v>
      </c>
      <c r="C4486" s="2" t="s">
        <v>12073</v>
      </c>
      <c r="D4486" s="4" t="str">
        <f>vlookup(A4486, Sheet2!D:E, 2, 0)</f>
        <v>control</v>
      </c>
      <c r="E4486" s="4" t="str">
        <f>IFERROR(__xludf.DUMMYFUNCTION("if(H4486=""pays"",vlookup(REGEXEXTRACT(C4486, ""🏘️ \w+ \w+ (.*) ✅""),'Country prepositions'!A:B, 2, 0) &amp; "" "" &amp; REGEXEXTRACT(C4486, ""🏘️ \w+ \w+ (.*) ✅"") ,  if(H4486=""quartier"",vlookup(REGEXEXTRACT(C4486, ""🏘️ \w+ \w+ (.*) ✅""),'Quartier prepositio"&amp;"ns'!A:E, 5, 0) ,  if(H4486=""region"",vlookup(REGEXEXTRACT(C4486, ""🏘️ \w+ \w+ (.*) ✅""),'Region prepositions'!B:F, 5, 0),  REGEXEXTRACT(C4486, ""🏘️ \w+ \w+ (.*) ✅""))))"),"#N/A")</f>
        <v>#N/A</v>
      </c>
      <c r="I4486" s="4" t="str">
        <f>IFERROR(__xludf.DUMMYFUNCTION("if(D4486=""variant"",  substitute(filter(Templates!E:E, Templates!A:A = F4486, Templates!B:B = G4486, Templates!C:C = H4486), ""{{}}"", E4486), B4486)"),"Louer appartement Schönried: Trouvez le bien immobilier qui correspond idéalement à vos désirs sur ImmoScout24 - La plateforme de l'immobilier en Suisse.")</f>
        <v>Louer appartement Schönried: Trouvez le bien immobilier qui correspond idéalement à vos désirs sur ImmoScout24 - La plateforme de l'immobilier en Suisse.</v>
      </c>
    </row>
    <row r="4487" hidden="1">
      <c r="A4487" s="5" t="s">
        <v>12074</v>
      </c>
      <c r="B4487" s="2" t="s">
        <v>12075</v>
      </c>
      <c r="C4487" s="2" t="s">
        <v>12075</v>
      </c>
      <c r="D4487" s="4" t="str">
        <f>vlookup(A4487, Sheet2!D:E, 2, 0)</f>
        <v>control</v>
      </c>
      <c r="E4487" s="4" t="str">
        <f>IFERROR(__xludf.DUMMYFUNCTION("if(H4487=""pays"",vlookup(REGEXEXTRACT(C4487, ""🏘️ \w+ \w+ (.*) ✅""),'Country prepositions'!A:B, 2, 0) &amp; "" "" &amp; REGEXEXTRACT(C4487, ""🏘️ \w+ \w+ (.*) ✅"") ,  if(H4487=""quartier"",vlookup(REGEXEXTRACT(C4487, ""🏘️ \w+ \w+ (.*) ✅""),'Quartier prepositio"&amp;"ns'!A:E, 5, 0) ,  if(H4487=""region"",vlookup(REGEXEXTRACT(C4487, ""🏘️ \w+ \w+ (.*) ✅""),'Region prepositions'!B:F, 5, 0),  REGEXEXTRACT(C4487, ""🏘️ \w+ \w+ (.*) ✅""))))"),"#N/A")</f>
        <v>#N/A</v>
      </c>
      <c r="I4487" s="4" t="str">
        <f>IFERROR(__xludf.DUMMYFUNCTION("if(D4487=""variant"",  substitute(filter(Templates!E:E, Templates!A:A = F4487, Templates!B:B = G4487, Templates!C:C = H4487), ""{{}}"", E4487), B4487)"),"Louer appartement La Cure: Trouvez le bien immobilier qui correspond idéalement à vos désirs sur ImmoScout24 - La plateforme de l'immobilier en Suisse.")</f>
        <v>Louer appartement La Cure: Trouvez le bien immobilier qui correspond idéalement à vos désirs sur ImmoScout24 - La plateforme de l'immobilier en Suisse.</v>
      </c>
    </row>
    <row r="4488" hidden="1">
      <c r="A4488" s="5" t="s">
        <v>12076</v>
      </c>
      <c r="B4488" s="2" t="s">
        <v>12077</v>
      </c>
      <c r="C4488" s="2" t="s">
        <v>12077</v>
      </c>
      <c r="D4488" s="4" t="str">
        <f>vlookup(A4488, Sheet2!D:E, 2, 0)</f>
        <v>control</v>
      </c>
      <c r="E4488" s="4" t="str">
        <f>IFERROR(__xludf.DUMMYFUNCTION("if(H4488=""pays"",vlookup(REGEXEXTRACT(C4488, ""🏘️ \w+ \w+ (.*) ✅""),'Country prepositions'!A:B, 2, 0) &amp; "" "" &amp; REGEXEXTRACT(C4488, ""🏘️ \w+ \w+ (.*) ✅"") ,  if(H4488=""quartier"",vlookup(REGEXEXTRACT(C4488, ""🏘️ \w+ \w+ (.*) ✅""),'Quartier prepositio"&amp;"ns'!A:E, 5, 0) ,  if(H4488=""region"",vlookup(REGEXEXTRACT(C4488, ""🏘️ \w+ \w+ (.*) ✅""),'Region prepositions'!B:F, 5, 0),  REGEXEXTRACT(C4488, ""🏘️ \w+ \w+ (.*) ✅""))))"),"#N/A")</f>
        <v>#N/A</v>
      </c>
      <c r="I4488" s="4" t="str">
        <f>IFERROR(__xludf.DUMMYFUNCTION("if(D4488=""variant"",  substitute(filter(Templates!E:E, Templates!A:A = F4488, Templates!B:B = G4488, Templates!C:C = H4488), ""{{}}"", E4488), B4488)"),"Louer appartement Aumont: Trouvez le bien immobilier qui correspond idéalement à vos désirs sur ImmoScout24 - La plateforme de l'immobilier en Suisse.")</f>
        <v>Louer appartement Aumont: Trouvez le bien immobilier qui correspond idéalement à vos désirs sur ImmoScout24 - La plateforme de l'immobilier en Suisse.</v>
      </c>
    </row>
    <row r="4489" hidden="1">
      <c r="A4489" s="5" t="s">
        <v>12078</v>
      </c>
      <c r="B4489" s="2" t="s">
        <v>12079</v>
      </c>
      <c r="C4489" s="2" t="s">
        <v>12079</v>
      </c>
      <c r="D4489" s="4" t="str">
        <f>vlookup(A4489, Sheet2!D:E, 2, 0)</f>
        <v>control</v>
      </c>
      <c r="E4489" s="4" t="str">
        <f>IFERROR(__xludf.DUMMYFUNCTION("if(H4489=""pays"",vlookup(REGEXEXTRACT(C4489, ""🏘️ \w+ \w+ (.*) ✅""),'Country prepositions'!A:B, 2, 0) &amp; "" "" &amp; REGEXEXTRACT(C4489, ""🏘️ \w+ \w+ (.*) ✅"") ,  if(H4489=""quartier"",vlookup(REGEXEXTRACT(C4489, ""🏘️ \w+ \w+ (.*) ✅""),'Quartier prepositio"&amp;"ns'!A:E, 5, 0) ,  if(H4489=""region"",vlookup(REGEXEXTRACT(C4489, ""🏘️ \w+ \w+ (.*) ✅""),'Region prepositions'!B:F, 5, 0),  REGEXEXTRACT(C4489, ""🏘️ \w+ \w+ (.*) ✅""))))"),"#N/A")</f>
        <v>#N/A</v>
      </c>
      <c r="I4489" s="4" t="str">
        <f>IFERROR(__xludf.DUMMYFUNCTION("if(D4489=""variant"",  substitute(filter(Templates!E:E, Templates!A:A = F4489, Templates!B:B = G4489, Templates!C:C = H4489), ""{{}}"", E4489), B4489)"),"Vendre maison Magglingen/Macolin: Trouvez le bien immobilier qui correspond idéalement à vos désirs sur ImmoScout24 - La plateforme de l'immobilier en Suisse.")</f>
        <v>Vendre maison Magglingen/Macolin: Trouvez le bien immobilier qui correspond idéalement à vos désirs sur ImmoScout24 - La plateforme de l'immobilier en Suisse.</v>
      </c>
    </row>
    <row r="4490" hidden="1">
      <c r="A4490" s="5" t="s">
        <v>12080</v>
      </c>
      <c r="B4490" s="2" t="s">
        <v>12081</v>
      </c>
      <c r="C4490" s="2" t="s">
        <v>12081</v>
      </c>
      <c r="D4490" s="4" t="str">
        <f>vlookup(A4490, Sheet2!D:E, 2, 0)</f>
        <v>control</v>
      </c>
      <c r="E4490" s="4" t="str">
        <f>IFERROR(__xludf.DUMMYFUNCTION("if(H4490=""pays"",vlookup(REGEXEXTRACT(C4490, ""🏘️ \w+ \w+ (.*) ✅""),'Country prepositions'!A:B, 2, 0) &amp; "" "" &amp; REGEXEXTRACT(C4490, ""🏘️ \w+ \w+ (.*) ✅"") ,  if(H4490=""quartier"",vlookup(REGEXEXTRACT(C4490, ""🏘️ \w+ \w+ (.*) ✅""),'Quartier prepositio"&amp;"ns'!A:E, 5, 0) ,  if(H4490=""region"",vlookup(REGEXEXTRACT(C4490, ""🏘️ \w+ \w+ (.*) ✅""),'Region prepositions'!B:F, 5, 0),  REGEXEXTRACT(C4490, ""🏘️ \w+ \w+ (.*) ✅""))))"),"#N/A")</f>
        <v>#N/A</v>
      </c>
      <c r="I4490" s="4" t="str">
        <f>IFERROR(__xludf.DUMMYFUNCTION("if(D4490=""variant"",  substitute(filter(Templates!E:E, Templates!A:A = F4490, Templates!B:B = G4490, Templates!C:C = H4490), ""{{}}"", E4490), B4490)"),"Vendre appartement Croix-Fédérale (La Chaux-de-Fonds): Trouvez le bien immobilier qui correspond idéalement à vos désirs sur ImmoScout24 - La plateforme de l'immobilier en Suisse.")</f>
        <v>Vendre appartement Croix-Fédérale (La Chaux-de-Fonds): Trouvez le bien immobilier qui correspond idéalement à vos désirs sur ImmoScout24 - La plateforme de l'immobilier en Suisse.</v>
      </c>
    </row>
    <row r="4491" hidden="1">
      <c r="A4491" s="5" t="s">
        <v>12082</v>
      </c>
      <c r="B4491" s="2" t="s">
        <v>12083</v>
      </c>
      <c r="C4491" s="2" t="s">
        <v>12083</v>
      </c>
      <c r="D4491" s="4" t="str">
        <f>vlookup(A4491, Sheet2!D:E, 2, 0)</f>
        <v>control</v>
      </c>
      <c r="E4491" s="4" t="str">
        <f>IFERROR(__xludf.DUMMYFUNCTION("if(H4491=""pays"",vlookup(REGEXEXTRACT(C4491, ""🏘️ \w+ \w+ (.*) ✅""),'Country prepositions'!A:B, 2, 0) &amp; "" "" &amp; REGEXEXTRACT(C4491, ""🏘️ \w+ \w+ (.*) ✅"") ,  if(H4491=""quartier"",vlookup(REGEXEXTRACT(C4491, ""🏘️ \w+ \w+ (.*) ✅""),'Quartier prepositio"&amp;"ns'!A:E, 5, 0) ,  if(H4491=""region"",vlookup(REGEXEXTRACT(C4491, ""🏘️ \w+ \w+ (.*) ✅""),'Region prepositions'!B:F, 5, 0),  REGEXEXTRACT(C4491, ""🏘️ \w+ \w+ (.*) ✅""))))"),"#N/A")</f>
        <v>#N/A</v>
      </c>
      <c r="I4491" s="4" t="str">
        <f>IFERROR(__xludf.DUMMYFUNCTION("if(D4491=""variant"",  substitute(filter(Templates!E:E, Templates!A:A = F4491, Templates!B:B = G4491, Templates!C:C = H4491), ""{{}}"", E4491), B4491)"),"Vendre appartement Caslano: Trouvez le bien immobilier qui correspond idéalement à vos désirs sur ImmoScout24 - La plateforme de l'immobilier en Suisse.")</f>
        <v>Vendre appartement Caslano: Trouvez le bien immobilier qui correspond idéalement à vos désirs sur ImmoScout24 - La plateforme de l'immobilier en Suisse.</v>
      </c>
    </row>
    <row r="4492" hidden="1">
      <c r="A4492" s="5" t="s">
        <v>12084</v>
      </c>
      <c r="B4492" s="2" t="s">
        <v>12085</v>
      </c>
      <c r="C4492" s="2" t="s">
        <v>12085</v>
      </c>
      <c r="D4492" s="4" t="str">
        <f>vlookup(A4492, Sheet2!D:E, 2, 0)</f>
        <v>control</v>
      </c>
      <c r="E4492" s="4" t="str">
        <f>IFERROR(__xludf.DUMMYFUNCTION("if(H4492=""pays"",vlookup(REGEXEXTRACT(C4492, ""🏘️ \w+ \w+ (.*) ✅""),'Country prepositions'!A:B, 2, 0) &amp; "" "" &amp; REGEXEXTRACT(C4492, ""🏘️ \w+ \w+ (.*) ✅"") ,  if(H4492=""quartier"",vlookup(REGEXEXTRACT(C4492, ""🏘️ \w+ \w+ (.*) ✅""),'Quartier prepositio"&amp;"ns'!A:E, 5, 0) ,  if(H4492=""region"",vlookup(REGEXEXTRACT(C4492, ""🏘️ \w+ \w+ (.*) ✅""),'Region prepositions'!B:F, 5, 0),  REGEXEXTRACT(C4492, ""🏘️ \w+ \w+ (.*) ✅""))))"),"#N/A")</f>
        <v>#N/A</v>
      </c>
      <c r="I4492" s="4" t="str">
        <f>IFERROR(__xludf.DUMMYFUNCTION("if(D4492=""variant"",  substitute(filter(Templates!E:E, Templates!A:A = F4492, Templates!B:B = G4492, Templates!C:C = H4492), ""{{}}"", E4492), B4492)"),"Vendre appartement Torny-le-Grand: Trouvez le bien immobilier qui correspond idéalement à vos désirs sur ImmoScout24 - La plateforme de l'immobilier en Suisse.")</f>
        <v>Vendre appartement Torny-le-Grand: Trouvez le bien immobilier qui correspond idéalement à vos désirs sur ImmoScout24 - La plateforme de l'immobilier en Suisse.</v>
      </c>
    </row>
    <row r="4493" hidden="1">
      <c r="A4493" s="5" t="s">
        <v>12086</v>
      </c>
      <c r="B4493" s="2" t="s">
        <v>12087</v>
      </c>
      <c r="C4493" s="2" t="s">
        <v>12087</v>
      </c>
      <c r="D4493" s="4" t="str">
        <f>vlookup(A4493, Sheet2!D:E, 2, 0)</f>
        <v>control</v>
      </c>
      <c r="E4493" s="4" t="str">
        <f>IFERROR(__xludf.DUMMYFUNCTION("if(H4493=""pays"",vlookup(REGEXEXTRACT(C4493, ""🏘️ \w+ \w+ (.*) ✅""),'Country prepositions'!A:B, 2, 0) &amp; "" "" &amp; REGEXEXTRACT(C4493, ""🏘️ \w+ \w+ (.*) ✅"") ,  if(H4493=""quartier"",vlookup(REGEXEXTRACT(C4493, ""🏘️ \w+ \w+ (.*) ✅""),'Quartier prepositio"&amp;"ns'!A:E, 5, 0) ,  if(H4493=""region"",vlookup(REGEXEXTRACT(C4493, ""🏘️ \w+ \w+ (.*) ✅""),'Region prepositions'!B:F, 5, 0),  REGEXEXTRACT(C4493, ""🏘️ \w+ \w+ (.*) ✅""))))"),"#N/A")</f>
        <v>#N/A</v>
      </c>
      <c r="I4493" s="4" t="str">
        <f>IFERROR(__xludf.DUMMYFUNCTION("if(D4493=""variant"",  substitute(filter(Templates!E:E, Templates!A:A = F4493, Templates!B:B = G4493, Templates!C:C = H4493), ""{{}}"", E4493), B4493)"),"Louer appartement Yvorne: Trouvez le bien immobilier qui correspond idéalement à vos désirs sur ImmoScout24 - La plateforme de l'immobilier en Suisse.")</f>
        <v>Louer appartement Yvorne: Trouvez le bien immobilier qui correspond idéalement à vos désirs sur ImmoScout24 - La plateforme de l'immobilier en Suisse.</v>
      </c>
    </row>
    <row r="4494" hidden="1">
      <c r="A4494" s="5" t="s">
        <v>12088</v>
      </c>
      <c r="B4494" s="2" t="s">
        <v>12089</v>
      </c>
      <c r="C4494" s="2" t="s">
        <v>12089</v>
      </c>
      <c r="D4494" s="4" t="str">
        <f>vlookup(A4494, Sheet2!D:E, 2, 0)</f>
        <v>control</v>
      </c>
      <c r="E4494" s="4" t="str">
        <f>IFERROR(__xludf.DUMMYFUNCTION("if(H4494=""pays"",vlookup(REGEXEXTRACT(C4494, ""🏘️ \w+ \w+ (.*) ✅""),'Country prepositions'!A:B, 2, 0) &amp; "" "" &amp; REGEXEXTRACT(C4494, ""🏘️ \w+ \w+ (.*) ✅"") ,  if(H4494=""quartier"",vlookup(REGEXEXTRACT(C4494, ""🏘️ \w+ \w+ (.*) ✅""),'Quartier prepositio"&amp;"ns'!A:E, 5, 0) ,  if(H4494=""region"",vlookup(REGEXEXTRACT(C4494, ""🏘️ \w+ \w+ (.*) ✅""),'Region prepositions'!B:F, 5, 0),  REGEXEXTRACT(C4494, ""🏘️ \w+ \w+ (.*) ✅""))))"),"#N/A")</f>
        <v>#N/A</v>
      </c>
      <c r="I4494" s="4" t="str">
        <f>IFERROR(__xludf.DUMMYFUNCTION("if(D4494=""variant"",  substitute(filter(Templates!E:E, Templates!A:A = F4494, Templates!B:B = G4494, Templates!C:C = H4494), ""{{}}"", E4494), B4494)"),"Vendre maison Cugy VD: Trouvez le bien immobilier qui correspond idéalement à vos désirs sur ImmoScout24 - La plateforme de l'immobilier en Suisse.")</f>
        <v>Vendre maison Cugy VD: Trouvez le bien immobilier qui correspond idéalement à vos désirs sur ImmoScout24 - La plateforme de l'immobilier en Suisse.</v>
      </c>
    </row>
    <row r="4495" hidden="1">
      <c r="A4495" s="5" t="s">
        <v>12090</v>
      </c>
      <c r="B4495" s="2" t="s">
        <v>12091</v>
      </c>
      <c r="C4495" s="2" t="s">
        <v>12091</v>
      </c>
      <c r="D4495" s="4" t="str">
        <f>vlookup(A4495, Sheet2!D:E, 2, 0)</f>
        <v>control</v>
      </c>
      <c r="E4495" s="4" t="str">
        <f>IFERROR(__xludf.DUMMYFUNCTION("if(H4495=""pays"",vlookup(REGEXEXTRACT(C4495, ""🏘️ \w+ \w+ (.*) ✅""),'Country prepositions'!A:B, 2, 0) &amp; "" "" &amp; REGEXEXTRACT(C4495, ""🏘️ \w+ \w+ (.*) ✅"") ,  if(H4495=""quartier"",vlookup(REGEXEXTRACT(C4495, ""🏘️ \w+ \w+ (.*) ✅""),'Quartier prepositio"&amp;"ns'!A:E, 5, 0) ,  if(H4495=""region"",vlookup(REGEXEXTRACT(C4495, ""🏘️ \w+ \w+ (.*) ✅""),'Region prepositions'!B:F, 5, 0),  REGEXEXTRACT(C4495, ""🏘️ \w+ \w+ (.*) ✅""))))"),"#N/A")</f>
        <v>#N/A</v>
      </c>
      <c r="I4495" s="4" t="str">
        <f>IFERROR(__xludf.DUMMYFUNCTION("if(D4495=""variant"",  substitute(filter(Templates!E:E, Templates!A:A = F4495, Templates!B:B = G4495, Templates!C:C = H4495), ""{{}}"", E4495), B4495)"),"Vendre maison Bofflens: Trouvez le bien immobilier qui correspond idéalement à vos désirs sur ImmoScout24 - La plateforme de l'immobilier en Suisse.")</f>
        <v>Vendre maison Bofflens: Trouvez le bien immobilier qui correspond idéalement à vos désirs sur ImmoScout24 - La plateforme de l'immobilier en Suisse.</v>
      </c>
    </row>
    <row r="4496" hidden="1">
      <c r="A4496" s="5" t="s">
        <v>12092</v>
      </c>
      <c r="B4496" s="2" t="s">
        <v>12093</v>
      </c>
      <c r="C4496" s="2" t="s">
        <v>12093</v>
      </c>
      <c r="D4496" s="4" t="str">
        <f>vlookup(A4496, Sheet2!D:E, 2, 0)</f>
        <v>control</v>
      </c>
      <c r="E4496" s="4" t="str">
        <f>IFERROR(__xludf.DUMMYFUNCTION("if(H4496=""pays"",vlookup(REGEXEXTRACT(C4496, ""🏘️ \w+ \w+ (.*) ✅""),'Country prepositions'!A:B, 2, 0) &amp; "" "" &amp; REGEXEXTRACT(C4496, ""🏘️ \w+ \w+ (.*) ✅"") ,  if(H4496=""quartier"",vlookup(REGEXEXTRACT(C4496, ""🏘️ \w+ \w+ (.*) ✅""),'Quartier prepositio"&amp;"ns'!A:E, 5, 0) ,  if(H4496=""region"",vlookup(REGEXEXTRACT(C4496, ""🏘️ \w+ \w+ (.*) ✅""),'Region prepositions'!B:F, 5, 0),  REGEXEXTRACT(C4496, ""🏘️ \w+ \w+ (.*) ✅""))))"),"#N/A")</f>
        <v>#N/A</v>
      </c>
      <c r="I4496" s="4" t="str">
        <f>IFERROR(__xludf.DUMMYFUNCTION("if(D4496=""variant"",  substitute(filter(Templates!E:E, Templates!A:A = F4496, Templates!B:B = G4496, Templates!C:C = H4496), ""{{}}"", E4496), B4496)"),"Vendre maison Vétroz: Trouvez le bien immobilier qui correspond idéalement à vos désirs sur ImmoScout24 - La plateforme de l'immobilier en Suisse.")</f>
        <v>Vendre maison Vétroz: Trouvez le bien immobilier qui correspond idéalement à vos désirs sur ImmoScout24 - La plateforme de l'immobilier en Suisse.</v>
      </c>
    </row>
    <row r="4497" hidden="1">
      <c r="A4497" s="5" t="s">
        <v>12094</v>
      </c>
      <c r="B4497" s="2" t="s">
        <v>12095</v>
      </c>
      <c r="C4497" s="2" t="s">
        <v>12095</v>
      </c>
      <c r="D4497" s="4" t="str">
        <f>vlookup(A4497, Sheet2!D:E, 2, 0)</f>
        <v>control</v>
      </c>
      <c r="E4497" s="4" t="str">
        <f>IFERROR(__xludf.DUMMYFUNCTION("if(H4497=""pays"",vlookup(REGEXEXTRACT(C4497, ""🏘️ \w+ \w+ (.*) ✅""),'Country prepositions'!A:B, 2, 0) &amp; "" "" &amp; REGEXEXTRACT(C4497, ""🏘️ \w+ \w+ (.*) ✅"") ,  if(H4497=""quartier"",vlookup(REGEXEXTRACT(C4497, ""🏘️ \w+ \w+ (.*) ✅""),'Quartier prepositio"&amp;"ns'!A:E, 5, 0) ,  if(H4497=""region"",vlookup(REGEXEXTRACT(C4497, ""🏘️ \w+ \w+ (.*) ✅""),'Region prepositions'!B:F, 5, 0),  REGEXEXTRACT(C4497, ""🏘️ \w+ \w+ (.*) ✅""))))"),"#N/A")</f>
        <v>#N/A</v>
      </c>
      <c r="I4497" s="4" t="str">
        <f>IFERROR(__xludf.DUMMYFUNCTION("if(D4497=""variant"",  substitute(filter(Templates!E:E, Templates!A:A = F4497, Templates!B:B = G4497, Templates!C:C = H4497), ""{{}}"", E4497), B4497)"),"Vendre appartement Menziken: Trouvez le bien immobilier qui correspond idéalement à vos désirs sur ImmoScout24 - La plateforme de l'immobilier en Suisse.")</f>
        <v>Vendre appartement Menziken: Trouvez le bien immobilier qui correspond idéalement à vos désirs sur ImmoScout24 - La plateforme de l'immobilier en Suisse.</v>
      </c>
    </row>
    <row r="4498" hidden="1">
      <c r="A4498" s="5" t="s">
        <v>12096</v>
      </c>
      <c r="B4498" s="2" t="s">
        <v>12097</v>
      </c>
      <c r="C4498" s="2" t="s">
        <v>12097</v>
      </c>
      <c r="D4498" s="4" t="str">
        <f>vlookup(A4498, Sheet2!D:E, 2, 0)</f>
        <v>control</v>
      </c>
      <c r="E4498" s="4" t="str">
        <f>IFERROR(__xludf.DUMMYFUNCTION("if(H4498=""pays"",vlookup(REGEXEXTRACT(C4498, ""🏘️ \w+ \w+ (.*) ✅""),'Country prepositions'!A:B, 2, 0) &amp; "" "" &amp; REGEXEXTRACT(C4498, ""🏘️ \w+ \w+ (.*) ✅"") ,  if(H4498=""quartier"",vlookup(REGEXEXTRACT(C4498, ""🏘️ \w+ \w+ (.*) ✅""),'Quartier prepositio"&amp;"ns'!A:E, 5, 0) ,  if(H4498=""region"",vlookup(REGEXEXTRACT(C4498, ""🏘️ \w+ \w+ (.*) ✅""),'Region prepositions'!B:F, 5, 0),  REGEXEXTRACT(C4498, ""🏘️ \w+ \w+ (.*) ✅""))))"),"#N/A")</f>
        <v>#N/A</v>
      </c>
      <c r="I4498" s="4" t="str">
        <f>IFERROR(__xludf.DUMMYFUNCTION("if(D4498=""variant"",  substitute(filter(Templates!E:E, Templates!A:A = F4498, Templates!B:B = G4498, Templates!C:C = H4498), ""{{}}"", E4498), B4498)"),"Vendre maison Neuenegg: Trouvez le bien immobilier qui correspond idéalement à vos désirs sur ImmoScout24 - La plateforme de l'immobilier en Suisse.")</f>
        <v>Vendre maison Neuenegg: Trouvez le bien immobilier qui correspond idéalement à vos désirs sur ImmoScout24 - La plateforme de l'immobilier en Suisse.</v>
      </c>
    </row>
    <row r="4499" hidden="1">
      <c r="A4499" s="5" t="s">
        <v>12098</v>
      </c>
      <c r="B4499" s="2" t="s">
        <v>12099</v>
      </c>
      <c r="C4499" s="2" t="s">
        <v>12099</v>
      </c>
      <c r="D4499" s="4" t="str">
        <f>vlookup(A4499, Sheet2!D:E, 2, 0)</f>
        <v>control</v>
      </c>
      <c r="E4499" s="4" t="str">
        <f>IFERROR(__xludf.DUMMYFUNCTION("if(H4499=""pays"",vlookup(REGEXEXTRACT(C4499, ""🏘️ \w+ \w+ (.*) ✅""),'Country prepositions'!A:B, 2, 0) &amp; "" "" &amp; REGEXEXTRACT(C4499, ""🏘️ \w+ \w+ (.*) ✅"") ,  if(H4499=""quartier"",vlookup(REGEXEXTRACT(C4499, ""🏘️ \w+ \w+ (.*) ✅""),'Quartier prepositio"&amp;"ns'!A:E, 5, 0) ,  if(H4499=""region"",vlookup(REGEXEXTRACT(C4499, ""🏘️ \w+ \w+ (.*) ✅""),'Region prepositions'!B:F, 5, 0),  REGEXEXTRACT(C4499, ""🏘️ \w+ \w+ (.*) ✅""))))"),"#N/A")</f>
        <v>#N/A</v>
      </c>
      <c r="I4499" s="4" t="str">
        <f>IFERROR(__xludf.DUMMYFUNCTION("if(D4499=""variant"",  substitute(filter(Templates!E:E, Templates!A:A = F4499, Templates!B:B = G4499, Templates!C:C = H4499), ""{{}}"", E4499), B4499)"),"Vendre appartement Les Avanchets: Trouvez le bien immobilier qui correspond idéalement à vos désirs sur ImmoScout24 - La plateforme de l'immobilier en Suisse.")</f>
        <v>Vendre appartement Les Avanchets: Trouvez le bien immobilier qui correspond idéalement à vos désirs sur ImmoScout24 - La plateforme de l'immobilier en Suisse.</v>
      </c>
    </row>
    <row r="4500" hidden="1">
      <c r="A4500" s="5" t="s">
        <v>12100</v>
      </c>
      <c r="B4500" s="2" t="s">
        <v>12101</v>
      </c>
      <c r="C4500" s="2" t="s">
        <v>12101</v>
      </c>
      <c r="D4500" s="4" t="str">
        <f>vlookup(A4500, Sheet2!D:E, 2, 0)</f>
        <v>control</v>
      </c>
      <c r="E4500" s="4" t="str">
        <f>IFERROR(__xludf.DUMMYFUNCTION("if(H4500=""pays"",vlookup(REGEXEXTRACT(C4500, ""🏘️ \w+ \w+ (.*) ✅""),'Country prepositions'!A:B, 2, 0) &amp; "" "" &amp; REGEXEXTRACT(C4500, ""🏘️ \w+ \w+ (.*) ✅"") ,  if(H4500=""quartier"",vlookup(REGEXEXTRACT(C4500, ""🏘️ \w+ \w+ (.*) ✅""),'Quartier prepositio"&amp;"ns'!A:E, 5, 0) ,  if(H4500=""region"",vlookup(REGEXEXTRACT(C4500, ""🏘️ \w+ \w+ (.*) ✅""),'Region prepositions'!B:F, 5, 0),  REGEXEXTRACT(C4500, ""🏘️ \w+ \w+ (.*) ✅""))))"),"#N/A")</f>
        <v>#N/A</v>
      </c>
      <c r="I4500" s="4" t="str">
        <f>IFERROR(__xludf.DUMMYFUNCTION("if(D4500=""variant"",  substitute(filter(Templates!E:E, Templates!A:A = F4500, Templates!B:B = G4500, Templates!C:C = H4500), ""{{}}"", E4500), B4500)"),"Vendre maison Lavertezzo: Trouvez le bien immobilier qui correspond idéalement à vos désirs sur ImmoScout24 - La plateforme de l'immobilier en Suisse.")</f>
        <v>Vendre maison Lavertezzo: Trouvez le bien immobilier qui correspond idéalement à vos désirs sur ImmoScout24 - La plateforme de l'immobilier en Suisse.</v>
      </c>
    </row>
    <row r="4501" hidden="1">
      <c r="A4501" s="5" t="s">
        <v>12102</v>
      </c>
      <c r="B4501" s="2" t="s">
        <v>12103</v>
      </c>
      <c r="C4501" s="2" t="s">
        <v>12103</v>
      </c>
      <c r="D4501" s="4" t="str">
        <f>vlookup(A4501, Sheet2!D:E, 2, 0)</f>
        <v>control</v>
      </c>
      <c r="E4501" s="4" t="str">
        <f>IFERROR(__xludf.DUMMYFUNCTION("if(H4501=""pays"",vlookup(REGEXEXTRACT(C4501, ""🏘️ \w+ \w+ (.*) ✅""),'Country prepositions'!A:B, 2, 0) &amp; "" "" &amp; REGEXEXTRACT(C4501, ""🏘️ \w+ \w+ (.*) ✅"") ,  if(H4501=""quartier"",vlookup(REGEXEXTRACT(C4501, ""🏘️ \w+ \w+ (.*) ✅""),'Quartier prepositio"&amp;"ns'!A:E, 5, 0) ,  if(H4501=""region"",vlookup(REGEXEXTRACT(C4501, ""🏘️ \w+ \w+ (.*) ✅""),'Region prepositions'!B:F, 5, 0),  REGEXEXTRACT(C4501, ""🏘️ \w+ \w+ (.*) ✅""))))"),"#N/A")</f>
        <v>#N/A</v>
      </c>
      <c r="I4501" s="4" t="str">
        <f>IFERROR(__xludf.DUMMYFUNCTION("if(D4501=""variant"",  substitute(filter(Templates!E:E, Templates!A:A = F4501, Templates!B:B = G4501, Templates!C:C = H4501), ""{{}}"", E4501), B4501)"),"Louer appartement Entlebuch: Trouvez le bien immobilier qui correspond idéalement à vos désirs sur ImmoScout24 - La plateforme de l'immobilier en Suisse.")</f>
        <v>Louer appartement Entlebuch: Trouvez le bien immobilier qui correspond idéalement à vos désirs sur ImmoScout24 - La plateforme de l'immobilier en Suisse.</v>
      </c>
    </row>
    <row r="4502" hidden="1">
      <c r="A4502" s="5" t="s">
        <v>12104</v>
      </c>
      <c r="B4502" s="2" t="s">
        <v>12105</v>
      </c>
      <c r="C4502" s="2" t="s">
        <v>12105</v>
      </c>
      <c r="D4502" s="4" t="str">
        <f>vlookup(A4502, Sheet2!D:E, 2, 0)</f>
        <v>control</v>
      </c>
      <c r="E4502" s="4" t="str">
        <f>IFERROR(__xludf.DUMMYFUNCTION("if(H4502=""pays"",vlookup(REGEXEXTRACT(C4502, ""🏘️ \w+ \w+ (.*) ✅""),'Country prepositions'!A:B, 2, 0) &amp; "" "" &amp; REGEXEXTRACT(C4502, ""🏘️ \w+ \w+ (.*) ✅"") ,  if(H4502=""quartier"",vlookup(REGEXEXTRACT(C4502, ""🏘️ \w+ \w+ (.*) ✅""),'Quartier prepositio"&amp;"ns'!A:E, 5, 0) ,  if(H4502=""region"",vlookup(REGEXEXTRACT(C4502, ""🏘️ \w+ \w+ (.*) ✅""),'Region prepositions'!B:F, 5, 0),  REGEXEXTRACT(C4502, ""🏘️ \w+ \w+ (.*) ✅""))))"),"#N/A")</f>
        <v>#N/A</v>
      </c>
      <c r="I4502" s="4" t="str">
        <f>IFERROR(__xludf.DUMMYFUNCTION("if(D4502=""variant"",  substitute(filter(Templates!E:E, Templates!A:A = F4502, Templates!B:B = G4502, Templates!C:C = H4502), ""{{}}"", E4502), B4502)"),"Vendre maison Haut-Valais: Trouvez le bien immobilier qui correspond idéalement à vos désirs sur ImmoScout24 - La plateforme de l'immobilier en Suisse.")</f>
        <v>Vendre maison Haut-Valais: Trouvez le bien immobilier qui correspond idéalement à vos désirs sur ImmoScout24 - La plateforme de l'immobilier en Suisse.</v>
      </c>
    </row>
    <row r="4503" hidden="1">
      <c r="A4503" s="5" t="s">
        <v>12106</v>
      </c>
      <c r="B4503" s="2" t="s">
        <v>12107</v>
      </c>
      <c r="C4503" s="2" t="s">
        <v>12107</v>
      </c>
      <c r="D4503" s="4" t="str">
        <f>vlookup(A4503, Sheet2!D:E, 2, 0)</f>
        <v>control</v>
      </c>
      <c r="E4503" s="4" t="str">
        <f>IFERROR(__xludf.DUMMYFUNCTION("if(H4503=""pays"",vlookup(REGEXEXTRACT(C4503, ""🏘️ \w+ \w+ (.*) ✅""),'Country prepositions'!A:B, 2, 0) &amp; "" "" &amp; REGEXEXTRACT(C4503, ""🏘️ \w+ \w+ (.*) ✅"") ,  if(H4503=""quartier"",vlookup(REGEXEXTRACT(C4503, ""🏘️ \w+ \w+ (.*) ✅""),'Quartier prepositio"&amp;"ns'!A:E, 5, 0) ,  if(H4503=""region"",vlookup(REGEXEXTRACT(C4503, ""🏘️ \w+ \w+ (.*) ✅""),'Region prepositions'!B:F, 5, 0),  REGEXEXTRACT(C4503, ""🏘️ \w+ \w+ (.*) ✅""))))"),"#N/A")</f>
        <v>#N/A</v>
      </c>
      <c r="I4503" s="4" t="str">
        <f>IFERROR(__xludf.DUMMYFUNCTION("if(D4503=""variant"",  substitute(filter(Templates!E:E, Templates!A:A = F4503, Templates!B:B = G4503, Templates!C:C = H4503), ""{{}}"", E4503), B4503)"),"Vendre maison Chénens: Trouvez le bien immobilier qui correspond idéalement à vos désirs sur ImmoScout24 - La plateforme de l'immobilier en Suisse.")</f>
        <v>Vendre maison Chénens: Trouvez le bien immobilier qui correspond idéalement à vos désirs sur ImmoScout24 - La plateforme de l'immobilier en Suisse.</v>
      </c>
    </row>
    <row r="4504" hidden="1">
      <c r="A4504" s="5" t="s">
        <v>12108</v>
      </c>
      <c r="B4504" s="2" t="s">
        <v>12109</v>
      </c>
      <c r="C4504" s="2" t="s">
        <v>12109</v>
      </c>
      <c r="D4504" s="4" t="str">
        <f>vlookup(A4504, Sheet2!D:E, 2, 0)</f>
        <v>control</v>
      </c>
      <c r="E4504" s="4" t="str">
        <f>IFERROR(__xludf.DUMMYFUNCTION("if(H4504=""pays"",vlookup(REGEXEXTRACT(C4504, ""🏘️ \w+ \w+ (.*) ✅""),'Country prepositions'!A:B, 2, 0) &amp; "" "" &amp; REGEXEXTRACT(C4504, ""🏘️ \w+ \w+ (.*) ✅"") ,  if(H4504=""quartier"",vlookup(REGEXEXTRACT(C4504, ""🏘️ \w+ \w+ (.*) ✅""),'Quartier prepositio"&amp;"ns'!A:E, 5, 0) ,  if(H4504=""region"",vlookup(REGEXEXTRACT(C4504, ""🏘️ \w+ \w+ (.*) ✅""),'Region prepositions'!B:F, 5, 0),  REGEXEXTRACT(C4504, ""🏘️ \w+ \w+ (.*) ✅""))))"),"#N/A")</f>
        <v>#N/A</v>
      </c>
      <c r="I4504" s="4" t="str">
        <f>IFERROR(__xludf.DUMMYFUNCTION("if(D4504=""variant"",  substitute(filter(Templates!E:E, Templates!A:A = F4504, Templates!B:B = G4504, Templates!C:C = H4504), ""{{}}"", E4504), B4504)"),"Vendre maison Gordevio: Trouvez le bien immobilier qui correspond idéalement à vos désirs sur ImmoScout24 - La plateforme de l'immobilier en Suisse.")</f>
        <v>Vendre maison Gordevio: Trouvez le bien immobilier qui correspond idéalement à vos désirs sur ImmoScout24 - La plateforme de l'immobilier en Suisse.</v>
      </c>
    </row>
    <row r="4505" hidden="1">
      <c r="A4505" s="5" t="s">
        <v>12110</v>
      </c>
      <c r="B4505" s="2" t="s">
        <v>12111</v>
      </c>
      <c r="C4505" s="2" t="s">
        <v>12111</v>
      </c>
      <c r="D4505" s="4" t="str">
        <f>vlookup(A4505, Sheet2!D:E, 2, 0)</f>
        <v>control</v>
      </c>
      <c r="E4505" s="4" t="str">
        <f>IFERROR(__xludf.DUMMYFUNCTION("if(H4505=""pays"",vlookup(REGEXEXTRACT(C4505, ""🏘️ \w+ \w+ (.*) ✅""),'Country prepositions'!A:B, 2, 0) &amp; "" "" &amp; REGEXEXTRACT(C4505, ""🏘️ \w+ \w+ (.*) ✅"") ,  if(H4505=""quartier"",vlookup(REGEXEXTRACT(C4505, ""🏘️ \w+ \w+ (.*) ✅""),'Quartier prepositio"&amp;"ns'!A:E, 5, 0) ,  if(H4505=""region"",vlookup(REGEXEXTRACT(C4505, ""🏘️ \w+ \w+ (.*) ✅""),'Region prepositions'!B:F, 5, 0),  REGEXEXTRACT(C4505, ""🏘️ \w+ \w+ (.*) ✅""))))"),"#N/A")</f>
        <v>#N/A</v>
      </c>
      <c r="I4505" s="4" t="str">
        <f>IFERROR(__xludf.DUMMYFUNCTION("if(D4505=""variant"",  substitute(filter(Templates!E:E, Templates!A:A = F4505, Templates!B:B = G4505, Templates!C:C = H4505), ""{{}}"", E4505), B4505)"),"Vendre appartement Immensee: Trouvez le bien immobilier qui correspond idéalement à vos désirs sur ImmoScout24 - La plateforme de l'immobilier en Suisse.")</f>
        <v>Vendre appartement Immensee: Trouvez le bien immobilier qui correspond idéalement à vos désirs sur ImmoScout24 - La plateforme de l'immobilier en Suisse.</v>
      </c>
    </row>
    <row r="4506" hidden="1">
      <c r="A4506" s="5" t="s">
        <v>12112</v>
      </c>
      <c r="B4506" s="2" t="s">
        <v>12113</v>
      </c>
      <c r="C4506" s="2" t="s">
        <v>12113</v>
      </c>
      <c r="D4506" s="4" t="str">
        <f>vlookup(A4506, Sheet2!D:E, 2, 0)</f>
        <v>control</v>
      </c>
      <c r="E4506" s="4" t="str">
        <f>IFERROR(__xludf.DUMMYFUNCTION("if(H4506=""pays"",vlookup(REGEXEXTRACT(C4506, ""🏘️ \w+ \w+ (.*) ✅""),'Country prepositions'!A:B, 2, 0) &amp; "" "" &amp; REGEXEXTRACT(C4506, ""🏘️ \w+ \w+ (.*) ✅"") ,  if(H4506=""quartier"",vlookup(REGEXEXTRACT(C4506, ""🏘️ \w+ \w+ (.*) ✅""),'Quartier prepositio"&amp;"ns'!A:E, 5, 0) ,  if(H4506=""region"",vlookup(REGEXEXTRACT(C4506, ""🏘️ \w+ \w+ (.*) ✅""),'Region prepositions'!B:F, 5, 0),  REGEXEXTRACT(C4506, ""🏘️ \w+ \w+ (.*) ✅""))))"),"#N/A")</f>
        <v>#N/A</v>
      </c>
      <c r="I4506" s="4" t="str">
        <f>IFERROR(__xludf.DUMMYFUNCTION("if(D4506=""variant"",  substitute(filter(Templates!E:E, Templates!A:A = F4506, Templates!B:B = G4506, Templates!C:C = H4506), ""{{}}"", E4506), B4506)"),"Vendre maison Chapelle (Broye): Trouvez le bien immobilier qui correspond idéalement à vos désirs sur ImmoScout24 - La plateforme de l'immobilier en Suisse.")</f>
        <v>Vendre maison Chapelle (Broye): Trouvez le bien immobilier qui correspond idéalement à vos désirs sur ImmoScout24 - La plateforme de l'immobilier en Suisse.</v>
      </c>
    </row>
    <row r="4507" hidden="1">
      <c r="A4507" s="5" t="s">
        <v>12114</v>
      </c>
      <c r="B4507" s="2" t="s">
        <v>12115</v>
      </c>
      <c r="C4507" s="2" t="s">
        <v>12115</v>
      </c>
      <c r="D4507" s="4" t="str">
        <f>vlookup(A4507, Sheet2!D:E, 2, 0)</f>
        <v>control</v>
      </c>
      <c r="E4507" s="4" t="str">
        <f>IFERROR(__xludf.DUMMYFUNCTION("if(H4507=""pays"",vlookup(REGEXEXTRACT(C4507, ""🏘️ \w+ \w+ (.*) ✅""),'Country prepositions'!A:B, 2, 0) &amp; "" "" &amp; REGEXEXTRACT(C4507, ""🏘️ \w+ \w+ (.*) ✅"") ,  if(H4507=""quartier"",vlookup(REGEXEXTRACT(C4507, ""🏘️ \w+ \w+ (.*) ✅""),'Quartier prepositio"&amp;"ns'!A:E, 5, 0) ,  if(H4507=""region"",vlookup(REGEXEXTRACT(C4507, ""🏘️ \w+ \w+ (.*) ✅""),'Region prepositions'!B:F, 5, 0),  REGEXEXTRACT(C4507, ""🏘️ \w+ \w+ (.*) ✅""))))"),"#N/A")</f>
        <v>#N/A</v>
      </c>
      <c r="I4507" s="4" t="str">
        <f>IFERROR(__xludf.DUMMYFUNCTION("if(D4507=""variant"",  substitute(filter(Templates!E:E, Templates!A:A = F4507, Templates!B:B = G4507, Templates!C:C = H4507), ""{{}}"", E4507), B4507)"),"Vendre appartement Suisse + FL: Trouvez le bien immobilier qui correspond idéalement à vos désirs sur ImmoScout24 - La plateforme de l'immobilier en Suisse.")</f>
        <v>Vendre appartement Suisse + FL: Trouvez le bien immobilier qui correspond idéalement à vos désirs sur ImmoScout24 - La plateforme de l'immobilier en Suisse.</v>
      </c>
    </row>
    <row r="4508" hidden="1">
      <c r="A4508" s="5" t="s">
        <v>12116</v>
      </c>
      <c r="B4508" s="2" t="s">
        <v>12117</v>
      </c>
      <c r="C4508" s="2" t="s">
        <v>12117</v>
      </c>
      <c r="D4508" s="4" t="str">
        <f>vlookup(A4508, Sheet2!D:E, 2, 0)</f>
        <v>control</v>
      </c>
      <c r="E4508" s="4" t="str">
        <f>IFERROR(__xludf.DUMMYFUNCTION("if(H4508=""pays"",vlookup(REGEXEXTRACT(C4508, ""🏘️ \w+ \w+ (.*) ✅""),'Country prepositions'!A:B, 2, 0) &amp; "" "" &amp; REGEXEXTRACT(C4508, ""🏘️ \w+ \w+ (.*) ✅"") ,  if(H4508=""quartier"",vlookup(REGEXEXTRACT(C4508, ""🏘️ \w+ \w+ (.*) ✅""),'Quartier prepositio"&amp;"ns'!A:E, 5, 0) ,  if(H4508=""region"",vlookup(REGEXEXTRACT(C4508, ""🏘️ \w+ \w+ (.*) ✅""),'Region prepositions'!B:F, 5, 0),  REGEXEXTRACT(C4508, ""🏘️ \w+ \w+ (.*) ✅""))))"),"#N/A")</f>
        <v>#N/A</v>
      </c>
      <c r="I4508" s="4" t="str">
        <f>IFERROR(__xludf.DUMMYFUNCTION("if(D4508=""variant"",  substitute(filter(Templates!E:E, Templates!A:A = F4508, Templates!B:B = G4508, Templates!C:C = H4508), ""{{}}"", E4508), B4508)"),"Louer appartement Turin (Salins): Trouvez le bien immobilier qui correspond idéalement à vos désirs sur ImmoScout24 - La plateforme de l'immobilier en Suisse.")</f>
        <v>Louer appartement Turin (Salins): Trouvez le bien immobilier qui correspond idéalement à vos désirs sur ImmoScout24 - La plateforme de l'immobilier en Suisse.</v>
      </c>
    </row>
    <row r="4509" hidden="1">
      <c r="A4509" s="5" t="s">
        <v>12118</v>
      </c>
      <c r="B4509" s="2" t="s">
        <v>12119</v>
      </c>
      <c r="C4509" s="2" t="s">
        <v>12119</v>
      </c>
      <c r="D4509" s="4" t="str">
        <f>vlookup(A4509, Sheet2!D:E, 2, 0)</f>
        <v>control</v>
      </c>
      <c r="E4509" s="4" t="str">
        <f>IFERROR(__xludf.DUMMYFUNCTION("if(H4509=""pays"",vlookup(REGEXEXTRACT(C4509, ""🏘️ \w+ \w+ (.*) ✅""),'Country prepositions'!A:B, 2, 0) &amp; "" "" &amp; REGEXEXTRACT(C4509, ""🏘️ \w+ \w+ (.*) ✅"") ,  if(H4509=""quartier"",vlookup(REGEXEXTRACT(C4509, ""🏘️ \w+ \w+ (.*) ✅""),'Quartier prepositio"&amp;"ns'!A:E, 5, 0) ,  if(H4509=""region"",vlookup(REGEXEXTRACT(C4509, ""🏘️ \w+ \w+ (.*) ✅""),'Region prepositions'!B:F, 5, 0),  REGEXEXTRACT(C4509, ""🏘️ \w+ \w+ (.*) ✅""))))"),"#N/A")</f>
        <v>#N/A</v>
      </c>
      <c r="I4509" s="4" t="str">
        <f>IFERROR(__xludf.DUMMYFUNCTION("if(D4509=""variant"",  substitute(filter(Templates!E:E, Templates!A:A = F4509, Templates!B:B = G4509, Templates!C:C = H4509), ""{{}}"", E4509), B4509)"),"Vendre maison Yverdon - Grandson: Trouvez le bien immobilier qui correspond idéalement à vos désirs sur ImmoScout24 - La plateforme de l'immobilier en Suisse.")</f>
        <v>Vendre maison Yverdon - Grandson: Trouvez le bien immobilier qui correspond idéalement à vos désirs sur ImmoScout24 - La plateforme de l'immobilier en Suisse.</v>
      </c>
    </row>
    <row r="4510" hidden="1">
      <c r="A4510" s="5" t="s">
        <v>12120</v>
      </c>
      <c r="B4510" s="2" t="s">
        <v>12121</v>
      </c>
      <c r="C4510" s="2" t="s">
        <v>12121</v>
      </c>
      <c r="D4510" s="4" t="str">
        <f>vlookup(A4510, Sheet2!D:E, 2, 0)</f>
        <v>control</v>
      </c>
      <c r="E4510" s="4" t="str">
        <f>IFERROR(__xludf.DUMMYFUNCTION("if(H4510=""pays"",vlookup(REGEXEXTRACT(C4510, ""🏘️ \w+ \w+ (.*) ✅""),'Country prepositions'!A:B, 2, 0) &amp; "" "" &amp; REGEXEXTRACT(C4510, ""🏘️ \w+ \w+ (.*) ✅"") ,  if(H4510=""quartier"",vlookup(REGEXEXTRACT(C4510, ""🏘️ \w+ \w+ (.*) ✅""),'Quartier prepositio"&amp;"ns'!A:E, 5, 0) ,  if(H4510=""region"",vlookup(REGEXEXTRACT(C4510, ""🏘️ \w+ \w+ (.*) ✅""),'Region prepositions'!B:F, 5, 0),  REGEXEXTRACT(C4510, ""🏘️ \w+ \w+ (.*) ✅""))))"),"#N/A")</f>
        <v>#N/A</v>
      </c>
      <c r="I4510" s="4" t="str">
        <f>IFERROR(__xludf.DUMMYFUNCTION("if(D4510=""variant"",  substitute(filter(Templates!E:E, Templates!A:A = F4510, Templates!B:B = G4510, Templates!C:C = H4510), ""{{}}"", E4510), B4510)"),"Vendre appartement Cressier NE: Trouvez le bien immobilier qui correspond idéalement à vos désirs sur ImmoScout24 - La plateforme de l'immobilier en Suisse.")</f>
        <v>Vendre appartement Cressier NE: Trouvez le bien immobilier qui correspond idéalement à vos désirs sur ImmoScout24 - La plateforme de l'immobilier en Suisse.</v>
      </c>
    </row>
    <row r="4511" hidden="1">
      <c r="A4511" s="5" t="s">
        <v>12122</v>
      </c>
      <c r="B4511" s="2" t="s">
        <v>12123</v>
      </c>
      <c r="C4511" s="2" t="s">
        <v>12123</v>
      </c>
      <c r="D4511" s="4" t="str">
        <f>vlookup(A4511, Sheet2!D:E, 2, 0)</f>
        <v>control</v>
      </c>
      <c r="E4511" s="4" t="str">
        <f>IFERROR(__xludf.DUMMYFUNCTION("if(H4511=""pays"",vlookup(REGEXEXTRACT(C4511, ""🏘️ \w+ \w+ (.*) ✅""),'Country prepositions'!A:B, 2, 0) &amp; "" "" &amp; REGEXEXTRACT(C4511, ""🏘️ \w+ \w+ (.*) ✅"") ,  if(H4511=""quartier"",vlookup(REGEXEXTRACT(C4511, ""🏘️ \w+ \w+ (.*) ✅""),'Quartier prepositio"&amp;"ns'!A:E, 5, 0) ,  if(H4511=""region"",vlookup(REGEXEXTRACT(C4511, ""🏘️ \w+ \w+ (.*) ✅""),'Region prepositions'!B:F, 5, 0),  REGEXEXTRACT(C4511, ""🏘️ \w+ \w+ (.*) ✅""))))"),"#N/A")</f>
        <v>#N/A</v>
      </c>
      <c r="I4511" s="4" t="str">
        <f>IFERROR(__xludf.DUMMYFUNCTION("if(D4511=""variant"",  substitute(filter(Templates!E:E, Templates!A:A = F4511, Templates!B:B = G4511, Templates!C:C = H4511), ""{{}}"", E4511), B4511)"),"Louer appartement Büron: Trouvez le bien immobilier qui correspond idéalement à vos désirs sur ImmoScout24 - La plateforme de l'immobilier en Suisse.")</f>
        <v>Louer appartement Büron: Trouvez le bien immobilier qui correspond idéalement à vos désirs sur ImmoScout24 - La plateforme de l'immobilier en Suisse.</v>
      </c>
    </row>
    <row r="4512" hidden="1">
      <c r="A4512" s="5" t="s">
        <v>12124</v>
      </c>
      <c r="B4512" s="2" t="s">
        <v>12125</v>
      </c>
      <c r="C4512" s="2" t="s">
        <v>12125</v>
      </c>
      <c r="D4512" s="4" t="str">
        <f>vlookup(A4512, Sheet2!D:E, 2, 0)</f>
        <v>control</v>
      </c>
      <c r="E4512" s="4" t="str">
        <f>IFERROR(__xludf.DUMMYFUNCTION("if(H4512=""pays"",vlookup(REGEXEXTRACT(C4512, ""🏘️ \w+ \w+ (.*) ✅""),'Country prepositions'!A:B, 2, 0) &amp; "" "" &amp; REGEXEXTRACT(C4512, ""🏘️ \w+ \w+ (.*) ✅"") ,  if(H4512=""quartier"",vlookup(REGEXEXTRACT(C4512, ""🏘️ \w+ \w+ (.*) ✅""),'Quartier prepositio"&amp;"ns'!A:E, 5, 0) ,  if(H4512=""region"",vlookup(REGEXEXTRACT(C4512, ""🏘️ \w+ \w+ (.*) ✅""),'Region prepositions'!B:F, 5, 0),  REGEXEXTRACT(C4512, ""🏘️ \w+ \w+ (.*) ✅""))))"),"#N/A")</f>
        <v>#N/A</v>
      </c>
      <c r="I4512" s="4" t="str">
        <f>IFERROR(__xludf.DUMMYFUNCTION("if(D4512=""variant"",  substitute(filter(Templates!E:E, Templates!A:A = F4512, Templates!B:B = G4512, Templates!C:C = H4512), ""{{}}"", E4512), B4512)"),"Vendre maison Mühleberg: Trouvez le bien immobilier qui correspond idéalement à vos désirs sur ImmoScout24 - La plateforme de l'immobilier en Suisse.")</f>
        <v>Vendre maison Mühleberg: Trouvez le bien immobilier qui correspond idéalement à vos désirs sur ImmoScout24 - La plateforme de l'immobilier en Suisse.</v>
      </c>
    </row>
    <row r="4513" hidden="1">
      <c r="A4513" s="5" t="s">
        <v>12126</v>
      </c>
      <c r="B4513" s="2" t="s">
        <v>12127</v>
      </c>
      <c r="C4513" s="2" t="s">
        <v>12127</v>
      </c>
      <c r="D4513" s="4" t="str">
        <f>vlookup(A4513, Sheet2!D:E, 2, 0)</f>
        <v>control</v>
      </c>
      <c r="E4513" s="4" t="str">
        <f>IFERROR(__xludf.DUMMYFUNCTION("if(H4513=""pays"",vlookup(REGEXEXTRACT(C4513, ""🏘️ \w+ \w+ (.*) ✅""),'Country prepositions'!A:B, 2, 0) &amp; "" "" &amp; REGEXEXTRACT(C4513, ""🏘️ \w+ \w+ (.*) ✅"") ,  if(H4513=""quartier"",vlookup(REGEXEXTRACT(C4513, ""🏘️ \w+ \w+ (.*) ✅""),'Quartier prepositio"&amp;"ns'!A:E, 5, 0) ,  if(H4513=""region"",vlookup(REGEXEXTRACT(C4513, ""🏘️ \w+ \w+ (.*) ✅""),'Region prepositions'!B:F, 5, 0),  REGEXEXTRACT(C4513, ""🏘️ \w+ \w+ (.*) ✅""))))"),"#N/A")</f>
        <v>#N/A</v>
      </c>
      <c r="I4513" s="4" t="str">
        <f>IFERROR(__xludf.DUMMYFUNCTION("if(D4513=""variant"",  substitute(filter(Templates!E:E, Templates!A:A = F4513, Templates!B:B = G4513, Templates!C:C = H4513), ""{{}}"", E4513), B4513)"),"Louer appartement Givisiez: Trouvez le bien immobilier qui correspond idéalement à vos désirs sur ImmoScout24 - La plateforme de l'immobilier en Suisse.")</f>
        <v>Louer appartement Givisiez: Trouvez le bien immobilier qui correspond idéalement à vos désirs sur ImmoScout24 - La plateforme de l'immobilier en Suisse.</v>
      </c>
    </row>
    <row r="4514" hidden="1">
      <c r="A4514" s="5" t="s">
        <v>12128</v>
      </c>
      <c r="B4514" s="2" t="s">
        <v>12129</v>
      </c>
      <c r="C4514" s="2" t="s">
        <v>12129</v>
      </c>
      <c r="D4514" s="4" t="str">
        <f>vlookup(A4514, Sheet2!D:E, 2, 0)</f>
        <v>control</v>
      </c>
      <c r="E4514" s="4" t="str">
        <f>IFERROR(__xludf.DUMMYFUNCTION("if(H4514=""pays"",vlookup(REGEXEXTRACT(C4514, ""🏘️ \w+ \w+ (.*) ✅""),'Country prepositions'!A:B, 2, 0) &amp; "" "" &amp; REGEXEXTRACT(C4514, ""🏘️ \w+ \w+ (.*) ✅"") ,  if(H4514=""quartier"",vlookup(REGEXEXTRACT(C4514, ""🏘️ \w+ \w+ (.*) ✅""),'Quartier prepositio"&amp;"ns'!A:E, 5, 0) ,  if(H4514=""region"",vlookup(REGEXEXTRACT(C4514, ""🏘️ \w+ \w+ (.*) ✅""),'Region prepositions'!B:F, 5, 0),  REGEXEXTRACT(C4514, ""🏘️ \w+ \w+ (.*) ✅""))))"),"#N/A")</f>
        <v>#N/A</v>
      </c>
      <c r="I4514" s="4" t="str">
        <f>IFERROR(__xludf.DUMMYFUNCTION("if(D4514=""variant"",  substitute(filter(Templates!E:E, Templates!A:A = F4514, Templates!B:B = G4514, Templates!C:C = H4514), ""{{}}"", E4514), B4514)"),"Vendre appartement Court: Trouvez le bien immobilier qui correspond idéalement à vos désirs sur ImmoScout24 - La plateforme de l'immobilier en Suisse.")</f>
        <v>Vendre appartement Court: Trouvez le bien immobilier qui correspond idéalement à vos désirs sur ImmoScout24 - La plateforme de l'immobilier en Suisse.</v>
      </c>
    </row>
    <row r="4515" hidden="1">
      <c r="A4515" s="5" t="s">
        <v>12130</v>
      </c>
      <c r="B4515" s="2" t="s">
        <v>12131</v>
      </c>
      <c r="C4515" s="2" t="s">
        <v>12131</v>
      </c>
      <c r="D4515" s="4" t="str">
        <f>vlookup(A4515, Sheet2!D:E, 2, 0)</f>
        <v>control</v>
      </c>
      <c r="E4515" s="4" t="str">
        <f>IFERROR(__xludf.DUMMYFUNCTION("if(H4515=""pays"",vlookup(REGEXEXTRACT(C4515, ""🏘️ \w+ \w+ (.*) ✅""),'Country prepositions'!A:B, 2, 0) &amp; "" "" &amp; REGEXEXTRACT(C4515, ""🏘️ \w+ \w+ (.*) ✅"") ,  if(H4515=""quartier"",vlookup(REGEXEXTRACT(C4515, ""🏘️ \w+ \w+ (.*) ✅""),'Quartier prepositio"&amp;"ns'!A:E, 5, 0) ,  if(H4515=""region"",vlookup(REGEXEXTRACT(C4515, ""🏘️ \w+ \w+ (.*) ✅""),'Region prepositions'!B:F, 5, 0),  REGEXEXTRACT(C4515, ""🏘️ \w+ \w+ (.*) ✅""))))"),"#N/A")</f>
        <v>#N/A</v>
      </c>
      <c r="I4515" s="4" t="str">
        <f>IFERROR(__xludf.DUMMYFUNCTION("if(D4515=""variant"",  substitute(filter(Templates!E:E, Templates!A:A = F4515, Templates!B:B = G4515, Templates!C:C = H4515), ""{{}}"", E4515), B4515)"),"Louer maison Widnau: Trouvez le bien immobilier qui correspond idéalement à vos désirs sur ImmoScout24 - La plateforme de l'immobilier en Suisse.")</f>
        <v>Louer maison Widnau: Trouvez le bien immobilier qui correspond idéalement à vos désirs sur ImmoScout24 - La plateforme de l'immobilier en Suisse.</v>
      </c>
    </row>
    <row r="4516" hidden="1">
      <c r="A4516" s="5" t="s">
        <v>12132</v>
      </c>
      <c r="B4516" s="2" t="s">
        <v>12133</v>
      </c>
      <c r="C4516" s="2" t="s">
        <v>12133</v>
      </c>
      <c r="D4516" s="4" t="str">
        <f>vlookup(A4516, Sheet2!D:E, 2, 0)</f>
        <v>control</v>
      </c>
      <c r="E4516" s="4" t="str">
        <f>IFERROR(__xludf.DUMMYFUNCTION("if(H4516=""pays"",vlookup(REGEXEXTRACT(C4516, ""🏘️ \w+ \w+ (.*) ✅""),'Country prepositions'!A:B, 2, 0) &amp; "" "" &amp; REGEXEXTRACT(C4516, ""🏘️ \w+ \w+ (.*) ✅"") ,  if(H4516=""quartier"",vlookup(REGEXEXTRACT(C4516, ""🏘️ \w+ \w+ (.*) ✅""),'Quartier prepositio"&amp;"ns'!A:E, 5, 0) ,  if(H4516=""region"",vlookup(REGEXEXTRACT(C4516, ""🏘️ \w+ \w+ (.*) ✅""),'Region prepositions'!B:F, 5, 0),  REGEXEXTRACT(C4516, ""🏘️ \w+ \w+ (.*) ✅""))))"),"#N/A")</f>
        <v>#N/A</v>
      </c>
      <c r="I4516" s="4" t="str">
        <f>IFERROR(__xludf.DUMMYFUNCTION("if(D4516=""variant"",  substitute(filter(Templates!E:E, Templates!A:A = F4516, Templates!B:B = G4516, Templates!C:C = H4516), ""{{}}"", E4516), B4516)"),"Louer appartement Arolla: Trouvez le bien immobilier qui correspond idéalement à vos désirs sur ImmoScout24 - La plateforme de l'immobilier en Suisse.")</f>
        <v>Louer appartement Arolla: Trouvez le bien immobilier qui correspond idéalement à vos désirs sur ImmoScout24 - La plateforme de l'immobilier en Suisse.</v>
      </c>
    </row>
    <row r="4517" hidden="1">
      <c r="A4517" s="5" t="s">
        <v>12134</v>
      </c>
      <c r="B4517" s="2" t="s">
        <v>12135</v>
      </c>
      <c r="C4517" s="2" t="s">
        <v>12135</v>
      </c>
      <c r="D4517" s="4" t="str">
        <f>vlookup(A4517, Sheet2!D:E, 2, 0)</f>
        <v>control</v>
      </c>
      <c r="E4517" s="4" t="str">
        <f>IFERROR(__xludf.DUMMYFUNCTION("if(H4517=""pays"",vlookup(REGEXEXTRACT(C4517, ""🏘️ \w+ \w+ (.*) ✅""),'Country prepositions'!A:B, 2, 0) &amp; "" "" &amp; REGEXEXTRACT(C4517, ""🏘️ \w+ \w+ (.*) ✅"") ,  if(H4517=""quartier"",vlookup(REGEXEXTRACT(C4517, ""🏘️ \w+ \w+ (.*) ✅""),'Quartier prepositio"&amp;"ns'!A:E, 5, 0) ,  if(H4517=""region"",vlookup(REGEXEXTRACT(C4517, ""🏘️ \w+ \w+ (.*) ✅""),'Region prepositions'!B:F, 5, 0),  REGEXEXTRACT(C4517, ""🏘️ \w+ \w+ (.*) ✅""))))"),"#N/A")</f>
        <v>#N/A</v>
      </c>
      <c r="I4517" s="4" t="str">
        <f>IFERROR(__xludf.DUMMYFUNCTION("if(D4517=""variant"",  substitute(filter(Templates!E:E, Templates!A:A = F4517, Templates!B:B = G4517, Templates!C:C = H4517), ""{{}}"", E4517), B4517)"),"Vendre maison Combremont-le-Petit: Trouvez le bien immobilier qui correspond idéalement à vos désirs sur ImmoScout24 - La plateforme de l'immobilier en Suisse.")</f>
        <v>Vendre maison Combremont-le-Petit: Trouvez le bien immobilier qui correspond idéalement à vos désirs sur ImmoScout24 - La plateforme de l'immobilier en Suisse.</v>
      </c>
    </row>
    <row r="4518" hidden="1">
      <c r="A4518" s="5" t="s">
        <v>12136</v>
      </c>
      <c r="B4518" s="2" t="s">
        <v>12137</v>
      </c>
      <c r="C4518" s="2" t="s">
        <v>12137</v>
      </c>
      <c r="D4518" s="4" t="str">
        <f>vlookup(A4518, Sheet2!D:E, 2, 0)</f>
        <v>control</v>
      </c>
      <c r="E4518" s="4" t="str">
        <f>IFERROR(__xludf.DUMMYFUNCTION("if(H4518=""pays"",vlookup(REGEXEXTRACT(C4518, ""🏘️ \w+ \w+ (.*) ✅""),'Country prepositions'!A:B, 2, 0) &amp; "" "" &amp; REGEXEXTRACT(C4518, ""🏘️ \w+ \w+ (.*) ✅"") ,  if(H4518=""quartier"",vlookup(REGEXEXTRACT(C4518, ""🏘️ \w+ \w+ (.*) ✅""),'Quartier prepositio"&amp;"ns'!A:E, 5, 0) ,  if(H4518=""region"",vlookup(REGEXEXTRACT(C4518, ""🏘️ \w+ \w+ (.*) ✅""),'Region prepositions'!B:F, 5, 0),  REGEXEXTRACT(C4518, ""🏘️ \w+ \w+ (.*) ✅""))))"),"#N/A")</f>
        <v>#N/A</v>
      </c>
      <c r="I4518" s="4" t="str">
        <f>IFERROR(__xludf.DUMMYFUNCTION("if(D4518=""variant"",  substitute(filter(Templates!E:E, Templates!A:A = F4518, Templates!B:B = G4518, Templates!C:C = H4518), ""{{}}"", E4518), B4518)"),"Louer appartement Chur: Trouvez le bien immobilier qui correspond idéalement à vos désirs sur ImmoScout24 - La plateforme de l'immobilier en Suisse.")</f>
        <v>Louer appartement Chur: Trouvez le bien immobilier qui correspond idéalement à vos désirs sur ImmoScout24 - La plateforme de l'immobilier en Suisse.</v>
      </c>
    </row>
    <row r="4519" hidden="1">
      <c r="A4519" s="5" t="s">
        <v>12138</v>
      </c>
      <c r="B4519" s="2" t="s">
        <v>12139</v>
      </c>
      <c r="C4519" s="2" t="s">
        <v>12139</v>
      </c>
      <c r="D4519" s="4" t="str">
        <f>vlookup(A4519, Sheet2!D:E, 2, 0)</f>
        <v>control</v>
      </c>
      <c r="E4519" s="4" t="str">
        <f>IFERROR(__xludf.DUMMYFUNCTION("if(H4519=""pays"",vlookup(REGEXEXTRACT(C4519, ""🏘️ \w+ \w+ (.*) ✅""),'Country prepositions'!A:B, 2, 0) &amp; "" "" &amp; REGEXEXTRACT(C4519, ""🏘️ \w+ \w+ (.*) ✅"") ,  if(H4519=""quartier"",vlookup(REGEXEXTRACT(C4519, ""🏘️ \w+ \w+ (.*) ✅""),'Quartier prepositio"&amp;"ns'!A:E, 5, 0) ,  if(H4519=""region"",vlookup(REGEXEXTRACT(C4519, ""🏘️ \w+ \w+ (.*) ✅""),'Region prepositions'!B:F, 5, 0),  REGEXEXTRACT(C4519, ""🏘️ \w+ \w+ (.*) ✅""))))"),"#N/A")</f>
        <v>#N/A</v>
      </c>
      <c r="I4519" s="4" t="str">
        <f>IFERROR(__xludf.DUMMYFUNCTION("if(D4519=""variant"",  substitute(filter(Templates!E:E, Templates!A:A = F4519, Templates!B:B = G4519, Templates!C:C = H4519), ""{{}}"", E4519), B4519)"),"Vendre appartement Grèce: Trouvez le bien immobilier qui correspond idéalement à vos désirs sur ImmoScout24 - La plateforme de l'immobilier en Suisse.")</f>
        <v>Vendre appartement Grèce: Trouvez le bien immobilier qui correspond idéalement à vos désirs sur ImmoScout24 - La plateforme de l'immobilier en Suisse.</v>
      </c>
    </row>
    <row r="4520" hidden="1">
      <c r="A4520" s="5" t="s">
        <v>12140</v>
      </c>
      <c r="B4520" s="2" t="s">
        <v>12141</v>
      </c>
      <c r="C4520" s="2" t="s">
        <v>12141</v>
      </c>
      <c r="D4520" s="4" t="str">
        <f>vlookup(A4520, Sheet2!D:E, 2, 0)</f>
        <v>control</v>
      </c>
      <c r="E4520" s="4" t="str">
        <f>IFERROR(__xludf.DUMMYFUNCTION("if(H4520=""pays"",vlookup(REGEXEXTRACT(C4520, ""🏘️ \w+ \w+ (.*) ✅""),'Country prepositions'!A:B, 2, 0) &amp; "" "" &amp; REGEXEXTRACT(C4520, ""🏘️ \w+ \w+ (.*) ✅"") ,  if(H4520=""quartier"",vlookup(REGEXEXTRACT(C4520, ""🏘️ \w+ \w+ (.*) ✅""),'Quartier prepositio"&amp;"ns'!A:E, 5, 0) ,  if(H4520=""region"",vlookup(REGEXEXTRACT(C4520, ""🏘️ \w+ \w+ (.*) ✅""),'Region prepositions'!B:F, 5, 0),  REGEXEXTRACT(C4520, ""🏘️ \w+ \w+ (.*) ✅""))))"),"#N/A")</f>
        <v>#N/A</v>
      </c>
      <c r="I4520" s="4" t="str">
        <f>IFERROR(__xludf.DUMMYFUNCTION("if(D4520=""variant"",  substitute(filter(Templates!E:E, Templates!A:A = F4520, Templates!B:B = G4520, Templates!C:C = H4520), ""{{}}"", E4520), B4520)"),"Vendre appartement Ependes FR: Trouvez le bien immobilier qui correspond idéalement à vos désirs sur ImmoScout24 - La plateforme de l'immobilier en Suisse.")</f>
        <v>Vendre appartement Ependes FR: Trouvez le bien immobilier qui correspond idéalement à vos désirs sur ImmoScout24 - La plateforme de l'immobilier en Suisse.</v>
      </c>
    </row>
    <row r="4521" hidden="1">
      <c r="A4521" s="5" t="s">
        <v>12142</v>
      </c>
      <c r="B4521" s="2" t="s">
        <v>12143</v>
      </c>
      <c r="C4521" s="2" t="s">
        <v>12143</v>
      </c>
      <c r="D4521" s="4" t="str">
        <f>vlookup(A4521, Sheet2!D:E, 2, 0)</f>
        <v>control</v>
      </c>
      <c r="E4521" s="4" t="str">
        <f>IFERROR(__xludf.DUMMYFUNCTION("if(H4521=""pays"",vlookup(REGEXEXTRACT(C4521, ""🏘️ \w+ \w+ (.*) ✅""),'Country prepositions'!A:B, 2, 0) &amp; "" "" &amp; REGEXEXTRACT(C4521, ""🏘️ \w+ \w+ (.*) ✅"") ,  if(H4521=""quartier"",vlookup(REGEXEXTRACT(C4521, ""🏘️ \w+ \w+ (.*) ✅""),'Quartier prepositio"&amp;"ns'!A:E, 5, 0) ,  if(H4521=""region"",vlookup(REGEXEXTRACT(C4521, ""🏘️ \w+ \w+ (.*) ✅""),'Region prepositions'!B:F, 5, 0),  REGEXEXTRACT(C4521, ""🏘️ \w+ \w+ (.*) ✅""))))"),"#N/A")</f>
        <v>#N/A</v>
      </c>
      <c r="I4521" s="4" t="str">
        <f>IFERROR(__xludf.DUMMYFUNCTION("if(D4521=""variant"",  substitute(filter(Templates!E:E, Templates!A:A = F4521, Templates!B:B = G4521, Templates!C:C = H4521), ""{{}}"", E4521), B4521)"),"Louer maison Palézieux: Trouvez le bien immobilier qui correspond idéalement à vos désirs sur ImmoScout24 - La plateforme de l'immobilier en Suisse.")</f>
        <v>Louer maison Palézieux: Trouvez le bien immobilier qui correspond idéalement à vos désirs sur ImmoScout24 - La plateforme de l'immobilier en Suisse.</v>
      </c>
    </row>
    <row r="4522" hidden="1">
      <c r="A4522" s="5" t="s">
        <v>12144</v>
      </c>
      <c r="B4522" s="2" t="s">
        <v>12145</v>
      </c>
      <c r="C4522" s="2" t="s">
        <v>12145</v>
      </c>
      <c r="D4522" s="4" t="str">
        <f>vlookup(A4522, Sheet2!D:E, 2, 0)</f>
        <v>control</v>
      </c>
      <c r="E4522" s="4" t="str">
        <f>IFERROR(__xludf.DUMMYFUNCTION("if(H4522=""pays"",vlookup(REGEXEXTRACT(C4522, ""🏘️ \w+ \w+ (.*) ✅""),'Country prepositions'!A:B, 2, 0) &amp; "" "" &amp; REGEXEXTRACT(C4522, ""🏘️ \w+ \w+ (.*) ✅"") ,  if(H4522=""quartier"",vlookup(REGEXEXTRACT(C4522, ""🏘️ \w+ \w+ (.*) ✅""),'Quartier prepositio"&amp;"ns'!A:E, 5, 0) ,  if(H4522=""region"",vlookup(REGEXEXTRACT(C4522, ""🏘️ \w+ \w+ (.*) ✅""),'Region prepositions'!B:F, 5, 0),  REGEXEXTRACT(C4522, ""🏘️ \w+ \w+ (.*) ✅""))))"),"#N/A")</f>
        <v>#N/A</v>
      </c>
      <c r="I4522" s="4" t="str">
        <f>IFERROR(__xludf.DUMMYFUNCTION("if(D4522=""variant"",  substitute(filter(Templates!E:E, Templates!A:A = F4522, Templates!B:B = G4522, Templates!C:C = H4522), ""{{}}"", E4522), B4522)"),"Vendre maison Canton de St. Gall: Trouvez le bien immobilier qui correspond idéalement à vos désirs sur ImmoScout24 - La plateforme de l'immobilier en Suisse.")</f>
        <v>Vendre maison Canton de St. Gall: Trouvez le bien immobilier qui correspond idéalement à vos désirs sur ImmoScout24 - La plateforme de l'immobilier en Suisse.</v>
      </c>
    </row>
    <row r="4523" hidden="1">
      <c r="A4523" s="5" t="s">
        <v>12146</v>
      </c>
      <c r="B4523" s="2" t="s">
        <v>12147</v>
      </c>
      <c r="C4523" s="2" t="s">
        <v>12147</v>
      </c>
      <c r="D4523" s="4" t="str">
        <f>vlookup(A4523, Sheet2!D:E, 2, 0)</f>
        <v>control</v>
      </c>
      <c r="E4523" s="4" t="str">
        <f>IFERROR(__xludf.DUMMYFUNCTION("if(H4523=""pays"",vlookup(REGEXEXTRACT(C4523, ""🏘️ \w+ \w+ (.*) ✅""),'Country prepositions'!A:B, 2, 0) &amp; "" "" &amp; REGEXEXTRACT(C4523, ""🏘️ \w+ \w+ (.*) ✅"") ,  if(H4523=""quartier"",vlookup(REGEXEXTRACT(C4523, ""🏘️ \w+ \w+ (.*) ✅""),'Quartier prepositio"&amp;"ns'!A:E, 5, 0) ,  if(H4523=""region"",vlookup(REGEXEXTRACT(C4523, ""🏘️ \w+ \w+ (.*) ✅""),'Region prepositions'!B:F, 5, 0),  REGEXEXTRACT(C4523, ""🏘️ \w+ \w+ (.*) ✅""))))"),"#N/A")</f>
        <v>#N/A</v>
      </c>
      <c r="I4523" s="4" t="str">
        <f>IFERROR(__xludf.DUMMYFUNCTION("if(D4523=""variant"",  substitute(filter(Templates!E:E, Templates!A:A = F4523, Templates!B:B = G4523, Templates!C:C = H4523), ""{{}}"", E4523), B4523)"),"Louer appartement Düdingen: Trouvez le bien immobilier qui correspond idéalement à vos désirs sur ImmoScout24 - La plateforme de l'immobilier en Suisse.")</f>
        <v>Louer appartement Düdingen: Trouvez le bien immobilier qui correspond idéalement à vos désirs sur ImmoScout24 - La plateforme de l'immobilier en Suisse.</v>
      </c>
    </row>
    <row r="4524" hidden="1">
      <c r="A4524" s="5" t="s">
        <v>12148</v>
      </c>
      <c r="B4524" s="2" t="s">
        <v>12149</v>
      </c>
      <c r="C4524" s="2" t="s">
        <v>12149</v>
      </c>
      <c r="D4524" s="4" t="str">
        <f>vlookup(A4524, Sheet2!D:E, 2, 0)</f>
        <v>control</v>
      </c>
      <c r="E4524" s="4" t="str">
        <f>IFERROR(__xludf.DUMMYFUNCTION("if(H4524=""pays"",vlookup(REGEXEXTRACT(C4524, ""🏘️ \w+ \w+ (.*) ✅""),'Country prepositions'!A:B, 2, 0) &amp; "" "" &amp; REGEXEXTRACT(C4524, ""🏘️ \w+ \w+ (.*) ✅"") ,  if(H4524=""quartier"",vlookup(REGEXEXTRACT(C4524, ""🏘️ \w+ \w+ (.*) ✅""),'Quartier prepositio"&amp;"ns'!A:E, 5, 0) ,  if(H4524=""region"",vlookup(REGEXEXTRACT(C4524, ""🏘️ \w+ \w+ (.*) ✅""),'Region prepositions'!B:F, 5, 0),  REGEXEXTRACT(C4524, ""🏘️ \w+ \w+ (.*) ✅""))))"),"#N/A")</f>
        <v>#N/A</v>
      </c>
      <c r="I4524" s="4" t="str">
        <f>IFERROR(__xludf.DUMMYFUNCTION("if(D4524=""variant"",  substitute(filter(Templates!E:E, Templates!A:A = F4524, Templates!B:B = G4524, Templates!C:C = H4524), ""{{}}"", E4524), B4524)"),"Vendre appartement Les Paccots: Trouvez le bien immobilier qui correspond idéalement à vos désirs sur ImmoScout24 - La plateforme de l'immobilier en Suisse.")</f>
        <v>Vendre appartement Les Paccots: Trouvez le bien immobilier qui correspond idéalement à vos désirs sur ImmoScout24 - La plateforme de l'immobilier en Suisse.</v>
      </c>
    </row>
    <row r="4525" hidden="1">
      <c r="A4525" s="5" t="s">
        <v>12150</v>
      </c>
      <c r="B4525" s="2" t="s">
        <v>12151</v>
      </c>
      <c r="C4525" s="2" t="s">
        <v>12151</v>
      </c>
      <c r="D4525" s="4" t="str">
        <f>vlookup(A4525, Sheet2!D:E, 2, 0)</f>
        <v>control</v>
      </c>
      <c r="E4525" s="4" t="str">
        <f>IFERROR(__xludf.DUMMYFUNCTION("if(H4525=""pays"",vlookup(REGEXEXTRACT(C4525, ""🏘️ \w+ \w+ (.*) ✅""),'Country prepositions'!A:B, 2, 0) &amp; "" "" &amp; REGEXEXTRACT(C4525, ""🏘️ \w+ \w+ (.*) ✅"") ,  if(H4525=""quartier"",vlookup(REGEXEXTRACT(C4525, ""🏘️ \w+ \w+ (.*) ✅""),'Quartier prepositio"&amp;"ns'!A:E, 5, 0) ,  if(H4525=""region"",vlookup(REGEXEXTRACT(C4525, ""🏘️ \w+ \w+ (.*) ✅""),'Region prepositions'!B:F, 5, 0),  REGEXEXTRACT(C4525, ""🏘️ \w+ \w+ (.*) ✅""))))"),"#N/A")</f>
        <v>#N/A</v>
      </c>
      <c r="I4525" s="4" t="str">
        <f>IFERROR(__xludf.DUMMYFUNCTION("if(D4525=""variant"",  substitute(filter(Templates!E:E, Templates!A:A = F4525, Templates!B:B = G4525, Templates!C:C = H4525), ""{{}}"", E4525), B4525)"),"Louer appartement Castagnola (Lugano): Trouvez le bien immobilier qui correspond idéalement à vos désirs sur ImmoScout24 - La plateforme de l'immobilier en Suisse.")</f>
        <v>Louer appartement Castagnola (Lugano): Trouvez le bien immobilier qui correspond idéalement à vos désirs sur ImmoScout24 - La plateforme de l'immobilier en Suisse.</v>
      </c>
    </row>
    <row r="4526" hidden="1">
      <c r="A4526" s="5" t="s">
        <v>12152</v>
      </c>
      <c r="B4526" s="2" t="s">
        <v>12153</v>
      </c>
      <c r="C4526" s="2" t="s">
        <v>12153</v>
      </c>
      <c r="D4526" s="4" t="str">
        <f>vlookup(A4526, Sheet2!D:E, 2, 0)</f>
        <v>control</v>
      </c>
      <c r="E4526" s="4" t="str">
        <f>IFERROR(__xludf.DUMMYFUNCTION("if(H4526=""pays"",vlookup(REGEXEXTRACT(C4526, ""🏘️ \w+ \w+ (.*) ✅""),'Country prepositions'!A:B, 2, 0) &amp; "" "" &amp; REGEXEXTRACT(C4526, ""🏘️ \w+ \w+ (.*) ✅"") ,  if(H4526=""quartier"",vlookup(REGEXEXTRACT(C4526, ""🏘️ \w+ \w+ (.*) ✅""),'Quartier prepositio"&amp;"ns'!A:E, 5, 0) ,  if(H4526=""region"",vlookup(REGEXEXTRACT(C4526, ""🏘️ \w+ \w+ (.*) ✅""),'Region prepositions'!B:F, 5, 0),  REGEXEXTRACT(C4526, ""🏘️ \w+ \w+ (.*) ✅""))))"),"#N/A")</f>
        <v>#N/A</v>
      </c>
      <c r="I4526" s="4" t="str">
        <f>IFERROR(__xludf.DUMMYFUNCTION("if(D4526=""variant"",  substitute(filter(Templates!E:E, Templates!A:A = F4526, Templates!B:B = G4526, Templates!C:C = H4526), ""{{}}"", E4526), B4526)"),"Louer appartement Aminona: Trouvez le bien immobilier qui correspond idéalement à vos désirs sur ImmoScout24 - La plateforme de l'immobilier en Suisse.")</f>
        <v>Louer appartement Aminona: Trouvez le bien immobilier qui correspond idéalement à vos désirs sur ImmoScout24 - La plateforme de l'immobilier en Suisse.</v>
      </c>
    </row>
    <row r="4527" hidden="1">
      <c r="A4527" s="5" t="s">
        <v>12154</v>
      </c>
      <c r="B4527" s="2" t="s">
        <v>12155</v>
      </c>
      <c r="C4527" s="2" t="s">
        <v>12155</v>
      </c>
      <c r="D4527" s="4" t="str">
        <f>vlookup(A4527, Sheet2!D:E, 2, 0)</f>
        <v>control</v>
      </c>
      <c r="E4527" s="4" t="str">
        <f>IFERROR(__xludf.DUMMYFUNCTION("if(H4527=""pays"",vlookup(REGEXEXTRACT(C4527, ""🏘️ \w+ \w+ (.*) ✅""),'Country prepositions'!A:B, 2, 0) &amp; "" "" &amp; REGEXEXTRACT(C4527, ""🏘️ \w+ \w+ (.*) ✅"") ,  if(H4527=""quartier"",vlookup(REGEXEXTRACT(C4527, ""🏘️ \w+ \w+ (.*) ✅""),'Quartier prepositio"&amp;"ns'!A:E, 5, 0) ,  if(H4527=""region"",vlookup(REGEXEXTRACT(C4527, ""🏘️ \w+ \w+ (.*) ✅""),'Region prepositions'!B:F, 5, 0),  REGEXEXTRACT(C4527, ""🏘️ \w+ \w+ (.*) ✅""))))"),"#N/A")</f>
        <v>#N/A</v>
      </c>
      <c r="I4527" s="4" t="str">
        <f>IFERROR(__xludf.DUMMYFUNCTION("if(D4527=""variant"",  substitute(filter(Templates!E:E, Templates!A:A = F4527, Templates!B:B = G4527, Templates!C:C = H4527), ""{{}}"", E4527), B4527)"),"Louer appartement Langnau im Emmental: Trouvez le bien immobilier qui correspond idéalement à vos désirs sur ImmoScout24 - La plateforme de l'immobilier en Suisse.")</f>
        <v>Louer appartement Langnau im Emmental: Trouvez le bien immobilier qui correspond idéalement à vos désirs sur ImmoScout24 - La plateforme de l'immobilier en Suisse.</v>
      </c>
    </row>
    <row r="4528" hidden="1">
      <c r="A4528" s="5" t="s">
        <v>12156</v>
      </c>
      <c r="B4528" s="2" t="s">
        <v>12157</v>
      </c>
      <c r="C4528" s="2" t="s">
        <v>12157</v>
      </c>
      <c r="D4528" s="4" t="str">
        <f>vlookup(A4528, Sheet2!D:E, 2, 0)</f>
        <v>control</v>
      </c>
      <c r="E4528" s="4" t="str">
        <f>IFERROR(__xludf.DUMMYFUNCTION("if(H4528=""pays"",vlookup(REGEXEXTRACT(C4528, ""🏘️ \w+ \w+ (.*) ✅""),'Country prepositions'!A:B, 2, 0) &amp; "" "" &amp; REGEXEXTRACT(C4528, ""🏘️ \w+ \w+ (.*) ✅"") ,  if(H4528=""quartier"",vlookup(REGEXEXTRACT(C4528, ""🏘️ \w+ \w+ (.*) ✅""),'Quartier prepositio"&amp;"ns'!A:E, 5, 0) ,  if(H4528=""region"",vlookup(REGEXEXTRACT(C4528, ""🏘️ \w+ \w+ (.*) ✅""),'Region prepositions'!B:F, 5, 0),  REGEXEXTRACT(C4528, ""🏘️ \w+ \w+ (.*) ✅""))))"),"#N/A")</f>
        <v>#N/A</v>
      </c>
      <c r="I4528" s="4" t="str">
        <f>IFERROR(__xludf.DUMMYFUNCTION("if(D4528=""variant"",  substitute(filter(Templates!E:E, Templates!A:A = F4528, Templates!B:B = G4528, Templates!C:C = H4528), ""{{}}"", E4528), B4528)"),"Vendre appartement Engelberg: Trouvez le bien immobilier qui correspond idéalement à vos désirs sur ImmoScout24 - La plateforme de l'immobilier en Suisse.")</f>
        <v>Vendre appartement Engelberg: Trouvez le bien immobilier qui correspond idéalement à vos désirs sur ImmoScout24 - La plateforme de l'immobilier en Suisse.</v>
      </c>
    </row>
    <row r="4529" hidden="1">
      <c r="A4529" s="5" t="s">
        <v>12158</v>
      </c>
      <c r="B4529" s="2" t="s">
        <v>12159</v>
      </c>
      <c r="C4529" s="2" t="s">
        <v>12159</v>
      </c>
      <c r="D4529" s="4" t="str">
        <f>vlookup(A4529, Sheet2!D:E, 2, 0)</f>
        <v>control</v>
      </c>
      <c r="E4529" s="4" t="str">
        <f>IFERROR(__xludf.DUMMYFUNCTION("if(H4529=""pays"",vlookup(REGEXEXTRACT(C4529, ""🏘️ \w+ \w+ (.*) ✅""),'Country prepositions'!A:B, 2, 0) &amp; "" "" &amp; REGEXEXTRACT(C4529, ""🏘️ \w+ \w+ (.*) ✅"") ,  if(H4529=""quartier"",vlookup(REGEXEXTRACT(C4529, ""🏘️ \w+ \w+ (.*) ✅""),'Quartier prepositio"&amp;"ns'!A:E, 5, 0) ,  if(H4529=""region"",vlookup(REGEXEXTRACT(C4529, ""🏘️ \w+ \w+ (.*) ✅""),'Region prepositions'!B:F, 5, 0),  REGEXEXTRACT(C4529, ""🏘️ \w+ \w+ (.*) ✅""))))"),"#N/A")</f>
        <v>#N/A</v>
      </c>
      <c r="I4529" s="4" t="str">
        <f>IFERROR(__xludf.DUMMYFUNCTION("if(D4529=""variant"",  substitute(filter(Templates!E:E, Templates!A:A = F4529, Templates!B:B = G4529, Templates!C:C = H4529), ""{{}}"", E4529), B4529)"),"Louer appartement Bruson: Trouvez le bien immobilier qui correspond idéalement à vos désirs sur ImmoScout24 - La plateforme de l'immobilier en Suisse.")</f>
        <v>Louer appartement Bruson: Trouvez le bien immobilier qui correspond idéalement à vos désirs sur ImmoScout24 - La plateforme de l'immobilier en Suisse.</v>
      </c>
    </row>
    <row r="4530" hidden="1">
      <c r="A4530" s="5" t="s">
        <v>12160</v>
      </c>
      <c r="B4530" s="2" t="s">
        <v>12161</v>
      </c>
      <c r="C4530" s="2" t="s">
        <v>12161</v>
      </c>
      <c r="D4530" s="4" t="str">
        <f>vlookup(A4530, Sheet2!D:E, 2, 0)</f>
        <v>control</v>
      </c>
      <c r="E4530" s="4" t="str">
        <f>IFERROR(__xludf.DUMMYFUNCTION("if(H4530=""pays"",vlookup(REGEXEXTRACT(C4530, ""🏘️ \w+ \w+ (.*) ✅""),'Country prepositions'!A:B, 2, 0) &amp; "" "" &amp; REGEXEXTRACT(C4530, ""🏘️ \w+ \w+ (.*) ✅"") ,  if(H4530=""quartier"",vlookup(REGEXEXTRACT(C4530, ""🏘️ \w+ \w+ (.*) ✅""),'Quartier prepositio"&amp;"ns'!A:E, 5, 0) ,  if(H4530=""region"",vlookup(REGEXEXTRACT(C4530, ""🏘️ \w+ \w+ (.*) ✅""),'Region prepositions'!B:F, 5, 0),  REGEXEXTRACT(C4530, ""🏘️ \w+ \w+ (.*) ✅""))))"),"#N/A")</f>
        <v>#N/A</v>
      </c>
      <c r="I4530" s="4" t="str">
        <f>IFERROR(__xludf.DUMMYFUNCTION("if(D4530=""variant"",  substitute(filter(Templates!E:E, Templates!A:A = F4530, Templates!B:B = G4530, Templates!C:C = H4530), ""{{}}"", E4530), B4530)"),"Louer appartement Bassins: Trouvez le bien immobilier qui correspond idéalement à vos désirs sur ImmoScout24 - La plateforme de l'immobilier en Suisse.")</f>
        <v>Louer appartement Bassins: Trouvez le bien immobilier qui correspond idéalement à vos désirs sur ImmoScout24 - La plateforme de l'immobilier en Suisse.</v>
      </c>
    </row>
    <row r="4531" hidden="1">
      <c r="A4531" s="5" t="s">
        <v>12162</v>
      </c>
      <c r="B4531" s="2" t="s">
        <v>12163</v>
      </c>
      <c r="C4531" s="2" t="s">
        <v>12163</v>
      </c>
      <c r="D4531" s="4" t="str">
        <f>vlookup(A4531, Sheet2!D:E, 2, 0)</f>
        <v>control</v>
      </c>
      <c r="E4531" s="4" t="str">
        <f>IFERROR(__xludf.DUMMYFUNCTION("if(H4531=""pays"",vlookup(REGEXEXTRACT(C4531, ""🏘️ \w+ \w+ (.*) ✅""),'Country prepositions'!A:B, 2, 0) &amp; "" "" &amp; REGEXEXTRACT(C4531, ""🏘️ \w+ \w+ (.*) ✅"") ,  if(H4531=""quartier"",vlookup(REGEXEXTRACT(C4531, ""🏘️ \w+ \w+ (.*) ✅""),'Quartier prepositio"&amp;"ns'!A:E, 5, 0) ,  if(H4531=""region"",vlookup(REGEXEXTRACT(C4531, ""🏘️ \w+ \w+ (.*) ✅""),'Region prepositions'!B:F, 5, 0),  REGEXEXTRACT(C4531, ""🏘️ \w+ \w+ (.*) ✅""))))"),"#N/A")</f>
        <v>#N/A</v>
      </c>
      <c r="I4531" s="4" t="str">
        <f>IFERROR(__xludf.DUMMYFUNCTION("if(D4531=""variant"",  substitute(filter(Templates!E:E, Templates!A:A = F4531, Templates!B:B = G4531, Templates!C:C = H4531), ""{{}}"", E4531), B4531)"),"Vendre appartement Fleurier: Trouvez le bien immobilier qui correspond idéalement à vos désirs sur ImmoScout24 - La plateforme de l'immobilier en Suisse.")</f>
        <v>Vendre appartement Fleurier: Trouvez le bien immobilier qui correspond idéalement à vos désirs sur ImmoScout24 - La plateforme de l'immobilier en Suisse.</v>
      </c>
    </row>
    <row r="4532" hidden="1">
      <c r="A4532" s="5" t="s">
        <v>12164</v>
      </c>
      <c r="B4532" s="2" t="s">
        <v>12165</v>
      </c>
      <c r="C4532" s="2" t="s">
        <v>12165</v>
      </c>
      <c r="D4532" s="4" t="str">
        <f>vlookup(A4532, Sheet2!D:E, 2, 0)</f>
        <v>control</v>
      </c>
      <c r="E4532" s="4" t="str">
        <f>IFERROR(__xludf.DUMMYFUNCTION("if(H4532=""pays"",vlookup(REGEXEXTRACT(C4532, ""🏘️ \w+ \w+ (.*) ✅""),'Country prepositions'!A:B, 2, 0) &amp; "" "" &amp; REGEXEXTRACT(C4532, ""🏘️ \w+ \w+ (.*) ✅"") ,  if(H4532=""quartier"",vlookup(REGEXEXTRACT(C4532, ""🏘️ \w+ \w+ (.*) ✅""),'Quartier prepositio"&amp;"ns'!A:E, 5, 0) ,  if(H4532=""region"",vlookup(REGEXEXTRACT(C4532, ""🏘️ \w+ \w+ (.*) ✅""),'Region prepositions'!B:F, 5, 0),  REGEXEXTRACT(C4532, ""🏘️ \w+ \w+ (.*) ✅""))))"),"#N/A")</f>
        <v>#N/A</v>
      </c>
      <c r="I4532" s="4" t="str">
        <f>IFERROR(__xludf.DUMMYFUNCTION("if(D4532=""variant"",  substitute(filter(Templates!E:E, Templates!A:A = F4532, Templates!B:B = G4532, Templates!C:C = H4532), ""{{}}"", E4532), B4532)"),"Louer appartement Chigny: Trouvez le bien immobilier qui correspond idéalement à vos désirs sur ImmoScout24 - La plateforme de l'immobilier en Suisse.")</f>
        <v>Louer appartement Chigny: Trouvez le bien immobilier qui correspond idéalement à vos désirs sur ImmoScout24 - La plateforme de l'immobilier en Suisse.</v>
      </c>
    </row>
    <row r="4533" hidden="1">
      <c r="A4533" s="5" t="s">
        <v>12166</v>
      </c>
      <c r="B4533" s="2" t="s">
        <v>12167</v>
      </c>
      <c r="C4533" s="2" t="s">
        <v>12167</v>
      </c>
      <c r="D4533" s="4" t="str">
        <f>vlookup(A4533, Sheet2!D:E, 2, 0)</f>
        <v>control</v>
      </c>
      <c r="E4533" s="4" t="str">
        <f>IFERROR(__xludf.DUMMYFUNCTION("if(H4533=""pays"",vlookup(REGEXEXTRACT(C4533, ""🏘️ \w+ \w+ (.*) ✅""),'Country prepositions'!A:B, 2, 0) &amp; "" "" &amp; REGEXEXTRACT(C4533, ""🏘️ \w+ \w+ (.*) ✅"") ,  if(H4533=""quartier"",vlookup(REGEXEXTRACT(C4533, ""🏘️ \w+ \w+ (.*) ✅""),'Quartier prepositio"&amp;"ns'!A:E, 5, 0) ,  if(H4533=""region"",vlookup(REGEXEXTRACT(C4533, ""🏘️ \w+ \w+ (.*) ✅""),'Region prepositions'!B:F, 5, 0),  REGEXEXTRACT(C4533, ""🏘️ \w+ \w+ (.*) ✅""))))"),"#N/A")</f>
        <v>#N/A</v>
      </c>
      <c r="I4533" s="4" t="str">
        <f>IFERROR(__xludf.DUMMYFUNCTION("if(D4533=""variant"",  substitute(filter(Templates!E:E, Templates!A:A = F4533, Templates!B:B = G4533, Templates!C:C = H4533), ""{{}}"", E4533), B4533)"),"Vendre appartement Namibie: Trouvez le bien immobilier qui correspond idéalement à vos désirs sur ImmoScout24 - La plateforme de l'immobilier en Suisse.")</f>
        <v>Vendre appartement Namibie: Trouvez le bien immobilier qui correspond idéalement à vos désirs sur ImmoScout24 - La plateforme de l'immobilier en Suisse.</v>
      </c>
    </row>
    <row r="4534" hidden="1">
      <c r="A4534" s="5" t="s">
        <v>12168</v>
      </c>
      <c r="B4534" s="2" t="s">
        <v>12169</v>
      </c>
      <c r="C4534" s="2" t="s">
        <v>12169</v>
      </c>
      <c r="D4534" s="4" t="str">
        <f>vlookup(A4534, Sheet2!D:E, 2, 0)</f>
        <v>control</v>
      </c>
      <c r="E4534" s="4" t="str">
        <f>IFERROR(__xludf.DUMMYFUNCTION("if(H4534=""pays"",vlookup(REGEXEXTRACT(C4534, ""🏘️ \w+ \w+ (.*) ✅""),'Country prepositions'!A:B, 2, 0) &amp; "" "" &amp; REGEXEXTRACT(C4534, ""🏘️ \w+ \w+ (.*) ✅"") ,  if(H4534=""quartier"",vlookup(REGEXEXTRACT(C4534, ""🏘️ \w+ \w+ (.*) ✅""),'Quartier prepositio"&amp;"ns'!A:E, 5, 0) ,  if(H4534=""region"",vlookup(REGEXEXTRACT(C4534, ""🏘️ \w+ \w+ (.*) ✅""),'Region prepositions'!B:F, 5, 0),  REGEXEXTRACT(C4534, ""🏘️ \w+ \w+ (.*) ✅""))))"),"#N/A")</f>
        <v>#N/A</v>
      </c>
      <c r="I4534" s="4" t="str">
        <f>IFERROR(__xludf.DUMMYFUNCTION("if(D4534=""variant"",  substitute(filter(Templates!E:E, Templates!A:A = F4534, Templates!B:B = G4534, Templates!C:C = H4534), ""{{}}"", E4534), B4534)"),"Vendre appartement Lugano e dintorni: Trouvez le bien immobilier qui correspond idéalement à vos désirs sur ImmoScout24 - La plateforme de l'immobilier en Suisse.")</f>
        <v>Vendre appartement Lugano e dintorni: Trouvez le bien immobilier qui correspond idéalement à vos désirs sur ImmoScout24 - La plateforme de l'immobilier en Suisse.</v>
      </c>
    </row>
    <row r="4535" hidden="1">
      <c r="A4535" s="5" t="s">
        <v>12170</v>
      </c>
      <c r="B4535" s="2" t="s">
        <v>12171</v>
      </c>
      <c r="C4535" s="2" t="s">
        <v>12171</v>
      </c>
      <c r="D4535" s="4" t="str">
        <f>vlookup(A4535, Sheet2!D:E, 2, 0)</f>
        <v>control</v>
      </c>
      <c r="E4535" s="4" t="str">
        <f>IFERROR(__xludf.DUMMYFUNCTION("if(H4535=""pays"",vlookup(REGEXEXTRACT(C4535, ""🏘️ \w+ \w+ (.*) ✅""),'Country prepositions'!A:B, 2, 0) &amp; "" "" &amp; REGEXEXTRACT(C4535, ""🏘️ \w+ \w+ (.*) ✅"") ,  if(H4535=""quartier"",vlookup(REGEXEXTRACT(C4535, ""🏘️ \w+ \w+ (.*) ✅""),'Quartier prepositio"&amp;"ns'!A:E, 5, 0) ,  if(H4535=""region"",vlookup(REGEXEXTRACT(C4535, ""🏘️ \w+ \w+ (.*) ✅""),'Region prepositions'!B:F, 5, 0),  REGEXEXTRACT(C4535, ""🏘️ \w+ \w+ (.*) ✅""))))"),"#N/A")</f>
        <v>#N/A</v>
      </c>
      <c r="I4535" s="4" t="str">
        <f>IFERROR(__xludf.DUMMYFUNCTION("if(D4535=""variant"",  substitute(filter(Templates!E:E, Templates!A:A = F4535, Templates!B:B = G4535, Templates!C:C = H4535), ""{{}}"", E4535), B4535)"),"Vendre maison Gondo: Trouvez le bien immobilier qui correspond idéalement à vos désirs sur ImmoScout24 - La plateforme de l'immobilier en Suisse.")</f>
        <v>Vendre maison Gondo: Trouvez le bien immobilier qui correspond idéalement à vos désirs sur ImmoScout24 - La plateforme de l'immobilier en Suisse.</v>
      </c>
    </row>
    <row r="4536" hidden="1">
      <c r="A4536" s="5" t="s">
        <v>12172</v>
      </c>
      <c r="B4536" s="2" t="s">
        <v>12173</v>
      </c>
      <c r="C4536" s="2" t="s">
        <v>12173</v>
      </c>
      <c r="D4536" s="4" t="str">
        <f>vlookup(A4536, Sheet2!D:E, 2, 0)</f>
        <v>control</v>
      </c>
      <c r="E4536" s="4" t="str">
        <f>IFERROR(__xludf.DUMMYFUNCTION("if(H4536=""pays"",vlookup(REGEXEXTRACT(C4536, ""🏘️ \w+ \w+ (.*) ✅""),'Country prepositions'!A:B, 2, 0) &amp; "" "" &amp; REGEXEXTRACT(C4536, ""🏘️ \w+ \w+ (.*) ✅"") ,  if(H4536=""quartier"",vlookup(REGEXEXTRACT(C4536, ""🏘️ \w+ \w+ (.*) ✅""),'Quartier prepositio"&amp;"ns'!A:E, 5, 0) ,  if(H4536=""region"",vlookup(REGEXEXTRACT(C4536, ""🏘️ \w+ \w+ (.*) ✅""),'Region prepositions'!B:F, 5, 0),  REGEXEXTRACT(C4536, ""🏘️ \w+ \w+ (.*) ✅""))))"),"#N/A")</f>
        <v>#N/A</v>
      </c>
      <c r="I4536" s="4" t="str">
        <f>IFERROR(__xludf.DUMMYFUNCTION("if(D4536=""variant"",  substitute(filter(Templates!E:E, Templates!A:A = F4536, Templates!B:B = G4536, Templates!C:C = H4536), ""{{}}"", E4536), B4536)"),"Vendre maison Wolfwil: Trouvez le bien immobilier qui correspond idéalement à vos désirs sur ImmoScout24 - La plateforme de l'immobilier en Suisse.")</f>
        <v>Vendre maison Wolfwil: Trouvez le bien immobilier qui correspond idéalement à vos désirs sur ImmoScout24 - La plateforme de l'immobilier en Suisse.</v>
      </c>
    </row>
    <row r="4537" hidden="1">
      <c r="A4537" s="5" t="s">
        <v>12174</v>
      </c>
      <c r="B4537" s="2" t="s">
        <v>12175</v>
      </c>
      <c r="C4537" s="2" t="s">
        <v>12175</v>
      </c>
      <c r="D4537" s="4" t="str">
        <f>vlookup(A4537, Sheet2!D:E, 2, 0)</f>
        <v>control</v>
      </c>
      <c r="E4537" s="4" t="str">
        <f>IFERROR(__xludf.DUMMYFUNCTION("if(H4537=""pays"",vlookup(REGEXEXTRACT(C4537, ""🏘️ \w+ \w+ (.*) ✅""),'Country prepositions'!A:B, 2, 0) &amp; "" "" &amp; REGEXEXTRACT(C4537, ""🏘️ \w+ \w+ (.*) ✅"") ,  if(H4537=""quartier"",vlookup(REGEXEXTRACT(C4537, ""🏘️ \w+ \w+ (.*) ✅""),'Quartier prepositio"&amp;"ns'!A:E, 5, 0) ,  if(H4537=""region"",vlookup(REGEXEXTRACT(C4537, ""🏘️ \w+ \w+ (.*) ✅""),'Region prepositions'!B:F, 5, 0),  REGEXEXTRACT(C4537, ""🏘️ \w+ \w+ (.*) ✅""))))"),"#N/A")</f>
        <v>#N/A</v>
      </c>
      <c r="I4537" s="4" t="str">
        <f>IFERROR(__xludf.DUMMYFUNCTION("if(D4537=""variant"",  substitute(filter(Templates!E:E, Templates!A:A = F4537, Templates!B:B = G4537, Templates!C:C = H4537), ""{{}}"", E4537), B4537)"),"Louer appartement Grandevent: Trouvez le bien immobilier qui correspond idéalement à vos désirs sur ImmoScout24 - La plateforme de l'immobilier en Suisse.")</f>
        <v>Louer appartement Grandevent: Trouvez le bien immobilier qui correspond idéalement à vos désirs sur ImmoScout24 - La plateforme de l'immobilier en Suisse.</v>
      </c>
    </row>
    <row r="4538" hidden="1">
      <c r="A4538" s="5" t="s">
        <v>12176</v>
      </c>
      <c r="B4538" s="2" t="s">
        <v>12177</v>
      </c>
      <c r="C4538" s="2" t="s">
        <v>12177</v>
      </c>
      <c r="D4538" s="4" t="str">
        <f>vlookup(A4538, Sheet2!D:E, 2, 0)</f>
        <v>control</v>
      </c>
      <c r="E4538" s="4" t="str">
        <f>IFERROR(__xludf.DUMMYFUNCTION("if(H4538=""pays"",vlookup(REGEXEXTRACT(C4538, ""🏘️ \w+ \w+ (.*) ✅""),'Country prepositions'!A:B, 2, 0) &amp; "" "" &amp; REGEXEXTRACT(C4538, ""🏘️ \w+ \w+ (.*) ✅"") ,  if(H4538=""quartier"",vlookup(REGEXEXTRACT(C4538, ""🏘️ \w+ \w+ (.*) ✅""),'Quartier prepositio"&amp;"ns'!A:E, 5, 0) ,  if(H4538=""region"",vlookup(REGEXEXTRACT(C4538, ""🏘️ \w+ \w+ (.*) ✅""),'Region prepositions'!B:F, 5, 0),  REGEXEXTRACT(C4538, ""🏘️ \w+ \w+ (.*) ✅""))))"),"#N/A")</f>
        <v>#N/A</v>
      </c>
      <c r="I4538" s="4" t="str">
        <f>IFERROR(__xludf.DUMMYFUNCTION("if(D4538=""variant"",  substitute(filter(Templates!E:E, Templates!A:A = F4538, Templates!B:B = G4538, Templates!C:C = H4538), ""{{}}"", E4538), B4538)"),"Louer maison Meisterschwanden: Trouvez le bien immobilier qui correspond idéalement à vos désirs sur ImmoScout24 - La plateforme de l'immobilier en Suisse.")</f>
        <v>Louer maison Meisterschwanden: Trouvez le bien immobilier qui correspond idéalement à vos désirs sur ImmoScout24 - La plateforme de l'immobilier en Suisse.</v>
      </c>
    </row>
    <row r="4539" hidden="1">
      <c r="A4539" s="5" t="s">
        <v>12178</v>
      </c>
      <c r="B4539" s="2" t="s">
        <v>12179</v>
      </c>
      <c r="C4539" s="2" t="s">
        <v>12179</v>
      </c>
      <c r="D4539" s="4" t="str">
        <f>vlookup(A4539, Sheet2!D:E, 2, 0)</f>
        <v>control</v>
      </c>
      <c r="E4539" s="4" t="str">
        <f>IFERROR(__xludf.DUMMYFUNCTION("if(H4539=""pays"",vlookup(REGEXEXTRACT(C4539, ""🏘️ \w+ \w+ (.*) ✅""),'Country prepositions'!A:B, 2, 0) &amp; "" "" &amp; REGEXEXTRACT(C4539, ""🏘️ \w+ \w+ (.*) ✅"") ,  if(H4539=""quartier"",vlookup(REGEXEXTRACT(C4539, ""🏘️ \w+ \w+ (.*) ✅""),'Quartier prepositio"&amp;"ns'!A:E, 5, 0) ,  if(H4539=""region"",vlookup(REGEXEXTRACT(C4539, ""🏘️ \w+ \w+ (.*) ✅""),'Region prepositions'!B:F, 5, 0),  REGEXEXTRACT(C4539, ""🏘️ \w+ \w+ (.*) ✅""))))"),"#N/A")</f>
        <v>#N/A</v>
      </c>
      <c r="I4539" s="4" t="str">
        <f>IFERROR(__xludf.DUMMYFUNCTION("if(D4539=""variant"",  substitute(filter(Templates!E:E, Templates!A:A = F4539, Templates!B:B = G4539, Templates!C:C = H4539), ""{{}}"", E4539), B4539)"),"Louer appartement Mannens: Trouvez le bien immobilier qui correspond idéalement à vos désirs sur ImmoScout24 - La plateforme de l'immobilier en Suisse.")</f>
        <v>Louer appartement Mannens: Trouvez le bien immobilier qui correspond idéalement à vos désirs sur ImmoScout24 - La plateforme de l'immobilier en Suisse.</v>
      </c>
    </row>
    <row r="4540" hidden="1">
      <c r="A4540" s="5" t="s">
        <v>12180</v>
      </c>
      <c r="B4540" s="2" t="s">
        <v>12181</v>
      </c>
      <c r="C4540" s="2" t="s">
        <v>12181</v>
      </c>
      <c r="D4540" s="4" t="str">
        <f>vlookup(A4540, Sheet2!D:E, 2, 0)</f>
        <v>control</v>
      </c>
      <c r="E4540" s="4" t="str">
        <f>IFERROR(__xludf.DUMMYFUNCTION("if(H4540=""pays"",vlookup(REGEXEXTRACT(C4540, ""🏘️ \w+ \w+ (.*) ✅""),'Country prepositions'!A:B, 2, 0) &amp; "" "" &amp; REGEXEXTRACT(C4540, ""🏘️ \w+ \w+ (.*) ✅"") ,  if(H4540=""quartier"",vlookup(REGEXEXTRACT(C4540, ""🏘️ \w+ \w+ (.*) ✅""),'Quartier prepositio"&amp;"ns'!A:E, 5, 0) ,  if(H4540=""region"",vlookup(REGEXEXTRACT(C4540, ""🏘️ \w+ \w+ (.*) ✅""),'Region prepositions'!B:F, 5, 0),  REGEXEXTRACT(C4540, ""🏘️ \w+ \w+ (.*) ✅""))))"),"#N/A")</f>
        <v>#N/A</v>
      </c>
      <c r="I4540" s="4" t="str">
        <f>IFERROR(__xludf.DUMMYFUNCTION("if(D4540=""variant"",  substitute(filter(Templates!E:E, Templates!A:A = F4540, Templates!B:B = G4540, Templates!C:C = H4540), ""{{}}"", E4540), B4540)"),"Vendre appartement Birrwil: Trouvez le bien immobilier qui correspond idéalement à vos désirs sur ImmoScout24 - La plateforme de l'immobilier en Suisse.")</f>
        <v>Vendre appartement Birrwil: Trouvez le bien immobilier qui correspond idéalement à vos désirs sur ImmoScout24 - La plateforme de l'immobilier en Suisse.</v>
      </c>
    </row>
    <row r="4541" hidden="1">
      <c r="A4541" s="5" t="s">
        <v>12182</v>
      </c>
      <c r="B4541" s="2" t="s">
        <v>12183</v>
      </c>
      <c r="C4541" s="2" t="s">
        <v>12183</v>
      </c>
      <c r="D4541" s="4" t="str">
        <f>vlookup(A4541, Sheet2!D:E, 2, 0)</f>
        <v>control</v>
      </c>
      <c r="E4541" s="4" t="str">
        <f>IFERROR(__xludf.DUMMYFUNCTION("if(H4541=""pays"",vlookup(REGEXEXTRACT(C4541, ""🏘️ \w+ \w+ (.*) ✅""),'Country prepositions'!A:B, 2, 0) &amp; "" "" &amp; REGEXEXTRACT(C4541, ""🏘️ \w+ \w+ (.*) ✅"") ,  if(H4541=""quartier"",vlookup(REGEXEXTRACT(C4541, ""🏘️ \w+ \w+ (.*) ✅""),'Quartier prepositio"&amp;"ns'!A:E, 5, 0) ,  if(H4541=""region"",vlookup(REGEXEXTRACT(C4541, ""🏘️ \w+ \w+ (.*) ✅""),'Region prepositions'!B:F, 5, 0),  REGEXEXTRACT(C4541, ""🏘️ \w+ \w+ (.*) ✅""))))"),"#N/A")</f>
        <v>#N/A</v>
      </c>
      <c r="I4541" s="4" t="str">
        <f>IFERROR(__xludf.DUMMYFUNCTION("if(D4541=""variant"",  substitute(filter(Templates!E:E, Templates!A:A = F4541, Templates!B:B = G4541, Templates!C:C = H4541), ""{{}}"", E4541), B4541)"),"Vendre maison Les Charbonnières: Trouvez le bien immobilier qui correspond idéalement à vos désirs sur ImmoScout24 - La plateforme de l'immobilier en Suisse.")</f>
        <v>Vendre maison Les Charbonnières: Trouvez le bien immobilier qui correspond idéalement à vos désirs sur ImmoScout24 - La plateforme de l'immobilier en Suisse.</v>
      </c>
    </row>
    <row r="4542" hidden="1">
      <c r="A4542" s="5" t="s">
        <v>12184</v>
      </c>
      <c r="B4542" s="2" t="s">
        <v>12185</v>
      </c>
      <c r="C4542" s="2" t="s">
        <v>12185</v>
      </c>
      <c r="D4542" s="4" t="str">
        <f>vlookup(A4542, Sheet2!D:E, 2, 0)</f>
        <v>control</v>
      </c>
      <c r="E4542" s="4" t="str">
        <f>IFERROR(__xludf.DUMMYFUNCTION("if(H4542=""pays"",vlookup(REGEXEXTRACT(C4542, ""🏘️ \w+ \w+ (.*) ✅""),'Country prepositions'!A:B, 2, 0) &amp; "" "" &amp; REGEXEXTRACT(C4542, ""🏘️ \w+ \w+ (.*) ✅"") ,  if(H4542=""quartier"",vlookup(REGEXEXTRACT(C4542, ""🏘️ \w+ \w+ (.*) ✅""),'Quartier prepositio"&amp;"ns'!A:E, 5, 0) ,  if(H4542=""region"",vlookup(REGEXEXTRACT(C4542, ""🏘️ \w+ \w+ (.*) ✅""),'Region prepositions'!B:F, 5, 0),  REGEXEXTRACT(C4542, ""🏘️ \w+ \w+ (.*) ✅""))))"),"#N/A")</f>
        <v>#N/A</v>
      </c>
      <c r="I4542" s="4" t="str">
        <f>IFERROR(__xludf.DUMMYFUNCTION("if(D4542=""variant"",  substitute(filter(Templates!E:E, Templates!A:A = F4542, Templates!B:B = G4542, Templates!C:C = H4542), ""{{}}"", E4542), B4542)"),"Louer appartement Villars-Bramard: Trouvez le bien immobilier qui correspond idéalement à vos désirs sur ImmoScout24 - La plateforme de l'immobilier en Suisse.")</f>
        <v>Louer appartement Villars-Bramard: Trouvez le bien immobilier qui correspond idéalement à vos désirs sur ImmoScout24 - La plateforme de l'immobilier en Suisse.</v>
      </c>
    </row>
    <row r="4543" hidden="1">
      <c r="A4543" s="5" t="s">
        <v>12186</v>
      </c>
      <c r="B4543" s="2" t="s">
        <v>12187</v>
      </c>
      <c r="C4543" s="2" t="s">
        <v>12187</v>
      </c>
      <c r="D4543" s="4" t="str">
        <f>vlookup(A4543, Sheet2!D:E, 2, 0)</f>
        <v>control</v>
      </c>
      <c r="E4543" s="4" t="str">
        <f>IFERROR(__xludf.DUMMYFUNCTION("if(H4543=""pays"",vlookup(REGEXEXTRACT(C4543, ""🏘️ \w+ \w+ (.*) ✅""),'Country prepositions'!A:B, 2, 0) &amp; "" "" &amp; REGEXEXTRACT(C4543, ""🏘️ \w+ \w+ (.*) ✅"") ,  if(H4543=""quartier"",vlookup(REGEXEXTRACT(C4543, ""🏘️ \w+ \w+ (.*) ✅""),'Quartier prepositio"&amp;"ns'!A:E, 5, 0) ,  if(H4543=""region"",vlookup(REGEXEXTRACT(C4543, ""🏘️ \w+ \w+ (.*) ✅""),'Region prepositions'!B:F, 5, 0),  REGEXEXTRACT(C4543, ""🏘️ \w+ \w+ (.*) ✅""))))"),"#N/A")</f>
        <v>#N/A</v>
      </c>
      <c r="I4543" s="4" t="str">
        <f>IFERROR(__xludf.DUMMYFUNCTION("if(D4543=""variant"",  substitute(filter(Templates!E:E, Templates!A:A = F4543, Templates!B:B = G4543, Templates!C:C = H4543), ""{{}}"", E4543), B4543)"),"Vendre appartement Schwarzenburg: Trouvez le bien immobilier qui correspond idéalement à vos désirs sur ImmoScout24 - La plateforme de l'immobilier en Suisse.")</f>
        <v>Vendre appartement Schwarzenburg: Trouvez le bien immobilier qui correspond idéalement à vos désirs sur ImmoScout24 - La plateforme de l'immobilier en Suisse.</v>
      </c>
    </row>
    <row r="4544" hidden="1">
      <c r="A4544" s="5" t="s">
        <v>12188</v>
      </c>
      <c r="B4544" s="2" t="s">
        <v>12189</v>
      </c>
      <c r="C4544" s="2" t="s">
        <v>12189</v>
      </c>
      <c r="D4544" s="4" t="str">
        <f>vlookup(A4544, Sheet2!D:E, 2, 0)</f>
        <v>control</v>
      </c>
      <c r="E4544" s="4" t="str">
        <f>IFERROR(__xludf.DUMMYFUNCTION("if(H4544=""pays"",vlookup(REGEXEXTRACT(C4544, ""🏘️ \w+ \w+ (.*) ✅""),'Country prepositions'!A:B, 2, 0) &amp; "" "" &amp; REGEXEXTRACT(C4544, ""🏘️ \w+ \w+ (.*) ✅"") ,  if(H4544=""quartier"",vlookup(REGEXEXTRACT(C4544, ""🏘️ \w+ \w+ (.*) ✅""),'Quartier prepositio"&amp;"ns'!A:E, 5, 0) ,  if(H4544=""region"",vlookup(REGEXEXTRACT(C4544, ""🏘️ \w+ \w+ (.*) ✅""),'Region prepositions'!B:F, 5, 0),  REGEXEXTRACT(C4544, ""🏘️ \w+ \w+ (.*) ✅""))))"),"#N/A")</f>
        <v>#N/A</v>
      </c>
      <c r="I4544" s="4" t="str">
        <f>IFERROR(__xludf.DUMMYFUNCTION("if(D4544=""variant"",  substitute(filter(Templates!E:E, Templates!A:A = F4544, Templates!B:B = G4544, Templates!C:C = H4544), ""{{}}"", E4544), B4544)"),"Vendre appartement Le Landeron: Trouvez le bien immobilier qui correspond idéalement à vos désirs sur ImmoScout24 - La plateforme de l'immobilier en Suisse.")</f>
        <v>Vendre appartement Le Landeron: Trouvez le bien immobilier qui correspond idéalement à vos désirs sur ImmoScout24 - La plateforme de l'immobilier en Suisse.</v>
      </c>
    </row>
    <row r="4545" hidden="1">
      <c r="A4545" s="5" t="s">
        <v>12190</v>
      </c>
      <c r="B4545" s="2" t="s">
        <v>12191</v>
      </c>
      <c r="C4545" s="2" t="s">
        <v>12191</v>
      </c>
      <c r="D4545" s="4" t="str">
        <f>vlookup(A4545, Sheet2!D:E, 2, 0)</f>
        <v>control</v>
      </c>
      <c r="E4545" s="4" t="str">
        <f>IFERROR(__xludf.DUMMYFUNCTION("if(H4545=""pays"",vlookup(REGEXEXTRACT(C4545, ""🏘️ \w+ \w+ (.*) ✅""),'Country prepositions'!A:B, 2, 0) &amp; "" "" &amp; REGEXEXTRACT(C4545, ""🏘️ \w+ \w+ (.*) ✅"") ,  if(H4545=""quartier"",vlookup(REGEXEXTRACT(C4545, ""🏘️ \w+ \w+ (.*) ✅""),'Quartier prepositio"&amp;"ns'!A:E, 5, 0) ,  if(H4545=""region"",vlookup(REGEXEXTRACT(C4545, ""🏘️ \w+ \w+ (.*) ✅""),'Region prepositions'!B:F, 5, 0),  REGEXEXTRACT(C4545, ""🏘️ \w+ \w+ (.*) ✅""))))"),"#N/A")</f>
        <v>#N/A</v>
      </c>
      <c r="I4545" s="4" t="str">
        <f>IFERROR(__xludf.DUMMYFUNCTION("if(D4545=""variant"",  substitute(filter(Templates!E:E, Templates!A:A = F4545, Templates!B:B = G4545, Templates!C:C = H4545), ""{{}}"", E4545), B4545)"),"Vendre appartement Treycovagnes: Trouvez le bien immobilier qui correspond idéalement à vos désirs sur ImmoScout24 - La plateforme de l'immobilier en Suisse.")</f>
        <v>Vendre appartement Treycovagnes: Trouvez le bien immobilier qui correspond idéalement à vos désirs sur ImmoScout24 - La plateforme de l'immobilier en Suisse.</v>
      </c>
    </row>
    <row r="4546" hidden="1">
      <c r="A4546" s="5" t="s">
        <v>12192</v>
      </c>
      <c r="B4546" s="2" t="s">
        <v>12193</v>
      </c>
      <c r="C4546" s="2" t="s">
        <v>12193</v>
      </c>
      <c r="D4546" s="4" t="str">
        <f>vlookup(A4546, Sheet2!D:E, 2, 0)</f>
        <v>control</v>
      </c>
      <c r="E4546" s="4" t="str">
        <f>IFERROR(__xludf.DUMMYFUNCTION("if(H4546=""pays"",vlookup(REGEXEXTRACT(C4546, ""🏘️ \w+ \w+ (.*) ✅""),'Country prepositions'!A:B, 2, 0) &amp; "" "" &amp; REGEXEXTRACT(C4546, ""🏘️ \w+ \w+ (.*) ✅"") ,  if(H4546=""quartier"",vlookup(REGEXEXTRACT(C4546, ""🏘️ \w+ \w+ (.*) ✅""),'Quartier prepositio"&amp;"ns'!A:E, 5, 0) ,  if(H4546=""region"",vlookup(REGEXEXTRACT(C4546, ""🏘️ \w+ \w+ (.*) ✅""),'Region prepositions'!B:F, 5, 0),  REGEXEXTRACT(C4546, ""🏘️ \w+ \w+ (.*) ✅""))))"),"#N/A")</f>
        <v>#N/A</v>
      </c>
      <c r="I4546" s="4" t="str">
        <f>IFERROR(__xludf.DUMMYFUNCTION("if(D4546=""variant"",  substitute(filter(Templates!E:E, Templates!A:A = F4546, Templates!B:B = G4546, Templates!C:C = H4546), ""{{}}"", E4546), B4546)"),"Vendre maison Bätterkinden: Trouvez le bien immobilier qui correspond idéalement à vos désirs sur ImmoScout24 - La plateforme de l'immobilier en Suisse.")</f>
        <v>Vendre maison Bätterkinden: Trouvez le bien immobilier qui correspond idéalement à vos désirs sur ImmoScout24 - La plateforme de l'immobilier en Suisse.</v>
      </c>
    </row>
    <row r="4547" hidden="1">
      <c r="A4547" s="5" t="s">
        <v>12194</v>
      </c>
      <c r="B4547" s="2" t="s">
        <v>12195</v>
      </c>
      <c r="C4547" s="2" t="s">
        <v>12195</v>
      </c>
      <c r="D4547" s="4" t="str">
        <f>vlookup(A4547, Sheet2!D:E, 2, 0)</f>
        <v>control</v>
      </c>
      <c r="E4547" s="4" t="str">
        <f>IFERROR(__xludf.DUMMYFUNCTION("if(H4547=""pays"",vlookup(REGEXEXTRACT(C4547, ""🏘️ \w+ \w+ (.*) ✅""),'Country prepositions'!A:B, 2, 0) &amp; "" "" &amp; REGEXEXTRACT(C4547, ""🏘️ \w+ \w+ (.*) ✅"") ,  if(H4547=""quartier"",vlookup(REGEXEXTRACT(C4547, ""🏘️ \w+ \w+ (.*) ✅""),'Quartier prepositio"&amp;"ns'!A:E, 5, 0) ,  if(H4547=""region"",vlookup(REGEXEXTRACT(C4547, ""🏘️ \w+ \w+ (.*) ✅""),'Region prepositions'!B:F, 5, 0),  REGEXEXTRACT(C4547, ""🏘️ \w+ \w+ (.*) ✅""))))"),"#N/A")</f>
        <v>#N/A</v>
      </c>
      <c r="I4547" s="4" t="str">
        <f>IFERROR(__xludf.DUMMYFUNCTION("if(D4547=""variant"",  substitute(filter(Templates!E:E, Templates!A:A = F4547, Templates!B:B = G4547, Templates!C:C = H4547), ""{{}}"", E4547), B4547)"),"Louer appartement Courlevon: Trouvez le bien immobilier qui correspond idéalement à vos désirs sur ImmoScout24 - La plateforme de l'immobilier en Suisse.")</f>
        <v>Louer appartement Courlevon: Trouvez le bien immobilier qui correspond idéalement à vos désirs sur ImmoScout24 - La plateforme de l'immobilier en Suisse.</v>
      </c>
    </row>
    <row r="4548" hidden="1">
      <c r="A4548" s="5" t="s">
        <v>12196</v>
      </c>
      <c r="B4548" s="2" t="s">
        <v>12197</v>
      </c>
      <c r="C4548" s="2" t="s">
        <v>12197</v>
      </c>
      <c r="D4548" s="4" t="str">
        <f>vlookup(A4548, Sheet2!D:E, 2, 0)</f>
        <v>control</v>
      </c>
      <c r="E4548" s="4" t="str">
        <f>IFERROR(__xludf.DUMMYFUNCTION("if(H4548=""pays"",vlookup(REGEXEXTRACT(C4548, ""🏘️ \w+ \w+ (.*) ✅""),'Country prepositions'!A:B, 2, 0) &amp; "" "" &amp; REGEXEXTRACT(C4548, ""🏘️ \w+ \w+ (.*) ✅"") ,  if(H4548=""quartier"",vlookup(REGEXEXTRACT(C4548, ""🏘️ \w+ \w+ (.*) ✅""),'Quartier prepositio"&amp;"ns'!A:E, 5, 0) ,  if(H4548=""region"",vlookup(REGEXEXTRACT(C4548, ""🏘️ \w+ \w+ (.*) ✅""),'Region prepositions'!B:F, 5, 0),  REGEXEXTRACT(C4548, ""🏘️ \w+ \w+ (.*) ✅""))))"),"#N/A")</f>
        <v>#N/A</v>
      </c>
      <c r="I4548" s="4" t="str">
        <f>IFERROR(__xludf.DUMMYFUNCTION("if(D4548=""variant"",  substitute(filter(Templates!E:E, Templates!A:A = F4548, Templates!B:B = G4548, Templates!C:C = H4548), ""{{}}"", E4548), B4548)"),"Vendre appartement Granges VS: Trouvez le bien immobilier qui correspond idéalement à vos désirs sur ImmoScout24 - La plateforme de l'immobilier en Suisse.")</f>
        <v>Vendre appartement Granges VS: Trouvez le bien immobilier qui correspond idéalement à vos désirs sur ImmoScout24 - La plateforme de l'immobilier en Suisse.</v>
      </c>
    </row>
    <row r="4549" hidden="1">
      <c r="A4549" s="5" t="s">
        <v>12198</v>
      </c>
      <c r="B4549" s="2" t="s">
        <v>12199</v>
      </c>
      <c r="C4549" s="2" t="s">
        <v>12199</v>
      </c>
      <c r="D4549" s="4" t="str">
        <f>vlookup(A4549, Sheet2!D:E, 2, 0)</f>
        <v>control</v>
      </c>
      <c r="E4549" s="4" t="str">
        <f>IFERROR(__xludf.DUMMYFUNCTION("if(H4549=""pays"",vlookup(REGEXEXTRACT(C4549, ""🏘️ \w+ \w+ (.*) ✅""),'Country prepositions'!A:B, 2, 0) &amp; "" "" &amp; REGEXEXTRACT(C4549, ""🏘️ \w+ \w+ (.*) ✅"") ,  if(H4549=""quartier"",vlookup(REGEXEXTRACT(C4549, ""🏘️ \w+ \w+ (.*) ✅""),'Quartier prepositio"&amp;"ns'!A:E, 5, 0) ,  if(H4549=""region"",vlookup(REGEXEXTRACT(C4549, ""🏘️ \w+ \w+ (.*) ✅""),'Region prepositions'!B:F, 5, 0),  REGEXEXTRACT(C4549, ""🏘️ \w+ \w+ (.*) ✅""))))"),"#N/A")</f>
        <v>#N/A</v>
      </c>
      <c r="I4549" s="4" t="str">
        <f>IFERROR(__xludf.DUMMYFUNCTION("if(D4549=""variant"",  substitute(filter(Templates!E:E, Templates!A:A = F4549, Templates!B:B = G4549, Templates!C:C = H4549), ""{{}}"", E4549), B4549)"),"Vendre appartement Brent: Trouvez le bien immobilier qui correspond idéalement à vos désirs sur ImmoScout24 - La plateforme de l'immobilier en Suisse.")</f>
        <v>Vendre appartement Brent: Trouvez le bien immobilier qui correspond idéalement à vos désirs sur ImmoScout24 - La plateforme de l'immobilier en Suisse.</v>
      </c>
    </row>
    <row r="4550" hidden="1">
      <c r="A4550" s="5" t="s">
        <v>12200</v>
      </c>
      <c r="B4550" s="2" t="s">
        <v>12201</v>
      </c>
      <c r="C4550" s="2" t="s">
        <v>12201</v>
      </c>
      <c r="D4550" s="4" t="str">
        <f>vlookup(A4550, Sheet2!D:E, 2, 0)</f>
        <v>control</v>
      </c>
      <c r="E4550" s="4" t="str">
        <f>IFERROR(__xludf.DUMMYFUNCTION("if(H4550=""pays"",vlookup(REGEXEXTRACT(C4550, ""🏘️ \w+ \w+ (.*) ✅""),'Country prepositions'!A:B, 2, 0) &amp; "" "" &amp; REGEXEXTRACT(C4550, ""🏘️ \w+ \w+ (.*) ✅"") ,  if(H4550=""quartier"",vlookup(REGEXEXTRACT(C4550, ""🏘️ \w+ \w+ (.*) ✅""),'Quartier prepositio"&amp;"ns'!A:E, 5, 0) ,  if(H4550=""region"",vlookup(REGEXEXTRACT(C4550, ""🏘️ \w+ \w+ (.*) ✅""),'Region prepositions'!B:F, 5, 0),  REGEXEXTRACT(C4550, ""🏘️ \w+ \w+ (.*) ✅""))))"),"#N/A")</f>
        <v>#N/A</v>
      </c>
      <c r="I4550" s="4" t="str">
        <f>IFERROR(__xludf.DUMMYFUNCTION("if(D4550=""variant"",  substitute(filter(Templates!E:E, Templates!A:A = F4550, Templates!B:B = G4550, Templates!C:C = H4550), ""{{}}"", E4550), B4550)"),"Louer appartement Beaux-Arts (Neuchâtel): Trouvez le bien immobilier qui correspond idéalement à vos désirs sur ImmoScout24 - La plateforme de l'immobilier en Suisse.")</f>
        <v>Louer appartement Beaux-Arts (Neuchâtel): Trouvez le bien immobilier qui correspond idéalement à vos désirs sur ImmoScout24 - La plateforme de l'immobilier en Suisse.</v>
      </c>
    </row>
    <row r="4551" hidden="1">
      <c r="A4551" s="5" t="s">
        <v>12202</v>
      </c>
      <c r="B4551" s="2" t="s">
        <v>12203</v>
      </c>
      <c r="C4551" s="2" t="s">
        <v>12203</v>
      </c>
      <c r="D4551" s="4" t="str">
        <f>vlookup(A4551, Sheet2!D:E, 2, 0)</f>
        <v>control</v>
      </c>
      <c r="E4551" s="4" t="str">
        <f>IFERROR(__xludf.DUMMYFUNCTION("if(H4551=""pays"",vlookup(REGEXEXTRACT(C4551, ""🏘️ \w+ \w+ (.*) ✅""),'Country prepositions'!A:B, 2, 0) &amp; "" "" &amp; REGEXEXTRACT(C4551, ""🏘️ \w+ \w+ (.*) ✅"") ,  if(H4551=""quartier"",vlookup(REGEXEXTRACT(C4551, ""🏘️ \w+ \w+ (.*) ✅""),'Quartier prepositio"&amp;"ns'!A:E, 5, 0) ,  if(H4551=""region"",vlookup(REGEXEXTRACT(C4551, ""🏘️ \w+ \w+ (.*) ✅""),'Region prepositions'!B:F, 5, 0),  REGEXEXTRACT(C4551, ""🏘️ \w+ \w+ (.*) ✅""))))"),"#N/A")</f>
        <v>#N/A</v>
      </c>
      <c r="I4551" s="4" t="str">
        <f>IFERROR(__xludf.DUMMYFUNCTION("if(D4551=""variant"",  substitute(filter(Templates!E:E, Templates!A:A = F4551, Templates!B:B = G4551, Templates!C:C = H4551), ""{{}}"", E4551), B4551)"),"Louer appartement Wallenbuch: Trouvez le bien immobilier qui correspond idéalement à vos désirs sur ImmoScout24 - La plateforme de l'immobilier en Suisse.")</f>
        <v>Louer appartement Wallenbuch: Trouvez le bien immobilier qui correspond idéalement à vos désirs sur ImmoScout24 - La plateforme de l'immobilier en Suisse.</v>
      </c>
    </row>
    <row r="4552" hidden="1">
      <c r="A4552" s="5" t="s">
        <v>12204</v>
      </c>
      <c r="B4552" s="2" t="s">
        <v>12205</v>
      </c>
      <c r="C4552" s="2" t="s">
        <v>12205</v>
      </c>
      <c r="D4552" s="4" t="str">
        <f>vlookup(A4552, Sheet2!D:E, 2, 0)</f>
        <v>control</v>
      </c>
      <c r="E4552" s="4" t="str">
        <f>IFERROR(__xludf.DUMMYFUNCTION("if(H4552=""pays"",vlookup(REGEXEXTRACT(C4552, ""🏘️ \w+ \w+ (.*) ✅""),'Country prepositions'!A:B, 2, 0) &amp; "" "" &amp; REGEXEXTRACT(C4552, ""🏘️ \w+ \w+ (.*) ✅"") ,  if(H4552=""quartier"",vlookup(REGEXEXTRACT(C4552, ""🏘️ \w+ \w+ (.*) ✅""),'Quartier prepositio"&amp;"ns'!A:E, 5, 0) ,  if(H4552=""region"",vlookup(REGEXEXTRACT(C4552, ""🏘️ \w+ \w+ (.*) ✅""),'Region prepositions'!B:F, 5, 0),  REGEXEXTRACT(C4552, ""🏘️ \w+ \w+ (.*) ✅""))))"),"#N/A")</f>
        <v>#N/A</v>
      </c>
      <c r="I4552" s="4" t="str">
        <f>IFERROR(__xludf.DUMMYFUNCTION("if(D4552=""variant"",  substitute(filter(Templates!E:E, Templates!A:A = F4552, Templates!B:B = G4552, Templates!C:C = H4552), ""{{}}"", E4552), B4552)"),"Louer appartement Conches: Trouvez le bien immobilier qui correspond idéalement à vos désirs sur ImmoScout24 - La plateforme de l'immobilier en Suisse.")</f>
        <v>Louer appartement Conches: Trouvez le bien immobilier qui correspond idéalement à vos désirs sur ImmoScout24 - La plateforme de l'immobilier en Suisse.</v>
      </c>
    </row>
    <row r="4553" hidden="1">
      <c r="A4553" s="5" t="s">
        <v>12206</v>
      </c>
      <c r="B4553" s="2" t="s">
        <v>12207</v>
      </c>
      <c r="C4553" s="2" t="s">
        <v>12207</v>
      </c>
      <c r="D4553" s="4" t="str">
        <f>vlookup(A4553, Sheet2!D:E, 2, 0)</f>
        <v>control</v>
      </c>
      <c r="E4553" s="4" t="str">
        <f>IFERROR(__xludf.DUMMYFUNCTION("if(H4553=""pays"",vlookup(REGEXEXTRACT(C4553, ""🏘️ \w+ \w+ (.*) ✅""),'Country prepositions'!A:B, 2, 0) &amp; "" "" &amp; REGEXEXTRACT(C4553, ""🏘️ \w+ \w+ (.*) ✅"") ,  if(H4553=""quartier"",vlookup(REGEXEXTRACT(C4553, ""🏘️ \w+ \w+ (.*) ✅""),'Quartier prepositio"&amp;"ns'!A:E, 5, 0) ,  if(H4553=""region"",vlookup(REGEXEXTRACT(C4553, ""🏘️ \w+ \w+ (.*) ✅""),'Region prepositions'!B:F, 5, 0),  REGEXEXTRACT(C4553, ""🏘️ \w+ \w+ (.*) ✅""))))"),"#N/A")</f>
        <v>#N/A</v>
      </c>
      <c r="I4553" s="4" t="str">
        <f>IFERROR(__xludf.DUMMYFUNCTION("if(D4553=""variant"",  substitute(filter(Templates!E:E, Templates!A:A = F4553, Templates!B:B = G4553, Templates!C:C = H4553), ""{{}}"", E4553), B4553)"),"Louer maison Les Plans-sur-Bex: Trouvez le bien immobilier qui correspond idéalement à vos désirs sur ImmoScout24 - La plateforme de l'immobilier en Suisse.")</f>
        <v>Louer maison Les Plans-sur-Bex: Trouvez le bien immobilier qui correspond idéalement à vos désirs sur ImmoScout24 - La plateforme de l'immobilier en Suisse.</v>
      </c>
    </row>
    <row r="4554" hidden="1">
      <c r="A4554" s="5" t="s">
        <v>12208</v>
      </c>
      <c r="B4554" s="2" t="s">
        <v>12209</v>
      </c>
      <c r="C4554" s="2" t="s">
        <v>12209</v>
      </c>
      <c r="D4554" s="4" t="str">
        <f>vlookup(A4554, Sheet2!D:E, 2, 0)</f>
        <v>control</v>
      </c>
      <c r="E4554" s="4" t="str">
        <f>IFERROR(__xludf.DUMMYFUNCTION("if(H4554=""pays"",vlookup(REGEXEXTRACT(C4554, ""🏘️ \w+ \w+ (.*) ✅""),'Country prepositions'!A:B, 2, 0) &amp; "" "" &amp; REGEXEXTRACT(C4554, ""🏘️ \w+ \w+ (.*) ✅"") ,  if(H4554=""quartier"",vlookup(REGEXEXTRACT(C4554, ""🏘️ \w+ \w+ (.*) ✅""),'Quartier prepositio"&amp;"ns'!A:E, 5, 0) ,  if(H4554=""region"",vlookup(REGEXEXTRACT(C4554, ""🏘️ \w+ \w+ (.*) ✅""),'Region prepositions'!B:F, 5, 0),  REGEXEXTRACT(C4554, ""🏘️ \w+ \w+ (.*) ✅""))))"),"#N/A")</f>
        <v>#N/A</v>
      </c>
      <c r="I4554" s="4" t="str">
        <f>IFERROR(__xludf.DUMMYFUNCTION("if(D4554=""variant"",  substitute(filter(Templates!E:E, Templates!A:A = F4554, Templates!B:B = G4554, Templates!C:C = H4554), ""{{}}"", E4554), B4554)"),"Louer appartement Obfelden: Trouvez le bien immobilier qui correspond idéalement à vos désirs sur ImmoScout24 - La plateforme de l'immobilier en Suisse.")</f>
        <v>Louer appartement Obfelden: Trouvez le bien immobilier qui correspond idéalement à vos désirs sur ImmoScout24 - La plateforme de l'immobilier en Suisse.</v>
      </c>
    </row>
    <row r="4555" hidden="1">
      <c r="A4555" s="5" t="s">
        <v>12210</v>
      </c>
      <c r="B4555" s="2" t="s">
        <v>12211</v>
      </c>
      <c r="C4555" s="2" t="s">
        <v>12211</v>
      </c>
      <c r="D4555" s="4" t="str">
        <f>vlookup(A4555, Sheet2!D:E, 2, 0)</f>
        <v>control</v>
      </c>
      <c r="E4555" s="4" t="str">
        <f>IFERROR(__xludf.DUMMYFUNCTION("if(H4555=""pays"",vlookup(REGEXEXTRACT(C4555, ""🏘️ \w+ \w+ (.*) ✅""),'Country prepositions'!A:B, 2, 0) &amp; "" "" &amp; REGEXEXTRACT(C4555, ""🏘️ \w+ \w+ (.*) ✅"") ,  if(H4555=""quartier"",vlookup(REGEXEXTRACT(C4555, ""🏘️ \w+ \w+ (.*) ✅""),'Quartier prepositio"&amp;"ns'!A:E, 5, 0) ,  if(H4555=""region"",vlookup(REGEXEXTRACT(C4555, ""🏘️ \w+ \w+ (.*) ✅""),'Region prepositions'!B:F, 5, 0),  REGEXEXTRACT(C4555, ""🏘️ \w+ \w+ (.*) ✅""))))"),"#N/A")</f>
        <v>#N/A</v>
      </c>
      <c r="I4555" s="4" t="str">
        <f>IFERROR(__xludf.DUMMYFUNCTION("if(D4555=""variant"",  substitute(filter(Templates!E:E, Templates!A:A = F4555, Templates!B:B = G4555, Templates!C:C = H4555), ""{{}}"", E4555), B4555)"),"Vendre maison Le Châble VS: Trouvez le bien immobilier qui correspond idéalement à vos désirs sur ImmoScout24 - La plateforme de l'immobilier en Suisse.")</f>
        <v>Vendre maison Le Châble VS: Trouvez le bien immobilier qui correspond idéalement à vos désirs sur ImmoScout24 - La plateforme de l'immobilier en Suisse.</v>
      </c>
    </row>
    <row r="4556" hidden="1">
      <c r="A4556" s="5" t="s">
        <v>12212</v>
      </c>
      <c r="B4556" s="2" t="s">
        <v>12213</v>
      </c>
      <c r="C4556" s="2" t="s">
        <v>12213</v>
      </c>
      <c r="D4556" s="4" t="str">
        <f>vlookup(A4556, Sheet2!D:E, 2, 0)</f>
        <v>control</v>
      </c>
      <c r="E4556" s="4" t="str">
        <f>IFERROR(__xludf.DUMMYFUNCTION("if(H4556=""pays"",vlookup(REGEXEXTRACT(C4556, ""🏘️ \w+ \w+ (.*) ✅""),'Country prepositions'!A:B, 2, 0) &amp; "" "" &amp; REGEXEXTRACT(C4556, ""🏘️ \w+ \w+ (.*) ✅"") ,  if(H4556=""quartier"",vlookup(REGEXEXTRACT(C4556, ""🏘️ \w+ \w+ (.*) ✅""),'Quartier prepositio"&amp;"ns'!A:E, 5, 0) ,  if(H4556=""region"",vlookup(REGEXEXTRACT(C4556, ""🏘️ \w+ \w+ (.*) ✅""),'Region prepositions'!B:F, 5, 0),  REGEXEXTRACT(C4556, ""🏘️ \w+ \w+ (.*) ✅""))))"),"#N/A")</f>
        <v>#N/A</v>
      </c>
      <c r="I4556" s="4" t="str">
        <f>IFERROR(__xludf.DUMMYFUNCTION("if(D4556=""variant"",  substitute(filter(Templates!E:E, Templates!A:A = F4556, Templates!B:B = G4556, Templates!C:C = H4556), ""{{}}"", E4556), B4556)"),"Louer maison Ménières: Trouvez le bien immobilier qui correspond idéalement à vos désirs sur ImmoScout24 - La plateforme de l'immobilier en Suisse.")</f>
        <v>Louer maison Ménières: Trouvez le bien immobilier qui correspond idéalement à vos désirs sur ImmoScout24 - La plateforme de l'immobilier en Suisse.</v>
      </c>
    </row>
    <row r="4557" hidden="1">
      <c r="A4557" s="5" t="s">
        <v>12214</v>
      </c>
      <c r="B4557" s="2" t="s">
        <v>12215</v>
      </c>
      <c r="C4557" s="2" t="s">
        <v>12215</v>
      </c>
      <c r="D4557" s="4" t="str">
        <f>vlookup(A4557, Sheet2!D:E, 2, 0)</f>
        <v>control</v>
      </c>
      <c r="E4557" s="4" t="str">
        <f>IFERROR(__xludf.DUMMYFUNCTION("if(H4557=""pays"",vlookup(REGEXEXTRACT(C4557, ""🏘️ \w+ \w+ (.*) ✅""),'Country prepositions'!A:B, 2, 0) &amp; "" "" &amp; REGEXEXTRACT(C4557, ""🏘️ \w+ \w+ (.*) ✅"") ,  if(H4557=""quartier"",vlookup(REGEXEXTRACT(C4557, ""🏘️ \w+ \w+ (.*) ✅""),'Quartier prepositio"&amp;"ns'!A:E, 5, 0) ,  if(H4557=""region"",vlookup(REGEXEXTRACT(C4557, ""🏘️ \w+ \w+ (.*) ✅""),'Region prepositions'!B:F, 5, 0),  REGEXEXTRACT(C4557, ""🏘️ \w+ \w+ (.*) ✅""))))"),"#N/A")</f>
        <v>#N/A</v>
      </c>
      <c r="I4557" s="4" t="str">
        <f>IFERROR(__xludf.DUMMYFUNCTION("if(D4557=""variant"",  substitute(filter(Templates!E:E, Templates!A:A = F4557, Templates!B:B = G4557, Templates!C:C = H4557), ""{{}}"", E4557), B4557)"),"Louer appartement Frutigen: Trouvez le bien immobilier qui correspond idéalement à vos désirs sur ImmoScout24 - La plateforme de l'immobilier en Suisse.")</f>
        <v>Louer appartement Frutigen: Trouvez le bien immobilier qui correspond idéalement à vos désirs sur ImmoScout24 - La plateforme de l'immobilier en Suisse.</v>
      </c>
    </row>
    <row r="4558" hidden="1">
      <c r="A4558" s="5" t="s">
        <v>12216</v>
      </c>
      <c r="B4558" s="2" t="s">
        <v>12217</v>
      </c>
      <c r="C4558" s="2" t="s">
        <v>12217</v>
      </c>
      <c r="D4558" s="4" t="str">
        <f>vlookup(A4558, Sheet2!D:E, 2, 0)</f>
        <v>control</v>
      </c>
      <c r="E4558" s="4" t="str">
        <f>IFERROR(__xludf.DUMMYFUNCTION("if(H4558=""pays"",vlookup(REGEXEXTRACT(C4558, ""🏘️ \w+ \w+ (.*) ✅""),'Country prepositions'!A:B, 2, 0) &amp; "" "" &amp; REGEXEXTRACT(C4558, ""🏘️ \w+ \w+ (.*) ✅"") ,  if(H4558=""quartier"",vlookup(REGEXEXTRACT(C4558, ""🏘️ \w+ \w+ (.*) ✅""),'Quartier prepositio"&amp;"ns'!A:E, 5, 0) ,  if(H4558=""region"",vlookup(REGEXEXTRACT(C4558, ""🏘️ \w+ \w+ (.*) ✅""),'Region prepositions'!B:F, 5, 0),  REGEXEXTRACT(C4558, ""🏘️ \w+ \w+ (.*) ✅""))))"),"#N/A")</f>
        <v>#N/A</v>
      </c>
      <c r="I4558" s="4" t="str">
        <f>IFERROR(__xludf.DUMMYFUNCTION("if(D4558=""variant"",  substitute(filter(Templates!E:E, Templates!A:A = F4558, Templates!B:B = G4558, Templates!C:C = H4558), ""{{}}"", E4558), B4558)"),"Vendre appartement Posat: Trouvez le bien immobilier qui correspond idéalement à vos désirs sur ImmoScout24 - La plateforme de l'immobilier en Suisse.")</f>
        <v>Vendre appartement Posat: Trouvez le bien immobilier qui correspond idéalement à vos désirs sur ImmoScout24 - La plateforme de l'immobilier en Suisse.</v>
      </c>
    </row>
    <row r="4559" hidden="1">
      <c r="A4559" s="5" t="s">
        <v>12218</v>
      </c>
      <c r="B4559" s="2" t="s">
        <v>12219</v>
      </c>
      <c r="C4559" s="2" t="s">
        <v>12219</v>
      </c>
      <c r="D4559" s="4" t="str">
        <f>vlookup(A4559, Sheet2!D:E, 2, 0)</f>
        <v>control</v>
      </c>
      <c r="E4559" s="4" t="str">
        <f>IFERROR(__xludf.DUMMYFUNCTION("if(H4559=""pays"",vlookup(REGEXEXTRACT(C4559, ""🏘️ \w+ \w+ (.*) ✅""),'Country prepositions'!A:B, 2, 0) &amp; "" "" &amp; REGEXEXTRACT(C4559, ""🏘️ \w+ \w+ (.*) ✅"") ,  if(H4559=""quartier"",vlookup(REGEXEXTRACT(C4559, ""🏘️ \w+ \w+ (.*) ✅""),'Quartier prepositio"&amp;"ns'!A:E, 5, 0) ,  if(H4559=""region"",vlookup(REGEXEXTRACT(C4559, ""🏘️ \w+ \w+ (.*) ✅""),'Region prepositions'!B:F, 5, 0),  REGEXEXTRACT(C4559, ""🏘️ \w+ \w+ (.*) ✅""))))"),"#N/A")</f>
        <v>#N/A</v>
      </c>
      <c r="I4559" s="4" t="str">
        <f>IFERROR(__xludf.DUMMYFUNCTION("if(D4559=""variant"",  substitute(filter(Templates!E:E, Templates!A:A = F4559, Templates!B:B = G4559, Templates!C:C = H4559), ""{{}}"", E4559), B4559)"),"Vendre maison Caux: Trouvez le bien immobilier qui correspond idéalement à vos désirs sur ImmoScout24 - La plateforme de l'immobilier en Suisse.")</f>
        <v>Vendre maison Caux: Trouvez le bien immobilier qui correspond idéalement à vos désirs sur ImmoScout24 - La plateforme de l'immobilier en Suisse.</v>
      </c>
    </row>
    <row r="4560" hidden="1">
      <c r="A4560" s="5" t="s">
        <v>12220</v>
      </c>
      <c r="B4560" s="2" t="s">
        <v>12221</v>
      </c>
      <c r="C4560" s="2" t="s">
        <v>12221</v>
      </c>
      <c r="D4560" s="4" t="str">
        <f>vlookup(A4560, Sheet2!D:E, 2, 0)</f>
        <v>control</v>
      </c>
      <c r="E4560" s="4" t="str">
        <f>IFERROR(__xludf.DUMMYFUNCTION("if(H4560=""pays"",vlookup(REGEXEXTRACT(C4560, ""🏘️ \w+ \w+ (.*) ✅""),'Country prepositions'!A:B, 2, 0) &amp; "" "" &amp; REGEXEXTRACT(C4560, ""🏘️ \w+ \w+ (.*) ✅"") ,  if(H4560=""quartier"",vlookup(REGEXEXTRACT(C4560, ""🏘️ \w+ \w+ (.*) ✅""),'Quartier prepositio"&amp;"ns'!A:E, 5, 0) ,  if(H4560=""region"",vlookup(REGEXEXTRACT(C4560, ""🏘️ \w+ \w+ (.*) ✅""),'Region prepositions'!B:F, 5, 0),  REGEXEXTRACT(C4560, ""🏘️ \w+ \w+ (.*) ✅""))))"),"#N/A")</f>
        <v>#N/A</v>
      </c>
      <c r="I4560" s="4" t="str">
        <f>IFERROR(__xludf.DUMMYFUNCTION("if(D4560=""variant"",  substitute(filter(Templates!E:E, Templates!A:A = F4560, Templates!B:B = G4560, Templates!C:C = H4560), ""{{}}"", E4560), B4560)"),"Vendre appartement Toffen: Trouvez le bien immobilier qui correspond idéalement à vos désirs sur ImmoScout24 - La plateforme de l'immobilier en Suisse.")</f>
        <v>Vendre appartement Toffen: Trouvez le bien immobilier qui correspond idéalement à vos désirs sur ImmoScout24 - La plateforme de l'immobilier en Suisse.</v>
      </c>
    </row>
    <row r="4561" hidden="1">
      <c r="A4561" s="5" t="s">
        <v>12222</v>
      </c>
      <c r="B4561" s="2" t="s">
        <v>12223</v>
      </c>
      <c r="C4561" s="2" t="s">
        <v>12223</v>
      </c>
      <c r="D4561" s="4" t="str">
        <f>vlookup(A4561, Sheet2!D:E, 2, 0)</f>
        <v>control</v>
      </c>
      <c r="E4561" s="4" t="str">
        <f>IFERROR(__xludf.DUMMYFUNCTION("if(H4561=""pays"",vlookup(REGEXEXTRACT(C4561, ""🏘️ \w+ \w+ (.*) ✅""),'Country prepositions'!A:B, 2, 0) &amp; "" "" &amp; REGEXEXTRACT(C4561, ""🏘️ \w+ \w+ (.*) ✅"") ,  if(H4561=""quartier"",vlookup(REGEXEXTRACT(C4561, ""🏘️ \w+ \w+ (.*) ✅""),'Quartier prepositio"&amp;"ns'!A:E, 5, 0) ,  if(H4561=""region"",vlookup(REGEXEXTRACT(C4561, ""🏘️ \w+ \w+ (.*) ✅""),'Region prepositions'!B:F, 5, 0),  REGEXEXTRACT(C4561, ""🏘️ \w+ \w+ (.*) ✅""))))"),"#N/A")</f>
        <v>#N/A</v>
      </c>
      <c r="I4561" s="4" t="str">
        <f>IFERROR(__xludf.DUMMYFUNCTION("if(D4561=""variant"",  substitute(filter(Templates!E:E, Templates!A:A = F4561, Templates!B:B = G4561, Templates!C:C = H4561), ""{{}}"", E4561), B4561)"),"Vendre maison Seedorf BE: Trouvez le bien immobilier qui correspond idéalement à vos désirs sur ImmoScout24 - La plateforme de l'immobilier en Suisse.")</f>
        <v>Vendre maison Seedorf BE: Trouvez le bien immobilier qui correspond idéalement à vos désirs sur ImmoScout24 - La plateforme de l'immobilier en Suisse.</v>
      </c>
    </row>
    <row r="4562" hidden="1">
      <c r="A4562" s="5" t="s">
        <v>12224</v>
      </c>
      <c r="B4562" s="2" t="s">
        <v>12225</v>
      </c>
      <c r="C4562" s="2" t="s">
        <v>12225</v>
      </c>
      <c r="D4562" s="4" t="str">
        <f>vlookup(A4562, Sheet2!D:E, 2, 0)</f>
        <v>control</v>
      </c>
      <c r="E4562" s="4" t="str">
        <f>IFERROR(__xludf.DUMMYFUNCTION("if(H4562=""pays"",vlookup(REGEXEXTRACT(C4562, ""🏘️ \w+ \w+ (.*) ✅""),'Country prepositions'!A:B, 2, 0) &amp; "" "" &amp; REGEXEXTRACT(C4562, ""🏘️ \w+ \w+ (.*) ✅"") ,  if(H4562=""quartier"",vlookup(REGEXEXTRACT(C4562, ""🏘️ \w+ \w+ (.*) ✅""),'Quartier prepositio"&amp;"ns'!A:E, 5, 0) ,  if(H4562=""region"",vlookup(REGEXEXTRACT(C4562, ""🏘️ \w+ \w+ (.*) ✅""),'Region prepositions'!B:F, 5, 0),  REGEXEXTRACT(C4562, ""🏘️ \w+ \w+ (.*) ✅""))))"),"#N/A")</f>
        <v>#N/A</v>
      </c>
      <c r="I4562" s="4" t="str">
        <f>IFERROR(__xludf.DUMMYFUNCTION("if(D4562=""variant"",  substitute(filter(Templates!E:E, Templates!A:A = F4562, Templates!B:B = G4562, Templates!C:C = H4562), ""{{}}"", E4562), B4562)"),"Louer maison Wallisellen: Trouvez le bien immobilier qui correspond idéalement à vos désirs sur ImmoScout24 - La plateforme de l'immobilier en Suisse.")</f>
        <v>Louer maison Wallisellen: Trouvez le bien immobilier qui correspond idéalement à vos désirs sur ImmoScout24 - La plateforme de l'immobilier en Suisse.</v>
      </c>
    </row>
    <row r="4563" hidden="1">
      <c r="A4563" s="5" t="s">
        <v>12226</v>
      </c>
      <c r="B4563" s="2" t="s">
        <v>12227</v>
      </c>
      <c r="C4563" s="2" t="s">
        <v>12227</v>
      </c>
      <c r="D4563" s="4" t="str">
        <f>vlookup(A4563, Sheet2!D:E, 2, 0)</f>
        <v>control</v>
      </c>
      <c r="E4563" s="4" t="str">
        <f>IFERROR(__xludf.DUMMYFUNCTION("if(H4563=""pays"",vlookup(REGEXEXTRACT(C4563, ""🏘️ \w+ \w+ (.*) ✅""),'Country prepositions'!A:B, 2, 0) &amp; "" "" &amp; REGEXEXTRACT(C4563, ""🏘️ \w+ \w+ (.*) ✅"") ,  if(H4563=""quartier"",vlookup(REGEXEXTRACT(C4563, ""🏘️ \w+ \w+ (.*) ✅""),'Quartier prepositio"&amp;"ns'!A:E, 5, 0) ,  if(H4563=""region"",vlookup(REGEXEXTRACT(C4563, ""🏘️ \w+ \w+ (.*) ✅""),'Region prepositions'!B:F, 5, 0),  REGEXEXTRACT(C4563, ""🏘️ \w+ \w+ (.*) ✅""))))"),"#N/A")</f>
        <v>#N/A</v>
      </c>
      <c r="I4563" s="4" t="str">
        <f>IFERROR(__xludf.DUMMYFUNCTION("if(D4563=""variant"",  substitute(filter(Templates!E:E, Templates!A:A = F4563, Templates!B:B = G4563, Templates!C:C = H4563), ""{{}}"", E4563), B4563)"),"Louer appartement Develier: Trouvez le bien immobilier qui correspond idéalement à vos désirs sur ImmoScout24 - La plateforme de l'immobilier en Suisse.")</f>
        <v>Louer appartement Develier: Trouvez le bien immobilier qui correspond idéalement à vos désirs sur ImmoScout24 - La plateforme de l'immobilier en Suisse.</v>
      </c>
    </row>
    <row r="4564" hidden="1">
      <c r="A4564" s="5" t="s">
        <v>12228</v>
      </c>
      <c r="B4564" s="2" t="s">
        <v>12229</v>
      </c>
      <c r="C4564" s="2" t="s">
        <v>12229</v>
      </c>
      <c r="D4564" s="4" t="str">
        <f>vlookup(A4564, Sheet2!D:E, 2, 0)</f>
        <v>control</v>
      </c>
      <c r="E4564" s="4" t="str">
        <f>IFERROR(__xludf.DUMMYFUNCTION("if(H4564=""pays"",vlookup(REGEXEXTRACT(C4564, ""🏘️ \w+ \w+ (.*) ✅""),'Country prepositions'!A:B, 2, 0) &amp; "" "" &amp; REGEXEXTRACT(C4564, ""🏘️ \w+ \w+ (.*) ✅"") ,  if(H4564=""quartier"",vlookup(REGEXEXTRACT(C4564, ""🏘️ \w+ \w+ (.*) ✅""),'Quartier prepositio"&amp;"ns'!A:E, 5, 0) ,  if(H4564=""region"",vlookup(REGEXEXTRACT(C4564, ""🏘️ \w+ \w+ (.*) ✅""),'Region prepositions'!B:F, 5, 0),  REGEXEXTRACT(C4564, ""🏘️ \w+ \w+ (.*) ✅""))))"),"#N/A")</f>
        <v>#N/A</v>
      </c>
      <c r="I4564" s="4" t="str">
        <f>IFERROR(__xludf.DUMMYFUNCTION("if(D4564=""variant"",  substitute(filter(Templates!E:E, Templates!A:A = F4564, Templates!B:B = G4564, Templates!C:C = H4564), ""{{}}"", E4564), B4564)"),"Vendre appartement Courfaivre: Trouvez le bien immobilier qui correspond idéalement à vos désirs sur ImmoScout24 - La plateforme de l'immobilier en Suisse.")</f>
        <v>Vendre appartement Courfaivre: Trouvez le bien immobilier qui correspond idéalement à vos désirs sur ImmoScout24 - La plateforme de l'immobilier en Suisse.</v>
      </c>
    </row>
    <row r="4565" hidden="1">
      <c r="A4565" s="5" t="s">
        <v>12230</v>
      </c>
      <c r="B4565" s="2" t="s">
        <v>12231</v>
      </c>
      <c r="C4565" s="2" t="s">
        <v>12231</v>
      </c>
      <c r="D4565" s="4" t="str">
        <f>vlookup(A4565, Sheet2!D:E, 2, 0)</f>
        <v>control</v>
      </c>
      <c r="E4565" s="4" t="str">
        <f>IFERROR(__xludf.DUMMYFUNCTION("if(H4565=""pays"",vlookup(REGEXEXTRACT(C4565, ""🏘️ \w+ \w+ (.*) ✅""),'Country prepositions'!A:B, 2, 0) &amp; "" "" &amp; REGEXEXTRACT(C4565, ""🏘️ \w+ \w+ (.*) ✅"") ,  if(H4565=""quartier"",vlookup(REGEXEXTRACT(C4565, ""🏘️ \w+ \w+ (.*) ✅""),'Quartier prepositio"&amp;"ns'!A:E, 5, 0) ,  if(H4565=""region"",vlookup(REGEXEXTRACT(C4565, ""🏘️ \w+ \w+ (.*) ✅""),'Region prepositions'!B:F, 5, 0),  REGEXEXTRACT(C4565, ""🏘️ \w+ \w+ (.*) ✅""))))"),"#N/A")</f>
        <v>#N/A</v>
      </c>
      <c r="I4565" s="4" t="str">
        <f>IFERROR(__xludf.DUMMYFUNCTION("if(D4565=""variant"",  substitute(filter(Templates!E:E, Templates!A:A = F4565, Templates!B:B = G4565, Templates!C:C = H4565), ""{{}}"", E4565), B4565)"),"Vendre maison Blatten b. Naters: Trouvez le bien immobilier qui correspond idéalement à vos désirs sur ImmoScout24 - La plateforme de l'immobilier en Suisse.")</f>
        <v>Vendre maison Blatten b. Naters: Trouvez le bien immobilier qui correspond idéalement à vos désirs sur ImmoScout24 - La plateforme de l'immobilier en Suisse.</v>
      </c>
    </row>
    <row r="4566" hidden="1">
      <c r="A4566" s="5" t="s">
        <v>12232</v>
      </c>
      <c r="B4566" s="2" t="s">
        <v>12233</v>
      </c>
      <c r="C4566" s="2" t="s">
        <v>12233</v>
      </c>
      <c r="D4566" s="4" t="str">
        <f>vlookup(A4566, Sheet2!D:E, 2, 0)</f>
        <v>control</v>
      </c>
      <c r="E4566" s="4" t="str">
        <f>IFERROR(__xludf.DUMMYFUNCTION("if(H4566=""pays"",vlookup(REGEXEXTRACT(C4566, ""🏘️ \w+ \w+ (.*) ✅""),'Country prepositions'!A:B, 2, 0) &amp; "" "" &amp; REGEXEXTRACT(C4566, ""🏘️ \w+ \w+ (.*) ✅"") ,  if(H4566=""quartier"",vlookup(REGEXEXTRACT(C4566, ""🏘️ \w+ \w+ (.*) ✅""),'Quartier prepositio"&amp;"ns'!A:E, 5, 0) ,  if(H4566=""region"",vlookup(REGEXEXTRACT(C4566, ""🏘️ \w+ \w+ (.*) ✅""),'Region prepositions'!B:F, 5, 0),  REGEXEXTRACT(C4566, ""🏘️ \w+ \w+ (.*) ✅""))))"),"#N/A")</f>
        <v>#N/A</v>
      </c>
      <c r="I4566" s="4" t="str">
        <f>IFERROR(__xludf.DUMMYFUNCTION("if(D4566=""variant"",  substitute(filter(Templates!E:E, Templates!A:A = F4566, Templates!B:B = G4566, Templates!C:C = H4566), ""{{}}"", E4566), B4566)"),"Louer appartement Progens: Trouvez le bien immobilier qui correspond idéalement à vos désirs sur ImmoScout24 - La plateforme de l'immobilier en Suisse.")</f>
        <v>Louer appartement Progens: Trouvez le bien immobilier qui correspond idéalement à vos désirs sur ImmoScout24 - La plateforme de l'immobilier en Suisse.</v>
      </c>
    </row>
    <row r="4567" hidden="1">
      <c r="A4567" s="5" t="s">
        <v>12234</v>
      </c>
      <c r="B4567" s="2" t="s">
        <v>12235</v>
      </c>
      <c r="C4567" s="2" t="s">
        <v>12235</v>
      </c>
      <c r="D4567" s="4" t="str">
        <f>vlookup(A4567, Sheet2!D:E, 2, 0)</f>
        <v>control</v>
      </c>
      <c r="E4567" s="4" t="str">
        <f>IFERROR(__xludf.DUMMYFUNCTION("if(H4567=""pays"",vlookup(REGEXEXTRACT(C4567, ""🏘️ \w+ \w+ (.*) ✅""),'Country prepositions'!A:B, 2, 0) &amp; "" "" &amp; REGEXEXTRACT(C4567, ""🏘️ \w+ \w+ (.*) ✅"") ,  if(H4567=""quartier"",vlookup(REGEXEXTRACT(C4567, ""🏘️ \w+ \w+ (.*) ✅""),'Quartier prepositio"&amp;"ns'!A:E, 5, 0) ,  if(H4567=""region"",vlookup(REGEXEXTRACT(C4567, ""🏘️ \w+ \w+ (.*) ✅""),'Region prepositions'!B:F, 5, 0),  REGEXEXTRACT(C4567, ""🏘️ \w+ \w+ (.*) ✅""))))"),"#N/A")</f>
        <v>#N/A</v>
      </c>
      <c r="I4567" s="4" t="str">
        <f>IFERROR(__xludf.DUMMYFUNCTION("if(D4567=""variant"",  substitute(filter(Templates!E:E, Templates!A:A = F4567, Templates!B:B = G4567, Templates!C:C = H4567), ""{{}}"", E4567), B4567)"),"Louer appartement Onex: Trouvez le bien immobilier qui correspond idéalement à vos désirs sur ImmoScout24 - La plateforme de l'immobilier en Suisse.")</f>
        <v>Louer appartement Onex: Trouvez le bien immobilier qui correspond idéalement à vos désirs sur ImmoScout24 - La plateforme de l'immobilier en Suisse.</v>
      </c>
    </row>
    <row r="4568" hidden="1">
      <c r="A4568" s="5" t="s">
        <v>12236</v>
      </c>
      <c r="B4568" s="2" t="s">
        <v>12237</v>
      </c>
      <c r="C4568" s="2" t="s">
        <v>12237</v>
      </c>
      <c r="D4568" s="4" t="str">
        <f>vlookup(A4568, Sheet2!D:E, 2, 0)</f>
        <v>control</v>
      </c>
      <c r="E4568" s="4" t="str">
        <f>IFERROR(__xludf.DUMMYFUNCTION("if(H4568=""pays"",vlookup(REGEXEXTRACT(C4568, ""🏘️ \w+ \w+ (.*) ✅""),'Country prepositions'!A:B, 2, 0) &amp; "" "" &amp; REGEXEXTRACT(C4568, ""🏘️ \w+ \w+ (.*) ✅"") ,  if(H4568=""quartier"",vlookup(REGEXEXTRACT(C4568, ""🏘️ \w+ \w+ (.*) ✅""),'Quartier prepositio"&amp;"ns'!A:E, 5, 0) ,  if(H4568=""region"",vlookup(REGEXEXTRACT(C4568, ""🏘️ \w+ \w+ (.*) ✅""),'Region prepositions'!B:F, 5, 0),  REGEXEXTRACT(C4568, ""🏘️ \w+ \w+ (.*) ✅""))))"),"#N/A")</f>
        <v>#N/A</v>
      </c>
      <c r="I4568" s="4" t="str">
        <f>IFERROR(__xludf.DUMMYFUNCTION("if(D4568=""variant"",  substitute(filter(Templates!E:E, Templates!A:A = F4568, Templates!B:B = G4568, Templates!C:C = H4568), ""{{}}"", E4568), B4568)"),"Louer maison St. Margrethen SG: Trouvez le bien immobilier qui correspond idéalement à vos désirs sur ImmoScout24 - La plateforme de l'immobilier en Suisse.")</f>
        <v>Louer maison St. Margrethen SG: Trouvez le bien immobilier qui correspond idéalement à vos désirs sur ImmoScout24 - La plateforme de l'immobilier en Suisse.</v>
      </c>
    </row>
    <row r="4569" hidden="1">
      <c r="A4569" s="5" t="s">
        <v>12238</v>
      </c>
      <c r="B4569" s="2" t="s">
        <v>12239</v>
      </c>
      <c r="C4569" s="2" t="s">
        <v>12239</v>
      </c>
      <c r="D4569" s="4" t="str">
        <f>vlookup(A4569, Sheet2!D:E, 2, 0)</f>
        <v>control</v>
      </c>
      <c r="E4569" s="4" t="str">
        <f>IFERROR(__xludf.DUMMYFUNCTION("if(H4569=""pays"",vlookup(REGEXEXTRACT(C4569, ""🏘️ \w+ \w+ (.*) ✅""),'Country prepositions'!A:B, 2, 0) &amp; "" "" &amp; REGEXEXTRACT(C4569, ""🏘️ \w+ \w+ (.*) ✅"") ,  if(H4569=""quartier"",vlookup(REGEXEXTRACT(C4569, ""🏘️ \w+ \w+ (.*) ✅""),'Quartier prepositio"&amp;"ns'!A:E, 5, 0) ,  if(H4569=""region"",vlookup(REGEXEXTRACT(C4569, ""🏘️ \w+ \w+ (.*) ✅""),'Region prepositions'!B:F, 5, 0),  REGEXEXTRACT(C4569, ""🏘️ \w+ \w+ (.*) ✅""))))"),"#N/A")</f>
        <v>#N/A</v>
      </c>
      <c r="I4569" s="4" t="str">
        <f>IFERROR(__xludf.DUMMYFUNCTION("if(D4569=""variant"",  substitute(filter(Templates!E:E, Templates!A:A = F4569, Templates!B:B = G4569, Templates!C:C = H4569), ""{{}}"", E4569), B4569)"),"Louer appartement Argnou (Ayent): Trouvez le bien immobilier qui correspond idéalement à vos désirs sur ImmoScout24 - La plateforme de l'immobilier en Suisse.")</f>
        <v>Louer appartement Argnou (Ayent): Trouvez le bien immobilier qui correspond idéalement à vos désirs sur ImmoScout24 - La plateforme de l'immobilier en Suisse.</v>
      </c>
    </row>
    <row r="4570" hidden="1">
      <c r="A4570" s="5" t="s">
        <v>12240</v>
      </c>
      <c r="B4570" s="2" t="s">
        <v>12241</v>
      </c>
      <c r="C4570" s="2" t="s">
        <v>12241</v>
      </c>
      <c r="D4570" s="4" t="str">
        <f>vlookup(A4570, Sheet2!D:E, 2, 0)</f>
        <v>control</v>
      </c>
      <c r="E4570" s="4" t="str">
        <f>IFERROR(__xludf.DUMMYFUNCTION("if(H4570=""pays"",vlookup(REGEXEXTRACT(C4570, ""🏘️ \w+ \w+ (.*) ✅""),'Country prepositions'!A:B, 2, 0) &amp; "" "" &amp; REGEXEXTRACT(C4570, ""🏘️ \w+ \w+ (.*) ✅"") ,  if(H4570=""quartier"",vlookup(REGEXEXTRACT(C4570, ""🏘️ \w+ \w+ (.*) ✅""),'Quartier prepositio"&amp;"ns'!A:E, 5, 0) ,  if(H4570=""region"",vlookup(REGEXEXTRACT(C4570, ""🏘️ \w+ \w+ (.*) ✅""),'Region prepositions'!B:F, 5, 0),  REGEXEXTRACT(C4570, ""🏘️ \w+ \w+ (.*) ✅""))))"),"#N/A")</f>
        <v>#N/A</v>
      </c>
      <c r="I4570" s="4" t="str">
        <f>IFERROR(__xludf.DUMMYFUNCTION("if(D4570=""variant"",  substitute(filter(Templates!E:E, Templates!A:A = F4570, Templates!B:B = G4570, Templates!C:C = H4570), ""{{}}"", E4570), B4570)"),"Vendre appartement Grenilles: Trouvez le bien immobilier qui correspond idéalement à vos désirs sur ImmoScout24 - La plateforme de l'immobilier en Suisse.")</f>
        <v>Vendre appartement Grenilles: Trouvez le bien immobilier qui correspond idéalement à vos désirs sur ImmoScout24 - La plateforme de l'immobilier en Suisse.</v>
      </c>
    </row>
    <row r="4571" hidden="1">
      <c r="A4571" s="5" t="s">
        <v>12242</v>
      </c>
      <c r="B4571" s="2" t="s">
        <v>12243</v>
      </c>
      <c r="C4571" s="2" t="s">
        <v>12243</v>
      </c>
      <c r="D4571" s="4" t="str">
        <f>vlookup(A4571, Sheet2!D:E, 2, 0)</f>
        <v>control</v>
      </c>
      <c r="E4571" s="4" t="str">
        <f>IFERROR(__xludf.DUMMYFUNCTION("if(H4571=""pays"",vlookup(REGEXEXTRACT(C4571, ""🏘️ \w+ \w+ (.*) ✅""),'Country prepositions'!A:B, 2, 0) &amp; "" "" &amp; REGEXEXTRACT(C4571, ""🏘️ \w+ \w+ (.*) ✅"") ,  if(H4571=""quartier"",vlookup(REGEXEXTRACT(C4571, ""🏘️ \w+ \w+ (.*) ✅""),'Quartier prepositio"&amp;"ns'!A:E, 5, 0) ,  if(H4571=""region"",vlookup(REGEXEXTRACT(C4571, ""🏘️ \w+ \w+ (.*) ✅""),'Region prepositions'!B:F, 5, 0),  REGEXEXTRACT(C4571, ""🏘️ \w+ \w+ (.*) ✅""))))"),"#N/A")</f>
        <v>#N/A</v>
      </c>
      <c r="I4571" s="4" t="str">
        <f>IFERROR(__xludf.DUMMYFUNCTION("if(D4571=""variant"",  substitute(filter(Templates!E:E, Templates!A:A = F4571, Templates!B:B = G4571, Templates!C:C = H4571), ""{{}}"", E4571), B4571)"),"Louer appartement Forel (Lavaux): Trouvez le bien immobilier qui correspond idéalement à vos désirs sur ImmoScout24 - La plateforme de l'immobilier en Suisse.")</f>
        <v>Louer appartement Forel (Lavaux): Trouvez le bien immobilier qui correspond idéalement à vos désirs sur ImmoScout24 - La plateforme de l'immobilier en Suisse.</v>
      </c>
    </row>
    <row r="4572" hidden="1">
      <c r="A4572" s="5" t="s">
        <v>12244</v>
      </c>
      <c r="B4572" s="2" t="s">
        <v>12245</v>
      </c>
      <c r="C4572" s="2" t="s">
        <v>12245</v>
      </c>
      <c r="D4572" s="4" t="str">
        <f>vlookup(A4572, Sheet2!D:E, 2, 0)</f>
        <v>control</v>
      </c>
      <c r="E4572" s="4" t="str">
        <f>IFERROR(__xludf.DUMMYFUNCTION("if(H4572=""pays"",vlookup(REGEXEXTRACT(C4572, ""🏘️ \w+ \w+ (.*) ✅""),'Country prepositions'!A:B, 2, 0) &amp; "" "" &amp; REGEXEXTRACT(C4572, ""🏘️ \w+ \w+ (.*) ✅"") ,  if(H4572=""quartier"",vlookup(REGEXEXTRACT(C4572, ""🏘️ \w+ \w+ (.*) ✅""),'Quartier prepositio"&amp;"ns'!A:E, 5, 0) ,  if(H4572=""region"",vlookup(REGEXEXTRACT(C4572, ""🏘️ \w+ \w+ (.*) ✅""),'Region prepositions'!B:F, 5, 0),  REGEXEXTRACT(C4572, ""🏘️ \w+ \w+ (.*) ✅""))))"),"#N/A")</f>
        <v>#N/A</v>
      </c>
      <c r="I4572" s="4" t="str">
        <f>IFERROR(__xludf.DUMMYFUNCTION("if(D4572=""variant"",  substitute(filter(Templates!E:E, Templates!A:A = F4572, Templates!B:B = G4572, Templates!C:C = H4572), ""{{}}"", E4572), B4572)"),"Louer maison La Comballaz: Trouvez le bien immobilier qui correspond idéalement à vos désirs sur ImmoScout24 - La plateforme de l'immobilier en Suisse.")</f>
        <v>Louer maison La Comballaz: Trouvez le bien immobilier qui correspond idéalement à vos désirs sur ImmoScout24 - La plateforme de l'immobilier en Suisse.</v>
      </c>
    </row>
    <row r="4573" hidden="1">
      <c r="A4573" s="5" t="s">
        <v>12246</v>
      </c>
      <c r="B4573" s="2" t="s">
        <v>12247</v>
      </c>
      <c r="C4573" s="2" t="s">
        <v>12247</v>
      </c>
      <c r="D4573" s="4" t="str">
        <f>vlookup(A4573, Sheet2!D:E, 2, 0)</f>
        <v>control</v>
      </c>
      <c r="E4573" s="4" t="str">
        <f>IFERROR(__xludf.DUMMYFUNCTION("if(H4573=""pays"",vlookup(REGEXEXTRACT(C4573, ""🏘️ \w+ \w+ (.*) ✅""),'Country prepositions'!A:B, 2, 0) &amp; "" "" &amp; REGEXEXTRACT(C4573, ""🏘️ \w+ \w+ (.*) ✅"") ,  if(H4573=""quartier"",vlookup(REGEXEXTRACT(C4573, ""🏘️ \w+ \w+ (.*) ✅""),'Quartier prepositio"&amp;"ns'!A:E, 5, 0) ,  if(H4573=""region"",vlookup(REGEXEXTRACT(C4573, ""🏘️ \w+ \w+ (.*) ✅""),'Region prepositions'!B:F, 5, 0),  REGEXEXTRACT(C4573, ""🏘️ \w+ \w+ (.*) ✅""))))"),"#N/A")</f>
        <v>#N/A</v>
      </c>
      <c r="I4573" s="4" t="str">
        <f>IFERROR(__xludf.DUMMYFUNCTION("if(D4573=""variant"",  substitute(filter(Templates!E:E, Templates!A:A = F4573, Templates!B:B = G4573, Templates!C:C = H4573), ""{{}}"", E4573), B4573)"),"Louer appartement Jongny: Trouvez le bien immobilier qui correspond idéalement à vos désirs sur ImmoScout24 - La plateforme de l'immobilier en Suisse.")</f>
        <v>Louer appartement Jongny: Trouvez le bien immobilier qui correspond idéalement à vos désirs sur ImmoScout24 - La plateforme de l'immobilier en Suisse.</v>
      </c>
    </row>
    <row r="4574" hidden="1">
      <c r="A4574" s="5" t="s">
        <v>12248</v>
      </c>
      <c r="B4574" s="2" t="s">
        <v>12249</v>
      </c>
      <c r="C4574" s="2" t="s">
        <v>12249</v>
      </c>
      <c r="D4574" s="4" t="str">
        <f>vlookup(A4574, Sheet2!D:E, 2, 0)</f>
        <v>control</v>
      </c>
      <c r="E4574" s="4" t="str">
        <f>IFERROR(__xludf.DUMMYFUNCTION("if(H4574=""pays"",vlookup(REGEXEXTRACT(C4574, ""🏘️ \w+ \w+ (.*) ✅""),'Country prepositions'!A:B, 2, 0) &amp; "" "" &amp; REGEXEXTRACT(C4574, ""🏘️ \w+ \w+ (.*) ✅"") ,  if(H4574=""quartier"",vlookup(REGEXEXTRACT(C4574, ""🏘️ \w+ \w+ (.*) ✅""),'Quartier prepositio"&amp;"ns'!A:E, 5, 0) ,  if(H4574=""region"",vlookup(REGEXEXTRACT(C4574, ""🏘️ \w+ \w+ (.*) ✅""),'Region prepositions'!B:F, 5, 0),  REGEXEXTRACT(C4574, ""🏘️ \w+ \w+ (.*) ✅""))))"),"#N/A")</f>
        <v>#N/A</v>
      </c>
      <c r="I4574" s="4" t="str">
        <f>IFERROR(__xludf.DUMMYFUNCTION("if(D4574=""variant"",  substitute(filter(Templates!E:E, Templates!A:A = F4574, Templates!B:B = G4574, Templates!C:C = H4574), ""{{}}"", E4574), B4574)"),"Vendre maison Figino: Trouvez le bien immobilier qui correspond idéalement à vos désirs sur ImmoScout24 - La plateforme de l'immobilier en Suisse.")</f>
        <v>Vendre maison Figino: Trouvez le bien immobilier qui correspond idéalement à vos désirs sur ImmoScout24 - La plateforme de l'immobilier en Suisse.</v>
      </c>
    </row>
    <row r="4575" hidden="1">
      <c r="A4575" s="5" t="s">
        <v>12250</v>
      </c>
      <c r="B4575" s="2" t="s">
        <v>12251</v>
      </c>
      <c r="C4575" s="2" t="s">
        <v>12251</v>
      </c>
      <c r="D4575" s="4" t="str">
        <f>vlookup(A4575, Sheet2!D:E, 2, 0)</f>
        <v>control</v>
      </c>
      <c r="E4575" s="4" t="str">
        <f>IFERROR(__xludf.DUMMYFUNCTION("if(H4575=""pays"",vlookup(REGEXEXTRACT(C4575, ""🏘️ \w+ \w+ (.*) ✅""),'Country prepositions'!A:B, 2, 0) &amp; "" "" &amp; REGEXEXTRACT(C4575, ""🏘️ \w+ \w+ (.*) ✅"") ,  if(H4575=""quartier"",vlookup(REGEXEXTRACT(C4575, ""🏘️ \w+ \w+ (.*) ✅""),'Quartier prepositio"&amp;"ns'!A:E, 5, 0) ,  if(H4575=""region"",vlookup(REGEXEXTRACT(C4575, ""🏘️ \w+ \w+ (.*) ✅""),'Region prepositions'!B:F, 5, 0),  REGEXEXTRACT(C4575, ""🏘️ \w+ \w+ (.*) ✅""))))"),"#N/A")</f>
        <v>#N/A</v>
      </c>
      <c r="I4575" s="4" t="str">
        <f>IFERROR(__xludf.DUMMYFUNCTION("if(D4575=""variant"",  substitute(filter(Templates!E:E, Templates!A:A = F4575, Templates!B:B = G4575, Templates!C:C = H4575), ""{{}}"", E4575), B4575)"),"Louer appartement Perly: Trouvez le bien immobilier qui correspond idéalement à vos désirs sur ImmoScout24 - La plateforme de l'immobilier en Suisse.")</f>
        <v>Louer appartement Perly: Trouvez le bien immobilier qui correspond idéalement à vos désirs sur ImmoScout24 - La plateforme de l'immobilier en Suisse.</v>
      </c>
    </row>
    <row r="4576" hidden="1">
      <c r="A4576" s="5" t="s">
        <v>12252</v>
      </c>
      <c r="B4576" s="2" t="s">
        <v>12253</v>
      </c>
      <c r="C4576" s="2" t="s">
        <v>12253</v>
      </c>
      <c r="D4576" s="4" t="str">
        <f>vlookup(A4576, Sheet2!D:E, 2, 0)</f>
        <v>control</v>
      </c>
      <c r="E4576" s="4" t="str">
        <f>IFERROR(__xludf.DUMMYFUNCTION("if(H4576=""pays"",vlookup(REGEXEXTRACT(C4576, ""🏘️ \w+ \w+ (.*) ✅""),'Country prepositions'!A:B, 2, 0) &amp; "" "" &amp; REGEXEXTRACT(C4576, ""🏘️ \w+ \w+ (.*) ✅"") ,  if(H4576=""quartier"",vlookup(REGEXEXTRACT(C4576, ""🏘️ \w+ \w+ (.*) ✅""),'Quartier prepositio"&amp;"ns'!A:E, 5, 0) ,  if(H4576=""region"",vlookup(REGEXEXTRACT(C4576, ""🏘️ \w+ \w+ (.*) ✅""),'Region prepositions'!B:F, 5, 0),  REGEXEXTRACT(C4576, ""🏘️ \w+ \w+ (.*) ✅""))))"),"#N/A")</f>
        <v>#N/A</v>
      </c>
      <c r="I4576" s="4" t="str">
        <f>IFERROR(__xludf.DUMMYFUNCTION("if(D4576=""variant"",  substitute(filter(Templates!E:E, Templates!A:A = F4576, Templates!B:B = G4576, Templates!C:C = H4576), ""{{}}"", E4576), B4576)"),"Vendre maison Wohlen b. Bern: Trouvez le bien immobilier qui correspond idéalement à vos désirs sur ImmoScout24 - La plateforme de l'immobilier en Suisse.")</f>
        <v>Vendre maison Wohlen b. Bern: Trouvez le bien immobilier qui correspond idéalement à vos désirs sur ImmoScout24 - La plateforme de l'immobilier en Suisse.</v>
      </c>
    </row>
    <row r="4577" hidden="1">
      <c r="A4577" s="5" t="s">
        <v>12254</v>
      </c>
      <c r="B4577" s="2" t="s">
        <v>12255</v>
      </c>
      <c r="C4577" s="2" t="s">
        <v>12255</v>
      </c>
      <c r="D4577" s="4" t="str">
        <f>vlookup(A4577, Sheet2!D:E, 2, 0)</f>
        <v>control</v>
      </c>
      <c r="E4577" s="4" t="str">
        <f>IFERROR(__xludf.DUMMYFUNCTION("if(H4577=""pays"",vlookup(REGEXEXTRACT(C4577, ""🏘️ \w+ \w+ (.*) ✅""),'Country prepositions'!A:B, 2, 0) &amp; "" "" &amp; REGEXEXTRACT(C4577, ""🏘️ \w+ \w+ (.*) ✅"") ,  if(H4577=""quartier"",vlookup(REGEXEXTRACT(C4577, ""🏘️ \w+ \w+ (.*) ✅""),'Quartier prepositio"&amp;"ns'!A:E, 5, 0) ,  if(H4577=""region"",vlookup(REGEXEXTRACT(C4577, ""🏘️ \w+ \w+ (.*) ✅""),'Region prepositions'!B:F, 5, 0),  REGEXEXTRACT(C4577, ""🏘️ \w+ \w+ (.*) ✅""))))"),"#N/A")</f>
        <v>#N/A</v>
      </c>
      <c r="I4577" s="4" t="str">
        <f>IFERROR(__xludf.DUMMYFUNCTION("if(D4577=""variant"",  substitute(filter(Templates!E:E, Templates!A:A = F4577, Templates!B:B = G4577, Templates!C:C = H4577), ""{{}}"", E4577), B4577)"),"Louer maison Treyvaux: Trouvez le bien immobilier qui correspond idéalement à vos désirs sur ImmoScout24 - La plateforme de l'immobilier en Suisse.")</f>
        <v>Louer maison Treyvaux: Trouvez le bien immobilier qui correspond idéalement à vos désirs sur ImmoScout24 - La plateforme de l'immobilier en Suisse.</v>
      </c>
    </row>
    <row r="4578" hidden="1">
      <c r="A4578" s="5" t="s">
        <v>12256</v>
      </c>
      <c r="B4578" s="2" t="s">
        <v>12257</v>
      </c>
      <c r="C4578" s="2" t="s">
        <v>12257</v>
      </c>
      <c r="D4578" s="4" t="str">
        <f>vlookup(A4578, Sheet2!D:E, 2, 0)</f>
        <v>control</v>
      </c>
      <c r="E4578" s="4" t="str">
        <f>IFERROR(__xludf.DUMMYFUNCTION("if(H4578=""pays"",vlookup(REGEXEXTRACT(C4578, ""🏘️ \w+ \w+ (.*) ✅""),'Country prepositions'!A:B, 2, 0) &amp; "" "" &amp; REGEXEXTRACT(C4578, ""🏘️ \w+ \w+ (.*) ✅"") ,  if(H4578=""quartier"",vlookup(REGEXEXTRACT(C4578, ""🏘️ \w+ \w+ (.*) ✅""),'Quartier prepositio"&amp;"ns'!A:E, 5, 0) ,  if(H4578=""region"",vlookup(REGEXEXTRACT(C4578, ""🏘️ \w+ \w+ (.*) ✅""),'Region prepositions'!B:F, 5, 0),  REGEXEXTRACT(C4578, ""🏘️ \w+ \w+ (.*) ✅""))))"),"#N/A")</f>
        <v>#N/A</v>
      </c>
      <c r="I4578" s="4" t="str">
        <f>IFERROR(__xludf.DUMMYFUNCTION("if(D4578=""variant"",  substitute(filter(Templates!E:E, Templates!A:A = F4578, Templates!B:B = G4578, Templates!C:C = H4578), ""{{}}"", E4578), B4578)"),"Louer appartement Tolochenaz: Trouvez le bien immobilier qui correspond idéalement à vos désirs sur ImmoScout24 - La plateforme de l'immobilier en Suisse.")</f>
        <v>Louer appartement Tolochenaz: Trouvez le bien immobilier qui correspond idéalement à vos désirs sur ImmoScout24 - La plateforme de l'immobilier en Suisse.</v>
      </c>
    </row>
    <row r="4579" hidden="1">
      <c r="A4579" s="5" t="s">
        <v>12258</v>
      </c>
      <c r="B4579" s="2" t="s">
        <v>12259</v>
      </c>
      <c r="C4579" s="2" t="s">
        <v>12259</v>
      </c>
      <c r="D4579" s="4" t="str">
        <f>vlookup(A4579, Sheet2!D:E, 2, 0)</f>
        <v>control</v>
      </c>
      <c r="E4579" s="4" t="str">
        <f>IFERROR(__xludf.DUMMYFUNCTION("if(H4579=""pays"",vlookup(REGEXEXTRACT(C4579, ""🏘️ \w+ \w+ (.*) ✅""),'Country prepositions'!A:B, 2, 0) &amp; "" "" &amp; REGEXEXTRACT(C4579, ""🏘️ \w+ \w+ (.*) ✅"") ,  if(H4579=""quartier"",vlookup(REGEXEXTRACT(C4579, ""🏘️ \w+ \w+ (.*) ✅""),'Quartier prepositio"&amp;"ns'!A:E, 5, 0) ,  if(H4579=""region"",vlookup(REGEXEXTRACT(C4579, ""🏘️ \w+ \w+ (.*) ✅""),'Region prepositions'!B:F, 5, 0),  REGEXEXTRACT(C4579, ""🏘️ \w+ \w+ (.*) ✅""))))"),"#N/A")</f>
        <v>#N/A</v>
      </c>
      <c r="I4579" s="4" t="str">
        <f>IFERROR(__xludf.DUMMYFUNCTION("if(D4579=""variant"",  substitute(filter(Templates!E:E, Templates!A:A = F4579, Templates!B:B = G4579, Templates!C:C = H4579), ""{{}}"", E4579), B4579)"),"Vendre maison Ermatingen: Trouvez le bien immobilier qui correspond idéalement à vos désirs sur ImmoScout24 - La plateforme de l'immobilier en Suisse.")</f>
        <v>Vendre maison Ermatingen: Trouvez le bien immobilier qui correspond idéalement à vos désirs sur ImmoScout24 - La plateforme de l'immobilier en Suisse.</v>
      </c>
    </row>
    <row r="4580" hidden="1">
      <c r="A4580" s="5" t="s">
        <v>12260</v>
      </c>
      <c r="B4580" s="2" t="s">
        <v>12261</v>
      </c>
      <c r="C4580" s="2" t="s">
        <v>12261</v>
      </c>
      <c r="D4580" s="4" t="str">
        <f>vlookup(A4580, Sheet2!D:E, 2, 0)</f>
        <v>control</v>
      </c>
      <c r="E4580" s="4" t="str">
        <f>IFERROR(__xludf.DUMMYFUNCTION("if(H4580=""pays"",vlookup(REGEXEXTRACT(C4580, ""🏘️ \w+ \w+ (.*) ✅""),'Country prepositions'!A:B, 2, 0) &amp; "" "" &amp; REGEXEXTRACT(C4580, ""🏘️ \w+ \w+ (.*) ✅"") ,  if(H4580=""quartier"",vlookup(REGEXEXTRACT(C4580, ""🏘️ \w+ \w+ (.*) ✅""),'Quartier prepositio"&amp;"ns'!A:E, 5, 0) ,  if(H4580=""region"",vlookup(REGEXEXTRACT(C4580, ""🏘️ \w+ \w+ (.*) ✅""),'Region prepositions'!B:F, 5, 0),  REGEXEXTRACT(C4580, ""🏘️ \w+ \w+ (.*) ✅""))))"),"#N/A")</f>
        <v>#N/A</v>
      </c>
      <c r="I4580" s="4" t="str">
        <f>IFERROR(__xludf.DUMMYFUNCTION("if(D4580=""variant"",  substitute(filter(Templates!E:E, Templates!A:A = F4580, Templates!B:B = G4580, Templates!C:C = H4580), ""{{}}"", E4580), B4580)"),"Louer maison Bossons - Blécherette (Lausanne): Trouvez le bien immobilier qui correspond idéalement à vos désirs sur ImmoScout24 - La plateforme de l'immobilier en Suisse.")</f>
        <v>Louer maison Bossons - Blécherette (Lausanne): Trouvez le bien immobilier qui correspond idéalement à vos désirs sur ImmoScout24 - La plateforme de l'immobilier en Suisse.</v>
      </c>
    </row>
    <row r="4581" hidden="1">
      <c r="A4581" s="5" t="s">
        <v>12262</v>
      </c>
      <c r="B4581" s="2" t="s">
        <v>12263</v>
      </c>
      <c r="C4581" s="2" t="s">
        <v>12263</v>
      </c>
      <c r="D4581" s="4" t="str">
        <f>vlookup(A4581, Sheet2!D:E, 2, 0)</f>
        <v>control</v>
      </c>
      <c r="E4581" s="4" t="str">
        <f>IFERROR(__xludf.DUMMYFUNCTION("if(H4581=""pays"",vlookup(REGEXEXTRACT(C4581, ""🏘️ \w+ \w+ (.*) ✅""),'Country prepositions'!A:B, 2, 0) &amp; "" "" &amp; REGEXEXTRACT(C4581, ""🏘️ \w+ \w+ (.*) ✅"") ,  if(H4581=""quartier"",vlookup(REGEXEXTRACT(C4581, ""🏘️ \w+ \w+ (.*) ✅""),'Quartier prepositio"&amp;"ns'!A:E, 5, 0) ,  if(H4581=""region"",vlookup(REGEXEXTRACT(C4581, ""🏘️ \w+ \w+ (.*) ✅""),'Region prepositions'!B:F, 5, 0),  REGEXEXTRACT(C4581, ""🏘️ \w+ \w+ (.*) ✅""))))"),"#N/A")</f>
        <v>#N/A</v>
      </c>
      <c r="I4581" s="4" t="str">
        <f>IFERROR(__xludf.DUMMYFUNCTION("if(D4581=""variant"",  substitute(filter(Templates!E:E, Templates!A:A = F4581, Templates!B:B = G4581, Templates!C:C = H4581), ""{{}}"", E4581), B4581)"),"Vendre maison Oberbipp: Trouvez le bien immobilier qui correspond idéalement à vos désirs sur ImmoScout24 - La plateforme de l'immobilier en Suisse.")</f>
        <v>Vendre maison Oberbipp: Trouvez le bien immobilier qui correspond idéalement à vos désirs sur ImmoScout24 - La plateforme de l'immobilier en Suisse.</v>
      </c>
    </row>
    <row r="4582" hidden="1">
      <c r="A4582" s="5" t="s">
        <v>12264</v>
      </c>
      <c r="B4582" s="2" t="s">
        <v>12265</v>
      </c>
      <c r="C4582" s="2" t="s">
        <v>12265</v>
      </c>
      <c r="D4582" s="4" t="str">
        <f>vlookup(A4582, Sheet2!D:E, 2, 0)</f>
        <v>control</v>
      </c>
      <c r="E4582" s="4" t="str">
        <f>IFERROR(__xludf.DUMMYFUNCTION("if(H4582=""pays"",vlookup(REGEXEXTRACT(C4582, ""🏘️ \w+ \w+ (.*) ✅""),'Country prepositions'!A:B, 2, 0) &amp; "" "" &amp; REGEXEXTRACT(C4582, ""🏘️ \w+ \w+ (.*) ✅"") ,  if(H4582=""quartier"",vlookup(REGEXEXTRACT(C4582, ""🏘️ \w+ \w+ (.*) ✅""),'Quartier prepositio"&amp;"ns'!A:E, 5, 0) ,  if(H4582=""region"",vlookup(REGEXEXTRACT(C4582, ""🏘️ \w+ \w+ (.*) ✅""),'Region prepositions'!B:F, 5, 0),  REGEXEXTRACT(C4582, ""🏘️ \w+ \w+ (.*) ✅""))))"),"#N/A")</f>
        <v>#N/A</v>
      </c>
      <c r="I4582" s="4" t="str">
        <f>IFERROR(__xludf.DUMMYFUNCTION("if(D4582=""variant"",  substitute(filter(Templates!E:E, Templates!A:A = F4582, Templates!B:B = G4582, Templates!C:C = H4582), ""{{}}"", E4582), B4582)"),"Louer appartement Zurich ville: Trouvez le bien immobilier qui correspond idéalement à vos désirs sur ImmoScout24 - La plateforme de l'immobilier en Suisse.")</f>
        <v>Louer appartement Zurich ville: Trouvez le bien immobilier qui correspond idéalement à vos désirs sur ImmoScout24 - La plateforme de l'immobilier en Suisse.</v>
      </c>
    </row>
    <row r="4583" hidden="1">
      <c r="A4583" s="5" t="s">
        <v>12266</v>
      </c>
      <c r="B4583" s="2" t="s">
        <v>12267</v>
      </c>
      <c r="C4583" s="2" t="s">
        <v>12267</v>
      </c>
      <c r="D4583" s="4" t="str">
        <f>vlookup(A4583, Sheet2!D:E, 2, 0)</f>
        <v>control</v>
      </c>
      <c r="E4583" s="4" t="str">
        <f>IFERROR(__xludf.DUMMYFUNCTION("if(H4583=""pays"",vlookup(REGEXEXTRACT(C4583, ""🏘️ \w+ \w+ (.*) ✅""),'Country prepositions'!A:B, 2, 0) &amp; "" "" &amp; REGEXEXTRACT(C4583, ""🏘️ \w+ \w+ (.*) ✅"") ,  if(H4583=""quartier"",vlookup(REGEXEXTRACT(C4583, ""🏘️ \w+ \w+ (.*) ✅""),'Quartier prepositio"&amp;"ns'!A:E, 5, 0) ,  if(H4583=""region"",vlookup(REGEXEXTRACT(C4583, ""🏘️ \w+ \w+ (.*) ✅""),'Region prepositions'!B:F, 5, 0),  REGEXEXTRACT(C4583, ""🏘️ \w+ \w+ (.*) ✅""))))"),"#N/A")</f>
        <v>#N/A</v>
      </c>
      <c r="I4583" s="4" t="str">
        <f>IFERROR(__xludf.DUMMYFUNCTION("if(D4583=""variant"",  substitute(filter(Templates!E:E, Templates!A:A = F4583, Templates!B:B = G4583, Templates!C:C = H4583), ""{{}}"", E4583), B4583)"),"Louer appartement Muri b. Bern: Trouvez le bien immobilier qui correspond idéalement à vos désirs sur ImmoScout24 - La plateforme de l'immobilier en Suisse.")</f>
        <v>Louer appartement Muri b. Bern: Trouvez le bien immobilier qui correspond idéalement à vos désirs sur ImmoScout24 - La plateforme de l'immobilier en Suisse.</v>
      </c>
    </row>
    <row r="4584" hidden="1">
      <c r="A4584" s="5" t="s">
        <v>12268</v>
      </c>
      <c r="B4584" s="2" t="s">
        <v>12269</v>
      </c>
      <c r="C4584" s="2" t="s">
        <v>12269</v>
      </c>
      <c r="D4584" s="4" t="str">
        <f>vlookup(A4584, Sheet2!D:E, 2, 0)</f>
        <v>control</v>
      </c>
      <c r="E4584" s="4" t="str">
        <f>IFERROR(__xludf.DUMMYFUNCTION("if(H4584=""pays"",vlookup(REGEXEXTRACT(C4584, ""🏘️ \w+ \w+ (.*) ✅""),'Country prepositions'!A:B, 2, 0) &amp; "" "" &amp; REGEXEXTRACT(C4584, ""🏘️ \w+ \w+ (.*) ✅"") ,  if(H4584=""quartier"",vlookup(REGEXEXTRACT(C4584, ""🏘️ \w+ \w+ (.*) ✅""),'Quartier prepositio"&amp;"ns'!A:E, 5, 0) ,  if(H4584=""region"",vlookup(REGEXEXTRACT(C4584, ""🏘️ \w+ \w+ (.*) ✅""),'Region prepositions'!B:F, 5, 0),  REGEXEXTRACT(C4584, ""🏘️ \w+ \w+ (.*) ✅""))))"),"#N/A")</f>
        <v>#N/A</v>
      </c>
      <c r="I4584" s="4" t="str">
        <f>IFERROR(__xludf.DUMMYFUNCTION("if(D4584=""variant"",  substitute(filter(Templates!E:E, Templates!A:A = F4584, Templates!B:B = G4584, Templates!C:C = H4584), ""{{}}"", E4584), B4584)"),"Vendre maison Arosa: Trouvez le bien immobilier qui correspond idéalement à vos désirs sur ImmoScout24 - La plateforme de l'immobilier en Suisse.")</f>
        <v>Vendre maison Arosa: Trouvez le bien immobilier qui correspond idéalement à vos désirs sur ImmoScout24 - La plateforme de l'immobilier en Suisse.</v>
      </c>
    </row>
    <row r="4585" hidden="1">
      <c r="A4585" s="5" t="s">
        <v>12270</v>
      </c>
      <c r="B4585" s="2" t="s">
        <v>12271</v>
      </c>
      <c r="C4585" s="2" t="s">
        <v>12271</v>
      </c>
      <c r="D4585" s="4" t="str">
        <f>vlookup(A4585, Sheet2!D:E, 2, 0)</f>
        <v>control</v>
      </c>
      <c r="E4585" s="4" t="str">
        <f>IFERROR(__xludf.DUMMYFUNCTION("if(H4585=""pays"",vlookup(REGEXEXTRACT(C4585, ""🏘️ \w+ \w+ (.*) ✅""),'Country prepositions'!A:B, 2, 0) &amp; "" "" &amp; REGEXEXTRACT(C4585, ""🏘️ \w+ \w+ (.*) ✅"") ,  if(H4585=""quartier"",vlookup(REGEXEXTRACT(C4585, ""🏘️ \w+ \w+ (.*) ✅""),'Quartier prepositio"&amp;"ns'!A:E, 5, 0) ,  if(H4585=""region"",vlookup(REGEXEXTRACT(C4585, ""🏘️ \w+ \w+ (.*) ✅""),'Region prepositions'!B:F, 5, 0),  REGEXEXTRACT(C4585, ""🏘️ \w+ \w+ (.*) ✅""))))"),"#N/A")</f>
        <v>#N/A</v>
      </c>
      <c r="I4585" s="4" t="str">
        <f>IFERROR(__xludf.DUMMYFUNCTION("if(D4585=""variant"",  substitute(filter(Templates!E:E, Templates!A:A = F4585, Templates!B:B = G4585, Templates!C:C = H4585), ""{{}}"", E4585), B4585)"),"Louer appartement Tägerwilen: Trouvez le bien immobilier qui correspond idéalement à vos désirs sur ImmoScout24 - La plateforme de l'immobilier en Suisse.")</f>
        <v>Louer appartement Tägerwilen: Trouvez le bien immobilier qui correspond idéalement à vos désirs sur ImmoScout24 - La plateforme de l'immobilier en Suisse.</v>
      </c>
    </row>
    <row r="4586" hidden="1">
      <c r="A4586" s="5" t="s">
        <v>12272</v>
      </c>
      <c r="B4586" s="2" t="s">
        <v>12273</v>
      </c>
      <c r="C4586" s="2" t="s">
        <v>12273</v>
      </c>
      <c r="D4586" s="4" t="str">
        <f>vlookup(A4586, Sheet2!D:E, 2, 0)</f>
        <v>control</v>
      </c>
      <c r="E4586" s="4" t="str">
        <f>IFERROR(__xludf.DUMMYFUNCTION("if(H4586=""pays"",vlookup(REGEXEXTRACT(C4586, ""🏘️ \w+ \w+ (.*) ✅""),'Country prepositions'!A:B, 2, 0) &amp; "" "" &amp; REGEXEXTRACT(C4586, ""🏘️ \w+ \w+ (.*) ✅"") ,  if(H4586=""quartier"",vlookup(REGEXEXTRACT(C4586, ""🏘️ \w+ \w+ (.*) ✅""),'Quartier prepositio"&amp;"ns'!A:E, 5, 0) ,  if(H4586=""region"",vlookup(REGEXEXTRACT(C4586, ""🏘️ \w+ \w+ (.*) ✅""),'Region prepositions'!B:F, 5, 0),  REGEXEXTRACT(C4586, ""🏘️ \w+ \w+ (.*) ✅""))))"),"#N/A")</f>
        <v>#N/A</v>
      </c>
      <c r="I4586" s="4" t="str">
        <f>IFERROR(__xludf.DUMMYFUNCTION("if(D4586=""variant"",  substitute(filter(Templates!E:E, Templates!A:A = F4586, Templates!B:B = G4586, Templates!C:C = H4586), ""{{}}"", E4586), B4586)"),"Louer maison Bülach: Trouvez le bien immobilier qui correspond idéalement à vos désirs sur ImmoScout24 - La plateforme de l'immobilier en Suisse.")</f>
        <v>Louer maison Bülach: Trouvez le bien immobilier qui correspond idéalement à vos désirs sur ImmoScout24 - La plateforme de l'immobilier en Suisse.</v>
      </c>
    </row>
    <row r="4587" hidden="1">
      <c r="A4587" s="5" t="s">
        <v>12274</v>
      </c>
      <c r="B4587" s="2" t="s">
        <v>12275</v>
      </c>
      <c r="C4587" s="2" t="s">
        <v>12275</v>
      </c>
      <c r="D4587" s="4" t="str">
        <f>vlookup(A4587, Sheet2!D:E, 2, 0)</f>
        <v>control</v>
      </c>
      <c r="E4587" s="4" t="str">
        <f>IFERROR(__xludf.DUMMYFUNCTION("if(H4587=""pays"",vlookup(REGEXEXTRACT(C4587, ""🏘️ \w+ \w+ (.*) ✅""),'Country prepositions'!A:B, 2, 0) &amp; "" "" &amp; REGEXEXTRACT(C4587, ""🏘️ \w+ \w+ (.*) ✅"") ,  if(H4587=""quartier"",vlookup(REGEXEXTRACT(C4587, ""🏘️ \w+ \w+ (.*) ✅""),'Quartier prepositio"&amp;"ns'!A:E, 5, 0) ,  if(H4587=""region"",vlookup(REGEXEXTRACT(C4587, ""🏘️ \w+ \w+ (.*) ✅""),'Region prepositions'!B:F, 5, 0),  REGEXEXTRACT(C4587, ""🏘️ \w+ \w+ (.*) ✅""))))"),"#N/A")</f>
        <v>#N/A</v>
      </c>
      <c r="I4587" s="4" t="str">
        <f>IFERROR(__xludf.DUMMYFUNCTION("if(D4587=""variant"",  substitute(filter(Templates!E:E, Templates!A:A = F4587, Templates!B:B = G4587, Templates!C:C = H4587), ""{{}}"", E4587), B4587)"),"Louer appartement Luins: Trouvez le bien immobilier qui correspond idéalement à vos désirs sur ImmoScout24 - La plateforme de l'immobilier en Suisse.")</f>
        <v>Louer appartement Luins: Trouvez le bien immobilier qui correspond idéalement à vos désirs sur ImmoScout24 - La plateforme de l'immobilier en Suisse.</v>
      </c>
    </row>
    <row r="4588" hidden="1">
      <c r="A4588" s="5" t="s">
        <v>12276</v>
      </c>
      <c r="B4588" s="2" t="s">
        <v>12277</v>
      </c>
      <c r="C4588" s="2" t="s">
        <v>12277</v>
      </c>
      <c r="D4588" s="4" t="str">
        <f>vlookup(A4588, Sheet2!D:E, 2, 0)</f>
        <v>control</v>
      </c>
      <c r="E4588" s="4" t="str">
        <f>IFERROR(__xludf.DUMMYFUNCTION("if(H4588=""pays"",vlookup(REGEXEXTRACT(C4588, ""🏘️ \w+ \w+ (.*) ✅""),'Country prepositions'!A:B, 2, 0) &amp; "" "" &amp; REGEXEXTRACT(C4588, ""🏘️ \w+ \w+ (.*) ✅"") ,  if(H4588=""quartier"",vlookup(REGEXEXTRACT(C4588, ""🏘️ \w+ \w+ (.*) ✅""),'Quartier prepositio"&amp;"ns'!A:E, 5, 0) ,  if(H4588=""region"",vlookup(REGEXEXTRACT(C4588, ""🏘️ \w+ \w+ (.*) ✅""),'Region prepositions'!B:F, 5, 0),  REGEXEXTRACT(C4588, ""🏘️ \w+ \w+ (.*) ✅""))))"),"#N/A")</f>
        <v>#N/A</v>
      </c>
      <c r="I4588" s="4" t="str">
        <f>IFERROR(__xludf.DUMMYFUNCTION("if(D4588=""variant"",  substitute(filter(Templates!E:E, Templates!A:A = F4588, Templates!B:B = G4588, Templates!C:C = H4588), ""{{}}"", E4588), B4588)"),"Vendre maison Eplatures-Crêt du Locle (La Chaux-de-Fonds): Trouvez le bien immobilier qui correspond idéalement à vos désirs sur ImmoScout24 - La plateforme de l'immobilier en Suisse.")</f>
        <v>Vendre maison Eplatures-Crêt du Locle (La Chaux-de-Fonds): Trouvez le bien immobilier qui correspond idéalement à vos désirs sur ImmoScout24 - La plateforme de l'immobilier en Suisse.</v>
      </c>
    </row>
    <row r="4589" hidden="1">
      <c r="A4589" s="5" t="s">
        <v>12278</v>
      </c>
      <c r="B4589" s="2" t="s">
        <v>12279</v>
      </c>
      <c r="C4589" s="2" t="s">
        <v>12279</v>
      </c>
      <c r="D4589" s="4" t="str">
        <f>vlookup(A4589, Sheet2!D:E, 2, 0)</f>
        <v>control</v>
      </c>
      <c r="E4589" s="4" t="str">
        <f>IFERROR(__xludf.DUMMYFUNCTION("if(H4589=""pays"",vlookup(REGEXEXTRACT(C4589, ""🏘️ \w+ \w+ (.*) ✅""),'Country prepositions'!A:B, 2, 0) &amp; "" "" &amp; REGEXEXTRACT(C4589, ""🏘️ \w+ \w+ (.*) ✅"") ,  if(H4589=""quartier"",vlookup(REGEXEXTRACT(C4589, ""🏘️ \w+ \w+ (.*) ✅""),'Quartier prepositio"&amp;"ns'!A:E, 5, 0) ,  if(H4589=""region"",vlookup(REGEXEXTRACT(C4589, ""🏘️ \w+ \w+ (.*) ✅""),'Region prepositions'!B:F, 5, 0),  REGEXEXTRACT(C4589, ""🏘️ \w+ \w+ (.*) ✅""))))"),"#N/A")</f>
        <v>#N/A</v>
      </c>
      <c r="I4589" s="4" t="str">
        <f>IFERROR(__xludf.DUMMYFUNCTION("if(D4589=""variant"",  substitute(filter(Templates!E:E, Templates!A:A = F4589, Templates!B:B = G4589, Templates!C:C = H4589), ""{{}}"", E4589), B4589)"),"Louer maison Cournillens: Trouvez le bien immobilier qui correspond idéalement à vos désirs sur ImmoScout24 - La plateforme de l'immobilier en Suisse.")</f>
        <v>Louer maison Cournillens: Trouvez le bien immobilier qui correspond idéalement à vos désirs sur ImmoScout24 - La plateforme de l'immobilier en Suisse.</v>
      </c>
    </row>
    <row r="4590" hidden="1">
      <c r="A4590" s="5" t="s">
        <v>12280</v>
      </c>
      <c r="B4590" s="2" t="s">
        <v>12281</v>
      </c>
      <c r="C4590" s="2" t="s">
        <v>12281</v>
      </c>
      <c r="D4590" s="4" t="str">
        <f>vlookup(A4590, Sheet2!D:E, 2, 0)</f>
        <v>control</v>
      </c>
      <c r="E4590" s="4" t="str">
        <f>IFERROR(__xludf.DUMMYFUNCTION("if(H4590=""pays"",vlookup(REGEXEXTRACT(C4590, ""🏘️ \w+ \w+ (.*) ✅""),'Country prepositions'!A:B, 2, 0) &amp; "" "" &amp; REGEXEXTRACT(C4590, ""🏘️ \w+ \w+ (.*) ✅"") ,  if(H4590=""quartier"",vlookup(REGEXEXTRACT(C4590, ""🏘️ \w+ \w+ (.*) ✅""),'Quartier prepositio"&amp;"ns'!A:E, 5, 0) ,  if(H4590=""region"",vlookup(REGEXEXTRACT(C4590, ""🏘️ \w+ \w+ (.*) ✅""),'Region prepositions'!B:F, 5, 0),  REGEXEXTRACT(C4590, ""🏘️ \w+ \w+ (.*) ✅""))))"),"#N/A")</f>
        <v>#N/A</v>
      </c>
      <c r="I4590" s="4" t="str">
        <f>IFERROR(__xludf.DUMMYFUNCTION("if(D4590=""variant"",  substitute(filter(Templates!E:E, Templates!A:A = F4590, Templates!B:B = G4590, Templates!C:C = H4590), ""{{}}"", E4590), B4590)"),"Vendre appartement Schönried: Trouvez le bien immobilier qui correspond idéalement à vos désirs sur ImmoScout24 - La plateforme de l'immobilier en Suisse.")</f>
        <v>Vendre appartement Schönried: Trouvez le bien immobilier qui correspond idéalement à vos désirs sur ImmoScout24 - La plateforme de l'immobilier en Suisse.</v>
      </c>
    </row>
    <row r="4591" hidden="1">
      <c r="A4591" s="5" t="s">
        <v>12282</v>
      </c>
      <c r="B4591" s="2" t="s">
        <v>12283</v>
      </c>
      <c r="C4591" s="2" t="s">
        <v>12283</v>
      </c>
      <c r="D4591" s="4" t="str">
        <f>vlookup(A4591, Sheet2!D:E, 2, 0)</f>
        <v>control</v>
      </c>
      <c r="E4591" s="4" t="str">
        <f>IFERROR(__xludf.DUMMYFUNCTION("if(H4591=""pays"",vlookup(REGEXEXTRACT(C4591, ""🏘️ \w+ \w+ (.*) ✅""),'Country prepositions'!A:B, 2, 0) &amp; "" "" &amp; REGEXEXTRACT(C4591, ""🏘️ \w+ \w+ (.*) ✅"") ,  if(H4591=""quartier"",vlookup(REGEXEXTRACT(C4591, ""🏘️ \w+ \w+ (.*) ✅""),'Quartier prepositio"&amp;"ns'!A:E, 5, 0) ,  if(H4591=""region"",vlookup(REGEXEXTRACT(C4591, ""🏘️ \w+ \w+ (.*) ✅""),'Region prepositions'!B:F, 5, 0),  REGEXEXTRACT(C4591, ""🏘️ \w+ \w+ (.*) ✅""))))"),"#N/A")</f>
        <v>#N/A</v>
      </c>
      <c r="I4591" s="4" t="str">
        <f>IFERROR(__xludf.DUMMYFUNCTION("if(D4591=""variant"",  substitute(filter(Templates!E:E, Templates!A:A = F4591, Templates!B:B = G4591, Templates!C:C = H4591), ""{{}}"", E4591), B4591)"),"Vendre maison Ayent: Trouvez le bien immobilier qui correspond idéalement à vos désirs sur ImmoScout24 - La plateforme de l'immobilier en Suisse.")</f>
        <v>Vendre maison Ayent: Trouvez le bien immobilier qui correspond idéalement à vos désirs sur ImmoScout24 - La plateforme de l'immobilier en Suisse.</v>
      </c>
    </row>
    <row r="4592" hidden="1">
      <c r="A4592" s="5" t="s">
        <v>12284</v>
      </c>
      <c r="B4592" s="2" t="s">
        <v>12285</v>
      </c>
      <c r="C4592" s="2" t="s">
        <v>12285</v>
      </c>
      <c r="D4592" s="4" t="str">
        <f>vlookup(A4592, Sheet2!D:E, 2, 0)</f>
        <v>control</v>
      </c>
      <c r="E4592" s="4" t="str">
        <f>IFERROR(__xludf.DUMMYFUNCTION("if(H4592=""pays"",vlookup(REGEXEXTRACT(C4592, ""🏘️ \w+ \w+ (.*) ✅""),'Country prepositions'!A:B, 2, 0) &amp; "" "" &amp; REGEXEXTRACT(C4592, ""🏘️ \w+ \w+ (.*) ✅"") ,  if(H4592=""quartier"",vlookup(REGEXEXTRACT(C4592, ""🏘️ \w+ \w+ (.*) ✅""),'Quartier prepositio"&amp;"ns'!A:E, 5, 0) ,  if(H4592=""region"",vlookup(REGEXEXTRACT(C4592, ""🏘️ \w+ \w+ (.*) ✅""),'Region prepositions'!B:F, 5, 0),  REGEXEXTRACT(C4592, ""🏘️ \w+ \w+ (.*) ✅""))))"),"#N/A")</f>
        <v>#N/A</v>
      </c>
      <c r="I4592" s="4" t="str">
        <f>IFERROR(__xludf.DUMMYFUNCTION("if(D4592=""variant"",  substitute(filter(Templates!E:E, Templates!A:A = F4592, Templates!B:B = G4592, Templates!C:C = H4592), ""{{}}"", E4592), B4592)"),"Louer maison Choëx: Trouvez le bien immobilier qui correspond idéalement à vos désirs sur ImmoScout24 - La plateforme de l'immobilier en Suisse.")</f>
        <v>Louer maison Choëx: Trouvez le bien immobilier qui correspond idéalement à vos désirs sur ImmoScout24 - La plateforme de l'immobilier en Suisse.</v>
      </c>
    </row>
    <row r="4593" hidden="1">
      <c r="A4593" s="5" t="s">
        <v>12286</v>
      </c>
      <c r="B4593" s="2" t="s">
        <v>12287</v>
      </c>
      <c r="C4593" s="2" t="s">
        <v>12287</v>
      </c>
      <c r="D4593" s="4" t="str">
        <f>vlookup(A4593, Sheet2!D:E, 2, 0)</f>
        <v>control</v>
      </c>
      <c r="E4593" s="4" t="str">
        <f>IFERROR(__xludf.DUMMYFUNCTION("if(H4593=""pays"",vlookup(REGEXEXTRACT(C4593, ""🏘️ \w+ \w+ (.*) ✅""),'Country prepositions'!A:B, 2, 0) &amp; "" "" &amp; REGEXEXTRACT(C4593, ""🏘️ \w+ \w+ (.*) ✅"") ,  if(H4593=""quartier"",vlookup(REGEXEXTRACT(C4593, ""🏘️ \w+ \w+ (.*) ✅""),'Quartier prepositio"&amp;"ns'!A:E, 5, 0) ,  if(H4593=""region"",vlookup(REGEXEXTRACT(C4593, ""🏘️ \w+ \w+ (.*) ✅""),'Region prepositions'!B:F, 5, 0),  REGEXEXTRACT(C4593, ""🏘️ \w+ \w+ (.*) ✅""))))"),"#N/A")</f>
        <v>#N/A</v>
      </c>
      <c r="I4593" s="4" t="str">
        <f>IFERROR(__xludf.DUMMYFUNCTION("if(D4593=""variant"",  substitute(filter(Templates!E:E, Templates!A:A = F4593, Templates!B:B = G4593, Templates!C:C = H4593), ""{{}}"", E4593), B4593)"),"Vendre appartement Ballaigues: Trouvez le bien immobilier qui correspond idéalement à vos désirs sur ImmoScout24 - La plateforme de l'immobilier en Suisse.")</f>
        <v>Vendre appartement Ballaigues: Trouvez le bien immobilier qui correspond idéalement à vos désirs sur ImmoScout24 - La plateforme de l'immobilier en Suisse.</v>
      </c>
    </row>
    <row r="4594" hidden="1">
      <c r="A4594" s="5" t="s">
        <v>12288</v>
      </c>
      <c r="B4594" s="2" t="s">
        <v>12289</v>
      </c>
      <c r="C4594" s="2" t="s">
        <v>12289</v>
      </c>
      <c r="D4594" s="4" t="str">
        <f>vlookup(A4594, Sheet2!D:E, 2, 0)</f>
        <v>control</v>
      </c>
      <c r="E4594" s="4" t="str">
        <f>IFERROR(__xludf.DUMMYFUNCTION("if(H4594=""pays"",vlookup(REGEXEXTRACT(C4594, ""🏘️ \w+ \w+ (.*) ✅""),'Country prepositions'!A:B, 2, 0) &amp; "" "" &amp; REGEXEXTRACT(C4594, ""🏘️ \w+ \w+ (.*) ✅"") ,  if(H4594=""quartier"",vlookup(REGEXEXTRACT(C4594, ""🏘️ \w+ \w+ (.*) ✅""),'Quartier prepositio"&amp;"ns'!A:E, 5, 0) ,  if(H4594=""region"",vlookup(REGEXEXTRACT(C4594, ""🏘️ \w+ \w+ (.*) ✅""),'Region prepositions'!B:F, 5, 0),  REGEXEXTRACT(C4594, ""🏘️ \w+ \w+ (.*) ✅""))))"),"#N/A")</f>
        <v>#N/A</v>
      </c>
      <c r="I4594" s="4" t="str">
        <f>IFERROR(__xludf.DUMMYFUNCTION("if(D4594=""variant"",  substitute(filter(Templates!E:E, Templates!A:A = F4594, Templates!B:B = G4594, Templates!C:C = H4594), ""{{}}"", E4594), B4594)"),"Louer appartement Lentigny: Trouvez le bien immobilier qui correspond idéalement à vos désirs sur ImmoScout24 - La plateforme de l'immobilier en Suisse.")</f>
        <v>Louer appartement Lentigny: Trouvez le bien immobilier qui correspond idéalement à vos désirs sur ImmoScout24 - La plateforme de l'immobilier en Suisse.</v>
      </c>
    </row>
    <row r="4595" hidden="1">
      <c r="A4595" s="5" t="s">
        <v>12290</v>
      </c>
      <c r="B4595" s="2" t="s">
        <v>12291</v>
      </c>
      <c r="C4595" s="2" t="s">
        <v>12291</v>
      </c>
      <c r="D4595" s="4" t="str">
        <f>vlookup(A4595, Sheet2!D:E, 2, 0)</f>
        <v>control</v>
      </c>
      <c r="E4595" s="4" t="str">
        <f>IFERROR(__xludf.DUMMYFUNCTION("if(H4595=""pays"",vlookup(REGEXEXTRACT(C4595, ""🏘️ \w+ \w+ (.*) ✅""),'Country prepositions'!A:B, 2, 0) &amp; "" "" &amp; REGEXEXTRACT(C4595, ""🏘️ \w+ \w+ (.*) ✅"") ,  if(H4595=""quartier"",vlookup(REGEXEXTRACT(C4595, ""🏘️ \w+ \w+ (.*) ✅""),'Quartier prepositio"&amp;"ns'!A:E, 5, 0) ,  if(H4595=""region"",vlookup(REGEXEXTRACT(C4595, ""🏘️ \w+ \w+ (.*) ✅""),'Region prepositions'!B:F, 5, 0),  REGEXEXTRACT(C4595, ""🏘️ \w+ \w+ (.*) ✅""))))"),"#N/A")</f>
        <v>#N/A</v>
      </c>
      <c r="I4595" s="4" t="str">
        <f>IFERROR(__xludf.DUMMYFUNCTION("if(D4595=""variant"",  substitute(filter(Templates!E:E, Templates!A:A = F4595, Templates!B:B = G4595, Templates!C:C = H4595), ""{{}}"", E4595), B4595)"),"Louer maison Büren an der Aare: Trouvez le bien immobilier qui correspond idéalement à vos désirs sur ImmoScout24 - La plateforme de l'immobilier en Suisse.")</f>
        <v>Louer maison Büren an der Aare: Trouvez le bien immobilier qui correspond idéalement à vos désirs sur ImmoScout24 - La plateforme de l'immobilier en Suisse.</v>
      </c>
    </row>
    <row r="4596" hidden="1">
      <c r="A4596" s="5" t="s">
        <v>12292</v>
      </c>
      <c r="B4596" s="2" t="s">
        <v>12293</v>
      </c>
      <c r="C4596" s="2" t="s">
        <v>12293</v>
      </c>
      <c r="D4596" s="4" t="str">
        <f>vlookup(A4596, Sheet2!D:E, 2, 0)</f>
        <v>control</v>
      </c>
      <c r="E4596" s="4" t="str">
        <f>IFERROR(__xludf.DUMMYFUNCTION("if(H4596=""pays"",vlookup(REGEXEXTRACT(C4596, ""🏘️ \w+ \w+ (.*) ✅""),'Country prepositions'!A:B, 2, 0) &amp; "" "" &amp; REGEXEXTRACT(C4596, ""🏘️ \w+ \w+ (.*) ✅"") ,  if(H4596=""quartier"",vlookup(REGEXEXTRACT(C4596, ""🏘️ \w+ \w+ (.*) ✅""),'Quartier prepositio"&amp;"ns'!A:E, 5, 0) ,  if(H4596=""region"",vlookup(REGEXEXTRACT(C4596, ""🏘️ \w+ \w+ (.*) ✅""),'Region prepositions'!B:F, 5, 0),  REGEXEXTRACT(C4596, ""🏘️ \w+ \w+ (.*) ✅""))))"),"#N/A")</f>
        <v>#N/A</v>
      </c>
      <c r="I4596" s="4" t="str">
        <f>IFERROR(__xludf.DUMMYFUNCTION("if(D4596=""variant"",  substitute(filter(Templates!E:E, Templates!A:A = F4596, Templates!B:B = G4596, Templates!C:C = H4596), ""{{}}"", E4596), B4596)"),"Vendre appartement Bôle: Trouvez le bien immobilier qui correspond idéalement à vos désirs sur ImmoScout24 - La plateforme de l'immobilier en Suisse.")</f>
        <v>Vendre appartement Bôle: Trouvez le bien immobilier qui correspond idéalement à vos désirs sur ImmoScout24 - La plateforme de l'immobilier en Suisse.</v>
      </c>
    </row>
    <row r="4597" hidden="1">
      <c r="A4597" s="5" t="s">
        <v>12294</v>
      </c>
      <c r="B4597" s="2" t="s">
        <v>12295</v>
      </c>
      <c r="C4597" s="2" t="s">
        <v>12295</v>
      </c>
      <c r="D4597" s="4" t="str">
        <f>vlookup(A4597, Sheet2!D:E, 2, 0)</f>
        <v>control</v>
      </c>
      <c r="E4597" s="4" t="str">
        <f>IFERROR(__xludf.DUMMYFUNCTION("if(H4597=""pays"",vlookup(REGEXEXTRACT(C4597, ""🏘️ \w+ \w+ (.*) ✅""),'Country prepositions'!A:B, 2, 0) &amp; "" "" &amp; REGEXEXTRACT(C4597, ""🏘️ \w+ \w+ (.*) ✅"") ,  if(H4597=""quartier"",vlookup(REGEXEXTRACT(C4597, ""🏘️ \w+ \w+ (.*) ✅""),'Quartier prepositio"&amp;"ns'!A:E, 5, 0) ,  if(H4597=""region"",vlookup(REGEXEXTRACT(C4597, ""🏘️ \w+ \w+ (.*) ✅""),'Region prepositions'!B:F, 5, 0),  REGEXEXTRACT(C4597, ""🏘️ \w+ \w+ (.*) ✅""))))"),"#N/A")</f>
        <v>#N/A</v>
      </c>
      <c r="I4597" s="4" t="str">
        <f>IFERROR(__xludf.DUMMYFUNCTION("if(D4597=""variant"",  substitute(filter(Templates!E:E, Templates!A:A = F4597, Templates!B:B = G4597, Templates!C:C = H4597), ""{{}}"", E4597), B4597)"),"Vendre maison Courtételle: Trouvez le bien immobilier qui correspond idéalement à vos désirs sur ImmoScout24 - La plateforme de l'immobilier en Suisse.")</f>
        <v>Vendre maison Courtételle: Trouvez le bien immobilier qui correspond idéalement à vos désirs sur ImmoScout24 - La plateforme de l'immobilier en Suisse.</v>
      </c>
    </row>
    <row r="4598" hidden="1">
      <c r="A4598" s="5" t="s">
        <v>12296</v>
      </c>
      <c r="B4598" s="2" t="s">
        <v>12297</v>
      </c>
      <c r="C4598" s="2" t="s">
        <v>12297</v>
      </c>
      <c r="D4598" s="4" t="str">
        <f>vlookup(A4598, Sheet2!D:E, 2, 0)</f>
        <v>control</v>
      </c>
      <c r="E4598" s="4" t="str">
        <f>IFERROR(__xludf.DUMMYFUNCTION("if(H4598=""pays"",vlookup(REGEXEXTRACT(C4598, ""🏘️ \w+ \w+ (.*) ✅""),'Country prepositions'!A:B, 2, 0) &amp; "" "" &amp; REGEXEXTRACT(C4598, ""🏘️ \w+ \w+ (.*) ✅"") ,  if(H4598=""quartier"",vlookup(REGEXEXTRACT(C4598, ""🏘️ \w+ \w+ (.*) ✅""),'Quartier prepositio"&amp;"ns'!A:E, 5, 0) ,  if(H4598=""region"",vlookup(REGEXEXTRACT(C4598, ""🏘️ \w+ \w+ (.*) ✅""),'Region prepositions'!B:F, 5, 0),  REGEXEXTRACT(C4598, ""🏘️ \w+ \w+ (.*) ✅""))))"),"#N/A")</f>
        <v>#N/A</v>
      </c>
      <c r="I4598" s="4" t="str">
        <f>IFERROR(__xludf.DUMMYFUNCTION("if(D4598=""variant"",  substitute(filter(Templates!E:E, Templates!A:A = F4598, Templates!B:B = G4598, Templates!C:C = H4598), ""{{}}"", E4598), B4598)"),"Vendre maison Barberêche: Trouvez le bien immobilier qui correspond idéalement à vos désirs sur ImmoScout24 - La plateforme de l'immobilier en Suisse.")</f>
        <v>Vendre maison Barberêche: Trouvez le bien immobilier qui correspond idéalement à vos désirs sur ImmoScout24 - La plateforme de l'immobilier en Suisse.</v>
      </c>
    </row>
    <row r="4599" hidden="1">
      <c r="A4599" s="5" t="s">
        <v>12298</v>
      </c>
      <c r="B4599" s="2" t="s">
        <v>12299</v>
      </c>
      <c r="C4599" s="2" t="s">
        <v>12299</v>
      </c>
      <c r="D4599" s="4" t="str">
        <f>vlookup(A4599, Sheet2!D:E, 2, 0)</f>
        <v>control</v>
      </c>
      <c r="E4599" s="4" t="str">
        <f>IFERROR(__xludf.DUMMYFUNCTION("if(H4599=""pays"",vlookup(REGEXEXTRACT(C4599, ""🏘️ \w+ \w+ (.*) ✅""),'Country prepositions'!A:B, 2, 0) &amp; "" "" &amp; REGEXEXTRACT(C4599, ""🏘️ \w+ \w+ (.*) ✅"") ,  if(H4599=""quartier"",vlookup(REGEXEXTRACT(C4599, ""🏘️ \w+ \w+ (.*) ✅""),'Quartier prepositio"&amp;"ns'!A:E, 5, 0) ,  if(H4599=""region"",vlookup(REGEXEXTRACT(C4599, ""🏘️ \w+ \w+ (.*) ✅""),'Region prepositions'!B:F, 5, 0),  REGEXEXTRACT(C4599, ""🏘️ \w+ \w+ (.*) ✅""))))"),"#N/A")</f>
        <v>#N/A</v>
      </c>
      <c r="I4599" s="4" t="str">
        <f>IFERROR(__xludf.DUMMYFUNCTION("if(D4599=""variant"",  substitute(filter(Templates!E:E, Templates!A:A = F4599, Templates!B:B = G4599, Templates!C:C = H4599), ""{{}}"", E4599), B4599)"),"Vendre maison Endingen: Trouvez le bien immobilier qui correspond idéalement à vos désirs sur ImmoScout24 - La plateforme de l'immobilier en Suisse.")</f>
        <v>Vendre maison Endingen: Trouvez le bien immobilier qui correspond idéalement à vos désirs sur ImmoScout24 - La plateforme de l'immobilier en Suisse.</v>
      </c>
    </row>
    <row r="4600" hidden="1">
      <c r="A4600" s="5" t="s">
        <v>12300</v>
      </c>
      <c r="B4600" s="2" t="s">
        <v>12301</v>
      </c>
      <c r="C4600" s="2" t="s">
        <v>12301</v>
      </c>
      <c r="D4600" s="4" t="str">
        <f>vlookup(A4600, Sheet2!D:E, 2, 0)</f>
        <v>control</v>
      </c>
      <c r="E4600" s="4" t="str">
        <f>IFERROR(__xludf.DUMMYFUNCTION("if(H4600=""pays"",vlookup(REGEXEXTRACT(C4600, ""🏘️ \w+ \w+ (.*) ✅""),'Country prepositions'!A:B, 2, 0) &amp; "" "" &amp; REGEXEXTRACT(C4600, ""🏘️ \w+ \w+ (.*) ✅"") ,  if(H4600=""quartier"",vlookup(REGEXEXTRACT(C4600, ""🏘️ \w+ \w+ (.*) ✅""),'Quartier prepositio"&amp;"ns'!A:E, 5, 0) ,  if(H4600=""region"",vlookup(REGEXEXTRACT(C4600, ""🏘️ \w+ \w+ (.*) ✅""),'Region prepositions'!B:F, 5, 0),  REGEXEXTRACT(C4600, ""🏘️ \w+ \w+ (.*) ✅""))))"),"#N/A")</f>
        <v>#N/A</v>
      </c>
      <c r="I4600" s="4" t="str">
        <f>IFERROR(__xludf.DUMMYFUNCTION("if(D4600=""variant"",  substitute(filter(Templates!E:E, Templates!A:A = F4600, Templates!B:B = G4600, Templates!C:C = H4600), ""{{}}"", E4600), B4600)"),"Vendre appartement Witikon (Zurich): Trouvez le bien immobilier qui correspond idéalement à vos désirs sur ImmoScout24 - La plateforme de l'immobilier en Suisse.")</f>
        <v>Vendre appartement Witikon (Zurich): Trouvez le bien immobilier qui correspond idéalement à vos désirs sur ImmoScout24 - La plateforme de l'immobilier en Suisse.</v>
      </c>
    </row>
    <row r="4601" hidden="1">
      <c r="A4601" s="5" t="s">
        <v>12302</v>
      </c>
      <c r="B4601" s="2" t="s">
        <v>12303</v>
      </c>
      <c r="C4601" s="2" t="s">
        <v>12303</v>
      </c>
      <c r="D4601" s="4" t="str">
        <f>vlookup(A4601, Sheet2!D:E, 2, 0)</f>
        <v>control</v>
      </c>
      <c r="E4601" s="4" t="str">
        <f>IFERROR(__xludf.DUMMYFUNCTION("if(H4601=""pays"",vlookup(REGEXEXTRACT(C4601, ""🏘️ \w+ \w+ (.*) ✅""),'Country prepositions'!A:B, 2, 0) &amp; "" "" &amp; REGEXEXTRACT(C4601, ""🏘️ \w+ \w+ (.*) ✅"") ,  if(H4601=""quartier"",vlookup(REGEXEXTRACT(C4601, ""🏘️ \w+ \w+ (.*) ✅""),'Quartier prepositio"&amp;"ns'!A:E, 5, 0) ,  if(H4601=""region"",vlookup(REGEXEXTRACT(C4601, ""🏘️ \w+ \w+ (.*) ✅""),'Region prepositions'!B:F, 5, 0),  REGEXEXTRACT(C4601, ""🏘️ \w+ \w+ (.*) ✅""))))"),"#N/A")</f>
        <v>#N/A</v>
      </c>
      <c r="I4601" s="4" t="str">
        <f>IFERROR(__xludf.DUMMYFUNCTION("if(D4601=""variant"",  substitute(filter(Templates!E:E, Templates!A:A = F4601, Templates!B:B = G4601, Templates!C:C = H4601), ""{{}}"", E4601), B4601)"),"Louer maison Vallon: Trouvez le bien immobilier qui correspond idéalement à vos désirs sur ImmoScout24 - La plateforme de l'immobilier en Suisse.")</f>
        <v>Louer maison Vallon: Trouvez le bien immobilier qui correspond idéalement à vos désirs sur ImmoScout24 - La plateforme de l'immobilier en Suisse.</v>
      </c>
    </row>
    <row r="4602" hidden="1">
      <c r="A4602" s="5" t="s">
        <v>12304</v>
      </c>
      <c r="B4602" s="2" t="s">
        <v>12305</v>
      </c>
      <c r="C4602" s="2" t="s">
        <v>12305</v>
      </c>
      <c r="D4602" s="4" t="str">
        <f>vlookup(A4602, Sheet2!D:E, 2, 0)</f>
        <v>control</v>
      </c>
      <c r="E4602" s="4" t="str">
        <f>IFERROR(__xludf.DUMMYFUNCTION("if(H4602=""pays"",vlookup(REGEXEXTRACT(C4602, ""🏘️ \w+ \w+ (.*) ✅""),'Country prepositions'!A:B, 2, 0) &amp; "" "" &amp; REGEXEXTRACT(C4602, ""🏘️ \w+ \w+ (.*) ✅"") ,  if(H4602=""quartier"",vlookup(REGEXEXTRACT(C4602, ""🏘️ \w+ \w+ (.*) ✅""),'Quartier prepositio"&amp;"ns'!A:E, 5, 0) ,  if(H4602=""region"",vlookup(REGEXEXTRACT(C4602, ""🏘️ \w+ \w+ (.*) ✅""),'Region prepositions'!B:F, 5, 0),  REGEXEXTRACT(C4602, ""🏘️ \w+ \w+ (.*) ✅""))))"),"#N/A")</f>
        <v>#N/A</v>
      </c>
      <c r="I4602" s="4" t="str">
        <f>IFERROR(__xludf.DUMMYFUNCTION("if(D4602=""variant"",  substitute(filter(Templates!E:E, Templates!A:A = F4602, Templates!B:B = G4602, Templates!C:C = H4602), ""{{}}"", E4602), B4602)"),"Vendre maison Lovatens: Trouvez le bien immobilier qui correspond idéalement à vos désirs sur ImmoScout24 - La plateforme de l'immobilier en Suisse.")</f>
        <v>Vendre maison Lovatens: Trouvez le bien immobilier qui correspond idéalement à vos désirs sur ImmoScout24 - La plateforme de l'immobilier en Suisse.</v>
      </c>
    </row>
    <row r="4603" hidden="1">
      <c r="A4603" s="5" t="s">
        <v>12306</v>
      </c>
      <c r="B4603" s="2" t="s">
        <v>12307</v>
      </c>
      <c r="C4603" s="2" t="s">
        <v>12307</v>
      </c>
      <c r="D4603" s="4" t="str">
        <f>vlookup(A4603, Sheet2!D:E, 2, 0)</f>
        <v>control</v>
      </c>
      <c r="E4603" s="4" t="str">
        <f>IFERROR(__xludf.DUMMYFUNCTION("if(H4603=""pays"",vlookup(REGEXEXTRACT(C4603, ""🏘️ \w+ \w+ (.*) ✅""),'Country prepositions'!A:B, 2, 0) &amp; "" "" &amp; REGEXEXTRACT(C4603, ""🏘️ \w+ \w+ (.*) ✅"") ,  if(H4603=""quartier"",vlookup(REGEXEXTRACT(C4603, ""🏘️ \w+ \w+ (.*) ✅""),'Quartier prepositio"&amp;"ns'!A:E, 5, 0) ,  if(H4603=""region"",vlookup(REGEXEXTRACT(C4603, ""🏘️ \w+ \w+ (.*) ✅""),'Region prepositions'!B:F, 5, 0),  REGEXEXTRACT(C4603, ""🏘️ \w+ \w+ (.*) ✅""))))"),"#N/A")</f>
        <v>#N/A</v>
      </c>
      <c r="I4603" s="4" t="str">
        <f>IFERROR(__xludf.DUMMYFUNCTION("if(D4603=""variant"",  substitute(filter(Templates!E:E, Templates!A:A = F4603, Templates!B:B = G4603, Templates!C:C = H4603), ""{{}}"", E4603), B4603)"),"Vendre appartement Collombey: Trouvez le bien immobilier qui correspond idéalement à vos désirs sur ImmoScout24 - La plateforme de l'immobilier en Suisse.")</f>
        <v>Vendre appartement Collombey: Trouvez le bien immobilier qui correspond idéalement à vos désirs sur ImmoScout24 - La plateforme de l'immobilier en Suisse.</v>
      </c>
    </row>
    <row r="4604" hidden="1">
      <c r="A4604" s="5" t="s">
        <v>12308</v>
      </c>
      <c r="B4604" s="2" t="s">
        <v>12309</v>
      </c>
      <c r="C4604" s="2" t="s">
        <v>12309</v>
      </c>
      <c r="D4604" s="4" t="str">
        <f>vlookup(A4604, Sheet2!D:E, 2, 0)</f>
        <v>control</v>
      </c>
      <c r="E4604" s="4" t="str">
        <f>IFERROR(__xludf.DUMMYFUNCTION("if(H4604=""pays"",vlookup(REGEXEXTRACT(C4604, ""🏘️ \w+ \w+ (.*) ✅""),'Country prepositions'!A:B, 2, 0) &amp; "" "" &amp; REGEXEXTRACT(C4604, ""🏘️ \w+ \w+ (.*) ✅"") ,  if(H4604=""quartier"",vlookup(REGEXEXTRACT(C4604, ""🏘️ \w+ \w+ (.*) ✅""),'Quartier prepositio"&amp;"ns'!A:E, 5, 0) ,  if(H4604=""region"",vlookup(REGEXEXTRACT(C4604, ""🏘️ \w+ \w+ (.*) ✅""),'Region prepositions'!B:F, 5, 0),  REGEXEXTRACT(C4604, ""🏘️ \w+ \w+ (.*) ✅""))))"),"#N/A")</f>
        <v>#N/A</v>
      </c>
      <c r="I4604" s="4" t="str">
        <f>IFERROR(__xludf.DUMMYFUNCTION("if(D4604=""variant"",  substitute(filter(Templates!E:E, Templates!A:A = F4604, Templates!B:B = G4604, Templates!C:C = H4604), ""{{}}"", E4604), B4604)"),"Louer appartement Echarlens: Trouvez le bien immobilier qui correspond idéalement à vos désirs sur ImmoScout24 - La plateforme de l'immobilier en Suisse.")</f>
        <v>Louer appartement Echarlens: Trouvez le bien immobilier qui correspond idéalement à vos désirs sur ImmoScout24 - La plateforme de l'immobilier en Suisse.</v>
      </c>
    </row>
    <row r="4605" hidden="1">
      <c r="A4605" s="5" t="s">
        <v>12310</v>
      </c>
      <c r="B4605" s="2" t="s">
        <v>12311</v>
      </c>
      <c r="C4605" s="2" t="s">
        <v>12311</v>
      </c>
      <c r="D4605" s="4" t="str">
        <f>vlookup(A4605, Sheet2!D:E, 2, 0)</f>
        <v>control</v>
      </c>
      <c r="E4605" s="4" t="str">
        <f>IFERROR(__xludf.DUMMYFUNCTION("if(H4605=""pays"",vlookup(REGEXEXTRACT(C4605, ""🏘️ \w+ \w+ (.*) ✅""),'Country prepositions'!A:B, 2, 0) &amp; "" "" &amp; REGEXEXTRACT(C4605, ""🏘️ \w+ \w+ (.*) ✅"") ,  if(H4605=""quartier"",vlookup(REGEXEXTRACT(C4605, ""🏘️ \w+ \w+ (.*) ✅""),'Quartier prepositio"&amp;"ns'!A:E, 5, 0) ,  if(H4605=""region"",vlookup(REGEXEXTRACT(C4605, ""🏘️ \w+ \w+ (.*) ✅""),'Region prepositions'!B:F, 5, 0),  REGEXEXTRACT(C4605, ""🏘️ \w+ \w+ (.*) ✅""))))"),"#N/A")</f>
        <v>#N/A</v>
      </c>
      <c r="I4605" s="4" t="str">
        <f>IFERROR(__xludf.DUMMYFUNCTION("if(D4605=""variant"",  substitute(filter(Templates!E:E, Templates!A:A = F4605, Templates!B:B = G4605, Templates!C:C = H4605), ""{{}}"", E4605), B4605)"),"Louer appartement Carona (Lugano): Trouvez le bien immobilier qui correspond idéalement à vos désirs sur ImmoScout24 - La plateforme de l'immobilier en Suisse.")</f>
        <v>Louer appartement Carona (Lugano): Trouvez le bien immobilier qui correspond idéalement à vos désirs sur ImmoScout24 - La plateforme de l'immobilier en Suisse.</v>
      </c>
    </row>
    <row r="4606" hidden="1">
      <c r="A4606" s="5" t="s">
        <v>12312</v>
      </c>
      <c r="B4606" s="2" t="s">
        <v>12313</v>
      </c>
      <c r="C4606" s="2" t="s">
        <v>12313</v>
      </c>
      <c r="D4606" s="4" t="str">
        <f>vlookup(A4606, Sheet2!D:E, 2, 0)</f>
        <v>control</v>
      </c>
      <c r="E4606" s="4" t="str">
        <f>IFERROR(__xludf.DUMMYFUNCTION("if(H4606=""pays"",vlookup(REGEXEXTRACT(C4606, ""🏘️ \w+ \w+ (.*) ✅""),'Country prepositions'!A:B, 2, 0) &amp; "" "" &amp; REGEXEXTRACT(C4606, ""🏘️ \w+ \w+ (.*) ✅"") ,  if(H4606=""quartier"",vlookup(REGEXEXTRACT(C4606, ""🏘️ \w+ \w+ (.*) ✅""),'Quartier prepositio"&amp;"ns'!A:E, 5, 0) ,  if(H4606=""region"",vlookup(REGEXEXTRACT(C4606, ""🏘️ \w+ \w+ (.*) ✅""),'Region prepositions'!B:F, 5, 0),  REGEXEXTRACT(C4606, ""🏘️ \w+ \w+ (.*) ✅""))))"),"#N/A")</f>
        <v>#N/A</v>
      </c>
      <c r="I4606" s="4" t="str">
        <f>IFERROR(__xludf.DUMMYFUNCTION("if(D4606=""variant"",  substitute(filter(Templates!E:E, Templates!A:A = F4606, Templates!B:B = G4606, Templates!C:C = H4606), ""{{}}"", E4606), B4606)"),"Vendre maison Ursins: Trouvez le bien immobilier qui correspond idéalement à vos désirs sur ImmoScout24 - La plateforme de l'immobilier en Suisse.")</f>
        <v>Vendre maison Ursins: Trouvez le bien immobilier qui correspond idéalement à vos désirs sur ImmoScout24 - La plateforme de l'immobilier en Suisse.</v>
      </c>
    </row>
    <row r="4607" hidden="1">
      <c r="A4607" s="5" t="s">
        <v>12314</v>
      </c>
      <c r="B4607" s="2" t="s">
        <v>12315</v>
      </c>
      <c r="C4607" s="2" t="s">
        <v>12315</v>
      </c>
      <c r="D4607" s="4" t="str">
        <f>vlookup(A4607, Sheet2!D:E, 2, 0)</f>
        <v>control</v>
      </c>
      <c r="E4607" s="4" t="str">
        <f>IFERROR(__xludf.DUMMYFUNCTION("if(H4607=""pays"",vlookup(REGEXEXTRACT(C4607, ""🏘️ \w+ \w+ (.*) ✅""),'Country prepositions'!A:B, 2, 0) &amp; "" "" &amp; REGEXEXTRACT(C4607, ""🏘️ \w+ \w+ (.*) ✅"") ,  if(H4607=""quartier"",vlookup(REGEXEXTRACT(C4607, ""🏘️ \w+ \w+ (.*) ✅""),'Quartier prepositio"&amp;"ns'!A:E, 5, 0) ,  if(H4607=""region"",vlookup(REGEXEXTRACT(C4607, ""🏘️ \w+ \w+ (.*) ✅""),'Region prepositions'!B:F, 5, 0),  REGEXEXTRACT(C4607, ""🏘️ \w+ \w+ (.*) ✅""))))"),"#N/A")</f>
        <v>#N/A</v>
      </c>
      <c r="I4607" s="4" t="str">
        <f>IFERROR(__xludf.DUMMYFUNCTION("if(D4607=""variant"",  substitute(filter(Templates!E:E, Templates!A:A = F4607, Templates!B:B = G4607, Templates!C:C = H4607), ""{{}}"", E4607), B4607)"),"Vendre appartement Vullierens: Trouvez le bien immobilier qui correspond idéalement à vos désirs sur ImmoScout24 - La plateforme de l'immobilier en Suisse.")</f>
        <v>Vendre appartement Vullierens: Trouvez le bien immobilier qui correspond idéalement à vos désirs sur ImmoScout24 - La plateforme de l'immobilier en Suisse.</v>
      </c>
    </row>
    <row r="4608" hidden="1">
      <c r="A4608" s="5" t="s">
        <v>12316</v>
      </c>
      <c r="B4608" s="2" t="s">
        <v>11712</v>
      </c>
      <c r="C4608" s="2" t="s">
        <v>11712</v>
      </c>
      <c r="D4608" s="4" t="str">
        <f>vlookup(A4608, Sheet2!D:E, 2, 0)</f>
        <v>control</v>
      </c>
      <c r="E4608" s="4" t="str">
        <f>IFERROR(__xludf.DUMMYFUNCTION("if(H4608=""pays"",vlookup(REGEXEXTRACT(C4608, ""🏘️ \w+ \w+ (.*) ✅""),'Country prepositions'!A:B, 2, 0) &amp; "" "" &amp; REGEXEXTRACT(C4608, ""🏘️ \w+ \w+ (.*) ✅"") ,  if(H4608=""quartier"",vlookup(REGEXEXTRACT(C4608, ""🏘️ \w+ \w+ (.*) ✅""),'Quartier prepositio"&amp;"ns'!A:E, 5, 0) ,  if(H4608=""region"",vlookup(REGEXEXTRACT(C4608, ""🏘️ \w+ \w+ (.*) ✅""),'Region prepositions'!B:F, 5, 0),  REGEXEXTRACT(C4608, ""🏘️ \w+ \w+ (.*) ✅""))))"),"#N/A")</f>
        <v>#N/A</v>
      </c>
      <c r="I4608" s="4" t="str">
        <f>IFERROR(__xludf.DUMMYFUNCTION("if(D4608=""variant"",  substitute(filter(Templates!E:E, Templates!A:A = F4608, Templates!B:B = G4608, Templates!C:C = H4608), ""{{}}"", E4608), B4608)"),"Louer maison Porrentruy: Trouvez le bien immobilier qui correspond idéalement à vos désirs sur ImmoScout24 - La plateforme de l'immobilier en Suisse.")</f>
        <v>Louer maison Porrentruy: Trouvez le bien immobilier qui correspond idéalement à vos désirs sur ImmoScout24 - La plateforme de l'immobilier en Suisse.</v>
      </c>
    </row>
    <row r="4609" hidden="1">
      <c r="A4609" s="5" t="s">
        <v>12317</v>
      </c>
      <c r="B4609" s="2" t="s">
        <v>12318</v>
      </c>
      <c r="C4609" s="2" t="s">
        <v>12318</v>
      </c>
      <c r="D4609" s="4" t="str">
        <f>vlookup(A4609, Sheet2!D:E, 2, 0)</f>
        <v>control</v>
      </c>
      <c r="E4609" s="4" t="str">
        <f>IFERROR(__xludf.DUMMYFUNCTION("if(H4609=""pays"",vlookup(REGEXEXTRACT(C4609, ""🏘️ \w+ \w+ (.*) ✅""),'Country prepositions'!A:B, 2, 0) &amp; "" "" &amp; REGEXEXTRACT(C4609, ""🏘️ \w+ \w+ (.*) ✅"") ,  if(H4609=""quartier"",vlookup(REGEXEXTRACT(C4609, ""🏘️ \w+ \w+ (.*) ✅""),'Quartier prepositio"&amp;"ns'!A:E, 5, 0) ,  if(H4609=""region"",vlookup(REGEXEXTRACT(C4609, ""🏘️ \w+ \w+ (.*) ✅""),'Region prepositions'!B:F, 5, 0),  REGEXEXTRACT(C4609, ""🏘️ \w+ \w+ (.*) ✅""))))"),"#N/A")</f>
        <v>#N/A</v>
      </c>
      <c r="I4609" s="4" t="str">
        <f>IFERROR(__xludf.DUMMYFUNCTION("if(D4609=""variant"",  substitute(filter(Templates!E:E, Templates!A:A = F4609, Templates!B:B = G4609, Templates!C:C = H4609), ""{{}}"", E4609), B4609)"),"Louer maison Etagnières: Trouvez le bien immobilier qui correspond idéalement à vos désirs sur ImmoScout24 - La plateforme de l'immobilier en Suisse.")</f>
        <v>Louer maison Etagnières: Trouvez le bien immobilier qui correspond idéalement à vos désirs sur ImmoScout24 - La plateforme de l'immobilier en Suisse.</v>
      </c>
    </row>
    <row r="4610" hidden="1">
      <c r="A4610" s="5" t="s">
        <v>12319</v>
      </c>
      <c r="B4610" s="2" t="s">
        <v>12320</v>
      </c>
      <c r="C4610" s="2" t="s">
        <v>12320</v>
      </c>
      <c r="D4610" s="4" t="str">
        <f>vlookup(A4610, Sheet2!D:E, 2, 0)</f>
        <v>control</v>
      </c>
      <c r="E4610" s="4" t="str">
        <f>IFERROR(__xludf.DUMMYFUNCTION("if(H4610=""pays"",vlookup(REGEXEXTRACT(C4610, ""🏘️ \w+ \w+ (.*) ✅""),'Country prepositions'!A:B, 2, 0) &amp; "" "" &amp; REGEXEXTRACT(C4610, ""🏘️ \w+ \w+ (.*) ✅"") ,  if(H4610=""quartier"",vlookup(REGEXEXTRACT(C4610, ""🏘️ \w+ \w+ (.*) ✅""),'Quartier prepositio"&amp;"ns'!A:E, 5, 0) ,  if(H4610=""region"",vlookup(REGEXEXTRACT(C4610, ""🏘️ \w+ \w+ (.*) ✅""),'Region prepositions'!B:F, 5, 0),  REGEXEXTRACT(C4610, ""🏘️ \w+ \w+ (.*) ✅""))))"),"#N/A")</f>
        <v>#N/A</v>
      </c>
      <c r="I4610" s="4" t="str">
        <f>IFERROR(__xludf.DUMMYFUNCTION("if(D4610=""variant"",  substitute(filter(Templates!E:E, Templates!A:A = F4610, Templates!B:B = G4610, Templates!C:C = H4610), ""{{}}"", E4610), B4610)"),"Vendre appartement Crassier: Trouvez le bien immobilier qui correspond idéalement à vos désirs sur ImmoScout24 - La plateforme de l'immobilier en Suisse.")</f>
        <v>Vendre appartement Crassier: Trouvez le bien immobilier qui correspond idéalement à vos désirs sur ImmoScout24 - La plateforme de l'immobilier en Suisse.</v>
      </c>
    </row>
    <row r="4611" hidden="1">
      <c r="A4611" s="5" t="s">
        <v>12321</v>
      </c>
      <c r="B4611" s="2" t="s">
        <v>12322</v>
      </c>
      <c r="C4611" s="2" t="s">
        <v>12322</v>
      </c>
      <c r="D4611" s="4" t="str">
        <f>vlookup(A4611, Sheet2!D:E, 2, 0)</f>
        <v>control</v>
      </c>
      <c r="E4611" s="4" t="str">
        <f>IFERROR(__xludf.DUMMYFUNCTION("if(H4611=""pays"",vlookup(REGEXEXTRACT(C4611, ""🏘️ \w+ \w+ (.*) ✅""),'Country prepositions'!A:B, 2, 0) &amp; "" "" &amp; REGEXEXTRACT(C4611, ""🏘️ \w+ \w+ (.*) ✅"") ,  if(H4611=""quartier"",vlookup(REGEXEXTRACT(C4611, ""🏘️ \w+ \w+ (.*) ✅""),'Quartier prepositio"&amp;"ns'!A:E, 5, 0) ,  if(H4611=""region"",vlookup(REGEXEXTRACT(C4611, ""🏘️ \w+ \w+ (.*) ✅""),'Region prepositions'!B:F, 5, 0),  REGEXEXTRACT(C4611, ""🏘️ \w+ \w+ (.*) ✅""))))"),"#N/A")</f>
        <v>#N/A</v>
      </c>
      <c r="I4611" s="4" t="str">
        <f>IFERROR(__xludf.DUMMYFUNCTION("if(D4611=""variant"",  substitute(filter(Templates!E:E, Templates!A:A = F4611, Templates!B:B = G4611, Templates!C:C = H4611), ""{{}}"", E4611), B4611)"),"Louer appartement La Croix-de-Rozon: Trouvez le bien immobilier qui correspond idéalement à vos désirs sur ImmoScout24 - La plateforme de l'immobilier en Suisse.")</f>
        <v>Louer appartement La Croix-de-Rozon: Trouvez le bien immobilier qui correspond idéalement à vos désirs sur ImmoScout24 - La plateforme de l'immobilier en Suisse.</v>
      </c>
    </row>
    <row r="4612" hidden="1">
      <c r="A4612" s="5" t="s">
        <v>12323</v>
      </c>
      <c r="B4612" s="2" t="s">
        <v>12324</v>
      </c>
      <c r="C4612" s="2" t="s">
        <v>12324</v>
      </c>
      <c r="D4612" s="4" t="str">
        <f>vlookup(A4612, Sheet2!D:E, 2, 0)</f>
        <v>control</v>
      </c>
      <c r="E4612" s="4" t="str">
        <f>IFERROR(__xludf.DUMMYFUNCTION("if(H4612=""pays"",vlookup(REGEXEXTRACT(C4612, ""🏘️ \w+ \w+ (.*) ✅""),'Country prepositions'!A:B, 2, 0) &amp; "" "" &amp; REGEXEXTRACT(C4612, ""🏘️ \w+ \w+ (.*) ✅"") ,  if(H4612=""quartier"",vlookup(REGEXEXTRACT(C4612, ""🏘️ \w+ \w+ (.*) ✅""),'Quartier prepositio"&amp;"ns'!A:E, 5, 0) ,  if(H4612=""region"",vlookup(REGEXEXTRACT(C4612, ""🏘️ \w+ \w+ (.*) ✅""),'Region prepositions'!B:F, 5, 0),  REGEXEXTRACT(C4612, ""🏘️ \w+ \w+ (.*) ✅""))))"),"#N/A")</f>
        <v>#N/A</v>
      </c>
      <c r="I4612" s="4" t="str">
        <f>IFERROR(__xludf.DUMMYFUNCTION("if(D4612=""variant"",  substitute(filter(Templates!E:E, Templates!A:A = F4612, Templates!B:B = G4612, Templates!C:C = H4612), ""{{}}"", E4612), B4612)"),"Louer maison Marin-Epagnier: Trouvez le bien immobilier qui correspond idéalement à vos désirs sur ImmoScout24 - La plateforme de l'immobilier en Suisse.")</f>
        <v>Louer maison Marin-Epagnier: Trouvez le bien immobilier qui correspond idéalement à vos désirs sur ImmoScout24 - La plateforme de l'immobilier en Suisse.</v>
      </c>
    </row>
    <row r="4613" hidden="1">
      <c r="A4613" s="5" t="s">
        <v>12325</v>
      </c>
      <c r="B4613" s="2" t="s">
        <v>12326</v>
      </c>
      <c r="C4613" s="2" t="s">
        <v>12326</v>
      </c>
      <c r="D4613" s="4" t="str">
        <f>vlookup(A4613, Sheet2!D:E, 2, 0)</f>
        <v>control</v>
      </c>
      <c r="E4613" s="4" t="str">
        <f>IFERROR(__xludf.DUMMYFUNCTION("if(H4613=""pays"",vlookup(REGEXEXTRACT(C4613, ""🏘️ \w+ \w+ (.*) ✅""),'Country prepositions'!A:B, 2, 0) &amp; "" "" &amp; REGEXEXTRACT(C4613, ""🏘️ \w+ \w+ (.*) ✅"") ,  if(H4613=""quartier"",vlookup(REGEXEXTRACT(C4613, ""🏘️ \w+ \w+ (.*) ✅""),'Quartier prepositio"&amp;"ns'!A:E, 5, 0) ,  if(H4613=""region"",vlookup(REGEXEXTRACT(C4613, ""🏘️ \w+ \w+ (.*) ✅""),'Region prepositions'!B:F, 5, 0),  REGEXEXTRACT(C4613, ""🏘️ \w+ \w+ (.*) ✅""))))"),"#N/A")</f>
        <v>#N/A</v>
      </c>
      <c r="I4613" s="4" t="str">
        <f>IFERROR(__xludf.DUMMYFUNCTION("if(D4613=""variant"",  substitute(filter(Templates!E:E, Templates!A:A = F4613, Templates!B:B = G4613, Templates!C:C = H4613), ""{{}}"", E4613), B4613)"),"Louer appartement Allschwil: Trouvez le bien immobilier qui correspond idéalement à vos désirs sur ImmoScout24 - La plateforme de l'immobilier en Suisse.")</f>
        <v>Louer appartement Allschwil: Trouvez le bien immobilier qui correspond idéalement à vos désirs sur ImmoScout24 - La plateforme de l'immobilier en Suisse.</v>
      </c>
    </row>
    <row r="4614" hidden="1">
      <c r="A4614" s="5" t="s">
        <v>12327</v>
      </c>
      <c r="B4614" s="2" t="s">
        <v>12328</v>
      </c>
      <c r="C4614" s="2" t="s">
        <v>12328</v>
      </c>
      <c r="D4614" s="4" t="str">
        <f>vlookup(A4614, Sheet2!D:E, 2, 0)</f>
        <v>control</v>
      </c>
      <c r="E4614" s="4" t="str">
        <f>IFERROR(__xludf.DUMMYFUNCTION("if(H4614=""pays"",vlookup(REGEXEXTRACT(C4614, ""🏘️ \w+ \w+ (.*) ✅""),'Country prepositions'!A:B, 2, 0) &amp; "" "" &amp; REGEXEXTRACT(C4614, ""🏘️ \w+ \w+ (.*) ✅"") ,  if(H4614=""quartier"",vlookup(REGEXEXTRACT(C4614, ""🏘️ \w+ \w+ (.*) ✅""),'Quartier prepositio"&amp;"ns'!A:E, 5, 0) ,  if(H4614=""region"",vlookup(REGEXEXTRACT(C4614, ""🏘️ \w+ \w+ (.*) ✅""),'Region prepositions'!B:F, 5, 0),  REGEXEXTRACT(C4614, ""🏘️ \w+ \w+ (.*) ✅""))))"),"#N/A")</f>
        <v>#N/A</v>
      </c>
      <c r="I4614" s="4" t="str">
        <f>IFERROR(__xludf.DUMMYFUNCTION("if(D4614=""variant"",  substitute(filter(Templates!E:E, Templates!A:A = F4614, Templates!B:B = G4614, Templates!C:C = H4614), ""{{}}"", E4614), B4614)"),"Vendre maison Montezillon: Trouvez le bien immobilier qui correspond idéalement à vos désirs sur ImmoScout24 - La plateforme de l'immobilier en Suisse.")</f>
        <v>Vendre maison Montezillon: Trouvez le bien immobilier qui correspond idéalement à vos désirs sur ImmoScout24 - La plateforme de l'immobilier en Suisse.</v>
      </c>
    </row>
    <row r="4615" hidden="1">
      <c r="A4615" s="5" t="s">
        <v>12329</v>
      </c>
      <c r="B4615" s="2" t="s">
        <v>12330</v>
      </c>
      <c r="C4615" s="2" t="s">
        <v>12330</v>
      </c>
      <c r="D4615" s="4" t="str">
        <f>vlookup(A4615, Sheet2!D:E, 2, 0)</f>
        <v>control</v>
      </c>
      <c r="E4615" s="4" t="str">
        <f>IFERROR(__xludf.DUMMYFUNCTION("if(H4615=""pays"",vlookup(REGEXEXTRACT(C4615, ""🏘️ \w+ \w+ (.*) ✅""),'Country prepositions'!A:B, 2, 0) &amp; "" "" &amp; REGEXEXTRACT(C4615, ""🏘️ \w+ \w+ (.*) ✅"") ,  if(H4615=""quartier"",vlookup(REGEXEXTRACT(C4615, ""🏘️ \w+ \w+ (.*) ✅""),'Quartier prepositio"&amp;"ns'!A:E, 5, 0) ,  if(H4615=""region"",vlookup(REGEXEXTRACT(C4615, ""🏘️ \w+ \w+ (.*) ✅""),'Region prepositions'!B:F, 5, 0),  REGEXEXTRACT(C4615, ""🏘️ \w+ \w+ (.*) ✅""))))"),"#N/A")</f>
        <v>#N/A</v>
      </c>
      <c r="I4615" s="4" t="str">
        <f>IFERROR(__xludf.DUMMYFUNCTION("if(D4615=""variant"",  substitute(filter(Templates!E:E, Templates!A:A = F4615, Templates!B:B = G4615, Templates!C:C = H4615), ""{{}}"", E4615), B4615)"),"Louer appartement Pleigne: Trouvez le bien immobilier qui correspond idéalement à vos désirs sur ImmoScout24 - La plateforme de l'immobilier en Suisse.")</f>
        <v>Louer appartement Pleigne: Trouvez le bien immobilier qui correspond idéalement à vos désirs sur ImmoScout24 - La plateforme de l'immobilier en Suisse.</v>
      </c>
    </row>
    <row r="4616" hidden="1">
      <c r="A4616" s="5" t="s">
        <v>12331</v>
      </c>
      <c r="B4616" s="2" t="s">
        <v>12332</v>
      </c>
      <c r="C4616" s="2" t="s">
        <v>12332</v>
      </c>
      <c r="D4616" s="4" t="str">
        <f>vlookup(A4616, Sheet2!D:E, 2, 0)</f>
        <v>control</v>
      </c>
      <c r="E4616" s="4" t="str">
        <f>IFERROR(__xludf.DUMMYFUNCTION("if(H4616=""pays"",vlookup(REGEXEXTRACT(C4616, ""🏘️ \w+ \w+ (.*) ✅""),'Country prepositions'!A:B, 2, 0) &amp; "" "" &amp; REGEXEXTRACT(C4616, ""🏘️ \w+ \w+ (.*) ✅"") ,  if(H4616=""quartier"",vlookup(REGEXEXTRACT(C4616, ""🏘️ \w+ \w+ (.*) ✅""),'Quartier prepositio"&amp;"ns'!A:E, 5, 0) ,  if(H4616=""region"",vlookup(REGEXEXTRACT(C4616, ""🏘️ \w+ \w+ (.*) ✅""),'Region prepositions'!B:F, 5, 0),  REGEXEXTRACT(C4616, ""🏘️ \w+ \w+ (.*) ✅""))))"),"#N/A")</f>
        <v>#N/A</v>
      </c>
      <c r="I4616" s="4" t="str">
        <f>IFERROR(__xludf.DUMMYFUNCTION("if(D4616=""variant"",  substitute(filter(Templates!E:E, Templates!A:A = F4616, Templates!B:B = G4616, Templates!C:C = H4616), ""{{}}"", E4616), B4616)"),"Louer appartement Jeuss: Trouvez le bien immobilier qui correspond idéalement à vos désirs sur ImmoScout24 - La plateforme de l'immobilier en Suisse.")</f>
        <v>Louer appartement Jeuss: Trouvez le bien immobilier qui correspond idéalement à vos désirs sur ImmoScout24 - La plateforme de l'immobilier en Suisse.</v>
      </c>
    </row>
    <row r="4617" hidden="1">
      <c r="A4617" s="5" t="s">
        <v>12333</v>
      </c>
      <c r="B4617" s="2" t="s">
        <v>12334</v>
      </c>
      <c r="C4617" s="2" t="s">
        <v>12334</v>
      </c>
      <c r="D4617" s="4" t="str">
        <f>vlookup(A4617, Sheet2!D:E, 2, 0)</f>
        <v>control</v>
      </c>
      <c r="E4617" s="4" t="str">
        <f>IFERROR(__xludf.DUMMYFUNCTION("if(H4617=""pays"",vlookup(REGEXEXTRACT(C4617, ""🏘️ \w+ \w+ (.*) ✅""),'Country prepositions'!A:B, 2, 0) &amp; "" "" &amp; REGEXEXTRACT(C4617, ""🏘️ \w+ \w+ (.*) ✅"") ,  if(H4617=""quartier"",vlookup(REGEXEXTRACT(C4617, ""🏘️ \w+ \w+ (.*) ✅""),'Quartier prepositio"&amp;"ns'!A:E, 5, 0) ,  if(H4617=""region"",vlookup(REGEXEXTRACT(C4617, ""🏘️ \w+ \w+ (.*) ✅""),'Region prepositions'!B:F, 5, 0),  REGEXEXTRACT(C4617, ""🏘️ \w+ \w+ (.*) ✅""))))"),"#N/A")</f>
        <v>#N/A</v>
      </c>
      <c r="I4617" s="4" t="str">
        <f>IFERROR(__xludf.DUMMYFUNCTION("if(D4617=""variant"",  substitute(filter(Templates!E:E, Templates!A:A = F4617, Templates!B:B = G4617, Templates!C:C = H4617), ""{{}}"", E4617), B4617)"),"Vendre maison Winkel: Trouvez le bien immobilier qui correspond idéalement à vos désirs sur ImmoScout24 - La plateforme de l'immobilier en Suisse.")</f>
        <v>Vendre maison Winkel: Trouvez le bien immobilier qui correspond idéalement à vos désirs sur ImmoScout24 - La plateforme de l'immobilier en Suisse.</v>
      </c>
    </row>
    <row r="4618" hidden="1">
      <c r="A4618" s="5" t="s">
        <v>12335</v>
      </c>
      <c r="B4618" s="2" t="s">
        <v>12336</v>
      </c>
      <c r="C4618" s="2" t="s">
        <v>12336</v>
      </c>
      <c r="D4618" s="4" t="str">
        <f>vlookup(A4618, Sheet2!D:E, 2, 0)</f>
        <v>control</v>
      </c>
      <c r="E4618" s="4" t="str">
        <f>IFERROR(__xludf.DUMMYFUNCTION("if(H4618=""pays"",vlookup(REGEXEXTRACT(C4618, ""🏘️ \w+ \w+ (.*) ✅""),'Country prepositions'!A:B, 2, 0) &amp; "" "" &amp; REGEXEXTRACT(C4618, ""🏘️ \w+ \w+ (.*) ✅"") ,  if(H4618=""quartier"",vlookup(REGEXEXTRACT(C4618, ""🏘️ \w+ \w+ (.*) ✅""),'Quartier prepositio"&amp;"ns'!A:E, 5, 0) ,  if(H4618=""region"",vlookup(REGEXEXTRACT(C4618, ""🏘️ \w+ \w+ (.*) ✅""),'Region prepositions'!B:F, 5, 0),  REGEXEXTRACT(C4618, ""🏘️ \w+ \w+ (.*) ✅""))))"),"#N/A")</f>
        <v>#N/A</v>
      </c>
      <c r="I4618" s="4" t="str">
        <f>IFERROR(__xludf.DUMMYFUNCTION("if(D4618=""variant"",  substitute(filter(Templates!E:E, Templates!A:A = F4618, Templates!B:B = G4618, Templates!C:C = H4618), ""{{}}"", E4618), B4618)"),"Louer appartement Pfungen: Trouvez le bien immobilier qui correspond idéalement à vos désirs sur ImmoScout24 - La plateforme de l'immobilier en Suisse.")</f>
        <v>Louer appartement Pfungen: Trouvez le bien immobilier qui correspond idéalement à vos désirs sur ImmoScout24 - La plateforme de l'immobilier en Suisse.</v>
      </c>
    </row>
    <row r="4619" hidden="1">
      <c r="A4619" s="5" t="s">
        <v>12337</v>
      </c>
      <c r="B4619" s="2" t="s">
        <v>12338</v>
      </c>
      <c r="C4619" s="2" t="s">
        <v>12338</v>
      </c>
      <c r="D4619" s="4" t="str">
        <f>vlookup(A4619, Sheet2!D:E, 2, 0)</f>
        <v>control</v>
      </c>
      <c r="E4619" s="4" t="str">
        <f>IFERROR(__xludf.DUMMYFUNCTION("if(H4619=""pays"",vlookup(REGEXEXTRACT(C4619, ""🏘️ \w+ \w+ (.*) ✅""),'Country prepositions'!A:B, 2, 0) &amp; "" "" &amp; REGEXEXTRACT(C4619, ""🏘️ \w+ \w+ (.*) ✅"") ,  if(H4619=""quartier"",vlookup(REGEXEXTRACT(C4619, ""🏘️ \w+ \w+ (.*) ✅""),'Quartier prepositio"&amp;"ns'!A:E, 5, 0) ,  if(H4619=""region"",vlookup(REGEXEXTRACT(C4619, ""🏘️ \w+ \w+ (.*) ✅""),'Region prepositions'!B:F, 5, 0),  REGEXEXTRACT(C4619, ""🏘️ \w+ \w+ (.*) ✅""))))"),"#N/A")</f>
        <v>#N/A</v>
      </c>
      <c r="I4619" s="4" t="str">
        <f>IFERROR(__xludf.DUMMYFUNCTION("if(D4619=""variant"",  substitute(filter(Templates!E:E, Templates!A:A = F4619, Templates!B:B = G4619, Templates!C:C = H4619), ""{{}}"", E4619), B4619)"),"Vendre maison Chamby: Trouvez le bien immobilier qui correspond idéalement à vos désirs sur ImmoScout24 - La plateforme de l'immobilier en Suisse.")</f>
        <v>Vendre maison Chamby: Trouvez le bien immobilier qui correspond idéalement à vos désirs sur ImmoScout24 - La plateforme de l'immobilier en Suisse.</v>
      </c>
    </row>
    <row r="4620" hidden="1">
      <c r="A4620" s="5" t="s">
        <v>12339</v>
      </c>
      <c r="B4620" s="2" t="s">
        <v>12340</v>
      </c>
      <c r="C4620" s="2" t="s">
        <v>12340</v>
      </c>
      <c r="D4620" s="4" t="str">
        <f>vlookup(A4620, Sheet2!D:E, 2, 0)</f>
        <v>control</v>
      </c>
      <c r="E4620" s="4" t="str">
        <f>IFERROR(__xludf.DUMMYFUNCTION("if(H4620=""pays"",vlookup(REGEXEXTRACT(C4620, ""🏘️ \w+ \w+ (.*) ✅""),'Country prepositions'!A:B, 2, 0) &amp; "" "" &amp; REGEXEXTRACT(C4620, ""🏘️ \w+ \w+ (.*) ✅"") ,  if(H4620=""quartier"",vlookup(REGEXEXTRACT(C4620, ""🏘️ \w+ \w+ (.*) ✅""),'Quartier prepositio"&amp;"ns'!A:E, 5, 0) ,  if(H4620=""region"",vlookup(REGEXEXTRACT(C4620, ""🏘️ \w+ \w+ (.*) ✅""),'Region prepositions'!B:F, 5, 0),  REGEXEXTRACT(C4620, ""🏘️ \w+ \w+ (.*) ✅""))))"),"#N/A")</f>
        <v>#N/A</v>
      </c>
      <c r="I4620" s="4" t="str">
        <f>IFERROR(__xludf.DUMMYFUNCTION("if(D4620=""variant"",  substitute(filter(Templates!E:E, Templates!A:A = F4620, Templates!B:B = G4620, Templates!C:C = H4620), ""{{}}"", E4620), B4620)"),"Vendre maison Gebenstorf: Trouvez le bien immobilier qui correspond idéalement à vos désirs sur ImmoScout24 - La plateforme de l'immobilier en Suisse.")</f>
        <v>Vendre maison Gebenstorf: Trouvez le bien immobilier qui correspond idéalement à vos désirs sur ImmoScout24 - La plateforme de l'immobilier en Suisse.</v>
      </c>
    </row>
    <row r="4621" hidden="1">
      <c r="A4621" s="5" t="s">
        <v>12341</v>
      </c>
      <c r="B4621" s="2" t="s">
        <v>12342</v>
      </c>
      <c r="C4621" s="2" t="s">
        <v>12342</v>
      </c>
      <c r="D4621" s="4" t="str">
        <f>vlookup(A4621, Sheet2!D:E, 2, 0)</f>
        <v>control</v>
      </c>
      <c r="E4621" s="4" t="str">
        <f>IFERROR(__xludf.DUMMYFUNCTION("if(H4621=""pays"",vlookup(REGEXEXTRACT(C4621, ""🏘️ \w+ \w+ (.*) ✅""),'Country prepositions'!A:B, 2, 0) &amp; "" "" &amp; REGEXEXTRACT(C4621, ""🏘️ \w+ \w+ (.*) ✅"") ,  if(H4621=""quartier"",vlookup(REGEXEXTRACT(C4621, ""🏘️ \w+ \w+ (.*) ✅""),'Quartier prepositio"&amp;"ns'!A:E, 5, 0) ,  if(H4621=""region"",vlookup(REGEXEXTRACT(C4621, ""🏘️ \w+ \w+ (.*) ✅""),'Region prepositions'!B:F, 5, 0),  REGEXEXTRACT(C4621, ""🏘️ \w+ \w+ (.*) ✅""))))"),"#N/A")</f>
        <v>#N/A</v>
      </c>
      <c r="I4621" s="4" t="str">
        <f>IFERROR(__xludf.DUMMYFUNCTION("if(D4621=""variant"",  substitute(filter(Templates!E:E, Templates!A:A = F4621, Templates!B:B = G4621, Templates!C:C = H4621), ""{{}}"", E4621), B4621)"),"Louer maison Suisse + FL: Trouvez le bien immobilier qui correspond idéalement à vos désirs sur ImmoScout24 - La plateforme de l'immobilier en Suisse.")</f>
        <v>Louer maison Suisse + FL: Trouvez le bien immobilier qui correspond idéalement à vos désirs sur ImmoScout24 - La plateforme de l'immobilier en Suisse.</v>
      </c>
    </row>
    <row r="4622" hidden="1">
      <c r="A4622" s="5" t="s">
        <v>12343</v>
      </c>
      <c r="B4622" s="2" t="s">
        <v>12344</v>
      </c>
      <c r="C4622" s="2" t="s">
        <v>12344</v>
      </c>
      <c r="D4622" s="4" t="str">
        <f>vlookup(A4622, Sheet2!D:E, 2, 0)</f>
        <v>control</v>
      </c>
      <c r="E4622" s="4" t="str">
        <f>IFERROR(__xludf.DUMMYFUNCTION("if(H4622=""pays"",vlookup(REGEXEXTRACT(C4622, ""🏘️ \w+ \w+ (.*) ✅""),'Country prepositions'!A:B, 2, 0) &amp; "" "" &amp; REGEXEXTRACT(C4622, ""🏘️ \w+ \w+ (.*) ✅"") ,  if(H4622=""quartier"",vlookup(REGEXEXTRACT(C4622, ""🏘️ \w+ \w+ (.*) ✅""),'Quartier prepositio"&amp;"ns'!A:E, 5, 0) ,  if(H4622=""region"",vlookup(REGEXEXTRACT(C4622, ""🏘️ \w+ \w+ (.*) ✅""),'Region prepositions'!B:F, 5, 0),  REGEXEXTRACT(C4622, ""🏘️ \w+ \w+ (.*) ✅""))))"),"#N/A")</f>
        <v>#N/A</v>
      </c>
      <c r="I4622" s="4" t="str">
        <f>IFERROR(__xludf.DUMMYFUNCTION("if(D4622=""variant"",  substitute(filter(Templates!E:E, Templates!A:A = F4622, Templates!B:B = G4622, Templates!C:C = H4622), ""{{}}"", E4622), B4622)"),"Louer appartement Vaulion: Trouvez le bien immobilier qui correspond idéalement à vos désirs sur ImmoScout24 - La plateforme de l'immobilier en Suisse.")</f>
        <v>Louer appartement Vaulion: Trouvez le bien immobilier qui correspond idéalement à vos désirs sur ImmoScout24 - La plateforme de l'immobilier en Suisse.</v>
      </c>
    </row>
    <row r="4623" hidden="1">
      <c r="A4623" s="5" t="s">
        <v>12345</v>
      </c>
      <c r="B4623" s="2" t="s">
        <v>12346</v>
      </c>
      <c r="C4623" s="2" t="s">
        <v>12346</v>
      </c>
      <c r="D4623" s="4" t="str">
        <f>vlookup(A4623, Sheet2!D:E, 2, 0)</f>
        <v>control</v>
      </c>
      <c r="E4623" s="4" t="str">
        <f>IFERROR(__xludf.DUMMYFUNCTION("if(H4623=""pays"",vlookup(REGEXEXTRACT(C4623, ""🏘️ \w+ \w+ (.*) ✅""),'Country prepositions'!A:B, 2, 0) &amp; "" "" &amp; REGEXEXTRACT(C4623, ""🏘️ \w+ \w+ (.*) ✅"") ,  if(H4623=""quartier"",vlookup(REGEXEXTRACT(C4623, ""🏘️ \w+ \w+ (.*) ✅""),'Quartier prepositio"&amp;"ns'!A:E, 5, 0) ,  if(H4623=""region"",vlookup(REGEXEXTRACT(C4623, ""🏘️ \w+ \w+ (.*) ✅""),'Region prepositions'!B:F, 5, 0),  REGEXEXTRACT(C4623, ""🏘️ \w+ \w+ (.*) ✅""))))"),"#N/A")</f>
        <v>#N/A</v>
      </c>
      <c r="I4623" s="4" t="str">
        <f>IFERROR(__xludf.DUMMYFUNCTION("if(D4623=""variant"",  substitute(filter(Templates!E:E, Templates!A:A = F4623, Templates!B:B = G4623, Templates!C:C = H4623), ""{{}}"", E4623), B4623)"),"Louer maison L'Abergement: Trouvez le bien immobilier qui correspond idéalement à vos désirs sur ImmoScout24 - La plateforme de l'immobilier en Suisse.")</f>
        <v>Louer maison L'Abergement: Trouvez le bien immobilier qui correspond idéalement à vos désirs sur ImmoScout24 - La plateforme de l'immobilier en Suisse.</v>
      </c>
    </row>
    <row r="4624" hidden="1">
      <c r="A4624" s="5" t="s">
        <v>12347</v>
      </c>
      <c r="B4624" s="2" t="s">
        <v>12348</v>
      </c>
      <c r="C4624" s="2" t="s">
        <v>12348</v>
      </c>
      <c r="D4624" s="4" t="str">
        <f>vlookup(A4624, Sheet2!D:E, 2, 0)</f>
        <v>control</v>
      </c>
      <c r="E4624" s="4" t="str">
        <f>IFERROR(__xludf.DUMMYFUNCTION("if(H4624=""pays"",vlookup(REGEXEXTRACT(C4624, ""🏘️ \w+ \w+ (.*) ✅""),'Country prepositions'!A:B, 2, 0) &amp; "" "" &amp; REGEXEXTRACT(C4624, ""🏘️ \w+ \w+ (.*) ✅"") ,  if(H4624=""quartier"",vlookup(REGEXEXTRACT(C4624, ""🏘️ \w+ \w+ (.*) ✅""),'Quartier prepositio"&amp;"ns'!A:E, 5, 0) ,  if(H4624=""region"",vlookup(REGEXEXTRACT(C4624, ""🏘️ \w+ \w+ (.*) ✅""),'Region prepositions'!B:F, 5, 0),  REGEXEXTRACT(C4624, ""🏘️ \w+ \w+ (.*) ✅""))))"),"#N/A")</f>
        <v>#N/A</v>
      </c>
      <c r="I4624" s="4" t="str">
        <f>IFERROR(__xludf.DUMMYFUNCTION("if(D4624=""variant"",  substitute(filter(Templates!E:E, Templates!A:A = F4624, Templates!B:B = G4624, Templates!C:C = H4624), ""{{}}"", E4624), B4624)"),"Louer appartement Unterentfelden: Trouvez le bien immobilier qui correspond idéalement à vos désirs sur ImmoScout24 - La plateforme de l'immobilier en Suisse.")</f>
        <v>Louer appartement Unterentfelden: Trouvez le bien immobilier qui correspond idéalement à vos désirs sur ImmoScout24 - La plateforme de l'immobilier en Suisse.</v>
      </c>
    </row>
    <row r="4625" hidden="1">
      <c r="A4625" s="5" t="s">
        <v>12349</v>
      </c>
      <c r="B4625" s="2" t="s">
        <v>12350</v>
      </c>
      <c r="C4625" s="2" t="s">
        <v>12350</v>
      </c>
      <c r="D4625" s="4" t="str">
        <f>vlookup(A4625, Sheet2!D:E, 2, 0)</f>
        <v>control</v>
      </c>
      <c r="E4625" s="4" t="str">
        <f>IFERROR(__xludf.DUMMYFUNCTION("if(H4625=""pays"",vlookup(REGEXEXTRACT(C4625, ""🏘️ \w+ \w+ (.*) ✅""),'Country prepositions'!A:B, 2, 0) &amp; "" "" &amp; REGEXEXTRACT(C4625, ""🏘️ \w+ \w+ (.*) ✅"") ,  if(H4625=""quartier"",vlookup(REGEXEXTRACT(C4625, ""🏘️ \w+ \w+ (.*) ✅""),'Quartier prepositio"&amp;"ns'!A:E, 5, 0) ,  if(H4625=""region"",vlookup(REGEXEXTRACT(C4625, ""🏘️ \w+ \w+ (.*) ✅""),'Region prepositions'!B:F, 5, 0),  REGEXEXTRACT(C4625, ""🏘️ \w+ \w+ (.*) ✅""))))"),"#N/A")</f>
        <v>#N/A</v>
      </c>
      <c r="I4625" s="4" t="str">
        <f>IFERROR(__xludf.DUMMYFUNCTION("if(D4625=""variant"",  substitute(filter(Templates!E:E, Templates!A:A = F4625, Templates!B:B = G4625, Templates!C:C = H4625), ""{{}}"", E4625), B4625)"),"Louer maison Perroy: Trouvez le bien immobilier qui correspond idéalement à vos désirs sur ImmoScout24 - La plateforme de l'immobilier en Suisse.")</f>
        <v>Louer maison Perroy: Trouvez le bien immobilier qui correspond idéalement à vos désirs sur ImmoScout24 - La plateforme de l'immobilier en Suisse.</v>
      </c>
    </row>
    <row r="4626" hidden="1">
      <c r="A4626" s="5" t="s">
        <v>12351</v>
      </c>
      <c r="B4626" s="2" t="s">
        <v>12352</v>
      </c>
      <c r="C4626" s="2" t="s">
        <v>12352</v>
      </c>
      <c r="D4626" s="4" t="str">
        <f>vlookup(A4626, Sheet2!D:E, 2, 0)</f>
        <v>control</v>
      </c>
      <c r="E4626" s="4" t="str">
        <f>IFERROR(__xludf.DUMMYFUNCTION("if(H4626=""pays"",vlookup(REGEXEXTRACT(C4626, ""🏘️ \w+ \w+ (.*) ✅""),'Country prepositions'!A:B, 2, 0) &amp; "" "" &amp; REGEXEXTRACT(C4626, ""🏘️ \w+ \w+ (.*) ✅"") ,  if(H4626=""quartier"",vlookup(REGEXEXTRACT(C4626, ""🏘️ \w+ \w+ (.*) ✅""),'Quartier prepositio"&amp;"ns'!A:E, 5, 0) ,  if(H4626=""region"",vlookup(REGEXEXTRACT(C4626, ""🏘️ \w+ \w+ (.*) ✅""),'Region prepositions'!B:F, 5, 0),  REGEXEXTRACT(C4626, ""🏘️ \w+ \w+ (.*) ✅""))))"),"#N/A")</f>
        <v>#N/A</v>
      </c>
      <c r="I4626" s="4" t="str">
        <f>IFERROR(__xludf.DUMMYFUNCTION("if(D4626=""variant"",  substitute(filter(Templates!E:E, Templates!A:A = F4626, Templates!B:B = G4626, Templates!C:C = H4626), ""{{}}"", E4626), B4626)"),"Vendre maison Berikon: Trouvez le bien immobilier qui correspond idéalement à vos désirs sur ImmoScout24 - La plateforme de l'immobilier en Suisse.")</f>
        <v>Vendre maison Berikon: Trouvez le bien immobilier qui correspond idéalement à vos désirs sur ImmoScout24 - La plateforme de l'immobilier en Suisse.</v>
      </c>
    </row>
    <row r="4627" hidden="1">
      <c r="A4627" s="5" t="s">
        <v>12353</v>
      </c>
      <c r="B4627" s="2" t="s">
        <v>12354</v>
      </c>
      <c r="C4627" s="2" t="s">
        <v>12354</v>
      </c>
      <c r="D4627" s="4" t="str">
        <f>vlookup(A4627, Sheet2!D:E, 2, 0)</f>
        <v>control</v>
      </c>
      <c r="E4627" s="4" t="str">
        <f>IFERROR(__xludf.DUMMYFUNCTION("if(H4627=""pays"",vlookup(REGEXEXTRACT(C4627, ""🏘️ \w+ \w+ (.*) ✅""),'Country prepositions'!A:B, 2, 0) &amp; "" "" &amp; REGEXEXTRACT(C4627, ""🏘️ \w+ \w+ (.*) ✅"") ,  if(H4627=""quartier"",vlookup(REGEXEXTRACT(C4627, ""🏘️ \w+ \w+ (.*) ✅""),'Quartier prepositio"&amp;"ns'!A:E, 5, 0) ,  if(H4627=""region"",vlookup(REGEXEXTRACT(C4627, ""🏘️ \w+ \w+ (.*) ✅""),'Region prepositions'!B:F, 5, 0),  REGEXEXTRACT(C4627, ""🏘️ \w+ \w+ (.*) ✅""))))"),"#N/A")</f>
        <v>#N/A</v>
      </c>
      <c r="I4627" s="4" t="str">
        <f>IFERROR(__xludf.DUMMYFUNCTION("if(D4627=""variant"",  substitute(filter(Templates!E:E, Templates!A:A = F4627, Templates!B:B = G4627, Templates!C:C = H4627), ""{{}}"", E4627), B4627)"),"Louer maison Le Sentier: Trouvez le bien immobilier qui correspond idéalement à vos désirs sur ImmoScout24 - La plateforme de l'immobilier en Suisse.")</f>
        <v>Louer maison Le Sentier: Trouvez le bien immobilier qui correspond idéalement à vos désirs sur ImmoScout24 - La plateforme de l'immobilier en Suisse.</v>
      </c>
    </row>
    <row r="4628" hidden="1">
      <c r="A4628" s="5" t="s">
        <v>12355</v>
      </c>
      <c r="B4628" s="2" t="s">
        <v>12356</v>
      </c>
      <c r="C4628" s="2" t="s">
        <v>12356</v>
      </c>
      <c r="D4628" s="4" t="str">
        <f>vlookup(A4628, Sheet2!D:E, 2, 0)</f>
        <v>control</v>
      </c>
      <c r="E4628" s="4" t="str">
        <f>IFERROR(__xludf.DUMMYFUNCTION("if(H4628=""pays"",vlookup(REGEXEXTRACT(C4628, ""🏘️ \w+ \w+ (.*) ✅""),'Country prepositions'!A:B, 2, 0) &amp; "" "" &amp; REGEXEXTRACT(C4628, ""🏘️ \w+ \w+ (.*) ✅"") ,  if(H4628=""quartier"",vlookup(REGEXEXTRACT(C4628, ""🏘️ \w+ \w+ (.*) ✅""),'Quartier prepositio"&amp;"ns'!A:E, 5, 0) ,  if(H4628=""region"",vlookup(REGEXEXTRACT(C4628, ""🏘️ \w+ \w+ (.*) ✅""),'Region prepositions'!B:F, 5, 0),  REGEXEXTRACT(C4628, ""🏘️ \w+ \w+ (.*) ✅""))))"),"#N/A")</f>
        <v>#N/A</v>
      </c>
      <c r="I4628" s="4" t="str">
        <f>IFERROR(__xludf.DUMMYFUNCTION("if(D4628=""variant"",  substitute(filter(Templates!E:E, Templates!A:A = F4628, Templates!B:B = G4628, Templates!C:C = H4628), ""{{}}"", E4628), B4628)"),"Vendre appartement Speicher: Trouvez le bien immobilier qui correspond idéalement à vos désirs sur ImmoScout24 - La plateforme de l'immobilier en Suisse.")</f>
        <v>Vendre appartement Speicher: Trouvez le bien immobilier qui correspond idéalement à vos désirs sur ImmoScout24 - La plateforme de l'immobilier en Suisse.</v>
      </c>
    </row>
    <row r="4629" hidden="1">
      <c r="A4629" s="5" t="s">
        <v>12357</v>
      </c>
      <c r="B4629" s="2" t="s">
        <v>12358</v>
      </c>
      <c r="C4629" s="2" t="s">
        <v>12358</v>
      </c>
      <c r="D4629" s="4" t="str">
        <f>vlookup(A4629, Sheet2!D:E, 2, 0)</f>
        <v>control</v>
      </c>
      <c r="E4629" s="4" t="str">
        <f>IFERROR(__xludf.DUMMYFUNCTION("if(H4629=""pays"",vlookup(REGEXEXTRACT(C4629, ""🏘️ \w+ \w+ (.*) ✅""),'Country prepositions'!A:B, 2, 0) &amp; "" "" &amp; REGEXEXTRACT(C4629, ""🏘️ \w+ \w+ (.*) ✅"") ,  if(H4629=""quartier"",vlookup(REGEXEXTRACT(C4629, ""🏘️ \w+ \w+ (.*) ✅""),'Quartier prepositio"&amp;"ns'!A:E, 5, 0) ,  if(H4629=""region"",vlookup(REGEXEXTRACT(C4629, ""🏘️ \w+ \w+ (.*) ✅""),'Region prepositions'!B:F, 5, 0),  REGEXEXTRACT(C4629, ""🏘️ \w+ \w+ (.*) ✅""))))"),"#N/A")</f>
        <v>#N/A</v>
      </c>
      <c r="I4629" s="4" t="str">
        <f>IFERROR(__xludf.DUMMYFUNCTION("if(D4629=""variant"",  substitute(filter(Templates!E:E, Templates!A:A = F4629, Templates!B:B = G4629, Templates!C:C = H4629), ""{{}}"", E4629), B4629)"),"Louer maison Massongex: Trouvez le bien immobilier qui correspond idéalement à vos désirs sur ImmoScout24 - La plateforme de l'immobilier en Suisse.")</f>
        <v>Louer maison Massongex: Trouvez le bien immobilier qui correspond idéalement à vos désirs sur ImmoScout24 - La plateforme de l'immobilier en Suisse.</v>
      </c>
    </row>
    <row r="4630" hidden="1">
      <c r="A4630" s="5" t="s">
        <v>12359</v>
      </c>
      <c r="B4630" s="2" t="s">
        <v>12360</v>
      </c>
      <c r="C4630" s="2" t="s">
        <v>12360</v>
      </c>
      <c r="D4630" s="4" t="str">
        <f>vlookup(A4630, Sheet2!D:E, 2, 0)</f>
        <v>control</v>
      </c>
      <c r="E4630" s="4" t="str">
        <f>IFERROR(__xludf.DUMMYFUNCTION("if(H4630=""pays"",vlookup(REGEXEXTRACT(C4630, ""🏘️ \w+ \w+ (.*) ✅""),'Country prepositions'!A:B, 2, 0) &amp; "" "" &amp; REGEXEXTRACT(C4630, ""🏘️ \w+ \w+ (.*) ✅"") ,  if(H4630=""quartier"",vlookup(REGEXEXTRACT(C4630, ""🏘️ \w+ \w+ (.*) ✅""),'Quartier prepositio"&amp;"ns'!A:E, 5, 0) ,  if(H4630=""region"",vlookup(REGEXEXTRACT(C4630, ""🏘️ \w+ \w+ (.*) ✅""),'Region prepositions'!B:F, 5, 0),  REGEXEXTRACT(C4630, ""🏘️ \w+ \w+ (.*) ✅""))))"),"#N/A")</f>
        <v>#N/A</v>
      </c>
      <c r="I4630" s="4" t="str">
        <f>IFERROR(__xludf.DUMMYFUNCTION("if(D4630=""variant"",  substitute(filter(Templates!E:E, Templates!A:A = F4630, Templates!B:B = G4630, Templates!C:C = H4630), ""{{}}"", E4630), B4630)"),"Vendre appartement Suhr: Trouvez le bien immobilier qui correspond idéalement à vos désirs sur ImmoScout24 - La plateforme de l'immobilier en Suisse.")</f>
        <v>Vendre appartement Suhr: Trouvez le bien immobilier qui correspond idéalement à vos désirs sur ImmoScout24 - La plateforme de l'immobilier en Suisse.</v>
      </c>
    </row>
    <row r="4631" hidden="1">
      <c r="A4631" s="5" t="s">
        <v>12361</v>
      </c>
      <c r="B4631" s="2" t="s">
        <v>12362</v>
      </c>
      <c r="C4631" s="2" t="s">
        <v>12362</v>
      </c>
      <c r="D4631" s="4" t="str">
        <f>vlookup(A4631, Sheet2!D:E, 2, 0)</f>
        <v>control</v>
      </c>
      <c r="E4631" s="4" t="str">
        <f>IFERROR(__xludf.DUMMYFUNCTION("if(H4631=""pays"",vlookup(REGEXEXTRACT(C4631, ""🏘️ \w+ \w+ (.*) ✅""),'Country prepositions'!A:B, 2, 0) &amp; "" "" &amp; REGEXEXTRACT(C4631, ""🏘️ \w+ \w+ (.*) ✅"") ,  if(H4631=""quartier"",vlookup(REGEXEXTRACT(C4631, ""🏘️ \w+ \w+ (.*) ✅""),'Quartier prepositio"&amp;"ns'!A:E, 5, 0) ,  if(H4631=""region"",vlookup(REGEXEXTRACT(C4631, ""🏘️ \w+ \w+ (.*) ✅""),'Region prepositions'!B:F, 5, 0),  REGEXEXTRACT(C4631, ""🏘️ \w+ \w+ (.*) ✅""))))"),"#N/A")</f>
        <v>#N/A</v>
      </c>
      <c r="I4631" s="4" t="str">
        <f>IFERROR(__xludf.DUMMYFUNCTION("if(D4631=""variant"",  substitute(filter(Templates!E:E, Templates!A:A = F4631, Templates!B:B = G4631, Templates!C:C = H4631), ""{{}}"", E4631), B4631)"),"Vendre maison Lonay: Trouvez le bien immobilier qui correspond idéalement à vos désirs sur ImmoScout24 - La plateforme de l'immobilier en Suisse.")</f>
        <v>Vendre maison Lonay: Trouvez le bien immobilier qui correspond idéalement à vos désirs sur ImmoScout24 - La plateforme de l'immobilier en Suisse.</v>
      </c>
    </row>
    <row r="4632" hidden="1">
      <c r="A4632" s="5" t="s">
        <v>12363</v>
      </c>
      <c r="B4632" s="2" t="s">
        <v>12364</v>
      </c>
      <c r="C4632" s="2" t="s">
        <v>12364</v>
      </c>
      <c r="D4632" s="4" t="str">
        <f>vlookup(A4632, Sheet2!D:E, 2, 0)</f>
        <v>control</v>
      </c>
      <c r="E4632" s="4" t="str">
        <f>IFERROR(__xludf.DUMMYFUNCTION("if(H4632=""pays"",vlookup(REGEXEXTRACT(C4632, ""🏘️ \w+ \w+ (.*) ✅""),'Country prepositions'!A:B, 2, 0) &amp; "" "" &amp; REGEXEXTRACT(C4632, ""🏘️ \w+ \w+ (.*) ✅"") ,  if(H4632=""quartier"",vlookup(REGEXEXTRACT(C4632, ""🏘️ \w+ \w+ (.*) ✅""),'Quartier prepositio"&amp;"ns'!A:E, 5, 0) ,  if(H4632=""region"",vlookup(REGEXEXTRACT(C4632, ""🏘️ \w+ \w+ (.*) ✅""),'Region prepositions'!B:F, 5, 0),  REGEXEXTRACT(C4632, ""🏘️ \w+ \w+ (.*) ✅""))))"),"#N/A")</f>
        <v>#N/A</v>
      </c>
      <c r="I4632" s="4" t="str">
        <f>IFERROR(__xludf.DUMMYFUNCTION("if(D4632=""variant"",  substitute(filter(Templates!E:E, Templates!A:A = F4632, Templates!B:B = G4632, Templates!C:C = H4632), ""{{}}"", E4632), B4632)"),"Vendre appartement Sion - Sierre et environs: Trouvez le bien immobilier qui correspond idéalement à vos désirs sur ImmoScout24 - La plateforme de l'immobilier en Suisse.")</f>
        <v>Vendre appartement Sion - Sierre et environs: Trouvez le bien immobilier qui correspond idéalement à vos désirs sur ImmoScout24 - La plateforme de l'immobilier en Suisse.</v>
      </c>
    </row>
    <row r="4633" hidden="1">
      <c r="A4633" s="5" t="s">
        <v>12365</v>
      </c>
      <c r="B4633" s="2" t="s">
        <v>12366</v>
      </c>
      <c r="C4633" s="2" t="s">
        <v>12366</v>
      </c>
      <c r="D4633" s="4" t="str">
        <f>vlookup(A4633, Sheet2!D:E, 2, 0)</f>
        <v>control</v>
      </c>
      <c r="E4633" s="4" t="str">
        <f>IFERROR(__xludf.DUMMYFUNCTION("if(H4633=""pays"",vlookup(REGEXEXTRACT(C4633, ""🏘️ \w+ \w+ (.*) ✅""),'Country prepositions'!A:B, 2, 0) &amp; "" "" &amp; REGEXEXTRACT(C4633, ""🏘️ \w+ \w+ (.*) ✅"") ,  if(H4633=""quartier"",vlookup(REGEXEXTRACT(C4633, ""🏘️ \w+ \w+ (.*) ✅""),'Quartier prepositio"&amp;"ns'!A:E, 5, 0) ,  if(H4633=""region"",vlookup(REGEXEXTRACT(C4633, ""🏘️ \w+ \w+ (.*) ✅""),'Region prepositions'!B:F, 5, 0),  REGEXEXTRACT(C4633, ""🏘️ \w+ \w+ (.*) ✅""))))"),"#N/A")</f>
        <v>#N/A</v>
      </c>
      <c r="I4633" s="4" t="str">
        <f>IFERROR(__xludf.DUMMYFUNCTION("if(D4633=""variant"",  substitute(filter(Templates!E:E, Templates!A:A = F4633, Templates!B:B = G4633, Templates!C:C = H4633), ""{{}}"", E4633), B4633)"),"Louer appartement Riethüsli (St-Gall): Trouvez le bien immobilier qui correspond idéalement à vos désirs sur ImmoScout24 - La plateforme de l'immobilier en Suisse.")</f>
        <v>Louer appartement Riethüsli (St-Gall): Trouvez le bien immobilier qui correspond idéalement à vos désirs sur ImmoScout24 - La plateforme de l'immobilier en Suisse.</v>
      </c>
    </row>
    <row r="4634" hidden="1">
      <c r="A4634" s="5" t="s">
        <v>12367</v>
      </c>
      <c r="B4634" s="2" t="s">
        <v>12368</v>
      </c>
      <c r="C4634" s="2" t="s">
        <v>12368</v>
      </c>
      <c r="D4634" s="4" t="str">
        <f>vlookup(A4634, Sheet2!D:E, 2, 0)</f>
        <v>control</v>
      </c>
      <c r="E4634" s="4" t="str">
        <f>IFERROR(__xludf.DUMMYFUNCTION("if(H4634=""pays"",vlookup(REGEXEXTRACT(C4634, ""🏘️ \w+ \w+ (.*) ✅""),'Country prepositions'!A:B, 2, 0) &amp; "" "" &amp; REGEXEXTRACT(C4634, ""🏘️ \w+ \w+ (.*) ✅"") ,  if(H4634=""quartier"",vlookup(REGEXEXTRACT(C4634, ""🏘️ \w+ \w+ (.*) ✅""),'Quartier prepositio"&amp;"ns'!A:E, 5, 0) ,  if(H4634=""region"",vlookup(REGEXEXTRACT(C4634, ""🏘️ \w+ \w+ (.*) ✅""),'Region prepositions'!B:F, 5, 0),  REGEXEXTRACT(C4634, ""🏘️ \w+ \w+ (.*) ✅""))))"),"#N/A")</f>
        <v>#N/A</v>
      </c>
      <c r="I4634" s="4" t="str">
        <f>IFERROR(__xludf.DUMMYFUNCTION("if(D4634=""variant"",  substitute(filter(Templates!E:E, Templates!A:A = F4634, Templates!B:B = G4634, Templates!C:C = H4634), ""{{}}"", E4634), B4634)"),"Louer maison Bouloz: Trouvez le bien immobilier qui correspond idéalement à vos désirs sur ImmoScout24 - La plateforme de l'immobilier en Suisse.")</f>
        <v>Louer maison Bouloz: Trouvez le bien immobilier qui correspond idéalement à vos désirs sur ImmoScout24 - La plateforme de l'immobilier en Suisse.</v>
      </c>
    </row>
    <row r="4635" hidden="1">
      <c r="A4635" s="5" t="s">
        <v>12369</v>
      </c>
      <c r="B4635" s="2" t="s">
        <v>12370</v>
      </c>
      <c r="C4635" s="2" t="s">
        <v>12370</v>
      </c>
      <c r="D4635" s="4" t="str">
        <f>vlookup(A4635, Sheet2!D:E, 2, 0)</f>
        <v>control</v>
      </c>
      <c r="E4635" s="4" t="str">
        <f>IFERROR(__xludf.DUMMYFUNCTION("if(H4635=""pays"",vlookup(REGEXEXTRACT(C4635, ""🏘️ \w+ \w+ (.*) ✅""),'Country prepositions'!A:B, 2, 0) &amp; "" "" &amp; REGEXEXTRACT(C4635, ""🏘️ \w+ \w+ (.*) ✅"") ,  if(H4635=""quartier"",vlookup(REGEXEXTRACT(C4635, ""🏘️ \w+ \w+ (.*) ✅""),'Quartier prepositio"&amp;"ns'!A:E, 5, 0) ,  if(H4635=""region"",vlookup(REGEXEXTRACT(C4635, ""🏘️ \w+ \w+ (.*) ✅""),'Region prepositions'!B:F, 5, 0),  REGEXEXTRACT(C4635, ""🏘️ \w+ \w+ (.*) ✅""))))"),"#N/A")</f>
        <v>#N/A</v>
      </c>
      <c r="I4635" s="4" t="str">
        <f>IFERROR(__xludf.DUMMYFUNCTION("if(D4635=""variant"",  substitute(filter(Templates!E:E, Templates!A:A = F4635, Templates!B:B = G4635, Templates!C:C = H4635), ""{{}}"", E4635), B4635)"),"Vendre maison Gentilino: Trouvez le bien immobilier qui correspond idéalement à vos désirs sur ImmoScout24 - La plateforme de l'immobilier en Suisse.")</f>
        <v>Vendre maison Gentilino: Trouvez le bien immobilier qui correspond idéalement à vos désirs sur ImmoScout24 - La plateforme de l'immobilier en Suisse.</v>
      </c>
    </row>
    <row r="4636" hidden="1">
      <c r="A4636" s="5" t="s">
        <v>12371</v>
      </c>
      <c r="B4636" s="2" t="s">
        <v>12372</v>
      </c>
      <c r="C4636" s="2" t="s">
        <v>12372</v>
      </c>
      <c r="D4636" s="4" t="str">
        <f>vlookup(A4636, Sheet2!D:E, 2, 0)</f>
        <v>control</v>
      </c>
      <c r="E4636" s="4" t="str">
        <f>IFERROR(__xludf.DUMMYFUNCTION("if(H4636=""pays"",vlookup(REGEXEXTRACT(C4636, ""🏘️ \w+ \w+ (.*) ✅""),'Country prepositions'!A:B, 2, 0) &amp; "" "" &amp; REGEXEXTRACT(C4636, ""🏘️ \w+ \w+ (.*) ✅"") ,  if(H4636=""quartier"",vlookup(REGEXEXTRACT(C4636, ""🏘️ \w+ \w+ (.*) ✅""),'Quartier prepositio"&amp;"ns'!A:E, 5, 0) ,  if(H4636=""region"",vlookup(REGEXEXTRACT(C4636, ""🏘️ \w+ \w+ (.*) ✅""),'Region prepositions'!B:F, 5, 0),  REGEXEXTRACT(C4636, ""🏘️ \w+ \w+ (.*) ✅""))))"),"#N/A")</f>
        <v>#N/A</v>
      </c>
      <c r="I4636" s="4" t="str">
        <f>IFERROR(__xludf.DUMMYFUNCTION("if(D4636=""variant"",  substitute(filter(Templates!E:E, Templates!A:A = F4636, Templates!B:B = G4636, Templates!C:C = H4636), ""{{}}"", E4636), B4636)"),"Vendre maison Fahrwangen: Trouvez le bien immobilier qui correspond idéalement à vos désirs sur ImmoScout24 - La plateforme de l'immobilier en Suisse.")</f>
        <v>Vendre maison Fahrwangen: Trouvez le bien immobilier qui correspond idéalement à vos désirs sur ImmoScout24 - La plateforme de l'immobilier en Suisse.</v>
      </c>
    </row>
    <row r="4637" hidden="1">
      <c r="A4637" s="5" t="s">
        <v>12373</v>
      </c>
      <c r="B4637" s="2" t="s">
        <v>12374</v>
      </c>
      <c r="C4637" s="2" t="s">
        <v>12374</v>
      </c>
      <c r="D4637" s="4" t="str">
        <f>vlookup(A4637, Sheet2!D:E, 2, 0)</f>
        <v>control</v>
      </c>
      <c r="E4637" s="4" t="str">
        <f>IFERROR(__xludf.DUMMYFUNCTION("if(H4637=""pays"",vlookup(REGEXEXTRACT(C4637, ""🏘️ \w+ \w+ (.*) ✅""),'Country prepositions'!A:B, 2, 0) &amp; "" "" &amp; REGEXEXTRACT(C4637, ""🏘️ \w+ \w+ (.*) ✅"") ,  if(H4637=""quartier"",vlookup(REGEXEXTRACT(C4637, ""🏘️ \w+ \w+ (.*) ✅""),'Quartier prepositio"&amp;"ns'!A:E, 5, 0) ,  if(H4637=""region"",vlookup(REGEXEXTRACT(C4637, ""🏘️ \w+ \w+ (.*) ✅""),'Region prepositions'!B:F, 5, 0),  REGEXEXTRACT(C4637, ""🏘️ \w+ \w+ (.*) ✅""))))"),"#N/A")</f>
        <v>#N/A</v>
      </c>
      <c r="I4637" s="4" t="str">
        <f>IFERROR(__xludf.DUMMYFUNCTION("if(D4637=""variant"",  substitute(filter(Templates!E:E, Templates!A:A = F4637, Templates!B:B = G4637, Templates!C:C = H4637), ""{{}}"", E4637), B4637)"),"Louer appartement Mathod: Trouvez le bien immobilier qui correspond idéalement à vos désirs sur ImmoScout24 - La plateforme de l'immobilier en Suisse.")</f>
        <v>Louer appartement Mathod: Trouvez le bien immobilier qui correspond idéalement à vos désirs sur ImmoScout24 - La plateforme de l'immobilier en Suisse.</v>
      </c>
    </row>
    <row r="4638" hidden="1">
      <c r="A4638" s="5" t="s">
        <v>12375</v>
      </c>
      <c r="B4638" s="2" t="s">
        <v>12376</v>
      </c>
      <c r="C4638" s="2" t="s">
        <v>12376</v>
      </c>
      <c r="D4638" s="4" t="str">
        <f>vlookup(A4638, Sheet2!D:E, 2, 0)</f>
        <v>control</v>
      </c>
      <c r="E4638" s="4" t="str">
        <f>IFERROR(__xludf.DUMMYFUNCTION("if(H4638=""pays"",vlookup(REGEXEXTRACT(C4638, ""🏘️ \w+ \w+ (.*) ✅""),'Country prepositions'!A:B, 2, 0) &amp; "" "" &amp; REGEXEXTRACT(C4638, ""🏘️ \w+ \w+ (.*) ✅"") ,  if(H4638=""quartier"",vlookup(REGEXEXTRACT(C4638, ""🏘️ \w+ \w+ (.*) ✅""),'Quartier prepositio"&amp;"ns'!A:E, 5, 0) ,  if(H4638=""region"",vlookup(REGEXEXTRACT(C4638, ""🏘️ \w+ \w+ (.*) ✅""),'Region prepositions'!B:F, 5, 0),  REGEXEXTRACT(C4638, ""🏘️ \w+ \w+ (.*) ✅""))))"),"#N/A")</f>
        <v>#N/A</v>
      </c>
      <c r="I4638" s="4" t="str">
        <f>IFERROR(__xludf.DUMMYFUNCTION("if(D4638=""variant"",  substitute(filter(Templates!E:E, Templates!A:A = F4638, Templates!B:B = G4638, Templates!C:C = H4638), ""{{}}"", E4638), B4638)"),"Vendre appartement Chermignon: Trouvez le bien immobilier qui correspond idéalement à vos désirs sur ImmoScout24 - La plateforme de l'immobilier en Suisse.")</f>
        <v>Vendre appartement Chermignon: Trouvez le bien immobilier qui correspond idéalement à vos désirs sur ImmoScout24 - La plateforme de l'immobilier en Suisse.</v>
      </c>
    </row>
    <row r="4639" hidden="1">
      <c r="A4639" s="5" t="s">
        <v>12377</v>
      </c>
      <c r="B4639" s="2" t="s">
        <v>12378</v>
      </c>
      <c r="C4639" s="2" t="s">
        <v>12378</v>
      </c>
      <c r="D4639" s="4" t="str">
        <f>vlookup(A4639, Sheet2!D:E, 2, 0)</f>
        <v>control</v>
      </c>
      <c r="E4639" s="4" t="str">
        <f>IFERROR(__xludf.DUMMYFUNCTION("if(H4639=""pays"",vlookup(REGEXEXTRACT(C4639, ""🏘️ \w+ \w+ (.*) ✅""),'Country prepositions'!A:B, 2, 0) &amp; "" "" &amp; REGEXEXTRACT(C4639, ""🏘️ \w+ \w+ (.*) ✅"") ,  if(H4639=""quartier"",vlookup(REGEXEXTRACT(C4639, ""🏘️ \w+ \w+ (.*) ✅""),'Quartier prepositio"&amp;"ns'!A:E, 5, 0) ,  if(H4639=""region"",vlookup(REGEXEXTRACT(C4639, ""🏘️ \w+ \w+ (.*) ✅""),'Region prepositions'!B:F, 5, 0),  REGEXEXTRACT(C4639, ""🏘️ \w+ \w+ (.*) ✅""))))"),"#N/A")</f>
        <v>#N/A</v>
      </c>
      <c r="I4639" s="4" t="str">
        <f>IFERROR(__xludf.DUMMYFUNCTION("if(D4639=""variant"",  substitute(filter(Templates!E:E, Templates!A:A = F4639, Templates!B:B = G4639, Templates!C:C = H4639), ""{{}}"", E4639), B4639)"),"Vendre maison Konolfingen: Trouvez le bien immobilier qui correspond idéalement à vos désirs sur ImmoScout24 - La plateforme de l'immobilier en Suisse.")</f>
        <v>Vendre maison Konolfingen: Trouvez le bien immobilier qui correspond idéalement à vos désirs sur ImmoScout24 - La plateforme de l'immobilier en Suisse.</v>
      </c>
    </row>
    <row r="4640" hidden="1">
      <c r="A4640" s="5" t="s">
        <v>12379</v>
      </c>
      <c r="B4640" s="2" t="s">
        <v>12380</v>
      </c>
      <c r="C4640" s="2" t="s">
        <v>12380</v>
      </c>
      <c r="D4640" s="4" t="str">
        <f>vlookup(A4640, Sheet2!D:E, 2, 0)</f>
        <v>control</v>
      </c>
      <c r="E4640" s="4" t="str">
        <f>IFERROR(__xludf.DUMMYFUNCTION("if(H4640=""pays"",vlookup(REGEXEXTRACT(C4640, ""🏘️ \w+ \w+ (.*) ✅""),'Country prepositions'!A:B, 2, 0) &amp; "" "" &amp; REGEXEXTRACT(C4640, ""🏘️ \w+ \w+ (.*) ✅"") ,  if(H4640=""quartier"",vlookup(REGEXEXTRACT(C4640, ""🏘️ \w+ \w+ (.*) ✅""),'Quartier prepositio"&amp;"ns'!A:E, 5, 0) ,  if(H4640=""region"",vlookup(REGEXEXTRACT(C4640, ""🏘️ \w+ \w+ (.*) ✅""),'Region prepositions'!B:F, 5, 0),  REGEXEXTRACT(C4640, ""🏘️ \w+ \w+ (.*) ✅""))))"),"#N/A")</f>
        <v>#N/A</v>
      </c>
      <c r="I4640" s="4" t="str">
        <f>IFERROR(__xludf.DUMMYFUNCTION("if(D4640=""variant"",  substitute(filter(Templates!E:E, Templates!A:A = F4640, Templates!B:B = G4640, Templates!C:C = H4640), ""{{}}"", E4640), B4640)"),"Louer appartement Zollbrück: Trouvez le bien immobilier qui correspond idéalement à vos désirs sur ImmoScout24 - La plateforme de l'immobilier en Suisse.")</f>
        <v>Louer appartement Zollbrück: Trouvez le bien immobilier qui correspond idéalement à vos désirs sur ImmoScout24 - La plateforme de l'immobilier en Suisse.</v>
      </c>
    </row>
    <row r="4641" hidden="1">
      <c r="A4641" s="5" t="s">
        <v>12381</v>
      </c>
      <c r="B4641" s="2" t="s">
        <v>12382</v>
      </c>
      <c r="C4641" s="2" t="s">
        <v>12382</v>
      </c>
      <c r="D4641" s="4" t="str">
        <f>vlookup(A4641, Sheet2!D:E, 2, 0)</f>
        <v>control</v>
      </c>
      <c r="E4641" s="4" t="str">
        <f>IFERROR(__xludf.DUMMYFUNCTION("if(H4641=""pays"",vlookup(REGEXEXTRACT(C4641, ""🏘️ \w+ \w+ (.*) ✅""),'Country prepositions'!A:B, 2, 0) &amp; "" "" &amp; REGEXEXTRACT(C4641, ""🏘️ \w+ \w+ (.*) ✅"") ,  if(H4641=""quartier"",vlookup(REGEXEXTRACT(C4641, ""🏘️ \w+ \w+ (.*) ✅""),'Quartier prepositio"&amp;"ns'!A:E, 5, 0) ,  if(H4641=""region"",vlookup(REGEXEXTRACT(C4641, ""🏘️ \w+ \w+ (.*) ✅""),'Region prepositions'!B:F, 5, 0),  REGEXEXTRACT(C4641, ""🏘️ \w+ \w+ (.*) ✅""))))"),"#N/A")</f>
        <v>#N/A</v>
      </c>
      <c r="I4641" s="4" t="str">
        <f>IFERROR(__xludf.DUMMYFUNCTION("if(D4641=""variant"",  substitute(filter(Templates!E:E, Templates!A:A = F4641, Templates!B:B = G4641, Templates!C:C = H4641), ""{{}}"", E4641), B4641)"),"Louer maison Mollie-Margot: Trouvez le bien immobilier qui correspond idéalement à vos désirs sur ImmoScout24 - La plateforme de l'immobilier en Suisse.")</f>
        <v>Louer maison Mollie-Margot: Trouvez le bien immobilier qui correspond idéalement à vos désirs sur ImmoScout24 - La plateforme de l'immobilier en Suisse.</v>
      </c>
    </row>
    <row r="4642" hidden="1">
      <c r="A4642" s="5" t="s">
        <v>12383</v>
      </c>
      <c r="B4642" s="2" t="s">
        <v>12384</v>
      </c>
      <c r="C4642" s="2" t="s">
        <v>12384</v>
      </c>
      <c r="D4642" s="4" t="str">
        <f>vlookup(A4642, Sheet2!D:E, 2, 0)</f>
        <v>control</v>
      </c>
      <c r="E4642" s="4" t="str">
        <f>IFERROR(__xludf.DUMMYFUNCTION("if(H4642=""pays"",vlookup(REGEXEXTRACT(C4642, ""🏘️ \w+ \w+ (.*) ✅""),'Country prepositions'!A:B, 2, 0) &amp; "" "" &amp; REGEXEXTRACT(C4642, ""🏘️ \w+ \w+ (.*) ✅"") ,  if(H4642=""quartier"",vlookup(REGEXEXTRACT(C4642, ""🏘️ \w+ \w+ (.*) ✅""),'Quartier prepositio"&amp;"ns'!A:E, 5, 0) ,  if(H4642=""region"",vlookup(REGEXEXTRACT(C4642, ""🏘️ \w+ \w+ (.*) ✅""),'Region prepositions'!B:F, 5, 0),  REGEXEXTRACT(C4642, ""🏘️ \w+ \w+ (.*) ✅""))))"),"#N/A")</f>
        <v>#N/A</v>
      </c>
      <c r="I4642" s="4" t="str">
        <f>IFERROR(__xludf.DUMMYFUNCTION("if(D4642=""variant"",  substitute(filter(Templates!E:E, Templates!A:A = F4642, Templates!B:B = G4642, Templates!C:C = H4642), ""{{}}"", E4642), B4642)"),"Vendre appartement Castagnola: Trouvez le bien immobilier qui correspond idéalement à vos désirs sur ImmoScout24 - La plateforme de l'immobilier en Suisse.")</f>
        <v>Vendre appartement Castagnola: Trouvez le bien immobilier qui correspond idéalement à vos désirs sur ImmoScout24 - La plateforme de l'immobilier en Suisse.</v>
      </c>
    </row>
    <row r="4643" hidden="1">
      <c r="A4643" s="5" t="s">
        <v>12385</v>
      </c>
      <c r="B4643" s="2" t="s">
        <v>12386</v>
      </c>
      <c r="C4643" s="2" t="s">
        <v>12386</v>
      </c>
      <c r="D4643" s="4" t="str">
        <f>vlookup(A4643, Sheet2!D:E, 2, 0)</f>
        <v>control</v>
      </c>
      <c r="E4643" s="4" t="str">
        <f>IFERROR(__xludf.DUMMYFUNCTION("if(H4643=""pays"",vlookup(REGEXEXTRACT(C4643, ""🏘️ \w+ \w+ (.*) ✅""),'Country prepositions'!A:B, 2, 0) &amp; "" "" &amp; REGEXEXTRACT(C4643, ""🏘️ \w+ \w+ (.*) ✅"") ,  if(H4643=""quartier"",vlookup(REGEXEXTRACT(C4643, ""🏘️ \w+ \w+ (.*) ✅""),'Quartier prepositio"&amp;"ns'!A:E, 5, 0) ,  if(H4643=""region"",vlookup(REGEXEXTRACT(C4643, ""🏘️ \w+ \w+ (.*) ✅""),'Region prepositions'!B:F, 5, 0),  REGEXEXTRACT(C4643, ""🏘️ \w+ \w+ (.*) ✅""))))"),"#N/A")</f>
        <v>#N/A</v>
      </c>
      <c r="I4643" s="4" t="str">
        <f>IFERROR(__xludf.DUMMYFUNCTION("if(D4643=""variant"",  substitute(filter(Templates!E:E, Templates!A:A = F4643, Templates!B:B = G4643, Templates!C:C = H4643), ""{{}}"", E4643), B4643)"),"Vendre appartement Surpierre: Trouvez le bien immobilier qui correspond idéalement à vos désirs sur ImmoScout24 - La plateforme de l'immobilier en Suisse.")</f>
        <v>Vendre appartement Surpierre: Trouvez le bien immobilier qui correspond idéalement à vos désirs sur ImmoScout24 - La plateforme de l'immobilier en Suisse.</v>
      </c>
    </row>
    <row r="4644" hidden="1">
      <c r="A4644" s="5" t="s">
        <v>12387</v>
      </c>
      <c r="B4644" s="2" t="s">
        <v>12388</v>
      </c>
      <c r="C4644" s="2" t="s">
        <v>12388</v>
      </c>
      <c r="D4644" s="4" t="str">
        <f>vlookup(A4644, Sheet2!D:E, 2, 0)</f>
        <v>control</v>
      </c>
      <c r="E4644" s="4" t="str">
        <f>IFERROR(__xludf.DUMMYFUNCTION("if(H4644=""pays"",vlookup(REGEXEXTRACT(C4644, ""🏘️ \w+ \w+ (.*) ✅""),'Country prepositions'!A:B, 2, 0) &amp; "" "" &amp; REGEXEXTRACT(C4644, ""🏘️ \w+ \w+ (.*) ✅"") ,  if(H4644=""quartier"",vlookup(REGEXEXTRACT(C4644, ""🏘️ \w+ \w+ (.*) ✅""),'Quartier prepositio"&amp;"ns'!A:E, 5, 0) ,  if(H4644=""region"",vlookup(REGEXEXTRACT(C4644, ""🏘️ \w+ \w+ (.*) ✅""),'Region prepositions'!B:F, 5, 0),  REGEXEXTRACT(C4644, ""🏘️ \w+ \w+ (.*) ✅""))))"),"#N/A")</f>
        <v>#N/A</v>
      </c>
      <c r="I4644" s="4" t="str">
        <f>IFERROR(__xludf.DUMMYFUNCTION("if(D4644=""variant"",  substitute(filter(Templates!E:E, Templates!A:A = F4644, Templates!B:B = G4644, Templates!C:C = H4644), ""{{}}"", E4644), B4644)"),"Vendre maison Aranno: Trouvez le bien immobilier qui correspond idéalement à vos désirs sur ImmoScout24 - La plateforme de l'immobilier en Suisse.")</f>
        <v>Vendre maison Aranno: Trouvez le bien immobilier qui correspond idéalement à vos désirs sur ImmoScout24 - La plateforme de l'immobilier en Suisse.</v>
      </c>
    </row>
    <row r="4645" hidden="1">
      <c r="A4645" s="5" t="s">
        <v>12389</v>
      </c>
      <c r="B4645" s="2" t="s">
        <v>12390</v>
      </c>
      <c r="C4645" s="2" t="s">
        <v>12390</v>
      </c>
      <c r="D4645" s="4" t="str">
        <f>vlookup(A4645, Sheet2!D:E, 2, 0)</f>
        <v>control</v>
      </c>
      <c r="E4645" s="4" t="str">
        <f>IFERROR(__xludf.DUMMYFUNCTION("if(H4645=""pays"",vlookup(REGEXEXTRACT(C4645, ""🏘️ \w+ \w+ (.*) ✅""),'Country prepositions'!A:B, 2, 0) &amp; "" "" &amp; REGEXEXTRACT(C4645, ""🏘️ \w+ \w+ (.*) ✅"") ,  if(H4645=""quartier"",vlookup(REGEXEXTRACT(C4645, ""🏘️ \w+ \w+ (.*) ✅""),'Quartier prepositio"&amp;"ns'!A:E, 5, 0) ,  if(H4645=""region"",vlookup(REGEXEXTRACT(C4645, ""🏘️ \w+ \w+ (.*) ✅""),'Region prepositions'!B:F, 5, 0),  REGEXEXTRACT(C4645, ""🏘️ \w+ \w+ (.*) ✅""))))"),"#N/A")</f>
        <v>#N/A</v>
      </c>
      <c r="I4645" s="4" t="str">
        <f>IFERROR(__xludf.DUMMYFUNCTION("if(D4645=""variant"",  substitute(filter(Templates!E:E, Templates!A:A = F4645, Templates!B:B = G4645, Templates!C:C = H4645), ""{{}}"", E4645), B4645)"),"Vendre appartement Dizy: Trouvez le bien immobilier qui correspond idéalement à vos désirs sur ImmoScout24 - La plateforme de l'immobilier en Suisse.")</f>
        <v>Vendre appartement Dizy: Trouvez le bien immobilier qui correspond idéalement à vos désirs sur ImmoScout24 - La plateforme de l'immobilier en Suisse.</v>
      </c>
    </row>
    <row r="4646" hidden="1">
      <c r="A4646" s="5" t="s">
        <v>12391</v>
      </c>
      <c r="B4646" s="2" t="s">
        <v>12392</v>
      </c>
      <c r="C4646" s="2" t="s">
        <v>12392</v>
      </c>
      <c r="D4646" s="4" t="str">
        <f>vlookup(A4646, Sheet2!D:E, 2, 0)</f>
        <v>control</v>
      </c>
      <c r="E4646" s="4" t="str">
        <f>IFERROR(__xludf.DUMMYFUNCTION("if(H4646=""pays"",vlookup(REGEXEXTRACT(C4646, ""🏘️ \w+ \w+ (.*) ✅""),'Country prepositions'!A:B, 2, 0) &amp; "" "" &amp; REGEXEXTRACT(C4646, ""🏘️ \w+ \w+ (.*) ✅"") ,  if(H4646=""quartier"",vlookup(REGEXEXTRACT(C4646, ""🏘️ \w+ \w+ (.*) ✅""),'Quartier prepositio"&amp;"ns'!A:E, 5, 0) ,  if(H4646=""region"",vlookup(REGEXEXTRACT(C4646, ""🏘️ \w+ \w+ (.*) ✅""),'Region prepositions'!B:F, 5, 0),  REGEXEXTRACT(C4646, ""🏘️ \w+ \w+ (.*) ✅""))))"),"#N/A")</f>
        <v>#N/A</v>
      </c>
      <c r="I4646" s="4" t="str">
        <f>IFERROR(__xludf.DUMMYFUNCTION("if(D4646=""variant"",  substitute(filter(Templates!E:E, Templates!A:A = F4646, Templates!B:B = G4646, Templates!C:C = H4646), ""{{}}"", E4646), B4646)"),"Louer appartement Grosshöchstetten: Trouvez le bien immobilier qui correspond idéalement à vos désirs sur ImmoScout24 - La plateforme de l'immobilier en Suisse.")</f>
        <v>Louer appartement Grosshöchstetten: Trouvez le bien immobilier qui correspond idéalement à vos désirs sur ImmoScout24 - La plateforme de l'immobilier en Suisse.</v>
      </c>
    </row>
    <row r="4647" hidden="1">
      <c r="A4647" s="5" t="s">
        <v>12393</v>
      </c>
      <c r="B4647" s="2" t="s">
        <v>12394</v>
      </c>
      <c r="C4647" s="2" t="s">
        <v>12394</v>
      </c>
      <c r="D4647" s="4" t="str">
        <f>vlookup(A4647, Sheet2!D:E, 2, 0)</f>
        <v>control</v>
      </c>
      <c r="E4647" s="4" t="str">
        <f>IFERROR(__xludf.DUMMYFUNCTION("if(H4647=""pays"",vlookup(REGEXEXTRACT(C4647, ""🏘️ \w+ \w+ (.*) ✅""),'Country prepositions'!A:B, 2, 0) &amp; "" "" &amp; REGEXEXTRACT(C4647, ""🏘️ \w+ \w+ (.*) ✅"") ,  if(H4647=""quartier"",vlookup(REGEXEXTRACT(C4647, ""🏘️ \w+ \w+ (.*) ✅""),'Quartier prepositio"&amp;"ns'!A:E, 5, 0) ,  if(H4647=""region"",vlookup(REGEXEXTRACT(C4647, ""🏘️ \w+ \w+ (.*) ✅""),'Region prepositions'!B:F, 5, 0),  REGEXEXTRACT(C4647, ""🏘️ \w+ \w+ (.*) ✅""))))"),"#N/A")</f>
        <v>#N/A</v>
      </c>
      <c r="I4647" s="4" t="str">
        <f>IFERROR(__xludf.DUMMYFUNCTION("if(D4647=""variant"",  substitute(filter(Templates!E:E, Templates!A:A = F4647, Templates!B:B = G4647, Templates!C:C = H4647), ""{{}}"", E4647), B4647)"),"Vendre appartement Conthey: Trouvez le bien immobilier qui correspond idéalement à vos désirs sur ImmoScout24 - La plateforme de l'immobilier en Suisse.")</f>
        <v>Vendre appartement Conthey: Trouvez le bien immobilier qui correspond idéalement à vos désirs sur ImmoScout24 - La plateforme de l'immobilier en Suisse.</v>
      </c>
    </row>
    <row r="4648" hidden="1">
      <c r="A4648" s="5" t="s">
        <v>12395</v>
      </c>
      <c r="B4648" s="2" t="s">
        <v>12396</v>
      </c>
      <c r="C4648" s="2" t="s">
        <v>12396</v>
      </c>
      <c r="D4648" s="4" t="str">
        <f>vlookup(A4648, Sheet2!D:E, 2, 0)</f>
        <v>control</v>
      </c>
      <c r="E4648" s="4" t="str">
        <f>IFERROR(__xludf.DUMMYFUNCTION("if(H4648=""pays"",vlookup(REGEXEXTRACT(C4648, ""🏘️ \w+ \w+ (.*) ✅""),'Country prepositions'!A:B, 2, 0) &amp; "" "" &amp; REGEXEXTRACT(C4648, ""🏘️ \w+ \w+ (.*) ✅"") ,  if(H4648=""quartier"",vlookup(REGEXEXTRACT(C4648, ""🏘️ \w+ \w+ (.*) ✅""),'Quartier prepositio"&amp;"ns'!A:E, 5, 0) ,  if(H4648=""region"",vlookup(REGEXEXTRACT(C4648, ""🏘️ \w+ \w+ (.*) ✅""),'Region prepositions'!B:F, 5, 0),  REGEXEXTRACT(C4648, ""🏘️ \w+ \w+ (.*) ✅""))))"),"#N/A")</f>
        <v>#N/A</v>
      </c>
      <c r="I4648" s="4" t="str">
        <f>IFERROR(__xludf.DUMMYFUNCTION("if(D4648=""variant"",  substitute(filter(Templates!E:E, Templates!A:A = F4648, Templates!B:B = G4648, Templates!C:C = H4648), ""{{}}"", E4648), B4648)"),"Vendre maison Obwalden: Trouvez le bien immobilier qui correspond idéalement à vos désirs sur ImmoScout24 - La plateforme de l'immobilier en Suisse.")</f>
        <v>Vendre maison Obwalden: Trouvez le bien immobilier qui correspond idéalement à vos désirs sur ImmoScout24 - La plateforme de l'immobilier en Suisse.</v>
      </c>
    </row>
    <row r="4649" hidden="1">
      <c r="A4649" s="5" t="s">
        <v>12397</v>
      </c>
      <c r="B4649" s="2" t="s">
        <v>12398</v>
      </c>
      <c r="C4649" s="2" t="s">
        <v>12398</v>
      </c>
      <c r="D4649" s="4" t="str">
        <f>vlookup(A4649, Sheet2!D:E, 2, 0)</f>
        <v>control</v>
      </c>
      <c r="E4649" s="4" t="str">
        <f>IFERROR(__xludf.DUMMYFUNCTION("if(H4649=""pays"",vlookup(REGEXEXTRACT(C4649, ""🏘️ \w+ \w+ (.*) ✅""),'Country prepositions'!A:B, 2, 0) &amp; "" "" &amp; REGEXEXTRACT(C4649, ""🏘️ \w+ \w+ (.*) ✅"") ,  if(H4649=""quartier"",vlookup(REGEXEXTRACT(C4649, ""🏘️ \w+ \w+ (.*) ✅""),'Quartier prepositio"&amp;"ns'!A:E, 5, 0) ,  if(H4649=""region"",vlookup(REGEXEXTRACT(C4649, ""🏘️ \w+ \w+ (.*) ✅""),'Region prepositions'!B:F, 5, 0),  REGEXEXTRACT(C4649, ""🏘️ \w+ \w+ (.*) ✅""))))"),"#N/A")</f>
        <v>#N/A</v>
      </c>
      <c r="I4649" s="4" t="str">
        <f>IFERROR(__xludf.DUMMYFUNCTION("if(D4649=""variant"",  substitute(filter(Templates!E:E, Templates!A:A = F4649, Templates!B:B = G4649, Templates!C:C = H4649), ""{{}}"", E4649), B4649)"),"Vendre maison Witikon (Zurich): Trouvez le bien immobilier qui correspond idéalement à vos désirs sur ImmoScout24 - La plateforme de l'immobilier en Suisse.")</f>
        <v>Vendre maison Witikon (Zurich): Trouvez le bien immobilier qui correspond idéalement à vos désirs sur ImmoScout24 - La plateforme de l'immobilier en Suisse.</v>
      </c>
    </row>
    <row r="4650" hidden="1">
      <c r="A4650" s="5" t="s">
        <v>12399</v>
      </c>
      <c r="B4650" s="2" t="s">
        <v>12400</v>
      </c>
      <c r="C4650" s="2" t="s">
        <v>12400</v>
      </c>
      <c r="D4650" s="4" t="str">
        <f>vlookup(A4650, Sheet2!D:E, 2, 0)</f>
        <v>control</v>
      </c>
      <c r="E4650" s="4" t="str">
        <f>IFERROR(__xludf.DUMMYFUNCTION("if(H4650=""pays"",vlookup(REGEXEXTRACT(C4650, ""🏘️ \w+ \w+ (.*) ✅""),'Country prepositions'!A:B, 2, 0) &amp; "" "" &amp; REGEXEXTRACT(C4650, ""🏘️ \w+ \w+ (.*) ✅"") ,  if(H4650=""quartier"",vlookup(REGEXEXTRACT(C4650, ""🏘️ \w+ \w+ (.*) ✅""),'Quartier prepositio"&amp;"ns'!A:E, 5, 0) ,  if(H4650=""region"",vlookup(REGEXEXTRACT(C4650, ""🏘️ \w+ \w+ (.*) ✅""),'Region prepositions'!B:F, 5, 0),  REGEXEXTRACT(C4650, ""🏘️ \w+ \w+ (.*) ✅""))))"),"#N/A")</f>
        <v>#N/A</v>
      </c>
      <c r="I4650" s="4" t="str">
        <f>IFERROR(__xludf.DUMMYFUNCTION("if(D4650=""variant"",  substitute(filter(Templates!E:E, Templates!A:A = F4650, Templates!B:B = G4650, Templates!C:C = H4650), ""{{}}"", E4650), B4650)"),"Vendre appartement Stein AG: Trouvez le bien immobilier qui correspond idéalement à vos désirs sur ImmoScout24 - La plateforme de l'immobilier en Suisse.")</f>
        <v>Vendre appartement Stein AG: Trouvez le bien immobilier qui correspond idéalement à vos désirs sur ImmoScout24 - La plateforme de l'immobilier en Suisse.</v>
      </c>
    </row>
    <row r="4651" hidden="1">
      <c r="A4651" s="5" t="s">
        <v>12401</v>
      </c>
      <c r="B4651" s="2" t="s">
        <v>12402</v>
      </c>
      <c r="C4651" s="2" t="s">
        <v>12402</v>
      </c>
      <c r="D4651" s="4" t="str">
        <f>vlookup(A4651, Sheet2!D:E, 2, 0)</f>
        <v>control</v>
      </c>
      <c r="E4651" s="4" t="str">
        <f>IFERROR(__xludf.DUMMYFUNCTION("if(H4651=""pays"",vlookup(REGEXEXTRACT(C4651, ""🏘️ \w+ \w+ (.*) ✅""),'Country prepositions'!A:B, 2, 0) &amp; "" "" &amp; REGEXEXTRACT(C4651, ""🏘️ \w+ \w+ (.*) ✅"") ,  if(H4651=""quartier"",vlookup(REGEXEXTRACT(C4651, ""🏘️ \w+ \w+ (.*) ✅""),'Quartier prepositio"&amp;"ns'!A:E, 5, 0) ,  if(H4651=""region"",vlookup(REGEXEXTRACT(C4651, ""🏘️ \w+ \w+ (.*) ✅""),'Region prepositions'!B:F, 5, 0),  REGEXEXTRACT(C4651, ""🏘️ \w+ \w+ (.*) ✅""))))"),"#N/A")</f>
        <v>#N/A</v>
      </c>
      <c r="I4651" s="4" t="str">
        <f>IFERROR(__xludf.DUMMYFUNCTION("if(D4651=""variant"",  substitute(filter(Templates!E:E, Templates!A:A = F4651, Templates!B:B = G4651, Templates!C:C = H4651), ""{{}}"", E4651), B4651)"),"Vendre maison Morgins: Trouvez le bien immobilier qui correspond idéalement à vos désirs sur ImmoScout24 - La plateforme de l'immobilier en Suisse.")</f>
        <v>Vendre maison Morgins: Trouvez le bien immobilier qui correspond idéalement à vos désirs sur ImmoScout24 - La plateforme de l'immobilier en Suisse.</v>
      </c>
    </row>
    <row r="4652" hidden="1">
      <c r="A4652" s="5" t="s">
        <v>12403</v>
      </c>
      <c r="B4652" s="2" t="s">
        <v>12404</v>
      </c>
      <c r="C4652" s="2" t="s">
        <v>12404</v>
      </c>
      <c r="D4652" s="4" t="str">
        <f>vlookup(A4652, Sheet2!D:E, 2, 0)</f>
        <v>control</v>
      </c>
      <c r="E4652" s="4" t="str">
        <f>IFERROR(__xludf.DUMMYFUNCTION("if(H4652=""pays"",vlookup(REGEXEXTRACT(C4652, ""🏘️ \w+ \w+ (.*) ✅""),'Country prepositions'!A:B, 2, 0) &amp; "" "" &amp; REGEXEXTRACT(C4652, ""🏘️ \w+ \w+ (.*) ✅"") ,  if(H4652=""quartier"",vlookup(REGEXEXTRACT(C4652, ""🏘️ \w+ \w+ (.*) ✅""),'Quartier prepositio"&amp;"ns'!A:E, 5, 0) ,  if(H4652=""region"",vlookup(REGEXEXTRACT(C4652, ""🏘️ \w+ \w+ (.*) ✅""),'Region prepositions'!B:F, 5, 0),  REGEXEXTRACT(C4652, ""🏘️ \w+ \w+ (.*) ✅""))))"),"#N/A")</f>
        <v>#N/A</v>
      </c>
      <c r="I4652" s="4" t="str">
        <f>IFERROR(__xludf.DUMMYFUNCTION("if(D4652=""variant"",  substitute(filter(Templates!E:E, Templates!A:A = F4652, Templates!B:B = G4652, Templates!C:C = H4652), ""{{}}"", E4652), B4652)"),"Vendre maison Sion - Sierre et environs: Trouvez le bien immobilier qui correspond idéalement à vos désirs sur ImmoScout24 - La plateforme de l'immobilier en Suisse.")</f>
        <v>Vendre maison Sion - Sierre et environs: Trouvez le bien immobilier qui correspond idéalement à vos désirs sur ImmoScout24 - La plateforme de l'immobilier en Suisse.</v>
      </c>
    </row>
    <row r="4653" hidden="1">
      <c r="A4653" s="5" t="s">
        <v>12405</v>
      </c>
      <c r="B4653" s="2" t="s">
        <v>12406</v>
      </c>
      <c r="C4653" s="2" t="s">
        <v>12406</v>
      </c>
      <c r="D4653" s="4" t="str">
        <f>vlookup(A4653, Sheet2!D:E, 2, 0)</f>
        <v>control</v>
      </c>
      <c r="E4653" s="4" t="str">
        <f>IFERROR(__xludf.DUMMYFUNCTION("if(H4653=""pays"",vlookup(REGEXEXTRACT(C4653, ""🏘️ \w+ \w+ (.*) ✅""),'Country prepositions'!A:B, 2, 0) &amp; "" "" &amp; REGEXEXTRACT(C4653, ""🏘️ \w+ \w+ (.*) ✅"") ,  if(H4653=""quartier"",vlookup(REGEXEXTRACT(C4653, ""🏘️ \w+ \w+ (.*) ✅""),'Quartier prepositio"&amp;"ns'!A:E, 5, 0) ,  if(H4653=""region"",vlookup(REGEXEXTRACT(C4653, ""🏘️ \w+ \w+ (.*) ✅""),'Region prepositions'!B:F, 5, 0),  REGEXEXTRACT(C4653, ""🏘️ \w+ \w+ (.*) ✅""))))"),"#N/A")</f>
        <v>#N/A</v>
      </c>
      <c r="I4653" s="4" t="str">
        <f>IFERROR(__xludf.DUMMYFUNCTION("if(D4653=""variant"",  substitute(filter(Templates!E:E, Templates!A:A = F4653, Templates!B:B = G4653, Templates!C:C = H4653), ""{{}}"", E4653), B4653)"),"Vendre appartement Bouchet - Moillebeau (Genève): Trouvez le bien immobilier qui correspond idéalement à vos désirs sur ImmoScout24 - La plateforme de l'immobilier en Suisse.")</f>
        <v>Vendre appartement Bouchet - Moillebeau (Genève): Trouvez le bien immobilier qui correspond idéalement à vos désirs sur ImmoScout24 - La plateforme de l'immobilier en Suisse.</v>
      </c>
    </row>
    <row r="4654" hidden="1">
      <c r="A4654" s="5" t="s">
        <v>12407</v>
      </c>
      <c r="B4654" s="2" t="s">
        <v>12408</v>
      </c>
      <c r="C4654" s="2" t="s">
        <v>12408</v>
      </c>
      <c r="D4654" s="4" t="str">
        <f>vlookup(A4654, Sheet2!D:E, 2, 0)</f>
        <v>control</v>
      </c>
      <c r="E4654" s="4" t="str">
        <f>IFERROR(__xludf.DUMMYFUNCTION("if(H4654=""pays"",vlookup(REGEXEXTRACT(C4654, ""🏘️ \w+ \w+ (.*) ✅""),'Country prepositions'!A:B, 2, 0) &amp; "" "" &amp; REGEXEXTRACT(C4654, ""🏘️ \w+ \w+ (.*) ✅"") ,  if(H4654=""quartier"",vlookup(REGEXEXTRACT(C4654, ""🏘️ \w+ \w+ (.*) ✅""),'Quartier prepositio"&amp;"ns'!A:E, 5, 0) ,  if(H4654=""region"",vlookup(REGEXEXTRACT(C4654, ""🏘️ \w+ \w+ (.*) ✅""),'Region prepositions'!B:F, 5, 0),  REGEXEXTRACT(C4654, ""🏘️ \w+ \w+ (.*) ✅""))))"),"#N/A")</f>
        <v>#N/A</v>
      </c>
      <c r="I4654" s="4" t="str">
        <f>IFERROR(__xludf.DUMMYFUNCTION("if(D4654=""variant"",  substitute(filter(Templates!E:E, Templates!A:A = F4654, Templates!B:B = G4654, Templates!C:C = H4654), ""{{}}"", E4654), B4654)"),"Vendre maison Cortébert: Trouvez le bien immobilier qui correspond idéalement à vos désirs sur ImmoScout24 - La plateforme de l'immobilier en Suisse.")</f>
        <v>Vendre maison Cortébert: Trouvez le bien immobilier qui correspond idéalement à vos désirs sur ImmoScout24 - La plateforme de l'immobilier en Suisse.</v>
      </c>
    </row>
    <row r="4655" hidden="1">
      <c r="A4655" s="5" t="s">
        <v>12409</v>
      </c>
      <c r="B4655" s="2" t="s">
        <v>12410</v>
      </c>
      <c r="C4655" s="2" t="s">
        <v>12410</v>
      </c>
      <c r="D4655" s="4" t="str">
        <f>vlookup(A4655, Sheet2!D:E, 2, 0)</f>
        <v>control</v>
      </c>
      <c r="E4655" s="4" t="str">
        <f>IFERROR(__xludf.DUMMYFUNCTION("if(H4655=""pays"",vlookup(REGEXEXTRACT(C4655, ""🏘️ \w+ \w+ (.*) ✅""),'Country prepositions'!A:B, 2, 0) &amp; "" "" &amp; REGEXEXTRACT(C4655, ""🏘️ \w+ \w+ (.*) ✅"") ,  if(H4655=""quartier"",vlookup(REGEXEXTRACT(C4655, ""🏘️ \w+ \w+ (.*) ✅""),'Quartier prepositio"&amp;"ns'!A:E, 5, 0) ,  if(H4655=""region"",vlookup(REGEXEXTRACT(C4655, ""🏘️ \w+ \w+ (.*) ✅""),'Region prepositions'!B:F, 5, 0),  REGEXEXTRACT(C4655, ""🏘️ \w+ \w+ (.*) ✅""))))"),"#N/A")</f>
        <v>#N/A</v>
      </c>
      <c r="I4655" s="4" t="str">
        <f>IFERROR(__xludf.DUMMYFUNCTION("if(D4655=""variant"",  substitute(filter(Templates!E:E, Templates!A:A = F4655, Templates!B:B = G4655, Templates!C:C = H4655), ""{{}}"", E4655), B4655)"),"Vendre maison Menzonio: Trouvez le bien immobilier qui correspond idéalement à vos désirs sur ImmoScout24 - La plateforme de l'immobilier en Suisse.")</f>
        <v>Vendre maison Menzonio: Trouvez le bien immobilier qui correspond idéalement à vos désirs sur ImmoScout24 - La plateforme de l'immobilier en Suisse.</v>
      </c>
    </row>
    <row r="4656" hidden="1">
      <c r="A4656" s="5" t="s">
        <v>12411</v>
      </c>
      <c r="B4656" s="2" t="s">
        <v>12412</v>
      </c>
      <c r="C4656" s="2" t="s">
        <v>12412</v>
      </c>
      <c r="D4656" s="4" t="str">
        <f>vlookup(A4656, Sheet2!D:E, 2, 0)</f>
        <v>control</v>
      </c>
      <c r="E4656" s="4" t="str">
        <f>IFERROR(__xludf.DUMMYFUNCTION("if(H4656=""pays"",vlookup(REGEXEXTRACT(C4656, ""🏘️ \w+ \w+ (.*) ✅""),'Country prepositions'!A:B, 2, 0) &amp; "" "" &amp; REGEXEXTRACT(C4656, ""🏘️ \w+ \w+ (.*) ✅"") ,  if(H4656=""quartier"",vlookup(REGEXEXTRACT(C4656, ""🏘️ \w+ \w+ (.*) ✅""),'Quartier prepositio"&amp;"ns'!A:E, 5, 0) ,  if(H4656=""region"",vlookup(REGEXEXTRACT(C4656, ""🏘️ \w+ \w+ (.*) ✅""),'Region prepositions'!B:F, 5, 0),  REGEXEXTRACT(C4656, ""🏘️ \w+ \w+ (.*) ✅""))))"),"#N/A")</f>
        <v>#N/A</v>
      </c>
      <c r="I4656" s="4" t="str">
        <f>IFERROR(__xludf.DUMMYFUNCTION("if(D4656=""variant"",  substitute(filter(Templates!E:E, Templates!A:A = F4656, Templates!B:B = G4656, Templates!C:C = H4656), ""{{}}"", E4656), B4656)"),"Vendre appartement Anzère: Trouvez le bien immobilier qui correspond idéalement à vos désirs sur ImmoScout24 - La plateforme de l'immobilier en Suisse.")</f>
        <v>Vendre appartement Anzère: Trouvez le bien immobilier qui correspond idéalement à vos désirs sur ImmoScout24 - La plateforme de l'immobilier en Suisse.</v>
      </c>
    </row>
    <row r="4657" hidden="1">
      <c r="A4657" s="5" t="s">
        <v>12413</v>
      </c>
      <c r="B4657" s="2" t="s">
        <v>12414</v>
      </c>
      <c r="C4657" s="2" t="s">
        <v>12414</v>
      </c>
      <c r="D4657" s="4" t="str">
        <f>vlookup(A4657, Sheet2!D:E, 2, 0)</f>
        <v>control</v>
      </c>
      <c r="E4657" s="4" t="str">
        <f>IFERROR(__xludf.DUMMYFUNCTION("if(H4657=""pays"",vlookup(REGEXEXTRACT(C4657, ""🏘️ \w+ \w+ (.*) ✅""),'Country prepositions'!A:B, 2, 0) &amp; "" "" &amp; REGEXEXTRACT(C4657, ""🏘️ \w+ \w+ (.*) ✅"") ,  if(H4657=""quartier"",vlookup(REGEXEXTRACT(C4657, ""🏘️ \w+ \w+ (.*) ✅""),'Quartier prepositio"&amp;"ns'!A:E, 5, 0) ,  if(H4657=""region"",vlookup(REGEXEXTRACT(C4657, ""🏘️ \w+ \w+ (.*) ✅""),'Region prepositions'!B:F, 5, 0),  REGEXEXTRACT(C4657, ""🏘️ \w+ \w+ (.*) ✅""))))"),"#N/A")</f>
        <v>#N/A</v>
      </c>
      <c r="I4657" s="4" t="str">
        <f>IFERROR(__xludf.DUMMYFUNCTION("if(D4657=""variant"",  substitute(filter(Templates!E:E, Templates!A:A = F4657, Templates!B:B = G4657, Templates!C:C = H4657), ""{{}}"", E4657), B4657)"),"Louer maison Savagnier: Trouvez le bien immobilier qui correspond idéalement à vos désirs sur ImmoScout24 - La plateforme de l'immobilier en Suisse.")</f>
        <v>Louer maison Savagnier: Trouvez le bien immobilier qui correspond idéalement à vos désirs sur ImmoScout24 - La plateforme de l'immobilier en Suisse.</v>
      </c>
    </row>
    <row r="4658" hidden="1">
      <c r="A4658" s="5" t="s">
        <v>12415</v>
      </c>
      <c r="B4658" s="2" t="s">
        <v>12416</v>
      </c>
      <c r="C4658" s="2" t="s">
        <v>12416</v>
      </c>
      <c r="D4658" s="4" t="str">
        <f>vlookup(A4658, Sheet2!D:E, 2, 0)</f>
        <v>control</v>
      </c>
      <c r="E4658" s="4" t="str">
        <f>IFERROR(__xludf.DUMMYFUNCTION("if(H4658=""pays"",vlookup(REGEXEXTRACT(C4658, ""🏘️ \w+ \w+ (.*) ✅""),'Country prepositions'!A:B, 2, 0) &amp; "" "" &amp; REGEXEXTRACT(C4658, ""🏘️ \w+ \w+ (.*) ✅"") ,  if(H4658=""quartier"",vlookup(REGEXEXTRACT(C4658, ""🏘️ \w+ \w+ (.*) ✅""),'Quartier prepositio"&amp;"ns'!A:E, 5, 0) ,  if(H4658=""region"",vlookup(REGEXEXTRACT(C4658, ""🏘️ \w+ \w+ (.*) ✅""),'Region prepositions'!B:F, 5, 0),  REGEXEXTRACT(C4658, ""🏘️ \w+ \w+ (.*) ✅""))))"),"#N/A")</f>
        <v>#N/A</v>
      </c>
      <c r="I4658" s="4" t="str">
        <f>IFERROR(__xludf.DUMMYFUNCTION("if(D4658=""variant"",  substitute(filter(Templates!E:E, Templates!A:A = F4658, Templates!B:B = G4658, Templates!C:C = H4658), ""{{}}"", E4658), B4658)"),"Vendre maison Versam: Trouvez le bien immobilier qui correspond idéalement à vos désirs sur ImmoScout24 - La plateforme de l'immobilier en Suisse.")</f>
        <v>Vendre maison Versam: Trouvez le bien immobilier qui correspond idéalement à vos désirs sur ImmoScout24 - La plateforme de l'immobilier en Suisse.</v>
      </c>
    </row>
    <row r="4659" hidden="1">
      <c r="A4659" s="5" t="s">
        <v>12417</v>
      </c>
      <c r="B4659" s="2" t="s">
        <v>12418</v>
      </c>
      <c r="C4659" s="2" t="s">
        <v>12418</v>
      </c>
      <c r="D4659" s="4" t="str">
        <f>vlookup(A4659, Sheet2!D:E, 2, 0)</f>
        <v>control</v>
      </c>
      <c r="E4659" s="4" t="str">
        <f>IFERROR(__xludf.DUMMYFUNCTION("if(H4659=""pays"",vlookup(REGEXEXTRACT(C4659, ""🏘️ \w+ \w+ (.*) ✅""),'Country prepositions'!A:B, 2, 0) &amp; "" "" &amp; REGEXEXTRACT(C4659, ""🏘️ \w+ \w+ (.*) ✅"") ,  if(H4659=""quartier"",vlookup(REGEXEXTRACT(C4659, ""🏘️ \w+ \w+ (.*) ✅""),'Quartier prepositio"&amp;"ns'!A:E, 5, 0) ,  if(H4659=""region"",vlookup(REGEXEXTRACT(C4659, ""🏘️ \w+ \w+ (.*) ✅""),'Region prepositions'!B:F, 5, 0),  REGEXEXTRACT(C4659, ""🏘️ \w+ \w+ (.*) ✅""))))"),"#N/A")</f>
        <v>#N/A</v>
      </c>
      <c r="I4659" s="4" t="str">
        <f>IFERROR(__xludf.DUMMYFUNCTION("if(D4659=""variant"",  substitute(filter(Templates!E:E, Templates!A:A = F4659, Templates!B:B = G4659, Templates!C:C = H4659), ""{{}}"", E4659), B4659)"),"Louer maison Forel FR: Trouvez le bien immobilier qui correspond idéalement à vos désirs sur ImmoScout24 - La plateforme de l'immobilier en Suisse.")</f>
        <v>Louer maison Forel FR: Trouvez le bien immobilier qui correspond idéalement à vos désirs sur ImmoScout24 - La plateforme de l'immobilier en Suisse.</v>
      </c>
    </row>
    <row r="4660" hidden="1">
      <c r="A4660" s="5" t="s">
        <v>12419</v>
      </c>
      <c r="B4660" s="2" t="s">
        <v>12420</v>
      </c>
      <c r="C4660" s="2" t="s">
        <v>12420</v>
      </c>
      <c r="D4660" s="4" t="str">
        <f>vlookup(A4660, Sheet2!D:E, 2, 0)</f>
        <v>control</v>
      </c>
      <c r="E4660" s="4" t="str">
        <f>IFERROR(__xludf.DUMMYFUNCTION("if(H4660=""pays"",vlookup(REGEXEXTRACT(C4660, ""🏘️ \w+ \w+ (.*) ✅""),'Country prepositions'!A:B, 2, 0) &amp; "" "" &amp; REGEXEXTRACT(C4660, ""🏘️ \w+ \w+ (.*) ✅"") ,  if(H4660=""quartier"",vlookup(REGEXEXTRACT(C4660, ""🏘️ \w+ \w+ (.*) ✅""),'Quartier prepositio"&amp;"ns'!A:E, 5, 0) ,  if(H4660=""region"",vlookup(REGEXEXTRACT(C4660, ""🏘️ \w+ \w+ (.*) ✅""),'Region prepositions'!B:F, 5, 0),  REGEXEXTRACT(C4660, ""🏘️ \w+ \w+ (.*) ✅""))))"),"#N/A")</f>
        <v>#N/A</v>
      </c>
      <c r="I4660" s="4" t="str">
        <f>IFERROR(__xludf.DUMMYFUNCTION("if(D4660=""variant"",  substitute(filter(Templates!E:E, Templates!A:A = F4660, Templates!B:B = G4660, Templates!C:C = H4660), ""{{}}"", E4660), B4660)"),"Vendre appartement Oberburg: Trouvez le bien immobilier qui correspond idéalement à vos désirs sur ImmoScout24 - La plateforme de l'immobilier en Suisse.")</f>
        <v>Vendre appartement Oberburg: Trouvez le bien immobilier qui correspond idéalement à vos désirs sur ImmoScout24 - La plateforme de l'immobilier en Suisse.</v>
      </c>
    </row>
    <row r="4661" hidden="1">
      <c r="A4661" s="5" t="s">
        <v>12421</v>
      </c>
      <c r="B4661" s="2" t="s">
        <v>12422</v>
      </c>
      <c r="C4661" s="2" t="s">
        <v>12422</v>
      </c>
      <c r="D4661" s="4" t="str">
        <f>vlookup(A4661, Sheet2!D:E, 2, 0)</f>
        <v>control</v>
      </c>
      <c r="E4661" s="4" t="str">
        <f>IFERROR(__xludf.DUMMYFUNCTION("if(H4661=""pays"",vlookup(REGEXEXTRACT(C4661, ""🏘️ \w+ \w+ (.*) ✅""),'Country prepositions'!A:B, 2, 0) &amp; "" "" &amp; REGEXEXTRACT(C4661, ""🏘️ \w+ \w+ (.*) ✅"") ,  if(H4661=""quartier"",vlookup(REGEXEXTRACT(C4661, ""🏘️ \w+ \w+ (.*) ✅""),'Quartier prepositio"&amp;"ns'!A:E, 5, 0) ,  if(H4661=""region"",vlookup(REGEXEXTRACT(C4661, ""🏘️ \w+ \w+ (.*) ✅""),'Region prepositions'!B:F, 5, 0),  REGEXEXTRACT(C4661, ""🏘️ \w+ \w+ (.*) ✅""))))"),"#N/A")</f>
        <v>#N/A</v>
      </c>
      <c r="I4661" s="4" t="str">
        <f>IFERROR(__xludf.DUMMYFUNCTION("if(D4661=""variant"",  substitute(filter(Templates!E:E, Templates!A:A = F4661, Templates!B:B = G4661, Templates!C:C = H4661), ""{{}}"", E4661), B4661)"),"Louer appartement St. Georgen (St-Gall): Trouvez le bien immobilier qui correspond idéalement à vos désirs sur ImmoScout24 - La plateforme de l'immobilier en Suisse.")</f>
        <v>Louer appartement St. Georgen (St-Gall): Trouvez le bien immobilier qui correspond idéalement à vos désirs sur ImmoScout24 - La plateforme de l'immobilier en Suisse.</v>
      </c>
    </row>
    <row r="4662" hidden="1">
      <c r="A4662" s="5" t="s">
        <v>12423</v>
      </c>
      <c r="B4662" s="2" t="s">
        <v>12424</v>
      </c>
      <c r="C4662" s="2" t="s">
        <v>12424</v>
      </c>
      <c r="D4662" s="4" t="str">
        <f>vlookup(A4662, Sheet2!D:E, 2, 0)</f>
        <v>control</v>
      </c>
      <c r="E4662" s="4" t="str">
        <f>IFERROR(__xludf.DUMMYFUNCTION("if(H4662=""pays"",vlookup(REGEXEXTRACT(C4662, ""🏘️ \w+ \w+ (.*) ✅""),'Country prepositions'!A:B, 2, 0) &amp; "" "" &amp; REGEXEXTRACT(C4662, ""🏘️ \w+ \w+ (.*) ✅"") ,  if(H4662=""quartier"",vlookup(REGEXEXTRACT(C4662, ""🏘️ \w+ \w+ (.*) ✅""),'Quartier prepositio"&amp;"ns'!A:E, 5, 0) ,  if(H4662=""region"",vlookup(REGEXEXTRACT(C4662, ""🏘️ \w+ \w+ (.*) ✅""),'Region prepositions'!B:F, 5, 0),  REGEXEXTRACT(C4662, ""🏘️ \w+ \w+ (.*) ✅""))))"),"#N/A")</f>
        <v>#N/A</v>
      </c>
      <c r="I4662" s="4" t="str">
        <f>IFERROR(__xludf.DUMMYFUNCTION("if(D4662=""variant"",  substitute(filter(Templates!E:E, Templates!A:A = F4662, Templates!B:B = G4662, Templates!C:C = H4662), ""{{}}"", E4662), B4662)"),"Louer maison Riaz: Trouvez le bien immobilier qui correspond idéalement à vos désirs sur ImmoScout24 - La plateforme de l'immobilier en Suisse.")</f>
        <v>Louer maison Riaz: Trouvez le bien immobilier qui correspond idéalement à vos désirs sur ImmoScout24 - La plateforme de l'immobilier en Suisse.</v>
      </c>
    </row>
    <row r="4663" hidden="1">
      <c r="A4663" s="5" t="s">
        <v>12425</v>
      </c>
      <c r="B4663" s="2" t="s">
        <v>12426</v>
      </c>
      <c r="C4663" s="2" t="s">
        <v>12426</v>
      </c>
      <c r="D4663" s="4" t="str">
        <f>vlookup(A4663, Sheet2!D:E, 2, 0)</f>
        <v>control</v>
      </c>
      <c r="E4663" s="4" t="str">
        <f>IFERROR(__xludf.DUMMYFUNCTION("if(H4663=""pays"",vlookup(REGEXEXTRACT(C4663, ""🏘️ \w+ \w+ (.*) ✅""),'Country prepositions'!A:B, 2, 0) &amp; "" "" &amp; REGEXEXTRACT(C4663, ""🏘️ \w+ \w+ (.*) ✅"") ,  if(H4663=""quartier"",vlookup(REGEXEXTRACT(C4663, ""🏘️ \w+ \w+ (.*) ✅""),'Quartier prepositio"&amp;"ns'!A:E, 5, 0) ,  if(H4663=""region"",vlookup(REGEXEXTRACT(C4663, ""🏘️ \w+ \w+ (.*) ✅""),'Region prepositions'!B:F, 5, 0),  REGEXEXTRACT(C4663, ""🏘️ \w+ \w+ (.*) ✅""))))"),"#N/A")</f>
        <v>#N/A</v>
      </c>
      <c r="I4663" s="4" t="str">
        <f>IFERROR(__xludf.DUMMYFUNCTION("if(D4663=""variant"",  substitute(filter(Templates!E:E, Templates!A:A = F4663, Templates!B:B = G4663, Templates!C:C = H4663), ""{{}}"", E4663), B4663)"),"Vendre maison Cerniaz VD: Trouvez le bien immobilier qui correspond idéalement à vos désirs sur ImmoScout24 - La plateforme de l'immobilier en Suisse.")</f>
        <v>Vendre maison Cerniaz VD: Trouvez le bien immobilier qui correspond idéalement à vos désirs sur ImmoScout24 - La plateforme de l'immobilier en Suisse.</v>
      </c>
    </row>
    <row r="4664" hidden="1">
      <c r="A4664" s="5" t="s">
        <v>12427</v>
      </c>
      <c r="B4664" s="2" t="s">
        <v>12428</v>
      </c>
      <c r="C4664" s="2" t="s">
        <v>12428</v>
      </c>
      <c r="D4664" s="4" t="str">
        <f>vlookup(A4664, Sheet2!D:E, 2, 0)</f>
        <v>control</v>
      </c>
      <c r="E4664" s="4" t="str">
        <f>IFERROR(__xludf.DUMMYFUNCTION("if(H4664=""pays"",vlookup(REGEXEXTRACT(C4664, ""🏘️ \w+ \w+ (.*) ✅""),'Country prepositions'!A:B, 2, 0) &amp; "" "" &amp; REGEXEXTRACT(C4664, ""🏘️ \w+ \w+ (.*) ✅"") ,  if(H4664=""quartier"",vlookup(REGEXEXTRACT(C4664, ""🏘️ \w+ \w+ (.*) ✅""),'Quartier prepositio"&amp;"ns'!A:E, 5, 0) ,  if(H4664=""region"",vlookup(REGEXEXTRACT(C4664, ""🏘️ \w+ \w+ (.*) ✅""),'Region prepositions'!B:F, 5, 0),  REGEXEXTRACT(C4664, ""🏘️ \w+ \w+ (.*) ✅""))))"),"#N/A")</f>
        <v>#N/A</v>
      </c>
      <c r="I4664" s="4" t="str">
        <f>IFERROR(__xludf.DUMMYFUNCTION("if(D4664=""variant"",  substitute(filter(Templates!E:E, Templates!A:A = F4664, Templates!B:B = G4664, Templates!C:C = H4664), ""{{}}"", E4664), B4664)"),"Louer appartement Ovronnaz: Trouvez le bien immobilier qui correspond idéalement à vos désirs sur ImmoScout24 - La plateforme de l'immobilier en Suisse.")</f>
        <v>Louer appartement Ovronnaz: Trouvez le bien immobilier qui correspond idéalement à vos désirs sur ImmoScout24 - La plateforme de l'immobilier en Suisse.</v>
      </c>
    </row>
    <row r="4665" hidden="1">
      <c r="A4665" s="5" t="s">
        <v>12429</v>
      </c>
      <c r="B4665" s="2" t="s">
        <v>12430</v>
      </c>
      <c r="C4665" s="2" t="s">
        <v>12430</v>
      </c>
      <c r="D4665" s="4" t="str">
        <f>vlookup(A4665, Sheet2!D:E, 2, 0)</f>
        <v>control</v>
      </c>
      <c r="E4665" s="4" t="str">
        <f>IFERROR(__xludf.DUMMYFUNCTION("if(H4665=""pays"",vlookup(REGEXEXTRACT(C4665, ""🏘️ \w+ \w+ (.*) ✅""),'Country prepositions'!A:B, 2, 0) &amp; "" "" &amp; REGEXEXTRACT(C4665, ""🏘️ \w+ \w+ (.*) ✅"") ,  if(H4665=""quartier"",vlookup(REGEXEXTRACT(C4665, ""🏘️ \w+ \w+ (.*) ✅""),'Quartier prepositio"&amp;"ns'!A:E, 5, 0) ,  if(H4665=""region"",vlookup(REGEXEXTRACT(C4665, ""🏘️ \w+ \w+ (.*) ✅""),'Region prepositions'!B:F, 5, 0),  REGEXEXTRACT(C4665, ""🏘️ \w+ \w+ (.*) ✅""))))"),"#N/A")</f>
        <v>#N/A</v>
      </c>
      <c r="I4665" s="4" t="str">
        <f>IFERROR(__xludf.DUMMYFUNCTION("if(D4665=""variant"",  substitute(filter(Templates!E:E, Templates!A:A = F4665, Templates!B:B = G4665, Templates!C:C = H4665), ""{{}}"", E4665), B4665)"),"Vendre maison Chamoson: Trouvez le bien immobilier qui correspond idéalement à vos désirs sur ImmoScout24 - La plateforme de l'immobilier en Suisse.")</f>
        <v>Vendre maison Chamoson: Trouvez le bien immobilier qui correspond idéalement à vos désirs sur ImmoScout24 - La plateforme de l'immobilier en Suisse.</v>
      </c>
    </row>
    <row r="4666" hidden="1">
      <c r="A4666" s="5" t="s">
        <v>12431</v>
      </c>
      <c r="B4666" s="2" t="s">
        <v>12432</v>
      </c>
      <c r="C4666" s="2" t="s">
        <v>12432</v>
      </c>
      <c r="D4666" s="4" t="str">
        <f>vlookup(A4666, Sheet2!D:E, 2, 0)</f>
        <v>control</v>
      </c>
      <c r="E4666" s="4" t="str">
        <f>IFERROR(__xludf.DUMMYFUNCTION("if(H4666=""pays"",vlookup(REGEXEXTRACT(C4666, ""🏘️ \w+ \w+ (.*) ✅""),'Country prepositions'!A:B, 2, 0) &amp; "" "" &amp; REGEXEXTRACT(C4666, ""🏘️ \w+ \w+ (.*) ✅"") ,  if(H4666=""quartier"",vlookup(REGEXEXTRACT(C4666, ""🏘️ \w+ \w+ (.*) ✅""),'Quartier prepositio"&amp;"ns'!A:E, 5, 0) ,  if(H4666=""region"",vlookup(REGEXEXTRACT(C4666, ""🏘️ \w+ \w+ (.*) ✅""),'Region prepositions'!B:F, 5, 0),  REGEXEXTRACT(C4666, ""🏘️ \w+ \w+ (.*) ✅""))))"),"#N/A")</f>
        <v>#N/A</v>
      </c>
      <c r="I4666" s="4" t="str">
        <f>IFERROR(__xludf.DUMMYFUNCTION("if(D4666=""variant"",  substitute(filter(Templates!E:E, Templates!A:A = F4666, Templates!B:B = G4666, Templates!C:C = H4666), ""{{}}"", E4666), B4666)"),"Vendre maison Eaux-Vives - Lac (Genève): Trouvez le bien immobilier qui correspond idéalement à vos désirs sur ImmoScout24 - La plateforme de l'immobilier en Suisse.")</f>
        <v>Vendre maison Eaux-Vives - Lac (Genève): Trouvez le bien immobilier qui correspond idéalement à vos désirs sur ImmoScout24 - La plateforme de l'immobilier en Suisse.</v>
      </c>
    </row>
    <row r="4667" hidden="1">
      <c r="A4667" s="5" t="s">
        <v>12433</v>
      </c>
      <c r="B4667" s="2" t="s">
        <v>12434</v>
      </c>
      <c r="C4667" s="2" t="s">
        <v>12434</v>
      </c>
      <c r="D4667" s="4" t="str">
        <f>vlookup(A4667, Sheet2!D:E, 2, 0)</f>
        <v>control</v>
      </c>
      <c r="E4667" s="4" t="str">
        <f>IFERROR(__xludf.DUMMYFUNCTION("if(H4667=""pays"",vlookup(REGEXEXTRACT(C4667, ""🏘️ \w+ \w+ (.*) ✅""),'Country prepositions'!A:B, 2, 0) &amp; "" "" &amp; REGEXEXTRACT(C4667, ""🏘️ \w+ \w+ (.*) ✅"") ,  if(H4667=""quartier"",vlookup(REGEXEXTRACT(C4667, ""🏘️ \w+ \w+ (.*) ✅""),'Quartier prepositio"&amp;"ns'!A:E, 5, 0) ,  if(H4667=""region"",vlookup(REGEXEXTRACT(C4667, ""🏘️ \w+ \w+ (.*) ✅""),'Region prepositions'!B:F, 5, 0),  REGEXEXTRACT(C4667, ""🏘️ \w+ \w+ (.*) ✅""))))"),"#N/A")</f>
        <v>#N/A</v>
      </c>
      <c r="I4667" s="4" t="str">
        <f>IFERROR(__xludf.DUMMYFUNCTION("if(D4667=""variant"",  substitute(filter(Templates!E:E, Templates!A:A = F4667, Templates!B:B = G4667, Templates!C:C = H4667), ""{{}}"", E4667), B4667)"),"Louer appartement Seuzach: Trouvez le bien immobilier qui correspond idéalement à vos désirs sur ImmoScout24 - La plateforme de l'immobilier en Suisse.")</f>
        <v>Louer appartement Seuzach: Trouvez le bien immobilier qui correspond idéalement à vos désirs sur ImmoScout24 - La plateforme de l'immobilier en Suisse.</v>
      </c>
    </row>
    <row r="4668" hidden="1">
      <c r="A4668" s="5" t="s">
        <v>12435</v>
      </c>
      <c r="B4668" s="2" t="s">
        <v>12436</v>
      </c>
      <c r="C4668" s="2" t="s">
        <v>12436</v>
      </c>
      <c r="D4668" s="4" t="str">
        <f>vlookup(A4668, Sheet2!D:E, 2, 0)</f>
        <v>control</v>
      </c>
      <c r="E4668" s="4" t="str">
        <f>IFERROR(__xludf.DUMMYFUNCTION("if(H4668=""pays"",vlookup(REGEXEXTRACT(C4668, ""🏘️ \w+ \w+ (.*) ✅""),'Country prepositions'!A:B, 2, 0) &amp; "" "" &amp; REGEXEXTRACT(C4668, ""🏘️ \w+ \w+ (.*) ✅"") ,  if(H4668=""quartier"",vlookup(REGEXEXTRACT(C4668, ""🏘️ \w+ \w+ (.*) ✅""),'Quartier prepositio"&amp;"ns'!A:E, 5, 0) ,  if(H4668=""region"",vlookup(REGEXEXTRACT(C4668, ""🏘️ \w+ \w+ (.*) ✅""),'Region prepositions'!B:F, 5, 0),  REGEXEXTRACT(C4668, ""🏘️ \w+ \w+ (.*) ✅""))))"),"#N/A")</f>
        <v>#N/A</v>
      </c>
      <c r="I4668" s="4" t="str">
        <f>IFERROR(__xludf.DUMMYFUNCTION("if(D4668=""variant"",  substitute(filter(Templates!E:E, Templates!A:A = F4668, Templates!B:B = G4668, Templates!C:C = H4668), ""{{}}"", E4668), B4668)"),"Vendre maison Vésenaz: Trouvez le bien immobilier qui correspond idéalement à vos désirs sur ImmoScout24 - La plateforme de l'immobilier en Suisse.")</f>
        <v>Vendre maison Vésenaz: Trouvez le bien immobilier qui correspond idéalement à vos désirs sur ImmoScout24 - La plateforme de l'immobilier en Suisse.</v>
      </c>
    </row>
    <row r="4669" hidden="1">
      <c r="A4669" s="5" t="s">
        <v>12437</v>
      </c>
      <c r="B4669" s="2" t="s">
        <v>12438</v>
      </c>
      <c r="C4669" s="2" t="s">
        <v>12438</v>
      </c>
      <c r="D4669" s="4" t="str">
        <f>vlookup(A4669, Sheet2!D:E, 2, 0)</f>
        <v>control</v>
      </c>
      <c r="E4669" s="4" t="str">
        <f>IFERROR(__xludf.DUMMYFUNCTION("if(H4669=""pays"",vlookup(REGEXEXTRACT(C4669, ""🏘️ \w+ \w+ (.*) ✅""),'Country prepositions'!A:B, 2, 0) &amp; "" "" &amp; REGEXEXTRACT(C4669, ""🏘️ \w+ \w+ (.*) ✅"") ,  if(H4669=""quartier"",vlookup(REGEXEXTRACT(C4669, ""🏘️ \w+ \w+ (.*) ✅""),'Quartier prepositio"&amp;"ns'!A:E, 5, 0) ,  if(H4669=""region"",vlookup(REGEXEXTRACT(C4669, ""🏘️ \w+ \w+ (.*) ✅""),'Region prepositions'!B:F, 5, 0),  REGEXEXTRACT(C4669, ""🏘️ \w+ \w+ (.*) ✅""))))"),"#N/A")</f>
        <v>#N/A</v>
      </c>
      <c r="I4669" s="4" t="str">
        <f>IFERROR(__xludf.DUMMYFUNCTION("if(D4669=""variant"",  substitute(filter(Templates!E:E, Templates!A:A = F4669, Templates!B:B = G4669, Templates!C:C = H4669), ""{{}}"", E4669), B4669)"),"Louer appartement Derendingen: Trouvez le bien immobilier qui correspond idéalement à vos désirs sur ImmoScout24 - La plateforme de l'immobilier en Suisse.")</f>
        <v>Louer appartement Derendingen: Trouvez le bien immobilier qui correspond idéalement à vos désirs sur ImmoScout24 - La plateforme de l'immobilier en Suisse.</v>
      </c>
    </row>
    <row r="4670" hidden="1">
      <c r="A4670" s="5" t="s">
        <v>12439</v>
      </c>
      <c r="B4670" s="2" t="s">
        <v>12440</v>
      </c>
      <c r="C4670" s="2" t="s">
        <v>12440</v>
      </c>
      <c r="D4670" s="4" t="str">
        <f>vlookup(A4670, Sheet2!D:E, 2, 0)</f>
        <v>control</v>
      </c>
      <c r="E4670" s="4" t="str">
        <f>IFERROR(__xludf.DUMMYFUNCTION("if(H4670=""pays"",vlookup(REGEXEXTRACT(C4670, ""🏘️ \w+ \w+ (.*) ✅""),'Country prepositions'!A:B, 2, 0) &amp; "" "" &amp; REGEXEXTRACT(C4670, ""🏘️ \w+ \w+ (.*) ✅"") ,  if(H4670=""quartier"",vlookup(REGEXEXTRACT(C4670, ""🏘️ \w+ \w+ (.*) ✅""),'Quartier prepositio"&amp;"ns'!A:E, 5, 0) ,  if(H4670=""region"",vlookup(REGEXEXTRACT(C4670, ""🏘️ \w+ \w+ (.*) ✅""),'Region prepositions'!B:F, 5, 0),  REGEXEXTRACT(C4670, ""🏘️ \w+ \w+ (.*) ✅""))))"),"#N/A")</f>
        <v>#N/A</v>
      </c>
      <c r="I4670" s="4" t="str">
        <f>IFERROR(__xludf.DUMMYFUNCTION("if(D4670=""variant"",  substitute(filter(Templates!E:E, Templates!A:A = F4670, Templates!B:B = G4670, Templates!C:C = H4670), ""{{}}"", E4670), B4670)"),"Louer maison Hauterive NE: Trouvez le bien immobilier qui correspond idéalement à vos désirs sur ImmoScout24 - La plateforme de l'immobilier en Suisse.")</f>
        <v>Louer maison Hauterive NE: Trouvez le bien immobilier qui correspond idéalement à vos désirs sur ImmoScout24 - La plateforme de l'immobilier en Suisse.</v>
      </c>
    </row>
    <row r="4671" hidden="1">
      <c r="A4671" s="5" t="s">
        <v>12441</v>
      </c>
      <c r="B4671" s="2" t="s">
        <v>12442</v>
      </c>
      <c r="C4671" s="2" t="s">
        <v>12442</v>
      </c>
      <c r="D4671" s="4" t="str">
        <f>vlookup(A4671, Sheet2!D:E, 2, 0)</f>
        <v>control</v>
      </c>
      <c r="E4671" s="4" t="str">
        <f>IFERROR(__xludf.DUMMYFUNCTION("if(H4671=""pays"",vlookup(REGEXEXTRACT(C4671, ""🏘️ \w+ \w+ (.*) ✅""),'Country prepositions'!A:B, 2, 0) &amp; "" "" &amp; REGEXEXTRACT(C4671, ""🏘️ \w+ \w+ (.*) ✅"") ,  if(H4671=""quartier"",vlookup(REGEXEXTRACT(C4671, ""🏘️ \w+ \w+ (.*) ✅""),'Quartier prepositio"&amp;"ns'!A:E, 5, 0) ,  if(H4671=""region"",vlookup(REGEXEXTRACT(C4671, ""🏘️ \w+ \w+ (.*) ✅""),'Region prepositions'!B:F, 5, 0),  REGEXEXTRACT(C4671, ""🏘️ \w+ \w+ (.*) ✅""))))"),"#N/A")</f>
        <v>#N/A</v>
      </c>
      <c r="I4671" s="4" t="str">
        <f>IFERROR(__xludf.DUMMYFUNCTION("if(D4671=""variant"",  substitute(filter(Templates!E:E, Templates!A:A = F4671, Templates!B:B = G4671, Templates!C:C = H4671), ""{{}}"", E4671), B4671)"),"Vendre appartement Costa Rica: Trouvez le bien immobilier qui correspond idéalement à vos désirs sur ImmoScout24 - La plateforme de l'immobilier en Suisse.")</f>
        <v>Vendre appartement Costa Rica: Trouvez le bien immobilier qui correspond idéalement à vos désirs sur ImmoScout24 - La plateforme de l'immobilier en Suisse.</v>
      </c>
    </row>
    <row r="4672" hidden="1">
      <c r="A4672" s="5" t="s">
        <v>12443</v>
      </c>
      <c r="B4672" s="2" t="s">
        <v>12444</v>
      </c>
      <c r="C4672" s="2" t="s">
        <v>12444</v>
      </c>
      <c r="D4672" s="4" t="str">
        <f>vlookup(A4672, Sheet2!D:E, 2, 0)</f>
        <v>control</v>
      </c>
      <c r="E4672" s="4" t="str">
        <f>IFERROR(__xludf.DUMMYFUNCTION("if(H4672=""pays"",vlookup(REGEXEXTRACT(C4672, ""🏘️ \w+ \w+ (.*) ✅""),'Country prepositions'!A:B, 2, 0) &amp; "" "" &amp; REGEXEXTRACT(C4672, ""🏘️ \w+ \w+ (.*) ✅"") ,  if(H4672=""quartier"",vlookup(REGEXEXTRACT(C4672, ""🏘️ \w+ \w+ (.*) ✅""),'Quartier prepositio"&amp;"ns'!A:E, 5, 0) ,  if(H4672=""region"",vlookup(REGEXEXTRACT(C4672, ""🏘️ \w+ \w+ (.*) ✅""),'Region prepositions'!B:F, 5, 0),  REGEXEXTRACT(C4672, ""🏘️ \w+ \w+ (.*) ✅""))))"),"#N/A")</f>
        <v>#N/A</v>
      </c>
      <c r="I4672" s="4" t="str">
        <f>IFERROR(__xludf.DUMMYFUNCTION("if(D4672=""variant"",  substitute(filter(Templates!E:E, Templates!A:A = F4672, Templates!B:B = G4672, Templates!C:C = H4672), ""{{}}"", E4672), B4672)"),"Louer appartement Cugy FR: Trouvez le bien immobilier qui correspond idéalement à vos désirs sur ImmoScout24 - La plateforme de l'immobilier en Suisse.")</f>
        <v>Louer appartement Cugy FR: Trouvez le bien immobilier qui correspond idéalement à vos désirs sur ImmoScout24 - La plateforme de l'immobilier en Suisse.</v>
      </c>
    </row>
    <row r="4673" hidden="1">
      <c r="A4673" s="5" t="s">
        <v>12445</v>
      </c>
      <c r="B4673" s="2" t="s">
        <v>12446</v>
      </c>
      <c r="C4673" s="2" t="s">
        <v>12446</v>
      </c>
      <c r="D4673" s="4" t="str">
        <f>vlookup(A4673, Sheet2!D:E, 2, 0)</f>
        <v>control</v>
      </c>
      <c r="E4673" s="4" t="str">
        <f>IFERROR(__xludf.DUMMYFUNCTION("if(H4673=""pays"",vlookup(REGEXEXTRACT(C4673, ""🏘️ \w+ \w+ (.*) ✅""),'Country prepositions'!A:B, 2, 0) &amp; "" "" &amp; REGEXEXTRACT(C4673, ""🏘️ \w+ \w+ (.*) ✅"") ,  if(H4673=""quartier"",vlookup(REGEXEXTRACT(C4673, ""🏘️ \w+ \w+ (.*) ✅""),'Quartier prepositio"&amp;"ns'!A:E, 5, 0) ,  if(H4673=""region"",vlookup(REGEXEXTRACT(C4673, ""🏘️ \w+ \w+ (.*) ✅""),'Region prepositions'!B:F, 5, 0),  REGEXEXTRACT(C4673, ""🏘️ \w+ \w+ (.*) ✅""))))"),"#N/A")</f>
        <v>#N/A</v>
      </c>
      <c r="I4673" s="4" t="str">
        <f>IFERROR(__xludf.DUMMYFUNCTION("if(D4673=""variant"",  substitute(filter(Templates!E:E, Templates!A:A = F4673, Templates!B:B = G4673, Templates!C:C = H4673), ""{{}}"", E4673), B4673)"),"Vendre appartement Arosa: Trouvez le bien immobilier qui correspond idéalement à vos désirs sur ImmoScout24 - La plateforme de l'immobilier en Suisse.")</f>
        <v>Vendre appartement Arosa: Trouvez le bien immobilier qui correspond idéalement à vos désirs sur ImmoScout24 - La plateforme de l'immobilier en Suisse.</v>
      </c>
    </row>
    <row r="4674" hidden="1">
      <c r="A4674" s="5" t="s">
        <v>12447</v>
      </c>
      <c r="B4674" s="2" t="s">
        <v>12448</v>
      </c>
      <c r="C4674" s="2" t="s">
        <v>12448</v>
      </c>
      <c r="D4674" s="4" t="str">
        <f>vlookup(A4674, Sheet2!D:E, 2, 0)</f>
        <v>control</v>
      </c>
      <c r="E4674" s="4" t="str">
        <f>IFERROR(__xludf.DUMMYFUNCTION("if(H4674=""pays"",vlookup(REGEXEXTRACT(C4674, ""🏘️ \w+ \w+ (.*) ✅""),'Country prepositions'!A:B, 2, 0) &amp; "" "" &amp; REGEXEXTRACT(C4674, ""🏘️ \w+ \w+ (.*) ✅"") ,  if(H4674=""quartier"",vlookup(REGEXEXTRACT(C4674, ""🏘️ \w+ \w+ (.*) ✅""),'Quartier prepositio"&amp;"ns'!A:E, 5, 0) ,  if(H4674=""region"",vlookup(REGEXEXTRACT(C4674, ""🏘️ \w+ \w+ (.*) ✅""),'Region prepositions'!B:F, 5, 0),  REGEXEXTRACT(C4674, ""🏘️ \w+ \w+ (.*) ✅""))))"),"#N/A")</f>
        <v>#N/A</v>
      </c>
      <c r="I4674" s="4" t="str">
        <f>IFERROR(__xludf.DUMMYFUNCTION("if(D4674=""variant"",  substitute(filter(Templates!E:E, Templates!A:A = F4674, Templates!B:B = G4674, Templates!C:C = H4674), ""{{}}"", E4674), B4674)"),"Louer appartement Innenstadt (St-Gall): Trouvez le bien immobilier qui correspond idéalement à vos désirs sur ImmoScout24 - La plateforme de l'immobilier en Suisse.")</f>
        <v>Louer appartement Innenstadt (St-Gall): Trouvez le bien immobilier qui correspond idéalement à vos désirs sur ImmoScout24 - La plateforme de l'immobilier en Suisse.</v>
      </c>
    </row>
    <row r="4675" hidden="1">
      <c r="A4675" s="5" t="s">
        <v>12449</v>
      </c>
      <c r="B4675" s="2" t="s">
        <v>12450</v>
      </c>
      <c r="C4675" s="2" t="s">
        <v>12450</v>
      </c>
      <c r="D4675" s="4" t="str">
        <f>vlookup(A4675, Sheet2!D:E, 2, 0)</f>
        <v>control</v>
      </c>
      <c r="E4675" s="4" t="str">
        <f>IFERROR(__xludf.DUMMYFUNCTION("if(H4675=""pays"",vlookup(REGEXEXTRACT(C4675, ""🏘️ \w+ \w+ (.*) ✅""),'Country prepositions'!A:B, 2, 0) &amp; "" "" &amp; REGEXEXTRACT(C4675, ""🏘️ \w+ \w+ (.*) ✅"") ,  if(H4675=""quartier"",vlookup(REGEXEXTRACT(C4675, ""🏘️ \w+ \w+ (.*) ✅""),'Quartier prepositio"&amp;"ns'!A:E, 5, 0) ,  if(H4675=""region"",vlookup(REGEXEXTRACT(C4675, ""🏘️ \w+ \w+ (.*) ✅""),'Region prepositions'!B:F, 5, 0),  REGEXEXTRACT(C4675, ""🏘️ \w+ \w+ (.*) ✅""))))"),"#N/A")</f>
        <v>#N/A</v>
      </c>
      <c r="I4675" s="4" t="str">
        <f>IFERROR(__xludf.DUMMYFUNCTION("if(D4675=""variant"",  substitute(filter(Templates!E:E, Templates!A:A = F4675, Templates!B:B = G4675, Templates!C:C = H4675), ""{{}}"", E4675), B4675)"),"Vendre maison Chesalles-sur-Oron: Trouvez le bien immobilier qui correspond idéalement à vos désirs sur ImmoScout24 - La plateforme de l'immobilier en Suisse.")</f>
        <v>Vendre maison Chesalles-sur-Oron: Trouvez le bien immobilier qui correspond idéalement à vos désirs sur ImmoScout24 - La plateforme de l'immobilier en Suisse.</v>
      </c>
    </row>
    <row r="4676" hidden="1">
      <c r="A4676" s="5" t="s">
        <v>12451</v>
      </c>
      <c r="B4676" s="2" t="s">
        <v>12452</v>
      </c>
      <c r="C4676" s="2" t="s">
        <v>12452</v>
      </c>
      <c r="D4676" s="4" t="str">
        <f>vlookup(A4676, Sheet2!D:E, 2, 0)</f>
        <v>control</v>
      </c>
      <c r="E4676" s="4" t="str">
        <f>IFERROR(__xludf.DUMMYFUNCTION("if(H4676=""pays"",vlookup(REGEXEXTRACT(C4676, ""🏘️ \w+ \w+ (.*) ✅""),'Country prepositions'!A:B, 2, 0) &amp; "" "" &amp; REGEXEXTRACT(C4676, ""🏘️ \w+ \w+ (.*) ✅"") ,  if(H4676=""quartier"",vlookup(REGEXEXTRACT(C4676, ""🏘️ \w+ \w+ (.*) ✅""),'Quartier prepositio"&amp;"ns'!A:E, 5, 0) ,  if(H4676=""region"",vlookup(REGEXEXTRACT(C4676, ""🏘️ \w+ \w+ (.*) ✅""),'Region prepositions'!B:F, 5, 0),  REGEXEXTRACT(C4676, ""🏘️ \w+ \w+ (.*) ✅""))))"),"#N/A")</f>
        <v>#N/A</v>
      </c>
      <c r="I4676" s="4" t="str">
        <f>IFERROR(__xludf.DUMMYFUNCTION("if(D4676=""variant"",  substitute(filter(Templates!E:E, Templates!A:A = F4676, Templates!B:B = G4676, Templates!C:C = H4676), ""{{}}"", E4676), B4676)"),"Vendre appartement Dierikon: Trouvez le bien immobilier qui correspond idéalement à vos désirs sur ImmoScout24 - La plateforme de l'immobilier en Suisse.")</f>
        <v>Vendre appartement Dierikon: Trouvez le bien immobilier qui correspond idéalement à vos désirs sur ImmoScout24 - La plateforme de l'immobilier en Suisse.</v>
      </c>
    </row>
    <row r="4677" hidden="1">
      <c r="A4677" s="5" t="s">
        <v>12453</v>
      </c>
      <c r="B4677" s="2" t="s">
        <v>12454</v>
      </c>
      <c r="C4677" s="2" t="s">
        <v>12454</v>
      </c>
      <c r="D4677" s="4" t="str">
        <f>vlookup(A4677, Sheet2!D:E, 2, 0)</f>
        <v>control</v>
      </c>
      <c r="E4677" s="4" t="str">
        <f>IFERROR(__xludf.DUMMYFUNCTION("if(H4677=""pays"",vlookup(REGEXEXTRACT(C4677, ""🏘️ \w+ \w+ (.*) ✅""),'Country prepositions'!A:B, 2, 0) &amp; "" "" &amp; REGEXEXTRACT(C4677, ""🏘️ \w+ \w+ (.*) ✅"") ,  if(H4677=""quartier"",vlookup(REGEXEXTRACT(C4677, ""🏘️ \w+ \w+ (.*) ✅""),'Quartier prepositio"&amp;"ns'!A:E, 5, 0) ,  if(H4677=""region"",vlookup(REGEXEXTRACT(C4677, ""🏘️ \w+ \w+ (.*) ✅""),'Region prepositions'!B:F, 5, 0),  REGEXEXTRACT(C4677, ""🏘️ \w+ \w+ (.*) ✅""))))"),"#N/A")</f>
        <v>#N/A</v>
      </c>
      <c r="I4677" s="4" t="str">
        <f>IFERROR(__xludf.DUMMYFUNCTION("if(D4677=""variant"",  substitute(filter(Templates!E:E, Templates!A:A = F4677, Templates!B:B = G4677, Templates!C:C = H4677), ""{{}}"", E4677), B4677)"),"Vendre maison Erde: Trouvez le bien immobilier qui correspond idéalement à vos désirs sur ImmoScout24 - La plateforme de l'immobilier en Suisse.")</f>
        <v>Vendre maison Erde: Trouvez le bien immobilier qui correspond idéalement à vos désirs sur ImmoScout24 - La plateforme de l'immobilier en Suisse.</v>
      </c>
    </row>
    <row r="4678" hidden="1">
      <c r="A4678" s="5" t="s">
        <v>12455</v>
      </c>
      <c r="B4678" s="2" t="s">
        <v>12456</v>
      </c>
      <c r="C4678" s="2" t="s">
        <v>12456</v>
      </c>
      <c r="D4678" s="4" t="str">
        <f>vlookup(A4678, Sheet2!D:E, 2, 0)</f>
        <v>control</v>
      </c>
      <c r="E4678" s="4" t="str">
        <f>IFERROR(__xludf.DUMMYFUNCTION("if(H4678=""pays"",vlookup(REGEXEXTRACT(C4678, ""🏘️ \w+ \w+ (.*) ✅""),'Country prepositions'!A:B, 2, 0) &amp; "" "" &amp; REGEXEXTRACT(C4678, ""🏘️ \w+ \w+ (.*) ✅"") ,  if(H4678=""quartier"",vlookup(REGEXEXTRACT(C4678, ""🏘️ \w+ \w+ (.*) ✅""),'Quartier prepositio"&amp;"ns'!A:E, 5, 0) ,  if(H4678=""region"",vlookup(REGEXEXTRACT(C4678, ""🏘️ \w+ \w+ (.*) ✅""),'Region prepositions'!B:F, 5, 0),  REGEXEXTRACT(C4678, ""🏘️ \w+ \w+ (.*) ✅""))))"),"#N/A")</f>
        <v>#N/A</v>
      </c>
      <c r="I4678" s="4" t="str">
        <f>IFERROR(__xludf.DUMMYFUNCTION("if(D4678=""variant"",  substitute(filter(Templates!E:E, Templates!A:A = F4678, Templates!B:B = G4678, Templates!C:C = H4678), ""{{}}"", E4678), B4678)"),"Vendre maison Engollon: Trouvez le bien immobilier qui correspond idéalement à vos désirs sur ImmoScout24 - La plateforme de l'immobilier en Suisse.")</f>
        <v>Vendre maison Engollon: Trouvez le bien immobilier qui correspond idéalement à vos désirs sur ImmoScout24 - La plateforme de l'immobilier en Suisse.</v>
      </c>
    </row>
    <row r="4679" hidden="1">
      <c r="A4679" s="5" t="s">
        <v>12457</v>
      </c>
      <c r="B4679" s="2" t="s">
        <v>12458</v>
      </c>
      <c r="C4679" s="2" t="s">
        <v>12458</v>
      </c>
      <c r="D4679" s="4" t="str">
        <f>vlookup(A4679, Sheet2!D:E, 2, 0)</f>
        <v>control</v>
      </c>
      <c r="E4679" s="4" t="str">
        <f>IFERROR(__xludf.DUMMYFUNCTION("if(H4679=""pays"",vlookup(REGEXEXTRACT(C4679, ""🏘️ \w+ \w+ (.*) ✅""),'Country prepositions'!A:B, 2, 0) &amp; "" "" &amp; REGEXEXTRACT(C4679, ""🏘️ \w+ \w+ (.*) ✅"") ,  if(H4679=""quartier"",vlookup(REGEXEXTRACT(C4679, ""🏘️ \w+ \w+ (.*) ✅""),'Quartier prepositio"&amp;"ns'!A:E, 5, 0) ,  if(H4679=""region"",vlookup(REGEXEXTRACT(C4679, ""🏘️ \w+ \w+ (.*) ✅""),'Region prepositions'!B:F, 5, 0),  REGEXEXTRACT(C4679, ""🏘️ \w+ \w+ (.*) ✅""))))"),"#N/A")</f>
        <v>#N/A</v>
      </c>
      <c r="I4679" s="4" t="str">
        <f>IFERROR(__xludf.DUMMYFUNCTION("if(D4679=""variant"",  substitute(filter(Templates!E:E, Templates!A:A = F4679, Templates!B:B = G4679, Templates!C:C = H4679), ""{{}}"", E4679), B4679)"),"Vendre maison Claro: Trouvez le bien immobilier qui correspond idéalement à vos désirs sur ImmoScout24 - La plateforme de l'immobilier en Suisse.")</f>
        <v>Vendre maison Claro: Trouvez le bien immobilier qui correspond idéalement à vos désirs sur ImmoScout24 - La plateforme de l'immobilier en Suisse.</v>
      </c>
    </row>
    <row r="4680" hidden="1">
      <c r="A4680" s="5" t="s">
        <v>12459</v>
      </c>
      <c r="B4680" s="2" t="s">
        <v>12460</v>
      </c>
      <c r="C4680" s="2" t="s">
        <v>12460</v>
      </c>
      <c r="D4680" s="4" t="str">
        <f>vlookup(A4680, Sheet2!D:E, 2, 0)</f>
        <v>control</v>
      </c>
      <c r="E4680" s="4" t="str">
        <f>IFERROR(__xludf.DUMMYFUNCTION("if(H4680=""pays"",vlookup(REGEXEXTRACT(C4680, ""🏘️ \w+ \w+ (.*) ✅""),'Country prepositions'!A:B, 2, 0) &amp; "" "" &amp; REGEXEXTRACT(C4680, ""🏘️ \w+ \w+ (.*) ✅"") ,  if(H4680=""quartier"",vlookup(REGEXEXTRACT(C4680, ""🏘️ \w+ \w+ (.*) ✅""),'Quartier prepositio"&amp;"ns'!A:E, 5, 0) ,  if(H4680=""region"",vlookup(REGEXEXTRACT(C4680, ""🏘️ \w+ \w+ (.*) ✅""),'Region prepositions'!B:F, 5, 0),  REGEXEXTRACT(C4680, ""🏘️ \w+ \w+ (.*) ✅""))))"),"#N/A")</f>
        <v>#N/A</v>
      </c>
      <c r="I4680" s="4" t="str">
        <f>IFERROR(__xludf.DUMMYFUNCTION("if(D4680=""variant"",  substitute(filter(Templates!E:E, Templates!A:A = F4680, Templates!B:B = G4680, Templates!C:C = H4680), ""{{}}"", E4680), B4680)"),"Louer appartement Echallens: Trouvez le bien immobilier qui correspond idéalement à vos désirs sur ImmoScout24 - La plateforme de l'immobilier en Suisse.")</f>
        <v>Louer appartement Echallens: Trouvez le bien immobilier qui correspond idéalement à vos désirs sur ImmoScout24 - La plateforme de l'immobilier en Suisse.</v>
      </c>
    </row>
    <row r="4681" hidden="1">
      <c r="A4681" s="5" t="s">
        <v>12461</v>
      </c>
      <c r="B4681" s="2" t="s">
        <v>12462</v>
      </c>
      <c r="C4681" s="2" t="s">
        <v>12462</v>
      </c>
      <c r="D4681" s="4" t="str">
        <f>vlookup(A4681, Sheet2!D:E, 2, 0)</f>
        <v>control</v>
      </c>
      <c r="E4681" s="4" t="str">
        <f>IFERROR(__xludf.DUMMYFUNCTION("if(H4681=""pays"",vlookup(REGEXEXTRACT(C4681, ""🏘️ \w+ \w+ (.*) ✅""),'Country prepositions'!A:B, 2, 0) &amp; "" "" &amp; REGEXEXTRACT(C4681, ""🏘️ \w+ \w+ (.*) ✅"") ,  if(H4681=""quartier"",vlookup(REGEXEXTRACT(C4681, ""🏘️ \w+ \w+ (.*) ✅""),'Quartier prepositio"&amp;"ns'!A:E, 5, 0) ,  if(H4681=""region"",vlookup(REGEXEXTRACT(C4681, ""🏘️ \w+ \w+ (.*) ✅""),'Region prepositions'!B:F, 5, 0),  REGEXEXTRACT(C4681, ""🏘️ \w+ \w+ (.*) ✅""))))"),"#N/A")</f>
        <v>#N/A</v>
      </c>
      <c r="I4681" s="4" t="str">
        <f>IFERROR(__xludf.DUMMYFUNCTION("if(D4681=""variant"",  substitute(filter(Templates!E:E, Templates!A:A = F4681, Templates!B:B = G4681, Templates!C:C = H4681), ""{{}}"", E4681), B4681)"),"Vendre maison Pianezzo: Trouvez le bien immobilier qui correspond idéalement à vos désirs sur ImmoScout24 - La plateforme de l'immobilier en Suisse.")</f>
        <v>Vendre maison Pianezzo: Trouvez le bien immobilier qui correspond idéalement à vos désirs sur ImmoScout24 - La plateforme de l'immobilier en Suisse.</v>
      </c>
    </row>
    <row r="4682" hidden="1">
      <c r="A4682" s="5" t="s">
        <v>12463</v>
      </c>
      <c r="B4682" s="2" t="s">
        <v>12464</v>
      </c>
      <c r="C4682" s="2" t="s">
        <v>12464</v>
      </c>
      <c r="D4682" s="4" t="str">
        <f>vlookup(A4682, Sheet2!D:E, 2, 0)</f>
        <v>control</v>
      </c>
      <c r="E4682" s="4" t="str">
        <f>IFERROR(__xludf.DUMMYFUNCTION("if(H4682=""pays"",vlookup(REGEXEXTRACT(C4682, ""🏘️ \w+ \w+ (.*) ✅""),'Country prepositions'!A:B, 2, 0) &amp; "" "" &amp; REGEXEXTRACT(C4682, ""🏘️ \w+ \w+ (.*) ✅"") ,  if(H4682=""quartier"",vlookup(REGEXEXTRACT(C4682, ""🏘️ \w+ \w+ (.*) ✅""),'Quartier prepositio"&amp;"ns'!A:E, 5, 0) ,  if(H4682=""region"",vlookup(REGEXEXTRACT(C4682, ""🏘️ \w+ \w+ (.*) ✅""),'Region prepositions'!B:F, 5, 0),  REGEXEXTRACT(C4682, ""🏘️ \w+ \w+ (.*) ✅""))))"),"#N/A")</f>
        <v>#N/A</v>
      </c>
      <c r="I4682" s="4" t="str">
        <f>IFERROR(__xludf.DUMMYFUNCTION("if(D4682=""variant"",  substitute(filter(Templates!E:E, Templates!A:A = F4682, Templates!B:B = G4682, Templates!C:C = H4682), ""{{}}"", E4682), B4682)"),"Vendre maison Lugnez: Trouvez le bien immobilier qui correspond idéalement à vos désirs sur ImmoScout24 - La plateforme de l'immobilier en Suisse.")</f>
        <v>Vendre maison Lugnez: Trouvez le bien immobilier qui correspond idéalement à vos désirs sur ImmoScout24 - La plateforme de l'immobilier en Suisse.</v>
      </c>
    </row>
    <row r="4683" hidden="1">
      <c r="A4683" s="5" t="s">
        <v>12465</v>
      </c>
      <c r="B4683" s="2" t="s">
        <v>12466</v>
      </c>
      <c r="C4683" s="2" t="s">
        <v>12466</v>
      </c>
      <c r="D4683" s="4" t="str">
        <f>vlookup(A4683, Sheet2!D:E, 2, 0)</f>
        <v>control</v>
      </c>
      <c r="E4683" s="4" t="str">
        <f>IFERROR(__xludf.DUMMYFUNCTION("if(H4683=""pays"",vlookup(REGEXEXTRACT(C4683, ""🏘️ \w+ \w+ (.*) ✅""),'Country prepositions'!A:B, 2, 0) &amp; "" "" &amp; REGEXEXTRACT(C4683, ""🏘️ \w+ \w+ (.*) ✅"") ,  if(H4683=""quartier"",vlookup(REGEXEXTRACT(C4683, ""🏘️ \w+ \w+ (.*) ✅""),'Quartier prepositio"&amp;"ns'!A:E, 5, 0) ,  if(H4683=""region"",vlookup(REGEXEXTRACT(C4683, ""🏘️ \w+ \w+ (.*) ✅""),'Region prepositions'!B:F, 5, 0),  REGEXEXTRACT(C4683, ""🏘️ \w+ \w+ (.*) ✅""))))"),"#N/A")</f>
        <v>#N/A</v>
      </c>
      <c r="I4683" s="4" t="str">
        <f>IFERROR(__xludf.DUMMYFUNCTION("if(D4683=""variant"",  substitute(filter(Templates!E:E, Templates!A:A = F4683, Templates!B:B = G4683, Templates!C:C = H4683), ""{{}}"", E4683), B4683)"),"Louer appartement Florissant - Malagnou (Genève): Trouvez le bien immobilier qui correspond idéalement à vos désirs sur ImmoScout24 - La plateforme de l'immobilier en Suisse.")</f>
        <v>Louer appartement Florissant - Malagnou (Genève): Trouvez le bien immobilier qui correspond idéalement à vos désirs sur ImmoScout24 - La plateforme de l'immobilier en Suisse.</v>
      </c>
    </row>
    <row r="4684" hidden="1">
      <c r="A4684" s="5" t="s">
        <v>12467</v>
      </c>
      <c r="B4684" s="2" t="s">
        <v>12468</v>
      </c>
      <c r="C4684" s="2" t="s">
        <v>12468</v>
      </c>
      <c r="D4684" s="4" t="str">
        <f>vlookup(A4684, Sheet2!D:E, 2, 0)</f>
        <v>control</v>
      </c>
      <c r="E4684" s="4" t="str">
        <f>IFERROR(__xludf.DUMMYFUNCTION("if(H4684=""pays"",vlookup(REGEXEXTRACT(C4684, ""🏘️ \w+ \w+ (.*) ✅""),'Country prepositions'!A:B, 2, 0) &amp; "" "" &amp; REGEXEXTRACT(C4684, ""🏘️ \w+ \w+ (.*) ✅"") ,  if(H4684=""quartier"",vlookup(REGEXEXTRACT(C4684, ""🏘️ \w+ \w+ (.*) ✅""),'Quartier prepositio"&amp;"ns'!A:E, 5, 0) ,  if(H4684=""region"",vlookup(REGEXEXTRACT(C4684, ""🏘️ \w+ \w+ (.*) ✅""),'Region prepositions'!B:F, 5, 0),  REGEXEXTRACT(C4684, ""🏘️ \w+ \w+ (.*) ✅""))))"),"#N/A")</f>
        <v>#N/A</v>
      </c>
      <c r="I4684" s="4" t="str">
        <f>IFERROR(__xludf.DUMMYFUNCTION("if(D4684=""variant"",  substitute(filter(Templates!E:E, Templates!A:A = F4684, Templates!B:B = G4684, Templates!C:C = H4684), ""{{}}"", E4684), B4684)"),"Vendre appartement Nidwald: Trouvez le bien immobilier qui correspond idéalement à vos désirs sur ImmoScout24 - La plateforme de l'immobilier en Suisse.")</f>
        <v>Vendre appartement Nidwald: Trouvez le bien immobilier qui correspond idéalement à vos désirs sur ImmoScout24 - La plateforme de l'immobilier en Suisse.</v>
      </c>
    </row>
    <row r="4685" hidden="1">
      <c r="A4685" s="5" t="s">
        <v>12469</v>
      </c>
      <c r="B4685" s="2" t="s">
        <v>12470</v>
      </c>
      <c r="C4685" s="2" t="s">
        <v>12470</v>
      </c>
      <c r="D4685" s="4" t="str">
        <f>vlookup(A4685, Sheet2!D:E, 2, 0)</f>
        <v>control</v>
      </c>
      <c r="E4685" s="4" t="str">
        <f>IFERROR(__xludf.DUMMYFUNCTION("if(H4685=""pays"",vlookup(REGEXEXTRACT(C4685, ""🏘️ \w+ \w+ (.*) ✅""),'Country prepositions'!A:B, 2, 0) &amp; "" "" &amp; REGEXEXTRACT(C4685, ""🏘️ \w+ \w+ (.*) ✅"") ,  if(H4685=""quartier"",vlookup(REGEXEXTRACT(C4685, ""🏘️ \w+ \w+ (.*) ✅""),'Quartier prepositio"&amp;"ns'!A:E, 5, 0) ,  if(H4685=""region"",vlookup(REGEXEXTRACT(C4685, ""🏘️ \w+ \w+ (.*) ✅""),'Region prepositions'!B:F, 5, 0),  REGEXEXTRACT(C4685, ""🏘️ \w+ \w+ (.*) ✅""))))"),"#N/A")</f>
        <v>#N/A</v>
      </c>
      <c r="I4685" s="4" t="str">
        <f>IFERROR(__xludf.DUMMYFUNCTION("if(D4685=""variant"",  substitute(filter(Templates!E:E, Templates!A:A = F4685, Templates!B:B = G4685, Templates!C:C = H4685), ""{{}}"", E4685), B4685)"),"Vendre maison Etziken: Trouvez le bien immobilier qui correspond idéalement à vos désirs sur ImmoScout24 - La plateforme de l'immobilier en Suisse.")</f>
        <v>Vendre maison Etziken: Trouvez le bien immobilier qui correspond idéalement à vos désirs sur ImmoScout24 - La plateforme de l'immobilier en Suisse.</v>
      </c>
    </row>
    <row r="4686" hidden="1">
      <c r="A4686" s="5" t="s">
        <v>12471</v>
      </c>
      <c r="B4686" s="2" t="s">
        <v>12472</v>
      </c>
      <c r="C4686" s="2" t="s">
        <v>12472</v>
      </c>
      <c r="D4686" s="4" t="str">
        <f>vlookup(A4686, Sheet2!D:E, 2, 0)</f>
        <v>control</v>
      </c>
      <c r="E4686" s="4" t="str">
        <f>IFERROR(__xludf.DUMMYFUNCTION("if(H4686=""pays"",vlookup(REGEXEXTRACT(C4686, ""🏘️ \w+ \w+ (.*) ✅""),'Country prepositions'!A:B, 2, 0) &amp; "" "" &amp; REGEXEXTRACT(C4686, ""🏘️ \w+ \w+ (.*) ✅"") ,  if(H4686=""quartier"",vlookup(REGEXEXTRACT(C4686, ""🏘️ \w+ \w+ (.*) ✅""),'Quartier prepositio"&amp;"ns'!A:E, 5, 0) ,  if(H4686=""region"",vlookup(REGEXEXTRACT(C4686, ""🏘️ \w+ \w+ (.*) ✅""),'Region prepositions'!B:F, 5, 0),  REGEXEXTRACT(C4686, ""🏘️ \w+ \w+ (.*) ✅""))))"),"#N/A")</f>
        <v>#N/A</v>
      </c>
      <c r="I4686" s="4" t="str">
        <f>IFERROR(__xludf.DUMMYFUNCTION("if(D4686=""variant"",  substitute(filter(Templates!E:E, Templates!A:A = F4686, Templates!B:B = G4686, Templates!C:C = H4686), ""{{}}"", E4686), B4686)"),"Louer maison Vers-chez-les-Blanc (Lausanne): Trouvez le bien immobilier qui correspond idéalement à vos désirs sur ImmoScout24 - La plateforme de l'immobilier en Suisse.")</f>
        <v>Louer maison Vers-chez-les-Blanc (Lausanne): Trouvez le bien immobilier qui correspond idéalement à vos désirs sur ImmoScout24 - La plateforme de l'immobilier en Suisse.</v>
      </c>
    </row>
    <row r="4687" hidden="1">
      <c r="A4687" s="5" t="s">
        <v>12473</v>
      </c>
      <c r="B4687" s="2" t="s">
        <v>12474</v>
      </c>
      <c r="C4687" s="2" t="s">
        <v>12474</v>
      </c>
      <c r="D4687" s="4" t="str">
        <f>vlookup(A4687, Sheet2!D:E, 2, 0)</f>
        <v>control</v>
      </c>
      <c r="E4687" s="4" t="str">
        <f>IFERROR(__xludf.DUMMYFUNCTION("if(H4687=""pays"",vlookup(REGEXEXTRACT(C4687, ""🏘️ \w+ \w+ (.*) ✅""),'Country prepositions'!A:B, 2, 0) &amp; "" "" &amp; REGEXEXTRACT(C4687, ""🏘️ \w+ \w+ (.*) ✅"") ,  if(H4687=""quartier"",vlookup(REGEXEXTRACT(C4687, ""🏘️ \w+ \w+ (.*) ✅""),'Quartier prepositio"&amp;"ns'!A:E, 5, 0) ,  if(H4687=""region"",vlookup(REGEXEXTRACT(C4687, ""🏘️ \w+ \w+ (.*) ✅""),'Region prepositions'!B:F, 5, 0),  REGEXEXTRACT(C4687, ""🏘️ \w+ \w+ (.*) ✅""))))"),"#N/A")</f>
        <v>#N/A</v>
      </c>
      <c r="I4687" s="4" t="str">
        <f>IFERROR(__xludf.DUMMYFUNCTION("if(D4687=""variant"",  substitute(filter(Templates!E:E, Templates!A:A = F4687, Templates!B:B = G4687, Templates!C:C = H4687), ""{{}}"", E4687), B4687)"),"Louer appartement St. Gall ville: Trouvez le bien immobilier qui correspond idéalement à vos désirs sur ImmoScout24 - La plateforme de l'immobilier en Suisse.")</f>
        <v>Louer appartement St. Gall ville: Trouvez le bien immobilier qui correspond idéalement à vos désirs sur ImmoScout24 - La plateforme de l'immobilier en Suisse.</v>
      </c>
    </row>
    <row r="4688" hidden="1">
      <c r="A4688" s="5" t="s">
        <v>12475</v>
      </c>
      <c r="B4688" s="2" t="s">
        <v>12476</v>
      </c>
      <c r="C4688" s="2" t="s">
        <v>12476</v>
      </c>
      <c r="D4688" s="4" t="str">
        <f>vlookup(A4688, Sheet2!D:E, 2, 0)</f>
        <v>control</v>
      </c>
      <c r="E4688" s="4" t="str">
        <f>IFERROR(__xludf.DUMMYFUNCTION("if(H4688=""pays"",vlookup(REGEXEXTRACT(C4688, ""🏘️ \w+ \w+ (.*) ✅""),'Country prepositions'!A:B, 2, 0) &amp; "" "" &amp; REGEXEXTRACT(C4688, ""🏘️ \w+ \w+ (.*) ✅"") ,  if(H4688=""quartier"",vlookup(REGEXEXTRACT(C4688, ""🏘️ \w+ \w+ (.*) ✅""),'Quartier prepositio"&amp;"ns'!A:E, 5, 0) ,  if(H4688=""region"",vlookup(REGEXEXTRACT(C4688, ""🏘️ \w+ \w+ (.*) ✅""),'Region prepositions'!B:F, 5, 0),  REGEXEXTRACT(C4688, ""🏘️ \w+ \w+ (.*) ✅""))))"),"#N/A")</f>
        <v>#N/A</v>
      </c>
      <c r="I4688" s="4" t="str">
        <f>IFERROR(__xludf.DUMMYFUNCTION("if(D4688=""variant"",  substitute(filter(Templates!E:E, Templates!A:A = F4688, Templates!B:B = G4688, Templates!C:C = H4688), ""{{}}"", E4688), B4688)"),"Vendre maison Vico Morcote: Trouvez le bien immobilier qui correspond idéalement à vos désirs sur ImmoScout24 - La plateforme de l'immobilier en Suisse.")</f>
        <v>Vendre maison Vico Morcote: Trouvez le bien immobilier qui correspond idéalement à vos désirs sur ImmoScout24 - La plateforme de l'immobilier en Suisse.</v>
      </c>
    </row>
    <row r="4689" hidden="1">
      <c r="A4689" s="5" t="s">
        <v>12477</v>
      </c>
      <c r="B4689" s="2" t="s">
        <v>12478</v>
      </c>
      <c r="C4689" s="2" t="s">
        <v>12478</v>
      </c>
      <c r="D4689" s="4" t="str">
        <f>vlookup(A4689, Sheet2!D:E, 2, 0)</f>
        <v>control</v>
      </c>
      <c r="E4689" s="4" t="str">
        <f>IFERROR(__xludf.DUMMYFUNCTION("if(H4689=""pays"",vlookup(REGEXEXTRACT(C4689, ""🏘️ \w+ \w+ (.*) ✅""),'Country prepositions'!A:B, 2, 0) &amp; "" "" &amp; REGEXEXTRACT(C4689, ""🏘️ \w+ \w+ (.*) ✅"") ,  if(H4689=""quartier"",vlookup(REGEXEXTRACT(C4689, ""🏘️ \w+ \w+ (.*) ✅""),'Quartier prepositio"&amp;"ns'!A:E, 5, 0) ,  if(H4689=""region"",vlookup(REGEXEXTRACT(C4689, ""🏘️ \w+ \w+ (.*) ✅""),'Region prepositions'!B:F, 5, 0),  REGEXEXTRACT(C4689, ""🏘️ \w+ \w+ (.*) ✅""))))"),"#N/A")</f>
        <v>#N/A</v>
      </c>
      <c r="I4689" s="4" t="str">
        <f>IFERROR(__xludf.DUMMYFUNCTION("if(D4689=""variant"",  substitute(filter(Templates!E:E, Templates!A:A = F4689, Templates!B:B = G4689, Templates!C:C = H4689), ""{{}}"", E4689), B4689)"),"Vendre maison Dorénaz: Trouvez le bien immobilier qui correspond idéalement à vos désirs sur ImmoScout24 - La plateforme de l'immobilier en Suisse.")</f>
        <v>Vendre maison Dorénaz: Trouvez le bien immobilier qui correspond idéalement à vos désirs sur ImmoScout24 - La plateforme de l'immobilier en Suisse.</v>
      </c>
    </row>
    <row r="4690" hidden="1">
      <c r="A4690" s="5" t="s">
        <v>12479</v>
      </c>
      <c r="B4690" s="2" t="s">
        <v>12480</v>
      </c>
      <c r="C4690" s="2" t="s">
        <v>12480</v>
      </c>
      <c r="D4690" s="4" t="str">
        <f>vlookup(A4690, Sheet2!D:E, 2, 0)</f>
        <v>control</v>
      </c>
      <c r="E4690" s="4" t="str">
        <f>IFERROR(__xludf.DUMMYFUNCTION("if(H4690=""pays"",vlookup(REGEXEXTRACT(C4690, ""🏘️ \w+ \w+ (.*) ✅""),'Country prepositions'!A:B, 2, 0) &amp; "" "" &amp; REGEXEXTRACT(C4690, ""🏘️ \w+ \w+ (.*) ✅"") ,  if(H4690=""quartier"",vlookup(REGEXEXTRACT(C4690, ""🏘️ \w+ \w+ (.*) ✅""),'Quartier prepositio"&amp;"ns'!A:E, 5, 0) ,  if(H4690=""region"",vlookup(REGEXEXTRACT(C4690, ""🏘️ \w+ \w+ (.*) ✅""),'Region prepositions'!B:F, 5, 0),  REGEXEXTRACT(C4690, ""🏘️ \w+ \w+ (.*) ✅""))))"),"#N/A")</f>
        <v>#N/A</v>
      </c>
      <c r="I4690" s="4" t="str">
        <f>IFERROR(__xludf.DUMMYFUNCTION("if(D4690=""variant"",  substitute(filter(Templates!E:E, Templates!A:A = F4690, Templates!B:B = G4690, Templates!C:C = H4690), ""{{}}"", E4690), B4690)"),"Louer appartement Pont-la-Ville: Trouvez le bien immobilier qui correspond idéalement à vos désirs sur ImmoScout24 - La plateforme de l'immobilier en Suisse.")</f>
        <v>Louer appartement Pont-la-Ville: Trouvez le bien immobilier qui correspond idéalement à vos désirs sur ImmoScout24 - La plateforme de l'immobilier en Suisse.</v>
      </c>
    </row>
    <row r="4691" hidden="1">
      <c r="A4691" s="5" t="s">
        <v>12481</v>
      </c>
      <c r="B4691" s="2" t="s">
        <v>12482</v>
      </c>
      <c r="C4691" s="2" t="s">
        <v>12482</v>
      </c>
      <c r="D4691" s="4" t="str">
        <f>vlookup(A4691, Sheet2!D:E, 2, 0)</f>
        <v>control</v>
      </c>
      <c r="E4691" s="4" t="str">
        <f>IFERROR(__xludf.DUMMYFUNCTION("if(H4691=""pays"",vlookup(REGEXEXTRACT(C4691, ""🏘️ \w+ \w+ (.*) ✅""),'Country prepositions'!A:B, 2, 0) &amp; "" "" &amp; REGEXEXTRACT(C4691, ""🏘️ \w+ \w+ (.*) ✅"") ,  if(H4691=""quartier"",vlookup(REGEXEXTRACT(C4691, ""🏘️ \w+ \w+ (.*) ✅""),'Quartier prepositio"&amp;"ns'!A:E, 5, 0) ,  if(H4691=""region"",vlookup(REGEXEXTRACT(C4691, ""🏘️ \w+ \w+ (.*) ✅""),'Region prepositions'!B:F, 5, 0),  REGEXEXTRACT(C4691, ""🏘️ \w+ \w+ (.*) ✅""))))"),"#N/A")</f>
        <v>#N/A</v>
      </c>
      <c r="I4691" s="4" t="str">
        <f>IFERROR(__xludf.DUMMYFUNCTION("if(D4691=""variant"",  substitute(filter(Templates!E:E, Templates!A:A = F4691, Templates!B:B = G4691, Templates!C:C = H4691), ""{{}}"", E4691), B4691)"),"Vendre maison Leukerbad: Trouvez le bien immobilier qui correspond idéalement à vos désirs sur ImmoScout24 - La plateforme de l'immobilier en Suisse.")</f>
        <v>Vendre maison Leukerbad: Trouvez le bien immobilier qui correspond idéalement à vos désirs sur ImmoScout24 - La plateforme de l'immobilier en Suisse.</v>
      </c>
    </row>
    <row r="4692" hidden="1">
      <c r="A4692" s="5" t="s">
        <v>12483</v>
      </c>
      <c r="B4692" s="2" t="s">
        <v>12484</v>
      </c>
      <c r="C4692" s="2" t="s">
        <v>12484</v>
      </c>
      <c r="D4692" s="4" t="str">
        <f>vlookup(A4692, Sheet2!D:E, 2, 0)</f>
        <v>control</v>
      </c>
      <c r="E4692" s="4" t="str">
        <f>IFERROR(__xludf.DUMMYFUNCTION("if(H4692=""pays"",vlookup(REGEXEXTRACT(C4692, ""🏘️ \w+ \w+ (.*) ✅""),'Country prepositions'!A:B, 2, 0) &amp; "" "" &amp; REGEXEXTRACT(C4692, ""🏘️ \w+ \w+ (.*) ✅"") ,  if(H4692=""quartier"",vlookup(REGEXEXTRACT(C4692, ""🏘️ \w+ \w+ (.*) ✅""),'Quartier prepositio"&amp;"ns'!A:E, 5, 0) ,  if(H4692=""region"",vlookup(REGEXEXTRACT(C4692, ""🏘️ \w+ \w+ (.*) ✅""),'Region prepositions'!B:F, 5, 0),  REGEXEXTRACT(C4692, ""🏘️ \w+ \w+ (.*) ✅""))))"),"#N/A")</f>
        <v>#N/A</v>
      </c>
      <c r="I4692" s="4" t="str">
        <f>IFERROR(__xludf.DUMMYFUNCTION("if(D4692=""variant"",  substitute(filter(Templates!E:E, Templates!A:A = F4692, Templates!B:B = G4692, Templates!C:C = H4692), ""{{}}"", E4692), B4692)"),"Louer appartement Palézieux-Village: Trouvez le bien immobilier qui correspond idéalement à vos désirs sur ImmoScout24 - La plateforme de l'immobilier en Suisse.")</f>
        <v>Louer appartement Palézieux-Village: Trouvez le bien immobilier qui correspond idéalement à vos désirs sur ImmoScout24 - La plateforme de l'immobilier en Suisse.</v>
      </c>
    </row>
    <row r="4693" hidden="1">
      <c r="A4693" s="5" t="s">
        <v>12485</v>
      </c>
      <c r="B4693" s="2" t="s">
        <v>12486</v>
      </c>
      <c r="C4693" s="2" t="s">
        <v>12486</v>
      </c>
      <c r="D4693" s="4" t="str">
        <f>vlookup(A4693, Sheet2!D:E, 2, 0)</f>
        <v>control</v>
      </c>
      <c r="E4693" s="4" t="str">
        <f>IFERROR(__xludf.DUMMYFUNCTION("if(H4693=""pays"",vlookup(REGEXEXTRACT(C4693, ""🏘️ \w+ \w+ (.*) ✅""),'Country prepositions'!A:B, 2, 0) &amp; "" "" &amp; REGEXEXTRACT(C4693, ""🏘️ \w+ \w+ (.*) ✅"") ,  if(H4693=""quartier"",vlookup(REGEXEXTRACT(C4693, ""🏘️ \w+ \w+ (.*) ✅""),'Quartier prepositio"&amp;"ns'!A:E, 5, 0) ,  if(H4693=""region"",vlookup(REGEXEXTRACT(C4693, ""🏘️ \w+ \w+ (.*) ✅""),'Region prepositions'!B:F, 5, 0),  REGEXEXTRACT(C4693, ""🏘️ \w+ \w+ (.*) ✅""))))"),"#N/A")</f>
        <v>#N/A</v>
      </c>
      <c r="I4693" s="4" t="str">
        <f>IFERROR(__xludf.DUMMYFUNCTION("if(D4693=""variant"",  substitute(filter(Templates!E:E, Templates!A:A = F4693, Templates!B:B = G4693, Templates!C:C = H4693), ""{{}}"", E4693), B4693)"),"Vendre maison Clarmont: Trouvez le bien immobilier qui correspond idéalement à vos désirs sur ImmoScout24 - La plateforme de l'immobilier en Suisse.")</f>
        <v>Vendre maison Clarmont: Trouvez le bien immobilier qui correspond idéalement à vos désirs sur ImmoScout24 - La plateforme de l'immobilier en Suisse.</v>
      </c>
    </row>
    <row r="4694" hidden="1">
      <c r="A4694" s="5" t="s">
        <v>12487</v>
      </c>
      <c r="B4694" s="2" t="s">
        <v>12488</v>
      </c>
      <c r="C4694" s="2" t="s">
        <v>12488</v>
      </c>
      <c r="D4694" s="4" t="str">
        <f>vlookup(A4694, Sheet2!D:E, 2, 0)</f>
        <v>control</v>
      </c>
      <c r="E4694" s="4" t="str">
        <f>IFERROR(__xludf.DUMMYFUNCTION("if(H4694=""pays"",vlookup(REGEXEXTRACT(C4694, ""🏘️ \w+ \w+ (.*) ✅""),'Country prepositions'!A:B, 2, 0) &amp; "" "" &amp; REGEXEXTRACT(C4694, ""🏘️ \w+ \w+ (.*) ✅"") ,  if(H4694=""quartier"",vlookup(REGEXEXTRACT(C4694, ""🏘️ \w+ \w+ (.*) ✅""),'Quartier prepositio"&amp;"ns'!A:E, 5, 0) ,  if(H4694=""region"",vlookup(REGEXEXTRACT(C4694, ""🏘️ \w+ \w+ (.*) ✅""),'Region prepositions'!B:F, 5, 0),  REGEXEXTRACT(C4694, ""🏘️ \w+ \w+ (.*) ✅""))))"),"#N/A")</f>
        <v>#N/A</v>
      </c>
      <c r="I4694" s="4" t="str">
        <f>IFERROR(__xludf.DUMMYFUNCTION("if(D4694=""variant"",  substitute(filter(Templates!E:E, Templates!A:A = F4694, Templates!B:B = G4694, Templates!C:C = H4694), ""{{}}"", E4694), B4694)"),"Vendre appartement Buch am Irchel: Trouvez le bien immobilier qui correspond idéalement à vos désirs sur ImmoScout24 - La plateforme de l'immobilier en Suisse.")</f>
        <v>Vendre appartement Buch am Irchel: Trouvez le bien immobilier qui correspond idéalement à vos désirs sur ImmoScout24 - La plateforme de l'immobilier en Suisse.</v>
      </c>
    </row>
    <row r="4695" hidden="1">
      <c r="A4695" s="5" t="s">
        <v>12489</v>
      </c>
      <c r="B4695" s="2" t="s">
        <v>12490</v>
      </c>
      <c r="C4695" s="2" t="s">
        <v>12490</v>
      </c>
      <c r="D4695" s="4" t="str">
        <f>vlookup(A4695, Sheet2!D:E, 2, 0)</f>
        <v>control</v>
      </c>
      <c r="E4695" s="4" t="str">
        <f>IFERROR(__xludf.DUMMYFUNCTION("if(H4695=""pays"",vlookup(REGEXEXTRACT(C4695, ""🏘️ \w+ \w+ (.*) ✅""),'Country prepositions'!A:B, 2, 0) &amp; "" "" &amp; REGEXEXTRACT(C4695, ""🏘️ \w+ \w+ (.*) ✅"") ,  if(H4695=""quartier"",vlookup(REGEXEXTRACT(C4695, ""🏘️ \w+ \w+ (.*) ✅""),'Quartier prepositio"&amp;"ns'!A:E, 5, 0) ,  if(H4695=""region"",vlookup(REGEXEXTRACT(C4695, ""🏘️ \w+ \w+ (.*) ✅""),'Region prepositions'!B:F, 5, 0),  REGEXEXTRACT(C4695, ""🏘️ \w+ \w+ (.*) ✅""))))"),"#N/A")</f>
        <v>#N/A</v>
      </c>
      <c r="I4695" s="4" t="str">
        <f>IFERROR(__xludf.DUMMYFUNCTION("if(D4695=""variant"",  substitute(filter(Templates!E:E, Templates!A:A = F4695, Templates!B:B = G4695, Templates!C:C = H4695), ""{{}}"", E4695), B4695)"),"Louer maison Romanshorn: Trouvez le bien immobilier qui correspond idéalement à vos désirs sur ImmoScout24 - La plateforme de l'immobilier en Suisse.")</f>
        <v>Louer maison Romanshorn: Trouvez le bien immobilier qui correspond idéalement à vos désirs sur ImmoScout24 - La plateforme de l'immobilier en Suisse.</v>
      </c>
    </row>
    <row r="4696" hidden="1">
      <c r="A4696" s="5" t="s">
        <v>12491</v>
      </c>
      <c r="B4696" s="2" t="s">
        <v>12492</v>
      </c>
      <c r="C4696" s="2" t="s">
        <v>12492</v>
      </c>
      <c r="D4696" s="4" t="str">
        <f>vlookup(A4696, Sheet2!D:E, 2, 0)</f>
        <v>control</v>
      </c>
      <c r="E4696" s="4" t="str">
        <f>IFERROR(__xludf.DUMMYFUNCTION("if(H4696=""pays"",vlookup(REGEXEXTRACT(C4696, ""🏘️ \w+ \w+ (.*) ✅""),'Country prepositions'!A:B, 2, 0) &amp; "" "" &amp; REGEXEXTRACT(C4696, ""🏘️ \w+ \w+ (.*) ✅"") ,  if(H4696=""quartier"",vlookup(REGEXEXTRACT(C4696, ""🏘️ \w+ \w+ (.*) ✅""),'Quartier prepositio"&amp;"ns'!A:E, 5, 0) ,  if(H4696=""region"",vlookup(REGEXEXTRACT(C4696, ""🏘️ \w+ \w+ (.*) ✅""),'Region prepositions'!B:F, 5, 0),  REGEXEXTRACT(C4696, ""🏘️ \w+ \w+ (.*) ✅""))))"),"#N/A")</f>
        <v>#N/A</v>
      </c>
      <c r="I4696" s="4" t="str">
        <f>IFERROR(__xludf.DUMMYFUNCTION("if(D4696=""variant"",  substitute(filter(Templates!E:E, Templates!A:A = F4696, Templates!B:B = G4696, Templates!C:C = H4696), ""{{}}"", E4696), B4696)"),"Vendre appartement Moléson-sur-Gruyères: Trouvez le bien immobilier qui correspond idéalement à vos désirs sur ImmoScout24 - La plateforme de l'immobilier en Suisse.")</f>
        <v>Vendre appartement Moléson-sur-Gruyères: Trouvez le bien immobilier qui correspond idéalement à vos désirs sur ImmoScout24 - La plateforme de l'immobilier en Suisse.</v>
      </c>
    </row>
    <row r="4697" hidden="1">
      <c r="A4697" s="5" t="s">
        <v>12493</v>
      </c>
      <c r="B4697" s="2" t="s">
        <v>12494</v>
      </c>
      <c r="C4697" s="2" t="s">
        <v>12494</v>
      </c>
      <c r="D4697" s="4" t="str">
        <f>vlookup(A4697, Sheet2!D:E, 2, 0)</f>
        <v>control</v>
      </c>
      <c r="E4697" s="4" t="str">
        <f>IFERROR(__xludf.DUMMYFUNCTION("if(H4697=""pays"",vlookup(REGEXEXTRACT(C4697, ""🏘️ \w+ \w+ (.*) ✅""),'Country prepositions'!A:B, 2, 0) &amp; "" "" &amp; REGEXEXTRACT(C4697, ""🏘️ \w+ \w+ (.*) ✅"") ,  if(H4697=""quartier"",vlookup(REGEXEXTRACT(C4697, ""🏘️ \w+ \w+ (.*) ✅""),'Quartier prepositio"&amp;"ns'!A:E, 5, 0) ,  if(H4697=""region"",vlookup(REGEXEXTRACT(C4697, ""🏘️ \w+ \w+ (.*) ✅""),'Region prepositions'!B:F, 5, 0),  REGEXEXTRACT(C4697, ""🏘️ \w+ \w+ (.*) ✅""))))"),"#N/A")</f>
        <v>#N/A</v>
      </c>
      <c r="I4697" s="4" t="str">
        <f>IFERROR(__xludf.DUMMYFUNCTION("if(D4697=""variant"",  substitute(filter(Templates!E:E, Templates!A:A = F4697, Templates!B:B = G4697, Templates!C:C = H4697), ""{{}}"", E4697), B4697)"),"Vendre appartement Aclens: Trouvez le bien immobilier qui correspond idéalement à vos désirs sur ImmoScout24 - La plateforme de l'immobilier en Suisse.")</f>
        <v>Vendre appartement Aclens: Trouvez le bien immobilier qui correspond idéalement à vos désirs sur ImmoScout24 - La plateforme de l'immobilier en Suisse.</v>
      </c>
    </row>
    <row r="4698" hidden="1">
      <c r="A4698" s="5" t="s">
        <v>12495</v>
      </c>
      <c r="B4698" s="2" t="s">
        <v>12496</v>
      </c>
      <c r="C4698" s="2" t="s">
        <v>12496</v>
      </c>
      <c r="D4698" s="4" t="str">
        <f>vlookup(A4698, Sheet2!D:E, 2, 0)</f>
        <v>control</v>
      </c>
      <c r="E4698" s="4" t="str">
        <f>IFERROR(__xludf.DUMMYFUNCTION("if(H4698=""pays"",vlookup(REGEXEXTRACT(C4698, ""🏘️ \w+ \w+ (.*) ✅""),'Country prepositions'!A:B, 2, 0) &amp; "" "" &amp; REGEXEXTRACT(C4698, ""🏘️ \w+ \w+ (.*) ✅"") ,  if(H4698=""quartier"",vlookup(REGEXEXTRACT(C4698, ""🏘️ \w+ \w+ (.*) ✅""),'Quartier prepositio"&amp;"ns'!A:E, 5, 0) ,  if(H4698=""region"",vlookup(REGEXEXTRACT(C4698, ""🏘️ \w+ \w+ (.*) ✅""),'Region prepositions'!B:F, 5, 0),  REGEXEXTRACT(C4698, ""🏘️ \w+ \w+ (.*) ✅""))))"),"#N/A")</f>
        <v>#N/A</v>
      </c>
      <c r="I4698" s="4" t="str">
        <f>IFERROR(__xludf.DUMMYFUNCTION("if(D4698=""variant"",  substitute(filter(Templates!E:E, Templates!A:A = F4698, Templates!B:B = G4698, Templates!C:C = H4698), ""{{}}"", E4698), B4698)"),"Vendre appartement Canton de Schwyz: Trouvez le bien immobilier qui correspond idéalement à vos désirs sur ImmoScout24 - La plateforme de l'immobilier en Suisse.")</f>
        <v>Vendre appartement Canton de Schwyz: Trouvez le bien immobilier qui correspond idéalement à vos désirs sur ImmoScout24 - La plateforme de l'immobilier en Suisse.</v>
      </c>
    </row>
    <row r="4699" hidden="1">
      <c r="A4699" s="5" t="s">
        <v>12497</v>
      </c>
      <c r="B4699" s="2" t="s">
        <v>12498</v>
      </c>
      <c r="C4699" s="2" t="s">
        <v>12498</v>
      </c>
      <c r="D4699" s="4" t="str">
        <f>vlookup(A4699, Sheet2!D:E, 2, 0)</f>
        <v>control</v>
      </c>
      <c r="E4699" s="4" t="str">
        <f>IFERROR(__xludf.DUMMYFUNCTION("if(H4699=""pays"",vlookup(REGEXEXTRACT(C4699, ""🏘️ \w+ \w+ (.*) ✅""),'Country prepositions'!A:B, 2, 0) &amp; "" "" &amp; REGEXEXTRACT(C4699, ""🏘️ \w+ \w+ (.*) ✅"") ,  if(H4699=""quartier"",vlookup(REGEXEXTRACT(C4699, ""🏘️ \w+ \w+ (.*) ✅""),'Quartier prepositio"&amp;"ns'!A:E, 5, 0) ,  if(H4699=""region"",vlookup(REGEXEXTRACT(C4699, ""🏘️ \w+ \w+ (.*) ✅""),'Region prepositions'!B:F, 5, 0),  REGEXEXTRACT(C4699, ""🏘️ \w+ \w+ (.*) ✅""))))"),"#N/A")</f>
        <v>#N/A</v>
      </c>
      <c r="I4699" s="4" t="str">
        <f>IFERROR(__xludf.DUMMYFUNCTION("if(D4699=""variant"",  substitute(filter(Templates!E:E, Templates!A:A = F4699, Templates!B:B = G4699, Templates!C:C = H4699), ""{{}}"", E4699), B4699)"),"Louer maison Laconnex: Trouvez le bien immobilier qui correspond idéalement à vos désirs sur ImmoScout24 - La plateforme de l'immobilier en Suisse.")</f>
        <v>Louer maison Laconnex: Trouvez le bien immobilier qui correspond idéalement à vos désirs sur ImmoScout24 - La plateforme de l'immobilier en Suisse.</v>
      </c>
    </row>
    <row r="4700" hidden="1">
      <c r="A4700" s="5" t="s">
        <v>12499</v>
      </c>
      <c r="B4700" s="2" t="s">
        <v>12500</v>
      </c>
      <c r="C4700" s="2" t="s">
        <v>12500</v>
      </c>
      <c r="D4700" s="4" t="str">
        <f>vlookup(A4700, Sheet2!D:E, 2, 0)</f>
        <v>control</v>
      </c>
      <c r="E4700" s="4" t="str">
        <f>IFERROR(__xludf.DUMMYFUNCTION("if(H4700=""pays"",vlookup(REGEXEXTRACT(C4700, ""🏘️ \w+ \w+ (.*) ✅""),'Country prepositions'!A:B, 2, 0) &amp; "" "" &amp; REGEXEXTRACT(C4700, ""🏘️ \w+ \w+ (.*) ✅"") ,  if(H4700=""quartier"",vlookup(REGEXEXTRACT(C4700, ""🏘️ \w+ \w+ (.*) ✅""),'Quartier prepositio"&amp;"ns'!A:E, 5, 0) ,  if(H4700=""region"",vlookup(REGEXEXTRACT(C4700, ""🏘️ \w+ \w+ (.*) ✅""),'Region prepositions'!B:F, 5, 0),  REGEXEXTRACT(C4700, ""🏘️ \w+ \w+ (.*) ✅""))))"),"#N/A")</f>
        <v>#N/A</v>
      </c>
      <c r="I4700" s="4" t="str">
        <f>IFERROR(__xludf.DUMMYFUNCTION("if(D4700=""variant"",  substitute(filter(Templates!E:E, Templates!A:A = F4700, Templates!B:B = G4700, Templates!C:C = H4700), ""{{}}"", E4700), B4700)"),"Vendre maison Canton des Grisons: Trouvez le bien immobilier qui correspond idéalement à vos désirs sur ImmoScout24 - La plateforme de l'immobilier en Suisse.")</f>
        <v>Vendre maison Canton des Grisons: Trouvez le bien immobilier qui correspond idéalement à vos désirs sur ImmoScout24 - La plateforme de l'immobilier en Suisse.</v>
      </c>
    </row>
    <row r="4701" hidden="1">
      <c r="A4701" s="5" t="s">
        <v>12501</v>
      </c>
      <c r="B4701" s="2" t="s">
        <v>12502</v>
      </c>
      <c r="C4701" s="2" t="s">
        <v>12502</v>
      </c>
      <c r="D4701" s="4" t="str">
        <f>vlookup(A4701, Sheet2!D:E, 2, 0)</f>
        <v>control</v>
      </c>
      <c r="E4701" s="4" t="str">
        <f>IFERROR(__xludf.DUMMYFUNCTION("if(H4701=""pays"",vlookup(REGEXEXTRACT(C4701, ""🏘️ \w+ \w+ (.*) ✅""),'Country prepositions'!A:B, 2, 0) &amp; "" "" &amp; REGEXEXTRACT(C4701, ""🏘️ \w+ \w+ (.*) ✅"") ,  if(H4701=""quartier"",vlookup(REGEXEXTRACT(C4701, ""🏘️ \w+ \w+ (.*) ✅""),'Quartier prepositio"&amp;"ns'!A:E, 5, 0) ,  if(H4701=""region"",vlookup(REGEXEXTRACT(C4701, ""🏘️ \w+ \w+ (.*) ✅""),'Region prepositions'!B:F, 5, 0),  REGEXEXTRACT(C4701, ""🏘️ \w+ \w+ (.*) ✅""))))"),"#N/A")</f>
        <v>#N/A</v>
      </c>
      <c r="I4701" s="4" t="str">
        <f>IFERROR(__xludf.DUMMYFUNCTION("if(D4701=""variant"",  substitute(filter(Templates!E:E, Templates!A:A = F4701, Templates!B:B = G4701, Templates!C:C = H4701), ""{{}}"", E4701), B4701)"),"Louer maison Semsales: Trouvez le bien immobilier qui correspond idéalement à vos désirs sur ImmoScout24 - La plateforme de l'immobilier en Suisse.")</f>
        <v>Louer maison Semsales: Trouvez le bien immobilier qui correspond idéalement à vos désirs sur ImmoScout24 - La plateforme de l'immobilier en Suisse.</v>
      </c>
    </row>
    <row r="4702" hidden="1">
      <c r="A4702" s="5" t="s">
        <v>12503</v>
      </c>
      <c r="B4702" s="2" t="s">
        <v>12504</v>
      </c>
      <c r="C4702" s="2" t="s">
        <v>12504</v>
      </c>
      <c r="D4702" s="4" t="str">
        <f>vlookup(A4702, Sheet2!D:E, 2, 0)</f>
        <v>control</v>
      </c>
      <c r="E4702" s="4" t="str">
        <f>IFERROR(__xludf.DUMMYFUNCTION("if(H4702=""pays"",vlookup(REGEXEXTRACT(C4702, ""🏘️ \w+ \w+ (.*) ✅""),'Country prepositions'!A:B, 2, 0) &amp; "" "" &amp; REGEXEXTRACT(C4702, ""🏘️ \w+ \w+ (.*) ✅"") ,  if(H4702=""quartier"",vlookup(REGEXEXTRACT(C4702, ""🏘️ \w+ \w+ (.*) ✅""),'Quartier prepositio"&amp;"ns'!A:E, 5, 0) ,  if(H4702=""region"",vlookup(REGEXEXTRACT(C4702, ""🏘️ \w+ \w+ (.*) ✅""),'Region prepositions'!B:F, 5, 0),  REGEXEXTRACT(C4702, ""🏘️ \w+ \w+ (.*) ✅""))))"),"#N/A")</f>
        <v>#N/A</v>
      </c>
      <c r="I4702" s="4" t="str">
        <f>IFERROR(__xludf.DUMMYFUNCTION("if(D4702=""variant"",  substitute(filter(Templates!E:E, Templates!A:A = F4702, Templates!B:B = G4702, Templates!C:C = H4702), ""{{}}"", E4702), B4702)"),"Louer appartement Haut-Valais: Trouvez le bien immobilier qui correspond idéalement à vos désirs sur ImmoScout24 - La plateforme de l'immobilier en Suisse.")</f>
        <v>Louer appartement Haut-Valais: Trouvez le bien immobilier qui correspond idéalement à vos désirs sur ImmoScout24 - La plateforme de l'immobilier en Suisse.</v>
      </c>
    </row>
    <row r="4703" hidden="1">
      <c r="A4703" s="5" t="s">
        <v>12505</v>
      </c>
      <c r="B4703" s="2" t="s">
        <v>12506</v>
      </c>
      <c r="C4703" s="2" t="s">
        <v>12506</v>
      </c>
      <c r="D4703" s="4" t="str">
        <f>vlookup(A4703, Sheet2!D:E, 2, 0)</f>
        <v>control</v>
      </c>
      <c r="E4703" s="4" t="str">
        <f>IFERROR(__xludf.DUMMYFUNCTION("if(H4703=""pays"",vlookup(REGEXEXTRACT(C4703, ""🏘️ \w+ \w+ (.*) ✅""),'Country prepositions'!A:B, 2, 0) &amp; "" "" &amp; REGEXEXTRACT(C4703, ""🏘️ \w+ \w+ (.*) ✅"") ,  if(H4703=""quartier"",vlookup(REGEXEXTRACT(C4703, ""🏘️ \w+ \w+ (.*) ✅""),'Quartier prepositio"&amp;"ns'!A:E, 5, 0) ,  if(H4703=""region"",vlookup(REGEXEXTRACT(C4703, ""🏘️ \w+ \w+ (.*) ✅""),'Region prepositions'!B:F, 5, 0),  REGEXEXTRACT(C4703, ""🏘️ \w+ \w+ (.*) ✅""))))"),"#N/A")</f>
        <v>#N/A</v>
      </c>
      <c r="I4703" s="4" t="str">
        <f>IFERROR(__xludf.DUMMYFUNCTION("if(D4703=""variant"",  substitute(filter(Templates!E:E, Templates!A:A = F4703, Templates!B:B = G4703, Templates!C:C = H4703), ""{{}}"", E4703), B4703)"),"Louer maison Canton de Turgovie: Trouvez le bien immobilier qui correspond idéalement à vos désirs sur ImmoScout24 - La plateforme de l'immobilier en Suisse.")</f>
        <v>Louer maison Canton de Turgovie: Trouvez le bien immobilier qui correspond idéalement à vos désirs sur ImmoScout24 - La plateforme de l'immobilier en Suisse.</v>
      </c>
    </row>
    <row r="4704" hidden="1">
      <c r="A4704" s="5" t="s">
        <v>12507</v>
      </c>
      <c r="B4704" s="2" t="s">
        <v>12508</v>
      </c>
      <c r="C4704" s="2" t="s">
        <v>12508</v>
      </c>
      <c r="D4704" s="4" t="str">
        <f>vlookup(A4704, Sheet2!D:E, 2, 0)</f>
        <v>control</v>
      </c>
      <c r="E4704" s="4" t="str">
        <f>IFERROR(__xludf.DUMMYFUNCTION("if(H4704=""pays"",vlookup(REGEXEXTRACT(C4704, ""🏘️ \w+ \w+ (.*) ✅""),'Country prepositions'!A:B, 2, 0) &amp; "" "" &amp; REGEXEXTRACT(C4704, ""🏘️ \w+ \w+ (.*) ✅"") ,  if(H4704=""quartier"",vlookup(REGEXEXTRACT(C4704, ""🏘️ \w+ \w+ (.*) ✅""),'Quartier prepositio"&amp;"ns'!A:E, 5, 0) ,  if(H4704=""region"",vlookup(REGEXEXTRACT(C4704, ""🏘️ \w+ \w+ (.*) ✅""),'Region prepositions'!B:F, 5, 0),  REGEXEXTRACT(C4704, ""🏘️ \w+ \w+ (.*) ✅""))))"),"#N/A")</f>
        <v>#N/A</v>
      </c>
      <c r="I4704" s="4" t="str">
        <f>IFERROR(__xludf.DUMMYFUNCTION("if(D4704=""variant"",  substitute(filter(Templates!E:E, Templates!A:A = F4704, Templates!B:B = G4704, Templates!C:C = H4704), ""{{}}"", E4704), B4704)"),"Louer appartement Rüti b. Büren: Trouvez le bien immobilier qui correspond idéalement à vos désirs sur ImmoScout24 - La plateforme de l'immobilier en Suisse.")</f>
        <v>Louer appartement Rüti b. Büren: Trouvez le bien immobilier qui correspond idéalement à vos désirs sur ImmoScout24 - La plateforme de l'immobilier en Suisse.</v>
      </c>
    </row>
    <row r="4705" hidden="1">
      <c r="A4705" s="5" t="s">
        <v>12509</v>
      </c>
      <c r="B4705" s="2" t="s">
        <v>12510</v>
      </c>
      <c r="C4705" s="2" t="s">
        <v>12510</v>
      </c>
      <c r="D4705" s="4" t="str">
        <f>vlookup(A4705, Sheet2!D:E, 2, 0)</f>
        <v>control</v>
      </c>
      <c r="E4705" s="4" t="str">
        <f>IFERROR(__xludf.DUMMYFUNCTION("if(H4705=""pays"",vlookup(REGEXEXTRACT(C4705, ""🏘️ \w+ \w+ (.*) ✅""),'Country prepositions'!A:B, 2, 0) &amp; "" "" &amp; REGEXEXTRACT(C4705, ""🏘️ \w+ \w+ (.*) ✅"") ,  if(H4705=""quartier"",vlookup(REGEXEXTRACT(C4705, ""🏘️ \w+ \w+ (.*) ✅""),'Quartier prepositio"&amp;"ns'!A:E, 5, 0) ,  if(H4705=""region"",vlookup(REGEXEXTRACT(C4705, ""🏘️ \w+ \w+ (.*) ✅""),'Region prepositions'!B:F, 5, 0),  REGEXEXTRACT(C4705, ""🏘️ \w+ \w+ (.*) ✅""))))"),"#N/A")</f>
        <v>#N/A</v>
      </c>
      <c r="I4705" s="4" t="str">
        <f>IFERROR(__xludf.DUMMYFUNCTION("if(D4705=""variant"",  substitute(filter(Templates!E:E, Templates!A:A = F4705, Templates!B:B = G4705, Templates!C:C = H4705), ""{{}}"", E4705), B4705)"),"Vendre maison Lanzenhäusern: Trouvez le bien immobilier qui correspond idéalement à vos désirs sur ImmoScout24 - La plateforme de l'immobilier en Suisse.")</f>
        <v>Vendre maison Lanzenhäusern: Trouvez le bien immobilier qui correspond idéalement à vos désirs sur ImmoScout24 - La plateforme de l'immobilier en Suisse.</v>
      </c>
    </row>
    <row r="4706" hidden="1">
      <c r="A4706" s="5" t="s">
        <v>12511</v>
      </c>
      <c r="B4706" s="2" t="s">
        <v>12512</v>
      </c>
      <c r="C4706" s="2" t="s">
        <v>12512</v>
      </c>
      <c r="D4706" s="4" t="str">
        <f>vlookup(A4706, Sheet2!D:E, 2, 0)</f>
        <v>control</v>
      </c>
      <c r="E4706" s="4" t="str">
        <f>IFERROR(__xludf.DUMMYFUNCTION("if(H4706=""pays"",vlookup(REGEXEXTRACT(C4706, ""🏘️ \w+ \w+ (.*) ✅""),'Country prepositions'!A:B, 2, 0) &amp; "" "" &amp; REGEXEXTRACT(C4706, ""🏘️ \w+ \w+ (.*) ✅"") ,  if(H4706=""quartier"",vlookup(REGEXEXTRACT(C4706, ""🏘️ \w+ \w+ (.*) ✅""),'Quartier prepositio"&amp;"ns'!A:E, 5, 0) ,  if(H4706=""region"",vlookup(REGEXEXTRACT(C4706, ""🏘️ \w+ \w+ (.*) ✅""),'Region prepositions'!B:F, 5, 0),  REGEXEXTRACT(C4706, ""🏘️ \w+ \w+ (.*) ✅""))))"),"#N/A")</f>
        <v>#N/A</v>
      </c>
      <c r="I4706" s="4" t="str">
        <f>IFERROR(__xludf.DUMMYFUNCTION("if(D4706=""variant"",  substitute(filter(Templates!E:E, Templates!A:A = F4706, Templates!B:B = G4706, Templates!C:C = H4706), ""{{}}"", E4706), B4706)"),"Louer appartement Erlen: Trouvez le bien immobilier qui correspond idéalement à vos désirs sur ImmoScout24 - La plateforme de l'immobilier en Suisse.")</f>
        <v>Louer appartement Erlen: Trouvez le bien immobilier qui correspond idéalement à vos désirs sur ImmoScout24 - La plateforme de l'immobilier en Suisse.</v>
      </c>
    </row>
    <row r="4707" hidden="1">
      <c r="A4707" s="5" t="s">
        <v>12513</v>
      </c>
      <c r="B4707" s="2" t="s">
        <v>12514</v>
      </c>
      <c r="C4707" s="2" t="s">
        <v>12514</v>
      </c>
      <c r="D4707" s="4" t="str">
        <f>vlookup(A4707, Sheet2!D:E, 2, 0)</f>
        <v>control</v>
      </c>
      <c r="E4707" s="4" t="str">
        <f>IFERROR(__xludf.DUMMYFUNCTION("if(H4707=""pays"",vlookup(REGEXEXTRACT(C4707, ""🏘️ \w+ \w+ (.*) ✅""),'Country prepositions'!A:B, 2, 0) &amp; "" "" &amp; REGEXEXTRACT(C4707, ""🏘️ \w+ \w+ (.*) ✅"") ,  if(H4707=""quartier"",vlookup(REGEXEXTRACT(C4707, ""🏘️ \w+ \w+ (.*) ✅""),'Quartier prepositio"&amp;"ns'!A:E, 5, 0) ,  if(H4707=""region"",vlookup(REGEXEXTRACT(C4707, ""🏘️ \w+ \w+ (.*) ✅""),'Region prepositions'!B:F, 5, 0),  REGEXEXTRACT(C4707, ""🏘️ \w+ \w+ (.*) ✅""))))"),"#N/A")</f>
        <v>#N/A</v>
      </c>
      <c r="I4707" s="4" t="str">
        <f>IFERROR(__xludf.DUMMYFUNCTION("if(D4707=""variant"",  substitute(filter(Templates!E:E, Templates!A:A = F4707, Templates!B:B = G4707, Templates!C:C = H4707), ""{{}}"", E4707), B4707)"),"Louer appartement Grimentz: Trouvez le bien immobilier qui correspond idéalement à vos désirs sur ImmoScout24 - La plateforme de l'immobilier en Suisse.")</f>
        <v>Louer appartement Grimentz: Trouvez le bien immobilier qui correspond idéalement à vos désirs sur ImmoScout24 - La plateforme de l'immobilier en Suisse.</v>
      </c>
    </row>
    <row r="4708" hidden="1">
      <c r="A4708" s="5" t="s">
        <v>12515</v>
      </c>
      <c r="B4708" s="2" t="s">
        <v>12516</v>
      </c>
      <c r="C4708" s="2" t="s">
        <v>12516</v>
      </c>
      <c r="D4708" s="4" t="str">
        <f>vlookup(A4708, Sheet2!D:E, 2, 0)</f>
        <v>control</v>
      </c>
      <c r="E4708" s="4" t="str">
        <f>IFERROR(__xludf.DUMMYFUNCTION("if(H4708=""pays"",vlookup(REGEXEXTRACT(C4708, ""🏘️ \w+ \w+ (.*) ✅""),'Country prepositions'!A:B, 2, 0) &amp; "" "" &amp; REGEXEXTRACT(C4708, ""🏘️ \w+ \w+ (.*) ✅"") ,  if(H4708=""quartier"",vlookup(REGEXEXTRACT(C4708, ""🏘️ \w+ \w+ (.*) ✅""),'Quartier prepositio"&amp;"ns'!A:E, 5, 0) ,  if(H4708=""region"",vlookup(REGEXEXTRACT(C4708, ""🏘️ \w+ \w+ (.*) ✅""),'Region prepositions'!B:F, 5, 0),  REGEXEXTRACT(C4708, ""🏘️ \w+ \w+ (.*) ✅""))))"),"#N/A")</f>
        <v>#N/A</v>
      </c>
      <c r="I4708" s="4" t="str">
        <f>IFERROR(__xludf.DUMMYFUNCTION("if(D4708=""variant"",  substitute(filter(Templates!E:E, Templates!A:A = F4708, Templates!B:B = G4708, Templates!C:C = H4708), ""{{}}"", E4708), B4708)"),"Louer appartement Spiegel (Köniz): Trouvez le bien immobilier qui correspond idéalement à vos désirs sur ImmoScout24 - La plateforme de l'immobilier en Suisse.")</f>
        <v>Louer appartement Spiegel (Köniz): Trouvez le bien immobilier qui correspond idéalement à vos désirs sur ImmoScout24 - La plateforme de l'immobilier en Suisse.</v>
      </c>
    </row>
    <row r="4709" hidden="1">
      <c r="A4709" s="5" t="s">
        <v>12517</v>
      </c>
      <c r="B4709" s="2" t="s">
        <v>12518</v>
      </c>
      <c r="C4709" s="2" t="s">
        <v>12518</v>
      </c>
      <c r="D4709" s="4" t="str">
        <f>vlookup(A4709, Sheet2!D:E, 2, 0)</f>
        <v>control</v>
      </c>
      <c r="E4709" s="4" t="str">
        <f>IFERROR(__xludf.DUMMYFUNCTION("if(H4709=""pays"",vlookup(REGEXEXTRACT(C4709, ""🏘️ \w+ \w+ (.*) ✅""),'Country prepositions'!A:B, 2, 0) &amp; "" "" &amp; REGEXEXTRACT(C4709, ""🏘️ \w+ \w+ (.*) ✅"") ,  if(H4709=""quartier"",vlookup(REGEXEXTRACT(C4709, ""🏘️ \w+ \w+ (.*) ✅""),'Quartier prepositio"&amp;"ns'!A:E, 5, 0) ,  if(H4709=""region"",vlookup(REGEXEXTRACT(C4709, ""🏘️ \w+ \w+ (.*) ✅""),'Region prepositions'!B:F, 5, 0),  REGEXEXTRACT(C4709, ""🏘️ \w+ \w+ (.*) ✅""))))"),"#N/A")</f>
        <v>#N/A</v>
      </c>
      <c r="I4709" s="4" t="str">
        <f>IFERROR(__xludf.DUMMYFUNCTION("if(D4709=""variant"",  substitute(filter(Templates!E:E, Templates!A:A = F4709, Templates!B:B = G4709, Templates!C:C = H4709), ""{{}}"", E4709), B4709)"),"Louer appartement Le Lieu: Trouvez le bien immobilier qui correspond idéalement à vos désirs sur ImmoScout24 - La plateforme de l'immobilier en Suisse.")</f>
        <v>Louer appartement Le Lieu: Trouvez le bien immobilier qui correspond idéalement à vos désirs sur ImmoScout24 - La plateforme de l'immobilier en Suisse.</v>
      </c>
    </row>
    <row r="4710" hidden="1">
      <c r="A4710" s="5" t="s">
        <v>12519</v>
      </c>
      <c r="B4710" s="2" t="s">
        <v>12520</v>
      </c>
      <c r="C4710" s="2" t="s">
        <v>12520</v>
      </c>
      <c r="D4710" s="4" t="str">
        <f>vlookup(A4710, Sheet2!D:E, 2, 0)</f>
        <v>control</v>
      </c>
      <c r="E4710" s="4" t="str">
        <f>IFERROR(__xludf.DUMMYFUNCTION("if(H4710=""pays"",vlookup(REGEXEXTRACT(C4710, ""🏘️ \w+ \w+ (.*) ✅""),'Country prepositions'!A:B, 2, 0) &amp; "" "" &amp; REGEXEXTRACT(C4710, ""🏘️ \w+ \w+ (.*) ✅"") ,  if(H4710=""quartier"",vlookup(REGEXEXTRACT(C4710, ""🏘️ \w+ \w+ (.*) ✅""),'Quartier prepositio"&amp;"ns'!A:E, 5, 0) ,  if(H4710=""region"",vlookup(REGEXEXTRACT(C4710, ""🏘️ \w+ \w+ (.*) ✅""),'Region prepositions'!B:F, 5, 0),  REGEXEXTRACT(C4710, ""🏘️ \w+ \w+ (.*) ✅""))))"),"#N/A")</f>
        <v>#N/A</v>
      </c>
      <c r="I4710" s="4" t="str">
        <f>IFERROR(__xludf.DUMMYFUNCTION("if(D4710=""variant"",  substitute(filter(Templates!E:E, Templates!A:A = F4710, Templates!B:B = G4710, Templates!C:C = H4710), ""{{}}"", E4710), B4710)"),"Vendre appartement Canton de Soleure: Trouvez le bien immobilier qui correspond idéalement à vos désirs sur ImmoScout24 - La plateforme de l'immobilier en Suisse.")</f>
        <v>Vendre appartement Canton de Soleure: Trouvez le bien immobilier qui correspond idéalement à vos désirs sur ImmoScout24 - La plateforme de l'immobilier en Suisse.</v>
      </c>
    </row>
    <row r="4711" hidden="1">
      <c r="A4711" s="5" t="s">
        <v>12521</v>
      </c>
      <c r="B4711" s="2" t="s">
        <v>12522</v>
      </c>
      <c r="C4711" s="2" t="s">
        <v>12522</v>
      </c>
      <c r="D4711" s="4" t="str">
        <f>vlookup(A4711, Sheet2!D:E, 2, 0)</f>
        <v>control</v>
      </c>
      <c r="E4711" s="4" t="str">
        <f>IFERROR(__xludf.DUMMYFUNCTION("if(H4711=""pays"",vlookup(REGEXEXTRACT(C4711, ""🏘️ \w+ \w+ (.*) ✅""),'Country prepositions'!A:B, 2, 0) &amp; "" "" &amp; REGEXEXTRACT(C4711, ""🏘️ \w+ \w+ (.*) ✅"") ,  if(H4711=""quartier"",vlookup(REGEXEXTRACT(C4711, ""🏘️ \w+ \w+ (.*) ✅""),'Quartier prepositio"&amp;"ns'!A:E, 5, 0) ,  if(H4711=""region"",vlookup(REGEXEXTRACT(C4711, ""🏘️ \w+ \w+ (.*) ✅""),'Region prepositions'!B:F, 5, 0),  REGEXEXTRACT(C4711, ""🏘️ \w+ \w+ (.*) ✅""))))"),"#N/A")</f>
        <v>#N/A</v>
      </c>
      <c r="I4711" s="4" t="str">
        <f>IFERROR(__xludf.DUMMYFUNCTION("if(D4711=""variant"",  substitute(filter(Templates!E:E, Templates!A:A = F4711, Templates!B:B = G4711, Templates!C:C = H4711), ""{{}}"", E4711), B4711)"),"Vendre maison La Magne: Trouvez le bien immobilier qui correspond idéalement à vos désirs sur ImmoScout24 - La plateforme de l'immobilier en Suisse.")</f>
        <v>Vendre maison La Magne: Trouvez le bien immobilier qui correspond idéalement à vos désirs sur ImmoScout24 - La plateforme de l'immobilier en Suisse.</v>
      </c>
    </row>
    <row r="4712" hidden="1">
      <c r="A4712" s="5" t="s">
        <v>12523</v>
      </c>
      <c r="B4712" s="2" t="s">
        <v>12524</v>
      </c>
      <c r="C4712" s="2" t="s">
        <v>12524</v>
      </c>
      <c r="D4712" s="4" t="str">
        <f>vlookup(A4712, Sheet2!D:E, 2, 0)</f>
        <v>control</v>
      </c>
      <c r="E4712" s="4" t="str">
        <f>IFERROR(__xludf.DUMMYFUNCTION("if(H4712=""pays"",vlookup(REGEXEXTRACT(C4712, ""🏘️ \w+ \w+ (.*) ✅""),'Country prepositions'!A:B, 2, 0) &amp; "" "" &amp; REGEXEXTRACT(C4712, ""🏘️ \w+ \w+ (.*) ✅"") ,  if(H4712=""quartier"",vlookup(REGEXEXTRACT(C4712, ""🏘️ \w+ \w+ (.*) ✅""),'Quartier prepositio"&amp;"ns'!A:E, 5, 0) ,  if(H4712=""region"",vlookup(REGEXEXTRACT(C4712, ""🏘️ \w+ \w+ (.*) ✅""),'Region prepositions'!B:F, 5, 0),  REGEXEXTRACT(C4712, ""🏘️ \w+ \w+ (.*) ✅""))))"),"#N/A")</f>
        <v>#N/A</v>
      </c>
      <c r="I4712" s="4" t="str">
        <f>IFERROR(__xludf.DUMMYFUNCTION("if(D4712=""variant"",  substitute(filter(Templates!E:E, Templates!A:A = F4712, Templates!B:B = G4712, Templates!C:C = H4712), ""{{}}"", E4712), B4712)"),"Vendre maison Boujean (Biel/Bienne): Trouvez le bien immobilier qui correspond idéalement à vos désirs sur ImmoScout24 - La plateforme de l'immobilier en Suisse.")</f>
        <v>Vendre maison Boujean (Biel/Bienne): Trouvez le bien immobilier qui correspond idéalement à vos désirs sur ImmoScout24 - La plateforme de l'immobilier en Suisse.</v>
      </c>
    </row>
    <row r="4713" hidden="1">
      <c r="A4713" s="5" t="s">
        <v>12525</v>
      </c>
      <c r="B4713" s="2" t="s">
        <v>12526</v>
      </c>
      <c r="C4713" s="2" t="s">
        <v>12526</v>
      </c>
      <c r="D4713" s="4" t="str">
        <f>vlookup(A4713, Sheet2!D:E, 2, 0)</f>
        <v>control</v>
      </c>
      <c r="E4713" s="4" t="str">
        <f>IFERROR(__xludf.DUMMYFUNCTION("if(H4713=""pays"",vlookup(REGEXEXTRACT(C4713, ""🏘️ \w+ \w+ (.*) ✅""),'Country prepositions'!A:B, 2, 0) &amp; "" "" &amp; REGEXEXTRACT(C4713, ""🏘️ \w+ \w+ (.*) ✅"") ,  if(H4713=""quartier"",vlookup(REGEXEXTRACT(C4713, ""🏘️ \w+ \w+ (.*) ✅""),'Quartier prepositio"&amp;"ns'!A:E, 5, 0) ,  if(H4713=""region"",vlookup(REGEXEXTRACT(C4713, ""🏘️ \w+ \w+ (.*) ✅""),'Region prepositions'!B:F, 5, 0),  REGEXEXTRACT(C4713, ""🏘️ \w+ \w+ (.*) ✅""))))"),"#N/A")</f>
        <v>#N/A</v>
      </c>
      <c r="I4713" s="4" t="str">
        <f>IFERROR(__xludf.DUMMYFUNCTION("if(D4713=""variant"",  substitute(filter(Templates!E:E, Templates!A:A = F4713, Templates!B:B = G4713, Templates!C:C = H4713), ""{{}}"", E4713), B4713)"),"Vendre maison Marsens: Trouvez le bien immobilier qui correspond idéalement à vos désirs sur ImmoScout24 - La plateforme de l'immobilier en Suisse.")</f>
        <v>Vendre maison Marsens: Trouvez le bien immobilier qui correspond idéalement à vos désirs sur ImmoScout24 - La plateforme de l'immobilier en Suisse.</v>
      </c>
    </row>
    <row r="4714" hidden="1">
      <c r="A4714" s="5" t="s">
        <v>12527</v>
      </c>
      <c r="B4714" s="2" t="s">
        <v>12528</v>
      </c>
      <c r="C4714" s="2" t="s">
        <v>12528</v>
      </c>
      <c r="D4714" s="4" t="str">
        <f>vlookup(A4714, Sheet2!D:E, 2, 0)</f>
        <v>control</v>
      </c>
      <c r="E4714" s="4" t="str">
        <f>IFERROR(__xludf.DUMMYFUNCTION("if(H4714=""pays"",vlookup(REGEXEXTRACT(C4714, ""🏘️ \w+ \w+ (.*) ✅""),'Country prepositions'!A:B, 2, 0) &amp; "" "" &amp; REGEXEXTRACT(C4714, ""🏘️ \w+ \w+ (.*) ✅"") ,  if(H4714=""quartier"",vlookup(REGEXEXTRACT(C4714, ""🏘️ \w+ \w+ (.*) ✅""),'Quartier prepositio"&amp;"ns'!A:E, 5, 0) ,  if(H4714=""region"",vlookup(REGEXEXTRACT(C4714, ""🏘️ \w+ \w+ (.*) ✅""),'Region prepositions'!B:F, 5, 0),  REGEXEXTRACT(C4714, ""🏘️ \w+ \w+ (.*) ✅""))))"),"#N/A")</f>
        <v>#N/A</v>
      </c>
      <c r="I4714" s="4" t="str">
        <f>IFERROR(__xludf.DUMMYFUNCTION("if(D4714=""variant"",  substitute(filter(Templates!E:E, Templates!A:A = F4714, Templates!B:B = G4714, Templates!C:C = H4714), ""{{}}"", E4714), B4714)"),"Vendre maison Raron: Trouvez le bien immobilier qui correspond idéalement à vos désirs sur ImmoScout24 - La plateforme de l'immobilier en Suisse.")</f>
        <v>Vendre maison Raron: Trouvez le bien immobilier qui correspond idéalement à vos désirs sur ImmoScout24 - La plateforme de l'immobilier en Suisse.</v>
      </c>
    </row>
    <row r="4715" hidden="1">
      <c r="A4715" s="5" t="s">
        <v>12529</v>
      </c>
      <c r="B4715" s="2" t="s">
        <v>12530</v>
      </c>
      <c r="C4715" s="2" t="s">
        <v>12530</v>
      </c>
      <c r="D4715" s="4" t="str">
        <f>vlookup(A4715, Sheet2!D:E, 2, 0)</f>
        <v>control</v>
      </c>
      <c r="E4715" s="4" t="str">
        <f>IFERROR(__xludf.DUMMYFUNCTION("if(H4715=""pays"",vlookup(REGEXEXTRACT(C4715, ""🏘️ \w+ \w+ (.*) ✅""),'Country prepositions'!A:B, 2, 0) &amp; "" "" &amp; REGEXEXTRACT(C4715, ""🏘️ \w+ \w+ (.*) ✅"") ,  if(H4715=""quartier"",vlookup(REGEXEXTRACT(C4715, ""🏘️ \w+ \w+ (.*) ✅""),'Quartier prepositio"&amp;"ns'!A:E, 5, 0) ,  if(H4715=""region"",vlookup(REGEXEXTRACT(C4715, ""🏘️ \w+ \w+ (.*) ✅""),'Region prepositions'!B:F, 5, 0),  REGEXEXTRACT(C4715, ""🏘️ \w+ \w+ (.*) ✅""))))"),"#N/A")</f>
        <v>#N/A</v>
      </c>
      <c r="I4715" s="4" t="str">
        <f>IFERROR(__xludf.DUMMYFUNCTION("if(D4715=""variant"",  substitute(filter(Templates!E:E, Templates!A:A = F4715, Templates!B:B = G4715, Templates!C:C = H4715), ""{{}}"", E4715), B4715)"),"Louer appartement La Forclaz VD: Trouvez le bien immobilier qui correspond idéalement à vos désirs sur ImmoScout24 - La plateforme de l'immobilier en Suisse.")</f>
        <v>Louer appartement La Forclaz VD: Trouvez le bien immobilier qui correspond idéalement à vos désirs sur ImmoScout24 - La plateforme de l'immobilier en Suisse.</v>
      </c>
    </row>
    <row r="4716" hidden="1">
      <c r="A4716" s="5" t="s">
        <v>12531</v>
      </c>
      <c r="B4716" s="2" t="s">
        <v>12532</v>
      </c>
      <c r="C4716" s="2" t="s">
        <v>12532</v>
      </c>
      <c r="D4716" s="4" t="str">
        <f>vlookup(A4716, Sheet2!D:E, 2, 0)</f>
        <v>control</v>
      </c>
      <c r="E4716" s="4" t="str">
        <f>IFERROR(__xludf.DUMMYFUNCTION("if(H4716=""pays"",vlookup(REGEXEXTRACT(C4716, ""🏘️ \w+ \w+ (.*) ✅""),'Country prepositions'!A:B, 2, 0) &amp; "" "" &amp; REGEXEXTRACT(C4716, ""🏘️ \w+ \w+ (.*) ✅"") ,  if(H4716=""quartier"",vlookup(REGEXEXTRACT(C4716, ""🏘️ \w+ \w+ (.*) ✅""),'Quartier prepositio"&amp;"ns'!A:E, 5, 0) ,  if(H4716=""region"",vlookup(REGEXEXTRACT(C4716, ""🏘️ \w+ \w+ (.*) ✅""),'Region prepositions'!B:F, 5, 0),  REGEXEXTRACT(C4716, ""🏘️ \w+ \w+ (.*) ✅""))))"),"#N/A")</f>
        <v>#N/A</v>
      </c>
      <c r="I4716" s="4" t="str">
        <f>IFERROR(__xludf.DUMMYFUNCTION("if(D4716=""variant"",  substitute(filter(Templates!E:E, Templates!A:A = F4716, Templates!B:B = G4716, Templates!C:C = H4716), ""{{}}"", E4716), B4716)"),"Vendre appartement Schmitten FR: Trouvez le bien immobilier qui correspond idéalement à vos désirs sur ImmoScout24 - La plateforme de l'immobilier en Suisse.")</f>
        <v>Vendre appartement Schmitten FR: Trouvez le bien immobilier qui correspond idéalement à vos désirs sur ImmoScout24 - La plateforme de l'immobilier en Suisse.</v>
      </c>
    </row>
    <row r="4717" hidden="1">
      <c r="A4717" s="5" t="s">
        <v>12533</v>
      </c>
      <c r="B4717" s="2" t="s">
        <v>12534</v>
      </c>
      <c r="C4717" s="2" t="s">
        <v>12534</v>
      </c>
      <c r="D4717" s="4" t="str">
        <f>vlookup(A4717, Sheet2!D:E, 2, 0)</f>
        <v>control</v>
      </c>
      <c r="E4717" s="4" t="str">
        <f>IFERROR(__xludf.DUMMYFUNCTION("if(H4717=""pays"",vlookup(REGEXEXTRACT(C4717, ""🏘️ \w+ \w+ (.*) ✅""),'Country prepositions'!A:B, 2, 0) &amp; "" "" &amp; REGEXEXTRACT(C4717, ""🏘️ \w+ \w+ (.*) ✅"") ,  if(H4717=""quartier"",vlookup(REGEXEXTRACT(C4717, ""🏘️ \w+ \w+ (.*) ✅""),'Quartier prepositio"&amp;"ns'!A:E, 5, 0) ,  if(H4717=""region"",vlookup(REGEXEXTRACT(C4717, ""🏘️ \w+ \w+ (.*) ✅""),'Region prepositions'!B:F, 5, 0),  REGEXEXTRACT(C4717, ""🏘️ \w+ \w+ (.*) ✅""))))"),"#N/A")</f>
        <v>#N/A</v>
      </c>
      <c r="I4717" s="4" t="str">
        <f>IFERROR(__xludf.DUMMYFUNCTION("if(D4717=""variant"",  substitute(filter(Templates!E:E, Templates!A:A = F4717, Templates!B:B = G4717, Templates!C:C = H4717), ""{{}}"", E4717), B4717)"),"Louer appartement Promasens: Trouvez le bien immobilier qui correspond idéalement à vos désirs sur ImmoScout24 - La plateforme de l'immobilier en Suisse.")</f>
        <v>Louer appartement Promasens: Trouvez le bien immobilier qui correspond idéalement à vos désirs sur ImmoScout24 - La plateforme de l'immobilier en Suisse.</v>
      </c>
    </row>
    <row r="4718" hidden="1">
      <c r="A4718" s="5" t="s">
        <v>12535</v>
      </c>
      <c r="B4718" s="2" t="s">
        <v>12536</v>
      </c>
      <c r="C4718" s="2" t="s">
        <v>12536</v>
      </c>
      <c r="D4718" s="4" t="str">
        <f>vlookup(A4718, Sheet2!D:E, 2, 0)</f>
        <v>control</v>
      </c>
      <c r="E4718" s="4" t="str">
        <f>IFERROR(__xludf.DUMMYFUNCTION("if(H4718=""pays"",vlookup(REGEXEXTRACT(C4718, ""🏘️ \w+ \w+ (.*) ✅""),'Country prepositions'!A:B, 2, 0) &amp; "" "" &amp; REGEXEXTRACT(C4718, ""🏘️ \w+ \w+ (.*) ✅"") ,  if(H4718=""quartier"",vlookup(REGEXEXTRACT(C4718, ""🏘️ \w+ \w+ (.*) ✅""),'Quartier prepositio"&amp;"ns'!A:E, 5, 0) ,  if(H4718=""region"",vlookup(REGEXEXTRACT(C4718, ""🏘️ \w+ \w+ (.*) ✅""),'Region prepositions'!B:F, 5, 0),  REGEXEXTRACT(C4718, ""🏘️ \w+ \w+ (.*) ✅""))))"),"#N/A")</f>
        <v>#N/A</v>
      </c>
      <c r="I4718" s="4" t="str">
        <f>IFERROR(__xludf.DUMMYFUNCTION("if(D4718=""variant"",  substitute(filter(Templates!E:E, Templates!A:A = F4718, Templates!B:B = G4718, Templates!C:C = H4718), ""{{}}"", E4718), B4718)"),"Louer appartement Chailly-Montreux: Trouvez le bien immobilier qui correspond idéalement à vos désirs sur ImmoScout24 - La plateforme de l'immobilier en Suisse.")</f>
        <v>Louer appartement Chailly-Montreux: Trouvez le bien immobilier qui correspond idéalement à vos désirs sur ImmoScout24 - La plateforme de l'immobilier en Suisse.</v>
      </c>
    </row>
    <row r="4719" hidden="1">
      <c r="A4719" s="5" t="s">
        <v>12537</v>
      </c>
      <c r="B4719" s="2" t="s">
        <v>12538</v>
      </c>
      <c r="C4719" s="2" t="s">
        <v>12538</v>
      </c>
      <c r="D4719" s="4" t="str">
        <f>vlookup(A4719, Sheet2!D:E, 2, 0)</f>
        <v>control</v>
      </c>
      <c r="E4719" s="4" t="str">
        <f>IFERROR(__xludf.DUMMYFUNCTION("if(H4719=""pays"",vlookup(REGEXEXTRACT(C4719, ""🏘️ \w+ \w+ (.*) ✅""),'Country prepositions'!A:B, 2, 0) &amp; "" "" &amp; REGEXEXTRACT(C4719, ""🏘️ \w+ \w+ (.*) ✅"") ,  if(H4719=""quartier"",vlookup(REGEXEXTRACT(C4719, ""🏘️ \w+ \w+ (.*) ✅""),'Quartier prepositio"&amp;"ns'!A:E, 5, 0) ,  if(H4719=""region"",vlookup(REGEXEXTRACT(C4719, ""🏘️ \w+ \w+ (.*) ✅""),'Region prepositions'!B:F, 5, 0),  REGEXEXTRACT(C4719, ""🏘️ \w+ \w+ (.*) ✅""))))"),"#N/A")</f>
        <v>#N/A</v>
      </c>
      <c r="I4719" s="4" t="str">
        <f>IFERROR(__xludf.DUMMYFUNCTION("if(D4719=""variant"",  substitute(filter(Templates!E:E, Templates!A:A = F4719, Templates!B:B = G4719, Templates!C:C = H4719), ""{{}}"", E4719), B4719)"),"Vendre maison Aumont: Trouvez le bien immobilier qui correspond idéalement à vos désirs sur ImmoScout24 - La plateforme de l'immobilier en Suisse.")</f>
        <v>Vendre maison Aumont: Trouvez le bien immobilier qui correspond idéalement à vos désirs sur ImmoScout24 - La plateforme de l'immobilier en Suisse.</v>
      </c>
    </row>
    <row r="4720" hidden="1">
      <c r="A4720" s="5" t="s">
        <v>12539</v>
      </c>
      <c r="B4720" s="2" t="s">
        <v>12540</v>
      </c>
      <c r="C4720" s="2" t="s">
        <v>12540</v>
      </c>
      <c r="D4720" s="4" t="str">
        <f>vlookup(A4720, Sheet2!D:E, 2, 0)</f>
        <v>control</v>
      </c>
      <c r="E4720" s="4" t="str">
        <f>IFERROR(__xludf.DUMMYFUNCTION("if(H4720=""pays"",vlookup(REGEXEXTRACT(C4720, ""🏘️ \w+ \w+ (.*) ✅""),'Country prepositions'!A:B, 2, 0) &amp; "" "" &amp; REGEXEXTRACT(C4720, ""🏘️ \w+ \w+ (.*) ✅"") ,  if(H4720=""quartier"",vlookup(REGEXEXTRACT(C4720, ""🏘️ \w+ \w+ (.*) ✅""),'Quartier prepositio"&amp;"ns'!A:E, 5, 0) ,  if(H4720=""region"",vlookup(REGEXEXTRACT(C4720, ""🏘️ \w+ \w+ (.*) ✅""),'Region prepositions'!B:F, 5, 0),  REGEXEXTRACT(C4720, ""🏘️ \w+ \w+ (.*) ✅""))))"),"#N/A")</f>
        <v>#N/A</v>
      </c>
      <c r="I4720" s="4" t="str">
        <f>IFERROR(__xludf.DUMMYFUNCTION("if(D4720=""variant"",  substitute(filter(Templates!E:E, Templates!A:A = F4720, Templates!B:B = G4720, Templates!C:C = H4720), ""{{}}"", E4720), B4720)"),"Louer maison Steinhausen: Trouvez le bien immobilier qui correspond idéalement à vos désirs sur ImmoScout24 - La plateforme de l'immobilier en Suisse.")</f>
        <v>Louer maison Steinhausen: Trouvez le bien immobilier qui correspond idéalement à vos désirs sur ImmoScout24 - La plateforme de l'immobilier en Suisse.</v>
      </c>
    </row>
    <row r="4721" hidden="1">
      <c r="A4721" s="5" t="s">
        <v>12541</v>
      </c>
      <c r="B4721" s="2" t="s">
        <v>12542</v>
      </c>
      <c r="C4721" s="2" t="s">
        <v>12542</v>
      </c>
      <c r="D4721" s="4" t="str">
        <f>vlookup(A4721, Sheet2!D:E, 2, 0)</f>
        <v>control</v>
      </c>
      <c r="E4721" s="4" t="str">
        <f>IFERROR(__xludf.DUMMYFUNCTION("if(H4721=""pays"",vlookup(REGEXEXTRACT(C4721, ""🏘️ \w+ \w+ (.*) ✅""),'Country prepositions'!A:B, 2, 0) &amp; "" "" &amp; REGEXEXTRACT(C4721, ""🏘️ \w+ \w+ (.*) ✅"") ,  if(H4721=""quartier"",vlookup(REGEXEXTRACT(C4721, ""🏘️ \w+ \w+ (.*) ✅""),'Quartier prepositio"&amp;"ns'!A:E, 5, 0) ,  if(H4721=""region"",vlookup(REGEXEXTRACT(C4721, ""🏘️ \w+ \w+ (.*) ✅""),'Region prepositions'!B:F, 5, 0),  REGEXEXTRACT(C4721, ""🏘️ \w+ \w+ (.*) ✅""))))"),"#N/A")</f>
        <v>#N/A</v>
      </c>
      <c r="I4721" s="4" t="str">
        <f>IFERROR(__xludf.DUMMYFUNCTION("if(D4721=""variant"",  substitute(filter(Templates!E:E, Templates!A:A = F4721, Templates!B:B = G4721, Templates!C:C = H4721), ""{{}}"", E4721), B4721)"),"Louer appartement Caux: Trouvez le bien immobilier qui correspond idéalement à vos désirs sur ImmoScout24 - La plateforme de l'immobilier en Suisse.")</f>
        <v>Louer appartement Caux: Trouvez le bien immobilier qui correspond idéalement à vos désirs sur ImmoScout24 - La plateforme de l'immobilier en Suisse.</v>
      </c>
    </row>
    <row r="4722" hidden="1">
      <c r="A4722" s="5" t="s">
        <v>12543</v>
      </c>
      <c r="B4722" s="2" t="s">
        <v>12544</v>
      </c>
      <c r="C4722" s="2" t="s">
        <v>12544</v>
      </c>
      <c r="D4722" s="4" t="str">
        <f>vlookup(A4722, Sheet2!D:E, 2, 0)</f>
        <v>control</v>
      </c>
      <c r="E4722" s="4" t="str">
        <f>IFERROR(__xludf.DUMMYFUNCTION("if(H4722=""pays"",vlookup(REGEXEXTRACT(C4722, ""🏘️ \w+ \w+ (.*) ✅""),'Country prepositions'!A:B, 2, 0) &amp; "" "" &amp; REGEXEXTRACT(C4722, ""🏘️ \w+ \w+ (.*) ✅"") ,  if(H4722=""quartier"",vlookup(REGEXEXTRACT(C4722, ""🏘️ \w+ \w+ (.*) ✅""),'Quartier prepositio"&amp;"ns'!A:E, 5, 0) ,  if(H4722=""region"",vlookup(REGEXEXTRACT(C4722, ""🏘️ \w+ \w+ (.*) ✅""),'Region prepositions'!B:F, 5, 0),  REGEXEXTRACT(C4722, ""🏘️ \w+ \w+ (.*) ✅""))))"),"#N/A")</f>
        <v>#N/A</v>
      </c>
      <c r="I4722" s="4" t="str">
        <f>IFERROR(__xludf.DUMMYFUNCTION("if(D4722=""variant"",  substitute(filter(Templates!E:E, Templates!A:A = F4722, Templates!B:B = G4722, Templates!C:C = H4722), ""{{}}"", E4722), B4722)"),"Vendre maison Grenilles: Trouvez le bien immobilier qui correspond idéalement à vos désirs sur ImmoScout24 - La plateforme de l'immobilier en Suisse.")</f>
        <v>Vendre maison Grenilles: Trouvez le bien immobilier qui correspond idéalement à vos désirs sur ImmoScout24 - La plateforme de l'immobilier en Suisse.</v>
      </c>
    </row>
    <row r="4723" hidden="1">
      <c r="A4723" s="5" t="s">
        <v>12545</v>
      </c>
      <c r="B4723" s="2" t="s">
        <v>12546</v>
      </c>
      <c r="C4723" s="2" t="s">
        <v>12546</v>
      </c>
      <c r="D4723" s="4" t="str">
        <f>vlookup(A4723, Sheet2!D:E, 2, 0)</f>
        <v>control</v>
      </c>
      <c r="E4723" s="4" t="str">
        <f>IFERROR(__xludf.DUMMYFUNCTION("if(H4723=""pays"",vlookup(REGEXEXTRACT(C4723, ""🏘️ \w+ \w+ (.*) ✅""),'Country prepositions'!A:B, 2, 0) &amp; "" "" &amp; REGEXEXTRACT(C4723, ""🏘️ \w+ \w+ (.*) ✅"") ,  if(H4723=""quartier"",vlookup(REGEXEXTRACT(C4723, ""🏘️ \w+ \w+ (.*) ✅""),'Quartier prepositio"&amp;"ns'!A:E, 5, 0) ,  if(H4723=""region"",vlookup(REGEXEXTRACT(C4723, ""🏘️ \w+ \w+ (.*) ✅""),'Region prepositions'!B:F, 5, 0),  REGEXEXTRACT(C4723, ""🏘️ \w+ \w+ (.*) ✅""))))"),"#N/A")</f>
        <v>#N/A</v>
      </c>
      <c r="I4723" s="4" t="str">
        <f>IFERROR(__xludf.DUMMYFUNCTION("if(D4723=""variant"",  substitute(filter(Templates!E:E, Templates!A:A = F4723, Templates!B:B = G4723, Templates!C:C = H4723), ""{{}}"", E4723), B4723)"),"Vendre appartement Gumefens: Trouvez le bien immobilier qui correspond idéalement à vos désirs sur ImmoScout24 - La plateforme de l'immobilier en Suisse.")</f>
        <v>Vendre appartement Gumefens: Trouvez le bien immobilier qui correspond idéalement à vos désirs sur ImmoScout24 - La plateforme de l'immobilier en Suisse.</v>
      </c>
    </row>
    <row r="4724" hidden="1">
      <c r="A4724" s="5" t="s">
        <v>12547</v>
      </c>
      <c r="B4724" s="2" t="s">
        <v>12548</v>
      </c>
      <c r="C4724" s="2" t="s">
        <v>12548</v>
      </c>
      <c r="D4724" s="4" t="str">
        <f>vlookup(A4724, Sheet2!D:E, 2, 0)</f>
        <v>control</v>
      </c>
      <c r="E4724" s="4" t="str">
        <f>IFERROR(__xludf.DUMMYFUNCTION("if(H4724=""pays"",vlookup(REGEXEXTRACT(C4724, ""🏘️ \w+ \w+ (.*) ✅""),'Country prepositions'!A:B, 2, 0) &amp; "" "" &amp; REGEXEXTRACT(C4724, ""🏘️ \w+ \w+ (.*) ✅"") ,  if(H4724=""quartier"",vlookup(REGEXEXTRACT(C4724, ""🏘️ \w+ \w+ (.*) ✅""),'Quartier prepositio"&amp;"ns'!A:E, 5, 0) ,  if(H4724=""region"",vlookup(REGEXEXTRACT(C4724, ""🏘️ \w+ \w+ (.*) ✅""),'Region prepositions'!B:F, 5, 0),  REGEXEXTRACT(C4724, ""🏘️ \w+ \w+ (.*) ✅""))))"),"#N/A")</f>
        <v>#N/A</v>
      </c>
      <c r="I4724" s="4" t="str">
        <f>IFERROR(__xludf.DUMMYFUNCTION("if(D4724=""variant"",  substitute(filter(Templates!E:E, Templates!A:A = F4724, Templates!B:B = G4724, Templates!C:C = H4724), ""{{}}"", E4724), B4724)"),"Louer appartement Baselstrasse - Bernstrasse (Lucerne): Trouvez le bien immobilier qui correspond idéalement à vos désirs sur ImmoScout24 - La plateforme de l'immobilier en Suisse.")</f>
        <v>Louer appartement Baselstrasse - Bernstrasse (Lucerne): Trouvez le bien immobilier qui correspond idéalement à vos désirs sur ImmoScout24 - La plateforme de l'immobilier en Suisse.</v>
      </c>
    </row>
    <row r="4725" hidden="1">
      <c r="A4725" s="5" t="s">
        <v>12549</v>
      </c>
      <c r="B4725" s="2" t="s">
        <v>12550</v>
      </c>
      <c r="C4725" s="2" t="s">
        <v>12550</v>
      </c>
      <c r="D4725" s="4" t="str">
        <f>vlookup(A4725, Sheet2!D:E, 2, 0)</f>
        <v>control</v>
      </c>
      <c r="E4725" s="4" t="str">
        <f>IFERROR(__xludf.DUMMYFUNCTION("if(H4725=""pays"",vlookup(REGEXEXTRACT(C4725, ""🏘️ \w+ \w+ (.*) ✅""),'Country prepositions'!A:B, 2, 0) &amp; "" "" &amp; REGEXEXTRACT(C4725, ""🏘️ \w+ \w+ (.*) ✅"") ,  if(H4725=""quartier"",vlookup(REGEXEXTRACT(C4725, ""🏘️ \w+ \w+ (.*) ✅""),'Quartier prepositio"&amp;"ns'!A:E, 5, 0) ,  if(H4725=""region"",vlookup(REGEXEXTRACT(C4725, ""🏘️ \w+ \w+ (.*) ✅""),'Region prepositions'!B:F, 5, 0),  REGEXEXTRACT(C4725, ""🏘️ \w+ \w+ (.*) ✅""))))"),"#N/A")</f>
        <v>#N/A</v>
      </c>
      <c r="I4725" s="4" t="str">
        <f>IFERROR(__xludf.DUMMYFUNCTION("if(D4725=""variant"",  substitute(filter(Templates!E:E, Templates!A:A = F4725, Templates!B:B = G4725, Templates!C:C = H4725), ""{{}}"", E4725), B4725)"),"Louer appartement Origlio: Trouvez le bien immobilier qui correspond idéalement à vos désirs sur ImmoScout24 - La plateforme de l'immobilier en Suisse.")</f>
        <v>Louer appartement Origlio: Trouvez le bien immobilier qui correspond idéalement à vos désirs sur ImmoScout24 - La plateforme de l'immobilier en Suisse.</v>
      </c>
    </row>
    <row r="4726" hidden="1">
      <c r="A4726" s="5" t="s">
        <v>12551</v>
      </c>
      <c r="B4726" s="2" t="s">
        <v>12552</v>
      </c>
      <c r="C4726" s="2" t="s">
        <v>12552</v>
      </c>
      <c r="D4726" s="4" t="str">
        <f>vlookup(A4726, Sheet2!D:E, 2, 0)</f>
        <v>control</v>
      </c>
      <c r="E4726" s="4" t="str">
        <f>IFERROR(__xludf.DUMMYFUNCTION("if(H4726=""pays"",vlookup(REGEXEXTRACT(C4726, ""🏘️ \w+ \w+ (.*) ✅""),'Country prepositions'!A:B, 2, 0) &amp; "" "" &amp; REGEXEXTRACT(C4726, ""🏘️ \w+ \w+ (.*) ✅"") ,  if(H4726=""quartier"",vlookup(REGEXEXTRACT(C4726, ""🏘️ \w+ \w+ (.*) ✅""),'Quartier prepositio"&amp;"ns'!A:E, 5, 0) ,  if(H4726=""region"",vlookup(REGEXEXTRACT(C4726, ""🏘️ \w+ \w+ (.*) ✅""),'Region prepositions'!B:F, 5, 0),  REGEXEXTRACT(C4726, ""🏘️ \w+ \w+ (.*) ✅""))))"),"#N/A")</f>
        <v>#N/A</v>
      </c>
      <c r="I4726" s="4" t="str">
        <f>IFERROR(__xludf.DUMMYFUNCTION("if(D4726=""variant"",  substitute(filter(Templates!E:E, Templates!A:A = F4726, Templates!B:B = G4726, Templates!C:C = H4726), ""{{}}"", E4726), B4726)"),"Vendre maison Ins: Trouvez le bien immobilier qui correspond idéalement à vos désirs sur ImmoScout24 - La plateforme de l'immobilier en Suisse.")</f>
        <v>Vendre maison Ins: Trouvez le bien immobilier qui correspond idéalement à vos désirs sur ImmoScout24 - La plateforme de l'immobilier en Suisse.</v>
      </c>
    </row>
    <row r="4727" hidden="1">
      <c r="A4727" s="5" t="s">
        <v>12553</v>
      </c>
      <c r="B4727" s="2" t="s">
        <v>12554</v>
      </c>
      <c r="C4727" s="2" t="s">
        <v>12554</v>
      </c>
      <c r="D4727" s="4" t="str">
        <f>vlookup(A4727, Sheet2!D:E, 2, 0)</f>
        <v>control</v>
      </c>
      <c r="E4727" s="4" t="str">
        <f>IFERROR(__xludf.DUMMYFUNCTION("if(H4727=""pays"",vlookup(REGEXEXTRACT(C4727, ""🏘️ \w+ \w+ (.*) ✅""),'Country prepositions'!A:B, 2, 0) &amp; "" "" &amp; REGEXEXTRACT(C4727, ""🏘️ \w+ \w+ (.*) ✅"") ,  if(H4727=""quartier"",vlookup(REGEXEXTRACT(C4727, ""🏘️ \w+ \w+ (.*) ✅""),'Quartier prepositio"&amp;"ns'!A:E, 5, 0) ,  if(H4727=""region"",vlookup(REGEXEXTRACT(C4727, ""🏘️ \w+ \w+ (.*) ✅""),'Region prepositions'!B:F, 5, 0),  REGEXEXTRACT(C4727, ""🏘️ \w+ \w+ (.*) ✅""))))"),"#N/A")</f>
        <v>#N/A</v>
      </c>
      <c r="I4727" s="4" t="str">
        <f>IFERROR(__xludf.DUMMYFUNCTION("if(D4727=""variant"",  substitute(filter(Templates!E:E, Templates!A:A = F4727, Templates!B:B = G4727, Templates!C:C = H4727), ""{{}}"", E4727), B4727)"),"Louer maison Matran: Trouvez le bien immobilier qui correspond idéalement à vos désirs sur ImmoScout24 - La plateforme de l'immobilier en Suisse.")</f>
        <v>Louer maison Matran: Trouvez le bien immobilier qui correspond idéalement à vos désirs sur ImmoScout24 - La plateforme de l'immobilier en Suisse.</v>
      </c>
    </row>
    <row r="4728" hidden="1">
      <c r="A4728" s="5" t="s">
        <v>12555</v>
      </c>
      <c r="B4728" s="2" t="s">
        <v>12556</v>
      </c>
      <c r="C4728" s="2" t="s">
        <v>12556</v>
      </c>
      <c r="D4728" s="4" t="str">
        <f>vlookup(A4728, Sheet2!D:E, 2, 0)</f>
        <v>control</v>
      </c>
      <c r="E4728" s="4" t="str">
        <f>IFERROR(__xludf.DUMMYFUNCTION("if(H4728=""pays"",vlookup(REGEXEXTRACT(C4728, ""🏘️ \w+ \w+ (.*) ✅""),'Country prepositions'!A:B, 2, 0) &amp; "" "" &amp; REGEXEXTRACT(C4728, ""🏘️ \w+ \w+ (.*) ✅"") ,  if(H4728=""quartier"",vlookup(REGEXEXTRACT(C4728, ""🏘️ \w+ \w+ (.*) ✅""),'Quartier prepositio"&amp;"ns'!A:E, 5, 0) ,  if(H4728=""region"",vlookup(REGEXEXTRACT(C4728, ""🏘️ \w+ \w+ (.*) ✅""),'Region prepositions'!B:F, 5, 0),  REGEXEXTRACT(C4728, ""🏘️ \w+ \w+ (.*) ✅""))))"),"#N/A")</f>
        <v>#N/A</v>
      </c>
      <c r="I4728" s="4" t="str">
        <f>IFERROR(__xludf.DUMMYFUNCTION("if(D4728=""variant"",  substitute(filter(Templates!E:E, Templates!A:A = F4728, Templates!B:B = G4728, Templates!C:C = H4728), ""{{}}"", E4728), B4728)"),"Vendre appartement Ruvigliana: Trouvez le bien immobilier qui correspond idéalement à vos désirs sur ImmoScout24 - La plateforme de l'immobilier en Suisse.")</f>
        <v>Vendre appartement Ruvigliana: Trouvez le bien immobilier qui correspond idéalement à vos désirs sur ImmoScout24 - La plateforme de l'immobilier en Suisse.</v>
      </c>
    </row>
    <row r="4729" hidden="1">
      <c r="A4729" s="5" t="s">
        <v>12557</v>
      </c>
      <c r="B4729" s="2" t="s">
        <v>12558</v>
      </c>
      <c r="C4729" s="2" t="s">
        <v>12558</v>
      </c>
      <c r="D4729" s="4" t="str">
        <f>vlookup(A4729, Sheet2!D:E, 2, 0)</f>
        <v>control</v>
      </c>
      <c r="E4729" s="4" t="str">
        <f>IFERROR(__xludf.DUMMYFUNCTION("if(H4729=""pays"",vlookup(REGEXEXTRACT(C4729, ""🏘️ \w+ \w+ (.*) ✅""),'Country prepositions'!A:B, 2, 0) &amp; "" "" &amp; REGEXEXTRACT(C4729, ""🏘️ \w+ \w+ (.*) ✅"") ,  if(H4729=""quartier"",vlookup(REGEXEXTRACT(C4729, ""🏘️ \w+ \w+ (.*) ✅""),'Quartier prepositio"&amp;"ns'!A:E, 5, 0) ,  if(H4729=""region"",vlookup(REGEXEXTRACT(C4729, ""🏘️ \w+ \w+ (.*) ✅""),'Region prepositions'!B:F, 5, 0),  REGEXEXTRACT(C4729, ""🏘️ \w+ \w+ (.*) ✅""))))"),"#N/A")</f>
        <v>#N/A</v>
      </c>
      <c r="I4729" s="4" t="str">
        <f>IFERROR(__xludf.DUMMYFUNCTION("if(D4729=""variant"",  substitute(filter(Templates!E:E, Templates!A:A = F4729, Templates!B:B = G4729, Templates!C:C = H4729), ""{{}}"", E4729), B4729)"),"Louer appartement Biel/Bienne: Trouvez le bien immobilier qui correspond idéalement à vos désirs sur ImmoScout24 - La plateforme de l'immobilier en Suisse.")</f>
        <v>Louer appartement Biel/Bienne: Trouvez le bien immobilier qui correspond idéalement à vos désirs sur ImmoScout24 - La plateforme de l'immobilier en Suisse.</v>
      </c>
    </row>
    <row r="4730" hidden="1">
      <c r="A4730" s="5" t="s">
        <v>12559</v>
      </c>
      <c r="B4730" s="2" t="s">
        <v>12560</v>
      </c>
      <c r="C4730" s="2" t="s">
        <v>12560</v>
      </c>
      <c r="D4730" s="4" t="str">
        <f>vlookup(A4730, Sheet2!D:E, 2, 0)</f>
        <v>control</v>
      </c>
      <c r="E4730" s="4" t="str">
        <f>IFERROR(__xludf.DUMMYFUNCTION("if(H4730=""pays"",vlookup(REGEXEXTRACT(C4730, ""🏘️ \w+ \w+ (.*) ✅""),'Country prepositions'!A:B, 2, 0) &amp; "" "" &amp; REGEXEXTRACT(C4730, ""🏘️ \w+ \w+ (.*) ✅"") ,  if(H4730=""quartier"",vlookup(REGEXEXTRACT(C4730, ""🏘️ \w+ \w+ (.*) ✅""),'Quartier prepositio"&amp;"ns'!A:E, 5, 0) ,  if(H4730=""region"",vlookup(REGEXEXTRACT(C4730, ""🏘️ \w+ \w+ (.*) ✅""),'Region prepositions'!B:F, 5, 0),  REGEXEXTRACT(C4730, ""🏘️ \w+ \w+ (.*) ✅""))))"),"#N/A")</f>
        <v>#N/A</v>
      </c>
      <c r="I4730" s="4" t="str">
        <f>IFERROR(__xludf.DUMMYFUNCTION("if(D4730=""variant"",  substitute(filter(Templates!E:E, Templates!A:A = F4730, Templates!B:B = G4730, Templates!C:C = H4730), ""{{}}"", E4730), B4730)"),"Louer maison Münchenstein: Trouvez le bien immobilier qui correspond idéalement à vos désirs sur ImmoScout24 - La plateforme de l'immobilier en Suisse.")</f>
        <v>Louer maison Münchenstein: Trouvez le bien immobilier qui correspond idéalement à vos désirs sur ImmoScout24 - La plateforme de l'immobilier en Suisse.</v>
      </c>
    </row>
    <row r="4731" hidden="1">
      <c r="A4731" s="5" t="s">
        <v>12561</v>
      </c>
      <c r="B4731" s="2" t="s">
        <v>12562</v>
      </c>
      <c r="C4731" s="2" t="s">
        <v>12562</v>
      </c>
      <c r="D4731" s="4" t="str">
        <f>vlookup(A4731, Sheet2!D:E, 2, 0)</f>
        <v>control</v>
      </c>
      <c r="E4731" s="4" t="str">
        <f>IFERROR(__xludf.DUMMYFUNCTION("if(H4731=""pays"",vlookup(REGEXEXTRACT(C4731, ""🏘️ \w+ \w+ (.*) ✅""),'Country prepositions'!A:B, 2, 0) &amp; "" "" &amp; REGEXEXTRACT(C4731, ""🏘️ \w+ \w+ (.*) ✅"") ,  if(H4731=""quartier"",vlookup(REGEXEXTRACT(C4731, ""🏘️ \w+ \w+ (.*) ✅""),'Quartier prepositio"&amp;"ns'!A:E, 5, 0) ,  if(H4731=""region"",vlookup(REGEXEXTRACT(C4731, ""🏘️ \w+ \w+ (.*) ✅""),'Region prepositions'!B:F, 5, 0),  REGEXEXTRACT(C4731, ""🏘️ \w+ \w+ (.*) ✅""))))"),"#N/A")</f>
        <v>#N/A</v>
      </c>
      <c r="I4731" s="4" t="str">
        <f>IFERROR(__xludf.DUMMYFUNCTION("if(D4731=""variant"",  substitute(filter(Templates!E:E, Templates!A:A = F4731, Templates!B:B = G4731, Templates!C:C = H4731), ""{{}}"", E4731), B4731)"),"Louer appartement Magnedens: Trouvez le bien immobilier qui correspond idéalement à vos désirs sur ImmoScout24 - La plateforme de l'immobilier en Suisse.")</f>
        <v>Louer appartement Magnedens: Trouvez le bien immobilier qui correspond idéalement à vos désirs sur ImmoScout24 - La plateforme de l'immobilier en Suisse.</v>
      </c>
    </row>
    <row r="4732" hidden="1">
      <c r="A4732" s="5" t="s">
        <v>12563</v>
      </c>
      <c r="B4732" s="2" t="s">
        <v>12564</v>
      </c>
      <c r="C4732" s="2" t="s">
        <v>12564</v>
      </c>
      <c r="D4732" s="4" t="str">
        <f>vlookup(A4732, Sheet2!D:E, 2, 0)</f>
        <v>control</v>
      </c>
      <c r="E4732" s="4" t="str">
        <f>IFERROR(__xludf.DUMMYFUNCTION("if(H4732=""pays"",vlookup(REGEXEXTRACT(C4732, ""🏘️ \w+ \w+ (.*) ✅""),'Country prepositions'!A:B, 2, 0) &amp; "" "" &amp; REGEXEXTRACT(C4732, ""🏘️ \w+ \w+ (.*) ✅"") ,  if(H4732=""quartier"",vlookup(REGEXEXTRACT(C4732, ""🏘️ \w+ \w+ (.*) ✅""),'Quartier prepositio"&amp;"ns'!A:E, 5, 0) ,  if(H4732=""region"",vlookup(REGEXEXTRACT(C4732, ""🏘️ \w+ \w+ (.*) ✅""),'Region prepositions'!B:F, 5, 0),  REGEXEXTRACT(C4732, ""🏘️ \w+ \w+ (.*) ✅""))))"),"#N/A")</f>
        <v>#N/A</v>
      </c>
      <c r="I4732" s="4" t="str">
        <f>IFERROR(__xludf.DUMMYFUNCTION("if(D4732=""variant"",  substitute(filter(Templates!E:E, Templates!A:A = F4732, Templates!B:B = G4732, Templates!C:C = H4732), ""{{}}"", E4732), B4732)"),"Vendre maison Estavannens: Trouvez le bien immobilier qui correspond idéalement à vos désirs sur ImmoScout24 - La plateforme de l'immobilier en Suisse.")</f>
        <v>Vendre maison Estavannens: Trouvez le bien immobilier qui correspond idéalement à vos désirs sur ImmoScout24 - La plateforme de l'immobilier en Suisse.</v>
      </c>
    </row>
    <row r="4733" hidden="1">
      <c r="A4733" s="5" t="s">
        <v>12565</v>
      </c>
      <c r="B4733" s="2" t="s">
        <v>12566</v>
      </c>
      <c r="C4733" s="2" t="s">
        <v>12566</v>
      </c>
      <c r="D4733" s="4" t="str">
        <f>vlookup(A4733, Sheet2!D:E, 2, 0)</f>
        <v>control</v>
      </c>
      <c r="E4733" s="4" t="str">
        <f>IFERROR(__xludf.DUMMYFUNCTION("if(H4733=""pays"",vlookup(REGEXEXTRACT(C4733, ""🏘️ \w+ \w+ (.*) ✅""),'Country prepositions'!A:B, 2, 0) &amp; "" "" &amp; REGEXEXTRACT(C4733, ""🏘️ \w+ \w+ (.*) ✅"") ,  if(H4733=""quartier"",vlookup(REGEXEXTRACT(C4733, ""🏘️ \w+ \w+ (.*) ✅""),'Quartier prepositio"&amp;"ns'!A:E, 5, 0) ,  if(H4733=""region"",vlookup(REGEXEXTRACT(C4733, ""🏘️ \w+ \w+ (.*) ✅""),'Region prepositions'!B:F, 5, 0),  REGEXEXTRACT(C4733, ""🏘️ \w+ \w+ (.*) ✅""))))"),"#N/A")</f>
        <v>#N/A</v>
      </c>
      <c r="I4733" s="4" t="str">
        <f>IFERROR(__xludf.DUMMYFUNCTION("if(D4733=""variant"",  substitute(filter(Templates!E:E, Templates!A:A = F4733, Templates!B:B = G4733, Templates!C:C = H4733), ""{{}}"", E4733), B4733)"),"Louer appartement Bofflens: Trouvez le bien immobilier qui correspond idéalement à vos désirs sur ImmoScout24 - La plateforme de l'immobilier en Suisse.")</f>
        <v>Louer appartement Bofflens: Trouvez le bien immobilier qui correspond idéalement à vos désirs sur ImmoScout24 - La plateforme de l'immobilier en Suisse.</v>
      </c>
    </row>
    <row r="4734" hidden="1">
      <c r="A4734" s="5" t="s">
        <v>12567</v>
      </c>
      <c r="B4734" s="2" t="s">
        <v>12568</v>
      </c>
      <c r="C4734" s="2" t="s">
        <v>12568</v>
      </c>
      <c r="D4734" s="4" t="str">
        <f>vlookup(A4734, Sheet2!D:E, 2, 0)</f>
        <v>control</v>
      </c>
      <c r="E4734" s="4" t="str">
        <f>IFERROR(__xludf.DUMMYFUNCTION("if(H4734=""pays"",vlookup(REGEXEXTRACT(C4734, ""🏘️ \w+ \w+ (.*) ✅""),'Country prepositions'!A:B, 2, 0) &amp; "" "" &amp; REGEXEXTRACT(C4734, ""🏘️ \w+ \w+ (.*) ✅"") ,  if(H4734=""quartier"",vlookup(REGEXEXTRACT(C4734, ""🏘️ \w+ \w+ (.*) ✅""),'Quartier prepositio"&amp;"ns'!A:E, 5, 0) ,  if(H4734=""region"",vlookup(REGEXEXTRACT(C4734, ""🏘️ \w+ \w+ (.*) ✅""),'Region prepositions'!B:F, 5, 0),  REGEXEXTRACT(C4734, ""🏘️ \w+ \w+ (.*) ✅""))))"),"#N/A")</f>
        <v>#N/A</v>
      </c>
      <c r="I4734" s="4" t="str">
        <f>IFERROR(__xludf.DUMMYFUNCTION("if(D4734=""variant"",  substitute(filter(Templates!E:E, Templates!A:A = F4734, Templates!B:B = G4734, Templates!C:C = H4734), ""{{}}"", E4734), B4734)"),"Louer maison Suchy: Trouvez le bien immobilier qui correspond idéalement à vos désirs sur ImmoScout24 - La plateforme de l'immobilier en Suisse.")</f>
        <v>Louer maison Suchy: Trouvez le bien immobilier qui correspond idéalement à vos désirs sur ImmoScout24 - La plateforme de l'immobilier en Suisse.</v>
      </c>
    </row>
    <row r="4735" hidden="1">
      <c r="A4735" s="5" t="s">
        <v>12569</v>
      </c>
      <c r="B4735" s="2" t="s">
        <v>12570</v>
      </c>
      <c r="C4735" s="2" t="s">
        <v>12570</v>
      </c>
      <c r="D4735" s="4" t="str">
        <f>vlookup(A4735, Sheet2!D:E, 2, 0)</f>
        <v>control</v>
      </c>
      <c r="E4735" s="4" t="str">
        <f>IFERROR(__xludf.DUMMYFUNCTION("if(H4735=""pays"",vlookup(REGEXEXTRACT(C4735, ""🏘️ \w+ \w+ (.*) ✅""),'Country prepositions'!A:B, 2, 0) &amp; "" "" &amp; REGEXEXTRACT(C4735, ""🏘️ \w+ \w+ (.*) ✅"") ,  if(H4735=""quartier"",vlookup(REGEXEXTRACT(C4735, ""🏘️ \w+ \w+ (.*) ✅""),'Quartier prepositio"&amp;"ns'!A:E, 5, 0) ,  if(H4735=""region"",vlookup(REGEXEXTRACT(C4735, ""🏘️ \w+ \w+ (.*) ✅""),'Region prepositions'!B:F, 5, 0),  REGEXEXTRACT(C4735, ""🏘️ \w+ \w+ (.*) ✅""))))"),"#N/A")</f>
        <v>#N/A</v>
      </c>
      <c r="I4735" s="4" t="str">
        <f>IFERROR(__xludf.DUMMYFUNCTION("if(D4735=""variant"",  substitute(filter(Templates!E:E, Templates!A:A = F4735, Templates!B:B = G4735, Templates!C:C = H4735), ""{{}}"", E4735), B4735)"),"Vendre maison Les Prés-d'Orvin: Trouvez le bien immobilier qui correspond idéalement à vos désirs sur ImmoScout24 - La plateforme de l'immobilier en Suisse.")</f>
        <v>Vendre maison Les Prés-d'Orvin: Trouvez le bien immobilier qui correspond idéalement à vos désirs sur ImmoScout24 - La plateforme de l'immobilier en Suisse.</v>
      </c>
    </row>
    <row r="4736" hidden="1">
      <c r="A4736" s="5" t="s">
        <v>12571</v>
      </c>
      <c r="B4736" s="2" t="s">
        <v>12572</v>
      </c>
      <c r="C4736" s="2" t="s">
        <v>12572</v>
      </c>
      <c r="D4736" s="4" t="str">
        <f>vlookup(A4736, Sheet2!D:E, 2, 0)</f>
        <v>control</v>
      </c>
      <c r="E4736" s="4" t="str">
        <f>IFERROR(__xludf.DUMMYFUNCTION("if(H4736=""pays"",vlookup(REGEXEXTRACT(C4736, ""🏘️ \w+ \w+ (.*) ✅""),'Country prepositions'!A:B, 2, 0) &amp; "" "" &amp; REGEXEXTRACT(C4736, ""🏘️ \w+ \w+ (.*) ✅"") ,  if(H4736=""quartier"",vlookup(REGEXEXTRACT(C4736, ""🏘️ \w+ \w+ (.*) ✅""),'Quartier prepositio"&amp;"ns'!A:E, 5, 0) ,  if(H4736=""region"",vlookup(REGEXEXTRACT(C4736, ""🏘️ \w+ \w+ (.*) ✅""),'Region prepositions'!B:F, 5, 0),  REGEXEXTRACT(C4736, ""🏘️ \w+ \w+ (.*) ✅""))))"),"#N/A")</f>
        <v>#N/A</v>
      </c>
      <c r="I4736" s="4" t="str">
        <f>IFERROR(__xludf.DUMMYFUNCTION("if(D4736=""variant"",  substitute(filter(Templates!E:E, Templates!A:A = F4736, Templates!B:B = G4736, Templates!C:C = H4736), ""{{}}"", E4736), B4736)"),"Louer appartement Menziken: Trouvez le bien immobilier qui correspond idéalement à vos désirs sur ImmoScout24 - La plateforme de l'immobilier en Suisse.")</f>
        <v>Louer appartement Menziken: Trouvez le bien immobilier qui correspond idéalement à vos désirs sur ImmoScout24 - La plateforme de l'immobilier en Suisse.</v>
      </c>
    </row>
    <row r="4737" hidden="1">
      <c r="A4737" s="5" t="s">
        <v>12573</v>
      </c>
      <c r="B4737" s="2" t="s">
        <v>12574</v>
      </c>
      <c r="C4737" s="2" t="s">
        <v>12574</v>
      </c>
      <c r="D4737" s="4" t="str">
        <f>vlookup(A4737, Sheet2!D:E, 2, 0)</f>
        <v>control</v>
      </c>
      <c r="E4737" s="4" t="str">
        <f>IFERROR(__xludf.DUMMYFUNCTION("if(H4737=""pays"",vlookup(REGEXEXTRACT(C4737, ""🏘️ \w+ \w+ (.*) ✅""),'Country prepositions'!A:B, 2, 0) &amp; "" "" &amp; REGEXEXTRACT(C4737, ""🏘️ \w+ \w+ (.*) ✅"") ,  if(H4737=""quartier"",vlookup(REGEXEXTRACT(C4737, ""🏘️ \w+ \w+ (.*) ✅""),'Quartier prepositio"&amp;"ns'!A:E, 5, 0) ,  if(H4737=""region"",vlookup(REGEXEXTRACT(C4737, ""🏘️ \w+ \w+ (.*) ✅""),'Region prepositions'!B:F, 5, 0),  REGEXEXTRACT(C4737, ""🏘️ \w+ \w+ (.*) ✅""))))"),"#N/A")</f>
        <v>#N/A</v>
      </c>
      <c r="I4737" s="4" t="str">
        <f>IFERROR(__xludf.DUMMYFUNCTION("if(D4737=""variant"",  substitute(filter(Templates!E:E, Templates!A:A = F4737, Templates!B:B = G4737, Templates!C:C = H4737), ""{{}}"", E4737), B4737)"),"Vendre appartement Schaffouse et environs: Trouvez le bien immobilier qui correspond idéalement à vos désirs sur ImmoScout24 - La plateforme de l'immobilier en Suisse.")</f>
        <v>Vendre appartement Schaffouse et environs: Trouvez le bien immobilier qui correspond idéalement à vos désirs sur ImmoScout24 - La plateforme de l'immobilier en Suisse.</v>
      </c>
    </row>
    <row r="4738" hidden="1">
      <c r="A4738" s="5" t="s">
        <v>12575</v>
      </c>
      <c r="B4738" s="2" t="s">
        <v>12576</v>
      </c>
      <c r="C4738" s="2" t="s">
        <v>12576</v>
      </c>
      <c r="D4738" s="4" t="str">
        <f>vlookup(A4738, Sheet2!D:E, 2, 0)</f>
        <v>control</v>
      </c>
      <c r="E4738" s="4" t="str">
        <f>IFERROR(__xludf.DUMMYFUNCTION("if(H4738=""pays"",vlookup(REGEXEXTRACT(C4738, ""🏘️ \w+ \w+ (.*) ✅""),'Country prepositions'!A:B, 2, 0) &amp; "" "" &amp; REGEXEXTRACT(C4738, ""🏘️ \w+ \w+ (.*) ✅"") ,  if(H4738=""quartier"",vlookup(REGEXEXTRACT(C4738, ""🏘️ \w+ \w+ (.*) ✅""),'Quartier prepositio"&amp;"ns'!A:E, 5, 0) ,  if(H4738=""region"",vlookup(REGEXEXTRACT(C4738, ""🏘️ \w+ \w+ (.*) ✅""),'Region prepositions'!B:F, 5, 0),  REGEXEXTRACT(C4738, ""🏘️ \w+ \w+ (.*) ✅""))))"),"#N/A")</f>
        <v>#N/A</v>
      </c>
      <c r="I4738" s="4" t="str">
        <f>IFERROR(__xludf.DUMMYFUNCTION("if(D4738=""variant"",  substitute(filter(Templates!E:E, Templates!A:A = F4738, Templates!B:B = G4738, Templates!C:C = H4738), ""{{}}"", E4738), B4738)"),"Vendre maison Vinzel: Trouvez le bien immobilier qui correspond idéalement à vos désirs sur ImmoScout24 - La plateforme de l'immobilier en Suisse.")</f>
        <v>Vendre maison Vinzel: Trouvez le bien immobilier qui correspond idéalement à vos désirs sur ImmoScout24 - La plateforme de l'immobilier en Suisse.</v>
      </c>
    </row>
    <row r="4739" hidden="1">
      <c r="A4739" s="5" t="s">
        <v>12577</v>
      </c>
      <c r="B4739" s="2" t="s">
        <v>12578</v>
      </c>
      <c r="C4739" s="2" t="s">
        <v>12578</v>
      </c>
      <c r="D4739" s="4" t="str">
        <f>vlookup(A4739, Sheet2!D:E, 2, 0)</f>
        <v>control</v>
      </c>
      <c r="E4739" s="4" t="str">
        <f>IFERROR(__xludf.DUMMYFUNCTION("if(H4739=""pays"",vlookup(REGEXEXTRACT(C4739, ""🏘️ \w+ \w+ (.*) ✅""),'Country prepositions'!A:B, 2, 0) &amp; "" "" &amp; REGEXEXTRACT(C4739, ""🏘️ \w+ \w+ (.*) ✅"") ,  if(H4739=""quartier"",vlookup(REGEXEXTRACT(C4739, ""🏘️ \w+ \w+ (.*) ✅""),'Quartier prepositio"&amp;"ns'!A:E, 5, 0) ,  if(H4739=""region"",vlookup(REGEXEXTRACT(C4739, ""🏘️ \w+ \w+ (.*) ✅""),'Region prepositions'!B:F, 5, 0),  REGEXEXTRACT(C4739, ""🏘️ \w+ \w+ (.*) ✅""))))"),"#N/A")</f>
        <v>#N/A</v>
      </c>
      <c r="I4739" s="4" t="str">
        <f>IFERROR(__xludf.DUMMYFUNCTION("if(D4739=""variant"",  substitute(filter(Templates!E:E, Templates!A:A = F4739, Templates!B:B = G4739, Templates!C:C = H4739), ""{{}}"", E4739), B4739)"),"Louer maison Uzwil: Trouvez le bien immobilier qui correspond idéalement à vos désirs sur ImmoScout24 - La plateforme de l'immobilier en Suisse.")</f>
        <v>Louer maison Uzwil: Trouvez le bien immobilier qui correspond idéalement à vos désirs sur ImmoScout24 - La plateforme de l'immobilier en Suisse.</v>
      </c>
    </row>
    <row r="4740" hidden="1">
      <c r="A4740" s="5" t="s">
        <v>12579</v>
      </c>
      <c r="B4740" s="2" t="s">
        <v>12580</v>
      </c>
      <c r="C4740" s="2" t="s">
        <v>12580</v>
      </c>
      <c r="D4740" s="4" t="str">
        <f>vlookup(A4740, Sheet2!D:E, 2, 0)</f>
        <v>control</v>
      </c>
      <c r="E4740" s="4" t="str">
        <f>IFERROR(__xludf.DUMMYFUNCTION("if(H4740=""pays"",vlookup(REGEXEXTRACT(C4740, ""🏘️ \w+ \w+ (.*) ✅""),'Country prepositions'!A:B, 2, 0) &amp; "" "" &amp; REGEXEXTRACT(C4740, ""🏘️ \w+ \w+ (.*) ✅"") ,  if(H4740=""quartier"",vlookup(REGEXEXTRACT(C4740, ""🏘️ \w+ \w+ (.*) ✅""),'Quartier prepositio"&amp;"ns'!A:E, 5, 0) ,  if(H4740=""region"",vlookup(REGEXEXTRACT(C4740, ""🏘️ \w+ \w+ (.*) ✅""),'Region prepositions'!B:F, 5, 0),  REGEXEXTRACT(C4740, ""🏘️ \w+ \w+ (.*) ✅""))))"),"#N/A")</f>
        <v>#N/A</v>
      </c>
      <c r="I4740" s="4" t="str">
        <f>IFERROR(__xludf.DUMMYFUNCTION("if(D4740=""variant"",  substitute(filter(Templates!E:E, Templates!A:A = F4740, Templates!B:B = G4740, Templates!C:C = H4740), ""{{}}"", E4740), B4740)"),"Louer appartement Sornetan: Trouvez le bien immobilier qui correspond idéalement à vos désirs sur ImmoScout24 - La plateforme de l'immobilier en Suisse.")</f>
        <v>Louer appartement Sornetan: Trouvez le bien immobilier qui correspond idéalement à vos désirs sur ImmoScout24 - La plateforme de l'immobilier en Suisse.</v>
      </c>
    </row>
    <row r="4741" hidden="1">
      <c r="A4741" s="5" t="s">
        <v>12581</v>
      </c>
      <c r="B4741" s="2" t="s">
        <v>12582</v>
      </c>
      <c r="C4741" s="2" t="s">
        <v>12582</v>
      </c>
      <c r="D4741" s="4" t="str">
        <f>vlookup(A4741, Sheet2!D:E, 2, 0)</f>
        <v>control</v>
      </c>
      <c r="E4741" s="4" t="str">
        <f>IFERROR(__xludf.DUMMYFUNCTION("if(H4741=""pays"",vlookup(REGEXEXTRACT(C4741, ""🏘️ \w+ \w+ (.*) ✅""),'Country prepositions'!A:B, 2, 0) &amp; "" "" &amp; REGEXEXTRACT(C4741, ""🏘️ \w+ \w+ (.*) ✅"") ,  if(H4741=""quartier"",vlookup(REGEXEXTRACT(C4741, ""🏘️ \w+ \w+ (.*) ✅""),'Quartier prepositio"&amp;"ns'!A:E, 5, 0) ,  if(H4741=""region"",vlookup(REGEXEXTRACT(C4741, ""🏘️ \w+ \w+ (.*) ✅""),'Region prepositions'!B:F, 5, 0),  REGEXEXTRACT(C4741, ""🏘️ \w+ \w+ (.*) ✅""))))"),"#N/A")</f>
        <v>#N/A</v>
      </c>
      <c r="I4741" s="4" t="str">
        <f>IFERROR(__xludf.DUMMYFUNCTION("if(D4741=""variant"",  substitute(filter(Templates!E:E, Templates!A:A = F4741, Templates!B:B = G4741, Templates!C:C = H4741), ""{{}}"", E4741), B4741)"),"Vendre maison Huémoz: Trouvez le bien immobilier qui correspond idéalement à vos désirs sur ImmoScout24 - La plateforme de l'immobilier en Suisse.")</f>
        <v>Vendre maison Huémoz: Trouvez le bien immobilier qui correspond idéalement à vos désirs sur ImmoScout24 - La plateforme de l'immobilier en Suisse.</v>
      </c>
    </row>
    <row r="4742" hidden="1">
      <c r="A4742" s="5" t="s">
        <v>12583</v>
      </c>
      <c r="B4742" s="2" t="s">
        <v>12584</v>
      </c>
      <c r="C4742" s="2" t="s">
        <v>12584</v>
      </c>
      <c r="D4742" s="4" t="str">
        <f>vlookup(A4742, Sheet2!D:E, 2, 0)</f>
        <v>control</v>
      </c>
      <c r="E4742" s="4" t="str">
        <f>IFERROR(__xludf.DUMMYFUNCTION("if(H4742=""pays"",vlookup(REGEXEXTRACT(C4742, ""🏘️ \w+ \w+ (.*) ✅""),'Country prepositions'!A:B, 2, 0) &amp; "" "" &amp; REGEXEXTRACT(C4742, ""🏘️ \w+ \w+ (.*) ✅"") ,  if(H4742=""quartier"",vlookup(REGEXEXTRACT(C4742, ""🏘️ \w+ \w+ (.*) ✅""),'Quartier prepositio"&amp;"ns'!A:E, 5, 0) ,  if(H4742=""region"",vlookup(REGEXEXTRACT(C4742, ""🏘️ \w+ \w+ (.*) ✅""),'Region prepositions'!B:F, 5, 0),  REGEXEXTRACT(C4742, ""🏘️ \w+ \w+ (.*) ✅""))))"),"#N/A")</f>
        <v>#N/A</v>
      </c>
      <c r="I4742" s="4" t="str">
        <f>IFERROR(__xludf.DUMMYFUNCTION("if(D4742=""variant"",  substitute(filter(Templates!E:E, Templates!A:A = F4742, Templates!B:B = G4742, Templates!C:C = H4742), ""{{}}"", E4742), B4742)"),"Louer appartement Emmetten: Trouvez le bien immobilier qui correspond idéalement à vos désirs sur ImmoScout24 - La plateforme de l'immobilier en Suisse.")</f>
        <v>Louer appartement Emmetten: Trouvez le bien immobilier qui correspond idéalement à vos désirs sur ImmoScout24 - La plateforme de l'immobilier en Suisse.</v>
      </c>
    </row>
    <row r="4743" hidden="1">
      <c r="A4743" s="5" t="s">
        <v>12585</v>
      </c>
      <c r="B4743" s="2" t="s">
        <v>12586</v>
      </c>
      <c r="C4743" s="2" t="s">
        <v>12586</v>
      </c>
      <c r="D4743" s="4" t="str">
        <f>vlookup(A4743, Sheet2!D:E, 2, 0)</f>
        <v>control</v>
      </c>
      <c r="E4743" s="4" t="str">
        <f>IFERROR(__xludf.DUMMYFUNCTION("if(H4743=""pays"",vlookup(REGEXEXTRACT(C4743, ""🏘️ \w+ \w+ (.*) ✅""),'Country prepositions'!A:B, 2, 0) &amp; "" "" &amp; REGEXEXTRACT(C4743, ""🏘️ \w+ \w+ (.*) ✅"") ,  if(H4743=""quartier"",vlookup(REGEXEXTRACT(C4743, ""🏘️ \w+ \w+ (.*) ✅""),'Quartier prepositio"&amp;"ns'!A:E, 5, 0) ,  if(H4743=""region"",vlookup(REGEXEXTRACT(C4743, ""🏘️ \w+ \w+ (.*) ✅""),'Region prepositions'!B:F, 5, 0),  REGEXEXTRACT(C4743, ""🏘️ \w+ \w+ (.*) ✅""))))"),"#N/A")</f>
        <v>#N/A</v>
      </c>
      <c r="I4743" s="4" t="str">
        <f>IFERROR(__xludf.DUMMYFUNCTION("if(D4743=""variant"",  substitute(filter(Templates!E:E, Templates!A:A = F4743, Templates!B:B = G4743, Templates!C:C = H4743), ""{{}}"", E4743), B4743)"),"Louer maison Canton du Jura: Trouvez le bien immobilier qui correspond idéalement à vos désirs sur ImmoScout24 - La plateforme de l'immobilier en Suisse.")</f>
        <v>Louer maison Canton du Jura: Trouvez le bien immobilier qui correspond idéalement à vos désirs sur ImmoScout24 - La plateforme de l'immobilier en Suisse.</v>
      </c>
    </row>
    <row r="4744" hidden="1">
      <c r="A4744" s="5" t="s">
        <v>12587</v>
      </c>
      <c r="B4744" s="2" t="s">
        <v>12588</v>
      </c>
      <c r="C4744" s="2" t="s">
        <v>12588</v>
      </c>
      <c r="D4744" s="4" t="str">
        <f>vlookup(A4744, Sheet2!D:E, 2, 0)</f>
        <v>control</v>
      </c>
      <c r="E4744" s="4" t="str">
        <f>IFERROR(__xludf.DUMMYFUNCTION("if(H4744=""pays"",vlookup(REGEXEXTRACT(C4744, ""🏘️ \w+ \w+ (.*) ✅""),'Country prepositions'!A:B, 2, 0) &amp; "" "" &amp; REGEXEXTRACT(C4744, ""🏘️ \w+ \w+ (.*) ✅"") ,  if(H4744=""quartier"",vlookup(REGEXEXTRACT(C4744, ""🏘️ \w+ \w+ (.*) ✅""),'Quartier prepositio"&amp;"ns'!A:E, 5, 0) ,  if(H4744=""region"",vlookup(REGEXEXTRACT(C4744, ""🏘️ \w+ \w+ (.*) ✅""),'Region prepositions'!B:F, 5, 0),  REGEXEXTRACT(C4744, ""🏘️ \w+ \w+ (.*) ✅""))))"),"#N/A")</f>
        <v>#N/A</v>
      </c>
      <c r="I4744" s="4" t="str">
        <f>IFERROR(__xludf.DUMMYFUNCTION("if(D4744=""variant"",  substitute(filter(Templates!E:E, Templates!A:A = F4744, Templates!B:B = G4744, Templates!C:C = H4744), ""{{}}"", E4744), B4744)"),"Louer maison Portalban: Trouvez le bien immobilier qui correspond idéalement à vos désirs sur ImmoScout24 - La plateforme de l'immobilier en Suisse.")</f>
        <v>Louer maison Portalban: Trouvez le bien immobilier qui correspond idéalement à vos désirs sur ImmoScout24 - La plateforme de l'immobilier en Suisse.</v>
      </c>
    </row>
    <row r="4745" hidden="1">
      <c r="A4745" s="5" t="s">
        <v>12589</v>
      </c>
      <c r="B4745" s="2" t="s">
        <v>12590</v>
      </c>
      <c r="C4745" s="2" t="s">
        <v>12590</v>
      </c>
      <c r="D4745" s="4" t="str">
        <f>vlookup(A4745, Sheet2!D:E, 2, 0)</f>
        <v>control</v>
      </c>
      <c r="E4745" s="4" t="str">
        <f>IFERROR(__xludf.DUMMYFUNCTION("if(H4745=""pays"",vlookup(REGEXEXTRACT(C4745, ""🏘️ \w+ \w+ (.*) ✅""),'Country prepositions'!A:B, 2, 0) &amp; "" "" &amp; REGEXEXTRACT(C4745, ""🏘️ \w+ \w+ (.*) ✅"") ,  if(H4745=""quartier"",vlookup(REGEXEXTRACT(C4745, ""🏘️ \w+ \w+ (.*) ✅""),'Quartier prepositio"&amp;"ns'!A:E, 5, 0) ,  if(H4745=""region"",vlookup(REGEXEXTRACT(C4745, ""🏘️ \w+ \w+ (.*) ✅""),'Region prepositions'!B:F, 5, 0),  REGEXEXTRACT(C4745, ""🏘️ \w+ \w+ (.*) ✅""))))"),"#N/A")</f>
        <v>#N/A</v>
      </c>
      <c r="I4745" s="4" t="str">
        <f>IFERROR(__xludf.DUMMYFUNCTION("if(D4745=""variant"",  substitute(filter(Templates!E:E, Templates!A:A = F4745, Templates!B:B = G4745, Templates!C:C = H4745), ""{{}}"", E4745), B4745)"),"Vendre maison Geroldswil: Trouvez le bien immobilier qui correspond idéalement à vos désirs sur ImmoScout24 - La plateforme de l'immobilier en Suisse.")</f>
        <v>Vendre maison Geroldswil: Trouvez le bien immobilier qui correspond idéalement à vos désirs sur ImmoScout24 - La plateforme de l'immobilier en Suisse.</v>
      </c>
    </row>
    <row r="4746" hidden="1">
      <c r="A4746" s="5" t="s">
        <v>12591</v>
      </c>
      <c r="B4746" s="2" t="s">
        <v>12592</v>
      </c>
      <c r="C4746" s="2" t="s">
        <v>12592</v>
      </c>
      <c r="D4746" s="4" t="str">
        <f>vlookup(A4746, Sheet2!D:E, 2, 0)</f>
        <v>control</v>
      </c>
      <c r="E4746" s="4" t="str">
        <f>IFERROR(__xludf.DUMMYFUNCTION("if(H4746=""pays"",vlookup(REGEXEXTRACT(C4746, ""🏘️ \w+ \w+ (.*) ✅""),'Country prepositions'!A:B, 2, 0) &amp; "" "" &amp; REGEXEXTRACT(C4746, ""🏘️ \w+ \w+ (.*) ✅"") ,  if(H4746=""quartier"",vlookup(REGEXEXTRACT(C4746, ""🏘️ \w+ \w+ (.*) ✅""),'Quartier prepositio"&amp;"ns'!A:E, 5, 0) ,  if(H4746=""region"",vlookup(REGEXEXTRACT(C4746, ""🏘️ \w+ \w+ (.*) ✅""),'Region prepositions'!B:F, 5, 0),  REGEXEXTRACT(C4746, ""🏘️ \w+ \w+ (.*) ✅""))))"),"#N/A")</f>
        <v>#N/A</v>
      </c>
      <c r="I4746" s="4" t="str">
        <f>IFERROR(__xludf.DUMMYFUNCTION("if(D4746=""variant"",  substitute(filter(Templates!E:E, Templates!A:A = F4746, Templates!B:B = G4746, Templates!C:C = H4746), ""{{}}"", E4746), B4746)"),"Vendre maison Davos - Prättigau: Trouvez le bien immobilier qui correspond idéalement à vos désirs sur ImmoScout24 - La plateforme de l'immobilier en Suisse.")</f>
        <v>Vendre maison Davos - Prättigau: Trouvez le bien immobilier qui correspond idéalement à vos désirs sur ImmoScout24 - La plateforme de l'immobilier en Suisse.</v>
      </c>
    </row>
    <row r="4747" hidden="1">
      <c r="A4747" s="5" t="s">
        <v>12593</v>
      </c>
      <c r="B4747" s="2" t="s">
        <v>12594</v>
      </c>
      <c r="C4747" s="2" t="s">
        <v>12594</v>
      </c>
      <c r="D4747" s="4" t="str">
        <f>vlookup(A4747, Sheet2!D:E, 2, 0)</f>
        <v>control</v>
      </c>
      <c r="E4747" s="4" t="str">
        <f>IFERROR(__xludf.DUMMYFUNCTION("if(H4747=""pays"",vlookup(REGEXEXTRACT(C4747, ""🏘️ \w+ \w+ (.*) ✅""),'Country prepositions'!A:B, 2, 0) &amp; "" "" &amp; REGEXEXTRACT(C4747, ""🏘️ \w+ \w+ (.*) ✅"") ,  if(H4747=""quartier"",vlookup(REGEXEXTRACT(C4747, ""🏘️ \w+ \w+ (.*) ✅""),'Quartier prepositio"&amp;"ns'!A:E, 5, 0) ,  if(H4747=""region"",vlookup(REGEXEXTRACT(C4747, ""🏘️ \w+ \w+ (.*) ✅""),'Region prepositions'!B:F, 5, 0),  REGEXEXTRACT(C4747, ""🏘️ \w+ \w+ (.*) ✅""))))"),"#N/A")</f>
        <v>#N/A</v>
      </c>
      <c r="I4747" s="4" t="str">
        <f>IFERROR(__xludf.DUMMYFUNCTION("if(D4747=""variant"",  substitute(filter(Templates!E:E, Templates!A:A = F4747, Templates!B:B = G4747, Templates!C:C = H4747), ""{{}}"", E4747), B4747)"),"Vendre maison Rougemont: Trouvez le bien immobilier qui correspond idéalement à vos désirs sur ImmoScout24 - La plateforme de l'immobilier en Suisse.")</f>
        <v>Vendre maison Rougemont: Trouvez le bien immobilier qui correspond idéalement à vos désirs sur ImmoScout24 - La plateforme de l'immobilier en Suisse.</v>
      </c>
    </row>
    <row r="4748" hidden="1">
      <c r="A4748" s="5" t="s">
        <v>12595</v>
      </c>
      <c r="B4748" s="2" t="s">
        <v>12596</v>
      </c>
      <c r="C4748" s="2" t="s">
        <v>12596</v>
      </c>
      <c r="D4748" s="4" t="str">
        <f>vlookup(A4748, Sheet2!D:E, 2, 0)</f>
        <v>control</v>
      </c>
      <c r="E4748" s="4" t="str">
        <f>IFERROR(__xludf.DUMMYFUNCTION("if(H4748=""pays"",vlookup(REGEXEXTRACT(C4748, ""🏘️ \w+ \w+ (.*) ✅""),'Country prepositions'!A:B, 2, 0) &amp; "" "" &amp; REGEXEXTRACT(C4748, ""🏘️ \w+ \w+ (.*) ✅"") ,  if(H4748=""quartier"",vlookup(REGEXEXTRACT(C4748, ""🏘️ \w+ \w+ (.*) ✅""),'Quartier prepositio"&amp;"ns'!A:E, 5, 0) ,  if(H4748=""region"",vlookup(REGEXEXTRACT(C4748, ""🏘️ \w+ \w+ (.*) ✅""),'Region prepositions'!B:F, 5, 0),  REGEXEXTRACT(C4748, ""🏘️ \w+ \w+ (.*) ✅""))))"),"#N/A")</f>
        <v>#N/A</v>
      </c>
      <c r="I4748" s="4" t="str">
        <f>IFERROR(__xludf.DUMMYFUNCTION("if(D4748=""variant"",  substitute(filter(Templates!E:E, Templates!A:A = F4748, Templates!B:B = G4748, Templates!C:C = H4748), ""{{}}"", E4748), B4748)"),"Vendre maison Corjolens: Trouvez le bien immobilier qui correspond idéalement à vos désirs sur ImmoScout24 - La plateforme de l'immobilier en Suisse.")</f>
        <v>Vendre maison Corjolens: Trouvez le bien immobilier qui correspond idéalement à vos désirs sur ImmoScout24 - La plateforme de l'immobilier en Suisse.</v>
      </c>
    </row>
    <row r="4749" hidden="1">
      <c r="A4749" s="5" t="s">
        <v>12597</v>
      </c>
      <c r="B4749" s="2" t="s">
        <v>12598</v>
      </c>
      <c r="C4749" s="2" t="s">
        <v>12598</v>
      </c>
      <c r="D4749" s="4" t="str">
        <f>vlookup(A4749, Sheet2!D:E, 2, 0)</f>
        <v>control</v>
      </c>
      <c r="E4749" s="4" t="str">
        <f>IFERROR(__xludf.DUMMYFUNCTION("if(H4749=""pays"",vlookup(REGEXEXTRACT(C4749, ""🏘️ \w+ \w+ (.*) ✅""),'Country prepositions'!A:B, 2, 0) &amp; "" "" &amp; REGEXEXTRACT(C4749, ""🏘️ \w+ \w+ (.*) ✅"") ,  if(H4749=""quartier"",vlookup(REGEXEXTRACT(C4749, ""🏘️ \w+ \w+ (.*) ✅""),'Quartier prepositio"&amp;"ns'!A:E, 5, 0) ,  if(H4749=""region"",vlookup(REGEXEXTRACT(C4749, ""🏘️ \w+ \w+ (.*) ✅""),'Region prepositions'!B:F, 5, 0),  REGEXEXTRACT(C4749, ""🏘️ \w+ \w+ (.*) ✅""))))"),"#N/A")</f>
        <v>#N/A</v>
      </c>
      <c r="I4749" s="4" t="str">
        <f>IFERROR(__xludf.DUMMYFUNCTION("if(D4749=""variant"",  substitute(filter(Templates!E:E, Templates!A:A = F4749, Templates!B:B = G4749, Templates!C:C = H4749), ""{{}}"", E4749), B4749)"),"Vendre appartement Bellerive VD: Trouvez le bien immobilier qui correspond idéalement à vos désirs sur ImmoScout24 - La plateforme de l'immobilier en Suisse.")</f>
        <v>Vendre appartement Bellerive VD: Trouvez le bien immobilier qui correspond idéalement à vos désirs sur ImmoScout24 - La plateforme de l'immobilier en Suisse.</v>
      </c>
    </row>
    <row r="4750" hidden="1">
      <c r="A4750" s="5" t="s">
        <v>12599</v>
      </c>
      <c r="B4750" s="2" t="s">
        <v>12600</v>
      </c>
      <c r="C4750" s="2" t="s">
        <v>12600</v>
      </c>
      <c r="D4750" s="4" t="str">
        <f>vlookup(A4750, Sheet2!D:E, 2, 0)</f>
        <v>control</v>
      </c>
      <c r="E4750" s="4" t="str">
        <f>IFERROR(__xludf.DUMMYFUNCTION("if(H4750=""pays"",vlookup(REGEXEXTRACT(C4750, ""🏘️ \w+ \w+ (.*) ✅""),'Country prepositions'!A:B, 2, 0) &amp; "" "" &amp; REGEXEXTRACT(C4750, ""🏘️ \w+ \w+ (.*) ✅"") ,  if(H4750=""quartier"",vlookup(REGEXEXTRACT(C4750, ""🏘️ \w+ \w+ (.*) ✅""),'Quartier prepositio"&amp;"ns'!A:E, 5, 0) ,  if(H4750=""region"",vlookup(REGEXEXTRACT(C4750, ""🏘️ \w+ \w+ (.*) ✅""),'Region prepositions'!B:F, 5, 0),  REGEXEXTRACT(C4750, ""🏘️ \w+ \w+ (.*) ✅""))))"),"#N/A")</f>
        <v>#N/A</v>
      </c>
      <c r="I4750" s="4" t="str">
        <f>IFERROR(__xludf.DUMMYFUNCTION("if(D4750=""variant"",  substitute(filter(Templates!E:E, Templates!A:A = F4750, Templates!B:B = G4750, Templates!C:C = H4750), ""{{}}"", E4750), B4750)"),"Vendre appartement Icogne: Trouvez le bien immobilier qui correspond idéalement à vos désirs sur ImmoScout24 - La plateforme de l'immobilier en Suisse.")</f>
        <v>Vendre appartement Icogne: Trouvez le bien immobilier qui correspond idéalement à vos désirs sur ImmoScout24 - La plateforme de l'immobilier en Suisse.</v>
      </c>
    </row>
    <row r="4751" hidden="1">
      <c r="A4751" s="5" t="s">
        <v>12601</v>
      </c>
      <c r="B4751" s="2" t="s">
        <v>12602</v>
      </c>
      <c r="C4751" s="2" t="s">
        <v>12602</v>
      </c>
      <c r="D4751" s="4" t="str">
        <f>vlookup(A4751, Sheet2!D:E, 2, 0)</f>
        <v>control</v>
      </c>
      <c r="E4751" s="4" t="str">
        <f>IFERROR(__xludf.DUMMYFUNCTION("if(H4751=""pays"",vlookup(REGEXEXTRACT(C4751, ""🏘️ \w+ \w+ (.*) ✅""),'Country prepositions'!A:B, 2, 0) &amp; "" "" &amp; REGEXEXTRACT(C4751, ""🏘️ \w+ \w+ (.*) ✅"") ,  if(H4751=""quartier"",vlookup(REGEXEXTRACT(C4751, ""🏘️ \w+ \w+ (.*) ✅""),'Quartier prepositio"&amp;"ns'!A:E, 5, 0) ,  if(H4751=""region"",vlookup(REGEXEXTRACT(C4751, ""🏘️ \w+ \w+ (.*) ✅""),'Region prepositions'!B:F, 5, 0),  REGEXEXTRACT(C4751, ""🏘️ \w+ \w+ (.*) ✅""))))"),"#N/A")</f>
        <v>#N/A</v>
      </c>
      <c r="I4751" s="4" t="str">
        <f>IFERROR(__xludf.DUMMYFUNCTION("if(D4751=""variant"",  substitute(filter(Templates!E:E, Templates!A:A = F4751, Templates!B:B = G4751, Templates!C:C = H4751), ""{{}}"", E4751), B4751)"),"Louer maison Font: Trouvez le bien immobilier qui correspond idéalement à vos désirs sur ImmoScout24 - La plateforme de l'immobilier en Suisse.")</f>
        <v>Louer maison Font: Trouvez le bien immobilier qui correspond idéalement à vos désirs sur ImmoScout24 - La plateforme de l'immobilier en Suisse.</v>
      </c>
    </row>
    <row r="4752" hidden="1">
      <c r="A4752" s="5" t="s">
        <v>12603</v>
      </c>
      <c r="B4752" s="2" t="s">
        <v>12604</v>
      </c>
      <c r="C4752" s="2" t="s">
        <v>12604</v>
      </c>
      <c r="D4752" s="4" t="str">
        <f>vlookup(A4752, Sheet2!D:E, 2, 0)</f>
        <v>control</v>
      </c>
      <c r="E4752" s="4" t="str">
        <f>IFERROR(__xludf.DUMMYFUNCTION("if(H4752=""pays"",vlookup(REGEXEXTRACT(C4752, ""🏘️ \w+ \w+ (.*) ✅""),'Country prepositions'!A:B, 2, 0) &amp; "" "" &amp; REGEXEXTRACT(C4752, ""🏘️ \w+ \w+ (.*) ✅"") ,  if(H4752=""quartier"",vlookup(REGEXEXTRACT(C4752, ""🏘️ \w+ \w+ (.*) ✅""),'Quartier prepositio"&amp;"ns'!A:E, 5, 0) ,  if(H4752=""region"",vlookup(REGEXEXTRACT(C4752, ""🏘️ \w+ \w+ (.*) ✅""),'Region prepositions'!B:F, 5, 0),  REGEXEXTRACT(C4752, ""🏘️ \w+ \w+ (.*) ✅""))))"),"#N/A")</f>
        <v>#N/A</v>
      </c>
      <c r="I4752" s="4" t="str">
        <f>IFERROR(__xludf.DUMMYFUNCTION("if(D4752=""variant"",  substitute(filter(Templates!E:E, Templates!A:A = F4752, Templates!B:B = G4752, Templates!C:C = H4752), ""{{}}"", E4752), B4752)"),"Vendre maison Athenaz (Avusy): Trouvez le bien immobilier qui correspond idéalement à vos désirs sur ImmoScout24 - La plateforme de l'immobilier en Suisse.")</f>
        <v>Vendre maison Athenaz (Avusy): Trouvez le bien immobilier qui correspond idéalement à vos désirs sur ImmoScout24 - La plateforme de l'immobilier en Suisse.</v>
      </c>
    </row>
    <row r="4753" hidden="1">
      <c r="A4753" s="5" t="s">
        <v>12605</v>
      </c>
      <c r="B4753" s="2" t="s">
        <v>12606</v>
      </c>
      <c r="C4753" s="2" t="s">
        <v>12606</v>
      </c>
      <c r="D4753" s="4" t="str">
        <f>vlookup(A4753, Sheet2!D:E, 2, 0)</f>
        <v>control</v>
      </c>
      <c r="E4753" s="4" t="str">
        <f>IFERROR(__xludf.DUMMYFUNCTION("if(H4753=""pays"",vlookup(REGEXEXTRACT(C4753, ""🏘️ \w+ \w+ (.*) ✅""),'Country prepositions'!A:B, 2, 0) &amp; "" "" &amp; REGEXEXTRACT(C4753, ""🏘️ \w+ \w+ (.*) ✅"") ,  if(H4753=""quartier"",vlookup(REGEXEXTRACT(C4753, ""🏘️ \w+ \w+ (.*) ✅""),'Quartier prepositio"&amp;"ns'!A:E, 5, 0) ,  if(H4753=""region"",vlookup(REGEXEXTRACT(C4753, ""🏘️ \w+ \w+ (.*) ✅""),'Region prepositions'!B:F, 5, 0),  REGEXEXTRACT(C4753, ""🏘️ \w+ \w+ (.*) ✅""))))"),"#N/A")</f>
        <v>#N/A</v>
      </c>
      <c r="I4753" s="4" t="str">
        <f>IFERROR(__xludf.DUMMYFUNCTION("if(D4753=""variant"",  substitute(filter(Templates!E:E, Templates!A:A = F4753, Templates!B:B = G4753, Templates!C:C = H4753), ""{{}}"", E4753), B4753)"),"Vendre maison Cerentino: Trouvez le bien immobilier qui correspond idéalement à vos désirs sur ImmoScout24 - La plateforme de l'immobilier en Suisse.")</f>
        <v>Vendre maison Cerentino: Trouvez le bien immobilier qui correspond idéalement à vos désirs sur ImmoScout24 - La plateforme de l'immobilier en Suisse.</v>
      </c>
    </row>
    <row r="4754" hidden="1">
      <c r="A4754" s="5" t="s">
        <v>12607</v>
      </c>
      <c r="B4754" s="2" t="s">
        <v>12608</v>
      </c>
      <c r="C4754" s="2" t="s">
        <v>12608</v>
      </c>
      <c r="D4754" s="4" t="str">
        <f>vlookup(A4754, Sheet2!D:E, 2, 0)</f>
        <v>control</v>
      </c>
      <c r="E4754" s="4" t="str">
        <f>IFERROR(__xludf.DUMMYFUNCTION("if(H4754=""pays"",vlookup(REGEXEXTRACT(C4754, ""🏘️ \w+ \w+ (.*) ✅""),'Country prepositions'!A:B, 2, 0) &amp; "" "" &amp; REGEXEXTRACT(C4754, ""🏘️ \w+ \w+ (.*) ✅"") ,  if(H4754=""quartier"",vlookup(REGEXEXTRACT(C4754, ""🏘️ \w+ \w+ (.*) ✅""),'Quartier prepositio"&amp;"ns'!A:E, 5, 0) ,  if(H4754=""region"",vlookup(REGEXEXTRACT(C4754, ""🏘️ \w+ \w+ (.*) ✅""),'Region prepositions'!B:F, 5, 0),  REGEXEXTRACT(C4754, ""🏘️ \w+ \w+ (.*) ✅""))))"),"#N/A")</f>
        <v>#N/A</v>
      </c>
      <c r="I4754" s="4" t="str">
        <f>IFERROR(__xludf.DUMMYFUNCTION("if(D4754=""variant"",  substitute(filter(Templates!E:E, Templates!A:A = F4754, Templates!B:B = G4754, Templates!C:C = H4754), ""{{}}"", E4754), B4754)"),"Louer appartement Sugiez: Trouvez le bien immobilier qui correspond idéalement à vos désirs sur ImmoScout24 - La plateforme de l'immobilier en Suisse.")</f>
        <v>Louer appartement Sugiez: Trouvez le bien immobilier qui correspond idéalement à vos désirs sur ImmoScout24 - La plateforme de l'immobilier en Suisse.</v>
      </c>
    </row>
    <row r="4755" hidden="1">
      <c r="A4755" s="5" t="s">
        <v>12609</v>
      </c>
      <c r="B4755" s="2" t="s">
        <v>12610</v>
      </c>
      <c r="C4755" s="2" t="s">
        <v>12610</v>
      </c>
      <c r="D4755" s="4" t="str">
        <f>vlookup(A4755, Sheet2!D:E, 2, 0)</f>
        <v>control</v>
      </c>
      <c r="E4755" s="4" t="str">
        <f>IFERROR(__xludf.DUMMYFUNCTION("if(H4755=""pays"",vlookup(REGEXEXTRACT(C4755, ""🏘️ \w+ \w+ (.*) ✅""),'Country prepositions'!A:B, 2, 0) &amp; "" "" &amp; REGEXEXTRACT(C4755, ""🏘️ \w+ \w+ (.*) ✅"") ,  if(H4755=""quartier"",vlookup(REGEXEXTRACT(C4755, ""🏘️ \w+ \w+ (.*) ✅""),'Quartier prepositio"&amp;"ns'!A:E, 5, 0) ,  if(H4755=""region"",vlookup(REGEXEXTRACT(C4755, ""🏘️ \w+ \w+ (.*) ✅""),'Region prepositions'!B:F, 5, 0),  REGEXEXTRACT(C4755, ""🏘️ \w+ \w+ (.*) ✅""))))"),"#N/A")</f>
        <v>#N/A</v>
      </c>
      <c r="I4755" s="4" t="str">
        <f>IFERROR(__xludf.DUMMYFUNCTION("if(D4755=""variant"",  substitute(filter(Templates!E:E, Templates!A:A = F4755, Templates!B:B = G4755, Templates!C:C = H4755), ""{{}}"", E4755), B4755)"),"Louer maison St-Saphorin (Lavaux): Trouvez le bien immobilier qui correspond idéalement à vos désirs sur ImmoScout24 - La plateforme de l'immobilier en Suisse.")</f>
        <v>Louer maison St-Saphorin (Lavaux): Trouvez le bien immobilier qui correspond idéalement à vos désirs sur ImmoScout24 - La plateforme de l'immobilier en Suisse.</v>
      </c>
    </row>
    <row r="4756" hidden="1">
      <c r="A4756" s="5" t="s">
        <v>12611</v>
      </c>
      <c r="B4756" s="2" t="s">
        <v>12612</v>
      </c>
      <c r="C4756" s="2" t="s">
        <v>12612</v>
      </c>
      <c r="D4756" s="4" t="str">
        <f>vlookup(A4756, Sheet2!D:E, 2, 0)</f>
        <v>control</v>
      </c>
      <c r="E4756" s="4" t="str">
        <f>IFERROR(__xludf.DUMMYFUNCTION("if(H4756=""pays"",vlookup(REGEXEXTRACT(C4756, ""🏘️ \w+ \w+ (.*) ✅""),'Country prepositions'!A:B, 2, 0) &amp; "" "" &amp; REGEXEXTRACT(C4756, ""🏘️ \w+ \w+ (.*) ✅"") ,  if(H4756=""quartier"",vlookup(REGEXEXTRACT(C4756, ""🏘️ \w+ \w+ (.*) ✅""),'Quartier prepositio"&amp;"ns'!A:E, 5, 0) ,  if(H4756=""region"",vlookup(REGEXEXTRACT(C4756, ""🏘️ \w+ \w+ (.*) ✅""),'Region prepositions'!B:F, 5, 0),  REGEXEXTRACT(C4756, ""🏘️ \w+ \w+ (.*) ✅""))))"),"#N/A")</f>
        <v>#N/A</v>
      </c>
      <c r="I4756" s="4" t="str">
        <f>IFERROR(__xludf.DUMMYFUNCTION("if(D4756=""variant"",  substitute(filter(Templates!E:E, Templates!A:A = F4756, Templates!B:B = G4756, Templates!C:C = H4756), ""{{}}"", E4756), B4756)"),"Vendre maison Courrendlin: Trouvez le bien immobilier qui correspond idéalement à vos désirs sur ImmoScout24 - La plateforme de l'immobilier en Suisse.")</f>
        <v>Vendre maison Courrendlin: Trouvez le bien immobilier qui correspond idéalement à vos désirs sur ImmoScout24 - La plateforme de l'immobilier en Suisse.</v>
      </c>
    </row>
    <row r="4757" hidden="1">
      <c r="A4757" s="5" t="s">
        <v>12613</v>
      </c>
      <c r="B4757" s="2" t="s">
        <v>12614</v>
      </c>
      <c r="C4757" s="2" t="s">
        <v>12614</v>
      </c>
      <c r="D4757" s="4" t="str">
        <f>vlookup(A4757, Sheet2!D:E, 2, 0)</f>
        <v>control</v>
      </c>
      <c r="E4757" s="4" t="str">
        <f>IFERROR(__xludf.DUMMYFUNCTION("if(H4757=""pays"",vlookup(REGEXEXTRACT(C4757, ""🏘️ \w+ \w+ (.*) ✅""),'Country prepositions'!A:B, 2, 0) &amp; "" "" &amp; REGEXEXTRACT(C4757, ""🏘️ \w+ \w+ (.*) ✅"") ,  if(H4757=""quartier"",vlookup(REGEXEXTRACT(C4757, ""🏘️ \w+ \w+ (.*) ✅""),'Quartier prepositio"&amp;"ns'!A:E, 5, 0) ,  if(H4757=""region"",vlookup(REGEXEXTRACT(C4757, ""🏘️ \w+ \w+ (.*) ✅""),'Region prepositions'!B:F, 5, 0),  REGEXEXTRACT(C4757, ""🏘️ \w+ \w+ (.*) ✅""))))"),"#N/A")</f>
        <v>#N/A</v>
      </c>
      <c r="I4757" s="4" t="str">
        <f>IFERROR(__xludf.DUMMYFUNCTION("if(D4757=""variant"",  substitute(filter(Templates!E:E, Templates!A:A = F4757, Templates!B:B = G4757, Templates!C:C = H4757), ""{{}}"", E4757), B4757)"),"Louer appartement Agriswil: Trouvez le bien immobilier qui correspond idéalement à vos désirs sur ImmoScout24 - La plateforme de l'immobilier en Suisse.")</f>
        <v>Louer appartement Agriswil: Trouvez le bien immobilier qui correspond idéalement à vos désirs sur ImmoScout24 - La plateforme de l'immobilier en Suisse.</v>
      </c>
    </row>
    <row r="4758" hidden="1">
      <c r="A4758" s="5" t="s">
        <v>12615</v>
      </c>
      <c r="B4758" s="2" t="s">
        <v>12616</v>
      </c>
      <c r="C4758" s="2" t="s">
        <v>12616</v>
      </c>
      <c r="D4758" s="4" t="str">
        <f>vlookup(A4758, Sheet2!D:E, 2, 0)</f>
        <v>control</v>
      </c>
      <c r="E4758" s="4" t="str">
        <f>IFERROR(__xludf.DUMMYFUNCTION("if(H4758=""pays"",vlookup(REGEXEXTRACT(C4758, ""🏘️ \w+ \w+ (.*) ✅""),'Country prepositions'!A:B, 2, 0) &amp; "" "" &amp; REGEXEXTRACT(C4758, ""🏘️ \w+ \w+ (.*) ✅"") ,  if(H4758=""quartier"",vlookup(REGEXEXTRACT(C4758, ""🏘️ \w+ \w+ (.*) ✅""),'Quartier prepositio"&amp;"ns'!A:E, 5, 0) ,  if(H4758=""region"",vlookup(REGEXEXTRACT(C4758, ""🏘️ \w+ \w+ (.*) ✅""),'Region prepositions'!B:F, 5, 0),  REGEXEXTRACT(C4758, ""🏘️ \w+ \w+ (.*) ✅""))))"),"#N/A")</f>
        <v>#N/A</v>
      </c>
      <c r="I4758" s="4" t="str">
        <f>IFERROR(__xludf.DUMMYFUNCTION("if(D4758=""variant"",  substitute(filter(Templates!E:E, Templates!A:A = F4758, Templates!B:B = G4758, Templates!C:C = H4758), ""{{}}"", E4758), B4758)"),"Louer appartement Courtaman: Trouvez le bien immobilier qui correspond idéalement à vos désirs sur ImmoScout24 - La plateforme de l'immobilier en Suisse.")</f>
        <v>Louer appartement Courtaman: Trouvez le bien immobilier qui correspond idéalement à vos désirs sur ImmoScout24 - La plateforme de l'immobilier en Suisse.</v>
      </c>
    </row>
    <row r="4759" hidden="1">
      <c r="A4759" s="5" t="s">
        <v>12617</v>
      </c>
      <c r="B4759" s="2" t="s">
        <v>12618</v>
      </c>
      <c r="C4759" s="2" t="s">
        <v>12618</v>
      </c>
      <c r="D4759" s="4" t="str">
        <f>vlookup(A4759, Sheet2!D:E, 2, 0)</f>
        <v>control</v>
      </c>
      <c r="E4759" s="4" t="str">
        <f>IFERROR(__xludf.DUMMYFUNCTION("if(H4759=""pays"",vlookup(REGEXEXTRACT(C4759, ""🏘️ \w+ \w+ (.*) ✅""),'Country prepositions'!A:B, 2, 0) &amp; "" "" &amp; REGEXEXTRACT(C4759, ""🏘️ \w+ \w+ (.*) ✅"") ,  if(H4759=""quartier"",vlookup(REGEXEXTRACT(C4759, ""🏘️ \w+ \w+ (.*) ✅""),'Quartier prepositio"&amp;"ns'!A:E, 5, 0) ,  if(H4759=""region"",vlookup(REGEXEXTRACT(C4759, ""🏘️ \w+ \w+ (.*) ✅""),'Region prepositions'!B:F, 5, 0),  REGEXEXTRACT(C4759, ""🏘️ \w+ \w+ (.*) ✅""))))"),"#N/A")</f>
        <v>#N/A</v>
      </c>
      <c r="I4759" s="4" t="str">
        <f>IFERROR(__xludf.DUMMYFUNCTION("if(D4759=""variant"",  substitute(filter(Templates!E:E, Templates!A:A = F4759, Templates!B:B = G4759, Templates!C:C = H4759), ""{{}}"", E4759), B4759)"),"Louer appartement Mont-sur-Rolle: Trouvez le bien immobilier qui correspond idéalement à vos désirs sur ImmoScout24 - La plateforme de l'immobilier en Suisse.")</f>
        <v>Louer appartement Mont-sur-Rolle: Trouvez le bien immobilier qui correspond idéalement à vos désirs sur ImmoScout24 - La plateforme de l'immobilier en Suisse.</v>
      </c>
    </row>
    <row r="4760" hidden="1">
      <c r="A4760" s="5" t="s">
        <v>12619</v>
      </c>
      <c r="B4760" s="2" t="s">
        <v>12620</v>
      </c>
      <c r="C4760" s="2" t="s">
        <v>12620</v>
      </c>
      <c r="D4760" s="4" t="str">
        <f>vlookup(A4760, Sheet2!D:E, 2, 0)</f>
        <v>control</v>
      </c>
      <c r="E4760" s="4" t="str">
        <f>IFERROR(__xludf.DUMMYFUNCTION("if(H4760=""pays"",vlookup(REGEXEXTRACT(C4760, ""🏘️ \w+ \w+ (.*) ✅""),'Country prepositions'!A:B, 2, 0) &amp; "" "" &amp; REGEXEXTRACT(C4760, ""🏘️ \w+ \w+ (.*) ✅"") ,  if(H4760=""quartier"",vlookup(REGEXEXTRACT(C4760, ""🏘️ \w+ \w+ (.*) ✅""),'Quartier prepositio"&amp;"ns'!A:E, 5, 0) ,  if(H4760=""region"",vlookup(REGEXEXTRACT(C4760, ""🏘️ \w+ \w+ (.*) ✅""),'Region prepositions'!B:F, 5, 0),  REGEXEXTRACT(C4760, ""🏘️ \w+ \w+ (.*) ✅""))))"),"#N/A")</f>
        <v>#N/A</v>
      </c>
      <c r="I4760" s="4" t="str">
        <f>IFERROR(__xludf.DUMMYFUNCTION("if(D4760=""variant"",  substitute(filter(Templates!E:E, Templates!A:A = F4760, Templates!B:B = G4760, Templates!C:C = H4760), ""{{}}"", E4760), B4760)"),"Louer appartement Vissoie: Trouvez le bien immobilier qui correspond idéalement à vos désirs sur ImmoScout24 - La plateforme de l'immobilier en Suisse.")</f>
        <v>Louer appartement Vissoie: Trouvez le bien immobilier qui correspond idéalement à vos désirs sur ImmoScout24 - La plateforme de l'immobilier en Suisse.</v>
      </c>
    </row>
    <row r="4761" hidden="1">
      <c r="A4761" s="5" t="s">
        <v>12621</v>
      </c>
      <c r="B4761" s="2" t="s">
        <v>12622</v>
      </c>
      <c r="C4761" s="2" t="s">
        <v>12622</v>
      </c>
      <c r="D4761" s="4" t="str">
        <f>vlookup(A4761, Sheet2!D:E, 2, 0)</f>
        <v>control</v>
      </c>
      <c r="E4761" s="4" t="str">
        <f>IFERROR(__xludf.DUMMYFUNCTION("if(H4761=""pays"",vlookup(REGEXEXTRACT(C4761, ""🏘️ \w+ \w+ (.*) ✅""),'Country prepositions'!A:B, 2, 0) &amp; "" "" &amp; REGEXEXTRACT(C4761, ""🏘️ \w+ \w+ (.*) ✅"") ,  if(H4761=""quartier"",vlookup(REGEXEXTRACT(C4761, ""🏘️ \w+ \w+ (.*) ✅""),'Quartier prepositio"&amp;"ns'!A:E, 5, 0) ,  if(H4761=""region"",vlookup(REGEXEXTRACT(C4761, ""🏘️ \w+ \w+ (.*) ✅""),'Region prepositions'!B:F, 5, 0),  REGEXEXTRACT(C4761, ""🏘️ \w+ \w+ (.*) ✅""))))"),"#N/A")</f>
        <v>#N/A</v>
      </c>
      <c r="I4761" s="4" t="str">
        <f>IFERROR(__xludf.DUMMYFUNCTION("if(D4761=""variant"",  substitute(filter(Templates!E:E, Templates!A:A = F4761, Templates!B:B = G4761, Templates!C:C = H4761), ""{{}}"", E4761), B4761)"),"Vendre appartement Cassarate (Lugano): Trouvez le bien immobilier qui correspond idéalement à vos désirs sur ImmoScout24 - La plateforme de l'immobilier en Suisse.")</f>
        <v>Vendre appartement Cassarate (Lugano): Trouvez le bien immobilier qui correspond idéalement à vos désirs sur ImmoScout24 - La plateforme de l'immobilier en Suisse.</v>
      </c>
    </row>
    <row r="4762" hidden="1">
      <c r="A4762" s="5" t="s">
        <v>12623</v>
      </c>
      <c r="B4762" s="2" t="s">
        <v>12624</v>
      </c>
      <c r="C4762" s="2" t="s">
        <v>12624</v>
      </c>
      <c r="D4762" s="4" t="str">
        <f>vlookup(A4762, Sheet2!D:E, 2, 0)</f>
        <v>control</v>
      </c>
      <c r="E4762" s="4" t="str">
        <f>IFERROR(__xludf.DUMMYFUNCTION("if(H4762=""pays"",vlookup(REGEXEXTRACT(C4762, ""🏘️ \w+ \w+ (.*) ✅""),'Country prepositions'!A:B, 2, 0) &amp; "" "" &amp; REGEXEXTRACT(C4762, ""🏘️ \w+ \w+ (.*) ✅"") ,  if(H4762=""quartier"",vlookup(REGEXEXTRACT(C4762, ""🏘️ \w+ \w+ (.*) ✅""),'Quartier prepositio"&amp;"ns'!A:E, 5, 0) ,  if(H4762=""region"",vlookup(REGEXEXTRACT(C4762, ""🏘️ \w+ \w+ (.*) ✅""),'Region prepositions'!B:F, 5, 0),  REGEXEXTRACT(C4762, ""🏘️ \w+ \w+ (.*) ✅""))))"),"#N/A")</f>
        <v>#N/A</v>
      </c>
      <c r="I4762" s="4" t="str">
        <f>IFERROR(__xludf.DUMMYFUNCTION("if(D4762=""variant"",  substitute(filter(Templates!E:E, Templates!A:A = F4762, Templates!B:B = G4762, Templates!C:C = H4762), ""{{}}"", E4762), B4762)"),"Louer appartement Lostorf: Trouvez le bien immobilier qui correspond idéalement à vos désirs sur ImmoScout24 - La plateforme de l'immobilier en Suisse.")</f>
        <v>Louer appartement Lostorf: Trouvez le bien immobilier qui correspond idéalement à vos désirs sur ImmoScout24 - La plateforme de l'immobilier en Suisse.</v>
      </c>
    </row>
    <row r="4763" hidden="1">
      <c r="A4763" s="5" t="s">
        <v>12625</v>
      </c>
      <c r="B4763" s="2" t="s">
        <v>12626</v>
      </c>
      <c r="C4763" s="2" t="s">
        <v>12626</v>
      </c>
      <c r="D4763" s="4" t="str">
        <f>vlookup(A4763, Sheet2!D:E, 2, 0)</f>
        <v>control</v>
      </c>
      <c r="E4763" s="4" t="str">
        <f>IFERROR(__xludf.DUMMYFUNCTION("if(H4763=""pays"",vlookup(REGEXEXTRACT(C4763, ""🏘️ \w+ \w+ (.*) ✅""),'Country prepositions'!A:B, 2, 0) &amp; "" "" &amp; REGEXEXTRACT(C4763, ""🏘️ \w+ \w+ (.*) ✅"") ,  if(H4763=""quartier"",vlookup(REGEXEXTRACT(C4763, ""🏘️ \w+ \w+ (.*) ✅""),'Quartier prepositio"&amp;"ns'!A:E, 5, 0) ,  if(H4763=""region"",vlookup(REGEXEXTRACT(C4763, ""🏘️ \w+ \w+ (.*) ✅""),'Region prepositions'!B:F, 5, 0),  REGEXEXTRACT(C4763, ""🏘️ \w+ \w+ (.*) ✅""))))"),"#N/A")</f>
        <v>#N/A</v>
      </c>
      <c r="I4763" s="4" t="str">
        <f>IFERROR(__xludf.DUMMYFUNCTION("if(D4763=""variant"",  substitute(filter(Templates!E:E, Templates!A:A = F4763, Templates!B:B = G4763, Templates!C:C = H4763), ""{{}}"", E4763), B4763)"),"Vendre maison Arogno: Trouvez le bien immobilier qui correspond idéalement à vos désirs sur ImmoScout24 - La plateforme de l'immobilier en Suisse.")</f>
        <v>Vendre maison Arogno: Trouvez le bien immobilier qui correspond idéalement à vos désirs sur ImmoScout24 - La plateforme de l'immobilier en Suisse.</v>
      </c>
    </row>
    <row r="4764" hidden="1">
      <c r="A4764" s="5" t="s">
        <v>12627</v>
      </c>
      <c r="B4764" s="2" t="s">
        <v>12628</v>
      </c>
      <c r="C4764" s="2" t="s">
        <v>12628</v>
      </c>
      <c r="D4764" s="4" t="str">
        <f>vlookup(A4764, Sheet2!D:E, 2, 0)</f>
        <v>control</v>
      </c>
      <c r="E4764" s="4" t="str">
        <f>IFERROR(__xludf.DUMMYFUNCTION("if(H4764=""pays"",vlookup(REGEXEXTRACT(C4764, ""🏘️ \w+ \w+ (.*) ✅""),'Country prepositions'!A:B, 2, 0) &amp; "" "" &amp; REGEXEXTRACT(C4764, ""🏘️ \w+ \w+ (.*) ✅"") ,  if(H4764=""quartier"",vlookup(REGEXEXTRACT(C4764, ""🏘️ \w+ \w+ (.*) ✅""),'Quartier prepositio"&amp;"ns'!A:E, 5, 0) ,  if(H4764=""region"",vlookup(REGEXEXTRACT(C4764, ""🏘️ \w+ \w+ (.*) ✅""),'Region prepositions'!B:F, 5, 0),  REGEXEXTRACT(C4764, ""🏘️ \w+ \w+ (.*) ✅""))))"),"#N/A")</f>
        <v>#N/A</v>
      </c>
      <c r="I4764" s="4" t="str">
        <f>IFERROR(__xludf.DUMMYFUNCTION("if(D4764=""variant"",  substitute(filter(Templates!E:E, Templates!A:A = F4764, Templates!B:B = G4764, Templates!C:C = H4764), ""{{}}"", E4764), B4764)"),"Vendre maison Intragna: Trouvez le bien immobilier qui correspond idéalement à vos désirs sur ImmoScout24 - La plateforme de l'immobilier en Suisse.")</f>
        <v>Vendre maison Intragna: Trouvez le bien immobilier qui correspond idéalement à vos désirs sur ImmoScout24 - La plateforme de l'immobilier en Suisse.</v>
      </c>
    </row>
    <row r="4765" hidden="1">
      <c r="A4765" s="5" t="s">
        <v>12629</v>
      </c>
      <c r="B4765" s="2" t="s">
        <v>12630</v>
      </c>
      <c r="C4765" s="2" t="s">
        <v>12630</v>
      </c>
      <c r="D4765" s="4" t="str">
        <f>vlookup(A4765, Sheet2!D:E, 2, 0)</f>
        <v>control</v>
      </c>
      <c r="E4765" s="4" t="str">
        <f>IFERROR(__xludf.DUMMYFUNCTION("if(H4765=""pays"",vlookup(REGEXEXTRACT(C4765, ""🏘️ \w+ \w+ (.*) ✅""),'Country prepositions'!A:B, 2, 0) &amp; "" "" &amp; REGEXEXTRACT(C4765, ""🏘️ \w+ \w+ (.*) ✅"") ,  if(H4765=""quartier"",vlookup(REGEXEXTRACT(C4765, ""🏘️ \w+ \w+ (.*) ✅""),'Quartier prepositio"&amp;"ns'!A:E, 5, 0) ,  if(H4765=""region"",vlookup(REGEXEXTRACT(C4765, ""🏘️ \w+ \w+ (.*) ✅""),'Region prepositions'!B:F, 5, 0),  REGEXEXTRACT(C4765, ""🏘️ \w+ \w+ (.*) ✅""))))"),"#N/A")</f>
        <v>#N/A</v>
      </c>
      <c r="I4765" s="4" t="str">
        <f>IFERROR(__xludf.DUMMYFUNCTION("if(D4765=""variant"",  substitute(filter(Templates!E:E, Templates!A:A = F4765, Templates!B:B = G4765, Templates!C:C = H4765), ""{{}}"", E4765), B4765)"),"Louer appartement Misery: Trouvez le bien immobilier qui correspond idéalement à vos désirs sur ImmoScout24 - La plateforme de l'immobilier en Suisse.")</f>
        <v>Louer appartement Misery: Trouvez le bien immobilier qui correspond idéalement à vos désirs sur ImmoScout24 - La plateforme de l'immobilier en Suisse.</v>
      </c>
    </row>
    <row r="4766" hidden="1">
      <c r="A4766" s="5" t="s">
        <v>12631</v>
      </c>
      <c r="B4766" s="2" t="s">
        <v>12632</v>
      </c>
      <c r="C4766" s="2" t="s">
        <v>12632</v>
      </c>
      <c r="D4766" s="4" t="str">
        <f>vlookup(A4766, Sheet2!D:E, 2, 0)</f>
        <v>control</v>
      </c>
      <c r="E4766" s="4" t="str">
        <f>IFERROR(__xludf.DUMMYFUNCTION("if(H4766=""pays"",vlookup(REGEXEXTRACT(C4766, ""🏘️ \w+ \w+ (.*) ✅""),'Country prepositions'!A:B, 2, 0) &amp; "" "" &amp; REGEXEXTRACT(C4766, ""🏘️ \w+ \w+ (.*) ✅"") ,  if(H4766=""quartier"",vlookup(REGEXEXTRACT(C4766, ""🏘️ \w+ \w+ (.*) ✅""),'Quartier prepositio"&amp;"ns'!A:E, 5, 0) ,  if(H4766=""region"",vlookup(REGEXEXTRACT(C4766, ""🏘️ \w+ \w+ (.*) ✅""),'Region prepositions'!B:F, 5, 0),  REGEXEXTRACT(C4766, ""🏘️ \w+ \w+ (.*) ✅""))))"),"#N/A")</f>
        <v>#N/A</v>
      </c>
      <c r="I4766" s="4" t="str">
        <f>IFERROR(__xludf.DUMMYFUNCTION("if(D4766=""variant"",  substitute(filter(Templates!E:E, Templates!A:A = F4766, Templates!B:B = G4766, Templates!C:C = H4766), ""{{}}"", E4766), B4766)"),"Vendre maison Bruderholz (Bâle): Trouvez le bien immobilier qui correspond idéalement à vos désirs sur ImmoScout24 - La plateforme de l'immobilier en Suisse.")</f>
        <v>Vendre maison Bruderholz (Bâle): Trouvez le bien immobilier qui correspond idéalement à vos désirs sur ImmoScout24 - La plateforme de l'immobilier en Suisse.</v>
      </c>
    </row>
    <row r="4767" hidden="1">
      <c r="A4767" s="5" t="s">
        <v>12633</v>
      </c>
      <c r="B4767" s="2" t="s">
        <v>12634</v>
      </c>
      <c r="C4767" s="2" t="s">
        <v>12634</v>
      </c>
      <c r="D4767" s="4" t="str">
        <f>vlookup(A4767, Sheet2!D:E, 2, 0)</f>
        <v>control</v>
      </c>
      <c r="E4767" s="4" t="str">
        <f>IFERROR(__xludf.DUMMYFUNCTION("if(H4767=""pays"",vlookup(REGEXEXTRACT(C4767, ""🏘️ \w+ \w+ (.*) ✅""),'Country prepositions'!A:B, 2, 0) &amp; "" "" &amp; REGEXEXTRACT(C4767, ""🏘️ \w+ \w+ (.*) ✅"") ,  if(H4767=""quartier"",vlookup(REGEXEXTRACT(C4767, ""🏘️ \w+ \w+ (.*) ✅""),'Quartier prepositio"&amp;"ns'!A:E, 5, 0) ,  if(H4767=""region"",vlookup(REGEXEXTRACT(C4767, ""🏘️ \w+ \w+ (.*) ✅""),'Region prepositions'!B:F, 5, 0),  REGEXEXTRACT(C4767, ""🏘️ \w+ \w+ (.*) ✅""))))"),"#N/A")</f>
        <v>#N/A</v>
      </c>
      <c r="I4767" s="4" t="str">
        <f>IFERROR(__xludf.DUMMYFUNCTION("if(D4767=""variant"",  substitute(filter(Templates!E:E, Templates!A:A = F4767, Templates!B:B = G4767, Templates!C:C = H4767), ""{{}}"", E4767), B4767)"),"Vendre appartement Bubikon: Trouvez le bien immobilier qui correspond idéalement à vos désirs sur ImmoScout24 - La plateforme de l'immobilier en Suisse.")</f>
        <v>Vendre appartement Bubikon: Trouvez le bien immobilier qui correspond idéalement à vos désirs sur ImmoScout24 - La plateforme de l'immobilier en Suisse.</v>
      </c>
    </row>
    <row r="4768" hidden="1">
      <c r="A4768" s="5" t="s">
        <v>12635</v>
      </c>
      <c r="B4768" s="2" t="s">
        <v>12636</v>
      </c>
      <c r="C4768" s="2" t="s">
        <v>12636</v>
      </c>
      <c r="D4768" s="4" t="str">
        <f>vlookup(A4768, Sheet2!D:E, 2, 0)</f>
        <v>control</v>
      </c>
      <c r="E4768" s="4" t="str">
        <f>IFERROR(__xludf.DUMMYFUNCTION("if(H4768=""pays"",vlookup(REGEXEXTRACT(C4768, ""🏘️ \w+ \w+ (.*) ✅""),'Country prepositions'!A:B, 2, 0) &amp; "" "" &amp; REGEXEXTRACT(C4768, ""🏘️ \w+ \w+ (.*) ✅"") ,  if(H4768=""quartier"",vlookup(REGEXEXTRACT(C4768, ""🏘️ \w+ \w+ (.*) ✅""),'Quartier prepositio"&amp;"ns'!A:E, 5, 0) ,  if(H4768=""region"",vlookup(REGEXEXTRACT(C4768, ""🏘️ \w+ \w+ (.*) ✅""),'Region prepositions'!B:F, 5, 0),  REGEXEXTRACT(C4768, ""🏘️ \w+ \w+ (.*) ✅""))))"),"#N/A")</f>
        <v>#N/A</v>
      </c>
      <c r="I4768" s="4" t="str">
        <f>IFERROR(__xludf.DUMMYFUNCTION("if(D4768=""variant"",  substitute(filter(Templates!E:E, Templates!A:A = F4768, Templates!B:B = G4768, Templates!C:C = H4768), ""{{}}"", E4768), B4768)"),"Vendre maison Préverenges: Trouvez le bien immobilier qui correspond idéalement à vos désirs sur ImmoScout24 - La plateforme de l'immobilier en Suisse.")</f>
        <v>Vendre maison Préverenges: Trouvez le bien immobilier qui correspond idéalement à vos désirs sur ImmoScout24 - La plateforme de l'immobilier en Suisse.</v>
      </c>
    </row>
    <row r="4769" hidden="1">
      <c r="A4769" s="5" t="s">
        <v>12637</v>
      </c>
      <c r="B4769" s="2" t="s">
        <v>12638</v>
      </c>
      <c r="C4769" s="2" t="s">
        <v>12638</v>
      </c>
      <c r="D4769" s="4" t="str">
        <f>vlookup(A4769, Sheet2!D:E, 2, 0)</f>
        <v>control</v>
      </c>
      <c r="E4769" s="4" t="str">
        <f>IFERROR(__xludf.DUMMYFUNCTION("if(H4769=""pays"",vlookup(REGEXEXTRACT(C4769, ""🏘️ \w+ \w+ (.*) ✅""),'Country prepositions'!A:B, 2, 0) &amp; "" "" &amp; REGEXEXTRACT(C4769, ""🏘️ \w+ \w+ (.*) ✅"") ,  if(H4769=""quartier"",vlookup(REGEXEXTRACT(C4769, ""🏘️ \w+ \w+ (.*) ✅""),'Quartier prepositio"&amp;"ns'!A:E, 5, 0) ,  if(H4769=""region"",vlookup(REGEXEXTRACT(C4769, ""🏘️ \w+ \w+ (.*) ✅""),'Region prepositions'!B:F, 5, 0),  REGEXEXTRACT(C4769, ""🏘️ \w+ \w+ (.*) ✅""))))"),"#N/A")</f>
        <v>#N/A</v>
      </c>
      <c r="I4769" s="4" t="str">
        <f>IFERROR(__xludf.DUMMYFUNCTION("if(D4769=""variant"",  substitute(filter(Templates!E:E, Templates!A:A = F4769, Templates!B:B = G4769, Templates!C:C = H4769), ""{{}}"", E4769), B4769)"),"Louer maison Château-d'Oex: Trouvez le bien immobilier qui correspond idéalement à vos désirs sur ImmoScout24 - La plateforme de l'immobilier en Suisse.")</f>
        <v>Louer maison Château-d'Oex: Trouvez le bien immobilier qui correspond idéalement à vos désirs sur ImmoScout24 - La plateforme de l'immobilier en Suisse.</v>
      </c>
    </row>
    <row r="4770" hidden="1">
      <c r="A4770" s="5" t="s">
        <v>12639</v>
      </c>
      <c r="B4770" s="2" t="s">
        <v>12640</v>
      </c>
      <c r="C4770" s="2" t="s">
        <v>12640</v>
      </c>
      <c r="D4770" s="4" t="str">
        <f>vlookup(A4770, Sheet2!D:E, 2, 0)</f>
        <v>control</v>
      </c>
      <c r="E4770" s="4" t="str">
        <f>IFERROR(__xludf.DUMMYFUNCTION("if(H4770=""pays"",vlookup(REGEXEXTRACT(C4770, ""🏘️ \w+ \w+ (.*) ✅""),'Country prepositions'!A:B, 2, 0) &amp; "" "" &amp; REGEXEXTRACT(C4770, ""🏘️ \w+ \w+ (.*) ✅"") ,  if(H4770=""quartier"",vlookup(REGEXEXTRACT(C4770, ""🏘️ \w+ \w+ (.*) ✅""),'Quartier prepositio"&amp;"ns'!A:E, 5, 0) ,  if(H4770=""region"",vlookup(REGEXEXTRACT(C4770, ""🏘️ \w+ \w+ (.*) ✅""),'Region prepositions'!B:F, 5, 0),  REGEXEXTRACT(C4770, ""🏘️ \w+ \w+ (.*) ✅""))))"),"#N/A")</f>
        <v>#N/A</v>
      </c>
      <c r="I4770" s="4" t="str">
        <f>IFERROR(__xludf.DUMMYFUNCTION("if(D4770=""variant"",  substitute(filter(Templates!E:E, Templates!A:A = F4770, Templates!B:B = G4770, Templates!C:C = H4770), ""{{}}"", E4770), B4770)"),"Louer appartement Grandsivaz: Trouvez le bien immobilier qui correspond idéalement à vos désirs sur ImmoScout24 - La plateforme de l'immobilier en Suisse.")</f>
        <v>Louer appartement Grandsivaz: Trouvez le bien immobilier qui correspond idéalement à vos désirs sur ImmoScout24 - La plateforme de l'immobilier en Suisse.</v>
      </c>
    </row>
    <row r="4771" hidden="1">
      <c r="A4771" s="5" t="s">
        <v>12641</v>
      </c>
      <c r="B4771" s="2" t="s">
        <v>12642</v>
      </c>
      <c r="C4771" s="2" t="s">
        <v>12642</v>
      </c>
      <c r="D4771" s="4" t="str">
        <f>vlookup(A4771, Sheet2!D:E, 2, 0)</f>
        <v>control</v>
      </c>
      <c r="E4771" s="4" t="str">
        <f>IFERROR(__xludf.DUMMYFUNCTION("if(H4771=""pays"",vlookup(REGEXEXTRACT(C4771, ""🏘️ \w+ \w+ (.*) ✅""),'Country prepositions'!A:B, 2, 0) &amp; "" "" &amp; REGEXEXTRACT(C4771, ""🏘️ \w+ \w+ (.*) ✅"") ,  if(H4771=""quartier"",vlookup(REGEXEXTRACT(C4771, ""🏘️ \w+ \w+ (.*) ✅""),'Quartier prepositio"&amp;"ns'!A:E, 5, 0) ,  if(H4771=""region"",vlookup(REGEXEXTRACT(C4771, ""🏘️ \w+ \w+ (.*) ✅""),'Region prepositions'!B:F, 5, 0),  REGEXEXTRACT(C4771, ""🏘️ \w+ \w+ (.*) ✅""))))"),"#N/A")</f>
        <v>#N/A</v>
      </c>
      <c r="I4771" s="4" t="str">
        <f>IFERROR(__xludf.DUMMYFUNCTION("if(D4771=""variant"",  substitute(filter(Templates!E:E, Templates!A:A = F4771, Templates!B:B = G4771, Templates!C:C = H4771), ""{{}}"", E4771), B4771)"),"Vendre maison Breitenbach: Trouvez le bien immobilier qui correspond idéalement à vos désirs sur ImmoScout24 - La plateforme de l'immobilier en Suisse.")</f>
        <v>Vendre maison Breitenbach: Trouvez le bien immobilier qui correspond idéalement à vos désirs sur ImmoScout24 - La plateforme de l'immobilier en Suisse.</v>
      </c>
    </row>
    <row r="4772" hidden="1">
      <c r="A4772" s="5" t="s">
        <v>12643</v>
      </c>
      <c r="B4772" s="2" t="s">
        <v>12644</v>
      </c>
      <c r="C4772" s="2" t="s">
        <v>12644</v>
      </c>
      <c r="D4772" s="4" t="str">
        <f>vlookup(A4772, Sheet2!D:E, 2, 0)</f>
        <v>control</v>
      </c>
      <c r="E4772" s="4" t="str">
        <f>IFERROR(__xludf.DUMMYFUNCTION("if(H4772=""pays"",vlookup(REGEXEXTRACT(C4772, ""🏘️ \w+ \w+ (.*) ✅""),'Country prepositions'!A:B, 2, 0) &amp; "" "" &amp; REGEXEXTRACT(C4772, ""🏘️ \w+ \w+ (.*) ✅"") ,  if(H4772=""quartier"",vlookup(REGEXEXTRACT(C4772, ""🏘️ \w+ \w+ (.*) ✅""),'Quartier prepositio"&amp;"ns'!A:E, 5, 0) ,  if(H4772=""region"",vlookup(REGEXEXTRACT(C4772, ""🏘️ \w+ \w+ (.*) ✅""),'Region prepositions'!B:F, 5, 0),  REGEXEXTRACT(C4772, ""🏘️ \w+ \w+ (.*) ✅""))))"),"#N/A")</f>
        <v>#N/A</v>
      </c>
      <c r="I4772" s="4" t="str">
        <f>IFERROR(__xludf.DUMMYFUNCTION("if(D4772=""variant"",  substitute(filter(Templates!E:E, Templates!A:A = F4772, Templates!B:B = G4772, Templates!C:C = H4772), ""{{}}"", E4772), B4772)"),"Louer appartement Sumiswald: Trouvez le bien immobilier qui correspond idéalement à vos désirs sur ImmoScout24 - La plateforme de l'immobilier en Suisse.")</f>
        <v>Louer appartement Sumiswald: Trouvez le bien immobilier qui correspond idéalement à vos désirs sur ImmoScout24 - La plateforme de l'immobilier en Suisse.</v>
      </c>
    </row>
    <row r="4773" hidden="1">
      <c r="A4773" s="5" t="s">
        <v>12645</v>
      </c>
      <c r="B4773" s="2" t="s">
        <v>12646</v>
      </c>
      <c r="C4773" s="2" t="s">
        <v>12646</v>
      </c>
      <c r="D4773" s="4" t="str">
        <f>vlookup(A4773, Sheet2!D:E, 2, 0)</f>
        <v>control</v>
      </c>
      <c r="E4773" s="4" t="str">
        <f>IFERROR(__xludf.DUMMYFUNCTION("if(H4773=""pays"",vlookup(REGEXEXTRACT(C4773, ""🏘️ \w+ \w+ (.*) ✅""),'Country prepositions'!A:B, 2, 0) &amp; "" "" &amp; REGEXEXTRACT(C4773, ""🏘️ \w+ \w+ (.*) ✅"") ,  if(H4773=""quartier"",vlookup(REGEXEXTRACT(C4773, ""🏘️ \w+ \w+ (.*) ✅""),'Quartier prepositio"&amp;"ns'!A:E, 5, 0) ,  if(H4773=""region"",vlookup(REGEXEXTRACT(C4773, ""🏘️ \w+ \w+ (.*) ✅""),'Region prepositions'!B:F, 5, 0),  REGEXEXTRACT(C4773, ""🏘️ \w+ \w+ (.*) ✅""))))"),"#N/A")</f>
        <v>#N/A</v>
      </c>
      <c r="I4773" s="4" t="str">
        <f>IFERROR(__xludf.DUMMYFUNCTION("if(D4773=""variant"",  substitute(filter(Templates!E:E, Templates!A:A = F4773, Templates!B:B = G4773, Templates!C:C = H4773), ""{{}}"", E4773), B4773)"),"Vendre maison Charrat: Trouvez le bien immobilier qui correspond idéalement à vos désirs sur ImmoScout24 - La plateforme de l'immobilier en Suisse.")</f>
        <v>Vendre maison Charrat: Trouvez le bien immobilier qui correspond idéalement à vos désirs sur ImmoScout24 - La plateforme de l'immobilier en Suisse.</v>
      </c>
    </row>
    <row r="4774" hidden="1">
      <c r="A4774" s="5" t="s">
        <v>12647</v>
      </c>
      <c r="B4774" s="2" t="s">
        <v>12648</v>
      </c>
      <c r="C4774" s="2" t="s">
        <v>12648</v>
      </c>
      <c r="D4774" s="4" t="str">
        <f>vlookup(A4774, Sheet2!D:E, 2, 0)</f>
        <v>control</v>
      </c>
      <c r="E4774" s="4" t="str">
        <f>IFERROR(__xludf.DUMMYFUNCTION("if(H4774=""pays"",vlookup(REGEXEXTRACT(C4774, ""🏘️ \w+ \w+ (.*) ✅""),'Country prepositions'!A:B, 2, 0) &amp; "" "" &amp; REGEXEXTRACT(C4774, ""🏘️ \w+ \w+ (.*) ✅"") ,  if(H4774=""quartier"",vlookup(REGEXEXTRACT(C4774, ""🏘️ \w+ \w+ (.*) ✅""),'Quartier prepositio"&amp;"ns'!A:E, 5, 0) ,  if(H4774=""region"",vlookup(REGEXEXTRACT(C4774, ""🏘️ \w+ \w+ (.*) ✅""),'Region prepositions'!B:F, 5, 0),  REGEXEXTRACT(C4774, ""🏘️ \w+ \w+ (.*) ✅""))))"),"#N/A")</f>
        <v>#N/A</v>
      </c>
      <c r="I4774" s="4" t="str">
        <f>IFERROR(__xludf.DUMMYFUNCTION("if(D4774=""variant"",  substitute(filter(Templates!E:E, Templates!A:A = F4774, Templates!B:B = G4774, Templates!C:C = H4774), ""{{}}"", E4774), B4774)"),"Vendre maison Posat: Trouvez le bien immobilier qui correspond idéalement à vos désirs sur ImmoScout24 - La plateforme de l'immobilier en Suisse.")</f>
        <v>Vendre maison Posat: Trouvez le bien immobilier qui correspond idéalement à vos désirs sur ImmoScout24 - La plateforme de l'immobilier en Suisse.</v>
      </c>
    </row>
    <row r="4775" hidden="1">
      <c r="A4775" s="5" t="s">
        <v>12649</v>
      </c>
      <c r="B4775" s="2" t="s">
        <v>12650</v>
      </c>
      <c r="C4775" s="2" t="s">
        <v>12650</v>
      </c>
      <c r="D4775" s="4" t="str">
        <f>vlookup(A4775, Sheet2!D:E, 2, 0)</f>
        <v>control</v>
      </c>
      <c r="E4775" s="4" t="str">
        <f>IFERROR(__xludf.DUMMYFUNCTION("if(H4775=""pays"",vlookup(REGEXEXTRACT(C4775, ""🏘️ \w+ \w+ (.*) ✅""),'Country prepositions'!A:B, 2, 0) &amp; "" "" &amp; REGEXEXTRACT(C4775, ""🏘️ \w+ \w+ (.*) ✅"") ,  if(H4775=""quartier"",vlookup(REGEXEXTRACT(C4775, ""🏘️ \w+ \w+ (.*) ✅""),'Quartier prepositio"&amp;"ns'!A:E, 5, 0) ,  if(H4775=""region"",vlookup(REGEXEXTRACT(C4775, ""🏘️ \w+ \w+ (.*) ✅""),'Region prepositions'!B:F, 5, 0),  REGEXEXTRACT(C4775, ""🏘️ \w+ \w+ (.*) ✅""))))"),"#N/A")</f>
        <v>#N/A</v>
      </c>
      <c r="I4775" s="4" t="str">
        <f>IFERROR(__xludf.DUMMYFUNCTION("if(D4775=""variant"",  substitute(filter(Templates!E:E, Templates!A:A = F4775, Templates!B:B = G4775, Templates!C:C = H4775), ""{{}}"", E4775), B4775)"),"Louer appartement Oberdorf BL: Trouvez le bien immobilier qui correspond idéalement à vos désirs sur ImmoScout24 - La plateforme de l'immobilier en Suisse.")</f>
        <v>Louer appartement Oberdorf BL: Trouvez le bien immobilier qui correspond idéalement à vos désirs sur ImmoScout24 - La plateforme de l'immobilier en Suisse.</v>
      </c>
    </row>
    <row r="4776" hidden="1">
      <c r="A4776" s="5" t="s">
        <v>12651</v>
      </c>
      <c r="B4776" s="2" t="s">
        <v>12652</v>
      </c>
      <c r="C4776" s="2" t="s">
        <v>12652</v>
      </c>
      <c r="D4776" s="4" t="str">
        <f>vlookup(A4776, Sheet2!D:E, 2, 0)</f>
        <v>control</v>
      </c>
      <c r="E4776" s="4" t="str">
        <f>IFERROR(__xludf.DUMMYFUNCTION("if(H4776=""pays"",vlookup(REGEXEXTRACT(C4776, ""🏘️ \w+ \w+ (.*) ✅""),'Country prepositions'!A:B, 2, 0) &amp; "" "" &amp; REGEXEXTRACT(C4776, ""🏘️ \w+ \w+ (.*) ✅"") ,  if(H4776=""quartier"",vlookup(REGEXEXTRACT(C4776, ""🏘️ \w+ \w+ (.*) ✅""),'Quartier prepositio"&amp;"ns'!A:E, 5, 0) ,  if(H4776=""region"",vlookup(REGEXEXTRACT(C4776, ""🏘️ \w+ \w+ (.*) ✅""),'Region prepositions'!B:F, 5, 0),  REGEXEXTRACT(C4776, ""🏘️ \w+ \w+ (.*) ✅""))))"),"#N/A")</f>
        <v>#N/A</v>
      </c>
      <c r="I4776" s="4" t="str">
        <f>IFERROR(__xludf.DUMMYFUNCTION("if(D4776=""variant"",  substitute(filter(Templates!E:E, Templates!A:A = F4776, Templates!B:B = G4776, Templates!C:C = H4776), ""{{}}"", E4776), B4776)"),"Vendre maison Frenières-sur-Bex: Trouvez le bien immobilier qui correspond idéalement à vos désirs sur ImmoScout24 - La plateforme de l'immobilier en Suisse.")</f>
        <v>Vendre maison Frenières-sur-Bex: Trouvez le bien immobilier qui correspond idéalement à vos désirs sur ImmoScout24 - La plateforme de l'immobilier en Suisse.</v>
      </c>
    </row>
    <row r="4777" hidden="1">
      <c r="A4777" s="5" t="s">
        <v>12653</v>
      </c>
      <c r="B4777" s="2" t="s">
        <v>12654</v>
      </c>
      <c r="C4777" s="2" t="s">
        <v>12654</v>
      </c>
      <c r="D4777" s="4" t="str">
        <f>vlookup(A4777, Sheet2!D:E, 2, 0)</f>
        <v>control</v>
      </c>
      <c r="E4777" s="4" t="str">
        <f>IFERROR(__xludf.DUMMYFUNCTION("if(H4777=""pays"",vlookup(REGEXEXTRACT(C4777, ""🏘️ \w+ \w+ (.*) ✅""),'Country prepositions'!A:B, 2, 0) &amp; "" "" &amp; REGEXEXTRACT(C4777, ""🏘️ \w+ \w+ (.*) ✅"") ,  if(H4777=""quartier"",vlookup(REGEXEXTRACT(C4777, ""🏘️ \w+ \w+ (.*) ✅""),'Quartier prepositio"&amp;"ns'!A:E, 5, 0) ,  if(H4777=""region"",vlookup(REGEXEXTRACT(C4777, ""🏘️ \w+ \w+ (.*) ✅""),'Region prepositions'!B:F, 5, 0),  REGEXEXTRACT(C4777, ""🏘️ \w+ \w+ (.*) ✅""))))"),"#N/A")</f>
        <v>#N/A</v>
      </c>
      <c r="I4777" s="4" t="str">
        <f>IFERROR(__xludf.DUMMYFUNCTION("if(D4777=""variant"",  substitute(filter(Templates!E:E, Templates!A:A = F4777, Templates!B:B = G4777, Templates!C:C = H4777), ""{{}}"", E4777), B4777)"),"Vendre maison Epautheyres: Trouvez le bien immobilier qui correspond idéalement à vos désirs sur ImmoScout24 - La plateforme de l'immobilier en Suisse.")</f>
        <v>Vendre maison Epautheyres: Trouvez le bien immobilier qui correspond idéalement à vos désirs sur ImmoScout24 - La plateforme de l'immobilier en Suisse.</v>
      </c>
    </row>
    <row r="4778" hidden="1">
      <c r="A4778" s="5" t="s">
        <v>12655</v>
      </c>
      <c r="B4778" s="2" t="s">
        <v>12656</v>
      </c>
      <c r="C4778" s="2" t="s">
        <v>12656</v>
      </c>
      <c r="D4778" s="4" t="str">
        <f>vlookup(A4778, Sheet2!D:E, 2, 0)</f>
        <v>control</v>
      </c>
      <c r="E4778" s="4" t="str">
        <f>IFERROR(__xludf.DUMMYFUNCTION("if(H4778=""pays"",vlookup(REGEXEXTRACT(C4778, ""🏘️ \w+ \w+ (.*) ✅""),'Country prepositions'!A:B, 2, 0) &amp; "" "" &amp; REGEXEXTRACT(C4778, ""🏘️ \w+ \w+ (.*) ✅"") ,  if(H4778=""quartier"",vlookup(REGEXEXTRACT(C4778, ""🏘️ \w+ \w+ (.*) ✅""),'Quartier prepositio"&amp;"ns'!A:E, 5, 0) ,  if(H4778=""region"",vlookup(REGEXEXTRACT(C4778, ""🏘️ \w+ \w+ (.*) ✅""),'Region prepositions'!B:F, 5, 0),  REGEXEXTRACT(C4778, ""🏘️ \w+ \w+ (.*) ✅""))))"),"#N/A")</f>
        <v>#N/A</v>
      </c>
      <c r="I4778" s="4" t="str">
        <f>IFERROR(__xludf.DUMMYFUNCTION("if(D4778=""variant"",  substitute(filter(Templates!E:E, Templates!A:A = F4778, Templates!B:B = G4778, Templates!C:C = H4778), ""{{}}"", E4778), B4778)"),"Vendre maison Oberems: Trouvez le bien immobilier qui correspond idéalement à vos désirs sur ImmoScout24 - La plateforme de l'immobilier en Suisse.")</f>
        <v>Vendre maison Oberems: Trouvez le bien immobilier qui correspond idéalement à vos désirs sur ImmoScout24 - La plateforme de l'immobilier en Suisse.</v>
      </c>
    </row>
    <row r="4779" hidden="1">
      <c r="A4779" s="5" t="s">
        <v>12657</v>
      </c>
      <c r="B4779" s="2" t="s">
        <v>12658</v>
      </c>
      <c r="C4779" s="2" t="s">
        <v>12658</v>
      </c>
      <c r="D4779" s="4" t="str">
        <f>vlookup(A4779, Sheet2!D:E, 2, 0)</f>
        <v>control</v>
      </c>
      <c r="E4779" s="4" t="str">
        <f>IFERROR(__xludf.DUMMYFUNCTION("if(H4779=""pays"",vlookup(REGEXEXTRACT(C4779, ""🏘️ \w+ \w+ (.*) ✅""),'Country prepositions'!A:B, 2, 0) &amp; "" "" &amp; REGEXEXTRACT(C4779, ""🏘️ \w+ \w+ (.*) ✅"") ,  if(H4779=""quartier"",vlookup(REGEXEXTRACT(C4779, ""🏘️ \w+ \w+ (.*) ✅""),'Quartier prepositio"&amp;"ns'!A:E, 5, 0) ,  if(H4779=""region"",vlookup(REGEXEXTRACT(C4779, ""🏘️ \w+ \w+ (.*) ✅""),'Region prepositions'!B:F, 5, 0),  REGEXEXTRACT(C4779, ""🏘️ \w+ \w+ (.*) ✅""))))"),"#N/A")</f>
        <v>#N/A</v>
      </c>
      <c r="I4779" s="4" t="str">
        <f>IFERROR(__xludf.DUMMYFUNCTION("if(D4779=""variant"",  substitute(filter(Templates!E:E, Templates!A:A = F4779, Templates!B:B = G4779, Templates!C:C = H4779), ""{{}}"", E4779), B4779)"),"Vendre maison Arconciel: Trouvez le bien immobilier qui correspond idéalement à vos désirs sur ImmoScout24 - La plateforme de l'immobilier en Suisse.")</f>
        <v>Vendre maison Arconciel: Trouvez le bien immobilier qui correspond idéalement à vos désirs sur ImmoScout24 - La plateforme de l'immobilier en Suisse.</v>
      </c>
    </row>
    <row r="4780" hidden="1">
      <c r="A4780" s="5" t="s">
        <v>12659</v>
      </c>
      <c r="B4780" s="2" t="s">
        <v>12660</v>
      </c>
      <c r="C4780" s="2" t="s">
        <v>12660</v>
      </c>
      <c r="D4780" s="4" t="str">
        <f>vlookup(A4780, Sheet2!D:E, 2, 0)</f>
        <v>control</v>
      </c>
      <c r="E4780" s="4" t="str">
        <f>IFERROR(__xludf.DUMMYFUNCTION("if(H4780=""pays"",vlookup(REGEXEXTRACT(C4780, ""🏘️ \w+ \w+ (.*) ✅""),'Country prepositions'!A:B, 2, 0) &amp; "" "" &amp; REGEXEXTRACT(C4780, ""🏘️ \w+ \w+ (.*) ✅"") ,  if(H4780=""quartier"",vlookup(REGEXEXTRACT(C4780, ""🏘️ \w+ \w+ (.*) ✅""),'Quartier prepositio"&amp;"ns'!A:E, 5, 0) ,  if(H4780=""region"",vlookup(REGEXEXTRACT(C4780, ""🏘️ \w+ \w+ (.*) ✅""),'Region prepositions'!B:F, 5, 0),  REGEXEXTRACT(C4780, ""🏘️ \w+ \w+ (.*) ✅""))))"),"#N/A")</f>
        <v>#N/A</v>
      </c>
      <c r="I4780" s="4" t="str">
        <f>IFERROR(__xludf.DUMMYFUNCTION("if(D4780=""variant"",  substitute(filter(Templates!E:E, Templates!A:A = F4780, Templates!B:B = G4780, Templates!C:C = H4780), ""{{}}"", E4780), B4780)"),"Louer appartement Cheseaux-Noréaz: Trouvez le bien immobilier qui correspond idéalement à vos désirs sur ImmoScout24 - La plateforme de l'immobilier en Suisse.")</f>
        <v>Louer appartement Cheseaux-Noréaz: Trouvez le bien immobilier qui correspond idéalement à vos désirs sur ImmoScout24 - La plateforme de l'immobilier en Suisse.</v>
      </c>
    </row>
    <row r="4781" hidden="1">
      <c r="A4781" s="5" t="s">
        <v>12661</v>
      </c>
      <c r="B4781" s="2" t="s">
        <v>12662</v>
      </c>
      <c r="C4781" s="2" t="s">
        <v>12662</v>
      </c>
      <c r="D4781" s="4" t="str">
        <f>vlookup(A4781, Sheet2!D:E, 2, 0)</f>
        <v>control</v>
      </c>
      <c r="E4781" s="4" t="str">
        <f>IFERROR(__xludf.DUMMYFUNCTION("if(H4781=""pays"",vlookup(REGEXEXTRACT(C4781, ""🏘️ \w+ \w+ (.*) ✅""),'Country prepositions'!A:B, 2, 0) &amp; "" "" &amp; REGEXEXTRACT(C4781, ""🏘️ \w+ \w+ (.*) ✅"") ,  if(H4781=""quartier"",vlookup(REGEXEXTRACT(C4781, ""🏘️ \w+ \w+ (.*) ✅""),'Quartier prepositio"&amp;"ns'!A:E, 5, 0) ,  if(H4781=""region"",vlookup(REGEXEXTRACT(C4781, ""🏘️ \w+ \w+ (.*) ✅""),'Region prepositions'!B:F, 5, 0),  REGEXEXTRACT(C4781, ""🏘️ \w+ \w+ (.*) ✅""))))"),"#N/A")</f>
        <v>#N/A</v>
      </c>
      <c r="I4781" s="4" t="str">
        <f>IFERROR(__xludf.DUMMYFUNCTION("if(D4781=""variant"",  substitute(filter(Templates!E:E, Templates!A:A = F4781, Templates!B:B = G4781, Templates!C:C = H4781), ""{{}}"", E4781), B4781)"),"Vendre appartement Zollikon: Trouvez le bien immobilier qui correspond idéalement à vos désirs sur ImmoScout24 - La plateforme de l'immobilier en Suisse.")</f>
        <v>Vendre appartement Zollikon: Trouvez le bien immobilier qui correspond idéalement à vos désirs sur ImmoScout24 - La plateforme de l'immobilier en Suisse.</v>
      </c>
    </row>
    <row r="4782" hidden="1">
      <c r="A4782" s="5" t="s">
        <v>12663</v>
      </c>
      <c r="B4782" s="2" t="s">
        <v>12664</v>
      </c>
      <c r="C4782" s="2" t="s">
        <v>12664</v>
      </c>
      <c r="D4782" s="4" t="str">
        <f>vlookup(A4782, Sheet2!D:E, 2, 0)</f>
        <v>control</v>
      </c>
      <c r="E4782" s="4" t="str">
        <f>IFERROR(__xludf.DUMMYFUNCTION("if(H4782=""pays"",vlookup(REGEXEXTRACT(C4782, ""🏘️ \w+ \w+ (.*) ✅""),'Country prepositions'!A:B, 2, 0) &amp; "" "" &amp; REGEXEXTRACT(C4782, ""🏘️ \w+ \w+ (.*) ✅"") ,  if(H4782=""quartier"",vlookup(REGEXEXTRACT(C4782, ""🏘️ \w+ \w+ (.*) ✅""),'Quartier prepositio"&amp;"ns'!A:E, 5, 0) ,  if(H4782=""region"",vlookup(REGEXEXTRACT(C4782, ""🏘️ \w+ \w+ (.*) ✅""),'Region prepositions'!B:F, 5, 0),  REGEXEXTRACT(C4782, ""🏘️ \w+ \w+ (.*) ✅""))))"),"#N/A")</f>
        <v>#N/A</v>
      </c>
      <c r="I4782" s="4" t="str">
        <f>IFERROR(__xludf.DUMMYFUNCTION("if(D4782=""variant"",  substitute(filter(Templates!E:E, Templates!A:A = F4782, Templates!B:B = G4782, Templates!C:C = H4782), ""{{}}"", E4782), B4782)"),"Louer maison Port: Trouvez le bien immobilier qui correspond idéalement à vos désirs sur ImmoScout24 - La plateforme de l'immobilier en Suisse.")</f>
        <v>Louer maison Port: Trouvez le bien immobilier qui correspond idéalement à vos désirs sur ImmoScout24 - La plateforme de l'immobilier en Suisse.</v>
      </c>
    </row>
    <row r="4783" hidden="1">
      <c r="A4783" s="5" t="s">
        <v>12665</v>
      </c>
      <c r="B4783" s="2" t="s">
        <v>12666</v>
      </c>
      <c r="C4783" s="2" t="s">
        <v>12666</v>
      </c>
      <c r="D4783" s="4" t="str">
        <f>vlookup(A4783, Sheet2!D:E, 2, 0)</f>
        <v>control</v>
      </c>
      <c r="E4783" s="4" t="str">
        <f>IFERROR(__xludf.DUMMYFUNCTION("if(H4783=""pays"",vlookup(REGEXEXTRACT(C4783, ""🏘️ \w+ \w+ (.*) ✅""),'Country prepositions'!A:B, 2, 0) &amp; "" "" &amp; REGEXEXTRACT(C4783, ""🏘️ \w+ \w+ (.*) ✅"") ,  if(H4783=""quartier"",vlookup(REGEXEXTRACT(C4783, ""🏘️ \w+ \w+ (.*) ✅""),'Quartier prepositio"&amp;"ns'!A:E, 5, 0) ,  if(H4783=""region"",vlookup(REGEXEXTRACT(C4783, ""🏘️ \w+ \w+ (.*) ✅""),'Region prepositions'!B:F, 5, 0),  REGEXEXTRACT(C4783, ""🏘️ \w+ \w+ (.*) ✅""))))"),"#N/A")</f>
        <v>#N/A</v>
      </c>
      <c r="I4783" s="4" t="str">
        <f>IFERROR(__xludf.DUMMYFUNCTION("if(D4783=""variant"",  substitute(filter(Templates!E:E, Templates!A:A = F4783, Templates!B:B = G4783, Templates!C:C = H4783), ""{{}}"", E4783), B4783)"),"Vendre appartement Bellach: Trouvez le bien immobilier qui correspond idéalement à vos désirs sur ImmoScout24 - La plateforme de l'immobilier en Suisse.")</f>
        <v>Vendre appartement Bellach: Trouvez le bien immobilier qui correspond idéalement à vos désirs sur ImmoScout24 - La plateforme de l'immobilier en Suisse.</v>
      </c>
    </row>
    <row r="4784" hidden="1">
      <c r="A4784" s="5" t="s">
        <v>12667</v>
      </c>
      <c r="B4784" s="2" t="s">
        <v>12668</v>
      </c>
      <c r="C4784" s="2" t="s">
        <v>12668</v>
      </c>
      <c r="D4784" s="4" t="str">
        <f>vlookup(A4784, Sheet2!D:E, 2, 0)</f>
        <v>control</v>
      </c>
      <c r="E4784" s="4" t="str">
        <f>IFERROR(__xludf.DUMMYFUNCTION("if(H4784=""pays"",vlookup(REGEXEXTRACT(C4784, ""🏘️ \w+ \w+ (.*) ✅""),'Country prepositions'!A:B, 2, 0) &amp; "" "" &amp; REGEXEXTRACT(C4784, ""🏘️ \w+ \w+ (.*) ✅"") ,  if(H4784=""quartier"",vlookup(REGEXEXTRACT(C4784, ""🏘️ \w+ \w+ (.*) ✅""),'Quartier prepositio"&amp;"ns'!A:E, 5, 0) ,  if(H4784=""region"",vlookup(REGEXEXTRACT(C4784, ""🏘️ \w+ \w+ (.*) ✅""),'Region prepositions'!B:F, 5, 0),  REGEXEXTRACT(C4784, ""🏘️ \w+ \w+ (.*) ✅""))))"),"#N/A")</f>
        <v>#N/A</v>
      </c>
      <c r="I4784" s="4" t="str">
        <f>IFERROR(__xludf.DUMMYFUNCTION("if(D4784=""variant"",  substitute(filter(Templates!E:E, Templates!A:A = F4784, Templates!B:B = G4784, Templates!C:C = H4784), ""{{}}"", E4784), B4784)"),"Louer appartement Meisterschwanden: Trouvez le bien immobilier qui correspond idéalement à vos désirs sur ImmoScout24 - La plateforme de l'immobilier en Suisse.")</f>
        <v>Louer appartement Meisterschwanden: Trouvez le bien immobilier qui correspond idéalement à vos désirs sur ImmoScout24 - La plateforme de l'immobilier en Suisse.</v>
      </c>
    </row>
    <row r="4785" hidden="1">
      <c r="A4785" s="5" t="s">
        <v>12669</v>
      </c>
      <c r="B4785" s="2" t="s">
        <v>12670</v>
      </c>
      <c r="C4785" s="2" t="s">
        <v>12670</v>
      </c>
      <c r="D4785" s="4" t="str">
        <f>vlookup(A4785, Sheet2!D:E, 2, 0)</f>
        <v>control</v>
      </c>
      <c r="E4785" s="4" t="str">
        <f>IFERROR(__xludf.DUMMYFUNCTION("if(H4785=""pays"",vlookup(REGEXEXTRACT(C4785, ""🏘️ \w+ \w+ (.*) ✅""),'Country prepositions'!A:B, 2, 0) &amp; "" "" &amp; REGEXEXTRACT(C4785, ""🏘️ \w+ \w+ (.*) ✅"") ,  if(H4785=""quartier"",vlookup(REGEXEXTRACT(C4785, ""🏘️ \w+ \w+ (.*) ✅""),'Quartier prepositio"&amp;"ns'!A:E, 5, 0) ,  if(H4785=""region"",vlookup(REGEXEXTRACT(C4785, ""🏘️ \w+ \w+ (.*) ✅""),'Region prepositions'!B:F, 5, 0),  REGEXEXTRACT(C4785, ""🏘️ \w+ \w+ (.*) ✅""))))"),"#N/A")</f>
        <v>#N/A</v>
      </c>
      <c r="I4785" s="4" t="str">
        <f>IFERROR(__xludf.DUMMYFUNCTION("if(D4785=""variant"",  substitute(filter(Templates!E:E, Templates!A:A = F4785, Templates!B:B = G4785, Templates!C:C = H4785), ""{{}}"", E4785), B4785)"),"Louer appartement St-Jean - Aire (Genève): Trouvez le bien immobilier qui correspond idéalement à vos désirs sur ImmoScout24 - La plateforme de l'immobilier en Suisse.")</f>
        <v>Louer appartement St-Jean - Aire (Genève): Trouvez le bien immobilier qui correspond idéalement à vos désirs sur ImmoScout24 - La plateforme de l'immobilier en Suisse.</v>
      </c>
    </row>
    <row r="4786" hidden="1">
      <c r="A4786" s="5" t="s">
        <v>12671</v>
      </c>
      <c r="B4786" s="2" t="s">
        <v>12672</v>
      </c>
      <c r="C4786" s="2" t="s">
        <v>12672</v>
      </c>
      <c r="D4786" s="4" t="str">
        <f>vlookup(A4786, Sheet2!D:E, 2, 0)</f>
        <v>control</v>
      </c>
      <c r="E4786" s="4" t="str">
        <f>IFERROR(__xludf.DUMMYFUNCTION("if(H4786=""pays"",vlookup(REGEXEXTRACT(C4786, ""🏘️ \w+ \w+ (.*) ✅""),'Country prepositions'!A:B, 2, 0) &amp; "" "" &amp; REGEXEXTRACT(C4786, ""🏘️ \w+ \w+ (.*) ✅"") ,  if(H4786=""quartier"",vlookup(REGEXEXTRACT(C4786, ""🏘️ \w+ \w+ (.*) ✅""),'Quartier prepositio"&amp;"ns'!A:E, 5, 0) ,  if(H4786=""region"",vlookup(REGEXEXTRACT(C4786, ""🏘️ \w+ \w+ (.*) ✅""),'Region prepositions'!B:F, 5, 0),  REGEXEXTRACT(C4786, ""🏘️ \w+ \w+ (.*) ✅""))))"),"#N/A")</f>
        <v>#N/A</v>
      </c>
      <c r="I4786" s="4" t="str">
        <f>IFERROR(__xludf.DUMMYFUNCTION("if(D4786=""variant"",  substitute(filter(Templates!E:E, Templates!A:A = F4786, Templates!B:B = G4786, Templates!C:C = H4786), ""{{}}"", E4786), B4786)"),"Louer appartement Frauenkappelen: Trouvez le bien immobilier qui correspond idéalement à vos désirs sur ImmoScout24 - La plateforme de l'immobilier en Suisse.")</f>
        <v>Louer appartement Frauenkappelen: Trouvez le bien immobilier qui correspond idéalement à vos désirs sur ImmoScout24 - La plateforme de l'immobilier en Suisse.</v>
      </c>
    </row>
    <row r="4787" hidden="1">
      <c r="A4787" s="5" t="s">
        <v>12673</v>
      </c>
      <c r="B4787" s="2" t="s">
        <v>12674</v>
      </c>
      <c r="C4787" s="2" t="s">
        <v>12674</v>
      </c>
      <c r="D4787" s="4" t="str">
        <f>vlookup(A4787, Sheet2!D:E, 2, 0)</f>
        <v>control</v>
      </c>
      <c r="E4787" s="4" t="str">
        <f>IFERROR(__xludf.DUMMYFUNCTION("if(H4787=""pays"",vlookup(REGEXEXTRACT(C4787, ""🏘️ \w+ \w+ (.*) ✅""),'Country prepositions'!A:B, 2, 0) &amp; "" "" &amp; REGEXEXTRACT(C4787, ""🏘️ \w+ \w+ (.*) ✅"") ,  if(H4787=""quartier"",vlookup(REGEXEXTRACT(C4787, ""🏘️ \w+ \w+ (.*) ✅""),'Quartier prepositio"&amp;"ns'!A:E, 5, 0) ,  if(H4787=""region"",vlookup(REGEXEXTRACT(C4787, ""🏘️ \w+ \w+ (.*) ✅""),'Region prepositions'!B:F, 5, 0),  REGEXEXTRACT(C4787, ""🏘️ \w+ \w+ (.*) ✅""))))"),"#N/A")</f>
        <v>#N/A</v>
      </c>
      <c r="I4787" s="4" t="str">
        <f>IFERROR(__xludf.DUMMYFUNCTION("if(D4787=""variant"",  substitute(filter(Templates!E:E, Templates!A:A = F4787, Templates!B:B = G4787, Templates!C:C = H4787), ""{{}}"", E4787), B4787)"),"Vendre appartement S. Bernardino: Trouvez le bien immobilier qui correspond idéalement à vos désirs sur ImmoScout24 - La plateforme de l'immobilier en Suisse.")</f>
        <v>Vendre appartement S. Bernardino: Trouvez le bien immobilier qui correspond idéalement à vos désirs sur ImmoScout24 - La plateforme de l'immobilier en Suisse.</v>
      </c>
    </row>
    <row r="4788" hidden="1">
      <c r="A4788" s="5" t="s">
        <v>12675</v>
      </c>
      <c r="B4788" s="2" t="s">
        <v>12676</v>
      </c>
      <c r="C4788" s="2" t="s">
        <v>12676</v>
      </c>
      <c r="D4788" s="4" t="str">
        <f>vlookup(A4788, Sheet2!D:E, 2, 0)</f>
        <v>control</v>
      </c>
      <c r="E4788" s="4" t="str">
        <f>IFERROR(__xludf.DUMMYFUNCTION("if(H4788=""pays"",vlookup(REGEXEXTRACT(C4788, ""🏘️ \w+ \w+ (.*) ✅""),'Country prepositions'!A:B, 2, 0) &amp; "" "" &amp; REGEXEXTRACT(C4788, ""🏘️ \w+ \w+ (.*) ✅"") ,  if(H4788=""quartier"",vlookup(REGEXEXTRACT(C4788, ""🏘️ \w+ \w+ (.*) ✅""),'Quartier prepositio"&amp;"ns'!A:E, 5, 0) ,  if(H4788=""region"",vlookup(REGEXEXTRACT(C4788, ""🏘️ \w+ \w+ (.*) ✅""),'Region prepositions'!B:F, 5, 0),  REGEXEXTRACT(C4788, ""🏘️ \w+ \w+ (.*) ✅""))))"),"#N/A")</f>
        <v>#N/A</v>
      </c>
      <c r="I4788" s="4" t="str">
        <f>IFERROR(__xludf.DUMMYFUNCTION("if(D4788=""variant"",  substitute(filter(Templates!E:E, Templates!A:A = F4788, Templates!B:B = G4788, Templates!C:C = H4788), ""{{}}"", E4788), B4788)"),"Louer appartement Wolfenschiessen: Trouvez le bien immobilier qui correspond idéalement à vos désirs sur ImmoScout24 - La plateforme de l'immobilier en Suisse.")</f>
        <v>Louer appartement Wolfenschiessen: Trouvez le bien immobilier qui correspond idéalement à vos désirs sur ImmoScout24 - La plateforme de l'immobilier en Suisse.</v>
      </c>
    </row>
    <row r="4789" hidden="1">
      <c r="A4789" s="5" t="s">
        <v>12677</v>
      </c>
      <c r="B4789" s="2" t="s">
        <v>12678</v>
      </c>
      <c r="C4789" s="2" t="s">
        <v>12678</v>
      </c>
      <c r="D4789" s="4" t="str">
        <f>vlookup(A4789, Sheet2!D:E, 2, 0)</f>
        <v>control</v>
      </c>
      <c r="E4789" s="4" t="str">
        <f>IFERROR(__xludf.DUMMYFUNCTION("if(H4789=""pays"",vlookup(REGEXEXTRACT(C4789, ""🏘️ \w+ \w+ (.*) ✅""),'Country prepositions'!A:B, 2, 0) &amp; "" "" &amp; REGEXEXTRACT(C4789, ""🏘️ \w+ \w+ (.*) ✅"") ,  if(H4789=""quartier"",vlookup(REGEXEXTRACT(C4789, ""🏘️ \w+ \w+ (.*) ✅""),'Quartier prepositio"&amp;"ns'!A:E, 5, 0) ,  if(H4789=""region"",vlookup(REGEXEXTRACT(C4789, ""🏘️ \w+ \w+ (.*) ✅""),'Region prepositions'!B:F, 5, 0),  REGEXEXTRACT(C4789, ""🏘️ \w+ \w+ (.*) ✅""))))"),"#N/A")</f>
        <v>#N/A</v>
      </c>
      <c r="I4789" s="4" t="str">
        <f>IFERROR(__xludf.DUMMYFUNCTION("if(D4789=""variant"",  substitute(filter(Templates!E:E, Templates!A:A = F4789, Templates!B:B = G4789, Templates!C:C = H4789), ""{{}}"", E4789), B4789)"),"Vendre maison Suscévaz: Trouvez le bien immobilier qui correspond idéalement à vos désirs sur ImmoScout24 - La plateforme de l'immobilier en Suisse.")</f>
        <v>Vendre maison Suscévaz: Trouvez le bien immobilier qui correspond idéalement à vos désirs sur ImmoScout24 - La plateforme de l'immobilier en Suisse.</v>
      </c>
    </row>
    <row r="4790" hidden="1">
      <c r="A4790" s="5" t="s">
        <v>12679</v>
      </c>
      <c r="B4790" s="2" t="s">
        <v>12680</v>
      </c>
      <c r="C4790" s="2" t="s">
        <v>12680</v>
      </c>
      <c r="D4790" s="4" t="str">
        <f>vlookup(A4790, Sheet2!D:E, 2, 0)</f>
        <v>control</v>
      </c>
      <c r="E4790" s="4" t="str">
        <f>IFERROR(__xludf.DUMMYFUNCTION("if(H4790=""pays"",vlookup(REGEXEXTRACT(C4790, ""🏘️ \w+ \w+ (.*) ✅""),'Country prepositions'!A:B, 2, 0) &amp; "" "" &amp; REGEXEXTRACT(C4790, ""🏘️ \w+ \w+ (.*) ✅"") ,  if(H4790=""quartier"",vlookup(REGEXEXTRACT(C4790, ""🏘️ \w+ \w+ (.*) ✅""),'Quartier prepositio"&amp;"ns'!A:E, 5, 0) ,  if(H4790=""region"",vlookup(REGEXEXTRACT(C4790, ""🏘️ \w+ \w+ (.*) ✅""),'Region prepositions'!B:F, 5, 0),  REGEXEXTRACT(C4790, ""🏘️ \w+ \w+ (.*) ✅""))))"),"#N/A")</f>
        <v>#N/A</v>
      </c>
      <c r="I4790" s="4" t="str">
        <f>IFERROR(__xludf.DUMMYFUNCTION("if(D4790=""variant"",  substitute(filter(Templates!E:E, Templates!A:A = F4790, Templates!B:B = G4790, Templates!C:C = H4790), ""{{}}"", E4790), B4790)"),"Vendre maison Buix: Trouvez le bien immobilier qui correspond idéalement à vos désirs sur ImmoScout24 - La plateforme de l'immobilier en Suisse.")</f>
        <v>Vendre maison Buix: Trouvez le bien immobilier qui correspond idéalement à vos désirs sur ImmoScout24 - La plateforme de l'immobilier en Suisse.</v>
      </c>
    </row>
    <row r="4791" hidden="1">
      <c r="A4791" s="5" t="s">
        <v>12681</v>
      </c>
      <c r="B4791" s="2" t="s">
        <v>12682</v>
      </c>
      <c r="C4791" s="2" t="s">
        <v>12682</v>
      </c>
      <c r="D4791" s="4" t="str">
        <f>vlookup(A4791, Sheet2!D:E, 2, 0)</f>
        <v>control</v>
      </c>
      <c r="E4791" s="4" t="str">
        <f>IFERROR(__xludf.DUMMYFUNCTION("if(H4791=""pays"",vlookup(REGEXEXTRACT(C4791, ""🏘️ \w+ \w+ (.*) ✅""),'Country prepositions'!A:B, 2, 0) &amp; "" "" &amp; REGEXEXTRACT(C4791, ""🏘️ \w+ \w+ (.*) ✅"") ,  if(H4791=""quartier"",vlookup(REGEXEXTRACT(C4791, ""🏘️ \w+ \w+ (.*) ✅""),'Quartier prepositio"&amp;"ns'!A:E, 5, 0) ,  if(H4791=""region"",vlookup(REGEXEXTRACT(C4791, ""🏘️ \w+ \w+ (.*) ✅""),'Region prepositions'!B:F, 5, 0),  REGEXEXTRACT(C4791, ""🏘️ \w+ \w+ (.*) ✅""))))"),"#N/A")</f>
        <v>#N/A</v>
      </c>
      <c r="I4791" s="4" t="str">
        <f>IFERROR(__xludf.DUMMYFUNCTION("if(D4791=""variant"",  substitute(filter(Templates!E:E, Templates!A:A = F4791, Templates!B:B = G4791, Templates!C:C = H4791), ""{{}}"", E4791), B4791)"),"Vendre maison Giubiasco: Trouvez le bien immobilier qui correspond idéalement à vos désirs sur ImmoScout24 - La plateforme de l'immobilier en Suisse.")</f>
        <v>Vendre maison Giubiasco: Trouvez le bien immobilier qui correspond idéalement à vos désirs sur ImmoScout24 - La plateforme de l'immobilier en Suisse.</v>
      </c>
    </row>
    <row r="4792" hidden="1">
      <c r="A4792" s="5" t="s">
        <v>12683</v>
      </c>
      <c r="B4792" s="2" t="s">
        <v>12684</v>
      </c>
      <c r="C4792" s="2" t="s">
        <v>12684</v>
      </c>
      <c r="D4792" s="4" t="str">
        <f>vlookup(A4792, Sheet2!D:E, 2, 0)</f>
        <v>control</v>
      </c>
      <c r="E4792" s="4" t="str">
        <f>IFERROR(__xludf.DUMMYFUNCTION("if(H4792=""pays"",vlookup(REGEXEXTRACT(C4792, ""🏘️ \w+ \w+ (.*) ✅""),'Country prepositions'!A:B, 2, 0) &amp; "" "" &amp; REGEXEXTRACT(C4792, ""🏘️ \w+ \w+ (.*) ✅"") ,  if(H4792=""quartier"",vlookup(REGEXEXTRACT(C4792, ""🏘️ \w+ \w+ (.*) ✅""),'Quartier prepositio"&amp;"ns'!A:E, 5, 0) ,  if(H4792=""region"",vlookup(REGEXEXTRACT(C4792, ""🏘️ \w+ \w+ (.*) ✅""),'Region prepositions'!B:F, 5, 0),  REGEXEXTRACT(C4792, ""🏘️ \w+ \w+ (.*) ✅""))))"),"#N/A")</f>
        <v>#N/A</v>
      </c>
      <c r="I4792" s="4" t="str">
        <f>IFERROR(__xludf.DUMMYFUNCTION("if(D4792=""variant"",  substitute(filter(Templates!E:E, Templates!A:A = F4792, Templates!B:B = G4792, Templates!C:C = H4792), ""{{}}"", E4792), B4792)"),"Vendre maison Zinal: Trouvez le bien immobilier qui correspond idéalement à vos désirs sur ImmoScout24 - La plateforme de l'immobilier en Suisse.")</f>
        <v>Vendre maison Zinal: Trouvez le bien immobilier qui correspond idéalement à vos désirs sur ImmoScout24 - La plateforme de l'immobilier en Suisse.</v>
      </c>
    </row>
    <row r="4793" hidden="1">
      <c r="A4793" s="5" t="s">
        <v>12685</v>
      </c>
      <c r="B4793" s="2" t="s">
        <v>12686</v>
      </c>
      <c r="C4793" s="2" t="s">
        <v>12686</v>
      </c>
      <c r="D4793" s="4" t="str">
        <f>vlookup(A4793, Sheet2!D:E, 2, 0)</f>
        <v>control</v>
      </c>
      <c r="E4793" s="4" t="str">
        <f>IFERROR(__xludf.DUMMYFUNCTION("if(H4793=""pays"",vlookup(REGEXEXTRACT(C4793, ""🏘️ \w+ \w+ (.*) ✅""),'Country prepositions'!A:B, 2, 0) &amp; "" "" &amp; REGEXEXTRACT(C4793, ""🏘️ \w+ \w+ (.*) ✅"") ,  if(H4793=""quartier"",vlookup(REGEXEXTRACT(C4793, ""🏘️ \w+ \w+ (.*) ✅""),'Quartier prepositio"&amp;"ns'!A:E, 5, 0) ,  if(H4793=""region"",vlookup(REGEXEXTRACT(C4793, ""🏘️ \w+ \w+ (.*) ✅""),'Region prepositions'!B:F, 5, 0),  REGEXEXTRACT(C4793, ""🏘️ \w+ \w+ (.*) ✅""))))"),"#N/A")</f>
        <v>#N/A</v>
      </c>
      <c r="I4793" s="4" t="str">
        <f>IFERROR(__xludf.DUMMYFUNCTION("if(D4793=""variant"",  substitute(filter(Templates!E:E, Templates!A:A = F4793, Templates!B:B = G4793, Templates!C:C = H4793), ""{{}}"", E4793), B4793)"),"Louer maison Montfaucon: Trouvez le bien immobilier qui correspond idéalement à vos désirs sur ImmoScout24 - La plateforme de l'immobilier en Suisse.")</f>
        <v>Louer maison Montfaucon: Trouvez le bien immobilier qui correspond idéalement à vos désirs sur ImmoScout24 - La plateforme de l'immobilier en Suisse.</v>
      </c>
    </row>
    <row r="4794" hidden="1">
      <c r="A4794" s="5" t="s">
        <v>12687</v>
      </c>
      <c r="B4794" s="2" t="s">
        <v>12688</v>
      </c>
      <c r="C4794" s="2" t="s">
        <v>12688</v>
      </c>
      <c r="D4794" s="4" t="str">
        <f>vlookup(A4794, Sheet2!D:E, 2, 0)</f>
        <v>control</v>
      </c>
      <c r="E4794" s="4" t="str">
        <f>IFERROR(__xludf.DUMMYFUNCTION("if(H4794=""pays"",vlookup(REGEXEXTRACT(C4794, ""🏘️ \w+ \w+ (.*) ✅""),'Country prepositions'!A:B, 2, 0) &amp; "" "" &amp; REGEXEXTRACT(C4794, ""🏘️ \w+ \w+ (.*) ✅"") ,  if(H4794=""quartier"",vlookup(REGEXEXTRACT(C4794, ""🏘️ \w+ \w+ (.*) ✅""),'Quartier prepositio"&amp;"ns'!A:E, 5, 0) ,  if(H4794=""region"",vlookup(REGEXEXTRACT(C4794, ""🏘️ \w+ \w+ (.*) ✅""),'Region prepositions'!B:F, 5, 0),  REGEXEXTRACT(C4794, ""🏘️ \w+ \w+ (.*) ✅""))))"),"#N/A")</f>
        <v>#N/A</v>
      </c>
      <c r="I4794" s="4" t="str">
        <f>IFERROR(__xludf.DUMMYFUNCTION("if(D4794=""variant"",  substitute(filter(Templates!E:E, Templates!A:A = F4794, Templates!B:B = G4794, Templates!C:C = H4794), ""{{}}"", E4794), B4794)"),"Vendre maison Dommartin: Trouvez le bien immobilier qui correspond idéalement à vos désirs sur ImmoScout24 - La plateforme de l'immobilier en Suisse.")</f>
        <v>Vendre maison Dommartin: Trouvez le bien immobilier qui correspond idéalement à vos désirs sur ImmoScout24 - La plateforme de l'immobilier en Suisse.</v>
      </c>
    </row>
    <row r="4795" hidden="1">
      <c r="A4795" s="5" t="s">
        <v>12689</v>
      </c>
      <c r="B4795" s="2" t="s">
        <v>12690</v>
      </c>
      <c r="C4795" s="2" t="s">
        <v>12690</v>
      </c>
      <c r="D4795" s="4" t="str">
        <f>vlookup(A4795, Sheet2!D:E, 2, 0)</f>
        <v>control</v>
      </c>
      <c r="E4795" s="4" t="str">
        <f>IFERROR(__xludf.DUMMYFUNCTION("if(H4795=""pays"",vlookup(REGEXEXTRACT(C4795, ""🏘️ \w+ \w+ (.*) ✅""),'Country prepositions'!A:B, 2, 0) &amp; "" "" &amp; REGEXEXTRACT(C4795, ""🏘️ \w+ \w+ (.*) ✅"") ,  if(H4795=""quartier"",vlookup(REGEXEXTRACT(C4795, ""🏘️ \w+ \w+ (.*) ✅""),'Quartier prepositio"&amp;"ns'!A:E, 5, 0) ,  if(H4795=""region"",vlookup(REGEXEXTRACT(C4795, ""🏘️ \w+ \w+ (.*) ✅""),'Region prepositions'!B:F, 5, 0),  REGEXEXTRACT(C4795, ""🏘️ \w+ \w+ (.*) ✅""))))"),"#N/A")</f>
        <v>#N/A</v>
      </c>
      <c r="I4795" s="4" t="str">
        <f>IFERROR(__xludf.DUMMYFUNCTION("if(D4795=""variant"",  substitute(filter(Templates!E:E, Templates!A:A = F4795, Templates!B:B = G4795, Templates!C:C = H4795), ""{{}}"", E4795), B4795)"),"Vendre appartement Chardonne: Trouvez le bien immobilier qui correspond idéalement à vos désirs sur ImmoScout24 - La plateforme de l'immobilier en Suisse.")</f>
        <v>Vendre appartement Chardonne: Trouvez le bien immobilier qui correspond idéalement à vos désirs sur ImmoScout24 - La plateforme de l'immobilier en Suisse.</v>
      </c>
    </row>
    <row r="4796" hidden="1">
      <c r="A4796" s="5" t="s">
        <v>12691</v>
      </c>
      <c r="B4796" s="2" t="s">
        <v>12692</v>
      </c>
      <c r="C4796" s="2" t="s">
        <v>12692</v>
      </c>
      <c r="D4796" s="4" t="str">
        <f>vlookup(A4796, Sheet2!D:E, 2, 0)</f>
        <v>control</v>
      </c>
      <c r="E4796" s="4" t="str">
        <f>IFERROR(__xludf.DUMMYFUNCTION("if(H4796=""pays"",vlookup(REGEXEXTRACT(C4796, ""🏘️ \w+ \w+ (.*) ✅""),'Country prepositions'!A:B, 2, 0) &amp; "" "" &amp; REGEXEXTRACT(C4796, ""🏘️ \w+ \w+ (.*) ✅"") ,  if(H4796=""quartier"",vlookup(REGEXEXTRACT(C4796, ""🏘️ \w+ \w+ (.*) ✅""),'Quartier prepositio"&amp;"ns'!A:E, 5, 0) ,  if(H4796=""region"",vlookup(REGEXEXTRACT(C4796, ""🏘️ \w+ \w+ (.*) ✅""),'Region prepositions'!B:F, 5, 0),  REGEXEXTRACT(C4796, ""🏘️ \w+ \w+ (.*) ✅""))))"),"#N/A")</f>
        <v>#N/A</v>
      </c>
      <c r="I4796" s="4" t="str">
        <f>IFERROR(__xludf.DUMMYFUNCTION("if(D4796=""variant"",  substitute(filter(Templates!E:E, Templates!A:A = F4796, Templates!B:B = G4796, Templates!C:C = H4796), ""{{}}"", E4796), B4796)"),"Vendre maison Bennwil: Trouvez le bien immobilier qui correspond idéalement à vos désirs sur ImmoScout24 - La plateforme de l'immobilier en Suisse.")</f>
        <v>Vendre maison Bennwil: Trouvez le bien immobilier qui correspond idéalement à vos désirs sur ImmoScout24 - La plateforme de l'immobilier en Suisse.</v>
      </c>
    </row>
    <row r="4797" hidden="1">
      <c r="A4797" s="5" t="s">
        <v>12693</v>
      </c>
      <c r="B4797" s="2" t="s">
        <v>12694</v>
      </c>
      <c r="C4797" s="2" t="s">
        <v>12694</v>
      </c>
      <c r="D4797" s="4" t="str">
        <f>vlookup(A4797, Sheet2!D:E, 2, 0)</f>
        <v>control</v>
      </c>
      <c r="E4797" s="4" t="str">
        <f>IFERROR(__xludf.DUMMYFUNCTION("if(H4797=""pays"",vlookup(REGEXEXTRACT(C4797, ""🏘️ \w+ \w+ (.*) ✅""),'Country prepositions'!A:B, 2, 0) &amp; "" "" &amp; REGEXEXTRACT(C4797, ""🏘️ \w+ \w+ (.*) ✅"") ,  if(H4797=""quartier"",vlookup(REGEXEXTRACT(C4797, ""🏘️ \w+ \w+ (.*) ✅""),'Quartier prepositio"&amp;"ns'!A:E, 5, 0) ,  if(H4797=""region"",vlookup(REGEXEXTRACT(C4797, ""🏘️ \w+ \w+ (.*) ✅""),'Region prepositions'!B:F, 5, 0),  REGEXEXTRACT(C4797, ""🏘️ \w+ \w+ (.*) ✅""))))"),"#N/A")</f>
        <v>#N/A</v>
      </c>
      <c r="I4797" s="4" t="str">
        <f>IFERROR(__xludf.DUMMYFUNCTION("if(D4797=""variant"",  substitute(filter(Templates!E:E, Templates!A:A = F4797, Templates!B:B = G4797, Templates!C:C = H4797), ""{{}}"", E4797), B4797)"),"Vendre maison La Tour-de-Trême: Trouvez le bien immobilier qui correspond idéalement à vos désirs sur ImmoScout24 - La plateforme de l'immobilier en Suisse.")</f>
        <v>Vendre maison La Tour-de-Trême: Trouvez le bien immobilier qui correspond idéalement à vos désirs sur ImmoScout24 - La plateforme de l'immobilier en Suisse.</v>
      </c>
    </row>
    <row r="4798" hidden="1">
      <c r="A4798" s="5" t="s">
        <v>12695</v>
      </c>
      <c r="B4798" s="2" t="s">
        <v>12696</v>
      </c>
      <c r="C4798" s="2" t="s">
        <v>12696</v>
      </c>
      <c r="D4798" s="4" t="str">
        <f>vlookup(A4798, Sheet2!D:E, 2, 0)</f>
        <v>control</v>
      </c>
      <c r="E4798" s="4" t="str">
        <f>IFERROR(__xludf.DUMMYFUNCTION("if(H4798=""pays"",vlookup(REGEXEXTRACT(C4798, ""🏘️ \w+ \w+ (.*) ✅""),'Country prepositions'!A:B, 2, 0) &amp; "" "" &amp; REGEXEXTRACT(C4798, ""🏘️ \w+ \w+ (.*) ✅"") ,  if(H4798=""quartier"",vlookup(REGEXEXTRACT(C4798, ""🏘️ \w+ \w+ (.*) ✅""),'Quartier prepositio"&amp;"ns'!A:E, 5, 0) ,  if(H4798=""region"",vlookup(REGEXEXTRACT(C4798, ""🏘️ \w+ \w+ (.*) ✅""),'Region prepositions'!B:F, 5, 0),  REGEXEXTRACT(C4798, ""🏘️ \w+ \w+ (.*) ✅""))))"),"#N/A")</f>
        <v>#N/A</v>
      </c>
      <c r="I4798" s="4" t="str">
        <f>IFERROR(__xludf.DUMMYFUNCTION("if(D4798=""variant"",  substitute(filter(Templates!E:E, Templates!A:A = F4798, Templates!B:B = G4798, Templates!C:C = H4798), ""{{}}"", E4798), B4798)"),"Louer appartement Kappelen: Trouvez le bien immobilier qui correspond idéalement à vos désirs sur ImmoScout24 - La plateforme de l'immobilier en Suisse.")</f>
        <v>Louer appartement Kappelen: Trouvez le bien immobilier qui correspond idéalement à vos désirs sur ImmoScout24 - La plateforme de l'immobilier en Suisse.</v>
      </c>
    </row>
    <row r="4799" hidden="1">
      <c r="A4799" s="5" t="s">
        <v>12697</v>
      </c>
      <c r="B4799" s="2" t="s">
        <v>12698</v>
      </c>
      <c r="C4799" s="2" t="s">
        <v>12698</v>
      </c>
      <c r="D4799" s="4" t="str">
        <f>vlookup(A4799, Sheet2!D:E, 2, 0)</f>
        <v>control</v>
      </c>
      <c r="E4799" s="4" t="str">
        <f>IFERROR(__xludf.DUMMYFUNCTION("if(H4799=""pays"",vlookup(REGEXEXTRACT(C4799, ""🏘️ \w+ \w+ (.*) ✅""),'Country prepositions'!A:B, 2, 0) &amp; "" "" &amp; REGEXEXTRACT(C4799, ""🏘️ \w+ \w+ (.*) ✅"") ,  if(H4799=""quartier"",vlookup(REGEXEXTRACT(C4799, ""🏘️ \w+ \w+ (.*) ✅""),'Quartier prepositio"&amp;"ns'!A:E, 5, 0) ,  if(H4799=""region"",vlookup(REGEXEXTRACT(C4799, ""🏘️ \w+ \w+ (.*) ✅""),'Region prepositions'!B:F, 5, 0),  REGEXEXTRACT(C4799, ""🏘️ \w+ \w+ (.*) ✅""))))"),"#N/A")</f>
        <v>#N/A</v>
      </c>
      <c r="I4799" s="4" t="str">
        <f>IFERROR(__xludf.DUMMYFUNCTION("if(D4799=""variant"",  substitute(filter(Templates!E:E, Templates!A:A = F4799, Templates!B:B = G4799, Templates!C:C = H4799), ""{{}}"", E4799), B4799)"),"Louer appartement Corbières: Trouvez le bien immobilier qui correspond idéalement à vos désirs sur ImmoScout24 - La plateforme de l'immobilier en Suisse.")</f>
        <v>Louer appartement Corbières: Trouvez le bien immobilier qui correspond idéalement à vos désirs sur ImmoScout24 - La plateforme de l'immobilier en Suisse.</v>
      </c>
    </row>
    <row r="4800" hidden="1">
      <c r="A4800" s="5" t="s">
        <v>12699</v>
      </c>
      <c r="B4800" s="2" t="s">
        <v>12700</v>
      </c>
      <c r="C4800" s="2" t="s">
        <v>12700</v>
      </c>
      <c r="D4800" s="4" t="str">
        <f>vlookup(A4800, Sheet2!D:E, 2, 0)</f>
        <v>control</v>
      </c>
      <c r="E4800" s="4" t="str">
        <f>IFERROR(__xludf.DUMMYFUNCTION("if(H4800=""pays"",vlookup(REGEXEXTRACT(C4800, ""🏘️ \w+ \w+ (.*) ✅""),'Country prepositions'!A:B, 2, 0) &amp; "" "" &amp; REGEXEXTRACT(C4800, ""🏘️ \w+ \w+ (.*) ✅"") ,  if(H4800=""quartier"",vlookup(REGEXEXTRACT(C4800, ""🏘️ \w+ \w+ (.*) ✅""),'Quartier prepositio"&amp;"ns'!A:E, 5, 0) ,  if(H4800=""region"",vlookup(REGEXEXTRACT(C4800, ""🏘️ \w+ \w+ (.*) ✅""),'Region prepositions'!B:F, 5, 0),  REGEXEXTRACT(C4800, ""🏘️ \w+ \w+ (.*) ✅""))))"),"#N/A")</f>
        <v>#N/A</v>
      </c>
      <c r="I4800" s="4" t="str">
        <f>IFERROR(__xludf.DUMMYFUNCTION("if(D4800=""variant"",  substitute(filter(Templates!E:E, Templates!A:A = F4800, Templates!B:B = G4800, Templates!C:C = H4800), ""{{}}"", E4800), B4800)"),"Louer appartement Praz (Vully): Trouvez le bien immobilier qui correspond idéalement à vos désirs sur ImmoScout24 - La plateforme de l'immobilier en Suisse.")</f>
        <v>Louer appartement Praz (Vully): Trouvez le bien immobilier qui correspond idéalement à vos désirs sur ImmoScout24 - La plateforme de l'immobilier en Suisse.</v>
      </c>
    </row>
    <row r="4801" hidden="1">
      <c r="A4801" s="5" t="s">
        <v>12701</v>
      </c>
      <c r="B4801" s="2" t="s">
        <v>12702</v>
      </c>
      <c r="C4801" s="2" t="s">
        <v>12702</v>
      </c>
      <c r="D4801" s="4" t="str">
        <f>vlookup(A4801, Sheet2!D:E, 2, 0)</f>
        <v>control</v>
      </c>
      <c r="E4801" s="4" t="str">
        <f>IFERROR(__xludf.DUMMYFUNCTION("if(H4801=""pays"",vlookup(REGEXEXTRACT(C4801, ""🏘️ \w+ \w+ (.*) ✅""),'Country prepositions'!A:B, 2, 0) &amp; "" "" &amp; REGEXEXTRACT(C4801, ""🏘️ \w+ \w+ (.*) ✅"") ,  if(H4801=""quartier"",vlookup(REGEXEXTRACT(C4801, ""🏘️ \w+ \w+ (.*) ✅""),'Quartier prepositio"&amp;"ns'!A:E, 5, 0) ,  if(H4801=""region"",vlookup(REGEXEXTRACT(C4801, ""🏘️ \w+ \w+ (.*) ✅""),'Region prepositions'!B:F, 5, 0),  REGEXEXTRACT(C4801, ""🏘️ \w+ \w+ (.*) ✅""))))"),"#N/A")</f>
        <v>#N/A</v>
      </c>
      <c r="I4801" s="4" t="str">
        <f>IFERROR(__xludf.DUMMYFUNCTION("if(D4801=""variant"",  substitute(filter(Templates!E:E, Templates!A:A = F4801, Templates!B:B = G4801, Templates!C:C = H4801), ""{{}}"", E4801), B4801)"),"Louer appartement Alpes (Neuchâtel): Trouvez le bien immobilier qui correspond idéalement à vos désirs sur ImmoScout24 - La plateforme de l'immobilier en Suisse.")</f>
        <v>Louer appartement Alpes (Neuchâtel): Trouvez le bien immobilier qui correspond idéalement à vos désirs sur ImmoScout24 - La plateforme de l'immobilier en Suisse.</v>
      </c>
    </row>
    <row r="4802" hidden="1">
      <c r="A4802" s="5" t="s">
        <v>12703</v>
      </c>
      <c r="B4802" s="2" t="s">
        <v>12704</v>
      </c>
      <c r="C4802" s="2" t="s">
        <v>12704</v>
      </c>
      <c r="D4802" s="4" t="str">
        <f>vlookup(A4802, Sheet2!D:E, 2, 0)</f>
        <v>control</v>
      </c>
      <c r="E4802" s="4" t="str">
        <f>IFERROR(__xludf.DUMMYFUNCTION("if(H4802=""pays"",vlookup(REGEXEXTRACT(C4802, ""🏘️ \w+ \w+ (.*) ✅""),'Country prepositions'!A:B, 2, 0) &amp; "" "" &amp; REGEXEXTRACT(C4802, ""🏘️ \w+ \w+ (.*) ✅"") ,  if(H4802=""quartier"",vlookup(REGEXEXTRACT(C4802, ""🏘️ \w+ \w+ (.*) ✅""),'Quartier prepositio"&amp;"ns'!A:E, 5, 0) ,  if(H4802=""region"",vlookup(REGEXEXTRACT(C4802, ""🏘️ \w+ \w+ (.*) ✅""),'Region prepositions'!B:F, 5, 0),  REGEXEXTRACT(C4802, ""🏘️ \w+ \w+ (.*) ✅""))))"),"#N/A")</f>
        <v>#N/A</v>
      </c>
      <c r="I4802" s="4" t="str">
        <f>IFERROR(__xludf.DUMMYFUNCTION("if(D4802=""variant"",  substitute(filter(Templates!E:E, Templates!A:A = F4802, Templates!B:B = G4802, Templates!C:C = H4802), ""{{}}"", E4802), B4802)"),"Louer appartement Burgistein: Trouvez le bien immobilier qui correspond idéalement à vos désirs sur ImmoScout24 - La plateforme de l'immobilier en Suisse.")</f>
        <v>Louer appartement Burgistein: Trouvez le bien immobilier qui correspond idéalement à vos désirs sur ImmoScout24 - La plateforme de l'immobilier en Suisse.</v>
      </c>
    </row>
    <row r="4803" hidden="1">
      <c r="A4803" s="5" t="s">
        <v>12705</v>
      </c>
      <c r="B4803" s="2" t="s">
        <v>12706</v>
      </c>
      <c r="C4803" s="2" t="s">
        <v>12706</v>
      </c>
      <c r="D4803" s="4" t="str">
        <f>vlookup(A4803, Sheet2!D:E, 2, 0)</f>
        <v>control</v>
      </c>
      <c r="E4803" s="4" t="str">
        <f>IFERROR(__xludf.DUMMYFUNCTION("if(H4803=""pays"",vlookup(REGEXEXTRACT(C4803, ""🏘️ \w+ \w+ (.*) ✅""),'Country prepositions'!A:B, 2, 0) &amp; "" "" &amp; REGEXEXTRACT(C4803, ""🏘️ \w+ \w+ (.*) ✅"") ,  if(H4803=""quartier"",vlookup(REGEXEXTRACT(C4803, ""🏘️ \w+ \w+ (.*) ✅""),'Quartier prepositio"&amp;"ns'!A:E, 5, 0) ,  if(H4803=""region"",vlookup(REGEXEXTRACT(C4803, ""🏘️ \w+ \w+ (.*) ✅""),'Region prepositions'!B:F, 5, 0),  REGEXEXTRACT(C4803, ""🏘️ \w+ \w+ (.*) ✅""))))"),"#N/A")</f>
        <v>#N/A</v>
      </c>
      <c r="I4803" s="4" t="str">
        <f>IFERROR(__xludf.DUMMYFUNCTION("if(D4803=""variant"",  substitute(filter(Templates!E:E, Templates!A:A = F4803, Templates!B:B = G4803, Templates!C:C = H4803), ""{{}}"", E4803), B4803)"),"Vendre maison Uster: Trouvez le bien immobilier qui correspond idéalement à vos désirs sur ImmoScout24 - La plateforme de l'immobilier en Suisse.")</f>
        <v>Vendre maison Uster: Trouvez le bien immobilier qui correspond idéalement à vos désirs sur ImmoScout24 - La plateforme de l'immobilier en Suisse.</v>
      </c>
    </row>
    <row r="4804" hidden="1">
      <c r="A4804" s="5" t="s">
        <v>12707</v>
      </c>
      <c r="B4804" s="2" t="s">
        <v>12708</v>
      </c>
      <c r="C4804" s="2" t="s">
        <v>12708</v>
      </c>
      <c r="D4804" s="4" t="str">
        <f>vlookup(A4804, Sheet2!D:E, 2, 0)</f>
        <v>control</v>
      </c>
      <c r="E4804" s="4" t="str">
        <f>IFERROR(__xludf.DUMMYFUNCTION("if(H4804=""pays"",vlookup(REGEXEXTRACT(C4804, ""🏘️ \w+ \w+ (.*) ✅""),'Country prepositions'!A:B, 2, 0) &amp; "" "" &amp; REGEXEXTRACT(C4804, ""🏘️ \w+ \w+ (.*) ✅"") ,  if(H4804=""quartier"",vlookup(REGEXEXTRACT(C4804, ""🏘️ \w+ \w+ (.*) ✅""),'Quartier prepositio"&amp;"ns'!A:E, 5, 0) ,  if(H4804=""region"",vlookup(REGEXEXTRACT(C4804, ""🏘️ \w+ \w+ (.*) ✅""),'Region prepositions'!B:F, 5, 0),  REGEXEXTRACT(C4804, ""🏘️ \w+ \w+ (.*) ✅""))))"),"#N/A")</f>
        <v>#N/A</v>
      </c>
      <c r="I4804" s="4" t="str">
        <f>IFERROR(__xludf.DUMMYFUNCTION("if(D4804=""variant"",  substitute(filter(Templates!E:E, Templates!A:A = F4804, Templates!B:B = G4804, Templates!C:C = H4804), ""{{}}"", E4804), B4804)"),"Vendre maison Thayngen - Stein: Trouvez le bien immobilier qui correspond idéalement à vos désirs sur ImmoScout24 - La plateforme de l'immobilier en Suisse.")</f>
        <v>Vendre maison Thayngen - Stein: Trouvez le bien immobilier qui correspond idéalement à vos désirs sur ImmoScout24 - La plateforme de l'immobilier en Suisse.</v>
      </c>
    </row>
    <row r="4805" hidden="1">
      <c r="A4805" s="5" t="s">
        <v>12709</v>
      </c>
      <c r="B4805" s="2" t="s">
        <v>12710</v>
      </c>
      <c r="C4805" s="2" t="s">
        <v>12710</v>
      </c>
      <c r="D4805" s="4" t="str">
        <f>vlookup(A4805, Sheet2!D:E, 2, 0)</f>
        <v>control</v>
      </c>
      <c r="E4805" s="4" t="str">
        <f>IFERROR(__xludf.DUMMYFUNCTION("if(H4805=""pays"",vlookup(REGEXEXTRACT(C4805, ""🏘️ \w+ \w+ (.*) ✅""),'Country prepositions'!A:B, 2, 0) &amp; "" "" &amp; REGEXEXTRACT(C4805, ""🏘️ \w+ \w+ (.*) ✅"") ,  if(H4805=""quartier"",vlookup(REGEXEXTRACT(C4805, ""🏘️ \w+ \w+ (.*) ✅""),'Quartier prepositio"&amp;"ns'!A:E, 5, 0) ,  if(H4805=""region"",vlookup(REGEXEXTRACT(C4805, ""🏘️ \w+ \w+ (.*) ✅""),'Region prepositions'!B:F, 5, 0),  REGEXEXTRACT(C4805, ""🏘️ \w+ \w+ (.*) ✅""))))"),"#N/A")</f>
        <v>#N/A</v>
      </c>
      <c r="I4805" s="4" t="str">
        <f>IFERROR(__xludf.DUMMYFUNCTION("if(D4805=""variant"",  substitute(filter(Templates!E:E, Templates!A:A = F4805, Templates!B:B = G4805, Templates!C:C = H4805), ""{{}}"", E4805), B4805)"),"Vendre appartement Autriche: Trouvez le bien immobilier qui correspond idéalement à vos désirs sur ImmoScout24 - La plateforme de l'immobilier en Suisse.")</f>
        <v>Vendre appartement Autriche: Trouvez le bien immobilier qui correspond idéalement à vos désirs sur ImmoScout24 - La plateforme de l'immobilier en Suisse.</v>
      </c>
    </row>
    <row r="4806" hidden="1">
      <c r="A4806" s="5" t="s">
        <v>12711</v>
      </c>
      <c r="B4806" s="2" t="s">
        <v>12712</v>
      </c>
      <c r="C4806" s="2" t="s">
        <v>12712</v>
      </c>
      <c r="D4806" s="4" t="str">
        <f>vlookup(A4806, Sheet2!D:E, 2, 0)</f>
        <v>control</v>
      </c>
      <c r="E4806" s="4" t="str">
        <f>IFERROR(__xludf.DUMMYFUNCTION("if(H4806=""pays"",vlookup(REGEXEXTRACT(C4806, ""🏘️ \w+ \w+ (.*) ✅""),'Country prepositions'!A:B, 2, 0) &amp; "" "" &amp; REGEXEXTRACT(C4806, ""🏘️ \w+ \w+ (.*) ✅"") ,  if(H4806=""quartier"",vlookup(REGEXEXTRACT(C4806, ""🏘️ \w+ \w+ (.*) ✅""),'Quartier prepositio"&amp;"ns'!A:E, 5, 0) ,  if(H4806=""region"",vlookup(REGEXEXTRACT(C4806, ""🏘️ \w+ \w+ (.*) ✅""),'Region prepositions'!B:F, 5, 0),  REGEXEXTRACT(C4806, ""🏘️ \w+ \w+ (.*) ✅""))))"),"#N/A")</f>
        <v>#N/A</v>
      </c>
      <c r="I4806" s="4" t="str">
        <f>IFERROR(__xludf.DUMMYFUNCTION("if(D4806=""variant"",  substitute(filter(Templates!E:E, Templates!A:A = F4806, Templates!B:B = G4806, Templates!C:C = H4806), ""{{}}"", E4806), B4806)"),"Vendre maison Tägerwilen: Trouvez le bien immobilier qui correspond idéalement à vos désirs sur ImmoScout24 - La plateforme de l'immobilier en Suisse.")</f>
        <v>Vendre maison Tägerwilen: Trouvez le bien immobilier qui correspond idéalement à vos désirs sur ImmoScout24 - La plateforme de l'immobilier en Suisse.</v>
      </c>
    </row>
    <row r="4807" hidden="1">
      <c r="A4807" s="5" t="s">
        <v>12713</v>
      </c>
      <c r="B4807" s="2" t="s">
        <v>12714</v>
      </c>
      <c r="C4807" s="2" t="s">
        <v>12714</v>
      </c>
      <c r="D4807" s="4" t="str">
        <f>vlookup(A4807, Sheet2!D:E, 2, 0)</f>
        <v>control</v>
      </c>
      <c r="E4807" s="4" t="str">
        <f>IFERROR(__xludf.DUMMYFUNCTION("if(H4807=""pays"",vlookup(REGEXEXTRACT(C4807, ""🏘️ \w+ \w+ (.*) ✅""),'Country prepositions'!A:B, 2, 0) &amp; "" "" &amp; REGEXEXTRACT(C4807, ""🏘️ \w+ \w+ (.*) ✅"") ,  if(H4807=""quartier"",vlookup(REGEXEXTRACT(C4807, ""🏘️ \w+ \w+ (.*) ✅""),'Quartier prepositio"&amp;"ns'!A:E, 5, 0) ,  if(H4807=""region"",vlookup(REGEXEXTRACT(C4807, ""🏘️ \w+ \w+ (.*) ✅""),'Region prepositions'!B:F, 5, 0),  REGEXEXTRACT(C4807, ""🏘️ \w+ \w+ (.*) ✅""))))"),"#N/A")</f>
        <v>#N/A</v>
      </c>
      <c r="I4807" s="4" t="str">
        <f>IFERROR(__xludf.DUMMYFUNCTION("if(D4807=""variant"",  substitute(filter(Templates!E:E, Templates!A:A = F4807, Templates!B:B = G4807, Templates!C:C = H4807), ""{{}}"", E4807), B4807)"),"Vendre maison Chine: Trouvez le bien immobilier qui correspond idéalement à vos désirs sur ImmoScout24 - La plateforme de l'immobilier en Suisse.")</f>
        <v>Vendre maison Chine: Trouvez le bien immobilier qui correspond idéalement à vos désirs sur ImmoScout24 - La plateforme de l'immobilier en Suisse.</v>
      </c>
    </row>
    <row r="4808" hidden="1">
      <c r="A4808" s="5" t="s">
        <v>12715</v>
      </c>
      <c r="B4808" s="2" t="s">
        <v>12716</v>
      </c>
      <c r="C4808" s="2" t="s">
        <v>12716</v>
      </c>
      <c r="D4808" s="4" t="str">
        <f>vlookup(A4808, Sheet2!D:E, 2, 0)</f>
        <v>control</v>
      </c>
      <c r="E4808" s="4" t="str">
        <f>IFERROR(__xludf.DUMMYFUNCTION("if(H4808=""pays"",vlookup(REGEXEXTRACT(C4808, ""🏘️ \w+ \w+ (.*) ✅""),'Country prepositions'!A:B, 2, 0) &amp; "" "" &amp; REGEXEXTRACT(C4808, ""🏘️ \w+ \w+ (.*) ✅"") ,  if(H4808=""quartier"",vlookup(REGEXEXTRACT(C4808, ""🏘️ \w+ \w+ (.*) ✅""),'Quartier prepositio"&amp;"ns'!A:E, 5, 0) ,  if(H4808=""region"",vlookup(REGEXEXTRACT(C4808, ""🏘️ \w+ \w+ (.*) ✅""),'Region prepositions'!B:F, 5, 0),  REGEXEXTRACT(C4808, ""🏘️ \w+ \w+ (.*) ✅""))))"),"#N/A")</f>
        <v>#N/A</v>
      </c>
      <c r="I4808" s="4" t="str">
        <f>IFERROR(__xludf.DUMMYFUNCTION("if(D4808=""variant"",  substitute(filter(Templates!E:E, Templates!A:A = F4808, Templates!B:B = G4808, Templates!C:C = H4808), ""{{}}"", E4808), B4808)"),"Vendre maison Morens FR: Trouvez le bien immobilier qui correspond idéalement à vos désirs sur ImmoScout24 - La plateforme de l'immobilier en Suisse.")</f>
        <v>Vendre maison Morens FR: Trouvez le bien immobilier qui correspond idéalement à vos désirs sur ImmoScout24 - La plateforme de l'immobilier en Suisse.</v>
      </c>
    </row>
    <row r="4809" hidden="1">
      <c r="A4809" s="5" t="s">
        <v>12717</v>
      </c>
      <c r="B4809" s="2" t="s">
        <v>12718</v>
      </c>
      <c r="C4809" s="2" t="s">
        <v>12718</v>
      </c>
      <c r="D4809" s="4" t="str">
        <f>vlookup(A4809, Sheet2!D:E, 2, 0)</f>
        <v>control</v>
      </c>
      <c r="E4809" s="4" t="str">
        <f>IFERROR(__xludf.DUMMYFUNCTION("if(H4809=""pays"",vlookup(REGEXEXTRACT(C4809, ""🏘️ \w+ \w+ (.*) ✅""),'Country prepositions'!A:B, 2, 0) &amp; "" "" &amp; REGEXEXTRACT(C4809, ""🏘️ \w+ \w+ (.*) ✅"") ,  if(H4809=""quartier"",vlookup(REGEXEXTRACT(C4809, ""🏘️ \w+ \w+ (.*) ✅""),'Quartier prepositio"&amp;"ns'!A:E, 5, 0) ,  if(H4809=""region"",vlookup(REGEXEXTRACT(C4809, ""🏘️ \w+ \w+ (.*) ✅""),'Region prepositions'!B:F, 5, 0),  REGEXEXTRACT(C4809, ""🏘️ \w+ \w+ (.*) ✅""))))"),"#N/A")</f>
        <v>#N/A</v>
      </c>
      <c r="I4809" s="4" t="str">
        <f>IFERROR(__xludf.DUMMYFUNCTION("if(D4809=""variant"",  substitute(filter(Templates!E:E, Templates!A:A = F4809, Templates!B:B = G4809, Templates!C:C = H4809), ""{{}}"", E4809), B4809)"),"Vendre maison Franches-Montagnes: Trouvez le bien immobilier qui correspond idéalement à vos désirs sur ImmoScout24 - La plateforme de l'immobilier en Suisse.")</f>
        <v>Vendre maison Franches-Montagnes: Trouvez le bien immobilier qui correspond idéalement à vos désirs sur ImmoScout24 - La plateforme de l'immobilier en Suisse.</v>
      </c>
    </row>
    <row r="4810" hidden="1">
      <c r="A4810" s="5" t="s">
        <v>12719</v>
      </c>
      <c r="B4810" s="2" t="s">
        <v>12720</v>
      </c>
      <c r="C4810" s="2" t="s">
        <v>12720</v>
      </c>
      <c r="D4810" s="4" t="str">
        <f>vlookup(A4810, Sheet2!D:E, 2, 0)</f>
        <v>control</v>
      </c>
      <c r="E4810" s="4" t="str">
        <f>IFERROR(__xludf.DUMMYFUNCTION("if(H4810=""pays"",vlookup(REGEXEXTRACT(C4810, ""🏘️ \w+ \w+ (.*) ✅""),'Country prepositions'!A:B, 2, 0) &amp; "" "" &amp; REGEXEXTRACT(C4810, ""🏘️ \w+ \w+ (.*) ✅"") ,  if(H4810=""quartier"",vlookup(REGEXEXTRACT(C4810, ""🏘️ \w+ \w+ (.*) ✅""),'Quartier prepositio"&amp;"ns'!A:E, 5, 0) ,  if(H4810=""region"",vlookup(REGEXEXTRACT(C4810, ""🏘️ \w+ \w+ (.*) ✅""),'Region prepositions'!B:F, 5, 0),  REGEXEXTRACT(C4810, ""🏘️ \w+ \w+ (.*) ✅""))))"),"#N/A")</f>
        <v>#N/A</v>
      </c>
      <c r="I4810" s="4" t="str">
        <f>IFERROR(__xludf.DUMMYFUNCTION("if(D4810=""variant"",  substitute(filter(Templates!E:E, Templates!A:A = F4810, Templates!B:B = G4810, Templates!C:C = H4810), ""{{}}"", E4810), B4810)"),"Vendre appartement Wangen SZ: Trouvez le bien immobilier qui correspond idéalement à vos désirs sur ImmoScout24 - La plateforme de l'immobilier en Suisse.")</f>
        <v>Vendre appartement Wangen SZ: Trouvez le bien immobilier qui correspond idéalement à vos désirs sur ImmoScout24 - La plateforme de l'immobilier en Suisse.</v>
      </c>
    </row>
    <row r="4811" hidden="1">
      <c r="A4811" s="5" t="s">
        <v>12721</v>
      </c>
      <c r="B4811" s="2" t="s">
        <v>12722</v>
      </c>
      <c r="C4811" s="2" t="s">
        <v>12722</v>
      </c>
      <c r="D4811" s="4" t="str">
        <f>vlookup(A4811, Sheet2!D:E, 2, 0)</f>
        <v>control</v>
      </c>
      <c r="E4811" s="4" t="str">
        <f>IFERROR(__xludf.DUMMYFUNCTION("if(H4811=""pays"",vlookup(REGEXEXTRACT(C4811, ""🏘️ \w+ \w+ (.*) ✅""),'Country prepositions'!A:B, 2, 0) &amp; "" "" &amp; REGEXEXTRACT(C4811, ""🏘️ \w+ \w+ (.*) ✅"") ,  if(H4811=""quartier"",vlookup(REGEXEXTRACT(C4811, ""🏘️ \w+ \w+ (.*) ✅""),'Quartier prepositio"&amp;"ns'!A:E, 5, 0) ,  if(H4811=""region"",vlookup(REGEXEXTRACT(C4811, ""🏘️ \w+ \w+ (.*) ✅""),'Region prepositions'!B:F, 5, 0),  REGEXEXTRACT(C4811, ""🏘️ \w+ \w+ (.*) ✅""))))"),"#N/A")</f>
        <v>#N/A</v>
      </c>
      <c r="I4811" s="4" t="str">
        <f>IFERROR(__xludf.DUMMYFUNCTION("if(D4811=""variant"",  substitute(filter(Templates!E:E, Templates!A:A = F4811, Templates!B:B = G4811, Templates!C:C = H4811), ""{{}}"", E4811), B4811)"),"Vendre appartement Botterens: Trouvez le bien immobilier qui correspond idéalement à vos désirs sur ImmoScout24 - La plateforme de l'immobilier en Suisse.")</f>
        <v>Vendre appartement Botterens: Trouvez le bien immobilier qui correspond idéalement à vos désirs sur ImmoScout24 - La plateforme de l'immobilier en Suisse.</v>
      </c>
    </row>
    <row r="4812" hidden="1">
      <c r="A4812" s="5" t="s">
        <v>12723</v>
      </c>
      <c r="B4812" s="2" t="s">
        <v>12724</v>
      </c>
      <c r="C4812" s="2" t="s">
        <v>12724</v>
      </c>
      <c r="D4812" s="4" t="str">
        <f>vlookup(A4812, Sheet2!D:E, 2, 0)</f>
        <v>control</v>
      </c>
      <c r="E4812" s="4" t="str">
        <f>IFERROR(__xludf.DUMMYFUNCTION("if(H4812=""pays"",vlookup(REGEXEXTRACT(C4812, ""🏘️ \w+ \w+ (.*) ✅""),'Country prepositions'!A:B, 2, 0) &amp; "" "" &amp; REGEXEXTRACT(C4812, ""🏘️ \w+ \w+ (.*) ✅"") ,  if(H4812=""quartier"",vlookup(REGEXEXTRACT(C4812, ""🏘️ \w+ \w+ (.*) ✅""),'Quartier prepositio"&amp;"ns'!A:E, 5, 0) ,  if(H4812=""region"",vlookup(REGEXEXTRACT(C4812, ""🏘️ \w+ \w+ (.*) ✅""),'Region prepositions'!B:F, 5, 0),  REGEXEXTRACT(C4812, ""🏘️ \w+ \w+ (.*) ✅""))))"),"#N/A")</f>
        <v>#N/A</v>
      </c>
      <c r="I4812" s="4" t="str">
        <f>IFERROR(__xludf.DUMMYFUNCTION("if(D4812=""variant"",  substitute(filter(Templates!E:E, Templates!A:A = F4812, Templates!B:B = G4812, Templates!C:C = H4812), ""{{}}"", E4812), B4812)"),"Vendre maison Montavon: Trouvez le bien immobilier qui correspond idéalement à vos désirs sur ImmoScout24 - La plateforme de l'immobilier en Suisse.")</f>
        <v>Vendre maison Montavon: Trouvez le bien immobilier qui correspond idéalement à vos désirs sur ImmoScout24 - La plateforme de l'immobilier en Suisse.</v>
      </c>
    </row>
    <row r="4813" hidden="1">
      <c r="A4813" s="5" t="s">
        <v>12725</v>
      </c>
      <c r="B4813" s="2" t="s">
        <v>12726</v>
      </c>
      <c r="C4813" s="2" t="s">
        <v>12726</v>
      </c>
      <c r="D4813" s="4" t="str">
        <f>vlookup(A4813, Sheet2!D:E, 2, 0)</f>
        <v>control</v>
      </c>
      <c r="E4813" s="4" t="str">
        <f>IFERROR(__xludf.DUMMYFUNCTION("if(H4813=""pays"",vlookup(REGEXEXTRACT(C4813, ""🏘️ \w+ \w+ (.*) ✅""),'Country prepositions'!A:B, 2, 0) &amp; "" "" &amp; REGEXEXTRACT(C4813, ""🏘️ \w+ \w+ (.*) ✅"") ,  if(H4813=""quartier"",vlookup(REGEXEXTRACT(C4813, ""🏘️ \w+ \w+ (.*) ✅""),'Quartier prepositio"&amp;"ns'!A:E, 5, 0) ,  if(H4813=""region"",vlookup(REGEXEXTRACT(C4813, ""🏘️ \w+ \w+ (.*) ✅""),'Region prepositions'!B:F, 5, 0),  REGEXEXTRACT(C4813, ""🏘️ \w+ \w+ (.*) ✅""))))"),"#N/A")</f>
        <v>#N/A</v>
      </c>
      <c r="I4813" s="4" t="str">
        <f>IFERROR(__xludf.DUMMYFUNCTION("if(D4813=""variant"",  substitute(filter(Templates!E:E, Templates!A:A = F4813, Templates!B:B = G4813, Templates!C:C = H4813), ""{{}}"", E4813), B4813)"),"Vendre appartement Rosenberg (St-Gall): Trouvez le bien immobilier qui correspond idéalement à vos désirs sur ImmoScout24 - La plateforme de l'immobilier en Suisse.")</f>
        <v>Vendre appartement Rosenberg (St-Gall): Trouvez le bien immobilier qui correspond idéalement à vos désirs sur ImmoScout24 - La plateforme de l'immobilier en Suisse.</v>
      </c>
    </row>
    <row r="4814" hidden="1">
      <c r="A4814" s="5" t="s">
        <v>12727</v>
      </c>
      <c r="B4814" s="2" t="s">
        <v>12728</v>
      </c>
      <c r="C4814" s="2" t="s">
        <v>12728</v>
      </c>
      <c r="D4814" s="4" t="str">
        <f>vlookup(A4814, Sheet2!D:E, 2, 0)</f>
        <v>control</v>
      </c>
      <c r="E4814" s="4" t="str">
        <f>IFERROR(__xludf.DUMMYFUNCTION("if(H4814=""pays"",vlookup(REGEXEXTRACT(C4814, ""🏘️ \w+ \w+ (.*) ✅""),'Country prepositions'!A:B, 2, 0) &amp; "" "" &amp; REGEXEXTRACT(C4814, ""🏘️ \w+ \w+ (.*) ✅"") ,  if(H4814=""quartier"",vlookup(REGEXEXTRACT(C4814, ""🏘️ \w+ \w+ (.*) ✅""),'Quartier prepositio"&amp;"ns'!A:E, 5, 0) ,  if(H4814=""region"",vlookup(REGEXEXTRACT(C4814, ""🏘️ \w+ \w+ (.*) ✅""),'Region prepositions'!B:F, 5, 0),  REGEXEXTRACT(C4814, ""🏘️ \w+ \w+ (.*) ✅""))))"),"#N/A")</f>
        <v>#N/A</v>
      </c>
      <c r="I4814" s="4" t="str">
        <f>IFERROR(__xludf.DUMMYFUNCTION("if(D4814=""variant"",  substitute(filter(Templates!E:E, Templates!A:A = F4814, Templates!B:B = G4814, Templates!C:C = H4814), ""{{}}"", E4814), B4814)"),"Louer appartement Donatyre: Trouvez le bien immobilier qui correspond idéalement à vos désirs sur ImmoScout24 - La plateforme de l'immobilier en Suisse.")</f>
        <v>Louer appartement Donatyre: Trouvez le bien immobilier qui correspond idéalement à vos désirs sur ImmoScout24 - La plateforme de l'immobilier en Suisse.</v>
      </c>
    </row>
    <row r="4815" hidden="1">
      <c r="A4815" s="5" t="s">
        <v>12729</v>
      </c>
      <c r="B4815" s="2" t="s">
        <v>12730</v>
      </c>
      <c r="C4815" s="2" t="s">
        <v>12730</v>
      </c>
      <c r="D4815" s="4" t="str">
        <f>vlookup(A4815, Sheet2!D:E, 2, 0)</f>
        <v>control</v>
      </c>
      <c r="E4815" s="4" t="str">
        <f>IFERROR(__xludf.DUMMYFUNCTION("if(H4815=""pays"",vlookup(REGEXEXTRACT(C4815, ""🏘️ \w+ \w+ (.*) ✅""),'Country prepositions'!A:B, 2, 0) &amp; "" "" &amp; REGEXEXTRACT(C4815, ""🏘️ \w+ \w+ (.*) ✅"") ,  if(H4815=""quartier"",vlookup(REGEXEXTRACT(C4815, ""🏘️ \w+ \w+ (.*) ✅""),'Quartier prepositio"&amp;"ns'!A:E, 5, 0) ,  if(H4815=""region"",vlookup(REGEXEXTRACT(C4815, ""🏘️ \w+ \w+ (.*) ✅""),'Region prepositions'!B:F, 5, 0),  REGEXEXTRACT(C4815, ""🏘️ \w+ \w+ (.*) ✅""))))"),"#N/A")</f>
        <v>#N/A</v>
      </c>
      <c r="I4815" s="4" t="str">
        <f>IFERROR(__xludf.DUMMYFUNCTION("if(D4815=""variant"",  substitute(filter(Templates!E:E, Templates!A:A = F4815, Templates!B:B = G4815, Templates!C:C = H4815), ""{{}}"", E4815), B4815)"),"Louer appartement Oberland Est: Trouvez le bien immobilier qui correspond idéalement à vos désirs sur ImmoScout24 - La plateforme de l'immobilier en Suisse.")</f>
        <v>Louer appartement Oberland Est: Trouvez le bien immobilier qui correspond idéalement à vos désirs sur ImmoScout24 - La plateforme de l'immobilier en Suisse.</v>
      </c>
    </row>
    <row r="4816" hidden="1">
      <c r="A4816" s="5" t="s">
        <v>12731</v>
      </c>
      <c r="B4816" s="2" t="s">
        <v>12732</v>
      </c>
      <c r="C4816" s="2" t="s">
        <v>12732</v>
      </c>
      <c r="D4816" s="4" t="str">
        <f>vlookup(A4816, Sheet2!D:E, 2, 0)</f>
        <v>control</v>
      </c>
      <c r="E4816" s="4" t="str">
        <f>IFERROR(__xludf.DUMMYFUNCTION("if(H4816=""pays"",vlookup(REGEXEXTRACT(C4816, ""🏘️ \w+ \w+ (.*) ✅""),'Country prepositions'!A:B, 2, 0) &amp; "" "" &amp; REGEXEXTRACT(C4816, ""🏘️ \w+ \w+ (.*) ✅"") ,  if(H4816=""quartier"",vlookup(REGEXEXTRACT(C4816, ""🏘️ \w+ \w+ (.*) ✅""),'Quartier prepositio"&amp;"ns'!A:E, 5, 0) ,  if(H4816=""region"",vlookup(REGEXEXTRACT(C4816, ""🏘️ \w+ \w+ (.*) ✅""),'Region prepositions'!B:F, 5, 0),  REGEXEXTRACT(C4816, ""🏘️ \w+ \w+ (.*) ✅""))))"),"#N/A")</f>
        <v>#N/A</v>
      </c>
      <c r="I4816" s="4" t="str">
        <f>IFERROR(__xludf.DUMMYFUNCTION("if(D4816=""variant"",  substitute(filter(Templates!E:E, Templates!A:A = F4816, Templates!B:B = G4816, Templates!C:C = H4816), ""{{}}"", E4816), B4816)"),"Louer appartement Sulz AG: Trouvez le bien immobilier qui correspond idéalement à vos désirs sur ImmoScout24 - La plateforme de l'immobilier en Suisse.")</f>
        <v>Louer appartement Sulz AG: Trouvez le bien immobilier qui correspond idéalement à vos désirs sur ImmoScout24 - La plateforme de l'immobilier en Suisse.</v>
      </c>
    </row>
    <row r="4817" hidden="1">
      <c r="A4817" s="5" t="s">
        <v>12733</v>
      </c>
      <c r="B4817" s="2" t="s">
        <v>12734</v>
      </c>
      <c r="C4817" s="2" t="s">
        <v>12734</v>
      </c>
      <c r="D4817" s="4" t="str">
        <f>vlookup(A4817, Sheet2!D:E, 2, 0)</f>
        <v>control</v>
      </c>
      <c r="E4817" s="4" t="str">
        <f>IFERROR(__xludf.DUMMYFUNCTION("if(H4817=""pays"",vlookup(REGEXEXTRACT(C4817, ""🏘️ \w+ \w+ (.*) ✅""),'Country prepositions'!A:B, 2, 0) &amp; "" "" &amp; REGEXEXTRACT(C4817, ""🏘️ \w+ \w+ (.*) ✅"") ,  if(H4817=""quartier"",vlookup(REGEXEXTRACT(C4817, ""🏘️ \w+ \w+ (.*) ✅""),'Quartier prepositio"&amp;"ns'!A:E, 5, 0) ,  if(H4817=""region"",vlookup(REGEXEXTRACT(C4817, ""🏘️ \w+ \w+ (.*) ✅""),'Region prepositions'!B:F, 5, 0),  REGEXEXTRACT(C4817, ""🏘️ \w+ \w+ (.*) ✅""))))"),"#N/A")</f>
        <v>#N/A</v>
      </c>
      <c r="I4817" s="4" t="str">
        <f>IFERROR(__xludf.DUMMYFUNCTION("if(D4817=""variant"",  substitute(filter(Templates!E:E, Templates!A:A = F4817, Templates!B:B = G4817, Templates!C:C = H4817), ""{{}}"", E4817), B4817)"),"Louer maison Vollèges: Trouvez le bien immobilier qui correspond idéalement à vos désirs sur ImmoScout24 - La plateforme de l'immobilier en Suisse.")</f>
        <v>Louer maison Vollèges: Trouvez le bien immobilier qui correspond idéalement à vos désirs sur ImmoScout24 - La plateforme de l'immobilier en Suisse.</v>
      </c>
    </row>
    <row r="4818" hidden="1">
      <c r="A4818" s="5" t="s">
        <v>12735</v>
      </c>
      <c r="B4818" s="2" t="s">
        <v>12736</v>
      </c>
      <c r="C4818" s="2" t="s">
        <v>12736</v>
      </c>
      <c r="D4818" s="4" t="str">
        <f>vlookup(A4818, Sheet2!D:E, 2, 0)</f>
        <v>control</v>
      </c>
      <c r="E4818" s="4" t="str">
        <f>IFERROR(__xludf.DUMMYFUNCTION("if(H4818=""pays"",vlookup(REGEXEXTRACT(C4818, ""🏘️ \w+ \w+ (.*) ✅""),'Country prepositions'!A:B, 2, 0) &amp; "" "" &amp; REGEXEXTRACT(C4818, ""🏘️ \w+ \w+ (.*) ✅"") ,  if(H4818=""quartier"",vlookup(REGEXEXTRACT(C4818, ""🏘️ \w+ \w+ (.*) ✅""),'Quartier prepositio"&amp;"ns'!A:E, 5, 0) ,  if(H4818=""region"",vlookup(REGEXEXTRACT(C4818, ""🏘️ \w+ \w+ (.*) ✅""),'Region prepositions'!B:F, 5, 0),  REGEXEXTRACT(C4818, ""🏘️ \w+ \w+ (.*) ✅""))))"),"#N/A")</f>
        <v>#N/A</v>
      </c>
      <c r="I4818" s="4" t="str">
        <f>IFERROR(__xludf.DUMMYFUNCTION("if(D4818=""variant"",  substitute(filter(Templates!E:E, Templates!A:A = F4818, Templates!B:B = G4818, Templates!C:C = H4818), ""{{}}"", E4818), B4818)"),"Louer maison Genève: Trouvez le bien immobilier qui correspond idéalement à vos désirs sur ImmoScout24 - La plateforme de l'immobilier en Suisse.")</f>
        <v>Louer maison Genève: Trouvez le bien immobilier qui correspond idéalement à vos désirs sur ImmoScout24 - La plateforme de l'immobilier en Suisse.</v>
      </c>
    </row>
    <row r="4819" hidden="1">
      <c r="A4819" s="5" t="s">
        <v>12737</v>
      </c>
      <c r="B4819" s="2" t="s">
        <v>12738</v>
      </c>
      <c r="C4819" s="2" t="s">
        <v>12738</v>
      </c>
      <c r="D4819" s="4" t="str">
        <f>vlookup(A4819, Sheet2!D:E, 2, 0)</f>
        <v>control</v>
      </c>
      <c r="E4819" s="4" t="str">
        <f>IFERROR(__xludf.DUMMYFUNCTION("if(H4819=""pays"",vlookup(REGEXEXTRACT(C4819, ""🏘️ \w+ \w+ (.*) ✅""),'Country prepositions'!A:B, 2, 0) &amp; "" "" &amp; REGEXEXTRACT(C4819, ""🏘️ \w+ \w+ (.*) ✅"") ,  if(H4819=""quartier"",vlookup(REGEXEXTRACT(C4819, ""🏘️ \w+ \w+ (.*) ✅""),'Quartier prepositio"&amp;"ns'!A:E, 5, 0) ,  if(H4819=""region"",vlookup(REGEXEXTRACT(C4819, ""🏘️ \w+ \w+ (.*) ✅""),'Region prepositions'!B:F, 5, 0),  REGEXEXTRACT(C4819, ""🏘️ \w+ \w+ (.*) ✅""))))"),"#N/A")</f>
        <v>#N/A</v>
      </c>
      <c r="I4819" s="4" t="str">
        <f>IFERROR(__xludf.DUMMYFUNCTION("if(D4819=""variant"",  substitute(filter(Templates!E:E, Templates!A:A = F4819, Templates!B:B = G4819, Templates!C:C = H4819), ""{{}}"", E4819), B4819)"),"Louer appartement Sâles (Gruyère): Trouvez le bien immobilier qui correspond idéalement à vos désirs sur ImmoScout24 - La plateforme de l'immobilier en Suisse.")</f>
        <v>Louer appartement Sâles (Gruyère): Trouvez le bien immobilier qui correspond idéalement à vos désirs sur ImmoScout24 - La plateforme de l'immobilier en Suisse.</v>
      </c>
    </row>
    <row r="4820" hidden="1">
      <c r="A4820" s="5" t="s">
        <v>12739</v>
      </c>
      <c r="B4820" s="2" t="s">
        <v>12740</v>
      </c>
      <c r="C4820" s="2" t="s">
        <v>12740</v>
      </c>
      <c r="D4820" s="4" t="str">
        <f>vlookup(A4820, Sheet2!D:E, 2, 0)</f>
        <v>control</v>
      </c>
      <c r="E4820" s="4" t="str">
        <f>IFERROR(__xludf.DUMMYFUNCTION("if(H4820=""pays"",vlookup(REGEXEXTRACT(C4820, ""🏘️ \w+ \w+ (.*) ✅""),'Country prepositions'!A:B, 2, 0) &amp; "" "" &amp; REGEXEXTRACT(C4820, ""🏘️ \w+ \w+ (.*) ✅"") ,  if(H4820=""quartier"",vlookup(REGEXEXTRACT(C4820, ""🏘️ \w+ \w+ (.*) ✅""),'Quartier prepositio"&amp;"ns'!A:E, 5, 0) ,  if(H4820=""region"",vlookup(REGEXEXTRACT(C4820, ""🏘️ \w+ \w+ (.*) ✅""),'Region prepositions'!B:F, 5, 0),  REGEXEXTRACT(C4820, ""🏘️ \w+ \w+ (.*) ✅""))))"),"#N/A")</f>
        <v>#N/A</v>
      </c>
      <c r="I4820" s="4" t="str">
        <f>IFERROR(__xludf.DUMMYFUNCTION("if(D4820=""variant"",  substitute(filter(Templates!E:E, Templates!A:A = F4820, Templates!B:B = G4820, Templates!C:C = H4820), ""{{}}"", E4820), B4820)"),"Vendre maison Onex: Trouvez le bien immobilier qui correspond idéalement à vos désirs sur ImmoScout24 - La plateforme de l'immobilier en Suisse.")</f>
        <v>Vendre maison Onex: Trouvez le bien immobilier qui correspond idéalement à vos désirs sur ImmoScout24 - La plateforme de l'immobilier en Suisse.</v>
      </c>
    </row>
    <row r="4821" hidden="1">
      <c r="A4821" s="5" t="s">
        <v>12741</v>
      </c>
      <c r="B4821" s="2" t="s">
        <v>12742</v>
      </c>
      <c r="C4821" s="2" t="s">
        <v>12742</v>
      </c>
      <c r="D4821" s="4" t="str">
        <f>vlookup(A4821, Sheet2!D:E, 2, 0)</f>
        <v>control</v>
      </c>
      <c r="E4821" s="4" t="str">
        <f>IFERROR(__xludf.DUMMYFUNCTION("if(H4821=""pays"",vlookup(REGEXEXTRACT(C4821, ""🏘️ \w+ \w+ (.*) ✅""),'Country prepositions'!A:B, 2, 0) &amp; "" "" &amp; REGEXEXTRACT(C4821, ""🏘️ \w+ \w+ (.*) ✅"") ,  if(H4821=""quartier"",vlookup(REGEXEXTRACT(C4821, ""🏘️ \w+ \w+ (.*) ✅""),'Quartier prepositio"&amp;"ns'!A:E, 5, 0) ,  if(H4821=""region"",vlookup(REGEXEXTRACT(C4821, ""🏘️ \w+ \w+ (.*) ✅""),'Region prepositions'!B:F, 5, 0),  REGEXEXTRACT(C4821, ""🏘️ \w+ \w+ (.*) ✅""))))"),"#N/A")</f>
        <v>#N/A</v>
      </c>
      <c r="I4821" s="4" t="str">
        <f>IFERROR(__xludf.DUMMYFUNCTION("if(D4821=""variant"",  substitute(filter(Templates!E:E, Templates!A:A = F4821, Templates!B:B = G4821, Templates!C:C = H4821), ""{{}}"", E4821), B4821)"),"Louer appartement ONU - Rigot (Genève): Trouvez le bien immobilier qui correspond idéalement à vos désirs sur ImmoScout24 - La plateforme de l'immobilier en Suisse.")</f>
        <v>Louer appartement ONU - Rigot (Genève): Trouvez le bien immobilier qui correspond idéalement à vos désirs sur ImmoScout24 - La plateforme de l'immobilier en Suisse.</v>
      </c>
    </row>
    <row r="4822" hidden="1">
      <c r="A4822" s="5" t="s">
        <v>12743</v>
      </c>
      <c r="B4822" s="2" t="s">
        <v>12744</v>
      </c>
      <c r="C4822" s="2" t="s">
        <v>12744</v>
      </c>
      <c r="D4822" s="4" t="str">
        <f>vlookup(A4822, Sheet2!D:E, 2, 0)</f>
        <v>control</v>
      </c>
      <c r="E4822" s="4" t="str">
        <f>IFERROR(__xludf.DUMMYFUNCTION("if(H4822=""pays"",vlookup(REGEXEXTRACT(C4822, ""🏘️ \w+ \w+ (.*) ✅""),'Country prepositions'!A:B, 2, 0) &amp; "" "" &amp; REGEXEXTRACT(C4822, ""🏘️ \w+ \w+ (.*) ✅"") ,  if(H4822=""quartier"",vlookup(REGEXEXTRACT(C4822, ""🏘️ \w+ \w+ (.*) ✅""),'Quartier prepositio"&amp;"ns'!A:E, 5, 0) ,  if(H4822=""region"",vlookup(REGEXEXTRACT(C4822, ""🏘️ \w+ \w+ (.*) ✅""),'Region prepositions'!B:F, 5, 0),  REGEXEXTRACT(C4822, ""🏘️ \w+ \w+ (.*) ✅""))))"),"#N/A")</f>
        <v>#N/A</v>
      </c>
      <c r="I4822" s="4" t="str">
        <f>IFERROR(__xludf.DUMMYFUNCTION("if(D4822=""variant"",  substitute(filter(Templates!E:E, Templates!A:A = F4822, Templates!B:B = G4822, Templates!C:C = H4822), ""{{}}"", E4822), B4822)"),"Vendre maison Kiental: Trouvez le bien immobilier qui correspond idéalement à vos désirs sur ImmoScout24 - La plateforme de l'immobilier en Suisse.")</f>
        <v>Vendre maison Kiental: Trouvez le bien immobilier qui correspond idéalement à vos désirs sur ImmoScout24 - La plateforme de l'immobilier en Suisse.</v>
      </c>
    </row>
    <row r="4823" hidden="1">
      <c r="A4823" s="5" t="s">
        <v>12745</v>
      </c>
      <c r="B4823" s="2" t="s">
        <v>12746</v>
      </c>
      <c r="C4823" s="2" t="s">
        <v>12746</v>
      </c>
      <c r="D4823" s="4" t="str">
        <f>vlookup(A4823, Sheet2!D:E, 2, 0)</f>
        <v>control</v>
      </c>
      <c r="E4823" s="4" t="str">
        <f>IFERROR(__xludf.DUMMYFUNCTION("if(H4823=""pays"",vlookup(REGEXEXTRACT(C4823, ""🏘️ \w+ \w+ (.*) ✅""),'Country prepositions'!A:B, 2, 0) &amp; "" "" &amp; REGEXEXTRACT(C4823, ""🏘️ \w+ \w+ (.*) ✅"") ,  if(H4823=""quartier"",vlookup(REGEXEXTRACT(C4823, ""🏘️ \w+ \w+ (.*) ✅""),'Quartier prepositio"&amp;"ns'!A:E, 5, 0) ,  if(H4823=""region"",vlookup(REGEXEXTRACT(C4823, ""🏘️ \w+ \w+ (.*) ✅""),'Region prepositions'!B:F, 5, 0),  REGEXEXTRACT(C4823, ""🏘️ \w+ \w+ (.*) ✅""))))"),"#N/A")</f>
        <v>#N/A</v>
      </c>
      <c r="I4823" s="4" t="str">
        <f>IFERROR(__xludf.DUMMYFUNCTION("if(D4823=""variant"",  substitute(filter(Templates!E:E, Templates!A:A = F4823, Templates!B:B = G4823, Templates!C:C = H4823), ""{{}}"", E4823), B4823)"),"Vendre maison Menznau: Trouvez le bien immobilier qui correspond idéalement à vos désirs sur ImmoScout24 - La plateforme de l'immobilier en Suisse.")</f>
        <v>Vendre maison Menznau: Trouvez le bien immobilier qui correspond idéalement à vos désirs sur ImmoScout24 - La plateforme de l'immobilier en Suisse.</v>
      </c>
    </row>
    <row r="4824" hidden="1">
      <c r="A4824" s="5" t="s">
        <v>12747</v>
      </c>
      <c r="B4824" s="2" t="s">
        <v>12748</v>
      </c>
      <c r="C4824" s="2" t="s">
        <v>12748</v>
      </c>
      <c r="D4824" s="4" t="str">
        <f>vlookup(A4824, Sheet2!D:E, 2, 0)</f>
        <v>control</v>
      </c>
      <c r="E4824" s="4" t="str">
        <f>IFERROR(__xludf.DUMMYFUNCTION("if(H4824=""pays"",vlookup(REGEXEXTRACT(C4824, ""🏘️ \w+ \w+ (.*) ✅""),'Country prepositions'!A:B, 2, 0) &amp; "" "" &amp; REGEXEXTRACT(C4824, ""🏘️ \w+ \w+ (.*) ✅"") ,  if(H4824=""quartier"",vlookup(REGEXEXTRACT(C4824, ""🏘️ \w+ \w+ (.*) ✅""),'Quartier prepositio"&amp;"ns'!A:E, 5, 0) ,  if(H4824=""region"",vlookup(REGEXEXTRACT(C4824, ""🏘️ \w+ \w+ (.*) ✅""),'Region prepositions'!B:F, 5, 0),  REGEXEXTRACT(C4824, ""🏘️ \w+ \w+ (.*) ✅""))))"),"#N/A")</f>
        <v>#N/A</v>
      </c>
      <c r="I4824" s="4" t="str">
        <f>IFERROR(__xludf.DUMMYFUNCTION("if(D4824=""variant"",  substitute(filter(Templates!E:E, Templates!A:A = F4824, Templates!B:B = G4824, Templates!C:C = H4824), ""{{}}"", E4824), B4824)"),"Vendre maison Chavannes-près-Renens: Trouvez le bien immobilier qui correspond idéalement à vos désirs sur ImmoScout24 - La plateforme de l'immobilier en Suisse.")</f>
        <v>Vendre maison Chavannes-près-Renens: Trouvez le bien immobilier qui correspond idéalement à vos désirs sur ImmoScout24 - La plateforme de l'immobilier en Suisse.</v>
      </c>
    </row>
    <row r="4825" hidden="1">
      <c r="A4825" s="5" t="s">
        <v>12749</v>
      </c>
      <c r="B4825" s="2" t="s">
        <v>12750</v>
      </c>
      <c r="C4825" s="2" t="s">
        <v>12750</v>
      </c>
      <c r="D4825" s="4" t="str">
        <f>vlookup(A4825, Sheet2!D:E, 2, 0)</f>
        <v>control</v>
      </c>
      <c r="E4825" s="4" t="str">
        <f>IFERROR(__xludf.DUMMYFUNCTION("if(H4825=""pays"",vlookup(REGEXEXTRACT(C4825, ""🏘️ \w+ \w+ (.*) ✅""),'Country prepositions'!A:B, 2, 0) &amp; "" "" &amp; REGEXEXTRACT(C4825, ""🏘️ \w+ \w+ (.*) ✅"") ,  if(H4825=""quartier"",vlookup(REGEXEXTRACT(C4825, ""🏘️ \w+ \w+ (.*) ✅""),'Quartier prepositio"&amp;"ns'!A:E, 5, 0) ,  if(H4825=""region"",vlookup(REGEXEXTRACT(C4825, ""🏘️ \w+ \w+ (.*) ✅""),'Region prepositions'!B:F, 5, 0),  REGEXEXTRACT(C4825, ""🏘️ \w+ \w+ (.*) ✅""))))"),"#N/A")</f>
        <v>#N/A</v>
      </c>
      <c r="I4825" s="4" t="str">
        <f>IFERROR(__xludf.DUMMYFUNCTION("if(D4825=""variant"",  substitute(filter(Templates!E:E, Templates!A:A = F4825, Templates!B:B = G4825, Templates!C:C = H4825), ""{{}}"", E4825), B4825)"),"Louer appartement Clarmont: Trouvez le bien immobilier qui correspond idéalement à vos désirs sur ImmoScout24 - La plateforme de l'immobilier en Suisse.")</f>
        <v>Louer appartement Clarmont: Trouvez le bien immobilier qui correspond idéalement à vos désirs sur ImmoScout24 - La plateforme de l'immobilier en Suisse.</v>
      </c>
    </row>
    <row r="4826" hidden="1">
      <c r="A4826" s="5" t="s">
        <v>12751</v>
      </c>
      <c r="B4826" s="2" t="s">
        <v>12752</v>
      </c>
      <c r="C4826" s="2" t="s">
        <v>12752</v>
      </c>
      <c r="D4826" s="4" t="str">
        <f>vlookup(A4826, Sheet2!D:E, 2, 0)</f>
        <v>control</v>
      </c>
      <c r="E4826" s="4" t="str">
        <f>IFERROR(__xludf.DUMMYFUNCTION("if(H4826=""pays"",vlookup(REGEXEXTRACT(C4826, ""🏘️ \w+ \w+ (.*) ✅""),'Country prepositions'!A:B, 2, 0) &amp; "" "" &amp; REGEXEXTRACT(C4826, ""🏘️ \w+ \w+ (.*) ✅"") ,  if(H4826=""quartier"",vlookup(REGEXEXTRACT(C4826, ""🏘️ \w+ \w+ (.*) ✅""),'Quartier prepositio"&amp;"ns'!A:E, 5, 0) ,  if(H4826=""region"",vlookup(REGEXEXTRACT(C4826, ""🏘️ \w+ \w+ (.*) ✅""),'Region prepositions'!B:F, 5, 0),  REGEXEXTRACT(C4826, ""🏘️ \w+ \w+ (.*) ✅""))))"),"#N/A")</f>
        <v>#N/A</v>
      </c>
      <c r="I4826" s="4" t="str">
        <f>IFERROR(__xludf.DUMMYFUNCTION("if(D4826=""variant"",  substitute(filter(Templates!E:E, Templates!A:A = F4826, Templates!B:B = G4826, Templates!C:C = H4826), ""{{}}"", E4826), B4826)"),"Vendre maison Montagny-la-Ville: Trouvez le bien immobilier qui correspond idéalement à vos désirs sur ImmoScout24 - La plateforme de l'immobilier en Suisse.")</f>
        <v>Vendre maison Montagny-la-Ville: Trouvez le bien immobilier qui correspond idéalement à vos désirs sur ImmoScout24 - La plateforme de l'immobilier en Suisse.</v>
      </c>
    </row>
    <row r="4827" hidden="1">
      <c r="A4827" s="5" t="s">
        <v>12753</v>
      </c>
      <c r="B4827" s="2" t="s">
        <v>12754</v>
      </c>
      <c r="C4827" s="2" t="s">
        <v>12754</v>
      </c>
      <c r="D4827" s="4" t="str">
        <f>vlookup(A4827, Sheet2!D:E, 2, 0)</f>
        <v>control</v>
      </c>
      <c r="E4827" s="4" t="str">
        <f>IFERROR(__xludf.DUMMYFUNCTION("if(H4827=""pays"",vlookup(REGEXEXTRACT(C4827, ""🏘️ \w+ \w+ (.*) ✅""),'Country prepositions'!A:B, 2, 0) &amp; "" "" &amp; REGEXEXTRACT(C4827, ""🏘️ \w+ \w+ (.*) ✅"") ,  if(H4827=""quartier"",vlookup(REGEXEXTRACT(C4827, ""🏘️ \w+ \w+ (.*) ✅""),'Quartier prepositio"&amp;"ns'!A:E, 5, 0) ,  if(H4827=""region"",vlookup(REGEXEXTRACT(C4827, ""🏘️ \w+ \w+ (.*) ✅""),'Region prepositions'!B:F, 5, 0),  REGEXEXTRACT(C4827, ""🏘️ \w+ \w+ (.*) ✅""))))"),"#N/A")</f>
        <v>#N/A</v>
      </c>
      <c r="I4827" s="4" t="str">
        <f>IFERROR(__xludf.DUMMYFUNCTION("if(D4827=""variant"",  substitute(filter(Templates!E:E, Templates!A:A = F4827, Templates!B:B = G4827, Templates!C:C = H4827), ""{{}}"", E4827), B4827)"),"Louer maison Mase: Trouvez le bien immobilier qui correspond idéalement à vos désirs sur ImmoScout24 - La plateforme de l'immobilier en Suisse.")</f>
        <v>Louer maison Mase: Trouvez le bien immobilier qui correspond idéalement à vos désirs sur ImmoScout24 - La plateforme de l'immobilier en Suisse.</v>
      </c>
    </row>
    <row r="4828" hidden="1">
      <c r="A4828" s="5" t="s">
        <v>12755</v>
      </c>
      <c r="B4828" s="2" t="s">
        <v>12756</v>
      </c>
      <c r="C4828" s="2" t="s">
        <v>12756</v>
      </c>
      <c r="D4828" s="4" t="str">
        <f>vlookup(A4828, Sheet2!D:E, 2, 0)</f>
        <v>control</v>
      </c>
      <c r="E4828" s="4" t="str">
        <f>IFERROR(__xludf.DUMMYFUNCTION("if(H4828=""pays"",vlookup(REGEXEXTRACT(C4828, ""🏘️ \w+ \w+ (.*) ✅""),'Country prepositions'!A:B, 2, 0) &amp; "" "" &amp; REGEXEXTRACT(C4828, ""🏘️ \w+ \w+ (.*) ✅"") ,  if(H4828=""quartier"",vlookup(REGEXEXTRACT(C4828, ""🏘️ \w+ \w+ (.*) ✅""),'Quartier prepositio"&amp;"ns'!A:E, 5, 0) ,  if(H4828=""region"",vlookup(REGEXEXTRACT(C4828, ""🏘️ \w+ \w+ (.*) ✅""),'Region prepositions'!B:F, 5, 0),  REGEXEXTRACT(C4828, ""🏘️ \w+ \w+ (.*) ✅""))))"),"#N/A")</f>
        <v>#N/A</v>
      </c>
      <c r="I4828" s="4" t="str">
        <f>IFERROR(__xludf.DUMMYFUNCTION("if(D4828=""variant"",  substitute(filter(Templates!E:E, Templates!A:A = F4828, Templates!B:B = G4828, Templates!C:C = H4828), ""{{}}"", E4828), B4828)"),"Vendre maison Cointrin: Trouvez le bien immobilier qui correspond idéalement à vos désirs sur ImmoScout24 - La plateforme de l'immobilier en Suisse.")</f>
        <v>Vendre maison Cointrin: Trouvez le bien immobilier qui correspond idéalement à vos désirs sur ImmoScout24 - La plateforme de l'immobilier en Suisse.</v>
      </c>
    </row>
    <row r="4829" hidden="1">
      <c r="A4829" s="5" t="s">
        <v>12757</v>
      </c>
      <c r="B4829" s="2" t="s">
        <v>12758</v>
      </c>
      <c r="C4829" s="2" t="s">
        <v>12758</v>
      </c>
      <c r="D4829" s="4" t="str">
        <f>vlookup(A4829, Sheet2!D:E, 2, 0)</f>
        <v>control</v>
      </c>
      <c r="E4829" s="4" t="str">
        <f>IFERROR(__xludf.DUMMYFUNCTION("if(H4829=""pays"",vlookup(REGEXEXTRACT(C4829, ""🏘️ \w+ \w+ (.*) ✅""),'Country prepositions'!A:B, 2, 0) &amp; "" "" &amp; REGEXEXTRACT(C4829, ""🏘️ \w+ \w+ (.*) ✅"") ,  if(H4829=""quartier"",vlookup(REGEXEXTRACT(C4829, ""🏘️ \w+ \w+ (.*) ✅""),'Quartier prepositio"&amp;"ns'!A:E, 5, 0) ,  if(H4829=""region"",vlookup(REGEXEXTRACT(C4829, ""🏘️ \w+ \w+ (.*) ✅""),'Region prepositions'!B:F, 5, 0),  REGEXEXTRACT(C4829, ""🏘️ \w+ \w+ (.*) ✅""))))"),"#N/A")</f>
        <v>#N/A</v>
      </c>
      <c r="I4829" s="4" t="str">
        <f>IFERROR(__xludf.DUMMYFUNCTION("if(D4829=""variant"",  substitute(filter(Templates!E:E, Templates!A:A = F4829, Templates!B:B = G4829, Templates!C:C = H4829), ""{{}}"", E4829), B4829)"),"Vendre appartement Vex: Trouvez le bien immobilier qui correspond idéalement à vos désirs sur ImmoScout24 - La plateforme de l'immobilier en Suisse.")</f>
        <v>Vendre appartement Vex: Trouvez le bien immobilier qui correspond idéalement à vos désirs sur ImmoScout24 - La plateforme de l'immobilier en Suisse.</v>
      </c>
    </row>
    <row r="4830" hidden="1">
      <c r="A4830" s="5" t="s">
        <v>12759</v>
      </c>
      <c r="B4830" s="2" t="s">
        <v>12760</v>
      </c>
      <c r="C4830" s="2" t="s">
        <v>12760</v>
      </c>
      <c r="D4830" s="4" t="str">
        <f>vlookup(A4830, Sheet2!D:E, 2, 0)</f>
        <v>control</v>
      </c>
      <c r="E4830" s="4" t="str">
        <f>IFERROR(__xludf.DUMMYFUNCTION("if(H4830=""pays"",vlookup(REGEXEXTRACT(C4830, ""🏘️ \w+ \w+ (.*) ✅""),'Country prepositions'!A:B, 2, 0) &amp; "" "" &amp; REGEXEXTRACT(C4830, ""🏘️ \w+ \w+ (.*) ✅"") ,  if(H4830=""quartier"",vlookup(REGEXEXTRACT(C4830, ""🏘️ \w+ \w+ (.*) ✅""),'Quartier prepositio"&amp;"ns'!A:E, 5, 0) ,  if(H4830=""region"",vlookup(REGEXEXTRACT(C4830, ""🏘️ \w+ \w+ (.*) ✅""),'Region prepositions'!B:F, 5, 0),  REGEXEXTRACT(C4830, ""🏘️ \w+ \w+ (.*) ✅""))))"),"#N/A")</f>
        <v>#N/A</v>
      </c>
      <c r="I4830" s="4" t="str">
        <f>IFERROR(__xludf.DUMMYFUNCTION("if(D4830=""variant"",  substitute(filter(Templates!E:E, Templates!A:A = F4830, Templates!B:B = G4830, Templates!C:C = H4830), ""{{}}"", E4830), B4830)"),"Louer maison Isérables: Trouvez le bien immobilier qui correspond idéalement à vos désirs sur ImmoScout24 - La plateforme de l'immobilier en Suisse.")</f>
        <v>Louer maison Isérables: Trouvez le bien immobilier qui correspond idéalement à vos désirs sur ImmoScout24 - La plateforme de l'immobilier en Suisse.</v>
      </c>
    </row>
    <row r="4831" hidden="1">
      <c r="A4831" s="5" t="s">
        <v>12761</v>
      </c>
      <c r="B4831" s="2" t="s">
        <v>12762</v>
      </c>
      <c r="C4831" s="2" t="s">
        <v>12762</v>
      </c>
      <c r="D4831" s="4" t="str">
        <f>vlookup(A4831, Sheet2!D:E, 2, 0)</f>
        <v>control</v>
      </c>
      <c r="E4831" s="4" t="str">
        <f>IFERROR(__xludf.DUMMYFUNCTION("if(H4831=""pays"",vlookup(REGEXEXTRACT(C4831, ""🏘️ \w+ \w+ (.*) ✅""),'Country prepositions'!A:B, 2, 0) &amp; "" "" &amp; REGEXEXTRACT(C4831, ""🏘️ \w+ \w+ (.*) ✅"") ,  if(H4831=""quartier"",vlookup(REGEXEXTRACT(C4831, ""🏘️ \w+ \w+ (.*) ✅""),'Quartier prepositio"&amp;"ns'!A:E, 5, 0) ,  if(H4831=""region"",vlookup(REGEXEXTRACT(C4831, ""🏘️ \w+ \w+ (.*) ✅""),'Region prepositions'!B:F, 5, 0),  REGEXEXTRACT(C4831, ""🏘️ \w+ \w+ (.*) ✅""))))"),"#N/A")</f>
        <v>#N/A</v>
      </c>
      <c r="I4831" s="4" t="str">
        <f>IFERROR(__xludf.DUMMYFUNCTION("if(D4831=""variant"",  substitute(filter(Templates!E:E, Templates!A:A = F4831, Templates!B:B = G4831, Templates!C:C = H4831), ""{{}}"", E4831), B4831)"),"Louer maison Bas Valais: Trouvez le bien immobilier qui correspond idéalement à vos désirs sur ImmoScout24 - La plateforme de l'immobilier en Suisse.")</f>
        <v>Louer maison Bas Valais: Trouvez le bien immobilier qui correspond idéalement à vos désirs sur ImmoScout24 - La plateforme de l'immobilier en Suisse.</v>
      </c>
    </row>
    <row r="4832" hidden="1">
      <c r="A4832" s="5" t="s">
        <v>12763</v>
      </c>
      <c r="B4832" s="2" t="s">
        <v>12764</v>
      </c>
      <c r="C4832" s="2" t="s">
        <v>12764</v>
      </c>
      <c r="D4832" s="4" t="str">
        <f>vlookup(A4832, Sheet2!D:E, 2, 0)</f>
        <v>control</v>
      </c>
      <c r="E4832" s="4" t="str">
        <f>IFERROR(__xludf.DUMMYFUNCTION("if(H4832=""pays"",vlookup(REGEXEXTRACT(C4832, ""🏘️ \w+ \w+ (.*) ✅""),'Country prepositions'!A:B, 2, 0) &amp; "" "" &amp; REGEXEXTRACT(C4832, ""🏘️ \w+ \w+ (.*) ✅"") ,  if(H4832=""quartier"",vlookup(REGEXEXTRACT(C4832, ""🏘️ \w+ \w+ (.*) ✅""),'Quartier prepositio"&amp;"ns'!A:E, 5, 0) ,  if(H4832=""region"",vlookup(REGEXEXTRACT(C4832, ""🏘️ \w+ \w+ (.*) ✅""),'Region prepositions'!B:F, 5, 0),  REGEXEXTRACT(C4832, ""🏘️ \w+ \w+ (.*) ✅""))))"),"#N/A")</f>
        <v>#N/A</v>
      </c>
      <c r="I4832" s="4" t="str">
        <f>IFERROR(__xludf.DUMMYFUNCTION("if(D4832=""variant"",  substitute(filter(Templates!E:E, Templates!A:A = F4832, Templates!B:B = G4832, Templates!C:C = H4832), ""{{}}"", E4832), B4832)"),"Vendre appartement Les Monts-de-Corsier: Trouvez le bien immobilier qui correspond idéalement à vos désirs sur ImmoScout24 - La plateforme de l'immobilier en Suisse.")</f>
        <v>Vendre appartement Les Monts-de-Corsier: Trouvez le bien immobilier qui correspond idéalement à vos désirs sur ImmoScout24 - La plateforme de l'immobilier en Suisse.</v>
      </c>
    </row>
    <row r="4833" hidden="1">
      <c r="A4833" s="5" t="s">
        <v>12765</v>
      </c>
      <c r="B4833" s="2" t="s">
        <v>12766</v>
      </c>
      <c r="C4833" s="2" t="s">
        <v>12766</v>
      </c>
      <c r="D4833" s="4" t="str">
        <f>vlookup(A4833, Sheet2!D:E, 2, 0)</f>
        <v>control</v>
      </c>
      <c r="E4833" s="4" t="str">
        <f>IFERROR(__xludf.DUMMYFUNCTION("if(H4833=""pays"",vlookup(REGEXEXTRACT(C4833, ""🏘️ \w+ \w+ (.*) ✅""),'Country prepositions'!A:B, 2, 0) &amp; "" "" &amp; REGEXEXTRACT(C4833, ""🏘️ \w+ \w+ (.*) ✅"") ,  if(H4833=""quartier"",vlookup(REGEXEXTRACT(C4833, ""🏘️ \w+ \w+ (.*) ✅""),'Quartier prepositio"&amp;"ns'!A:E, 5, 0) ,  if(H4833=""region"",vlookup(REGEXEXTRACT(C4833, ""🏘️ \w+ \w+ (.*) ✅""),'Region prepositions'!B:F, 5, 0),  REGEXEXTRACT(C4833, ""🏘️ \w+ \w+ (.*) ✅""))))"),"#N/A")</f>
        <v>#N/A</v>
      </c>
      <c r="I4833" s="4" t="str">
        <f>IFERROR(__xludf.DUMMYFUNCTION("if(D4833=""variant"",  substitute(filter(Templates!E:E, Templates!A:A = F4833, Templates!B:B = G4833, Templates!C:C = H4833), ""{{}}"", E4833), B4833)"),"Vendre maison Romanel-sur-Morges: Trouvez le bien immobilier qui correspond idéalement à vos désirs sur ImmoScout24 - La plateforme de l'immobilier en Suisse.")</f>
        <v>Vendre maison Romanel-sur-Morges: Trouvez le bien immobilier qui correspond idéalement à vos désirs sur ImmoScout24 - La plateforme de l'immobilier en Suisse.</v>
      </c>
    </row>
    <row r="4834" hidden="1">
      <c r="A4834" s="5" t="s">
        <v>12767</v>
      </c>
      <c r="B4834" s="2" t="s">
        <v>12768</v>
      </c>
      <c r="C4834" s="2" t="s">
        <v>12768</v>
      </c>
      <c r="D4834" s="4" t="str">
        <f>vlookup(A4834, Sheet2!D:E, 2, 0)</f>
        <v>control</v>
      </c>
      <c r="E4834" s="4" t="str">
        <f>IFERROR(__xludf.DUMMYFUNCTION("if(H4834=""pays"",vlookup(REGEXEXTRACT(C4834, ""🏘️ \w+ \w+ (.*) ✅""),'Country prepositions'!A:B, 2, 0) &amp; "" "" &amp; REGEXEXTRACT(C4834, ""🏘️ \w+ \w+ (.*) ✅"") ,  if(H4834=""quartier"",vlookup(REGEXEXTRACT(C4834, ""🏘️ \w+ \w+ (.*) ✅""),'Quartier prepositio"&amp;"ns'!A:E, 5, 0) ,  if(H4834=""region"",vlookup(REGEXEXTRACT(C4834, ""🏘️ \w+ \w+ (.*) ✅""),'Region prepositions'!B:F, 5, 0),  REGEXEXTRACT(C4834, ""🏘️ \w+ \w+ (.*) ✅""))))"),"#N/A")</f>
        <v>#N/A</v>
      </c>
      <c r="I4834" s="4" t="str">
        <f>IFERROR(__xludf.DUMMYFUNCTION("if(D4834=""variant"",  substitute(filter(Templates!E:E, Templates!A:A = F4834, Templates!B:B = G4834, Templates!C:C = H4834), ""{{}}"", E4834), B4834)"),"Louer appartement Sementina: Trouvez le bien immobilier qui correspond idéalement à vos désirs sur ImmoScout24 - La plateforme de l'immobilier en Suisse.")</f>
        <v>Louer appartement Sementina: Trouvez le bien immobilier qui correspond idéalement à vos désirs sur ImmoScout24 - La plateforme de l'immobilier en Suisse.</v>
      </c>
    </row>
    <row r="4835" hidden="1">
      <c r="A4835" s="5" t="s">
        <v>12769</v>
      </c>
      <c r="B4835" s="2" t="s">
        <v>12770</v>
      </c>
      <c r="C4835" s="2" t="s">
        <v>12770</v>
      </c>
      <c r="D4835" s="4" t="str">
        <f>vlookup(A4835, Sheet2!D:E, 2, 0)</f>
        <v>control</v>
      </c>
      <c r="E4835" s="4" t="str">
        <f>IFERROR(__xludf.DUMMYFUNCTION("if(H4835=""pays"",vlookup(REGEXEXTRACT(C4835, ""🏘️ \w+ \w+ (.*) ✅""),'Country prepositions'!A:B, 2, 0) &amp; "" "" &amp; REGEXEXTRACT(C4835, ""🏘️ \w+ \w+ (.*) ✅"") ,  if(H4835=""quartier"",vlookup(REGEXEXTRACT(C4835, ""🏘️ \w+ \w+ (.*) ✅""),'Quartier prepositio"&amp;"ns'!A:E, 5, 0) ,  if(H4835=""region"",vlookup(REGEXEXTRACT(C4835, ""🏘️ \w+ \w+ (.*) ✅""),'Region prepositions'!B:F, 5, 0),  REGEXEXTRACT(C4835, ""🏘️ \w+ \w+ (.*) ✅""))))"),"#N/A")</f>
        <v>#N/A</v>
      </c>
      <c r="I4835" s="4" t="str">
        <f>IFERROR(__xludf.DUMMYFUNCTION("if(D4835=""variant"",  substitute(filter(Templates!E:E, Templates!A:A = F4835, Templates!B:B = G4835, Templates!C:C = H4835), ""{{}}"", E4835), B4835)"),"Vendre maison Bussigny-sur-Oron: Trouvez le bien immobilier qui correspond idéalement à vos désirs sur ImmoScout24 - La plateforme de l'immobilier en Suisse.")</f>
        <v>Vendre maison Bussigny-sur-Oron: Trouvez le bien immobilier qui correspond idéalement à vos désirs sur ImmoScout24 - La plateforme de l'immobilier en Suisse.</v>
      </c>
    </row>
    <row r="4836" hidden="1">
      <c r="A4836" s="5" t="s">
        <v>12771</v>
      </c>
      <c r="B4836" s="2" t="s">
        <v>12772</v>
      </c>
      <c r="C4836" s="2" t="s">
        <v>12772</v>
      </c>
      <c r="D4836" s="4" t="str">
        <f>vlookup(A4836, Sheet2!D:E, 2, 0)</f>
        <v>control</v>
      </c>
      <c r="E4836" s="4" t="str">
        <f>IFERROR(__xludf.DUMMYFUNCTION("if(H4836=""pays"",vlookup(REGEXEXTRACT(C4836, ""🏘️ \w+ \w+ (.*) ✅""),'Country prepositions'!A:B, 2, 0) &amp; "" "" &amp; REGEXEXTRACT(C4836, ""🏘️ \w+ \w+ (.*) ✅"") ,  if(H4836=""quartier"",vlookup(REGEXEXTRACT(C4836, ""🏘️ \w+ \w+ (.*) ✅""),'Quartier prepositio"&amp;"ns'!A:E, 5, 0) ,  if(H4836=""region"",vlookup(REGEXEXTRACT(C4836, ""🏘️ \w+ \w+ (.*) ✅""),'Region prepositions'!B:F, 5, 0),  REGEXEXTRACT(C4836, ""🏘️ \w+ \w+ (.*) ✅""))))"),"#N/A")</f>
        <v>#N/A</v>
      </c>
      <c r="I4836" s="4" t="str">
        <f>IFERROR(__xludf.DUMMYFUNCTION("if(D4836=""variant"",  substitute(filter(Templates!E:E, Templates!A:A = F4836, Templates!B:B = G4836, Templates!C:C = H4836), ""{{}}"", E4836), B4836)"),"Vendre appartement Ecublens VD: Trouvez le bien immobilier qui correspond idéalement à vos désirs sur ImmoScout24 - La plateforme de l'immobilier en Suisse.")</f>
        <v>Vendre appartement Ecublens VD: Trouvez le bien immobilier qui correspond idéalement à vos désirs sur ImmoScout24 - La plateforme de l'immobilier en Suisse.</v>
      </c>
    </row>
    <row r="4837" hidden="1">
      <c r="A4837" s="5" t="s">
        <v>12773</v>
      </c>
      <c r="B4837" s="2" t="s">
        <v>12774</v>
      </c>
      <c r="C4837" s="2" t="s">
        <v>12774</v>
      </c>
      <c r="D4837" s="4" t="str">
        <f>vlookup(A4837, Sheet2!D:E, 2, 0)</f>
        <v>control</v>
      </c>
      <c r="E4837" s="4" t="str">
        <f>IFERROR(__xludf.DUMMYFUNCTION("if(H4837=""pays"",vlookup(REGEXEXTRACT(C4837, ""🏘️ \w+ \w+ (.*) ✅""),'Country prepositions'!A:B, 2, 0) &amp; "" "" &amp; REGEXEXTRACT(C4837, ""🏘️ \w+ \w+ (.*) ✅"") ,  if(H4837=""quartier"",vlookup(REGEXEXTRACT(C4837, ""🏘️ \w+ \w+ (.*) ✅""),'Quartier prepositio"&amp;"ns'!A:E, 5, 0) ,  if(H4837=""region"",vlookup(REGEXEXTRACT(C4837, ""🏘️ \w+ \w+ (.*) ✅""),'Region prepositions'!B:F, 5, 0),  REGEXEXTRACT(C4837, ""🏘️ \w+ \w+ (.*) ✅""))))"),"#N/A")</f>
        <v>#N/A</v>
      </c>
      <c r="I4837" s="4" t="str">
        <f>IFERROR(__xludf.DUMMYFUNCTION("if(D4837=""variant"",  substitute(filter(Templates!E:E, Templates!A:A = F4837, Templates!B:B = G4837, Templates!C:C = H4837), ""{{}}"", E4837), B4837)"),"Louer appartement Lignières: Trouvez le bien immobilier qui correspond idéalement à vos désirs sur ImmoScout24 - La plateforme de l'immobilier en Suisse.")</f>
        <v>Louer appartement Lignières: Trouvez le bien immobilier qui correspond idéalement à vos désirs sur ImmoScout24 - La plateforme de l'immobilier en Suisse.</v>
      </c>
    </row>
    <row r="4838" hidden="1">
      <c r="A4838" s="5" t="s">
        <v>12775</v>
      </c>
      <c r="B4838" s="2" t="s">
        <v>12776</v>
      </c>
      <c r="C4838" s="2" t="s">
        <v>12776</v>
      </c>
      <c r="D4838" s="4" t="str">
        <f>vlookup(A4838, Sheet2!D:E, 2, 0)</f>
        <v>control</v>
      </c>
      <c r="E4838" s="4" t="str">
        <f>IFERROR(__xludf.DUMMYFUNCTION("if(H4838=""pays"",vlookup(REGEXEXTRACT(C4838, ""🏘️ \w+ \w+ (.*) ✅""),'Country prepositions'!A:B, 2, 0) &amp; "" "" &amp; REGEXEXTRACT(C4838, ""🏘️ \w+ \w+ (.*) ✅"") ,  if(H4838=""quartier"",vlookup(REGEXEXTRACT(C4838, ""🏘️ \w+ \w+ (.*) ✅""),'Quartier prepositio"&amp;"ns'!A:E, 5, 0) ,  if(H4838=""region"",vlookup(REGEXEXTRACT(C4838, ""🏘️ \w+ \w+ (.*) ✅""),'Region prepositions'!B:F, 5, 0),  REGEXEXTRACT(C4838, ""🏘️ \w+ \w+ (.*) ✅""))))"),"#N/A")</f>
        <v>#N/A</v>
      </c>
      <c r="I4838" s="4" t="str">
        <f>IFERROR(__xludf.DUMMYFUNCTION("if(D4838=""variant"",  substitute(filter(Templates!E:E, Templates!A:A = F4838, Templates!B:B = G4838, Templates!C:C = H4838), ""{{}}"", E4838), B4838)"),"Vendre maison Surpierre: Trouvez le bien immobilier qui correspond idéalement à vos désirs sur ImmoScout24 - La plateforme de l'immobilier en Suisse.")</f>
        <v>Vendre maison Surpierre: Trouvez le bien immobilier qui correspond idéalement à vos désirs sur ImmoScout24 - La plateforme de l'immobilier en Suisse.</v>
      </c>
    </row>
    <row r="4839" hidden="1">
      <c r="A4839" s="5" t="s">
        <v>12777</v>
      </c>
      <c r="B4839" s="2" t="s">
        <v>12778</v>
      </c>
      <c r="C4839" s="2" t="s">
        <v>12778</v>
      </c>
      <c r="D4839" s="4" t="str">
        <f>vlookup(A4839, Sheet2!D:E, 2, 0)</f>
        <v>control</v>
      </c>
      <c r="E4839" s="4" t="str">
        <f>IFERROR(__xludf.DUMMYFUNCTION("if(H4839=""pays"",vlookup(REGEXEXTRACT(C4839, ""🏘️ \w+ \w+ (.*) ✅""),'Country prepositions'!A:B, 2, 0) &amp; "" "" &amp; REGEXEXTRACT(C4839, ""🏘️ \w+ \w+ (.*) ✅"") ,  if(H4839=""quartier"",vlookup(REGEXEXTRACT(C4839, ""🏘️ \w+ \w+ (.*) ✅""),'Quartier prepositio"&amp;"ns'!A:E, 5, 0) ,  if(H4839=""region"",vlookup(REGEXEXTRACT(C4839, ""🏘️ \w+ \w+ (.*) ✅""),'Region prepositions'!B:F, 5, 0),  REGEXEXTRACT(C4839, ""🏘️ \w+ \w+ (.*) ✅""))))"),"#N/A")</f>
        <v>#N/A</v>
      </c>
      <c r="I4839" s="4" t="str">
        <f>IFERROR(__xludf.DUMMYFUNCTION("if(D4839=""variant"",  substitute(filter(Templates!E:E, Templates!A:A = F4839, Templates!B:B = G4839, Templates!C:C = H4839), ""{{}}"", E4839), B4839)"),"Vendre maison Réchy: Trouvez le bien immobilier qui correspond idéalement à vos désirs sur ImmoScout24 - La plateforme de l'immobilier en Suisse.")</f>
        <v>Vendre maison Réchy: Trouvez le bien immobilier qui correspond idéalement à vos désirs sur ImmoScout24 - La plateforme de l'immobilier en Suisse.</v>
      </c>
    </row>
    <row r="4840" hidden="1">
      <c r="A4840" s="5" t="s">
        <v>12779</v>
      </c>
      <c r="B4840" s="2" t="s">
        <v>12780</v>
      </c>
      <c r="C4840" s="2" t="s">
        <v>12780</v>
      </c>
      <c r="D4840" s="4" t="str">
        <f>vlookup(A4840, Sheet2!D:E, 2, 0)</f>
        <v>control</v>
      </c>
      <c r="E4840" s="4" t="str">
        <f>IFERROR(__xludf.DUMMYFUNCTION("if(H4840=""pays"",vlookup(REGEXEXTRACT(C4840, ""🏘️ \w+ \w+ (.*) ✅""),'Country prepositions'!A:B, 2, 0) &amp; "" "" &amp; REGEXEXTRACT(C4840, ""🏘️ \w+ \w+ (.*) ✅"") ,  if(H4840=""quartier"",vlookup(REGEXEXTRACT(C4840, ""🏘️ \w+ \w+ (.*) ✅""),'Quartier prepositio"&amp;"ns'!A:E, 5, 0) ,  if(H4840=""region"",vlookup(REGEXEXTRACT(C4840, ""🏘️ \w+ \w+ (.*) ✅""),'Region prepositions'!B:F, 5, 0),  REGEXEXTRACT(C4840, ""🏘️ \w+ \w+ (.*) ✅""))))"),"#N/A")</f>
        <v>#N/A</v>
      </c>
      <c r="I4840" s="4" t="str">
        <f>IFERROR(__xludf.DUMMYFUNCTION("if(D4840=""variant"",  substitute(filter(Templates!E:E, Templates!A:A = F4840, Templates!B:B = G4840, Templates!C:C = H4840), ""{{}}"", E4840), B4840)"),"Louer appartement Blumenstein: Trouvez le bien immobilier qui correspond idéalement à vos désirs sur ImmoScout24 - La plateforme de l'immobilier en Suisse.")</f>
        <v>Louer appartement Blumenstein: Trouvez le bien immobilier qui correspond idéalement à vos désirs sur ImmoScout24 - La plateforme de l'immobilier en Suisse.</v>
      </c>
    </row>
    <row r="4841" hidden="1">
      <c r="A4841" s="5" t="s">
        <v>12781</v>
      </c>
      <c r="B4841" s="2" t="s">
        <v>12782</v>
      </c>
      <c r="C4841" s="2" t="s">
        <v>12782</v>
      </c>
      <c r="D4841" s="4" t="str">
        <f>vlookup(A4841, Sheet2!D:E, 2, 0)</f>
        <v>control</v>
      </c>
      <c r="E4841" s="4" t="str">
        <f>IFERROR(__xludf.DUMMYFUNCTION("if(H4841=""pays"",vlookup(REGEXEXTRACT(C4841, ""🏘️ \w+ \w+ (.*) ✅""),'Country prepositions'!A:B, 2, 0) &amp; "" "" &amp; REGEXEXTRACT(C4841, ""🏘️ \w+ \w+ (.*) ✅"") ,  if(H4841=""quartier"",vlookup(REGEXEXTRACT(C4841, ""🏘️ \w+ \w+ (.*) ✅""),'Quartier prepositio"&amp;"ns'!A:E, 5, 0) ,  if(H4841=""region"",vlookup(REGEXEXTRACT(C4841, ""🏘️ \w+ \w+ (.*) ✅""),'Region prepositions'!B:F, 5, 0),  REGEXEXTRACT(C4841, ""🏘️ \w+ \w+ (.*) ✅""))))"),"#N/A")</f>
        <v>#N/A</v>
      </c>
      <c r="I4841" s="4" t="str">
        <f>IFERROR(__xludf.DUMMYFUNCTION("if(D4841=""variant"",  substitute(filter(Templates!E:E, Templates!A:A = F4841, Templates!B:B = G4841, Templates!C:C = H4841), ""{{}}"", E4841), B4841)"),"Louer maison Eaux-Vives - Lac (Genève): Trouvez le bien immobilier qui correspond idéalement à vos désirs sur ImmoScout24 - La plateforme de l'immobilier en Suisse.")</f>
        <v>Louer maison Eaux-Vives - Lac (Genève): Trouvez le bien immobilier qui correspond idéalement à vos désirs sur ImmoScout24 - La plateforme de l'immobilier en Suisse.</v>
      </c>
    </row>
    <row r="4842" hidden="1">
      <c r="A4842" s="5" t="s">
        <v>12783</v>
      </c>
      <c r="B4842" s="2" t="s">
        <v>12784</v>
      </c>
      <c r="C4842" s="2" t="s">
        <v>12784</v>
      </c>
      <c r="D4842" s="4" t="str">
        <f>vlookup(A4842, Sheet2!D:E, 2, 0)</f>
        <v>control</v>
      </c>
      <c r="E4842" s="4" t="str">
        <f>IFERROR(__xludf.DUMMYFUNCTION("if(H4842=""pays"",vlookup(REGEXEXTRACT(C4842, ""🏘️ \w+ \w+ (.*) ✅""),'Country prepositions'!A:B, 2, 0) &amp; "" "" &amp; REGEXEXTRACT(C4842, ""🏘️ \w+ \w+ (.*) ✅"") ,  if(H4842=""quartier"",vlookup(REGEXEXTRACT(C4842, ""🏘️ \w+ \w+ (.*) ✅""),'Quartier prepositio"&amp;"ns'!A:E, 5, 0) ,  if(H4842=""region"",vlookup(REGEXEXTRACT(C4842, ""🏘️ \w+ \w+ (.*) ✅""),'Region prepositions'!B:F, 5, 0),  REGEXEXTRACT(C4842, ""🏘️ \w+ \w+ (.*) ✅""))))"),"#N/A")</f>
        <v>#N/A</v>
      </c>
      <c r="I4842" s="4" t="str">
        <f>IFERROR(__xludf.DUMMYFUNCTION("if(D4842=""variant"",  substitute(filter(Templates!E:E, Templates!A:A = F4842, Templates!B:B = G4842, Templates!C:C = H4842), ""{{}}"", E4842), B4842)"),"Louer appartement Seigneux: Trouvez le bien immobilier qui correspond idéalement à vos désirs sur ImmoScout24 - La plateforme de l'immobilier en Suisse.")</f>
        <v>Louer appartement Seigneux: Trouvez le bien immobilier qui correspond idéalement à vos désirs sur ImmoScout24 - La plateforme de l'immobilier en Suisse.</v>
      </c>
    </row>
    <row r="4843" hidden="1">
      <c r="A4843" s="5" t="s">
        <v>12785</v>
      </c>
      <c r="B4843" s="2" t="s">
        <v>12786</v>
      </c>
      <c r="C4843" s="2" t="s">
        <v>12786</v>
      </c>
      <c r="D4843" s="4" t="str">
        <f>vlookup(A4843, Sheet2!D:E, 2, 0)</f>
        <v>control</v>
      </c>
      <c r="E4843" s="4" t="str">
        <f>IFERROR(__xludf.DUMMYFUNCTION("if(H4843=""pays"",vlookup(REGEXEXTRACT(C4843, ""🏘️ \w+ \w+ (.*) ✅""),'Country prepositions'!A:B, 2, 0) &amp; "" "" &amp; REGEXEXTRACT(C4843, ""🏘️ \w+ \w+ (.*) ✅"") ,  if(H4843=""quartier"",vlookup(REGEXEXTRACT(C4843, ""🏘️ \w+ \w+ (.*) ✅""),'Quartier prepositio"&amp;"ns'!A:E, 5, 0) ,  if(H4843=""region"",vlookup(REGEXEXTRACT(C4843, ""🏘️ \w+ \w+ (.*) ✅""),'Region prepositions'!B:F, 5, 0),  REGEXEXTRACT(C4843, ""🏘️ \w+ \w+ (.*) ✅""))))"),"#N/A")</f>
        <v>#N/A</v>
      </c>
      <c r="I4843" s="4" t="str">
        <f>IFERROR(__xludf.DUMMYFUNCTION("if(D4843=""variant"",  substitute(filter(Templates!E:E, Templates!A:A = F4843, Templates!B:B = G4843, Templates!C:C = H4843), ""{{}}"", E4843), B4843)"),"Louer maison Pully: Trouvez le bien immobilier qui correspond idéalement à vos désirs sur ImmoScout24 - La plateforme de l'immobilier en Suisse.")</f>
        <v>Louer maison Pully: Trouvez le bien immobilier qui correspond idéalement à vos désirs sur ImmoScout24 - La plateforme de l'immobilier en Suisse.</v>
      </c>
    </row>
    <row r="4844" hidden="1">
      <c r="A4844" s="5" t="s">
        <v>12787</v>
      </c>
      <c r="B4844" s="2" t="s">
        <v>12788</v>
      </c>
      <c r="C4844" s="2" t="s">
        <v>12788</v>
      </c>
      <c r="D4844" s="4" t="str">
        <f>vlookup(A4844, Sheet2!D:E, 2, 0)</f>
        <v>control</v>
      </c>
      <c r="E4844" s="4" t="str">
        <f>IFERROR(__xludf.DUMMYFUNCTION("if(H4844=""pays"",vlookup(REGEXEXTRACT(C4844, ""🏘️ \w+ \w+ (.*) ✅""),'Country prepositions'!A:B, 2, 0) &amp; "" "" &amp; REGEXEXTRACT(C4844, ""🏘️ \w+ \w+ (.*) ✅"") ,  if(H4844=""quartier"",vlookup(REGEXEXTRACT(C4844, ""🏘️ \w+ \w+ (.*) ✅""),'Quartier prepositio"&amp;"ns'!A:E, 5, 0) ,  if(H4844=""region"",vlookup(REGEXEXTRACT(C4844, ""🏘️ \w+ \w+ (.*) ✅""),'Region prepositions'!B:F, 5, 0),  REGEXEXTRACT(C4844, ""🏘️ \w+ \w+ (.*) ✅""))))"),"#N/A")</f>
        <v>#N/A</v>
      </c>
      <c r="I4844" s="4" t="str">
        <f>IFERROR(__xludf.DUMMYFUNCTION("if(D4844=""variant"",  substitute(filter(Templates!E:E, Templates!A:A = F4844, Templates!B:B = G4844, Templates!C:C = H4844), ""{{}}"", E4844), B4844)"),"Louer appartement Neirivue: Trouvez le bien immobilier qui correspond idéalement à vos désirs sur ImmoScout24 - La plateforme de l'immobilier en Suisse.")</f>
        <v>Louer appartement Neirivue: Trouvez le bien immobilier qui correspond idéalement à vos désirs sur ImmoScout24 - La plateforme de l'immobilier en Suisse.</v>
      </c>
    </row>
    <row r="4845" hidden="1">
      <c r="A4845" s="5" t="s">
        <v>12789</v>
      </c>
      <c r="B4845" s="2" t="s">
        <v>12790</v>
      </c>
      <c r="C4845" s="2" t="s">
        <v>12790</v>
      </c>
      <c r="D4845" s="4" t="str">
        <f>vlookup(A4845, Sheet2!D:E, 2, 0)</f>
        <v>control</v>
      </c>
      <c r="E4845" s="4" t="str">
        <f>IFERROR(__xludf.DUMMYFUNCTION("if(H4845=""pays"",vlookup(REGEXEXTRACT(C4845, ""🏘️ \w+ \w+ (.*) ✅""),'Country prepositions'!A:B, 2, 0) &amp; "" "" &amp; REGEXEXTRACT(C4845, ""🏘️ \w+ \w+ (.*) ✅"") ,  if(H4845=""quartier"",vlookup(REGEXEXTRACT(C4845, ""🏘️ \w+ \w+ (.*) ✅""),'Quartier prepositio"&amp;"ns'!A:E, 5, 0) ,  if(H4845=""region"",vlookup(REGEXEXTRACT(C4845, ""🏘️ \w+ \w+ (.*) ✅""),'Region prepositions'!B:F, 5, 0),  REGEXEXTRACT(C4845, ""🏘️ \w+ \w+ (.*) ✅""))))"),"#N/A")</f>
        <v>#N/A</v>
      </c>
      <c r="I4845" s="4" t="str">
        <f>IFERROR(__xludf.DUMMYFUNCTION("if(D4845=""variant"",  substitute(filter(Templates!E:E, Templates!A:A = F4845, Templates!B:B = G4845, Templates!C:C = H4845), ""{{}}"", E4845), B4845)"),"Vendre maison Stein am Rhein: Trouvez le bien immobilier qui correspond idéalement à vos désirs sur ImmoScout24 - La plateforme de l'immobilier en Suisse.")</f>
        <v>Vendre maison Stein am Rhein: Trouvez le bien immobilier qui correspond idéalement à vos désirs sur ImmoScout24 - La plateforme de l'immobilier en Suisse.</v>
      </c>
    </row>
    <row r="4846" hidden="1">
      <c r="A4846" s="5" t="s">
        <v>12791</v>
      </c>
      <c r="B4846" s="2" t="s">
        <v>12792</v>
      </c>
      <c r="C4846" s="2" t="s">
        <v>12792</v>
      </c>
      <c r="D4846" s="4" t="str">
        <f>vlookup(A4846, Sheet2!D:E, 2, 0)</f>
        <v>control</v>
      </c>
      <c r="E4846" s="4" t="str">
        <f>IFERROR(__xludf.DUMMYFUNCTION("if(H4846=""pays"",vlookup(REGEXEXTRACT(C4846, ""🏘️ \w+ \w+ (.*) ✅""),'Country prepositions'!A:B, 2, 0) &amp; "" "" &amp; REGEXEXTRACT(C4846, ""🏘️ \w+ \w+ (.*) ✅"") ,  if(H4846=""quartier"",vlookup(REGEXEXTRACT(C4846, ""🏘️ \w+ \w+ (.*) ✅""),'Quartier prepositio"&amp;"ns'!A:E, 5, 0) ,  if(H4846=""region"",vlookup(REGEXEXTRACT(C4846, ""🏘️ \w+ \w+ (.*) ✅""),'Region prepositions'!B:F, 5, 0),  REGEXEXTRACT(C4846, ""🏘️ \w+ \w+ (.*) ✅""))))"),"#N/A")</f>
        <v>#N/A</v>
      </c>
      <c r="I4846" s="4" t="str">
        <f>IFERROR(__xludf.DUMMYFUNCTION("if(D4846=""variant"",  substitute(filter(Templates!E:E, Templates!A:A = F4846, Templates!B:B = G4846, Templates!C:C = H4846), ""{{}}"", E4846), B4846)"),"Louer appartement Chaumont (Neuchâtel): Trouvez le bien immobilier qui correspond idéalement à vos désirs sur ImmoScout24 - La plateforme de l'immobilier en Suisse.")</f>
        <v>Louer appartement Chaumont (Neuchâtel): Trouvez le bien immobilier qui correspond idéalement à vos désirs sur ImmoScout24 - La plateforme de l'immobilier en Suisse.</v>
      </c>
    </row>
    <row r="4847" hidden="1">
      <c r="A4847" s="5" t="s">
        <v>12793</v>
      </c>
      <c r="B4847" s="2" t="s">
        <v>12794</v>
      </c>
      <c r="C4847" s="2" t="s">
        <v>12794</v>
      </c>
      <c r="D4847" s="4" t="str">
        <f>vlookup(A4847, Sheet2!D:E, 2, 0)</f>
        <v>control</v>
      </c>
      <c r="E4847" s="4" t="str">
        <f>IFERROR(__xludf.DUMMYFUNCTION("if(H4847=""pays"",vlookup(REGEXEXTRACT(C4847, ""🏘️ \w+ \w+ (.*) ✅""),'Country prepositions'!A:B, 2, 0) &amp; "" "" &amp; REGEXEXTRACT(C4847, ""🏘️ \w+ \w+ (.*) ✅"") ,  if(H4847=""quartier"",vlookup(REGEXEXTRACT(C4847, ""🏘️ \w+ \w+ (.*) ✅""),'Quartier prepositio"&amp;"ns'!A:E, 5, 0) ,  if(H4847=""region"",vlookup(REGEXEXTRACT(C4847, ""🏘️ \w+ \w+ (.*) ✅""),'Region prepositions'!B:F, 5, 0),  REGEXEXTRACT(C4847, ""🏘️ \w+ \w+ (.*) ✅""))))"),"#N/A")</f>
        <v>#N/A</v>
      </c>
      <c r="I4847" s="4" t="str">
        <f>IFERROR(__xludf.DUMMYFUNCTION("if(D4847=""variant"",  substitute(filter(Templates!E:E, Templates!A:A = F4847, Templates!B:B = G4847, Templates!C:C = H4847), ""{{}}"", E4847), B4847)"),"Louer maison Gorgier: Trouvez le bien immobilier qui correspond idéalement à vos désirs sur ImmoScout24 - La plateforme de l'immobilier en Suisse.")</f>
        <v>Louer maison Gorgier: Trouvez le bien immobilier qui correspond idéalement à vos désirs sur ImmoScout24 - La plateforme de l'immobilier en Suisse.</v>
      </c>
    </row>
    <row r="4848" hidden="1">
      <c r="A4848" s="5" t="s">
        <v>12795</v>
      </c>
      <c r="B4848" s="2" t="s">
        <v>12796</v>
      </c>
      <c r="C4848" s="2" t="s">
        <v>12796</v>
      </c>
      <c r="D4848" s="4" t="str">
        <f>vlookup(A4848, Sheet2!D:E, 2, 0)</f>
        <v>control</v>
      </c>
      <c r="E4848" s="4" t="str">
        <f>IFERROR(__xludf.DUMMYFUNCTION("if(H4848=""pays"",vlookup(REGEXEXTRACT(C4848, ""🏘️ \w+ \w+ (.*) ✅""),'Country prepositions'!A:B, 2, 0) &amp; "" "" &amp; REGEXEXTRACT(C4848, ""🏘️ \w+ \w+ (.*) ✅"") ,  if(H4848=""quartier"",vlookup(REGEXEXTRACT(C4848, ""🏘️ \w+ \w+ (.*) ✅""),'Quartier prepositio"&amp;"ns'!A:E, 5, 0) ,  if(H4848=""region"",vlookup(REGEXEXTRACT(C4848, ""🏘️ \w+ \w+ (.*) ✅""),'Region prepositions'!B:F, 5, 0),  REGEXEXTRACT(C4848, ""🏘️ \w+ \w+ (.*) ✅""))))"),"#N/A")</f>
        <v>#N/A</v>
      </c>
      <c r="I4848" s="4" t="str">
        <f>IFERROR(__xludf.DUMMYFUNCTION("if(D4848=""variant"",  substitute(filter(Templates!E:E, Templates!A:A = F4848, Templates!B:B = G4848, Templates!C:C = H4848), ""{{}}"", E4848), B4848)"),"Vendre maison Ried-Mörel: Trouvez le bien immobilier qui correspond idéalement à vos désirs sur ImmoScout24 - La plateforme de l'immobilier en Suisse.")</f>
        <v>Vendre maison Ried-Mörel: Trouvez le bien immobilier qui correspond idéalement à vos désirs sur ImmoScout24 - La plateforme de l'immobilier en Suisse.</v>
      </c>
    </row>
    <row r="4849" hidden="1">
      <c r="A4849" s="5" t="s">
        <v>12797</v>
      </c>
      <c r="B4849" s="2" t="s">
        <v>12798</v>
      </c>
      <c r="C4849" s="2" t="s">
        <v>12798</v>
      </c>
      <c r="D4849" s="4" t="str">
        <f>vlookup(A4849, Sheet2!D:E, 2, 0)</f>
        <v>control</v>
      </c>
      <c r="E4849" s="4" t="str">
        <f>IFERROR(__xludf.DUMMYFUNCTION("if(H4849=""pays"",vlookup(REGEXEXTRACT(C4849, ""🏘️ \w+ \w+ (.*) ✅""),'Country prepositions'!A:B, 2, 0) &amp; "" "" &amp; REGEXEXTRACT(C4849, ""🏘️ \w+ \w+ (.*) ✅"") ,  if(H4849=""quartier"",vlookup(REGEXEXTRACT(C4849, ""🏘️ \w+ \w+ (.*) ✅""),'Quartier prepositio"&amp;"ns'!A:E, 5, 0) ,  if(H4849=""region"",vlookup(REGEXEXTRACT(C4849, ""🏘️ \w+ \w+ (.*) ✅""),'Region prepositions'!B:F, 5, 0),  REGEXEXTRACT(C4849, ""🏘️ \w+ \w+ (.*) ✅""))))"),"#N/A")</f>
        <v>#N/A</v>
      </c>
      <c r="I4849" s="4" t="str">
        <f>IFERROR(__xludf.DUMMYFUNCTION("if(D4849=""variant"",  substitute(filter(Templates!E:E, Templates!A:A = F4849, Templates!B:B = G4849, Templates!C:C = H4849), ""{{}}"", E4849), B4849)"),"Louer maison Villars-le-Grand: Trouvez le bien immobilier qui correspond idéalement à vos désirs sur ImmoScout24 - La plateforme de l'immobilier en Suisse.")</f>
        <v>Louer maison Villars-le-Grand: Trouvez le bien immobilier qui correspond idéalement à vos désirs sur ImmoScout24 - La plateforme de l'immobilier en Suisse.</v>
      </c>
    </row>
    <row r="4850" hidden="1">
      <c r="A4850" s="5" t="s">
        <v>12799</v>
      </c>
      <c r="B4850" s="2" t="s">
        <v>12800</v>
      </c>
      <c r="C4850" s="2" t="s">
        <v>12800</v>
      </c>
      <c r="D4850" s="4" t="str">
        <f>vlookup(A4850, Sheet2!D:E, 2, 0)</f>
        <v>control</v>
      </c>
      <c r="E4850" s="4" t="str">
        <f>IFERROR(__xludf.DUMMYFUNCTION("if(H4850=""pays"",vlookup(REGEXEXTRACT(C4850, ""🏘️ \w+ \w+ (.*) ✅""),'Country prepositions'!A:B, 2, 0) &amp; "" "" &amp; REGEXEXTRACT(C4850, ""🏘️ \w+ \w+ (.*) ✅"") ,  if(H4850=""quartier"",vlookup(REGEXEXTRACT(C4850, ""🏘️ \w+ \w+ (.*) ✅""),'Quartier prepositio"&amp;"ns'!A:E, 5, 0) ,  if(H4850=""region"",vlookup(REGEXEXTRACT(C4850, ""🏘️ \w+ \w+ (.*) ✅""),'Region prepositions'!B:F, 5, 0),  REGEXEXTRACT(C4850, ""🏘️ \w+ \w+ (.*) ✅""))))"),"#N/A")</f>
        <v>#N/A</v>
      </c>
      <c r="I4850" s="4" t="str">
        <f>IFERROR(__xludf.DUMMYFUNCTION("if(D4850=""variant"",  substitute(filter(Templates!E:E, Templates!A:A = F4850, Templates!B:B = G4850, Templates!C:C = H4850), ""{{}}"", E4850), B4850)"),"Vendre maison Cimalmotto: Trouvez le bien immobilier qui correspond idéalement à vos désirs sur ImmoScout24 - La plateforme de l'immobilier en Suisse.")</f>
        <v>Vendre maison Cimalmotto: Trouvez le bien immobilier qui correspond idéalement à vos désirs sur ImmoScout24 - La plateforme de l'immobilier en Suisse.</v>
      </c>
    </row>
    <row r="4851" hidden="1">
      <c r="A4851" s="5" t="s">
        <v>12801</v>
      </c>
      <c r="B4851" s="2" t="s">
        <v>12802</v>
      </c>
      <c r="C4851" s="2" t="s">
        <v>12802</v>
      </c>
      <c r="D4851" s="4" t="str">
        <f>vlookup(A4851, Sheet2!D:E, 2, 0)</f>
        <v>control</v>
      </c>
      <c r="E4851" s="4" t="str">
        <f>IFERROR(__xludf.DUMMYFUNCTION("if(H4851=""pays"",vlookup(REGEXEXTRACT(C4851, ""🏘️ \w+ \w+ (.*) ✅""),'Country prepositions'!A:B, 2, 0) &amp; "" "" &amp; REGEXEXTRACT(C4851, ""🏘️ \w+ \w+ (.*) ✅"") ,  if(H4851=""quartier"",vlookup(REGEXEXTRACT(C4851, ""🏘️ \w+ \w+ (.*) ✅""),'Quartier prepositio"&amp;"ns'!A:E, 5, 0) ,  if(H4851=""region"",vlookup(REGEXEXTRACT(C4851, ""🏘️ \w+ \w+ (.*) ✅""),'Region prepositions'!B:F, 5, 0),  REGEXEXTRACT(C4851, ""🏘️ \w+ \w+ (.*) ✅""))))"),"#N/A")</f>
        <v>#N/A</v>
      </c>
      <c r="I4851" s="4" t="str">
        <f>IFERROR(__xludf.DUMMYFUNCTION("if(D4851=""variant"",  substitute(filter(Templates!E:E, Templates!A:A = F4851, Templates!B:B = G4851, Templates!C:C = H4851), ""{{}}"", E4851), B4851)"),"Louer appartement Peyres-Possens: Trouvez le bien immobilier qui correspond idéalement à vos désirs sur ImmoScout24 - La plateforme de l'immobilier en Suisse.")</f>
        <v>Louer appartement Peyres-Possens: Trouvez le bien immobilier qui correspond idéalement à vos désirs sur ImmoScout24 - La plateforme de l'immobilier en Suisse.</v>
      </c>
    </row>
    <row r="4852" hidden="1">
      <c r="A4852" s="5" t="s">
        <v>12803</v>
      </c>
      <c r="B4852" s="2" t="s">
        <v>12804</v>
      </c>
      <c r="C4852" s="2" t="s">
        <v>12804</v>
      </c>
      <c r="D4852" s="4" t="str">
        <f>vlookup(A4852, Sheet2!D:E, 2, 0)</f>
        <v>control</v>
      </c>
      <c r="E4852" s="4" t="str">
        <f>IFERROR(__xludf.DUMMYFUNCTION("if(H4852=""pays"",vlookup(REGEXEXTRACT(C4852, ""🏘️ \w+ \w+ (.*) ✅""),'Country prepositions'!A:B, 2, 0) &amp; "" "" &amp; REGEXEXTRACT(C4852, ""🏘️ \w+ \w+ (.*) ✅"") ,  if(H4852=""quartier"",vlookup(REGEXEXTRACT(C4852, ""🏘️ \w+ \w+ (.*) ✅""),'Quartier prepositio"&amp;"ns'!A:E, 5, 0) ,  if(H4852=""region"",vlookup(REGEXEXTRACT(C4852, ""🏘️ \w+ \w+ (.*) ✅""),'Region prepositions'!B:F, 5, 0),  REGEXEXTRACT(C4852, ""🏘️ \w+ \w+ (.*) ✅""))))"),"#N/A")</f>
        <v>#N/A</v>
      </c>
      <c r="I4852" s="4" t="str">
        <f>IFERROR(__xludf.DUMMYFUNCTION("if(D4852=""variant"",  substitute(filter(Templates!E:E, Templates!A:A = F4852, Templates!B:B = G4852, Templates!C:C = H4852), ""{{}}"", E4852), B4852)"),"Vendre maison Oberdorf SO: Trouvez le bien immobilier qui correspond idéalement à vos désirs sur ImmoScout24 - La plateforme de l'immobilier en Suisse.")</f>
        <v>Vendre maison Oberdorf SO: Trouvez le bien immobilier qui correspond idéalement à vos désirs sur ImmoScout24 - La plateforme de l'immobilier en Suisse.</v>
      </c>
    </row>
    <row r="4853" hidden="1">
      <c r="A4853" s="5" t="s">
        <v>12805</v>
      </c>
      <c r="B4853" s="2" t="s">
        <v>12806</v>
      </c>
      <c r="C4853" s="2" t="s">
        <v>12806</v>
      </c>
      <c r="D4853" s="4" t="str">
        <f>vlookup(A4853, Sheet2!D:E, 2, 0)</f>
        <v>control</v>
      </c>
      <c r="E4853" s="4" t="str">
        <f>IFERROR(__xludf.DUMMYFUNCTION("if(H4853=""pays"",vlookup(REGEXEXTRACT(C4853, ""🏘️ \w+ \w+ (.*) ✅""),'Country prepositions'!A:B, 2, 0) &amp; "" "" &amp; REGEXEXTRACT(C4853, ""🏘️ \w+ \w+ (.*) ✅"") ,  if(H4853=""quartier"",vlookup(REGEXEXTRACT(C4853, ""🏘️ \w+ \w+ (.*) ✅""),'Quartier prepositio"&amp;"ns'!A:E, 5, 0) ,  if(H4853=""region"",vlookup(REGEXEXTRACT(C4853, ""🏘️ \w+ \w+ (.*) ✅""),'Region prepositions'!B:F, 5, 0),  REGEXEXTRACT(C4853, ""🏘️ \w+ \w+ (.*) ✅""))))"),"#N/A")</f>
        <v>#N/A</v>
      </c>
      <c r="I4853" s="4" t="str">
        <f>IFERROR(__xludf.DUMMYFUNCTION("if(D4853=""variant"",  substitute(filter(Templates!E:E, Templates!A:A = F4853, Templates!B:B = G4853, Templates!C:C = H4853), ""{{}}"", E4853), B4853)"),"Vendre maison Altstadt (Coire): Trouvez le bien immobilier qui correspond idéalement à vos désirs sur ImmoScout24 - La plateforme de l'immobilier en Suisse.")</f>
        <v>Vendre maison Altstadt (Coire): Trouvez le bien immobilier qui correspond idéalement à vos désirs sur ImmoScout24 - La plateforme de l'immobilier en Suisse.</v>
      </c>
    </row>
    <row r="4854" hidden="1">
      <c r="A4854" s="5" t="s">
        <v>12807</v>
      </c>
      <c r="B4854" s="2" t="s">
        <v>12808</v>
      </c>
      <c r="C4854" s="2" t="s">
        <v>12808</v>
      </c>
      <c r="D4854" s="4" t="str">
        <f>vlookup(A4854, Sheet2!D:E, 2, 0)</f>
        <v>control</v>
      </c>
      <c r="E4854" s="4" t="str">
        <f>IFERROR(__xludf.DUMMYFUNCTION("if(H4854=""pays"",vlookup(REGEXEXTRACT(C4854, ""🏘️ \w+ \w+ (.*) ✅""),'Country prepositions'!A:B, 2, 0) &amp; "" "" &amp; REGEXEXTRACT(C4854, ""🏘️ \w+ \w+ (.*) ✅"") ,  if(H4854=""quartier"",vlookup(REGEXEXTRACT(C4854, ""🏘️ \w+ \w+ (.*) ✅""),'Quartier prepositio"&amp;"ns'!A:E, 5, 0) ,  if(H4854=""region"",vlookup(REGEXEXTRACT(C4854, ""🏘️ \w+ \w+ (.*) ✅""),'Region prepositions'!B:F, 5, 0),  REGEXEXTRACT(C4854, ""🏘️ \w+ \w+ (.*) ✅""))))"),"#N/A")</f>
        <v>#N/A</v>
      </c>
      <c r="I4854" s="4" t="str">
        <f>IFERROR(__xludf.DUMMYFUNCTION("if(D4854=""variant"",  substitute(filter(Templates!E:E, Templates!A:A = F4854, Templates!B:B = G4854, Templates!C:C = H4854), ""{{}}"", E4854), B4854)"),"Louer appartement Gossens: Trouvez le bien immobilier qui correspond idéalement à vos désirs sur ImmoScout24 - La plateforme de l'immobilier en Suisse.")</f>
        <v>Louer appartement Gossens: Trouvez le bien immobilier qui correspond idéalement à vos désirs sur ImmoScout24 - La plateforme de l'immobilier en Suisse.</v>
      </c>
    </row>
    <row r="4855" hidden="1">
      <c r="A4855" s="5" t="s">
        <v>12809</v>
      </c>
      <c r="B4855" s="2" t="s">
        <v>12810</v>
      </c>
      <c r="C4855" s="2" t="s">
        <v>12810</v>
      </c>
      <c r="D4855" s="4" t="str">
        <f>vlookup(A4855, Sheet2!D:E, 2, 0)</f>
        <v>control</v>
      </c>
      <c r="E4855" s="4" t="str">
        <f>IFERROR(__xludf.DUMMYFUNCTION("if(H4855=""pays"",vlookup(REGEXEXTRACT(C4855, ""🏘️ \w+ \w+ (.*) ✅""),'Country prepositions'!A:B, 2, 0) &amp; "" "" &amp; REGEXEXTRACT(C4855, ""🏘️ \w+ \w+ (.*) ✅"") ,  if(H4855=""quartier"",vlookup(REGEXEXTRACT(C4855, ""🏘️ \w+ \w+ (.*) ✅""),'Quartier prepositio"&amp;"ns'!A:E, 5, 0) ,  if(H4855=""region"",vlookup(REGEXEXTRACT(C4855, ""🏘️ \w+ \w+ (.*) ✅""),'Region prepositions'!B:F, 5, 0),  REGEXEXTRACT(C4855, ""🏘️ \w+ \w+ (.*) ✅""))))"),"#N/A")</f>
        <v>#N/A</v>
      </c>
      <c r="I4855" s="4" t="str">
        <f>IFERROR(__xludf.DUMMYFUNCTION("if(D4855=""variant"",  substitute(filter(Templates!E:E, Templates!A:A = F4855, Templates!B:B = G4855, Templates!C:C = H4855), ""{{}}"", E4855), B4855)"),"Louer maison Verbier: Trouvez le bien immobilier qui correspond idéalement à vos désirs sur ImmoScout24 - La plateforme de l'immobilier en Suisse.")</f>
        <v>Louer maison Verbier: Trouvez le bien immobilier qui correspond idéalement à vos désirs sur ImmoScout24 - La plateforme de l'immobilier en Suisse.</v>
      </c>
    </row>
    <row r="4856" hidden="1">
      <c r="A4856" s="5" t="s">
        <v>12811</v>
      </c>
      <c r="B4856" s="2" t="s">
        <v>12812</v>
      </c>
      <c r="C4856" s="2" t="s">
        <v>12812</v>
      </c>
      <c r="D4856" s="4" t="str">
        <f>vlookup(A4856, Sheet2!D:E, 2, 0)</f>
        <v>control</v>
      </c>
      <c r="E4856" s="4" t="str">
        <f>IFERROR(__xludf.DUMMYFUNCTION("if(H4856=""pays"",vlookup(REGEXEXTRACT(C4856, ""🏘️ \w+ \w+ (.*) ✅""),'Country prepositions'!A:B, 2, 0) &amp; "" "" &amp; REGEXEXTRACT(C4856, ""🏘️ \w+ \w+ (.*) ✅"") ,  if(H4856=""quartier"",vlookup(REGEXEXTRACT(C4856, ""🏘️ \w+ \w+ (.*) ✅""),'Quartier prepositio"&amp;"ns'!A:E, 5, 0) ,  if(H4856=""region"",vlookup(REGEXEXTRACT(C4856, ""🏘️ \w+ \w+ (.*) ✅""),'Region prepositions'!B:F, 5, 0),  REGEXEXTRACT(C4856, ""🏘️ \w+ \w+ (.*) ✅""))))"),"#N/A")</f>
        <v>#N/A</v>
      </c>
      <c r="I4856" s="4" t="str">
        <f>IFERROR(__xludf.DUMMYFUNCTION("if(D4856=""variant"",  substitute(filter(Templates!E:E, Templates!A:A = F4856, Templates!B:B = G4856, Templates!C:C = H4856), ""{{}}"", E4856), B4856)"),"Vendre maison Le Mont-Pèlerin: Trouvez le bien immobilier qui correspond idéalement à vos désirs sur ImmoScout24 - La plateforme de l'immobilier en Suisse.")</f>
        <v>Vendre maison Le Mont-Pèlerin: Trouvez le bien immobilier qui correspond idéalement à vos désirs sur ImmoScout24 - La plateforme de l'immobilier en Suisse.</v>
      </c>
    </row>
    <row r="4857" hidden="1">
      <c r="A4857" s="5" t="s">
        <v>12813</v>
      </c>
      <c r="B4857" s="2" t="s">
        <v>12814</v>
      </c>
      <c r="C4857" s="2" t="s">
        <v>12814</v>
      </c>
      <c r="D4857" s="4" t="str">
        <f>vlookup(A4857, Sheet2!D:E, 2, 0)</f>
        <v>control</v>
      </c>
      <c r="E4857" s="4" t="str">
        <f>IFERROR(__xludf.DUMMYFUNCTION("if(H4857=""pays"",vlookup(REGEXEXTRACT(C4857, ""🏘️ \w+ \w+ (.*) ✅""),'Country prepositions'!A:B, 2, 0) &amp; "" "" &amp; REGEXEXTRACT(C4857, ""🏘️ \w+ \w+ (.*) ✅"") ,  if(H4857=""quartier"",vlookup(REGEXEXTRACT(C4857, ""🏘️ \w+ \w+ (.*) ✅""),'Quartier prepositio"&amp;"ns'!A:E, 5, 0) ,  if(H4857=""region"",vlookup(REGEXEXTRACT(C4857, ""🏘️ \w+ \w+ (.*) ✅""),'Region prepositions'!B:F, 5, 0),  REGEXEXTRACT(C4857, ""🏘️ \w+ \w+ (.*) ✅""))))"),"#N/A")</f>
        <v>#N/A</v>
      </c>
      <c r="I4857" s="4" t="str">
        <f>IFERROR(__xludf.DUMMYFUNCTION("if(D4857=""variant"",  substitute(filter(Templates!E:E, Templates!A:A = F4857, Templates!B:B = G4857, Templates!C:C = H4857), ""{{}}"", E4857), B4857)"),"Louer appartement Villarbeney: Trouvez le bien immobilier qui correspond idéalement à vos désirs sur ImmoScout24 - La plateforme de l'immobilier en Suisse.")</f>
        <v>Louer appartement Villarbeney: Trouvez le bien immobilier qui correspond idéalement à vos désirs sur ImmoScout24 - La plateforme de l'immobilier en Suisse.</v>
      </c>
    </row>
    <row r="4858" hidden="1">
      <c r="A4858" s="5" t="s">
        <v>12815</v>
      </c>
      <c r="B4858" s="2" t="s">
        <v>12816</v>
      </c>
      <c r="C4858" s="2" t="s">
        <v>12816</v>
      </c>
      <c r="D4858" s="4" t="str">
        <f>vlookup(A4858, Sheet2!D:E, 2, 0)</f>
        <v>control</v>
      </c>
      <c r="E4858" s="4" t="str">
        <f>IFERROR(__xludf.DUMMYFUNCTION("if(H4858=""pays"",vlookup(REGEXEXTRACT(C4858, ""🏘️ \w+ \w+ (.*) ✅""),'Country prepositions'!A:B, 2, 0) &amp; "" "" &amp; REGEXEXTRACT(C4858, ""🏘️ \w+ \w+ (.*) ✅"") ,  if(H4858=""quartier"",vlookup(REGEXEXTRACT(C4858, ""🏘️ \w+ \w+ (.*) ✅""),'Quartier prepositio"&amp;"ns'!A:E, 5, 0) ,  if(H4858=""region"",vlookup(REGEXEXTRACT(C4858, ""🏘️ \w+ \w+ (.*) ✅""),'Region prepositions'!B:F, 5, 0),  REGEXEXTRACT(C4858, ""🏘️ \w+ \w+ (.*) ✅""))))"),"#N/A")</f>
        <v>#N/A</v>
      </c>
      <c r="I4858" s="4" t="str">
        <f>IFERROR(__xludf.DUMMYFUNCTION("if(D4858=""variant"",  substitute(filter(Templates!E:E, Templates!A:A = F4858, Templates!B:B = G4858, Templates!C:C = H4858), ""{{}}"", E4858), B4858)"),"Vendre maison Abländschen: Trouvez le bien immobilier qui correspond idéalement à vos désirs sur ImmoScout24 - La plateforme de l'immobilier en Suisse.")</f>
        <v>Vendre maison Abländschen: Trouvez le bien immobilier qui correspond idéalement à vos désirs sur ImmoScout24 - La plateforme de l'immobilier en Suisse.</v>
      </c>
    </row>
    <row r="4859" hidden="1">
      <c r="A4859" s="5" t="s">
        <v>12817</v>
      </c>
      <c r="B4859" s="2" t="s">
        <v>12818</v>
      </c>
      <c r="C4859" s="2" t="s">
        <v>12818</v>
      </c>
      <c r="D4859" s="4" t="str">
        <f>vlookup(A4859, Sheet2!D:E, 2, 0)</f>
        <v>control</v>
      </c>
      <c r="E4859" s="4" t="str">
        <f>IFERROR(__xludf.DUMMYFUNCTION("if(H4859=""pays"",vlookup(REGEXEXTRACT(C4859, ""🏘️ \w+ \w+ (.*) ✅""),'Country prepositions'!A:B, 2, 0) &amp; "" "" &amp; REGEXEXTRACT(C4859, ""🏘️ \w+ \w+ (.*) ✅"") ,  if(H4859=""quartier"",vlookup(REGEXEXTRACT(C4859, ""🏘️ \w+ \w+ (.*) ✅""),'Quartier prepositio"&amp;"ns'!A:E, 5, 0) ,  if(H4859=""region"",vlookup(REGEXEXTRACT(C4859, ""🏘️ \w+ \w+ (.*) ✅""),'Region prepositions'!B:F, 5, 0),  REGEXEXTRACT(C4859, ""🏘️ \w+ \w+ (.*) ✅""))))"),"#N/A")</f>
        <v>#N/A</v>
      </c>
      <c r="I4859" s="4" t="str">
        <f>IFERROR(__xludf.DUMMYFUNCTION("if(D4859=""variant"",  substitute(filter(Templates!E:E, Templates!A:A = F4859, Templates!B:B = G4859, Templates!C:C = H4859), ""{{}}"", E4859), B4859)"),"Louer appartement Steinhausen: Trouvez le bien immobilier qui correspond idéalement à vos désirs sur ImmoScout24 - La plateforme de l'immobilier en Suisse.")</f>
        <v>Louer appartement Steinhausen: Trouvez le bien immobilier qui correspond idéalement à vos désirs sur ImmoScout24 - La plateforme de l'immobilier en Suisse.</v>
      </c>
    </row>
    <row r="4860" hidden="1">
      <c r="A4860" s="5" t="s">
        <v>12819</v>
      </c>
      <c r="B4860" s="2" t="s">
        <v>12820</v>
      </c>
      <c r="C4860" s="2" t="s">
        <v>12820</v>
      </c>
      <c r="D4860" s="4" t="str">
        <f>vlookup(A4860, Sheet2!D:E, 2, 0)</f>
        <v>control</v>
      </c>
      <c r="E4860" s="4" t="str">
        <f>IFERROR(__xludf.DUMMYFUNCTION("if(H4860=""pays"",vlookup(REGEXEXTRACT(C4860, ""🏘️ \w+ \w+ (.*) ✅""),'Country prepositions'!A:B, 2, 0) &amp; "" "" &amp; REGEXEXTRACT(C4860, ""🏘️ \w+ \w+ (.*) ✅"") ,  if(H4860=""quartier"",vlookup(REGEXEXTRACT(C4860, ""🏘️ \w+ \w+ (.*) ✅""),'Quartier prepositio"&amp;"ns'!A:E, 5, 0) ,  if(H4860=""region"",vlookup(REGEXEXTRACT(C4860, ""🏘️ \w+ \w+ (.*) ✅""),'Region prepositions'!B:F, 5, 0),  REGEXEXTRACT(C4860, ""🏘️ \w+ \w+ (.*) ✅""))))"),"#N/A")</f>
        <v>#N/A</v>
      </c>
      <c r="I4860" s="4" t="str">
        <f>IFERROR(__xludf.DUMMYFUNCTION("if(D4860=""variant"",  substitute(filter(Templates!E:E, Templates!A:A = F4860, Templates!B:B = G4860, Templates!C:C = H4860), ""{{}}"", E4860), B4860)"),"Vendre maison Busswil BE: Trouvez le bien immobilier qui correspond idéalement à vos désirs sur ImmoScout24 - La plateforme de l'immobilier en Suisse.")</f>
        <v>Vendre maison Busswil BE: Trouvez le bien immobilier qui correspond idéalement à vos désirs sur ImmoScout24 - La plateforme de l'immobilier en Suisse.</v>
      </c>
    </row>
    <row r="4861" hidden="1">
      <c r="A4861" s="5" t="s">
        <v>12821</v>
      </c>
      <c r="B4861" s="2" t="s">
        <v>12822</v>
      </c>
      <c r="C4861" s="2" t="s">
        <v>12822</v>
      </c>
      <c r="D4861" s="4" t="str">
        <f>vlookup(A4861, Sheet2!D:E, 2, 0)</f>
        <v>control</v>
      </c>
      <c r="E4861" s="4" t="str">
        <f>IFERROR(__xludf.DUMMYFUNCTION("if(H4861=""pays"",vlookup(REGEXEXTRACT(C4861, ""🏘️ \w+ \w+ (.*) ✅""),'Country prepositions'!A:B, 2, 0) &amp; "" "" &amp; REGEXEXTRACT(C4861, ""🏘️ \w+ \w+ (.*) ✅"") ,  if(H4861=""quartier"",vlookup(REGEXEXTRACT(C4861, ""🏘️ \w+ \w+ (.*) ✅""),'Quartier prepositio"&amp;"ns'!A:E, 5, 0) ,  if(H4861=""region"",vlookup(REGEXEXTRACT(C4861, ""🏘️ \w+ \w+ (.*) ✅""),'Region prepositions'!B:F, 5, 0),  REGEXEXTRACT(C4861, ""🏘️ \w+ \w+ (.*) ✅""))))"),"#N/A")</f>
        <v>#N/A</v>
      </c>
      <c r="I4861" s="4" t="str">
        <f>IFERROR(__xludf.DUMMYFUNCTION("if(D4861=""variant"",  substitute(filter(Templates!E:E, Templates!A:A = F4861, Templates!B:B = G4861, Templates!C:C = H4861), ""{{}}"", E4861), B4861)"),"Louer maison Ayer: Trouvez le bien immobilier qui correspond idéalement à vos désirs sur ImmoScout24 - La plateforme de l'immobilier en Suisse.")</f>
        <v>Louer maison Ayer: Trouvez le bien immobilier qui correspond idéalement à vos désirs sur ImmoScout24 - La plateforme de l'immobilier en Suisse.</v>
      </c>
    </row>
    <row r="4862" hidden="1">
      <c r="A4862" s="5" t="s">
        <v>12823</v>
      </c>
      <c r="B4862" s="2" t="s">
        <v>12824</v>
      </c>
      <c r="C4862" s="2" t="s">
        <v>12824</v>
      </c>
      <c r="D4862" s="4" t="str">
        <f>vlookup(A4862, Sheet2!D:E, 2, 0)</f>
        <v>control</v>
      </c>
      <c r="E4862" s="4" t="str">
        <f>IFERROR(__xludf.DUMMYFUNCTION("if(H4862=""pays"",vlookup(REGEXEXTRACT(C4862, ""🏘️ \w+ \w+ (.*) ✅""),'Country prepositions'!A:B, 2, 0) &amp; "" "" &amp; REGEXEXTRACT(C4862, ""🏘️ \w+ \w+ (.*) ✅"") ,  if(H4862=""quartier"",vlookup(REGEXEXTRACT(C4862, ""🏘️ \w+ \w+ (.*) ✅""),'Quartier prepositio"&amp;"ns'!A:E, 5, 0) ,  if(H4862=""region"",vlookup(REGEXEXTRACT(C4862, ""🏘️ \w+ \w+ (.*) ✅""),'Region prepositions'!B:F, 5, 0),  REGEXEXTRACT(C4862, ""🏘️ \w+ \w+ (.*) ✅""))))"),"#N/A")</f>
        <v>#N/A</v>
      </c>
      <c r="I4862" s="4" t="str">
        <f>IFERROR(__xludf.DUMMYFUNCTION("if(D4862=""variant"",  substitute(filter(Templates!E:E, Templates!A:A = F4862, Templates!B:B = G4862, Templates!C:C = H4862), ""{{}}"", E4862), B4862)"),"Louer appartement Morgins: Trouvez le bien immobilier qui correspond idéalement à vos désirs sur ImmoScout24 - La plateforme de l'immobilier en Suisse.")</f>
        <v>Louer appartement Morgins: Trouvez le bien immobilier qui correspond idéalement à vos désirs sur ImmoScout24 - La plateforme de l'immobilier en Suisse.</v>
      </c>
    </row>
    <row r="4863" hidden="1">
      <c r="A4863" s="5" t="s">
        <v>12825</v>
      </c>
      <c r="B4863" s="2" t="s">
        <v>12826</v>
      </c>
      <c r="C4863" s="2" t="s">
        <v>12826</v>
      </c>
      <c r="D4863" s="4" t="str">
        <f>vlookup(A4863, Sheet2!D:E, 2, 0)</f>
        <v>control</v>
      </c>
      <c r="E4863" s="4" t="str">
        <f>IFERROR(__xludf.DUMMYFUNCTION("if(H4863=""pays"",vlookup(REGEXEXTRACT(C4863, ""🏘️ \w+ \w+ (.*) ✅""),'Country prepositions'!A:B, 2, 0) &amp; "" "" &amp; REGEXEXTRACT(C4863, ""🏘️ \w+ \w+ (.*) ✅"") ,  if(H4863=""quartier"",vlookup(REGEXEXTRACT(C4863, ""🏘️ \w+ \w+ (.*) ✅""),'Quartier prepositio"&amp;"ns'!A:E, 5, 0) ,  if(H4863=""region"",vlookup(REGEXEXTRACT(C4863, ""🏘️ \w+ \w+ (.*) ✅""),'Region prepositions'!B:F, 5, 0),  REGEXEXTRACT(C4863, ""🏘️ \w+ \w+ (.*) ✅""))))"),"#N/A")</f>
        <v>#N/A</v>
      </c>
      <c r="I4863" s="4" t="str">
        <f>IFERROR(__xludf.DUMMYFUNCTION("if(D4863=""variant"",  substitute(filter(Templates!E:E, Templates!A:A = F4863, Templates!B:B = G4863, Templates!C:C = H4863), ""{{}}"", E4863), B4863)"),"Vendre maison Bedigliora: Trouvez le bien immobilier qui correspond idéalement à vos désirs sur ImmoScout24 - La plateforme de l'immobilier en Suisse.")</f>
        <v>Vendre maison Bedigliora: Trouvez le bien immobilier qui correspond idéalement à vos désirs sur ImmoScout24 - La plateforme de l'immobilier en Suisse.</v>
      </c>
    </row>
    <row r="4864" hidden="1">
      <c r="A4864" s="5" t="s">
        <v>12827</v>
      </c>
      <c r="B4864" s="2" t="s">
        <v>12828</v>
      </c>
      <c r="C4864" s="2" t="s">
        <v>12828</v>
      </c>
      <c r="D4864" s="4" t="str">
        <f>vlookup(A4864, Sheet2!D:E, 2, 0)</f>
        <v>control</v>
      </c>
      <c r="E4864" s="4" t="str">
        <f>IFERROR(__xludf.DUMMYFUNCTION("if(H4864=""pays"",vlookup(REGEXEXTRACT(C4864, ""🏘️ \w+ \w+ (.*) ✅""),'Country prepositions'!A:B, 2, 0) &amp; "" "" &amp; REGEXEXTRACT(C4864, ""🏘️ \w+ \w+ (.*) ✅"") ,  if(H4864=""quartier"",vlookup(REGEXEXTRACT(C4864, ""🏘️ \w+ \w+ (.*) ✅""),'Quartier prepositio"&amp;"ns'!A:E, 5, 0) ,  if(H4864=""region"",vlookup(REGEXEXTRACT(C4864, ""🏘️ \w+ \w+ (.*) ✅""),'Region prepositions'!B:F, 5, 0),  REGEXEXTRACT(C4864, ""🏘️ \w+ \w+ (.*) ✅""))))"),"#N/A")</f>
        <v>#N/A</v>
      </c>
      <c r="I4864" s="4" t="str">
        <f>IFERROR(__xludf.DUMMYFUNCTION("if(D4864=""variant"",  substitute(filter(Templates!E:E, Templates!A:A = F4864, Templates!B:B = G4864, Templates!C:C = H4864), ""{{}}"", E4864), B4864)"),"Vendre maison Andelfingen: Trouvez le bien immobilier qui correspond idéalement à vos désirs sur ImmoScout24 - La plateforme de l'immobilier en Suisse.")</f>
        <v>Vendre maison Andelfingen: Trouvez le bien immobilier qui correspond idéalement à vos désirs sur ImmoScout24 - La plateforme de l'immobilier en Suisse.</v>
      </c>
    </row>
    <row r="4865" hidden="1">
      <c r="A4865" s="5" t="s">
        <v>12829</v>
      </c>
      <c r="B4865" s="2" t="s">
        <v>12830</v>
      </c>
      <c r="C4865" s="2" t="s">
        <v>12830</v>
      </c>
      <c r="D4865" s="4" t="str">
        <f>vlookup(A4865, Sheet2!D:E, 2, 0)</f>
        <v>control</v>
      </c>
      <c r="E4865" s="4" t="str">
        <f>IFERROR(__xludf.DUMMYFUNCTION("if(H4865=""pays"",vlookup(REGEXEXTRACT(C4865, ""🏘️ \w+ \w+ (.*) ✅""),'Country prepositions'!A:B, 2, 0) &amp; "" "" &amp; REGEXEXTRACT(C4865, ""🏘️ \w+ \w+ (.*) ✅"") ,  if(H4865=""quartier"",vlookup(REGEXEXTRACT(C4865, ""🏘️ \w+ \w+ (.*) ✅""),'Quartier prepositio"&amp;"ns'!A:E, 5, 0) ,  if(H4865=""region"",vlookup(REGEXEXTRACT(C4865, ""🏘️ \w+ \w+ (.*) ✅""),'Region prepositions'!B:F, 5, 0),  REGEXEXTRACT(C4865, ""🏘️ \w+ \w+ (.*) ✅""))))"),"#N/A")</f>
        <v>#N/A</v>
      </c>
      <c r="I4865" s="4" t="str">
        <f>IFERROR(__xludf.DUMMYFUNCTION("if(D4865=""variant"",  substitute(filter(Templates!E:E, Templates!A:A = F4865, Templates!B:B = G4865, Templates!C:C = H4865), ""{{}}"", E4865), B4865)"),"Louer appartement Hosenruck: Trouvez le bien immobilier qui correspond idéalement à vos désirs sur ImmoScout24 - La plateforme de l'immobilier en Suisse.")</f>
        <v>Louer appartement Hosenruck: Trouvez le bien immobilier qui correspond idéalement à vos désirs sur ImmoScout24 - La plateforme de l'immobilier en Suisse.</v>
      </c>
    </row>
    <row r="4866" hidden="1">
      <c r="A4866" s="5" t="s">
        <v>12831</v>
      </c>
      <c r="B4866" s="2" t="s">
        <v>12832</v>
      </c>
      <c r="C4866" s="2" t="s">
        <v>12832</v>
      </c>
      <c r="D4866" s="4" t="str">
        <f>vlookup(A4866, Sheet2!D:E, 2, 0)</f>
        <v>control</v>
      </c>
      <c r="E4866" s="4" t="str">
        <f>IFERROR(__xludf.DUMMYFUNCTION("if(H4866=""pays"",vlookup(REGEXEXTRACT(C4866, ""🏘️ \w+ \w+ (.*) ✅""),'Country prepositions'!A:B, 2, 0) &amp; "" "" &amp; REGEXEXTRACT(C4866, ""🏘️ \w+ \w+ (.*) ✅"") ,  if(H4866=""quartier"",vlookup(REGEXEXTRACT(C4866, ""🏘️ \w+ \w+ (.*) ✅""),'Quartier prepositio"&amp;"ns'!A:E, 5, 0) ,  if(H4866=""region"",vlookup(REGEXEXTRACT(C4866, ""🏘️ \w+ \w+ (.*) ✅""),'Region prepositions'!B:F, 5, 0),  REGEXEXTRACT(C4866, ""🏘️ \w+ \w+ (.*) ✅""))))"),"#N/A")</f>
        <v>#N/A</v>
      </c>
      <c r="I4866" s="4" t="str">
        <f>IFERROR(__xludf.DUMMYFUNCTION("if(D4866=""variant"",  substitute(filter(Templates!E:E, Templates!A:A = F4866, Templates!B:B = G4866, Templates!C:C = H4866), ""{{}}"", E4866), B4866)"),"Vendre maison Olivone: Trouvez le bien immobilier qui correspond idéalement à vos désirs sur ImmoScout24 - La plateforme de l'immobilier en Suisse.")</f>
        <v>Vendre maison Olivone: Trouvez le bien immobilier qui correspond idéalement à vos désirs sur ImmoScout24 - La plateforme de l'immobilier en Suisse.</v>
      </c>
    </row>
    <row r="4867" hidden="1">
      <c r="A4867" s="5" t="s">
        <v>12833</v>
      </c>
      <c r="B4867" s="2" t="s">
        <v>12834</v>
      </c>
      <c r="C4867" s="2" t="s">
        <v>12834</v>
      </c>
      <c r="D4867" s="4" t="str">
        <f>vlookup(A4867, Sheet2!D:E, 2, 0)</f>
        <v>control</v>
      </c>
      <c r="E4867" s="4" t="str">
        <f>IFERROR(__xludf.DUMMYFUNCTION("if(H4867=""pays"",vlookup(REGEXEXTRACT(C4867, ""🏘️ \w+ \w+ (.*) ✅""),'Country prepositions'!A:B, 2, 0) &amp; "" "" &amp; REGEXEXTRACT(C4867, ""🏘️ \w+ \w+ (.*) ✅"") ,  if(H4867=""quartier"",vlookup(REGEXEXTRACT(C4867, ""🏘️ \w+ \w+ (.*) ✅""),'Quartier prepositio"&amp;"ns'!A:E, 5, 0) ,  if(H4867=""region"",vlookup(REGEXEXTRACT(C4867, ""🏘️ \w+ \w+ (.*) ✅""),'Region prepositions'!B:F, 5, 0),  REGEXEXTRACT(C4867, ""🏘️ \w+ \w+ (.*) ✅""))))"),"#N/A")</f>
        <v>#N/A</v>
      </c>
      <c r="I4867" s="4" t="str">
        <f>IFERROR(__xludf.DUMMYFUNCTION("if(D4867=""variant"",  substitute(filter(Templates!E:E, Templates!A:A = F4867, Templates!B:B = G4867, Templates!C:C = H4867), ""{{}}"", E4867), B4867)"),"Louer appartement Wengen: Trouvez le bien immobilier qui correspond idéalement à vos désirs sur ImmoScout24 - La plateforme de l'immobilier en Suisse.")</f>
        <v>Louer appartement Wengen: Trouvez le bien immobilier qui correspond idéalement à vos désirs sur ImmoScout24 - La plateforme de l'immobilier en Suisse.</v>
      </c>
    </row>
    <row r="4868" hidden="1">
      <c r="A4868" s="5" t="s">
        <v>12835</v>
      </c>
      <c r="B4868" s="2" t="s">
        <v>12836</v>
      </c>
      <c r="C4868" s="2" t="s">
        <v>12836</v>
      </c>
      <c r="D4868" s="4" t="str">
        <f>vlookup(A4868, Sheet2!D:E, 2, 0)</f>
        <v>control</v>
      </c>
      <c r="E4868" s="4" t="str">
        <f>IFERROR(__xludf.DUMMYFUNCTION("if(H4868=""pays"",vlookup(REGEXEXTRACT(C4868, ""🏘️ \w+ \w+ (.*) ✅""),'Country prepositions'!A:B, 2, 0) &amp; "" "" &amp; REGEXEXTRACT(C4868, ""🏘️ \w+ \w+ (.*) ✅"") ,  if(H4868=""quartier"",vlookup(REGEXEXTRACT(C4868, ""🏘️ \w+ \w+ (.*) ✅""),'Quartier prepositio"&amp;"ns'!A:E, 5, 0) ,  if(H4868=""region"",vlookup(REGEXEXTRACT(C4868, ""🏘️ \w+ \w+ (.*) ✅""),'Region prepositions'!B:F, 5, 0),  REGEXEXTRACT(C4868, ""🏘️ \w+ \w+ (.*) ✅""))))"),"#N/A")</f>
        <v>#N/A</v>
      </c>
      <c r="I4868" s="4" t="str">
        <f>IFERROR(__xludf.DUMMYFUNCTION("if(D4868=""variant"",  substitute(filter(Templates!E:E, Templates!A:A = F4868, Templates!B:B = G4868, Templates!C:C = H4868), ""{{}}"", E4868), B4868)"),"Louer appartement Birr: Trouvez le bien immobilier qui correspond idéalement à vos désirs sur ImmoScout24 - La plateforme de l'immobilier en Suisse.")</f>
        <v>Louer appartement Birr: Trouvez le bien immobilier qui correspond idéalement à vos désirs sur ImmoScout24 - La plateforme de l'immobilier en Suisse.</v>
      </c>
    </row>
    <row r="4869" hidden="1">
      <c r="A4869" s="5" t="s">
        <v>12837</v>
      </c>
      <c r="B4869" s="2" t="s">
        <v>12838</v>
      </c>
      <c r="C4869" s="2" t="s">
        <v>12838</v>
      </c>
      <c r="D4869" s="4" t="str">
        <f>vlookup(A4869, Sheet2!D:E, 2, 0)</f>
        <v>control</v>
      </c>
      <c r="E4869" s="4" t="str">
        <f>IFERROR(__xludf.DUMMYFUNCTION("if(H4869=""pays"",vlookup(REGEXEXTRACT(C4869, ""🏘️ \w+ \w+ (.*) ✅""),'Country prepositions'!A:B, 2, 0) &amp; "" "" &amp; REGEXEXTRACT(C4869, ""🏘️ \w+ \w+ (.*) ✅"") ,  if(H4869=""quartier"",vlookup(REGEXEXTRACT(C4869, ""🏘️ \w+ \w+ (.*) ✅""),'Quartier prepositio"&amp;"ns'!A:E, 5, 0) ,  if(H4869=""region"",vlookup(REGEXEXTRACT(C4869, ""🏘️ \w+ \w+ (.*) ✅""),'Region prepositions'!B:F, 5, 0),  REGEXEXTRACT(C4869, ""🏘️ \w+ \w+ (.*) ✅""))))"),"#N/A")</f>
        <v>#N/A</v>
      </c>
      <c r="I4869" s="4" t="str">
        <f>IFERROR(__xludf.DUMMYFUNCTION("if(D4869=""variant"",  substitute(filter(Templates!E:E, Templates!A:A = F4869, Templates!B:B = G4869, Templates!C:C = H4869), ""{{}}"", E4869), B4869)"),"Louer appartement Meiringen: Trouvez le bien immobilier qui correspond idéalement à vos désirs sur ImmoScout24 - La plateforme de l'immobilier en Suisse.")</f>
        <v>Louer appartement Meiringen: Trouvez le bien immobilier qui correspond idéalement à vos désirs sur ImmoScout24 - La plateforme de l'immobilier en Suisse.</v>
      </c>
    </row>
    <row r="4870" hidden="1">
      <c r="A4870" s="5" t="s">
        <v>12839</v>
      </c>
      <c r="B4870" s="2" t="s">
        <v>12840</v>
      </c>
      <c r="C4870" s="2" t="s">
        <v>12840</v>
      </c>
      <c r="D4870" s="4" t="str">
        <f>vlookup(A4870, Sheet2!D:E, 2, 0)</f>
        <v>control</v>
      </c>
      <c r="E4870" s="4" t="str">
        <f>IFERROR(__xludf.DUMMYFUNCTION("if(H4870=""pays"",vlookup(REGEXEXTRACT(C4870, ""🏘️ \w+ \w+ (.*) ✅""),'Country prepositions'!A:B, 2, 0) &amp; "" "" &amp; REGEXEXTRACT(C4870, ""🏘️ \w+ \w+ (.*) ✅"") ,  if(H4870=""quartier"",vlookup(REGEXEXTRACT(C4870, ""🏘️ \w+ \w+ (.*) ✅""),'Quartier prepositio"&amp;"ns'!A:E, 5, 0) ,  if(H4870=""region"",vlookup(REGEXEXTRACT(C4870, ""🏘️ \w+ \w+ (.*) ✅""),'Region prepositions'!B:F, 5, 0),  REGEXEXTRACT(C4870, ""🏘️ \w+ \w+ (.*) ✅""))))"),"#N/A")</f>
        <v>#N/A</v>
      </c>
      <c r="I4870" s="4" t="str">
        <f>IFERROR(__xludf.DUMMYFUNCTION("if(D4870=""variant"",  substitute(filter(Templates!E:E, Templates!A:A = F4870, Templates!B:B = G4870, Templates!C:C = H4870), ""{{}}"", E4870), B4870)"),"Vendre appartement Neukirch (Egnach): Trouvez le bien immobilier qui correspond idéalement à vos désirs sur ImmoScout24 - La plateforme de l'immobilier en Suisse.")</f>
        <v>Vendre appartement Neukirch (Egnach): Trouvez le bien immobilier qui correspond idéalement à vos désirs sur ImmoScout24 - La plateforme de l'immobilier en Suisse.</v>
      </c>
    </row>
    <row r="4871" hidden="1">
      <c r="A4871" s="5" t="s">
        <v>12841</v>
      </c>
      <c r="B4871" s="2" t="s">
        <v>12842</v>
      </c>
      <c r="C4871" s="2" t="s">
        <v>12842</v>
      </c>
      <c r="D4871" s="4" t="str">
        <f>vlookup(A4871, Sheet2!D:E, 2, 0)</f>
        <v>control</v>
      </c>
      <c r="E4871" s="4" t="str">
        <f>IFERROR(__xludf.DUMMYFUNCTION("if(H4871=""pays"",vlookup(REGEXEXTRACT(C4871, ""🏘️ \w+ \w+ (.*) ✅""),'Country prepositions'!A:B, 2, 0) &amp; "" "" &amp; REGEXEXTRACT(C4871, ""🏘️ \w+ \w+ (.*) ✅"") ,  if(H4871=""quartier"",vlookup(REGEXEXTRACT(C4871, ""🏘️ \w+ \w+ (.*) ✅""),'Quartier prepositio"&amp;"ns'!A:E, 5, 0) ,  if(H4871=""region"",vlookup(REGEXEXTRACT(C4871, ""🏘️ \w+ \w+ (.*) ✅""),'Region prepositions'!B:F, 5, 0),  REGEXEXTRACT(C4871, ""🏘️ \w+ \w+ (.*) ✅""))))"),"#N/A")</f>
        <v>#N/A</v>
      </c>
      <c r="I4871" s="4" t="str">
        <f>IFERROR(__xludf.DUMMYFUNCTION("if(D4871=""variant"",  substitute(filter(Templates!E:E, Templates!A:A = F4871, Templates!B:B = G4871, Templates!C:C = H4871), ""{{}}"", E4871), B4871)"),"Louer maison Langnau im Emmental: Trouvez le bien immobilier qui correspond idéalement à vos désirs sur ImmoScout24 - La plateforme de l'immobilier en Suisse.")</f>
        <v>Louer maison Langnau im Emmental: Trouvez le bien immobilier qui correspond idéalement à vos désirs sur ImmoScout24 - La plateforme de l'immobilier en Suisse.</v>
      </c>
    </row>
    <row r="4872" hidden="1">
      <c r="A4872" s="5" t="s">
        <v>12843</v>
      </c>
      <c r="B4872" s="2" t="s">
        <v>12844</v>
      </c>
      <c r="C4872" s="2" t="s">
        <v>12844</v>
      </c>
      <c r="D4872" s="4" t="str">
        <f>vlookup(A4872, Sheet2!D:E, 2, 0)</f>
        <v>control</v>
      </c>
      <c r="E4872" s="4" t="str">
        <f>IFERROR(__xludf.DUMMYFUNCTION("if(H4872=""pays"",vlookup(REGEXEXTRACT(C4872, ""🏘️ \w+ \w+ (.*) ✅""),'Country prepositions'!A:B, 2, 0) &amp; "" "" &amp; REGEXEXTRACT(C4872, ""🏘️ \w+ \w+ (.*) ✅"") ,  if(H4872=""quartier"",vlookup(REGEXEXTRACT(C4872, ""🏘️ \w+ \w+ (.*) ✅""),'Quartier prepositio"&amp;"ns'!A:E, 5, 0) ,  if(H4872=""region"",vlookup(REGEXEXTRACT(C4872, ""🏘️ \w+ \w+ (.*) ✅""),'Region prepositions'!B:F, 5, 0),  REGEXEXTRACT(C4872, ""🏘️ \w+ \w+ (.*) ✅""))))"),"#N/A")</f>
        <v>#N/A</v>
      </c>
      <c r="I4872" s="4" t="str">
        <f>IFERROR(__xludf.DUMMYFUNCTION("if(D4872=""variant"",  substitute(filter(Templates!E:E, Templates!A:A = F4872, Templates!B:B = G4872, Templates!C:C = H4872), ""{{}}"", E4872), B4872)"),"Vendre maison Ardez: Trouvez le bien immobilier qui correspond idéalement à vos désirs sur ImmoScout24 - La plateforme de l'immobilier en Suisse.")</f>
        <v>Vendre maison Ardez: Trouvez le bien immobilier qui correspond idéalement à vos désirs sur ImmoScout24 - La plateforme de l'immobilier en Suisse.</v>
      </c>
    </row>
    <row r="4873" hidden="1">
      <c r="A4873" s="5" t="s">
        <v>12845</v>
      </c>
      <c r="B4873" s="2" t="s">
        <v>12846</v>
      </c>
      <c r="C4873" s="2" t="s">
        <v>12846</v>
      </c>
      <c r="D4873" s="4" t="str">
        <f>vlookup(A4873, Sheet2!D:E, 2, 0)</f>
        <v>control</v>
      </c>
      <c r="E4873" s="4" t="str">
        <f>IFERROR(__xludf.DUMMYFUNCTION("if(H4873=""pays"",vlookup(REGEXEXTRACT(C4873, ""🏘️ \w+ \w+ (.*) ✅""),'Country prepositions'!A:B, 2, 0) &amp; "" "" &amp; REGEXEXTRACT(C4873, ""🏘️ \w+ \w+ (.*) ✅"") ,  if(H4873=""quartier"",vlookup(REGEXEXTRACT(C4873, ""🏘️ \w+ \w+ (.*) ✅""),'Quartier prepositio"&amp;"ns'!A:E, 5, 0) ,  if(H4873=""region"",vlookup(REGEXEXTRACT(C4873, ""🏘️ \w+ \w+ (.*) ✅""),'Region prepositions'!B:F, 5, 0),  REGEXEXTRACT(C4873, ""🏘️ \w+ \w+ (.*) ✅""))))"),"#N/A")</f>
        <v>#N/A</v>
      </c>
      <c r="I4873" s="4" t="str">
        <f>IFERROR(__xludf.DUMMYFUNCTION("if(D4873=""variant"",  substitute(filter(Templates!E:E, Templates!A:A = F4873, Templates!B:B = G4873, Templates!C:C = H4873), ""{{}}"", E4873), B4873)"),"Vendre maison Villeret: Trouvez le bien immobilier qui correspond idéalement à vos désirs sur ImmoScout24 - La plateforme de l'immobilier en Suisse.")</f>
        <v>Vendre maison Villeret: Trouvez le bien immobilier qui correspond idéalement à vos désirs sur ImmoScout24 - La plateforme de l'immobilier en Suisse.</v>
      </c>
    </row>
    <row r="4874" hidden="1">
      <c r="A4874" s="5" t="s">
        <v>12847</v>
      </c>
      <c r="B4874" s="2" t="s">
        <v>12848</v>
      </c>
      <c r="C4874" s="2" t="s">
        <v>12848</v>
      </c>
      <c r="D4874" s="4" t="str">
        <f>vlookup(A4874, Sheet2!D:E, 2, 0)</f>
        <v>control</v>
      </c>
      <c r="E4874" s="4" t="str">
        <f>IFERROR(__xludf.DUMMYFUNCTION("if(H4874=""pays"",vlookup(REGEXEXTRACT(C4874, ""🏘️ \w+ \w+ (.*) ✅""),'Country prepositions'!A:B, 2, 0) &amp; "" "" &amp; REGEXEXTRACT(C4874, ""🏘️ \w+ \w+ (.*) ✅"") ,  if(H4874=""quartier"",vlookup(REGEXEXTRACT(C4874, ""🏘️ \w+ \w+ (.*) ✅""),'Quartier prepositio"&amp;"ns'!A:E, 5, 0) ,  if(H4874=""region"",vlookup(REGEXEXTRACT(C4874, ""🏘️ \w+ \w+ (.*) ✅""),'Region prepositions'!B:F, 5, 0),  REGEXEXTRACT(C4874, ""🏘️ \w+ \w+ (.*) ✅""))))"),"#N/A")</f>
        <v>#N/A</v>
      </c>
      <c r="I4874" s="4" t="str">
        <f>IFERROR(__xludf.DUMMYFUNCTION("if(D4874=""variant"",  substitute(filter(Templates!E:E, Templates!A:A = F4874, Templates!B:B = G4874, Templates!C:C = H4874), ""{{}}"", E4874), B4874)"),"Vendre appartement Lourtier: Trouvez le bien immobilier qui correspond idéalement à vos désirs sur ImmoScout24 - La plateforme de l'immobilier en Suisse.")</f>
        <v>Vendre appartement Lourtier: Trouvez le bien immobilier qui correspond idéalement à vos désirs sur ImmoScout24 - La plateforme de l'immobilier en Suisse.</v>
      </c>
    </row>
    <row r="4875" hidden="1">
      <c r="A4875" s="5" t="s">
        <v>12849</v>
      </c>
      <c r="B4875" s="2" t="s">
        <v>12850</v>
      </c>
      <c r="C4875" s="2" t="s">
        <v>12850</v>
      </c>
      <c r="D4875" s="4" t="str">
        <f>vlookup(A4875, Sheet2!D:E, 2, 0)</f>
        <v>control</v>
      </c>
      <c r="E4875" s="4" t="str">
        <f>IFERROR(__xludf.DUMMYFUNCTION("if(H4875=""pays"",vlookup(REGEXEXTRACT(C4875, ""🏘️ \w+ \w+ (.*) ✅""),'Country prepositions'!A:B, 2, 0) &amp; "" "" &amp; REGEXEXTRACT(C4875, ""🏘️ \w+ \w+ (.*) ✅"") ,  if(H4875=""quartier"",vlookup(REGEXEXTRACT(C4875, ""🏘️ \w+ \w+ (.*) ✅""),'Quartier prepositio"&amp;"ns'!A:E, 5, 0) ,  if(H4875=""region"",vlookup(REGEXEXTRACT(C4875, ""🏘️ \w+ \w+ (.*) ✅""),'Region prepositions'!B:F, 5, 0),  REGEXEXTRACT(C4875, ""🏘️ \w+ \w+ (.*) ✅""))))"),"#N/A")</f>
        <v>#N/A</v>
      </c>
      <c r="I4875" s="4" t="str">
        <f>IFERROR(__xludf.DUMMYFUNCTION("if(D4875=""variant"",  substitute(filter(Templates!E:E, Templates!A:A = F4875, Templates!B:B = G4875, Templates!C:C = H4875), ""{{}}"", E4875), B4875)"),"Vendre maison Curtilles: Trouvez le bien immobilier qui correspond idéalement à vos désirs sur ImmoScout24 - La plateforme de l'immobilier en Suisse.")</f>
        <v>Vendre maison Curtilles: Trouvez le bien immobilier qui correspond idéalement à vos désirs sur ImmoScout24 - La plateforme de l'immobilier en Suisse.</v>
      </c>
    </row>
    <row r="4876" hidden="1">
      <c r="A4876" s="5" t="s">
        <v>12851</v>
      </c>
      <c r="B4876" s="2" t="s">
        <v>12852</v>
      </c>
      <c r="C4876" s="2" t="s">
        <v>12852</v>
      </c>
      <c r="D4876" s="4" t="str">
        <f>vlookup(A4876, Sheet2!D:E, 2, 0)</f>
        <v>control</v>
      </c>
      <c r="E4876" s="4" t="str">
        <f>IFERROR(__xludf.DUMMYFUNCTION("if(H4876=""pays"",vlookup(REGEXEXTRACT(C4876, ""🏘️ \w+ \w+ (.*) ✅""),'Country prepositions'!A:B, 2, 0) &amp; "" "" &amp; REGEXEXTRACT(C4876, ""🏘️ \w+ \w+ (.*) ✅"") ,  if(H4876=""quartier"",vlookup(REGEXEXTRACT(C4876, ""🏘️ \w+ \w+ (.*) ✅""),'Quartier prepositio"&amp;"ns'!A:E, 5, 0) ,  if(H4876=""region"",vlookup(REGEXEXTRACT(C4876, ""🏘️ \w+ \w+ (.*) ✅""),'Region prepositions'!B:F, 5, 0),  REGEXEXTRACT(C4876, ""🏘️ \w+ \w+ (.*) ✅""))))"),"#N/A")</f>
        <v>#N/A</v>
      </c>
      <c r="I4876" s="4" t="str">
        <f>IFERROR(__xludf.DUMMYFUNCTION("if(D4876=""variant"",  substitute(filter(Templates!E:E, Templates!A:A = F4876, Templates!B:B = G4876, Templates!C:C = H4876), ""{{}}"", E4876), B4876)"),"Louer appartement Celerina/Schlarigna: Trouvez le bien immobilier qui correspond idéalement à vos désirs sur ImmoScout24 - La plateforme de l'immobilier en Suisse.")</f>
        <v>Louer appartement Celerina/Schlarigna: Trouvez le bien immobilier qui correspond idéalement à vos désirs sur ImmoScout24 - La plateforme de l'immobilier en Suisse.</v>
      </c>
    </row>
    <row r="4877" hidden="1">
      <c r="A4877" s="5" t="s">
        <v>12853</v>
      </c>
      <c r="B4877" s="2" t="s">
        <v>12854</v>
      </c>
      <c r="C4877" s="2" t="s">
        <v>12854</v>
      </c>
      <c r="D4877" s="4" t="str">
        <f>vlookup(A4877, Sheet2!D:E, 2, 0)</f>
        <v>control</v>
      </c>
      <c r="E4877" s="4" t="str">
        <f>IFERROR(__xludf.DUMMYFUNCTION("if(H4877=""pays"",vlookup(REGEXEXTRACT(C4877, ""🏘️ \w+ \w+ (.*) ✅""),'Country prepositions'!A:B, 2, 0) &amp; "" "" &amp; REGEXEXTRACT(C4877, ""🏘️ \w+ \w+ (.*) ✅"") ,  if(H4877=""quartier"",vlookup(REGEXEXTRACT(C4877, ""🏘️ \w+ \w+ (.*) ✅""),'Quartier prepositio"&amp;"ns'!A:E, 5, 0) ,  if(H4877=""region"",vlookup(REGEXEXTRACT(C4877, ""🏘️ \w+ \w+ (.*) ✅""),'Region prepositions'!B:F, 5, 0),  REGEXEXTRACT(C4877, ""🏘️ \w+ \w+ (.*) ✅""))))"),"#N/A")</f>
        <v>#N/A</v>
      </c>
      <c r="I4877" s="4" t="str">
        <f>IFERROR(__xludf.DUMMYFUNCTION("if(D4877=""variant"",  substitute(filter(Templates!E:E, Templates!A:A = F4877, Templates!B:B = G4877, Templates!C:C = H4877), ""{{}}"", E4877), B4877)"),"Louer appartement Losone: Trouvez le bien immobilier qui correspond idéalement à vos désirs sur ImmoScout24 - La plateforme de l'immobilier en Suisse.")</f>
        <v>Louer appartement Losone: Trouvez le bien immobilier qui correspond idéalement à vos désirs sur ImmoScout24 - La plateforme de l'immobilier en Suisse.</v>
      </c>
    </row>
    <row r="4878" hidden="1">
      <c r="A4878" s="5" t="s">
        <v>12855</v>
      </c>
      <c r="B4878" s="2" t="s">
        <v>12856</v>
      </c>
      <c r="C4878" s="2" t="s">
        <v>12856</v>
      </c>
      <c r="D4878" s="4" t="str">
        <f>vlookup(A4878, Sheet2!D:E, 2, 0)</f>
        <v>control</v>
      </c>
      <c r="E4878" s="4" t="str">
        <f>IFERROR(__xludf.DUMMYFUNCTION("if(H4878=""pays"",vlookup(REGEXEXTRACT(C4878, ""🏘️ \w+ \w+ (.*) ✅""),'Country prepositions'!A:B, 2, 0) &amp; "" "" &amp; REGEXEXTRACT(C4878, ""🏘️ \w+ \w+ (.*) ✅"") ,  if(H4878=""quartier"",vlookup(REGEXEXTRACT(C4878, ""🏘️ \w+ \w+ (.*) ✅""),'Quartier prepositio"&amp;"ns'!A:E, 5, 0) ,  if(H4878=""region"",vlookup(REGEXEXTRACT(C4878, ""🏘️ \w+ \w+ (.*) ✅""),'Region prepositions'!B:F, 5, 0),  REGEXEXTRACT(C4878, ""🏘️ \w+ \w+ (.*) ✅""))))"),"#N/A")</f>
        <v>#N/A</v>
      </c>
      <c r="I4878" s="4" t="str">
        <f>IFERROR(__xludf.DUMMYFUNCTION("if(D4878=""variant"",  substitute(filter(Templates!E:E, Templates!A:A = F4878, Templates!B:B = G4878, Templates!C:C = H4878), ""{{}}"", E4878), B4878)"),"Louer maison Lovens: Trouvez le bien immobilier qui correspond idéalement à vos désirs sur ImmoScout24 - La plateforme de l'immobilier en Suisse.")</f>
        <v>Louer maison Lovens: Trouvez le bien immobilier qui correspond idéalement à vos désirs sur ImmoScout24 - La plateforme de l'immobilier en Suisse.</v>
      </c>
    </row>
    <row r="4879" hidden="1">
      <c r="A4879" s="5" t="s">
        <v>12857</v>
      </c>
      <c r="B4879" s="2" t="s">
        <v>12858</v>
      </c>
      <c r="C4879" s="2" t="s">
        <v>12858</v>
      </c>
      <c r="D4879" s="4" t="str">
        <f>vlookup(A4879, Sheet2!D:E, 2, 0)</f>
        <v>control</v>
      </c>
      <c r="E4879" s="4" t="str">
        <f>IFERROR(__xludf.DUMMYFUNCTION("if(H4879=""pays"",vlookup(REGEXEXTRACT(C4879, ""🏘️ \w+ \w+ (.*) ✅""),'Country prepositions'!A:B, 2, 0) &amp; "" "" &amp; REGEXEXTRACT(C4879, ""🏘️ \w+ \w+ (.*) ✅"") ,  if(H4879=""quartier"",vlookup(REGEXEXTRACT(C4879, ""🏘️ \w+ \w+ (.*) ✅""),'Quartier prepositio"&amp;"ns'!A:E, 5, 0) ,  if(H4879=""region"",vlookup(REGEXEXTRACT(C4879, ""🏘️ \w+ \w+ (.*) ✅""),'Region prepositions'!B:F, 5, 0),  REGEXEXTRACT(C4879, ""🏘️ \w+ \w+ (.*) ✅""))))"),"#N/A")</f>
        <v>#N/A</v>
      </c>
      <c r="I4879" s="4" t="str">
        <f>IFERROR(__xludf.DUMMYFUNCTION("if(D4879=""variant"",  substitute(filter(Templates!E:E, Templates!A:A = F4879, Templates!B:B = G4879, Templates!C:C = H4879), ""{{}}"", E4879), B4879)"),"Louer maison Essert-Pittet: Trouvez le bien immobilier qui correspond idéalement à vos désirs sur ImmoScout24 - La plateforme de l'immobilier en Suisse.")</f>
        <v>Louer maison Essert-Pittet: Trouvez le bien immobilier qui correspond idéalement à vos désirs sur ImmoScout24 - La plateforme de l'immobilier en Suisse.</v>
      </c>
    </row>
    <row r="4880" hidden="1">
      <c r="A4880" s="5" t="s">
        <v>12859</v>
      </c>
      <c r="B4880" s="2" t="s">
        <v>12860</v>
      </c>
      <c r="C4880" s="2" t="s">
        <v>12860</v>
      </c>
      <c r="D4880" s="4" t="str">
        <f>vlookup(A4880, Sheet2!D:E, 2, 0)</f>
        <v>control</v>
      </c>
      <c r="E4880" s="4" t="str">
        <f>IFERROR(__xludf.DUMMYFUNCTION("if(H4880=""pays"",vlookup(REGEXEXTRACT(C4880, ""🏘️ \w+ \w+ (.*) ✅""),'Country prepositions'!A:B, 2, 0) &amp; "" "" &amp; REGEXEXTRACT(C4880, ""🏘️ \w+ \w+ (.*) ✅"") ,  if(H4880=""quartier"",vlookup(REGEXEXTRACT(C4880, ""🏘️ \w+ \w+ (.*) ✅""),'Quartier prepositio"&amp;"ns'!A:E, 5, 0) ,  if(H4880=""region"",vlookup(REGEXEXTRACT(C4880, ""🏘️ \w+ \w+ (.*) ✅""),'Region prepositions'!B:F, 5, 0),  REGEXEXTRACT(C4880, ""🏘️ \w+ \w+ (.*) ✅""))))"),"#N/A")</f>
        <v>#N/A</v>
      </c>
      <c r="I4880" s="4" t="str">
        <f>IFERROR(__xludf.DUMMYFUNCTION("if(D4880=""variant"",  substitute(filter(Templates!E:E, Templates!A:A = F4880, Templates!B:B = G4880, Templates!C:C = H4880), ""{{}}"", E4880), B4880)"),"Louer maison Soral: Trouvez le bien immobilier qui correspond idéalement à vos désirs sur ImmoScout24 - La plateforme de l'immobilier en Suisse.")</f>
        <v>Louer maison Soral: Trouvez le bien immobilier qui correspond idéalement à vos désirs sur ImmoScout24 - La plateforme de l'immobilier en Suisse.</v>
      </c>
    </row>
    <row r="4881" hidden="1">
      <c r="A4881" s="5" t="s">
        <v>12861</v>
      </c>
      <c r="B4881" s="2" t="s">
        <v>12862</v>
      </c>
      <c r="C4881" s="2" t="s">
        <v>12862</v>
      </c>
      <c r="D4881" s="4" t="str">
        <f>vlookup(A4881, Sheet2!D:E, 2, 0)</f>
        <v>control</v>
      </c>
      <c r="E4881" s="4" t="str">
        <f>IFERROR(__xludf.DUMMYFUNCTION("if(H4881=""pays"",vlookup(REGEXEXTRACT(C4881, ""🏘️ \w+ \w+ (.*) ✅""),'Country prepositions'!A:B, 2, 0) &amp; "" "" &amp; REGEXEXTRACT(C4881, ""🏘️ \w+ \w+ (.*) ✅"") ,  if(H4881=""quartier"",vlookup(REGEXEXTRACT(C4881, ""🏘️ \w+ \w+ (.*) ✅""),'Quartier prepositio"&amp;"ns'!A:E, 5, 0) ,  if(H4881=""region"",vlookup(REGEXEXTRACT(C4881, ""🏘️ \w+ \w+ (.*) ✅""),'Region prepositions'!B:F, 5, 0),  REGEXEXTRACT(C4881, ""🏘️ \w+ \w+ (.*) ✅""))))"),"#N/A")</f>
        <v>#N/A</v>
      </c>
      <c r="I4881" s="4" t="str">
        <f>IFERROR(__xludf.DUMMYFUNCTION("if(D4881=""variant"",  substitute(filter(Templates!E:E, Templates!A:A = F4881, Templates!B:B = G4881, Templates!C:C = H4881), ""{{}}"", E4881), B4881)"),"Vendre appartement Rossens FR: Trouvez le bien immobilier qui correspond idéalement à vos désirs sur ImmoScout24 - La plateforme de l'immobilier en Suisse.")</f>
        <v>Vendre appartement Rossens FR: Trouvez le bien immobilier qui correspond idéalement à vos désirs sur ImmoScout24 - La plateforme de l'immobilier en Suisse.</v>
      </c>
    </row>
    <row r="4882" hidden="1">
      <c r="A4882" s="5" t="s">
        <v>12863</v>
      </c>
      <c r="B4882" s="2" t="s">
        <v>12864</v>
      </c>
      <c r="C4882" s="2" t="s">
        <v>12864</v>
      </c>
      <c r="D4882" s="4" t="str">
        <f>vlookup(A4882, Sheet2!D:E, 2, 0)</f>
        <v>control</v>
      </c>
      <c r="E4882" s="4" t="str">
        <f>IFERROR(__xludf.DUMMYFUNCTION("if(H4882=""pays"",vlookup(REGEXEXTRACT(C4882, ""🏘️ \w+ \w+ (.*) ✅""),'Country prepositions'!A:B, 2, 0) &amp; "" "" &amp; REGEXEXTRACT(C4882, ""🏘️ \w+ \w+ (.*) ✅"") ,  if(H4882=""quartier"",vlookup(REGEXEXTRACT(C4882, ""🏘️ \w+ \w+ (.*) ✅""),'Quartier prepositio"&amp;"ns'!A:E, 5, 0) ,  if(H4882=""region"",vlookup(REGEXEXTRACT(C4882, ""🏘️ \w+ \w+ (.*) ✅""),'Region prepositions'!B:F, 5, 0),  REGEXEXTRACT(C4882, ""🏘️ \w+ \w+ (.*) ✅""))))"),"#N/A")</f>
        <v>#N/A</v>
      </c>
      <c r="I4882" s="4" t="str">
        <f>IFERROR(__xludf.DUMMYFUNCTION("if(D4882=""variant"",  substitute(filter(Templates!E:E, Templates!A:A = F4882, Templates!B:B = G4882, Templates!C:C = H4882), ""{{}}"", E4882), B4882)"),"Vendre maison Ergisch: Trouvez le bien immobilier qui correspond idéalement à vos désirs sur ImmoScout24 - La plateforme de l'immobilier en Suisse.")</f>
        <v>Vendre maison Ergisch: Trouvez le bien immobilier qui correspond idéalement à vos désirs sur ImmoScout24 - La plateforme de l'immobilier en Suisse.</v>
      </c>
    </row>
    <row r="4883" hidden="1">
      <c r="A4883" s="5" t="s">
        <v>12865</v>
      </c>
      <c r="B4883" s="2" t="s">
        <v>12866</v>
      </c>
      <c r="C4883" s="2" t="s">
        <v>12866</v>
      </c>
      <c r="D4883" s="4" t="str">
        <f>vlookup(A4883, Sheet2!D:E, 2, 0)</f>
        <v>control</v>
      </c>
      <c r="E4883" s="4" t="str">
        <f>IFERROR(__xludf.DUMMYFUNCTION("if(H4883=""pays"",vlookup(REGEXEXTRACT(C4883, ""🏘️ \w+ \w+ (.*) ✅""),'Country prepositions'!A:B, 2, 0) &amp; "" "" &amp; REGEXEXTRACT(C4883, ""🏘️ \w+ \w+ (.*) ✅"") ,  if(H4883=""quartier"",vlookup(REGEXEXTRACT(C4883, ""🏘️ \w+ \w+ (.*) ✅""),'Quartier prepositio"&amp;"ns'!A:E, 5, 0) ,  if(H4883=""region"",vlookup(REGEXEXTRACT(C4883, ""🏘️ \w+ \w+ (.*) ✅""),'Region prepositions'!B:F, 5, 0),  REGEXEXTRACT(C4883, ""🏘️ \w+ \w+ (.*) ✅""))))"),"#N/A")</f>
        <v>#N/A</v>
      </c>
      <c r="I4883" s="4" t="str">
        <f>IFERROR(__xludf.DUMMYFUNCTION("if(D4883=""variant"",  substitute(filter(Templates!E:E, Templates!A:A = F4883, Templates!B:B = G4883, Templates!C:C = H4883), ""{{}}"", E4883), B4883)"),"Louer appartement Villarsel-sur-Marly: Trouvez le bien immobilier qui correspond idéalement à vos désirs sur ImmoScout24 - La plateforme de l'immobilier en Suisse.")</f>
        <v>Louer appartement Villarsel-sur-Marly: Trouvez le bien immobilier qui correspond idéalement à vos désirs sur ImmoScout24 - La plateforme de l'immobilier en Suisse.</v>
      </c>
    </row>
    <row r="4884" hidden="1">
      <c r="A4884" s="5" t="s">
        <v>12867</v>
      </c>
      <c r="B4884" s="2" t="s">
        <v>12868</v>
      </c>
      <c r="C4884" s="2" t="s">
        <v>12868</v>
      </c>
      <c r="D4884" s="4" t="str">
        <f>vlookup(A4884, Sheet2!D:E, 2, 0)</f>
        <v>control</v>
      </c>
      <c r="E4884" s="4" t="str">
        <f>IFERROR(__xludf.DUMMYFUNCTION("if(H4884=""pays"",vlookup(REGEXEXTRACT(C4884, ""🏘️ \w+ \w+ (.*) ✅""),'Country prepositions'!A:B, 2, 0) &amp; "" "" &amp; REGEXEXTRACT(C4884, ""🏘️ \w+ \w+ (.*) ✅"") ,  if(H4884=""quartier"",vlookup(REGEXEXTRACT(C4884, ""🏘️ \w+ \w+ (.*) ✅""),'Quartier prepositio"&amp;"ns'!A:E, 5, 0) ,  if(H4884=""region"",vlookup(REGEXEXTRACT(C4884, ""🏘️ \w+ \w+ (.*) ✅""),'Region prepositions'!B:F, 5, 0),  REGEXEXTRACT(C4884, ""🏘️ \w+ \w+ (.*) ✅""))))"),"#N/A")</f>
        <v>#N/A</v>
      </c>
      <c r="I4884" s="4" t="str">
        <f>IFERROR(__xludf.DUMMYFUNCTION("if(D4884=""variant"",  substitute(filter(Templates!E:E, Templates!A:A = F4884, Templates!B:B = G4884, Templates!C:C = H4884), ""{{}}"", E4884), B4884)"),"Louer appartement Glovelier: Trouvez le bien immobilier qui correspond idéalement à vos désirs sur ImmoScout24 - La plateforme de l'immobilier en Suisse.")</f>
        <v>Louer appartement Glovelier: Trouvez le bien immobilier qui correspond idéalement à vos désirs sur ImmoScout24 - La plateforme de l'immobilier en Suisse.</v>
      </c>
    </row>
    <row r="4885" hidden="1">
      <c r="A4885" s="5" t="s">
        <v>12869</v>
      </c>
      <c r="B4885" s="2" t="s">
        <v>12870</v>
      </c>
      <c r="C4885" s="2" t="s">
        <v>12870</v>
      </c>
      <c r="D4885" s="4" t="str">
        <f>vlookup(A4885, Sheet2!D:E, 2, 0)</f>
        <v>control</v>
      </c>
      <c r="E4885" s="4" t="str">
        <f>IFERROR(__xludf.DUMMYFUNCTION("if(H4885=""pays"",vlookup(REGEXEXTRACT(C4885, ""🏘️ \w+ \w+ (.*) ✅""),'Country prepositions'!A:B, 2, 0) &amp; "" "" &amp; REGEXEXTRACT(C4885, ""🏘️ \w+ \w+ (.*) ✅"") ,  if(H4885=""quartier"",vlookup(REGEXEXTRACT(C4885, ""🏘️ \w+ \w+ (.*) ✅""),'Quartier prepositio"&amp;"ns'!A:E, 5, 0) ,  if(H4885=""region"",vlookup(REGEXEXTRACT(C4885, ""🏘️ \w+ \w+ (.*) ✅""),'Region prepositions'!B:F, 5, 0),  REGEXEXTRACT(C4885, ""🏘️ \w+ \w+ (.*) ✅""))))"),"#N/A")</f>
        <v>#N/A</v>
      </c>
      <c r="I4885" s="4" t="str">
        <f>IFERROR(__xludf.DUMMYFUNCTION("if(D4885=""variant"",  substitute(filter(Templates!E:E, Templates!A:A = F4885, Templates!B:B = G4885, Templates!C:C = H4885), ""{{}}"", E4885), B4885)"),"Louer appartement Interlaken: Trouvez le bien immobilier qui correspond idéalement à vos désirs sur ImmoScout24 - La plateforme de l'immobilier en Suisse.")</f>
        <v>Louer appartement Interlaken: Trouvez le bien immobilier qui correspond idéalement à vos désirs sur ImmoScout24 - La plateforme de l'immobilier en Suisse.</v>
      </c>
    </row>
    <row r="4886" hidden="1">
      <c r="A4886" s="5" t="s">
        <v>12871</v>
      </c>
      <c r="B4886" s="2" t="s">
        <v>12872</v>
      </c>
      <c r="C4886" s="2" t="s">
        <v>12872</v>
      </c>
      <c r="D4886" s="4" t="str">
        <f>vlookup(A4886, Sheet2!D:E, 2, 0)</f>
        <v>control</v>
      </c>
      <c r="E4886" s="4" t="str">
        <f>IFERROR(__xludf.DUMMYFUNCTION("if(H4886=""pays"",vlookup(REGEXEXTRACT(C4886, ""🏘️ \w+ \w+ (.*) ✅""),'Country prepositions'!A:B, 2, 0) &amp; "" "" &amp; REGEXEXTRACT(C4886, ""🏘️ \w+ \w+ (.*) ✅"") ,  if(H4886=""quartier"",vlookup(REGEXEXTRACT(C4886, ""🏘️ \w+ \w+ (.*) ✅""),'Quartier prepositio"&amp;"ns'!A:E, 5, 0) ,  if(H4886=""region"",vlookup(REGEXEXTRACT(C4886, ""🏘️ \w+ \w+ (.*) ✅""),'Region prepositions'!B:F, 5, 0),  REGEXEXTRACT(C4886, ""🏘️ \w+ \w+ (.*) ✅""))))"),"#N/A")</f>
        <v>#N/A</v>
      </c>
      <c r="I4886" s="4" t="str">
        <f>IFERROR(__xludf.DUMMYFUNCTION("if(D4886=""variant"",  substitute(filter(Templates!E:E, Templates!A:A = F4886, Templates!B:B = G4886, Templates!C:C = H4886), ""{{}}"", E4886), B4886)"),"Vendre maison Canton de Bâle-Ville: Trouvez le bien immobilier qui correspond idéalement à vos désirs sur ImmoScout24 - La plateforme de l'immobilier en Suisse.")</f>
        <v>Vendre maison Canton de Bâle-Ville: Trouvez le bien immobilier qui correspond idéalement à vos désirs sur ImmoScout24 - La plateforme de l'immobilier en Suisse.</v>
      </c>
    </row>
    <row r="4887" hidden="1">
      <c r="A4887" s="5" t="s">
        <v>12873</v>
      </c>
      <c r="B4887" s="2" t="s">
        <v>12874</v>
      </c>
      <c r="C4887" s="2" t="s">
        <v>12874</v>
      </c>
      <c r="D4887" s="4" t="str">
        <f>vlookup(A4887, Sheet2!D:E, 2, 0)</f>
        <v>control</v>
      </c>
      <c r="E4887" s="4" t="str">
        <f>IFERROR(__xludf.DUMMYFUNCTION("if(H4887=""pays"",vlookup(REGEXEXTRACT(C4887, ""🏘️ \w+ \w+ (.*) ✅""),'Country prepositions'!A:B, 2, 0) &amp; "" "" &amp; REGEXEXTRACT(C4887, ""🏘️ \w+ \w+ (.*) ✅"") ,  if(H4887=""quartier"",vlookup(REGEXEXTRACT(C4887, ""🏘️ \w+ \w+ (.*) ✅""),'Quartier prepositio"&amp;"ns'!A:E, 5, 0) ,  if(H4887=""region"",vlookup(REGEXEXTRACT(C4887, ""🏘️ \w+ \w+ (.*) ✅""),'Region prepositions'!B:F, 5, 0),  REGEXEXTRACT(C4887, ""🏘️ \w+ \w+ (.*) ✅""))))"),"#N/A")</f>
        <v>#N/A</v>
      </c>
      <c r="I4887" s="4" t="str">
        <f>IFERROR(__xludf.DUMMYFUNCTION("if(D4887=""variant"",  substitute(filter(Templates!E:E, Templates!A:A = F4887, Templates!B:B = G4887, Templates!C:C = H4887), ""{{}}"", E4887), B4887)"),"Louer maison Eison (St-Martin): Trouvez le bien immobilier qui correspond idéalement à vos désirs sur ImmoScout24 - La plateforme de l'immobilier en Suisse.")</f>
        <v>Louer maison Eison (St-Martin): Trouvez le bien immobilier qui correspond idéalement à vos désirs sur ImmoScout24 - La plateforme de l'immobilier en Suisse.</v>
      </c>
    </row>
    <row r="4888" hidden="1">
      <c r="A4888" s="5" t="s">
        <v>12875</v>
      </c>
      <c r="B4888" s="2" t="s">
        <v>12876</v>
      </c>
      <c r="C4888" s="2" t="s">
        <v>12876</v>
      </c>
      <c r="D4888" s="4" t="str">
        <f>vlookup(A4888, Sheet2!D:E, 2, 0)</f>
        <v>control</v>
      </c>
      <c r="E4888" s="4" t="str">
        <f>IFERROR(__xludf.DUMMYFUNCTION("if(H4888=""pays"",vlookup(REGEXEXTRACT(C4888, ""🏘️ \w+ \w+ (.*) ✅""),'Country prepositions'!A:B, 2, 0) &amp; "" "" &amp; REGEXEXTRACT(C4888, ""🏘️ \w+ \w+ (.*) ✅"") ,  if(H4888=""quartier"",vlookup(REGEXEXTRACT(C4888, ""🏘️ \w+ \w+ (.*) ✅""),'Quartier prepositio"&amp;"ns'!A:E, 5, 0) ,  if(H4888=""region"",vlookup(REGEXEXTRACT(C4888, ""🏘️ \w+ \w+ (.*) ✅""),'Region prepositions'!B:F, 5, 0),  REGEXEXTRACT(C4888, ""🏘️ \w+ \w+ (.*) ✅""))))"),"#N/A")</f>
        <v>#N/A</v>
      </c>
      <c r="I4888" s="4" t="str">
        <f>IFERROR(__xludf.DUMMYFUNCTION("if(D4888=""variant"",  substitute(filter(Templates!E:E, Templates!A:A = F4888, Templates!B:B = G4888, Templates!C:C = H4888), ""{{}}"", E4888), B4888)"),"Louer appartement Liestal: Trouvez le bien immobilier qui correspond idéalement à vos désirs sur ImmoScout24 - La plateforme de l'immobilier en Suisse.")</f>
        <v>Louer appartement Liestal: Trouvez le bien immobilier qui correspond idéalement à vos désirs sur ImmoScout24 - La plateforme de l'immobilier en Suisse.</v>
      </c>
    </row>
    <row r="4889" hidden="1">
      <c r="A4889" s="5" t="s">
        <v>12877</v>
      </c>
      <c r="B4889" s="2" t="s">
        <v>12878</v>
      </c>
      <c r="C4889" s="2" t="s">
        <v>12878</v>
      </c>
      <c r="D4889" s="4" t="str">
        <f>vlookup(A4889, Sheet2!D:E, 2, 0)</f>
        <v>control</v>
      </c>
      <c r="E4889" s="4" t="str">
        <f>IFERROR(__xludf.DUMMYFUNCTION("if(H4889=""pays"",vlookup(REGEXEXTRACT(C4889, ""🏘️ \w+ \w+ (.*) ✅""),'Country prepositions'!A:B, 2, 0) &amp; "" "" &amp; REGEXEXTRACT(C4889, ""🏘️ \w+ \w+ (.*) ✅"") ,  if(H4889=""quartier"",vlookup(REGEXEXTRACT(C4889, ""🏘️ \w+ \w+ (.*) ✅""),'Quartier prepositio"&amp;"ns'!A:E, 5, 0) ,  if(H4889=""region"",vlookup(REGEXEXTRACT(C4889, ""🏘️ \w+ \w+ (.*) ✅""),'Region prepositions'!B:F, 5, 0),  REGEXEXTRACT(C4889, ""🏘️ \w+ \w+ (.*) ✅""))))"),"#N/A")</f>
        <v>#N/A</v>
      </c>
      <c r="I4889" s="4" t="str">
        <f>IFERROR(__xludf.DUMMYFUNCTION("if(D4889=""variant"",  substitute(filter(Templates!E:E, Templates!A:A = F4889, Templates!B:B = G4889, Templates!C:C = H4889), ""{{}}"", E4889), B4889)"),"Louer appartement Arveyes: Trouvez le bien immobilier qui correspond idéalement à vos désirs sur ImmoScout24 - La plateforme de l'immobilier en Suisse.")</f>
        <v>Louer appartement Arveyes: Trouvez le bien immobilier qui correspond idéalement à vos désirs sur ImmoScout24 - La plateforme de l'immobilier en Suisse.</v>
      </c>
    </row>
    <row r="4890" hidden="1">
      <c r="A4890" s="5" t="s">
        <v>12879</v>
      </c>
      <c r="B4890" s="2" t="s">
        <v>12880</v>
      </c>
      <c r="C4890" s="2" t="s">
        <v>12880</v>
      </c>
      <c r="D4890" s="4" t="str">
        <f>vlookup(A4890, Sheet2!D:E, 2, 0)</f>
        <v>control</v>
      </c>
      <c r="E4890" s="4" t="str">
        <f>IFERROR(__xludf.DUMMYFUNCTION("if(H4890=""pays"",vlookup(REGEXEXTRACT(C4890, ""🏘️ \w+ \w+ (.*) ✅""),'Country prepositions'!A:B, 2, 0) &amp; "" "" &amp; REGEXEXTRACT(C4890, ""🏘️ \w+ \w+ (.*) ✅"") ,  if(H4890=""quartier"",vlookup(REGEXEXTRACT(C4890, ""🏘️ \w+ \w+ (.*) ✅""),'Quartier prepositio"&amp;"ns'!A:E, 5, 0) ,  if(H4890=""region"",vlookup(REGEXEXTRACT(C4890, ""🏘️ \w+ \w+ (.*) ✅""),'Region prepositions'!B:F, 5, 0),  REGEXEXTRACT(C4890, ""🏘️ \w+ \w+ (.*) ✅""))))"),"#N/A")</f>
        <v>#N/A</v>
      </c>
      <c r="I4890" s="4" t="str">
        <f>IFERROR(__xludf.DUMMYFUNCTION("if(D4890=""variant"",  substitute(filter(Templates!E:E, Templates!A:A = F4890, Templates!B:B = G4890, Templates!C:C = H4890), ""{{}}"", E4890), B4890)"),"Louer appartement Etoy: Trouvez le bien immobilier qui correspond idéalement à vos désirs sur ImmoScout24 - La plateforme de l'immobilier en Suisse.")</f>
        <v>Louer appartement Etoy: Trouvez le bien immobilier qui correspond idéalement à vos désirs sur ImmoScout24 - La plateforme de l'immobilier en Suisse.</v>
      </c>
    </row>
    <row r="4891" hidden="1">
      <c r="A4891" s="5" t="s">
        <v>12881</v>
      </c>
      <c r="B4891" s="2" t="s">
        <v>12882</v>
      </c>
      <c r="C4891" s="2" t="s">
        <v>12882</v>
      </c>
      <c r="D4891" s="4" t="str">
        <f>vlookup(A4891, Sheet2!D:E, 2, 0)</f>
        <v>control</v>
      </c>
      <c r="E4891" s="4" t="str">
        <f>IFERROR(__xludf.DUMMYFUNCTION("if(H4891=""pays"",vlookup(REGEXEXTRACT(C4891, ""🏘️ \w+ \w+ (.*) ✅""),'Country prepositions'!A:B, 2, 0) &amp; "" "" &amp; REGEXEXTRACT(C4891, ""🏘️ \w+ \w+ (.*) ✅"") ,  if(H4891=""quartier"",vlookup(REGEXEXTRACT(C4891, ""🏘️ \w+ \w+ (.*) ✅""),'Quartier prepositio"&amp;"ns'!A:E, 5, 0) ,  if(H4891=""region"",vlookup(REGEXEXTRACT(C4891, ""🏘️ \w+ \w+ (.*) ✅""),'Region prepositions'!B:F, 5, 0),  REGEXEXTRACT(C4891, ""🏘️ \w+ \w+ (.*) ✅""))))"),"#N/A")</f>
        <v>#N/A</v>
      </c>
      <c r="I4891" s="4" t="str">
        <f>IFERROR(__xludf.DUMMYFUNCTION("if(D4891=""variant"",  substitute(filter(Templates!E:E, Templates!A:A = F4891, Templates!B:B = G4891, Templates!C:C = H4891), ""{{}}"", E4891), B4891)"),"Louer appartement Gasel: Trouvez le bien immobilier qui correspond idéalement à vos désirs sur ImmoScout24 - La plateforme de l'immobilier en Suisse.")</f>
        <v>Louer appartement Gasel: Trouvez le bien immobilier qui correspond idéalement à vos désirs sur ImmoScout24 - La plateforme de l'immobilier en Suisse.</v>
      </c>
    </row>
    <row r="4892" hidden="1">
      <c r="A4892" s="5" t="s">
        <v>12883</v>
      </c>
      <c r="B4892" s="2" t="s">
        <v>12884</v>
      </c>
      <c r="C4892" s="2" t="s">
        <v>12884</v>
      </c>
      <c r="D4892" s="4" t="str">
        <f>vlookup(A4892, Sheet2!D:E, 2, 0)</f>
        <v>control</v>
      </c>
      <c r="E4892" s="4" t="str">
        <f>IFERROR(__xludf.DUMMYFUNCTION("if(H4892=""pays"",vlookup(REGEXEXTRACT(C4892, ""🏘️ \w+ \w+ (.*) ✅""),'Country prepositions'!A:B, 2, 0) &amp; "" "" &amp; REGEXEXTRACT(C4892, ""🏘️ \w+ \w+ (.*) ✅"") ,  if(H4892=""quartier"",vlookup(REGEXEXTRACT(C4892, ""🏘️ \w+ \w+ (.*) ✅""),'Quartier prepositio"&amp;"ns'!A:E, 5, 0) ,  if(H4892=""region"",vlookup(REGEXEXTRACT(C4892, ""🏘️ \w+ \w+ (.*) ✅""),'Region prepositions'!B:F, 5, 0),  REGEXEXTRACT(C4892, ""🏘️ \w+ \w+ (.*) ✅""))))"),"#N/A")</f>
        <v>#N/A</v>
      </c>
      <c r="I4892" s="4" t="str">
        <f>IFERROR(__xludf.DUMMYFUNCTION("if(D4892=""variant"",  substitute(filter(Templates!E:E, Templates!A:A = F4892, Templates!B:B = G4892, Templates!C:C = H4892), ""{{}}"", E4892), B4892)"),"Louer appartement Ligerz: Trouvez le bien immobilier qui correspond idéalement à vos désirs sur ImmoScout24 - La plateforme de l'immobilier en Suisse.")</f>
        <v>Louer appartement Ligerz: Trouvez le bien immobilier qui correspond idéalement à vos désirs sur ImmoScout24 - La plateforme de l'immobilier en Suisse.</v>
      </c>
    </row>
    <row r="4893" hidden="1">
      <c r="A4893" s="5" t="s">
        <v>12885</v>
      </c>
      <c r="B4893" s="2" t="s">
        <v>12886</v>
      </c>
      <c r="C4893" s="2" t="s">
        <v>12886</v>
      </c>
      <c r="D4893" s="4" t="str">
        <f>vlookup(A4893, Sheet2!D:E, 2, 0)</f>
        <v>control</v>
      </c>
      <c r="E4893" s="4" t="str">
        <f>IFERROR(__xludf.DUMMYFUNCTION("if(H4893=""pays"",vlookup(REGEXEXTRACT(C4893, ""🏘️ \w+ \w+ (.*) ✅""),'Country prepositions'!A:B, 2, 0) &amp; "" "" &amp; REGEXEXTRACT(C4893, ""🏘️ \w+ \w+ (.*) ✅"") ,  if(H4893=""quartier"",vlookup(REGEXEXTRACT(C4893, ""🏘️ \w+ \w+ (.*) ✅""),'Quartier prepositio"&amp;"ns'!A:E, 5, 0) ,  if(H4893=""region"",vlookup(REGEXEXTRACT(C4893, ""🏘️ \w+ \w+ (.*) ✅""),'Region prepositions'!B:F, 5, 0),  REGEXEXTRACT(C4893, ""🏘️ \w+ \w+ (.*) ✅""))))"),"#N/A")</f>
        <v>#N/A</v>
      </c>
      <c r="I4893" s="4" t="str">
        <f>IFERROR(__xludf.DUMMYFUNCTION("if(D4893=""variant"",  substitute(filter(Templates!E:E, Templates!A:A = F4893, Templates!B:B = G4893, Templates!C:C = H4893), ""{{}}"", E4893), B4893)"),"Vendre maison Montagnon (Leytron): Trouvez le bien immobilier qui correspond idéalement à vos désirs sur ImmoScout24 - La plateforme de l'immobilier en Suisse.")</f>
        <v>Vendre maison Montagnon (Leytron): Trouvez le bien immobilier qui correspond idéalement à vos désirs sur ImmoScout24 - La plateforme de l'immobilier en Suisse.</v>
      </c>
    </row>
    <row r="4894" hidden="1">
      <c r="A4894" s="5" t="s">
        <v>12887</v>
      </c>
      <c r="B4894" s="2" t="s">
        <v>12888</v>
      </c>
      <c r="C4894" s="2" t="s">
        <v>12888</v>
      </c>
      <c r="D4894" s="4" t="str">
        <f>vlookup(A4894, Sheet2!D:E, 2, 0)</f>
        <v>control</v>
      </c>
      <c r="E4894" s="4" t="str">
        <f>IFERROR(__xludf.DUMMYFUNCTION("if(H4894=""pays"",vlookup(REGEXEXTRACT(C4894, ""🏘️ \w+ \w+ (.*) ✅""),'Country prepositions'!A:B, 2, 0) &amp; "" "" &amp; REGEXEXTRACT(C4894, ""🏘️ \w+ \w+ (.*) ✅"") ,  if(H4894=""quartier"",vlookup(REGEXEXTRACT(C4894, ""🏘️ \w+ \w+ (.*) ✅""),'Quartier prepositio"&amp;"ns'!A:E, 5, 0) ,  if(H4894=""region"",vlookup(REGEXEXTRACT(C4894, ""🏘️ \w+ \w+ (.*) ✅""),'Region prepositions'!B:F, 5, 0),  REGEXEXTRACT(C4894, ""🏘️ \w+ \w+ (.*) ✅""))))"),"#N/A")</f>
        <v>#N/A</v>
      </c>
      <c r="I4894" s="4" t="str">
        <f>IFERROR(__xludf.DUMMYFUNCTION("if(D4894=""variant"",  substitute(filter(Templates!E:E, Templates!A:A = F4894, Templates!B:B = G4894, Templates!C:C = H4894), ""{{}}"", E4894), B4894)"),"Vendre maison Pomy: Trouvez le bien immobilier qui correspond idéalement à vos désirs sur ImmoScout24 - La plateforme de l'immobilier en Suisse.")</f>
        <v>Vendre maison Pomy: Trouvez le bien immobilier qui correspond idéalement à vos désirs sur ImmoScout24 - La plateforme de l'immobilier en Suisse.</v>
      </c>
    </row>
    <row r="4895" hidden="1">
      <c r="A4895" s="5" t="s">
        <v>12889</v>
      </c>
      <c r="B4895" s="2" t="s">
        <v>12890</v>
      </c>
      <c r="C4895" s="2" t="s">
        <v>12890</v>
      </c>
      <c r="D4895" s="4" t="str">
        <f>vlookup(A4895, Sheet2!D:E, 2, 0)</f>
        <v>control</v>
      </c>
      <c r="E4895" s="4" t="str">
        <f>IFERROR(__xludf.DUMMYFUNCTION("if(H4895=""pays"",vlookup(REGEXEXTRACT(C4895, ""🏘️ \w+ \w+ (.*) ✅""),'Country prepositions'!A:B, 2, 0) &amp; "" "" &amp; REGEXEXTRACT(C4895, ""🏘️ \w+ \w+ (.*) ✅"") ,  if(H4895=""quartier"",vlookup(REGEXEXTRACT(C4895, ""🏘️ \w+ \w+ (.*) ✅""),'Quartier prepositio"&amp;"ns'!A:E, 5, 0) ,  if(H4895=""region"",vlookup(REGEXEXTRACT(C4895, ""🏘️ \w+ \w+ (.*) ✅""),'Region prepositions'!B:F, 5, 0),  REGEXEXTRACT(C4895, ""🏘️ \w+ \w+ (.*) ✅""))))"),"#N/A")</f>
        <v>#N/A</v>
      </c>
      <c r="I4895" s="4" t="str">
        <f>IFERROR(__xludf.DUMMYFUNCTION("if(D4895=""variant"",  substitute(filter(Templates!E:E, Templates!A:A = F4895, Templates!B:B = G4895, Templates!C:C = H4895), ""{{}}"", E4895), B4895)"),"Vendre appartement Torgon: Trouvez le bien immobilier qui correspond idéalement à vos désirs sur ImmoScout24 - La plateforme de l'immobilier en Suisse.")</f>
        <v>Vendre appartement Torgon: Trouvez le bien immobilier qui correspond idéalement à vos désirs sur ImmoScout24 - La plateforme de l'immobilier en Suisse.</v>
      </c>
    </row>
    <row r="4896" hidden="1">
      <c r="A4896" s="5" t="s">
        <v>12891</v>
      </c>
      <c r="B4896" s="2" t="s">
        <v>12892</v>
      </c>
      <c r="C4896" s="2" t="s">
        <v>12892</v>
      </c>
      <c r="D4896" s="4" t="str">
        <f>vlookup(A4896, Sheet2!D:E, 2, 0)</f>
        <v>control</v>
      </c>
      <c r="E4896" s="4" t="str">
        <f>IFERROR(__xludf.DUMMYFUNCTION("if(H4896=""pays"",vlookup(REGEXEXTRACT(C4896, ""🏘️ \w+ \w+ (.*) ✅""),'Country prepositions'!A:B, 2, 0) &amp; "" "" &amp; REGEXEXTRACT(C4896, ""🏘️ \w+ \w+ (.*) ✅"") ,  if(H4896=""quartier"",vlookup(REGEXEXTRACT(C4896, ""🏘️ \w+ \w+ (.*) ✅""),'Quartier prepositio"&amp;"ns'!A:E, 5, 0) ,  if(H4896=""region"",vlookup(REGEXEXTRACT(C4896, ""🏘️ \w+ \w+ (.*) ✅""),'Region prepositions'!B:F, 5, 0),  REGEXEXTRACT(C4896, ""🏘️ \w+ \w+ (.*) ✅""))))"),"#N/A")</f>
        <v>#N/A</v>
      </c>
      <c r="I4896" s="4" t="str">
        <f>IFERROR(__xludf.DUMMYFUNCTION("if(D4896=""variant"",  substitute(filter(Templates!E:E, Templates!A:A = F4896, Templates!B:B = G4896, Templates!C:C = H4896), ""{{}}"", E4896), B4896)"),"Vendre appartement Aigle: Trouvez le bien immobilier qui correspond idéalement à vos désirs sur ImmoScout24 - La plateforme de l'immobilier en Suisse.")</f>
        <v>Vendre appartement Aigle: Trouvez le bien immobilier qui correspond idéalement à vos désirs sur ImmoScout24 - La plateforme de l'immobilier en Suisse.</v>
      </c>
    </row>
    <row r="4897" hidden="1">
      <c r="A4897" s="5" t="s">
        <v>12893</v>
      </c>
      <c r="B4897" s="2" t="s">
        <v>12894</v>
      </c>
      <c r="C4897" s="2" t="s">
        <v>12894</v>
      </c>
      <c r="D4897" s="4" t="str">
        <f>vlookup(A4897, Sheet2!D:E, 2, 0)</f>
        <v>control</v>
      </c>
      <c r="E4897" s="4" t="str">
        <f>IFERROR(__xludf.DUMMYFUNCTION("if(H4897=""pays"",vlookup(REGEXEXTRACT(C4897, ""🏘️ \w+ \w+ (.*) ✅""),'Country prepositions'!A:B, 2, 0) &amp; "" "" &amp; REGEXEXTRACT(C4897, ""🏘️ \w+ \w+ (.*) ✅"") ,  if(H4897=""quartier"",vlookup(REGEXEXTRACT(C4897, ""🏘️ \w+ \w+ (.*) ✅""),'Quartier prepositio"&amp;"ns'!A:E, 5, 0) ,  if(H4897=""region"",vlookup(REGEXEXTRACT(C4897, ""🏘️ \w+ \w+ (.*) ✅""),'Region prepositions'!B:F, 5, 0),  REGEXEXTRACT(C4897, ""🏘️ \w+ \w+ (.*) ✅""))))"),"#N/A")</f>
        <v>#N/A</v>
      </c>
      <c r="I4897" s="4" t="str">
        <f>IFERROR(__xludf.DUMMYFUNCTION("if(D4897=""variant"",  substitute(filter(Templates!E:E, Templates!A:A = F4897, Templates!B:B = G4897, Templates!C:C = H4897), ""{{}}"", E4897), B4897)"),"Vendre appartement Liebefeld: Trouvez le bien immobilier qui correspond idéalement à vos désirs sur ImmoScout24 - La plateforme de l'immobilier en Suisse.")</f>
        <v>Vendre appartement Liebefeld: Trouvez le bien immobilier qui correspond idéalement à vos désirs sur ImmoScout24 - La plateforme de l'immobilier en Suisse.</v>
      </c>
    </row>
    <row r="4898" hidden="1">
      <c r="A4898" s="5" t="s">
        <v>12895</v>
      </c>
      <c r="B4898" s="2" t="s">
        <v>12896</v>
      </c>
      <c r="C4898" s="2" t="s">
        <v>12896</v>
      </c>
      <c r="D4898" s="4" t="str">
        <f>vlookup(A4898, Sheet2!D:E, 2, 0)</f>
        <v>control</v>
      </c>
      <c r="E4898" s="4" t="str">
        <f>IFERROR(__xludf.DUMMYFUNCTION("if(H4898=""pays"",vlookup(REGEXEXTRACT(C4898, ""🏘️ \w+ \w+ (.*) ✅""),'Country prepositions'!A:B, 2, 0) &amp; "" "" &amp; REGEXEXTRACT(C4898, ""🏘️ \w+ \w+ (.*) ✅"") ,  if(H4898=""quartier"",vlookup(REGEXEXTRACT(C4898, ""🏘️ \w+ \w+ (.*) ✅""),'Quartier prepositio"&amp;"ns'!A:E, 5, 0) ,  if(H4898=""region"",vlookup(REGEXEXTRACT(C4898, ""🏘️ \w+ \w+ (.*) ✅""),'Region prepositions'!B:F, 5, 0),  REGEXEXTRACT(C4898, ""🏘️ \w+ \w+ (.*) ✅""))))"),"#N/A")</f>
        <v>#N/A</v>
      </c>
      <c r="I4898" s="4" t="str">
        <f>IFERROR(__xludf.DUMMYFUNCTION("if(D4898=""variant"",  substitute(filter(Templates!E:E, Templates!A:A = F4898, Templates!B:B = G4898, Templates!C:C = H4898), ""{{}}"", E4898), B4898)"),"Vendre appartement Renens VD: Trouvez le bien immobilier qui correspond idéalement à vos désirs sur ImmoScout24 - La plateforme de l'immobilier en Suisse.")</f>
        <v>Vendre appartement Renens VD: Trouvez le bien immobilier qui correspond idéalement à vos désirs sur ImmoScout24 - La plateforme de l'immobilier en Suisse.</v>
      </c>
    </row>
    <row r="4899" hidden="1">
      <c r="A4899" s="5" t="s">
        <v>12897</v>
      </c>
      <c r="B4899" s="2" t="s">
        <v>12898</v>
      </c>
      <c r="C4899" s="2" t="s">
        <v>12898</v>
      </c>
      <c r="D4899" s="4" t="str">
        <f>vlookup(A4899, Sheet2!D:E, 2, 0)</f>
        <v>control</v>
      </c>
      <c r="E4899" s="4" t="str">
        <f>IFERROR(__xludf.DUMMYFUNCTION("if(H4899=""pays"",vlookup(REGEXEXTRACT(C4899, ""🏘️ \w+ \w+ (.*) ✅""),'Country prepositions'!A:B, 2, 0) &amp; "" "" &amp; REGEXEXTRACT(C4899, ""🏘️ \w+ \w+ (.*) ✅"") ,  if(H4899=""quartier"",vlookup(REGEXEXTRACT(C4899, ""🏘️ \w+ \w+ (.*) ✅""),'Quartier prepositio"&amp;"ns'!A:E, 5, 0) ,  if(H4899=""region"",vlookup(REGEXEXTRACT(C4899, ""🏘️ \w+ \w+ (.*) ✅""),'Region prepositions'!B:F, 5, 0),  REGEXEXTRACT(C4899, ""🏘️ \w+ \w+ (.*) ✅""))))"),"#N/A")</f>
        <v>#N/A</v>
      </c>
      <c r="I4899" s="4" t="str">
        <f>IFERROR(__xludf.DUMMYFUNCTION("if(D4899=""variant"",  substitute(filter(Templates!E:E, Templates!A:A = F4899, Templates!B:B = G4899, Templates!C:C = H4899), ""{{}}"", E4899), B4899)"),"Louer appartement Les Valettes (Bovernier): Trouvez le bien immobilier qui correspond idéalement à vos désirs sur ImmoScout24 - La plateforme de l'immobilier en Suisse.")</f>
        <v>Louer appartement Les Valettes (Bovernier): Trouvez le bien immobilier qui correspond idéalement à vos désirs sur ImmoScout24 - La plateforme de l'immobilier en Suisse.</v>
      </c>
    </row>
    <row r="4900" hidden="1">
      <c r="A4900" s="5" t="s">
        <v>12899</v>
      </c>
      <c r="B4900" s="2" t="s">
        <v>12900</v>
      </c>
      <c r="C4900" s="2" t="s">
        <v>12900</v>
      </c>
      <c r="D4900" s="4" t="str">
        <f>vlookup(A4900, Sheet2!D:E, 2, 0)</f>
        <v>control</v>
      </c>
      <c r="E4900" s="4" t="str">
        <f>IFERROR(__xludf.DUMMYFUNCTION("if(H4900=""pays"",vlookup(REGEXEXTRACT(C4900, ""🏘️ \w+ \w+ (.*) ✅""),'Country prepositions'!A:B, 2, 0) &amp; "" "" &amp; REGEXEXTRACT(C4900, ""🏘️ \w+ \w+ (.*) ✅"") ,  if(H4900=""quartier"",vlookup(REGEXEXTRACT(C4900, ""🏘️ \w+ \w+ (.*) ✅""),'Quartier prepositio"&amp;"ns'!A:E, 5, 0) ,  if(H4900=""region"",vlookup(REGEXEXTRACT(C4900, ""🏘️ \w+ \w+ (.*) ✅""),'Region prepositions'!B:F, 5, 0),  REGEXEXTRACT(C4900, ""🏘️ \w+ \w+ (.*) ✅""))))"),"#N/A")</f>
        <v>#N/A</v>
      </c>
      <c r="I4900" s="4" t="str">
        <f>IFERROR(__xludf.DUMMYFUNCTION("if(D4900=""variant"",  substitute(filter(Templates!E:E, Templates!A:A = F4900, Templates!B:B = G4900, Templates!C:C = H4900), ""{{}}"", E4900), B4900)"),"Vendre appartement Zürich: Trouvez le bien immobilier qui correspond idéalement à vos désirs sur ImmoScout24 - La plateforme de l'immobilier en Suisse.")</f>
        <v>Vendre appartement Zürich: Trouvez le bien immobilier qui correspond idéalement à vos désirs sur ImmoScout24 - La plateforme de l'immobilier en Suisse.</v>
      </c>
    </row>
    <row r="4901" hidden="1">
      <c r="A4901" s="5" t="s">
        <v>12901</v>
      </c>
      <c r="B4901" s="2" t="s">
        <v>12902</v>
      </c>
      <c r="C4901" s="2" t="s">
        <v>12902</v>
      </c>
      <c r="D4901" s="4" t="str">
        <f>vlookup(A4901, Sheet2!D:E, 2, 0)</f>
        <v>control</v>
      </c>
      <c r="E4901" s="4" t="str">
        <f>IFERROR(__xludf.DUMMYFUNCTION("if(H4901=""pays"",vlookup(REGEXEXTRACT(C4901, ""🏘️ \w+ \w+ (.*) ✅""),'Country prepositions'!A:B, 2, 0) &amp; "" "" &amp; REGEXEXTRACT(C4901, ""🏘️ \w+ \w+ (.*) ✅"") ,  if(H4901=""quartier"",vlookup(REGEXEXTRACT(C4901, ""🏘️ \w+ \w+ (.*) ✅""),'Quartier prepositio"&amp;"ns'!A:E, 5, 0) ,  if(H4901=""region"",vlookup(REGEXEXTRACT(C4901, ""🏘️ \w+ \w+ (.*) ✅""),'Region prepositions'!B:F, 5, 0),  REGEXEXTRACT(C4901, ""🏘️ \w+ \w+ (.*) ✅""))))"),"#N/A")</f>
        <v>#N/A</v>
      </c>
      <c r="I4901" s="4" t="str">
        <f>IFERROR(__xludf.DUMMYFUNCTION("if(D4901=""variant"",  substitute(filter(Templates!E:E, Templates!A:A = F4901, Templates!B:B = G4901, Templates!C:C = H4901), ""{{}}"", E4901), B4901)"),"Louer appartement Choulex: Trouvez le bien immobilier qui correspond idéalement à vos désirs sur ImmoScout24 - La plateforme de l'immobilier en Suisse.")</f>
        <v>Louer appartement Choulex: Trouvez le bien immobilier qui correspond idéalement à vos désirs sur ImmoScout24 - La plateforme de l'immobilier en Suisse.</v>
      </c>
    </row>
    <row r="4902" hidden="1">
      <c r="A4902" s="5" t="s">
        <v>12903</v>
      </c>
      <c r="B4902" s="2" t="s">
        <v>12904</v>
      </c>
      <c r="C4902" s="2" t="s">
        <v>12904</v>
      </c>
      <c r="D4902" s="4" t="str">
        <f>vlookup(A4902, Sheet2!D:E, 2, 0)</f>
        <v>control</v>
      </c>
      <c r="E4902" s="4" t="str">
        <f>IFERROR(__xludf.DUMMYFUNCTION("if(H4902=""pays"",vlookup(REGEXEXTRACT(C4902, ""🏘️ \w+ \w+ (.*) ✅""),'Country prepositions'!A:B, 2, 0) &amp; "" "" &amp; REGEXEXTRACT(C4902, ""🏘️ \w+ \w+ (.*) ✅"") ,  if(H4902=""quartier"",vlookup(REGEXEXTRACT(C4902, ""🏘️ \w+ \w+ (.*) ✅""),'Quartier prepositio"&amp;"ns'!A:E, 5, 0) ,  if(H4902=""region"",vlookup(REGEXEXTRACT(C4902, ""🏘️ \w+ \w+ (.*) ✅""),'Region prepositions'!B:F, 5, 0),  REGEXEXTRACT(C4902, ""🏘️ \w+ \w+ (.*) ✅""))))"),"#N/A")</f>
        <v>#N/A</v>
      </c>
      <c r="I4902" s="4" t="str">
        <f>IFERROR(__xludf.DUMMYFUNCTION("if(D4902=""variant"",  substitute(filter(Templates!E:E, Templates!A:A = F4902, Templates!B:B = G4902, Templates!C:C = H4902), ""{{}}"", E4902), B4902)"),"Vendre maison Vers-chez-les-Blanc (Lausanne): Trouvez le bien immobilier qui correspond idéalement à vos désirs sur ImmoScout24 - La plateforme de l'immobilier en Suisse.")</f>
        <v>Vendre maison Vers-chez-les-Blanc (Lausanne): Trouvez le bien immobilier qui correspond idéalement à vos désirs sur ImmoScout24 - La plateforme de l'immobilier en Suisse.</v>
      </c>
    </row>
    <row r="4903" hidden="1">
      <c r="A4903" s="5" t="s">
        <v>12905</v>
      </c>
      <c r="B4903" s="2" t="s">
        <v>12906</v>
      </c>
      <c r="C4903" s="2" t="s">
        <v>12906</v>
      </c>
      <c r="D4903" s="4" t="str">
        <f>vlookup(A4903, Sheet2!D:E, 2, 0)</f>
        <v>control</v>
      </c>
      <c r="E4903" s="4" t="str">
        <f>IFERROR(__xludf.DUMMYFUNCTION("if(H4903=""pays"",vlookup(REGEXEXTRACT(C4903, ""🏘️ \w+ \w+ (.*) ✅""),'Country prepositions'!A:B, 2, 0) &amp; "" "" &amp; REGEXEXTRACT(C4903, ""🏘️ \w+ \w+ (.*) ✅"") ,  if(H4903=""quartier"",vlookup(REGEXEXTRACT(C4903, ""🏘️ \w+ \w+ (.*) ✅""),'Quartier prepositio"&amp;"ns'!A:E, 5, 0) ,  if(H4903=""region"",vlookup(REGEXEXTRACT(C4903, ""🏘️ \w+ \w+ (.*) ✅""),'Region prepositions'!B:F, 5, 0),  REGEXEXTRACT(C4903, ""🏘️ \w+ \w+ (.*) ✅""))))"),"#N/A")</f>
        <v>#N/A</v>
      </c>
      <c r="I4903" s="4" t="str">
        <f>IFERROR(__xludf.DUMMYFUNCTION("if(D4903=""variant"",  substitute(filter(Templates!E:E, Templates!A:A = F4903, Templates!B:B = G4903, Templates!C:C = H4903), ""{{}}"", E4903), B4903)"),"Vendre maison Emmen: Trouvez le bien immobilier qui correspond idéalement à vos désirs sur ImmoScout24 - La plateforme de l'immobilier en Suisse.")</f>
        <v>Vendre maison Emmen: Trouvez le bien immobilier qui correspond idéalement à vos désirs sur ImmoScout24 - La plateforme de l'immobilier en Suisse.</v>
      </c>
    </row>
    <row r="4904" hidden="1">
      <c r="A4904" s="5" t="s">
        <v>12907</v>
      </c>
      <c r="B4904" s="2" t="s">
        <v>12908</v>
      </c>
      <c r="C4904" s="2" t="s">
        <v>12908</v>
      </c>
      <c r="D4904" s="4" t="str">
        <f>vlookup(A4904, Sheet2!D:E, 2, 0)</f>
        <v>control</v>
      </c>
      <c r="E4904" s="4" t="str">
        <f>IFERROR(__xludf.DUMMYFUNCTION("if(H4904=""pays"",vlookup(REGEXEXTRACT(C4904, ""🏘️ \w+ \w+ (.*) ✅""),'Country prepositions'!A:B, 2, 0) &amp; "" "" &amp; REGEXEXTRACT(C4904, ""🏘️ \w+ \w+ (.*) ✅"") ,  if(H4904=""quartier"",vlookup(REGEXEXTRACT(C4904, ""🏘️ \w+ \w+ (.*) ✅""),'Quartier prepositio"&amp;"ns'!A:E, 5, 0) ,  if(H4904=""region"",vlookup(REGEXEXTRACT(C4904, ""🏘️ \w+ \w+ (.*) ✅""),'Region prepositions'!B:F, 5, 0),  REGEXEXTRACT(C4904, ""🏘️ \w+ \w+ (.*) ✅""))))"),"#N/A")</f>
        <v>#N/A</v>
      </c>
      <c r="I4904" s="4" t="str">
        <f>IFERROR(__xludf.DUMMYFUNCTION("if(D4904=""variant"",  substitute(filter(Templates!E:E, Templates!A:A = F4904, Templates!B:B = G4904, Templates!C:C = H4904), ""{{}}"", E4904), B4904)"),"Louer maison Yens: Trouvez le bien immobilier qui correspond idéalement à vos désirs sur ImmoScout24 - La plateforme de l'immobilier en Suisse.")</f>
        <v>Louer maison Yens: Trouvez le bien immobilier qui correspond idéalement à vos désirs sur ImmoScout24 - La plateforme de l'immobilier en Suisse.</v>
      </c>
    </row>
    <row r="4905" hidden="1">
      <c r="A4905" s="5" t="s">
        <v>12909</v>
      </c>
      <c r="B4905" s="2" t="s">
        <v>12910</v>
      </c>
      <c r="C4905" s="2" t="s">
        <v>12910</v>
      </c>
      <c r="D4905" s="4" t="str">
        <f>vlookup(A4905, Sheet2!D:E, 2, 0)</f>
        <v>control</v>
      </c>
      <c r="E4905" s="4" t="str">
        <f>IFERROR(__xludf.DUMMYFUNCTION("if(H4905=""pays"",vlookup(REGEXEXTRACT(C4905, ""🏘️ \w+ \w+ (.*) ✅""),'Country prepositions'!A:B, 2, 0) &amp; "" "" &amp; REGEXEXTRACT(C4905, ""🏘️ \w+ \w+ (.*) ✅"") ,  if(H4905=""quartier"",vlookup(REGEXEXTRACT(C4905, ""🏘️ \w+ \w+ (.*) ✅""),'Quartier prepositio"&amp;"ns'!A:E, 5, 0) ,  if(H4905=""region"",vlookup(REGEXEXTRACT(C4905, ""🏘️ \w+ \w+ (.*) ✅""),'Region prepositions'!B:F, 5, 0),  REGEXEXTRACT(C4905, ""🏘️ \w+ \w+ (.*) ✅""))))"),"#N/A")</f>
        <v>#N/A</v>
      </c>
      <c r="I4905" s="4" t="str">
        <f>IFERROR(__xludf.DUMMYFUNCTION("if(D4905=""variant"",  substitute(filter(Templates!E:E, Templates!A:A = F4905, Templates!B:B = G4905, Templates!C:C = H4905), ""{{}}"", E4905), B4905)"),"Louer maison Renan BE: Trouvez le bien immobilier qui correspond idéalement à vos désirs sur ImmoScout24 - La plateforme de l'immobilier en Suisse.")</f>
        <v>Louer maison Renan BE: Trouvez le bien immobilier qui correspond idéalement à vos désirs sur ImmoScout24 - La plateforme de l'immobilier en Suisse.</v>
      </c>
    </row>
    <row r="4906" hidden="1">
      <c r="A4906" s="5" t="s">
        <v>12911</v>
      </c>
      <c r="B4906" s="2" t="s">
        <v>10030</v>
      </c>
      <c r="C4906" s="2" t="s">
        <v>10030</v>
      </c>
      <c r="D4906" s="4" t="str">
        <f>vlookup(A4906, Sheet2!D:E, 2, 0)</f>
        <v>control</v>
      </c>
      <c r="E4906" s="4" t="str">
        <f>IFERROR(__xludf.DUMMYFUNCTION("if(H4906=""pays"",vlookup(REGEXEXTRACT(C4906, ""🏘️ \w+ \w+ (.*) ✅""),'Country prepositions'!A:B, 2, 0) &amp; "" "" &amp; REGEXEXTRACT(C4906, ""🏘️ \w+ \w+ (.*) ✅"") ,  if(H4906=""quartier"",vlookup(REGEXEXTRACT(C4906, ""🏘️ \w+ \w+ (.*) ✅""),'Quartier prepositio"&amp;"ns'!A:E, 5, 0) ,  if(H4906=""region"",vlookup(REGEXEXTRACT(C4906, ""🏘️ \w+ \w+ (.*) ✅""),'Region prepositions'!B:F, 5, 0),  REGEXEXTRACT(C4906, ""🏘️ \w+ \w+ (.*) ✅""))))"),"#N/A")</f>
        <v>#N/A</v>
      </c>
      <c r="I4906" s="4" t="str">
        <f>IFERROR(__xludf.DUMMYFUNCTION("if(D4906=""variant"",  substitute(filter(Templates!E:E, Templates!A:A = F4906, Templates!B:B = G4906, Templates!C:C = H4906), ""{{}}"", E4906), B4906)"),"Vendre maison Porrentruy: Trouvez le bien immobilier qui correspond idéalement à vos désirs sur ImmoScout24 - La plateforme de l'immobilier en Suisse.")</f>
        <v>Vendre maison Porrentruy: Trouvez le bien immobilier qui correspond idéalement à vos désirs sur ImmoScout24 - La plateforme de l'immobilier en Suisse.</v>
      </c>
    </row>
    <row r="4907" hidden="1">
      <c r="A4907" s="5" t="s">
        <v>12912</v>
      </c>
      <c r="B4907" s="2" t="s">
        <v>12913</v>
      </c>
      <c r="C4907" s="2" t="s">
        <v>12913</v>
      </c>
      <c r="D4907" s="4" t="str">
        <f>vlookup(A4907, Sheet2!D:E, 2, 0)</f>
        <v>control</v>
      </c>
      <c r="E4907" s="4" t="str">
        <f>IFERROR(__xludf.DUMMYFUNCTION("if(H4907=""pays"",vlookup(REGEXEXTRACT(C4907, ""🏘️ \w+ \w+ (.*) ✅""),'Country prepositions'!A:B, 2, 0) &amp; "" "" &amp; REGEXEXTRACT(C4907, ""🏘️ \w+ \w+ (.*) ✅"") ,  if(H4907=""quartier"",vlookup(REGEXEXTRACT(C4907, ""🏘️ \w+ \w+ (.*) ✅""),'Quartier prepositio"&amp;"ns'!A:E, 5, 0) ,  if(H4907=""region"",vlookup(REGEXEXTRACT(C4907, ""🏘️ \w+ \w+ (.*) ✅""),'Region prepositions'!B:F, 5, 0),  REGEXEXTRACT(C4907, ""🏘️ \w+ \w+ (.*) ✅""))))"),"#N/A")</f>
        <v>#N/A</v>
      </c>
      <c r="I4907" s="4" t="str">
        <f>IFERROR(__xludf.DUMMYFUNCTION("if(D4907=""variant"",  substitute(filter(Templates!E:E, Templates!A:A = F4907, Templates!B:B = G4907, Templates!C:C = H4907), ""{{}}"", E4907), B4907)"),"Vendre maison Oberwangen b. Bern: Trouvez le bien immobilier qui correspond idéalement à vos désirs sur ImmoScout24 - La plateforme de l'immobilier en Suisse.")</f>
        <v>Vendre maison Oberwangen b. Bern: Trouvez le bien immobilier qui correspond idéalement à vos désirs sur ImmoScout24 - La plateforme de l'immobilier en Suisse.</v>
      </c>
    </row>
    <row r="4908" hidden="1">
      <c r="A4908" s="5" t="s">
        <v>12914</v>
      </c>
      <c r="B4908" s="2" t="s">
        <v>12915</v>
      </c>
      <c r="C4908" s="2" t="s">
        <v>12915</v>
      </c>
      <c r="D4908" s="4" t="str">
        <f>vlookup(A4908, Sheet2!D:E, 2, 0)</f>
        <v>control</v>
      </c>
      <c r="E4908" s="4" t="str">
        <f>IFERROR(__xludf.DUMMYFUNCTION("if(H4908=""pays"",vlookup(REGEXEXTRACT(C4908, ""🏘️ \w+ \w+ (.*) ✅""),'Country prepositions'!A:B, 2, 0) &amp; "" "" &amp; REGEXEXTRACT(C4908, ""🏘️ \w+ \w+ (.*) ✅"") ,  if(H4908=""quartier"",vlookup(REGEXEXTRACT(C4908, ""🏘️ \w+ \w+ (.*) ✅""),'Quartier prepositio"&amp;"ns'!A:E, 5, 0) ,  if(H4908=""region"",vlookup(REGEXEXTRACT(C4908, ""🏘️ \w+ \w+ (.*) ✅""),'Region prepositions'!B:F, 5, 0),  REGEXEXTRACT(C4908, ""🏘️ \w+ \w+ (.*) ✅""))))"),"#N/A")</f>
        <v>#N/A</v>
      </c>
      <c r="I4908" s="4" t="str">
        <f>IFERROR(__xludf.DUMMYFUNCTION("if(D4908=""variant"",  substitute(filter(Templates!E:E, Templates!A:A = F4908, Templates!B:B = G4908, Templates!C:C = H4908), ""{{}}"", E4908), B4908)"),"Vendre maison Vuiteboeuf: Trouvez le bien immobilier qui correspond idéalement à vos désirs sur ImmoScout24 - La plateforme de l'immobilier en Suisse.")</f>
        <v>Vendre maison Vuiteboeuf: Trouvez le bien immobilier qui correspond idéalement à vos désirs sur ImmoScout24 - La plateforme de l'immobilier en Suisse.</v>
      </c>
    </row>
    <row r="4909" hidden="1">
      <c r="A4909" s="5" t="s">
        <v>12916</v>
      </c>
      <c r="B4909" s="2" t="s">
        <v>12917</v>
      </c>
      <c r="C4909" s="2" t="s">
        <v>12917</v>
      </c>
      <c r="D4909" s="4" t="str">
        <f>vlookup(A4909, Sheet2!D:E, 2, 0)</f>
        <v>control</v>
      </c>
      <c r="E4909" s="4" t="str">
        <f>IFERROR(__xludf.DUMMYFUNCTION("if(H4909=""pays"",vlookup(REGEXEXTRACT(C4909, ""🏘️ \w+ \w+ (.*) ✅""),'Country prepositions'!A:B, 2, 0) &amp; "" "" &amp; REGEXEXTRACT(C4909, ""🏘️ \w+ \w+ (.*) ✅"") ,  if(H4909=""quartier"",vlookup(REGEXEXTRACT(C4909, ""🏘️ \w+ \w+ (.*) ✅""),'Quartier prepositio"&amp;"ns'!A:E, 5, 0) ,  if(H4909=""region"",vlookup(REGEXEXTRACT(C4909, ""🏘️ \w+ \w+ (.*) ✅""),'Region prepositions'!B:F, 5, 0),  REGEXEXTRACT(C4909, ""🏘️ \w+ \w+ (.*) ✅""))))"),"#N/A")</f>
        <v>#N/A</v>
      </c>
      <c r="I4909" s="4" t="str">
        <f>IFERROR(__xludf.DUMMYFUNCTION("if(D4909=""variant"",  substitute(filter(Templates!E:E, Templates!A:A = F4909, Templates!B:B = G4909, Templates!C:C = H4909), ""{{}}"", E4909), B4909)"),"Vendre maison Denens: Trouvez le bien immobilier qui correspond idéalement à vos désirs sur ImmoScout24 - La plateforme de l'immobilier en Suisse.")</f>
        <v>Vendre maison Denens: Trouvez le bien immobilier qui correspond idéalement à vos désirs sur ImmoScout24 - La plateforme de l'immobilier en Suisse.</v>
      </c>
    </row>
    <row r="4910" hidden="1">
      <c r="A4910" s="5" t="s">
        <v>12918</v>
      </c>
      <c r="B4910" s="2" t="s">
        <v>12919</v>
      </c>
      <c r="C4910" s="2" t="s">
        <v>12919</v>
      </c>
      <c r="D4910" s="4" t="str">
        <f>vlookup(A4910, Sheet2!D:E, 2, 0)</f>
        <v>control</v>
      </c>
      <c r="E4910" s="4" t="str">
        <f>IFERROR(__xludf.DUMMYFUNCTION("if(H4910=""pays"",vlookup(REGEXEXTRACT(C4910, ""🏘️ \w+ \w+ (.*) ✅""),'Country prepositions'!A:B, 2, 0) &amp; "" "" &amp; REGEXEXTRACT(C4910, ""🏘️ \w+ \w+ (.*) ✅"") ,  if(H4910=""quartier"",vlookup(REGEXEXTRACT(C4910, ""🏘️ \w+ \w+ (.*) ✅""),'Quartier prepositio"&amp;"ns'!A:E, 5, 0) ,  if(H4910=""region"",vlookup(REGEXEXTRACT(C4910, ""🏘️ \w+ \w+ (.*) ✅""),'Region prepositions'!B:F, 5, 0),  REGEXEXTRACT(C4910, ""🏘️ \w+ \w+ (.*) ✅""))))"),"#N/A")</f>
        <v>#N/A</v>
      </c>
      <c r="I4910" s="4" t="str">
        <f>IFERROR(__xludf.DUMMYFUNCTION("if(D4910=""variant"",  substitute(filter(Templates!E:E, Templates!A:A = F4910, Templates!B:B = G4910, Templates!C:C = H4910), ""{{}}"", E4910), B4910)"),"Vendre maison Premier: Trouvez le bien immobilier qui correspond idéalement à vos désirs sur ImmoScout24 - La plateforme de l'immobilier en Suisse.")</f>
        <v>Vendre maison Premier: Trouvez le bien immobilier qui correspond idéalement à vos désirs sur ImmoScout24 - La plateforme de l'immobilier en Suisse.</v>
      </c>
    </row>
    <row r="4911" hidden="1">
      <c r="A4911" s="5" t="s">
        <v>12920</v>
      </c>
      <c r="B4911" s="2" t="s">
        <v>12921</v>
      </c>
      <c r="C4911" s="2" t="s">
        <v>12921</v>
      </c>
      <c r="D4911" s="4" t="str">
        <f>vlookup(A4911, Sheet2!D:E, 2, 0)</f>
        <v>control</v>
      </c>
      <c r="E4911" s="4" t="str">
        <f>IFERROR(__xludf.DUMMYFUNCTION("if(H4911=""pays"",vlookup(REGEXEXTRACT(C4911, ""🏘️ \w+ \w+ (.*) ✅""),'Country prepositions'!A:B, 2, 0) &amp; "" "" &amp; REGEXEXTRACT(C4911, ""🏘️ \w+ \w+ (.*) ✅"") ,  if(H4911=""quartier"",vlookup(REGEXEXTRACT(C4911, ""🏘️ \w+ \w+ (.*) ✅""),'Quartier prepositio"&amp;"ns'!A:E, 5, 0) ,  if(H4911=""region"",vlookup(REGEXEXTRACT(C4911, ""🏘️ \w+ \w+ (.*) ✅""),'Region prepositions'!B:F, 5, 0),  REGEXEXTRACT(C4911, ""🏘️ \w+ \w+ (.*) ✅""))))"),"#N/A")</f>
        <v>#N/A</v>
      </c>
      <c r="I4911" s="4" t="str">
        <f>IFERROR(__xludf.DUMMYFUNCTION("if(D4911=""variant"",  substitute(filter(Templates!E:E, Templates!A:A = F4911, Templates!B:B = G4911, Templates!C:C = H4911), ""{{}}"", E4911), B4911)"),"Louer appartement Ludiano: Trouvez le bien immobilier qui correspond idéalement à vos désirs sur ImmoScout24 - La plateforme de l'immobilier en Suisse.")</f>
        <v>Louer appartement Ludiano: Trouvez le bien immobilier qui correspond idéalement à vos désirs sur ImmoScout24 - La plateforme de l'immobilier en Suisse.</v>
      </c>
    </row>
    <row r="4912" hidden="1">
      <c r="A4912" s="5" t="s">
        <v>12922</v>
      </c>
      <c r="B4912" s="2" t="s">
        <v>12923</v>
      </c>
      <c r="C4912" s="2" t="s">
        <v>12923</v>
      </c>
      <c r="D4912" s="4" t="str">
        <f>vlookup(A4912, Sheet2!D:E, 2, 0)</f>
        <v>control</v>
      </c>
      <c r="E4912" s="4" t="str">
        <f>IFERROR(__xludf.DUMMYFUNCTION("if(H4912=""pays"",vlookup(REGEXEXTRACT(C4912, ""🏘️ \w+ \w+ (.*) ✅""),'Country prepositions'!A:B, 2, 0) &amp; "" "" &amp; REGEXEXTRACT(C4912, ""🏘️ \w+ \w+ (.*) ✅"") ,  if(H4912=""quartier"",vlookup(REGEXEXTRACT(C4912, ""🏘️ \w+ \w+ (.*) ✅""),'Quartier prepositio"&amp;"ns'!A:E, 5, 0) ,  if(H4912=""region"",vlookup(REGEXEXTRACT(C4912, ""🏘️ \w+ \w+ (.*) ✅""),'Region prepositions'!B:F, 5, 0),  REGEXEXTRACT(C4912, ""🏘️ \w+ \w+ (.*) ✅""))))"),"#N/A")</f>
        <v>#N/A</v>
      </c>
      <c r="I4912" s="4" t="str">
        <f>IFERROR(__xludf.DUMMYFUNCTION("if(D4912=""variant"",  substitute(filter(Templates!E:E, Templates!A:A = F4912, Templates!B:B = G4912, Templates!C:C = H4912), ""{{}}"", E4912), B4912)"),"Vendre appartement Nürensdorf: Trouvez le bien immobilier qui correspond idéalement à vos désirs sur ImmoScout24 - La plateforme de l'immobilier en Suisse.")</f>
        <v>Vendre appartement Nürensdorf: Trouvez le bien immobilier qui correspond idéalement à vos désirs sur ImmoScout24 - La plateforme de l'immobilier en Suisse.</v>
      </c>
    </row>
    <row r="4913" hidden="1">
      <c r="A4913" s="5" t="s">
        <v>12924</v>
      </c>
      <c r="B4913" s="2" t="s">
        <v>12925</v>
      </c>
      <c r="C4913" s="2" t="s">
        <v>12925</v>
      </c>
      <c r="D4913" s="4" t="str">
        <f>vlookup(A4913, Sheet2!D:E, 2, 0)</f>
        <v>control</v>
      </c>
      <c r="E4913" s="4" t="str">
        <f>IFERROR(__xludf.DUMMYFUNCTION("if(H4913=""pays"",vlookup(REGEXEXTRACT(C4913, ""🏘️ \w+ \w+ (.*) ✅""),'Country prepositions'!A:B, 2, 0) &amp; "" "" &amp; REGEXEXTRACT(C4913, ""🏘️ \w+ \w+ (.*) ✅"") ,  if(H4913=""quartier"",vlookup(REGEXEXTRACT(C4913, ""🏘️ \w+ \w+ (.*) ✅""),'Quartier prepositio"&amp;"ns'!A:E, 5, 0) ,  if(H4913=""region"",vlookup(REGEXEXTRACT(C4913, ""🏘️ \w+ \w+ (.*) ✅""),'Region prepositions'!B:F, 5, 0),  REGEXEXTRACT(C4913, ""🏘️ \w+ \w+ (.*) ✅""))))"),"#N/A")</f>
        <v>#N/A</v>
      </c>
      <c r="I4913" s="4" t="str">
        <f>IFERROR(__xludf.DUMMYFUNCTION("if(D4913=""variant"",  substitute(filter(Templates!E:E, Templates!A:A = F4913, Templates!B:B = G4913, Templates!C:C = H4913), ""{{}}"", E4913), B4913)"),"Louer maison Coppet: Trouvez le bien immobilier qui correspond idéalement à vos désirs sur ImmoScout24 - La plateforme de l'immobilier en Suisse.")</f>
        <v>Louer maison Coppet: Trouvez le bien immobilier qui correspond idéalement à vos désirs sur ImmoScout24 - La plateforme de l'immobilier en Suisse.</v>
      </c>
    </row>
    <row r="4914" hidden="1">
      <c r="A4914" s="5" t="s">
        <v>12926</v>
      </c>
      <c r="B4914" s="2" t="s">
        <v>12927</v>
      </c>
      <c r="C4914" s="2" t="s">
        <v>12927</v>
      </c>
      <c r="D4914" s="4" t="str">
        <f>vlookup(A4914, Sheet2!D:E, 2, 0)</f>
        <v>control</v>
      </c>
      <c r="E4914" s="4" t="str">
        <f>IFERROR(__xludf.DUMMYFUNCTION("if(H4914=""pays"",vlookup(REGEXEXTRACT(C4914, ""🏘️ \w+ \w+ (.*) ✅""),'Country prepositions'!A:B, 2, 0) &amp; "" "" &amp; REGEXEXTRACT(C4914, ""🏘️ \w+ \w+ (.*) ✅"") ,  if(H4914=""quartier"",vlookup(REGEXEXTRACT(C4914, ""🏘️ \w+ \w+ (.*) ✅""),'Quartier prepositio"&amp;"ns'!A:E, 5, 0) ,  if(H4914=""region"",vlookup(REGEXEXTRACT(C4914, ""🏘️ \w+ \w+ (.*) ✅""),'Region prepositions'!B:F, 5, 0),  REGEXEXTRACT(C4914, ""🏘️ \w+ \w+ (.*) ✅""))))"),"#N/A")</f>
        <v>#N/A</v>
      </c>
      <c r="I4914" s="4" t="str">
        <f>IFERROR(__xludf.DUMMYFUNCTION("if(D4914=""variant"",  substitute(filter(Templates!E:E, Templates!A:A = F4914, Templates!B:B = G4914, Templates!C:C = H4914), ""{{}}"", E4914), B4914)"),"Vendre maison L'Auberson: Trouvez le bien immobilier qui correspond idéalement à vos désirs sur ImmoScout24 - La plateforme de l'immobilier en Suisse.")</f>
        <v>Vendre maison L'Auberson: Trouvez le bien immobilier qui correspond idéalement à vos désirs sur ImmoScout24 - La plateforme de l'immobilier en Suisse.</v>
      </c>
    </row>
    <row r="4915" hidden="1">
      <c r="A4915" s="5" t="s">
        <v>12928</v>
      </c>
      <c r="B4915" s="2" t="s">
        <v>12929</v>
      </c>
      <c r="C4915" s="2" t="s">
        <v>12929</v>
      </c>
      <c r="D4915" s="4" t="str">
        <f>vlookup(A4915, Sheet2!D:E, 2, 0)</f>
        <v>control</v>
      </c>
      <c r="E4915" s="4" t="str">
        <f>IFERROR(__xludf.DUMMYFUNCTION("if(H4915=""pays"",vlookup(REGEXEXTRACT(C4915, ""🏘️ \w+ \w+ (.*) ✅""),'Country prepositions'!A:B, 2, 0) &amp; "" "" &amp; REGEXEXTRACT(C4915, ""🏘️ \w+ \w+ (.*) ✅"") ,  if(H4915=""quartier"",vlookup(REGEXEXTRACT(C4915, ""🏘️ \w+ \w+ (.*) ✅""),'Quartier prepositio"&amp;"ns'!A:E, 5, 0) ,  if(H4915=""region"",vlookup(REGEXEXTRACT(C4915, ""🏘️ \w+ \w+ (.*) ✅""),'Region prepositions'!B:F, 5, 0),  REGEXEXTRACT(C4915, ""🏘️ \w+ \w+ (.*) ✅""))))"),"#N/A")</f>
        <v>#N/A</v>
      </c>
      <c r="I4915" s="4" t="str">
        <f>IFERROR(__xludf.DUMMYFUNCTION("if(D4915=""variant"",  substitute(filter(Templates!E:E, Templates!A:A = F4915, Templates!B:B = G4915, Templates!C:C = H4915), ""{{}}"", E4915), B4915)"),"Vendre maison Siviez (Nendaz): Trouvez le bien immobilier qui correspond idéalement à vos désirs sur ImmoScout24 - La plateforme de l'immobilier en Suisse.")</f>
        <v>Vendre maison Siviez (Nendaz): Trouvez le bien immobilier qui correspond idéalement à vos désirs sur ImmoScout24 - La plateforme de l'immobilier en Suisse.</v>
      </c>
    </row>
    <row r="4916" hidden="1">
      <c r="A4916" s="5" t="s">
        <v>12930</v>
      </c>
      <c r="B4916" s="2" t="s">
        <v>12931</v>
      </c>
      <c r="C4916" s="2" t="s">
        <v>12931</v>
      </c>
      <c r="D4916" s="4" t="str">
        <f>vlookup(A4916, Sheet2!D:E, 2, 0)</f>
        <v>control</v>
      </c>
      <c r="E4916" s="4" t="str">
        <f>IFERROR(__xludf.DUMMYFUNCTION("if(H4916=""pays"",vlookup(REGEXEXTRACT(C4916, ""🏘️ \w+ \w+ (.*) ✅""),'Country prepositions'!A:B, 2, 0) &amp; "" "" &amp; REGEXEXTRACT(C4916, ""🏘️ \w+ \w+ (.*) ✅"") ,  if(H4916=""quartier"",vlookup(REGEXEXTRACT(C4916, ""🏘️ \w+ \w+ (.*) ✅""),'Quartier prepositio"&amp;"ns'!A:E, 5, 0) ,  if(H4916=""region"",vlookup(REGEXEXTRACT(C4916, ""🏘️ \w+ \w+ (.*) ✅""),'Region prepositions'!B:F, 5, 0),  REGEXEXTRACT(C4916, ""🏘️ \w+ \w+ (.*) ✅""))))"),"#N/A")</f>
        <v>#N/A</v>
      </c>
      <c r="I4916" s="4" t="str">
        <f>IFERROR(__xludf.DUMMYFUNCTION("if(D4916=""variant"",  substitute(filter(Templates!E:E, Templates!A:A = F4916, Templates!B:B = G4916, Templates!C:C = H4916), ""{{}}"", E4916), B4916)"),"Louer appartement St-Oyens: Trouvez le bien immobilier qui correspond idéalement à vos désirs sur ImmoScout24 - La plateforme de l'immobilier en Suisse.")</f>
        <v>Louer appartement St-Oyens: Trouvez le bien immobilier qui correspond idéalement à vos désirs sur ImmoScout24 - La plateforme de l'immobilier en Suisse.</v>
      </c>
    </row>
    <row r="4917" hidden="1">
      <c r="A4917" s="5" t="s">
        <v>12932</v>
      </c>
      <c r="B4917" s="2" t="s">
        <v>12933</v>
      </c>
      <c r="C4917" s="2" t="s">
        <v>12933</v>
      </c>
      <c r="D4917" s="4" t="str">
        <f>vlookup(A4917, Sheet2!D:E, 2, 0)</f>
        <v>control</v>
      </c>
      <c r="E4917" s="4" t="str">
        <f>IFERROR(__xludf.DUMMYFUNCTION("if(H4917=""pays"",vlookup(REGEXEXTRACT(C4917, ""🏘️ \w+ \w+ (.*) ✅""),'Country prepositions'!A:B, 2, 0) &amp; "" "" &amp; REGEXEXTRACT(C4917, ""🏘️ \w+ \w+ (.*) ✅"") ,  if(H4917=""quartier"",vlookup(REGEXEXTRACT(C4917, ""🏘️ \w+ \w+ (.*) ✅""),'Quartier prepositio"&amp;"ns'!A:E, 5, 0) ,  if(H4917=""region"",vlookup(REGEXEXTRACT(C4917, ""🏘️ \w+ \w+ (.*) ✅""),'Region prepositions'!B:F, 5, 0),  REGEXEXTRACT(C4917, ""🏘️ \w+ \w+ (.*) ✅""))))"),"#N/A")</f>
        <v>#N/A</v>
      </c>
      <c r="I4917" s="4" t="str">
        <f>IFERROR(__xludf.DUMMYFUNCTION("if(D4917=""variant"",  substitute(filter(Templates!E:E, Templates!A:A = F4917, Templates!B:B = G4917, Templates!C:C = H4917), ""{{}}"", E4917), B4917)"),"Louer appartement Auvernier: Trouvez le bien immobilier qui correspond idéalement à vos désirs sur ImmoScout24 - La plateforme de l'immobilier en Suisse.")</f>
        <v>Louer appartement Auvernier: Trouvez le bien immobilier qui correspond idéalement à vos désirs sur ImmoScout24 - La plateforme de l'immobilier en Suisse.</v>
      </c>
    </row>
    <row r="4918" hidden="1">
      <c r="A4918" s="5" t="s">
        <v>12934</v>
      </c>
      <c r="B4918" s="2" t="s">
        <v>12935</v>
      </c>
      <c r="C4918" s="2" t="s">
        <v>12935</v>
      </c>
      <c r="D4918" s="4" t="str">
        <f>vlookup(A4918, Sheet2!D:E, 2, 0)</f>
        <v>control</v>
      </c>
      <c r="E4918" s="4" t="str">
        <f>IFERROR(__xludf.DUMMYFUNCTION("if(H4918=""pays"",vlookup(REGEXEXTRACT(C4918, ""🏘️ \w+ \w+ (.*) ✅""),'Country prepositions'!A:B, 2, 0) &amp; "" "" &amp; REGEXEXTRACT(C4918, ""🏘️ \w+ \w+ (.*) ✅"") ,  if(H4918=""quartier"",vlookup(REGEXEXTRACT(C4918, ""🏘️ \w+ \w+ (.*) ✅""),'Quartier prepositio"&amp;"ns'!A:E, 5, 0) ,  if(H4918=""region"",vlookup(REGEXEXTRACT(C4918, ""🏘️ \w+ \w+ (.*) ✅""),'Region prepositions'!B:F, 5, 0),  REGEXEXTRACT(C4918, ""🏘️ \w+ \w+ (.*) ✅""))))"),"#N/A")</f>
        <v>#N/A</v>
      </c>
      <c r="I4918" s="4" t="str">
        <f>IFERROR(__xludf.DUMMYFUNCTION("if(D4918=""variant"",  substitute(filter(Templates!E:E, Templates!A:A = F4918, Templates!B:B = G4918, Templates!C:C = H4918), ""{{}}"", E4918), B4918)"),"Vendre appartement Langnau im Emmental: Trouvez le bien immobilier qui correspond idéalement à vos désirs sur ImmoScout24 - La plateforme de l'immobilier en Suisse.")</f>
        <v>Vendre appartement Langnau im Emmental: Trouvez le bien immobilier qui correspond idéalement à vos désirs sur ImmoScout24 - La plateforme de l'immobilier en Suisse.</v>
      </c>
    </row>
    <row r="4919" hidden="1">
      <c r="A4919" s="5" t="s">
        <v>12936</v>
      </c>
      <c r="B4919" s="2" t="s">
        <v>12937</v>
      </c>
      <c r="C4919" s="2" t="s">
        <v>12937</v>
      </c>
      <c r="D4919" s="4" t="str">
        <f>vlookup(A4919, Sheet2!D:E, 2, 0)</f>
        <v>control</v>
      </c>
      <c r="E4919" s="4" t="str">
        <f>IFERROR(__xludf.DUMMYFUNCTION("if(H4919=""pays"",vlookup(REGEXEXTRACT(C4919, ""🏘️ \w+ \w+ (.*) ✅""),'Country prepositions'!A:B, 2, 0) &amp; "" "" &amp; REGEXEXTRACT(C4919, ""🏘️ \w+ \w+ (.*) ✅"") ,  if(H4919=""quartier"",vlookup(REGEXEXTRACT(C4919, ""🏘️ \w+ \w+ (.*) ✅""),'Quartier prepositio"&amp;"ns'!A:E, 5, 0) ,  if(H4919=""region"",vlookup(REGEXEXTRACT(C4919, ""🏘️ \w+ \w+ (.*) ✅""),'Region prepositions'!B:F, 5, 0),  REGEXEXTRACT(C4919, ""🏘️ \w+ \w+ (.*) ✅""))))"),"#N/A")</f>
        <v>#N/A</v>
      </c>
      <c r="I4919" s="4" t="str">
        <f>IFERROR(__xludf.DUMMYFUNCTION("if(D4919=""variant"",  substitute(filter(Templates!E:E, Templates!A:A = F4919, Templates!B:B = G4919, Templates!C:C = H4919), ""{{}}"", E4919), B4919)"),"Vendre maison Gruyères: Trouvez le bien immobilier qui correspond idéalement à vos désirs sur ImmoScout24 - La plateforme de l'immobilier en Suisse.")</f>
        <v>Vendre maison Gruyères: Trouvez le bien immobilier qui correspond idéalement à vos désirs sur ImmoScout24 - La plateforme de l'immobilier en Suisse.</v>
      </c>
    </row>
    <row r="4920" hidden="1">
      <c r="A4920" s="5" t="s">
        <v>12938</v>
      </c>
      <c r="B4920" s="2" t="s">
        <v>12939</v>
      </c>
      <c r="C4920" s="2" t="s">
        <v>12939</v>
      </c>
      <c r="D4920" s="4" t="str">
        <f>vlookup(A4920, Sheet2!D:E, 2, 0)</f>
        <v>control</v>
      </c>
      <c r="E4920" s="4" t="str">
        <f>IFERROR(__xludf.DUMMYFUNCTION("if(H4920=""pays"",vlookup(REGEXEXTRACT(C4920, ""🏘️ \w+ \w+ (.*) ✅""),'Country prepositions'!A:B, 2, 0) &amp; "" "" &amp; REGEXEXTRACT(C4920, ""🏘️ \w+ \w+ (.*) ✅"") ,  if(H4920=""quartier"",vlookup(REGEXEXTRACT(C4920, ""🏘️ \w+ \w+ (.*) ✅""),'Quartier prepositio"&amp;"ns'!A:E, 5, 0) ,  if(H4920=""region"",vlookup(REGEXEXTRACT(C4920, ""🏘️ \w+ \w+ (.*) ✅""),'Region prepositions'!B:F, 5, 0),  REGEXEXTRACT(C4920, ""🏘️ \w+ \w+ (.*) ✅""))))"),"#N/A")</f>
        <v>#N/A</v>
      </c>
      <c r="I4920" s="4" t="str">
        <f>IFERROR(__xludf.DUMMYFUNCTION("if(D4920=""variant"",  substitute(filter(Templates!E:E, Templates!A:A = F4920, Templates!B:B = G4920, Templates!C:C = H4920), ""{{}}"", E4920), B4920)"),"Vendre maison Vernamiège: Trouvez le bien immobilier qui correspond idéalement à vos désirs sur ImmoScout24 - La plateforme de l'immobilier en Suisse.")</f>
        <v>Vendre maison Vernamiège: Trouvez le bien immobilier qui correspond idéalement à vos désirs sur ImmoScout24 - La plateforme de l'immobilier en Suisse.</v>
      </c>
    </row>
    <row r="4921" hidden="1">
      <c r="A4921" s="5" t="s">
        <v>12940</v>
      </c>
      <c r="B4921" s="2" t="s">
        <v>12941</v>
      </c>
      <c r="C4921" s="2" t="s">
        <v>12941</v>
      </c>
      <c r="D4921" s="4" t="str">
        <f>vlookup(A4921, Sheet2!D:E, 2, 0)</f>
        <v>control</v>
      </c>
      <c r="E4921" s="4" t="str">
        <f>IFERROR(__xludf.DUMMYFUNCTION("if(H4921=""pays"",vlookup(REGEXEXTRACT(C4921, ""🏘️ \w+ \w+ (.*) ✅""),'Country prepositions'!A:B, 2, 0) &amp; "" "" &amp; REGEXEXTRACT(C4921, ""🏘️ \w+ \w+ (.*) ✅"") ,  if(H4921=""quartier"",vlookup(REGEXEXTRACT(C4921, ""🏘️ \w+ \w+ (.*) ✅""),'Quartier prepositio"&amp;"ns'!A:E, 5, 0) ,  if(H4921=""region"",vlookup(REGEXEXTRACT(C4921, ""🏘️ \w+ \w+ (.*) ✅""),'Region prepositions'!B:F, 5, 0),  REGEXEXTRACT(C4921, ""🏘️ \w+ \w+ (.*) ✅""))))"),"#N/A")</f>
        <v>#N/A</v>
      </c>
      <c r="I4921" s="4" t="str">
        <f>IFERROR(__xludf.DUMMYFUNCTION("if(D4921=""variant"",  substitute(filter(Templates!E:E, Templates!A:A = F4921, Templates!B:B = G4921, Templates!C:C = H4921), ""{{}}"", E4921), B4921)"),"Louer appartement Sarzens: Trouvez le bien immobilier qui correspond idéalement à vos désirs sur ImmoScout24 - La plateforme de l'immobilier en Suisse.")</f>
        <v>Louer appartement Sarzens: Trouvez le bien immobilier qui correspond idéalement à vos désirs sur ImmoScout24 - La plateforme de l'immobilier en Suisse.</v>
      </c>
    </row>
    <row r="4922" hidden="1">
      <c r="A4922" s="5" t="s">
        <v>12942</v>
      </c>
      <c r="B4922" s="2" t="s">
        <v>12943</v>
      </c>
      <c r="C4922" s="2" t="s">
        <v>12943</v>
      </c>
      <c r="D4922" s="4" t="str">
        <f>vlookup(A4922, Sheet2!D:E, 2, 0)</f>
        <v>control</v>
      </c>
      <c r="E4922" s="4" t="str">
        <f>IFERROR(__xludf.DUMMYFUNCTION("if(H4922=""pays"",vlookup(REGEXEXTRACT(C4922, ""🏘️ \w+ \w+ (.*) ✅""),'Country prepositions'!A:B, 2, 0) &amp; "" "" &amp; REGEXEXTRACT(C4922, ""🏘️ \w+ \w+ (.*) ✅"") ,  if(H4922=""quartier"",vlookup(REGEXEXTRACT(C4922, ""🏘️ \w+ \w+ (.*) ✅""),'Quartier prepositio"&amp;"ns'!A:E, 5, 0) ,  if(H4922=""region"",vlookup(REGEXEXTRACT(C4922, ""🏘️ \w+ \w+ (.*) ✅""),'Region prepositions'!B:F, 5, 0),  REGEXEXTRACT(C4922, ""🏘️ \w+ \w+ (.*) ✅""))))"),"#N/A")</f>
        <v>#N/A</v>
      </c>
      <c r="I4922" s="4" t="str">
        <f>IFERROR(__xludf.DUMMYFUNCTION("if(D4922=""variant"",  substitute(filter(Templates!E:E, Templates!A:A = F4922, Templates!B:B = G4922, Templates!C:C = H4922), ""{{}}"", E4922), B4922)"),"Vendre maison Sornard (Nendaz): Trouvez le bien immobilier qui correspond idéalement à vos désirs sur ImmoScout24 - La plateforme de l'immobilier en Suisse.")</f>
        <v>Vendre maison Sornard (Nendaz): Trouvez le bien immobilier qui correspond idéalement à vos désirs sur ImmoScout24 - La plateforme de l'immobilier en Suisse.</v>
      </c>
    </row>
    <row r="4923" hidden="1">
      <c r="A4923" s="5" t="s">
        <v>12944</v>
      </c>
      <c r="B4923" s="2" t="s">
        <v>12945</v>
      </c>
      <c r="C4923" s="2" t="s">
        <v>12945</v>
      </c>
      <c r="D4923" s="4" t="str">
        <f>vlookup(A4923, Sheet2!D:E, 2, 0)</f>
        <v>control</v>
      </c>
      <c r="E4923" s="4" t="str">
        <f>IFERROR(__xludf.DUMMYFUNCTION("if(H4923=""pays"",vlookup(REGEXEXTRACT(C4923, ""🏘️ \w+ \w+ (.*) ✅""),'Country prepositions'!A:B, 2, 0) &amp; "" "" &amp; REGEXEXTRACT(C4923, ""🏘️ \w+ \w+ (.*) ✅"") ,  if(H4923=""quartier"",vlookup(REGEXEXTRACT(C4923, ""🏘️ \w+ \w+ (.*) ✅""),'Quartier prepositio"&amp;"ns'!A:E, 5, 0) ,  if(H4923=""region"",vlookup(REGEXEXTRACT(C4923, ""🏘️ \w+ \w+ (.*) ✅""),'Region prepositions'!B:F, 5, 0),  REGEXEXTRACT(C4923, ""🏘️ \w+ \w+ (.*) ✅""))))"),"#N/A")</f>
        <v>#N/A</v>
      </c>
      <c r="I4923" s="4" t="str">
        <f>IFERROR(__xludf.DUMMYFUNCTION("if(D4923=""variant"",  substitute(filter(Templates!E:E, Templates!A:A = F4923, Templates!B:B = G4923, Templates!C:C = H4923), ""{{}}"", E4923), B4923)"),"Vendre appartement Château-d'Oex: Trouvez le bien immobilier qui correspond idéalement à vos désirs sur ImmoScout24 - La plateforme de l'immobilier en Suisse.")</f>
        <v>Vendre appartement Château-d'Oex: Trouvez le bien immobilier qui correspond idéalement à vos désirs sur ImmoScout24 - La plateforme de l'immobilier en Suisse.</v>
      </c>
    </row>
    <row r="4924" hidden="1">
      <c r="A4924" s="5" t="s">
        <v>12946</v>
      </c>
      <c r="B4924" s="2" t="s">
        <v>12947</v>
      </c>
      <c r="C4924" s="2" t="s">
        <v>12947</v>
      </c>
      <c r="D4924" s="4" t="str">
        <f>vlookup(A4924, Sheet2!D:E, 2, 0)</f>
        <v>control</v>
      </c>
      <c r="E4924" s="4" t="str">
        <f>IFERROR(__xludf.DUMMYFUNCTION("if(H4924=""pays"",vlookup(REGEXEXTRACT(C4924, ""🏘️ \w+ \w+ (.*) ✅""),'Country prepositions'!A:B, 2, 0) &amp; "" "" &amp; REGEXEXTRACT(C4924, ""🏘️ \w+ \w+ (.*) ✅"") ,  if(H4924=""quartier"",vlookup(REGEXEXTRACT(C4924, ""🏘️ \w+ \w+ (.*) ✅""),'Quartier prepositio"&amp;"ns'!A:E, 5, 0) ,  if(H4924=""region"",vlookup(REGEXEXTRACT(C4924, ""🏘️ \w+ \w+ (.*) ✅""),'Region prepositions'!B:F, 5, 0),  REGEXEXTRACT(C4924, ""🏘️ \w+ \w+ (.*) ✅""))))"),"#N/A")</f>
        <v>#N/A</v>
      </c>
      <c r="I4924" s="4" t="str">
        <f>IFERROR(__xludf.DUMMYFUNCTION("if(D4924=""variant"",  substitute(filter(Templates!E:E, Templates!A:A = F4924, Templates!B:B = G4924, Templates!C:C = H4924), ""{{}}"", E4924), B4924)"),"Louer appartement Beaulieu - Grey - Boisy (Lausanne): Trouvez le bien immobilier qui correspond idéalement à vos désirs sur ImmoScout24 - La plateforme de l'immobilier en Suisse.")</f>
        <v>Louer appartement Beaulieu - Grey - Boisy (Lausanne): Trouvez le bien immobilier qui correspond idéalement à vos désirs sur ImmoScout24 - La plateforme de l'immobilier en Suisse.</v>
      </c>
    </row>
    <row r="4925" hidden="1">
      <c r="A4925" s="5" t="s">
        <v>12948</v>
      </c>
      <c r="B4925" s="2" t="s">
        <v>12949</v>
      </c>
      <c r="C4925" s="2" t="s">
        <v>12949</v>
      </c>
      <c r="D4925" s="4" t="str">
        <f>vlookup(A4925, Sheet2!D:E, 2, 0)</f>
        <v>control</v>
      </c>
      <c r="E4925" s="4" t="str">
        <f>IFERROR(__xludf.DUMMYFUNCTION("if(H4925=""pays"",vlookup(REGEXEXTRACT(C4925, ""🏘️ \w+ \w+ (.*) ✅""),'Country prepositions'!A:B, 2, 0) &amp; "" "" &amp; REGEXEXTRACT(C4925, ""🏘️ \w+ \w+ (.*) ✅"") ,  if(H4925=""quartier"",vlookup(REGEXEXTRACT(C4925, ""🏘️ \w+ \w+ (.*) ✅""),'Quartier prepositio"&amp;"ns'!A:E, 5, 0) ,  if(H4925=""region"",vlookup(REGEXEXTRACT(C4925, ""🏘️ \w+ \w+ (.*) ✅""),'Region prepositions'!B:F, 5, 0),  REGEXEXTRACT(C4925, ""🏘️ \w+ \w+ (.*) ✅""))))"),"#N/A")</f>
        <v>#N/A</v>
      </c>
      <c r="I4925" s="4" t="str">
        <f>IFERROR(__xludf.DUMMYFUNCTION("if(D4925=""variant"",  substitute(filter(Templates!E:E, Templates!A:A = F4925, Templates!B:B = G4925, Templates!C:C = H4925), ""{{}}"", E4925), B4925)"),"Vendre maison Oberbuchsiten: Trouvez le bien immobilier qui correspond idéalement à vos désirs sur ImmoScout24 - La plateforme de l'immobilier en Suisse.")</f>
        <v>Vendre maison Oberbuchsiten: Trouvez le bien immobilier qui correspond idéalement à vos désirs sur ImmoScout24 - La plateforme de l'immobilier en Suisse.</v>
      </c>
    </row>
    <row r="4926" hidden="1">
      <c r="A4926" s="5" t="s">
        <v>12950</v>
      </c>
      <c r="B4926" s="2" t="s">
        <v>12951</v>
      </c>
      <c r="C4926" s="2" t="s">
        <v>12951</v>
      </c>
      <c r="D4926" s="4" t="str">
        <f>vlookup(A4926, Sheet2!D:E, 2, 0)</f>
        <v>control</v>
      </c>
      <c r="E4926" s="4" t="str">
        <f>IFERROR(__xludf.DUMMYFUNCTION("if(H4926=""pays"",vlookup(REGEXEXTRACT(C4926, ""🏘️ \w+ \w+ (.*) ✅""),'Country prepositions'!A:B, 2, 0) &amp; "" "" &amp; REGEXEXTRACT(C4926, ""🏘️ \w+ \w+ (.*) ✅"") ,  if(H4926=""quartier"",vlookup(REGEXEXTRACT(C4926, ""🏘️ \w+ \w+ (.*) ✅""),'Quartier prepositio"&amp;"ns'!A:E, 5, 0) ,  if(H4926=""region"",vlookup(REGEXEXTRACT(C4926, ""🏘️ \w+ \w+ (.*) ✅""),'Region prepositions'!B:F, 5, 0),  REGEXEXTRACT(C4926, ""🏘️ \w+ \w+ (.*) ✅""))))"),"#N/A")</f>
        <v>#N/A</v>
      </c>
      <c r="I4926" s="4" t="str">
        <f>IFERROR(__xludf.DUMMYFUNCTION("if(D4926=""variant"",  substitute(filter(Templates!E:E, Templates!A:A = F4926, Templates!B:B = G4926, Templates!C:C = H4926), ""{{}}"", E4926), B4926)"),"Louer appartement Aldesago (Lugano): Trouvez le bien immobilier qui correspond idéalement à vos désirs sur ImmoScout24 - La plateforme de l'immobilier en Suisse.")</f>
        <v>Louer appartement Aldesago (Lugano): Trouvez le bien immobilier qui correspond idéalement à vos désirs sur ImmoScout24 - La plateforme de l'immobilier en Suisse.</v>
      </c>
    </row>
    <row r="4927" hidden="1">
      <c r="A4927" s="5" t="s">
        <v>12952</v>
      </c>
      <c r="B4927" s="2" t="s">
        <v>12953</v>
      </c>
      <c r="C4927" s="2" t="s">
        <v>12953</v>
      </c>
      <c r="D4927" s="4" t="str">
        <f>vlookup(A4927, Sheet2!D:E, 2, 0)</f>
        <v>control</v>
      </c>
      <c r="E4927" s="4" t="str">
        <f>IFERROR(__xludf.DUMMYFUNCTION("if(H4927=""pays"",vlookup(REGEXEXTRACT(C4927, ""🏘️ \w+ \w+ (.*) ✅""),'Country prepositions'!A:B, 2, 0) &amp; "" "" &amp; REGEXEXTRACT(C4927, ""🏘️ \w+ \w+ (.*) ✅"") ,  if(H4927=""quartier"",vlookup(REGEXEXTRACT(C4927, ""🏘️ \w+ \w+ (.*) ✅""),'Quartier prepositio"&amp;"ns'!A:E, 5, 0) ,  if(H4927=""region"",vlookup(REGEXEXTRACT(C4927, ""🏘️ \w+ \w+ (.*) ✅""),'Region prepositions'!B:F, 5, 0),  REGEXEXTRACT(C4927, ""🏘️ \w+ \w+ (.*) ✅""))))"),"#N/A")</f>
        <v>#N/A</v>
      </c>
      <c r="I4927" s="4" t="str">
        <f>IFERROR(__xludf.DUMMYFUNCTION("if(D4927=""variant"",  substitute(filter(Templates!E:E, Templates!A:A = F4927, Templates!B:B = G4927, Templates!C:C = H4927), ""{{}}"", E4927), B4927)"),"Louer appartement Baulmes: Trouvez le bien immobilier qui correspond idéalement à vos désirs sur ImmoScout24 - La plateforme de l'immobilier en Suisse.")</f>
        <v>Louer appartement Baulmes: Trouvez le bien immobilier qui correspond idéalement à vos désirs sur ImmoScout24 - La plateforme de l'immobilier en Suisse.</v>
      </c>
    </row>
    <row r="4928" hidden="1">
      <c r="A4928" s="5" t="s">
        <v>12954</v>
      </c>
      <c r="B4928" s="2" t="s">
        <v>12955</v>
      </c>
      <c r="C4928" s="2" t="s">
        <v>12955</v>
      </c>
      <c r="D4928" s="4" t="str">
        <f>vlookup(A4928, Sheet2!D:E, 2, 0)</f>
        <v>control</v>
      </c>
      <c r="E4928" s="4" t="str">
        <f>IFERROR(__xludf.DUMMYFUNCTION("if(H4928=""pays"",vlookup(REGEXEXTRACT(C4928, ""🏘️ \w+ \w+ (.*) ✅""),'Country prepositions'!A:B, 2, 0) &amp; "" "" &amp; REGEXEXTRACT(C4928, ""🏘️ \w+ \w+ (.*) ✅"") ,  if(H4928=""quartier"",vlookup(REGEXEXTRACT(C4928, ""🏘️ \w+ \w+ (.*) ✅""),'Quartier prepositio"&amp;"ns'!A:E, 5, 0) ,  if(H4928=""region"",vlookup(REGEXEXTRACT(C4928, ""🏘️ \w+ \w+ (.*) ✅""),'Region prepositions'!B:F, 5, 0),  REGEXEXTRACT(C4928, ""🏘️ \w+ \w+ (.*) ✅""))))"),"#N/A")</f>
        <v>#N/A</v>
      </c>
      <c r="I4928" s="4" t="str">
        <f>IFERROR(__xludf.DUMMYFUNCTION("if(D4928=""variant"",  substitute(filter(Templates!E:E, Templates!A:A = F4928, Templates!B:B = G4928, Templates!C:C = H4928), ""{{}}"", E4928), B4928)"),"Louer appartement Glattal: Trouvez le bien immobilier qui correspond idéalement à vos désirs sur ImmoScout24 - La plateforme de l'immobilier en Suisse.")</f>
        <v>Louer appartement Glattal: Trouvez le bien immobilier qui correspond idéalement à vos désirs sur ImmoScout24 - La plateforme de l'immobilier en Suisse.</v>
      </c>
    </row>
    <row r="4929" hidden="1">
      <c r="A4929" s="5" t="s">
        <v>12956</v>
      </c>
      <c r="B4929" s="2" t="s">
        <v>12957</v>
      </c>
      <c r="C4929" s="2" t="s">
        <v>12957</v>
      </c>
      <c r="D4929" s="4" t="str">
        <f>vlookup(A4929, Sheet2!D:E, 2, 0)</f>
        <v>control</v>
      </c>
      <c r="E4929" s="4" t="str">
        <f>IFERROR(__xludf.DUMMYFUNCTION("if(H4929=""pays"",vlookup(REGEXEXTRACT(C4929, ""🏘️ \w+ \w+ (.*) ✅""),'Country prepositions'!A:B, 2, 0) &amp; "" "" &amp; REGEXEXTRACT(C4929, ""🏘️ \w+ \w+ (.*) ✅"") ,  if(H4929=""quartier"",vlookup(REGEXEXTRACT(C4929, ""🏘️ \w+ \w+ (.*) ✅""),'Quartier prepositio"&amp;"ns'!A:E, 5, 0) ,  if(H4929=""region"",vlookup(REGEXEXTRACT(C4929, ""🏘️ \w+ \w+ (.*) ✅""),'Region prepositions'!B:F, 5, 0),  REGEXEXTRACT(C4929, ""🏘️ \w+ \w+ (.*) ✅""))))"),"#N/A")</f>
        <v>#N/A</v>
      </c>
      <c r="I4929" s="4" t="str">
        <f>IFERROR(__xludf.DUMMYFUNCTION("if(D4929=""variant"",  substitute(filter(Templates!E:E, Templates!A:A = F4929, Templates!B:B = G4929, Templates!C:C = H4929), ""{{}}"", E4929), B4929)"),"Vendre appartement Gollion: Trouvez le bien immobilier qui correspond idéalement à vos désirs sur ImmoScout24 - La plateforme de l'immobilier en Suisse.")</f>
        <v>Vendre appartement Gollion: Trouvez le bien immobilier qui correspond idéalement à vos désirs sur ImmoScout24 - La plateforme de l'immobilier en Suisse.</v>
      </c>
    </row>
    <row r="4930" hidden="1">
      <c r="A4930" s="5" t="s">
        <v>12958</v>
      </c>
      <c r="B4930" s="2" t="s">
        <v>12959</v>
      </c>
      <c r="C4930" s="2" t="s">
        <v>12959</v>
      </c>
      <c r="D4930" s="4" t="str">
        <f>vlookup(A4930, Sheet2!D:E, 2, 0)</f>
        <v>control</v>
      </c>
      <c r="E4930" s="4" t="str">
        <f>IFERROR(__xludf.DUMMYFUNCTION("if(H4930=""pays"",vlookup(REGEXEXTRACT(C4930, ""🏘️ \w+ \w+ (.*) ✅""),'Country prepositions'!A:B, 2, 0) &amp; "" "" &amp; REGEXEXTRACT(C4930, ""🏘️ \w+ \w+ (.*) ✅"") ,  if(H4930=""quartier"",vlookup(REGEXEXTRACT(C4930, ""🏘️ \w+ \w+ (.*) ✅""),'Quartier prepositio"&amp;"ns'!A:E, 5, 0) ,  if(H4930=""region"",vlookup(REGEXEXTRACT(C4930, ""🏘️ \w+ \w+ (.*) ✅""),'Region prepositions'!B:F, 5, 0),  REGEXEXTRACT(C4930, ""🏘️ \w+ \w+ (.*) ✅""))))"),"#N/A")</f>
        <v>#N/A</v>
      </c>
      <c r="I4930" s="4" t="str">
        <f>IFERROR(__xludf.DUMMYFUNCTION("if(D4930=""variant"",  substitute(filter(Templates!E:E, Templates!A:A = F4930, Templates!B:B = G4930, Templates!C:C = H4930), ""{{}}"", E4930), B4930)"),"Vendre maison Belgique: Trouvez le bien immobilier qui correspond idéalement à vos désirs sur ImmoScout24 - La plateforme de l'immobilier en Suisse.")</f>
        <v>Vendre maison Belgique: Trouvez le bien immobilier qui correspond idéalement à vos désirs sur ImmoScout24 - La plateforme de l'immobilier en Suisse.</v>
      </c>
    </row>
    <row r="4931" hidden="1">
      <c r="A4931" s="5" t="s">
        <v>12960</v>
      </c>
      <c r="B4931" s="2" t="s">
        <v>12961</v>
      </c>
      <c r="C4931" s="2" t="s">
        <v>12961</v>
      </c>
      <c r="D4931" s="4" t="str">
        <f>vlookup(A4931, Sheet2!D:E, 2, 0)</f>
        <v>control</v>
      </c>
      <c r="E4931" s="4" t="str">
        <f>IFERROR(__xludf.DUMMYFUNCTION("if(H4931=""pays"",vlookup(REGEXEXTRACT(C4931, ""🏘️ \w+ \w+ (.*) ✅""),'Country prepositions'!A:B, 2, 0) &amp; "" "" &amp; REGEXEXTRACT(C4931, ""🏘️ \w+ \w+ (.*) ✅"") ,  if(H4931=""quartier"",vlookup(REGEXEXTRACT(C4931, ""🏘️ \w+ \w+ (.*) ✅""),'Quartier prepositio"&amp;"ns'!A:E, 5, 0) ,  if(H4931=""region"",vlookup(REGEXEXTRACT(C4931, ""🏘️ \w+ \w+ (.*) ✅""),'Region prepositions'!B:F, 5, 0),  REGEXEXTRACT(C4931, ""🏘️ \w+ \w+ (.*) ✅""))))"),"#N/A")</f>
        <v>#N/A</v>
      </c>
      <c r="I4931" s="4" t="str">
        <f>IFERROR(__xludf.DUMMYFUNCTION("if(D4931=""variant"",  substitute(filter(Templates!E:E, Templates!A:A = F4931, Templates!B:B = G4931, Templates!C:C = H4931), ""{{}}"", E4931), B4931)"),"Louer appartement Lopagno: Trouvez le bien immobilier qui correspond idéalement à vos désirs sur ImmoScout24 - La plateforme de l'immobilier en Suisse.")</f>
        <v>Louer appartement Lopagno: Trouvez le bien immobilier qui correspond idéalement à vos désirs sur ImmoScout24 - La plateforme de l'immobilier en Suisse.</v>
      </c>
    </row>
    <row r="4932" hidden="1">
      <c r="A4932" s="5" t="s">
        <v>12962</v>
      </c>
      <c r="B4932" s="2" t="s">
        <v>12963</v>
      </c>
      <c r="C4932" s="2" t="s">
        <v>12963</v>
      </c>
      <c r="D4932" s="4" t="str">
        <f>vlookup(A4932, Sheet2!D:E, 2, 0)</f>
        <v>control</v>
      </c>
      <c r="E4932" s="4" t="str">
        <f>IFERROR(__xludf.DUMMYFUNCTION("if(H4932=""pays"",vlookup(REGEXEXTRACT(C4932, ""🏘️ \w+ \w+ (.*) ✅""),'Country prepositions'!A:B, 2, 0) &amp; "" "" &amp; REGEXEXTRACT(C4932, ""🏘️ \w+ \w+ (.*) ✅"") ,  if(H4932=""quartier"",vlookup(REGEXEXTRACT(C4932, ""🏘️ \w+ \w+ (.*) ✅""),'Quartier prepositio"&amp;"ns'!A:E, 5, 0) ,  if(H4932=""region"",vlookup(REGEXEXTRACT(C4932, ""🏘️ \w+ \w+ (.*) ✅""),'Region prepositions'!B:F, 5, 0),  REGEXEXTRACT(C4932, ""🏘️ \w+ \w+ (.*) ✅""))))"),"#N/A")</f>
        <v>#N/A</v>
      </c>
      <c r="I4932" s="4" t="str">
        <f>IFERROR(__xludf.DUMMYFUNCTION("if(D4932=""variant"",  substitute(filter(Templates!E:E, Templates!A:A = F4932, Templates!B:B = G4932, Templates!C:C = H4932), ""{{}}"", E4932), B4932)"),"Louer appartement Wil - Gossau: Trouvez le bien immobilier qui correspond idéalement à vos désirs sur ImmoScout24 - La plateforme de l'immobilier en Suisse.")</f>
        <v>Louer appartement Wil - Gossau: Trouvez le bien immobilier qui correspond idéalement à vos désirs sur ImmoScout24 - La plateforme de l'immobilier en Suisse.</v>
      </c>
    </row>
    <row r="4933" hidden="1">
      <c r="A4933" s="5" t="s">
        <v>12964</v>
      </c>
      <c r="B4933" s="2" t="s">
        <v>12965</v>
      </c>
      <c r="C4933" s="2" t="s">
        <v>12965</v>
      </c>
      <c r="D4933" s="4" t="str">
        <f>vlookup(A4933, Sheet2!D:E, 2, 0)</f>
        <v>control</v>
      </c>
      <c r="E4933" s="4" t="str">
        <f>IFERROR(__xludf.DUMMYFUNCTION("if(H4933=""pays"",vlookup(REGEXEXTRACT(C4933, ""🏘️ \w+ \w+ (.*) ✅""),'Country prepositions'!A:B, 2, 0) &amp; "" "" &amp; REGEXEXTRACT(C4933, ""🏘️ \w+ \w+ (.*) ✅"") ,  if(H4933=""quartier"",vlookup(REGEXEXTRACT(C4933, ""🏘️ \w+ \w+ (.*) ✅""),'Quartier prepositio"&amp;"ns'!A:E, 5, 0) ,  if(H4933=""region"",vlookup(REGEXEXTRACT(C4933, ""🏘️ \w+ \w+ (.*) ✅""),'Region prepositions'!B:F, 5, 0),  REGEXEXTRACT(C4933, ""🏘️ \w+ \w+ (.*) ✅""))))"),"#N/A")</f>
        <v>#N/A</v>
      </c>
      <c r="I4933" s="4" t="str">
        <f>IFERROR(__xludf.DUMMYFUNCTION("if(D4933=""variant"",  substitute(filter(Templates!E:E, Templates!A:A = F4933, Templates!B:B = G4933, Templates!C:C = H4933), ""{{}}"", E4933), B4933)"),"Vendre appartement Bettens: Trouvez le bien immobilier qui correspond idéalement à vos désirs sur ImmoScout24 - La plateforme de l'immobilier en Suisse.")</f>
        <v>Vendre appartement Bettens: Trouvez le bien immobilier qui correspond idéalement à vos désirs sur ImmoScout24 - La plateforme de l'immobilier en Suisse.</v>
      </c>
    </row>
    <row r="4934" hidden="1">
      <c r="A4934" s="5" t="s">
        <v>12966</v>
      </c>
      <c r="B4934" s="2" t="s">
        <v>12967</v>
      </c>
      <c r="C4934" s="2" t="s">
        <v>12967</v>
      </c>
      <c r="D4934" s="4" t="str">
        <f>vlookup(A4934, Sheet2!D:E, 2, 0)</f>
        <v>control</v>
      </c>
      <c r="E4934" s="4" t="str">
        <f>IFERROR(__xludf.DUMMYFUNCTION("if(H4934=""pays"",vlookup(REGEXEXTRACT(C4934, ""🏘️ \w+ \w+ (.*) ✅""),'Country prepositions'!A:B, 2, 0) &amp; "" "" &amp; REGEXEXTRACT(C4934, ""🏘️ \w+ \w+ (.*) ✅"") ,  if(H4934=""quartier"",vlookup(REGEXEXTRACT(C4934, ""🏘️ \w+ \w+ (.*) ✅""),'Quartier prepositio"&amp;"ns'!A:E, 5, 0) ,  if(H4934=""region"",vlookup(REGEXEXTRACT(C4934, ""🏘️ \w+ \w+ (.*) ✅""),'Region prepositions'!B:F, 5, 0),  REGEXEXTRACT(C4934, ""🏘️ \w+ \w+ (.*) ✅""))))"),"#N/A")</f>
        <v>#N/A</v>
      </c>
      <c r="I4934" s="4" t="str">
        <f>IFERROR(__xludf.DUMMYFUNCTION("if(D4934=""variant"",  substitute(filter(Templates!E:E, Templates!A:A = F4934, Templates!B:B = G4934, Templates!C:C = H4934), ""{{}}"", E4934), B4934)"),"Vendre maison Asuel: Trouvez le bien immobilier qui correspond idéalement à vos désirs sur ImmoScout24 - La plateforme de l'immobilier en Suisse.")</f>
        <v>Vendre maison Asuel: Trouvez le bien immobilier qui correspond idéalement à vos désirs sur ImmoScout24 - La plateforme de l'immobilier en Suisse.</v>
      </c>
    </row>
    <row r="4935" hidden="1">
      <c r="A4935" s="5" t="s">
        <v>12968</v>
      </c>
      <c r="B4935" s="2" t="s">
        <v>12969</v>
      </c>
      <c r="C4935" s="2" t="s">
        <v>12969</v>
      </c>
      <c r="D4935" s="4" t="str">
        <f>vlookup(A4935, Sheet2!D:E, 2, 0)</f>
        <v>control</v>
      </c>
      <c r="E4935" s="4" t="str">
        <f>IFERROR(__xludf.DUMMYFUNCTION("if(H4935=""pays"",vlookup(REGEXEXTRACT(C4935, ""🏘️ \w+ \w+ (.*) ✅""),'Country prepositions'!A:B, 2, 0) &amp; "" "" &amp; REGEXEXTRACT(C4935, ""🏘️ \w+ \w+ (.*) ✅"") ,  if(H4935=""quartier"",vlookup(REGEXEXTRACT(C4935, ""🏘️ \w+ \w+ (.*) ✅""),'Quartier prepositio"&amp;"ns'!A:E, 5, 0) ,  if(H4935=""region"",vlookup(REGEXEXTRACT(C4935, ""🏘️ \w+ \w+ (.*) ✅""),'Region prepositions'!B:F, 5, 0),  REGEXEXTRACT(C4935, ""🏘️ \w+ \w+ (.*) ✅""))))"),"#N/A")</f>
        <v>#N/A</v>
      </c>
      <c r="I4935" s="4" t="str">
        <f>IFERROR(__xludf.DUMMYFUNCTION("if(D4935=""variant"",  substitute(filter(Templates!E:E, Templates!A:A = F4935, Templates!B:B = G4935, Templates!C:C = H4935), ""{{}}"", E4935), B4935)"),"Louer appartement Areuse: Trouvez le bien immobilier qui correspond idéalement à vos désirs sur ImmoScout24 - La plateforme de l'immobilier en Suisse.")</f>
        <v>Louer appartement Areuse: Trouvez le bien immobilier qui correspond idéalement à vos désirs sur ImmoScout24 - La plateforme de l'immobilier en Suisse.</v>
      </c>
    </row>
    <row r="4936" hidden="1">
      <c r="A4936" s="5" t="s">
        <v>12970</v>
      </c>
      <c r="B4936" s="2" t="s">
        <v>12971</v>
      </c>
      <c r="C4936" s="2" t="s">
        <v>12971</v>
      </c>
      <c r="D4936" s="4" t="str">
        <f>vlookup(A4936, Sheet2!D:E, 2, 0)</f>
        <v>control</v>
      </c>
      <c r="E4936" s="4" t="str">
        <f>IFERROR(__xludf.DUMMYFUNCTION("if(H4936=""pays"",vlookup(REGEXEXTRACT(C4936, ""🏘️ \w+ \w+ (.*) ✅""),'Country prepositions'!A:B, 2, 0) &amp; "" "" &amp; REGEXEXTRACT(C4936, ""🏘️ \w+ \w+ (.*) ✅"") ,  if(H4936=""quartier"",vlookup(REGEXEXTRACT(C4936, ""🏘️ \w+ \w+ (.*) ✅""),'Quartier prepositio"&amp;"ns'!A:E, 5, 0) ,  if(H4936=""region"",vlookup(REGEXEXTRACT(C4936, ""🏘️ \w+ \w+ (.*) ✅""),'Region prepositions'!B:F, 5, 0),  REGEXEXTRACT(C4936, ""🏘️ \w+ \w+ (.*) ✅""))))"),"#N/A")</f>
        <v>#N/A</v>
      </c>
      <c r="I4936" s="4" t="str">
        <f>IFERROR(__xludf.DUMMYFUNCTION("if(D4936=""variant"",  substitute(filter(Templates!E:E, Templates!A:A = F4936, Templates!B:B = G4936, Templates!C:C = H4936), ""{{}}"", E4936), B4936)"),"Louer maison Ilanz: Trouvez le bien immobilier qui correspond idéalement à vos désirs sur ImmoScout24 - La plateforme de l'immobilier en Suisse.")</f>
        <v>Louer maison Ilanz: Trouvez le bien immobilier qui correspond idéalement à vos désirs sur ImmoScout24 - La plateforme de l'immobilier en Suisse.</v>
      </c>
    </row>
    <row r="4937" hidden="1">
      <c r="A4937" s="5" t="s">
        <v>12972</v>
      </c>
      <c r="B4937" s="2" t="s">
        <v>12973</v>
      </c>
      <c r="C4937" s="2" t="s">
        <v>12973</v>
      </c>
      <c r="D4937" s="4" t="str">
        <f>vlookup(A4937, Sheet2!D:E, 2, 0)</f>
        <v>control</v>
      </c>
      <c r="E4937" s="4" t="str">
        <f>IFERROR(__xludf.DUMMYFUNCTION("if(H4937=""pays"",vlookup(REGEXEXTRACT(C4937, ""🏘️ \w+ \w+ (.*) ✅""),'Country prepositions'!A:B, 2, 0) &amp; "" "" &amp; REGEXEXTRACT(C4937, ""🏘️ \w+ \w+ (.*) ✅"") ,  if(H4937=""quartier"",vlookup(REGEXEXTRACT(C4937, ""🏘️ \w+ \w+ (.*) ✅""),'Quartier prepositio"&amp;"ns'!A:E, 5, 0) ,  if(H4937=""region"",vlookup(REGEXEXTRACT(C4937, ""🏘️ \w+ \w+ (.*) ✅""),'Region prepositions'!B:F, 5, 0),  REGEXEXTRACT(C4937, ""🏘️ \w+ \w+ (.*) ✅""))))"),"#N/A")</f>
        <v>#N/A</v>
      </c>
      <c r="I4937" s="4" t="str">
        <f>IFERROR(__xludf.DUMMYFUNCTION("if(D4937=""variant"",  substitute(filter(Templates!E:E, Templates!A:A = F4937, Templates!B:B = G4937, Templates!C:C = H4937), ""{{}}"", E4937), B4937)"),"Louer maison Gimel: Trouvez le bien immobilier qui correspond idéalement à vos désirs sur ImmoScout24 - La plateforme de l'immobilier en Suisse.")</f>
        <v>Louer maison Gimel: Trouvez le bien immobilier qui correspond idéalement à vos désirs sur ImmoScout24 - La plateforme de l'immobilier en Suisse.</v>
      </c>
    </row>
    <row r="4938" hidden="1">
      <c r="A4938" s="5" t="s">
        <v>12974</v>
      </c>
      <c r="B4938" s="2" t="s">
        <v>12975</v>
      </c>
      <c r="C4938" s="2" t="s">
        <v>12975</v>
      </c>
      <c r="D4938" s="4" t="str">
        <f>vlookup(A4938, Sheet2!D:E, 2, 0)</f>
        <v>control</v>
      </c>
      <c r="E4938" s="4" t="str">
        <f>IFERROR(__xludf.DUMMYFUNCTION("if(H4938=""pays"",vlookup(REGEXEXTRACT(C4938, ""🏘️ \w+ \w+ (.*) ✅""),'Country prepositions'!A:B, 2, 0) &amp; "" "" &amp; REGEXEXTRACT(C4938, ""🏘️ \w+ \w+ (.*) ✅"") ,  if(H4938=""quartier"",vlookup(REGEXEXTRACT(C4938, ""🏘️ \w+ \w+ (.*) ✅""),'Quartier prepositio"&amp;"ns'!A:E, 5, 0) ,  if(H4938=""region"",vlookup(REGEXEXTRACT(C4938, ""🏘️ \w+ \w+ (.*) ✅""),'Region prepositions'!B:F, 5, 0),  REGEXEXTRACT(C4938, ""🏘️ \w+ \w+ (.*) ✅""))))"),"#N/A")</f>
        <v>#N/A</v>
      </c>
      <c r="I4938" s="4" t="str">
        <f>IFERROR(__xludf.DUMMYFUNCTION("if(D4938=""variant"",  substitute(filter(Templates!E:E, Templates!A:A = F4938, Templates!B:B = G4938, Templates!C:C = H4938), ""{{}}"", E4938), B4938)"),"Vendre maison Wettingen: Trouvez le bien immobilier qui correspond idéalement à vos désirs sur ImmoScout24 - La plateforme de l'immobilier en Suisse.")</f>
        <v>Vendre maison Wettingen: Trouvez le bien immobilier qui correspond idéalement à vos désirs sur ImmoScout24 - La plateforme de l'immobilier en Suisse.</v>
      </c>
    </row>
    <row r="4939" hidden="1">
      <c r="A4939" s="5" t="s">
        <v>12976</v>
      </c>
      <c r="B4939" s="2" t="s">
        <v>12977</v>
      </c>
      <c r="C4939" s="2" t="s">
        <v>12977</v>
      </c>
      <c r="D4939" s="4" t="str">
        <f>vlookup(A4939, Sheet2!D:E, 2, 0)</f>
        <v>control</v>
      </c>
      <c r="E4939" s="4" t="str">
        <f>IFERROR(__xludf.DUMMYFUNCTION("if(H4939=""pays"",vlookup(REGEXEXTRACT(C4939, ""🏘️ \w+ \w+ (.*) ✅""),'Country prepositions'!A:B, 2, 0) &amp; "" "" &amp; REGEXEXTRACT(C4939, ""🏘️ \w+ \w+ (.*) ✅"") ,  if(H4939=""quartier"",vlookup(REGEXEXTRACT(C4939, ""🏘️ \w+ \w+ (.*) ✅""),'Quartier prepositio"&amp;"ns'!A:E, 5, 0) ,  if(H4939=""region"",vlookup(REGEXEXTRACT(C4939, ""🏘️ \w+ \w+ (.*) ✅""),'Region prepositions'!B:F, 5, 0),  REGEXEXTRACT(C4939, ""🏘️ \w+ \w+ (.*) ✅""))))"),"#N/A")</f>
        <v>#N/A</v>
      </c>
      <c r="I4939" s="4" t="str">
        <f>IFERROR(__xludf.DUMMYFUNCTION("if(D4939=""variant"",  substitute(filter(Templates!E:E, Templates!A:A = F4939, Templates!B:B = G4939, Templates!C:C = H4939), ""{{}}"", E4939), B4939)"),"Louer appartement Unterbach BE: Trouvez le bien immobilier qui correspond idéalement à vos désirs sur ImmoScout24 - La plateforme de l'immobilier en Suisse.")</f>
        <v>Louer appartement Unterbach BE: Trouvez le bien immobilier qui correspond idéalement à vos désirs sur ImmoScout24 - La plateforme de l'immobilier en Suisse.</v>
      </c>
    </row>
    <row r="4940" hidden="1">
      <c r="A4940" s="5" t="s">
        <v>12978</v>
      </c>
      <c r="B4940" s="2" t="s">
        <v>12979</v>
      </c>
      <c r="C4940" s="2" t="s">
        <v>12979</v>
      </c>
      <c r="D4940" s="4" t="str">
        <f>vlookup(A4940, Sheet2!D:E, 2, 0)</f>
        <v>control</v>
      </c>
      <c r="E4940" s="4" t="str">
        <f>IFERROR(__xludf.DUMMYFUNCTION("if(H4940=""pays"",vlookup(REGEXEXTRACT(C4940, ""🏘️ \w+ \w+ (.*) ✅""),'Country prepositions'!A:B, 2, 0) &amp; "" "" &amp; REGEXEXTRACT(C4940, ""🏘️ \w+ \w+ (.*) ✅"") ,  if(H4940=""quartier"",vlookup(REGEXEXTRACT(C4940, ""🏘️ \w+ \w+ (.*) ✅""),'Quartier prepositio"&amp;"ns'!A:E, 5, 0) ,  if(H4940=""region"",vlookup(REGEXEXTRACT(C4940, ""🏘️ \w+ \w+ (.*) ✅""),'Region prepositions'!B:F, 5, 0),  REGEXEXTRACT(C4940, ""🏘️ \w+ \w+ (.*) ✅""))))"),"#N/A")</f>
        <v>#N/A</v>
      </c>
      <c r="I4940" s="4" t="str">
        <f>IFERROR(__xludf.DUMMYFUNCTION("if(D4940=""variant"",  substitute(filter(Templates!E:E, Templates!A:A = F4940, Templates!B:B = G4940, Templates!C:C = H4940), ""{{}}"", E4940), B4940)"),"Louer appartement Leissigen: Trouvez le bien immobilier qui correspond idéalement à vos désirs sur ImmoScout24 - La plateforme de l'immobilier en Suisse.")</f>
        <v>Louer appartement Leissigen: Trouvez le bien immobilier qui correspond idéalement à vos désirs sur ImmoScout24 - La plateforme de l'immobilier en Suisse.</v>
      </c>
    </row>
    <row r="4941" hidden="1">
      <c r="A4941" s="5" t="s">
        <v>12980</v>
      </c>
      <c r="B4941" s="2" t="s">
        <v>12981</v>
      </c>
      <c r="C4941" s="2" t="s">
        <v>12981</v>
      </c>
      <c r="D4941" s="4" t="str">
        <f>vlookup(A4941, Sheet2!D:E, 2, 0)</f>
        <v>control</v>
      </c>
      <c r="E4941" s="4" t="str">
        <f>IFERROR(__xludf.DUMMYFUNCTION("if(H4941=""pays"",vlookup(REGEXEXTRACT(C4941, ""🏘️ \w+ \w+ (.*) ✅""),'Country prepositions'!A:B, 2, 0) &amp; "" "" &amp; REGEXEXTRACT(C4941, ""🏘️ \w+ \w+ (.*) ✅"") ,  if(H4941=""quartier"",vlookup(REGEXEXTRACT(C4941, ""🏘️ \w+ \w+ (.*) ✅""),'Quartier prepositio"&amp;"ns'!A:E, 5, 0) ,  if(H4941=""region"",vlookup(REGEXEXTRACT(C4941, ""🏘️ \w+ \w+ (.*) ✅""),'Region prepositions'!B:F, 5, 0),  REGEXEXTRACT(C4941, ""🏘️ \w+ \w+ (.*) ✅""))))"),"#N/A")</f>
        <v>#N/A</v>
      </c>
      <c r="I4941" s="4" t="str">
        <f>IFERROR(__xludf.DUMMYFUNCTION("if(D4941=""variant"",  substitute(filter(Templates!E:E, Templates!A:A = F4941, Templates!B:B = G4941, Templates!C:C = H4941), ""{{}}"", E4941), B4941)"),"Vendre maison Prévonloup: Trouvez le bien immobilier qui correspond idéalement à vos désirs sur ImmoScout24 - La plateforme de l'immobilier en Suisse.")</f>
        <v>Vendre maison Prévonloup: Trouvez le bien immobilier qui correspond idéalement à vos désirs sur ImmoScout24 - La plateforme de l'immobilier en Suisse.</v>
      </c>
    </row>
    <row r="4942" hidden="1">
      <c r="A4942" s="5" t="s">
        <v>12982</v>
      </c>
      <c r="B4942" s="2" t="s">
        <v>12983</v>
      </c>
      <c r="C4942" s="2" t="s">
        <v>12983</v>
      </c>
      <c r="D4942" s="4" t="str">
        <f>vlookup(A4942, Sheet2!D:E, 2, 0)</f>
        <v>control</v>
      </c>
      <c r="E4942" s="4" t="str">
        <f>IFERROR(__xludf.DUMMYFUNCTION("if(H4942=""pays"",vlookup(REGEXEXTRACT(C4942, ""🏘️ \w+ \w+ (.*) ✅""),'Country prepositions'!A:B, 2, 0) &amp; "" "" &amp; REGEXEXTRACT(C4942, ""🏘️ \w+ \w+ (.*) ✅"") ,  if(H4942=""quartier"",vlookup(REGEXEXTRACT(C4942, ""🏘️ \w+ \w+ (.*) ✅""),'Quartier prepositio"&amp;"ns'!A:E, 5, 0) ,  if(H4942=""region"",vlookup(REGEXEXTRACT(C4942, ""🏘️ \w+ \w+ (.*) ✅""),'Region prepositions'!B:F, 5, 0),  REGEXEXTRACT(C4942, ""🏘️ \w+ \w+ (.*) ✅""))))"),"#N/A")</f>
        <v>#N/A</v>
      </c>
      <c r="I4942" s="4" t="str">
        <f>IFERROR(__xludf.DUMMYFUNCTION("if(D4942=""variant"",  substitute(filter(Templates!E:E, Templates!A:A = F4942, Templates!B:B = G4942, Templates!C:C = H4942), ""{{}}"", E4942), B4942)"),"Vendre maison St-Martin VS: Trouvez le bien immobilier qui correspond idéalement à vos désirs sur ImmoScout24 - La plateforme de l'immobilier en Suisse.")</f>
        <v>Vendre maison St-Martin VS: Trouvez le bien immobilier qui correspond idéalement à vos désirs sur ImmoScout24 - La plateforme de l'immobilier en Suisse.</v>
      </c>
    </row>
    <row r="4943" hidden="1">
      <c r="A4943" s="5" t="s">
        <v>12984</v>
      </c>
      <c r="B4943" s="2" t="s">
        <v>12985</v>
      </c>
      <c r="C4943" s="2" t="s">
        <v>12985</v>
      </c>
      <c r="D4943" s="4" t="str">
        <f>vlookup(A4943, Sheet2!D:E, 2, 0)</f>
        <v>control</v>
      </c>
      <c r="E4943" s="4" t="str">
        <f>IFERROR(__xludf.DUMMYFUNCTION("if(H4943=""pays"",vlookup(REGEXEXTRACT(C4943, ""🏘️ \w+ \w+ (.*) ✅""),'Country prepositions'!A:B, 2, 0) &amp; "" "" &amp; REGEXEXTRACT(C4943, ""🏘️ \w+ \w+ (.*) ✅"") ,  if(H4943=""quartier"",vlookup(REGEXEXTRACT(C4943, ""🏘️ \w+ \w+ (.*) ✅""),'Quartier prepositio"&amp;"ns'!A:E, 5, 0) ,  if(H4943=""region"",vlookup(REGEXEXTRACT(C4943, ""🏘️ \w+ \w+ (.*) ✅""),'Region prepositions'!B:F, 5, 0),  REGEXEXTRACT(C4943, ""🏘️ \w+ \w+ (.*) ✅""))))"),"#N/A")</f>
        <v>#N/A</v>
      </c>
      <c r="I4943" s="4" t="str">
        <f>IFERROR(__xludf.DUMMYFUNCTION("if(D4943=""variant"",  substitute(filter(Templates!E:E, Templates!A:A = F4943, Templates!B:B = G4943, Templates!C:C = H4943), ""{{}}"", E4943), B4943)"),"Vendre maison La Neuveville: Trouvez le bien immobilier qui correspond idéalement à vos désirs sur ImmoScout24 - La plateforme de l'immobilier en Suisse.")</f>
        <v>Vendre maison La Neuveville: Trouvez le bien immobilier qui correspond idéalement à vos désirs sur ImmoScout24 - La plateforme de l'immobilier en Suisse.</v>
      </c>
    </row>
    <row r="4944" hidden="1">
      <c r="A4944" s="5" t="s">
        <v>12986</v>
      </c>
      <c r="B4944" s="2" t="s">
        <v>12987</v>
      </c>
      <c r="C4944" s="2" t="s">
        <v>12987</v>
      </c>
      <c r="D4944" s="4" t="str">
        <f>vlookup(A4944, Sheet2!D:E, 2, 0)</f>
        <v>control</v>
      </c>
      <c r="E4944" s="4" t="str">
        <f>IFERROR(__xludf.DUMMYFUNCTION("if(H4944=""pays"",vlookup(REGEXEXTRACT(C4944, ""🏘️ \w+ \w+ (.*) ✅""),'Country prepositions'!A:B, 2, 0) &amp; "" "" &amp; REGEXEXTRACT(C4944, ""🏘️ \w+ \w+ (.*) ✅"") ,  if(H4944=""quartier"",vlookup(REGEXEXTRACT(C4944, ""🏘️ \w+ \w+ (.*) ✅""),'Quartier prepositio"&amp;"ns'!A:E, 5, 0) ,  if(H4944=""region"",vlookup(REGEXEXTRACT(C4944, ""🏘️ \w+ \w+ (.*) ✅""),'Region prepositions'!B:F, 5, 0),  REGEXEXTRACT(C4944, ""🏘️ \w+ \w+ (.*) ✅""))))"),"#N/A")</f>
        <v>#N/A</v>
      </c>
      <c r="I4944" s="4" t="str">
        <f>IFERROR(__xludf.DUMMYFUNCTION("if(D4944=""variant"",  substitute(filter(Templates!E:E, Templates!A:A = F4944, Templates!B:B = G4944, Templates!C:C = H4944), ""{{}}"", E4944), B4944)"),"Vendre appartement Biel/Bienne: Trouvez le bien immobilier qui correspond idéalement à vos désirs sur ImmoScout24 - La plateforme de l'immobilier en Suisse.")</f>
        <v>Vendre appartement Biel/Bienne: Trouvez le bien immobilier qui correspond idéalement à vos désirs sur ImmoScout24 - La plateforme de l'immobilier en Suisse.</v>
      </c>
    </row>
    <row r="4945" hidden="1">
      <c r="A4945" s="5" t="s">
        <v>12988</v>
      </c>
      <c r="B4945" s="2" t="s">
        <v>12989</v>
      </c>
      <c r="C4945" s="2" t="s">
        <v>12989</v>
      </c>
      <c r="D4945" s="4" t="str">
        <f>vlookup(A4945, Sheet2!D:E, 2, 0)</f>
        <v>control</v>
      </c>
      <c r="E4945" s="4" t="str">
        <f>IFERROR(__xludf.DUMMYFUNCTION("if(H4945=""pays"",vlookup(REGEXEXTRACT(C4945, ""🏘️ \w+ \w+ (.*) ✅""),'Country prepositions'!A:B, 2, 0) &amp; "" "" &amp; REGEXEXTRACT(C4945, ""🏘️ \w+ \w+ (.*) ✅"") ,  if(H4945=""quartier"",vlookup(REGEXEXTRACT(C4945, ""🏘️ \w+ \w+ (.*) ✅""),'Quartier prepositio"&amp;"ns'!A:E, 5, 0) ,  if(H4945=""region"",vlookup(REGEXEXTRACT(C4945, ""🏘️ \w+ \w+ (.*) ✅""),'Region prepositions'!B:F, 5, 0),  REGEXEXTRACT(C4945, ""🏘️ \w+ \w+ (.*) ✅""))))"),"#N/A")</f>
        <v>#N/A</v>
      </c>
      <c r="I4945" s="4" t="str">
        <f>IFERROR(__xludf.DUMMYFUNCTION("if(D4945=""variant"",  substitute(filter(Templates!E:E, Templates!A:A = F4945, Templates!B:B = G4945, Templates!C:C = H4945), ""{{}}"", E4945), B4945)"),"Louer appartement Genève: Trouvez le bien immobilier qui correspond idéalement à vos désirs sur ImmoScout24 - La plateforme de l'immobilier en Suisse.")</f>
        <v>Louer appartement Genève: Trouvez le bien immobilier qui correspond idéalement à vos désirs sur ImmoScout24 - La plateforme de l'immobilier en Suisse.</v>
      </c>
    </row>
    <row r="4946" hidden="1">
      <c r="A4946" s="5" t="s">
        <v>12990</v>
      </c>
      <c r="B4946" s="2" t="s">
        <v>12991</v>
      </c>
      <c r="C4946" s="2" t="s">
        <v>12991</v>
      </c>
      <c r="D4946" s="4" t="str">
        <f>vlookup(A4946, Sheet2!D:E, 2, 0)</f>
        <v>control</v>
      </c>
      <c r="E4946" s="4" t="str">
        <f>IFERROR(__xludf.DUMMYFUNCTION("if(H4946=""pays"",vlookup(REGEXEXTRACT(C4946, ""🏘️ \w+ \w+ (.*) ✅""),'Country prepositions'!A:B, 2, 0) &amp; "" "" &amp; REGEXEXTRACT(C4946, ""🏘️ \w+ \w+ (.*) ✅"") ,  if(H4946=""quartier"",vlookup(REGEXEXTRACT(C4946, ""🏘️ \w+ \w+ (.*) ✅""),'Quartier prepositio"&amp;"ns'!A:E, 5, 0) ,  if(H4946=""region"",vlookup(REGEXEXTRACT(C4946, ""🏘️ \w+ \w+ (.*) ✅""),'Region prepositions'!B:F, 5, 0),  REGEXEXTRACT(C4946, ""🏘️ \w+ \w+ (.*) ✅""))))"),"#N/A")</f>
        <v>#N/A</v>
      </c>
      <c r="I4946" s="4" t="str">
        <f>IFERROR(__xludf.DUMMYFUNCTION("if(D4946=""variant"",  substitute(filter(Templates!E:E, Templates!A:A = F4946, Templates!B:B = G4946, Templates!C:C = H4946), ""{{}}"", E4946), B4946)"),"Louer appartement Stabio: Trouvez le bien immobilier qui correspond idéalement à vos désirs sur ImmoScout24 - La plateforme de l'immobilier en Suisse.")</f>
        <v>Louer appartement Stabio: Trouvez le bien immobilier qui correspond idéalement à vos désirs sur ImmoScout24 - La plateforme de l'immobilier en Suisse.</v>
      </c>
    </row>
    <row r="4947" hidden="1">
      <c r="A4947" s="5" t="s">
        <v>12992</v>
      </c>
      <c r="B4947" s="2" t="s">
        <v>12993</v>
      </c>
      <c r="C4947" s="2" t="s">
        <v>12993</v>
      </c>
      <c r="D4947" s="4" t="str">
        <f>vlookup(A4947, Sheet2!D:E, 2, 0)</f>
        <v>control</v>
      </c>
      <c r="E4947" s="4" t="str">
        <f>IFERROR(__xludf.DUMMYFUNCTION("if(H4947=""pays"",vlookup(REGEXEXTRACT(C4947, ""🏘️ \w+ \w+ (.*) ✅""),'Country prepositions'!A:B, 2, 0) &amp; "" "" &amp; REGEXEXTRACT(C4947, ""🏘️ \w+ \w+ (.*) ✅"") ,  if(H4947=""quartier"",vlookup(REGEXEXTRACT(C4947, ""🏘️ \w+ \w+ (.*) ✅""),'Quartier prepositio"&amp;"ns'!A:E, 5, 0) ,  if(H4947=""region"",vlookup(REGEXEXTRACT(C4947, ""🏘️ \w+ \w+ (.*) ✅""),'Region prepositions'!B:F, 5, 0),  REGEXEXTRACT(C4947, ""🏘️ \w+ \w+ (.*) ✅""))))"),"#N/A")</f>
        <v>#N/A</v>
      </c>
      <c r="I4947" s="4" t="str">
        <f>IFERROR(__xludf.DUMMYFUNCTION("if(D4947=""variant"",  substitute(filter(Templates!E:E, Templates!A:A = F4947, Templates!B:B = G4947, Templates!C:C = H4947), ""{{}}"", E4947), B4947)"),"Vendre maison Sumvitg: Trouvez le bien immobilier qui correspond idéalement à vos désirs sur ImmoScout24 - La plateforme de l'immobilier en Suisse.")</f>
        <v>Vendre maison Sumvitg: Trouvez le bien immobilier qui correspond idéalement à vos désirs sur ImmoScout24 - La plateforme de l'immobilier en Suisse.</v>
      </c>
    </row>
    <row r="4948" hidden="1">
      <c r="A4948" s="5" t="s">
        <v>12994</v>
      </c>
      <c r="B4948" s="2" t="s">
        <v>12995</v>
      </c>
      <c r="C4948" s="2" t="s">
        <v>12995</v>
      </c>
      <c r="D4948" s="4" t="str">
        <f>vlookup(A4948, Sheet2!D:E, 2, 0)</f>
        <v>control</v>
      </c>
      <c r="E4948" s="4" t="str">
        <f>IFERROR(__xludf.DUMMYFUNCTION("if(H4948=""pays"",vlookup(REGEXEXTRACT(C4948, ""🏘️ \w+ \w+ (.*) ✅""),'Country prepositions'!A:B, 2, 0) &amp; "" "" &amp; REGEXEXTRACT(C4948, ""🏘️ \w+ \w+ (.*) ✅"") ,  if(H4948=""quartier"",vlookup(REGEXEXTRACT(C4948, ""🏘️ \w+ \w+ (.*) ✅""),'Quartier prepositio"&amp;"ns'!A:E, 5, 0) ,  if(H4948=""region"",vlookup(REGEXEXTRACT(C4948, ""🏘️ \w+ \w+ (.*) ✅""),'Region prepositions'!B:F, 5, 0),  REGEXEXTRACT(C4948, ""🏘️ \w+ \w+ (.*) ✅""))))"),"#N/A")</f>
        <v>#N/A</v>
      </c>
      <c r="I4948" s="4" t="str">
        <f>IFERROR(__xludf.DUMMYFUNCTION("if(D4948=""variant"",  substitute(filter(Templates!E:E, Templates!A:A = F4948, Templates!B:B = G4948, Templates!C:C = H4948), ""{{}}"", E4948), B4948)"),"Vendre appartement Chavannes-des-Bois: Trouvez le bien immobilier qui correspond idéalement à vos désirs sur ImmoScout24 - La plateforme de l'immobilier en Suisse.")</f>
        <v>Vendre appartement Chavannes-des-Bois: Trouvez le bien immobilier qui correspond idéalement à vos désirs sur ImmoScout24 - La plateforme de l'immobilier en Suisse.</v>
      </c>
    </row>
    <row r="4949" hidden="1">
      <c r="A4949" s="5" t="s">
        <v>12996</v>
      </c>
      <c r="B4949" s="2" t="s">
        <v>12997</v>
      </c>
      <c r="C4949" s="2" t="s">
        <v>12997</v>
      </c>
      <c r="D4949" s="4" t="str">
        <f>vlookup(A4949, Sheet2!D:E, 2, 0)</f>
        <v>control</v>
      </c>
      <c r="E4949" s="4" t="str">
        <f>IFERROR(__xludf.DUMMYFUNCTION("if(H4949=""pays"",vlookup(REGEXEXTRACT(C4949, ""🏘️ \w+ \w+ (.*) ✅""),'Country prepositions'!A:B, 2, 0) &amp; "" "" &amp; REGEXEXTRACT(C4949, ""🏘️ \w+ \w+ (.*) ✅"") ,  if(H4949=""quartier"",vlookup(REGEXEXTRACT(C4949, ""🏘️ \w+ \w+ (.*) ✅""),'Quartier prepositio"&amp;"ns'!A:E, 5, 0) ,  if(H4949=""region"",vlookup(REGEXEXTRACT(C4949, ""🏘️ \w+ \w+ (.*) ✅""),'Region prepositions'!B:F, 5, 0),  REGEXEXTRACT(C4949, ""🏘️ \w+ \w+ (.*) ✅""))))"),"#N/A")</f>
        <v>#N/A</v>
      </c>
      <c r="I4949" s="4" t="str">
        <f>IFERROR(__xludf.DUMMYFUNCTION("if(D4949=""variant"",  substitute(filter(Templates!E:E, Templates!A:A = F4949, Templates!B:B = G4949, Templates!C:C = H4949), ""{{}}"", E4949), B4949)"),"Louer appartement Gelfingen: Trouvez le bien immobilier qui correspond idéalement à vos désirs sur ImmoScout24 - La plateforme de l'immobilier en Suisse.")</f>
        <v>Louer appartement Gelfingen: Trouvez le bien immobilier qui correspond idéalement à vos désirs sur ImmoScout24 - La plateforme de l'immobilier en Suisse.</v>
      </c>
    </row>
    <row r="4950" hidden="1">
      <c r="A4950" s="5" t="s">
        <v>12998</v>
      </c>
      <c r="B4950" s="2" t="s">
        <v>12999</v>
      </c>
      <c r="C4950" s="2" t="s">
        <v>12999</v>
      </c>
      <c r="D4950" s="4" t="str">
        <f>vlookup(A4950, Sheet2!D:E, 2, 0)</f>
        <v>control</v>
      </c>
      <c r="E4950" s="4" t="str">
        <f>IFERROR(__xludf.DUMMYFUNCTION("if(H4950=""pays"",vlookup(REGEXEXTRACT(C4950, ""🏘️ \w+ \w+ (.*) ✅""),'Country prepositions'!A:B, 2, 0) &amp; "" "" &amp; REGEXEXTRACT(C4950, ""🏘️ \w+ \w+ (.*) ✅"") ,  if(H4950=""quartier"",vlookup(REGEXEXTRACT(C4950, ""🏘️ \w+ \w+ (.*) ✅""),'Quartier prepositio"&amp;"ns'!A:E, 5, 0) ,  if(H4950=""region"",vlookup(REGEXEXTRACT(C4950, ""🏘️ \w+ \w+ (.*) ✅""),'Region prepositions'!B:F, 5, 0),  REGEXEXTRACT(C4950, ""🏘️ \w+ \w+ (.*) ✅""))))"),"#N/A")</f>
        <v>#N/A</v>
      </c>
      <c r="I4950" s="4" t="str">
        <f>IFERROR(__xludf.DUMMYFUNCTION("if(D4950=""variant"",  substitute(filter(Templates!E:E, Templates!A:A = F4950, Templates!B:B = G4950, Templates!C:C = H4950), ""{{}}"", E4950), B4950)"),"Louer maison Develier: Trouvez le bien immobilier qui correspond idéalement à vos désirs sur ImmoScout24 - La plateforme de l'immobilier en Suisse.")</f>
        <v>Louer maison Develier: Trouvez le bien immobilier qui correspond idéalement à vos désirs sur ImmoScout24 - La plateforme de l'immobilier en Suisse.</v>
      </c>
    </row>
    <row r="4951" hidden="1">
      <c r="A4951" s="5" t="s">
        <v>13000</v>
      </c>
      <c r="B4951" s="2" t="s">
        <v>13001</v>
      </c>
      <c r="C4951" s="2" t="s">
        <v>13001</v>
      </c>
      <c r="D4951" s="4" t="str">
        <f>vlookup(A4951, Sheet2!D:E, 2, 0)</f>
        <v>control</v>
      </c>
      <c r="E4951" s="4" t="str">
        <f>IFERROR(__xludf.DUMMYFUNCTION("if(H4951=""pays"",vlookup(REGEXEXTRACT(C4951, ""🏘️ \w+ \w+ (.*) ✅""),'Country prepositions'!A:B, 2, 0) &amp; "" "" &amp; REGEXEXTRACT(C4951, ""🏘️ \w+ \w+ (.*) ✅"") ,  if(H4951=""quartier"",vlookup(REGEXEXTRACT(C4951, ""🏘️ \w+ \w+ (.*) ✅""),'Quartier prepositio"&amp;"ns'!A:E, 5, 0) ,  if(H4951=""region"",vlookup(REGEXEXTRACT(C4951, ""🏘️ \w+ \w+ (.*) ✅""),'Region prepositions'!B:F, 5, 0),  REGEXEXTRACT(C4951, ""🏘️ \w+ \w+ (.*) ✅""))))"),"#N/A")</f>
        <v>#N/A</v>
      </c>
      <c r="I4951" s="4" t="str">
        <f>IFERROR(__xludf.DUMMYFUNCTION("if(D4951=""variant"",  substitute(filter(Templates!E:E, Templates!A:A = F4951, Templates!B:B = G4951, Templates!C:C = H4951), ""{{}}"", E4951), B4951)"),"Louer appartement Fribourg Glane: Trouvez le bien immobilier qui correspond idéalement à vos désirs sur ImmoScout24 - La plateforme de l'immobilier en Suisse.")</f>
        <v>Louer appartement Fribourg Glane: Trouvez le bien immobilier qui correspond idéalement à vos désirs sur ImmoScout24 - La plateforme de l'immobilier en Suisse.</v>
      </c>
    </row>
    <row r="4952" hidden="1">
      <c r="A4952" s="5" t="s">
        <v>13002</v>
      </c>
      <c r="B4952" s="2" t="s">
        <v>13003</v>
      </c>
      <c r="C4952" s="2" t="s">
        <v>13003</v>
      </c>
      <c r="D4952" s="4" t="str">
        <f>vlookup(A4952, Sheet2!D:E, 2, 0)</f>
        <v>control</v>
      </c>
      <c r="E4952" s="4" t="str">
        <f>IFERROR(__xludf.DUMMYFUNCTION("if(H4952=""pays"",vlookup(REGEXEXTRACT(C4952, ""🏘️ \w+ \w+ (.*) ✅""),'Country prepositions'!A:B, 2, 0) &amp; "" "" &amp; REGEXEXTRACT(C4952, ""🏘️ \w+ \w+ (.*) ✅"") ,  if(H4952=""quartier"",vlookup(REGEXEXTRACT(C4952, ""🏘️ \w+ \w+ (.*) ✅""),'Quartier prepositio"&amp;"ns'!A:E, 5, 0) ,  if(H4952=""region"",vlookup(REGEXEXTRACT(C4952, ""🏘️ \w+ \w+ (.*) ✅""),'Region prepositions'!B:F, 5, 0),  REGEXEXTRACT(C4952, ""🏘️ \w+ \w+ (.*) ✅""))))"),"#N/A")</f>
        <v>#N/A</v>
      </c>
      <c r="I4952" s="4" t="str">
        <f>IFERROR(__xludf.DUMMYFUNCTION("if(D4952=""variant"",  substitute(filter(Templates!E:E, Templates!A:A = F4952, Templates!B:B = G4952, Templates!C:C = H4952), ""{{}}"", E4952), B4952)"),"Vendre maison Gingins: Trouvez le bien immobilier qui correspond idéalement à vos désirs sur ImmoScout24 - La plateforme de l'immobilier en Suisse.")</f>
        <v>Vendre maison Gingins: Trouvez le bien immobilier qui correspond idéalement à vos désirs sur ImmoScout24 - La plateforme de l'immobilier en Suisse.</v>
      </c>
    </row>
    <row r="4953" hidden="1">
      <c r="A4953" s="5" t="s">
        <v>13004</v>
      </c>
      <c r="B4953" s="2" t="s">
        <v>13005</v>
      </c>
      <c r="C4953" s="2" t="s">
        <v>13005</v>
      </c>
      <c r="D4953" s="4" t="str">
        <f>vlookup(A4953, Sheet2!D:E, 2, 0)</f>
        <v>control</v>
      </c>
      <c r="E4953" s="4" t="str">
        <f>IFERROR(__xludf.DUMMYFUNCTION("if(H4953=""pays"",vlookup(REGEXEXTRACT(C4953, ""🏘️ \w+ \w+ (.*) ✅""),'Country prepositions'!A:B, 2, 0) &amp; "" "" &amp; REGEXEXTRACT(C4953, ""🏘️ \w+ \w+ (.*) ✅"") ,  if(H4953=""quartier"",vlookup(REGEXEXTRACT(C4953, ""🏘️ \w+ \w+ (.*) ✅""),'Quartier prepositio"&amp;"ns'!A:E, 5, 0) ,  if(H4953=""region"",vlookup(REGEXEXTRACT(C4953, ""🏘️ \w+ \w+ (.*) ✅""),'Region prepositions'!B:F, 5, 0),  REGEXEXTRACT(C4953, ""🏘️ \w+ \w+ (.*) ✅""))))"),"#N/A")</f>
        <v>#N/A</v>
      </c>
      <c r="I4953" s="4" t="str">
        <f>IFERROR(__xludf.DUMMYFUNCTION("if(D4953=""variant"",  substitute(filter(Templates!E:E, Templates!A:A = F4953, Templates!B:B = G4953, Templates!C:C = H4953), ""{{}}"", E4953), B4953)"),"Louer maison Corcelles-près-Payerne: Trouvez le bien immobilier qui correspond idéalement à vos désirs sur ImmoScout24 - La plateforme de l'immobilier en Suisse.")</f>
        <v>Louer maison Corcelles-près-Payerne: Trouvez le bien immobilier qui correspond idéalement à vos désirs sur ImmoScout24 - La plateforme de l'immobilier en Suisse.</v>
      </c>
    </row>
    <row r="4954" hidden="1">
      <c r="A4954" s="5" t="s">
        <v>13006</v>
      </c>
      <c r="B4954" s="2" t="s">
        <v>13007</v>
      </c>
      <c r="C4954" s="2" t="s">
        <v>13007</v>
      </c>
      <c r="D4954" s="4" t="str">
        <f>vlookup(A4954, Sheet2!D:E, 2, 0)</f>
        <v>control</v>
      </c>
      <c r="E4954" s="4" t="str">
        <f>IFERROR(__xludf.DUMMYFUNCTION("if(H4954=""pays"",vlookup(REGEXEXTRACT(C4954, ""🏘️ \w+ \w+ (.*) ✅""),'Country prepositions'!A:B, 2, 0) &amp; "" "" &amp; REGEXEXTRACT(C4954, ""🏘️ \w+ \w+ (.*) ✅"") ,  if(H4954=""quartier"",vlookup(REGEXEXTRACT(C4954, ""🏘️ \w+ \w+ (.*) ✅""),'Quartier prepositio"&amp;"ns'!A:E, 5, 0) ,  if(H4954=""region"",vlookup(REGEXEXTRACT(C4954, ""🏘️ \w+ \w+ (.*) ✅""),'Region prepositions'!B:F, 5, 0),  REGEXEXTRACT(C4954, ""🏘️ \w+ \w+ (.*) ✅""))))"),"#N/A")</f>
        <v>#N/A</v>
      </c>
      <c r="I4954" s="4" t="str">
        <f>IFERROR(__xludf.DUMMYFUNCTION("if(D4954=""variant"",  substitute(filter(Templates!E:E, Templates!A:A = F4954, Templates!B:B = G4954, Templates!C:C = H4954), ""{{}}"", E4954), B4954)"),"Vendre appartement Glion: Trouvez le bien immobilier qui correspond idéalement à vos désirs sur ImmoScout24 - La plateforme de l'immobilier en Suisse.")</f>
        <v>Vendre appartement Glion: Trouvez le bien immobilier qui correspond idéalement à vos désirs sur ImmoScout24 - La plateforme de l'immobilier en Suisse.</v>
      </c>
    </row>
    <row r="4955" hidden="1">
      <c r="A4955" s="5" t="s">
        <v>13008</v>
      </c>
      <c r="B4955" s="2" t="s">
        <v>13009</v>
      </c>
      <c r="C4955" s="2" t="s">
        <v>13009</v>
      </c>
      <c r="D4955" s="4" t="str">
        <f>vlookup(A4955, Sheet2!D:E, 2, 0)</f>
        <v>control</v>
      </c>
      <c r="E4955" s="4" t="str">
        <f>IFERROR(__xludf.DUMMYFUNCTION("if(H4955=""pays"",vlookup(REGEXEXTRACT(C4955, ""🏘️ \w+ \w+ (.*) ✅""),'Country prepositions'!A:B, 2, 0) &amp; "" "" &amp; REGEXEXTRACT(C4955, ""🏘️ \w+ \w+ (.*) ✅"") ,  if(H4955=""quartier"",vlookup(REGEXEXTRACT(C4955, ""🏘️ \w+ \w+ (.*) ✅""),'Quartier prepositio"&amp;"ns'!A:E, 5, 0) ,  if(H4955=""region"",vlookup(REGEXEXTRACT(C4955, ""🏘️ \w+ \w+ (.*) ✅""),'Region prepositions'!B:F, 5, 0),  REGEXEXTRACT(C4955, ""🏘️ \w+ \w+ (.*) ✅""))))"),"#N/A")</f>
        <v>#N/A</v>
      </c>
      <c r="I4955" s="4" t="str">
        <f>IFERROR(__xludf.DUMMYFUNCTION("if(D4955=""variant"",  substitute(filter(Templates!E:E, Templates!A:A = F4955, Templates!B:B = G4955, Templates!C:C = H4955), ""{{}}"", E4955), B4955)"),"Louer maison Sornard (Nendaz): Trouvez le bien immobilier qui correspond idéalement à vos désirs sur ImmoScout24 - La plateforme de l'immobilier en Suisse.")</f>
        <v>Louer maison Sornard (Nendaz): Trouvez le bien immobilier qui correspond idéalement à vos désirs sur ImmoScout24 - La plateforme de l'immobilier en Suisse.</v>
      </c>
    </row>
    <row r="4956" hidden="1">
      <c r="A4956" s="5" t="s">
        <v>13010</v>
      </c>
      <c r="B4956" s="2" t="s">
        <v>13011</v>
      </c>
      <c r="C4956" s="2" t="s">
        <v>13011</v>
      </c>
      <c r="D4956" s="4" t="str">
        <f>vlookup(A4956, Sheet2!D:E, 2, 0)</f>
        <v>control</v>
      </c>
      <c r="E4956" s="4" t="str">
        <f>IFERROR(__xludf.DUMMYFUNCTION("if(H4956=""pays"",vlookup(REGEXEXTRACT(C4956, ""🏘️ \w+ \w+ (.*) ✅""),'Country prepositions'!A:B, 2, 0) &amp; "" "" &amp; REGEXEXTRACT(C4956, ""🏘️ \w+ \w+ (.*) ✅"") ,  if(H4956=""quartier"",vlookup(REGEXEXTRACT(C4956, ""🏘️ \w+ \w+ (.*) ✅""),'Quartier prepositio"&amp;"ns'!A:E, 5, 0) ,  if(H4956=""region"",vlookup(REGEXEXTRACT(C4956, ""🏘️ \w+ \w+ (.*) ✅""),'Region prepositions'!B:F, 5, 0),  REGEXEXTRACT(C4956, ""🏘️ \w+ \w+ (.*) ✅""))))"),"#N/A")</f>
        <v>#N/A</v>
      </c>
      <c r="I4956" s="4" t="str">
        <f>IFERROR(__xludf.DUMMYFUNCTION("if(D4956=""variant"",  substitute(filter(Templates!E:E, Templates!A:A = F4956, Templates!B:B = G4956, Templates!C:C = H4956), ""{{}}"", E4956), B4956)"),"Louer appartement Epagny: Trouvez le bien immobilier qui correspond idéalement à vos désirs sur ImmoScout24 - La plateforme de l'immobilier en Suisse.")</f>
        <v>Louer appartement Epagny: Trouvez le bien immobilier qui correspond idéalement à vos désirs sur ImmoScout24 - La plateforme de l'immobilier en Suisse.</v>
      </c>
    </row>
    <row r="4957" hidden="1">
      <c r="A4957" s="5" t="s">
        <v>13012</v>
      </c>
      <c r="B4957" s="2" t="s">
        <v>13013</v>
      </c>
      <c r="C4957" s="2" t="s">
        <v>13013</v>
      </c>
      <c r="D4957" s="4" t="str">
        <f>vlookup(A4957, Sheet2!D:E, 2, 0)</f>
        <v>control</v>
      </c>
      <c r="E4957" s="4" t="str">
        <f>IFERROR(__xludf.DUMMYFUNCTION("if(H4957=""pays"",vlookup(REGEXEXTRACT(C4957, ""🏘️ \w+ \w+ (.*) ✅""),'Country prepositions'!A:B, 2, 0) &amp; "" "" &amp; REGEXEXTRACT(C4957, ""🏘️ \w+ \w+ (.*) ✅"") ,  if(H4957=""quartier"",vlookup(REGEXEXTRACT(C4957, ""🏘️ \w+ \w+ (.*) ✅""),'Quartier prepositio"&amp;"ns'!A:E, 5, 0) ,  if(H4957=""region"",vlookup(REGEXEXTRACT(C4957, ""🏘️ \w+ \w+ (.*) ✅""),'Region prepositions'!B:F, 5, 0),  REGEXEXTRACT(C4957, ""🏘️ \w+ \w+ (.*) ✅""))))"),"#N/A")</f>
        <v>#N/A</v>
      </c>
      <c r="I4957" s="4" t="str">
        <f>IFERROR(__xludf.DUMMYFUNCTION("if(D4957=""variant"",  substitute(filter(Templates!E:E, Templates!A:A = F4957, Templates!B:B = G4957, Templates!C:C = H4957), ""{{}}"", E4957), B4957)"),"Louer appartement Chenaux: Trouvez le bien immobilier qui correspond idéalement à vos désirs sur ImmoScout24 - La plateforme de l'immobilier en Suisse.")</f>
        <v>Louer appartement Chenaux: Trouvez le bien immobilier qui correspond idéalement à vos désirs sur ImmoScout24 - La plateforme de l'immobilier en Suisse.</v>
      </c>
    </row>
    <row r="4958" hidden="1">
      <c r="A4958" s="5" t="s">
        <v>13014</v>
      </c>
      <c r="B4958" s="2" t="s">
        <v>13015</v>
      </c>
      <c r="C4958" s="2" t="s">
        <v>13015</v>
      </c>
      <c r="D4958" s="4" t="str">
        <f>vlookup(A4958, Sheet2!D:E, 2, 0)</f>
        <v>control</v>
      </c>
      <c r="E4958" s="4" t="str">
        <f>IFERROR(__xludf.DUMMYFUNCTION("if(H4958=""pays"",vlookup(REGEXEXTRACT(C4958, ""🏘️ \w+ \w+ (.*) ✅""),'Country prepositions'!A:B, 2, 0) &amp; "" "" &amp; REGEXEXTRACT(C4958, ""🏘️ \w+ \w+ (.*) ✅"") ,  if(H4958=""quartier"",vlookup(REGEXEXTRACT(C4958, ""🏘️ \w+ \w+ (.*) ✅""),'Quartier prepositio"&amp;"ns'!A:E, 5, 0) ,  if(H4958=""region"",vlookup(REGEXEXTRACT(C4958, ""🏘️ \w+ \w+ (.*) ✅""),'Region prepositions'!B:F, 5, 0),  REGEXEXTRACT(C4958, ""🏘️ \w+ \w+ (.*) ✅""))))"),"#N/A")</f>
        <v>#N/A</v>
      </c>
      <c r="I4958" s="4" t="str">
        <f>IFERROR(__xludf.DUMMYFUNCTION("if(D4958=""variant"",  substitute(filter(Templates!E:E, Templates!A:A = F4958, Templates!B:B = G4958, Templates!C:C = H4958), ""{{}}"", E4958), B4958)"),"Vendre maison Casima: Trouvez le bien immobilier qui correspond idéalement à vos désirs sur ImmoScout24 - La plateforme de l'immobilier en Suisse.")</f>
        <v>Vendre maison Casima: Trouvez le bien immobilier qui correspond idéalement à vos désirs sur ImmoScout24 - La plateforme de l'immobilier en Suisse.</v>
      </c>
    </row>
    <row r="4959" hidden="1">
      <c r="A4959" s="5" t="s">
        <v>13016</v>
      </c>
      <c r="B4959" s="2" t="s">
        <v>13017</v>
      </c>
      <c r="C4959" s="2" t="s">
        <v>13017</v>
      </c>
      <c r="D4959" s="4" t="str">
        <f>vlookup(A4959, Sheet2!D:E, 2, 0)</f>
        <v>control</v>
      </c>
      <c r="E4959" s="4" t="str">
        <f>IFERROR(__xludf.DUMMYFUNCTION("if(H4959=""pays"",vlookup(REGEXEXTRACT(C4959, ""🏘️ \w+ \w+ (.*) ✅""),'Country prepositions'!A:B, 2, 0) &amp; "" "" &amp; REGEXEXTRACT(C4959, ""🏘️ \w+ \w+ (.*) ✅"") ,  if(H4959=""quartier"",vlookup(REGEXEXTRACT(C4959, ""🏘️ \w+ \w+ (.*) ✅""),'Quartier prepositio"&amp;"ns'!A:E, 5, 0) ,  if(H4959=""region"",vlookup(REGEXEXTRACT(C4959, ""🏘️ \w+ \w+ (.*) ✅""),'Region prepositions'!B:F, 5, 0),  REGEXEXTRACT(C4959, ""🏘️ \w+ \w+ (.*) ✅""))))"),"#N/A")</f>
        <v>#N/A</v>
      </c>
      <c r="I4959" s="4" t="str">
        <f>IFERROR(__xludf.DUMMYFUNCTION("if(D4959=""variant"",  substitute(filter(Templates!E:E, Templates!A:A = F4959, Templates!B:B = G4959, Templates!C:C = H4959), ""{{}}"", E4959), B4959)"),"Vendre maison Corbières: Trouvez le bien immobilier qui correspond idéalement à vos désirs sur ImmoScout24 - La plateforme de l'immobilier en Suisse.")</f>
        <v>Vendre maison Corbières: Trouvez le bien immobilier qui correspond idéalement à vos désirs sur ImmoScout24 - La plateforme de l'immobilier en Suisse.</v>
      </c>
    </row>
    <row r="4960" hidden="1">
      <c r="A4960" s="5" t="s">
        <v>13018</v>
      </c>
      <c r="B4960" s="2" t="s">
        <v>13019</v>
      </c>
      <c r="C4960" s="2" t="s">
        <v>13019</v>
      </c>
      <c r="D4960" s="4" t="str">
        <f>vlookup(A4960, Sheet2!D:E, 2, 0)</f>
        <v>control</v>
      </c>
      <c r="E4960" s="4" t="str">
        <f>IFERROR(__xludf.DUMMYFUNCTION("if(H4960=""pays"",vlookup(REGEXEXTRACT(C4960, ""🏘️ \w+ \w+ (.*) ✅""),'Country prepositions'!A:B, 2, 0) &amp; "" "" &amp; REGEXEXTRACT(C4960, ""🏘️ \w+ \w+ (.*) ✅"") ,  if(H4960=""quartier"",vlookup(REGEXEXTRACT(C4960, ""🏘️ \w+ \w+ (.*) ✅""),'Quartier prepositio"&amp;"ns'!A:E, 5, 0) ,  if(H4960=""region"",vlookup(REGEXEXTRACT(C4960, ""🏘️ \w+ \w+ (.*) ✅""),'Region prepositions'!B:F, 5, 0),  REGEXEXTRACT(C4960, ""🏘️ \w+ \w+ (.*) ✅""))))"),"#N/A")</f>
        <v>#N/A</v>
      </c>
      <c r="I4960" s="4" t="str">
        <f>IFERROR(__xludf.DUMMYFUNCTION("if(D4960=""variant"",  substitute(filter(Templates!E:E, Templates!A:A = F4960, Templates!B:B = G4960, Templates!C:C = H4960), ""{{}}"", E4960), B4960)"),"Vendre maison Orbe: Trouvez le bien immobilier qui correspond idéalement à vos désirs sur ImmoScout24 - La plateforme de l'immobilier en Suisse.")</f>
        <v>Vendre maison Orbe: Trouvez le bien immobilier qui correspond idéalement à vos désirs sur ImmoScout24 - La plateforme de l'immobilier en Suisse.</v>
      </c>
    </row>
    <row r="4961" hidden="1">
      <c r="A4961" s="5" t="s">
        <v>13020</v>
      </c>
      <c r="B4961" s="2" t="s">
        <v>13021</v>
      </c>
      <c r="C4961" s="2" t="s">
        <v>13021</v>
      </c>
      <c r="D4961" s="4" t="str">
        <f>vlookup(A4961, Sheet2!D:E, 2, 0)</f>
        <v>control</v>
      </c>
      <c r="E4961" s="4" t="str">
        <f>IFERROR(__xludf.DUMMYFUNCTION("if(H4961=""pays"",vlookup(REGEXEXTRACT(C4961, ""🏘️ \w+ \w+ (.*) ✅""),'Country prepositions'!A:B, 2, 0) &amp; "" "" &amp; REGEXEXTRACT(C4961, ""🏘️ \w+ \w+ (.*) ✅"") ,  if(H4961=""quartier"",vlookup(REGEXEXTRACT(C4961, ""🏘️ \w+ \w+ (.*) ✅""),'Quartier prepositio"&amp;"ns'!A:E, 5, 0) ,  if(H4961=""region"",vlookup(REGEXEXTRACT(C4961, ""🏘️ \w+ \w+ (.*) ✅""),'Region prepositions'!B:F, 5, 0),  REGEXEXTRACT(C4961, ""🏘️ \w+ \w+ (.*) ✅""))))"),"#N/A")</f>
        <v>#N/A</v>
      </c>
      <c r="I4961" s="4" t="str">
        <f>IFERROR(__xludf.DUMMYFUNCTION("if(D4961=""variant"",  substitute(filter(Templates!E:E, Templates!A:A = F4961, Templates!B:B = G4961, Templates!C:C = H4961), ""{{}}"", E4961), B4961)"),"Louer appartement Soral: Trouvez le bien immobilier qui correspond idéalement à vos désirs sur ImmoScout24 - La plateforme de l'immobilier en Suisse.")</f>
        <v>Louer appartement Soral: Trouvez le bien immobilier qui correspond idéalement à vos désirs sur ImmoScout24 - La plateforme de l'immobilier en Suisse.</v>
      </c>
    </row>
    <row r="4962" hidden="1">
      <c r="A4962" s="5" t="s">
        <v>13022</v>
      </c>
      <c r="B4962" s="2" t="s">
        <v>13023</v>
      </c>
      <c r="C4962" s="2" t="s">
        <v>13023</v>
      </c>
      <c r="D4962" s="4" t="str">
        <f>vlookup(A4962, Sheet2!D:E, 2, 0)</f>
        <v>control</v>
      </c>
      <c r="E4962" s="4" t="str">
        <f>IFERROR(__xludf.DUMMYFUNCTION("if(H4962=""pays"",vlookup(REGEXEXTRACT(C4962, ""🏘️ \w+ \w+ (.*) ✅""),'Country prepositions'!A:B, 2, 0) &amp; "" "" &amp; REGEXEXTRACT(C4962, ""🏘️ \w+ \w+ (.*) ✅"") ,  if(H4962=""quartier"",vlookup(REGEXEXTRACT(C4962, ""🏘️ \w+ \w+ (.*) ✅""),'Quartier prepositio"&amp;"ns'!A:E, 5, 0) ,  if(H4962=""region"",vlookup(REGEXEXTRACT(C4962, ""🏘️ \w+ \w+ (.*) ✅""),'Region prepositions'!B:F, 5, 0),  REGEXEXTRACT(C4962, ""🏘️ \w+ \w+ (.*) ✅""))))"),"#N/A")</f>
        <v>#N/A</v>
      </c>
      <c r="I4962" s="4" t="str">
        <f>IFERROR(__xludf.DUMMYFUNCTION("if(D4962=""variant"",  substitute(filter(Templates!E:E, Templates!A:A = F4962, Templates!B:B = G4962, Templates!C:C = H4962), ""{{}}"", E4962), B4962)"),"Vendre maison Corgémont: Trouvez le bien immobilier qui correspond idéalement à vos désirs sur ImmoScout24 - La plateforme de l'immobilier en Suisse.")</f>
        <v>Vendre maison Corgémont: Trouvez le bien immobilier qui correspond idéalement à vos désirs sur ImmoScout24 - La plateforme de l'immobilier en Suisse.</v>
      </c>
    </row>
    <row r="4963" hidden="1">
      <c r="A4963" s="5" t="s">
        <v>13024</v>
      </c>
      <c r="B4963" s="2" t="s">
        <v>13025</v>
      </c>
      <c r="C4963" s="2" t="s">
        <v>13025</v>
      </c>
      <c r="D4963" s="4" t="str">
        <f>vlookup(A4963, Sheet2!D:E, 2, 0)</f>
        <v>control</v>
      </c>
      <c r="E4963" s="4" t="str">
        <f>IFERROR(__xludf.DUMMYFUNCTION("if(H4963=""pays"",vlookup(REGEXEXTRACT(C4963, ""🏘️ \w+ \w+ (.*) ✅""),'Country prepositions'!A:B, 2, 0) &amp; "" "" &amp; REGEXEXTRACT(C4963, ""🏘️ \w+ \w+ (.*) ✅"") ,  if(H4963=""quartier"",vlookup(REGEXEXTRACT(C4963, ""🏘️ \w+ \w+ (.*) ✅""),'Quartier prepositio"&amp;"ns'!A:E, 5, 0) ,  if(H4963=""region"",vlookup(REGEXEXTRACT(C4963, ""🏘️ \w+ \w+ (.*) ✅""),'Region prepositions'!B:F, 5, 0),  REGEXEXTRACT(C4963, ""🏘️ \w+ \w+ (.*) ✅""))))"),"#N/A")</f>
        <v>#N/A</v>
      </c>
      <c r="I4963" s="4" t="str">
        <f>IFERROR(__xludf.DUMMYFUNCTION("if(D4963=""variant"",  substitute(filter(Templates!E:E, Templates!A:A = F4963, Templates!B:B = G4963, Templates!C:C = H4963), ""{{}}"", E4963), B4963)"),"Louer appartement Diessbach b. Büren: Trouvez le bien immobilier qui correspond idéalement à vos désirs sur ImmoScout24 - La plateforme de l'immobilier en Suisse.")</f>
        <v>Louer appartement Diessbach b. Büren: Trouvez le bien immobilier qui correspond idéalement à vos désirs sur ImmoScout24 - La plateforme de l'immobilier en Suisse.</v>
      </c>
    </row>
    <row r="4964" hidden="1">
      <c r="A4964" s="5" t="s">
        <v>13026</v>
      </c>
      <c r="B4964" s="2" t="s">
        <v>13027</v>
      </c>
      <c r="C4964" s="2" t="s">
        <v>13027</v>
      </c>
      <c r="D4964" s="4" t="str">
        <f>vlookup(A4964, Sheet2!D:E, 2, 0)</f>
        <v>control</v>
      </c>
      <c r="E4964" s="4" t="str">
        <f>IFERROR(__xludf.DUMMYFUNCTION("if(H4964=""pays"",vlookup(REGEXEXTRACT(C4964, ""🏘️ \w+ \w+ (.*) ✅""),'Country prepositions'!A:B, 2, 0) &amp; "" "" &amp; REGEXEXTRACT(C4964, ""🏘️ \w+ \w+ (.*) ✅"") ,  if(H4964=""quartier"",vlookup(REGEXEXTRACT(C4964, ""🏘️ \w+ \w+ (.*) ✅""),'Quartier prepositio"&amp;"ns'!A:E, 5, 0) ,  if(H4964=""region"",vlookup(REGEXEXTRACT(C4964, ""🏘️ \w+ \w+ (.*) ✅""),'Region prepositions'!B:F, 5, 0),  REGEXEXTRACT(C4964, ""🏘️ \w+ \w+ (.*) ✅""))))"),"#N/A")</f>
        <v>#N/A</v>
      </c>
      <c r="I4964" s="4" t="str">
        <f>IFERROR(__xludf.DUMMYFUNCTION("if(D4964=""variant"",  substitute(filter(Templates!E:E, Templates!A:A = F4964, Templates!B:B = G4964, Templates!C:C = H4964), ""{{}}"", E4964), B4964)"),"Louer appartement Ecublens FR: Trouvez le bien immobilier qui correspond idéalement à vos désirs sur ImmoScout24 - La plateforme de l'immobilier en Suisse.")</f>
        <v>Louer appartement Ecublens FR: Trouvez le bien immobilier qui correspond idéalement à vos désirs sur ImmoScout24 - La plateforme de l'immobilier en Suisse.</v>
      </c>
    </row>
    <row r="4965" hidden="1">
      <c r="A4965" s="5" t="s">
        <v>13028</v>
      </c>
      <c r="B4965" s="2" t="s">
        <v>13029</v>
      </c>
      <c r="C4965" s="2" t="s">
        <v>13029</v>
      </c>
      <c r="D4965" s="4" t="str">
        <f>vlookup(A4965, Sheet2!D:E, 2, 0)</f>
        <v>control</v>
      </c>
      <c r="E4965" s="4" t="str">
        <f>IFERROR(__xludf.DUMMYFUNCTION("if(H4965=""pays"",vlookup(REGEXEXTRACT(C4965, ""🏘️ \w+ \w+ (.*) ✅""),'Country prepositions'!A:B, 2, 0) &amp; "" "" &amp; REGEXEXTRACT(C4965, ""🏘️ \w+ \w+ (.*) ✅"") ,  if(H4965=""quartier"",vlookup(REGEXEXTRACT(C4965, ""🏘️ \w+ \w+ (.*) ✅""),'Quartier prepositio"&amp;"ns'!A:E, 5, 0) ,  if(H4965=""region"",vlookup(REGEXEXTRACT(C4965, ""🏘️ \w+ \w+ (.*) ✅""),'Region prepositions'!B:F, 5, 0),  REGEXEXTRACT(C4965, ""🏘️ \w+ \w+ (.*) ✅""))))"),"#N/A")</f>
        <v>#N/A</v>
      </c>
      <c r="I4965" s="4" t="str">
        <f>IFERROR(__xludf.DUMMYFUNCTION("if(D4965=""variant"",  substitute(filter(Templates!E:E, Templates!A:A = F4965, Templates!B:B = G4965, Templates!C:C = H4965), ""{{}}"", E4965), B4965)"),"Louer appartement Horw: Trouvez le bien immobilier qui correspond idéalement à vos désirs sur ImmoScout24 - La plateforme de l'immobilier en Suisse.")</f>
        <v>Louer appartement Horw: Trouvez le bien immobilier qui correspond idéalement à vos désirs sur ImmoScout24 - La plateforme de l'immobilier en Suisse.</v>
      </c>
    </row>
    <row r="4966" hidden="1">
      <c r="A4966" s="5" t="s">
        <v>13030</v>
      </c>
      <c r="B4966" s="2" t="s">
        <v>13031</v>
      </c>
      <c r="C4966" s="2" t="s">
        <v>13031</v>
      </c>
      <c r="D4966" s="4" t="str">
        <f>vlookup(A4966, Sheet2!D:E, 2, 0)</f>
        <v>control</v>
      </c>
      <c r="E4966" s="4" t="str">
        <f>IFERROR(__xludf.DUMMYFUNCTION("if(H4966=""pays"",vlookup(REGEXEXTRACT(C4966, ""🏘️ \w+ \w+ (.*) ✅""),'Country prepositions'!A:B, 2, 0) &amp; "" "" &amp; REGEXEXTRACT(C4966, ""🏘️ \w+ \w+ (.*) ✅"") ,  if(H4966=""quartier"",vlookup(REGEXEXTRACT(C4966, ""🏘️ \w+ \w+ (.*) ✅""),'Quartier prepositio"&amp;"ns'!A:E, 5, 0) ,  if(H4966=""region"",vlookup(REGEXEXTRACT(C4966, ""🏘️ \w+ \w+ (.*) ✅""),'Region prepositions'!B:F, 5, 0),  REGEXEXTRACT(C4966, ""🏘️ \w+ \w+ (.*) ✅""))))"),"#N/A")</f>
        <v>#N/A</v>
      </c>
      <c r="I4966" s="4" t="str">
        <f>IFERROR(__xludf.DUMMYFUNCTION("if(D4966=""variant"",  substitute(filter(Templates!E:E, Templates!A:A = F4966, Templates!B:B = G4966, Templates!C:C = H4966), ""{{}}"", E4966), B4966)"),"Vendre maison Canton de Lucerne: Trouvez le bien immobilier qui correspond idéalement à vos désirs sur ImmoScout24 - La plateforme de l'immobilier en Suisse.")</f>
        <v>Vendre maison Canton de Lucerne: Trouvez le bien immobilier qui correspond idéalement à vos désirs sur ImmoScout24 - La plateforme de l'immobilier en Suisse.</v>
      </c>
    </row>
    <row r="4967" hidden="1">
      <c r="A4967" s="5" t="s">
        <v>13032</v>
      </c>
      <c r="B4967" s="2" t="s">
        <v>13033</v>
      </c>
      <c r="C4967" s="2" t="s">
        <v>13033</v>
      </c>
      <c r="D4967" s="4" t="str">
        <f>vlookup(A4967, Sheet2!D:E, 2, 0)</f>
        <v>control</v>
      </c>
      <c r="E4967" s="4" t="str">
        <f>IFERROR(__xludf.DUMMYFUNCTION("if(H4967=""pays"",vlookup(REGEXEXTRACT(C4967, ""🏘️ \w+ \w+ (.*) ✅""),'Country prepositions'!A:B, 2, 0) &amp; "" "" &amp; REGEXEXTRACT(C4967, ""🏘️ \w+ \w+ (.*) ✅"") ,  if(H4967=""quartier"",vlookup(REGEXEXTRACT(C4967, ""🏘️ \w+ \w+ (.*) ✅""),'Quartier prepositio"&amp;"ns'!A:E, 5, 0) ,  if(H4967=""region"",vlookup(REGEXEXTRACT(C4967, ""🏘️ \w+ \w+ (.*) ✅""),'Region prepositions'!B:F, 5, 0),  REGEXEXTRACT(C4967, ""🏘️ \w+ \w+ (.*) ✅""))))"),"#N/A")</f>
        <v>#N/A</v>
      </c>
      <c r="I4967" s="4" t="str">
        <f>IFERROR(__xludf.DUMMYFUNCTION("if(D4967=""variant"",  substitute(filter(Templates!E:E, Templates!A:A = F4967, Templates!B:B = G4967, Templates!C:C = H4967), ""{{}}"", E4967), B4967)"),"Vendre appartement Forges-Endroits (La Chaux-de-Fonds): Trouvez le bien immobilier qui correspond idéalement à vos désirs sur ImmoScout24 - La plateforme de l'immobilier en Suisse.")</f>
        <v>Vendre appartement Forges-Endroits (La Chaux-de-Fonds): Trouvez le bien immobilier qui correspond idéalement à vos désirs sur ImmoScout24 - La plateforme de l'immobilier en Suisse.</v>
      </c>
    </row>
    <row r="4968" hidden="1">
      <c r="A4968" s="5" t="s">
        <v>13034</v>
      </c>
      <c r="B4968" s="2" t="s">
        <v>13035</v>
      </c>
      <c r="C4968" s="2" t="s">
        <v>13035</v>
      </c>
      <c r="D4968" s="4" t="str">
        <f>vlookup(A4968, Sheet2!D:E, 2, 0)</f>
        <v>control</v>
      </c>
      <c r="E4968" s="4" t="str">
        <f>IFERROR(__xludf.DUMMYFUNCTION("if(H4968=""pays"",vlookup(REGEXEXTRACT(C4968, ""🏘️ \w+ \w+ (.*) ✅""),'Country prepositions'!A:B, 2, 0) &amp; "" "" &amp; REGEXEXTRACT(C4968, ""🏘️ \w+ \w+ (.*) ✅"") ,  if(H4968=""quartier"",vlookup(REGEXEXTRACT(C4968, ""🏘️ \w+ \w+ (.*) ✅""),'Quartier prepositio"&amp;"ns'!A:E, 5, 0) ,  if(H4968=""region"",vlookup(REGEXEXTRACT(C4968, ""🏘️ \w+ \w+ (.*) ✅""),'Region prepositions'!B:F, 5, 0),  REGEXEXTRACT(C4968, ""🏘️ \w+ \w+ (.*) ✅""))))"),"#N/A")</f>
        <v>#N/A</v>
      </c>
      <c r="I4968" s="4" t="str">
        <f>IFERROR(__xludf.DUMMYFUNCTION("if(D4968=""variant"",  substitute(filter(Templates!E:E, Templates!A:A = F4968, Templates!B:B = G4968, Templates!C:C = H4968), ""{{}}"", E4968), B4968)"),"Louer appartement Les Marécottes: Trouvez le bien immobilier qui correspond idéalement à vos désirs sur ImmoScout24 - La plateforme de l'immobilier en Suisse.")</f>
        <v>Louer appartement Les Marécottes: Trouvez le bien immobilier qui correspond idéalement à vos désirs sur ImmoScout24 - La plateforme de l'immobilier en Suisse.</v>
      </c>
    </row>
    <row r="4969" hidden="1">
      <c r="A4969" s="5" t="s">
        <v>13036</v>
      </c>
      <c r="B4969" s="2" t="s">
        <v>13037</v>
      </c>
      <c r="C4969" s="2" t="s">
        <v>13037</v>
      </c>
      <c r="D4969" s="4" t="str">
        <f>vlookup(A4969, Sheet2!D:E, 2, 0)</f>
        <v>control</v>
      </c>
      <c r="E4969" s="4" t="str">
        <f>IFERROR(__xludf.DUMMYFUNCTION("if(H4969=""pays"",vlookup(REGEXEXTRACT(C4969, ""🏘️ \w+ \w+ (.*) ✅""),'Country prepositions'!A:B, 2, 0) &amp; "" "" &amp; REGEXEXTRACT(C4969, ""🏘️ \w+ \w+ (.*) ✅"") ,  if(H4969=""quartier"",vlookup(REGEXEXTRACT(C4969, ""🏘️ \w+ \w+ (.*) ✅""),'Quartier prepositio"&amp;"ns'!A:E, 5, 0) ,  if(H4969=""region"",vlookup(REGEXEXTRACT(C4969, ""🏘️ \w+ \w+ (.*) ✅""),'Region prepositions'!B:F, 5, 0),  REGEXEXTRACT(C4969, ""🏘️ \w+ \w+ (.*) ✅""))))"),"#N/A")</f>
        <v>#N/A</v>
      </c>
      <c r="I4969" s="4" t="str">
        <f>IFERROR(__xludf.DUMMYFUNCTION("if(D4969=""variant"",  substitute(filter(Templates!E:E, Templates!A:A = F4969, Templates!B:B = G4969, Templates!C:C = H4969), ""{{}}"", E4969), B4969)"),"Louer appartement Klosters Dorf: Trouvez le bien immobilier qui correspond idéalement à vos désirs sur ImmoScout24 - La plateforme de l'immobilier en Suisse.")</f>
        <v>Louer appartement Klosters Dorf: Trouvez le bien immobilier qui correspond idéalement à vos désirs sur ImmoScout24 - La plateforme de l'immobilier en Suisse.</v>
      </c>
    </row>
    <row r="4970" hidden="1">
      <c r="A4970" s="5" t="s">
        <v>13038</v>
      </c>
      <c r="B4970" s="2" t="s">
        <v>13039</v>
      </c>
      <c r="C4970" s="2" t="s">
        <v>13039</v>
      </c>
      <c r="D4970" s="4" t="str">
        <f>vlookup(A4970, Sheet2!D:E, 2, 0)</f>
        <v>control</v>
      </c>
      <c r="E4970" s="4" t="str">
        <f>IFERROR(__xludf.DUMMYFUNCTION("if(H4970=""pays"",vlookup(REGEXEXTRACT(C4970, ""🏘️ \w+ \w+ (.*) ✅""),'Country prepositions'!A:B, 2, 0) &amp; "" "" &amp; REGEXEXTRACT(C4970, ""🏘️ \w+ \w+ (.*) ✅"") ,  if(H4970=""quartier"",vlookup(REGEXEXTRACT(C4970, ""🏘️ \w+ \w+ (.*) ✅""),'Quartier prepositio"&amp;"ns'!A:E, 5, 0) ,  if(H4970=""region"",vlookup(REGEXEXTRACT(C4970, ""🏘️ \w+ \w+ (.*) ✅""),'Region prepositions'!B:F, 5, 0),  REGEXEXTRACT(C4970, ""🏘️ \w+ \w+ (.*) ✅""))))"),"#N/A")</f>
        <v>#N/A</v>
      </c>
      <c r="I4970" s="4" t="str">
        <f>IFERROR(__xludf.DUMMYFUNCTION("if(D4970=""variant"",  substitute(filter(Templates!E:E, Templates!A:A = F4970, Templates!B:B = G4970, Templates!C:C = H4970), ""{{}}"", E4970), B4970)"),"Vendre maison Seeland: Trouvez le bien immobilier qui correspond idéalement à vos désirs sur ImmoScout24 - La plateforme de l'immobilier en Suisse.")</f>
        <v>Vendre maison Seeland: Trouvez le bien immobilier qui correspond idéalement à vos désirs sur ImmoScout24 - La plateforme de l'immobilier en Suisse.</v>
      </c>
    </row>
    <row r="4971" hidden="1">
      <c r="A4971" s="5" t="s">
        <v>13040</v>
      </c>
      <c r="B4971" s="2" t="s">
        <v>13041</v>
      </c>
      <c r="C4971" s="2" t="s">
        <v>13041</v>
      </c>
      <c r="D4971" s="4" t="str">
        <f>vlookup(A4971, Sheet2!D:E, 2, 0)</f>
        <v>control</v>
      </c>
      <c r="E4971" s="4" t="str">
        <f>IFERROR(__xludf.DUMMYFUNCTION("if(H4971=""pays"",vlookup(REGEXEXTRACT(C4971, ""🏘️ \w+ \w+ (.*) ✅""),'Country prepositions'!A:B, 2, 0) &amp; "" "" &amp; REGEXEXTRACT(C4971, ""🏘️ \w+ \w+ (.*) ✅"") ,  if(H4971=""quartier"",vlookup(REGEXEXTRACT(C4971, ""🏘️ \w+ \w+ (.*) ✅""),'Quartier prepositio"&amp;"ns'!A:E, 5, 0) ,  if(H4971=""region"",vlookup(REGEXEXTRACT(C4971, ""🏘️ \w+ \w+ (.*) ✅""),'Region prepositions'!B:F, 5, 0),  REGEXEXTRACT(C4971, ""🏘️ \w+ \w+ (.*) ✅""))))"),"#N/A")</f>
        <v>#N/A</v>
      </c>
      <c r="I4971" s="4" t="str">
        <f>IFERROR(__xludf.DUMMYFUNCTION("if(D4971=""variant"",  substitute(filter(Templates!E:E, Templates!A:A = F4971, Templates!B:B = G4971, Templates!C:C = H4971), ""{{}}"", E4971), B4971)"),"Vendre maison Vex: Trouvez le bien immobilier qui correspond idéalement à vos désirs sur ImmoScout24 - La plateforme de l'immobilier en Suisse.")</f>
        <v>Vendre maison Vex: Trouvez le bien immobilier qui correspond idéalement à vos désirs sur ImmoScout24 - La plateforme de l'immobilier en Suisse.</v>
      </c>
    </row>
    <row r="4972" hidden="1">
      <c r="A4972" s="5" t="s">
        <v>13042</v>
      </c>
      <c r="B4972" s="2" t="s">
        <v>13043</v>
      </c>
      <c r="C4972" s="2" t="s">
        <v>13043</v>
      </c>
      <c r="D4972" s="4" t="str">
        <f>vlookup(A4972, Sheet2!D:E, 2, 0)</f>
        <v>control</v>
      </c>
      <c r="E4972" s="4" t="str">
        <f>IFERROR(__xludf.DUMMYFUNCTION("if(H4972=""pays"",vlookup(REGEXEXTRACT(C4972, ""🏘️ \w+ \w+ (.*) ✅""),'Country prepositions'!A:B, 2, 0) &amp; "" "" &amp; REGEXEXTRACT(C4972, ""🏘️ \w+ \w+ (.*) ✅"") ,  if(H4972=""quartier"",vlookup(REGEXEXTRACT(C4972, ""🏘️ \w+ \w+ (.*) ✅""),'Quartier prepositio"&amp;"ns'!A:E, 5, 0) ,  if(H4972=""region"",vlookup(REGEXEXTRACT(C4972, ""🏘️ \w+ \w+ (.*) ✅""),'Region prepositions'!B:F, 5, 0),  REGEXEXTRACT(C4972, ""🏘️ \w+ \w+ (.*) ✅""))))"),"#N/A")</f>
        <v>#N/A</v>
      </c>
      <c r="I4972" s="4" t="str">
        <f>IFERROR(__xludf.DUMMYFUNCTION("if(D4972=""variant"",  substitute(filter(Templates!E:E, Templates!A:A = F4972, Templates!B:B = G4972, Templates!C:C = H4972), ""{{}}"", E4972), B4972)"),"Vendre appartement Moudon: Trouvez le bien immobilier qui correspond idéalement à vos désirs sur ImmoScout24 - La plateforme de l'immobilier en Suisse.")</f>
        <v>Vendre appartement Moudon: Trouvez le bien immobilier qui correspond idéalement à vos désirs sur ImmoScout24 - La plateforme de l'immobilier en Suisse.</v>
      </c>
    </row>
    <row r="4973" hidden="1">
      <c r="A4973" s="5" t="s">
        <v>13044</v>
      </c>
      <c r="B4973" s="2" t="s">
        <v>13045</v>
      </c>
      <c r="C4973" s="2" t="s">
        <v>13045</v>
      </c>
      <c r="D4973" s="4" t="str">
        <f>vlookup(A4973, Sheet2!D:E, 2, 0)</f>
        <v>control</v>
      </c>
      <c r="E4973" s="4" t="str">
        <f>IFERROR(__xludf.DUMMYFUNCTION("if(H4973=""pays"",vlookup(REGEXEXTRACT(C4973, ""🏘️ \w+ \w+ (.*) ✅""),'Country prepositions'!A:B, 2, 0) &amp; "" "" &amp; REGEXEXTRACT(C4973, ""🏘️ \w+ \w+ (.*) ✅"") ,  if(H4973=""quartier"",vlookup(REGEXEXTRACT(C4973, ""🏘️ \w+ \w+ (.*) ✅""),'Quartier prepositio"&amp;"ns'!A:E, 5, 0) ,  if(H4973=""region"",vlookup(REGEXEXTRACT(C4973, ""🏘️ \w+ \w+ (.*) ✅""),'Region prepositions'!B:F, 5, 0),  REGEXEXTRACT(C4973, ""🏘️ \w+ \w+ (.*) ✅""))))"),"#N/A")</f>
        <v>#N/A</v>
      </c>
      <c r="I4973" s="4" t="str">
        <f>IFERROR(__xludf.DUMMYFUNCTION("if(D4973=""variant"",  substitute(filter(Templates!E:E, Templates!A:A = F4973, Templates!B:B = G4973, Templates!C:C = H4973), ""{{}}"", E4973), B4973)"),"Vendre maison Mex VD: Trouvez le bien immobilier qui correspond idéalement à vos désirs sur ImmoScout24 - La plateforme de l'immobilier en Suisse.")</f>
        <v>Vendre maison Mex VD: Trouvez le bien immobilier qui correspond idéalement à vos désirs sur ImmoScout24 - La plateforme de l'immobilier en Suisse.</v>
      </c>
    </row>
    <row r="4974" hidden="1">
      <c r="A4974" s="5" t="s">
        <v>13046</v>
      </c>
      <c r="B4974" s="2" t="s">
        <v>13047</v>
      </c>
      <c r="C4974" s="2" t="s">
        <v>13047</v>
      </c>
      <c r="D4974" s="4" t="str">
        <f>vlookup(A4974, Sheet2!D:E, 2, 0)</f>
        <v>control</v>
      </c>
      <c r="E4974" s="4" t="str">
        <f>IFERROR(__xludf.DUMMYFUNCTION("if(H4974=""pays"",vlookup(REGEXEXTRACT(C4974, ""🏘️ \w+ \w+ (.*) ✅""),'Country prepositions'!A:B, 2, 0) &amp; "" "" &amp; REGEXEXTRACT(C4974, ""🏘️ \w+ \w+ (.*) ✅"") ,  if(H4974=""quartier"",vlookup(REGEXEXTRACT(C4974, ""🏘️ \w+ \w+ (.*) ✅""),'Quartier prepositio"&amp;"ns'!A:E, 5, 0) ,  if(H4974=""region"",vlookup(REGEXEXTRACT(C4974, ""🏘️ \w+ \w+ (.*) ✅""),'Region prepositions'!B:F, 5, 0),  REGEXEXTRACT(C4974, ""🏘️ \w+ \w+ (.*) ✅""))))"),"#N/A")</f>
        <v>#N/A</v>
      </c>
      <c r="I4974" s="4" t="str">
        <f>IFERROR(__xludf.DUMMYFUNCTION("if(D4974=""variant"",  substitute(filter(Templates!E:E, Templates!A:A = F4974, Templates!B:B = G4974, Templates!C:C = H4974), ""{{}}"", E4974), B4974)"),"Vendre appartement Commugny: Trouvez le bien immobilier qui correspond idéalement à vos désirs sur ImmoScout24 - La plateforme de l'immobilier en Suisse.")</f>
        <v>Vendre appartement Commugny: Trouvez le bien immobilier qui correspond idéalement à vos désirs sur ImmoScout24 - La plateforme de l'immobilier en Suisse.</v>
      </c>
    </row>
    <row r="4975" hidden="1">
      <c r="A4975" s="5" t="s">
        <v>13048</v>
      </c>
      <c r="B4975" s="2" t="s">
        <v>13049</v>
      </c>
      <c r="C4975" s="2" t="s">
        <v>13049</v>
      </c>
      <c r="D4975" s="4" t="str">
        <f>vlookup(A4975, Sheet2!D:E, 2, 0)</f>
        <v>control</v>
      </c>
      <c r="E4975" s="4" t="str">
        <f>IFERROR(__xludf.DUMMYFUNCTION("if(H4975=""pays"",vlookup(REGEXEXTRACT(C4975, ""🏘️ \w+ \w+ (.*) ✅""),'Country prepositions'!A:B, 2, 0) &amp; "" "" &amp; REGEXEXTRACT(C4975, ""🏘️ \w+ \w+ (.*) ✅"") ,  if(H4975=""quartier"",vlookup(REGEXEXTRACT(C4975, ""🏘️ \w+ \w+ (.*) ✅""),'Quartier prepositio"&amp;"ns'!A:E, 5, 0) ,  if(H4975=""region"",vlookup(REGEXEXTRACT(C4975, ""🏘️ \w+ \w+ (.*) ✅""),'Region prepositions'!B:F, 5, 0),  REGEXEXTRACT(C4975, ""🏘️ \w+ \w+ (.*) ✅""))))"),"#N/A")</f>
        <v>#N/A</v>
      </c>
      <c r="I4975" s="4" t="str">
        <f>IFERROR(__xludf.DUMMYFUNCTION("if(D4975=""variant"",  substitute(filter(Templates!E:E, Templates!A:A = F4975, Templates!B:B = G4975, Templates!C:C = H4975), ""{{}}"", E4975), B4975)"),"Vendre maison Pfeffingen: Trouvez le bien immobilier qui correspond idéalement à vos désirs sur ImmoScout24 - La plateforme de l'immobilier en Suisse.")</f>
        <v>Vendre maison Pfeffingen: Trouvez le bien immobilier qui correspond idéalement à vos désirs sur ImmoScout24 - La plateforme de l'immobilier en Suisse.</v>
      </c>
    </row>
    <row r="4976" hidden="1">
      <c r="A4976" s="5" t="s">
        <v>13050</v>
      </c>
      <c r="B4976" s="2" t="s">
        <v>13051</v>
      </c>
      <c r="C4976" s="2" t="s">
        <v>13051</v>
      </c>
      <c r="D4976" s="4" t="str">
        <f>vlookup(A4976, Sheet2!D:E, 2, 0)</f>
        <v>control</v>
      </c>
      <c r="E4976" s="4" t="str">
        <f>IFERROR(__xludf.DUMMYFUNCTION("if(H4976=""pays"",vlookup(REGEXEXTRACT(C4976, ""🏘️ \w+ \w+ (.*) ✅""),'Country prepositions'!A:B, 2, 0) &amp; "" "" &amp; REGEXEXTRACT(C4976, ""🏘️ \w+ \w+ (.*) ✅"") ,  if(H4976=""quartier"",vlookup(REGEXEXTRACT(C4976, ""🏘️ \w+ \w+ (.*) ✅""),'Quartier prepositio"&amp;"ns'!A:E, 5, 0) ,  if(H4976=""region"",vlookup(REGEXEXTRACT(C4976, ""🏘️ \w+ \w+ (.*) ✅""),'Region prepositions'!B:F, 5, 0),  REGEXEXTRACT(C4976, ""🏘️ \w+ \w+ (.*) ✅""))))"),"#N/A")</f>
        <v>#N/A</v>
      </c>
      <c r="I4976" s="4" t="str">
        <f>IFERROR(__xludf.DUMMYFUNCTION("if(D4976=""variant"",  substitute(filter(Templates!E:E, Templates!A:A = F4976, Templates!B:B = G4976, Templates!C:C = H4976), ""{{}}"", E4976), B4976)"),"Vendre maison Tesserete: Trouvez le bien immobilier qui correspond idéalement à vos désirs sur ImmoScout24 - La plateforme de l'immobilier en Suisse.")</f>
        <v>Vendre maison Tesserete: Trouvez le bien immobilier qui correspond idéalement à vos désirs sur ImmoScout24 - La plateforme de l'immobilier en Suisse.</v>
      </c>
    </row>
    <row r="4977" hidden="1">
      <c r="A4977" s="5" t="s">
        <v>13052</v>
      </c>
      <c r="B4977" s="2" t="s">
        <v>13053</v>
      </c>
      <c r="C4977" s="2" t="s">
        <v>13053</v>
      </c>
      <c r="D4977" s="4" t="str">
        <f>vlookup(A4977, Sheet2!D:E, 2, 0)</f>
        <v>control</v>
      </c>
      <c r="E4977" s="4" t="str">
        <f>IFERROR(__xludf.DUMMYFUNCTION("if(H4977=""pays"",vlookup(REGEXEXTRACT(C4977, ""🏘️ \w+ \w+ (.*) ✅""),'Country prepositions'!A:B, 2, 0) &amp; "" "" &amp; REGEXEXTRACT(C4977, ""🏘️ \w+ \w+ (.*) ✅"") ,  if(H4977=""quartier"",vlookup(REGEXEXTRACT(C4977, ""🏘️ \w+ \w+ (.*) ✅""),'Quartier prepositio"&amp;"ns'!A:E, 5, 0) ,  if(H4977=""region"",vlookup(REGEXEXTRACT(C4977, ""🏘️ \w+ \w+ (.*) ✅""),'Region prepositions'!B:F, 5, 0),  REGEXEXTRACT(C4977, ""🏘️ \w+ \w+ (.*) ✅""))))"),"#N/A")</f>
        <v>#N/A</v>
      </c>
      <c r="I4977" s="4" t="str">
        <f>IFERROR(__xludf.DUMMYFUNCTION("if(D4977=""variant"",  substitute(filter(Templates!E:E, Templates!A:A = F4977, Templates!B:B = G4977, Templates!C:C = H4977), ""{{}}"", E4977), B4977)"),"Louer appartement Zoug - Lac de Zoug: Trouvez le bien immobilier qui correspond idéalement à vos désirs sur ImmoScout24 - La plateforme de l'immobilier en Suisse.")</f>
        <v>Louer appartement Zoug - Lac de Zoug: Trouvez le bien immobilier qui correspond idéalement à vos désirs sur ImmoScout24 - La plateforme de l'immobilier en Suisse.</v>
      </c>
    </row>
    <row r="4978" hidden="1">
      <c r="A4978" s="5" t="s">
        <v>13054</v>
      </c>
      <c r="B4978" s="2" t="s">
        <v>13055</v>
      </c>
      <c r="C4978" s="2" t="s">
        <v>13055</v>
      </c>
      <c r="D4978" s="4" t="str">
        <f>vlookup(A4978, Sheet2!D:E, 2, 0)</f>
        <v>control</v>
      </c>
      <c r="E4978" s="4" t="str">
        <f>IFERROR(__xludf.DUMMYFUNCTION("if(H4978=""pays"",vlookup(REGEXEXTRACT(C4978, ""🏘️ \w+ \w+ (.*) ✅""),'Country prepositions'!A:B, 2, 0) &amp; "" "" &amp; REGEXEXTRACT(C4978, ""🏘️ \w+ \w+ (.*) ✅"") ,  if(H4978=""quartier"",vlookup(REGEXEXTRACT(C4978, ""🏘️ \w+ \w+ (.*) ✅""),'Quartier prepositio"&amp;"ns'!A:E, 5, 0) ,  if(H4978=""region"",vlookup(REGEXEXTRACT(C4978, ""🏘️ \w+ \w+ (.*) ✅""),'Region prepositions'!B:F, 5, 0),  REGEXEXTRACT(C4978, ""🏘️ \w+ \w+ (.*) ✅""))))"),"#N/A")</f>
        <v>#N/A</v>
      </c>
      <c r="I4978" s="4" t="str">
        <f>IFERROR(__xludf.DUMMYFUNCTION("if(D4978=""variant"",  substitute(filter(Templates!E:E, Templates!A:A = F4978, Templates!B:B = G4978, Templates!C:C = H4978), ""{{}}"", E4978), B4978)"),"Vendre maison Tunisie: Trouvez le bien immobilier qui correspond idéalement à vos désirs sur ImmoScout24 - La plateforme de l'immobilier en Suisse.")</f>
        <v>Vendre maison Tunisie: Trouvez le bien immobilier qui correspond idéalement à vos désirs sur ImmoScout24 - La plateforme de l'immobilier en Suisse.</v>
      </c>
    </row>
    <row r="4979" hidden="1">
      <c r="A4979" s="5" t="s">
        <v>13056</v>
      </c>
      <c r="B4979" s="2" t="s">
        <v>13057</v>
      </c>
      <c r="C4979" s="2" t="s">
        <v>13057</v>
      </c>
      <c r="D4979" s="4" t="str">
        <f>vlookup(A4979, Sheet2!D:E, 2, 0)</f>
        <v>control</v>
      </c>
      <c r="E4979" s="4" t="str">
        <f>IFERROR(__xludf.DUMMYFUNCTION("if(H4979=""pays"",vlookup(REGEXEXTRACT(C4979, ""🏘️ \w+ \w+ (.*) ✅""),'Country prepositions'!A:B, 2, 0) &amp; "" "" &amp; REGEXEXTRACT(C4979, ""🏘️ \w+ \w+ (.*) ✅"") ,  if(H4979=""quartier"",vlookup(REGEXEXTRACT(C4979, ""🏘️ \w+ \w+ (.*) ✅""),'Quartier prepositio"&amp;"ns'!A:E, 5, 0) ,  if(H4979=""region"",vlookup(REGEXEXTRACT(C4979, ""🏘️ \w+ \w+ (.*) ✅""),'Region prepositions'!B:F, 5, 0),  REGEXEXTRACT(C4979, ""🏘️ \w+ \w+ (.*) ✅""))))"),"#N/A")</f>
        <v>#N/A</v>
      </c>
      <c r="I4979" s="4" t="str">
        <f>IFERROR(__xludf.DUMMYFUNCTION("if(D4979=""variant"",  substitute(filter(Templates!E:E, Templates!A:A = F4979, Templates!B:B = G4979, Templates!C:C = H4979), ""{{}}"", E4979), B4979)"),"Louer appartement Meinisberg: Trouvez le bien immobilier qui correspond idéalement à vos désirs sur ImmoScout24 - La plateforme de l'immobilier en Suisse.")</f>
        <v>Louer appartement Meinisberg: Trouvez le bien immobilier qui correspond idéalement à vos désirs sur ImmoScout24 - La plateforme de l'immobilier en Suisse.</v>
      </c>
    </row>
    <row r="4980" hidden="1">
      <c r="A4980" s="5" t="s">
        <v>13058</v>
      </c>
      <c r="B4980" s="2" t="s">
        <v>13059</v>
      </c>
      <c r="C4980" s="2" t="s">
        <v>13059</v>
      </c>
      <c r="D4980" s="4" t="str">
        <f>vlookup(A4980, Sheet2!D:E, 2, 0)</f>
        <v>control</v>
      </c>
      <c r="E4980" s="4" t="str">
        <f>IFERROR(__xludf.DUMMYFUNCTION("if(H4980=""pays"",vlookup(REGEXEXTRACT(C4980, ""🏘️ \w+ \w+ (.*) ✅""),'Country prepositions'!A:B, 2, 0) &amp; "" "" &amp; REGEXEXTRACT(C4980, ""🏘️ \w+ \w+ (.*) ✅"") ,  if(H4980=""quartier"",vlookup(REGEXEXTRACT(C4980, ""🏘️ \w+ \w+ (.*) ✅""),'Quartier prepositio"&amp;"ns'!A:E, 5, 0) ,  if(H4980=""region"",vlookup(REGEXEXTRACT(C4980, ""🏘️ \w+ \w+ (.*) ✅""),'Region prepositions'!B:F, 5, 0),  REGEXEXTRACT(C4980, ""🏘️ \w+ \w+ (.*) ✅""))))"),"#N/A")</f>
        <v>#N/A</v>
      </c>
      <c r="I4980" s="4" t="str">
        <f>IFERROR(__xludf.DUMMYFUNCTION("if(D4980=""variant"",  substitute(filter(Templates!E:E, Templates!A:A = F4980, Templates!B:B = G4980, Templates!C:C = H4980), ""{{}}"", E4980), B4980)"),"Louer appartement Montagnon (Leytron): Trouvez le bien immobilier qui correspond idéalement à vos désirs sur ImmoScout24 - La plateforme de l'immobilier en Suisse.")</f>
        <v>Louer appartement Montagnon (Leytron): Trouvez le bien immobilier qui correspond idéalement à vos désirs sur ImmoScout24 - La plateforme de l'immobilier en Suisse.</v>
      </c>
    </row>
    <row r="4981" hidden="1">
      <c r="A4981" s="5" t="s">
        <v>13060</v>
      </c>
      <c r="B4981" s="2" t="s">
        <v>13061</v>
      </c>
      <c r="C4981" s="2" t="s">
        <v>13061</v>
      </c>
      <c r="D4981" s="4" t="str">
        <f>vlookup(A4981, Sheet2!D:E, 2, 0)</f>
        <v>control</v>
      </c>
      <c r="E4981" s="4" t="str">
        <f>IFERROR(__xludf.DUMMYFUNCTION("if(H4981=""pays"",vlookup(REGEXEXTRACT(C4981, ""🏘️ \w+ \w+ (.*) ✅""),'Country prepositions'!A:B, 2, 0) &amp; "" "" &amp; REGEXEXTRACT(C4981, ""🏘️ \w+ \w+ (.*) ✅"") ,  if(H4981=""quartier"",vlookup(REGEXEXTRACT(C4981, ""🏘️ \w+ \w+ (.*) ✅""),'Quartier prepositio"&amp;"ns'!A:E, 5, 0) ,  if(H4981=""region"",vlookup(REGEXEXTRACT(C4981, ""🏘️ \w+ \w+ (.*) ✅""),'Region prepositions'!B:F, 5, 0),  REGEXEXTRACT(C4981, ""🏘️ \w+ \w+ (.*) ✅""))))"),"#N/A")</f>
        <v>#N/A</v>
      </c>
      <c r="I4981" s="4" t="str">
        <f>IFERROR(__xludf.DUMMYFUNCTION("if(D4981=""variant"",  substitute(filter(Templates!E:E, Templates!A:A = F4981, Templates!B:B = G4981, Templates!C:C = H4981), ""{{}}"", E4981), B4981)"),"Louer maison Gland: Trouvez le bien immobilier qui correspond idéalement à vos désirs sur ImmoScout24 - La plateforme de l'immobilier en Suisse.")</f>
        <v>Louer maison Gland: Trouvez le bien immobilier qui correspond idéalement à vos désirs sur ImmoScout24 - La plateforme de l'immobilier en Suisse.</v>
      </c>
    </row>
    <row r="4982" hidden="1">
      <c r="A4982" s="5" t="s">
        <v>13062</v>
      </c>
      <c r="B4982" s="2" t="s">
        <v>13063</v>
      </c>
      <c r="C4982" s="2" t="s">
        <v>13063</v>
      </c>
      <c r="D4982" s="4" t="str">
        <f>vlookup(A4982, Sheet2!D:E, 2, 0)</f>
        <v>control</v>
      </c>
      <c r="E4982" s="4" t="str">
        <f>IFERROR(__xludf.DUMMYFUNCTION("if(H4982=""pays"",vlookup(REGEXEXTRACT(C4982, ""🏘️ \w+ \w+ (.*) ✅""),'Country prepositions'!A:B, 2, 0) &amp; "" "" &amp; REGEXEXTRACT(C4982, ""🏘️ \w+ \w+ (.*) ✅"") ,  if(H4982=""quartier"",vlookup(REGEXEXTRACT(C4982, ""🏘️ \w+ \w+ (.*) ✅""),'Quartier prepositio"&amp;"ns'!A:E, 5, 0) ,  if(H4982=""region"",vlookup(REGEXEXTRACT(C4982, ""🏘️ \w+ \w+ (.*) ✅""),'Region prepositions'!B:F, 5, 0),  REGEXEXTRACT(C4982, ""🏘️ \w+ \w+ (.*) ✅""))))"),"#N/A")</f>
        <v>#N/A</v>
      </c>
      <c r="I4982" s="4" t="str">
        <f>IFERROR(__xludf.DUMMYFUNCTION("if(D4982=""variant"",  substitute(filter(Templates!E:E, Templates!A:A = F4982, Templates!B:B = G4982, Templates!C:C = H4982), ""{{}}"", E4982), B4982)"),"Vendre appartement Turin (Salins): Trouvez le bien immobilier qui correspond idéalement à vos désirs sur ImmoScout24 - La plateforme de l'immobilier en Suisse.")</f>
        <v>Vendre appartement Turin (Salins): Trouvez le bien immobilier qui correspond idéalement à vos désirs sur ImmoScout24 - La plateforme de l'immobilier en Suisse.</v>
      </c>
    </row>
    <row r="4983" hidden="1">
      <c r="A4983" s="5" t="s">
        <v>13064</v>
      </c>
      <c r="B4983" s="2" t="s">
        <v>13065</v>
      </c>
      <c r="C4983" s="2" t="s">
        <v>13065</v>
      </c>
      <c r="D4983" s="4" t="str">
        <f>vlookup(A4983, Sheet2!D:E, 2, 0)</f>
        <v>control</v>
      </c>
      <c r="E4983" s="4" t="str">
        <f>IFERROR(__xludf.DUMMYFUNCTION("if(H4983=""pays"",vlookup(REGEXEXTRACT(C4983, ""🏘️ \w+ \w+ (.*) ✅""),'Country prepositions'!A:B, 2, 0) &amp; "" "" &amp; REGEXEXTRACT(C4983, ""🏘️ \w+ \w+ (.*) ✅"") ,  if(H4983=""quartier"",vlookup(REGEXEXTRACT(C4983, ""🏘️ \w+ \w+ (.*) ✅""),'Quartier prepositio"&amp;"ns'!A:E, 5, 0) ,  if(H4983=""region"",vlookup(REGEXEXTRACT(C4983, ""🏘️ \w+ \w+ (.*) ✅""),'Region prepositions'!B:F, 5, 0),  REGEXEXTRACT(C4983, ""🏘️ \w+ \w+ (.*) ✅""))))"),"#N/A")</f>
        <v>#N/A</v>
      </c>
      <c r="I4983" s="4" t="str">
        <f>IFERROR(__xludf.DUMMYFUNCTION("if(D4983=""variant"",  substitute(filter(Templates!E:E, Templates!A:A = F4983, Templates!B:B = G4983, Templates!C:C = H4983), ""{{}}"", E4983), B4983)"),"Louer appartement Lutry: Trouvez le bien immobilier qui correspond idéalement à vos désirs sur ImmoScout24 - La plateforme de l'immobilier en Suisse.")</f>
        <v>Louer appartement Lutry: Trouvez le bien immobilier qui correspond idéalement à vos désirs sur ImmoScout24 - La plateforme de l'immobilier en Suisse.</v>
      </c>
    </row>
    <row r="4984" hidden="1">
      <c r="A4984" s="5" t="s">
        <v>13066</v>
      </c>
      <c r="B4984" s="2" t="s">
        <v>13067</v>
      </c>
      <c r="C4984" s="2" t="s">
        <v>13067</v>
      </c>
      <c r="D4984" s="4" t="str">
        <f>vlookup(A4984, Sheet2!D:E, 2, 0)</f>
        <v>control</v>
      </c>
      <c r="E4984" s="4" t="str">
        <f>IFERROR(__xludf.DUMMYFUNCTION("if(H4984=""pays"",vlookup(REGEXEXTRACT(C4984, ""🏘️ \w+ \w+ (.*) ✅""),'Country prepositions'!A:B, 2, 0) &amp; "" "" &amp; REGEXEXTRACT(C4984, ""🏘️ \w+ \w+ (.*) ✅"") ,  if(H4984=""quartier"",vlookup(REGEXEXTRACT(C4984, ""🏘️ \w+ \w+ (.*) ✅""),'Quartier prepositio"&amp;"ns'!A:E, 5, 0) ,  if(H4984=""region"",vlookup(REGEXEXTRACT(C4984, ""🏘️ \w+ \w+ (.*) ✅""),'Region prepositions'!B:F, 5, 0),  REGEXEXTRACT(C4984, ""🏘️ \w+ \w+ (.*) ✅""))))"),"#N/A")</f>
        <v>#N/A</v>
      </c>
      <c r="I4984" s="4" t="str">
        <f>IFERROR(__xludf.DUMMYFUNCTION("if(D4984=""variant"",  substitute(filter(Templates!E:E, Templates!A:A = F4984, Templates!B:B = G4984, Templates!C:C = H4984), ""{{}}"", E4984), B4984)"),"Vendre appartement Gsteig b. Gstaad: Trouvez le bien immobilier qui correspond idéalement à vos désirs sur ImmoScout24 - La plateforme de l'immobilier en Suisse.")</f>
        <v>Vendre appartement Gsteig b. Gstaad: Trouvez le bien immobilier qui correspond idéalement à vos désirs sur ImmoScout24 - La plateforme de l'immobilier en Suisse.</v>
      </c>
    </row>
    <row r="4985" hidden="1">
      <c r="A4985" s="5" t="s">
        <v>13068</v>
      </c>
      <c r="B4985" s="2" t="s">
        <v>13069</v>
      </c>
      <c r="C4985" s="2" t="s">
        <v>13069</v>
      </c>
      <c r="D4985" s="4" t="str">
        <f>vlookup(A4985, Sheet2!D:E, 2, 0)</f>
        <v>control</v>
      </c>
      <c r="E4985" s="4" t="str">
        <f>IFERROR(__xludf.DUMMYFUNCTION("if(H4985=""pays"",vlookup(REGEXEXTRACT(C4985, ""🏘️ \w+ \w+ (.*) ✅""),'Country prepositions'!A:B, 2, 0) &amp; "" "" &amp; REGEXEXTRACT(C4985, ""🏘️ \w+ \w+ (.*) ✅"") ,  if(H4985=""quartier"",vlookup(REGEXEXTRACT(C4985, ""🏘️ \w+ \w+ (.*) ✅""),'Quartier prepositio"&amp;"ns'!A:E, 5, 0) ,  if(H4985=""region"",vlookup(REGEXEXTRACT(C4985, ""🏘️ \w+ \w+ (.*) ✅""),'Region prepositions'!B:F, 5, 0),  REGEXEXTRACT(C4985, ""🏘️ \w+ \w+ (.*) ✅""))))"),"#N/A")</f>
        <v>#N/A</v>
      </c>
      <c r="I4985" s="4" t="str">
        <f>IFERROR(__xludf.DUMMYFUNCTION("if(D4985=""variant"",  substitute(filter(Templates!E:E, Templates!A:A = F4985, Templates!B:B = G4985, Templates!C:C = H4985), ""{{}}"", E4985), B4985)"),"Louer appartement Vufflens-la-Ville: Trouvez le bien immobilier qui correspond idéalement à vos désirs sur ImmoScout24 - La plateforme de l'immobilier en Suisse.")</f>
        <v>Louer appartement Vufflens-la-Ville: Trouvez le bien immobilier qui correspond idéalement à vos désirs sur ImmoScout24 - La plateforme de l'immobilier en Suisse.</v>
      </c>
    </row>
    <row r="4986" hidden="1">
      <c r="A4986" s="5" t="s">
        <v>13070</v>
      </c>
      <c r="B4986" s="2" t="s">
        <v>13071</v>
      </c>
      <c r="C4986" s="2" t="s">
        <v>13071</v>
      </c>
      <c r="D4986" s="4" t="str">
        <f>vlookup(A4986, Sheet2!D:E, 2, 0)</f>
        <v>control</v>
      </c>
      <c r="E4986" s="4" t="str">
        <f>IFERROR(__xludf.DUMMYFUNCTION("if(H4986=""pays"",vlookup(REGEXEXTRACT(C4986, ""🏘️ \w+ \w+ (.*) ✅""),'Country prepositions'!A:B, 2, 0) &amp; "" "" &amp; REGEXEXTRACT(C4986, ""🏘️ \w+ \w+ (.*) ✅"") ,  if(H4986=""quartier"",vlookup(REGEXEXTRACT(C4986, ""🏘️ \w+ \w+ (.*) ✅""),'Quartier prepositio"&amp;"ns'!A:E, 5, 0) ,  if(H4986=""region"",vlookup(REGEXEXTRACT(C4986, ""🏘️ \w+ \w+ (.*) ✅""),'Region prepositions'!B:F, 5, 0),  REGEXEXTRACT(C4986, ""🏘️ \w+ \w+ (.*) ✅""))))"),"#N/A")</f>
        <v>#N/A</v>
      </c>
      <c r="I4986" s="4" t="str">
        <f>IFERROR(__xludf.DUMMYFUNCTION("if(D4986=""variant"",  substitute(filter(Templates!E:E, Templates!A:A = F4986, Templates!B:B = G4986, Templates!C:C = H4986), ""{{}}"", E4986), B4986)"),"Louer appartement Kriens: Trouvez le bien immobilier qui correspond idéalement à vos désirs sur ImmoScout24 - La plateforme de l'immobilier en Suisse.")</f>
        <v>Louer appartement Kriens: Trouvez le bien immobilier qui correspond idéalement à vos désirs sur ImmoScout24 - La plateforme de l'immobilier en Suisse.</v>
      </c>
    </row>
    <row r="4987" hidden="1">
      <c r="A4987" s="5" t="s">
        <v>13072</v>
      </c>
      <c r="B4987" s="2" t="s">
        <v>13073</v>
      </c>
      <c r="C4987" s="2" t="s">
        <v>13073</v>
      </c>
      <c r="D4987" s="4" t="str">
        <f>vlookup(A4987, Sheet2!D:E, 2, 0)</f>
        <v>control</v>
      </c>
      <c r="E4987" s="4" t="str">
        <f>IFERROR(__xludf.DUMMYFUNCTION("if(H4987=""pays"",vlookup(REGEXEXTRACT(C4987, ""🏘️ \w+ \w+ (.*) ✅""),'Country prepositions'!A:B, 2, 0) &amp; "" "" &amp; REGEXEXTRACT(C4987, ""🏘️ \w+ \w+ (.*) ✅"") ,  if(H4987=""quartier"",vlookup(REGEXEXTRACT(C4987, ""🏘️ \w+ \w+ (.*) ✅""),'Quartier prepositio"&amp;"ns'!A:E, 5, 0) ,  if(H4987=""region"",vlookup(REGEXEXTRACT(C4987, ""🏘️ \w+ \w+ (.*) ✅""),'Region prepositions'!B:F, 5, 0),  REGEXEXTRACT(C4987, ""🏘️ \w+ \w+ (.*) ✅""))))"),"#N/A")</f>
        <v>#N/A</v>
      </c>
      <c r="I4987" s="4" t="str">
        <f>IFERROR(__xludf.DUMMYFUNCTION("if(D4987=""variant"",  substitute(filter(Templates!E:E, Templates!A:A = F4987, Templates!B:B = G4987, Templates!C:C = H4987), ""{{}}"", E4987), B4987)"),"Vendre maison Niouc: Trouvez le bien immobilier qui correspond idéalement à vos désirs sur ImmoScout24 - La plateforme de l'immobilier en Suisse.")</f>
        <v>Vendre maison Niouc: Trouvez le bien immobilier qui correspond idéalement à vos désirs sur ImmoScout24 - La plateforme de l'immobilier en Suisse.</v>
      </c>
    </row>
    <row r="4988" hidden="1">
      <c r="A4988" s="5" t="s">
        <v>13074</v>
      </c>
      <c r="B4988" s="2" t="s">
        <v>13075</v>
      </c>
      <c r="C4988" s="2" t="s">
        <v>13075</v>
      </c>
      <c r="D4988" s="4" t="str">
        <f>vlookup(A4988, Sheet2!D:E, 2, 0)</f>
        <v>control</v>
      </c>
      <c r="E4988" s="4" t="str">
        <f>IFERROR(__xludf.DUMMYFUNCTION("if(H4988=""pays"",vlookup(REGEXEXTRACT(C4988, ""🏘️ \w+ \w+ (.*) ✅""),'Country prepositions'!A:B, 2, 0) &amp; "" "" &amp; REGEXEXTRACT(C4988, ""🏘️ \w+ \w+ (.*) ✅"") ,  if(H4988=""quartier"",vlookup(REGEXEXTRACT(C4988, ""🏘️ \w+ \w+ (.*) ✅""),'Quartier prepositio"&amp;"ns'!A:E, 5, 0) ,  if(H4988=""region"",vlookup(REGEXEXTRACT(C4988, ""🏘️ \w+ \w+ (.*) ✅""),'Region prepositions'!B:F, 5, 0),  REGEXEXTRACT(C4988, ""🏘️ \w+ \w+ (.*) ✅""))))"),"#N/A")</f>
        <v>#N/A</v>
      </c>
      <c r="I4988" s="4" t="str">
        <f>IFERROR(__xludf.DUMMYFUNCTION("if(D4988=""variant"",  substitute(filter(Templates!E:E, Templates!A:A = F4988, Templates!B:B = G4988, Templates!C:C = H4988), ""{{}}"", E4988), B4988)"),"Louer appartement Oron-la-Ville: Trouvez le bien immobilier qui correspond idéalement à vos désirs sur ImmoScout24 - La plateforme de l'immobilier en Suisse.")</f>
        <v>Louer appartement Oron-la-Ville: Trouvez le bien immobilier qui correspond idéalement à vos désirs sur ImmoScout24 - La plateforme de l'immobilier en Suisse.</v>
      </c>
    </row>
    <row r="4989" hidden="1">
      <c r="A4989" s="5" t="s">
        <v>13076</v>
      </c>
      <c r="B4989" s="2" t="s">
        <v>13077</v>
      </c>
      <c r="C4989" s="2" t="s">
        <v>13077</v>
      </c>
      <c r="D4989" s="4" t="str">
        <f>vlookup(A4989, Sheet2!D:E, 2, 0)</f>
        <v>control</v>
      </c>
      <c r="E4989" s="4" t="str">
        <f>IFERROR(__xludf.DUMMYFUNCTION("if(H4989=""pays"",vlookup(REGEXEXTRACT(C4989, ""🏘️ \w+ \w+ (.*) ✅""),'Country prepositions'!A:B, 2, 0) &amp; "" "" &amp; REGEXEXTRACT(C4989, ""🏘️ \w+ \w+ (.*) ✅"") ,  if(H4989=""quartier"",vlookup(REGEXEXTRACT(C4989, ""🏘️ \w+ \w+ (.*) ✅""),'Quartier prepositio"&amp;"ns'!A:E, 5, 0) ,  if(H4989=""region"",vlookup(REGEXEXTRACT(C4989, ""🏘️ \w+ \w+ (.*) ✅""),'Region prepositions'!B:F, 5, 0),  REGEXEXTRACT(C4989, ""🏘️ \w+ \w+ (.*) ✅""))))"),"#N/A")</f>
        <v>#N/A</v>
      </c>
      <c r="I4989" s="4" t="str">
        <f>IFERROR(__xludf.DUMMYFUNCTION("if(D4989=""variant"",  substitute(filter(Templates!E:E, Templates!A:A = F4989, Templates!B:B = G4989, Templates!C:C = H4989), ""{{}}"", E4989), B4989)"),"Vendre maison Windisch: Trouvez le bien immobilier qui correspond idéalement à vos désirs sur ImmoScout24 - La plateforme de l'immobilier en Suisse.")</f>
        <v>Vendre maison Windisch: Trouvez le bien immobilier qui correspond idéalement à vos désirs sur ImmoScout24 - La plateforme de l'immobilier en Suisse.</v>
      </c>
    </row>
    <row r="4990" hidden="1">
      <c r="A4990" s="5" t="s">
        <v>13078</v>
      </c>
      <c r="B4990" s="2" t="s">
        <v>13079</v>
      </c>
      <c r="C4990" s="2" t="s">
        <v>13079</v>
      </c>
      <c r="D4990" s="4" t="str">
        <f>vlookup(A4990, Sheet2!D:E, 2, 0)</f>
        <v>control</v>
      </c>
      <c r="E4990" s="4" t="str">
        <f>IFERROR(__xludf.DUMMYFUNCTION("if(H4990=""pays"",vlookup(REGEXEXTRACT(C4990, ""🏘️ \w+ \w+ (.*) ✅""),'Country prepositions'!A:B, 2, 0) &amp; "" "" &amp; REGEXEXTRACT(C4990, ""🏘️ \w+ \w+ (.*) ✅"") ,  if(H4990=""quartier"",vlookup(REGEXEXTRACT(C4990, ""🏘️ \w+ \w+ (.*) ✅""),'Quartier prepositio"&amp;"ns'!A:E, 5, 0) ,  if(H4990=""region"",vlookup(REGEXEXTRACT(C4990, ""🏘️ \w+ \w+ (.*) ✅""),'Region prepositions'!B:F, 5, 0),  REGEXEXTRACT(C4990, ""🏘️ \w+ \w+ (.*) ✅""))))"),"#N/A")</f>
        <v>#N/A</v>
      </c>
      <c r="I4990" s="4" t="str">
        <f>IFERROR(__xludf.DUMMYFUNCTION("if(D4990=""variant"",  substitute(filter(Templates!E:E, Templates!A:A = F4990, Templates!B:B = G4990, Templates!C:C = H4990), ""{{}}"", E4990), B4990)"),"Vendre appartement Ruche (La Chaux-de-Fonds): Trouvez le bien immobilier qui correspond idéalement à vos désirs sur ImmoScout24 - La plateforme de l'immobilier en Suisse.")</f>
        <v>Vendre appartement Ruche (La Chaux-de-Fonds): Trouvez le bien immobilier qui correspond idéalement à vos désirs sur ImmoScout24 - La plateforme de l'immobilier en Suisse.</v>
      </c>
    </row>
    <row r="4991" hidden="1">
      <c r="A4991" s="5" t="s">
        <v>13080</v>
      </c>
      <c r="B4991" s="2" t="s">
        <v>13081</v>
      </c>
      <c r="C4991" s="2" t="s">
        <v>13081</v>
      </c>
      <c r="D4991" s="4" t="str">
        <f>vlookup(A4991, Sheet2!D:E, 2, 0)</f>
        <v>control</v>
      </c>
      <c r="E4991" s="4" t="str">
        <f>IFERROR(__xludf.DUMMYFUNCTION("if(H4991=""pays"",vlookup(REGEXEXTRACT(C4991, ""🏘️ \w+ \w+ (.*) ✅""),'Country prepositions'!A:B, 2, 0) &amp; "" "" &amp; REGEXEXTRACT(C4991, ""🏘️ \w+ \w+ (.*) ✅"") ,  if(H4991=""quartier"",vlookup(REGEXEXTRACT(C4991, ""🏘️ \w+ \w+ (.*) ✅""),'Quartier prepositio"&amp;"ns'!A:E, 5, 0) ,  if(H4991=""region"",vlookup(REGEXEXTRACT(C4991, ""🏘️ \w+ \w+ (.*) ✅""),'Region prepositions'!B:F, 5, 0),  REGEXEXTRACT(C4991, ""🏘️ \w+ \w+ (.*) ✅""))))"),"#N/A")</f>
        <v>#N/A</v>
      </c>
      <c r="I4991" s="4" t="str">
        <f>IFERROR(__xludf.DUMMYFUNCTION("if(D4991=""variant"",  substitute(filter(Templates!E:E, Templates!A:A = F4991, Templates!B:B = G4991, Templates!C:C = H4991), ""{{}}"", E4991), B4991)"),"Louer appartement Kaiseraugst: Trouvez le bien immobilier qui correspond idéalement à vos désirs sur ImmoScout24 - La plateforme de l'immobilier en Suisse.")</f>
        <v>Louer appartement Kaiseraugst: Trouvez le bien immobilier qui correspond idéalement à vos désirs sur ImmoScout24 - La plateforme de l'immobilier en Suisse.</v>
      </c>
    </row>
    <row r="4992" hidden="1">
      <c r="A4992" s="5" t="s">
        <v>13082</v>
      </c>
      <c r="B4992" s="2" t="s">
        <v>13083</v>
      </c>
      <c r="C4992" s="2" t="s">
        <v>13083</v>
      </c>
      <c r="D4992" s="4" t="str">
        <f>vlookup(A4992, Sheet2!D:E, 2, 0)</f>
        <v>control</v>
      </c>
      <c r="E4992" s="4" t="str">
        <f>IFERROR(__xludf.DUMMYFUNCTION("if(H4992=""pays"",vlookup(REGEXEXTRACT(C4992, ""🏘️ \w+ \w+ (.*) ✅""),'Country prepositions'!A:B, 2, 0) &amp; "" "" &amp; REGEXEXTRACT(C4992, ""🏘️ \w+ \w+ (.*) ✅"") ,  if(H4992=""quartier"",vlookup(REGEXEXTRACT(C4992, ""🏘️ \w+ \w+ (.*) ✅""),'Quartier prepositio"&amp;"ns'!A:E, 5, 0) ,  if(H4992=""region"",vlookup(REGEXEXTRACT(C4992, ""🏘️ \w+ \w+ (.*) ✅""),'Region prepositions'!B:F, 5, 0),  REGEXEXTRACT(C4992, ""🏘️ \w+ \w+ (.*) ✅""))))"),"#N/A")</f>
        <v>#N/A</v>
      </c>
      <c r="I4992" s="4" t="str">
        <f>IFERROR(__xludf.DUMMYFUNCTION("if(D4992=""variant"",  substitute(filter(Templates!E:E, Templates!A:A = F4992, Templates!B:B = G4992, Templates!C:C = H4992), ""{{}}"", E4992), B4992)"),"Louer maison Neyruz FR: Trouvez le bien immobilier qui correspond idéalement à vos désirs sur ImmoScout24 - La plateforme de l'immobilier en Suisse.")</f>
        <v>Louer maison Neyruz FR: Trouvez le bien immobilier qui correspond idéalement à vos désirs sur ImmoScout24 - La plateforme de l'immobilier en Suisse.</v>
      </c>
    </row>
    <row r="4993" hidden="1">
      <c r="A4993" s="5" t="s">
        <v>13084</v>
      </c>
      <c r="B4993" s="2" t="s">
        <v>13085</v>
      </c>
      <c r="C4993" s="2" t="s">
        <v>13085</v>
      </c>
      <c r="D4993" s="4" t="str">
        <f>vlookup(A4993, Sheet2!D:E, 2, 0)</f>
        <v>control</v>
      </c>
      <c r="E4993" s="4" t="str">
        <f>IFERROR(__xludf.DUMMYFUNCTION("if(H4993=""pays"",vlookup(REGEXEXTRACT(C4993, ""🏘️ \w+ \w+ (.*) ✅""),'Country prepositions'!A:B, 2, 0) &amp; "" "" &amp; REGEXEXTRACT(C4993, ""🏘️ \w+ \w+ (.*) ✅"") ,  if(H4993=""quartier"",vlookup(REGEXEXTRACT(C4993, ""🏘️ \w+ \w+ (.*) ✅""),'Quartier prepositio"&amp;"ns'!A:E, 5, 0) ,  if(H4993=""region"",vlookup(REGEXEXTRACT(C4993, ""🏘️ \w+ \w+ (.*) ✅""),'Region prepositions'!B:F, 5, 0),  REGEXEXTRACT(C4993, ""🏘️ \w+ \w+ (.*) ✅""))))"),"#N/A")</f>
        <v>#N/A</v>
      </c>
      <c r="I4993" s="4" t="str">
        <f>IFERROR(__xludf.DUMMYFUNCTION("if(D4993=""variant"",  substitute(filter(Templates!E:E, Templates!A:A = F4993, Templates!B:B = G4993, Templates!C:C = H4993), ""{{}}"", E4993), B4993)"),"Vendre maison Estavayer-le-Lac: Trouvez le bien immobilier qui correspond idéalement à vos désirs sur ImmoScout24 - La plateforme de l'immobilier en Suisse.")</f>
        <v>Vendre maison Estavayer-le-Lac: Trouvez le bien immobilier qui correspond idéalement à vos désirs sur ImmoScout24 - La plateforme de l'immobilier en Suisse.</v>
      </c>
    </row>
    <row r="4994" hidden="1">
      <c r="A4994" s="5" t="s">
        <v>13086</v>
      </c>
      <c r="B4994" s="2" t="s">
        <v>13087</v>
      </c>
      <c r="C4994" s="2" t="s">
        <v>13087</v>
      </c>
      <c r="D4994" s="4" t="str">
        <f>vlookup(A4994, Sheet2!D:E, 2, 0)</f>
        <v>control</v>
      </c>
      <c r="E4994" s="4" t="str">
        <f>IFERROR(__xludf.DUMMYFUNCTION("if(H4994=""pays"",vlookup(REGEXEXTRACT(C4994, ""🏘️ \w+ \w+ (.*) ✅""),'Country prepositions'!A:B, 2, 0) &amp; "" "" &amp; REGEXEXTRACT(C4994, ""🏘️ \w+ \w+ (.*) ✅"") ,  if(H4994=""quartier"",vlookup(REGEXEXTRACT(C4994, ""🏘️ \w+ \w+ (.*) ✅""),'Quartier prepositio"&amp;"ns'!A:E, 5, 0) ,  if(H4994=""region"",vlookup(REGEXEXTRACT(C4994, ""🏘️ \w+ \w+ (.*) ✅""),'Region prepositions'!B:F, 5, 0),  REGEXEXTRACT(C4994, ""🏘️ \w+ \w+ (.*) ✅""))))"),"#N/A")</f>
        <v>#N/A</v>
      </c>
      <c r="I4994" s="4" t="str">
        <f>IFERROR(__xludf.DUMMYFUNCTION("if(D4994=""variant"",  substitute(filter(Templates!E:E, Templates!A:A = F4994, Templates!B:B = G4994, Templates!C:C = H4994), ""{{}}"", E4994), B4994)"),"Vendre appartement Vionnaz: Trouvez le bien immobilier qui correspond idéalement à vos désirs sur ImmoScout24 - La plateforme de l'immobilier en Suisse.")</f>
        <v>Vendre appartement Vionnaz: Trouvez le bien immobilier qui correspond idéalement à vos désirs sur ImmoScout24 - La plateforme de l'immobilier en Suisse.</v>
      </c>
    </row>
    <row r="4995" hidden="1">
      <c r="A4995" s="5" t="s">
        <v>13088</v>
      </c>
      <c r="B4995" s="2" t="s">
        <v>13089</v>
      </c>
      <c r="C4995" s="2" t="s">
        <v>13089</v>
      </c>
      <c r="D4995" s="4" t="str">
        <f>vlookup(A4995, Sheet2!D:E, 2, 0)</f>
        <v>control</v>
      </c>
      <c r="E4995" s="4" t="str">
        <f>IFERROR(__xludf.DUMMYFUNCTION("if(H4995=""pays"",vlookup(REGEXEXTRACT(C4995, ""🏘️ \w+ \w+ (.*) ✅""),'Country prepositions'!A:B, 2, 0) &amp; "" "" &amp; REGEXEXTRACT(C4995, ""🏘️ \w+ \w+ (.*) ✅"") ,  if(H4995=""quartier"",vlookup(REGEXEXTRACT(C4995, ""🏘️ \w+ \w+ (.*) ✅""),'Quartier prepositio"&amp;"ns'!A:E, 5, 0) ,  if(H4995=""region"",vlookup(REGEXEXTRACT(C4995, ""🏘️ \w+ \w+ (.*) ✅""),'Region prepositions'!B:F, 5, 0),  REGEXEXTRACT(C4995, ""🏘️ \w+ \w+ (.*) ✅""))))"),"#N/A")</f>
        <v>#N/A</v>
      </c>
      <c r="I4995" s="4" t="str">
        <f>IFERROR(__xludf.DUMMYFUNCTION("if(D4995=""variant"",  substitute(filter(Templates!E:E, Templates!A:A = F4995, Templates!B:B = G4995, Templates!C:C = H4995), ""{{}}"", E4995), B4995)"),"Vendre maison Sobrio: Trouvez le bien immobilier qui correspond idéalement à vos désirs sur ImmoScout24 - La plateforme de l'immobilier en Suisse.")</f>
        <v>Vendre maison Sobrio: Trouvez le bien immobilier qui correspond idéalement à vos désirs sur ImmoScout24 - La plateforme de l'immobilier en Suisse.</v>
      </c>
    </row>
    <row r="4996" hidden="1">
      <c r="A4996" s="5" t="s">
        <v>13090</v>
      </c>
      <c r="B4996" s="2" t="s">
        <v>13091</v>
      </c>
      <c r="C4996" s="2" t="s">
        <v>13091</v>
      </c>
      <c r="D4996" s="4" t="str">
        <f>vlookup(A4996, Sheet2!D:E, 2, 0)</f>
        <v>control</v>
      </c>
      <c r="E4996" s="4" t="str">
        <f>IFERROR(__xludf.DUMMYFUNCTION("if(H4996=""pays"",vlookup(REGEXEXTRACT(C4996, ""🏘️ \w+ \w+ (.*) ✅""),'Country prepositions'!A:B, 2, 0) &amp; "" "" &amp; REGEXEXTRACT(C4996, ""🏘️ \w+ \w+ (.*) ✅"") ,  if(H4996=""quartier"",vlookup(REGEXEXTRACT(C4996, ""🏘️ \w+ \w+ (.*) ✅""),'Quartier prepositio"&amp;"ns'!A:E, 5, 0) ,  if(H4996=""region"",vlookup(REGEXEXTRACT(C4996, ""🏘️ \w+ \w+ (.*) ✅""),'Region prepositions'!B:F, 5, 0),  REGEXEXTRACT(C4996, ""🏘️ \w+ \w+ (.*) ✅""))))"),"#N/A")</f>
        <v>#N/A</v>
      </c>
      <c r="I4996" s="4" t="str">
        <f>IFERROR(__xludf.DUMMYFUNCTION("if(D4996=""variant"",  substitute(filter(Templates!E:E, Templates!A:A = F4996, Templates!B:B = G4996, Templates!C:C = H4996), ""{{}}"", E4996), B4996)"),"Vendre maison Baden: Trouvez le bien immobilier qui correspond idéalement à vos désirs sur ImmoScout24 - La plateforme de l'immobilier en Suisse.")</f>
        <v>Vendre maison Baden: Trouvez le bien immobilier qui correspond idéalement à vos désirs sur ImmoScout24 - La plateforme de l'immobilier en Suisse.</v>
      </c>
    </row>
    <row r="4997" hidden="1">
      <c r="A4997" s="5" t="s">
        <v>13092</v>
      </c>
      <c r="B4997" s="2" t="s">
        <v>13093</v>
      </c>
      <c r="C4997" s="2" t="s">
        <v>13093</v>
      </c>
      <c r="D4997" s="4" t="str">
        <f>vlookup(A4997, Sheet2!D:E, 2, 0)</f>
        <v>control</v>
      </c>
      <c r="E4997" s="4" t="str">
        <f>IFERROR(__xludf.DUMMYFUNCTION("if(H4997=""pays"",vlookup(REGEXEXTRACT(C4997, ""🏘️ \w+ \w+ (.*) ✅""),'Country prepositions'!A:B, 2, 0) &amp; "" "" &amp; REGEXEXTRACT(C4997, ""🏘️ \w+ \w+ (.*) ✅"") ,  if(H4997=""quartier"",vlookup(REGEXEXTRACT(C4997, ""🏘️ \w+ \w+ (.*) ✅""),'Quartier prepositio"&amp;"ns'!A:E, 5, 0) ,  if(H4997=""region"",vlookup(REGEXEXTRACT(C4997, ""🏘️ \w+ \w+ (.*) ✅""),'Region prepositions'!B:F, 5, 0),  REGEXEXTRACT(C4997, ""🏘️ \w+ \w+ (.*) ✅""))))"),"#N/A")</f>
        <v>#N/A</v>
      </c>
      <c r="I4997" s="4" t="str">
        <f>IFERROR(__xludf.DUMMYFUNCTION("if(D4997=""variant"",  substitute(filter(Templates!E:E, Templates!A:A = F4997, Templates!B:B = G4997, Templates!C:C = H4997), ""{{}}"", E4997), B4997)"),"Vendre appartement Grandevent: Trouvez le bien immobilier qui correspond idéalement à vos désirs sur ImmoScout24 - La plateforme de l'immobilier en Suisse.")</f>
        <v>Vendre appartement Grandevent: Trouvez le bien immobilier qui correspond idéalement à vos désirs sur ImmoScout24 - La plateforme de l'immobilier en Suisse.</v>
      </c>
    </row>
    <row r="4998" hidden="1">
      <c r="A4998" s="5" t="s">
        <v>13094</v>
      </c>
      <c r="B4998" s="2" t="s">
        <v>13095</v>
      </c>
      <c r="C4998" s="2" t="s">
        <v>13095</v>
      </c>
      <c r="D4998" s="4" t="str">
        <f>vlookup(A4998, Sheet2!D:E, 2, 0)</f>
        <v>control</v>
      </c>
      <c r="E4998" s="4" t="str">
        <f>IFERROR(__xludf.DUMMYFUNCTION("if(H4998=""pays"",vlookup(REGEXEXTRACT(C4998, ""🏘️ \w+ \w+ (.*) ✅""),'Country prepositions'!A:B, 2, 0) &amp; "" "" &amp; REGEXEXTRACT(C4998, ""🏘️ \w+ \w+ (.*) ✅"") ,  if(H4998=""quartier"",vlookup(REGEXEXTRACT(C4998, ""🏘️ \w+ \w+ (.*) ✅""),'Quartier prepositio"&amp;"ns'!A:E, 5, 0) ,  if(H4998=""region"",vlookup(REGEXEXTRACT(C4998, ""🏘️ \w+ \w+ (.*) ✅""),'Region prepositions'!B:F, 5, 0),  REGEXEXTRACT(C4998, ""🏘️ \w+ \w+ (.*) ✅""))))"),"#N/A")</f>
        <v>#N/A</v>
      </c>
      <c r="I4998" s="4" t="str">
        <f>IFERROR(__xludf.DUMMYFUNCTION("if(D4998=""variant"",  substitute(filter(Templates!E:E, Templates!A:A = F4998, Templates!B:B = G4998, Templates!C:C = H4998), ""{{}}"", E4998), B4998)"),"Vendre appartement Les Monts-de-Pully: Trouvez le bien immobilier qui correspond idéalement à vos désirs sur ImmoScout24 - La plateforme de l'immobilier en Suisse.")</f>
        <v>Vendre appartement Les Monts-de-Pully: Trouvez le bien immobilier qui correspond idéalement à vos désirs sur ImmoScout24 - La plateforme de l'immobilier en Suisse.</v>
      </c>
    </row>
    <row r="4999" hidden="1">
      <c r="A4999" s="5" t="s">
        <v>13096</v>
      </c>
      <c r="B4999" s="2" t="s">
        <v>13097</v>
      </c>
      <c r="C4999" s="2" t="s">
        <v>13097</v>
      </c>
      <c r="D4999" s="4" t="str">
        <f>vlookup(A4999, Sheet2!D:E, 2, 0)</f>
        <v>control</v>
      </c>
      <c r="E4999" s="4" t="str">
        <f>IFERROR(__xludf.DUMMYFUNCTION("if(H4999=""pays"",vlookup(REGEXEXTRACT(C4999, ""🏘️ \w+ \w+ (.*) ✅""),'Country prepositions'!A:B, 2, 0) &amp; "" "" &amp; REGEXEXTRACT(C4999, ""🏘️ \w+ \w+ (.*) ✅"") ,  if(H4999=""quartier"",vlookup(REGEXEXTRACT(C4999, ""🏘️ \w+ \w+ (.*) ✅""),'Quartier prepositio"&amp;"ns'!A:E, 5, 0) ,  if(H4999=""region"",vlookup(REGEXEXTRACT(C4999, ""🏘️ \w+ \w+ (.*) ✅""),'Region prepositions'!B:F, 5, 0),  REGEXEXTRACT(C4999, ""🏘️ \w+ \w+ (.*) ✅""))))"),"#N/A")</f>
        <v>#N/A</v>
      </c>
      <c r="I4999" s="4" t="str">
        <f>IFERROR(__xludf.DUMMYFUNCTION("if(D4999=""variant"",  substitute(filter(Templates!E:E, Templates!A:A = F4999, Templates!B:B = G4999, Templates!C:C = H4999), ""{{}}"", E4999), B4999)"),"Louer appartement Molondin: Trouvez le bien immobilier qui correspond idéalement à vos désirs sur ImmoScout24 - La plateforme de l'immobilier en Suisse.")</f>
        <v>Louer appartement Molondin: Trouvez le bien immobilier qui correspond idéalement à vos désirs sur ImmoScout24 - La plateforme de l'immobilier en Suisse.</v>
      </c>
    </row>
    <row r="5000" hidden="1">
      <c r="A5000" s="5" t="s">
        <v>13098</v>
      </c>
      <c r="B5000" s="2" t="s">
        <v>13099</v>
      </c>
      <c r="C5000" s="2" t="s">
        <v>13099</v>
      </c>
      <c r="D5000" s="4" t="str">
        <f>vlookup(A5000, Sheet2!D:E, 2, 0)</f>
        <v>control</v>
      </c>
      <c r="E5000" s="4" t="str">
        <f>IFERROR(__xludf.DUMMYFUNCTION("if(H5000=""pays"",vlookup(REGEXEXTRACT(C5000, ""🏘️ \w+ \w+ (.*) ✅""),'Country prepositions'!A:B, 2, 0) &amp; "" "" &amp; REGEXEXTRACT(C5000, ""🏘️ \w+ \w+ (.*) ✅"") ,  if(H5000=""quartier"",vlookup(REGEXEXTRACT(C5000, ""🏘️ \w+ \w+ (.*) ✅""),'Quartier prepositio"&amp;"ns'!A:E, 5, 0) ,  if(H5000=""region"",vlookup(REGEXEXTRACT(C5000, ""🏘️ \w+ \w+ (.*) ✅""),'Region prepositions'!B:F, 5, 0),  REGEXEXTRACT(C5000, ""🏘️ \w+ \w+ (.*) ✅""))))"),"#N/A")</f>
        <v>#N/A</v>
      </c>
      <c r="I5000" s="4" t="str">
        <f>IFERROR(__xludf.DUMMYFUNCTION("if(D5000=""variant"",  substitute(filter(Templates!E:E, Templates!A:A = F5000, Templates!B:B = G5000, Templates!C:C = H5000), ""{{}}"", E5000), B5000)"),"Vendre appartement Wollerau: Trouvez le bien immobilier qui correspond idéalement à vos désirs sur ImmoScout24 - La plateforme de l'immobilier en Suisse.")</f>
        <v>Vendre appartement Wollerau: Trouvez le bien immobilier qui correspond idéalement à vos désirs sur ImmoScout24 - La plateforme de l'immobilier en Suisse.</v>
      </c>
    </row>
    <row r="5001" hidden="1">
      <c r="A5001" s="5" t="s">
        <v>13100</v>
      </c>
      <c r="B5001" s="2" t="s">
        <v>13101</v>
      </c>
      <c r="C5001" s="2" t="s">
        <v>13101</v>
      </c>
      <c r="D5001" s="4" t="str">
        <f>vlookup(A5001, Sheet2!D:E, 2, 0)</f>
        <v>control</v>
      </c>
      <c r="E5001" s="4" t="str">
        <f>IFERROR(__xludf.DUMMYFUNCTION("if(H5001=""pays"",vlookup(REGEXEXTRACT(C5001, ""🏘️ \w+ \w+ (.*) ✅""),'Country prepositions'!A:B, 2, 0) &amp; "" "" &amp; REGEXEXTRACT(C5001, ""🏘️ \w+ \w+ (.*) ✅"") ,  if(H5001=""quartier"",vlookup(REGEXEXTRACT(C5001, ""🏘️ \w+ \w+ (.*) ✅""),'Quartier prepositio"&amp;"ns'!A:E, 5, 0) ,  if(H5001=""region"",vlookup(REGEXEXTRACT(C5001, ""🏘️ \w+ \w+ (.*) ✅""),'Region prepositions'!B:F, 5, 0),  REGEXEXTRACT(C5001, ""🏘️ \w+ \w+ (.*) ✅""))))"),"#N/A")</f>
        <v>#N/A</v>
      </c>
      <c r="I5001" s="4" t="str">
        <f>IFERROR(__xludf.DUMMYFUNCTION("if(D5001=""variant"",  substitute(filter(Templates!E:E, Templates!A:A = F5001, Templates!B:B = G5001, Templates!C:C = H5001), ""{{}}"", E5001), B5001)"),"Louer appartement Monbijou (Berne): Trouvez le bien immobilier qui correspond idéalement à vos désirs sur ImmoScout24 - La plateforme de l'immobilier en Suisse.")</f>
        <v>Louer appartement Monbijou (Berne): Trouvez le bien immobilier qui correspond idéalement à vos désirs sur ImmoScout24 - La plateforme de l'immobilier en Suisse.</v>
      </c>
    </row>
    <row r="5002" hidden="1">
      <c r="A5002" s="5" t="s">
        <v>13102</v>
      </c>
      <c r="B5002" s="2" t="s">
        <v>13103</v>
      </c>
      <c r="C5002" s="2" t="s">
        <v>13103</v>
      </c>
      <c r="D5002" s="4" t="str">
        <f>vlookup(A5002, Sheet2!D:E, 2, 0)</f>
        <v>control</v>
      </c>
      <c r="E5002" s="4" t="str">
        <f>IFERROR(__xludf.DUMMYFUNCTION("if(H5002=""pays"",vlookup(REGEXEXTRACT(C5002, ""🏘️ \w+ \w+ (.*) ✅""),'Country prepositions'!A:B, 2, 0) &amp; "" "" &amp; REGEXEXTRACT(C5002, ""🏘️ \w+ \w+ (.*) ✅"") ,  if(H5002=""quartier"",vlookup(REGEXEXTRACT(C5002, ""🏘️ \w+ \w+ (.*) ✅""),'Quartier prepositio"&amp;"ns'!A:E, 5, 0) ,  if(H5002=""region"",vlookup(REGEXEXTRACT(C5002, ""🏘️ \w+ \w+ (.*) ✅""),'Region prepositions'!B:F, 5, 0),  REGEXEXTRACT(C5002, ""🏘️ \w+ \w+ (.*) ✅""))))"),"#N/A")</f>
        <v>#N/A</v>
      </c>
      <c r="I5002" s="4" t="str">
        <f>IFERROR(__xludf.DUMMYFUNCTION("if(D5002=""variant"",  substitute(filter(Templates!E:E, Templates!A:A = F5002, Templates!B:B = G5002, Templates!C:C = H5002), ""{{}}"", E5002), B5002)"),"Louer maison Marsens: Trouvez le bien immobilier qui correspond idéalement à vos désirs sur ImmoScout24 - La plateforme de l'immobilier en Suisse.")</f>
        <v>Louer maison Marsens: Trouvez le bien immobilier qui correspond idéalement à vos désirs sur ImmoScout24 - La plateforme de l'immobilier en Suisse.</v>
      </c>
    </row>
    <row r="5003" hidden="1">
      <c r="A5003" s="5" t="s">
        <v>13104</v>
      </c>
      <c r="B5003" s="2" t="s">
        <v>13105</v>
      </c>
      <c r="C5003" s="2" t="s">
        <v>13105</v>
      </c>
      <c r="D5003" s="4" t="str">
        <f>vlookup(A5003, Sheet2!D:E, 2, 0)</f>
        <v>control</v>
      </c>
      <c r="E5003" s="4" t="str">
        <f>IFERROR(__xludf.DUMMYFUNCTION("if(H5003=""pays"",vlookup(REGEXEXTRACT(C5003, ""🏘️ \w+ \w+ (.*) ✅""),'Country prepositions'!A:B, 2, 0) &amp; "" "" &amp; REGEXEXTRACT(C5003, ""🏘️ \w+ \w+ (.*) ✅"") ,  if(H5003=""quartier"",vlookup(REGEXEXTRACT(C5003, ""🏘️ \w+ \w+ (.*) ✅""),'Quartier prepositio"&amp;"ns'!A:E, 5, 0) ,  if(H5003=""region"",vlookup(REGEXEXTRACT(C5003, ""🏘️ \w+ \w+ (.*) ✅""),'Region prepositions'!B:F, 5, 0),  REGEXEXTRACT(C5003, ""🏘️ \w+ \w+ (.*) ✅""))))"),"#N/A")</f>
        <v>#N/A</v>
      </c>
      <c r="I5003" s="4" t="str">
        <f>IFERROR(__xludf.DUMMYFUNCTION("if(D5003=""variant"",  substitute(filter(Templates!E:E, Templates!A:A = F5003, Templates!B:B = G5003, Templates!C:C = H5003), ""{{}}"", E5003), B5003)"),"Louer appartement Bourguillon: Trouvez le bien immobilier qui correspond idéalement à vos désirs sur ImmoScout24 - La plateforme de l'immobilier en Suisse.")</f>
        <v>Louer appartement Bourguillon: Trouvez le bien immobilier qui correspond idéalement à vos désirs sur ImmoScout24 - La plateforme de l'immobilier en Suisse.</v>
      </c>
    </row>
    <row r="5004" hidden="1">
      <c r="A5004" s="5" t="s">
        <v>13106</v>
      </c>
      <c r="B5004" s="2" t="s">
        <v>13107</v>
      </c>
      <c r="C5004" s="2" t="s">
        <v>13107</v>
      </c>
      <c r="D5004" s="4" t="str">
        <f>vlookup(A5004, Sheet2!D:E, 2, 0)</f>
        <v>control</v>
      </c>
      <c r="E5004" s="4" t="str">
        <f>IFERROR(__xludf.DUMMYFUNCTION("if(H5004=""pays"",vlookup(REGEXEXTRACT(C5004, ""🏘️ \w+ \w+ (.*) ✅""),'Country prepositions'!A:B, 2, 0) &amp; "" "" &amp; REGEXEXTRACT(C5004, ""🏘️ \w+ \w+ (.*) ✅"") ,  if(H5004=""quartier"",vlookup(REGEXEXTRACT(C5004, ""🏘️ \w+ \w+ (.*) ✅""),'Quartier prepositio"&amp;"ns'!A:E, 5, 0) ,  if(H5004=""region"",vlookup(REGEXEXTRACT(C5004, ""🏘️ \w+ \w+ (.*) ✅""),'Region prepositions'!B:F, 5, 0),  REGEXEXTRACT(C5004, ""🏘️ \w+ \w+ (.*) ✅""))))"),"#N/A")</f>
        <v>#N/A</v>
      </c>
      <c r="I5004" s="4" t="str">
        <f>IFERROR(__xludf.DUMMYFUNCTION("if(D5004=""variant"",  substitute(filter(Templates!E:E, Templates!A:A = F5004, Templates!B:B = G5004, Templates!C:C = H5004), ""{{}}"", E5004), B5004)"),"Louer appartement Urtenen-Schönbühl: Trouvez le bien immobilier qui correspond idéalement à vos désirs sur ImmoScout24 - La plateforme de l'immobilier en Suisse.")</f>
        <v>Louer appartement Urtenen-Schönbühl: Trouvez le bien immobilier qui correspond idéalement à vos désirs sur ImmoScout24 - La plateforme de l'immobilier en Suisse.</v>
      </c>
    </row>
    <row r="5005" hidden="1">
      <c r="A5005" s="5" t="s">
        <v>13108</v>
      </c>
      <c r="B5005" s="2" t="s">
        <v>13109</v>
      </c>
      <c r="C5005" s="2" t="s">
        <v>13109</v>
      </c>
      <c r="D5005" s="4" t="str">
        <f>vlookup(A5005, Sheet2!D:E, 2, 0)</f>
        <v>control</v>
      </c>
      <c r="E5005" s="4" t="str">
        <f>IFERROR(__xludf.DUMMYFUNCTION("if(H5005=""pays"",vlookup(REGEXEXTRACT(C5005, ""🏘️ \w+ \w+ (.*) ✅""),'Country prepositions'!A:B, 2, 0) &amp; "" "" &amp; REGEXEXTRACT(C5005, ""🏘️ \w+ \w+ (.*) ✅"") ,  if(H5005=""quartier"",vlookup(REGEXEXTRACT(C5005, ""🏘️ \w+ \w+ (.*) ✅""),'Quartier prepositio"&amp;"ns'!A:E, 5, 0) ,  if(H5005=""region"",vlookup(REGEXEXTRACT(C5005, ""🏘️ \w+ \w+ (.*) ✅""),'Region prepositions'!B:F, 5, 0),  REGEXEXTRACT(C5005, ""🏘️ \w+ \w+ (.*) ✅""))))"),"#N/A")</f>
        <v>#N/A</v>
      </c>
      <c r="I5005" s="4" t="str">
        <f>IFERROR(__xludf.DUMMYFUNCTION("if(D5005=""variant"",  substitute(filter(Templates!E:E, Templates!A:A = F5005, Templates!B:B = G5005, Templates!C:C = H5005), ""{{}}"", E5005), B5005)"),"Louer appartement Evolène: Trouvez le bien immobilier qui correspond idéalement à vos désirs sur ImmoScout24 - La plateforme de l'immobilier en Suisse.")</f>
        <v>Louer appartement Evolène: Trouvez le bien immobilier qui correspond idéalement à vos désirs sur ImmoScout24 - La plateforme de l'immobilier en Suisse.</v>
      </c>
    </row>
    <row r="5006" hidden="1">
      <c r="A5006" s="5" t="s">
        <v>13110</v>
      </c>
      <c r="B5006" s="2" t="s">
        <v>13111</v>
      </c>
      <c r="C5006" s="2" t="s">
        <v>13111</v>
      </c>
      <c r="D5006" s="4" t="str">
        <f>vlookup(A5006, Sheet2!D:E, 2, 0)</f>
        <v>control</v>
      </c>
      <c r="E5006" s="4" t="str">
        <f>IFERROR(__xludf.DUMMYFUNCTION("if(H5006=""pays"",vlookup(REGEXEXTRACT(C5006, ""🏘️ \w+ \w+ (.*) ✅""),'Country prepositions'!A:B, 2, 0) &amp; "" "" &amp; REGEXEXTRACT(C5006, ""🏘️ \w+ \w+ (.*) ✅"") ,  if(H5006=""quartier"",vlookup(REGEXEXTRACT(C5006, ""🏘️ \w+ \w+ (.*) ✅""),'Quartier prepositio"&amp;"ns'!A:E, 5, 0) ,  if(H5006=""region"",vlookup(REGEXEXTRACT(C5006, ""🏘️ \w+ \w+ (.*) ✅""),'Region prepositions'!B:F, 5, 0),  REGEXEXTRACT(C5006, ""🏘️ \w+ \w+ (.*) ✅""))))"),"#N/A")</f>
        <v>#N/A</v>
      </c>
      <c r="I5006" s="4" t="str">
        <f>IFERROR(__xludf.DUMMYFUNCTION("if(D5006=""variant"",  substitute(filter(Templates!E:E, Templates!A:A = F5006, Templates!B:B = G5006, Templates!C:C = H5006), ""{{}}"", E5006), B5006)"),"Vendre maison Aclens: Trouvez le bien immobilier qui correspond idéalement à vos désirs sur ImmoScout24 - La plateforme de l'immobilier en Suisse.")</f>
        <v>Vendre maison Aclens: Trouvez le bien immobilier qui correspond idéalement à vos désirs sur ImmoScout24 - La plateforme de l'immobilier en Suisse.</v>
      </c>
    </row>
    <row r="5007" hidden="1">
      <c r="A5007" s="5" t="s">
        <v>13112</v>
      </c>
      <c r="B5007" s="2" t="s">
        <v>13113</v>
      </c>
      <c r="C5007" s="2" t="s">
        <v>13113</v>
      </c>
      <c r="D5007" s="4" t="str">
        <f>vlookup(A5007, Sheet2!D:E, 2, 0)</f>
        <v>control</v>
      </c>
      <c r="E5007" s="4" t="str">
        <f>IFERROR(__xludf.DUMMYFUNCTION("if(H5007=""pays"",vlookup(REGEXEXTRACT(C5007, ""🏘️ \w+ \w+ (.*) ✅""),'Country prepositions'!A:B, 2, 0) &amp; "" "" &amp; REGEXEXTRACT(C5007, ""🏘️ \w+ \w+ (.*) ✅"") ,  if(H5007=""quartier"",vlookup(REGEXEXTRACT(C5007, ""🏘️ \w+ \w+ (.*) ✅""),'Quartier prepositio"&amp;"ns'!A:E, 5, 0) ,  if(H5007=""region"",vlookup(REGEXEXTRACT(C5007, ""🏘️ \w+ \w+ (.*) ✅""),'Region prepositions'!B:F, 5, 0),  REGEXEXTRACT(C5007, ""🏘️ \w+ \w+ (.*) ✅""))))"),"#N/A")</f>
        <v>#N/A</v>
      </c>
      <c r="I5007" s="4" t="str">
        <f>IFERROR(__xludf.DUMMYFUNCTION("if(D5007=""variant"",  substitute(filter(Templates!E:E, Templates!A:A = F5007, Templates!B:B = G5007, Templates!C:C = H5007), ""{{}}"", E5007), B5007)"),"Vendre maison St. Antönien: Trouvez le bien immobilier qui correspond idéalement à vos désirs sur ImmoScout24 - La plateforme de l'immobilier en Suisse.")</f>
        <v>Vendre maison St. Antönien: Trouvez le bien immobilier qui correspond idéalement à vos désirs sur ImmoScout24 - La plateforme de l'immobilier en Suisse.</v>
      </c>
    </row>
    <row r="5008" hidden="1">
      <c r="A5008" s="5" t="s">
        <v>13114</v>
      </c>
      <c r="B5008" s="2" t="s">
        <v>13115</v>
      </c>
      <c r="C5008" s="2" t="s">
        <v>13115</v>
      </c>
      <c r="D5008" s="4" t="str">
        <f>vlookup(A5008, Sheet2!D:E, 2, 0)</f>
        <v>control</v>
      </c>
      <c r="E5008" s="4" t="str">
        <f>IFERROR(__xludf.DUMMYFUNCTION("if(H5008=""pays"",vlookup(REGEXEXTRACT(C5008, ""🏘️ \w+ \w+ (.*) ✅""),'Country prepositions'!A:B, 2, 0) &amp; "" "" &amp; REGEXEXTRACT(C5008, ""🏘️ \w+ \w+ (.*) ✅"") ,  if(H5008=""quartier"",vlookup(REGEXEXTRACT(C5008, ""🏘️ \w+ \w+ (.*) ✅""),'Quartier prepositio"&amp;"ns'!A:E, 5, 0) ,  if(H5008=""region"",vlookup(REGEXEXTRACT(C5008, ""🏘️ \w+ \w+ (.*) ✅""),'Region prepositions'!B:F, 5, 0),  REGEXEXTRACT(C5008, ""🏘️ \w+ \w+ (.*) ✅""))))"),"#N/A")</f>
        <v>#N/A</v>
      </c>
      <c r="I5008" s="4" t="str">
        <f>IFERROR(__xludf.DUMMYFUNCTION("if(D5008=""variant"",  substitute(filter(Templates!E:E, Templates!A:A = F5008, Templates!B:B = G5008, Templates!C:C = H5008), ""{{}}"", E5008), B5008)"),"Louer maison Genolier: Trouvez le bien immobilier qui correspond idéalement à vos désirs sur ImmoScout24 - La plateforme de l'immobilier en Suisse.")</f>
        <v>Louer maison Genolier: Trouvez le bien immobilier qui correspond idéalement à vos désirs sur ImmoScout24 - La plateforme de l'immobilier en Suisse.</v>
      </c>
    </row>
    <row r="5009" hidden="1">
      <c r="A5009" s="5" t="s">
        <v>13116</v>
      </c>
      <c r="B5009" s="2" t="s">
        <v>13117</v>
      </c>
      <c r="C5009" s="2" t="s">
        <v>13117</v>
      </c>
      <c r="D5009" s="4" t="str">
        <f>vlookup(A5009, Sheet2!D:E, 2, 0)</f>
        <v>control</v>
      </c>
      <c r="E5009" s="4" t="str">
        <f>IFERROR(__xludf.DUMMYFUNCTION("if(H5009=""pays"",vlookup(REGEXEXTRACT(C5009, ""🏘️ \w+ \w+ (.*) ✅""),'Country prepositions'!A:B, 2, 0) &amp; "" "" &amp; REGEXEXTRACT(C5009, ""🏘️ \w+ \w+ (.*) ✅"") ,  if(H5009=""quartier"",vlookup(REGEXEXTRACT(C5009, ""🏘️ \w+ \w+ (.*) ✅""),'Quartier prepositio"&amp;"ns'!A:E, 5, 0) ,  if(H5009=""region"",vlookup(REGEXEXTRACT(C5009, ""🏘️ \w+ \w+ (.*) ✅""),'Region prepositions'!B:F, 5, 0),  REGEXEXTRACT(C5009, ""🏘️ \w+ \w+ (.*) ✅""))))"),"#N/A")</f>
        <v>#N/A</v>
      </c>
      <c r="I5009" s="4" t="str">
        <f>IFERROR(__xludf.DUMMYFUNCTION("if(D5009=""variant"",  substitute(filter(Templates!E:E, Templates!A:A = F5009, Templates!B:B = G5009, Templates!C:C = H5009), ""{{}}"", E5009), B5009)"),"Vendre maison Chesières: Trouvez le bien immobilier qui correspond idéalement à vos désirs sur ImmoScout24 - La plateforme de l'immobilier en Suisse.")</f>
        <v>Vendre maison Chesières: Trouvez le bien immobilier qui correspond idéalement à vos désirs sur ImmoScout24 - La plateforme de l'immobilier en Suisse.</v>
      </c>
    </row>
    <row r="5010" hidden="1">
      <c r="A5010" s="5" t="s">
        <v>13118</v>
      </c>
      <c r="B5010" s="2" t="s">
        <v>13119</v>
      </c>
      <c r="C5010" s="2" t="s">
        <v>13119</v>
      </c>
      <c r="D5010" s="4" t="str">
        <f>vlookup(A5010, Sheet2!D:E, 2, 0)</f>
        <v>control</v>
      </c>
      <c r="E5010" s="4" t="str">
        <f>IFERROR(__xludf.DUMMYFUNCTION("if(H5010=""pays"",vlookup(REGEXEXTRACT(C5010, ""🏘️ \w+ \w+ (.*) ✅""),'Country prepositions'!A:B, 2, 0) &amp; "" "" &amp; REGEXEXTRACT(C5010, ""🏘️ \w+ \w+ (.*) ✅"") ,  if(H5010=""quartier"",vlookup(REGEXEXTRACT(C5010, ""🏘️ \w+ \w+ (.*) ✅""),'Quartier prepositio"&amp;"ns'!A:E, 5, 0) ,  if(H5010=""region"",vlookup(REGEXEXTRACT(C5010, ""🏘️ \w+ \w+ (.*) ✅""),'Region prepositions'!B:F, 5, 0),  REGEXEXTRACT(C5010, ""🏘️ \w+ \w+ (.*) ✅""))))"),"#N/A")</f>
        <v>#N/A</v>
      </c>
      <c r="I5010" s="4" t="str">
        <f>IFERROR(__xludf.DUMMYFUNCTION("if(D5010=""variant"",  substitute(filter(Templates!E:E, Templates!A:A = F5010, Templates!B:B = G5010, Templates!C:C = H5010), ""{{}}"", E5010), B5010)"),"Vendre maison Chandonne (Liddes): Trouvez le bien immobilier qui correspond idéalement à vos désirs sur ImmoScout24 - La plateforme de l'immobilier en Suisse.")</f>
        <v>Vendre maison Chandonne (Liddes): Trouvez le bien immobilier qui correspond idéalement à vos désirs sur ImmoScout24 - La plateforme de l'immobilier en Suisse.</v>
      </c>
    </row>
    <row r="5011" hidden="1">
      <c r="A5011" s="5" t="s">
        <v>13120</v>
      </c>
      <c r="B5011" s="2" t="s">
        <v>13121</v>
      </c>
      <c r="C5011" s="2" t="s">
        <v>13121</v>
      </c>
      <c r="D5011" s="4" t="str">
        <f>vlookup(A5011, Sheet2!D:E, 2, 0)</f>
        <v>control</v>
      </c>
      <c r="E5011" s="4" t="str">
        <f>IFERROR(__xludf.DUMMYFUNCTION("if(H5011=""pays"",vlookup(REGEXEXTRACT(C5011, ""🏘️ \w+ \w+ (.*) ✅""),'Country prepositions'!A:B, 2, 0) &amp; "" "" &amp; REGEXEXTRACT(C5011, ""🏘️ \w+ \w+ (.*) ✅"") ,  if(H5011=""quartier"",vlookup(REGEXEXTRACT(C5011, ""🏘️ \w+ \w+ (.*) ✅""),'Quartier prepositio"&amp;"ns'!A:E, 5, 0) ,  if(H5011=""region"",vlookup(REGEXEXTRACT(C5011, ""🏘️ \w+ \w+ (.*) ✅""),'Region prepositions'!B:F, 5, 0),  REGEXEXTRACT(C5011, ""🏘️ \w+ \w+ (.*) ✅""))))"),"#N/A")</f>
        <v>#N/A</v>
      </c>
      <c r="I5011" s="4" t="str">
        <f>IFERROR(__xludf.DUMMYFUNCTION("if(D5011=""variant"",  substitute(filter(Templates!E:E, Templates!A:A = F5011, Templates!B:B = G5011, Templates!C:C = H5011), ""{{}}"", E5011), B5011)"),"Louer appartement Courtelary: Trouvez le bien immobilier qui correspond idéalement à vos désirs sur ImmoScout24 - La plateforme de l'immobilier en Suisse.")</f>
        <v>Louer appartement Courtelary: Trouvez le bien immobilier qui correspond idéalement à vos désirs sur ImmoScout24 - La plateforme de l'immobilier en Suisse.</v>
      </c>
    </row>
    <row r="5012" hidden="1">
      <c r="A5012" s="5" t="s">
        <v>13122</v>
      </c>
      <c r="B5012" s="2" t="s">
        <v>13123</v>
      </c>
      <c r="C5012" s="2" t="s">
        <v>13123</v>
      </c>
      <c r="D5012" s="4" t="str">
        <f>vlookup(A5012, Sheet2!D:E, 2, 0)</f>
        <v>control</v>
      </c>
      <c r="E5012" s="4" t="str">
        <f>IFERROR(__xludf.DUMMYFUNCTION("if(H5012=""pays"",vlookup(REGEXEXTRACT(C5012, ""🏘️ \w+ \w+ (.*) ✅""),'Country prepositions'!A:B, 2, 0) &amp; "" "" &amp; REGEXEXTRACT(C5012, ""🏘️ \w+ \w+ (.*) ✅"") ,  if(H5012=""quartier"",vlookup(REGEXEXTRACT(C5012, ""🏘️ \w+ \w+ (.*) ✅""),'Quartier prepositio"&amp;"ns'!A:E, 5, 0) ,  if(H5012=""region"",vlookup(REGEXEXTRACT(C5012, ""🏘️ \w+ \w+ (.*) ✅""),'Region prepositions'!B:F, 5, 0),  REGEXEXTRACT(C5012, ""🏘️ \w+ \w+ (.*) ✅""))))"),"#N/A")</f>
        <v>#N/A</v>
      </c>
      <c r="I5012" s="4" t="str">
        <f>IFERROR(__xludf.DUMMYFUNCTION("if(D5012=""variant"",  substitute(filter(Templates!E:E, Templates!A:A = F5012, Templates!B:B = G5012, Templates!C:C = H5012), ""{{}}"", E5012), B5012)"),"Vendre appartement Rive Droite: Trouvez le bien immobilier qui correspond idéalement à vos désirs sur ImmoScout24 - La plateforme de l'immobilier en Suisse.")</f>
        <v>Vendre appartement Rive Droite: Trouvez le bien immobilier qui correspond idéalement à vos désirs sur ImmoScout24 - La plateforme de l'immobilier en Suisse.</v>
      </c>
    </row>
    <row r="5013" hidden="1">
      <c r="A5013" s="5" t="s">
        <v>13124</v>
      </c>
      <c r="B5013" s="2" t="s">
        <v>13125</v>
      </c>
      <c r="C5013" s="2" t="s">
        <v>13125</v>
      </c>
      <c r="D5013" s="4" t="str">
        <f>vlookup(A5013, Sheet2!D:E, 2, 0)</f>
        <v>control</v>
      </c>
      <c r="E5013" s="4" t="str">
        <f>IFERROR(__xludf.DUMMYFUNCTION("if(H5013=""pays"",vlookup(REGEXEXTRACT(C5013, ""🏘️ \w+ \w+ (.*) ✅""),'Country prepositions'!A:B, 2, 0) &amp; "" "" &amp; REGEXEXTRACT(C5013, ""🏘️ \w+ \w+ (.*) ✅"") ,  if(H5013=""quartier"",vlookup(REGEXEXTRACT(C5013, ""🏘️ \w+ \w+ (.*) ✅""),'Quartier prepositio"&amp;"ns'!A:E, 5, 0) ,  if(H5013=""region"",vlookup(REGEXEXTRACT(C5013, ""🏘️ \w+ \w+ (.*) ✅""),'Region prepositions'!B:F, 5, 0),  REGEXEXTRACT(C5013, ""🏘️ \w+ \w+ (.*) ✅""))))"),"#N/A")</f>
        <v>#N/A</v>
      </c>
      <c r="I5013" s="4" t="str">
        <f>IFERROR(__xludf.DUMMYFUNCTION("if(D5013=""variant"",  substitute(filter(Templates!E:E, Templates!A:A = F5013, Templates!B:B = G5013, Templates!C:C = H5013), ""{{}}"", E5013), B5013)"),"Louer appartement Toggenburg: Trouvez le bien immobilier qui correspond idéalement à vos désirs sur ImmoScout24 - La plateforme de l'immobilier en Suisse.")</f>
        <v>Louer appartement Toggenburg: Trouvez le bien immobilier qui correspond idéalement à vos désirs sur ImmoScout24 - La plateforme de l'immobilier en Suisse.</v>
      </c>
    </row>
    <row r="5014" hidden="1">
      <c r="A5014" s="5" t="s">
        <v>13126</v>
      </c>
      <c r="B5014" s="2" t="s">
        <v>13127</v>
      </c>
      <c r="C5014" s="2" t="s">
        <v>13127</v>
      </c>
      <c r="D5014" s="4" t="str">
        <f>vlookup(A5014, Sheet2!D:E, 2, 0)</f>
        <v>control</v>
      </c>
      <c r="E5014" s="4" t="str">
        <f>IFERROR(__xludf.DUMMYFUNCTION("if(H5014=""pays"",vlookup(REGEXEXTRACT(C5014, ""🏘️ \w+ \w+ (.*) ✅""),'Country prepositions'!A:B, 2, 0) &amp; "" "" &amp; REGEXEXTRACT(C5014, ""🏘️ \w+ \w+ (.*) ✅"") ,  if(H5014=""quartier"",vlookup(REGEXEXTRACT(C5014, ""🏘️ \w+ \w+ (.*) ✅""),'Quartier prepositio"&amp;"ns'!A:E, 5, 0) ,  if(H5014=""region"",vlookup(REGEXEXTRACT(C5014, ""🏘️ \w+ \w+ (.*) ✅""),'Region prepositions'!B:F, 5, 0),  REGEXEXTRACT(C5014, ""🏘️ \w+ \w+ (.*) ✅""))))"),"#N/A")</f>
        <v>#N/A</v>
      </c>
      <c r="I5014" s="4" t="str">
        <f>IFERROR(__xludf.DUMMYFUNCTION("if(D5014=""variant"",  substitute(filter(Templates!E:E, Templates!A:A = F5014, Templates!B:B = G5014, Templates!C:C = H5014), ""{{}}"", E5014), B5014)"),"Vendre maison Grossaffoltern: Trouvez le bien immobilier qui correspond idéalement à vos désirs sur ImmoScout24 - La plateforme de l'immobilier en Suisse.")</f>
        <v>Vendre maison Grossaffoltern: Trouvez le bien immobilier qui correspond idéalement à vos désirs sur ImmoScout24 - La plateforme de l'immobilier en Suisse.</v>
      </c>
    </row>
    <row r="5015" hidden="1">
      <c r="A5015" s="5" t="s">
        <v>13128</v>
      </c>
      <c r="B5015" s="2" t="s">
        <v>13129</v>
      </c>
      <c r="C5015" s="2" t="s">
        <v>13129</v>
      </c>
      <c r="D5015" s="4" t="str">
        <f>vlookup(A5015, Sheet2!D:E, 2, 0)</f>
        <v>control</v>
      </c>
      <c r="E5015" s="4" t="str">
        <f>IFERROR(__xludf.DUMMYFUNCTION("if(H5015=""pays"",vlookup(REGEXEXTRACT(C5015, ""🏘️ \w+ \w+ (.*) ✅""),'Country prepositions'!A:B, 2, 0) &amp; "" "" &amp; REGEXEXTRACT(C5015, ""🏘️ \w+ \w+ (.*) ✅"") ,  if(H5015=""quartier"",vlookup(REGEXEXTRACT(C5015, ""🏘️ \w+ \w+ (.*) ✅""),'Quartier prepositio"&amp;"ns'!A:E, 5, 0) ,  if(H5015=""region"",vlookup(REGEXEXTRACT(C5015, ""🏘️ \w+ \w+ (.*) ✅""),'Region prepositions'!B:F, 5, 0),  REGEXEXTRACT(C5015, ""🏘️ \w+ \w+ (.*) ✅""))))"),"#N/A")</f>
        <v>#N/A</v>
      </c>
      <c r="I5015" s="4" t="str">
        <f>IFERROR(__xludf.DUMMYFUNCTION("if(D5015=""variant"",  substitute(filter(Templates!E:E, Templates!A:A = F5015, Templates!B:B = G5015, Templates!C:C = H5015), ""{{}}"", E5015), B5015)"),"Vendre appartement Clarens: Trouvez le bien immobilier qui correspond idéalement à vos désirs sur ImmoScout24 - La plateforme de l'immobilier en Suisse.")</f>
        <v>Vendre appartement Clarens: Trouvez le bien immobilier qui correspond idéalement à vos désirs sur ImmoScout24 - La plateforme de l'immobilier en Suisse.</v>
      </c>
    </row>
    <row r="5016" hidden="1">
      <c r="A5016" s="5" t="s">
        <v>13130</v>
      </c>
      <c r="B5016" s="2" t="s">
        <v>13131</v>
      </c>
      <c r="C5016" s="2" t="s">
        <v>13131</v>
      </c>
      <c r="D5016" s="4" t="str">
        <f>vlookup(A5016, Sheet2!D:E, 2, 0)</f>
        <v>control</v>
      </c>
      <c r="E5016" s="4" t="str">
        <f>IFERROR(__xludf.DUMMYFUNCTION("if(H5016=""pays"",vlookup(REGEXEXTRACT(C5016, ""🏘️ \w+ \w+ (.*) ✅""),'Country prepositions'!A:B, 2, 0) &amp; "" "" &amp; REGEXEXTRACT(C5016, ""🏘️ \w+ \w+ (.*) ✅"") ,  if(H5016=""quartier"",vlookup(REGEXEXTRACT(C5016, ""🏘️ \w+ \w+ (.*) ✅""),'Quartier prepositio"&amp;"ns'!A:E, 5, 0) ,  if(H5016=""region"",vlookup(REGEXEXTRACT(C5016, ""🏘️ \w+ \w+ (.*) ✅""),'Region prepositions'!B:F, 5, 0),  REGEXEXTRACT(C5016, ""🏘️ \w+ \w+ (.*) ✅""))))"),"#N/A")</f>
        <v>#N/A</v>
      </c>
      <c r="I5016" s="4" t="str">
        <f>IFERROR(__xludf.DUMMYFUNCTION("if(D5016=""variant"",  substitute(filter(Templates!E:E, Templates!A:A = F5016, Templates!B:B = G5016, Templates!C:C = H5016), ""{{}}"", E5016), B5016)"),"Louer appartement Uvrier: Trouvez le bien immobilier qui correspond idéalement à vos désirs sur ImmoScout24 - La plateforme de l'immobilier en Suisse.")</f>
        <v>Louer appartement Uvrier: Trouvez le bien immobilier qui correspond idéalement à vos désirs sur ImmoScout24 - La plateforme de l'immobilier en Suisse.</v>
      </c>
    </row>
    <row r="5017" hidden="1">
      <c r="A5017" s="5" t="s">
        <v>13132</v>
      </c>
      <c r="B5017" s="2" t="s">
        <v>13133</v>
      </c>
      <c r="C5017" s="2" t="s">
        <v>13133</v>
      </c>
      <c r="D5017" s="4" t="str">
        <f>vlookup(A5017, Sheet2!D:E, 2, 0)</f>
        <v>control</v>
      </c>
      <c r="E5017" s="4" t="str">
        <f>IFERROR(__xludf.DUMMYFUNCTION("if(H5017=""pays"",vlookup(REGEXEXTRACT(C5017, ""🏘️ \w+ \w+ (.*) ✅""),'Country prepositions'!A:B, 2, 0) &amp; "" "" &amp; REGEXEXTRACT(C5017, ""🏘️ \w+ \w+ (.*) ✅"") ,  if(H5017=""quartier"",vlookup(REGEXEXTRACT(C5017, ""🏘️ \w+ \w+ (.*) ✅""),'Quartier prepositio"&amp;"ns'!A:E, 5, 0) ,  if(H5017=""region"",vlookup(REGEXEXTRACT(C5017, ""🏘️ \w+ \w+ (.*) ✅""),'Region prepositions'!B:F, 5, 0),  REGEXEXTRACT(C5017, ""🏘️ \w+ \w+ (.*) ✅""))))"),"#N/A")</f>
        <v>#N/A</v>
      </c>
      <c r="I5017" s="4" t="str">
        <f>IFERROR(__xludf.DUMMYFUNCTION("if(D5017=""variant"",  substitute(filter(Templates!E:E, Templates!A:A = F5017, Templates!B:B = G5017, Templates!C:C = H5017), ""{{}}"", E5017), B5017)"),"Louer appartement La Sagne (Ste-Croix): Trouvez le bien immobilier qui correspond idéalement à vos désirs sur ImmoScout24 - La plateforme de l'immobilier en Suisse.")</f>
        <v>Louer appartement La Sagne (Ste-Croix): Trouvez le bien immobilier qui correspond idéalement à vos désirs sur ImmoScout24 - La plateforme de l'immobilier en Suisse.</v>
      </c>
    </row>
    <row r="5018" hidden="1">
      <c r="A5018" s="5" t="s">
        <v>13134</v>
      </c>
      <c r="B5018" s="2" t="s">
        <v>13135</v>
      </c>
      <c r="C5018" s="2" t="s">
        <v>13135</v>
      </c>
      <c r="D5018" s="4" t="str">
        <f>vlookup(A5018, Sheet2!D:E, 2, 0)</f>
        <v>control</v>
      </c>
      <c r="E5018" s="4" t="str">
        <f>IFERROR(__xludf.DUMMYFUNCTION("if(H5018=""pays"",vlookup(REGEXEXTRACT(C5018, ""🏘️ \w+ \w+ (.*) ✅""),'Country prepositions'!A:B, 2, 0) &amp; "" "" &amp; REGEXEXTRACT(C5018, ""🏘️ \w+ \w+ (.*) ✅"") ,  if(H5018=""quartier"",vlookup(REGEXEXTRACT(C5018, ""🏘️ \w+ \w+ (.*) ✅""),'Quartier prepositio"&amp;"ns'!A:E, 5, 0) ,  if(H5018=""region"",vlookup(REGEXEXTRACT(C5018, ""🏘️ \w+ \w+ (.*) ✅""),'Region prepositions'!B:F, 5, 0),  REGEXEXTRACT(C5018, ""🏘️ \w+ \w+ (.*) ✅""))))"),"#N/A")</f>
        <v>#N/A</v>
      </c>
      <c r="I5018" s="4" t="str">
        <f>IFERROR(__xludf.DUMMYFUNCTION("if(D5018=""variant"",  substitute(filter(Templates!E:E, Templates!A:A = F5018, Templates!B:B = G5018, Templates!C:C = H5018), ""{{}}"", E5018), B5018)"),"Louer appartement Bâle Campagne Est: Trouvez le bien immobilier qui correspond idéalement à vos désirs sur ImmoScout24 - La plateforme de l'immobilier en Suisse.")</f>
        <v>Louer appartement Bâle Campagne Est: Trouvez le bien immobilier qui correspond idéalement à vos désirs sur ImmoScout24 - La plateforme de l'immobilier en Suisse.</v>
      </c>
    </row>
    <row r="5019" hidden="1">
      <c r="A5019" s="5" t="s">
        <v>13136</v>
      </c>
      <c r="B5019" s="2" t="s">
        <v>13137</v>
      </c>
      <c r="C5019" s="2" t="s">
        <v>13137</v>
      </c>
      <c r="D5019" s="4" t="str">
        <f>vlookup(A5019, Sheet2!D:E, 2, 0)</f>
        <v>control</v>
      </c>
      <c r="E5019" s="4" t="str">
        <f>IFERROR(__xludf.DUMMYFUNCTION("if(H5019=""pays"",vlookup(REGEXEXTRACT(C5019, ""🏘️ \w+ \w+ (.*) ✅""),'Country prepositions'!A:B, 2, 0) &amp; "" "" &amp; REGEXEXTRACT(C5019, ""🏘️ \w+ \w+ (.*) ✅"") ,  if(H5019=""quartier"",vlookup(REGEXEXTRACT(C5019, ""🏘️ \w+ \w+ (.*) ✅""),'Quartier prepositio"&amp;"ns'!A:E, 5, 0) ,  if(H5019=""region"",vlookup(REGEXEXTRACT(C5019, ""🏘️ \w+ \w+ (.*) ✅""),'Region prepositions'!B:F, 5, 0),  REGEXEXTRACT(C5019, ""🏘️ \w+ \w+ (.*) ✅""))))"),"#N/A")</f>
        <v>#N/A</v>
      </c>
      <c r="I5019" s="4" t="str">
        <f>IFERROR(__xludf.DUMMYFUNCTION("if(D5019=""variant"",  substitute(filter(Templates!E:E, Templates!A:A = F5019, Templates!B:B = G5019, Templates!C:C = H5019), ""{{}}"", E5019), B5019)"),"Vendre maison Sementina: Trouvez le bien immobilier qui correspond idéalement à vos désirs sur ImmoScout24 - La plateforme de l'immobilier en Suisse.")</f>
        <v>Vendre maison Sementina: Trouvez le bien immobilier qui correspond idéalement à vos désirs sur ImmoScout24 - La plateforme de l'immobilier en Suisse.</v>
      </c>
    </row>
    <row r="5020" hidden="1">
      <c r="A5020" s="5" t="s">
        <v>13138</v>
      </c>
      <c r="B5020" s="2" t="s">
        <v>13139</v>
      </c>
      <c r="C5020" s="2" t="s">
        <v>13139</v>
      </c>
      <c r="D5020" s="4" t="str">
        <f>vlookup(A5020, Sheet2!D:E, 2, 0)</f>
        <v>control</v>
      </c>
      <c r="E5020" s="4" t="str">
        <f>IFERROR(__xludf.DUMMYFUNCTION("if(H5020=""pays"",vlookup(REGEXEXTRACT(C5020, ""🏘️ \w+ \w+ (.*) ✅""),'Country prepositions'!A:B, 2, 0) &amp; "" "" &amp; REGEXEXTRACT(C5020, ""🏘️ \w+ \w+ (.*) ✅"") ,  if(H5020=""quartier"",vlookup(REGEXEXTRACT(C5020, ""🏘️ \w+ \w+ (.*) ✅""),'Quartier prepositio"&amp;"ns'!A:E, 5, 0) ,  if(H5020=""region"",vlookup(REGEXEXTRACT(C5020, ""🏘️ \w+ \w+ (.*) ✅""),'Region prepositions'!B:F, 5, 0),  REGEXEXTRACT(C5020, ""🏘️ \w+ \w+ (.*) ✅""))))"),"#N/A")</f>
        <v>#N/A</v>
      </c>
      <c r="I5020" s="4" t="str">
        <f>IFERROR(__xludf.DUMMYFUNCTION("if(D5020=""variant"",  substitute(filter(Templates!E:E, Templates!A:A = F5020, Templates!B:B = G5020, Templates!C:C = H5020), ""{{}}"", E5020), B5020)"),"Vendre maison Vendlincourt: Trouvez le bien immobilier qui correspond idéalement à vos désirs sur ImmoScout24 - La plateforme de l'immobilier en Suisse.")</f>
        <v>Vendre maison Vendlincourt: Trouvez le bien immobilier qui correspond idéalement à vos désirs sur ImmoScout24 - La plateforme de l'immobilier en Suisse.</v>
      </c>
    </row>
    <row r="5021" hidden="1">
      <c r="A5021" s="5" t="s">
        <v>13140</v>
      </c>
      <c r="B5021" s="2" t="s">
        <v>13141</v>
      </c>
      <c r="C5021" s="2" t="s">
        <v>13141</v>
      </c>
      <c r="D5021" s="4" t="str">
        <f>vlookup(A5021, Sheet2!D:E, 2, 0)</f>
        <v>control</v>
      </c>
      <c r="E5021" s="4" t="str">
        <f>IFERROR(__xludf.DUMMYFUNCTION("if(H5021=""pays"",vlookup(REGEXEXTRACT(C5021, ""🏘️ \w+ \w+ (.*) ✅""),'Country prepositions'!A:B, 2, 0) &amp; "" "" &amp; REGEXEXTRACT(C5021, ""🏘️ \w+ \w+ (.*) ✅"") ,  if(H5021=""quartier"",vlookup(REGEXEXTRACT(C5021, ""🏘️ \w+ \w+ (.*) ✅""),'Quartier prepositio"&amp;"ns'!A:E, 5, 0) ,  if(H5021=""region"",vlookup(REGEXEXTRACT(C5021, ""🏘️ \w+ \w+ (.*) ✅""),'Region prepositions'!B:F, 5, 0),  REGEXEXTRACT(C5021, ""🏘️ \w+ \w+ (.*) ✅""))))"),"#N/A")</f>
        <v>#N/A</v>
      </c>
      <c r="I5021" s="4" t="str">
        <f>IFERROR(__xludf.DUMMYFUNCTION("if(D5021=""variant"",  substitute(filter(Templates!E:E, Templates!A:A = F5021, Templates!B:B = G5021, Templates!C:C = H5021), ""{{}}"", E5021), B5021)"),"Vendre maison L'Isle: Trouvez le bien immobilier qui correspond idéalement à vos désirs sur ImmoScout24 - La plateforme de l'immobilier en Suisse.")</f>
        <v>Vendre maison L'Isle: Trouvez le bien immobilier qui correspond idéalement à vos désirs sur ImmoScout24 - La plateforme de l'immobilier en Suisse.</v>
      </c>
    </row>
    <row r="5022" hidden="1">
      <c r="A5022" s="5" t="s">
        <v>13142</v>
      </c>
      <c r="B5022" s="2" t="s">
        <v>13143</v>
      </c>
      <c r="C5022" s="2" t="s">
        <v>13143</v>
      </c>
      <c r="D5022" s="4" t="str">
        <f>vlookup(A5022, Sheet2!D:E, 2, 0)</f>
        <v>control</v>
      </c>
      <c r="E5022" s="4" t="str">
        <f>IFERROR(__xludf.DUMMYFUNCTION("if(H5022=""pays"",vlookup(REGEXEXTRACT(C5022, ""🏘️ \w+ \w+ (.*) ✅""),'Country prepositions'!A:B, 2, 0) &amp; "" "" &amp; REGEXEXTRACT(C5022, ""🏘️ \w+ \w+ (.*) ✅"") ,  if(H5022=""quartier"",vlookup(REGEXEXTRACT(C5022, ""🏘️ \w+ \w+ (.*) ✅""),'Quartier prepositio"&amp;"ns'!A:E, 5, 0) ,  if(H5022=""region"",vlookup(REGEXEXTRACT(C5022, ""🏘️ \w+ \w+ (.*) ✅""),'Region prepositions'!B:F, 5, 0),  REGEXEXTRACT(C5022, ""🏘️ \w+ \w+ (.*) ✅""))))"),"#N/A")</f>
        <v>#N/A</v>
      </c>
      <c r="I5022" s="4" t="str">
        <f>IFERROR(__xludf.DUMMYFUNCTION("if(D5022=""variant"",  substitute(filter(Templates!E:E, Templates!A:A = F5022, Templates!B:B = G5022, Templates!C:C = H5022), ""{{}}"", E5022), B5022)"),"Louer appartement Posieux: Trouvez le bien immobilier qui correspond idéalement à vos désirs sur ImmoScout24 - La plateforme de l'immobilier en Suisse.")</f>
        <v>Louer appartement Posieux: Trouvez le bien immobilier qui correspond idéalement à vos désirs sur ImmoScout24 - La plateforme de l'immobilier en Suisse.</v>
      </c>
    </row>
    <row r="5023" hidden="1">
      <c r="A5023" s="5" t="s">
        <v>13144</v>
      </c>
      <c r="B5023" s="2" t="s">
        <v>13145</v>
      </c>
      <c r="C5023" s="2" t="s">
        <v>13145</v>
      </c>
      <c r="D5023" s="4" t="str">
        <f>vlookup(A5023, Sheet2!D:E, 2, 0)</f>
        <v>control</v>
      </c>
      <c r="E5023" s="4" t="str">
        <f>IFERROR(__xludf.DUMMYFUNCTION("if(H5023=""pays"",vlookup(REGEXEXTRACT(C5023, ""🏘️ \w+ \w+ (.*) ✅""),'Country prepositions'!A:B, 2, 0) &amp; "" "" &amp; REGEXEXTRACT(C5023, ""🏘️ \w+ \w+ (.*) ✅"") ,  if(H5023=""quartier"",vlookup(REGEXEXTRACT(C5023, ""🏘️ \w+ \w+ (.*) ✅""),'Quartier prepositio"&amp;"ns'!A:E, 5, 0) ,  if(H5023=""region"",vlookup(REGEXEXTRACT(C5023, ""🏘️ \w+ \w+ (.*) ✅""),'Region prepositions'!B:F, 5, 0),  REGEXEXTRACT(C5023, ""🏘️ \w+ \w+ (.*) ✅""))))"),"#N/A")</f>
        <v>#N/A</v>
      </c>
      <c r="I5023" s="4" t="str">
        <f>IFERROR(__xludf.DUMMYFUNCTION("if(D5023=""variant"",  substitute(filter(Templates!E:E, Templates!A:A = F5023, Templates!B:B = G5023, Templates!C:C = H5023), ""{{}}"", E5023), B5023)"),"Vendre maison Rotkreuz: Trouvez le bien immobilier qui correspond idéalement à vos désirs sur ImmoScout24 - La plateforme de l'immobilier en Suisse.")</f>
        <v>Vendre maison Rotkreuz: Trouvez le bien immobilier qui correspond idéalement à vos désirs sur ImmoScout24 - La plateforme de l'immobilier en Suisse.</v>
      </c>
    </row>
    <row r="5024" hidden="1">
      <c r="A5024" s="5" t="s">
        <v>13146</v>
      </c>
      <c r="B5024" s="2" t="s">
        <v>13147</v>
      </c>
      <c r="C5024" s="2" t="s">
        <v>13147</v>
      </c>
      <c r="D5024" s="4" t="str">
        <f>vlookup(A5024, Sheet2!D:E, 2, 0)</f>
        <v>control</v>
      </c>
      <c r="E5024" s="4" t="str">
        <f>IFERROR(__xludf.DUMMYFUNCTION("if(H5024=""pays"",vlookup(REGEXEXTRACT(C5024, ""🏘️ \w+ \w+ (.*) ✅""),'Country prepositions'!A:B, 2, 0) &amp; "" "" &amp; REGEXEXTRACT(C5024, ""🏘️ \w+ \w+ (.*) ✅"") ,  if(H5024=""quartier"",vlookup(REGEXEXTRACT(C5024, ""🏘️ \w+ \w+ (.*) ✅""),'Quartier prepositio"&amp;"ns'!A:E, 5, 0) ,  if(H5024=""region"",vlookup(REGEXEXTRACT(C5024, ""🏘️ \w+ \w+ (.*) ✅""),'Region prepositions'!B:F, 5, 0),  REGEXEXTRACT(C5024, ""🏘️ \w+ \w+ (.*) ✅""))))"),"#N/A")</f>
        <v>#N/A</v>
      </c>
      <c r="I5024" s="4" t="str">
        <f>IFERROR(__xludf.DUMMYFUNCTION("if(D5024=""variant"",  substitute(filter(Templates!E:E, Templates!A:A = F5024, Templates!B:B = G5024, Templates!C:C = H5024), ""{{}}"", E5024), B5024)"),"Louer appartement Chernex: Trouvez le bien immobilier qui correspond idéalement à vos désirs sur ImmoScout24 - La plateforme de l'immobilier en Suisse.")</f>
        <v>Louer appartement Chernex: Trouvez le bien immobilier qui correspond idéalement à vos désirs sur ImmoScout24 - La plateforme de l'immobilier en Suisse.</v>
      </c>
    </row>
    <row r="5025" hidden="1">
      <c r="A5025" s="5" t="s">
        <v>13148</v>
      </c>
      <c r="B5025" s="2" t="s">
        <v>13149</v>
      </c>
      <c r="C5025" s="2" t="s">
        <v>13149</v>
      </c>
      <c r="D5025" s="4" t="str">
        <f>vlookup(A5025, Sheet2!D:E, 2, 0)</f>
        <v>control</v>
      </c>
      <c r="E5025" s="4" t="str">
        <f>IFERROR(__xludf.DUMMYFUNCTION("if(H5025=""pays"",vlookup(REGEXEXTRACT(C5025, ""🏘️ \w+ \w+ (.*) ✅""),'Country prepositions'!A:B, 2, 0) &amp; "" "" &amp; REGEXEXTRACT(C5025, ""🏘️ \w+ \w+ (.*) ✅"") ,  if(H5025=""quartier"",vlookup(REGEXEXTRACT(C5025, ""🏘️ \w+ \w+ (.*) ✅""),'Quartier prepositio"&amp;"ns'!A:E, 5, 0) ,  if(H5025=""region"",vlookup(REGEXEXTRACT(C5025, ""🏘️ \w+ \w+ (.*) ✅""),'Region prepositions'!B:F, 5, 0),  REGEXEXTRACT(C5025, ""🏘️ \w+ \w+ (.*) ✅""))))"),"#N/A")</f>
        <v>#N/A</v>
      </c>
      <c r="I5025" s="4" t="str">
        <f>IFERROR(__xludf.DUMMYFUNCTION("if(D5025=""variant"",  substitute(filter(Templates!E:E, Templates!A:A = F5025, Templates!B:B = G5025, Templates!C:C = H5025), ""{{}}"", E5025), B5025)"),"Vendre maison Vuarmarens: Trouvez le bien immobilier qui correspond idéalement à vos désirs sur ImmoScout24 - La plateforme de l'immobilier en Suisse.")</f>
        <v>Vendre maison Vuarmarens: Trouvez le bien immobilier qui correspond idéalement à vos désirs sur ImmoScout24 - La plateforme de l'immobilier en Suisse.</v>
      </c>
    </row>
    <row r="5026" hidden="1">
      <c r="A5026" s="5" t="s">
        <v>13150</v>
      </c>
      <c r="B5026" s="2" t="s">
        <v>13151</v>
      </c>
      <c r="C5026" s="2" t="s">
        <v>13151</v>
      </c>
      <c r="D5026" s="4" t="str">
        <f>vlookup(A5026, Sheet2!D:E, 2, 0)</f>
        <v>control</v>
      </c>
      <c r="E5026" s="4" t="str">
        <f>IFERROR(__xludf.DUMMYFUNCTION("if(H5026=""pays"",vlookup(REGEXEXTRACT(C5026, ""🏘️ \w+ \w+ (.*) ✅""),'Country prepositions'!A:B, 2, 0) &amp; "" "" &amp; REGEXEXTRACT(C5026, ""🏘️ \w+ \w+ (.*) ✅"") ,  if(H5026=""quartier"",vlookup(REGEXEXTRACT(C5026, ""🏘️ \w+ \w+ (.*) ✅""),'Quartier prepositio"&amp;"ns'!A:E, 5, 0) ,  if(H5026=""region"",vlookup(REGEXEXTRACT(C5026, ""🏘️ \w+ \w+ (.*) ✅""),'Region prepositions'!B:F, 5, 0),  REGEXEXTRACT(C5026, ""🏘️ \w+ \w+ (.*) ✅""))))"),"#N/A")</f>
        <v>#N/A</v>
      </c>
      <c r="I5026" s="4" t="str">
        <f>IFERROR(__xludf.DUMMYFUNCTION("if(D5026=""variant"",  substitute(filter(Templates!E:E, Templates!A:A = F5026, Templates!B:B = G5026, Templates!C:C = H5026), ""{{}}"", E5026), B5026)"),"Louer maison Biel/Bienne: Trouvez le bien immobilier qui correspond idéalement à vos désirs sur ImmoScout24 - La plateforme de l'immobilier en Suisse.")</f>
        <v>Louer maison Biel/Bienne: Trouvez le bien immobilier qui correspond idéalement à vos désirs sur ImmoScout24 - La plateforme de l'immobilier en Suisse.</v>
      </c>
    </row>
    <row r="5027" hidden="1">
      <c r="A5027" s="5" t="s">
        <v>13152</v>
      </c>
      <c r="B5027" s="2" t="s">
        <v>13153</v>
      </c>
      <c r="C5027" s="2" t="s">
        <v>13153</v>
      </c>
      <c r="D5027" s="4" t="str">
        <f>vlookup(A5027, Sheet2!D:E, 2, 0)</f>
        <v>control</v>
      </c>
      <c r="E5027" s="4" t="str">
        <f>IFERROR(__xludf.DUMMYFUNCTION("if(H5027=""pays"",vlookup(REGEXEXTRACT(C5027, ""🏘️ \w+ \w+ (.*) ✅""),'Country prepositions'!A:B, 2, 0) &amp; "" "" &amp; REGEXEXTRACT(C5027, ""🏘️ \w+ \w+ (.*) ✅"") ,  if(H5027=""quartier"",vlookup(REGEXEXTRACT(C5027, ""🏘️ \w+ \w+ (.*) ✅""),'Quartier prepositio"&amp;"ns'!A:E, 5, 0) ,  if(H5027=""region"",vlookup(REGEXEXTRACT(C5027, ""🏘️ \w+ \w+ (.*) ✅""),'Region prepositions'!B:F, 5, 0),  REGEXEXTRACT(C5027, ""🏘️ \w+ \w+ (.*) ✅""))))"),"#N/A")</f>
        <v>#N/A</v>
      </c>
      <c r="I5027" s="4" t="str">
        <f>IFERROR(__xludf.DUMMYFUNCTION("if(D5027=""variant"",  substitute(filter(Templates!E:E, Templates!A:A = F5027, Templates!B:B = G5027, Templates!C:C = H5027), ""{{}}"", E5027), B5027)"),"Louer appartement Vevey: Trouvez le bien immobilier qui correspond idéalement à vos désirs sur ImmoScout24 - La plateforme de l'immobilier en Suisse.")</f>
        <v>Louer appartement Vevey: Trouvez le bien immobilier qui correspond idéalement à vos désirs sur ImmoScout24 - La plateforme de l'immobilier en Suisse.</v>
      </c>
    </row>
    <row r="5028" hidden="1">
      <c r="A5028" s="5" t="s">
        <v>13154</v>
      </c>
      <c r="B5028" s="2" t="s">
        <v>13155</v>
      </c>
      <c r="C5028" s="2" t="s">
        <v>13155</v>
      </c>
      <c r="D5028" s="4" t="str">
        <f>vlookup(A5028, Sheet2!D:E, 2, 0)</f>
        <v>control</v>
      </c>
      <c r="E5028" s="4" t="str">
        <f>IFERROR(__xludf.DUMMYFUNCTION("if(H5028=""pays"",vlookup(REGEXEXTRACT(C5028, ""🏘️ \w+ \w+ (.*) ✅""),'Country prepositions'!A:B, 2, 0) &amp; "" "" &amp; REGEXEXTRACT(C5028, ""🏘️ \w+ \w+ (.*) ✅"") ,  if(H5028=""quartier"",vlookup(REGEXEXTRACT(C5028, ""🏘️ \w+ \w+ (.*) ✅""),'Quartier prepositio"&amp;"ns'!A:E, 5, 0) ,  if(H5028=""region"",vlookup(REGEXEXTRACT(C5028, ""🏘️ \w+ \w+ (.*) ✅""),'Region prepositions'!B:F, 5, 0),  REGEXEXTRACT(C5028, ""🏘️ \w+ \w+ (.*) ✅""))))"),"#N/A")</f>
        <v>#N/A</v>
      </c>
      <c r="I5028" s="4" t="str">
        <f>IFERROR(__xludf.DUMMYFUNCTION("if(D5028=""variant"",  substitute(filter(Templates!E:E, Templates!A:A = F5028, Templates!B:B = G5028, Templates!C:C = H5028), ""{{}}"", E5028), B5028)"),"Louer appartement Plaffeien: Trouvez le bien immobilier qui correspond idéalement à vos désirs sur ImmoScout24 - La plateforme de l'immobilier en Suisse.")</f>
        <v>Louer appartement Plaffeien: Trouvez le bien immobilier qui correspond idéalement à vos désirs sur ImmoScout24 - La plateforme de l'immobilier en Suisse.</v>
      </c>
    </row>
    <row r="5029" hidden="1">
      <c r="A5029" s="5" t="s">
        <v>13156</v>
      </c>
      <c r="B5029" s="2" t="s">
        <v>13157</v>
      </c>
      <c r="C5029" s="2" t="s">
        <v>13157</v>
      </c>
      <c r="D5029" s="4" t="str">
        <f>vlookup(A5029, Sheet2!D:E, 2, 0)</f>
        <v>control</v>
      </c>
      <c r="E5029" s="4" t="str">
        <f>IFERROR(__xludf.DUMMYFUNCTION("if(H5029=""pays"",vlookup(REGEXEXTRACT(C5029, ""🏘️ \w+ \w+ (.*) ✅""),'Country prepositions'!A:B, 2, 0) &amp; "" "" &amp; REGEXEXTRACT(C5029, ""🏘️ \w+ \w+ (.*) ✅"") ,  if(H5029=""quartier"",vlookup(REGEXEXTRACT(C5029, ""🏘️ \w+ \w+ (.*) ✅""),'Quartier prepositio"&amp;"ns'!A:E, 5, 0) ,  if(H5029=""region"",vlookup(REGEXEXTRACT(C5029, ""🏘️ \w+ \w+ (.*) ✅""),'Region prepositions'!B:F, 5, 0),  REGEXEXTRACT(C5029, ""🏘️ \w+ \w+ (.*) ✅""))))"),"#N/A")</f>
        <v>#N/A</v>
      </c>
      <c r="I5029" s="4" t="str">
        <f>IFERROR(__xludf.DUMMYFUNCTION("if(D5029=""variant"",  substitute(filter(Templates!E:E, Templates!A:A = F5029, Templates!B:B = G5029, Templates!C:C = H5029), ""{{}}"", E5029), B5029)"),"Vendre maison Cheyres: Trouvez le bien immobilier qui correspond idéalement à vos désirs sur ImmoScout24 - La plateforme de l'immobilier en Suisse.")</f>
        <v>Vendre maison Cheyres: Trouvez le bien immobilier qui correspond idéalement à vos désirs sur ImmoScout24 - La plateforme de l'immobilier en Suisse.</v>
      </c>
    </row>
    <row r="5030" hidden="1">
      <c r="A5030" s="5" t="s">
        <v>13158</v>
      </c>
      <c r="B5030" s="2" t="s">
        <v>13159</v>
      </c>
      <c r="C5030" s="2" t="s">
        <v>13159</v>
      </c>
      <c r="D5030" s="4" t="str">
        <f>vlookup(A5030, Sheet2!D:E, 2, 0)</f>
        <v>control</v>
      </c>
      <c r="E5030" s="4" t="str">
        <f>IFERROR(__xludf.DUMMYFUNCTION("if(H5030=""pays"",vlookup(REGEXEXTRACT(C5030, ""🏘️ \w+ \w+ (.*) ✅""),'Country prepositions'!A:B, 2, 0) &amp; "" "" &amp; REGEXEXTRACT(C5030, ""🏘️ \w+ \w+ (.*) ✅"") ,  if(H5030=""quartier"",vlookup(REGEXEXTRACT(C5030, ""🏘️ \w+ \w+ (.*) ✅""),'Quartier prepositio"&amp;"ns'!A:E, 5, 0) ,  if(H5030=""region"",vlookup(REGEXEXTRACT(C5030, ""🏘️ \w+ \w+ (.*) ✅""),'Region prepositions'!B:F, 5, 0),  REGEXEXTRACT(C5030, ""🏘️ \w+ \w+ (.*) ✅""))))"),"#N/A")</f>
        <v>#N/A</v>
      </c>
      <c r="I5030" s="4" t="str">
        <f>IFERROR(__xludf.DUMMYFUNCTION("if(D5030=""variant"",  substitute(filter(Templates!E:E, Templates!A:A = F5030, Templates!B:B = G5030, Templates!C:C = H5030), ""{{}}"", E5030), B5030)"),"Louer appartement Sörenberg: Trouvez le bien immobilier qui correspond idéalement à vos désirs sur ImmoScout24 - La plateforme de l'immobilier en Suisse.")</f>
        <v>Louer appartement Sörenberg: Trouvez le bien immobilier qui correspond idéalement à vos désirs sur ImmoScout24 - La plateforme de l'immobilier en Suisse.</v>
      </c>
    </row>
    <row r="5031" hidden="1">
      <c r="A5031" s="5" t="s">
        <v>13160</v>
      </c>
      <c r="B5031" s="2" t="s">
        <v>13161</v>
      </c>
      <c r="C5031" s="2" t="s">
        <v>13161</v>
      </c>
      <c r="D5031" s="4" t="str">
        <f>vlookup(A5031, Sheet2!D:E, 2, 0)</f>
        <v>control</v>
      </c>
      <c r="E5031" s="4" t="str">
        <f>IFERROR(__xludf.DUMMYFUNCTION("if(H5031=""pays"",vlookup(REGEXEXTRACT(C5031, ""🏘️ \w+ \w+ (.*) ✅""),'Country prepositions'!A:B, 2, 0) &amp; "" "" &amp; REGEXEXTRACT(C5031, ""🏘️ \w+ \w+ (.*) ✅"") ,  if(H5031=""quartier"",vlookup(REGEXEXTRACT(C5031, ""🏘️ \w+ \w+ (.*) ✅""),'Quartier prepositio"&amp;"ns'!A:E, 5, 0) ,  if(H5031=""region"",vlookup(REGEXEXTRACT(C5031, ""🏘️ \w+ \w+ (.*) ✅""),'Region prepositions'!B:F, 5, 0),  REGEXEXTRACT(C5031, ""🏘️ \w+ \w+ (.*) ✅""))))"),"#N/A")</f>
        <v>#N/A</v>
      </c>
      <c r="I5031" s="4" t="str">
        <f>IFERROR(__xludf.DUMMYFUNCTION("if(D5031=""variant"",  substitute(filter(Templates!E:E, Templates!A:A = F5031, Templates!B:B = G5031, Templates!C:C = H5031), ""{{}}"", E5031), B5031)"),"Louer appartement Epautheyres: Trouvez le bien immobilier qui correspond idéalement à vos désirs sur ImmoScout24 - La plateforme de l'immobilier en Suisse.")</f>
        <v>Louer appartement Epautheyres: Trouvez le bien immobilier qui correspond idéalement à vos désirs sur ImmoScout24 - La plateforme de l'immobilier en Suisse.</v>
      </c>
    </row>
    <row r="5032" hidden="1">
      <c r="A5032" s="5" t="s">
        <v>13162</v>
      </c>
      <c r="B5032" s="2" t="s">
        <v>13163</v>
      </c>
      <c r="C5032" s="2" t="s">
        <v>13163</v>
      </c>
      <c r="D5032" s="4" t="str">
        <f>vlookup(A5032, Sheet2!D:E, 2, 0)</f>
        <v>control</v>
      </c>
      <c r="E5032" s="4" t="str">
        <f>IFERROR(__xludf.DUMMYFUNCTION("if(H5032=""pays"",vlookup(REGEXEXTRACT(C5032, ""🏘️ \w+ \w+ (.*) ✅""),'Country prepositions'!A:B, 2, 0) &amp; "" "" &amp; REGEXEXTRACT(C5032, ""🏘️ \w+ \w+ (.*) ✅"") ,  if(H5032=""quartier"",vlookup(REGEXEXTRACT(C5032, ""🏘️ \w+ \w+ (.*) ✅""),'Quartier prepositio"&amp;"ns'!A:E, 5, 0) ,  if(H5032=""region"",vlookup(REGEXEXTRACT(C5032, ""🏘️ \w+ \w+ (.*) ✅""),'Region prepositions'!B:F, 5, 0),  REGEXEXTRACT(C5032, ""🏘️ \w+ \w+ (.*) ✅""))))"),"#N/A")</f>
        <v>#N/A</v>
      </c>
      <c r="I5032" s="4" t="str">
        <f>IFERROR(__xludf.DUMMYFUNCTION("if(D5032=""variant"",  substitute(filter(Templates!E:E, Templates!A:A = F5032, Templates!B:B = G5032, Templates!C:C = H5032), ""{{}}"", E5032), B5032)"),"Vendre appartement Provence: Trouvez le bien immobilier qui correspond idéalement à vos désirs sur ImmoScout24 - La plateforme de l'immobilier en Suisse.")</f>
        <v>Vendre appartement Provence: Trouvez le bien immobilier qui correspond idéalement à vos désirs sur ImmoScout24 - La plateforme de l'immobilier en Suisse.</v>
      </c>
    </row>
    <row r="5033" hidden="1">
      <c r="A5033" s="5" t="s">
        <v>13164</v>
      </c>
      <c r="B5033" s="2" t="s">
        <v>13165</v>
      </c>
      <c r="C5033" s="2" t="s">
        <v>13165</v>
      </c>
      <c r="D5033" s="4" t="str">
        <f>vlookup(A5033, Sheet2!D:E, 2, 0)</f>
        <v>control</v>
      </c>
      <c r="E5033" s="4" t="str">
        <f>IFERROR(__xludf.DUMMYFUNCTION("if(H5033=""pays"",vlookup(REGEXEXTRACT(C5033, ""🏘️ \w+ \w+ (.*) ✅""),'Country prepositions'!A:B, 2, 0) &amp; "" "" &amp; REGEXEXTRACT(C5033, ""🏘️ \w+ \w+ (.*) ✅"") ,  if(H5033=""quartier"",vlookup(REGEXEXTRACT(C5033, ""🏘️ \w+ \w+ (.*) ✅""),'Quartier prepositio"&amp;"ns'!A:E, 5, 0) ,  if(H5033=""region"",vlookup(REGEXEXTRACT(C5033, ""🏘️ \w+ \w+ (.*) ✅""),'Region prepositions'!B:F, 5, 0),  REGEXEXTRACT(C5033, ""🏘️ \w+ \w+ (.*) ✅""))))"),"#N/A")</f>
        <v>#N/A</v>
      </c>
      <c r="I5033" s="4" t="str">
        <f>IFERROR(__xludf.DUMMYFUNCTION("if(D5033=""variant"",  substitute(filter(Templates!E:E, Templates!A:A = F5033, Templates!B:B = G5033, Templates!C:C = H5033), ""{{}}"", E5033), B5033)"),"Vendre appartement Leysin: Trouvez le bien immobilier qui correspond idéalement à vos désirs sur ImmoScout24 - La plateforme de l'immobilier en Suisse.")</f>
        <v>Vendre appartement Leysin: Trouvez le bien immobilier qui correspond idéalement à vos désirs sur ImmoScout24 - La plateforme de l'immobilier en Suisse.</v>
      </c>
    </row>
    <row r="5034" hidden="1">
      <c r="A5034" s="5" t="s">
        <v>13166</v>
      </c>
      <c r="B5034" s="2" t="s">
        <v>13167</v>
      </c>
      <c r="C5034" s="2" t="s">
        <v>13167</v>
      </c>
      <c r="D5034" s="4" t="str">
        <f>vlookup(A5034, Sheet2!D:E, 2, 0)</f>
        <v>control</v>
      </c>
      <c r="E5034" s="4" t="str">
        <f>IFERROR(__xludf.DUMMYFUNCTION("if(H5034=""pays"",vlookup(REGEXEXTRACT(C5034, ""🏘️ \w+ \w+ (.*) ✅""),'Country prepositions'!A:B, 2, 0) &amp; "" "" &amp; REGEXEXTRACT(C5034, ""🏘️ \w+ \w+ (.*) ✅"") ,  if(H5034=""quartier"",vlookup(REGEXEXTRACT(C5034, ""🏘️ \w+ \w+ (.*) ✅""),'Quartier prepositio"&amp;"ns'!A:E, 5, 0) ,  if(H5034=""region"",vlookup(REGEXEXTRACT(C5034, ""🏘️ \w+ \w+ (.*) ✅""),'Region prepositions'!B:F, 5, 0),  REGEXEXTRACT(C5034, ""🏘️ \w+ \w+ (.*) ✅""))))"),"#N/A")</f>
        <v>#N/A</v>
      </c>
      <c r="I5034" s="4" t="str">
        <f>IFERROR(__xludf.DUMMYFUNCTION("if(D5034=""variant"",  substitute(filter(Templates!E:E, Templates!A:A = F5034, Templates!B:B = G5034, Templates!C:C = H5034), ""{{}}"", E5034), B5034)"),"Louer appartement Pâquis - Navigation (Genève): Trouvez le bien immobilier qui correspond idéalement à vos désirs sur ImmoScout24 - La plateforme de l'immobilier en Suisse.")</f>
        <v>Louer appartement Pâquis - Navigation (Genève): Trouvez le bien immobilier qui correspond idéalement à vos désirs sur ImmoScout24 - La plateforme de l'immobilier en Suisse.</v>
      </c>
    </row>
    <row r="5035" hidden="1">
      <c r="A5035" s="5" t="s">
        <v>13168</v>
      </c>
      <c r="B5035" s="2" t="s">
        <v>13169</v>
      </c>
      <c r="C5035" s="2" t="s">
        <v>13169</v>
      </c>
      <c r="D5035" s="4" t="str">
        <f>vlookup(A5035, Sheet2!D:E, 2, 0)</f>
        <v>control</v>
      </c>
      <c r="E5035" s="4" t="str">
        <f>IFERROR(__xludf.DUMMYFUNCTION("if(H5035=""pays"",vlookup(REGEXEXTRACT(C5035, ""🏘️ \w+ \w+ (.*) ✅""),'Country prepositions'!A:B, 2, 0) &amp; "" "" &amp; REGEXEXTRACT(C5035, ""🏘️ \w+ \w+ (.*) ✅"") ,  if(H5035=""quartier"",vlookup(REGEXEXTRACT(C5035, ""🏘️ \w+ \w+ (.*) ✅""),'Quartier prepositio"&amp;"ns'!A:E, 5, 0) ,  if(H5035=""region"",vlookup(REGEXEXTRACT(C5035, ""🏘️ \w+ \w+ (.*) ✅""),'Region prepositions'!B:F, 5, 0),  REGEXEXTRACT(C5035, ""🏘️ \w+ \w+ (.*) ✅""))))"),"#N/A")</f>
        <v>#N/A</v>
      </c>
      <c r="I5035" s="4" t="str">
        <f>IFERROR(__xludf.DUMMYFUNCTION("if(D5035=""variant"",  substitute(filter(Templates!E:E, Templates!A:A = F5035, Templates!B:B = G5035, Templates!C:C = H5035), ""{{}}"", E5035), B5035)"),"Vendre maison Fornex (Liddes): Trouvez le bien immobilier qui correspond idéalement à vos désirs sur ImmoScout24 - La plateforme de l'immobilier en Suisse.")</f>
        <v>Vendre maison Fornex (Liddes): Trouvez le bien immobilier qui correspond idéalement à vos désirs sur ImmoScout24 - La plateforme de l'immobilier en Suisse.</v>
      </c>
    </row>
    <row r="5036" hidden="1">
      <c r="A5036" s="5" t="s">
        <v>13170</v>
      </c>
      <c r="B5036" s="2" t="s">
        <v>13171</v>
      </c>
      <c r="C5036" s="2" t="s">
        <v>13171</v>
      </c>
      <c r="D5036" s="4" t="str">
        <f>vlookup(A5036, Sheet2!D:E, 2, 0)</f>
        <v>control</v>
      </c>
      <c r="E5036" s="4" t="str">
        <f>IFERROR(__xludf.DUMMYFUNCTION("if(H5036=""pays"",vlookup(REGEXEXTRACT(C5036, ""🏘️ \w+ \w+ (.*) ✅""),'Country prepositions'!A:B, 2, 0) &amp; "" "" &amp; REGEXEXTRACT(C5036, ""🏘️ \w+ \w+ (.*) ✅"") ,  if(H5036=""quartier"",vlookup(REGEXEXTRACT(C5036, ""🏘️ \w+ \w+ (.*) ✅""),'Quartier prepositio"&amp;"ns'!A:E, 5, 0) ,  if(H5036=""region"",vlookup(REGEXEXTRACT(C5036, ""🏘️ \w+ \w+ (.*) ✅""),'Region prepositions'!B:F, 5, 0),  REGEXEXTRACT(C5036, ""🏘️ \w+ \w+ (.*) ✅""))))"),"#N/A")</f>
        <v>#N/A</v>
      </c>
      <c r="I5036" s="4" t="str">
        <f>IFERROR(__xludf.DUMMYFUNCTION("if(D5036=""variant"",  substitute(filter(Templates!E:E, Templates!A:A = F5036, Templates!B:B = G5036, Templates!C:C = H5036), ""{{}}"", E5036), B5036)"),"Vendre appartement Ayent: Trouvez le bien immobilier qui correspond idéalement à vos désirs sur ImmoScout24 - La plateforme de l'immobilier en Suisse.")</f>
        <v>Vendre appartement Ayent: Trouvez le bien immobilier qui correspond idéalement à vos désirs sur ImmoScout24 - La plateforme de l'immobilier en Suisse.</v>
      </c>
    </row>
    <row r="5037" hidden="1">
      <c r="A5037" s="5" t="s">
        <v>13172</v>
      </c>
      <c r="B5037" s="2" t="s">
        <v>13173</v>
      </c>
      <c r="C5037" s="2" t="s">
        <v>13173</v>
      </c>
      <c r="D5037" s="4" t="str">
        <f>vlookup(A5037, Sheet2!D:E, 2, 0)</f>
        <v>control</v>
      </c>
      <c r="E5037" s="4" t="str">
        <f>IFERROR(__xludf.DUMMYFUNCTION("if(H5037=""pays"",vlookup(REGEXEXTRACT(C5037, ""🏘️ \w+ \w+ (.*) ✅""),'Country prepositions'!A:B, 2, 0) &amp; "" "" &amp; REGEXEXTRACT(C5037, ""🏘️ \w+ \w+ (.*) ✅"") ,  if(H5037=""quartier"",vlookup(REGEXEXTRACT(C5037, ""🏘️ \w+ \w+ (.*) ✅""),'Quartier prepositio"&amp;"ns'!A:E, 5, 0) ,  if(H5037=""region"",vlookup(REGEXEXTRACT(C5037, ""🏘️ \w+ \w+ (.*) ✅""),'Region prepositions'!B:F, 5, 0),  REGEXEXTRACT(C5037, ""🏘️ \w+ \w+ (.*) ✅""))))"),"#N/A")</f>
        <v>#N/A</v>
      </c>
      <c r="I5037" s="4" t="str">
        <f>IFERROR(__xludf.DUMMYFUNCTION("if(D5037=""variant"",  substitute(filter(Templates!E:E, Templates!A:A = F5037, Templates!B:B = G5037, Templates!C:C = H5037), ""{{}}"", E5037), B5037)"),"Louer appartement Saas-Grund: Trouvez le bien immobilier qui correspond idéalement à vos désirs sur ImmoScout24 - La plateforme de l'immobilier en Suisse.")</f>
        <v>Louer appartement Saas-Grund: Trouvez le bien immobilier qui correspond idéalement à vos désirs sur ImmoScout24 - La plateforme de l'immobilier en Suisse.</v>
      </c>
    </row>
    <row r="5038" hidden="1">
      <c r="A5038" s="5" t="s">
        <v>13174</v>
      </c>
      <c r="B5038" s="2" t="s">
        <v>13175</v>
      </c>
      <c r="C5038" s="2" t="s">
        <v>13175</v>
      </c>
      <c r="D5038" s="4" t="str">
        <f>vlookup(A5038, Sheet2!D:E, 2, 0)</f>
        <v>control</v>
      </c>
      <c r="E5038" s="4" t="str">
        <f>IFERROR(__xludf.DUMMYFUNCTION("if(H5038=""pays"",vlookup(REGEXEXTRACT(C5038, ""🏘️ \w+ \w+ (.*) ✅""),'Country prepositions'!A:B, 2, 0) &amp; "" "" &amp; REGEXEXTRACT(C5038, ""🏘️ \w+ \w+ (.*) ✅"") ,  if(H5038=""quartier"",vlookup(REGEXEXTRACT(C5038, ""🏘️ \w+ \w+ (.*) ✅""),'Quartier prepositio"&amp;"ns'!A:E, 5, 0) ,  if(H5038=""region"",vlookup(REGEXEXTRACT(C5038, ""🏘️ \w+ \w+ (.*) ✅""),'Region prepositions'!B:F, 5, 0),  REGEXEXTRACT(C5038, ""🏘️ \w+ \w+ (.*) ✅""))))"),"#N/A")</f>
        <v>#N/A</v>
      </c>
      <c r="I5038" s="4" t="str">
        <f>IFERROR(__xludf.DUMMYFUNCTION("if(D5038=""variant"",  substitute(filter(Templates!E:E, Templates!A:A = F5038, Templates!B:B = G5038, Templates!C:C = H5038), ""{{}}"", E5038), B5038)"),"Louer appartement Balsthal: Trouvez le bien immobilier qui correspond idéalement à vos désirs sur ImmoScout24 - La plateforme de l'immobilier en Suisse.")</f>
        <v>Louer appartement Balsthal: Trouvez le bien immobilier qui correspond idéalement à vos désirs sur ImmoScout24 - La plateforme de l'immobilier en Suisse.</v>
      </c>
    </row>
    <row r="5039" hidden="1">
      <c r="A5039" s="5" t="s">
        <v>13176</v>
      </c>
      <c r="B5039" s="2" t="s">
        <v>13177</v>
      </c>
      <c r="C5039" s="2" t="s">
        <v>13177</v>
      </c>
      <c r="D5039" s="4" t="str">
        <f>vlookup(A5039, Sheet2!D:E, 2, 0)</f>
        <v>control</v>
      </c>
      <c r="E5039" s="4" t="str">
        <f>IFERROR(__xludf.DUMMYFUNCTION("if(H5039=""pays"",vlookup(REGEXEXTRACT(C5039, ""🏘️ \w+ \w+ (.*) ✅""),'Country prepositions'!A:B, 2, 0) &amp; "" "" &amp; REGEXEXTRACT(C5039, ""🏘️ \w+ \w+ (.*) ✅"") ,  if(H5039=""quartier"",vlookup(REGEXEXTRACT(C5039, ""🏘️ \w+ \w+ (.*) ✅""),'Quartier prepositio"&amp;"ns'!A:E, 5, 0) ,  if(H5039=""region"",vlookup(REGEXEXTRACT(C5039, ""🏘️ \w+ \w+ (.*) ✅""),'Region prepositions'!B:F, 5, 0),  REGEXEXTRACT(C5039, ""🏘️ \w+ \w+ (.*) ✅""))))"),"#N/A")</f>
        <v>#N/A</v>
      </c>
      <c r="I5039" s="4" t="str">
        <f>IFERROR(__xludf.DUMMYFUNCTION("if(D5039=""variant"",  substitute(filter(Templates!E:E, Templates!A:A = F5039, Templates!B:B = G5039, Templates!C:C = H5039), ""{{}}"", E5039), B5039)"),"Louer appartement Concise: Trouvez le bien immobilier qui correspond idéalement à vos désirs sur ImmoScout24 - La plateforme de l'immobilier en Suisse.")</f>
        <v>Louer appartement Concise: Trouvez le bien immobilier qui correspond idéalement à vos désirs sur ImmoScout24 - La plateforme de l'immobilier en Suisse.</v>
      </c>
    </row>
    <row r="5040" hidden="1">
      <c r="A5040" s="5" t="s">
        <v>13178</v>
      </c>
      <c r="B5040" s="2" t="s">
        <v>13179</v>
      </c>
      <c r="C5040" s="2" t="s">
        <v>13179</v>
      </c>
      <c r="D5040" s="4" t="str">
        <f>vlookup(A5040, Sheet2!D:E, 2, 0)</f>
        <v>control</v>
      </c>
      <c r="E5040" s="4" t="str">
        <f>IFERROR(__xludf.DUMMYFUNCTION("if(H5040=""pays"",vlookup(REGEXEXTRACT(C5040, ""🏘️ \w+ \w+ (.*) ✅""),'Country prepositions'!A:B, 2, 0) &amp; "" "" &amp; REGEXEXTRACT(C5040, ""🏘️ \w+ \w+ (.*) ✅"") ,  if(H5040=""quartier"",vlookup(REGEXEXTRACT(C5040, ""🏘️ \w+ \w+ (.*) ✅""),'Quartier prepositio"&amp;"ns'!A:E, 5, 0) ,  if(H5040=""region"",vlookup(REGEXEXTRACT(C5040, ""🏘️ \w+ \w+ (.*) ✅""),'Region prepositions'!B:F, 5, 0),  REGEXEXTRACT(C5040, ""🏘️ \w+ \w+ (.*) ✅""))))"),"#N/A")</f>
        <v>#N/A</v>
      </c>
      <c r="I5040" s="4" t="str">
        <f>IFERROR(__xludf.DUMMYFUNCTION("if(D5040=""variant"",  substitute(filter(Templates!E:E, Templates!A:A = F5040, Templates!B:B = G5040, Templates!C:C = H5040), ""{{}}"", E5040), B5040)"),"Louer appartement Vendlincourt: Trouvez le bien immobilier qui correspond idéalement à vos désirs sur ImmoScout24 - La plateforme de l'immobilier en Suisse.")</f>
        <v>Louer appartement Vendlincourt: Trouvez le bien immobilier qui correspond idéalement à vos désirs sur ImmoScout24 - La plateforme de l'immobilier en Suisse.</v>
      </c>
    </row>
    <row r="5041" hidden="1">
      <c r="A5041" s="5" t="s">
        <v>13180</v>
      </c>
      <c r="B5041" s="2" t="s">
        <v>13181</v>
      </c>
      <c r="C5041" s="2" t="s">
        <v>13181</v>
      </c>
      <c r="D5041" s="4" t="str">
        <f>vlookup(A5041, Sheet2!D:E, 2, 0)</f>
        <v>control</v>
      </c>
      <c r="E5041" s="4" t="str">
        <f>IFERROR(__xludf.DUMMYFUNCTION("if(H5041=""pays"",vlookup(REGEXEXTRACT(C5041, ""🏘️ \w+ \w+ (.*) ✅""),'Country prepositions'!A:B, 2, 0) &amp; "" "" &amp; REGEXEXTRACT(C5041, ""🏘️ \w+ \w+ (.*) ✅"") ,  if(H5041=""quartier"",vlookup(REGEXEXTRACT(C5041, ""🏘️ \w+ \w+ (.*) ✅""),'Quartier prepositio"&amp;"ns'!A:E, 5, 0) ,  if(H5041=""region"",vlookup(REGEXEXTRACT(C5041, ""🏘️ \w+ \w+ (.*) ✅""),'Region prepositions'!B:F, 5, 0),  REGEXEXTRACT(C5041, ""🏘️ \w+ \w+ (.*) ✅""))))"),"#N/A")</f>
        <v>#N/A</v>
      </c>
      <c r="I5041" s="4" t="str">
        <f>IFERROR(__xludf.DUMMYFUNCTION("if(D5041=""variant"",  substitute(filter(Templates!E:E, Templates!A:A = F5041, Templates!B:B = G5041, Templates!C:C = H5041), ""{{}}"", E5041), B5041)"),"Vendre maison Glattal: Trouvez le bien immobilier qui correspond idéalement à vos désirs sur ImmoScout24 - La plateforme de l'immobilier en Suisse.")</f>
        <v>Vendre maison Glattal: Trouvez le bien immobilier qui correspond idéalement à vos désirs sur ImmoScout24 - La plateforme de l'immobilier en Suisse.</v>
      </c>
    </row>
    <row r="5042" hidden="1">
      <c r="A5042" s="5" t="s">
        <v>13182</v>
      </c>
      <c r="B5042" s="2" t="s">
        <v>13183</v>
      </c>
      <c r="C5042" s="2" t="s">
        <v>13183</v>
      </c>
      <c r="D5042" s="4" t="str">
        <f>vlookup(A5042, Sheet2!D:E, 2, 0)</f>
        <v>control</v>
      </c>
      <c r="E5042" s="4" t="str">
        <f>IFERROR(__xludf.DUMMYFUNCTION("if(H5042=""pays"",vlookup(REGEXEXTRACT(C5042, ""🏘️ \w+ \w+ (.*) ✅""),'Country prepositions'!A:B, 2, 0) &amp; "" "" &amp; REGEXEXTRACT(C5042, ""🏘️ \w+ \w+ (.*) ✅"") ,  if(H5042=""quartier"",vlookup(REGEXEXTRACT(C5042, ""🏘️ \w+ \w+ (.*) ✅""),'Quartier prepositio"&amp;"ns'!A:E, 5, 0) ,  if(H5042=""region"",vlookup(REGEXEXTRACT(C5042, ""🏘️ \w+ \w+ (.*) ✅""),'Region prepositions'!B:F, 5, 0),  REGEXEXTRACT(C5042, ""🏘️ \w+ \w+ (.*) ✅""))))"),"#N/A")</f>
        <v>#N/A</v>
      </c>
      <c r="I5042" s="4" t="str">
        <f>IFERROR(__xludf.DUMMYFUNCTION("if(D5042=""variant"",  substitute(filter(Templates!E:E, Templates!A:A = F5042, Templates!B:B = G5042, Templates!C:C = H5042), ""{{}}"", E5042), B5042)"),"Louer appartement Bursinel: Trouvez le bien immobilier qui correspond idéalement à vos désirs sur ImmoScout24 - La plateforme de l'immobilier en Suisse.")</f>
        <v>Louer appartement Bursinel: Trouvez le bien immobilier qui correspond idéalement à vos désirs sur ImmoScout24 - La plateforme de l'immobilier en Suisse.</v>
      </c>
    </row>
    <row r="5043" hidden="1">
      <c r="A5043" s="5" t="s">
        <v>13184</v>
      </c>
      <c r="B5043" s="2" t="s">
        <v>13185</v>
      </c>
      <c r="C5043" s="2" t="s">
        <v>13185</v>
      </c>
      <c r="D5043" s="4" t="str">
        <f>vlookup(A5043, Sheet2!D:E, 2, 0)</f>
        <v>control</v>
      </c>
      <c r="E5043" s="4" t="str">
        <f>IFERROR(__xludf.DUMMYFUNCTION("if(H5043=""pays"",vlookup(REGEXEXTRACT(C5043, ""🏘️ \w+ \w+ (.*) ✅""),'Country prepositions'!A:B, 2, 0) &amp; "" "" &amp; REGEXEXTRACT(C5043, ""🏘️ \w+ \w+ (.*) ✅"") ,  if(H5043=""quartier"",vlookup(REGEXEXTRACT(C5043, ""🏘️ \w+ \w+ (.*) ✅""),'Quartier prepositio"&amp;"ns'!A:E, 5, 0) ,  if(H5043=""region"",vlookup(REGEXEXTRACT(C5043, ""🏘️ \w+ \w+ (.*) ✅""),'Region prepositions'!B:F, 5, 0),  REGEXEXTRACT(C5043, ""🏘️ \w+ \w+ (.*) ✅""))))"),"#N/A")</f>
        <v>#N/A</v>
      </c>
      <c r="I5043" s="4" t="str">
        <f>IFERROR(__xludf.DUMMYFUNCTION("if(D5043=""variant"",  substitute(filter(Templates!E:E, Templates!A:A = F5043, Templates!B:B = G5043, Templates!C:C = H5043), ""{{}}"", E5043), B5043)"),"Louer appartement Champoz: Trouvez le bien immobilier qui correspond idéalement à vos désirs sur ImmoScout24 - La plateforme de l'immobilier en Suisse.")</f>
        <v>Louer appartement Champoz: Trouvez le bien immobilier qui correspond idéalement à vos désirs sur ImmoScout24 - La plateforme de l'immobilier en Suisse.</v>
      </c>
    </row>
    <row r="5044" hidden="1">
      <c r="A5044" s="5" t="s">
        <v>13186</v>
      </c>
      <c r="B5044" s="2" t="s">
        <v>13187</v>
      </c>
      <c r="C5044" s="2" t="s">
        <v>13187</v>
      </c>
      <c r="D5044" s="4" t="str">
        <f>vlookup(A5044, Sheet2!D:E, 2, 0)</f>
        <v>control</v>
      </c>
      <c r="E5044" s="4" t="str">
        <f>IFERROR(__xludf.DUMMYFUNCTION("if(H5044=""pays"",vlookup(REGEXEXTRACT(C5044, ""🏘️ \w+ \w+ (.*) ✅""),'Country prepositions'!A:B, 2, 0) &amp; "" "" &amp; REGEXEXTRACT(C5044, ""🏘️ \w+ \w+ (.*) ✅"") ,  if(H5044=""quartier"",vlookup(REGEXEXTRACT(C5044, ""🏘️ \w+ \w+ (.*) ✅""),'Quartier prepositio"&amp;"ns'!A:E, 5, 0) ,  if(H5044=""region"",vlookup(REGEXEXTRACT(C5044, ""🏘️ \w+ \w+ (.*) ✅""),'Region prepositions'!B:F, 5, 0),  REGEXEXTRACT(C5044, ""🏘️ \w+ \w+ (.*) ✅""))))"),"#N/A")</f>
        <v>#N/A</v>
      </c>
      <c r="I5044" s="4" t="str">
        <f>IFERROR(__xludf.DUMMYFUNCTION("if(D5044=""variant"",  substitute(filter(Templates!E:E, Templates!A:A = F5044, Templates!B:B = G5044, Templates!C:C = H5044), ""{{}}"", E5044), B5044)"),"Louer appartement Gempenach: Trouvez le bien immobilier qui correspond idéalement à vos désirs sur ImmoScout24 - La plateforme de l'immobilier en Suisse.")</f>
        <v>Louer appartement Gempenach: Trouvez le bien immobilier qui correspond idéalement à vos désirs sur ImmoScout24 - La plateforme de l'immobilier en Suisse.</v>
      </c>
    </row>
    <row r="5045" hidden="1">
      <c r="A5045" s="5" t="s">
        <v>13188</v>
      </c>
      <c r="B5045" s="2" t="s">
        <v>13189</v>
      </c>
      <c r="C5045" s="2" t="s">
        <v>13189</v>
      </c>
      <c r="D5045" s="4" t="str">
        <f>vlookup(A5045, Sheet2!D:E, 2, 0)</f>
        <v>control</v>
      </c>
      <c r="E5045" s="4" t="str">
        <f>IFERROR(__xludf.DUMMYFUNCTION("if(H5045=""pays"",vlookup(REGEXEXTRACT(C5045, ""🏘️ \w+ \w+ (.*) ✅""),'Country prepositions'!A:B, 2, 0) &amp; "" "" &amp; REGEXEXTRACT(C5045, ""🏘️ \w+ \w+ (.*) ✅"") ,  if(H5045=""quartier"",vlookup(REGEXEXTRACT(C5045, ""🏘️ \w+ \w+ (.*) ✅""),'Quartier prepositio"&amp;"ns'!A:E, 5, 0) ,  if(H5045=""region"",vlookup(REGEXEXTRACT(C5045, ""🏘️ \w+ \w+ (.*) ✅""),'Region prepositions'!B:F, 5, 0),  REGEXEXTRACT(C5045, ""🏘️ \w+ \w+ (.*) ✅""))))"),"#N/A")</f>
        <v>#N/A</v>
      </c>
      <c r="I5045" s="4" t="str">
        <f>IFERROR(__xludf.DUMMYFUNCTION("if(D5045=""variant"",  substitute(filter(Templates!E:E, Templates!A:A = F5045, Templates!B:B = G5045, Templates!C:C = H5045), ""{{}}"", E5045), B5045)"),"Louer appartement Schwanden GL: Trouvez le bien immobilier qui correspond idéalement à vos désirs sur ImmoScout24 - La plateforme de l'immobilier en Suisse.")</f>
        <v>Louer appartement Schwanden GL: Trouvez le bien immobilier qui correspond idéalement à vos désirs sur ImmoScout24 - La plateforme de l'immobilier en Suisse.</v>
      </c>
    </row>
    <row r="5046" hidden="1">
      <c r="A5046" s="5" t="s">
        <v>13190</v>
      </c>
      <c r="B5046" s="2" t="s">
        <v>13191</v>
      </c>
      <c r="C5046" s="2" t="s">
        <v>13191</v>
      </c>
      <c r="D5046" s="4" t="str">
        <f>vlookup(A5046, Sheet2!D:E, 2, 0)</f>
        <v>control</v>
      </c>
      <c r="E5046" s="4" t="str">
        <f>IFERROR(__xludf.DUMMYFUNCTION("if(H5046=""pays"",vlookup(REGEXEXTRACT(C5046, ""🏘️ \w+ \w+ (.*) ✅""),'Country prepositions'!A:B, 2, 0) &amp; "" "" &amp; REGEXEXTRACT(C5046, ""🏘️ \w+ \w+ (.*) ✅"") ,  if(H5046=""quartier"",vlookup(REGEXEXTRACT(C5046, ""🏘️ \w+ \w+ (.*) ✅""),'Quartier prepositio"&amp;"ns'!A:E, 5, 0) ,  if(H5046=""region"",vlookup(REGEXEXTRACT(C5046, ""🏘️ \w+ \w+ (.*) ✅""),'Region prepositions'!B:F, 5, 0),  REGEXEXTRACT(C5046, ""🏘️ \w+ \w+ (.*) ✅""))))"),"#N/A")</f>
        <v>#N/A</v>
      </c>
      <c r="I5046" s="4" t="str">
        <f>IFERROR(__xludf.DUMMYFUNCTION("if(D5046=""variant"",  substitute(filter(Templates!E:E, Templates!A:A = F5046, Templates!B:B = G5046, Templates!C:C = H5046), ""{{}}"", E5046), B5046)"),"Vendre maison Bassins: Trouvez le bien immobilier qui correspond idéalement à vos désirs sur ImmoScout24 - La plateforme de l'immobilier en Suisse.")</f>
        <v>Vendre maison Bassins: Trouvez le bien immobilier qui correspond idéalement à vos désirs sur ImmoScout24 - La plateforme de l'immobilier en Suisse.</v>
      </c>
    </row>
    <row r="5047" hidden="1">
      <c r="A5047" s="5" t="s">
        <v>13192</v>
      </c>
      <c r="B5047" s="2" t="s">
        <v>13193</v>
      </c>
      <c r="C5047" s="2" t="s">
        <v>13193</v>
      </c>
      <c r="D5047" s="4" t="str">
        <f>vlookup(A5047, Sheet2!D:E, 2, 0)</f>
        <v>control</v>
      </c>
      <c r="E5047" s="4" t="str">
        <f>IFERROR(__xludf.DUMMYFUNCTION("if(H5047=""pays"",vlookup(REGEXEXTRACT(C5047, ""🏘️ \w+ \w+ (.*) ✅""),'Country prepositions'!A:B, 2, 0) &amp; "" "" &amp; REGEXEXTRACT(C5047, ""🏘️ \w+ \w+ (.*) ✅"") ,  if(H5047=""quartier"",vlookup(REGEXEXTRACT(C5047, ""🏘️ \w+ \w+ (.*) ✅""),'Quartier prepositio"&amp;"ns'!A:E, 5, 0) ,  if(H5047=""region"",vlookup(REGEXEXTRACT(C5047, ""🏘️ \w+ \w+ (.*) ✅""),'Region prepositions'!B:F, 5, 0),  REGEXEXTRACT(C5047, ""🏘️ \w+ \w+ (.*) ✅""))))"),"#N/A")</f>
        <v>#N/A</v>
      </c>
      <c r="I5047" s="4" t="str">
        <f>IFERROR(__xludf.DUMMYFUNCTION("if(D5047=""variant"",  substitute(filter(Templates!E:E, Templates!A:A = F5047, Templates!B:B = G5047, Templates!C:C = H5047), ""{{}}"", E5047), B5047)"),"Vendre maison Schönenbuch: Trouvez le bien immobilier qui correspond idéalement à vos désirs sur ImmoScout24 - La plateforme de l'immobilier en Suisse.")</f>
        <v>Vendre maison Schönenbuch: Trouvez le bien immobilier qui correspond idéalement à vos désirs sur ImmoScout24 - La plateforme de l'immobilier en Suisse.</v>
      </c>
    </row>
    <row r="5048" hidden="1">
      <c r="A5048" s="5" t="s">
        <v>13194</v>
      </c>
      <c r="B5048" s="2" t="s">
        <v>13195</v>
      </c>
      <c r="C5048" s="2" t="s">
        <v>13195</v>
      </c>
      <c r="D5048" s="4" t="str">
        <f>vlookup(A5048, Sheet2!D:E, 2, 0)</f>
        <v>control</v>
      </c>
      <c r="E5048" s="4" t="str">
        <f>IFERROR(__xludf.DUMMYFUNCTION("if(H5048=""pays"",vlookup(REGEXEXTRACT(C5048, ""🏘️ \w+ \w+ (.*) ✅""),'Country prepositions'!A:B, 2, 0) &amp; "" "" &amp; REGEXEXTRACT(C5048, ""🏘️ \w+ \w+ (.*) ✅"") ,  if(H5048=""quartier"",vlookup(REGEXEXTRACT(C5048, ""🏘️ \w+ \w+ (.*) ✅""),'Quartier prepositio"&amp;"ns'!A:E, 5, 0) ,  if(H5048=""region"",vlookup(REGEXEXTRACT(C5048, ""🏘️ \w+ \w+ (.*) ✅""),'Region prepositions'!B:F, 5, 0),  REGEXEXTRACT(C5048, ""🏘️ \w+ \w+ (.*) ✅""))))"),"#N/A")</f>
        <v>#N/A</v>
      </c>
      <c r="I5048" s="4" t="str">
        <f>IFERROR(__xludf.DUMMYFUNCTION("if(D5048=""variant"",  substitute(filter(Templates!E:E, Templates!A:A = F5048, Templates!B:B = G5048, Templates!C:C = H5048), ""{{}}"", E5048), B5048)"),"Vendre maison Agra: Trouvez le bien immobilier qui correspond idéalement à vos désirs sur ImmoScout24 - La plateforme de l'immobilier en Suisse.")</f>
        <v>Vendre maison Agra: Trouvez le bien immobilier qui correspond idéalement à vos désirs sur ImmoScout24 - La plateforme de l'immobilier en Suisse.</v>
      </c>
    </row>
    <row r="5049" hidden="1">
      <c r="A5049" s="5" t="s">
        <v>13196</v>
      </c>
      <c r="B5049" s="2" t="s">
        <v>13197</v>
      </c>
      <c r="C5049" s="2" t="s">
        <v>13197</v>
      </c>
      <c r="D5049" s="4" t="str">
        <f>vlookup(A5049, Sheet2!D:E, 2, 0)</f>
        <v>control</v>
      </c>
      <c r="E5049" s="4" t="str">
        <f>IFERROR(__xludf.DUMMYFUNCTION("if(H5049=""pays"",vlookup(REGEXEXTRACT(C5049, ""🏘️ \w+ \w+ (.*) ✅""),'Country prepositions'!A:B, 2, 0) &amp; "" "" &amp; REGEXEXTRACT(C5049, ""🏘️ \w+ \w+ (.*) ✅"") ,  if(H5049=""quartier"",vlookup(REGEXEXTRACT(C5049, ""🏘️ \w+ \w+ (.*) ✅""),'Quartier prepositio"&amp;"ns'!A:E, 5, 0) ,  if(H5049=""region"",vlookup(REGEXEXTRACT(C5049, ""🏘️ \w+ \w+ (.*) ✅""),'Region prepositions'!B:F, 5, 0),  REGEXEXTRACT(C5049, ""🏘️ \w+ \w+ (.*) ✅""))))"),"#N/A")</f>
        <v>#N/A</v>
      </c>
      <c r="I5049" s="4" t="str">
        <f>IFERROR(__xludf.DUMMYFUNCTION("if(D5049=""variant"",  substitute(filter(Templates!E:E, Templates!A:A = F5049, Templates!B:B = G5049, Templates!C:C = H5049), ""{{}}"", E5049), B5049)"),"Louer maison Delémont: Trouvez le bien immobilier qui correspond idéalement à vos désirs sur ImmoScout24 - La plateforme de l'immobilier en Suisse.")</f>
        <v>Louer maison Delémont: Trouvez le bien immobilier qui correspond idéalement à vos désirs sur ImmoScout24 - La plateforme de l'immobilier en Suisse.</v>
      </c>
    </row>
    <row r="5050" hidden="1">
      <c r="A5050" s="5" t="s">
        <v>13198</v>
      </c>
      <c r="B5050" s="2" t="s">
        <v>13199</v>
      </c>
      <c r="C5050" s="2" t="s">
        <v>13199</v>
      </c>
      <c r="D5050" s="4" t="str">
        <f>vlookup(A5050, Sheet2!D:E, 2, 0)</f>
        <v>control</v>
      </c>
      <c r="E5050" s="4" t="str">
        <f>IFERROR(__xludf.DUMMYFUNCTION("if(H5050=""pays"",vlookup(REGEXEXTRACT(C5050, ""🏘️ \w+ \w+ (.*) ✅""),'Country prepositions'!A:B, 2, 0) &amp; "" "" &amp; REGEXEXTRACT(C5050, ""🏘️ \w+ \w+ (.*) ✅"") ,  if(H5050=""quartier"",vlookup(REGEXEXTRACT(C5050, ""🏘️ \w+ \w+ (.*) ✅""),'Quartier prepositio"&amp;"ns'!A:E, 5, 0) ,  if(H5050=""region"",vlookup(REGEXEXTRACT(C5050, ""🏘️ \w+ \w+ (.*) ✅""),'Region prepositions'!B:F, 5, 0),  REGEXEXTRACT(C5050, ""🏘️ \w+ \w+ (.*) ✅""))))"),"#N/A")</f>
        <v>#N/A</v>
      </c>
      <c r="I5050" s="4" t="str">
        <f>IFERROR(__xludf.DUMMYFUNCTION("if(D5050=""variant"",  substitute(filter(Templates!E:E, Templates!A:A = F5050, Templates!B:B = G5050, Templates!C:C = H5050), ""{{}}"", E5050), B5050)"),"Vendre maison Allschwil: Trouvez le bien immobilier qui correspond idéalement à vos désirs sur ImmoScout24 - La plateforme de l'immobilier en Suisse.")</f>
        <v>Vendre maison Allschwil: Trouvez le bien immobilier qui correspond idéalement à vos désirs sur ImmoScout24 - La plateforme de l'immobilier en Suisse.</v>
      </c>
    </row>
    <row r="5051" hidden="1">
      <c r="A5051" s="5" t="s">
        <v>13200</v>
      </c>
      <c r="B5051" s="2" t="s">
        <v>13201</v>
      </c>
      <c r="C5051" s="2" t="s">
        <v>13201</v>
      </c>
      <c r="D5051" s="4" t="str">
        <f>vlookup(A5051, Sheet2!D:E, 2, 0)</f>
        <v>control</v>
      </c>
      <c r="E5051" s="4" t="str">
        <f>IFERROR(__xludf.DUMMYFUNCTION("if(H5051=""pays"",vlookup(REGEXEXTRACT(C5051, ""🏘️ \w+ \w+ (.*) ✅""),'Country prepositions'!A:B, 2, 0) &amp; "" "" &amp; REGEXEXTRACT(C5051, ""🏘️ \w+ \w+ (.*) ✅"") ,  if(H5051=""quartier"",vlookup(REGEXEXTRACT(C5051, ""🏘️ \w+ \w+ (.*) ✅""),'Quartier prepositio"&amp;"ns'!A:E, 5, 0) ,  if(H5051=""region"",vlookup(REGEXEXTRACT(C5051, ""🏘️ \w+ \w+ (.*) ✅""),'Region prepositions'!B:F, 5, 0),  REGEXEXTRACT(C5051, ""🏘️ \w+ \w+ (.*) ✅""))))"),"#N/A")</f>
        <v>#N/A</v>
      </c>
      <c r="I5051" s="4" t="str">
        <f>IFERROR(__xludf.DUMMYFUNCTION("if(D5051=""variant"",  substitute(filter(Templates!E:E, Templates!A:A = F5051, Templates!B:B = G5051, Templates!C:C = H5051), ""{{}}"", E5051), B5051)"),"Vendre maison Chemin: Trouvez le bien immobilier qui correspond idéalement à vos désirs sur ImmoScout24 - La plateforme de l'immobilier en Suisse.")</f>
        <v>Vendre maison Chemin: Trouvez le bien immobilier qui correspond idéalement à vos désirs sur ImmoScout24 - La plateforme de l'immobilier en Suisse.</v>
      </c>
    </row>
    <row r="5052" hidden="1">
      <c r="A5052" s="5" t="s">
        <v>13202</v>
      </c>
      <c r="B5052" s="2" t="s">
        <v>13203</v>
      </c>
      <c r="C5052" s="2" t="s">
        <v>13203</v>
      </c>
      <c r="D5052" s="4" t="str">
        <f>vlookup(A5052, Sheet2!D:E, 2, 0)</f>
        <v>control</v>
      </c>
      <c r="E5052" s="4" t="str">
        <f>IFERROR(__xludf.DUMMYFUNCTION("if(H5052=""pays"",vlookup(REGEXEXTRACT(C5052, ""🏘️ \w+ \w+ (.*) ✅""),'Country prepositions'!A:B, 2, 0) &amp; "" "" &amp; REGEXEXTRACT(C5052, ""🏘️ \w+ \w+ (.*) ✅"") ,  if(H5052=""quartier"",vlookup(REGEXEXTRACT(C5052, ""🏘️ \w+ \w+ (.*) ✅""),'Quartier prepositio"&amp;"ns'!A:E, 5, 0) ,  if(H5052=""region"",vlookup(REGEXEXTRACT(C5052, ""🏘️ \w+ \w+ (.*) ✅""),'Region prepositions'!B:F, 5, 0),  REGEXEXTRACT(C5052, ""🏘️ \w+ \w+ (.*) ✅""))))"),"#N/A")</f>
        <v>#N/A</v>
      </c>
      <c r="I5052" s="4" t="str">
        <f>IFERROR(__xludf.DUMMYFUNCTION("if(D5052=""variant"",  substitute(filter(Templates!E:E, Templates!A:A = F5052, Templates!B:B = G5052, Templates!C:C = H5052), ""{{}}"", E5052), B5052)"),"Louer appartement La Tzoumaz: Trouvez le bien immobilier qui correspond idéalement à vos désirs sur ImmoScout24 - La plateforme de l'immobilier en Suisse.")</f>
        <v>Louer appartement La Tzoumaz: Trouvez le bien immobilier qui correspond idéalement à vos désirs sur ImmoScout24 - La plateforme de l'immobilier en Suisse.</v>
      </c>
    </row>
    <row r="5053" hidden="1">
      <c r="A5053" s="5" t="s">
        <v>13204</v>
      </c>
      <c r="B5053" s="2" t="s">
        <v>13205</v>
      </c>
      <c r="C5053" s="2" t="s">
        <v>13205</v>
      </c>
      <c r="D5053" s="4" t="str">
        <f>vlookup(A5053, Sheet2!D:E, 2, 0)</f>
        <v>control</v>
      </c>
      <c r="E5053" s="4" t="str">
        <f>IFERROR(__xludf.DUMMYFUNCTION("if(H5053=""pays"",vlookup(REGEXEXTRACT(C5053, ""🏘️ \w+ \w+ (.*) ✅""),'Country prepositions'!A:B, 2, 0) &amp; "" "" &amp; REGEXEXTRACT(C5053, ""🏘️ \w+ \w+ (.*) ✅"") ,  if(H5053=""quartier"",vlookup(REGEXEXTRACT(C5053, ""🏘️ \w+ \w+ (.*) ✅""),'Quartier prepositio"&amp;"ns'!A:E, 5, 0) ,  if(H5053=""region"",vlookup(REGEXEXTRACT(C5053, ""🏘️ \w+ \w+ (.*) ✅""),'Region prepositions'!B:F, 5, 0),  REGEXEXTRACT(C5053, ""🏘️ \w+ \w+ (.*) ✅""))))"),"#N/A")</f>
        <v>#N/A</v>
      </c>
      <c r="I5053" s="4" t="str">
        <f>IFERROR(__xludf.DUMMYFUNCTION("if(D5053=""variant"",  substitute(filter(Templates!E:E, Templates!A:A = F5053, Templates!B:B = G5053, Templates!C:C = H5053), ""{{}}"", E5053), B5053)"),"Vendre maison Bilten: Trouvez le bien immobilier qui correspond idéalement à vos désirs sur ImmoScout24 - La plateforme de l'immobilier en Suisse.")</f>
        <v>Vendre maison Bilten: Trouvez le bien immobilier qui correspond idéalement à vos désirs sur ImmoScout24 - La plateforme de l'immobilier en Suisse.</v>
      </c>
    </row>
    <row r="5054" hidden="1">
      <c r="A5054" s="5" t="s">
        <v>13206</v>
      </c>
      <c r="B5054" s="2" t="s">
        <v>13207</v>
      </c>
      <c r="C5054" s="2" t="s">
        <v>13207</v>
      </c>
      <c r="D5054" s="4" t="str">
        <f>vlookup(A5054, Sheet2!D:E, 2, 0)</f>
        <v>control</v>
      </c>
      <c r="E5054" s="4" t="str">
        <f>IFERROR(__xludf.DUMMYFUNCTION("if(H5054=""pays"",vlookup(REGEXEXTRACT(C5054, ""🏘️ \w+ \w+ (.*) ✅""),'Country prepositions'!A:B, 2, 0) &amp; "" "" &amp; REGEXEXTRACT(C5054, ""🏘️ \w+ \w+ (.*) ✅"") ,  if(H5054=""quartier"",vlookup(REGEXEXTRACT(C5054, ""🏘️ \w+ \w+ (.*) ✅""),'Quartier prepositio"&amp;"ns'!A:E, 5, 0) ,  if(H5054=""region"",vlookup(REGEXEXTRACT(C5054, ""🏘️ \w+ \w+ (.*) ✅""),'Region prepositions'!B:F, 5, 0),  REGEXEXTRACT(C5054, ""🏘️ \w+ \w+ (.*) ✅""))))"),"#N/A")</f>
        <v>#N/A</v>
      </c>
      <c r="I5054" s="4" t="str">
        <f>IFERROR(__xludf.DUMMYFUNCTION("if(D5054=""variant"",  substitute(filter(Templates!E:E, Templates!A:A = F5054, Templates!B:B = G5054, Templates!C:C = H5054), ""{{}}"", E5054), B5054)"),"Vendre maison Mézières FR: Trouvez le bien immobilier qui correspond idéalement à vos désirs sur ImmoScout24 - La plateforme de l'immobilier en Suisse.")</f>
        <v>Vendre maison Mézières FR: Trouvez le bien immobilier qui correspond idéalement à vos désirs sur ImmoScout24 - La plateforme de l'immobilier en Suisse.</v>
      </c>
    </row>
    <row r="5055" hidden="1">
      <c r="A5055" s="5" t="s">
        <v>13208</v>
      </c>
      <c r="B5055" s="2" t="s">
        <v>13209</v>
      </c>
      <c r="C5055" s="2" t="s">
        <v>13209</v>
      </c>
      <c r="D5055" s="4" t="str">
        <f>vlookup(A5055, Sheet2!D:E, 2, 0)</f>
        <v>control</v>
      </c>
      <c r="E5055" s="4" t="str">
        <f>IFERROR(__xludf.DUMMYFUNCTION("if(H5055=""pays"",vlookup(REGEXEXTRACT(C5055, ""🏘️ \w+ \w+ (.*) ✅""),'Country prepositions'!A:B, 2, 0) &amp; "" "" &amp; REGEXEXTRACT(C5055, ""🏘️ \w+ \w+ (.*) ✅"") ,  if(H5055=""quartier"",vlookup(REGEXEXTRACT(C5055, ""🏘️ \w+ \w+ (.*) ✅""),'Quartier prepositio"&amp;"ns'!A:E, 5, 0) ,  if(H5055=""region"",vlookup(REGEXEXTRACT(C5055, ""🏘️ \w+ \w+ (.*) ✅""),'Region prepositions'!B:F, 5, 0),  REGEXEXTRACT(C5055, ""🏘️ \w+ \w+ (.*) ✅""))))"),"#N/A")</f>
        <v>#N/A</v>
      </c>
      <c r="I5055" s="4" t="str">
        <f>IFERROR(__xludf.DUMMYFUNCTION("if(D5055=""variant"",  substitute(filter(Templates!E:E, Templates!A:A = F5055, Templates!B:B = G5055, Templates!C:C = H5055), ""{{}}"", E5055), B5055)"),"Louer appartement Boll: Trouvez le bien immobilier qui correspond idéalement à vos désirs sur ImmoScout24 - La plateforme de l'immobilier en Suisse.")</f>
        <v>Louer appartement Boll: Trouvez le bien immobilier qui correspond idéalement à vos désirs sur ImmoScout24 - La plateforme de l'immobilier en Suisse.</v>
      </c>
    </row>
    <row r="5056" hidden="1">
      <c r="A5056" s="5" t="s">
        <v>13210</v>
      </c>
      <c r="B5056" s="2" t="s">
        <v>13211</v>
      </c>
      <c r="C5056" s="2" t="s">
        <v>13211</v>
      </c>
      <c r="D5056" s="4" t="str">
        <f>vlookup(A5056, Sheet2!D:E, 2, 0)</f>
        <v>control</v>
      </c>
      <c r="E5056" s="4" t="str">
        <f>IFERROR(__xludf.DUMMYFUNCTION("if(H5056=""pays"",vlookup(REGEXEXTRACT(C5056, ""🏘️ \w+ \w+ (.*) ✅""),'Country prepositions'!A:B, 2, 0) &amp; "" "" &amp; REGEXEXTRACT(C5056, ""🏘️ \w+ \w+ (.*) ✅"") ,  if(H5056=""quartier"",vlookup(REGEXEXTRACT(C5056, ""🏘️ \w+ \w+ (.*) ✅""),'Quartier prepositio"&amp;"ns'!A:E, 5, 0) ,  if(H5056=""region"",vlookup(REGEXEXTRACT(C5056, ""🏘️ \w+ \w+ (.*) ✅""),'Region prepositions'!B:F, 5, 0),  REGEXEXTRACT(C5056, ""🏘️ \w+ \w+ (.*) ✅""))))"),"#N/A")</f>
        <v>#N/A</v>
      </c>
      <c r="I5056" s="4" t="str">
        <f>IFERROR(__xludf.DUMMYFUNCTION("if(D5056=""variant"",  substitute(filter(Templates!E:E, Templates!A:A = F5056, Templates!B:B = G5056, Templates!C:C = H5056), ""{{}}"", E5056), B5056)"),"Vendre maison Wichtrach: Trouvez le bien immobilier qui correspond idéalement à vos désirs sur ImmoScout24 - La plateforme de l'immobilier en Suisse.")</f>
        <v>Vendre maison Wichtrach: Trouvez le bien immobilier qui correspond idéalement à vos désirs sur ImmoScout24 - La plateforme de l'immobilier en Suisse.</v>
      </c>
    </row>
    <row r="5057" hidden="1">
      <c r="A5057" s="5" t="s">
        <v>13212</v>
      </c>
      <c r="B5057" s="2" t="s">
        <v>13213</v>
      </c>
      <c r="C5057" s="2" t="s">
        <v>13213</v>
      </c>
      <c r="D5057" s="4" t="str">
        <f>vlookup(A5057, Sheet2!D:E, 2, 0)</f>
        <v>control</v>
      </c>
      <c r="E5057" s="4" t="str">
        <f>IFERROR(__xludf.DUMMYFUNCTION("if(H5057=""pays"",vlookup(REGEXEXTRACT(C5057, ""🏘️ \w+ \w+ (.*) ✅""),'Country prepositions'!A:B, 2, 0) &amp; "" "" &amp; REGEXEXTRACT(C5057, ""🏘️ \w+ \w+ (.*) ✅"") ,  if(H5057=""quartier"",vlookup(REGEXEXTRACT(C5057, ""🏘️ \w+ \w+ (.*) ✅""),'Quartier prepositio"&amp;"ns'!A:E, 5, 0) ,  if(H5057=""region"",vlookup(REGEXEXTRACT(C5057, ""🏘️ \w+ \w+ (.*) ✅""),'Region prepositions'!B:F, 5, 0),  REGEXEXTRACT(C5057, ""🏘️ \w+ \w+ (.*) ✅""))))"),"#N/A")</f>
        <v>#N/A</v>
      </c>
      <c r="I5057" s="4" t="str">
        <f>IFERROR(__xludf.DUMMYFUNCTION("if(D5057=""variant"",  substitute(filter(Templates!E:E, Templates!A:A = F5057, Templates!B:B = G5057, Templates!C:C = H5057), ""{{}}"", E5057), B5057)"),"Louer appartement Montagnes Neuchâteloises: Trouvez le bien immobilier qui correspond idéalement à vos désirs sur ImmoScout24 - La plateforme de l'immobilier en Suisse.")</f>
        <v>Louer appartement Montagnes Neuchâteloises: Trouvez le bien immobilier qui correspond idéalement à vos désirs sur ImmoScout24 - La plateforme de l'immobilier en Suisse.</v>
      </c>
    </row>
    <row r="5058" hidden="1">
      <c r="A5058" s="5" t="s">
        <v>13214</v>
      </c>
      <c r="B5058" s="2" t="s">
        <v>13215</v>
      </c>
      <c r="C5058" s="2" t="s">
        <v>13215</v>
      </c>
      <c r="D5058" s="4" t="str">
        <f>vlookup(A5058, Sheet2!D:E, 2, 0)</f>
        <v>control</v>
      </c>
      <c r="E5058" s="4" t="str">
        <f>IFERROR(__xludf.DUMMYFUNCTION("if(H5058=""pays"",vlookup(REGEXEXTRACT(C5058, ""🏘️ \w+ \w+ (.*) ✅""),'Country prepositions'!A:B, 2, 0) &amp; "" "" &amp; REGEXEXTRACT(C5058, ""🏘️ \w+ \w+ (.*) ✅"") ,  if(H5058=""quartier"",vlookup(REGEXEXTRACT(C5058, ""🏘️ \w+ \w+ (.*) ✅""),'Quartier prepositio"&amp;"ns'!A:E, 5, 0) ,  if(H5058=""region"",vlookup(REGEXEXTRACT(C5058, ""🏘️ \w+ \w+ (.*) ✅""),'Region prepositions'!B:F, 5, 0),  REGEXEXTRACT(C5058, ""🏘️ \w+ \w+ (.*) ✅""))))"),"#N/A")</f>
        <v>#N/A</v>
      </c>
      <c r="I5058" s="4" t="str">
        <f>IFERROR(__xludf.DUMMYFUNCTION("if(D5058=""variant"",  substitute(filter(Templates!E:E, Templates!A:A = F5058, Templates!B:B = G5058, Templates!C:C = H5058), ""{{}}"", E5058), B5058)"),"Vendre appartement Lenk im Simmental: Trouvez le bien immobilier qui correspond idéalement à vos désirs sur ImmoScout24 - La plateforme de l'immobilier en Suisse.")</f>
        <v>Vendre appartement Lenk im Simmental: Trouvez le bien immobilier qui correspond idéalement à vos désirs sur ImmoScout24 - La plateforme de l'immobilier en Suisse.</v>
      </c>
    </row>
    <row r="5059" hidden="1">
      <c r="A5059" s="5" t="s">
        <v>13216</v>
      </c>
      <c r="B5059" s="2" t="s">
        <v>13217</v>
      </c>
      <c r="C5059" s="2" t="s">
        <v>13217</v>
      </c>
      <c r="D5059" s="4" t="str">
        <f>vlookup(A5059, Sheet2!D:E, 2, 0)</f>
        <v>control</v>
      </c>
      <c r="E5059" s="4" t="str">
        <f>IFERROR(__xludf.DUMMYFUNCTION("if(H5059=""pays"",vlookup(REGEXEXTRACT(C5059, ""🏘️ \w+ \w+ (.*) ✅""),'Country prepositions'!A:B, 2, 0) &amp; "" "" &amp; REGEXEXTRACT(C5059, ""🏘️ \w+ \w+ (.*) ✅"") ,  if(H5059=""quartier"",vlookup(REGEXEXTRACT(C5059, ""🏘️ \w+ \w+ (.*) ✅""),'Quartier prepositio"&amp;"ns'!A:E, 5, 0) ,  if(H5059=""region"",vlookup(REGEXEXTRACT(C5059, ""🏘️ \w+ \w+ (.*) ✅""),'Region prepositions'!B:F, 5, 0),  REGEXEXTRACT(C5059, ""🏘️ \w+ \w+ (.*) ✅""))))"),"#N/A")</f>
        <v>#N/A</v>
      </c>
      <c r="I5059" s="4" t="str">
        <f>IFERROR(__xludf.DUMMYFUNCTION("if(D5059=""variant"",  substitute(filter(Templates!E:E, Templates!A:A = F5059, Templates!B:B = G5059, Templates!C:C = H5059), ""{{}}"", E5059), B5059)"),"Vendre maison Grafenried: Trouvez le bien immobilier qui correspond idéalement à vos désirs sur ImmoScout24 - La plateforme de l'immobilier en Suisse.")</f>
        <v>Vendre maison Grafenried: Trouvez le bien immobilier qui correspond idéalement à vos désirs sur ImmoScout24 - La plateforme de l'immobilier en Suisse.</v>
      </c>
    </row>
    <row r="5060" hidden="1">
      <c r="A5060" s="5" t="s">
        <v>13218</v>
      </c>
      <c r="B5060" s="2" t="s">
        <v>13219</v>
      </c>
      <c r="C5060" s="2" t="s">
        <v>13219</v>
      </c>
      <c r="D5060" s="4" t="str">
        <f>vlookup(A5060, Sheet2!D:E, 2, 0)</f>
        <v>control</v>
      </c>
      <c r="E5060" s="4" t="str">
        <f>IFERROR(__xludf.DUMMYFUNCTION("if(H5060=""pays"",vlookup(REGEXEXTRACT(C5060, ""🏘️ \w+ \w+ (.*) ✅""),'Country prepositions'!A:B, 2, 0) &amp; "" "" &amp; REGEXEXTRACT(C5060, ""🏘️ \w+ \w+ (.*) ✅"") ,  if(H5060=""quartier"",vlookup(REGEXEXTRACT(C5060, ""🏘️ \w+ \w+ (.*) ✅""),'Quartier prepositio"&amp;"ns'!A:E, 5, 0) ,  if(H5060=""region"",vlookup(REGEXEXTRACT(C5060, ""🏘️ \w+ \w+ (.*) ✅""),'Region prepositions'!B:F, 5, 0),  REGEXEXTRACT(C5060, ""🏘️ \w+ \w+ (.*) ✅""))))"),"#N/A")</f>
        <v>#N/A</v>
      </c>
      <c r="I5060" s="4" t="str">
        <f>IFERROR(__xludf.DUMMYFUNCTION("if(D5060=""variant"",  substitute(filter(Templates!E:E, Templates!A:A = F5060, Templates!B:B = G5060, Templates!C:C = H5060), ""{{}}"", E5060), B5060)"),"Vendre appartement Oberägeri: Trouvez le bien immobilier qui correspond idéalement à vos désirs sur ImmoScout24 - La plateforme de l'immobilier en Suisse.")</f>
        <v>Vendre appartement Oberägeri: Trouvez le bien immobilier qui correspond idéalement à vos désirs sur ImmoScout24 - La plateforme de l'immobilier en Suisse.</v>
      </c>
    </row>
    <row r="5061" hidden="1">
      <c r="A5061" s="5" t="s">
        <v>13220</v>
      </c>
      <c r="B5061" s="2" t="s">
        <v>13221</v>
      </c>
      <c r="C5061" s="2" t="s">
        <v>13221</v>
      </c>
      <c r="D5061" s="4" t="str">
        <f>vlookup(A5061, Sheet2!D:E, 2, 0)</f>
        <v>control</v>
      </c>
      <c r="E5061" s="4" t="str">
        <f>IFERROR(__xludf.DUMMYFUNCTION("if(H5061=""pays"",vlookup(REGEXEXTRACT(C5061, ""🏘️ \w+ \w+ (.*) ✅""),'Country prepositions'!A:B, 2, 0) &amp; "" "" &amp; REGEXEXTRACT(C5061, ""🏘️ \w+ \w+ (.*) ✅"") ,  if(H5061=""quartier"",vlookup(REGEXEXTRACT(C5061, ""🏘️ \w+ \w+ (.*) ✅""),'Quartier prepositio"&amp;"ns'!A:E, 5, 0) ,  if(H5061=""region"",vlookup(REGEXEXTRACT(C5061, ""🏘️ \w+ \w+ (.*) ✅""),'Region prepositions'!B:F, 5, 0),  REGEXEXTRACT(C5061, ""🏘️ \w+ \w+ (.*) ✅""))))"),"#N/A")</f>
        <v>#N/A</v>
      </c>
      <c r="I5061" s="4" t="str">
        <f>IFERROR(__xludf.DUMMYFUNCTION("if(D5061=""variant"",  substitute(filter(Templates!E:E, Templates!A:A = F5061, Templates!B:B = G5061, Templates!C:C = H5061), ""{{}}"", E5061), B5061)"),"Vendre maison Thörishaus: Trouvez le bien immobilier qui correspond idéalement à vos désirs sur ImmoScout24 - La plateforme de l'immobilier en Suisse.")</f>
        <v>Vendre maison Thörishaus: Trouvez le bien immobilier qui correspond idéalement à vos désirs sur ImmoScout24 - La plateforme de l'immobilier en Suisse.</v>
      </c>
    </row>
    <row r="5062" hidden="1">
      <c r="A5062" s="5" t="s">
        <v>13222</v>
      </c>
      <c r="B5062" s="2" t="s">
        <v>13223</v>
      </c>
      <c r="C5062" s="2" t="s">
        <v>13223</v>
      </c>
      <c r="D5062" s="4" t="str">
        <f>vlookup(A5062, Sheet2!D:E, 2, 0)</f>
        <v>control</v>
      </c>
      <c r="E5062" s="4" t="str">
        <f>IFERROR(__xludf.DUMMYFUNCTION("if(H5062=""pays"",vlookup(REGEXEXTRACT(C5062, ""🏘️ \w+ \w+ (.*) ✅""),'Country prepositions'!A:B, 2, 0) &amp; "" "" &amp; REGEXEXTRACT(C5062, ""🏘️ \w+ \w+ (.*) ✅"") ,  if(H5062=""quartier"",vlookup(REGEXEXTRACT(C5062, ""🏘️ \w+ \w+ (.*) ✅""),'Quartier prepositio"&amp;"ns'!A:E, 5, 0) ,  if(H5062=""region"",vlookup(REGEXEXTRACT(C5062, ""🏘️ \w+ \w+ (.*) ✅""),'Region prepositions'!B:F, 5, 0),  REGEXEXTRACT(C5062, ""🏘️ \w+ \w+ (.*) ✅""))))"),"#N/A")</f>
        <v>#N/A</v>
      </c>
      <c r="I5062" s="4" t="str">
        <f>IFERROR(__xludf.DUMMYFUNCTION("if(D5062=""variant"",  substitute(filter(Templates!E:E, Templates!A:A = F5062, Templates!B:B = G5062, Templates!C:C = H5062), ""{{}}"", E5062), B5062)"),"Vendre maison Lungern: Trouvez le bien immobilier qui correspond idéalement à vos désirs sur ImmoScout24 - La plateforme de l'immobilier en Suisse.")</f>
        <v>Vendre maison Lungern: Trouvez le bien immobilier qui correspond idéalement à vos désirs sur ImmoScout24 - La plateforme de l'immobilier en Suisse.</v>
      </c>
    </row>
    <row r="5063" hidden="1">
      <c r="A5063" s="5" t="s">
        <v>13224</v>
      </c>
      <c r="B5063" s="2" t="s">
        <v>13225</v>
      </c>
      <c r="C5063" s="2" t="s">
        <v>13225</v>
      </c>
      <c r="D5063" s="4" t="str">
        <f>vlookup(A5063, Sheet2!D:E, 2, 0)</f>
        <v>control</v>
      </c>
      <c r="E5063" s="4" t="str">
        <f>IFERROR(__xludf.DUMMYFUNCTION("if(H5063=""pays"",vlookup(REGEXEXTRACT(C5063, ""🏘️ \w+ \w+ (.*) ✅""),'Country prepositions'!A:B, 2, 0) &amp; "" "" &amp; REGEXEXTRACT(C5063, ""🏘️ \w+ \w+ (.*) ✅"") ,  if(H5063=""quartier"",vlookup(REGEXEXTRACT(C5063, ""🏘️ \w+ \w+ (.*) ✅""),'Quartier prepositio"&amp;"ns'!A:E, 5, 0) ,  if(H5063=""region"",vlookup(REGEXEXTRACT(C5063, ""🏘️ \w+ \w+ (.*) ✅""),'Region prepositions'!B:F, 5, 0),  REGEXEXTRACT(C5063, ""🏘️ \w+ \w+ (.*) ✅""))))"),"#N/A")</f>
        <v>#N/A</v>
      </c>
      <c r="I5063" s="4" t="str">
        <f>IFERROR(__xludf.DUMMYFUNCTION("if(D5063=""variant"",  substitute(filter(Templates!E:E, Templates!A:A = F5063, Templates!B:B = G5063, Templates!C:C = H5063), ""{{}}"", E5063), B5063)"),"Vendre maison Ebmatingen: Trouvez le bien immobilier qui correspond idéalement à vos désirs sur ImmoScout24 - La plateforme de l'immobilier en Suisse.")</f>
        <v>Vendre maison Ebmatingen: Trouvez le bien immobilier qui correspond idéalement à vos désirs sur ImmoScout24 - La plateforme de l'immobilier en Suisse.</v>
      </c>
    </row>
    <row r="5064" hidden="1">
      <c r="A5064" s="5" t="s">
        <v>13226</v>
      </c>
      <c r="B5064" s="2" t="s">
        <v>13227</v>
      </c>
      <c r="C5064" s="2" t="s">
        <v>13227</v>
      </c>
      <c r="D5064" s="4" t="str">
        <f>vlookup(A5064, Sheet2!D:E, 2, 0)</f>
        <v>control</v>
      </c>
      <c r="E5064" s="4" t="str">
        <f>IFERROR(__xludf.DUMMYFUNCTION("if(H5064=""pays"",vlookup(REGEXEXTRACT(C5064, ""🏘️ \w+ \w+ (.*) ✅""),'Country prepositions'!A:B, 2, 0) &amp; "" "" &amp; REGEXEXTRACT(C5064, ""🏘️ \w+ \w+ (.*) ✅"") ,  if(H5064=""quartier"",vlookup(REGEXEXTRACT(C5064, ""🏘️ \w+ \w+ (.*) ✅""),'Quartier prepositio"&amp;"ns'!A:E, 5, 0) ,  if(H5064=""region"",vlookup(REGEXEXTRACT(C5064, ""🏘️ \w+ \w+ (.*) ✅""),'Region prepositions'!B:F, 5, 0),  REGEXEXTRACT(C5064, ""🏘️ \w+ \w+ (.*) ✅""))))"),"#N/A")</f>
        <v>#N/A</v>
      </c>
      <c r="I5064" s="4" t="str">
        <f>IFERROR(__xludf.DUMMYFUNCTION("if(D5064=""variant"",  substitute(filter(Templates!E:E, Templates!A:A = F5064, Templates!B:B = G5064, Templates!C:C = H5064), ""{{}}"", E5064), B5064)"),"Louer maison Trey: Trouvez le bien immobilier qui correspond idéalement à vos désirs sur ImmoScout24 - La plateforme de l'immobilier en Suisse.")</f>
        <v>Louer maison Trey: Trouvez le bien immobilier qui correspond idéalement à vos désirs sur ImmoScout24 - La plateforme de l'immobilier en Suisse.</v>
      </c>
    </row>
    <row r="5065" hidden="1">
      <c r="A5065" s="5" t="s">
        <v>13228</v>
      </c>
      <c r="B5065" s="2" t="s">
        <v>13229</v>
      </c>
      <c r="C5065" s="2" t="s">
        <v>13229</v>
      </c>
      <c r="D5065" s="4" t="str">
        <f>vlookup(A5065, Sheet2!D:E, 2, 0)</f>
        <v>control</v>
      </c>
      <c r="E5065" s="4" t="str">
        <f>IFERROR(__xludf.DUMMYFUNCTION("if(H5065=""pays"",vlookup(REGEXEXTRACT(C5065, ""🏘️ \w+ \w+ (.*) ✅""),'Country prepositions'!A:B, 2, 0) &amp; "" "" &amp; REGEXEXTRACT(C5065, ""🏘️ \w+ \w+ (.*) ✅"") ,  if(H5065=""quartier"",vlookup(REGEXEXTRACT(C5065, ""🏘️ \w+ \w+ (.*) ✅""),'Quartier prepositio"&amp;"ns'!A:E, 5, 0) ,  if(H5065=""region"",vlookup(REGEXEXTRACT(C5065, ""🏘️ \w+ \w+ (.*) ✅""),'Region prepositions'!B:F, 5, 0),  REGEXEXTRACT(C5065, ""🏘️ \w+ \w+ (.*) ✅""))))"),"#N/A")</f>
        <v>#N/A</v>
      </c>
      <c r="I5065" s="4" t="str">
        <f>IFERROR(__xludf.DUMMYFUNCTION("if(D5065=""variant"",  substitute(filter(Templates!E:E, Templates!A:A = F5065, Templates!B:B = G5065, Templates!C:C = H5065), ""{{}}"", E5065), B5065)"),"Vendre maison Champéry: Trouvez le bien immobilier qui correspond idéalement à vos désirs sur ImmoScout24 - La plateforme de l'immobilier en Suisse.")</f>
        <v>Vendre maison Champéry: Trouvez le bien immobilier qui correspond idéalement à vos désirs sur ImmoScout24 - La plateforme de l'immobilier en Suisse.</v>
      </c>
    </row>
    <row r="5066" hidden="1">
      <c r="A5066" s="5" t="s">
        <v>13230</v>
      </c>
      <c r="B5066" s="2" t="s">
        <v>13231</v>
      </c>
      <c r="C5066" s="2" t="s">
        <v>13231</v>
      </c>
      <c r="D5066" s="4" t="str">
        <f>vlookup(A5066, Sheet2!D:E, 2, 0)</f>
        <v>control</v>
      </c>
      <c r="E5066" s="4" t="str">
        <f>IFERROR(__xludf.DUMMYFUNCTION("if(H5066=""pays"",vlookup(REGEXEXTRACT(C5066, ""🏘️ \w+ \w+ (.*) ✅""),'Country prepositions'!A:B, 2, 0) &amp; "" "" &amp; REGEXEXTRACT(C5066, ""🏘️ \w+ \w+ (.*) ✅"") ,  if(H5066=""quartier"",vlookup(REGEXEXTRACT(C5066, ""🏘️ \w+ \w+ (.*) ✅""),'Quartier prepositio"&amp;"ns'!A:E, 5, 0) ,  if(H5066=""region"",vlookup(REGEXEXTRACT(C5066, ""🏘️ \w+ \w+ (.*) ✅""),'Region prepositions'!B:F, 5, 0),  REGEXEXTRACT(C5066, ""🏘️ \w+ \w+ (.*) ✅""))))"),"#N/A")</f>
        <v>#N/A</v>
      </c>
      <c r="I5066" s="4" t="str">
        <f>IFERROR(__xludf.DUMMYFUNCTION("if(D5066=""variant"",  substitute(filter(Templates!E:E, Templates!A:A = F5066, Templates!B:B = G5066, Templates!C:C = H5066), ""{{}}"", E5066), B5066)"),"Louer appartement Aefligen: Trouvez le bien immobilier qui correspond idéalement à vos désirs sur ImmoScout24 - La plateforme de l'immobilier en Suisse.")</f>
        <v>Louer appartement Aefligen: Trouvez le bien immobilier qui correspond idéalement à vos désirs sur ImmoScout24 - La plateforme de l'immobilier en Suisse.</v>
      </c>
    </row>
    <row r="5067" hidden="1">
      <c r="A5067" s="5" t="s">
        <v>13232</v>
      </c>
      <c r="B5067" s="2" t="s">
        <v>13233</v>
      </c>
      <c r="C5067" s="2" t="s">
        <v>13233</v>
      </c>
      <c r="D5067" s="4" t="str">
        <f>vlookup(A5067, Sheet2!D:E, 2, 0)</f>
        <v>control</v>
      </c>
      <c r="E5067" s="4" t="str">
        <f>IFERROR(__xludf.DUMMYFUNCTION("if(H5067=""pays"",vlookup(REGEXEXTRACT(C5067, ""🏘️ \w+ \w+ (.*) ✅""),'Country prepositions'!A:B, 2, 0) &amp; "" "" &amp; REGEXEXTRACT(C5067, ""🏘️ \w+ \w+ (.*) ✅"") ,  if(H5067=""quartier"",vlookup(REGEXEXTRACT(C5067, ""🏘️ \w+ \w+ (.*) ✅""),'Quartier prepositio"&amp;"ns'!A:E, 5, 0) ,  if(H5067=""region"",vlookup(REGEXEXTRACT(C5067, ""🏘️ \w+ \w+ (.*) ✅""),'Region prepositions'!B:F, 5, 0),  REGEXEXTRACT(C5067, ""🏘️ \w+ \w+ (.*) ✅""))))"),"#N/A")</f>
        <v>#N/A</v>
      </c>
      <c r="I5067" s="4" t="str">
        <f>IFERROR(__xludf.DUMMYFUNCTION("if(D5067=""variant"",  substitute(filter(Templates!E:E, Templates!A:A = F5067, Templates!B:B = G5067, Templates!C:C = H5067), ""{{}}"", E5067), B5067)"),"Vendre appartement Kreis 7: Trouvez le bien immobilier qui correspond idéalement à vos désirs sur ImmoScout24 - La plateforme de l'immobilier en Suisse.")</f>
        <v>Vendre appartement Kreis 7: Trouvez le bien immobilier qui correspond idéalement à vos désirs sur ImmoScout24 - La plateforme de l'immobilier en Suisse.</v>
      </c>
    </row>
    <row r="5068" hidden="1">
      <c r="A5068" s="5" t="s">
        <v>13234</v>
      </c>
      <c r="B5068" s="2" t="s">
        <v>13235</v>
      </c>
      <c r="C5068" s="2" t="s">
        <v>13235</v>
      </c>
      <c r="D5068" s="4" t="str">
        <f>vlookup(A5068, Sheet2!D:E, 2, 0)</f>
        <v>control</v>
      </c>
      <c r="E5068" s="4" t="str">
        <f>IFERROR(__xludf.DUMMYFUNCTION("if(H5068=""pays"",vlookup(REGEXEXTRACT(C5068, ""🏘️ \w+ \w+ (.*) ✅""),'Country prepositions'!A:B, 2, 0) &amp; "" "" &amp; REGEXEXTRACT(C5068, ""🏘️ \w+ \w+ (.*) ✅"") ,  if(H5068=""quartier"",vlookup(REGEXEXTRACT(C5068, ""🏘️ \w+ \w+ (.*) ✅""),'Quartier prepositio"&amp;"ns'!A:E, 5, 0) ,  if(H5068=""region"",vlookup(REGEXEXTRACT(C5068, ""🏘️ \w+ \w+ (.*) ✅""),'Region prepositions'!B:F, 5, 0),  REGEXEXTRACT(C5068, ""🏘️ \w+ \w+ (.*) ✅""))))"),"#N/A")</f>
        <v>#N/A</v>
      </c>
      <c r="I5068" s="4" t="str">
        <f>IFERROR(__xludf.DUMMYFUNCTION("if(D5068=""variant"",  substitute(filter(Templates!E:E, Templates!A:A = F5068, Templates!B:B = G5068, Templates!C:C = H5068), ""{{}}"", E5068), B5068)"),"Vendre appartement Grächen: Trouvez le bien immobilier qui correspond idéalement à vos désirs sur ImmoScout24 - La plateforme de l'immobilier en Suisse.")</f>
        <v>Vendre appartement Grächen: Trouvez le bien immobilier qui correspond idéalement à vos désirs sur ImmoScout24 - La plateforme de l'immobilier en Suisse.</v>
      </c>
    </row>
    <row r="5069" hidden="1">
      <c r="A5069" s="5" t="s">
        <v>13236</v>
      </c>
      <c r="B5069" s="2" t="s">
        <v>13237</v>
      </c>
      <c r="C5069" s="2" t="s">
        <v>13237</v>
      </c>
      <c r="D5069" s="4" t="str">
        <f>vlookup(A5069, Sheet2!D:E, 2, 0)</f>
        <v>control</v>
      </c>
      <c r="E5069" s="4" t="str">
        <f>IFERROR(__xludf.DUMMYFUNCTION("if(H5069=""pays"",vlookup(REGEXEXTRACT(C5069, ""🏘️ \w+ \w+ (.*) ✅""),'Country prepositions'!A:B, 2, 0) &amp; "" "" &amp; REGEXEXTRACT(C5069, ""🏘️ \w+ \w+ (.*) ✅"") ,  if(H5069=""quartier"",vlookup(REGEXEXTRACT(C5069, ""🏘️ \w+ \w+ (.*) ✅""),'Quartier prepositio"&amp;"ns'!A:E, 5, 0) ,  if(H5069=""region"",vlookup(REGEXEXTRACT(C5069, ""🏘️ \w+ \w+ (.*) ✅""),'Region prepositions'!B:F, 5, 0),  REGEXEXTRACT(C5069, ""🏘️ \w+ \w+ (.*) ✅""))))"),"#N/A")</f>
        <v>#N/A</v>
      </c>
      <c r="I5069" s="4" t="str">
        <f>IFERROR(__xludf.DUMMYFUNCTION("if(D5069=""variant"",  substitute(filter(Templates!E:E, Templates!A:A = F5069, Templates!B:B = G5069, Templates!C:C = H5069), ""{{}}"", E5069), B5069)"),"Vendre appartement Bassecourt: Trouvez le bien immobilier qui correspond idéalement à vos désirs sur ImmoScout24 - La plateforme de l'immobilier en Suisse.")</f>
        <v>Vendre appartement Bassecourt: Trouvez le bien immobilier qui correspond idéalement à vos désirs sur ImmoScout24 - La plateforme de l'immobilier en Suisse.</v>
      </c>
    </row>
    <row r="5070" hidden="1">
      <c r="A5070" s="5" t="s">
        <v>13238</v>
      </c>
      <c r="B5070" s="2" t="s">
        <v>13239</v>
      </c>
      <c r="C5070" s="2" t="s">
        <v>13239</v>
      </c>
      <c r="D5070" s="4" t="str">
        <f>vlookup(A5070, Sheet2!D:E, 2, 0)</f>
        <v>control</v>
      </c>
      <c r="E5070" s="4" t="str">
        <f>IFERROR(__xludf.DUMMYFUNCTION("if(H5070=""pays"",vlookup(REGEXEXTRACT(C5070, ""🏘️ \w+ \w+ (.*) ✅""),'Country prepositions'!A:B, 2, 0) &amp; "" "" &amp; REGEXEXTRACT(C5070, ""🏘️ \w+ \w+ (.*) ✅"") ,  if(H5070=""quartier"",vlookup(REGEXEXTRACT(C5070, ""🏘️ \w+ \w+ (.*) ✅""),'Quartier prepositio"&amp;"ns'!A:E, 5, 0) ,  if(H5070=""region"",vlookup(REGEXEXTRACT(C5070, ""🏘️ \w+ \w+ (.*) ✅""),'Region prepositions'!B:F, 5, 0),  REGEXEXTRACT(C5070, ""🏘️ \w+ \w+ (.*) ✅""))))"),"#N/A")</f>
        <v>#N/A</v>
      </c>
      <c r="I5070" s="4" t="str">
        <f>IFERROR(__xludf.DUMMYFUNCTION("if(D5070=""variant"",  substitute(filter(Templates!E:E, Templates!A:A = F5070, Templates!B:B = G5070, Templates!C:C = H5070), ""{{}}"", E5070), B5070)"),"Vendre appartement Tenero: Trouvez le bien immobilier qui correspond idéalement à vos désirs sur ImmoScout24 - La plateforme de l'immobilier en Suisse.")</f>
        <v>Vendre appartement Tenero: Trouvez le bien immobilier qui correspond idéalement à vos désirs sur ImmoScout24 - La plateforme de l'immobilier en Suisse.</v>
      </c>
    </row>
    <row r="5071" hidden="1">
      <c r="A5071" s="5" t="s">
        <v>13240</v>
      </c>
      <c r="B5071" s="2" t="s">
        <v>13241</v>
      </c>
      <c r="C5071" s="2" t="s">
        <v>13241</v>
      </c>
      <c r="D5071" s="4" t="str">
        <f>vlookup(A5071, Sheet2!D:E, 2, 0)</f>
        <v>control</v>
      </c>
      <c r="E5071" s="4" t="str">
        <f>IFERROR(__xludf.DUMMYFUNCTION("if(H5071=""pays"",vlookup(REGEXEXTRACT(C5071, ""🏘️ \w+ \w+ (.*) ✅""),'Country prepositions'!A:B, 2, 0) &amp; "" "" &amp; REGEXEXTRACT(C5071, ""🏘️ \w+ \w+ (.*) ✅"") ,  if(H5071=""quartier"",vlookup(REGEXEXTRACT(C5071, ""🏘️ \w+ \w+ (.*) ✅""),'Quartier prepositio"&amp;"ns'!A:E, 5, 0) ,  if(H5071=""region"",vlookup(REGEXEXTRACT(C5071, ""🏘️ \w+ \w+ (.*) ✅""),'Region prepositions'!B:F, 5, 0),  REGEXEXTRACT(C5071, ""🏘️ \w+ \w+ (.*) ✅""))))"),"#N/A")</f>
        <v>#N/A</v>
      </c>
      <c r="I5071" s="4" t="str">
        <f>IFERROR(__xludf.DUMMYFUNCTION("if(D5071=""variant"",  substitute(filter(Templates!E:E, Templates!A:A = F5071, Templates!B:B = G5071, Templates!C:C = H5071), ""{{}}"", E5071), B5071)"),"Vendre maison Hongrie: Trouvez le bien immobilier qui correspond idéalement à vos désirs sur ImmoScout24 - La plateforme de l'immobilier en Suisse.")</f>
        <v>Vendre maison Hongrie: Trouvez le bien immobilier qui correspond idéalement à vos désirs sur ImmoScout24 - La plateforme de l'immobilier en Suisse.</v>
      </c>
    </row>
    <row r="5072" hidden="1">
      <c r="A5072" s="5" t="s">
        <v>13242</v>
      </c>
      <c r="B5072" s="2" t="s">
        <v>13243</v>
      </c>
      <c r="C5072" s="2" t="s">
        <v>13243</v>
      </c>
      <c r="D5072" s="4" t="str">
        <f>vlookup(A5072, Sheet2!D:E, 2, 0)</f>
        <v>control</v>
      </c>
      <c r="E5072" s="4" t="str">
        <f>IFERROR(__xludf.DUMMYFUNCTION("if(H5072=""pays"",vlookup(REGEXEXTRACT(C5072, ""🏘️ \w+ \w+ (.*) ✅""),'Country prepositions'!A:B, 2, 0) &amp; "" "" &amp; REGEXEXTRACT(C5072, ""🏘️ \w+ \w+ (.*) ✅"") ,  if(H5072=""quartier"",vlookup(REGEXEXTRACT(C5072, ""🏘️ \w+ \w+ (.*) ✅""),'Quartier prepositio"&amp;"ns'!A:E, 5, 0) ,  if(H5072=""region"",vlookup(REGEXEXTRACT(C5072, ""🏘️ \w+ \w+ (.*) ✅""),'Region prepositions'!B:F, 5, 0),  REGEXEXTRACT(C5072, ""🏘️ \w+ \w+ (.*) ✅""))))"),"#N/A")</f>
        <v>#N/A</v>
      </c>
      <c r="I5072" s="4" t="str">
        <f>IFERROR(__xludf.DUMMYFUNCTION("if(D5072=""variant"",  substitute(filter(Templates!E:E, Templates!A:A = F5072, Templates!B:B = G5072, Templates!C:C = H5072), ""{{}}"", E5072), B5072)"),"Louer appartement Sorvilier: Trouvez le bien immobilier qui correspond idéalement à vos désirs sur ImmoScout24 - La plateforme de l'immobilier en Suisse.")</f>
        <v>Louer appartement Sorvilier: Trouvez le bien immobilier qui correspond idéalement à vos désirs sur ImmoScout24 - La plateforme de l'immobilier en Suisse.</v>
      </c>
    </row>
    <row r="5073" hidden="1">
      <c r="A5073" s="5" t="s">
        <v>13244</v>
      </c>
      <c r="B5073" s="2" t="s">
        <v>13245</v>
      </c>
      <c r="C5073" s="2" t="s">
        <v>13245</v>
      </c>
      <c r="D5073" s="4" t="str">
        <f>vlookup(A5073, Sheet2!D:E, 2, 0)</f>
        <v>control</v>
      </c>
      <c r="E5073" s="4" t="str">
        <f>IFERROR(__xludf.DUMMYFUNCTION("if(H5073=""pays"",vlookup(REGEXEXTRACT(C5073, ""🏘️ \w+ \w+ (.*) ✅""),'Country prepositions'!A:B, 2, 0) &amp; "" "" &amp; REGEXEXTRACT(C5073, ""🏘️ \w+ \w+ (.*) ✅"") ,  if(H5073=""quartier"",vlookup(REGEXEXTRACT(C5073, ""🏘️ \w+ \w+ (.*) ✅""),'Quartier prepositio"&amp;"ns'!A:E, 5, 0) ,  if(H5073=""region"",vlookup(REGEXEXTRACT(C5073, ""🏘️ \w+ \w+ (.*) ✅""),'Region prepositions'!B:F, 5, 0),  REGEXEXTRACT(C5073, ""🏘️ \w+ \w+ (.*) ✅""))))"),"#N/A")</f>
        <v>#N/A</v>
      </c>
      <c r="I5073" s="4" t="str">
        <f>IFERROR(__xludf.DUMMYFUNCTION("if(D5073=""variant"",  substitute(filter(Templates!E:E, Templates!A:A = F5073, Templates!B:B = G5073, Templates!C:C = H5073), ""{{}}"", E5073), B5073)"),"Louer appartement Randogne: Trouvez le bien immobilier qui correspond idéalement à vos désirs sur ImmoScout24 - La plateforme de l'immobilier en Suisse.")</f>
        <v>Louer appartement Randogne: Trouvez le bien immobilier qui correspond idéalement à vos désirs sur ImmoScout24 - La plateforme de l'immobilier en Suisse.</v>
      </c>
    </row>
    <row r="5074" hidden="1">
      <c r="A5074" s="5" t="s">
        <v>13246</v>
      </c>
      <c r="B5074" s="2" t="s">
        <v>13247</v>
      </c>
      <c r="C5074" s="2" t="s">
        <v>13247</v>
      </c>
      <c r="D5074" s="4" t="str">
        <f>vlookup(A5074, Sheet2!D:E, 2, 0)</f>
        <v>control</v>
      </c>
      <c r="E5074" s="4" t="str">
        <f>IFERROR(__xludf.DUMMYFUNCTION("if(H5074=""pays"",vlookup(REGEXEXTRACT(C5074, ""🏘️ \w+ \w+ (.*) ✅""),'Country prepositions'!A:B, 2, 0) &amp; "" "" &amp; REGEXEXTRACT(C5074, ""🏘️ \w+ \w+ (.*) ✅"") ,  if(H5074=""quartier"",vlookup(REGEXEXTRACT(C5074, ""🏘️ \w+ \w+ (.*) ✅""),'Quartier prepositio"&amp;"ns'!A:E, 5, 0) ,  if(H5074=""region"",vlookup(REGEXEXTRACT(C5074, ""🏘️ \w+ \w+ (.*) ✅""),'Region prepositions'!B:F, 5, 0),  REGEXEXTRACT(C5074, ""🏘️ \w+ \w+ (.*) ✅""))))"),"#N/A")</f>
        <v>#N/A</v>
      </c>
      <c r="I5074" s="4" t="str">
        <f>IFERROR(__xludf.DUMMYFUNCTION("if(D5074=""variant"",  substitute(filter(Templates!E:E, Templates!A:A = F5074, Templates!B:B = G5074, Templates!C:C = H5074), ""{{}}"", E5074), B5074)"),"Louer appartement Yens: Trouvez le bien immobilier qui correspond idéalement à vos désirs sur ImmoScout24 - La plateforme de l'immobilier en Suisse.")</f>
        <v>Louer appartement Yens: Trouvez le bien immobilier qui correspond idéalement à vos désirs sur ImmoScout24 - La plateforme de l'immobilier en Suisse.</v>
      </c>
    </row>
    <row r="5075" hidden="1">
      <c r="A5075" s="5" t="s">
        <v>13248</v>
      </c>
      <c r="B5075" s="2" t="s">
        <v>13249</v>
      </c>
      <c r="C5075" s="2" t="s">
        <v>13249</v>
      </c>
      <c r="D5075" s="4" t="str">
        <f>vlookup(A5075, Sheet2!D:E, 2, 0)</f>
        <v>control</v>
      </c>
      <c r="E5075" s="4" t="str">
        <f>IFERROR(__xludf.DUMMYFUNCTION("if(H5075=""pays"",vlookup(REGEXEXTRACT(C5075, ""🏘️ \w+ \w+ (.*) ✅""),'Country prepositions'!A:B, 2, 0) &amp; "" "" &amp; REGEXEXTRACT(C5075, ""🏘️ \w+ \w+ (.*) ✅"") ,  if(H5075=""quartier"",vlookup(REGEXEXTRACT(C5075, ""🏘️ \w+ \w+ (.*) ✅""),'Quartier prepositio"&amp;"ns'!A:E, 5, 0) ,  if(H5075=""region"",vlookup(REGEXEXTRACT(C5075, ""🏘️ \w+ \w+ (.*) ✅""),'Region prepositions'!B:F, 5, 0),  REGEXEXTRACT(C5075, ""🏘️ \w+ \w+ (.*) ✅""))))"),"#N/A")</f>
        <v>#N/A</v>
      </c>
      <c r="I5075" s="4" t="str">
        <f>IFERROR(__xludf.DUMMYFUNCTION("if(D5075=""variant"",  substitute(filter(Templates!E:E, Templates!A:A = F5075, Templates!B:B = G5075, Templates!C:C = H5075), ""{{}}"", E5075), B5075)"),"Louer appartement Mühleberg: Trouvez le bien immobilier qui correspond idéalement à vos désirs sur ImmoScout24 - La plateforme de l'immobilier en Suisse.")</f>
        <v>Louer appartement Mühleberg: Trouvez le bien immobilier qui correspond idéalement à vos désirs sur ImmoScout24 - La plateforme de l'immobilier en Suisse.</v>
      </c>
    </row>
    <row r="5076" hidden="1">
      <c r="A5076" s="5" t="s">
        <v>13250</v>
      </c>
      <c r="B5076" s="2" t="s">
        <v>13251</v>
      </c>
      <c r="C5076" s="2" t="s">
        <v>13251</v>
      </c>
      <c r="D5076" s="4" t="str">
        <f>vlookup(A5076, Sheet2!D:E, 2, 0)</f>
        <v>control</v>
      </c>
      <c r="E5076" s="4" t="str">
        <f>IFERROR(__xludf.DUMMYFUNCTION("if(H5076=""pays"",vlookup(REGEXEXTRACT(C5076, ""🏘️ \w+ \w+ (.*) ✅""),'Country prepositions'!A:B, 2, 0) &amp; "" "" &amp; REGEXEXTRACT(C5076, ""🏘️ \w+ \w+ (.*) ✅"") ,  if(H5076=""quartier"",vlookup(REGEXEXTRACT(C5076, ""🏘️ \w+ \w+ (.*) ✅""),'Quartier prepositio"&amp;"ns'!A:E, 5, 0) ,  if(H5076=""region"",vlookup(REGEXEXTRACT(C5076, ""🏘️ \w+ \w+ (.*) ✅""),'Region prepositions'!B:F, 5, 0),  REGEXEXTRACT(C5076, ""🏘️ \w+ \w+ (.*) ✅""))))"),"#N/A")</f>
        <v>#N/A</v>
      </c>
      <c r="I5076" s="4" t="str">
        <f>IFERROR(__xludf.DUMMYFUNCTION("if(D5076=""variant"",  substitute(filter(Templates!E:E, Templates!A:A = F5076, Templates!B:B = G5076, Templates!C:C = H5076), ""{{}}"", E5076), B5076)"),"Vendre appartement Champfèr: Trouvez le bien immobilier qui correspond idéalement à vos désirs sur ImmoScout24 - La plateforme de l'immobilier en Suisse.")</f>
        <v>Vendre appartement Champfèr: Trouvez le bien immobilier qui correspond idéalement à vos désirs sur ImmoScout24 - La plateforme de l'immobilier en Suisse.</v>
      </c>
    </row>
    <row r="5077" hidden="1">
      <c r="A5077" s="5" t="s">
        <v>13252</v>
      </c>
      <c r="B5077" s="2" t="s">
        <v>13253</v>
      </c>
      <c r="C5077" s="2" t="s">
        <v>13253</v>
      </c>
      <c r="D5077" s="4" t="str">
        <f>vlookup(A5077, Sheet2!D:E, 2, 0)</f>
        <v>control</v>
      </c>
      <c r="E5077" s="4" t="str">
        <f>IFERROR(__xludf.DUMMYFUNCTION("if(H5077=""pays"",vlookup(REGEXEXTRACT(C5077, ""🏘️ \w+ \w+ (.*) ✅""),'Country prepositions'!A:B, 2, 0) &amp; "" "" &amp; REGEXEXTRACT(C5077, ""🏘️ \w+ \w+ (.*) ✅"") ,  if(H5077=""quartier"",vlookup(REGEXEXTRACT(C5077, ""🏘️ \w+ \w+ (.*) ✅""),'Quartier prepositio"&amp;"ns'!A:E, 5, 0) ,  if(H5077=""region"",vlookup(REGEXEXTRACT(C5077, ""🏘️ \w+ \w+ (.*) ✅""),'Region prepositions'!B:F, 5, 0),  REGEXEXTRACT(C5077, ""🏘️ \w+ \w+ (.*) ✅""))))"),"#N/A")</f>
        <v>#N/A</v>
      </c>
      <c r="I5077" s="4" t="str">
        <f>IFERROR(__xludf.DUMMYFUNCTION("if(D5077=""variant"",  substitute(filter(Templates!E:E, Templates!A:A = F5077, Templates!B:B = G5077, Templates!C:C = H5077), ""{{}}"", E5077), B5077)"),"Vendre maison Bretonnières: Trouvez le bien immobilier qui correspond idéalement à vos désirs sur ImmoScout24 - La plateforme de l'immobilier en Suisse.")</f>
        <v>Vendre maison Bretonnières: Trouvez le bien immobilier qui correspond idéalement à vos désirs sur ImmoScout24 - La plateforme de l'immobilier en Suisse.</v>
      </c>
    </row>
    <row r="5078" hidden="1">
      <c r="A5078" s="5" t="s">
        <v>13254</v>
      </c>
      <c r="B5078" s="2" t="s">
        <v>13255</v>
      </c>
      <c r="C5078" s="2" t="s">
        <v>13255</v>
      </c>
      <c r="D5078" s="4" t="str">
        <f>vlookup(A5078, Sheet2!D:E, 2, 0)</f>
        <v>control</v>
      </c>
      <c r="E5078" s="4" t="str">
        <f>IFERROR(__xludf.DUMMYFUNCTION("if(H5078=""pays"",vlookup(REGEXEXTRACT(C5078, ""🏘️ \w+ \w+ (.*) ✅""),'Country prepositions'!A:B, 2, 0) &amp; "" "" &amp; REGEXEXTRACT(C5078, ""🏘️ \w+ \w+ (.*) ✅"") ,  if(H5078=""quartier"",vlookup(REGEXEXTRACT(C5078, ""🏘️ \w+ \w+ (.*) ✅""),'Quartier prepositio"&amp;"ns'!A:E, 5, 0) ,  if(H5078=""region"",vlookup(REGEXEXTRACT(C5078, ""🏘️ \w+ \w+ (.*) ✅""),'Region prepositions'!B:F, 5, 0),  REGEXEXTRACT(C5078, ""🏘️ \w+ \w+ (.*) ✅""))))"),"#N/A")</f>
        <v>#N/A</v>
      </c>
      <c r="I5078" s="4" t="str">
        <f>IFERROR(__xludf.DUMMYFUNCTION("if(D5078=""variant"",  substitute(filter(Templates!E:E, Templates!A:A = F5078, Templates!B:B = G5078, Templates!C:C = H5078), ""{{}}"", E5078), B5078)"),"Vendre appartement Crans-Montana: Trouvez le bien immobilier qui correspond idéalement à vos désirs sur ImmoScout24 - La plateforme de l'immobilier en Suisse.")</f>
        <v>Vendre appartement Crans-Montana: Trouvez le bien immobilier qui correspond idéalement à vos désirs sur ImmoScout24 - La plateforme de l'immobilier en Suisse.</v>
      </c>
    </row>
    <row r="5079" hidden="1">
      <c r="A5079" s="5" t="s">
        <v>13256</v>
      </c>
      <c r="B5079" s="2" t="s">
        <v>13257</v>
      </c>
      <c r="C5079" s="2" t="s">
        <v>13257</v>
      </c>
      <c r="D5079" s="4" t="str">
        <f>vlookup(A5079, Sheet2!D:E, 2, 0)</f>
        <v>control</v>
      </c>
      <c r="E5079" s="4" t="str">
        <f>IFERROR(__xludf.DUMMYFUNCTION("if(H5079=""pays"",vlookup(REGEXEXTRACT(C5079, ""🏘️ \w+ \w+ (.*) ✅""),'Country prepositions'!A:B, 2, 0) &amp; "" "" &amp; REGEXEXTRACT(C5079, ""🏘️ \w+ \w+ (.*) ✅"") ,  if(H5079=""quartier"",vlookup(REGEXEXTRACT(C5079, ""🏘️ \w+ \w+ (.*) ✅""),'Quartier prepositio"&amp;"ns'!A:E, 5, 0) ,  if(H5079=""region"",vlookup(REGEXEXTRACT(C5079, ""🏘️ \w+ \w+ (.*) ✅""),'Region prepositions'!B:F, 5, 0),  REGEXEXTRACT(C5079, ""🏘️ \w+ \w+ (.*) ✅""))))"),"#N/A")</f>
        <v>#N/A</v>
      </c>
      <c r="I5079" s="4" t="str">
        <f>IFERROR(__xludf.DUMMYFUNCTION("if(D5079=""variant"",  substitute(filter(Templates!E:E, Templates!A:A = F5079, Templates!B:B = G5079, Templates!C:C = H5079), ""{{}}"", E5079), B5079)"),"Louer appartement Brunnadern (Berne): Trouvez le bien immobilier qui correspond idéalement à vos désirs sur ImmoScout24 - La plateforme de l'immobilier en Suisse.")</f>
        <v>Louer appartement Brunnadern (Berne): Trouvez le bien immobilier qui correspond idéalement à vos désirs sur ImmoScout24 - La plateforme de l'immobilier en Suisse.</v>
      </c>
    </row>
    <row r="5080" hidden="1">
      <c r="A5080" s="5" t="s">
        <v>13258</v>
      </c>
      <c r="B5080" s="2" t="s">
        <v>13259</v>
      </c>
      <c r="C5080" s="2" t="s">
        <v>13259</v>
      </c>
      <c r="D5080" s="4" t="str">
        <f>vlookup(A5080, Sheet2!D:E, 2, 0)</f>
        <v>control</v>
      </c>
      <c r="E5080" s="4" t="str">
        <f>IFERROR(__xludf.DUMMYFUNCTION("if(H5080=""pays"",vlookup(REGEXEXTRACT(C5080, ""🏘️ \w+ \w+ (.*) ✅""),'Country prepositions'!A:B, 2, 0) &amp; "" "" &amp; REGEXEXTRACT(C5080, ""🏘️ \w+ \w+ (.*) ✅"") ,  if(H5080=""quartier"",vlookup(REGEXEXTRACT(C5080, ""🏘️ \w+ \w+ (.*) ✅""),'Quartier prepositio"&amp;"ns'!A:E, 5, 0) ,  if(H5080=""region"",vlookup(REGEXEXTRACT(C5080, ""🏘️ \w+ \w+ (.*) ✅""),'Region prepositions'!B:F, 5, 0),  REGEXEXTRACT(C5080, ""🏘️ \w+ \w+ (.*) ✅""))))"),"#N/A")</f>
        <v>#N/A</v>
      </c>
      <c r="I5080" s="4" t="str">
        <f>IFERROR(__xludf.DUMMYFUNCTION("if(D5080=""variant"",  substitute(filter(Templates!E:E, Templates!A:A = F5080, Templates!B:B = G5080, Templates!C:C = H5080), ""{{}}"", E5080), B5080)"),"Louer appartement Molino Nuovo (Lugano): Trouvez le bien immobilier qui correspond idéalement à vos désirs sur ImmoScout24 - La plateforme de l'immobilier en Suisse.")</f>
        <v>Louer appartement Molino Nuovo (Lugano): Trouvez le bien immobilier qui correspond idéalement à vos désirs sur ImmoScout24 - La plateforme de l'immobilier en Suisse.</v>
      </c>
    </row>
    <row r="5081" hidden="1">
      <c r="A5081" s="5" t="s">
        <v>13260</v>
      </c>
      <c r="B5081" s="2" t="s">
        <v>13261</v>
      </c>
      <c r="C5081" s="2" t="s">
        <v>13261</v>
      </c>
      <c r="D5081" s="4" t="str">
        <f>vlookup(A5081, Sheet2!D:E, 2, 0)</f>
        <v>control</v>
      </c>
      <c r="E5081" s="4" t="str">
        <f>IFERROR(__xludf.DUMMYFUNCTION("if(H5081=""pays"",vlookup(REGEXEXTRACT(C5081, ""🏘️ \w+ \w+ (.*) ✅""),'Country prepositions'!A:B, 2, 0) &amp; "" "" &amp; REGEXEXTRACT(C5081, ""🏘️ \w+ \w+ (.*) ✅"") ,  if(H5081=""quartier"",vlookup(REGEXEXTRACT(C5081, ""🏘️ \w+ \w+ (.*) ✅""),'Quartier prepositio"&amp;"ns'!A:E, 5, 0) ,  if(H5081=""region"",vlookup(REGEXEXTRACT(C5081, ""🏘️ \w+ \w+ (.*) ✅""),'Region prepositions'!B:F, 5, 0),  REGEXEXTRACT(C5081, ""🏘️ \w+ \w+ (.*) ✅""))))"),"#N/A")</f>
        <v>#N/A</v>
      </c>
      <c r="I5081" s="4" t="str">
        <f>IFERROR(__xludf.DUMMYFUNCTION("if(D5081=""variant"",  substitute(filter(Templates!E:E, Templates!A:A = F5081, Templates!B:B = G5081, Templates!C:C = H5081), ""{{}}"", E5081), B5081)"),"Vendre maison Schwarzenberg LU: Trouvez le bien immobilier qui correspond idéalement à vos désirs sur ImmoScout24 - La plateforme de l'immobilier en Suisse.")</f>
        <v>Vendre maison Schwarzenberg LU: Trouvez le bien immobilier qui correspond idéalement à vos désirs sur ImmoScout24 - La plateforme de l'immobilier en Suisse.</v>
      </c>
    </row>
    <row r="5082" hidden="1">
      <c r="A5082" s="5" t="s">
        <v>13262</v>
      </c>
      <c r="B5082" s="2" t="s">
        <v>13263</v>
      </c>
      <c r="C5082" s="2" t="s">
        <v>13263</v>
      </c>
      <c r="D5082" s="4" t="str">
        <f>vlookup(A5082, Sheet2!D:E, 2, 0)</f>
        <v>control</v>
      </c>
      <c r="E5082" s="4" t="str">
        <f>IFERROR(__xludf.DUMMYFUNCTION("if(H5082=""pays"",vlookup(REGEXEXTRACT(C5082, ""🏘️ \w+ \w+ (.*) ✅""),'Country prepositions'!A:B, 2, 0) &amp; "" "" &amp; REGEXEXTRACT(C5082, ""🏘️ \w+ \w+ (.*) ✅"") ,  if(H5082=""quartier"",vlookup(REGEXEXTRACT(C5082, ""🏘️ \w+ \w+ (.*) ✅""),'Quartier prepositio"&amp;"ns'!A:E, 5, 0) ,  if(H5082=""region"",vlookup(REGEXEXTRACT(C5082, ""🏘️ \w+ \w+ (.*) ✅""),'Region prepositions'!B:F, 5, 0),  REGEXEXTRACT(C5082, ""🏘️ \w+ \w+ (.*) ✅""))))"),"#N/A")</f>
        <v>#N/A</v>
      </c>
      <c r="I5082" s="4" t="str">
        <f>IFERROR(__xludf.DUMMYFUNCTION("if(D5082=""variant"",  substitute(filter(Templates!E:E, Templates!A:A = F5082, Templates!B:B = G5082, Templates!C:C = H5082), ""{{}}"", E5082), B5082)"),"Vendre maison Neunkirch: Trouvez le bien immobilier qui correspond idéalement à vos désirs sur ImmoScout24 - La plateforme de l'immobilier en Suisse.")</f>
        <v>Vendre maison Neunkirch: Trouvez le bien immobilier qui correspond idéalement à vos désirs sur ImmoScout24 - La plateforme de l'immobilier en Suisse.</v>
      </c>
    </row>
    <row r="5083" hidden="1">
      <c r="A5083" s="5" t="s">
        <v>13264</v>
      </c>
      <c r="B5083" s="2" t="s">
        <v>13265</v>
      </c>
      <c r="C5083" s="2" t="s">
        <v>13265</v>
      </c>
      <c r="D5083" s="4" t="str">
        <f>vlookup(A5083, Sheet2!D:E, 2, 0)</f>
        <v>control</v>
      </c>
      <c r="E5083" s="4" t="str">
        <f>IFERROR(__xludf.DUMMYFUNCTION("if(H5083=""pays"",vlookup(REGEXEXTRACT(C5083, ""🏘️ \w+ \w+ (.*) ✅""),'Country prepositions'!A:B, 2, 0) &amp; "" "" &amp; REGEXEXTRACT(C5083, ""🏘️ \w+ \w+ (.*) ✅"") ,  if(H5083=""quartier"",vlookup(REGEXEXTRACT(C5083, ""🏘️ \w+ \w+ (.*) ✅""),'Quartier prepositio"&amp;"ns'!A:E, 5, 0) ,  if(H5083=""region"",vlookup(REGEXEXTRACT(C5083, ""🏘️ \w+ \w+ (.*) ✅""),'Region prepositions'!B:F, 5, 0),  REGEXEXTRACT(C5083, ""🏘️ \w+ \w+ (.*) ✅""))))"),"#N/A")</f>
        <v>#N/A</v>
      </c>
      <c r="I5083" s="4" t="str">
        <f>IFERROR(__xludf.DUMMYFUNCTION("if(D5083=""variant"",  substitute(filter(Templates!E:E, Templates!A:A = F5083, Templates!B:B = G5083, Templates!C:C = H5083), ""{{}}"", E5083), B5083)"),"Vendre maison Pailly: Trouvez le bien immobilier qui correspond idéalement à vos désirs sur ImmoScout24 - La plateforme de l'immobilier en Suisse.")</f>
        <v>Vendre maison Pailly: Trouvez le bien immobilier qui correspond idéalement à vos désirs sur ImmoScout24 - La plateforme de l'immobilier en Suisse.</v>
      </c>
    </row>
    <row r="5084" hidden="1">
      <c r="A5084" s="5" t="s">
        <v>13266</v>
      </c>
      <c r="B5084" s="2" t="s">
        <v>13267</v>
      </c>
      <c r="C5084" s="2" t="s">
        <v>13267</v>
      </c>
      <c r="D5084" s="4" t="str">
        <f>vlookup(A5084, Sheet2!D:E, 2, 0)</f>
        <v>control</v>
      </c>
      <c r="E5084" s="4" t="str">
        <f>IFERROR(__xludf.DUMMYFUNCTION("if(H5084=""pays"",vlookup(REGEXEXTRACT(C5084, ""🏘️ \w+ \w+ (.*) ✅""),'Country prepositions'!A:B, 2, 0) &amp; "" "" &amp; REGEXEXTRACT(C5084, ""🏘️ \w+ \w+ (.*) ✅"") ,  if(H5084=""quartier"",vlookup(REGEXEXTRACT(C5084, ""🏘️ \w+ \w+ (.*) ✅""),'Quartier prepositio"&amp;"ns'!A:E, 5, 0) ,  if(H5084=""region"",vlookup(REGEXEXTRACT(C5084, ""🏘️ \w+ \w+ (.*) ✅""),'Region prepositions'!B:F, 5, 0),  REGEXEXTRACT(C5084, ""🏘️ \w+ \w+ (.*) ✅""))))"),"#N/A")</f>
        <v>#N/A</v>
      </c>
      <c r="I5084" s="4" t="str">
        <f>IFERROR(__xludf.DUMMYFUNCTION("if(D5084=""variant"",  substitute(filter(Templates!E:E, Templates!A:A = F5084, Templates!B:B = G5084, Templates!C:C = H5084), ""{{}}"", E5084), B5084)"),"Vendre maison Grasswil: Trouvez le bien immobilier qui correspond idéalement à vos désirs sur ImmoScout24 - La plateforme de l'immobilier en Suisse.")</f>
        <v>Vendre maison Grasswil: Trouvez le bien immobilier qui correspond idéalement à vos désirs sur ImmoScout24 - La plateforme de l'immobilier en Suisse.</v>
      </c>
    </row>
    <row r="5085" hidden="1">
      <c r="A5085" s="5" t="s">
        <v>13268</v>
      </c>
      <c r="B5085" s="2" t="s">
        <v>13269</v>
      </c>
      <c r="C5085" s="2" t="s">
        <v>13269</v>
      </c>
      <c r="D5085" s="4" t="str">
        <f>vlookup(A5085, Sheet2!D:E, 2, 0)</f>
        <v>control</v>
      </c>
      <c r="E5085" s="4" t="str">
        <f>IFERROR(__xludf.DUMMYFUNCTION("if(H5085=""pays"",vlookup(REGEXEXTRACT(C5085, ""🏘️ \w+ \w+ (.*) ✅""),'Country prepositions'!A:B, 2, 0) &amp; "" "" &amp; REGEXEXTRACT(C5085, ""🏘️ \w+ \w+ (.*) ✅"") ,  if(H5085=""quartier"",vlookup(REGEXEXTRACT(C5085, ""🏘️ \w+ \w+ (.*) ✅""),'Quartier prepositio"&amp;"ns'!A:E, 5, 0) ,  if(H5085=""region"",vlookup(REGEXEXTRACT(C5085, ""🏘️ \w+ \w+ (.*) ✅""),'Region prepositions'!B:F, 5, 0),  REGEXEXTRACT(C5085, ""🏘️ \w+ \w+ (.*) ✅""))))"),"#N/A")</f>
        <v>#N/A</v>
      </c>
      <c r="I5085" s="4" t="str">
        <f>IFERROR(__xludf.DUMMYFUNCTION("if(D5085=""variant"",  substitute(filter(Templates!E:E, Templates!A:A = F5085, Templates!B:B = G5085, Templates!C:C = H5085), ""{{}}"", E5085), B5085)"),"Vendre maison Courtepin: Trouvez le bien immobilier qui correspond idéalement à vos désirs sur ImmoScout24 - La plateforme de l'immobilier en Suisse.")</f>
        <v>Vendre maison Courtepin: Trouvez le bien immobilier qui correspond idéalement à vos désirs sur ImmoScout24 - La plateforme de l'immobilier en Suisse.</v>
      </c>
    </row>
    <row r="5086" hidden="1">
      <c r="A5086" s="5" t="s">
        <v>13270</v>
      </c>
      <c r="B5086" s="2" t="s">
        <v>13271</v>
      </c>
      <c r="C5086" s="2" t="s">
        <v>13271</v>
      </c>
      <c r="D5086" s="4" t="str">
        <f>vlookup(A5086, Sheet2!D:E, 2, 0)</f>
        <v>control</v>
      </c>
      <c r="E5086" s="4" t="str">
        <f>IFERROR(__xludf.DUMMYFUNCTION("if(H5086=""pays"",vlookup(REGEXEXTRACT(C5086, ""🏘️ \w+ \w+ (.*) ✅""),'Country prepositions'!A:B, 2, 0) &amp; "" "" &amp; REGEXEXTRACT(C5086, ""🏘️ \w+ \w+ (.*) ✅"") ,  if(H5086=""quartier"",vlookup(REGEXEXTRACT(C5086, ""🏘️ \w+ \w+ (.*) ✅""),'Quartier prepositio"&amp;"ns'!A:E, 5, 0) ,  if(H5086=""region"",vlookup(REGEXEXTRACT(C5086, ""🏘️ \w+ \w+ (.*) ✅""),'Region prepositions'!B:F, 5, 0),  REGEXEXTRACT(C5086, ""🏘️ \w+ \w+ (.*) ✅""))))"),"#N/A")</f>
        <v>#N/A</v>
      </c>
      <c r="I5086" s="4" t="str">
        <f>IFERROR(__xludf.DUMMYFUNCTION("if(D5086=""variant"",  substitute(filter(Templates!E:E, Templates!A:A = F5086, Templates!B:B = G5086, Templates!C:C = H5086), ""{{}}"", E5086), B5086)"),"Vendre maison Cheseaux-Noréaz: Trouvez le bien immobilier qui correspond idéalement à vos désirs sur ImmoScout24 - La plateforme de l'immobilier en Suisse.")</f>
        <v>Vendre maison Cheseaux-Noréaz: Trouvez le bien immobilier qui correspond idéalement à vos désirs sur ImmoScout24 - La plateforme de l'immobilier en Suisse.</v>
      </c>
    </row>
    <row r="5087" hidden="1">
      <c r="A5087" s="5" t="s">
        <v>13272</v>
      </c>
      <c r="B5087" s="2" t="s">
        <v>13273</v>
      </c>
      <c r="C5087" s="2" t="s">
        <v>13273</v>
      </c>
      <c r="D5087" s="4" t="str">
        <f>vlookup(A5087, Sheet2!D:E, 2, 0)</f>
        <v>control</v>
      </c>
      <c r="E5087" s="4" t="str">
        <f>IFERROR(__xludf.DUMMYFUNCTION("if(H5087=""pays"",vlookup(REGEXEXTRACT(C5087, ""🏘️ \w+ \w+ (.*) ✅""),'Country prepositions'!A:B, 2, 0) &amp; "" "" &amp; REGEXEXTRACT(C5087, ""🏘️ \w+ \w+ (.*) ✅"") ,  if(H5087=""quartier"",vlookup(REGEXEXTRACT(C5087, ""🏘️ \w+ \w+ (.*) ✅""),'Quartier prepositio"&amp;"ns'!A:E, 5, 0) ,  if(H5087=""region"",vlookup(REGEXEXTRACT(C5087, ""🏘️ \w+ \w+ (.*) ✅""),'Region prepositions'!B:F, 5, 0),  REGEXEXTRACT(C5087, ""🏘️ \w+ \w+ (.*) ✅""))))"),"#N/A")</f>
        <v>#N/A</v>
      </c>
      <c r="I5087" s="4" t="str">
        <f>IFERROR(__xludf.DUMMYFUNCTION("if(D5087=""variant"",  substitute(filter(Templates!E:E, Templates!A:A = F5087, Templates!B:B = G5087, Templates!C:C = H5087), ""{{}}"", E5087), B5087)"),"Vendre maison Stechelberg: Trouvez le bien immobilier qui correspond idéalement à vos désirs sur ImmoScout24 - La plateforme de l'immobilier en Suisse.")</f>
        <v>Vendre maison Stechelberg: Trouvez le bien immobilier qui correspond idéalement à vos désirs sur ImmoScout24 - La plateforme de l'immobilier en Suisse.</v>
      </c>
    </row>
    <row r="5088" hidden="1">
      <c r="A5088" s="5" t="s">
        <v>13274</v>
      </c>
      <c r="B5088" s="2" t="s">
        <v>13275</v>
      </c>
      <c r="C5088" s="2" t="s">
        <v>13275</v>
      </c>
      <c r="D5088" s="4" t="str">
        <f>vlookup(A5088, Sheet2!D:E, 2, 0)</f>
        <v>control</v>
      </c>
      <c r="E5088" s="4" t="str">
        <f>IFERROR(__xludf.DUMMYFUNCTION("if(H5088=""pays"",vlookup(REGEXEXTRACT(C5088, ""🏘️ \w+ \w+ (.*) ✅""),'Country prepositions'!A:B, 2, 0) &amp; "" "" &amp; REGEXEXTRACT(C5088, ""🏘️ \w+ \w+ (.*) ✅"") ,  if(H5088=""quartier"",vlookup(REGEXEXTRACT(C5088, ""🏘️ \w+ \w+ (.*) ✅""),'Quartier prepositio"&amp;"ns'!A:E, 5, 0) ,  if(H5088=""region"",vlookup(REGEXEXTRACT(C5088, ""🏘️ \w+ \w+ (.*) ✅""),'Region prepositions'!B:F, 5, 0),  REGEXEXTRACT(C5088, ""🏘️ \w+ \w+ (.*) ✅""))))"),"#N/A")</f>
        <v>#N/A</v>
      </c>
      <c r="I5088" s="4" t="str">
        <f>IFERROR(__xludf.DUMMYFUNCTION("if(D5088=""variant"",  substitute(filter(Templates!E:E, Templates!A:A = F5088, Templates!B:B = G5088, Templates!C:C = H5088), ""{{}}"", E5088), B5088)"),"Vendre maison Waltenschwil: Trouvez le bien immobilier qui correspond idéalement à vos désirs sur ImmoScout24 - La plateforme de l'immobilier en Suisse.")</f>
        <v>Vendre maison Waltenschwil: Trouvez le bien immobilier qui correspond idéalement à vos désirs sur ImmoScout24 - La plateforme de l'immobilier en Suisse.</v>
      </c>
    </row>
    <row r="5089" hidden="1">
      <c r="A5089" s="5" t="s">
        <v>13276</v>
      </c>
      <c r="B5089" s="2" t="s">
        <v>13277</v>
      </c>
      <c r="C5089" s="2" t="s">
        <v>13277</v>
      </c>
      <c r="D5089" s="4" t="str">
        <f>vlookup(A5089, Sheet2!D:E, 2, 0)</f>
        <v>control</v>
      </c>
      <c r="E5089" s="4" t="str">
        <f>IFERROR(__xludf.DUMMYFUNCTION("if(H5089=""pays"",vlookup(REGEXEXTRACT(C5089, ""🏘️ \w+ \w+ (.*) ✅""),'Country prepositions'!A:B, 2, 0) &amp; "" "" &amp; REGEXEXTRACT(C5089, ""🏘️ \w+ \w+ (.*) ✅"") ,  if(H5089=""quartier"",vlookup(REGEXEXTRACT(C5089, ""🏘️ \w+ \w+ (.*) ✅""),'Quartier prepositio"&amp;"ns'!A:E, 5, 0) ,  if(H5089=""region"",vlookup(REGEXEXTRACT(C5089, ""🏘️ \w+ \w+ (.*) ✅""),'Region prepositions'!B:F, 5, 0),  REGEXEXTRACT(C5089, ""🏘️ \w+ \w+ (.*) ✅""))))"),"#N/A")</f>
        <v>#N/A</v>
      </c>
      <c r="I5089" s="4" t="str">
        <f>IFERROR(__xludf.DUMMYFUNCTION("if(D5089=""variant"",  substitute(filter(Templates!E:E, Templates!A:A = F5089, Templates!B:B = G5089, Templates!C:C = H5089), ""{{}}"", E5089), B5089)"),"Louer appartement Zweisimmen: Trouvez le bien immobilier qui correspond idéalement à vos désirs sur ImmoScout24 - La plateforme de l'immobilier en Suisse.")</f>
        <v>Louer appartement Zweisimmen: Trouvez le bien immobilier qui correspond idéalement à vos désirs sur ImmoScout24 - La plateforme de l'immobilier en Suisse.</v>
      </c>
    </row>
    <row r="5090" hidden="1">
      <c r="A5090" s="5" t="s">
        <v>13278</v>
      </c>
      <c r="B5090" s="2" t="s">
        <v>13279</v>
      </c>
      <c r="C5090" s="2" t="s">
        <v>13279</v>
      </c>
      <c r="D5090" s="4" t="str">
        <f>vlookup(A5090, Sheet2!D:E, 2, 0)</f>
        <v>control</v>
      </c>
      <c r="E5090" s="4" t="str">
        <f>IFERROR(__xludf.DUMMYFUNCTION("if(H5090=""pays"",vlookup(REGEXEXTRACT(C5090, ""🏘️ \w+ \w+ (.*) ✅""),'Country prepositions'!A:B, 2, 0) &amp; "" "" &amp; REGEXEXTRACT(C5090, ""🏘️ \w+ \w+ (.*) ✅"") ,  if(H5090=""quartier"",vlookup(REGEXEXTRACT(C5090, ""🏘️ \w+ \w+ (.*) ✅""),'Quartier prepositio"&amp;"ns'!A:E, 5, 0) ,  if(H5090=""region"",vlookup(REGEXEXTRACT(C5090, ""🏘️ \w+ \w+ (.*) ✅""),'Region prepositions'!B:F, 5, 0),  REGEXEXTRACT(C5090, ""🏘️ \w+ \w+ (.*) ✅""))))"),"#N/A")</f>
        <v>#N/A</v>
      </c>
      <c r="I5090" s="4" t="str">
        <f>IFERROR(__xludf.DUMMYFUNCTION("if(D5090=""variant"",  substitute(filter(Templates!E:E, Templates!A:A = F5090, Templates!B:B = G5090, Templates!C:C = H5090), ""{{}}"", E5090), B5090)"),"Louer appartement Grand-Lancy: Trouvez le bien immobilier qui correspond idéalement à vos désirs sur ImmoScout24 - La plateforme de l'immobilier en Suisse.")</f>
        <v>Louer appartement Grand-Lancy: Trouvez le bien immobilier qui correspond idéalement à vos désirs sur ImmoScout24 - La plateforme de l'immobilier en Suisse.</v>
      </c>
    </row>
    <row r="5091" hidden="1">
      <c r="A5091" s="5" t="s">
        <v>13280</v>
      </c>
      <c r="B5091" s="2" t="s">
        <v>13281</v>
      </c>
      <c r="C5091" s="2" t="s">
        <v>13281</v>
      </c>
      <c r="D5091" s="4" t="str">
        <f>vlookup(A5091, Sheet2!D:E, 2, 0)</f>
        <v>control</v>
      </c>
      <c r="E5091" s="4" t="str">
        <f>IFERROR(__xludf.DUMMYFUNCTION("if(H5091=""pays"",vlookup(REGEXEXTRACT(C5091, ""🏘️ \w+ \w+ (.*) ✅""),'Country prepositions'!A:B, 2, 0) &amp; "" "" &amp; REGEXEXTRACT(C5091, ""🏘️ \w+ \w+ (.*) ✅"") ,  if(H5091=""quartier"",vlookup(REGEXEXTRACT(C5091, ""🏘️ \w+ \w+ (.*) ✅""),'Quartier prepositio"&amp;"ns'!A:E, 5, 0) ,  if(H5091=""region"",vlookup(REGEXEXTRACT(C5091, ""🏘️ \w+ \w+ (.*) ✅""),'Region prepositions'!B:F, 5, 0),  REGEXEXTRACT(C5091, ""🏘️ \w+ \w+ (.*) ✅""))))"),"#N/A")</f>
        <v>#N/A</v>
      </c>
      <c r="I5091" s="4" t="str">
        <f>IFERROR(__xludf.DUMMYFUNCTION("if(D5091=""variant"",  substitute(filter(Templates!E:E, Templates!A:A = F5091, Templates!B:B = G5091, Templates!C:C = H5091), ""{{}}"", E5091), B5091)"),"Louer appartement Greng: Trouvez le bien immobilier qui correspond idéalement à vos désirs sur ImmoScout24 - La plateforme de l'immobilier en Suisse.")</f>
        <v>Louer appartement Greng: Trouvez le bien immobilier qui correspond idéalement à vos désirs sur ImmoScout24 - La plateforme de l'immobilier en Suisse.</v>
      </c>
    </row>
    <row r="5092" hidden="1">
      <c r="A5092" s="5" t="s">
        <v>13282</v>
      </c>
      <c r="B5092" s="2" t="s">
        <v>13283</v>
      </c>
      <c r="C5092" s="2" t="s">
        <v>13283</v>
      </c>
      <c r="D5092" s="4" t="str">
        <f>vlookup(A5092, Sheet2!D:E, 2, 0)</f>
        <v>control</v>
      </c>
      <c r="E5092" s="4" t="str">
        <f>IFERROR(__xludf.DUMMYFUNCTION("if(H5092=""pays"",vlookup(REGEXEXTRACT(C5092, ""🏘️ \w+ \w+ (.*) ✅""),'Country prepositions'!A:B, 2, 0) &amp; "" "" &amp; REGEXEXTRACT(C5092, ""🏘️ \w+ \w+ (.*) ✅"") ,  if(H5092=""quartier"",vlookup(REGEXEXTRACT(C5092, ""🏘️ \w+ \w+ (.*) ✅""),'Quartier prepositio"&amp;"ns'!A:E, 5, 0) ,  if(H5092=""region"",vlookup(REGEXEXTRACT(C5092, ""🏘️ \w+ \w+ (.*) ✅""),'Region prepositions'!B:F, 5, 0),  REGEXEXTRACT(C5092, ""🏘️ \w+ \w+ (.*) ✅""))))"),"#N/A")</f>
        <v>#N/A</v>
      </c>
      <c r="I5092" s="4" t="str">
        <f>IFERROR(__xludf.DUMMYFUNCTION("if(D5092=""variant"",  substitute(filter(Templates!E:E, Templates!A:A = F5092, Templates!B:B = G5092, Templates!C:C = H5092), ""{{}}"", E5092), B5092)"),"Vendre appartement Sursee: Trouvez le bien immobilier qui correspond idéalement à vos désirs sur ImmoScout24 - La plateforme de l'immobilier en Suisse.")</f>
        <v>Vendre appartement Sursee: Trouvez le bien immobilier qui correspond idéalement à vos désirs sur ImmoScout24 - La plateforme de l'immobilier en Suisse.</v>
      </c>
    </row>
    <row r="5093" hidden="1">
      <c r="A5093" s="5" t="s">
        <v>13284</v>
      </c>
      <c r="B5093" s="2" t="s">
        <v>13285</v>
      </c>
      <c r="C5093" s="2" t="s">
        <v>13285</v>
      </c>
      <c r="D5093" s="4" t="str">
        <f>vlookup(A5093, Sheet2!D:E, 2, 0)</f>
        <v>control</v>
      </c>
      <c r="E5093" s="4" t="str">
        <f>IFERROR(__xludf.DUMMYFUNCTION("if(H5093=""pays"",vlookup(REGEXEXTRACT(C5093, ""🏘️ \w+ \w+ (.*) ✅""),'Country prepositions'!A:B, 2, 0) &amp; "" "" &amp; REGEXEXTRACT(C5093, ""🏘️ \w+ \w+ (.*) ✅"") ,  if(H5093=""quartier"",vlookup(REGEXEXTRACT(C5093, ""🏘️ \w+ \w+ (.*) ✅""),'Quartier prepositio"&amp;"ns'!A:E, 5, 0) ,  if(H5093=""region"",vlookup(REGEXEXTRACT(C5093, ""🏘️ \w+ \w+ (.*) ✅""),'Region prepositions'!B:F, 5, 0),  REGEXEXTRACT(C5093, ""🏘️ \w+ \w+ (.*) ✅""))))"),"#N/A")</f>
        <v>#N/A</v>
      </c>
      <c r="I5093" s="4" t="str">
        <f>IFERROR(__xludf.DUMMYFUNCTION("if(D5093=""variant"",  substitute(filter(Templates!E:E, Templates!A:A = F5093, Templates!B:B = G5093, Templates!C:C = H5093), ""{{}}"", E5093), B5093)"),"Vendre appartement Monruz (Neuchâtel): Trouvez le bien immobilier qui correspond idéalement à vos désirs sur ImmoScout24 - La plateforme de l'immobilier en Suisse.")</f>
        <v>Vendre appartement Monruz (Neuchâtel): Trouvez le bien immobilier qui correspond idéalement à vos désirs sur ImmoScout24 - La plateforme de l'immobilier en Suisse.</v>
      </c>
    </row>
    <row r="5094" hidden="1">
      <c r="A5094" s="5" t="s">
        <v>13286</v>
      </c>
      <c r="B5094" s="2" t="s">
        <v>13287</v>
      </c>
      <c r="C5094" s="2" t="s">
        <v>13287</v>
      </c>
      <c r="D5094" s="4" t="str">
        <f>vlookup(A5094, Sheet2!D:E, 2, 0)</f>
        <v>control</v>
      </c>
      <c r="E5094" s="4" t="str">
        <f>IFERROR(__xludf.DUMMYFUNCTION("if(H5094=""pays"",vlookup(REGEXEXTRACT(C5094, ""🏘️ \w+ \w+ (.*) ✅""),'Country prepositions'!A:B, 2, 0) &amp; "" "" &amp; REGEXEXTRACT(C5094, ""🏘️ \w+ \w+ (.*) ✅"") ,  if(H5094=""quartier"",vlookup(REGEXEXTRACT(C5094, ""🏘️ \w+ \w+ (.*) ✅""),'Quartier prepositio"&amp;"ns'!A:E, 5, 0) ,  if(H5094=""region"",vlookup(REGEXEXTRACT(C5094, ""🏘️ \w+ \w+ (.*) ✅""),'Region prepositions'!B:F, 5, 0),  REGEXEXTRACT(C5094, ""🏘️ \w+ \w+ (.*) ✅""))))"),"#N/A")</f>
        <v>#N/A</v>
      </c>
      <c r="I5094" s="4" t="str">
        <f>IFERROR(__xludf.DUMMYFUNCTION("if(D5094=""variant"",  substitute(filter(Templates!E:E, Templates!A:A = F5094, Templates!B:B = G5094, Templates!C:C = H5094), ""{{}}"", E5094), B5094)"),"Louer appartement Schüpfen: Trouvez le bien immobilier qui correspond idéalement à vos désirs sur ImmoScout24 - La plateforme de l'immobilier en Suisse.")</f>
        <v>Louer appartement Schüpfen: Trouvez le bien immobilier qui correspond idéalement à vos désirs sur ImmoScout24 - La plateforme de l'immobilier en Suisse.</v>
      </c>
    </row>
    <row r="5095" hidden="1">
      <c r="A5095" s="5" t="s">
        <v>13288</v>
      </c>
      <c r="B5095" s="2" t="s">
        <v>13289</v>
      </c>
      <c r="C5095" s="2" t="s">
        <v>13289</v>
      </c>
      <c r="D5095" s="4" t="str">
        <f>vlookup(A5095, Sheet2!D:E, 2, 0)</f>
        <v>control</v>
      </c>
      <c r="E5095" s="4" t="str">
        <f>IFERROR(__xludf.DUMMYFUNCTION("if(H5095=""pays"",vlookup(REGEXEXTRACT(C5095, ""🏘️ \w+ \w+ (.*) ✅""),'Country prepositions'!A:B, 2, 0) &amp; "" "" &amp; REGEXEXTRACT(C5095, ""🏘️ \w+ \w+ (.*) ✅"") ,  if(H5095=""quartier"",vlookup(REGEXEXTRACT(C5095, ""🏘️ \w+ \w+ (.*) ✅""),'Quartier prepositio"&amp;"ns'!A:E, 5, 0) ,  if(H5095=""region"",vlookup(REGEXEXTRACT(C5095, ""🏘️ \w+ \w+ (.*) ✅""),'Region prepositions'!B:F, 5, 0),  REGEXEXTRACT(C5095, ""🏘️ \w+ \w+ (.*) ✅""))))"),"#N/A")</f>
        <v>#N/A</v>
      </c>
      <c r="I5095" s="4" t="str">
        <f>IFERROR(__xludf.DUMMYFUNCTION("if(D5095=""variant"",  substitute(filter(Templates!E:E, Templates!A:A = F5095, Templates!B:B = G5095, Templates!C:C = H5095), ""{{}}"", E5095), B5095)"),"Vendre appartement Cortaillod: Trouvez le bien immobilier qui correspond idéalement à vos désirs sur ImmoScout24 - La plateforme de l'immobilier en Suisse.")</f>
        <v>Vendre appartement Cortaillod: Trouvez le bien immobilier qui correspond idéalement à vos désirs sur ImmoScout24 - La plateforme de l'immobilier en Suisse.</v>
      </c>
    </row>
    <row r="5096" hidden="1">
      <c r="A5096" s="5" t="s">
        <v>13290</v>
      </c>
      <c r="B5096" s="2" t="s">
        <v>13291</v>
      </c>
      <c r="C5096" s="2" t="s">
        <v>13291</v>
      </c>
      <c r="D5096" s="4" t="str">
        <f>vlookup(A5096, Sheet2!D:E, 2, 0)</f>
        <v>control</v>
      </c>
      <c r="E5096" s="4" t="str">
        <f>IFERROR(__xludf.DUMMYFUNCTION("if(H5096=""pays"",vlookup(REGEXEXTRACT(C5096, ""🏘️ \w+ \w+ (.*) ✅""),'Country prepositions'!A:B, 2, 0) &amp; "" "" &amp; REGEXEXTRACT(C5096, ""🏘️ \w+ \w+ (.*) ✅"") ,  if(H5096=""quartier"",vlookup(REGEXEXTRACT(C5096, ""🏘️ \w+ \w+ (.*) ✅""),'Quartier prepositio"&amp;"ns'!A:E, 5, 0) ,  if(H5096=""region"",vlookup(REGEXEXTRACT(C5096, ""🏘️ \w+ \w+ (.*) ✅""),'Region prepositions'!B:F, 5, 0),  REGEXEXTRACT(C5096, ""🏘️ \w+ \w+ (.*) ✅""))))"),"#N/A")</f>
        <v>#N/A</v>
      </c>
      <c r="I5096" s="4" t="str">
        <f>IFERROR(__xludf.DUMMYFUNCTION("if(D5096=""variant"",  substitute(filter(Templates!E:E, Templates!A:A = F5096, Templates!B:B = G5096, Templates!C:C = H5096), ""{{}}"", E5096), B5096)"),"Louer maison Giffers: Trouvez le bien immobilier qui correspond idéalement à vos désirs sur ImmoScout24 - La plateforme de l'immobilier en Suisse.")</f>
        <v>Louer maison Giffers: Trouvez le bien immobilier qui correspond idéalement à vos désirs sur ImmoScout24 - La plateforme de l'immobilier en Suisse.</v>
      </c>
    </row>
    <row r="5097" hidden="1">
      <c r="A5097" s="5" t="s">
        <v>13292</v>
      </c>
      <c r="B5097" s="2" t="s">
        <v>13293</v>
      </c>
      <c r="C5097" s="2" t="s">
        <v>13293</v>
      </c>
      <c r="D5097" s="4" t="str">
        <f>vlookup(A5097, Sheet2!D:E, 2, 0)</f>
        <v>control</v>
      </c>
      <c r="E5097" s="4" t="str">
        <f>IFERROR(__xludf.DUMMYFUNCTION("if(H5097=""pays"",vlookup(REGEXEXTRACT(C5097, ""🏘️ \w+ \w+ (.*) ✅""),'Country prepositions'!A:B, 2, 0) &amp; "" "" &amp; REGEXEXTRACT(C5097, ""🏘️ \w+ \w+ (.*) ✅"") ,  if(H5097=""quartier"",vlookup(REGEXEXTRACT(C5097, ""🏘️ \w+ \w+ (.*) ✅""),'Quartier prepositio"&amp;"ns'!A:E, 5, 0) ,  if(H5097=""region"",vlookup(REGEXEXTRACT(C5097, ""🏘️ \w+ \w+ (.*) ✅""),'Region prepositions'!B:F, 5, 0),  REGEXEXTRACT(C5097, ""🏘️ \w+ \w+ (.*) ✅""))))"),"#N/A")</f>
        <v>#N/A</v>
      </c>
      <c r="I5097" s="4" t="str">
        <f>IFERROR(__xludf.DUMMYFUNCTION("if(D5097=""variant"",  substitute(filter(Templates!E:E, Templates!A:A = F5097, Templates!B:B = G5097, Templates!C:C = H5097), ""{{}}"", E5097), B5097)"),"Vendre maison La Ferrière: Trouvez le bien immobilier qui correspond idéalement à vos désirs sur ImmoScout24 - La plateforme de l'immobilier en Suisse.")</f>
        <v>Vendre maison La Ferrière: Trouvez le bien immobilier qui correspond idéalement à vos désirs sur ImmoScout24 - La plateforme de l'immobilier en Suisse.</v>
      </c>
    </row>
    <row r="5098" hidden="1">
      <c r="A5098" s="5" t="s">
        <v>13294</v>
      </c>
      <c r="B5098" s="2" t="s">
        <v>13295</v>
      </c>
      <c r="C5098" s="2" t="s">
        <v>13295</v>
      </c>
      <c r="D5098" s="4" t="str">
        <f>vlookup(A5098, Sheet2!D:E, 2, 0)</f>
        <v>control</v>
      </c>
      <c r="E5098" s="4" t="str">
        <f>IFERROR(__xludf.DUMMYFUNCTION("if(H5098=""pays"",vlookup(REGEXEXTRACT(C5098, ""🏘️ \w+ \w+ (.*) ✅""),'Country prepositions'!A:B, 2, 0) &amp; "" "" &amp; REGEXEXTRACT(C5098, ""🏘️ \w+ \w+ (.*) ✅"") ,  if(H5098=""quartier"",vlookup(REGEXEXTRACT(C5098, ""🏘️ \w+ \w+ (.*) ✅""),'Quartier prepositio"&amp;"ns'!A:E, 5, 0) ,  if(H5098=""region"",vlookup(REGEXEXTRACT(C5098, ""🏘️ \w+ \w+ (.*) ✅""),'Region prepositions'!B:F, 5, 0),  REGEXEXTRACT(C5098, ""🏘️ \w+ \w+ (.*) ✅""))))"),"#N/A")</f>
        <v>#N/A</v>
      </c>
      <c r="I5098" s="4" t="str">
        <f>IFERROR(__xludf.DUMMYFUNCTION("if(D5098=""variant"",  substitute(filter(Templates!E:E, Templates!A:A = F5098, Templates!B:B = G5098, Templates!C:C = H5098), ""{{}}"", E5098), B5098)"),"Vendre appartement Marin-Epagnier: Trouvez le bien immobilier qui correspond idéalement à vos désirs sur ImmoScout24 - La plateforme de l'immobilier en Suisse.")</f>
        <v>Vendre appartement Marin-Epagnier: Trouvez le bien immobilier qui correspond idéalement à vos désirs sur ImmoScout24 - La plateforme de l'immobilier en Suisse.</v>
      </c>
    </row>
    <row r="5099" hidden="1">
      <c r="A5099" s="5" t="s">
        <v>13296</v>
      </c>
      <c r="B5099" s="2" t="s">
        <v>13297</v>
      </c>
      <c r="C5099" s="2" t="s">
        <v>13297</v>
      </c>
      <c r="D5099" s="4" t="str">
        <f>vlookup(A5099, Sheet2!D:E, 2, 0)</f>
        <v>control</v>
      </c>
      <c r="E5099" s="4" t="str">
        <f>IFERROR(__xludf.DUMMYFUNCTION("if(H5099=""pays"",vlookup(REGEXEXTRACT(C5099, ""🏘️ \w+ \w+ (.*) ✅""),'Country prepositions'!A:B, 2, 0) &amp; "" "" &amp; REGEXEXTRACT(C5099, ""🏘️ \w+ \w+ (.*) ✅"") ,  if(H5099=""quartier"",vlookup(REGEXEXTRACT(C5099, ""🏘️ \w+ \w+ (.*) ✅""),'Quartier prepositio"&amp;"ns'!A:E, 5, 0) ,  if(H5099=""region"",vlookup(REGEXEXTRACT(C5099, ""🏘️ \w+ \w+ (.*) ✅""),'Region prepositions'!B:F, 5, 0),  REGEXEXTRACT(C5099, ""🏘️ \w+ \w+ (.*) ✅""))))"),"#N/A")</f>
        <v>#N/A</v>
      </c>
      <c r="I5099" s="4" t="str">
        <f>IFERROR(__xludf.DUMMYFUNCTION("if(D5099=""variant"",  substitute(filter(Templates!E:E, Templates!A:A = F5099, Templates!B:B = G5099, Templates!C:C = H5099), ""{{}}"", E5099), B5099)"),"Vendre maison Münster VS: Trouvez le bien immobilier qui correspond idéalement à vos désirs sur ImmoScout24 - La plateforme de l'immobilier en Suisse.")</f>
        <v>Vendre maison Münster VS: Trouvez le bien immobilier qui correspond idéalement à vos désirs sur ImmoScout24 - La plateforme de l'immobilier en Suisse.</v>
      </c>
    </row>
    <row r="5100" hidden="1">
      <c r="A5100" s="5" t="s">
        <v>13298</v>
      </c>
      <c r="B5100" s="2" t="s">
        <v>13299</v>
      </c>
      <c r="C5100" s="2" t="s">
        <v>13299</v>
      </c>
      <c r="D5100" s="4" t="str">
        <f>vlookup(A5100, Sheet2!D:E, 2, 0)</f>
        <v>control</v>
      </c>
      <c r="E5100" s="4" t="str">
        <f>IFERROR(__xludf.DUMMYFUNCTION("if(H5100=""pays"",vlookup(REGEXEXTRACT(C5100, ""🏘️ \w+ \w+ (.*) ✅""),'Country prepositions'!A:B, 2, 0) &amp; "" "" &amp; REGEXEXTRACT(C5100, ""🏘️ \w+ \w+ (.*) ✅"") ,  if(H5100=""quartier"",vlookup(REGEXEXTRACT(C5100, ""🏘️ \w+ \w+ (.*) ✅""),'Quartier prepositio"&amp;"ns'!A:E, 5, 0) ,  if(H5100=""region"",vlookup(REGEXEXTRACT(C5100, ""🏘️ \w+ \w+ (.*) ✅""),'Region prepositions'!B:F, 5, 0),  REGEXEXTRACT(C5100, ""🏘️ \w+ \w+ (.*) ✅""))))"),"#N/A")</f>
        <v>#N/A</v>
      </c>
      <c r="I5100" s="4" t="str">
        <f>IFERROR(__xludf.DUMMYFUNCTION("if(D5100=""variant"",  substitute(filter(Templates!E:E, Templates!A:A = F5100, Templates!B:B = G5100, Templates!C:C = H5100), ""{{}}"", E5100), B5100)"),"Vendre maison Ramsen: Trouvez le bien immobilier qui correspond idéalement à vos désirs sur ImmoScout24 - La plateforme de l'immobilier en Suisse.")</f>
        <v>Vendre maison Ramsen: Trouvez le bien immobilier qui correspond idéalement à vos désirs sur ImmoScout24 - La plateforme de l'immobilier en Suisse.</v>
      </c>
    </row>
    <row r="5101" hidden="1">
      <c r="A5101" s="5" t="s">
        <v>13300</v>
      </c>
      <c r="B5101" s="2" t="s">
        <v>13301</v>
      </c>
      <c r="C5101" s="2" t="s">
        <v>13301</v>
      </c>
      <c r="D5101" s="4" t="str">
        <f>vlookup(A5101, Sheet2!D:E, 2, 0)</f>
        <v>control</v>
      </c>
      <c r="E5101" s="4" t="str">
        <f>IFERROR(__xludf.DUMMYFUNCTION("if(H5101=""pays"",vlookup(REGEXEXTRACT(C5101, ""🏘️ \w+ \w+ (.*) ✅""),'Country prepositions'!A:B, 2, 0) &amp; "" "" &amp; REGEXEXTRACT(C5101, ""🏘️ \w+ \w+ (.*) ✅"") ,  if(H5101=""quartier"",vlookup(REGEXEXTRACT(C5101, ""🏘️ \w+ \w+ (.*) ✅""),'Quartier prepositio"&amp;"ns'!A:E, 5, 0) ,  if(H5101=""region"",vlookup(REGEXEXTRACT(C5101, ""🏘️ \w+ \w+ (.*) ✅""),'Region prepositions'!B:F, 5, 0),  REGEXEXTRACT(C5101, ""🏘️ \w+ \w+ (.*) ✅""))))"),"#N/A")</f>
        <v>#N/A</v>
      </c>
      <c r="I5101" s="4" t="str">
        <f>IFERROR(__xludf.DUMMYFUNCTION("if(D5101=""variant"",  substitute(filter(Templates!E:E, Templates!A:A = F5101, Templates!B:B = G5101, Templates!C:C = H5101), ""{{}}"", E5101), B5101)"),"Vendre maison Maglio di Colla: Trouvez le bien immobilier qui correspond idéalement à vos désirs sur ImmoScout24 - La plateforme de l'immobilier en Suisse.")</f>
        <v>Vendre maison Maglio di Colla: Trouvez le bien immobilier qui correspond idéalement à vos désirs sur ImmoScout24 - La plateforme de l'immobilier en Suisse.</v>
      </c>
    </row>
    <row r="5102" hidden="1">
      <c r="A5102" s="5" t="s">
        <v>13302</v>
      </c>
      <c r="B5102" s="2" t="s">
        <v>13303</v>
      </c>
      <c r="C5102" s="2" t="s">
        <v>13303</v>
      </c>
      <c r="D5102" s="4" t="str">
        <f>vlookup(A5102, Sheet2!D:E, 2, 0)</f>
        <v>control</v>
      </c>
      <c r="E5102" s="4" t="str">
        <f>IFERROR(__xludf.DUMMYFUNCTION("if(H5102=""pays"",vlookup(REGEXEXTRACT(C5102, ""🏘️ \w+ \w+ (.*) ✅""),'Country prepositions'!A:B, 2, 0) &amp; "" "" &amp; REGEXEXTRACT(C5102, ""🏘️ \w+ \w+ (.*) ✅"") ,  if(H5102=""quartier"",vlookup(REGEXEXTRACT(C5102, ""🏘️ \w+ \w+ (.*) ✅""),'Quartier prepositio"&amp;"ns'!A:E, 5, 0) ,  if(H5102=""region"",vlookup(REGEXEXTRACT(C5102, ""🏘️ \w+ \w+ (.*) ✅""),'Region prepositions'!B:F, 5, 0),  REGEXEXTRACT(C5102, ""🏘️ \w+ \w+ (.*) ✅""))))"),"#N/A")</f>
        <v>#N/A</v>
      </c>
      <c r="I5102" s="4" t="str">
        <f>IFERROR(__xludf.DUMMYFUNCTION("if(D5102=""variant"",  substitute(filter(Templates!E:E, Templates!A:A = F5102, Templates!B:B = G5102, Templates!C:C = H5102), ""{{}}"", E5102), B5102)"),"Louer appartement Leuggern: Trouvez le bien immobilier qui correspond idéalement à vos désirs sur ImmoScout24 - La plateforme de l'immobilier en Suisse.")</f>
        <v>Louer appartement Leuggern: Trouvez le bien immobilier qui correspond idéalement à vos désirs sur ImmoScout24 - La plateforme de l'immobilier en Suisse.</v>
      </c>
    </row>
    <row r="5103" hidden="1">
      <c r="A5103" s="5" t="s">
        <v>13304</v>
      </c>
      <c r="B5103" s="2" t="s">
        <v>13305</v>
      </c>
      <c r="C5103" s="2" t="s">
        <v>13305</v>
      </c>
      <c r="D5103" s="4" t="str">
        <f>vlookup(A5103, Sheet2!D:E, 2, 0)</f>
        <v>control</v>
      </c>
      <c r="E5103" s="4" t="str">
        <f>IFERROR(__xludf.DUMMYFUNCTION("if(H5103=""pays"",vlookup(REGEXEXTRACT(C5103, ""🏘️ \w+ \w+ (.*) ✅""),'Country prepositions'!A:B, 2, 0) &amp; "" "" &amp; REGEXEXTRACT(C5103, ""🏘️ \w+ \w+ (.*) ✅"") ,  if(H5103=""quartier"",vlookup(REGEXEXTRACT(C5103, ""🏘️ \w+ \w+ (.*) ✅""),'Quartier prepositio"&amp;"ns'!A:E, 5, 0) ,  if(H5103=""region"",vlookup(REGEXEXTRACT(C5103, ""🏘️ \w+ \w+ (.*) ✅""),'Region prepositions'!B:F, 5, 0),  REGEXEXTRACT(C5103, ""🏘️ \w+ \w+ (.*) ✅""))))"),"#N/A")</f>
        <v>#N/A</v>
      </c>
      <c r="I5103" s="4" t="str">
        <f>IFERROR(__xludf.DUMMYFUNCTION("if(D5103=""variant"",  substitute(filter(Templates!E:E, Templates!A:A = F5103, Templates!B:B = G5103, Templates!C:C = H5103), ""{{}}"", E5103), B5103)"),"Louer appartement Beauregard (Fribourg): Trouvez le bien immobilier qui correspond idéalement à vos désirs sur ImmoScout24 - La plateforme de l'immobilier en Suisse.")</f>
        <v>Louer appartement Beauregard (Fribourg): Trouvez le bien immobilier qui correspond idéalement à vos désirs sur ImmoScout24 - La plateforme de l'immobilier en Suisse.</v>
      </c>
    </row>
    <row r="5104" hidden="1">
      <c r="A5104" s="5" t="s">
        <v>13306</v>
      </c>
      <c r="B5104" s="2" t="s">
        <v>13307</v>
      </c>
      <c r="C5104" s="2" t="s">
        <v>13307</v>
      </c>
      <c r="D5104" s="4" t="str">
        <f>vlookup(A5104, Sheet2!D:E, 2, 0)</f>
        <v>control</v>
      </c>
      <c r="E5104" s="4" t="str">
        <f>IFERROR(__xludf.DUMMYFUNCTION("if(H5104=""pays"",vlookup(REGEXEXTRACT(C5104, ""🏘️ \w+ \w+ (.*) ✅""),'Country prepositions'!A:B, 2, 0) &amp; "" "" &amp; REGEXEXTRACT(C5104, ""🏘️ \w+ \w+ (.*) ✅"") ,  if(H5104=""quartier"",vlookup(REGEXEXTRACT(C5104, ""🏘️ \w+ \w+ (.*) ✅""),'Quartier prepositio"&amp;"ns'!A:E, 5, 0) ,  if(H5104=""region"",vlookup(REGEXEXTRACT(C5104, ""🏘️ \w+ \w+ (.*) ✅""),'Region prepositions'!B:F, 5, 0),  REGEXEXTRACT(C5104, ""🏘️ \w+ \w+ (.*) ✅""))))"),"#N/A")</f>
        <v>#N/A</v>
      </c>
      <c r="I5104" s="4" t="str">
        <f>IFERROR(__xludf.DUMMYFUNCTION("if(D5104=""variant"",  substitute(filter(Templates!E:E, Templates!A:A = F5104, Templates!B:B = G5104, Templates!C:C = H5104), ""{{}}"", E5104), B5104)"),"Louer maison Champex-Lac: Trouvez le bien immobilier qui correspond idéalement à vos désirs sur ImmoScout24 - La plateforme de l'immobilier en Suisse.")</f>
        <v>Louer maison Champex-Lac: Trouvez le bien immobilier qui correspond idéalement à vos désirs sur ImmoScout24 - La plateforme de l'immobilier en Suisse.</v>
      </c>
    </row>
    <row r="5105" hidden="1">
      <c r="A5105" s="5" t="s">
        <v>13308</v>
      </c>
      <c r="B5105" s="2" t="s">
        <v>13309</v>
      </c>
      <c r="C5105" s="2" t="s">
        <v>13309</v>
      </c>
      <c r="D5105" s="4" t="str">
        <f>vlookup(A5105, Sheet2!D:E, 2, 0)</f>
        <v>control</v>
      </c>
      <c r="E5105" s="4" t="str">
        <f>IFERROR(__xludf.DUMMYFUNCTION("if(H5105=""pays"",vlookup(REGEXEXTRACT(C5105, ""🏘️ \w+ \w+ (.*) ✅""),'Country prepositions'!A:B, 2, 0) &amp; "" "" &amp; REGEXEXTRACT(C5105, ""🏘️ \w+ \w+ (.*) ✅"") ,  if(H5105=""quartier"",vlookup(REGEXEXTRACT(C5105, ""🏘️ \w+ \w+ (.*) ✅""),'Quartier prepositio"&amp;"ns'!A:E, 5, 0) ,  if(H5105=""region"",vlookup(REGEXEXTRACT(C5105, ""🏘️ \w+ \w+ (.*) ✅""),'Region prepositions'!B:F, 5, 0),  REGEXEXTRACT(C5105, ""🏘️ \w+ \w+ (.*) ✅""))))"),"#N/A")</f>
        <v>#N/A</v>
      </c>
      <c r="I5105" s="4" t="str">
        <f>IFERROR(__xludf.DUMMYFUNCTION("if(D5105=""variant"",  substitute(filter(Templates!E:E, Templates!A:A = F5105, Templates!B:B = G5105, Templates!C:C = H5105), ""{{}}"", E5105), B5105)"),"Vendre maison Zernez: Trouvez le bien immobilier qui correspond idéalement à vos désirs sur ImmoScout24 - La plateforme de l'immobilier en Suisse.")</f>
        <v>Vendre maison Zernez: Trouvez le bien immobilier qui correspond idéalement à vos désirs sur ImmoScout24 - La plateforme de l'immobilier en Suisse.</v>
      </c>
    </row>
    <row r="5106" hidden="1">
      <c r="A5106" s="5" t="s">
        <v>13310</v>
      </c>
      <c r="B5106" s="2" t="s">
        <v>13311</v>
      </c>
      <c r="C5106" s="2" t="s">
        <v>13311</v>
      </c>
      <c r="D5106" s="4" t="str">
        <f>vlookup(A5106, Sheet2!D:E, 2, 0)</f>
        <v>control</v>
      </c>
      <c r="E5106" s="4" t="str">
        <f>IFERROR(__xludf.DUMMYFUNCTION("if(H5106=""pays"",vlookup(REGEXEXTRACT(C5106, ""🏘️ \w+ \w+ (.*) ✅""),'Country prepositions'!A:B, 2, 0) &amp; "" "" &amp; REGEXEXTRACT(C5106, ""🏘️ \w+ \w+ (.*) ✅"") ,  if(H5106=""quartier"",vlookup(REGEXEXTRACT(C5106, ""🏘️ \w+ \w+ (.*) ✅""),'Quartier prepositio"&amp;"ns'!A:E, 5, 0) ,  if(H5106=""region"",vlookup(REGEXEXTRACT(C5106, ""🏘️ \w+ \w+ (.*) ✅""),'Region prepositions'!B:F, 5, 0),  REGEXEXTRACT(C5106, ""🏘️ \w+ \w+ (.*) ✅""))))"),"#N/A")</f>
        <v>#N/A</v>
      </c>
      <c r="I5106" s="4" t="str">
        <f>IFERROR(__xludf.DUMMYFUNCTION("if(D5106=""variant"",  substitute(filter(Templates!E:E, Templates!A:A = F5106, Templates!B:B = G5106, Templates!C:C = H5106), ""{{}}"", E5106), B5106)"),"Louer appartement Moosseedorf: Trouvez le bien immobilier qui correspond idéalement à vos désirs sur ImmoScout24 - La plateforme de l'immobilier en Suisse.")</f>
        <v>Louer appartement Moosseedorf: Trouvez le bien immobilier qui correspond idéalement à vos désirs sur ImmoScout24 - La plateforme de l'immobilier en Suisse.</v>
      </c>
    </row>
    <row r="5107" hidden="1">
      <c r="A5107" s="5" t="s">
        <v>13312</v>
      </c>
      <c r="B5107" s="2" t="s">
        <v>13313</v>
      </c>
      <c r="C5107" s="2" t="s">
        <v>13313</v>
      </c>
      <c r="D5107" s="4" t="str">
        <f>vlookup(A5107, Sheet2!D:E, 2, 0)</f>
        <v>control</v>
      </c>
      <c r="E5107" s="4" t="str">
        <f>IFERROR(__xludf.DUMMYFUNCTION("if(H5107=""pays"",vlookup(REGEXEXTRACT(C5107, ""🏘️ \w+ \w+ (.*) ✅""),'Country prepositions'!A:B, 2, 0) &amp; "" "" &amp; REGEXEXTRACT(C5107, ""🏘️ \w+ \w+ (.*) ✅"") ,  if(H5107=""quartier"",vlookup(REGEXEXTRACT(C5107, ""🏘️ \w+ \w+ (.*) ✅""),'Quartier prepositio"&amp;"ns'!A:E, 5, 0) ,  if(H5107=""region"",vlookup(REGEXEXTRACT(C5107, ""🏘️ \w+ \w+ (.*) ✅""),'Region prepositions'!B:F, 5, 0),  REGEXEXTRACT(C5107, ""🏘️ \w+ \w+ (.*) ✅""))))"),"#N/A")</f>
        <v>#N/A</v>
      </c>
      <c r="I5107" s="4" t="str">
        <f>IFERROR(__xludf.DUMMYFUNCTION("if(D5107=""variant"",  substitute(filter(Templates!E:E, Templates!A:A = F5107, Templates!B:B = G5107, Templates!C:C = H5107), ""{{}}"", E5107), B5107)"),"Vendre maison La Tour-de-Peilz: Trouvez le bien immobilier qui correspond idéalement à vos désirs sur ImmoScout24 - La plateforme de l'immobilier en Suisse.")</f>
        <v>Vendre maison La Tour-de-Peilz: Trouvez le bien immobilier qui correspond idéalement à vos désirs sur ImmoScout24 - La plateforme de l'immobilier en Suisse.</v>
      </c>
    </row>
    <row r="5108" hidden="1">
      <c r="A5108" s="5" t="s">
        <v>13314</v>
      </c>
      <c r="B5108" s="2" t="s">
        <v>13315</v>
      </c>
      <c r="C5108" s="2" t="s">
        <v>13315</v>
      </c>
      <c r="D5108" s="4" t="str">
        <f>vlookup(A5108, Sheet2!D:E, 2, 0)</f>
        <v>control</v>
      </c>
      <c r="E5108" s="4" t="str">
        <f>IFERROR(__xludf.DUMMYFUNCTION("if(H5108=""pays"",vlookup(REGEXEXTRACT(C5108, ""🏘️ \w+ \w+ (.*) ✅""),'Country prepositions'!A:B, 2, 0) &amp; "" "" &amp; REGEXEXTRACT(C5108, ""🏘️ \w+ \w+ (.*) ✅"") ,  if(H5108=""quartier"",vlookup(REGEXEXTRACT(C5108, ""🏘️ \w+ \w+ (.*) ✅""),'Quartier prepositio"&amp;"ns'!A:E, 5, 0) ,  if(H5108=""region"",vlookup(REGEXEXTRACT(C5108, ""🏘️ \w+ \w+ (.*) ✅""),'Region prepositions'!B:F, 5, 0),  REGEXEXTRACT(C5108, ""🏘️ \w+ \w+ (.*) ✅""))))"),"#N/A")</f>
        <v>#N/A</v>
      </c>
      <c r="I5108" s="4" t="str">
        <f>IFERROR(__xludf.DUMMYFUNCTION("if(D5108=""variant"",  substitute(filter(Templates!E:E, Templates!A:A = F5108, Templates!B:B = G5108, Templates!C:C = H5108), ""{{}}"", E5108), B5108)"),"Louer appartement Mâche (Biel/Bienne): Trouvez le bien immobilier qui correspond idéalement à vos désirs sur ImmoScout24 - La plateforme de l'immobilier en Suisse.")</f>
        <v>Louer appartement Mâche (Biel/Bienne): Trouvez le bien immobilier qui correspond idéalement à vos désirs sur ImmoScout24 - La plateforme de l'immobilier en Suisse.</v>
      </c>
    </row>
    <row r="5109" hidden="1">
      <c r="A5109" s="5" t="s">
        <v>13316</v>
      </c>
      <c r="B5109" s="2" t="s">
        <v>13317</v>
      </c>
      <c r="C5109" s="2" t="s">
        <v>13317</v>
      </c>
      <c r="D5109" s="4" t="str">
        <f>vlookup(A5109, Sheet2!D:E, 2, 0)</f>
        <v>control</v>
      </c>
      <c r="E5109" s="4" t="str">
        <f>IFERROR(__xludf.DUMMYFUNCTION("if(H5109=""pays"",vlookup(REGEXEXTRACT(C5109, ""🏘️ \w+ \w+ (.*) ✅""),'Country prepositions'!A:B, 2, 0) &amp; "" "" &amp; REGEXEXTRACT(C5109, ""🏘️ \w+ \w+ (.*) ✅"") ,  if(H5109=""quartier"",vlookup(REGEXEXTRACT(C5109, ""🏘️ \w+ \w+ (.*) ✅""),'Quartier prepositio"&amp;"ns'!A:E, 5, 0) ,  if(H5109=""region"",vlookup(REGEXEXTRACT(C5109, ""🏘️ \w+ \w+ (.*) ✅""),'Region prepositions'!B:F, 5, 0),  REGEXEXTRACT(C5109, ""🏘️ \w+ \w+ (.*) ✅""))))"),"#N/A")</f>
        <v>#N/A</v>
      </c>
      <c r="I5109" s="4" t="str">
        <f>IFERROR(__xludf.DUMMYFUNCTION("if(D5109=""variant"",  substitute(filter(Templates!E:E, Templates!A:A = F5109, Templates!B:B = G5109, Templates!C:C = H5109), ""{{}}"", E5109), B5109)"),"Louer appartement Ibach: Trouvez le bien immobilier qui correspond idéalement à vos désirs sur ImmoScout24 - La plateforme de l'immobilier en Suisse.")</f>
        <v>Louer appartement Ibach: Trouvez le bien immobilier qui correspond idéalement à vos désirs sur ImmoScout24 - La plateforme de l'immobilier en Suisse.</v>
      </c>
    </row>
    <row r="5110" hidden="1">
      <c r="A5110" s="5" t="s">
        <v>13318</v>
      </c>
      <c r="B5110" s="2" t="s">
        <v>13319</v>
      </c>
      <c r="C5110" s="2" t="s">
        <v>13319</v>
      </c>
      <c r="D5110" s="4" t="str">
        <f>vlookup(A5110, Sheet2!D:E, 2, 0)</f>
        <v>control</v>
      </c>
      <c r="E5110" s="4" t="str">
        <f>IFERROR(__xludf.DUMMYFUNCTION("if(H5110=""pays"",vlookup(REGEXEXTRACT(C5110, ""🏘️ \w+ \w+ (.*) ✅""),'Country prepositions'!A:B, 2, 0) &amp; "" "" &amp; REGEXEXTRACT(C5110, ""🏘️ \w+ \w+ (.*) ✅"") ,  if(H5110=""quartier"",vlookup(REGEXEXTRACT(C5110, ""🏘️ \w+ \w+ (.*) ✅""),'Quartier prepositio"&amp;"ns'!A:E, 5, 0) ,  if(H5110=""region"",vlookup(REGEXEXTRACT(C5110, ""🏘️ \w+ \w+ (.*) ✅""),'Region prepositions'!B:F, 5, 0),  REGEXEXTRACT(C5110, ""🏘️ \w+ \w+ (.*) ✅""))))"),"#N/A")</f>
        <v>#N/A</v>
      </c>
      <c r="I5110" s="4" t="str">
        <f>IFERROR(__xludf.DUMMYFUNCTION("if(D5110=""variant"",  substitute(filter(Templates!E:E, Templates!A:A = F5110, Templates!B:B = G5110, Templates!C:C = H5110), ""{{}}"", E5110), B5110)"),"Louer maison Oron-la-Ville: Trouvez le bien immobilier qui correspond idéalement à vos désirs sur ImmoScout24 - La plateforme de l'immobilier en Suisse.")</f>
        <v>Louer maison Oron-la-Ville: Trouvez le bien immobilier qui correspond idéalement à vos désirs sur ImmoScout24 - La plateforme de l'immobilier en Suisse.</v>
      </c>
    </row>
    <row r="5111" hidden="1">
      <c r="A5111" s="5" t="s">
        <v>13320</v>
      </c>
      <c r="B5111" s="2" t="s">
        <v>13321</v>
      </c>
      <c r="C5111" s="2" t="s">
        <v>13321</v>
      </c>
      <c r="D5111" s="4" t="str">
        <f>vlookup(A5111, Sheet2!D:E, 2, 0)</f>
        <v>control</v>
      </c>
      <c r="E5111" s="4" t="str">
        <f>IFERROR(__xludf.DUMMYFUNCTION("if(H5111=""pays"",vlookup(REGEXEXTRACT(C5111, ""🏘️ \w+ \w+ (.*) ✅""),'Country prepositions'!A:B, 2, 0) &amp; "" "" &amp; REGEXEXTRACT(C5111, ""🏘️ \w+ \w+ (.*) ✅"") ,  if(H5111=""quartier"",vlookup(REGEXEXTRACT(C5111, ""🏘️ \w+ \w+ (.*) ✅""),'Quartier prepositio"&amp;"ns'!A:E, 5, 0) ,  if(H5111=""region"",vlookup(REGEXEXTRACT(C5111, ""🏘️ \w+ \w+ (.*) ✅""),'Region prepositions'!B:F, 5, 0),  REGEXEXTRACT(C5111, ""🏘️ \w+ \w+ (.*) ✅""))))"),"#N/A")</f>
        <v>#N/A</v>
      </c>
      <c r="I5111" s="4" t="str">
        <f>IFERROR(__xludf.DUMMYFUNCTION("if(D5111=""variant"",  substitute(filter(Templates!E:E, Templates!A:A = F5111, Templates!B:B = G5111, Templates!C:C = H5111), ""{{}}"", E5111), B5111)"),"Vendre appartement Konolfingen: Trouvez le bien immobilier qui correspond idéalement à vos désirs sur ImmoScout24 - La plateforme de l'immobilier en Suisse.")</f>
        <v>Vendre appartement Konolfingen: Trouvez le bien immobilier qui correspond idéalement à vos désirs sur ImmoScout24 - La plateforme de l'immobilier en Suisse.</v>
      </c>
    </row>
    <row r="5112" hidden="1">
      <c r="A5112" s="5" t="s">
        <v>13322</v>
      </c>
      <c r="B5112" s="2" t="s">
        <v>13323</v>
      </c>
      <c r="C5112" s="2" t="s">
        <v>13323</v>
      </c>
      <c r="D5112" s="4" t="str">
        <f>vlookup(A5112, Sheet2!D:E, 2, 0)</f>
        <v>control</v>
      </c>
      <c r="E5112" s="4" t="str">
        <f>IFERROR(__xludf.DUMMYFUNCTION("if(H5112=""pays"",vlookup(REGEXEXTRACT(C5112, ""🏘️ \w+ \w+ (.*) ✅""),'Country prepositions'!A:B, 2, 0) &amp; "" "" &amp; REGEXEXTRACT(C5112, ""🏘️ \w+ \w+ (.*) ✅"") ,  if(H5112=""quartier"",vlookup(REGEXEXTRACT(C5112, ""🏘️ \w+ \w+ (.*) ✅""),'Quartier prepositio"&amp;"ns'!A:E, 5, 0) ,  if(H5112=""region"",vlookup(REGEXEXTRACT(C5112, ""🏘️ \w+ \w+ (.*) ✅""),'Region prepositions'!B:F, 5, 0),  REGEXEXTRACT(C5112, ""🏘️ \w+ \w+ (.*) ✅""))))"),"#N/A")</f>
        <v>#N/A</v>
      </c>
      <c r="I5112" s="4" t="str">
        <f>IFERROR(__xludf.DUMMYFUNCTION("if(D5112=""variant"",  substitute(filter(Templates!E:E, Templates!A:A = F5112, Templates!B:B = G5112, Templates!C:C = H5112), ""{{}}"", E5112), B5112)"),"Louer appartement Lauenen b. Gstaad: Trouvez le bien immobilier qui correspond idéalement à vos désirs sur ImmoScout24 - La plateforme de l'immobilier en Suisse.")</f>
        <v>Louer appartement Lauenen b. Gstaad: Trouvez le bien immobilier qui correspond idéalement à vos désirs sur ImmoScout24 - La plateforme de l'immobilier en Suisse.</v>
      </c>
    </row>
    <row r="5113" hidden="1">
      <c r="A5113" s="5" t="s">
        <v>13324</v>
      </c>
      <c r="B5113" s="2" t="s">
        <v>13325</v>
      </c>
      <c r="C5113" s="2" t="s">
        <v>13325</v>
      </c>
      <c r="D5113" s="4" t="str">
        <f>vlookup(A5113, Sheet2!D:E, 2, 0)</f>
        <v>control</v>
      </c>
      <c r="E5113" s="4" t="str">
        <f>IFERROR(__xludf.DUMMYFUNCTION("if(H5113=""pays"",vlookup(REGEXEXTRACT(C5113, ""🏘️ \w+ \w+ (.*) ✅""),'Country prepositions'!A:B, 2, 0) &amp; "" "" &amp; REGEXEXTRACT(C5113, ""🏘️ \w+ \w+ (.*) ✅"") ,  if(H5113=""quartier"",vlookup(REGEXEXTRACT(C5113, ""🏘️ \w+ \w+ (.*) ✅""),'Quartier prepositio"&amp;"ns'!A:E, 5, 0) ,  if(H5113=""region"",vlookup(REGEXEXTRACT(C5113, ""🏘️ \w+ \w+ (.*) ✅""),'Region prepositions'!B:F, 5, 0),  REGEXEXTRACT(C5113, ""🏘️ \w+ \w+ (.*) ✅""))))"),"#N/A")</f>
        <v>#N/A</v>
      </c>
      <c r="I5113" s="4" t="str">
        <f>IFERROR(__xludf.DUMMYFUNCTION("if(D5113=""variant"",  substitute(filter(Templates!E:E, Templates!A:A = F5113, Templates!B:B = G5113, Templates!C:C = H5113), ""{{}}"", E5113), B5113)"),"Vendre maison Plan-les-Ouates: Trouvez le bien immobilier qui correspond idéalement à vos désirs sur ImmoScout24 - La plateforme de l'immobilier en Suisse.")</f>
        <v>Vendre maison Plan-les-Ouates: Trouvez le bien immobilier qui correspond idéalement à vos désirs sur ImmoScout24 - La plateforme de l'immobilier en Suisse.</v>
      </c>
    </row>
    <row r="5114" hidden="1">
      <c r="A5114" s="5" t="s">
        <v>13326</v>
      </c>
      <c r="B5114" s="2" t="s">
        <v>13327</v>
      </c>
      <c r="C5114" s="2" t="s">
        <v>13327</v>
      </c>
      <c r="D5114" s="4" t="str">
        <f>vlookup(A5114, Sheet2!D:E, 2, 0)</f>
        <v>control</v>
      </c>
      <c r="E5114" s="4" t="str">
        <f>IFERROR(__xludf.DUMMYFUNCTION("if(H5114=""pays"",vlookup(REGEXEXTRACT(C5114, ""🏘️ \w+ \w+ (.*) ✅""),'Country prepositions'!A:B, 2, 0) &amp; "" "" &amp; REGEXEXTRACT(C5114, ""🏘️ \w+ \w+ (.*) ✅"") ,  if(H5114=""quartier"",vlookup(REGEXEXTRACT(C5114, ""🏘️ \w+ \w+ (.*) ✅""),'Quartier prepositio"&amp;"ns'!A:E, 5, 0) ,  if(H5114=""region"",vlookup(REGEXEXTRACT(C5114, ""🏘️ \w+ \w+ (.*) ✅""),'Region prepositions'!B:F, 5, 0),  REGEXEXTRACT(C5114, ""🏘️ \w+ \w+ (.*) ✅""))))"),"#N/A")</f>
        <v>#N/A</v>
      </c>
      <c r="I5114" s="4" t="str">
        <f>IFERROR(__xludf.DUMMYFUNCTION("if(D5114=""variant"",  substitute(filter(Templates!E:E, Templates!A:A = F5114, Templates!B:B = G5114, Templates!C:C = H5114), ""{{}}"", E5114), B5114)"),"Vendre maison Arni AG: Trouvez le bien immobilier qui correspond idéalement à vos désirs sur ImmoScout24 - La plateforme de l'immobilier en Suisse.")</f>
        <v>Vendre maison Arni AG: Trouvez le bien immobilier qui correspond idéalement à vos désirs sur ImmoScout24 - La plateforme de l'immobilier en Suisse.</v>
      </c>
    </row>
    <row r="5115" hidden="1">
      <c r="A5115" s="5" t="s">
        <v>13328</v>
      </c>
      <c r="B5115" s="2" t="s">
        <v>13329</v>
      </c>
      <c r="C5115" s="2" t="s">
        <v>13329</v>
      </c>
      <c r="D5115" s="4" t="str">
        <f>vlookup(A5115, Sheet2!D:E, 2, 0)</f>
        <v>control</v>
      </c>
      <c r="E5115" s="4" t="str">
        <f>IFERROR(__xludf.DUMMYFUNCTION("if(H5115=""pays"",vlookup(REGEXEXTRACT(C5115, ""🏘️ \w+ \w+ (.*) ✅""),'Country prepositions'!A:B, 2, 0) &amp; "" "" &amp; REGEXEXTRACT(C5115, ""🏘️ \w+ \w+ (.*) ✅"") ,  if(H5115=""quartier"",vlookup(REGEXEXTRACT(C5115, ""🏘️ \w+ \w+ (.*) ✅""),'Quartier prepositio"&amp;"ns'!A:E, 5, 0) ,  if(H5115=""region"",vlookup(REGEXEXTRACT(C5115, ""🏘️ \w+ \w+ (.*) ✅""),'Region prepositions'!B:F, 5, 0),  REGEXEXTRACT(C5115, ""🏘️ \w+ \w+ (.*) ✅""))))"),"#N/A")</f>
        <v>#N/A</v>
      </c>
      <c r="I5115" s="4" t="str">
        <f>IFERROR(__xludf.DUMMYFUNCTION("if(D5115=""variant"",  substitute(filter(Templates!E:E, Templates!A:A = F5115, Templates!B:B = G5115, Templates!C:C = H5115), ""{{}}"", E5115), B5115)"),"Vendre maison Montagnes Neuchâteloises: Trouvez le bien immobilier qui correspond idéalement à vos désirs sur ImmoScout24 - La plateforme de l'immobilier en Suisse.")</f>
        <v>Vendre maison Montagnes Neuchâteloises: Trouvez le bien immobilier qui correspond idéalement à vos désirs sur ImmoScout24 - La plateforme de l'immobilier en Suisse.</v>
      </c>
    </row>
    <row r="5116" hidden="1">
      <c r="A5116" s="5" t="s">
        <v>13330</v>
      </c>
      <c r="B5116" s="2" t="s">
        <v>13331</v>
      </c>
      <c r="C5116" s="2" t="s">
        <v>13331</v>
      </c>
      <c r="D5116" s="4" t="str">
        <f>vlookup(A5116, Sheet2!D:E, 2, 0)</f>
        <v>control</v>
      </c>
      <c r="E5116" s="4" t="str">
        <f>IFERROR(__xludf.DUMMYFUNCTION("if(H5116=""pays"",vlookup(REGEXEXTRACT(C5116, ""🏘️ \w+ \w+ (.*) ✅""),'Country prepositions'!A:B, 2, 0) &amp; "" "" &amp; REGEXEXTRACT(C5116, ""🏘️ \w+ \w+ (.*) ✅"") ,  if(H5116=""quartier"",vlookup(REGEXEXTRACT(C5116, ""🏘️ \w+ \w+ (.*) ✅""),'Quartier prepositio"&amp;"ns'!A:E, 5, 0) ,  if(H5116=""region"",vlookup(REGEXEXTRACT(C5116, ""🏘️ \w+ \w+ (.*) ✅""),'Region prepositions'!B:F, 5, 0),  REGEXEXTRACT(C5116, ""🏘️ \w+ \w+ (.*) ✅""))))"),"#N/A")</f>
        <v>#N/A</v>
      </c>
      <c r="I5116" s="4" t="str">
        <f>IFERROR(__xludf.DUMMYFUNCTION("if(D5116=""variant"",  substitute(filter(Templates!E:E, Templates!A:A = F5116, Templates!B:B = G5116, Templates!C:C = H5116), ""{{}}"", E5116), B5116)"),"Vendre maison Chur: Trouvez le bien immobilier qui correspond idéalement à vos désirs sur ImmoScout24 - La plateforme de l'immobilier en Suisse.")</f>
        <v>Vendre maison Chur: Trouvez le bien immobilier qui correspond idéalement à vos désirs sur ImmoScout24 - La plateforme de l'immobilier en Suisse.</v>
      </c>
    </row>
    <row r="5117" hidden="1">
      <c r="A5117" s="5" t="s">
        <v>13332</v>
      </c>
      <c r="B5117" s="2" t="s">
        <v>13333</v>
      </c>
      <c r="C5117" s="2" t="s">
        <v>13333</v>
      </c>
      <c r="D5117" s="4" t="str">
        <f>vlookup(A5117, Sheet2!D:E, 2, 0)</f>
        <v>control</v>
      </c>
      <c r="E5117" s="4" t="str">
        <f>IFERROR(__xludf.DUMMYFUNCTION("if(H5117=""pays"",vlookup(REGEXEXTRACT(C5117, ""🏘️ \w+ \w+ (.*) ✅""),'Country prepositions'!A:B, 2, 0) &amp; "" "" &amp; REGEXEXTRACT(C5117, ""🏘️ \w+ \w+ (.*) ✅"") ,  if(H5117=""quartier"",vlookup(REGEXEXTRACT(C5117, ""🏘️ \w+ \w+ (.*) ✅""),'Quartier prepositio"&amp;"ns'!A:E, 5, 0) ,  if(H5117=""region"",vlookup(REGEXEXTRACT(C5117, ""🏘️ \w+ \w+ (.*) ✅""),'Region prepositions'!B:F, 5, 0),  REGEXEXTRACT(C5117, ""🏘️ \w+ \w+ (.*) ✅""))))"),"#N/A")</f>
        <v>#N/A</v>
      </c>
      <c r="I5117" s="4" t="str">
        <f>IFERROR(__xludf.DUMMYFUNCTION("if(D5117=""variant"",  substitute(filter(Templates!E:E, Templates!A:A = F5117, Templates!B:B = G5117, Templates!C:C = H5117), ""{{}}"", E5117), B5117)"),"Vendre maison Seigneux: Trouvez le bien immobilier qui correspond idéalement à vos désirs sur ImmoScout24 - La plateforme de l'immobilier en Suisse.")</f>
        <v>Vendre maison Seigneux: Trouvez le bien immobilier qui correspond idéalement à vos désirs sur ImmoScout24 - La plateforme de l'immobilier en Suisse.</v>
      </c>
    </row>
    <row r="5118" hidden="1">
      <c r="A5118" s="5" t="s">
        <v>13334</v>
      </c>
      <c r="B5118" s="2" t="s">
        <v>13335</v>
      </c>
      <c r="C5118" s="2" t="s">
        <v>13335</v>
      </c>
      <c r="D5118" s="4" t="str">
        <f>vlookup(A5118, Sheet2!D:E, 2, 0)</f>
        <v>control</v>
      </c>
      <c r="E5118" s="4" t="str">
        <f>IFERROR(__xludf.DUMMYFUNCTION("if(H5118=""pays"",vlookup(REGEXEXTRACT(C5118, ""🏘️ \w+ \w+ (.*) ✅""),'Country prepositions'!A:B, 2, 0) &amp; "" "" &amp; REGEXEXTRACT(C5118, ""🏘️ \w+ \w+ (.*) ✅"") ,  if(H5118=""quartier"",vlookup(REGEXEXTRACT(C5118, ""🏘️ \w+ \w+ (.*) ✅""),'Quartier prepositio"&amp;"ns'!A:E, 5, 0) ,  if(H5118=""region"",vlookup(REGEXEXTRACT(C5118, ""🏘️ \w+ \w+ (.*) ✅""),'Region prepositions'!B:F, 5, 0),  REGEXEXTRACT(C5118, ""🏘️ \w+ \w+ (.*) ✅""))))"),"#N/A")</f>
        <v>#N/A</v>
      </c>
      <c r="I5118" s="4" t="str">
        <f>IFERROR(__xludf.DUMMYFUNCTION("if(D5118=""variant"",  substitute(filter(Templates!E:E, Templates!A:A = F5118, Templates!B:B = G5118, Templates!C:C = H5118), ""{{}}"", E5118), B5118)"),"Vendre appartement Gimmelwald: Trouvez le bien immobilier qui correspond idéalement à vos désirs sur ImmoScout24 - La plateforme de l'immobilier en Suisse.")</f>
        <v>Vendre appartement Gimmelwald: Trouvez le bien immobilier qui correspond idéalement à vos désirs sur ImmoScout24 - La plateforme de l'immobilier en Suisse.</v>
      </c>
    </row>
    <row r="5119" hidden="1">
      <c r="A5119" s="5" t="s">
        <v>13336</v>
      </c>
      <c r="B5119" s="2" t="s">
        <v>13337</v>
      </c>
      <c r="C5119" s="2" t="s">
        <v>13337</v>
      </c>
      <c r="D5119" s="4" t="str">
        <f>vlookup(A5119, Sheet2!D:E, 2, 0)</f>
        <v>control</v>
      </c>
      <c r="E5119" s="4" t="str">
        <f>IFERROR(__xludf.DUMMYFUNCTION("if(H5119=""pays"",vlookup(REGEXEXTRACT(C5119, ""🏘️ \w+ \w+ (.*) ✅""),'Country prepositions'!A:B, 2, 0) &amp; "" "" &amp; REGEXEXTRACT(C5119, ""🏘️ \w+ \w+ (.*) ✅"") ,  if(H5119=""quartier"",vlookup(REGEXEXTRACT(C5119, ""🏘️ \w+ \w+ (.*) ✅""),'Quartier prepositio"&amp;"ns'!A:E, 5, 0) ,  if(H5119=""region"",vlookup(REGEXEXTRACT(C5119, ""🏘️ \w+ \w+ (.*) ✅""),'Region prepositions'!B:F, 5, 0),  REGEXEXTRACT(C5119, ""🏘️ \w+ \w+ (.*) ✅""))))"),"#N/A")</f>
        <v>#N/A</v>
      </c>
      <c r="I5119" s="4" t="str">
        <f>IFERROR(__xludf.DUMMYFUNCTION("if(D5119=""variant"",  substitute(filter(Templates!E:E, Templates!A:A = F5119, Templates!B:B = G5119, Templates!C:C = H5119), ""{{}}"", E5119), B5119)"),"Vendre maison Aegerten: Trouvez le bien immobilier qui correspond idéalement à vos désirs sur ImmoScout24 - La plateforme de l'immobilier en Suisse.")</f>
        <v>Vendre maison Aegerten: Trouvez le bien immobilier qui correspond idéalement à vos désirs sur ImmoScout24 - La plateforme de l'immobilier en Suisse.</v>
      </c>
    </row>
    <row r="5120" hidden="1">
      <c r="A5120" s="5" t="s">
        <v>13338</v>
      </c>
      <c r="B5120" s="2" t="s">
        <v>13339</v>
      </c>
      <c r="C5120" s="2" t="s">
        <v>13339</v>
      </c>
      <c r="D5120" s="4" t="str">
        <f>vlookup(A5120, Sheet2!D:E, 2, 0)</f>
        <v>control</v>
      </c>
      <c r="E5120" s="4" t="str">
        <f>IFERROR(__xludf.DUMMYFUNCTION("if(H5120=""pays"",vlookup(REGEXEXTRACT(C5120, ""🏘️ \w+ \w+ (.*) ✅""),'Country prepositions'!A:B, 2, 0) &amp; "" "" &amp; REGEXEXTRACT(C5120, ""🏘️ \w+ \w+ (.*) ✅"") ,  if(H5120=""quartier"",vlookup(REGEXEXTRACT(C5120, ""🏘️ \w+ \w+ (.*) ✅""),'Quartier prepositio"&amp;"ns'!A:E, 5, 0) ,  if(H5120=""region"",vlookup(REGEXEXTRACT(C5120, ""🏘️ \w+ \w+ (.*) ✅""),'Region prepositions'!B:F, 5, 0),  REGEXEXTRACT(C5120, ""🏘️ \w+ \w+ (.*) ✅""))))"),"#N/A")</f>
        <v>#N/A</v>
      </c>
      <c r="I5120" s="4" t="str">
        <f>IFERROR(__xludf.DUMMYFUNCTION("if(D5120=""variant"",  substitute(filter(Templates!E:E, Templates!A:A = F5120, Templates!B:B = G5120, Templates!C:C = H5120), ""{{}}"", E5120), B5120)"),"Vendre maison Rossens FR: Trouvez le bien immobilier qui correspond idéalement à vos désirs sur ImmoScout24 - La plateforme de l'immobilier en Suisse.")</f>
        <v>Vendre maison Rossens FR: Trouvez le bien immobilier qui correspond idéalement à vos désirs sur ImmoScout24 - La plateforme de l'immobilier en Suisse.</v>
      </c>
    </row>
    <row r="5121" hidden="1">
      <c r="A5121" s="5" t="s">
        <v>13340</v>
      </c>
      <c r="B5121" s="2" t="s">
        <v>13341</v>
      </c>
      <c r="C5121" s="2" t="s">
        <v>13341</v>
      </c>
      <c r="D5121" s="4" t="str">
        <f>vlookup(A5121, Sheet2!D:E, 2, 0)</f>
        <v>control</v>
      </c>
      <c r="E5121" s="4" t="str">
        <f>IFERROR(__xludf.DUMMYFUNCTION("if(H5121=""pays"",vlookup(REGEXEXTRACT(C5121, ""🏘️ \w+ \w+ (.*) ✅""),'Country prepositions'!A:B, 2, 0) &amp; "" "" &amp; REGEXEXTRACT(C5121, ""🏘️ \w+ \w+ (.*) ✅"") ,  if(H5121=""quartier"",vlookup(REGEXEXTRACT(C5121, ""🏘️ \w+ \w+ (.*) ✅""),'Quartier prepositio"&amp;"ns'!A:E, 5, 0) ,  if(H5121=""region"",vlookup(REGEXEXTRACT(C5121, ""🏘️ \w+ \w+ (.*) ✅""),'Region prepositions'!B:F, 5, 0),  REGEXEXTRACT(C5121, ""🏘️ \w+ \w+ (.*) ✅""))))"),"#N/A")</f>
        <v>#N/A</v>
      </c>
      <c r="I5121" s="4" t="str">
        <f>IFERROR(__xludf.DUMMYFUNCTION("if(D5121=""variant"",  substitute(filter(Templates!E:E, Templates!A:A = F5121, Templates!B:B = G5121, Templates!C:C = H5121), ""{{}}"", E5121), B5121)"),"Louer maison La Côte - Nyon: Trouvez le bien immobilier qui correspond idéalement à vos désirs sur ImmoScout24 - La plateforme de l'immobilier en Suisse.")</f>
        <v>Louer maison La Côte - Nyon: Trouvez le bien immobilier qui correspond idéalement à vos désirs sur ImmoScout24 - La plateforme de l'immobilier en Suisse.</v>
      </c>
    </row>
    <row r="5122" hidden="1">
      <c r="A5122" s="5" t="s">
        <v>13342</v>
      </c>
      <c r="B5122" s="2" t="s">
        <v>5406</v>
      </c>
      <c r="C5122" s="2" t="s">
        <v>5406</v>
      </c>
      <c r="D5122" s="4" t="str">
        <f>vlookup(A5122, Sheet2!D:E, 2, 0)</f>
        <v>control</v>
      </c>
      <c r="E5122" s="4" t="str">
        <f>IFERROR(__xludf.DUMMYFUNCTION("if(H5122=""pays"",vlookup(REGEXEXTRACT(C5122, ""🏘️ \w+ \w+ (.*) ✅""),'Country prepositions'!A:B, 2, 0) &amp; "" "" &amp; REGEXEXTRACT(C5122, ""🏘️ \w+ \w+ (.*) ✅"") ,  if(H5122=""quartier"",vlookup(REGEXEXTRACT(C5122, ""🏘️ \w+ \w+ (.*) ✅""),'Quartier prepositio"&amp;"ns'!A:E, 5, 0) ,  if(H5122=""region"",vlookup(REGEXEXTRACT(C5122, ""🏘️ \w+ \w+ (.*) ✅""),'Region prepositions'!B:F, 5, 0),  REGEXEXTRACT(C5122, ""🏘️ \w+ \w+ (.*) ✅""))))"),"#N/A")</f>
        <v>#N/A</v>
      </c>
      <c r="I5122" s="4" t="str">
        <f>IFERROR(__xludf.DUMMYFUNCTION("if(D5122=""variant"",  substitute(filter(Templates!E:E, Templates!A:A = F5122, Templates!B:B = G5122, Templates!C:C = H5122), ""{{}}"", E5122), B5122)"),"Vendre appartement Porrentruy: Trouvez le bien immobilier qui correspond idéalement à vos désirs sur ImmoScout24 - La plateforme de l'immobilier en Suisse.")</f>
        <v>Vendre appartement Porrentruy: Trouvez le bien immobilier qui correspond idéalement à vos désirs sur ImmoScout24 - La plateforme de l'immobilier en Suisse.</v>
      </c>
    </row>
    <row r="5123" hidden="1">
      <c r="A5123" s="5" t="s">
        <v>13343</v>
      </c>
      <c r="B5123" s="2" t="s">
        <v>13344</v>
      </c>
      <c r="C5123" s="2" t="s">
        <v>13344</v>
      </c>
      <c r="D5123" s="4" t="str">
        <f>vlookup(A5123, Sheet2!D:E, 2, 0)</f>
        <v>control</v>
      </c>
      <c r="E5123" s="4" t="str">
        <f>IFERROR(__xludf.DUMMYFUNCTION("if(H5123=""pays"",vlookup(REGEXEXTRACT(C5123, ""🏘️ \w+ \w+ (.*) ✅""),'Country prepositions'!A:B, 2, 0) &amp; "" "" &amp; REGEXEXTRACT(C5123, ""🏘️ \w+ \w+ (.*) ✅"") ,  if(H5123=""quartier"",vlookup(REGEXEXTRACT(C5123, ""🏘️ \w+ \w+ (.*) ✅""),'Quartier prepositio"&amp;"ns'!A:E, 5, 0) ,  if(H5123=""region"",vlookup(REGEXEXTRACT(C5123, ""🏘️ \w+ \w+ (.*) ✅""),'Region prepositions'!B:F, 5, 0),  REGEXEXTRACT(C5123, ""🏘️ \w+ \w+ (.*) ✅""))))"),"#N/A")</f>
        <v>#N/A</v>
      </c>
      <c r="I5123" s="4" t="str">
        <f>IFERROR(__xludf.DUMMYFUNCTION("if(D5123=""variant"",  substitute(filter(Templates!E:E, Templates!A:A = F5123, Templates!B:B = G5123, Templates!C:C = H5123), ""{{}}"", E5123), B5123)"),"Louer appartement Le Grand-Saconnex: Trouvez le bien immobilier qui correspond idéalement à vos désirs sur ImmoScout24 - La plateforme de l'immobilier en Suisse.")</f>
        <v>Louer appartement Le Grand-Saconnex: Trouvez le bien immobilier qui correspond idéalement à vos désirs sur ImmoScout24 - La plateforme de l'immobilier en Suisse.</v>
      </c>
    </row>
    <row r="5124" hidden="1">
      <c r="A5124" s="5" t="s">
        <v>13345</v>
      </c>
      <c r="B5124" s="2" t="s">
        <v>13346</v>
      </c>
      <c r="C5124" s="2" t="s">
        <v>13346</v>
      </c>
      <c r="D5124" s="4" t="str">
        <f>vlookup(A5124, Sheet2!D:E, 2, 0)</f>
        <v>control</v>
      </c>
      <c r="E5124" s="4" t="str">
        <f>IFERROR(__xludf.DUMMYFUNCTION("if(H5124=""pays"",vlookup(REGEXEXTRACT(C5124, ""🏘️ \w+ \w+ (.*) ✅""),'Country prepositions'!A:B, 2, 0) &amp; "" "" &amp; REGEXEXTRACT(C5124, ""🏘️ \w+ \w+ (.*) ✅"") ,  if(H5124=""quartier"",vlookup(REGEXEXTRACT(C5124, ""🏘️ \w+ \w+ (.*) ✅""),'Quartier prepositio"&amp;"ns'!A:E, 5, 0) ,  if(H5124=""region"",vlookup(REGEXEXTRACT(C5124, ""🏘️ \w+ \w+ (.*) ✅""),'Region prepositions'!B:F, 5, 0),  REGEXEXTRACT(C5124, ""🏘️ \w+ \w+ (.*) ✅""))))"),"#N/A")</f>
        <v>#N/A</v>
      </c>
      <c r="I5124" s="4" t="str">
        <f>IFERROR(__xludf.DUMMYFUNCTION("if(D5124=""variant"",  substitute(filter(Templates!E:E, Templates!A:A = F5124, Templates!B:B = G5124, Templates!C:C = H5124), ""{{}}"", E5124), B5124)"),"Vendre appartement Urdorf: Trouvez le bien immobilier qui correspond idéalement à vos désirs sur ImmoScout24 - La plateforme de l'immobilier en Suisse.")</f>
        <v>Vendre appartement Urdorf: Trouvez le bien immobilier qui correspond idéalement à vos désirs sur ImmoScout24 - La plateforme de l'immobilier en Suisse.</v>
      </c>
    </row>
    <row r="5125" hidden="1">
      <c r="A5125" s="5" t="s">
        <v>13347</v>
      </c>
      <c r="B5125" s="2" t="s">
        <v>13348</v>
      </c>
      <c r="C5125" s="2" t="s">
        <v>13348</v>
      </c>
      <c r="D5125" s="4" t="str">
        <f>vlookup(A5125, Sheet2!D:E, 2, 0)</f>
        <v>control</v>
      </c>
      <c r="E5125" s="4" t="str">
        <f>IFERROR(__xludf.DUMMYFUNCTION("if(H5125=""pays"",vlookup(REGEXEXTRACT(C5125, ""🏘️ \w+ \w+ (.*) ✅""),'Country prepositions'!A:B, 2, 0) &amp; "" "" &amp; REGEXEXTRACT(C5125, ""🏘️ \w+ \w+ (.*) ✅"") ,  if(H5125=""quartier"",vlookup(REGEXEXTRACT(C5125, ""🏘️ \w+ \w+ (.*) ✅""),'Quartier prepositio"&amp;"ns'!A:E, 5, 0) ,  if(H5125=""region"",vlookup(REGEXEXTRACT(C5125, ""🏘️ \w+ \w+ (.*) ✅""),'Region prepositions'!B:F, 5, 0),  REGEXEXTRACT(C5125, ""🏘️ \w+ \w+ (.*) ✅""))))"),"#N/A")</f>
        <v>#N/A</v>
      </c>
      <c r="I5125" s="4" t="str">
        <f>IFERROR(__xludf.DUMMYFUNCTION("if(D5125=""variant"",  substitute(filter(Templates!E:E, Templates!A:A = F5125, Templates!B:B = G5125, Templates!C:C = H5125), ""{{}}"", E5125), B5125)"),"Louer appartement Aarwangen: Trouvez le bien immobilier qui correspond idéalement à vos désirs sur ImmoScout24 - La plateforme de l'immobilier en Suisse.")</f>
        <v>Louer appartement Aarwangen: Trouvez le bien immobilier qui correspond idéalement à vos désirs sur ImmoScout24 - La plateforme de l'immobilier en Suisse.</v>
      </c>
    </row>
    <row r="5126" hidden="1">
      <c r="A5126" s="5" t="s">
        <v>13349</v>
      </c>
      <c r="B5126" s="2" t="s">
        <v>13350</v>
      </c>
      <c r="C5126" s="2" t="s">
        <v>13350</v>
      </c>
      <c r="D5126" s="4" t="str">
        <f>vlookup(A5126, Sheet2!D:E, 2, 0)</f>
        <v>control</v>
      </c>
      <c r="E5126" s="4" t="str">
        <f>IFERROR(__xludf.DUMMYFUNCTION("if(H5126=""pays"",vlookup(REGEXEXTRACT(C5126, ""🏘️ \w+ \w+ (.*) ✅""),'Country prepositions'!A:B, 2, 0) &amp; "" "" &amp; REGEXEXTRACT(C5126, ""🏘️ \w+ \w+ (.*) ✅"") ,  if(H5126=""quartier"",vlookup(REGEXEXTRACT(C5126, ""🏘️ \w+ \w+ (.*) ✅""),'Quartier prepositio"&amp;"ns'!A:E, 5, 0) ,  if(H5126=""region"",vlookup(REGEXEXTRACT(C5126, ""🏘️ \w+ \w+ (.*) ✅""),'Region prepositions'!B:F, 5, 0),  REGEXEXTRACT(C5126, ""🏘️ \w+ \w+ (.*) ✅""))))"),"#N/A")</f>
        <v>#N/A</v>
      </c>
      <c r="I5126" s="4" t="str">
        <f>IFERROR(__xludf.DUMMYFUNCTION("if(D5126=""variant"",  substitute(filter(Templates!E:E, Templates!A:A = F5126, Templates!B:B = G5126, Templates!C:C = H5126), ""{{}}"", E5126), B5126)"),"Louer appartement Vuadens: Trouvez le bien immobilier qui correspond idéalement à vos désirs sur ImmoScout24 - La plateforme de l'immobilier en Suisse.")</f>
        <v>Louer appartement Vuadens: Trouvez le bien immobilier qui correspond idéalement à vos désirs sur ImmoScout24 - La plateforme de l'immobilier en Suisse.</v>
      </c>
    </row>
    <row r="5127" hidden="1">
      <c r="A5127" s="5" t="s">
        <v>13351</v>
      </c>
      <c r="B5127" s="2" t="s">
        <v>13352</v>
      </c>
      <c r="C5127" s="2" t="s">
        <v>13352</v>
      </c>
      <c r="D5127" s="4" t="str">
        <f>vlookup(A5127, Sheet2!D:E, 2, 0)</f>
        <v>control</v>
      </c>
      <c r="E5127" s="4" t="str">
        <f>IFERROR(__xludf.DUMMYFUNCTION("if(H5127=""pays"",vlookup(REGEXEXTRACT(C5127, ""🏘️ \w+ \w+ (.*) ✅""),'Country prepositions'!A:B, 2, 0) &amp; "" "" &amp; REGEXEXTRACT(C5127, ""🏘️ \w+ \w+ (.*) ✅"") ,  if(H5127=""quartier"",vlookup(REGEXEXTRACT(C5127, ""🏘️ \w+ \w+ (.*) ✅""),'Quartier prepositio"&amp;"ns'!A:E, 5, 0) ,  if(H5127=""region"",vlookup(REGEXEXTRACT(C5127, ""🏘️ \w+ \w+ (.*) ✅""),'Region prepositions'!B:F, 5, 0),  REGEXEXTRACT(C5127, ""🏘️ \w+ \w+ (.*) ✅""))))"),"#N/A")</f>
        <v>#N/A</v>
      </c>
      <c r="I5127" s="4" t="str">
        <f>IFERROR(__xludf.DUMMYFUNCTION("if(D5127=""variant"",  substitute(filter(Templates!E:E, Templates!A:A = F5127, Templates!B:B = G5127, Templates!C:C = H5127), ""{{}}"", E5127), B5127)"),"Vendre maison Argentine: Trouvez le bien immobilier qui correspond idéalement à vos désirs sur ImmoScout24 - La plateforme de l'immobilier en Suisse.")</f>
        <v>Vendre maison Argentine: Trouvez le bien immobilier qui correspond idéalement à vos désirs sur ImmoScout24 - La plateforme de l'immobilier en Suisse.</v>
      </c>
    </row>
    <row r="5128" hidden="1">
      <c r="A5128" s="5" t="s">
        <v>13353</v>
      </c>
      <c r="B5128" s="2" t="s">
        <v>13354</v>
      </c>
      <c r="C5128" s="2" t="s">
        <v>13354</v>
      </c>
      <c r="D5128" s="4" t="str">
        <f>vlookup(A5128, Sheet2!D:E, 2, 0)</f>
        <v>control</v>
      </c>
      <c r="E5128" s="4" t="str">
        <f>IFERROR(__xludf.DUMMYFUNCTION("if(H5128=""pays"",vlookup(REGEXEXTRACT(C5128, ""🏘️ \w+ \w+ (.*) ✅""),'Country prepositions'!A:B, 2, 0) &amp; "" "" &amp; REGEXEXTRACT(C5128, ""🏘️ \w+ \w+ (.*) ✅"") ,  if(H5128=""quartier"",vlookup(REGEXEXTRACT(C5128, ""🏘️ \w+ \w+ (.*) ✅""),'Quartier prepositio"&amp;"ns'!A:E, 5, 0) ,  if(H5128=""region"",vlookup(REGEXEXTRACT(C5128, ""🏘️ \w+ \w+ (.*) ✅""),'Region prepositions'!B:F, 5, 0),  REGEXEXTRACT(C5128, ""🏘️ \w+ \w+ (.*) ✅""))))"),"#N/A")</f>
        <v>#N/A</v>
      </c>
      <c r="I5128" s="4" t="str">
        <f>IFERROR(__xludf.DUMMYFUNCTION("if(D5128=""variant"",  substitute(filter(Templates!E:E, Templates!A:A = F5128, Templates!B:B = G5128, Templates!C:C = H5128), ""{{}}"", E5128), B5128)"),"Louer appartement Fräschels: Trouvez le bien immobilier qui correspond idéalement à vos désirs sur ImmoScout24 - La plateforme de l'immobilier en Suisse.")</f>
        <v>Louer appartement Fräschels: Trouvez le bien immobilier qui correspond idéalement à vos désirs sur ImmoScout24 - La plateforme de l'immobilier en Suisse.</v>
      </c>
    </row>
    <row r="5129" hidden="1">
      <c r="A5129" s="5" t="s">
        <v>13355</v>
      </c>
      <c r="B5129" s="2" t="s">
        <v>13356</v>
      </c>
      <c r="C5129" s="2" t="s">
        <v>13356</v>
      </c>
      <c r="D5129" s="4" t="str">
        <f>vlookup(A5129, Sheet2!D:E, 2, 0)</f>
        <v>control</v>
      </c>
      <c r="E5129" s="4" t="str">
        <f>IFERROR(__xludf.DUMMYFUNCTION("if(H5129=""pays"",vlookup(REGEXEXTRACT(C5129, ""🏘️ \w+ \w+ (.*) ✅""),'Country prepositions'!A:B, 2, 0) &amp; "" "" &amp; REGEXEXTRACT(C5129, ""🏘️ \w+ \w+ (.*) ✅"") ,  if(H5129=""quartier"",vlookup(REGEXEXTRACT(C5129, ""🏘️ \w+ \w+ (.*) ✅""),'Quartier prepositio"&amp;"ns'!A:E, 5, 0) ,  if(H5129=""region"",vlookup(REGEXEXTRACT(C5129, ""🏘️ \w+ \w+ (.*) ✅""),'Region prepositions'!B:F, 5, 0),  REGEXEXTRACT(C5129, ""🏘️ \w+ \w+ (.*) ✅""))))"),"#N/A")</f>
        <v>#N/A</v>
      </c>
      <c r="I5129" s="4" t="str">
        <f>IFERROR(__xludf.DUMMYFUNCTION("if(D5129=""variant"",  substitute(filter(Templates!E:E, Templates!A:A = F5129, Templates!B:B = G5129, Templates!C:C = H5129), ""{{}}"", E5129), B5129)"),"Louer appartement Les Mosses: Trouvez le bien immobilier qui correspond idéalement à vos désirs sur ImmoScout24 - La plateforme de l'immobilier en Suisse.")</f>
        <v>Louer appartement Les Mosses: Trouvez le bien immobilier qui correspond idéalement à vos désirs sur ImmoScout24 - La plateforme de l'immobilier en Suisse.</v>
      </c>
    </row>
    <row r="5130" hidden="1">
      <c r="A5130" s="5" t="s">
        <v>13357</v>
      </c>
      <c r="B5130" s="2" t="s">
        <v>13358</v>
      </c>
      <c r="C5130" s="2" t="s">
        <v>13358</v>
      </c>
      <c r="D5130" s="4" t="str">
        <f>vlookup(A5130, Sheet2!D:E, 2, 0)</f>
        <v>control</v>
      </c>
      <c r="E5130" s="4" t="str">
        <f>IFERROR(__xludf.DUMMYFUNCTION("if(H5130=""pays"",vlookup(REGEXEXTRACT(C5130, ""🏘️ \w+ \w+ (.*) ✅""),'Country prepositions'!A:B, 2, 0) &amp; "" "" &amp; REGEXEXTRACT(C5130, ""🏘️ \w+ \w+ (.*) ✅"") ,  if(H5130=""quartier"",vlookup(REGEXEXTRACT(C5130, ""🏘️ \w+ \w+ (.*) ✅""),'Quartier prepositio"&amp;"ns'!A:E, 5, 0) ,  if(H5130=""region"",vlookup(REGEXEXTRACT(C5130, ""🏘️ \w+ \w+ (.*) ✅""),'Region prepositions'!B:F, 5, 0),  REGEXEXTRACT(C5130, ""🏘️ \w+ \w+ (.*) ✅""))))"),"#N/A")</f>
        <v>#N/A</v>
      </c>
      <c r="I5130" s="4" t="str">
        <f>IFERROR(__xludf.DUMMYFUNCTION("if(D5130=""variant"",  substitute(filter(Templates!E:E, Templates!A:A = F5130, Templates!B:B = G5130, Templates!C:C = H5130), ""{{}}"", E5130), B5130)"),"Louer appartement Steinach: Trouvez le bien immobilier qui correspond idéalement à vos désirs sur ImmoScout24 - La plateforme de l'immobilier en Suisse.")</f>
        <v>Louer appartement Steinach: Trouvez le bien immobilier qui correspond idéalement à vos désirs sur ImmoScout24 - La plateforme de l'immobilier en Suisse.</v>
      </c>
    </row>
    <row r="5131" hidden="1">
      <c r="A5131" s="5" t="s">
        <v>13359</v>
      </c>
      <c r="B5131" s="2" t="s">
        <v>13360</v>
      </c>
      <c r="C5131" s="2" t="s">
        <v>13360</v>
      </c>
      <c r="D5131" s="4" t="str">
        <f>vlookup(A5131, Sheet2!D:E, 2, 0)</f>
        <v>control</v>
      </c>
      <c r="E5131" s="4" t="str">
        <f>IFERROR(__xludf.DUMMYFUNCTION("if(H5131=""pays"",vlookup(REGEXEXTRACT(C5131, ""🏘️ \w+ \w+ (.*) ✅""),'Country prepositions'!A:B, 2, 0) &amp; "" "" &amp; REGEXEXTRACT(C5131, ""🏘️ \w+ \w+ (.*) ✅"") ,  if(H5131=""quartier"",vlookup(REGEXEXTRACT(C5131, ""🏘️ \w+ \w+ (.*) ✅""),'Quartier prepositio"&amp;"ns'!A:E, 5, 0) ,  if(H5131=""region"",vlookup(REGEXEXTRACT(C5131, ""🏘️ \w+ \w+ (.*) ✅""),'Region prepositions'!B:F, 5, 0),  REGEXEXTRACT(C5131, ""🏘️ \w+ \w+ (.*) ✅""))))"),"#N/A")</f>
        <v>#N/A</v>
      </c>
      <c r="I5131" s="4" t="str">
        <f>IFERROR(__xludf.DUMMYFUNCTION("if(D5131=""variant"",  substitute(filter(Templates!E:E, Templates!A:A = F5131, Templates!B:B = G5131, Templates!C:C = H5131), ""{{}}"", E5131), B5131)"),"Louer appartement Embrach: Trouvez le bien immobilier qui correspond idéalement à vos désirs sur ImmoScout24 - La plateforme de l'immobilier en Suisse.")</f>
        <v>Louer appartement Embrach: Trouvez le bien immobilier qui correspond idéalement à vos désirs sur ImmoScout24 - La plateforme de l'immobilier en Suisse.</v>
      </c>
    </row>
    <row r="5132" hidden="1">
      <c r="A5132" s="5" t="s">
        <v>13361</v>
      </c>
      <c r="B5132" s="2" t="s">
        <v>13362</v>
      </c>
      <c r="C5132" s="2" t="s">
        <v>13362</v>
      </c>
      <c r="D5132" s="4" t="str">
        <f>vlookup(A5132, Sheet2!D:E, 2, 0)</f>
        <v>control</v>
      </c>
      <c r="E5132" s="4" t="str">
        <f>IFERROR(__xludf.DUMMYFUNCTION("if(H5132=""pays"",vlookup(REGEXEXTRACT(C5132, ""🏘️ \w+ \w+ (.*) ✅""),'Country prepositions'!A:B, 2, 0) &amp; "" "" &amp; REGEXEXTRACT(C5132, ""🏘️ \w+ \w+ (.*) ✅"") ,  if(H5132=""quartier"",vlookup(REGEXEXTRACT(C5132, ""🏘️ \w+ \w+ (.*) ✅""),'Quartier prepositio"&amp;"ns'!A:E, 5, 0) ,  if(H5132=""region"",vlookup(REGEXEXTRACT(C5132, ""🏘️ \w+ \w+ (.*) ✅""),'Region prepositions'!B:F, 5, 0),  REGEXEXTRACT(C5132, ""🏘️ \w+ \w+ (.*) ✅""))))"),"#N/A")</f>
        <v>#N/A</v>
      </c>
      <c r="I5132" s="4" t="str">
        <f>IFERROR(__xludf.DUMMYFUNCTION("if(D5132=""variant"",  substitute(filter(Templates!E:E, Templates!A:A = F5132, Templates!B:B = G5132, Templates!C:C = H5132), ""{{}}"", E5132), B5132)"),"Louer appartement Plasselb: Trouvez le bien immobilier qui correspond idéalement à vos désirs sur ImmoScout24 - La plateforme de l'immobilier en Suisse.")</f>
        <v>Louer appartement Plasselb: Trouvez le bien immobilier qui correspond idéalement à vos désirs sur ImmoScout24 - La plateforme de l'immobilier en Suisse.</v>
      </c>
    </row>
    <row r="5133" hidden="1">
      <c r="A5133" s="5" t="s">
        <v>13363</v>
      </c>
      <c r="B5133" s="2" t="s">
        <v>13364</v>
      </c>
      <c r="C5133" s="2" t="s">
        <v>13364</v>
      </c>
      <c r="D5133" s="4" t="str">
        <f>vlookup(A5133, Sheet2!D:E, 2, 0)</f>
        <v>control</v>
      </c>
      <c r="E5133" s="4" t="str">
        <f>IFERROR(__xludf.DUMMYFUNCTION("if(H5133=""pays"",vlookup(REGEXEXTRACT(C5133, ""🏘️ \w+ \w+ (.*) ✅""),'Country prepositions'!A:B, 2, 0) &amp; "" "" &amp; REGEXEXTRACT(C5133, ""🏘️ \w+ \w+ (.*) ✅"") ,  if(H5133=""quartier"",vlookup(REGEXEXTRACT(C5133, ""🏘️ \w+ \w+ (.*) ✅""),'Quartier prepositio"&amp;"ns'!A:E, 5, 0) ,  if(H5133=""region"",vlookup(REGEXEXTRACT(C5133, ""🏘️ \w+ \w+ (.*) ✅""),'Region prepositions'!B:F, 5, 0),  REGEXEXTRACT(C5133, ""🏘️ \w+ \w+ (.*) ✅""))))"),"#N/A")</f>
        <v>#N/A</v>
      </c>
      <c r="I5133" s="4" t="str">
        <f>IFERROR(__xludf.DUMMYFUNCTION("if(D5133=""variant"",  substitute(filter(Templates!E:E, Templates!A:A = F5133, Templates!B:B = G5133, Templates!C:C = H5133), ""{{}}"", E5133), B5133)"),"Louer appartement Siviez (Nendaz): Trouvez le bien immobilier qui correspond idéalement à vos désirs sur ImmoScout24 - La plateforme de l'immobilier en Suisse.")</f>
        <v>Louer appartement Siviez (Nendaz): Trouvez le bien immobilier qui correspond idéalement à vos désirs sur ImmoScout24 - La plateforme de l'immobilier en Suisse.</v>
      </c>
    </row>
    <row r="5134" hidden="1">
      <c r="A5134" s="5" t="s">
        <v>13365</v>
      </c>
      <c r="B5134" s="2" t="s">
        <v>13366</v>
      </c>
      <c r="C5134" s="2" t="s">
        <v>13366</v>
      </c>
      <c r="D5134" s="4" t="str">
        <f>vlookup(A5134, Sheet2!D:E, 2, 0)</f>
        <v>control</v>
      </c>
      <c r="E5134" s="4" t="str">
        <f>IFERROR(__xludf.DUMMYFUNCTION("if(H5134=""pays"",vlookup(REGEXEXTRACT(C5134, ""🏘️ \w+ \w+ (.*) ✅""),'Country prepositions'!A:B, 2, 0) &amp; "" "" &amp; REGEXEXTRACT(C5134, ""🏘️ \w+ \w+ (.*) ✅"") ,  if(H5134=""quartier"",vlookup(REGEXEXTRACT(C5134, ""🏘️ \w+ \w+ (.*) ✅""),'Quartier prepositio"&amp;"ns'!A:E, 5, 0) ,  if(H5134=""region"",vlookup(REGEXEXTRACT(C5134, ""🏘️ \w+ \w+ (.*) ✅""),'Region prepositions'!B:F, 5, 0),  REGEXEXTRACT(C5134, ""🏘️ \w+ \w+ (.*) ✅""))))"),"#N/A")</f>
        <v>#N/A</v>
      </c>
      <c r="I5134" s="4" t="str">
        <f>IFERROR(__xludf.DUMMYFUNCTION("if(D5134=""variant"",  substitute(filter(Templates!E:E, Templates!A:A = F5134, Templates!B:B = G5134, Templates!C:C = H5134), ""{{}}"", E5134), B5134)"),"Vendre appartement Rive Gauche: Trouvez le bien immobilier qui correspond idéalement à vos désirs sur ImmoScout24 - La plateforme de l'immobilier en Suisse.")</f>
        <v>Vendre appartement Rive Gauche: Trouvez le bien immobilier qui correspond idéalement à vos désirs sur ImmoScout24 - La plateforme de l'immobilier en Suisse.</v>
      </c>
    </row>
    <row r="5135" hidden="1">
      <c r="A5135" s="5" t="s">
        <v>13367</v>
      </c>
      <c r="B5135" s="2" t="s">
        <v>13368</v>
      </c>
      <c r="C5135" s="2" t="s">
        <v>13368</v>
      </c>
      <c r="D5135" s="4" t="str">
        <f>vlookup(A5135, Sheet2!D:E, 2, 0)</f>
        <v>control</v>
      </c>
      <c r="E5135" s="4" t="str">
        <f>IFERROR(__xludf.DUMMYFUNCTION("if(H5135=""pays"",vlookup(REGEXEXTRACT(C5135, ""🏘️ \w+ \w+ (.*) ✅""),'Country prepositions'!A:B, 2, 0) &amp; "" "" &amp; REGEXEXTRACT(C5135, ""🏘️ \w+ \w+ (.*) ✅"") ,  if(H5135=""quartier"",vlookup(REGEXEXTRACT(C5135, ""🏘️ \w+ \w+ (.*) ✅""),'Quartier prepositio"&amp;"ns'!A:E, 5, 0) ,  if(H5135=""region"",vlookup(REGEXEXTRACT(C5135, ""🏘️ \w+ \w+ (.*) ✅""),'Region prepositions'!B:F, 5, 0),  REGEXEXTRACT(C5135, ""🏘️ \w+ \w+ (.*) ✅""))))"),"#N/A")</f>
        <v>#N/A</v>
      </c>
      <c r="I5135" s="4" t="str">
        <f>IFERROR(__xludf.DUMMYFUNCTION("if(D5135=""variant"",  substitute(filter(Templates!E:E, Templates!A:A = F5135, Templates!B:B = G5135, Templates!C:C = H5135), ""{{}}"", E5135), B5135)"),"Vendre appartement Kriens: Trouvez le bien immobilier qui correspond idéalement à vos désirs sur ImmoScout24 - La plateforme de l'immobilier en Suisse.")</f>
        <v>Vendre appartement Kriens: Trouvez le bien immobilier qui correspond idéalement à vos désirs sur ImmoScout24 - La plateforme de l'immobilier en Suisse.</v>
      </c>
    </row>
    <row r="5136" hidden="1">
      <c r="A5136" s="5" t="s">
        <v>13369</v>
      </c>
      <c r="B5136" s="2" t="s">
        <v>13370</v>
      </c>
      <c r="C5136" s="2" t="s">
        <v>13370</v>
      </c>
      <c r="D5136" s="4" t="str">
        <f>vlookup(A5136, Sheet2!D:E, 2, 0)</f>
        <v>control</v>
      </c>
      <c r="E5136" s="4" t="str">
        <f>IFERROR(__xludf.DUMMYFUNCTION("if(H5136=""pays"",vlookup(REGEXEXTRACT(C5136, ""🏘️ \w+ \w+ (.*) ✅""),'Country prepositions'!A:B, 2, 0) &amp; "" "" &amp; REGEXEXTRACT(C5136, ""🏘️ \w+ \w+ (.*) ✅"") ,  if(H5136=""quartier"",vlookup(REGEXEXTRACT(C5136, ""🏘️ \w+ \w+ (.*) ✅""),'Quartier prepositio"&amp;"ns'!A:E, 5, 0) ,  if(H5136=""region"",vlookup(REGEXEXTRACT(C5136, ""🏘️ \w+ \w+ (.*) ✅""),'Region prepositions'!B:F, 5, 0),  REGEXEXTRACT(C5136, ""🏘️ \w+ \w+ (.*) ✅""))))"),"#N/A")</f>
        <v>#N/A</v>
      </c>
      <c r="I5136" s="4" t="str">
        <f>IFERROR(__xludf.DUMMYFUNCTION("if(D5136=""variant"",  substitute(filter(Templates!E:E, Templates!A:A = F5136, Templates!B:B = G5136, Templates!C:C = H5136), ""{{}}"", E5136), B5136)"),"Louer appartement Blignou (Ayent): Trouvez le bien immobilier qui correspond idéalement à vos désirs sur ImmoScout24 - La plateforme de l'immobilier en Suisse.")</f>
        <v>Louer appartement Blignou (Ayent): Trouvez le bien immobilier qui correspond idéalement à vos désirs sur ImmoScout24 - La plateforme de l'immobilier en Suisse.</v>
      </c>
    </row>
    <row r="5137" hidden="1">
      <c r="A5137" s="5" t="s">
        <v>13371</v>
      </c>
      <c r="B5137" s="2" t="s">
        <v>13372</v>
      </c>
      <c r="C5137" s="2" t="s">
        <v>13372</v>
      </c>
      <c r="D5137" s="4" t="str">
        <f>vlookup(A5137, Sheet2!D:E, 2, 0)</f>
        <v>control</v>
      </c>
      <c r="E5137" s="4" t="str">
        <f>IFERROR(__xludf.DUMMYFUNCTION("if(H5137=""pays"",vlookup(REGEXEXTRACT(C5137, ""🏘️ \w+ \w+ (.*) ✅""),'Country prepositions'!A:B, 2, 0) &amp; "" "" &amp; REGEXEXTRACT(C5137, ""🏘️ \w+ \w+ (.*) ✅"") ,  if(H5137=""quartier"",vlookup(REGEXEXTRACT(C5137, ""🏘️ \w+ \w+ (.*) ✅""),'Quartier prepositio"&amp;"ns'!A:E, 5, 0) ,  if(H5137=""region"",vlookup(REGEXEXTRACT(C5137, ""🏘️ \w+ \w+ (.*) ✅""),'Region prepositions'!B:F, 5, 0),  REGEXEXTRACT(C5137, ""🏘️ \w+ \w+ (.*) ✅""))))"),"#N/A")</f>
        <v>#N/A</v>
      </c>
      <c r="I5137" s="4" t="str">
        <f>IFERROR(__xludf.DUMMYFUNCTION("if(D5137=""variant"",  substitute(filter(Templates!E:E, Templates!A:A = F5137, Templates!B:B = G5137, Templates!C:C = H5137), ""{{}}"", E5137), B5137)"),"Vendre maison Sâles (Gruyère): Trouvez le bien immobilier qui correspond idéalement à vos désirs sur ImmoScout24 - La plateforme de l'immobilier en Suisse.")</f>
        <v>Vendre maison Sâles (Gruyère): Trouvez le bien immobilier qui correspond idéalement à vos désirs sur ImmoScout24 - La plateforme de l'immobilier en Suisse.</v>
      </c>
    </row>
    <row r="5138" hidden="1">
      <c r="A5138" s="5" t="s">
        <v>13373</v>
      </c>
      <c r="B5138" s="2" t="s">
        <v>13374</v>
      </c>
      <c r="C5138" s="2" t="s">
        <v>13374</v>
      </c>
      <c r="D5138" s="4" t="str">
        <f>vlookup(A5138, Sheet2!D:E, 2, 0)</f>
        <v>control</v>
      </c>
      <c r="E5138" s="4" t="str">
        <f>IFERROR(__xludf.DUMMYFUNCTION("if(H5138=""pays"",vlookup(REGEXEXTRACT(C5138, ""🏘️ \w+ \w+ (.*) ✅""),'Country prepositions'!A:B, 2, 0) &amp; "" "" &amp; REGEXEXTRACT(C5138, ""🏘️ \w+ \w+ (.*) ✅"") ,  if(H5138=""quartier"",vlookup(REGEXEXTRACT(C5138, ""🏘️ \w+ \w+ (.*) ✅""),'Quartier prepositio"&amp;"ns'!A:E, 5, 0) ,  if(H5138=""region"",vlookup(REGEXEXTRACT(C5138, ""🏘️ \w+ \w+ (.*) ✅""),'Region prepositions'!B:F, 5, 0),  REGEXEXTRACT(C5138, ""🏘️ \w+ \w+ (.*) ✅""))))"),"#N/A")</f>
        <v>#N/A</v>
      </c>
      <c r="I5138" s="4" t="str">
        <f>IFERROR(__xludf.DUMMYFUNCTION("if(D5138=""variant"",  substitute(filter(Templates!E:E, Templates!A:A = F5138, Templates!B:B = G5138, Templates!C:C = H5138), ""{{}}"", E5138), B5138)"),"Louer appartement Pontenet: Trouvez le bien immobilier qui correspond idéalement à vos désirs sur ImmoScout24 - La plateforme de l'immobilier en Suisse.")</f>
        <v>Louer appartement Pontenet: Trouvez le bien immobilier qui correspond idéalement à vos désirs sur ImmoScout24 - La plateforme de l'immobilier en Suisse.</v>
      </c>
    </row>
    <row r="5139" hidden="1">
      <c r="A5139" s="5" t="s">
        <v>13375</v>
      </c>
      <c r="B5139" s="2" t="s">
        <v>13376</v>
      </c>
      <c r="C5139" s="2" t="s">
        <v>13376</v>
      </c>
      <c r="D5139" s="4" t="str">
        <f>vlookup(A5139, Sheet2!D:E, 2, 0)</f>
        <v>control</v>
      </c>
      <c r="E5139" s="4" t="str">
        <f>IFERROR(__xludf.DUMMYFUNCTION("if(H5139=""pays"",vlookup(REGEXEXTRACT(C5139, ""🏘️ \w+ \w+ (.*) ✅""),'Country prepositions'!A:B, 2, 0) &amp; "" "" &amp; REGEXEXTRACT(C5139, ""🏘️ \w+ \w+ (.*) ✅"") ,  if(H5139=""quartier"",vlookup(REGEXEXTRACT(C5139, ""🏘️ \w+ \w+ (.*) ✅""),'Quartier prepositio"&amp;"ns'!A:E, 5, 0) ,  if(H5139=""region"",vlookup(REGEXEXTRACT(C5139, ""🏘️ \w+ \w+ (.*) ✅""),'Region prepositions'!B:F, 5, 0),  REGEXEXTRACT(C5139, ""🏘️ \w+ \w+ (.*) ✅""))))"),"#N/A")</f>
        <v>#N/A</v>
      </c>
      <c r="I5139" s="4" t="str">
        <f>IFERROR(__xludf.DUMMYFUNCTION("if(D5139=""variant"",  substitute(filter(Templates!E:E, Templates!A:A = F5139, Templates!B:B = G5139, Templates!C:C = H5139), ""{{}}"", E5139), B5139)"),"Louer appartement Cornol: Trouvez le bien immobilier qui correspond idéalement à vos désirs sur ImmoScout24 - La plateforme de l'immobilier en Suisse.")</f>
        <v>Louer appartement Cornol: Trouvez le bien immobilier qui correspond idéalement à vos désirs sur ImmoScout24 - La plateforme de l'immobilier en Suisse.</v>
      </c>
    </row>
    <row r="5140" hidden="1">
      <c r="A5140" s="5" t="s">
        <v>13377</v>
      </c>
      <c r="B5140" s="2" t="s">
        <v>13378</v>
      </c>
      <c r="C5140" s="2" t="s">
        <v>13378</v>
      </c>
      <c r="D5140" s="4" t="str">
        <f>vlookup(A5140, Sheet2!D:E, 2, 0)</f>
        <v>control</v>
      </c>
      <c r="E5140" s="4" t="str">
        <f>IFERROR(__xludf.DUMMYFUNCTION("if(H5140=""pays"",vlookup(REGEXEXTRACT(C5140, ""🏘️ \w+ \w+ (.*) ✅""),'Country prepositions'!A:B, 2, 0) &amp; "" "" &amp; REGEXEXTRACT(C5140, ""🏘️ \w+ \w+ (.*) ✅"") ,  if(H5140=""quartier"",vlookup(REGEXEXTRACT(C5140, ""🏘️ \w+ \w+ (.*) ✅""),'Quartier prepositio"&amp;"ns'!A:E, 5, 0) ,  if(H5140=""region"",vlookup(REGEXEXTRACT(C5140, ""🏘️ \w+ \w+ (.*) ✅""),'Region prepositions'!B:F, 5, 0),  REGEXEXTRACT(C5140, ""🏘️ \w+ \w+ (.*) ✅""))))"),"#N/A")</f>
        <v>#N/A</v>
      </c>
      <c r="I5140" s="4" t="str">
        <f>IFERROR(__xludf.DUMMYFUNCTION("if(D5140=""variant"",  substitute(filter(Templates!E:E, Templates!A:A = F5140, Templates!B:B = G5140, Templates!C:C = H5140), ""{{}}"", E5140), B5140)"),"Louer appartement Diepoldsau: Trouvez le bien immobilier qui correspond idéalement à vos désirs sur ImmoScout24 - La plateforme de l'immobilier en Suisse.")</f>
        <v>Louer appartement Diepoldsau: Trouvez le bien immobilier qui correspond idéalement à vos désirs sur ImmoScout24 - La plateforme de l'immobilier en Suisse.</v>
      </c>
    </row>
    <row r="5141" hidden="1">
      <c r="A5141" s="5" t="s">
        <v>13379</v>
      </c>
      <c r="B5141" s="2" t="s">
        <v>13380</v>
      </c>
      <c r="C5141" s="2" t="s">
        <v>13380</v>
      </c>
      <c r="D5141" s="4" t="str">
        <f>vlookup(A5141, Sheet2!D:E, 2, 0)</f>
        <v>control</v>
      </c>
      <c r="E5141" s="4" t="str">
        <f>IFERROR(__xludf.DUMMYFUNCTION("if(H5141=""pays"",vlookup(REGEXEXTRACT(C5141, ""🏘️ \w+ \w+ (.*) ✅""),'Country prepositions'!A:B, 2, 0) &amp; "" "" &amp; REGEXEXTRACT(C5141, ""🏘️ \w+ \w+ (.*) ✅"") ,  if(H5141=""quartier"",vlookup(REGEXEXTRACT(C5141, ""🏘️ \w+ \w+ (.*) ✅""),'Quartier prepositio"&amp;"ns'!A:E, 5, 0) ,  if(H5141=""region"",vlookup(REGEXEXTRACT(C5141, ""🏘️ \w+ \w+ (.*) ✅""),'Region prepositions'!B:F, 5, 0),  REGEXEXTRACT(C5141, ""🏘️ \w+ \w+ (.*) ✅""))))"),"#N/A")</f>
        <v>#N/A</v>
      </c>
      <c r="I5141" s="4" t="str">
        <f>IFERROR(__xludf.DUMMYFUNCTION("if(D5141=""variant"",  substitute(filter(Templates!E:E, Templates!A:A = F5141, Templates!B:B = G5141, Templates!C:C = H5141), ""{{}}"", E5141), B5141)"),"Vendre maison Remaufens: Trouvez le bien immobilier qui correspond idéalement à vos désirs sur ImmoScout24 - La plateforme de l'immobilier en Suisse.")</f>
        <v>Vendre maison Remaufens: Trouvez le bien immobilier qui correspond idéalement à vos désirs sur ImmoScout24 - La plateforme de l'immobilier en Suisse.</v>
      </c>
    </row>
    <row r="5142" hidden="1">
      <c r="A5142" s="5" t="s">
        <v>13381</v>
      </c>
      <c r="B5142" s="2" t="s">
        <v>13382</v>
      </c>
      <c r="C5142" s="2" t="s">
        <v>13382</v>
      </c>
      <c r="D5142" s="4" t="str">
        <f>vlookup(A5142, Sheet2!D:E, 2, 0)</f>
        <v>control</v>
      </c>
      <c r="E5142" s="4" t="str">
        <f>IFERROR(__xludf.DUMMYFUNCTION("if(H5142=""pays"",vlookup(REGEXEXTRACT(C5142, ""🏘️ \w+ \w+ (.*) ✅""),'Country prepositions'!A:B, 2, 0) &amp; "" "" &amp; REGEXEXTRACT(C5142, ""🏘️ \w+ \w+ (.*) ✅"") ,  if(H5142=""quartier"",vlookup(REGEXEXTRACT(C5142, ""🏘️ \w+ \w+ (.*) ✅""),'Quartier prepositio"&amp;"ns'!A:E, 5, 0) ,  if(H5142=""region"",vlookup(REGEXEXTRACT(C5142, ""🏘️ \w+ \w+ (.*) ✅""),'Region prepositions'!B:F, 5, 0),  REGEXEXTRACT(C5142, ""🏘️ \w+ \w+ (.*) ✅""))))"),"#N/A")</f>
        <v>#N/A</v>
      </c>
      <c r="I5142" s="4" t="str">
        <f>IFERROR(__xludf.DUMMYFUNCTION("if(D5142=""variant"",  substitute(filter(Templates!E:E, Templates!A:A = F5142, Templates!B:B = G5142, Templates!C:C = H5142), ""{{}}"", E5142), B5142)"),"Louer maison Châtillens: Trouvez le bien immobilier qui correspond idéalement à vos désirs sur ImmoScout24 - La plateforme de l'immobilier en Suisse.")</f>
        <v>Louer maison Châtillens: Trouvez le bien immobilier qui correspond idéalement à vos désirs sur ImmoScout24 - La plateforme de l'immobilier en Suisse.</v>
      </c>
    </row>
    <row r="5143" hidden="1">
      <c r="A5143" s="5" t="s">
        <v>13383</v>
      </c>
      <c r="B5143" s="2" t="s">
        <v>13384</v>
      </c>
      <c r="C5143" s="2" t="s">
        <v>13384</v>
      </c>
      <c r="D5143" s="4" t="str">
        <f>vlookup(A5143, Sheet2!D:E, 2, 0)</f>
        <v>control</v>
      </c>
      <c r="E5143" s="4" t="str">
        <f>IFERROR(__xludf.DUMMYFUNCTION("if(H5143=""pays"",vlookup(REGEXEXTRACT(C5143, ""🏘️ \w+ \w+ (.*) ✅""),'Country prepositions'!A:B, 2, 0) &amp; "" "" &amp; REGEXEXTRACT(C5143, ""🏘️ \w+ \w+ (.*) ✅"") ,  if(H5143=""quartier"",vlookup(REGEXEXTRACT(C5143, ""🏘️ \w+ \w+ (.*) ✅""),'Quartier prepositio"&amp;"ns'!A:E, 5, 0) ,  if(H5143=""region"",vlookup(REGEXEXTRACT(C5143, ""🏘️ \w+ \w+ (.*) ✅""),'Region prepositions'!B:F, 5, 0),  REGEXEXTRACT(C5143, ""🏘️ \w+ \w+ (.*) ✅""))))"),"#N/A")</f>
        <v>#N/A</v>
      </c>
      <c r="I5143" s="4" t="str">
        <f>IFERROR(__xludf.DUMMYFUNCTION("if(D5143=""variant"",  substitute(filter(Templates!E:E, Templates!A:A = F5143, Templates!B:B = G5143, Templates!C:C = H5143), ""{{}}"", E5143), B5143)"),"Vendre maison St-Romain (Ayent): Trouvez le bien immobilier qui correspond idéalement à vos désirs sur ImmoScout24 - La plateforme de l'immobilier en Suisse.")</f>
        <v>Vendre maison St-Romain (Ayent): Trouvez le bien immobilier qui correspond idéalement à vos désirs sur ImmoScout24 - La plateforme de l'immobilier en Suisse.</v>
      </c>
    </row>
    <row r="5144" hidden="1">
      <c r="A5144" s="5" t="s">
        <v>13385</v>
      </c>
      <c r="B5144" s="2" t="s">
        <v>13386</v>
      </c>
      <c r="C5144" s="2" t="s">
        <v>13386</v>
      </c>
      <c r="D5144" s="4" t="str">
        <f>vlookup(A5144, Sheet2!D:E, 2, 0)</f>
        <v>control</v>
      </c>
      <c r="E5144" s="4" t="str">
        <f>IFERROR(__xludf.DUMMYFUNCTION("if(H5144=""pays"",vlookup(REGEXEXTRACT(C5144, ""🏘️ \w+ \w+ (.*) ✅""),'Country prepositions'!A:B, 2, 0) &amp; "" "" &amp; REGEXEXTRACT(C5144, ""🏘️ \w+ \w+ (.*) ✅"") ,  if(H5144=""quartier"",vlookup(REGEXEXTRACT(C5144, ""🏘️ \w+ \w+ (.*) ✅""),'Quartier prepositio"&amp;"ns'!A:E, 5, 0) ,  if(H5144=""region"",vlookup(REGEXEXTRACT(C5144, ""🏘️ \w+ \w+ (.*) ✅""),'Region prepositions'!B:F, 5, 0),  REGEXEXTRACT(C5144, ""🏘️ \w+ \w+ (.*) ✅""))))"),"#N/A")</f>
        <v>#N/A</v>
      </c>
      <c r="I5144" s="4" t="str">
        <f>IFERROR(__xludf.DUMMYFUNCTION("if(D5144=""variant"",  substitute(filter(Templates!E:E, Templates!A:A = F5144, Templates!B:B = G5144, Templates!C:C = H5144), ""{{}}"", E5144), B5144)"),"Vendre appartement Eich: Trouvez le bien immobilier qui correspond idéalement à vos désirs sur ImmoScout24 - La plateforme de l'immobilier en Suisse.")</f>
        <v>Vendre appartement Eich: Trouvez le bien immobilier qui correspond idéalement à vos désirs sur ImmoScout24 - La plateforme de l'immobilier en Suisse.</v>
      </c>
    </row>
    <row r="5145" hidden="1">
      <c r="A5145" s="5" t="s">
        <v>13387</v>
      </c>
      <c r="B5145" s="2" t="s">
        <v>13388</v>
      </c>
      <c r="C5145" s="2" t="s">
        <v>13388</v>
      </c>
      <c r="D5145" s="4" t="str">
        <f>vlookup(A5145, Sheet2!D:E, 2, 0)</f>
        <v>control</v>
      </c>
      <c r="E5145" s="4" t="str">
        <f>IFERROR(__xludf.DUMMYFUNCTION("if(H5145=""pays"",vlookup(REGEXEXTRACT(C5145, ""🏘️ \w+ \w+ (.*) ✅""),'Country prepositions'!A:B, 2, 0) &amp; "" "" &amp; REGEXEXTRACT(C5145, ""🏘️ \w+ \w+ (.*) ✅"") ,  if(H5145=""quartier"",vlookup(REGEXEXTRACT(C5145, ""🏘️ \w+ \w+ (.*) ✅""),'Quartier prepositio"&amp;"ns'!A:E, 5, 0) ,  if(H5145=""region"",vlookup(REGEXEXTRACT(C5145, ""🏘️ \w+ \w+ (.*) ✅""),'Region prepositions'!B:F, 5, 0),  REGEXEXTRACT(C5145, ""🏘️ \w+ \w+ (.*) ✅""))))"),"#N/A")</f>
        <v>#N/A</v>
      </c>
      <c r="I5145" s="4" t="str">
        <f>IFERROR(__xludf.DUMMYFUNCTION("if(D5145=""variant"",  substitute(filter(Templates!E:E, Templates!A:A = F5145, Templates!B:B = G5145, Templates!C:C = H5145), ""{{}}"", E5145), B5145)"),"Louer appartement Anières: Trouvez le bien immobilier qui correspond idéalement à vos désirs sur ImmoScout24 - La plateforme de l'immobilier en Suisse.")</f>
        <v>Louer appartement Anières: Trouvez le bien immobilier qui correspond idéalement à vos désirs sur ImmoScout24 - La plateforme de l'immobilier en Suisse.</v>
      </c>
    </row>
    <row r="5146" hidden="1">
      <c r="A5146" s="5" t="s">
        <v>13389</v>
      </c>
      <c r="B5146" s="2" t="s">
        <v>13390</v>
      </c>
      <c r="C5146" s="2" t="s">
        <v>13390</v>
      </c>
      <c r="D5146" s="4" t="str">
        <f>vlookup(A5146, Sheet2!D:E, 2, 0)</f>
        <v>control</v>
      </c>
      <c r="E5146" s="4" t="str">
        <f>IFERROR(__xludf.DUMMYFUNCTION("if(H5146=""pays"",vlookup(REGEXEXTRACT(C5146, ""🏘️ \w+ \w+ (.*) ✅""),'Country prepositions'!A:B, 2, 0) &amp; "" "" &amp; REGEXEXTRACT(C5146, ""🏘️ \w+ \w+ (.*) ✅"") ,  if(H5146=""quartier"",vlookup(REGEXEXTRACT(C5146, ""🏘️ \w+ \w+ (.*) ✅""),'Quartier prepositio"&amp;"ns'!A:E, 5, 0) ,  if(H5146=""region"",vlookup(REGEXEXTRACT(C5146, ""🏘️ \w+ \w+ (.*) ✅""),'Region prepositions'!B:F, 5, 0),  REGEXEXTRACT(C5146, ""🏘️ \w+ \w+ (.*) ✅""))))"),"#N/A")</f>
        <v>#N/A</v>
      </c>
      <c r="I5146" s="4" t="str">
        <f>IFERROR(__xludf.DUMMYFUNCTION("if(D5146=""variant"",  substitute(filter(Templates!E:E, Templates!A:A = F5146, Templates!B:B = G5146, Templates!C:C = H5146), ""{{}}"", E5146), B5146)"),"Vendre appartement Orsières: Trouvez le bien immobilier qui correspond idéalement à vos désirs sur ImmoScout24 - La plateforme de l'immobilier en Suisse.")</f>
        <v>Vendre appartement Orsières: Trouvez le bien immobilier qui correspond idéalement à vos désirs sur ImmoScout24 - La plateforme de l'immobilier en Suisse.</v>
      </c>
    </row>
    <row r="5147" hidden="1">
      <c r="A5147" s="5" t="s">
        <v>13391</v>
      </c>
      <c r="B5147" s="2" t="s">
        <v>13392</v>
      </c>
      <c r="C5147" s="2" t="s">
        <v>13392</v>
      </c>
      <c r="D5147" s="4" t="str">
        <f>vlookup(A5147, Sheet2!D:E, 2, 0)</f>
        <v>control</v>
      </c>
      <c r="E5147" s="4" t="str">
        <f>IFERROR(__xludf.DUMMYFUNCTION("if(H5147=""pays"",vlookup(REGEXEXTRACT(C5147, ""🏘️ \w+ \w+ (.*) ✅""),'Country prepositions'!A:B, 2, 0) &amp; "" "" &amp; REGEXEXTRACT(C5147, ""🏘️ \w+ \w+ (.*) ✅"") ,  if(H5147=""quartier"",vlookup(REGEXEXTRACT(C5147, ""🏘️ \w+ \w+ (.*) ✅""),'Quartier prepositio"&amp;"ns'!A:E, 5, 0) ,  if(H5147=""region"",vlookup(REGEXEXTRACT(C5147, ""🏘️ \w+ \w+ (.*) ✅""),'Region prepositions'!B:F, 5, 0),  REGEXEXTRACT(C5147, ""🏘️ \w+ \w+ (.*) ✅""))))"),"#N/A")</f>
        <v>#N/A</v>
      </c>
      <c r="I5147" s="4" t="str">
        <f>IFERROR(__xludf.DUMMYFUNCTION("if(D5147=""variant"",  substitute(filter(Templates!E:E, Templates!A:A = F5147, Templates!B:B = G5147, Templates!C:C = H5147), ""{{}}"", E5147), B5147)"),"Vendre maison Jens: Trouvez le bien immobilier qui correspond idéalement à vos désirs sur ImmoScout24 - La plateforme de l'immobilier en Suisse.")</f>
        <v>Vendre maison Jens: Trouvez le bien immobilier qui correspond idéalement à vos désirs sur ImmoScout24 - La plateforme de l'immobilier en Suisse.</v>
      </c>
    </row>
    <row r="5148" hidden="1">
      <c r="A5148" s="5" t="s">
        <v>13393</v>
      </c>
      <c r="B5148" s="2" t="s">
        <v>13394</v>
      </c>
      <c r="C5148" s="2" t="s">
        <v>13394</v>
      </c>
      <c r="D5148" s="4" t="str">
        <f>vlookup(A5148, Sheet2!D:E, 2, 0)</f>
        <v>control</v>
      </c>
      <c r="E5148" s="4" t="str">
        <f>IFERROR(__xludf.DUMMYFUNCTION("if(H5148=""pays"",vlookup(REGEXEXTRACT(C5148, ""🏘️ \w+ \w+ (.*) ✅""),'Country prepositions'!A:B, 2, 0) &amp; "" "" &amp; REGEXEXTRACT(C5148, ""🏘️ \w+ \w+ (.*) ✅"") ,  if(H5148=""quartier"",vlookup(REGEXEXTRACT(C5148, ""🏘️ \w+ \w+ (.*) ✅""),'Quartier prepositio"&amp;"ns'!A:E, 5, 0) ,  if(H5148=""region"",vlookup(REGEXEXTRACT(C5148, ""🏘️ \w+ \w+ (.*) ✅""),'Region prepositions'!B:F, 5, 0),  REGEXEXTRACT(C5148, ""🏘️ \w+ \w+ (.*) ✅""))))"),"#N/A")</f>
        <v>#N/A</v>
      </c>
      <c r="I5148" s="4" t="str">
        <f>IFERROR(__xludf.DUMMYFUNCTION("if(D5148=""variant"",  substitute(filter(Templates!E:E, Templates!A:A = F5148, Templates!B:B = G5148, Templates!C:C = H5148), ""{{}}"", E5148), B5148)"),"Vendre appartement Gilly: Trouvez le bien immobilier qui correspond idéalement à vos désirs sur ImmoScout24 - La plateforme de l'immobilier en Suisse.")</f>
        <v>Vendre appartement Gilly: Trouvez le bien immobilier qui correspond idéalement à vos désirs sur ImmoScout24 - La plateforme de l'immobilier en Suisse.</v>
      </c>
    </row>
    <row r="5149" hidden="1">
      <c r="A5149" s="5" t="s">
        <v>13395</v>
      </c>
      <c r="B5149" s="2" t="s">
        <v>13396</v>
      </c>
      <c r="C5149" s="2" t="s">
        <v>13396</v>
      </c>
      <c r="D5149" s="4" t="str">
        <f>vlookup(A5149, Sheet2!D:E, 2, 0)</f>
        <v>control</v>
      </c>
      <c r="E5149" s="4" t="str">
        <f>IFERROR(__xludf.DUMMYFUNCTION("if(H5149=""pays"",vlookup(REGEXEXTRACT(C5149, ""🏘️ \w+ \w+ (.*) ✅""),'Country prepositions'!A:B, 2, 0) &amp; "" "" &amp; REGEXEXTRACT(C5149, ""🏘️ \w+ \w+ (.*) ✅"") ,  if(H5149=""quartier"",vlookup(REGEXEXTRACT(C5149, ""🏘️ \w+ \w+ (.*) ✅""),'Quartier prepositio"&amp;"ns'!A:E, 5, 0) ,  if(H5149=""region"",vlookup(REGEXEXTRACT(C5149, ""🏘️ \w+ \w+ (.*) ✅""),'Region prepositions'!B:F, 5, 0),  REGEXEXTRACT(C5149, ""🏘️ \w+ \w+ (.*) ✅""))))"),"#N/A")</f>
        <v>#N/A</v>
      </c>
      <c r="I5149" s="4" t="str">
        <f>IFERROR(__xludf.DUMMYFUNCTION("if(D5149=""variant"",  substitute(filter(Templates!E:E, Templates!A:A = F5149, Templates!B:B = G5149, Templates!C:C = H5149), ""{{}}"", E5149), B5149)"),"Louer appartement Mont-Tramelan: Trouvez le bien immobilier qui correspond idéalement à vos désirs sur ImmoScout24 - La plateforme de l'immobilier en Suisse.")</f>
        <v>Louer appartement Mont-Tramelan: Trouvez le bien immobilier qui correspond idéalement à vos désirs sur ImmoScout24 - La plateforme de l'immobilier en Suisse.</v>
      </c>
    </row>
    <row r="5150" hidden="1">
      <c r="A5150" s="5" t="s">
        <v>13397</v>
      </c>
      <c r="B5150" s="2" t="s">
        <v>13398</v>
      </c>
      <c r="C5150" s="2" t="s">
        <v>13398</v>
      </c>
      <c r="D5150" s="4" t="str">
        <f>vlookup(A5150, Sheet2!D:E, 2, 0)</f>
        <v>control</v>
      </c>
      <c r="E5150" s="4" t="str">
        <f>IFERROR(__xludf.DUMMYFUNCTION("if(H5150=""pays"",vlookup(REGEXEXTRACT(C5150, ""🏘️ \w+ \w+ (.*) ✅""),'Country prepositions'!A:B, 2, 0) &amp; "" "" &amp; REGEXEXTRACT(C5150, ""🏘️ \w+ \w+ (.*) ✅"") ,  if(H5150=""quartier"",vlookup(REGEXEXTRACT(C5150, ""🏘️ \w+ \w+ (.*) ✅""),'Quartier prepositio"&amp;"ns'!A:E, 5, 0) ,  if(H5150=""region"",vlookup(REGEXEXTRACT(C5150, ""🏘️ \w+ \w+ (.*) ✅""),'Region prepositions'!B:F, 5, 0),  REGEXEXTRACT(C5150, ""🏘️ \w+ \w+ (.*) ✅""))))"),"#N/A")</f>
        <v>#N/A</v>
      </c>
      <c r="I5150" s="4" t="str">
        <f>IFERROR(__xludf.DUMMYFUNCTION("if(D5150=""variant"",  substitute(filter(Templates!E:E, Templates!A:A = F5150, Templates!B:B = G5150, Templates!C:C = H5150), ""{{}}"", E5150), B5150)"),"Vendre maison Panex: Trouvez le bien immobilier qui correspond idéalement à vos désirs sur ImmoScout24 - La plateforme de l'immobilier en Suisse.")</f>
        <v>Vendre maison Panex: Trouvez le bien immobilier qui correspond idéalement à vos désirs sur ImmoScout24 - La plateforme de l'immobilier en Suisse.</v>
      </c>
    </row>
    <row r="5151" hidden="1">
      <c r="A5151" s="5" t="s">
        <v>13399</v>
      </c>
      <c r="B5151" s="2" t="s">
        <v>13400</v>
      </c>
      <c r="C5151" s="2" t="s">
        <v>13400</v>
      </c>
      <c r="D5151" s="4" t="str">
        <f>vlookup(A5151, Sheet2!D:E, 2, 0)</f>
        <v>control</v>
      </c>
      <c r="E5151" s="4" t="str">
        <f>IFERROR(__xludf.DUMMYFUNCTION("if(H5151=""pays"",vlookup(REGEXEXTRACT(C5151, ""🏘️ \w+ \w+ (.*) ✅""),'Country prepositions'!A:B, 2, 0) &amp; "" "" &amp; REGEXEXTRACT(C5151, ""🏘️ \w+ \w+ (.*) ✅"") ,  if(H5151=""quartier"",vlookup(REGEXEXTRACT(C5151, ""🏘️ \w+ \w+ (.*) ✅""),'Quartier prepositio"&amp;"ns'!A:E, 5, 0) ,  if(H5151=""region"",vlookup(REGEXEXTRACT(C5151, ""🏘️ \w+ \w+ (.*) ✅""),'Region prepositions'!B:F, 5, 0),  REGEXEXTRACT(C5151, ""🏘️ \w+ \w+ (.*) ✅""))))"),"#N/A")</f>
        <v>#N/A</v>
      </c>
      <c r="I5151" s="4" t="str">
        <f>IFERROR(__xludf.DUMMYFUNCTION("if(D5151=""variant"",  substitute(filter(Templates!E:E, Templates!A:A = F5151, Templates!B:B = G5151, Templates!C:C = H5151), ""{{}}"", E5151), B5151)"),"Vendre maison Epauvillers: Trouvez le bien immobilier qui correspond idéalement à vos désirs sur ImmoScout24 - La plateforme de l'immobilier en Suisse.")</f>
        <v>Vendre maison Epauvillers: Trouvez le bien immobilier qui correspond idéalement à vos désirs sur ImmoScout24 - La plateforme de l'immobilier en Suisse.</v>
      </c>
    </row>
    <row r="5152" hidden="1">
      <c r="A5152" s="5" t="s">
        <v>13401</v>
      </c>
      <c r="B5152" s="2" t="s">
        <v>13402</v>
      </c>
      <c r="C5152" s="2" t="s">
        <v>13402</v>
      </c>
      <c r="D5152" s="4" t="str">
        <f>vlookup(A5152, Sheet2!D:E, 2, 0)</f>
        <v>control</v>
      </c>
      <c r="E5152" s="4" t="str">
        <f>IFERROR(__xludf.DUMMYFUNCTION("if(H5152=""pays"",vlookup(REGEXEXTRACT(C5152, ""🏘️ \w+ \w+ (.*) ✅""),'Country prepositions'!A:B, 2, 0) &amp; "" "" &amp; REGEXEXTRACT(C5152, ""🏘️ \w+ \w+ (.*) ✅"") ,  if(H5152=""quartier"",vlookup(REGEXEXTRACT(C5152, ""🏘️ \w+ \w+ (.*) ✅""),'Quartier prepositio"&amp;"ns'!A:E, 5, 0) ,  if(H5152=""region"",vlookup(REGEXEXTRACT(C5152, ""🏘️ \w+ \w+ (.*) ✅""),'Region prepositions'!B:F, 5, 0),  REGEXEXTRACT(C5152, ""🏘️ \w+ \w+ (.*) ✅""))))"),"#N/A")</f>
        <v>#N/A</v>
      </c>
      <c r="I5152" s="4" t="str">
        <f>IFERROR(__xludf.DUMMYFUNCTION("if(D5152=""variant"",  substitute(filter(Templates!E:E, Templates!A:A = F5152, Templates!B:B = G5152, Templates!C:C = H5152), ""{{}}"", E5152), B5152)"),"Vendre maison Schaffhausen: Trouvez le bien immobilier qui correspond idéalement à vos désirs sur ImmoScout24 - La plateforme de l'immobilier en Suisse.")</f>
        <v>Vendre maison Schaffhausen: Trouvez le bien immobilier qui correspond idéalement à vos désirs sur ImmoScout24 - La plateforme de l'immobilier en Suisse.</v>
      </c>
    </row>
    <row r="5153" hidden="1">
      <c r="A5153" s="5" t="s">
        <v>13403</v>
      </c>
      <c r="B5153" s="2" t="s">
        <v>13404</v>
      </c>
      <c r="C5153" s="2" t="s">
        <v>13404</v>
      </c>
      <c r="D5153" s="4" t="str">
        <f>vlookup(A5153, Sheet2!D:E, 2, 0)</f>
        <v>control</v>
      </c>
      <c r="E5153" s="4" t="str">
        <f>IFERROR(__xludf.DUMMYFUNCTION("if(H5153=""pays"",vlookup(REGEXEXTRACT(C5153, ""🏘️ \w+ \w+ (.*) ✅""),'Country prepositions'!A:B, 2, 0) &amp; "" "" &amp; REGEXEXTRACT(C5153, ""🏘️ \w+ \w+ (.*) ✅"") ,  if(H5153=""quartier"",vlookup(REGEXEXTRACT(C5153, ""🏘️ \w+ \w+ (.*) ✅""),'Quartier prepositio"&amp;"ns'!A:E, 5, 0) ,  if(H5153=""region"",vlookup(REGEXEXTRACT(C5153, ""🏘️ \w+ \w+ (.*) ✅""),'Region prepositions'!B:F, 5, 0),  REGEXEXTRACT(C5153, ""🏘️ \w+ \w+ (.*) ✅""))))"),"#N/A")</f>
        <v>#N/A</v>
      </c>
      <c r="I5153" s="4" t="str">
        <f>IFERROR(__xludf.DUMMYFUNCTION("if(D5153=""variant"",  substitute(filter(Templates!E:E, Templates!A:A = F5153, Templates!B:B = G5153, Templates!C:C = H5153), ""{{}}"", E5153), B5153)"),"Louer maison La Cure: Trouvez le bien immobilier qui correspond idéalement à vos désirs sur ImmoScout24 - La plateforme de l'immobilier en Suisse.")</f>
        <v>Louer maison La Cure: Trouvez le bien immobilier qui correspond idéalement à vos désirs sur ImmoScout24 - La plateforme de l'immobilier en Suisse.</v>
      </c>
    </row>
    <row r="5154" hidden="1">
      <c r="A5154" s="5" t="s">
        <v>13405</v>
      </c>
      <c r="B5154" s="2" t="s">
        <v>13406</v>
      </c>
      <c r="C5154" s="2" t="s">
        <v>13406</v>
      </c>
      <c r="D5154" s="4" t="str">
        <f>vlookup(A5154, Sheet2!D:E, 2, 0)</f>
        <v>control</v>
      </c>
      <c r="E5154" s="4" t="str">
        <f>IFERROR(__xludf.DUMMYFUNCTION("if(H5154=""pays"",vlookup(REGEXEXTRACT(C5154, ""🏘️ \w+ \w+ (.*) ✅""),'Country prepositions'!A:B, 2, 0) &amp; "" "" &amp; REGEXEXTRACT(C5154, ""🏘️ \w+ \w+ (.*) ✅"") ,  if(H5154=""quartier"",vlookup(REGEXEXTRACT(C5154, ""🏘️ \w+ \w+ (.*) ✅""),'Quartier prepositio"&amp;"ns'!A:E, 5, 0) ,  if(H5154=""region"",vlookup(REGEXEXTRACT(C5154, ""🏘️ \w+ \w+ (.*) ✅""),'Region prepositions'!B:F, 5, 0),  REGEXEXTRACT(C5154, ""🏘️ \w+ \w+ (.*) ✅""))))"),"#N/A")</f>
        <v>#N/A</v>
      </c>
      <c r="I5154" s="4" t="str">
        <f>IFERROR(__xludf.DUMMYFUNCTION("if(D5154=""variant"",  substitute(filter(Templates!E:E, Templates!A:A = F5154, Templates!B:B = G5154, Templates!C:C = H5154), ""{{}}"", E5154), B5154)"),"Louer appartement Andermatt: Trouvez le bien immobilier qui correspond idéalement à vos désirs sur ImmoScout24 - La plateforme de l'immobilier en Suisse.")</f>
        <v>Louer appartement Andermatt: Trouvez le bien immobilier qui correspond idéalement à vos désirs sur ImmoScout24 - La plateforme de l'immobilier en Suisse.</v>
      </c>
    </row>
    <row r="5155" hidden="1">
      <c r="A5155" s="5" t="s">
        <v>13407</v>
      </c>
      <c r="B5155" s="2" t="s">
        <v>13408</v>
      </c>
      <c r="C5155" s="2" t="s">
        <v>13408</v>
      </c>
      <c r="D5155" s="4" t="str">
        <f>vlookup(A5155, Sheet2!D:E, 2, 0)</f>
        <v>control</v>
      </c>
      <c r="E5155" s="4" t="str">
        <f>IFERROR(__xludf.DUMMYFUNCTION("if(H5155=""pays"",vlookup(REGEXEXTRACT(C5155, ""🏘️ \w+ \w+ (.*) ✅""),'Country prepositions'!A:B, 2, 0) &amp; "" "" &amp; REGEXEXTRACT(C5155, ""🏘️ \w+ \w+ (.*) ✅"") ,  if(H5155=""quartier"",vlookup(REGEXEXTRACT(C5155, ""🏘️ \w+ \w+ (.*) ✅""),'Quartier prepositio"&amp;"ns'!A:E, 5, 0) ,  if(H5155=""region"",vlookup(REGEXEXTRACT(C5155, ""🏘️ \w+ \w+ (.*) ✅""),'Region prepositions'!B:F, 5, 0),  REGEXEXTRACT(C5155, ""🏘️ \w+ \w+ (.*) ✅""))))"),"#N/A")</f>
        <v>#N/A</v>
      </c>
      <c r="I5155" s="4" t="str">
        <f>IFERROR(__xludf.DUMMYFUNCTION("if(D5155=""variant"",  substitute(filter(Templates!E:E, Templates!A:A = F5155, Templates!B:B = G5155, Templates!C:C = H5155), ""{{}}"", E5155), B5155)"),"Vendre appartement Pfäffikon SZ: Trouvez le bien immobilier qui correspond idéalement à vos désirs sur ImmoScout24 - La plateforme de l'immobilier en Suisse.")</f>
        <v>Vendre appartement Pfäffikon SZ: Trouvez le bien immobilier qui correspond idéalement à vos désirs sur ImmoScout24 - La plateforme de l'immobilier en Suisse.</v>
      </c>
    </row>
    <row r="5156" hidden="1">
      <c r="A5156" s="5" t="s">
        <v>13409</v>
      </c>
      <c r="B5156" s="2" t="s">
        <v>13410</v>
      </c>
      <c r="C5156" s="2" t="s">
        <v>13410</v>
      </c>
      <c r="D5156" s="4" t="str">
        <f>vlookup(A5156, Sheet2!D:E, 2, 0)</f>
        <v>control</v>
      </c>
      <c r="E5156" s="4" t="str">
        <f>IFERROR(__xludf.DUMMYFUNCTION("if(H5156=""pays"",vlookup(REGEXEXTRACT(C5156, ""🏘️ \w+ \w+ (.*) ✅""),'Country prepositions'!A:B, 2, 0) &amp; "" "" &amp; REGEXEXTRACT(C5156, ""🏘️ \w+ \w+ (.*) ✅"") ,  if(H5156=""quartier"",vlookup(REGEXEXTRACT(C5156, ""🏘️ \w+ \w+ (.*) ✅""),'Quartier prepositio"&amp;"ns'!A:E, 5, 0) ,  if(H5156=""region"",vlookup(REGEXEXTRACT(C5156, ""🏘️ \w+ \w+ (.*) ✅""),'Region prepositions'!B:F, 5, 0),  REGEXEXTRACT(C5156, ""🏘️ \w+ \w+ (.*) ✅""))))"),"#N/A")</f>
        <v>#N/A</v>
      </c>
      <c r="I5156" s="4" t="str">
        <f>IFERROR(__xludf.DUMMYFUNCTION("if(D5156=""variant"",  substitute(filter(Templates!E:E, Templates!A:A = F5156, Templates!B:B = G5156, Templates!C:C = H5156), ""{{}}"", E5156), B5156)"),"Vendre maison Cureglia: Trouvez le bien immobilier qui correspond idéalement à vos désirs sur ImmoScout24 - La plateforme de l'immobilier en Suisse.")</f>
        <v>Vendre maison Cureglia: Trouvez le bien immobilier qui correspond idéalement à vos désirs sur ImmoScout24 - La plateforme de l'immobilier en Suisse.</v>
      </c>
    </row>
    <row r="5157" hidden="1">
      <c r="A5157" s="5" t="s">
        <v>13411</v>
      </c>
      <c r="B5157" s="2" t="s">
        <v>13412</v>
      </c>
      <c r="C5157" s="2" t="s">
        <v>13412</v>
      </c>
      <c r="D5157" s="4" t="str">
        <f>vlookup(A5157, Sheet2!D:E, 2, 0)</f>
        <v>control</v>
      </c>
      <c r="E5157" s="4" t="str">
        <f>IFERROR(__xludf.DUMMYFUNCTION("if(H5157=""pays"",vlookup(REGEXEXTRACT(C5157, ""🏘️ \w+ \w+ (.*) ✅""),'Country prepositions'!A:B, 2, 0) &amp; "" "" &amp; REGEXEXTRACT(C5157, ""🏘️ \w+ \w+ (.*) ✅"") ,  if(H5157=""quartier"",vlookup(REGEXEXTRACT(C5157, ""🏘️ \w+ \w+ (.*) ✅""),'Quartier prepositio"&amp;"ns'!A:E, 5, 0) ,  if(H5157=""region"",vlookup(REGEXEXTRACT(C5157, ""🏘️ \w+ \w+ (.*) ✅""),'Region prepositions'!B:F, 5, 0),  REGEXEXTRACT(C5157, ""🏘️ \w+ \w+ (.*) ✅""))))"),"#N/A")</f>
        <v>#N/A</v>
      </c>
      <c r="I5157" s="4" t="str">
        <f>IFERROR(__xludf.DUMMYFUNCTION("if(D5157=""variant"",  substitute(filter(Templates!E:E, Templates!A:A = F5157, Templates!B:B = G5157, Templates!C:C = H5157), ""{{}}"", E5157), B5157)"),"Vendre maison Laconnex: Trouvez le bien immobilier qui correspond idéalement à vos désirs sur ImmoScout24 - La plateforme de l'immobilier en Suisse.")</f>
        <v>Vendre maison Laconnex: Trouvez le bien immobilier qui correspond idéalement à vos désirs sur ImmoScout24 - La plateforme de l'immobilier en Suisse.</v>
      </c>
    </row>
    <row r="5158" hidden="1">
      <c r="A5158" s="5" t="s">
        <v>13413</v>
      </c>
      <c r="B5158" s="2" t="s">
        <v>13414</v>
      </c>
      <c r="C5158" s="2" t="s">
        <v>13414</v>
      </c>
      <c r="D5158" s="4" t="str">
        <f>vlookup(A5158, Sheet2!D:E, 2, 0)</f>
        <v>control</v>
      </c>
      <c r="E5158" s="4" t="str">
        <f>IFERROR(__xludf.DUMMYFUNCTION("if(H5158=""pays"",vlookup(REGEXEXTRACT(C5158, ""🏘️ \w+ \w+ (.*) ✅""),'Country prepositions'!A:B, 2, 0) &amp; "" "" &amp; REGEXEXTRACT(C5158, ""🏘️ \w+ \w+ (.*) ✅"") ,  if(H5158=""quartier"",vlookup(REGEXEXTRACT(C5158, ""🏘️ \w+ \w+ (.*) ✅""),'Quartier prepositio"&amp;"ns'!A:E, 5, 0) ,  if(H5158=""region"",vlookup(REGEXEXTRACT(C5158, ""🏘️ \w+ \w+ (.*) ✅""),'Region prepositions'!B:F, 5, 0),  REGEXEXTRACT(C5158, ""🏘️ \w+ \w+ (.*) ✅""))))"),"#N/A")</f>
        <v>#N/A</v>
      </c>
      <c r="I5158" s="4" t="str">
        <f>IFERROR(__xludf.DUMMYFUNCTION("if(D5158=""variant"",  substitute(filter(Templates!E:E, Templates!A:A = F5158, Templates!B:B = G5158, Templates!C:C = H5158), ""{{}}"", E5158), B5158)"),"Vendre maison Signy: Trouvez le bien immobilier qui correspond idéalement à vos désirs sur ImmoScout24 - La plateforme de l'immobilier en Suisse.")</f>
        <v>Vendre maison Signy: Trouvez le bien immobilier qui correspond idéalement à vos désirs sur ImmoScout24 - La plateforme de l'immobilier en Suisse.</v>
      </c>
    </row>
    <row r="5159" hidden="1">
      <c r="A5159" s="5" t="s">
        <v>13415</v>
      </c>
      <c r="B5159" s="2" t="s">
        <v>13416</v>
      </c>
      <c r="C5159" s="2" t="s">
        <v>13416</v>
      </c>
      <c r="D5159" s="4" t="str">
        <f>vlookup(A5159, Sheet2!D:E, 2, 0)</f>
        <v>control</v>
      </c>
      <c r="E5159" s="4" t="str">
        <f>IFERROR(__xludf.DUMMYFUNCTION("if(H5159=""pays"",vlookup(REGEXEXTRACT(C5159, ""🏘️ \w+ \w+ (.*) ✅""),'Country prepositions'!A:B, 2, 0) &amp; "" "" &amp; REGEXEXTRACT(C5159, ""🏘️ \w+ \w+ (.*) ✅"") ,  if(H5159=""quartier"",vlookup(REGEXEXTRACT(C5159, ""🏘️ \w+ \w+ (.*) ✅""),'Quartier prepositio"&amp;"ns'!A:E, 5, 0) ,  if(H5159=""region"",vlookup(REGEXEXTRACT(C5159, ""🏘️ \w+ \w+ (.*) ✅""),'Region prepositions'!B:F, 5, 0),  REGEXEXTRACT(C5159, ""🏘️ \w+ \w+ (.*) ✅""))))"),"#N/A")</f>
        <v>#N/A</v>
      </c>
      <c r="I5159" s="4" t="str">
        <f>IFERROR(__xludf.DUMMYFUNCTION("if(D5159=""variant"",  substitute(filter(Templates!E:E, Templates!A:A = F5159, Templates!B:B = G5159, Templates!C:C = H5159), ""{{}}"", E5159), B5159)"),"Louer appartement Rovray: Trouvez le bien immobilier qui correspond idéalement à vos désirs sur ImmoScout24 - La plateforme de l'immobilier en Suisse.")</f>
        <v>Louer appartement Rovray: Trouvez le bien immobilier qui correspond idéalement à vos désirs sur ImmoScout24 - La plateforme de l'immobilier en Suisse.</v>
      </c>
    </row>
    <row r="5160" hidden="1">
      <c r="A5160" s="5" t="s">
        <v>13417</v>
      </c>
      <c r="B5160" s="2" t="s">
        <v>13418</v>
      </c>
      <c r="C5160" s="2" t="s">
        <v>13418</v>
      </c>
      <c r="D5160" s="4" t="str">
        <f>vlookup(A5160, Sheet2!D:E, 2, 0)</f>
        <v>control</v>
      </c>
      <c r="E5160" s="4" t="str">
        <f>IFERROR(__xludf.DUMMYFUNCTION("if(H5160=""pays"",vlookup(REGEXEXTRACT(C5160, ""🏘️ \w+ \w+ (.*) ✅""),'Country prepositions'!A:B, 2, 0) &amp; "" "" &amp; REGEXEXTRACT(C5160, ""🏘️ \w+ \w+ (.*) ✅"") ,  if(H5160=""quartier"",vlookup(REGEXEXTRACT(C5160, ""🏘️ \w+ \w+ (.*) ✅""),'Quartier prepositio"&amp;"ns'!A:E, 5, 0) ,  if(H5160=""region"",vlookup(REGEXEXTRACT(C5160, ""🏘️ \w+ \w+ (.*) ✅""),'Region prepositions'!B:F, 5, 0),  REGEXEXTRACT(C5160, ""🏘️ \w+ \w+ (.*) ✅""))))"),"#N/A")</f>
        <v>#N/A</v>
      </c>
      <c r="I5160" s="4" t="str">
        <f>IFERROR(__xludf.DUMMYFUNCTION("if(D5160=""variant"",  substitute(filter(Templates!E:E, Templates!A:A = F5160, Templates!B:B = G5160, Templates!C:C = H5160), ""{{}}"", E5160), B5160)"),"Vendre maison Ranzo: Trouvez le bien immobilier qui correspond idéalement à vos désirs sur ImmoScout24 - La plateforme de l'immobilier en Suisse.")</f>
        <v>Vendre maison Ranzo: Trouvez le bien immobilier qui correspond idéalement à vos désirs sur ImmoScout24 - La plateforme de l'immobilier en Suisse.</v>
      </c>
    </row>
    <row r="5161" hidden="1">
      <c r="A5161" s="5" t="s">
        <v>13419</v>
      </c>
      <c r="B5161" s="2" t="s">
        <v>13420</v>
      </c>
      <c r="C5161" s="2" t="s">
        <v>13420</v>
      </c>
      <c r="D5161" s="4" t="str">
        <f>vlookup(A5161, Sheet2!D:E, 2, 0)</f>
        <v>control</v>
      </c>
      <c r="E5161" s="4" t="str">
        <f>IFERROR(__xludf.DUMMYFUNCTION("if(H5161=""pays"",vlookup(REGEXEXTRACT(C5161, ""🏘️ \w+ \w+ (.*) ✅""),'Country prepositions'!A:B, 2, 0) &amp; "" "" &amp; REGEXEXTRACT(C5161, ""🏘️ \w+ \w+ (.*) ✅"") ,  if(H5161=""quartier"",vlookup(REGEXEXTRACT(C5161, ""🏘️ \w+ \w+ (.*) ✅""),'Quartier prepositio"&amp;"ns'!A:E, 5, 0) ,  if(H5161=""region"",vlookup(REGEXEXTRACT(C5161, ""🏘️ \w+ \w+ (.*) ✅""),'Region prepositions'!B:F, 5, 0),  REGEXEXTRACT(C5161, ""🏘️ \w+ \w+ (.*) ✅""))))"),"#N/A")</f>
        <v>#N/A</v>
      </c>
      <c r="I5161" s="4" t="str">
        <f>IFERROR(__xludf.DUMMYFUNCTION("if(D5161=""variant"",  substitute(filter(Templates!E:E, Templates!A:A = F5161, Templates!B:B = G5161, Templates!C:C = H5161), ""{{}}"", E5161), B5161)"),"Vendre maison Bitsch: Trouvez le bien immobilier qui correspond idéalement à vos désirs sur ImmoScout24 - La plateforme de l'immobilier en Suisse.")</f>
        <v>Vendre maison Bitsch: Trouvez le bien immobilier qui correspond idéalement à vos désirs sur ImmoScout24 - La plateforme de l'immobilier en Suisse.</v>
      </c>
    </row>
    <row r="5162" hidden="1">
      <c r="A5162" s="5" t="s">
        <v>13421</v>
      </c>
      <c r="B5162" s="2" t="s">
        <v>13422</v>
      </c>
      <c r="C5162" s="2" t="s">
        <v>13422</v>
      </c>
      <c r="D5162" s="4" t="str">
        <f>vlookup(A5162, Sheet2!D:E, 2, 0)</f>
        <v>control</v>
      </c>
      <c r="E5162" s="4" t="str">
        <f>IFERROR(__xludf.DUMMYFUNCTION("if(H5162=""pays"",vlookup(REGEXEXTRACT(C5162, ""🏘️ \w+ \w+ (.*) ✅""),'Country prepositions'!A:B, 2, 0) &amp; "" "" &amp; REGEXEXTRACT(C5162, ""🏘️ \w+ \w+ (.*) ✅"") ,  if(H5162=""quartier"",vlookup(REGEXEXTRACT(C5162, ""🏘️ \w+ \w+ (.*) ✅""),'Quartier prepositio"&amp;"ns'!A:E, 5, 0) ,  if(H5162=""region"",vlookup(REGEXEXTRACT(C5162, ""🏘️ \w+ \w+ (.*) ✅""),'Region prepositions'!B:F, 5, 0),  REGEXEXTRACT(C5162, ""🏘️ \w+ \w+ (.*) ✅""))))"),"#N/A")</f>
        <v>#N/A</v>
      </c>
      <c r="I5162" s="4" t="str">
        <f>IFERROR(__xludf.DUMMYFUNCTION("if(D5162=""variant"",  substitute(filter(Templates!E:E, Templates!A:A = F5162, Templates!B:B = G5162, Templates!C:C = H5162), ""{{}}"", E5162), B5162)"),"Vendre maison Les Geneveys-sur-Coffrane: Trouvez le bien immobilier qui correspond idéalement à vos désirs sur ImmoScout24 - La plateforme de l'immobilier en Suisse.")</f>
        <v>Vendre maison Les Geneveys-sur-Coffrane: Trouvez le bien immobilier qui correspond idéalement à vos désirs sur ImmoScout24 - La plateforme de l'immobilier en Suisse.</v>
      </c>
    </row>
    <row r="5163" hidden="1">
      <c r="A5163" s="5" t="s">
        <v>13423</v>
      </c>
      <c r="B5163" s="2" t="s">
        <v>13424</v>
      </c>
      <c r="C5163" s="2" t="s">
        <v>13424</v>
      </c>
      <c r="D5163" s="4" t="str">
        <f>vlookup(A5163, Sheet2!D:E, 2, 0)</f>
        <v>control</v>
      </c>
      <c r="E5163" s="4" t="str">
        <f>IFERROR(__xludf.DUMMYFUNCTION("if(H5163=""pays"",vlookup(REGEXEXTRACT(C5163, ""🏘️ \w+ \w+ (.*) ✅""),'Country prepositions'!A:B, 2, 0) &amp; "" "" &amp; REGEXEXTRACT(C5163, ""🏘️ \w+ \w+ (.*) ✅"") ,  if(H5163=""quartier"",vlookup(REGEXEXTRACT(C5163, ""🏘️ \w+ \w+ (.*) ✅""),'Quartier prepositio"&amp;"ns'!A:E, 5, 0) ,  if(H5163=""region"",vlookup(REGEXEXTRACT(C5163, ""🏘️ \w+ \w+ (.*) ✅""),'Region prepositions'!B:F, 5, 0),  REGEXEXTRACT(C5163, ""🏘️ \w+ \w+ (.*) ✅""))))"),"#N/A")</f>
        <v>#N/A</v>
      </c>
      <c r="I5163" s="4" t="str">
        <f>IFERROR(__xludf.DUMMYFUNCTION("if(D5163=""variant"",  substitute(filter(Templates!E:E, Templates!A:A = F5163, Templates!B:B = G5163, Templates!C:C = H5163), ""{{}}"", E5163), B5163)"),"Louer appartement Rivaz: Trouvez le bien immobilier qui correspond idéalement à vos désirs sur ImmoScout24 - La plateforme de l'immobilier en Suisse.")</f>
        <v>Louer appartement Rivaz: Trouvez le bien immobilier qui correspond idéalement à vos désirs sur ImmoScout24 - La plateforme de l'immobilier en Suisse.</v>
      </c>
    </row>
    <row r="5164" hidden="1">
      <c r="A5164" s="5" t="s">
        <v>13425</v>
      </c>
      <c r="B5164" s="2" t="s">
        <v>13426</v>
      </c>
      <c r="C5164" s="2" t="s">
        <v>13426</v>
      </c>
      <c r="D5164" s="4" t="str">
        <f>vlookup(A5164, Sheet2!D:E, 2, 0)</f>
        <v>control</v>
      </c>
      <c r="E5164" s="4" t="str">
        <f>IFERROR(__xludf.DUMMYFUNCTION("if(H5164=""pays"",vlookup(REGEXEXTRACT(C5164, ""🏘️ \w+ \w+ (.*) ✅""),'Country prepositions'!A:B, 2, 0) &amp; "" "" &amp; REGEXEXTRACT(C5164, ""🏘️ \w+ \w+ (.*) ✅"") ,  if(H5164=""quartier"",vlookup(REGEXEXTRACT(C5164, ""🏘️ \w+ \w+ (.*) ✅""),'Quartier prepositio"&amp;"ns'!A:E, 5, 0) ,  if(H5164=""region"",vlookup(REGEXEXTRACT(C5164, ""🏘️ \w+ \w+ (.*) ✅""),'Region prepositions'!B:F, 5, 0),  REGEXEXTRACT(C5164, ""🏘️ \w+ \w+ (.*) ✅""))))"),"#N/A")</f>
        <v>#N/A</v>
      </c>
      <c r="I5164" s="4" t="str">
        <f>IFERROR(__xludf.DUMMYFUNCTION("if(D5164=""variant"",  substitute(filter(Templates!E:E, Templates!A:A = F5164, Templates!B:B = G5164, Templates!C:C = H5164), ""{{}}"", E5164), B5164)"),"Louer appartement Hünibach: Trouvez le bien immobilier qui correspond idéalement à vos désirs sur ImmoScout24 - La plateforme de l'immobilier en Suisse.")</f>
        <v>Louer appartement Hünibach: Trouvez le bien immobilier qui correspond idéalement à vos désirs sur ImmoScout24 - La plateforme de l'immobilier en Suisse.</v>
      </c>
    </row>
    <row r="5165" hidden="1">
      <c r="A5165" s="5" t="s">
        <v>13427</v>
      </c>
      <c r="B5165" s="2" t="s">
        <v>13428</v>
      </c>
      <c r="C5165" s="2" t="s">
        <v>13428</v>
      </c>
      <c r="D5165" s="4" t="str">
        <f>vlookup(A5165, Sheet2!D:E, 2, 0)</f>
        <v>control</v>
      </c>
      <c r="E5165" s="4" t="str">
        <f>IFERROR(__xludf.DUMMYFUNCTION("if(H5165=""pays"",vlookup(REGEXEXTRACT(C5165, ""🏘️ \w+ \w+ (.*) ✅""),'Country prepositions'!A:B, 2, 0) &amp; "" "" &amp; REGEXEXTRACT(C5165, ""🏘️ \w+ \w+ (.*) ✅"") ,  if(H5165=""quartier"",vlookup(REGEXEXTRACT(C5165, ""🏘️ \w+ \w+ (.*) ✅""),'Quartier prepositio"&amp;"ns'!A:E, 5, 0) ,  if(H5165=""region"",vlookup(REGEXEXTRACT(C5165, ""🏘️ \w+ \w+ (.*) ✅""),'Region prepositions'!B:F, 5, 0),  REGEXEXTRACT(C5165, ""🏘️ \w+ \w+ (.*) ✅""))))"),"#N/A")</f>
        <v>#N/A</v>
      </c>
      <c r="I5165" s="4" t="str">
        <f>IFERROR(__xludf.DUMMYFUNCTION("if(D5165=""variant"",  substitute(filter(Templates!E:E, Templates!A:A = F5165, Templates!B:B = G5165, Templates!C:C = H5165), ""{{}}"", E5165), B5165)"),"Vendre appartement Mies: Trouvez le bien immobilier qui correspond idéalement à vos désirs sur ImmoScout24 - La plateforme de l'immobilier en Suisse.")</f>
        <v>Vendre appartement Mies: Trouvez le bien immobilier qui correspond idéalement à vos désirs sur ImmoScout24 - La plateforme de l'immobilier en Suisse.</v>
      </c>
    </row>
    <row r="5166" hidden="1">
      <c r="A5166" s="5" t="s">
        <v>13429</v>
      </c>
      <c r="B5166" s="2" t="s">
        <v>13430</v>
      </c>
      <c r="C5166" s="2" t="s">
        <v>13430</v>
      </c>
      <c r="D5166" s="4" t="str">
        <f>vlookup(A5166, Sheet2!D:E, 2, 0)</f>
        <v>control</v>
      </c>
      <c r="E5166" s="4" t="str">
        <f>IFERROR(__xludf.DUMMYFUNCTION("if(H5166=""pays"",vlookup(REGEXEXTRACT(C5166, ""🏘️ \w+ \w+ (.*) ✅""),'Country prepositions'!A:B, 2, 0) &amp; "" "" &amp; REGEXEXTRACT(C5166, ""🏘️ \w+ \w+ (.*) ✅"") ,  if(H5166=""quartier"",vlookup(REGEXEXTRACT(C5166, ""🏘️ \w+ \w+ (.*) ✅""),'Quartier prepositio"&amp;"ns'!A:E, 5, 0) ,  if(H5166=""region"",vlookup(REGEXEXTRACT(C5166, ""🏘️ \w+ \w+ (.*) ✅""),'Region prepositions'!B:F, 5, 0),  REGEXEXTRACT(C5166, ""🏘️ \w+ \w+ (.*) ✅""))))"),"#N/A")</f>
        <v>#N/A</v>
      </c>
      <c r="I5166" s="4" t="str">
        <f>IFERROR(__xludf.DUMMYFUNCTION("if(D5166=""variant"",  substitute(filter(Templates!E:E, Templates!A:A = F5166, Templates!B:B = G5166, Templates!C:C = H5166), ""{{}}"", E5166), B5166)"),"Vendre maison La Vue-des-Alpes: Trouvez le bien immobilier qui correspond idéalement à vos désirs sur ImmoScout24 - La plateforme de l'immobilier en Suisse.")</f>
        <v>Vendre maison La Vue-des-Alpes: Trouvez le bien immobilier qui correspond idéalement à vos désirs sur ImmoScout24 - La plateforme de l'immobilier en Suisse.</v>
      </c>
    </row>
    <row r="5167" hidden="1">
      <c r="A5167" s="5" t="s">
        <v>13431</v>
      </c>
      <c r="B5167" s="2" t="s">
        <v>13432</v>
      </c>
      <c r="C5167" s="2" t="s">
        <v>13432</v>
      </c>
      <c r="D5167" s="4" t="str">
        <f>vlookup(A5167, Sheet2!D:E, 2, 0)</f>
        <v>control</v>
      </c>
      <c r="E5167" s="4" t="str">
        <f>IFERROR(__xludf.DUMMYFUNCTION("if(H5167=""pays"",vlookup(REGEXEXTRACT(C5167, ""🏘️ \w+ \w+ (.*) ✅""),'Country prepositions'!A:B, 2, 0) &amp; "" "" &amp; REGEXEXTRACT(C5167, ""🏘️ \w+ \w+ (.*) ✅"") ,  if(H5167=""quartier"",vlookup(REGEXEXTRACT(C5167, ""🏘️ \w+ \w+ (.*) ✅""),'Quartier prepositio"&amp;"ns'!A:E, 5, 0) ,  if(H5167=""region"",vlookup(REGEXEXTRACT(C5167, ""🏘️ \w+ \w+ (.*) ✅""),'Region prepositions'!B:F, 5, 0),  REGEXEXTRACT(C5167, ""🏘️ \w+ \w+ (.*) ✅""))))"),"#N/A")</f>
        <v>#N/A</v>
      </c>
      <c r="I5167" s="4" t="str">
        <f>IFERROR(__xludf.DUMMYFUNCTION("if(D5167=""variant"",  substitute(filter(Templates!E:E, Templates!A:A = F5167, Templates!B:B = G5167, Templates!C:C = H5167), ""{{}}"", E5167), B5167)"),"Vendre maison Maules: Trouvez le bien immobilier qui correspond idéalement à vos désirs sur ImmoScout24 - La plateforme de l'immobilier en Suisse.")</f>
        <v>Vendre maison Maules: Trouvez le bien immobilier qui correspond idéalement à vos désirs sur ImmoScout24 - La plateforme de l'immobilier en Suisse.</v>
      </c>
    </row>
    <row r="5168" hidden="1">
      <c r="A5168" s="5" t="s">
        <v>13433</v>
      </c>
      <c r="B5168" s="2" t="s">
        <v>13434</v>
      </c>
      <c r="C5168" s="2" t="s">
        <v>13434</v>
      </c>
      <c r="D5168" s="4" t="str">
        <f>vlookup(A5168, Sheet2!D:E, 2, 0)</f>
        <v>control</v>
      </c>
      <c r="E5168" s="4" t="str">
        <f>IFERROR(__xludf.DUMMYFUNCTION("if(H5168=""pays"",vlookup(REGEXEXTRACT(C5168, ""🏘️ \w+ \w+ (.*) ✅""),'Country prepositions'!A:B, 2, 0) &amp; "" "" &amp; REGEXEXTRACT(C5168, ""🏘️ \w+ \w+ (.*) ✅"") ,  if(H5168=""quartier"",vlookup(REGEXEXTRACT(C5168, ""🏘️ \w+ \w+ (.*) ✅""),'Quartier prepositio"&amp;"ns'!A:E, 5, 0) ,  if(H5168=""region"",vlookup(REGEXEXTRACT(C5168, ""🏘️ \w+ \w+ (.*) ✅""),'Region prepositions'!B:F, 5, 0),  REGEXEXTRACT(C5168, ""🏘️ \w+ \w+ (.*) ✅""))))"),"#N/A")</f>
        <v>#N/A</v>
      </c>
      <c r="I5168" s="4" t="str">
        <f>IFERROR(__xludf.DUMMYFUNCTION("if(D5168=""variant"",  substitute(filter(Templates!E:E, Templates!A:A = F5168, Templates!B:B = G5168, Templates!C:C = H5168), ""{{}}"", E5168), B5168)"),"Vendre maison Arveyes: Trouvez le bien immobilier qui correspond idéalement à vos désirs sur ImmoScout24 - La plateforme de l'immobilier en Suisse.")</f>
        <v>Vendre maison Arveyes: Trouvez le bien immobilier qui correspond idéalement à vos désirs sur ImmoScout24 - La plateforme de l'immobilier en Suisse.</v>
      </c>
    </row>
    <row r="5169" hidden="1">
      <c r="A5169" s="5" t="s">
        <v>13435</v>
      </c>
      <c r="B5169" s="2" t="s">
        <v>13436</v>
      </c>
      <c r="C5169" s="2" t="s">
        <v>13436</v>
      </c>
      <c r="D5169" s="4" t="str">
        <f>vlookup(A5169, Sheet2!D:E, 2, 0)</f>
        <v>control</v>
      </c>
      <c r="E5169" s="4" t="str">
        <f>IFERROR(__xludf.DUMMYFUNCTION("if(H5169=""pays"",vlookup(REGEXEXTRACT(C5169, ""🏘️ \w+ \w+ (.*) ✅""),'Country prepositions'!A:B, 2, 0) &amp; "" "" &amp; REGEXEXTRACT(C5169, ""🏘️ \w+ \w+ (.*) ✅"") ,  if(H5169=""quartier"",vlookup(REGEXEXTRACT(C5169, ""🏘️ \w+ \w+ (.*) ✅""),'Quartier prepositio"&amp;"ns'!A:E, 5, 0) ,  if(H5169=""region"",vlookup(REGEXEXTRACT(C5169, ""🏘️ \w+ \w+ (.*) ✅""),'Region prepositions'!B:F, 5, 0),  REGEXEXTRACT(C5169, ""🏘️ \w+ \w+ (.*) ✅""))))"),"#N/A")</f>
        <v>#N/A</v>
      </c>
      <c r="I5169" s="4" t="str">
        <f>IFERROR(__xludf.DUMMYFUNCTION("if(D5169=""variant"",  substitute(filter(Templates!E:E, Templates!A:A = F5169, Templates!B:B = G5169, Templates!C:C = H5169), ""{{}}"", E5169), B5169)"),"Louer maison Monte Carasso: Trouvez le bien immobilier qui correspond idéalement à vos désirs sur ImmoScout24 - La plateforme de l'immobilier en Suisse.")</f>
        <v>Louer maison Monte Carasso: Trouvez le bien immobilier qui correspond idéalement à vos désirs sur ImmoScout24 - La plateforme de l'immobilier en Suisse.</v>
      </c>
    </row>
    <row r="5170" hidden="1">
      <c r="A5170" s="5" t="s">
        <v>13437</v>
      </c>
      <c r="B5170" s="2" t="s">
        <v>13438</v>
      </c>
      <c r="C5170" s="2" t="s">
        <v>13438</v>
      </c>
      <c r="D5170" s="4" t="str">
        <f>vlookup(A5170, Sheet2!D:E, 2, 0)</f>
        <v>control</v>
      </c>
      <c r="E5170" s="4" t="str">
        <f>IFERROR(__xludf.DUMMYFUNCTION("if(H5170=""pays"",vlookup(REGEXEXTRACT(C5170, ""🏘️ \w+ \w+ (.*) ✅""),'Country prepositions'!A:B, 2, 0) &amp; "" "" &amp; REGEXEXTRACT(C5170, ""🏘️ \w+ \w+ (.*) ✅"") ,  if(H5170=""quartier"",vlookup(REGEXEXTRACT(C5170, ""🏘️ \w+ \w+ (.*) ✅""),'Quartier prepositio"&amp;"ns'!A:E, 5, 0) ,  if(H5170=""region"",vlookup(REGEXEXTRACT(C5170, ""🏘️ \w+ \w+ (.*) ✅""),'Region prepositions'!B:F, 5, 0),  REGEXEXTRACT(C5170, ""🏘️ \w+ \w+ (.*) ✅""))))"),"#N/A")</f>
        <v>#N/A</v>
      </c>
      <c r="I5170" s="4" t="str">
        <f>IFERROR(__xludf.DUMMYFUNCTION("if(D5170=""variant"",  substitute(filter(Templates!E:E, Templates!A:A = F5170, Templates!B:B = G5170, Templates!C:C = H5170), ""{{}}"", E5170), B5170)"),"Louer appartement Langenthal: Trouvez le bien immobilier qui correspond idéalement à vos désirs sur ImmoScout24 - La plateforme de l'immobilier en Suisse.")</f>
        <v>Louer appartement Langenthal: Trouvez le bien immobilier qui correspond idéalement à vos désirs sur ImmoScout24 - La plateforme de l'immobilier en Suisse.</v>
      </c>
    </row>
    <row r="5171" hidden="1">
      <c r="A5171" s="5" t="s">
        <v>13439</v>
      </c>
      <c r="B5171" s="2" t="s">
        <v>13440</v>
      </c>
      <c r="C5171" s="2" t="s">
        <v>13440</v>
      </c>
      <c r="D5171" s="4" t="str">
        <f>vlookup(A5171, Sheet2!D:E, 2, 0)</f>
        <v>control</v>
      </c>
      <c r="E5171" s="4" t="str">
        <f>IFERROR(__xludf.DUMMYFUNCTION("if(H5171=""pays"",vlookup(REGEXEXTRACT(C5171, ""🏘️ \w+ \w+ (.*) ✅""),'Country prepositions'!A:B, 2, 0) &amp; "" "" &amp; REGEXEXTRACT(C5171, ""🏘️ \w+ \w+ (.*) ✅"") ,  if(H5171=""quartier"",vlookup(REGEXEXTRACT(C5171, ""🏘️ \w+ \w+ (.*) ✅""),'Quartier prepositio"&amp;"ns'!A:E, 5, 0) ,  if(H5171=""region"",vlookup(REGEXEXTRACT(C5171, ""🏘️ \w+ \w+ (.*) ✅""),'Region prepositions'!B:F, 5, 0),  REGEXEXTRACT(C5171, ""🏘️ \w+ \w+ (.*) ✅""))))"),"#N/A")</f>
        <v>#N/A</v>
      </c>
      <c r="I5171" s="4" t="str">
        <f>IFERROR(__xludf.DUMMYFUNCTION("if(D5171=""variant"",  substitute(filter(Templates!E:E, Templates!A:A = F5171, Templates!B:B = G5171, Templates!C:C = H5171), ""{{}}"", E5171), B5171)"),"Vendre maison Carabbia: Trouvez le bien immobilier qui correspond idéalement à vos désirs sur ImmoScout24 - La plateforme de l'immobilier en Suisse.")</f>
        <v>Vendre maison Carabbia: Trouvez le bien immobilier qui correspond idéalement à vos désirs sur ImmoScout24 - La plateforme de l'immobilier en Suisse.</v>
      </c>
    </row>
    <row r="5172" hidden="1">
      <c r="A5172" s="5" t="s">
        <v>13441</v>
      </c>
      <c r="B5172" s="2" t="s">
        <v>13442</v>
      </c>
      <c r="C5172" s="2" t="s">
        <v>13442</v>
      </c>
      <c r="D5172" s="4" t="str">
        <f>vlookup(A5172, Sheet2!D:E, 2, 0)</f>
        <v>control</v>
      </c>
      <c r="E5172" s="4" t="str">
        <f>IFERROR(__xludf.DUMMYFUNCTION("if(H5172=""pays"",vlookup(REGEXEXTRACT(C5172, ""🏘️ \w+ \w+ (.*) ✅""),'Country prepositions'!A:B, 2, 0) &amp; "" "" &amp; REGEXEXTRACT(C5172, ""🏘️ \w+ \w+ (.*) ✅"") ,  if(H5172=""quartier"",vlookup(REGEXEXTRACT(C5172, ""🏘️ \w+ \w+ (.*) ✅""),'Quartier prepositio"&amp;"ns'!A:E, 5, 0) ,  if(H5172=""region"",vlookup(REGEXEXTRACT(C5172, ""🏘️ \w+ \w+ (.*) ✅""),'Region prepositions'!B:F, 5, 0),  REGEXEXTRACT(C5172, ""🏘️ \w+ \w+ (.*) ✅""))))"),"#N/A")</f>
        <v>#N/A</v>
      </c>
      <c r="I5172" s="4" t="str">
        <f>IFERROR(__xludf.DUMMYFUNCTION("if(D5172=""variant"",  substitute(filter(Templates!E:E, Templates!A:A = F5172, Templates!B:B = G5172, Templates!C:C = H5172), ""{{}}"", E5172), B5172)"),"Louer appartement Penthéréaz: Trouvez le bien immobilier qui correspond idéalement à vos désirs sur ImmoScout24 - La plateforme de l'immobilier en Suisse.")</f>
        <v>Louer appartement Penthéréaz: Trouvez le bien immobilier qui correspond idéalement à vos désirs sur ImmoScout24 - La plateforme de l'immobilier en Suisse.</v>
      </c>
    </row>
    <row r="5173" hidden="1">
      <c r="A5173" s="5" t="s">
        <v>13443</v>
      </c>
      <c r="B5173" s="2" t="s">
        <v>13444</v>
      </c>
      <c r="C5173" s="2" t="s">
        <v>13444</v>
      </c>
      <c r="D5173" s="4" t="str">
        <f>vlookup(A5173, Sheet2!D:E, 2, 0)</f>
        <v>control</v>
      </c>
      <c r="E5173" s="4" t="str">
        <f>IFERROR(__xludf.DUMMYFUNCTION("if(H5173=""pays"",vlookup(REGEXEXTRACT(C5173, ""🏘️ \w+ \w+ (.*) ✅""),'Country prepositions'!A:B, 2, 0) &amp; "" "" &amp; REGEXEXTRACT(C5173, ""🏘️ \w+ \w+ (.*) ✅"") ,  if(H5173=""quartier"",vlookup(REGEXEXTRACT(C5173, ""🏘️ \w+ \w+ (.*) ✅""),'Quartier prepositio"&amp;"ns'!A:E, 5, 0) ,  if(H5173=""region"",vlookup(REGEXEXTRACT(C5173, ""🏘️ \w+ \w+ (.*) ✅""),'Region prepositions'!B:F, 5, 0),  REGEXEXTRACT(C5173, ""🏘️ \w+ \w+ (.*) ✅""))))"),"#N/A")</f>
        <v>#N/A</v>
      </c>
      <c r="I5173" s="4" t="str">
        <f>IFERROR(__xludf.DUMMYFUNCTION("if(D5173=""variant"",  substitute(filter(Templates!E:E, Templates!A:A = F5173, Templates!B:B = G5173, Templates!C:C = H5173), ""{{}}"", E5173), B5173)"),"Louer appartement Eclagnens: Trouvez le bien immobilier qui correspond idéalement à vos désirs sur ImmoScout24 - La plateforme de l'immobilier en Suisse.")</f>
        <v>Louer appartement Eclagnens: Trouvez le bien immobilier qui correspond idéalement à vos désirs sur ImmoScout24 - La plateforme de l'immobilier en Suisse.</v>
      </c>
    </row>
    <row r="5174" hidden="1">
      <c r="A5174" s="5" t="s">
        <v>13445</v>
      </c>
      <c r="B5174" s="2" t="s">
        <v>13446</v>
      </c>
      <c r="C5174" s="2" t="s">
        <v>13446</v>
      </c>
      <c r="D5174" s="4" t="str">
        <f>vlookup(A5174, Sheet2!D:E, 2, 0)</f>
        <v>control</v>
      </c>
      <c r="E5174" s="4" t="str">
        <f>IFERROR(__xludf.DUMMYFUNCTION("if(H5174=""pays"",vlookup(REGEXEXTRACT(C5174, ""🏘️ \w+ \w+ (.*) ✅""),'Country prepositions'!A:B, 2, 0) &amp; "" "" &amp; REGEXEXTRACT(C5174, ""🏘️ \w+ \w+ (.*) ✅"") ,  if(H5174=""quartier"",vlookup(REGEXEXTRACT(C5174, ""🏘️ \w+ \w+ (.*) ✅""),'Quartier prepositio"&amp;"ns'!A:E, 5, 0) ,  if(H5174=""region"",vlookup(REGEXEXTRACT(C5174, ""🏘️ \w+ \w+ (.*) ✅""),'Region prepositions'!B:F, 5, 0),  REGEXEXTRACT(C5174, ""🏘️ \w+ \w+ (.*) ✅""))))"),"#N/A")</f>
        <v>#N/A</v>
      </c>
      <c r="I5174" s="4" t="str">
        <f>IFERROR(__xludf.DUMMYFUNCTION("if(D5174=""variant"",  substitute(filter(Templates!E:E, Templates!A:A = F5174, Templates!B:B = G5174, Templates!C:C = H5174), ""{{}}"", E5174), B5174)"),"Vendre maison Grandevent: Trouvez le bien immobilier qui correspond idéalement à vos désirs sur ImmoScout24 - La plateforme de l'immobilier en Suisse.")</f>
        <v>Vendre maison Grandevent: Trouvez le bien immobilier qui correspond idéalement à vos désirs sur ImmoScout24 - La plateforme de l'immobilier en Suisse.</v>
      </c>
    </row>
    <row r="5175" hidden="1">
      <c r="A5175" s="5" t="s">
        <v>13447</v>
      </c>
      <c r="B5175" s="2" t="s">
        <v>13448</v>
      </c>
      <c r="C5175" s="2" t="s">
        <v>13448</v>
      </c>
      <c r="D5175" s="4" t="str">
        <f>vlookup(A5175, Sheet2!D:E, 2, 0)</f>
        <v>control</v>
      </c>
      <c r="E5175" s="4" t="str">
        <f>IFERROR(__xludf.DUMMYFUNCTION("if(H5175=""pays"",vlookup(REGEXEXTRACT(C5175, ""🏘️ \w+ \w+ (.*) ✅""),'Country prepositions'!A:B, 2, 0) &amp; "" "" &amp; REGEXEXTRACT(C5175, ""🏘️ \w+ \w+ (.*) ✅"") ,  if(H5175=""quartier"",vlookup(REGEXEXTRACT(C5175, ""🏘️ \w+ \w+ (.*) ✅""),'Quartier prepositio"&amp;"ns'!A:E, 5, 0) ,  if(H5175=""region"",vlookup(REGEXEXTRACT(C5175, ""🏘️ \w+ \w+ (.*) ✅""),'Region prepositions'!B:F, 5, 0),  REGEXEXTRACT(C5175, ""🏘️ \w+ \w+ (.*) ✅""))))"),"#N/A")</f>
        <v>#N/A</v>
      </c>
      <c r="I5175" s="4" t="str">
        <f>IFERROR(__xludf.DUMMYFUNCTION("if(D5175=""variant"",  substitute(filter(Templates!E:E, Templates!A:A = F5175, Templates!B:B = G5175, Templates!C:C = H5175), ""{{}}"", E5175), B5175)"),"Vendre maison Seelisberg: Trouvez le bien immobilier qui correspond idéalement à vos désirs sur ImmoScout24 - La plateforme de l'immobilier en Suisse.")</f>
        <v>Vendre maison Seelisberg: Trouvez le bien immobilier qui correspond idéalement à vos désirs sur ImmoScout24 - La plateforme de l'immobilier en Suisse.</v>
      </c>
    </row>
    <row r="5176" hidden="1">
      <c r="A5176" s="5" t="s">
        <v>13449</v>
      </c>
      <c r="B5176" s="2" t="s">
        <v>13450</v>
      </c>
      <c r="C5176" s="2" t="s">
        <v>13450</v>
      </c>
      <c r="D5176" s="4" t="str">
        <f>vlookup(A5176, Sheet2!D:E, 2, 0)</f>
        <v>control</v>
      </c>
      <c r="E5176" s="4" t="str">
        <f>IFERROR(__xludf.DUMMYFUNCTION("if(H5176=""pays"",vlookup(REGEXEXTRACT(C5176, ""🏘️ \w+ \w+ (.*) ✅""),'Country prepositions'!A:B, 2, 0) &amp; "" "" &amp; REGEXEXTRACT(C5176, ""🏘️ \w+ \w+ (.*) ✅"") ,  if(H5176=""quartier"",vlookup(REGEXEXTRACT(C5176, ""🏘️ \w+ \w+ (.*) ✅""),'Quartier prepositio"&amp;"ns'!A:E, 5, 0) ,  if(H5176=""region"",vlookup(REGEXEXTRACT(C5176, ""🏘️ \w+ \w+ (.*) ✅""),'Region prepositions'!B:F, 5, 0),  REGEXEXTRACT(C5176, ""🏘️ \w+ \w+ (.*) ✅""))))"),"#N/A")</f>
        <v>#N/A</v>
      </c>
      <c r="I5176" s="4" t="str">
        <f>IFERROR(__xludf.DUMMYFUNCTION("if(D5176=""variant"",  substitute(filter(Templates!E:E, Templates!A:A = F5176, Templates!B:B = G5176, Templates!C:C = H5176), ""{{}}"", E5176), B5176)"),"Louer appartement Corcelles-sur-Chavornay: Trouvez le bien immobilier qui correspond idéalement à vos désirs sur ImmoScout24 - La plateforme de l'immobilier en Suisse.")</f>
        <v>Louer appartement Corcelles-sur-Chavornay: Trouvez le bien immobilier qui correspond idéalement à vos désirs sur ImmoScout24 - La plateforme de l'immobilier en Suisse.</v>
      </c>
    </row>
    <row r="5177" hidden="1">
      <c r="A5177" s="5" t="s">
        <v>13451</v>
      </c>
      <c r="B5177" s="2" t="s">
        <v>13452</v>
      </c>
      <c r="C5177" s="2" t="s">
        <v>13452</v>
      </c>
      <c r="D5177" s="4" t="str">
        <f>vlookup(A5177, Sheet2!D:E, 2, 0)</f>
        <v>control</v>
      </c>
      <c r="E5177" s="4" t="str">
        <f>IFERROR(__xludf.DUMMYFUNCTION("if(H5177=""pays"",vlookup(REGEXEXTRACT(C5177, ""🏘️ \w+ \w+ (.*) ✅""),'Country prepositions'!A:B, 2, 0) &amp; "" "" &amp; REGEXEXTRACT(C5177, ""🏘️ \w+ \w+ (.*) ✅"") ,  if(H5177=""quartier"",vlookup(REGEXEXTRACT(C5177, ""🏘️ \w+ \w+ (.*) ✅""),'Quartier prepositio"&amp;"ns'!A:E, 5, 0) ,  if(H5177=""region"",vlookup(REGEXEXTRACT(C5177, ""🏘️ \w+ \w+ (.*) ✅""),'Region prepositions'!B:F, 5, 0),  REGEXEXTRACT(C5177, ""🏘️ \w+ \w+ (.*) ✅""))))"),"#N/A")</f>
        <v>#N/A</v>
      </c>
      <c r="I5177" s="4" t="str">
        <f>IFERROR(__xludf.DUMMYFUNCTION("if(D5177=""variant"",  substitute(filter(Templates!E:E, Templates!A:A = F5177, Templates!B:B = G5177, Templates!C:C = H5177), ""{{}}"", E5177), B5177)"),"Louer appartement Savagnier: Trouvez le bien immobilier qui correspond idéalement à vos désirs sur ImmoScout24 - La plateforme de l'immobilier en Suisse.")</f>
        <v>Louer appartement Savagnier: Trouvez le bien immobilier qui correspond idéalement à vos désirs sur ImmoScout24 - La plateforme de l'immobilier en Suisse.</v>
      </c>
    </row>
    <row r="5178" hidden="1">
      <c r="A5178" s="5" t="s">
        <v>13453</v>
      </c>
      <c r="B5178" s="2" t="s">
        <v>13454</v>
      </c>
      <c r="C5178" s="2" t="s">
        <v>13454</v>
      </c>
      <c r="D5178" s="4" t="str">
        <f>vlookup(A5178, Sheet2!D:E, 2, 0)</f>
        <v>control</v>
      </c>
      <c r="E5178" s="4" t="str">
        <f>IFERROR(__xludf.DUMMYFUNCTION("if(H5178=""pays"",vlookup(REGEXEXTRACT(C5178, ""🏘️ \w+ \w+ (.*) ✅""),'Country prepositions'!A:B, 2, 0) &amp; "" "" &amp; REGEXEXTRACT(C5178, ""🏘️ \w+ \w+ (.*) ✅"") ,  if(H5178=""quartier"",vlookup(REGEXEXTRACT(C5178, ""🏘️ \w+ \w+ (.*) ✅""),'Quartier prepositio"&amp;"ns'!A:E, 5, 0) ,  if(H5178=""region"",vlookup(REGEXEXTRACT(C5178, ""🏘️ \w+ \w+ (.*) ✅""),'Region prepositions'!B:F, 5, 0),  REGEXEXTRACT(C5178, ""🏘️ \w+ \w+ (.*) ✅""))))"),"#N/A")</f>
        <v>#N/A</v>
      </c>
      <c r="I5178" s="4" t="str">
        <f>IFERROR(__xludf.DUMMYFUNCTION("if(D5178=""variant"",  substitute(filter(Templates!E:E, Templates!A:A = F5178, Templates!B:B = G5178, Templates!C:C = H5178), ""{{}}"", E5178), B5178)"),"Vendre maison Dicken: Trouvez le bien immobilier qui correspond idéalement à vos désirs sur ImmoScout24 - La plateforme de l'immobilier en Suisse.")</f>
        <v>Vendre maison Dicken: Trouvez le bien immobilier qui correspond idéalement à vos désirs sur ImmoScout24 - La plateforme de l'immobilier en Suisse.</v>
      </c>
    </row>
    <row r="5179" hidden="1">
      <c r="A5179" s="5" t="s">
        <v>13455</v>
      </c>
      <c r="B5179" s="2" t="s">
        <v>13456</v>
      </c>
      <c r="C5179" s="2" t="s">
        <v>13456</v>
      </c>
      <c r="D5179" s="4" t="str">
        <f>vlookup(A5179, Sheet2!D:E, 2, 0)</f>
        <v>control</v>
      </c>
      <c r="E5179" s="4" t="str">
        <f>IFERROR(__xludf.DUMMYFUNCTION("if(H5179=""pays"",vlookup(REGEXEXTRACT(C5179, ""🏘️ \w+ \w+ (.*) ✅""),'Country prepositions'!A:B, 2, 0) &amp; "" "" &amp; REGEXEXTRACT(C5179, ""🏘️ \w+ \w+ (.*) ✅"") ,  if(H5179=""quartier"",vlookup(REGEXEXTRACT(C5179, ""🏘️ \w+ \w+ (.*) ✅""),'Quartier prepositio"&amp;"ns'!A:E, 5, 0) ,  if(H5179=""region"",vlookup(REGEXEXTRACT(C5179, ""🏘️ \w+ \w+ (.*) ✅""),'Region prepositions'!B:F, 5, 0),  REGEXEXTRACT(C5179, ""🏘️ \w+ \w+ (.*) ✅""))))"),"#N/A")</f>
        <v>#N/A</v>
      </c>
      <c r="I5179" s="4" t="str">
        <f>IFERROR(__xludf.DUMMYFUNCTION("if(D5179=""variant"",  substitute(filter(Templates!E:E, Templates!A:A = F5179, Templates!B:B = G5179, Templates!C:C = H5179), ""{{}}"", E5179), B5179)"),"Vendre maison Baar (Nendaz): Trouvez le bien immobilier qui correspond idéalement à vos désirs sur ImmoScout24 - La plateforme de l'immobilier en Suisse.")</f>
        <v>Vendre maison Baar (Nendaz): Trouvez le bien immobilier qui correspond idéalement à vos désirs sur ImmoScout24 - La plateforme de l'immobilier en Suisse.</v>
      </c>
    </row>
    <row r="5180" hidden="1">
      <c r="A5180" s="5" t="s">
        <v>13457</v>
      </c>
      <c r="B5180" s="2" t="s">
        <v>13458</v>
      </c>
      <c r="C5180" s="2" t="s">
        <v>13458</v>
      </c>
      <c r="D5180" s="4" t="str">
        <f>vlookup(A5180, Sheet2!D:E, 2, 0)</f>
        <v>control</v>
      </c>
      <c r="E5180" s="4" t="str">
        <f>IFERROR(__xludf.DUMMYFUNCTION("if(H5180=""pays"",vlookup(REGEXEXTRACT(C5180, ""🏘️ \w+ \w+ (.*) ✅""),'Country prepositions'!A:B, 2, 0) &amp; "" "" &amp; REGEXEXTRACT(C5180, ""🏘️ \w+ \w+ (.*) ✅"") ,  if(H5180=""quartier"",vlookup(REGEXEXTRACT(C5180, ""🏘️ \w+ \w+ (.*) ✅""),'Quartier prepositio"&amp;"ns'!A:E, 5, 0) ,  if(H5180=""region"",vlookup(REGEXEXTRACT(C5180, ""🏘️ \w+ \w+ (.*) ✅""),'Region prepositions'!B:F, 5, 0),  REGEXEXTRACT(C5180, ""🏘️ \w+ \w+ (.*) ✅""))))"),"#N/A")</f>
        <v>#N/A</v>
      </c>
      <c r="I5180" s="4" t="str">
        <f>IFERROR(__xludf.DUMMYFUNCTION("if(D5180=""variant"",  substitute(filter(Templates!E:E, Templates!A:A = F5180, Templates!B:B = G5180, Templates!C:C = H5180), ""{{}}"", E5180), B5180)"),"Louer appartement Suhr: Trouvez le bien immobilier qui correspond idéalement à vos désirs sur ImmoScout24 - La plateforme de l'immobilier en Suisse.")</f>
        <v>Louer appartement Suhr: Trouvez le bien immobilier qui correspond idéalement à vos désirs sur ImmoScout24 - La plateforme de l'immobilier en Suisse.</v>
      </c>
    </row>
    <row r="5181" hidden="1">
      <c r="A5181" s="5" t="s">
        <v>13459</v>
      </c>
      <c r="B5181" s="2" t="s">
        <v>13460</v>
      </c>
      <c r="C5181" s="2" t="s">
        <v>13460</v>
      </c>
      <c r="D5181" s="4" t="str">
        <f>vlookup(A5181, Sheet2!D:E, 2, 0)</f>
        <v>control</v>
      </c>
      <c r="E5181" s="4" t="str">
        <f>IFERROR(__xludf.DUMMYFUNCTION("if(H5181=""pays"",vlookup(REGEXEXTRACT(C5181, ""🏘️ \w+ \w+ (.*) ✅""),'Country prepositions'!A:B, 2, 0) &amp; "" "" &amp; REGEXEXTRACT(C5181, ""🏘️ \w+ \w+ (.*) ✅"") ,  if(H5181=""quartier"",vlookup(REGEXEXTRACT(C5181, ""🏘️ \w+ \w+ (.*) ✅""),'Quartier prepositio"&amp;"ns'!A:E, 5, 0) ,  if(H5181=""region"",vlookup(REGEXEXTRACT(C5181, ""🏘️ \w+ \w+ (.*) ✅""),'Region prepositions'!B:F, 5, 0),  REGEXEXTRACT(C5181, ""🏘️ \w+ \w+ (.*) ✅""))))"),"#N/A")</f>
        <v>#N/A</v>
      </c>
      <c r="I5181" s="4" t="str">
        <f>IFERROR(__xludf.DUMMYFUNCTION("if(D5181=""variant"",  substitute(filter(Templates!E:E, Templates!A:A = F5181, Templates!B:B = G5181, Templates!C:C = H5181), ""{{}}"", E5181), B5181)"),"Vendre maison Le Vaud: Trouvez le bien immobilier qui correspond idéalement à vos désirs sur ImmoScout24 - La plateforme de l'immobilier en Suisse.")</f>
        <v>Vendre maison Le Vaud: Trouvez le bien immobilier qui correspond idéalement à vos désirs sur ImmoScout24 - La plateforme de l'immobilier en Suisse.</v>
      </c>
    </row>
    <row r="5182" hidden="1">
      <c r="A5182" s="5" t="s">
        <v>13461</v>
      </c>
      <c r="B5182" s="2" t="s">
        <v>13462</v>
      </c>
      <c r="C5182" s="2" t="s">
        <v>13462</v>
      </c>
      <c r="D5182" s="4" t="str">
        <f>vlookup(A5182, Sheet2!D:E, 2, 0)</f>
        <v>control</v>
      </c>
      <c r="E5182" s="4" t="str">
        <f>IFERROR(__xludf.DUMMYFUNCTION("if(H5182=""pays"",vlookup(REGEXEXTRACT(C5182, ""🏘️ \w+ \w+ (.*) ✅""),'Country prepositions'!A:B, 2, 0) &amp; "" "" &amp; REGEXEXTRACT(C5182, ""🏘️ \w+ \w+ (.*) ✅"") ,  if(H5182=""quartier"",vlookup(REGEXEXTRACT(C5182, ""🏘️ \w+ \w+ (.*) ✅""),'Quartier prepositio"&amp;"ns'!A:E, 5, 0) ,  if(H5182=""region"",vlookup(REGEXEXTRACT(C5182, ""🏘️ \w+ \w+ (.*) ✅""),'Region prepositions'!B:F, 5, 0),  REGEXEXTRACT(C5182, ""🏘️ \w+ \w+ (.*) ✅""))))"),"#N/A")</f>
        <v>#N/A</v>
      </c>
      <c r="I5182" s="4" t="str">
        <f>IFERROR(__xludf.DUMMYFUNCTION("if(D5182=""variant"",  substitute(filter(Templates!E:E, Templates!A:A = F5182, Templates!B:B = G5182, Templates!C:C = H5182), ""{{}}"", E5182), B5182)"),"Louer maison Pratteln: Trouvez le bien immobilier qui correspond idéalement à vos désirs sur ImmoScout24 - La plateforme de l'immobilier en Suisse.")</f>
        <v>Louer maison Pratteln: Trouvez le bien immobilier qui correspond idéalement à vos désirs sur ImmoScout24 - La plateforme de l'immobilier en Suisse.</v>
      </c>
    </row>
    <row r="5183" hidden="1">
      <c r="A5183" s="5" t="s">
        <v>13463</v>
      </c>
      <c r="B5183" s="2" t="s">
        <v>13464</v>
      </c>
      <c r="C5183" s="2" t="s">
        <v>13464</v>
      </c>
      <c r="D5183" s="4" t="str">
        <f>vlookup(A5183, Sheet2!D:E, 2, 0)</f>
        <v>control</v>
      </c>
      <c r="E5183" s="4" t="str">
        <f>IFERROR(__xludf.DUMMYFUNCTION("if(H5183=""pays"",vlookup(REGEXEXTRACT(C5183, ""🏘️ \w+ \w+ (.*) ✅""),'Country prepositions'!A:B, 2, 0) &amp; "" "" &amp; REGEXEXTRACT(C5183, ""🏘️ \w+ \w+ (.*) ✅"") ,  if(H5183=""quartier"",vlookup(REGEXEXTRACT(C5183, ""🏘️ \w+ \w+ (.*) ✅""),'Quartier prepositio"&amp;"ns'!A:E, 5, 0) ,  if(H5183=""region"",vlookup(REGEXEXTRACT(C5183, ""🏘️ \w+ \w+ (.*) ✅""),'Region prepositions'!B:F, 5, 0),  REGEXEXTRACT(C5183, ""🏘️ \w+ \w+ (.*) ✅""))))"),"#N/A")</f>
        <v>#N/A</v>
      </c>
      <c r="I5183" s="4" t="str">
        <f>IFERROR(__xludf.DUMMYFUNCTION("if(D5183=""variant"",  substitute(filter(Templates!E:E, Templates!A:A = F5183, Templates!B:B = G5183, Templates!C:C = H5183), ""{{}}"", E5183), B5183)"),"Louer maison Toggenburg: Trouvez le bien immobilier qui correspond idéalement à vos désirs sur ImmoScout24 - La plateforme de l'immobilier en Suisse.")</f>
        <v>Louer maison Toggenburg: Trouvez le bien immobilier qui correspond idéalement à vos désirs sur ImmoScout24 - La plateforme de l'immobilier en Suisse.</v>
      </c>
    </row>
    <row r="5184" hidden="1">
      <c r="A5184" s="5" t="s">
        <v>13465</v>
      </c>
      <c r="B5184" s="2" t="s">
        <v>13466</v>
      </c>
      <c r="C5184" s="2" t="s">
        <v>13466</v>
      </c>
      <c r="D5184" s="4" t="str">
        <f>vlookup(A5184, Sheet2!D:E, 2, 0)</f>
        <v>control</v>
      </c>
      <c r="E5184" s="4" t="str">
        <f>IFERROR(__xludf.DUMMYFUNCTION("if(H5184=""pays"",vlookup(REGEXEXTRACT(C5184, ""🏘️ \w+ \w+ (.*) ✅""),'Country prepositions'!A:B, 2, 0) &amp; "" "" &amp; REGEXEXTRACT(C5184, ""🏘️ \w+ \w+ (.*) ✅"") ,  if(H5184=""quartier"",vlookup(REGEXEXTRACT(C5184, ""🏘️ \w+ \w+ (.*) ✅""),'Quartier prepositio"&amp;"ns'!A:E, 5, 0) ,  if(H5184=""region"",vlookup(REGEXEXTRACT(C5184, ""🏘️ \w+ \w+ (.*) ✅""),'Region prepositions'!B:F, 5, 0),  REGEXEXTRACT(C5184, ""🏘️ \w+ \w+ (.*) ✅""))))"),"#N/A")</f>
        <v>#N/A</v>
      </c>
      <c r="I5184" s="4" t="str">
        <f>IFERROR(__xludf.DUMMYFUNCTION("if(D5184=""variant"",  substitute(filter(Templates!E:E, Templates!A:A = F5184, Templates!B:B = G5184, Templates!C:C = H5184), ""{{}}"", E5184), B5184)"),"Vendre maison Botterens: Trouvez le bien immobilier qui correspond idéalement à vos désirs sur ImmoScout24 - La plateforme de l'immobilier en Suisse.")</f>
        <v>Vendre maison Botterens: Trouvez le bien immobilier qui correspond idéalement à vos désirs sur ImmoScout24 - La plateforme de l'immobilier en Suisse.</v>
      </c>
    </row>
    <row r="5185" hidden="1">
      <c r="A5185" s="5" t="s">
        <v>13467</v>
      </c>
      <c r="B5185" s="2" t="s">
        <v>13468</v>
      </c>
      <c r="C5185" s="2" t="s">
        <v>13468</v>
      </c>
      <c r="D5185" s="4" t="str">
        <f>vlookup(A5185, Sheet2!D:E, 2, 0)</f>
        <v>control</v>
      </c>
      <c r="E5185" s="4" t="str">
        <f>IFERROR(__xludf.DUMMYFUNCTION("if(H5185=""pays"",vlookup(REGEXEXTRACT(C5185, ""🏘️ \w+ \w+ (.*) ✅""),'Country prepositions'!A:B, 2, 0) &amp; "" "" &amp; REGEXEXTRACT(C5185, ""🏘️ \w+ \w+ (.*) ✅"") ,  if(H5185=""quartier"",vlookup(REGEXEXTRACT(C5185, ""🏘️ \w+ \w+ (.*) ✅""),'Quartier prepositio"&amp;"ns'!A:E, 5, 0) ,  if(H5185=""region"",vlookup(REGEXEXTRACT(C5185, ""🏘️ \w+ \w+ (.*) ✅""),'Region prepositions'!B:F, 5, 0),  REGEXEXTRACT(C5185, ""🏘️ \w+ \w+ (.*) ✅""))))"),"#N/A")</f>
        <v>#N/A</v>
      </c>
      <c r="I5185" s="4" t="str">
        <f>IFERROR(__xludf.DUMMYFUNCTION("if(D5185=""variant"",  substitute(filter(Templates!E:E, Templates!A:A = F5185, Templates!B:B = G5185, Templates!C:C = H5185), ""{{}}"", E5185), B5185)"),"Vendre appartement Brione sopra Minusio: Trouvez le bien immobilier qui correspond idéalement à vos désirs sur ImmoScout24 - La plateforme de l'immobilier en Suisse.")</f>
        <v>Vendre appartement Brione sopra Minusio: Trouvez le bien immobilier qui correspond idéalement à vos désirs sur ImmoScout24 - La plateforme de l'immobilier en Suisse.</v>
      </c>
    </row>
    <row r="5186" hidden="1">
      <c r="A5186" s="5" t="s">
        <v>13469</v>
      </c>
      <c r="B5186" s="2" t="s">
        <v>13470</v>
      </c>
      <c r="C5186" s="2" t="s">
        <v>13470</v>
      </c>
      <c r="D5186" s="4" t="str">
        <f>vlookup(A5186, Sheet2!D:E, 2, 0)</f>
        <v>control</v>
      </c>
      <c r="E5186" s="4" t="str">
        <f>IFERROR(__xludf.DUMMYFUNCTION("if(H5186=""pays"",vlookup(REGEXEXTRACT(C5186, ""🏘️ \w+ \w+ (.*) ✅""),'Country prepositions'!A:B, 2, 0) &amp; "" "" &amp; REGEXEXTRACT(C5186, ""🏘️ \w+ \w+ (.*) ✅"") ,  if(H5186=""quartier"",vlookup(REGEXEXTRACT(C5186, ""🏘️ \w+ \w+ (.*) ✅""),'Quartier prepositio"&amp;"ns'!A:E, 5, 0) ,  if(H5186=""region"",vlookup(REGEXEXTRACT(C5186, ""🏘️ \w+ \w+ (.*) ✅""),'Region prepositions'!B:F, 5, 0),  REGEXEXTRACT(C5186, ""🏘️ \w+ \w+ (.*) ✅""))))"),"#N/A")</f>
        <v>#N/A</v>
      </c>
      <c r="I5186" s="4" t="str">
        <f>IFERROR(__xludf.DUMMYFUNCTION("if(D5186=""variant"",  substitute(filter(Templates!E:E, Templates!A:A = F5186, Templates!B:B = G5186, Templates!C:C = H5186), ""{{}}"", E5186), B5186)"),"Vendre maison Gwatt (Thun): Trouvez le bien immobilier qui correspond idéalement à vos désirs sur ImmoScout24 - La plateforme de l'immobilier en Suisse.")</f>
        <v>Vendre maison Gwatt (Thun): Trouvez le bien immobilier qui correspond idéalement à vos désirs sur ImmoScout24 - La plateforme de l'immobilier en Suisse.</v>
      </c>
    </row>
    <row r="5187" hidden="1">
      <c r="A5187" s="5" t="s">
        <v>13471</v>
      </c>
      <c r="B5187" s="2" t="s">
        <v>13472</v>
      </c>
      <c r="C5187" s="2" t="s">
        <v>13472</v>
      </c>
      <c r="D5187" s="4" t="str">
        <f>vlookup(A5187, Sheet2!D:E, 2, 0)</f>
        <v>control</v>
      </c>
      <c r="E5187" s="4" t="str">
        <f>IFERROR(__xludf.DUMMYFUNCTION("if(H5187=""pays"",vlookup(REGEXEXTRACT(C5187, ""🏘️ \w+ \w+ (.*) ✅""),'Country prepositions'!A:B, 2, 0) &amp; "" "" &amp; REGEXEXTRACT(C5187, ""🏘️ \w+ \w+ (.*) ✅"") ,  if(H5187=""quartier"",vlookup(REGEXEXTRACT(C5187, ""🏘️ \w+ \w+ (.*) ✅""),'Quartier prepositio"&amp;"ns'!A:E, 5, 0) ,  if(H5187=""region"",vlookup(REGEXEXTRACT(C5187, ""🏘️ \w+ \w+ (.*) ✅""),'Region prepositions'!B:F, 5, 0),  REGEXEXTRACT(C5187, ""🏘️ \w+ \w+ (.*) ✅""))))"),"#N/A")</f>
        <v>#N/A</v>
      </c>
      <c r="I5187" s="4" t="str">
        <f>IFERROR(__xludf.DUMMYFUNCTION("if(D5187=""variant"",  substitute(filter(Templates!E:E, Templates!A:A = F5187, Templates!B:B = G5187, Templates!C:C = H5187), ""{{}}"", E5187), B5187)"),"Vendre maison Roche VD: Trouvez le bien immobilier qui correspond idéalement à vos désirs sur ImmoScout24 - La plateforme de l'immobilier en Suisse.")</f>
        <v>Vendre maison Roche VD: Trouvez le bien immobilier qui correspond idéalement à vos désirs sur ImmoScout24 - La plateforme de l'immobilier en Suisse.</v>
      </c>
    </row>
    <row r="5188" hidden="1">
      <c r="A5188" s="5" t="s">
        <v>13473</v>
      </c>
      <c r="B5188" s="2" t="s">
        <v>13474</v>
      </c>
      <c r="C5188" s="2" t="s">
        <v>13474</v>
      </c>
      <c r="D5188" s="4" t="str">
        <f>vlookup(A5188, Sheet2!D:E, 2, 0)</f>
        <v>control</v>
      </c>
      <c r="E5188" s="4" t="str">
        <f>IFERROR(__xludf.DUMMYFUNCTION("if(H5188=""pays"",vlookup(REGEXEXTRACT(C5188, ""🏘️ \w+ \w+ (.*) ✅""),'Country prepositions'!A:B, 2, 0) &amp; "" "" &amp; REGEXEXTRACT(C5188, ""🏘️ \w+ \w+ (.*) ✅"") ,  if(H5188=""quartier"",vlookup(REGEXEXTRACT(C5188, ""🏘️ \w+ \w+ (.*) ✅""),'Quartier prepositio"&amp;"ns'!A:E, 5, 0) ,  if(H5188=""region"",vlookup(REGEXEXTRACT(C5188, ""🏘️ \w+ \w+ (.*) ✅""),'Region prepositions'!B:F, 5, 0),  REGEXEXTRACT(C5188, ""🏘️ \w+ \w+ (.*) ✅""))))"),"#N/A")</f>
        <v>#N/A</v>
      </c>
      <c r="I5188" s="4" t="str">
        <f>IFERROR(__xludf.DUMMYFUNCTION("if(D5188=""variant"",  substitute(filter(Templates!E:E, Templates!A:A = F5188, Templates!B:B = G5188, Templates!C:C = H5188), ""{{}}"", E5188), B5188)"),"Vendre appartement Schmitten (Albula): Trouvez le bien immobilier qui correspond idéalement à vos désirs sur ImmoScout24 - La plateforme de l'immobilier en Suisse.")</f>
        <v>Vendre appartement Schmitten (Albula): Trouvez le bien immobilier qui correspond idéalement à vos désirs sur ImmoScout24 - La plateforme de l'immobilier en Suisse.</v>
      </c>
    </row>
    <row r="5189" hidden="1">
      <c r="A5189" s="5" t="s">
        <v>13475</v>
      </c>
      <c r="B5189" s="2" t="s">
        <v>13476</v>
      </c>
      <c r="C5189" s="2" t="s">
        <v>13476</v>
      </c>
      <c r="D5189" s="4" t="str">
        <f>vlookup(A5189, Sheet2!D:E, 2, 0)</f>
        <v>control</v>
      </c>
      <c r="E5189" s="4" t="str">
        <f>IFERROR(__xludf.DUMMYFUNCTION("if(H5189=""pays"",vlookup(REGEXEXTRACT(C5189, ""🏘️ \w+ \w+ (.*) ✅""),'Country prepositions'!A:B, 2, 0) &amp; "" "" &amp; REGEXEXTRACT(C5189, ""🏘️ \w+ \w+ (.*) ✅"") ,  if(H5189=""quartier"",vlookup(REGEXEXTRACT(C5189, ""🏘️ \w+ \w+ (.*) ✅""),'Quartier prepositio"&amp;"ns'!A:E, 5, 0) ,  if(H5189=""region"",vlookup(REGEXEXTRACT(C5189, ""🏘️ \w+ \w+ (.*) ✅""),'Region prepositions'!B:F, 5, 0),  REGEXEXTRACT(C5189, ""🏘️ \w+ \w+ (.*) ✅""))))"),"#N/A")</f>
        <v>#N/A</v>
      </c>
      <c r="I5189" s="4" t="str">
        <f>IFERROR(__xludf.DUMMYFUNCTION("if(D5189=""variant"",  substitute(filter(Templates!E:E, Templates!A:A = F5189, Templates!B:B = G5189, Templates!C:C = H5189), ""{{}}"", E5189), B5189)"),"Vendre maison Burgistein: Trouvez le bien immobilier qui correspond idéalement à vos désirs sur ImmoScout24 - La plateforme de l'immobilier en Suisse.")</f>
        <v>Vendre maison Burgistein: Trouvez le bien immobilier qui correspond idéalement à vos désirs sur ImmoScout24 - La plateforme de l'immobilier en Suisse.</v>
      </c>
    </row>
    <row r="5190" hidden="1">
      <c r="A5190" s="5" t="s">
        <v>13477</v>
      </c>
      <c r="B5190" s="2" t="s">
        <v>13478</v>
      </c>
      <c r="C5190" s="2" t="s">
        <v>13478</v>
      </c>
      <c r="D5190" s="4" t="str">
        <f>vlookup(A5190, Sheet2!D:E, 2, 0)</f>
        <v>control</v>
      </c>
      <c r="E5190" s="4" t="str">
        <f>IFERROR(__xludf.DUMMYFUNCTION("if(H5190=""pays"",vlookup(REGEXEXTRACT(C5190, ""🏘️ \w+ \w+ (.*) ✅""),'Country prepositions'!A:B, 2, 0) &amp; "" "" &amp; REGEXEXTRACT(C5190, ""🏘️ \w+ \w+ (.*) ✅"") ,  if(H5190=""quartier"",vlookup(REGEXEXTRACT(C5190, ""🏘️ \w+ \w+ (.*) ✅""),'Quartier prepositio"&amp;"ns'!A:E, 5, 0) ,  if(H5190=""region"",vlookup(REGEXEXTRACT(C5190, ""🏘️ \w+ \w+ (.*) ✅""),'Region prepositions'!B:F, 5, 0),  REGEXEXTRACT(C5190, ""🏘️ \w+ \w+ (.*) ✅""))))"),"#N/A")</f>
        <v>#N/A</v>
      </c>
      <c r="I5190" s="4" t="str">
        <f>IFERROR(__xludf.DUMMYFUNCTION("if(D5190=""variant"",  substitute(filter(Templates!E:E, Templates!A:A = F5190, Templates!B:B = G5190, Templates!C:C = H5190), ""{{}}"", E5190), B5190)"),"Louer appartement Castrisch: Trouvez le bien immobilier qui correspond idéalement à vos désirs sur ImmoScout24 - La plateforme de l'immobilier en Suisse.")</f>
        <v>Louer appartement Castrisch: Trouvez le bien immobilier qui correspond idéalement à vos désirs sur ImmoScout24 - La plateforme de l'immobilier en Suisse.</v>
      </c>
    </row>
    <row r="5191" hidden="1">
      <c r="A5191" s="5" t="s">
        <v>13479</v>
      </c>
      <c r="B5191" s="2" t="s">
        <v>13480</v>
      </c>
      <c r="C5191" s="2" t="s">
        <v>13480</v>
      </c>
      <c r="D5191" s="4" t="str">
        <f>vlookup(A5191, Sheet2!D:E, 2, 0)</f>
        <v>control</v>
      </c>
      <c r="E5191" s="4" t="str">
        <f>IFERROR(__xludf.DUMMYFUNCTION("if(H5191=""pays"",vlookup(REGEXEXTRACT(C5191, ""🏘️ \w+ \w+ (.*) ✅""),'Country prepositions'!A:B, 2, 0) &amp; "" "" &amp; REGEXEXTRACT(C5191, ""🏘️ \w+ \w+ (.*) ✅"") ,  if(H5191=""quartier"",vlookup(REGEXEXTRACT(C5191, ""🏘️ \w+ \w+ (.*) ✅""),'Quartier prepositio"&amp;"ns'!A:E, 5, 0) ,  if(H5191=""region"",vlookup(REGEXEXTRACT(C5191, ""🏘️ \w+ \w+ (.*) ✅""),'Region prepositions'!B:F, 5, 0),  REGEXEXTRACT(C5191, ""🏘️ \w+ \w+ (.*) ✅""))))"),"#N/A")</f>
        <v>#N/A</v>
      </c>
      <c r="I5191" s="4" t="str">
        <f>IFERROR(__xludf.DUMMYFUNCTION("if(D5191=""variant"",  substitute(filter(Templates!E:E, Templates!A:A = F5191, Templates!B:B = G5191, Templates!C:C = H5191), ""{{}}"", E5191), B5191)"),"Vendre maison Chailly-Montreux: Trouvez le bien immobilier qui correspond idéalement à vos désirs sur ImmoScout24 - La plateforme de l'immobilier en Suisse.")</f>
        <v>Vendre maison Chailly-Montreux: Trouvez le bien immobilier qui correspond idéalement à vos désirs sur ImmoScout24 - La plateforme de l'immobilier en Suisse.</v>
      </c>
    </row>
    <row r="5192" hidden="1">
      <c r="A5192" s="5" t="s">
        <v>13481</v>
      </c>
      <c r="B5192" s="2" t="s">
        <v>13482</v>
      </c>
      <c r="C5192" s="2" t="s">
        <v>13482</v>
      </c>
      <c r="D5192" s="4" t="str">
        <f>vlookup(A5192, Sheet2!D:E, 2, 0)</f>
        <v>control</v>
      </c>
      <c r="E5192" s="4" t="str">
        <f>IFERROR(__xludf.DUMMYFUNCTION("if(H5192=""pays"",vlookup(REGEXEXTRACT(C5192, ""🏘️ \w+ \w+ (.*) ✅""),'Country prepositions'!A:B, 2, 0) &amp; "" "" &amp; REGEXEXTRACT(C5192, ""🏘️ \w+ \w+ (.*) ✅"") ,  if(H5192=""quartier"",vlookup(REGEXEXTRACT(C5192, ""🏘️ \w+ \w+ (.*) ✅""),'Quartier prepositio"&amp;"ns'!A:E, 5, 0) ,  if(H5192=""region"",vlookup(REGEXEXTRACT(C5192, ""🏘️ \w+ \w+ (.*) ✅""),'Region prepositions'!B:F, 5, 0),  REGEXEXTRACT(C5192, ""🏘️ \w+ \w+ (.*) ✅""))))"),"#N/A")</f>
        <v>#N/A</v>
      </c>
      <c r="I5192" s="4" t="str">
        <f>IFERROR(__xludf.DUMMYFUNCTION("if(D5192=""variant"",  substitute(filter(Templates!E:E, Templates!A:A = F5192, Templates!B:B = G5192, Templates!C:C = H5192), ""{{}}"", E5192), B5192)"),"Louer appartement Montmollin: Trouvez le bien immobilier qui correspond idéalement à vos désirs sur ImmoScout24 - La plateforme de l'immobilier en Suisse.")</f>
        <v>Louer appartement Montmollin: Trouvez le bien immobilier qui correspond idéalement à vos désirs sur ImmoScout24 - La plateforme de l'immobilier en Suisse.</v>
      </c>
    </row>
    <row r="5193" hidden="1">
      <c r="A5193" s="5" t="s">
        <v>13483</v>
      </c>
      <c r="B5193" s="2" t="s">
        <v>13484</v>
      </c>
      <c r="C5193" s="2" t="s">
        <v>13484</v>
      </c>
      <c r="D5193" s="4" t="str">
        <f>vlookup(A5193, Sheet2!D:E, 2, 0)</f>
        <v>control</v>
      </c>
      <c r="E5193" s="4" t="str">
        <f>IFERROR(__xludf.DUMMYFUNCTION("if(H5193=""pays"",vlookup(REGEXEXTRACT(C5193, ""🏘️ \w+ \w+ (.*) ✅""),'Country prepositions'!A:B, 2, 0) &amp; "" "" &amp; REGEXEXTRACT(C5193, ""🏘️ \w+ \w+ (.*) ✅"") ,  if(H5193=""quartier"",vlookup(REGEXEXTRACT(C5193, ""🏘️ \w+ \w+ (.*) ✅""),'Quartier prepositio"&amp;"ns'!A:E, 5, 0) ,  if(H5193=""region"",vlookup(REGEXEXTRACT(C5193, ""🏘️ \w+ \w+ (.*) ✅""),'Region prepositions'!B:F, 5, 0),  REGEXEXTRACT(C5193, ""🏘️ \w+ \w+ (.*) ✅""))))"),"#N/A")</f>
        <v>#N/A</v>
      </c>
      <c r="I5193" s="4" t="str">
        <f>IFERROR(__xludf.DUMMYFUNCTION("if(D5193=""variant"",  substitute(filter(Templates!E:E, Templates!A:A = F5193, Templates!B:B = G5193, Templates!C:C = H5193), ""{{}}"", E5193), B5193)"),"Vendre maison Wynigen: Trouvez le bien immobilier qui correspond idéalement à vos désirs sur ImmoScout24 - La plateforme de l'immobilier en Suisse.")</f>
        <v>Vendre maison Wynigen: Trouvez le bien immobilier qui correspond idéalement à vos désirs sur ImmoScout24 - La plateforme de l'immobilier en Suisse.</v>
      </c>
    </row>
    <row r="5194" hidden="1">
      <c r="A5194" s="5" t="s">
        <v>13485</v>
      </c>
      <c r="B5194" s="2" t="s">
        <v>13486</v>
      </c>
      <c r="C5194" s="2" t="s">
        <v>13486</v>
      </c>
      <c r="D5194" s="4" t="str">
        <f>vlookup(A5194, Sheet2!D:E, 2, 0)</f>
        <v>control</v>
      </c>
      <c r="E5194" s="4" t="str">
        <f>IFERROR(__xludf.DUMMYFUNCTION("if(H5194=""pays"",vlookup(REGEXEXTRACT(C5194, ""🏘️ \w+ \w+ (.*) ✅""),'Country prepositions'!A:B, 2, 0) &amp; "" "" &amp; REGEXEXTRACT(C5194, ""🏘️ \w+ \w+ (.*) ✅"") ,  if(H5194=""quartier"",vlookup(REGEXEXTRACT(C5194, ""🏘️ \w+ \w+ (.*) ✅""),'Quartier prepositio"&amp;"ns'!A:E, 5, 0) ,  if(H5194=""region"",vlookup(REGEXEXTRACT(C5194, ""🏘️ \w+ \w+ (.*) ✅""),'Region prepositions'!B:F, 5, 0),  REGEXEXTRACT(C5194, ""🏘️ \w+ \w+ (.*) ✅""))))"),"#N/A")</f>
        <v>#N/A</v>
      </c>
      <c r="I5194" s="4" t="str">
        <f>IFERROR(__xludf.DUMMYFUNCTION("if(D5194=""variant"",  substitute(filter(Templates!E:E, Templates!A:A = F5194, Templates!B:B = G5194, Templates!C:C = H5194), ""{{}}"", E5194), B5194)"),"Louer maison Siviriez: Trouvez le bien immobilier qui correspond idéalement à vos désirs sur ImmoScout24 - La plateforme de l'immobilier en Suisse.")</f>
        <v>Louer maison Siviriez: Trouvez le bien immobilier qui correspond idéalement à vos désirs sur ImmoScout24 - La plateforme de l'immobilier en Suisse.</v>
      </c>
    </row>
    <row r="5195" hidden="1">
      <c r="A5195" s="5" t="s">
        <v>13487</v>
      </c>
      <c r="B5195" s="2" t="s">
        <v>13488</v>
      </c>
      <c r="C5195" s="2" t="s">
        <v>13488</v>
      </c>
      <c r="D5195" s="4" t="str">
        <f>vlookup(A5195, Sheet2!D:E, 2, 0)</f>
        <v>control</v>
      </c>
      <c r="E5195" s="4" t="str">
        <f>IFERROR(__xludf.DUMMYFUNCTION("if(H5195=""pays"",vlookup(REGEXEXTRACT(C5195, ""🏘️ \w+ \w+ (.*) ✅""),'Country prepositions'!A:B, 2, 0) &amp; "" "" &amp; REGEXEXTRACT(C5195, ""🏘️ \w+ \w+ (.*) ✅"") ,  if(H5195=""quartier"",vlookup(REGEXEXTRACT(C5195, ""🏘️ \w+ \w+ (.*) ✅""),'Quartier prepositio"&amp;"ns'!A:E, 5, 0) ,  if(H5195=""region"",vlookup(REGEXEXTRACT(C5195, ""🏘️ \w+ \w+ (.*) ✅""),'Region prepositions'!B:F, 5, 0),  REGEXEXTRACT(C5195, ""🏘️ \w+ \w+ (.*) ✅""))))"),"#N/A")</f>
        <v>#N/A</v>
      </c>
      <c r="I5195" s="4" t="str">
        <f>IFERROR(__xludf.DUMMYFUNCTION("if(D5195=""variant"",  substitute(filter(Templates!E:E, Templates!A:A = F5195, Templates!B:B = G5195, Templates!C:C = H5195), ""{{}}"", E5195), B5195)"),"Louer appartement Flawil: Trouvez le bien immobilier qui correspond idéalement à vos désirs sur ImmoScout24 - La plateforme de l'immobilier en Suisse.")</f>
        <v>Louer appartement Flawil: Trouvez le bien immobilier qui correspond idéalement à vos désirs sur ImmoScout24 - La plateforme de l'immobilier en Suisse.</v>
      </c>
    </row>
    <row r="5196" hidden="1">
      <c r="A5196" s="5" t="s">
        <v>13489</v>
      </c>
      <c r="B5196" s="2" t="s">
        <v>13490</v>
      </c>
      <c r="C5196" s="2" t="s">
        <v>13490</v>
      </c>
      <c r="D5196" s="4" t="str">
        <f>vlookup(A5196, Sheet2!D:E, 2, 0)</f>
        <v>control</v>
      </c>
      <c r="E5196" s="4" t="str">
        <f>IFERROR(__xludf.DUMMYFUNCTION("if(H5196=""pays"",vlookup(REGEXEXTRACT(C5196, ""🏘️ \w+ \w+ (.*) ✅""),'Country prepositions'!A:B, 2, 0) &amp; "" "" &amp; REGEXEXTRACT(C5196, ""🏘️ \w+ \w+ (.*) ✅"") ,  if(H5196=""quartier"",vlookup(REGEXEXTRACT(C5196, ""🏘️ \w+ \w+ (.*) ✅""),'Quartier prepositio"&amp;"ns'!A:E, 5, 0) ,  if(H5196=""region"",vlookup(REGEXEXTRACT(C5196, ""🏘️ \w+ \w+ (.*) ✅""),'Region prepositions'!B:F, 5, 0),  REGEXEXTRACT(C5196, ""🏘️ \w+ \w+ (.*) ✅""))))"),"#N/A")</f>
        <v>#N/A</v>
      </c>
      <c r="I5196" s="4" t="str">
        <f>IFERROR(__xludf.DUMMYFUNCTION("if(D5196=""variant"",  substitute(filter(Templates!E:E, Templates!A:A = F5196, Templates!B:B = G5196, Templates!C:C = H5196), ""{{}}"", E5196), B5196)"),"Louer appartement Hendschiken: Trouvez le bien immobilier qui correspond idéalement à vos désirs sur ImmoScout24 - La plateforme de l'immobilier en Suisse.")</f>
        <v>Louer appartement Hendschiken: Trouvez le bien immobilier qui correspond idéalement à vos désirs sur ImmoScout24 - La plateforme de l'immobilier en Suisse.</v>
      </c>
    </row>
    <row r="5197" hidden="1">
      <c r="A5197" s="5" t="s">
        <v>13491</v>
      </c>
      <c r="B5197" s="2" t="s">
        <v>13492</v>
      </c>
      <c r="C5197" s="2" t="s">
        <v>13492</v>
      </c>
      <c r="D5197" s="4" t="str">
        <f>vlookup(A5197, Sheet2!D:E, 2, 0)</f>
        <v>control</v>
      </c>
      <c r="E5197" s="4" t="str">
        <f>IFERROR(__xludf.DUMMYFUNCTION("if(H5197=""pays"",vlookup(REGEXEXTRACT(C5197, ""🏘️ \w+ \w+ (.*) ✅""),'Country prepositions'!A:B, 2, 0) &amp; "" "" &amp; REGEXEXTRACT(C5197, ""🏘️ \w+ \w+ (.*) ✅"") ,  if(H5197=""quartier"",vlookup(REGEXEXTRACT(C5197, ""🏘️ \w+ \w+ (.*) ✅""),'Quartier prepositio"&amp;"ns'!A:E, 5, 0) ,  if(H5197=""region"",vlookup(REGEXEXTRACT(C5197, ""🏘️ \w+ \w+ (.*) ✅""),'Region prepositions'!B:F, 5, 0),  REGEXEXTRACT(C5197, ""🏘️ \w+ \w+ (.*) ✅""))))"),"#N/A")</f>
        <v>#N/A</v>
      </c>
      <c r="I5197" s="4" t="str">
        <f>IFERROR(__xludf.DUMMYFUNCTION("if(D5197=""variant"",  substitute(filter(Templates!E:E, Templates!A:A = F5197, Templates!B:B = G5197, Templates!C:C = H5197), ""{{}}"", E5197), B5197)"),"Louer appartement Safnern: Trouvez le bien immobilier qui correspond idéalement à vos désirs sur ImmoScout24 - La plateforme de l'immobilier en Suisse.")</f>
        <v>Louer appartement Safnern: Trouvez le bien immobilier qui correspond idéalement à vos désirs sur ImmoScout24 - La plateforme de l'immobilier en Suisse.</v>
      </c>
    </row>
    <row r="5198" hidden="1">
      <c r="A5198" s="5" t="s">
        <v>13493</v>
      </c>
      <c r="B5198" s="2" t="s">
        <v>13494</v>
      </c>
      <c r="C5198" s="2" t="s">
        <v>13494</v>
      </c>
      <c r="D5198" s="4" t="str">
        <f>vlookup(A5198, Sheet2!D:E, 2, 0)</f>
        <v>control</v>
      </c>
      <c r="E5198" s="4" t="str">
        <f>IFERROR(__xludf.DUMMYFUNCTION("if(H5198=""pays"",vlookup(REGEXEXTRACT(C5198, ""🏘️ \w+ \w+ (.*) ✅""),'Country prepositions'!A:B, 2, 0) &amp; "" "" &amp; REGEXEXTRACT(C5198, ""🏘️ \w+ \w+ (.*) ✅"") ,  if(H5198=""quartier"",vlookup(REGEXEXTRACT(C5198, ""🏘️ \w+ \w+ (.*) ✅""),'Quartier prepositio"&amp;"ns'!A:E, 5, 0) ,  if(H5198=""region"",vlookup(REGEXEXTRACT(C5198, ""🏘️ \w+ \w+ (.*) ✅""),'Region prepositions'!B:F, 5, 0),  REGEXEXTRACT(C5198, ""🏘️ \w+ \w+ (.*) ✅""))))"),"#N/A")</f>
        <v>#N/A</v>
      </c>
      <c r="I5198" s="4" t="str">
        <f>IFERROR(__xludf.DUMMYFUNCTION("if(D5198=""variant"",  substitute(filter(Templates!E:E, Templates!A:A = F5198, Templates!B:B = G5198, Templates!C:C = H5198), ""{{}}"", E5198), B5198)"),"Louer maison Wassen UR: Trouvez le bien immobilier qui correspond idéalement à vos désirs sur ImmoScout24 - La plateforme de l'immobilier en Suisse.")</f>
        <v>Louer maison Wassen UR: Trouvez le bien immobilier qui correspond idéalement à vos désirs sur ImmoScout24 - La plateforme de l'immobilier en Suisse.</v>
      </c>
    </row>
    <row r="5199" hidden="1">
      <c r="A5199" s="5" t="s">
        <v>13495</v>
      </c>
      <c r="B5199" s="2" t="s">
        <v>13496</v>
      </c>
      <c r="C5199" s="2" t="s">
        <v>13496</v>
      </c>
      <c r="D5199" s="4" t="str">
        <f>vlookup(A5199, Sheet2!D:E, 2, 0)</f>
        <v>control</v>
      </c>
      <c r="E5199" s="4" t="str">
        <f>IFERROR(__xludf.DUMMYFUNCTION("if(H5199=""pays"",vlookup(REGEXEXTRACT(C5199, ""🏘️ \w+ \w+ (.*) ✅""),'Country prepositions'!A:B, 2, 0) &amp; "" "" &amp; REGEXEXTRACT(C5199, ""🏘️ \w+ \w+ (.*) ✅"") ,  if(H5199=""quartier"",vlookup(REGEXEXTRACT(C5199, ""🏘️ \w+ \w+ (.*) ✅""),'Quartier prepositio"&amp;"ns'!A:E, 5, 0) ,  if(H5199=""region"",vlookup(REGEXEXTRACT(C5199, ""🏘️ \w+ \w+ (.*) ✅""),'Region prepositions'!B:F, 5, 0),  REGEXEXTRACT(C5199, ""🏘️ \w+ \w+ (.*) ✅""))))"),"#N/A")</f>
        <v>#N/A</v>
      </c>
      <c r="I5199" s="4" t="str">
        <f>IFERROR(__xludf.DUMMYFUNCTION("if(D5199=""variant"",  substitute(filter(Templates!E:E, Templates!A:A = F5199, Templates!B:B = G5199, Templates!C:C = H5199), ""{{}}"", E5199), B5199)"),"Louer maison Penthalaz: Trouvez le bien immobilier qui correspond idéalement à vos désirs sur ImmoScout24 - La plateforme de l'immobilier en Suisse.")</f>
        <v>Louer maison Penthalaz: Trouvez le bien immobilier qui correspond idéalement à vos désirs sur ImmoScout24 - La plateforme de l'immobilier en Suisse.</v>
      </c>
    </row>
    <row r="5200" hidden="1">
      <c r="A5200" s="5" t="s">
        <v>13497</v>
      </c>
      <c r="B5200" s="2" t="s">
        <v>13498</v>
      </c>
      <c r="C5200" s="2" t="s">
        <v>13498</v>
      </c>
      <c r="D5200" s="4" t="str">
        <f>vlookup(A5200, Sheet2!D:E, 2, 0)</f>
        <v>control</v>
      </c>
      <c r="E5200" s="4" t="str">
        <f>IFERROR(__xludf.DUMMYFUNCTION("if(H5200=""pays"",vlookup(REGEXEXTRACT(C5200, ""🏘️ \w+ \w+ (.*) ✅""),'Country prepositions'!A:B, 2, 0) &amp; "" "" &amp; REGEXEXTRACT(C5200, ""🏘️ \w+ \w+ (.*) ✅"") ,  if(H5200=""quartier"",vlookup(REGEXEXTRACT(C5200, ""🏘️ \w+ \w+ (.*) ✅""),'Quartier prepositio"&amp;"ns'!A:E, 5, 0) ,  if(H5200=""region"",vlookup(REGEXEXTRACT(C5200, ""🏘️ \w+ \w+ (.*) ✅""),'Region prepositions'!B:F, 5, 0),  REGEXEXTRACT(C5200, ""🏘️ \w+ \w+ (.*) ✅""))))"),"#N/A")</f>
        <v>#N/A</v>
      </c>
      <c r="I5200" s="4" t="str">
        <f>IFERROR(__xludf.DUMMYFUNCTION("if(D5200=""variant"",  substitute(filter(Templates!E:E, Templates!A:A = F5200, Templates!B:B = G5200, Templates!C:C = H5200), ""{{}}"", E5200), B5200)"),"Vendre maison Bissone: Trouvez le bien immobilier qui correspond idéalement à vos désirs sur ImmoScout24 - La plateforme de l'immobilier en Suisse.")</f>
        <v>Vendre maison Bissone: Trouvez le bien immobilier qui correspond idéalement à vos désirs sur ImmoScout24 - La plateforme de l'immobilier en Suisse.</v>
      </c>
    </row>
    <row r="5201" hidden="1">
      <c r="A5201" s="5" t="s">
        <v>13499</v>
      </c>
      <c r="B5201" s="2" t="s">
        <v>13500</v>
      </c>
      <c r="C5201" s="2" t="s">
        <v>13500</v>
      </c>
      <c r="D5201" s="4" t="str">
        <f>vlookup(A5201, Sheet2!D:E, 2, 0)</f>
        <v>control</v>
      </c>
      <c r="E5201" s="4" t="str">
        <f>IFERROR(__xludf.DUMMYFUNCTION("if(H5201=""pays"",vlookup(REGEXEXTRACT(C5201, ""🏘️ \w+ \w+ (.*) ✅""),'Country prepositions'!A:B, 2, 0) &amp; "" "" &amp; REGEXEXTRACT(C5201, ""🏘️ \w+ \w+ (.*) ✅"") ,  if(H5201=""quartier"",vlookup(REGEXEXTRACT(C5201, ""🏘️ \w+ \w+ (.*) ✅""),'Quartier prepositio"&amp;"ns'!A:E, 5, 0) ,  if(H5201=""region"",vlookup(REGEXEXTRACT(C5201, ""🏘️ \w+ \w+ (.*) ✅""),'Region prepositions'!B:F, 5, 0),  REGEXEXTRACT(C5201, ""🏘️ \w+ \w+ (.*) ✅""))))"),"#N/A")</f>
        <v>#N/A</v>
      </c>
      <c r="I5201" s="4" t="str">
        <f>IFERROR(__xludf.DUMMYFUNCTION("if(D5201=""variant"",  substitute(filter(Templates!E:E, Templates!A:A = F5201, Templates!B:B = G5201, Templates!C:C = H5201), ""{{}}"", E5201), B5201)"),"Vendre maison Les Genevez JU: Trouvez le bien immobilier qui correspond idéalement à vos désirs sur ImmoScout24 - La plateforme de l'immobilier en Suisse.")</f>
        <v>Vendre maison Les Genevez JU: Trouvez le bien immobilier qui correspond idéalement à vos désirs sur ImmoScout24 - La plateforme de l'immobilier en Suisse.</v>
      </c>
    </row>
    <row r="5202" hidden="1">
      <c r="A5202" s="5" t="s">
        <v>13501</v>
      </c>
      <c r="B5202" s="2" t="s">
        <v>13502</v>
      </c>
      <c r="C5202" s="2" t="s">
        <v>13502</v>
      </c>
      <c r="D5202" s="4" t="str">
        <f>vlookup(A5202, Sheet2!D:E, 2, 0)</f>
        <v>control</v>
      </c>
      <c r="E5202" s="4" t="str">
        <f>IFERROR(__xludf.DUMMYFUNCTION("if(H5202=""pays"",vlookup(REGEXEXTRACT(C5202, ""🏘️ \w+ \w+ (.*) ✅""),'Country prepositions'!A:B, 2, 0) &amp; "" "" &amp; REGEXEXTRACT(C5202, ""🏘️ \w+ \w+ (.*) ✅"") ,  if(H5202=""quartier"",vlookup(REGEXEXTRACT(C5202, ""🏘️ \w+ \w+ (.*) ✅""),'Quartier prepositio"&amp;"ns'!A:E, 5, 0) ,  if(H5202=""region"",vlookup(REGEXEXTRACT(C5202, ""🏘️ \w+ \w+ (.*) ✅""),'Region prepositions'!B:F, 5, 0),  REGEXEXTRACT(C5202, ""🏘️ \w+ \w+ (.*) ✅""))))"),"#N/A")</f>
        <v>#N/A</v>
      </c>
      <c r="I5202" s="4" t="str">
        <f>IFERROR(__xludf.DUMMYFUNCTION("if(D5202=""variant"",  substitute(filter(Templates!E:E, Templates!A:A = F5202, Templates!B:B = G5202, Templates!C:C = H5202), ""{{}}"", E5202), B5202)"),"Vendre maison Meinisberg: Trouvez le bien immobilier qui correspond idéalement à vos désirs sur ImmoScout24 - La plateforme de l'immobilier en Suisse.")</f>
        <v>Vendre maison Meinisberg: Trouvez le bien immobilier qui correspond idéalement à vos désirs sur ImmoScout24 - La plateforme de l'immobilier en Suisse.</v>
      </c>
    </row>
    <row r="5203" hidden="1">
      <c r="A5203" s="5" t="s">
        <v>13503</v>
      </c>
      <c r="B5203" s="2" t="s">
        <v>13504</v>
      </c>
      <c r="C5203" s="2" t="s">
        <v>13504</v>
      </c>
      <c r="D5203" s="4" t="str">
        <f>vlookup(A5203, Sheet2!D:E, 2, 0)</f>
        <v>control</v>
      </c>
      <c r="E5203" s="4" t="str">
        <f>IFERROR(__xludf.DUMMYFUNCTION("if(H5203=""pays"",vlookup(REGEXEXTRACT(C5203, ""🏘️ \w+ \w+ (.*) ✅""),'Country prepositions'!A:B, 2, 0) &amp; "" "" &amp; REGEXEXTRACT(C5203, ""🏘️ \w+ \w+ (.*) ✅"") ,  if(H5203=""quartier"",vlookup(REGEXEXTRACT(C5203, ""🏘️ \w+ \w+ (.*) ✅""),'Quartier prepositio"&amp;"ns'!A:E, 5, 0) ,  if(H5203=""region"",vlookup(REGEXEXTRACT(C5203, ""🏘️ \w+ \w+ (.*) ✅""),'Region prepositions'!B:F, 5, 0),  REGEXEXTRACT(C5203, ""🏘️ \w+ \w+ (.*) ✅""))))"),"#N/A")</f>
        <v>#N/A</v>
      </c>
      <c r="I5203" s="4" t="str">
        <f>IFERROR(__xludf.DUMMYFUNCTION("if(D5203=""variant"",  substitute(filter(Templates!E:E, Templates!A:A = F5203, Templates!B:B = G5203, Templates!C:C = H5203), ""{{}}"", E5203), B5203)"),"Louer maison Frasses: Trouvez le bien immobilier qui correspond idéalement à vos désirs sur ImmoScout24 - La plateforme de l'immobilier en Suisse.")</f>
        <v>Louer maison Frasses: Trouvez le bien immobilier qui correspond idéalement à vos désirs sur ImmoScout24 - La plateforme de l'immobilier en Suisse.</v>
      </c>
    </row>
    <row r="5204" hidden="1">
      <c r="A5204" s="5" t="s">
        <v>13505</v>
      </c>
      <c r="B5204" s="2" t="s">
        <v>13506</v>
      </c>
      <c r="C5204" s="2" t="s">
        <v>13506</v>
      </c>
      <c r="D5204" s="4" t="str">
        <f>vlookup(A5204, Sheet2!D:E, 2, 0)</f>
        <v>control</v>
      </c>
      <c r="E5204" s="4" t="str">
        <f>IFERROR(__xludf.DUMMYFUNCTION("if(H5204=""pays"",vlookup(REGEXEXTRACT(C5204, ""🏘️ \w+ \w+ (.*) ✅""),'Country prepositions'!A:B, 2, 0) &amp; "" "" &amp; REGEXEXTRACT(C5204, ""🏘️ \w+ \w+ (.*) ✅"") ,  if(H5204=""quartier"",vlookup(REGEXEXTRACT(C5204, ""🏘️ \w+ \w+ (.*) ✅""),'Quartier prepositio"&amp;"ns'!A:E, 5, 0) ,  if(H5204=""region"",vlookup(REGEXEXTRACT(C5204, ""🏘️ \w+ \w+ (.*) ✅""),'Region prepositions'!B:F, 5, 0),  REGEXEXTRACT(C5204, ""🏘️ \w+ \w+ (.*) ✅""))))"),"#N/A")</f>
        <v>#N/A</v>
      </c>
      <c r="I5204" s="4" t="str">
        <f>IFERROR(__xludf.DUMMYFUNCTION("if(D5204=""variant"",  substitute(filter(Templates!E:E, Templates!A:A = F5204, Templates!B:B = G5204, Templates!C:C = H5204), ""{{}}"", E5204), B5204)"),"Vendre maison Fresens: Trouvez le bien immobilier qui correspond idéalement à vos désirs sur ImmoScout24 - La plateforme de l'immobilier en Suisse.")</f>
        <v>Vendre maison Fresens: Trouvez le bien immobilier qui correspond idéalement à vos désirs sur ImmoScout24 - La plateforme de l'immobilier en Suisse.</v>
      </c>
    </row>
    <row r="5205" hidden="1">
      <c r="A5205" s="5" t="s">
        <v>13507</v>
      </c>
      <c r="B5205" s="2" t="s">
        <v>13508</v>
      </c>
      <c r="C5205" s="2" t="s">
        <v>13508</v>
      </c>
      <c r="D5205" s="4" t="str">
        <f>vlookup(A5205, Sheet2!D:E, 2, 0)</f>
        <v>control</v>
      </c>
      <c r="E5205" s="4" t="str">
        <f>IFERROR(__xludf.DUMMYFUNCTION("if(H5205=""pays"",vlookup(REGEXEXTRACT(C5205, ""🏘️ \w+ \w+ (.*) ✅""),'Country prepositions'!A:B, 2, 0) &amp; "" "" &amp; REGEXEXTRACT(C5205, ""🏘️ \w+ \w+ (.*) ✅"") ,  if(H5205=""quartier"",vlookup(REGEXEXTRACT(C5205, ""🏘️ \w+ \w+ (.*) ✅""),'Quartier prepositio"&amp;"ns'!A:E, 5, 0) ,  if(H5205=""region"",vlookup(REGEXEXTRACT(C5205, ""🏘️ \w+ \w+ (.*) ✅""),'Region prepositions'!B:F, 5, 0),  REGEXEXTRACT(C5205, ""🏘️ \w+ \w+ (.*) ✅""))))"),"#N/A")</f>
        <v>#N/A</v>
      </c>
      <c r="I5205" s="4" t="str">
        <f>IFERROR(__xludf.DUMMYFUNCTION("if(D5205=""variant"",  substitute(filter(Templates!E:E, Templates!A:A = F5205, Templates!B:B = G5205, Templates!C:C = H5205), ""{{}}"", E5205), B5205)"),"Vendre maison Montana: Trouvez le bien immobilier qui correspond idéalement à vos désirs sur ImmoScout24 - La plateforme de l'immobilier en Suisse.")</f>
        <v>Vendre maison Montana: Trouvez le bien immobilier qui correspond idéalement à vos désirs sur ImmoScout24 - La plateforme de l'immobilier en Suisse.</v>
      </c>
    </row>
    <row r="5206" hidden="1">
      <c r="A5206" s="5" t="s">
        <v>13509</v>
      </c>
      <c r="B5206" s="2" t="s">
        <v>13510</v>
      </c>
      <c r="C5206" s="2" t="s">
        <v>13510</v>
      </c>
      <c r="D5206" s="4" t="str">
        <f>vlookup(A5206, Sheet2!D:E, 2, 0)</f>
        <v>control</v>
      </c>
      <c r="E5206" s="4" t="str">
        <f>IFERROR(__xludf.DUMMYFUNCTION("if(H5206=""pays"",vlookup(REGEXEXTRACT(C5206, ""🏘️ \w+ \w+ (.*) ✅""),'Country prepositions'!A:B, 2, 0) &amp; "" "" &amp; REGEXEXTRACT(C5206, ""🏘️ \w+ \w+ (.*) ✅"") ,  if(H5206=""quartier"",vlookup(REGEXEXTRACT(C5206, ""🏘️ \w+ \w+ (.*) ✅""),'Quartier prepositio"&amp;"ns'!A:E, 5, 0) ,  if(H5206=""region"",vlookup(REGEXEXTRACT(C5206, ""🏘️ \w+ \w+ (.*) ✅""),'Region prepositions'!B:F, 5, 0),  REGEXEXTRACT(C5206, ""🏘️ \w+ \w+ (.*) ✅""))))"),"#N/A")</f>
        <v>#N/A</v>
      </c>
      <c r="I5206" s="4" t="str">
        <f>IFERROR(__xludf.DUMMYFUNCTION("if(D5206=""variant"",  substitute(filter(Templates!E:E, Templates!A:A = F5206, Templates!B:B = G5206, Templates!C:C = H5206), ""{{}}"", E5206), B5206)"),"Louer maison Blatten b. Naters: Trouvez le bien immobilier qui correspond idéalement à vos désirs sur ImmoScout24 - La plateforme de l'immobilier en Suisse.")</f>
        <v>Louer maison Blatten b. Naters: Trouvez le bien immobilier qui correspond idéalement à vos désirs sur ImmoScout24 - La plateforme de l'immobilier en Suisse.</v>
      </c>
    </row>
    <row r="5207" hidden="1">
      <c r="A5207" s="5" t="s">
        <v>13511</v>
      </c>
      <c r="B5207" s="2" t="s">
        <v>13512</v>
      </c>
      <c r="C5207" s="2" t="s">
        <v>13512</v>
      </c>
      <c r="D5207" s="4" t="str">
        <f>vlookup(A5207, Sheet2!D:E, 2, 0)</f>
        <v>control</v>
      </c>
      <c r="E5207" s="4" t="str">
        <f>IFERROR(__xludf.DUMMYFUNCTION("if(H5207=""pays"",vlookup(REGEXEXTRACT(C5207, ""🏘️ \w+ \w+ (.*) ✅""),'Country prepositions'!A:B, 2, 0) &amp; "" "" &amp; REGEXEXTRACT(C5207, ""🏘️ \w+ \w+ (.*) ✅"") ,  if(H5207=""quartier"",vlookup(REGEXEXTRACT(C5207, ""🏘️ \w+ \w+ (.*) ✅""),'Quartier prepositio"&amp;"ns'!A:E, 5, 0) ,  if(H5207=""region"",vlookup(REGEXEXTRACT(C5207, ""🏘️ \w+ \w+ (.*) ✅""),'Region prepositions'!B:F, 5, 0),  REGEXEXTRACT(C5207, ""🏘️ \w+ \w+ (.*) ✅""))))"),"#N/A")</f>
        <v>#N/A</v>
      </c>
      <c r="I5207" s="4" t="str">
        <f>IFERROR(__xludf.DUMMYFUNCTION("if(D5207=""variant"",  substitute(filter(Templates!E:E, Templates!A:A = F5207, Templates!B:B = G5207, Templates!C:C = H5207), ""{{}}"", E5207), B5207)"),"Louer appartement Allemagne: Trouvez le bien immobilier qui correspond idéalement à vos désirs sur ImmoScout24 - La plateforme de l'immobilier en Suisse.")</f>
        <v>Louer appartement Allemagne: Trouvez le bien immobilier qui correspond idéalement à vos désirs sur ImmoScout24 - La plateforme de l'immobilier en Suisse.</v>
      </c>
    </row>
    <row r="5208" hidden="1">
      <c r="A5208" s="5" t="s">
        <v>13513</v>
      </c>
      <c r="B5208" s="2" t="s">
        <v>13514</v>
      </c>
      <c r="C5208" s="2" t="s">
        <v>13514</v>
      </c>
      <c r="D5208" s="4" t="str">
        <f>vlookup(A5208, Sheet2!D:E, 2, 0)</f>
        <v>control</v>
      </c>
      <c r="E5208" s="4" t="str">
        <f>IFERROR(__xludf.DUMMYFUNCTION("if(H5208=""pays"",vlookup(REGEXEXTRACT(C5208, ""🏘️ \w+ \w+ (.*) ✅""),'Country prepositions'!A:B, 2, 0) &amp; "" "" &amp; REGEXEXTRACT(C5208, ""🏘️ \w+ \w+ (.*) ✅"") ,  if(H5208=""quartier"",vlookup(REGEXEXTRACT(C5208, ""🏘️ \w+ \w+ (.*) ✅""),'Quartier prepositio"&amp;"ns'!A:E, 5, 0) ,  if(H5208=""region"",vlookup(REGEXEXTRACT(C5208, ""🏘️ \w+ \w+ (.*) ✅""),'Region prepositions'!B:F, 5, 0),  REGEXEXTRACT(C5208, ""🏘️ \w+ \w+ (.*) ✅""))))"),"#N/A")</f>
        <v>#N/A</v>
      </c>
      <c r="I5208" s="4" t="str">
        <f>IFERROR(__xludf.DUMMYFUNCTION("if(D5208=""variant"",  substitute(filter(Templates!E:E, Templates!A:A = F5208, Templates!B:B = G5208, Templates!C:C = H5208), ""{{}}"", E5208), B5208)"),"Vendre maison Chavannes-de-Bogis: Trouvez le bien immobilier qui correspond idéalement à vos désirs sur ImmoScout24 - La plateforme de l'immobilier en Suisse.")</f>
        <v>Vendre maison Chavannes-de-Bogis: Trouvez le bien immobilier qui correspond idéalement à vos désirs sur ImmoScout24 - La plateforme de l'immobilier en Suisse.</v>
      </c>
    </row>
    <row r="5209" hidden="1">
      <c r="A5209" s="5" t="s">
        <v>13515</v>
      </c>
      <c r="B5209" s="2" t="s">
        <v>13516</v>
      </c>
      <c r="C5209" s="2" t="s">
        <v>13516</v>
      </c>
      <c r="D5209" s="4" t="str">
        <f>vlookup(A5209, Sheet2!D:E, 2, 0)</f>
        <v>control</v>
      </c>
      <c r="E5209" s="4" t="str">
        <f>IFERROR(__xludf.DUMMYFUNCTION("if(H5209=""pays"",vlookup(REGEXEXTRACT(C5209, ""🏘️ \w+ \w+ (.*) ✅""),'Country prepositions'!A:B, 2, 0) &amp; "" "" &amp; REGEXEXTRACT(C5209, ""🏘️ \w+ \w+ (.*) ✅"") ,  if(H5209=""quartier"",vlookup(REGEXEXTRACT(C5209, ""🏘️ \w+ \w+ (.*) ✅""),'Quartier prepositio"&amp;"ns'!A:E, 5, 0) ,  if(H5209=""region"",vlookup(REGEXEXTRACT(C5209, ""🏘️ \w+ \w+ (.*) ✅""),'Region prepositions'!B:F, 5, 0),  REGEXEXTRACT(C5209, ""🏘️ \w+ \w+ (.*) ✅""))))"),"#N/A")</f>
        <v>#N/A</v>
      </c>
      <c r="I5209" s="4" t="str">
        <f>IFERROR(__xludf.DUMMYFUNCTION("if(D5209=""variant"",  substitute(filter(Templates!E:E, Templates!A:A = F5209, Templates!B:B = G5209, Templates!C:C = H5209), ""{{}}"", E5209), B5209)"),"Vendre maison St-Triphon: Trouvez le bien immobilier qui correspond idéalement à vos désirs sur ImmoScout24 - La plateforme de l'immobilier en Suisse.")</f>
        <v>Vendre maison St-Triphon: Trouvez le bien immobilier qui correspond idéalement à vos désirs sur ImmoScout24 - La plateforme de l'immobilier en Suisse.</v>
      </c>
    </row>
    <row r="5210" hidden="1">
      <c r="A5210" s="5" t="s">
        <v>13517</v>
      </c>
      <c r="B5210" s="2" t="s">
        <v>13518</v>
      </c>
      <c r="C5210" s="2" t="s">
        <v>13518</v>
      </c>
      <c r="D5210" s="4" t="str">
        <f>vlookup(A5210, Sheet2!D:E, 2, 0)</f>
        <v>control</v>
      </c>
      <c r="E5210" s="4" t="str">
        <f>IFERROR(__xludf.DUMMYFUNCTION("if(H5210=""pays"",vlookup(REGEXEXTRACT(C5210, ""🏘️ \w+ \w+ (.*) ✅""),'Country prepositions'!A:B, 2, 0) &amp; "" "" &amp; REGEXEXTRACT(C5210, ""🏘️ \w+ \w+ (.*) ✅"") ,  if(H5210=""quartier"",vlookup(REGEXEXTRACT(C5210, ""🏘️ \w+ \w+ (.*) ✅""),'Quartier prepositio"&amp;"ns'!A:E, 5, 0) ,  if(H5210=""region"",vlookup(REGEXEXTRACT(C5210, ""🏘️ \w+ \w+ (.*) ✅""),'Region prepositions'!B:F, 5, 0),  REGEXEXTRACT(C5210, ""🏘️ \w+ \w+ (.*) ✅""))))"),"#N/A")</f>
        <v>#N/A</v>
      </c>
      <c r="I5210" s="4" t="str">
        <f>IFERROR(__xludf.DUMMYFUNCTION("if(D5210=""variant"",  substitute(filter(Templates!E:E, Templates!A:A = F5210, Templates!B:B = G5210, Templates!C:C = H5210), ""{{}}"", E5210), B5210)"),"Vendre appartement St-Blaise: Trouvez le bien immobilier qui correspond idéalement à vos désirs sur ImmoScout24 - La plateforme de l'immobilier en Suisse.")</f>
        <v>Vendre appartement St-Blaise: Trouvez le bien immobilier qui correspond idéalement à vos désirs sur ImmoScout24 - La plateforme de l'immobilier en Suisse.</v>
      </c>
    </row>
    <row r="5211" hidden="1">
      <c r="A5211" s="5" t="s">
        <v>13519</v>
      </c>
      <c r="B5211" s="2" t="s">
        <v>13520</v>
      </c>
      <c r="C5211" s="2" t="s">
        <v>13520</v>
      </c>
      <c r="D5211" s="4" t="str">
        <f>vlookup(A5211, Sheet2!D:E, 2, 0)</f>
        <v>control</v>
      </c>
      <c r="E5211" s="4" t="str">
        <f>IFERROR(__xludf.DUMMYFUNCTION("if(H5211=""pays"",vlookup(REGEXEXTRACT(C5211, ""🏘️ \w+ \w+ (.*) ✅""),'Country prepositions'!A:B, 2, 0) &amp; "" "" &amp; REGEXEXTRACT(C5211, ""🏘️ \w+ \w+ (.*) ✅"") ,  if(H5211=""quartier"",vlookup(REGEXEXTRACT(C5211, ""🏘️ \w+ \w+ (.*) ✅""),'Quartier prepositio"&amp;"ns'!A:E, 5, 0) ,  if(H5211=""region"",vlookup(REGEXEXTRACT(C5211, ""🏘️ \w+ \w+ (.*) ✅""),'Region prepositions'!B:F, 5, 0),  REGEXEXTRACT(C5211, ""🏘️ \w+ \w+ (.*) ✅""))))"),"#N/A")</f>
        <v>#N/A</v>
      </c>
      <c r="I5211" s="4" t="str">
        <f>IFERROR(__xludf.DUMMYFUNCTION("if(D5211=""variant"",  substitute(filter(Templates!E:E, Templates!A:A = F5211, Templates!B:B = G5211, Templates!C:C = H5211), ""{{}}"", E5211), B5211)"),"Louer appartement St-Sulpice NE: Trouvez le bien immobilier qui correspond idéalement à vos désirs sur ImmoScout24 - La plateforme de l'immobilier en Suisse.")</f>
        <v>Louer appartement St-Sulpice NE: Trouvez le bien immobilier qui correspond idéalement à vos désirs sur ImmoScout24 - La plateforme de l'immobilier en Suisse.</v>
      </c>
    </row>
    <row r="5212" hidden="1">
      <c r="A5212" s="5" t="s">
        <v>13521</v>
      </c>
      <c r="B5212" s="2" t="s">
        <v>13522</v>
      </c>
      <c r="C5212" s="2" t="s">
        <v>13522</v>
      </c>
      <c r="D5212" s="4" t="str">
        <f>vlookup(A5212, Sheet2!D:E, 2, 0)</f>
        <v>control</v>
      </c>
      <c r="E5212" s="4" t="str">
        <f>IFERROR(__xludf.DUMMYFUNCTION("if(H5212=""pays"",vlookup(REGEXEXTRACT(C5212, ""🏘️ \w+ \w+ (.*) ✅""),'Country prepositions'!A:B, 2, 0) &amp; "" "" &amp; REGEXEXTRACT(C5212, ""🏘️ \w+ \w+ (.*) ✅"") ,  if(H5212=""quartier"",vlookup(REGEXEXTRACT(C5212, ""🏘️ \w+ \w+ (.*) ✅""),'Quartier prepositio"&amp;"ns'!A:E, 5, 0) ,  if(H5212=""region"",vlookup(REGEXEXTRACT(C5212, ""🏘️ \w+ \w+ (.*) ✅""),'Region prepositions'!B:F, 5, 0),  REGEXEXTRACT(C5212, ""🏘️ \w+ \w+ (.*) ✅""))))"),"#N/A")</f>
        <v>#N/A</v>
      </c>
      <c r="I5212" s="4" t="str">
        <f>IFERROR(__xludf.DUMMYFUNCTION("if(D5212=""variant"",  substitute(filter(Templates!E:E, Templates!A:A = F5212, Templates!B:B = G5212, Templates!C:C = H5212), ""{{}}"", E5212), B5212)"),"Vendre appartement Etagnières: Trouvez le bien immobilier qui correspond idéalement à vos désirs sur ImmoScout24 - La plateforme de l'immobilier en Suisse.")</f>
        <v>Vendre appartement Etagnières: Trouvez le bien immobilier qui correspond idéalement à vos désirs sur ImmoScout24 - La plateforme de l'immobilier en Suisse.</v>
      </c>
    </row>
    <row r="5213" hidden="1">
      <c r="A5213" s="5" t="s">
        <v>13523</v>
      </c>
      <c r="B5213" s="2" t="s">
        <v>13524</v>
      </c>
      <c r="C5213" s="2" t="s">
        <v>13524</v>
      </c>
      <c r="D5213" s="4" t="str">
        <f>vlookup(A5213, Sheet2!D:E, 2, 0)</f>
        <v>control</v>
      </c>
      <c r="E5213" s="4" t="str">
        <f>IFERROR(__xludf.DUMMYFUNCTION("if(H5213=""pays"",vlookup(REGEXEXTRACT(C5213, ""🏘️ \w+ \w+ (.*) ✅""),'Country prepositions'!A:B, 2, 0) &amp; "" "" &amp; REGEXEXTRACT(C5213, ""🏘️ \w+ \w+ (.*) ✅"") ,  if(H5213=""quartier"",vlookup(REGEXEXTRACT(C5213, ""🏘️ \w+ \w+ (.*) ✅""),'Quartier prepositio"&amp;"ns'!A:E, 5, 0) ,  if(H5213=""region"",vlookup(REGEXEXTRACT(C5213, ""🏘️ \w+ \w+ (.*) ✅""),'Region prepositions'!B:F, 5, 0),  REGEXEXTRACT(C5213, ""🏘️ \w+ \w+ (.*) ✅""))))"),"#N/A")</f>
        <v>#N/A</v>
      </c>
      <c r="I5213" s="4" t="str">
        <f>IFERROR(__xludf.DUMMYFUNCTION("if(D5213=""variant"",  substitute(filter(Templates!E:E, Templates!A:A = F5213, Templates!B:B = G5213, Templates!C:C = H5213), ""{{}}"", E5213), B5213)"),"Vendre maison Courtemaîche: Trouvez le bien immobilier qui correspond idéalement à vos désirs sur ImmoScout24 - La plateforme de l'immobilier en Suisse.")</f>
        <v>Vendre maison Courtemaîche: Trouvez le bien immobilier qui correspond idéalement à vos désirs sur ImmoScout24 - La plateforme de l'immobilier en Suisse.</v>
      </c>
    </row>
    <row r="5214" hidden="1">
      <c r="A5214" s="5" t="s">
        <v>13525</v>
      </c>
      <c r="B5214" s="2" t="s">
        <v>13526</v>
      </c>
      <c r="C5214" s="2" t="s">
        <v>13526</v>
      </c>
      <c r="D5214" s="4" t="str">
        <f>vlookup(A5214, Sheet2!D:E, 2, 0)</f>
        <v>control</v>
      </c>
      <c r="E5214" s="4" t="str">
        <f>IFERROR(__xludf.DUMMYFUNCTION("if(H5214=""pays"",vlookup(REGEXEXTRACT(C5214, ""🏘️ \w+ \w+ (.*) ✅""),'Country prepositions'!A:B, 2, 0) &amp; "" "" &amp; REGEXEXTRACT(C5214, ""🏘️ \w+ \w+ (.*) ✅"") ,  if(H5214=""quartier"",vlookup(REGEXEXTRACT(C5214, ""🏘️ \w+ \w+ (.*) ✅""),'Quartier prepositio"&amp;"ns'!A:E, 5, 0) ,  if(H5214=""region"",vlookup(REGEXEXTRACT(C5214, ""🏘️ \w+ \w+ (.*) ✅""),'Region prepositions'!B:F, 5, 0),  REGEXEXTRACT(C5214, ""🏘️ \w+ \w+ (.*) ✅""))))"),"#N/A")</f>
        <v>#N/A</v>
      </c>
      <c r="I5214" s="4" t="str">
        <f>IFERROR(__xludf.DUMMYFUNCTION("if(D5214=""variant"",  substitute(filter(Templates!E:E, Templates!A:A = F5214, Templates!B:B = G5214, Templates!C:C = H5214), ""{{}}"", E5214), B5214)"),"Louer maison Vésenaz: Trouvez le bien immobilier qui correspond idéalement à vos désirs sur ImmoScout24 - La plateforme de l'immobilier en Suisse.")</f>
        <v>Louer maison Vésenaz: Trouvez le bien immobilier qui correspond idéalement à vos désirs sur ImmoScout24 - La plateforme de l'immobilier en Suisse.</v>
      </c>
    </row>
    <row r="5215" hidden="1">
      <c r="A5215" s="5" t="s">
        <v>13527</v>
      </c>
      <c r="B5215" s="2" t="s">
        <v>13528</v>
      </c>
      <c r="C5215" s="2" t="s">
        <v>13528</v>
      </c>
      <c r="D5215" s="4" t="str">
        <f>vlookup(A5215, Sheet2!D:E, 2, 0)</f>
        <v>control</v>
      </c>
      <c r="E5215" s="4" t="str">
        <f>IFERROR(__xludf.DUMMYFUNCTION("if(H5215=""pays"",vlookup(REGEXEXTRACT(C5215, ""🏘️ \w+ \w+ (.*) ✅""),'Country prepositions'!A:B, 2, 0) &amp; "" "" &amp; REGEXEXTRACT(C5215, ""🏘️ \w+ \w+ (.*) ✅"") ,  if(H5215=""quartier"",vlookup(REGEXEXTRACT(C5215, ""🏘️ \w+ \w+ (.*) ✅""),'Quartier prepositio"&amp;"ns'!A:E, 5, 0) ,  if(H5215=""region"",vlookup(REGEXEXTRACT(C5215, ""🏘️ \w+ \w+ (.*) ✅""),'Region prepositions'!B:F, 5, 0),  REGEXEXTRACT(C5215, ""🏘️ \w+ \w+ (.*) ✅""))))"),"#N/A")</f>
        <v>#N/A</v>
      </c>
      <c r="I5215" s="4" t="str">
        <f>IFERROR(__xludf.DUMMYFUNCTION("if(D5215=""variant"",  substitute(filter(Templates!E:E, Templates!A:A = F5215, Templates!B:B = G5215, Templates!C:C = H5215), ""{{}}"", E5215), B5215)"),"Louer maison Oberegg: Trouvez le bien immobilier qui correspond idéalement à vos désirs sur ImmoScout24 - La plateforme de l'immobilier en Suisse.")</f>
        <v>Louer maison Oberegg: Trouvez le bien immobilier qui correspond idéalement à vos désirs sur ImmoScout24 - La plateforme de l'immobilier en Suisse.</v>
      </c>
    </row>
    <row r="5216" hidden="1">
      <c r="A5216" s="5" t="s">
        <v>13529</v>
      </c>
      <c r="B5216" s="2" t="s">
        <v>13530</v>
      </c>
      <c r="C5216" s="2" t="s">
        <v>13530</v>
      </c>
      <c r="D5216" s="4" t="str">
        <f>vlookup(A5216, Sheet2!D:E, 2, 0)</f>
        <v>control</v>
      </c>
      <c r="E5216" s="4" t="str">
        <f>IFERROR(__xludf.DUMMYFUNCTION("if(H5216=""pays"",vlookup(REGEXEXTRACT(C5216, ""🏘️ \w+ \w+ (.*) ✅""),'Country prepositions'!A:B, 2, 0) &amp; "" "" &amp; REGEXEXTRACT(C5216, ""🏘️ \w+ \w+ (.*) ✅"") ,  if(H5216=""quartier"",vlookup(REGEXEXTRACT(C5216, ""🏘️ \w+ \w+ (.*) ✅""),'Quartier prepositio"&amp;"ns'!A:E, 5, 0) ,  if(H5216=""region"",vlookup(REGEXEXTRACT(C5216, ""🏘️ \w+ \w+ (.*) ✅""),'Region prepositions'!B:F, 5, 0),  REGEXEXTRACT(C5216, ""🏘️ \w+ \w+ (.*) ✅""))))"),"#N/A")</f>
        <v>#N/A</v>
      </c>
      <c r="I5216" s="4" t="str">
        <f>IFERROR(__xludf.DUMMYFUNCTION("if(D5216=""variant"",  substitute(filter(Templates!E:E, Templates!A:A = F5216, Templates!B:B = G5216, Templates!C:C = H5216), ""{{}}"", E5216), B5216)"),"Vendre maison Bützberg: Trouvez le bien immobilier qui correspond idéalement à vos désirs sur ImmoScout24 - La plateforme de l'immobilier en Suisse.")</f>
        <v>Vendre maison Bützberg: Trouvez le bien immobilier qui correspond idéalement à vos désirs sur ImmoScout24 - La plateforme de l'immobilier en Suisse.</v>
      </c>
    </row>
    <row r="5217" hidden="1">
      <c r="A5217" s="5" t="s">
        <v>13531</v>
      </c>
      <c r="B5217" s="2" t="s">
        <v>13532</v>
      </c>
      <c r="C5217" s="2" t="s">
        <v>13532</v>
      </c>
      <c r="D5217" s="4" t="str">
        <f>vlookup(A5217, Sheet2!D:E, 2, 0)</f>
        <v>control</v>
      </c>
      <c r="E5217" s="4" t="str">
        <f>IFERROR(__xludf.DUMMYFUNCTION("if(H5217=""pays"",vlookup(REGEXEXTRACT(C5217, ""🏘️ \w+ \w+ (.*) ✅""),'Country prepositions'!A:B, 2, 0) &amp; "" "" &amp; REGEXEXTRACT(C5217, ""🏘️ \w+ \w+ (.*) ✅"") ,  if(H5217=""quartier"",vlookup(REGEXEXTRACT(C5217, ""🏘️ \w+ \w+ (.*) ✅""),'Quartier prepositio"&amp;"ns'!A:E, 5, 0) ,  if(H5217=""region"",vlookup(REGEXEXTRACT(C5217, ""🏘️ \w+ \w+ (.*) ✅""),'Region prepositions'!B:F, 5, 0),  REGEXEXTRACT(C5217, ""🏘️ \w+ \w+ (.*) ✅""))))"),"#N/A")</f>
        <v>#N/A</v>
      </c>
      <c r="I5217" s="4" t="str">
        <f>IFERROR(__xludf.DUMMYFUNCTION("if(D5217=""variant"",  substitute(filter(Templates!E:E, Templates!A:A = F5217, Templates!B:B = G5217, Templates!C:C = H5217), ""{{}}"", E5217), B5217)"),"Louer appartement Aven: Trouvez le bien immobilier qui correspond idéalement à vos désirs sur ImmoScout24 - La plateforme de l'immobilier en Suisse.")</f>
        <v>Louer appartement Aven: Trouvez le bien immobilier qui correspond idéalement à vos désirs sur ImmoScout24 - La plateforme de l'immobilier en Suisse.</v>
      </c>
    </row>
    <row r="5218" hidden="1">
      <c r="A5218" s="5" t="s">
        <v>13533</v>
      </c>
      <c r="B5218" s="2" t="s">
        <v>13534</v>
      </c>
      <c r="C5218" s="2" t="s">
        <v>13534</v>
      </c>
      <c r="D5218" s="4" t="str">
        <f>vlookup(A5218, Sheet2!D:E, 2, 0)</f>
        <v>control</v>
      </c>
      <c r="E5218" s="4" t="str">
        <f>IFERROR(__xludf.DUMMYFUNCTION("if(H5218=""pays"",vlookup(REGEXEXTRACT(C5218, ""🏘️ \w+ \w+ (.*) ✅""),'Country prepositions'!A:B, 2, 0) &amp; "" "" &amp; REGEXEXTRACT(C5218, ""🏘️ \w+ \w+ (.*) ✅"") ,  if(H5218=""quartier"",vlookup(REGEXEXTRACT(C5218, ""🏘️ \w+ \w+ (.*) ✅""),'Quartier prepositio"&amp;"ns'!A:E, 5, 0) ,  if(H5218=""region"",vlookup(REGEXEXTRACT(C5218, ""🏘️ \w+ \w+ (.*) ✅""),'Region prepositions'!B:F, 5, 0),  REGEXEXTRACT(C5218, ""🏘️ \w+ \w+ (.*) ✅""))))"),"#N/A")</f>
        <v>#N/A</v>
      </c>
      <c r="I5218" s="4" t="str">
        <f>IFERROR(__xludf.DUMMYFUNCTION("if(D5218=""variant"",  substitute(filter(Templates!E:E, Templates!A:A = F5218, Templates!B:B = G5218, Templates!C:C = H5218), ""{{}}"", E5218), B5218)"),"Vendre maison Chaumont (Neuchâtel): Trouvez le bien immobilier qui correspond idéalement à vos désirs sur ImmoScout24 - La plateforme de l'immobilier en Suisse.")</f>
        <v>Vendre maison Chaumont (Neuchâtel): Trouvez le bien immobilier qui correspond idéalement à vos désirs sur ImmoScout24 - La plateforme de l'immobilier en Suisse.</v>
      </c>
    </row>
    <row r="5219" hidden="1">
      <c r="A5219" s="5" t="s">
        <v>13535</v>
      </c>
      <c r="B5219" s="2" t="s">
        <v>13536</v>
      </c>
      <c r="C5219" s="2" t="s">
        <v>13536</v>
      </c>
      <c r="D5219" s="4" t="str">
        <f>vlookup(A5219, Sheet2!D:E, 2, 0)</f>
        <v>control</v>
      </c>
      <c r="E5219" s="4" t="str">
        <f>IFERROR(__xludf.DUMMYFUNCTION("if(H5219=""pays"",vlookup(REGEXEXTRACT(C5219, ""🏘️ \w+ \w+ (.*) ✅""),'Country prepositions'!A:B, 2, 0) &amp; "" "" &amp; REGEXEXTRACT(C5219, ""🏘️ \w+ \w+ (.*) ✅"") ,  if(H5219=""quartier"",vlookup(REGEXEXTRACT(C5219, ""🏘️ \w+ \w+ (.*) ✅""),'Quartier prepositio"&amp;"ns'!A:E, 5, 0) ,  if(H5219=""region"",vlookup(REGEXEXTRACT(C5219, ""🏘️ \w+ \w+ (.*) ✅""),'Region prepositions'!B:F, 5, 0),  REGEXEXTRACT(C5219, ""🏘️ \w+ \w+ (.*) ✅""))))"),"#N/A")</f>
        <v>#N/A</v>
      </c>
      <c r="I5219" s="4" t="str">
        <f>IFERROR(__xludf.DUMMYFUNCTION("if(D5219=""variant"",  substitute(filter(Templates!E:E, Templates!A:A = F5219, Templates!B:B = G5219, Templates!C:C = H5219), ""{{}}"", E5219), B5219)"),"Vendre maison Boniswil: Trouvez le bien immobilier qui correspond idéalement à vos désirs sur ImmoScout24 - La plateforme de l'immobilier en Suisse.")</f>
        <v>Vendre maison Boniswil: Trouvez le bien immobilier qui correspond idéalement à vos désirs sur ImmoScout24 - La plateforme de l'immobilier en Suisse.</v>
      </c>
    </row>
    <row r="5220" hidden="1">
      <c r="A5220" s="5" t="s">
        <v>13537</v>
      </c>
      <c r="B5220" s="2" t="s">
        <v>13538</v>
      </c>
      <c r="C5220" s="2" t="s">
        <v>13538</v>
      </c>
      <c r="D5220" s="4" t="str">
        <f>vlookup(A5220, Sheet2!D:E, 2, 0)</f>
        <v>control</v>
      </c>
      <c r="E5220" s="4" t="str">
        <f>IFERROR(__xludf.DUMMYFUNCTION("if(H5220=""pays"",vlookup(REGEXEXTRACT(C5220, ""🏘️ \w+ \w+ (.*) ✅""),'Country prepositions'!A:B, 2, 0) &amp; "" "" &amp; REGEXEXTRACT(C5220, ""🏘️ \w+ \w+ (.*) ✅"") ,  if(H5220=""quartier"",vlookup(REGEXEXTRACT(C5220, ""🏘️ \w+ \w+ (.*) ✅""),'Quartier prepositio"&amp;"ns'!A:E, 5, 0) ,  if(H5220=""region"",vlookup(REGEXEXTRACT(C5220, ""🏘️ \w+ \w+ (.*) ✅""),'Region prepositions'!B:F, 5, 0),  REGEXEXTRACT(C5220, ""🏘️ \w+ \w+ (.*) ✅""))))"),"#N/A")</f>
        <v>#N/A</v>
      </c>
      <c r="I5220" s="4" t="str">
        <f>IFERROR(__xludf.DUMMYFUNCTION("if(D5220=""variant"",  substitute(filter(Templates!E:E, Templates!A:A = F5220, Templates!B:B = G5220, Templates!C:C = H5220), ""{{}}"", E5220), B5220)"),"Vendre maison Cresciano: Trouvez le bien immobilier qui correspond idéalement à vos désirs sur ImmoScout24 - La plateforme de l'immobilier en Suisse.")</f>
        <v>Vendre maison Cresciano: Trouvez le bien immobilier qui correspond idéalement à vos désirs sur ImmoScout24 - La plateforme de l'immobilier en Suisse.</v>
      </c>
    </row>
    <row r="5221" hidden="1">
      <c r="A5221" s="5" t="s">
        <v>13539</v>
      </c>
      <c r="B5221" s="2" t="s">
        <v>13540</v>
      </c>
      <c r="C5221" s="2" t="s">
        <v>13540</v>
      </c>
      <c r="D5221" s="4" t="str">
        <f>vlookup(A5221, Sheet2!D:E, 2, 0)</f>
        <v>control</v>
      </c>
      <c r="E5221" s="4" t="str">
        <f>IFERROR(__xludf.DUMMYFUNCTION("if(H5221=""pays"",vlookup(REGEXEXTRACT(C5221, ""🏘️ \w+ \w+ (.*) ✅""),'Country prepositions'!A:B, 2, 0) &amp; "" "" &amp; REGEXEXTRACT(C5221, ""🏘️ \w+ \w+ (.*) ✅"") ,  if(H5221=""quartier"",vlookup(REGEXEXTRACT(C5221, ""🏘️ \w+ \w+ (.*) ✅""),'Quartier prepositio"&amp;"ns'!A:E, 5, 0) ,  if(H5221=""region"",vlookup(REGEXEXTRACT(C5221, ""🏘️ \w+ \w+ (.*) ✅""),'Region prepositions'!B:F, 5, 0),  REGEXEXTRACT(C5221, ""🏘️ \w+ \w+ (.*) ✅""))))"),"#N/A")</f>
        <v>#N/A</v>
      </c>
      <c r="I5221" s="4" t="str">
        <f>IFERROR(__xludf.DUMMYFUNCTION("if(D5221=""variant"",  substitute(filter(Templates!E:E, Templates!A:A = F5221, Templates!B:B = G5221, Templates!C:C = H5221), ""{{}}"", E5221), B5221)"),"Vendre maison Rapperswil BE: Trouvez le bien immobilier qui correspond idéalement à vos désirs sur ImmoScout24 - La plateforme de l'immobilier en Suisse.")</f>
        <v>Vendre maison Rapperswil BE: Trouvez le bien immobilier qui correspond idéalement à vos désirs sur ImmoScout24 - La plateforme de l'immobilier en Suisse.</v>
      </c>
    </row>
    <row r="5222" hidden="1">
      <c r="A5222" s="5" t="s">
        <v>13541</v>
      </c>
      <c r="B5222" s="2" t="s">
        <v>13542</v>
      </c>
      <c r="C5222" s="2" t="s">
        <v>13542</v>
      </c>
      <c r="D5222" s="4" t="str">
        <f>vlookup(A5222, Sheet2!D:E, 2, 0)</f>
        <v>control</v>
      </c>
      <c r="E5222" s="4" t="str">
        <f>IFERROR(__xludf.DUMMYFUNCTION("if(H5222=""pays"",vlookup(REGEXEXTRACT(C5222, ""🏘️ \w+ \w+ (.*) ✅""),'Country prepositions'!A:B, 2, 0) &amp; "" "" &amp; REGEXEXTRACT(C5222, ""🏘️ \w+ \w+ (.*) ✅"") ,  if(H5222=""quartier"",vlookup(REGEXEXTRACT(C5222, ""🏘️ \w+ \w+ (.*) ✅""),'Quartier prepositio"&amp;"ns'!A:E, 5, 0) ,  if(H5222=""region"",vlookup(REGEXEXTRACT(C5222, ""🏘️ \w+ \w+ (.*) ✅""),'Region prepositions'!B:F, 5, 0),  REGEXEXTRACT(C5222, ""🏘️ \w+ \w+ (.*) ✅""))))"),"#N/A")</f>
        <v>#N/A</v>
      </c>
      <c r="I5222" s="4" t="str">
        <f>IFERROR(__xludf.DUMMYFUNCTION("if(D5222=""variant"",  substitute(filter(Templates!E:E, Templates!A:A = F5222, Templates!B:B = G5222, Templates!C:C = H5222), ""{{}}"", E5222), B5222)"),"Vendre maison St. Antoni: Trouvez le bien immobilier qui correspond idéalement à vos désirs sur ImmoScout24 - La plateforme de l'immobilier en Suisse.")</f>
        <v>Vendre maison St. Antoni: Trouvez le bien immobilier qui correspond idéalement à vos désirs sur ImmoScout24 - La plateforme de l'immobilier en Suisse.</v>
      </c>
    </row>
    <row r="5223" hidden="1">
      <c r="A5223" s="5" t="s">
        <v>13543</v>
      </c>
      <c r="B5223" s="2" t="s">
        <v>13544</v>
      </c>
      <c r="C5223" s="2" t="s">
        <v>13544</v>
      </c>
      <c r="D5223" s="4" t="str">
        <f>vlookup(A5223, Sheet2!D:E, 2, 0)</f>
        <v>control</v>
      </c>
      <c r="E5223" s="4" t="str">
        <f>IFERROR(__xludf.DUMMYFUNCTION("if(H5223=""pays"",vlookup(REGEXEXTRACT(C5223, ""🏘️ \w+ \w+ (.*) ✅""),'Country prepositions'!A:B, 2, 0) &amp; "" "" &amp; REGEXEXTRACT(C5223, ""🏘️ \w+ \w+ (.*) ✅"") ,  if(H5223=""quartier"",vlookup(REGEXEXTRACT(C5223, ""🏘️ \w+ \w+ (.*) ✅""),'Quartier prepositio"&amp;"ns'!A:E, 5, 0) ,  if(H5223=""region"",vlookup(REGEXEXTRACT(C5223, ""🏘️ \w+ \w+ (.*) ✅""),'Region prepositions'!B:F, 5, 0),  REGEXEXTRACT(C5223, ""🏘️ \w+ \w+ (.*) ✅""))))"),"#N/A")</f>
        <v>#N/A</v>
      </c>
      <c r="I5223" s="4" t="str">
        <f>IFERROR(__xludf.DUMMYFUNCTION("if(D5223=""variant"",  substitute(filter(Templates!E:E, Templates!A:A = F5223, Templates!B:B = G5223, Templates!C:C = H5223), ""{{}}"", E5223), B5223)"),"Vendre appartement Affoltern (Zurich): Trouvez le bien immobilier qui correspond idéalement à vos désirs sur ImmoScout24 - La plateforme de l'immobilier en Suisse.")</f>
        <v>Vendre appartement Affoltern (Zurich): Trouvez le bien immobilier qui correspond idéalement à vos désirs sur ImmoScout24 - La plateforme de l'immobilier en Suisse.</v>
      </c>
    </row>
    <row r="5224" hidden="1">
      <c r="A5224" s="5" t="s">
        <v>13545</v>
      </c>
      <c r="B5224" s="2" t="s">
        <v>13546</v>
      </c>
      <c r="C5224" s="2" t="s">
        <v>13546</v>
      </c>
      <c r="D5224" s="4" t="str">
        <f>vlookup(A5224, Sheet2!D:E, 2, 0)</f>
        <v>control</v>
      </c>
      <c r="E5224" s="4" t="str">
        <f>IFERROR(__xludf.DUMMYFUNCTION("if(H5224=""pays"",vlookup(REGEXEXTRACT(C5224, ""🏘️ \w+ \w+ (.*) ✅""),'Country prepositions'!A:B, 2, 0) &amp; "" "" &amp; REGEXEXTRACT(C5224, ""🏘️ \w+ \w+ (.*) ✅"") ,  if(H5224=""quartier"",vlookup(REGEXEXTRACT(C5224, ""🏘️ \w+ \w+ (.*) ✅""),'Quartier prepositio"&amp;"ns'!A:E, 5, 0) ,  if(H5224=""region"",vlookup(REGEXEXTRACT(C5224, ""🏘️ \w+ \w+ (.*) ✅""),'Region prepositions'!B:F, 5, 0),  REGEXEXTRACT(C5224, ""🏘️ \w+ \w+ (.*) ✅""))))"),"#N/A")</f>
        <v>#N/A</v>
      </c>
      <c r="I5224" s="4" t="str">
        <f>IFERROR(__xludf.DUMMYFUNCTION("if(D5224=""variant"",  substitute(filter(Templates!E:E, Templates!A:A = F5224, Templates!B:B = G5224, Templates!C:C = H5224), ""{{}}"", E5224), B5224)"),"Vendre maison Corban: Trouvez le bien immobilier qui correspond idéalement à vos désirs sur ImmoScout24 - La plateforme de l'immobilier en Suisse.")</f>
        <v>Vendre maison Corban: Trouvez le bien immobilier qui correspond idéalement à vos désirs sur ImmoScout24 - La plateforme de l'immobilier en Suisse.</v>
      </c>
    </row>
    <row r="5225" hidden="1">
      <c r="A5225" s="5" t="s">
        <v>13547</v>
      </c>
      <c r="B5225" s="2" t="s">
        <v>13548</v>
      </c>
      <c r="C5225" s="2" t="s">
        <v>13548</v>
      </c>
      <c r="D5225" s="4" t="str">
        <f>vlookup(A5225, Sheet2!D:E, 2, 0)</f>
        <v>control</v>
      </c>
      <c r="E5225" s="4" t="str">
        <f>IFERROR(__xludf.DUMMYFUNCTION("if(H5225=""pays"",vlookup(REGEXEXTRACT(C5225, ""🏘️ \w+ \w+ (.*) ✅""),'Country prepositions'!A:B, 2, 0) &amp; "" "" &amp; REGEXEXTRACT(C5225, ""🏘️ \w+ \w+ (.*) ✅"") ,  if(H5225=""quartier"",vlookup(REGEXEXTRACT(C5225, ""🏘️ \w+ \w+ (.*) ✅""),'Quartier prepositio"&amp;"ns'!A:E, 5, 0) ,  if(H5225=""region"",vlookup(REGEXEXTRACT(C5225, ""🏘️ \w+ \w+ (.*) ✅""),'Region prepositions'!B:F, 5, 0),  REGEXEXTRACT(C5225, ""🏘️ \w+ \w+ (.*) ✅""))))"),"#N/A")</f>
        <v>#N/A</v>
      </c>
      <c r="I5225" s="4" t="str">
        <f>IFERROR(__xludf.DUMMYFUNCTION("if(D5225=""variant"",  substitute(filter(Templates!E:E, Templates!A:A = F5225, Templates!B:B = G5225, Templates!C:C = H5225), ""{{}}"", E5225), B5225)"),"Louer maison Cordast: Trouvez le bien immobilier qui correspond idéalement à vos désirs sur ImmoScout24 - La plateforme de l'immobilier en Suisse.")</f>
        <v>Louer maison Cordast: Trouvez le bien immobilier qui correspond idéalement à vos désirs sur ImmoScout24 - La plateforme de l'immobilier en Suisse.</v>
      </c>
    </row>
    <row r="5226" hidden="1">
      <c r="A5226" s="5" t="s">
        <v>13549</v>
      </c>
      <c r="B5226" s="2" t="s">
        <v>13550</v>
      </c>
      <c r="C5226" s="2" t="s">
        <v>13550</v>
      </c>
      <c r="D5226" s="4" t="str">
        <f>vlookup(A5226, Sheet2!D:E, 2, 0)</f>
        <v>control</v>
      </c>
      <c r="E5226" s="4" t="str">
        <f>IFERROR(__xludf.DUMMYFUNCTION("if(H5226=""pays"",vlookup(REGEXEXTRACT(C5226, ""🏘️ \w+ \w+ (.*) ✅""),'Country prepositions'!A:B, 2, 0) &amp; "" "" &amp; REGEXEXTRACT(C5226, ""🏘️ \w+ \w+ (.*) ✅"") ,  if(H5226=""quartier"",vlookup(REGEXEXTRACT(C5226, ""🏘️ \w+ \w+ (.*) ✅""),'Quartier prepositio"&amp;"ns'!A:E, 5, 0) ,  if(H5226=""region"",vlookup(REGEXEXTRACT(C5226, ""🏘️ \w+ \w+ (.*) ✅""),'Region prepositions'!B:F, 5, 0),  REGEXEXTRACT(C5226, ""🏘️ \w+ \w+ (.*) ✅""))))"),"#N/A")</f>
        <v>#N/A</v>
      </c>
      <c r="I5226" s="4" t="str">
        <f>IFERROR(__xludf.DUMMYFUNCTION("if(D5226=""variant"",  substitute(filter(Templates!E:E, Templates!A:A = F5226, Templates!B:B = G5226, Templates!C:C = H5226), ""{{}}"", E5226), B5226)"),"Vendre maison Fretereules: Trouvez le bien immobilier qui correspond idéalement à vos désirs sur ImmoScout24 - La plateforme de l'immobilier en Suisse.")</f>
        <v>Vendre maison Fretereules: Trouvez le bien immobilier qui correspond idéalement à vos désirs sur ImmoScout24 - La plateforme de l'immobilier en Suisse.</v>
      </c>
    </row>
    <row r="5227" hidden="1">
      <c r="A5227" s="5" t="s">
        <v>13551</v>
      </c>
      <c r="B5227" s="2" t="s">
        <v>13552</v>
      </c>
      <c r="C5227" s="2" t="s">
        <v>13552</v>
      </c>
      <c r="D5227" s="4" t="str">
        <f>vlookup(A5227, Sheet2!D:E, 2, 0)</f>
        <v>control</v>
      </c>
      <c r="E5227" s="4" t="str">
        <f>IFERROR(__xludf.DUMMYFUNCTION("if(H5227=""pays"",vlookup(REGEXEXTRACT(C5227, ""🏘️ \w+ \w+ (.*) ✅""),'Country prepositions'!A:B, 2, 0) &amp; "" "" &amp; REGEXEXTRACT(C5227, ""🏘️ \w+ \w+ (.*) ✅"") ,  if(H5227=""quartier"",vlookup(REGEXEXTRACT(C5227, ""🏘️ \w+ \w+ (.*) ✅""),'Quartier prepositio"&amp;"ns'!A:E, 5, 0) ,  if(H5227=""region"",vlookup(REGEXEXTRACT(C5227, ""🏘️ \w+ \w+ (.*) ✅""),'Region prepositions'!B:F, 5, 0),  REGEXEXTRACT(C5227, ""🏘️ \w+ \w+ (.*) ✅""))))"),"#N/A")</f>
        <v>#N/A</v>
      </c>
      <c r="I5227" s="4" t="str">
        <f>IFERROR(__xludf.DUMMYFUNCTION("if(D5227=""variant"",  substitute(filter(Templates!E:E, Templates!A:A = F5227, Templates!B:B = G5227, Templates!C:C = H5227), ""{{}}"", E5227), B5227)"),"Louer maison Sirnach: Trouvez le bien immobilier qui correspond idéalement à vos désirs sur ImmoScout24 - La plateforme de l'immobilier en Suisse.")</f>
        <v>Louer maison Sirnach: Trouvez le bien immobilier qui correspond idéalement à vos désirs sur ImmoScout24 - La plateforme de l'immobilier en Suisse.</v>
      </c>
    </row>
    <row r="5228" hidden="1">
      <c r="A5228" s="5" t="s">
        <v>13553</v>
      </c>
      <c r="B5228" s="2" t="s">
        <v>13554</v>
      </c>
      <c r="C5228" s="2" t="s">
        <v>13554</v>
      </c>
      <c r="D5228" s="4" t="str">
        <f>vlookup(A5228, Sheet2!D:E, 2, 0)</f>
        <v>control</v>
      </c>
      <c r="E5228" s="4" t="str">
        <f>IFERROR(__xludf.DUMMYFUNCTION("if(H5228=""pays"",vlookup(REGEXEXTRACT(C5228, ""🏘️ \w+ \w+ (.*) ✅""),'Country prepositions'!A:B, 2, 0) &amp; "" "" &amp; REGEXEXTRACT(C5228, ""🏘️ \w+ \w+ (.*) ✅"") ,  if(H5228=""quartier"",vlookup(REGEXEXTRACT(C5228, ""🏘️ \w+ \w+ (.*) ✅""),'Quartier prepositio"&amp;"ns'!A:E, 5, 0) ,  if(H5228=""region"",vlookup(REGEXEXTRACT(C5228, ""🏘️ \w+ \w+ (.*) ✅""),'Region prepositions'!B:F, 5, 0),  REGEXEXTRACT(C5228, ""🏘️ \w+ \w+ (.*) ✅""))))"),"#N/A")</f>
        <v>#N/A</v>
      </c>
      <c r="I5228" s="4" t="str">
        <f>IFERROR(__xludf.DUMMYFUNCTION("if(D5228=""variant"",  substitute(filter(Templates!E:E, Templates!A:A = F5228, Templates!B:B = G5228, Templates!C:C = H5228), ""{{}}"", E5228), B5228)"),"Louer appartement La Magne: Trouvez le bien immobilier qui correspond idéalement à vos désirs sur ImmoScout24 - La plateforme de l'immobilier en Suisse.")</f>
        <v>Louer appartement La Magne: Trouvez le bien immobilier qui correspond idéalement à vos désirs sur ImmoScout24 - La plateforme de l'immobilier en Suisse.</v>
      </c>
    </row>
    <row r="5229" hidden="1">
      <c r="A5229" s="5" t="s">
        <v>13555</v>
      </c>
      <c r="B5229" s="2" t="s">
        <v>13556</v>
      </c>
      <c r="C5229" s="2" t="s">
        <v>13556</v>
      </c>
      <c r="D5229" s="4" t="str">
        <f>vlookup(A5229, Sheet2!D:E, 2, 0)</f>
        <v>control</v>
      </c>
      <c r="E5229" s="4" t="str">
        <f>IFERROR(__xludf.DUMMYFUNCTION("if(H5229=""pays"",vlookup(REGEXEXTRACT(C5229, ""🏘️ \w+ \w+ (.*) ✅""),'Country prepositions'!A:B, 2, 0) &amp; "" "" &amp; REGEXEXTRACT(C5229, ""🏘️ \w+ \w+ (.*) ✅"") ,  if(H5229=""quartier"",vlookup(REGEXEXTRACT(C5229, ""🏘️ \w+ \w+ (.*) ✅""),'Quartier prepositio"&amp;"ns'!A:E, 5, 0) ,  if(H5229=""region"",vlookup(REGEXEXTRACT(C5229, ""🏘️ \w+ \w+ (.*) ✅""),'Region prepositions'!B:F, 5, 0),  REGEXEXTRACT(C5229, ""🏘️ \w+ \w+ (.*) ✅""))))"),"#N/A")</f>
        <v>#N/A</v>
      </c>
      <c r="I5229" s="4" t="str">
        <f>IFERROR(__xludf.DUMMYFUNCTION("if(D5229=""variant"",  substitute(filter(Templates!E:E, Templates!A:A = F5229, Templates!B:B = G5229, Templates!C:C = H5229), ""{{}}"", E5229), B5229)"),"Louer appartement Môtier (Vully): Trouvez le bien immobilier qui correspond idéalement à vos désirs sur ImmoScout24 - La plateforme de l'immobilier en Suisse.")</f>
        <v>Louer appartement Môtier (Vully): Trouvez le bien immobilier qui correspond idéalement à vos désirs sur ImmoScout24 - La plateforme de l'immobilier en Suisse.</v>
      </c>
    </row>
    <row r="5230" hidden="1">
      <c r="A5230" s="5" t="s">
        <v>13557</v>
      </c>
      <c r="B5230" s="2" t="s">
        <v>13558</v>
      </c>
      <c r="C5230" s="2" t="s">
        <v>13558</v>
      </c>
      <c r="D5230" s="4" t="str">
        <f>vlookup(A5230, Sheet2!D:E, 2, 0)</f>
        <v>control</v>
      </c>
      <c r="E5230" s="4" t="str">
        <f>IFERROR(__xludf.DUMMYFUNCTION("if(H5230=""pays"",vlookup(REGEXEXTRACT(C5230, ""🏘️ \w+ \w+ (.*) ✅""),'Country prepositions'!A:B, 2, 0) &amp; "" "" &amp; REGEXEXTRACT(C5230, ""🏘️ \w+ \w+ (.*) ✅"") ,  if(H5230=""quartier"",vlookup(REGEXEXTRACT(C5230, ""🏘️ \w+ \w+ (.*) ✅""),'Quartier prepositio"&amp;"ns'!A:E, 5, 0) ,  if(H5230=""region"",vlookup(REGEXEXTRACT(C5230, ""🏘️ \w+ \w+ (.*) ✅""),'Region prepositions'!B:F, 5, 0),  REGEXEXTRACT(C5230, ""🏘️ \w+ \w+ (.*) ✅""))))"),"#N/A")</f>
        <v>#N/A</v>
      </c>
      <c r="I5230" s="4" t="str">
        <f>IFERROR(__xludf.DUMMYFUNCTION("if(D5230=""variant"",  substitute(filter(Templates!E:E, Templates!A:A = F5230, Templates!B:B = G5230, Templates!C:C = H5230), ""{{}}"", E5230), B5230)"),"Louer appartement Oberwil BL: Trouvez le bien immobilier qui correspond idéalement à vos désirs sur ImmoScout24 - La plateforme de l'immobilier en Suisse.")</f>
        <v>Louer appartement Oberwil BL: Trouvez le bien immobilier qui correspond idéalement à vos désirs sur ImmoScout24 - La plateforme de l'immobilier en Suisse.</v>
      </c>
    </row>
    <row r="5231" hidden="1">
      <c r="A5231" s="5" t="s">
        <v>13559</v>
      </c>
      <c r="B5231" s="2" t="s">
        <v>13560</v>
      </c>
      <c r="C5231" s="2" t="s">
        <v>13560</v>
      </c>
      <c r="D5231" s="4" t="str">
        <f>vlookup(A5231, Sheet2!D:E, 2, 0)</f>
        <v>control</v>
      </c>
      <c r="E5231" s="4" t="str">
        <f>IFERROR(__xludf.DUMMYFUNCTION("if(H5231=""pays"",vlookup(REGEXEXTRACT(C5231, ""🏘️ \w+ \w+ (.*) ✅""),'Country prepositions'!A:B, 2, 0) &amp; "" "" &amp; REGEXEXTRACT(C5231, ""🏘️ \w+ \w+ (.*) ✅"") ,  if(H5231=""quartier"",vlookup(REGEXEXTRACT(C5231, ""🏘️ \w+ \w+ (.*) ✅""),'Quartier prepositio"&amp;"ns'!A:E, 5, 0) ,  if(H5231=""region"",vlookup(REGEXEXTRACT(C5231, ""🏘️ \w+ \w+ (.*) ✅""),'Region prepositions'!B:F, 5, 0),  REGEXEXTRACT(C5231, ""🏘️ \w+ \w+ (.*) ✅""))))"),"#N/A")</f>
        <v>#N/A</v>
      </c>
      <c r="I5231" s="4" t="str">
        <f>IFERROR(__xludf.DUMMYFUNCTION("if(D5231=""variant"",  substitute(filter(Templates!E:E, Templates!A:A = F5231, Templates!B:B = G5231, Templates!C:C = H5231), ""{{}}"", E5231), B5231)"),"Louer maison Conthey: Trouvez le bien immobilier qui correspond idéalement à vos désirs sur ImmoScout24 - La plateforme de l'immobilier en Suisse.")</f>
        <v>Louer maison Conthey: Trouvez le bien immobilier qui correspond idéalement à vos désirs sur ImmoScout24 - La plateforme de l'immobilier en Suisse.</v>
      </c>
    </row>
    <row r="5232" hidden="1">
      <c r="A5232" s="5" t="s">
        <v>13561</v>
      </c>
      <c r="B5232" s="2" t="s">
        <v>13562</v>
      </c>
      <c r="C5232" s="2" t="s">
        <v>13562</v>
      </c>
      <c r="D5232" s="4" t="str">
        <f>vlookup(A5232, Sheet2!D:E, 2, 0)</f>
        <v>control</v>
      </c>
      <c r="E5232" s="4" t="str">
        <f>IFERROR(__xludf.DUMMYFUNCTION("if(H5232=""pays"",vlookup(REGEXEXTRACT(C5232, ""🏘️ \w+ \w+ (.*) ✅""),'Country prepositions'!A:B, 2, 0) &amp; "" "" &amp; REGEXEXTRACT(C5232, ""🏘️ \w+ \w+ (.*) ✅"") ,  if(H5232=""quartier"",vlookup(REGEXEXTRACT(C5232, ""🏘️ \w+ \w+ (.*) ✅""),'Quartier prepositio"&amp;"ns'!A:E, 5, 0) ,  if(H5232=""region"",vlookup(REGEXEXTRACT(C5232, ""🏘️ \w+ \w+ (.*) ✅""),'Region prepositions'!B:F, 5, 0),  REGEXEXTRACT(C5232, ""🏘️ \w+ \w+ (.*) ✅""))))"),"#N/A")</f>
        <v>#N/A</v>
      </c>
      <c r="I5232" s="4" t="str">
        <f>IFERROR(__xludf.DUMMYFUNCTION("if(D5232=""variant"",  substitute(filter(Templates!E:E, Templates!A:A = F5232, Templates!B:B = G5232, Templates!C:C = H5232), ""{{}}"", E5232), B5232)"),"Louer appartement Susten: Trouvez le bien immobilier qui correspond idéalement à vos désirs sur ImmoScout24 - La plateforme de l'immobilier en Suisse.")</f>
        <v>Louer appartement Susten: Trouvez le bien immobilier qui correspond idéalement à vos désirs sur ImmoScout24 - La plateforme de l'immobilier en Suisse.</v>
      </c>
    </row>
    <row r="5233" hidden="1">
      <c r="A5233" s="5" t="s">
        <v>13563</v>
      </c>
      <c r="B5233" s="2" t="s">
        <v>13564</v>
      </c>
      <c r="C5233" s="2" t="s">
        <v>13564</v>
      </c>
      <c r="D5233" s="4" t="str">
        <f>vlookup(A5233, Sheet2!D:E, 2, 0)</f>
        <v>control</v>
      </c>
      <c r="E5233" s="4" t="str">
        <f>IFERROR(__xludf.DUMMYFUNCTION("if(H5233=""pays"",vlookup(REGEXEXTRACT(C5233, ""🏘️ \w+ \w+ (.*) ✅""),'Country prepositions'!A:B, 2, 0) &amp; "" "" &amp; REGEXEXTRACT(C5233, ""🏘️ \w+ \w+ (.*) ✅"") ,  if(H5233=""quartier"",vlookup(REGEXEXTRACT(C5233, ""🏘️ \w+ \w+ (.*) ✅""),'Quartier prepositio"&amp;"ns'!A:E, 5, 0) ,  if(H5233=""region"",vlookup(REGEXEXTRACT(C5233, ""🏘️ \w+ \w+ (.*) ✅""),'Region prepositions'!B:F, 5, 0),  REGEXEXTRACT(C5233, ""🏘️ \w+ \w+ (.*) ✅""))))"),"#N/A")</f>
        <v>#N/A</v>
      </c>
      <c r="I5233" s="4" t="str">
        <f>IFERROR(__xludf.DUMMYFUNCTION("if(D5233=""variant"",  substitute(filter(Templates!E:E, Templates!A:A = F5233, Templates!B:B = G5233, Templates!C:C = H5233), ""{{}}"", E5233), B5233)"),"Vendre appartement Sessa: Trouvez le bien immobilier qui correspond idéalement à vos désirs sur ImmoScout24 - La plateforme de l'immobilier en Suisse.")</f>
        <v>Vendre appartement Sessa: Trouvez le bien immobilier qui correspond idéalement à vos désirs sur ImmoScout24 - La plateforme de l'immobilier en Suisse.</v>
      </c>
    </row>
    <row r="5234" hidden="1">
      <c r="A5234" s="5" t="s">
        <v>13565</v>
      </c>
      <c r="B5234" s="2" t="s">
        <v>13566</v>
      </c>
      <c r="C5234" s="2" t="s">
        <v>13566</v>
      </c>
      <c r="D5234" s="4" t="str">
        <f>vlookup(A5234, Sheet2!D:E, 2, 0)</f>
        <v>control</v>
      </c>
      <c r="E5234" s="4" t="str">
        <f>IFERROR(__xludf.DUMMYFUNCTION("if(H5234=""pays"",vlookup(REGEXEXTRACT(C5234, ""🏘️ \w+ \w+ (.*) ✅""),'Country prepositions'!A:B, 2, 0) &amp; "" "" &amp; REGEXEXTRACT(C5234, ""🏘️ \w+ \w+ (.*) ✅"") ,  if(H5234=""quartier"",vlookup(REGEXEXTRACT(C5234, ""🏘️ \w+ \w+ (.*) ✅""),'Quartier prepositio"&amp;"ns'!A:E, 5, 0) ,  if(H5234=""region"",vlookup(REGEXEXTRACT(C5234, ""🏘️ \w+ \w+ (.*) ✅""),'Region prepositions'!B:F, 5, 0),  REGEXEXTRACT(C5234, ""🏘️ \w+ \w+ (.*) ✅""))))"),"#N/A")</f>
        <v>#N/A</v>
      </c>
      <c r="I5234" s="4" t="str">
        <f>IFERROR(__xludf.DUMMYFUNCTION("if(D5234=""variant"",  substitute(filter(Templates!E:E, Templates!A:A = F5234, Templates!B:B = G5234, Templates!C:C = H5234), ""{{}}"", E5234), B5234)"),"Louer appartement Clara (Bâle): Trouvez le bien immobilier qui correspond idéalement à vos désirs sur ImmoScout24 - La plateforme de l'immobilier en Suisse.")</f>
        <v>Louer appartement Clara (Bâle): Trouvez le bien immobilier qui correspond idéalement à vos désirs sur ImmoScout24 - La plateforme de l'immobilier en Suisse.</v>
      </c>
    </row>
    <row r="5235" hidden="1">
      <c r="A5235" s="5" t="s">
        <v>13567</v>
      </c>
      <c r="B5235" s="2" t="s">
        <v>13568</v>
      </c>
      <c r="C5235" s="2" t="s">
        <v>13568</v>
      </c>
      <c r="D5235" s="4" t="str">
        <f>vlookup(A5235, Sheet2!D:E, 2, 0)</f>
        <v>control</v>
      </c>
      <c r="E5235" s="4" t="str">
        <f>IFERROR(__xludf.DUMMYFUNCTION("if(H5235=""pays"",vlookup(REGEXEXTRACT(C5235, ""🏘️ \w+ \w+ (.*) ✅""),'Country prepositions'!A:B, 2, 0) &amp; "" "" &amp; REGEXEXTRACT(C5235, ""🏘️ \w+ \w+ (.*) ✅"") ,  if(H5235=""quartier"",vlookup(REGEXEXTRACT(C5235, ""🏘️ \w+ \w+ (.*) ✅""),'Quartier prepositio"&amp;"ns'!A:E, 5, 0) ,  if(H5235=""region"",vlookup(REGEXEXTRACT(C5235, ""🏘️ \w+ \w+ (.*) ✅""),'Region prepositions'!B:F, 5, 0),  REGEXEXTRACT(C5235, ""🏘️ \w+ \w+ (.*) ✅""))))"),"#N/A")</f>
        <v>#N/A</v>
      </c>
      <c r="I5235" s="4" t="str">
        <f>IFERROR(__xludf.DUMMYFUNCTION("if(D5235=""variant"",  substitute(filter(Templates!E:E, Templates!A:A = F5235, Templates!B:B = G5235, Templates!C:C = H5235), ""{{}}"", E5235), B5235)"),"Vendre maison Semsales: Trouvez le bien immobilier qui correspond idéalement à vos désirs sur ImmoScout24 - La plateforme de l'immobilier en Suisse.")</f>
        <v>Vendre maison Semsales: Trouvez le bien immobilier qui correspond idéalement à vos désirs sur ImmoScout24 - La plateforme de l'immobilier en Suisse.</v>
      </c>
    </row>
    <row r="5236" hidden="1">
      <c r="A5236" s="5" t="s">
        <v>13569</v>
      </c>
      <c r="B5236" s="2" t="s">
        <v>13570</v>
      </c>
      <c r="C5236" s="2" t="s">
        <v>13570</v>
      </c>
      <c r="D5236" s="4" t="str">
        <f>vlookup(A5236, Sheet2!D:E, 2, 0)</f>
        <v>control</v>
      </c>
      <c r="E5236" s="4" t="str">
        <f>IFERROR(__xludf.DUMMYFUNCTION("if(H5236=""pays"",vlookup(REGEXEXTRACT(C5236, ""🏘️ \w+ \w+ (.*) ✅""),'Country prepositions'!A:B, 2, 0) &amp; "" "" &amp; REGEXEXTRACT(C5236, ""🏘️ \w+ \w+ (.*) ✅"") ,  if(H5236=""quartier"",vlookup(REGEXEXTRACT(C5236, ""🏘️ \w+ \w+ (.*) ✅""),'Quartier prepositio"&amp;"ns'!A:E, 5, 0) ,  if(H5236=""region"",vlookup(REGEXEXTRACT(C5236, ""🏘️ \w+ \w+ (.*) ✅""),'Region prepositions'!B:F, 5, 0),  REGEXEXTRACT(C5236, ""🏘️ \w+ \w+ (.*) ✅""))))"),"#N/A")</f>
        <v>#N/A</v>
      </c>
      <c r="I5236" s="4" t="str">
        <f>IFERROR(__xludf.DUMMYFUNCTION("if(D5236=""variant"",  substitute(filter(Templates!E:E, Templates!A:A = F5236, Templates!B:B = G5236, Templates!C:C = H5236), ""{{}}"", E5236), B5236)"),"Louer maison Cointrin: Trouvez le bien immobilier qui correspond idéalement à vos désirs sur ImmoScout24 - La plateforme de l'immobilier en Suisse.")</f>
        <v>Louer maison Cointrin: Trouvez le bien immobilier qui correspond idéalement à vos désirs sur ImmoScout24 - La plateforme de l'immobilier en Suisse.</v>
      </c>
    </row>
    <row r="5237" hidden="1">
      <c r="A5237" s="5" t="s">
        <v>13571</v>
      </c>
      <c r="B5237" s="2" t="s">
        <v>13572</v>
      </c>
      <c r="C5237" s="2" t="s">
        <v>13572</v>
      </c>
      <c r="D5237" s="4" t="str">
        <f>vlookup(A5237, Sheet2!D:E, 2, 0)</f>
        <v>control</v>
      </c>
      <c r="E5237" s="4" t="str">
        <f>IFERROR(__xludf.DUMMYFUNCTION("if(H5237=""pays"",vlookup(REGEXEXTRACT(C5237, ""🏘️ \w+ \w+ (.*) ✅""),'Country prepositions'!A:B, 2, 0) &amp; "" "" &amp; REGEXEXTRACT(C5237, ""🏘️ \w+ \w+ (.*) ✅"") ,  if(H5237=""quartier"",vlookup(REGEXEXTRACT(C5237, ""🏘️ \w+ \w+ (.*) ✅""),'Quartier prepositio"&amp;"ns'!A:E, 5, 0) ,  if(H5237=""region"",vlookup(REGEXEXTRACT(C5237, ""🏘️ \w+ \w+ (.*) ✅""),'Region prepositions'!B:F, 5, 0),  REGEXEXTRACT(C5237, ""🏘️ \w+ \w+ (.*) ✅""))))"),"#N/A")</f>
        <v>#N/A</v>
      </c>
      <c r="I5237" s="4" t="str">
        <f>IFERROR(__xludf.DUMMYFUNCTION("if(D5237=""variant"",  substitute(filter(Templates!E:E, Templates!A:A = F5237, Templates!B:B = G5237, Templates!C:C = H5237), ""{{}}"", E5237), B5237)"),"Louer appartement Prilly: Trouvez le bien immobilier qui correspond idéalement à vos désirs sur ImmoScout24 - La plateforme de l'immobilier en Suisse.")</f>
        <v>Louer appartement Prilly: Trouvez le bien immobilier qui correspond idéalement à vos désirs sur ImmoScout24 - La plateforme de l'immobilier en Suisse.</v>
      </c>
    </row>
    <row r="5238" hidden="1">
      <c r="A5238" s="5" t="s">
        <v>13573</v>
      </c>
      <c r="B5238" s="2" t="s">
        <v>13574</v>
      </c>
      <c r="C5238" s="2" t="s">
        <v>13574</v>
      </c>
      <c r="D5238" s="4" t="str">
        <f>vlookup(A5238, Sheet2!D:E, 2, 0)</f>
        <v>control</v>
      </c>
      <c r="E5238" s="4" t="str">
        <f>IFERROR(__xludf.DUMMYFUNCTION("if(H5238=""pays"",vlookup(REGEXEXTRACT(C5238, ""🏘️ \w+ \w+ (.*) ✅""),'Country prepositions'!A:B, 2, 0) &amp; "" "" &amp; REGEXEXTRACT(C5238, ""🏘️ \w+ \w+ (.*) ✅"") ,  if(H5238=""quartier"",vlookup(REGEXEXTRACT(C5238, ""🏘️ \w+ \w+ (.*) ✅""),'Quartier prepositio"&amp;"ns'!A:E, 5, 0) ,  if(H5238=""region"",vlookup(REGEXEXTRACT(C5238, ""🏘️ \w+ \w+ (.*) ✅""),'Region prepositions'!B:F, 5, 0),  REGEXEXTRACT(C5238, ""🏘️ \w+ \w+ (.*) ✅""))))"),"#N/A")</f>
        <v>#N/A</v>
      </c>
      <c r="I5238" s="4" t="str">
        <f>IFERROR(__xludf.DUMMYFUNCTION("if(D5238=""variant"",  substitute(filter(Templates!E:E, Templates!A:A = F5238, Templates!B:B = G5238, Templates!C:C = H5238), ""{{}}"", E5238), B5238)"),"Vendre appartement Horgen: Trouvez le bien immobilier qui correspond idéalement à vos désirs sur ImmoScout24 - La plateforme de l'immobilier en Suisse.")</f>
        <v>Vendre appartement Horgen: Trouvez le bien immobilier qui correspond idéalement à vos désirs sur ImmoScout24 - La plateforme de l'immobilier en Suisse.</v>
      </c>
    </row>
    <row r="5239" hidden="1">
      <c r="A5239" s="5" t="s">
        <v>13575</v>
      </c>
      <c r="B5239" s="2" t="s">
        <v>13576</v>
      </c>
      <c r="C5239" s="2" t="s">
        <v>13576</v>
      </c>
      <c r="D5239" s="4" t="str">
        <f>vlookup(A5239, Sheet2!D:E, 2, 0)</f>
        <v>control</v>
      </c>
      <c r="E5239" s="4" t="str">
        <f>IFERROR(__xludf.DUMMYFUNCTION("if(H5239=""pays"",vlookup(REGEXEXTRACT(C5239, ""🏘️ \w+ \w+ (.*) ✅""),'Country prepositions'!A:B, 2, 0) &amp; "" "" &amp; REGEXEXTRACT(C5239, ""🏘️ \w+ \w+ (.*) ✅"") ,  if(H5239=""quartier"",vlookup(REGEXEXTRACT(C5239, ""🏘️ \w+ \w+ (.*) ✅""),'Quartier prepositio"&amp;"ns'!A:E, 5, 0) ,  if(H5239=""region"",vlookup(REGEXEXTRACT(C5239, ""🏘️ \w+ \w+ (.*) ✅""),'Region prepositions'!B:F, 5, 0),  REGEXEXTRACT(C5239, ""🏘️ \w+ \w+ (.*) ✅""))))"),"#N/A")</f>
        <v>#N/A</v>
      </c>
      <c r="I5239" s="4" t="str">
        <f>IFERROR(__xludf.DUMMYFUNCTION("if(D5239=""variant"",  substitute(filter(Templates!E:E, Templates!A:A = F5239, Templates!B:B = G5239, Templates!C:C = H5239), ""{{}}"", E5239), B5239)"),"Vendre maison Oberengadin - Puschlav - Bergell: Trouvez le bien immobilier qui correspond idéalement à vos désirs sur ImmoScout24 - La plateforme de l'immobilier en Suisse.")</f>
        <v>Vendre maison Oberengadin - Puschlav - Bergell: Trouvez le bien immobilier qui correspond idéalement à vos désirs sur ImmoScout24 - La plateforme de l'immobilier en Suisse.</v>
      </c>
    </row>
    <row r="5240" hidden="1">
      <c r="A5240" s="5" t="s">
        <v>13577</v>
      </c>
      <c r="B5240" s="2" t="s">
        <v>13578</v>
      </c>
      <c r="C5240" s="2" t="s">
        <v>13578</v>
      </c>
      <c r="D5240" s="4" t="str">
        <f>vlookup(A5240, Sheet2!D:E, 2, 0)</f>
        <v>control</v>
      </c>
      <c r="E5240" s="4" t="str">
        <f>IFERROR(__xludf.DUMMYFUNCTION("if(H5240=""pays"",vlookup(REGEXEXTRACT(C5240, ""🏘️ \w+ \w+ (.*) ✅""),'Country prepositions'!A:B, 2, 0) &amp; "" "" &amp; REGEXEXTRACT(C5240, ""🏘️ \w+ \w+ (.*) ✅"") ,  if(H5240=""quartier"",vlookup(REGEXEXTRACT(C5240, ""🏘️ \w+ \w+ (.*) ✅""),'Quartier prepositio"&amp;"ns'!A:E, 5, 0) ,  if(H5240=""region"",vlookup(REGEXEXTRACT(C5240, ""🏘️ \w+ \w+ (.*) ✅""),'Region prepositions'!B:F, 5, 0),  REGEXEXTRACT(C5240, ""🏘️ \w+ \w+ (.*) ✅""))))"),"#N/A")</f>
        <v>#N/A</v>
      </c>
      <c r="I5240" s="4" t="str">
        <f>IFERROR(__xludf.DUMMYFUNCTION("if(D5240=""variant"",  substitute(filter(Templates!E:E, Templates!A:A = F5240, Templates!B:B = G5240, Templates!C:C = H5240), ""{{}}"", E5240), B5240)"),"Louer maison Belmont-sur-Lausanne: Trouvez le bien immobilier qui correspond idéalement à vos désirs sur ImmoScout24 - La plateforme de l'immobilier en Suisse.")</f>
        <v>Louer maison Belmont-sur-Lausanne: Trouvez le bien immobilier qui correspond idéalement à vos désirs sur ImmoScout24 - La plateforme de l'immobilier en Suisse.</v>
      </c>
    </row>
    <row r="5241" hidden="1">
      <c r="A5241" s="5" t="s">
        <v>13579</v>
      </c>
      <c r="B5241" s="2" t="s">
        <v>13580</v>
      </c>
      <c r="C5241" s="2" t="s">
        <v>13580</v>
      </c>
      <c r="D5241" s="4" t="str">
        <f>vlookup(A5241, Sheet2!D:E, 2, 0)</f>
        <v>control</v>
      </c>
      <c r="E5241" s="4" t="str">
        <f>IFERROR(__xludf.DUMMYFUNCTION("if(H5241=""pays"",vlookup(REGEXEXTRACT(C5241, ""🏘️ \w+ \w+ (.*) ✅""),'Country prepositions'!A:B, 2, 0) &amp; "" "" &amp; REGEXEXTRACT(C5241, ""🏘️ \w+ \w+ (.*) ✅"") ,  if(H5241=""quartier"",vlookup(REGEXEXTRACT(C5241, ""🏘️ \w+ \w+ (.*) ✅""),'Quartier prepositio"&amp;"ns'!A:E, 5, 0) ,  if(H5241=""region"",vlookup(REGEXEXTRACT(C5241, ""🏘️ \w+ \w+ (.*) ✅""),'Region prepositions'!B:F, 5, 0),  REGEXEXTRACT(C5241, ""🏘️ \w+ \w+ (.*) ✅""))))"),"#N/A")</f>
        <v>#N/A</v>
      </c>
      <c r="I5241" s="4" t="str">
        <f>IFERROR(__xludf.DUMMYFUNCTION("if(D5241=""variant"",  substitute(filter(Templates!E:E, Templates!A:A = F5241, Templates!B:B = G5241, Templates!C:C = H5241), ""{{}}"", E5241), B5241)"),"Vendre maison Pologne: Trouvez le bien immobilier qui correspond idéalement à vos désirs sur ImmoScout24 - La plateforme de l'immobilier en Suisse.")</f>
        <v>Vendre maison Pologne: Trouvez le bien immobilier qui correspond idéalement à vos désirs sur ImmoScout24 - La plateforme de l'immobilier en Suisse.</v>
      </c>
    </row>
    <row r="5242" hidden="1">
      <c r="A5242" s="5" t="s">
        <v>13581</v>
      </c>
      <c r="B5242" s="2" t="s">
        <v>13582</v>
      </c>
      <c r="C5242" s="2" t="s">
        <v>13582</v>
      </c>
      <c r="D5242" s="4" t="str">
        <f>vlookup(A5242, Sheet2!D:E, 2, 0)</f>
        <v>control</v>
      </c>
      <c r="E5242" s="4" t="str">
        <f>IFERROR(__xludf.DUMMYFUNCTION("if(H5242=""pays"",vlookup(REGEXEXTRACT(C5242, ""🏘️ \w+ \w+ (.*) ✅""),'Country prepositions'!A:B, 2, 0) &amp; "" "" &amp; REGEXEXTRACT(C5242, ""🏘️ \w+ \w+ (.*) ✅"") ,  if(H5242=""quartier"",vlookup(REGEXEXTRACT(C5242, ""🏘️ \w+ \w+ (.*) ✅""),'Quartier prepositio"&amp;"ns'!A:E, 5, 0) ,  if(H5242=""region"",vlookup(REGEXEXTRACT(C5242, ""🏘️ \w+ \w+ (.*) ✅""),'Region prepositions'!B:F, 5, 0),  REGEXEXTRACT(C5242, ""🏘️ \w+ \w+ (.*) ✅""))))"),"#N/A")</f>
        <v>#N/A</v>
      </c>
      <c r="I5242" s="4" t="str">
        <f>IFERROR(__xludf.DUMMYFUNCTION("if(D5242=""variant"",  substitute(filter(Templates!E:E, Templates!A:A = F5242, Templates!B:B = G5242, Templates!C:C = H5242), ""{{}}"", E5242), B5242)"),"Louer appartement Villariaz: Trouvez le bien immobilier qui correspond idéalement à vos désirs sur ImmoScout24 - La plateforme de l'immobilier en Suisse.")</f>
        <v>Louer appartement Villariaz: Trouvez le bien immobilier qui correspond idéalement à vos désirs sur ImmoScout24 - La plateforme de l'immobilier en Suisse.</v>
      </c>
    </row>
    <row r="5243" hidden="1">
      <c r="A5243" s="5" t="s">
        <v>13583</v>
      </c>
      <c r="B5243" s="2" t="s">
        <v>13584</v>
      </c>
      <c r="C5243" s="2" t="s">
        <v>13584</v>
      </c>
      <c r="D5243" s="4" t="str">
        <f>vlookup(A5243, Sheet2!D:E, 2, 0)</f>
        <v>control</v>
      </c>
      <c r="E5243" s="4" t="str">
        <f>IFERROR(__xludf.DUMMYFUNCTION("if(H5243=""pays"",vlookup(REGEXEXTRACT(C5243, ""🏘️ \w+ \w+ (.*) ✅""),'Country prepositions'!A:B, 2, 0) &amp; "" "" &amp; REGEXEXTRACT(C5243, ""🏘️ \w+ \w+ (.*) ✅"") ,  if(H5243=""quartier"",vlookup(REGEXEXTRACT(C5243, ""🏘️ \w+ \w+ (.*) ✅""),'Quartier prepositio"&amp;"ns'!A:E, 5, 0) ,  if(H5243=""region"",vlookup(REGEXEXTRACT(C5243, ""🏘️ \w+ \w+ (.*) ✅""),'Region prepositions'!B:F, 5, 0),  REGEXEXTRACT(C5243, ""🏘️ \w+ \w+ (.*) ✅""))))"),"#N/A")</f>
        <v>#N/A</v>
      </c>
      <c r="I5243" s="4" t="str">
        <f>IFERROR(__xludf.DUMMYFUNCTION("if(D5243=""variant"",  substitute(filter(Templates!E:E, Templates!A:A = F5243, Templates!B:B = G5243, Templates!C:C = H5243), ""{{}}"", E5243), B5243)"),"Louer maison Hägglingen: Trouvez le bien immobilier qui correspond idéalement à vos désirs sur ImmoScout24 - La plateforme de l'immobilier en Suisse.")</f>
        <v>Louer maison Hägglingen: Trouvez le bien immobilier qui correspond idéalement à vos désirs sur ImmoScout24 - La plateforme de l'immobilier en Suisse.</v>
      </c>
    </row>
    <row r="5244" hidden="1">
      <c r="A5244" s="5" t="s">
        <v>13585</v>
      </c>
      <c r="B5244" s="2" t="s">
        <v>13586</v>
      </c>
      <c r="C5244" s="2" t="s">
        <v>13586</v>
      </c>
      <c r="D5244" s="4" t="str">
        <f>vlookup(A5244, Sheet2!D:E, 2, 0)</f>
        <v>control</v>
      </c>
      <c r="E5244" s="4" t="str">
        <f>IFERROR(__xludf.DUMMYFUNCTION("if(H5244=""pays"",vlookup(REGEXEXTRACT(C5244, ""🏘️ \w+ \w+ (.*) ✅""),'Country prepositions'!A:B, 2, 0) &amp; "" "" &amp; REGEXEXTRACT(C5244, ""🏘️ \w+ \w+ (.*) ✅"") ,  if(H5244=""quartier"",vlookup(REGEXEXTRACT(C5244, ""🏘️ \w+ \w+ (.*) ✅""),'Quartier prepositio"&amp;"ns'!A:E, 5, 0) ,  if(H5244=""region"",vlookup(REGEXEXTRACT(C5244, ""🏘️ \w+ \w+ (.*) ✅""),'Region prepositions'!B:F, 5, 0),  REGEXEXTRACT(C5244, ""🏘️ \w+ \w+ (.*) ✅""))))"),"#N/A")</f>
        <v>#N/A</v>
      </c>
      <c r="I5244" s="4" t="str">
        <f>IFERROR(__xludf.DUMMYFUNCTION("if(D5244=""variant"",  substitute(filter(Templates!E:E, Templates!A:A = F5244, Templates!B:B = G5244, Templates!C:C = H5244), ""{{}}"", E5244), B5244)"),"Vendre maison Richterswil: Trouvez le bien immobilier qui correspond idéalement à vos désirs sur ImmoScout24 - La plateforme de l'immobilier en Suisse.")</f>
        <v>Vendre maison Richterswil: Trouvez le bien immobilier qui correspond idéalement à vos désirs sur ImmoScout24 - La plateforme de l'immobilier en Suisse.</v>
      </c>
    </row>
    <row r="5245" hidden="1">
      <c r="A5245" s="5" t="s">
        <v>13587</v>
      </c>
      <c r="B5245" s="2" t="s">
        <v>13588</v>
      </c>
      <c r="C5245" s="2" t="s">
        <v>13588</v>
      </c>
      <c r="D5245" s="4" t="str">
        <f>vlookup(A5245, Sheet2!D:E, 2, 0)</f>
        <v>control</v>
      </c>
      <c r="E5245" s="4" t="str">
        <f>IFERROR(__xludf.DUMMYFUNCTION("if(H5245=""pays"",vlookup(REGEXEXTRACT(C5245, ""🏘️ \w+ \w+ (.*) ✅""),'Country prepositions'!A:B, 2, 0) &amp; "" "" &amp; REGEXEXTRACT(C5245, ""🏘️ \w+ \w+ (.*) ✅"") ,  if(H5245=""quartier"",vlookup(REGEXEXTRACT(C5245, ""🏘️ \w+ \w+ (.*) ✅""),'Quartier prepositio"&amp;"ns'!A:E, 5, 0) ,  if(H5245=""region"",vlookup(REGEXEXTRACT(C5245, ""🏘️ \w+ \w+ (.*) ✅""),'Region prepositions'!B:F, 5, 0),  REGEXEXTRACT(C5245, ""🏘️ \w+ \w+ (.*) ✅""))))"),"#N/A")</f>
        <v>#N/A</v>
      </c>
      <c r="I5245" s="4" t="str">
        <f>IFERROR(__xludf.DUMMYFUNCTION("if(D5245=""variant"",  substitute(filter(Templates!E:E, Templates!A:A = F5245, Templates!B:B = G5245, Templates!C:C = H5245), ""{{}}"", E5245), B5245)"),"Vendre maison Bad Ragaz: Trouvez le bien immobilier qui correspond idéalement à vos désirs sur ImmoScout24 - La plateforme de l'immobilier en Suisse.")</f>
        <v>Vendre maison Bad Ragaz: Trouvez le bien immobilier qui correspond idéalement à vos désirs sur ImmoScout24 - La plateforme de l'immobilier en Suisse.</v>
      </c>
    </row>
    <row r="5246" hidden="1">
      <c r="A5246" s="5" t="s">
        <v>13589</v>
      </c>
      <c r="B5246" s="2" t="s">
        <v>13590</v>
      </c>
      <c r="C5246" s="2" t="s">
        <v>13590</v>
      </c>
      <c r="D5246" s="4" t="str">
        <f>vlookup(A5246, Sheet2!D:E, 2, 0)</f>
        <v>control</v>
      </c>
      <c r="E5246" s="4" t="str">
        <f>IFERROR(__xludf.DUMMYFUNCTION("if(H5246=""pays"",vlookup(REGEXEXTRACT(C5246, ""🏘️ \w+ \w+ (.*) ✅""),'Country prepositions'!A:B, 2, 0) &amp; "" "" &amp; REGEXEXTRACT(C5246, ""🏘️ \w+ \w+ (.*) ✅"") ,  if(H5246=""quartier"",vlookup(REGEXEXTRACT(C5246, ""🏘️ \w+ \w+ (.*) ✅""),'Quartier prepositio"&amp;"ns'!A:E, 5, 0) ,  if(H5246=""region"",vlookup(REGEXEXTRACT(C5246, ""🏘️ \w+ \w+ (.*) ✅""),'Region prepositions'!B:F, 5, 0),  REGEXEXTRACT(C5246, ""🏘️ \w+ \w+ (.*) ✅""))))"),"#N/A")</f>
        <v>#N/A</v>
      </c>
      <c r="I5246" s="4" t="str">
        <f>IFERROR(__xludf.DUMMYFUNCTION("if(D5246=""variant"",  substitute(filter(Templates!E:E, Templates!A:A = F5246, Templates!B:B = G5246, Templates!C:C = H5246), ""{{}}"", E5246), B5246)"),"Vendre maison Ausserberg: Trouvez le bien immobilier qui correspond idéalement à vos désirs sur ImmoScout24 - La plateforme de l'immobilier en Suisse.")</f>
        <v>Vendre maison Ausserberg: Trouvez le bien immobilier qui correspond idéalement à vos désirs sur ImmoScout24 - La plateforme de l'immobilier en Suisse.</v>
      </c>
    </row>
    <row r="5247" hidden="1">
      <c r="A5247" s="5" t="s">
        <v>13591</v>
      </c>
      <c r="B5247" s="2" t="s">
        <v>13592</v>
      </c>
      <c r="C5247" s="2" t="s">
        <v>13592</v>
      </c>
      <c r="D5247" s="4" t="str">
        <f>vlookup(A5247, Sheet2!D:E, 2, 0)</f>
        <v>control</v>
      </c>
      <c r="E5247" s="4" t="str">
        <f>IFERROR(__xludf.DUMMYFUNCTION("if(H5247=""pays"",vlookup(REGEXEXTRACT(C5247, ""🏘️ \w+ \w+ (.*) ✅""),'Country prepositions'!A:B, 2, 0) &amp; "" "" &amp; REGEXEXTRACT(C5247, ""🏘️ \w+ \w+ (.*) ✅"") ,  if(H5247=""quartier"",vlookup(REGEXEXTRACT(C5247, ""🏘️ \w+ \w+ (.*) ✅""),'Quartier prepositio"&amp;"ns'!A:E, 5, 0) ,  if(H5247=""region"",vlookup(REGEXEXTRACT(C5247, ""🏘️ \w+ \w+ (.*) ✅""),'Region prepositions'!B:F, 5, 0),  REGEXEXTRACT(C5247, ""🏘️ \w+ \w+ (.*) ✅""))))"),"#N/A")</f>
        <v>#N/A</v>
      </c>
      <c r="I5247" s="4" t="str">
        <f>IFERROR(__xludf.DUMMYFUNCTION("if(D5247=""variant"",  substitute(filter(Templates!E:E, Templates!A:A = F5247, Templates!B:B = G5247, Templates!C:C = H5247), ""{{}}"", E5247), B5247)"),"Vendre maison Cries (Vollèges): Trouvez le bien immobilier qui correspond idéalement à vos désirs sur ImmoScout24 - La plateforme de l'immobilier en Suisse.")</f>
        <v>Vendre maison Cries (Vollèges): Trouvez le bien immobilier qui correspond idéalement à vos désirs sur ImmoScout24 - La plateforme de l'immobilier en Suisse.</v>
      </c>
    </row>
    <row r="5248" hidden="1">
      <c r="A5248" s="5" t="s">
        <v>13593</v>
      </c>
      <c r="B5248" s="2" t="s">
        <v>13594</v>
      </c>
      <c r="C5248" s="2" t="s">
        <v>13594</v>
      </c>
      <c r="D5248" s="4" t="str">
        <f>vlookup(A5248, Sheet2!D:E, 2, 0)</f>
        <v>control</v>
      </c>
      <c r="E5248" s="4" t="str">
        <f>IFERROR(__xludf.DUMMYFUNCTION("if(H5248=""pays"",vlookup(REGEXEXTRACT(C5248, ""🏘️ \w+ \w+ (.*) ✅""),'Country prepositions'!A:B, 2, 0) &amp; "" "" &amp; REGEXEXTRACT(C5248, ""🏘️ \w+ \w+ (.*) ✅"") ,  if(H5248=""quartier"",vlookup(REGEXEXTRACT(C5248, ""🏘️ \w+ \w+ (.*) ✅""),'Quartier prepositio"&amp;"ns'!A:E, 5, 0) ,  if(H5248=""region"",vlookup(REGEXEXTRACT(C5248, ""🏘️ \w+ \w+ (.*) ✅""),'Region prepositions'!B:F, 5, 0),  REGEXEXTRACT(C5248, ""🏘️ \w+ \w+ (.*) ✅""))))"),"#N/A")</f>
        <v>#N/A</v>
      </c>
      <c r="I5248" s="4" t="str">
        <f>IFERROR(__xludf.DUMMYFUNCTION("if(D5248=""variant"",  substitute(filter(Templates!E:E, Templates!A:A = F5248, Templates!B:B = G5248, Templates!C:C = H5248), ""{{}}"", E5248), B5248)"),"Vendre maison Beauregard (Fribourg): Trouvez le bien immobilier qui correspond idéalement à vos désirs sur ImmoScout24 - La plateforme de l'immobilier en Suisse.")</f>
        <v>Vendre maison Beauregard (Fribourg): Trouvez le bien immobilier qui correspond idéalement à vos désirs sur ImmoScout24 - La plateforme de l'immobilier en Suisse.</v>
      </c>
    </row>
    <row r="5249" hidden="1">
      <c r="A5249" s="5" t="s">
        <v>13595</v>
      </c>
      <c r="B5249" s="2" t="s">
        <v>13596</v>
      </c>
      <c r="C5249" s="2" t="s">
        <v>13596</v>
      </c>
      <c r="D5249" s="4" t="str">
        <f>vlookup(A5249, Sheet2!D:E, 2, 0)</f>
        <v>control</v>
      </c>
      <c r="E5249" s="4" t="str">
        <f>IFERROR(__xludf.DUMMYFUNCTION("if(H5249=""pays"",vlookup(REGEXEXTRACT(C5249, ""🏘️ \w+ \w+ (.*) ✅""),'Country prepositions'!A:B, 2, 0) &amp; "" "" &amp; REGEXEXTRACT(C5249, ""🏘️ \w+ \w+ (.*) ✅"") ,  if(H5249=""quartier"",vlookup(REGEXEXTRACT(C5249, ""🏘️ \w+ \w+ (.*) ✅""),'Quartier prepositio"&amp;"ns'!A:E, 5, 0) ,  if(H5249=""region"",vlookup(REGEXEXTRACT(C5249, ""🏘️ \w+ \w+ (.*) ✅""),'Region prepositions'!B:F, 5, 0),  REGEXEXTRACT(C5249, ""🏘️ \w+ \w+ (.*) ✅""))))"),"#N/A")</f>
        <v>#N/A</v>
      </c>
      <c r="I5249" s="4" t="str">
        <f>IFERROR(__xludf.DUMMYFUNCTION("if(D5249=""variant"",  substitute(filter(Templates!E:E, Templates!A:A = F5249, Templates!B:B = G5249, Templates!C:C = H5249), ""{{}}"", E5249), B5249)"),"Louer appartement Unterengadin - Val Mustair: Trouvez le bien immobilier qui correspond idéalement à vos désirs sur ImmoScout24 - La plateforme de l'immobilier en Suisse.")</f>
        <v>Louer appartement Unterengadin - Val Mustair: Trouvez le bien immobilier qui correspond idéalement à vos désirs sur ImmoScout24 - La plateforme de l'immobilier en Suisse.</v>
      </c>
    </row>
    <row r="5250" hidden="1">
      <c r="A5250" s="5" t="s">
        <v>13597</v>
      </c>
      <c r="B5250" s="2" t="s">
        <v>13598</v>
      </c>
      <c r="C5250" s="2" t="s">
        <v>13598</v>
      </c>
      <c r="D5250" s="4" t="str">
        <f>vlookup(A5250, Sheet2!D:E, 2, 0)</f>
        <v>control</v>
      </c>
      <c r="E5250" s="4" t="str">
        <f>IFERROR(__xludf.DUMMYFUNCTION("if(H5250=""pays"",vlookup(REGEXEXTRACT(C5250, ""🏘️ \w+ \w+ (.*) ✅""),'Country prepositions'!A:B, 2, 0) &amp; "" "" &amp; REGEXEXTRACT(C5250, ""🏘️ \w+ \w+ (.*) ✅"") ,  if(H5250=""quartier"",vlookup(REGEXEXTRACT(C5250, ""🏘️ \w+ \w+ (.*) ✅""),'Quartier prepositio"&amp;"ns'!A:E, 5, 0) ,  if(H5250=""region"",vlookup(REGEXEXTRACT(C5250, ""🏘️ \w+ \w+ (.*) ✅""),'Region prepositions'!B:F, 5, 0),  REGEXEXTRACT(C5250, ""🏘️ \w+ \w+ (.*) ✅""))))"),"#N/A")</f>
        <v>#N/A</v>
      </c>
      <c r="I5250" s="4" t="str">
        <f>IFERROR(__xludf.DUMMYFUNCTION("if(D5250=""variant"",  substitute(filter(Templates!E:E, Templates!A:A = F5250, Templates!B:B = G5250, Templates!C:C = H5250), ""{{}}"", E5250), B5250)"),"Louer appartement Montbovon: Trouvez le bien immobilier qui correspond idéalement à vos désirs sur ImmoScout24 - La plateforme de l'immobilier en Suisse.")</f>
        <v>Louer appartement Montbovon: Trouvez le bien immobilier qui correspond idéalement à vos désirs sur ImmoScout24 - La plateforme de l'immobilier en Suisse.</v>
      </c>
    </row>
    <row r="5251" hidden="1">
      <c r="A5251" s="5" t="s">
        <v>13599</v>
      </c>
      <c r="B5251" s="2" t="s">
        <v>13600</v>
      </c>
      <c r="C5251" s="2" t="s">
        <v>13600</v>
      </c>
      <c r="D5251" s="4" t="str">
        <f>vlookup(A5251, Sheet2!D:E, 2, 0)</f>
        <v>control</v>
      </c>
      <c r="E5251" s="4" t="str">
        <f>IFERROR(__xludf.DUMMYFUNCTION("if(H5251=""pays"",vlookup(REGEXEXTRACT(C5251, ""🏘️ \w+ \w+ (.*) ✅""),'Country prepositions'!A:B, 2, 0) &amp; "" "" &amp; REGEXEXTRACT(C5251, ""🏘️ \w+ \w+ (.*) ✅"") ,  if(H5251=""quartier"",vlookup(REGEXEXTRACT(C5251, ""🏘️ \w+ \w+ (.*) ✅""),'Quartier prepositio"&amp;"ns'!A:E, 5, 0) ,  if(H5251=""region"",vlookup(REGEXEXTRACT(C5251, ""🏘️ \w+ \w+ (.*) ✅""),'Region prepositions'!B:F, 5, 0),  REGEXEXTRACT(C5251, ""🏘️ \w+ \w+ (.*) ✅""))))"),"#N/A")</f>
        <v>#N/A</v>
      </c>
      <c r="I5251" s="4" t="str">
        <f>IFERROR(__xludf.DUMMYFUNCTION("if(D5251=""variant"",  substitute(filter(Templates!E:E, Templates!A:A = F5251, Templates!B:B = G5251, Templates!C:C = H5251), ""{{}}"", E5251), B5251)"),"Louer appartement Zollikerberg: Trouvez le bien immobilier qui correspond idéalement à vos désirs sur ImmoScout24 - La plateforme de l'immobilier en Suisse.")</f>
        <v>Louer appartement Zollikerberg: Trouvez le bien immobilier qui correspond idéalement à vos désirs sur ImmoScout24 - La plateforme de l'immobilier en Suisse.</v>
      </c>
    </row>
    <row r="5252" hidden="1">
      <c r="A5252" s="5" t="s">
        <v>13601</v>
      </c>
      <c r="B5252" s="2" t="s">
        <v>13602</v>
      </c>
      <c r="C5252" s="2" t="s">
        <v>13602</v>
      </c>
      <c r="D5252" s="4" t="str">
        <f>vlookup(A5252, Sheet2!D:E, 2, 0)</f>
        <v>control</v>
      </c>
      <c r="E5252" s="4" t="str">
        <f>IFERROR(__xludf.DUMMYFUNCTION("if(H5252=""pays"",vlookup(REGEXEXTRACT(C5252, ""🏘️ \w+ \w+ (.*) ✅""),'Country prepositions'!A:B, 2, 0) &amp; "" "" &amp; REGEXEXTRACT(C5252, ""🏘️ \w+ \w+ (.*) ✅"") ,  if(H5252=""quartier"",vlookup(REGEXEXTRACT(C5252, ""🏘️ \w+ \w+ (.*) ✅""),'Quartier prepositio"&amp;"ns'!A:E, 5, 0) ,  if(H5252=""region"",vlookup(REGEXEXTRACT(C5252, ""🏘️ \w+ \w+ (.*) ✅""),'Region prepositions'!B:F, 5, 0),  REGEXEXTRACT(C5252, ""🏘️ \w+ \w+ (.*) ✅""))))"),"#N/A")</f>
        <v>#N/A</v>
      </c>
      <c r="I5252" s="4" t="str">
        <f>IFERROR(__xludf.DUMMYFUNCTION("if(D5252=""variant"",  substitute(filter(Templates!E:E, Templates!A:A = F5252, Templates!B:B = G5252, Templates!C:C = H5252), ""{{}}"", E5252), B5252)"),"Vendre appartement Ins: Trouvez le bien immobilier qui correspond idéalement à vos désirs sur ImmoScout24 - La plateforme de l'immobilier en Suisse.")</f>
        <v>Vendre appartement Ins: Trouvez le bien immobilier qui correspond idéalement à vos désirs sur ImmoScout24 - La plateforme de l'immobilier en Suisse.</v>
      </c>
    </row>
    <row r="5253" hidden="1">
      <c r="A5253" s="5" t="s">
        <v>13603</v>
      </c>
      <c r="B5253" s="2" t="s">
        <v>13604</v>
      </c>
      <c r="C5253" s="2" t="s">
        <v>13604</v>
      </c>
      <c r="D5253" s="4" t="str">
        <f>vlookup(A5253, Sheet2!D:E, 2, 0)</f>
        <v>control</v>
      </c>
      <c r="E5253" s="4" t="str">
        <f>IFERROR(__xludf.DUMMYFUNCTION("if(H5253=""pays"",vlookup(REGEXEXTRACT(C5253, ""🏘️ \w+ \w+ (.*) ✅""),'Country prepositions'!A:B, 2, 0) &amp; "" "" &amp; REGEXEXTRACT(C5253, ""🏘️ \w+ \w+ (.*) ✅"") ,  if(H5253=""quartier"",vlookup(REGEXEXTRACT(C5253, ""🏘️ \w+ \w+ (.*) ✅""),'Quartier prepositio"&amp;"ns'!A:E, 5, 0) ,  if(H5253=""region"",vlookup(REGEXEXTRACT(C5253, ""🏘️ \w+ \w+ (.*) ✅""),'Region prepositions'!B:F, 5, 0),  REGEXEXTRACT(C5253, ""🏘️ \w+ \w+ (.*) ✅""))))"),"#N/A")</f>
        <v>#N/A</v>
      </c>
      <c r="I5253" s="4" t="str">
        <f>IFERROR(__xludf.DUMMYFUNCTION("if(D5253=""variant"",  substitute(filter(Templates!E:E, Templates!A:A = F5253, Templates!B:B = G5253, Templates!C:C = H5253), ""{{}}"", E5253), B5253)"),"Vendre maison Kyburg-Buchegg: Trouvez le bien immobilier qui correspond idéalement à vos désirs sur ImmoScout24 - La plateforme de l'immobilier en Suisse.")</f>
        <v>Vendre maison Kyburg-Buchegg: Trouvez le bien immobilier qui correspond idéalement à vos désirs sur ImmoScout24 - La plateforme de l'immobilier en Suisse.</v>
      </c>
    </row>
    <row r="5254" hidden="1">
      <c r="A5254" s="5" t="s">
        <v>13605</v>
      </c>
      <c r="B5254" s="2" t="s">
        <v>13606</v>
      </c>
      <c r="C5254" s="2" t="s">
        <v>13606</v>
      </c>
      <c r="D5254" s="4" t="str">
        <f>vlookup(A5254, Sheet2!D:E, 2, 0)</f>
        <v>control</v>
      </c>
      <c r="E5254" s="4" t="str">
        <f>IFERROR(__xludf.DUMMYFUNCTION("if(H5254=""pays"",vlookup(REGEXEXTRACT(C5254, ""🏘️ \w+ \w+ (.*) ✅""),'Country prepositions'!A:B, 2, 0) &amp; "" "" &amp; REGEXEXTRACT(C5254, ""🏘️ \w+ \w+ (.*) ✅"") ,  if(H5254=""quartier"",vlookup(REGEXEXTRACT(C5254, ""🏘️ \w+ \w+ (.*) ✅""),'Quartier prepositio"&amp;"ns'!A:E, 5, 0) ,  if(H5254=""region"",vlookup(REGEXEXTRACT(C5254, ""🏘️ \w+ \w+ (.*) ✅""),'Region prepositions'!B:F, 5, 0),  REGEXEXTRACT(C5254, ""🏘️ \w+ \w+ (.*) ✅""))))"),"#N/A")</f>
        <v>#N/A</v>
      </c>
      <c r="I5254" s="4" t="str">
        <f>IFERROR(__xludf.DUMMYFUNCTION("if(D5254=""variant"",  substitute(filter(Templates!E:E, Templates!A:A = F5254, Templates!B:B = G5254, Templates!C:C = H5254), ""{{}}"", E5254), B5254)"),"Vendre maison Vuisternens-en-Ogoz: Trouvez le bien immobilier qui correspond idéalement à vos désirs sur ImmoScout24 - La plateforme de l'immobilier en Suisse.")</f>
        <v>Vendre maison Vuisternens-en-Ogoz: Trouvez le bien immobilier qui correspond idéalement à vos désirs sur ImmoScout24 - La plateforme de l'immobilier en Suisse.</v>
      </c>
    </row>
    <row r="5255" hidden="1">
      <c r="A5255" s="5" t="s">
        <v>13607</v>
      </c>
      <c r="B5255" s="2" t="s">
        <v>13608</v>
      </c>
      <c r="C5255" s="2" t="s">
        <v>13608</v>
      </c>
      <c r="D5255" s="4" t="str">
        <f>vlookup(A5255, Sheet2!D:E, 2, 0)</f>
        <v>control</v>
      </c>
      <c r="E5255" s="4" t="str">
        <f>IFERROR(__xludf.DUMMYFUNCTION("if(H5255=""pays"",vlookup(REGEXEXTRACT(C5255, ""🏘️ \w+ \w+ (.*) ✅""),'Country prepositions'!A:B, 2, 0) &amp; "" "" &amp; REGEXEXTRACT(C5255, ""🏘️ \w+ \w+ (.*) ✅"") ,  if(H5255=""quartier"",vlookup(REGEXEXTRACT(C5255, ""🏘️ \w+ \w+ (.*) ✅""),'Quartier prepositio"&amp;"ns'!A:E, 5, 0) ,  if(H5255=""region"",vlookup(REGEXEXTRACT(C5255, ""🏘️ \w+ \w+ (.*) ✅""),'Region prepositions'!B:F, 5, 0),  REGEXEXTRACT(C5255, ""🏘️ \w+ \w+ (.*) ✅""))))"),"#N/A")</f>
        <v>#N/A</v>
      </c>
      <c r="I5255" s="4" t="str">
        <f>IFERROR(__xludf.DUMMYFUNCTION("if(D5255=""variant"",  substitute(filter(Templates!E:E, Templates!A:A = F5255, Templates!B:B = G5255, Templates!C:C = H5255), ""{{}}"", E5255), B5255)"),"Louer appartement Hauteville: Trouvez le bien immobilier qui correspond idéalement à vos désirs sur ImmoScout24 - La plateforme de l'immobilier en Suisse.")</f>
        <v>Louer appartement Hauteville: Trouvez le bien immobilier qui correspond idéalement à vos désirs sur ImmoScout24 - La plateforme de l'immobilier en Suisse.</v>
      </c>
    </row>
    <row r="5256" hidden="1">
      <c r="A5256" s="5" t="s">
        <v>13609</v>
      </c>
      <c r="B5256" s="2" t="s">
        <v>13610</v>
      </c>
      <c r="C5256" s="2" t="s">
        <v>13610</v>
      </c>
      <c r="D5256" s="4" t="str">
        <f>vlookup(A5256, Sheet2!D:E, 2, 0)</f>
        <v>control</v>
      </c>
      <c r="E5256" s="4" t="str">
        <f>IFERROR(__xludf.DUMMYFUNCTION("if(H5256=""pays"",vlookup(REGEXEXTRACT(C5256, ""🏘️ \w+ \w+ (.*) ✅""),'Country prepositions'!A:B, 2, 0) &amp; "" "" &amp; REGEXEXTRACT(C5256, ""🏘️ \w+ \w+ (.*) ✅"") ,  if(H5256=""quartier"",vlookup(REGEXEXTRACT(C5256, ""🏘️ \w+ \w+ (.*) ✅""),'Quartier prepositio"&amp;"ns'!A:E, 5, 0) ,  if(H5256=""region"",vlookup(REGEXEXTRACT(C5256, ""🏘️ \w+ \w+ (.*) ✅""),'Region prepositions'!B:F, 5, 0),  REGEXEXTRACT(C5256, ""🏘️ \w+ \w+ (.*) ✅""))))"),"#N/A")</f>
        <v>#N/A</v>
      </c>
      <c r="I5256" s="4" t="str">
        <f>IFERROR(__xludf.DUMMYFUNCTION("if(D5256=""variant"",  substitute(filter(Templates!E:E, Templates!A:A = F5256, Templates!B:B = G5256, Templates!C:C = H5256), ""{{}}"", E5256), B5256)"),"Vendre appartement Vuisternens-en-Ogoz: Trouvez le bien immobilier qui correspond idéalement à vos désirs sur ImmoScout24 - La plateforme de l'immobilier en Suisse.")</f>
        <v>Vendre appartement Vuisternens-en-Ogoz: Trouvez le bien immobilier qui correspond idéalement à vos désirs sur ImmoScout24 - La plateforme de l'immobilier en Suisse.</v>
      </c>
    </row>
    <row r="5257" hidden="1">
      <c r="A5257" s="5" t="s">
        <v>13611</v>
      </c>
      <c r="B5257" s="2" t="s">
        <v>13612</v>
      </c>
      <c r="C5257" s="2" t="s">
        <v>13612</v>
      </c>
      <c r="D5257" s="4" t="str">
        <f>vlookup(A5257, Sheet2!D:E, 2, 0)</f>
        <v>control</v>
      </c>
      <c r="E5257" s="4" t="str">
        <f>IFERROR(__xludf.DUMMYFUNCTION("if(H5257=""pays"",vlookup(REGEXEXTRACT(C5257, ""🏘️ \w+ \w+ (.*) ✅""),'Country prepositions'!A:B, 2, 0) &amp; "" "" &amp; REGEXEXTRACT(C5257, ""🏘️ \w+ \w+ (.*) ✅"") ,  if(H5257=""quartier"",vlookup(REGEXEXTRACT(C5257, ""🏘️ \w+ \w+ (.*) ✅""),'Quartier prepositio"&amp;"ns'!A:E, 5, 0) ,  if(H5257=""region"",vlookup(REGEXEXTRACT(C5257, ""🏘️ \w+ \w+ (.*) ✅""),'Region prepositions'!B:F, 5, 0),  REGEXEXTRACT(C5257, ""🏘️ \w+ \w+ (.*) ✅""))))"),"#N/A")</f>
        <v>#N/A</v>
      </c>
      <c r="I5257" s="4" t="str">
        <f>IFERROR(__xludf.DUMMYFUNCTION("if(D5257=""variant"",  substitute(filter(Templates!E:E, Templates!A:A = F5257, Templates!B:B = G5257, Templates!C:C = H5257), ""{{}}"", E5257), B5257)"),"Louer appartement Chavannes-les-Forts: Trouvez le bien immobilier qui correspond idéalement à vos désirs sur ImmoScout24 - La plateforme de l'immobilier en Suisse.")</f>
        <v>Louer appartement Chavannes-les-Forts: Trouvez le bien immobilier qui correspond idéalement à vos désirs sur ImmoScout24 - La plateforme de l'immobilier en Suisse.</v>
      </c>
    </row>
    <row r="5258" hidden="1">
      <c r="A5258" s="5" t="s">
        <v>13613</v>
      </c>
      <c r="B5258" s="2" t="s">
        <v>13614</v>
      </c>
      <c r="C5258" s="2" t="s">
        <v>13614</v>
      </c>
      <c r="D5258" s="4" t="str">
        <f>vlookup(A5258, Sheet2!D:E, 2, 0)</f>
        <v>control</v>
      </c>
      <c r="E5258" s="4" t="str">
        <f>IFERROR(__xludf.DUMMYFUNCTION("if(H5258=""pays"",vlookup(REGEXEXTRACT(C5258, ""🏘️ \w+ \w+ (.*) ✅""),'Country prepositions'!A:B, 2, 0) &amp; "" "" &amp; REGEXEXTRACT(C5258, ""🏘️ \w+ \w+ (.*) ✅"") ,  if(H5258=""quartier"",vlookup(REGEXEXTRACT(C5258, ""🏘️ \w+ \w+ (.*) ✅""),'Quartier prepositio"&amp;"ns'!A:E, 5, 0) ,  if(H5258=""region"",vlookup(REGEXEXTRACT(C5258, ""🏘️ \w+ \w+ (.*) ✅""),'Region prepositions'!B:F, 5, 0),  REGEXEXTRACT(C5258, ""🏘️ \w+ \w+ (.*) ✅""))))"),"#N/A")</f>
        <v>#N/A</v>
      </c>
      <c r="I5258" s="4" t="str">
        <f>IFERROR(__xludf.DUMMYFUNCTION("if(D5258=""variant"",  substitute(filter(Templates!E:E, Templates!A:A = F5258, Templates!B:B = G5258, Templates!C:C = H5258), ""{{}}"", E5258), B5258)"),"Louer maison Rive Gauche: Trouvez le bien immobilier qui correspond idéalement à vos désirs sur ImmoScout24 - La plateforme de l'immobilier en Suisse.")</f>
        <v>Louer maison Rive Gauche: Trouvez le bien immobilier qui correspond idéalement à vos désirs sur ImmoScout24 - La plateforme de l'immobilier en Suisse.</v>
      </c>
    </row>
    <row r="5259" hidden="1">
      <c r="A5259" s="5" t="s">
        <v>13615</v>
      </c>
      <c r="B5259" s="2" t="s">
        <v>13616</v>
      </c>
      <c r="C5259" s="2" t="s">
        <v>13616</v>
      </c>
      <c r="D5259" s="4" t="str">
        <f>vlookup(A5259, Sheet2!D:E, 2, 0)</f>
        <v>control</v>
      </c>
      <c r="E5259" s="4" t="str">
        <f>IFERROR(__xludf.DUMMYFUNCTION("if(H5259=""pays"",vlookup(REGEXEXTRACT(C5259, ""🏘️ \w+ \w+ (.*) ✅""),'Country prepositions'!A:B, 2, 0) &amp; "" "" &amp; REGEXEXTRACT(C5259, ""🏘️ \w+ \w+ (.*) ✅"") ,  if(H5259=""quartier"",vlookup(REGEXEXTRACT(C5259, ""🏘️ \w+ \w+ (.*) ✅""),'Quartier prepositio"&amp;"ns'!A:E, 5, 0) ,  if(H5259=""region"",vlookup(REGEXEXTRACT(C5259, ""🏘️ \w+ \w+ (.*) ✅""),'Region prepositions'!B:F, 5, 0),  REGEXEXTRACT(C5259, ""🏘️ \w+ \w+ (.*) ✅""))))"),"#N/A")</f>
        <v>#N/A</v>
      </c>
      <c r="I5259" s="4" t="str">
        <f>IFERROR(__xludf.DUMMYFUNCTION("if(D5259=""variant"",  substitute(filter(Templates!E:E, Templates!A:A = F5259, Templates!B:B = G5259, Templates!C:C = H5259), ""{{}}"", E5259), B5259)"),"Louer appartement Juriens: Trouvez le bien immobilier qui correspond idéalement à vos désirs sur ImmoScout24 - La plateforme de l'immobilier en Suisse.")</f>
        <v>Louer appartement Juriens: Trouvez le bien immobilier qui correspond idéalement à vos désirs sur ImmoScout24 - La plateforme de l'immobilier en Suisse.</v>
      </c>
    </row>
    <row r="5260" hidden="1">
      <c r="A5260" s="5" t="s">
        <v>13617</v>
      </c>
      <c r="B5260" s="2" t="s">
        <v>13618</v>
      </c>
      <c r="C5260" s="2" t="s">
        <v>13618</v>
      </c>
      <c r="D5260" s="4" t="str">
        <f>vlookup(A5260, Sheet2!D:E, 2, 0)</f>
        <v>control</v>
      </c>
      <c r="E5260" s="4" t="str">
        <f>IFERROR(__xludf.DUMMYFUNCTION("if(H5260=""pays"",vlookup(REGEXEXTRACT(C5260, ""🏘️ \w+ \w+ (.*) ✅""),'Country prepositions'!A:B, 2, 0) &amp; "" "" &amp; REGEXEXTRACT(C5260, ""🏘️ \w+ \w+ (.*) ✅"") ,  if(H5260=""quartier"",vlookup(REGEXEXTRACT(C5260, ""🏘️ \w+ \w+ (.*) ✅""),'Quartier prepositio"&amp;"ns'!A:E, 5, 0) ,  if(H5260=""region"",vlookup(REGEXEXTRACT(C5260, ""🏘️ \w+ \w+ (.*) ✅""),'Region prepositions'!B:F, 5, 0),  REGEXEXTRACT(C5260, ""🏘️ \w+ \w+ (.*) ✅""))))"),"#N/A")</f>
        <v>#N/A</v>
      </c>
      <c r="I5260" s="4" t="str">
        <f>IFERROR(__xludf.DUMMYFUNCTION("if(D5260=""variant"",  substitute(filter(Templates!E:E, Templates!A:A = F5260, Templates!B:B = G5260, Templates!C:C = H5260), ""{{}}"", E5260), B5260)"),"Vendre maison Villarepos: Trouvez le bien immobilier qui correspond idéalement à vos désirs sur ImmoScout24 - La plateforme de l'immobilier en Suisse.")</f>
        <v>Vendre maison Villarepos: Trouvez le bien immobilier qui correspond idéalement à vos désirs sur ImmoScout24 - La plateforme de l'immobilier en Suisse.</v>
      </c>
    </row>
    <row r="5261" hidden="1">
      <c r="A5261" s="5" t="s">
        <v>13619</v>
      </c>
      <c r="B5261" s="2" t="s">
        <v>13620</v>
      </c>
      <c r="C5261" s="2" t="s">
        <v>13620</v>
      </c>
      <c r="D5261" s="4" t="str">
        <f>vlookup(A5261, Sheet2!D:E, 2, 0)</f>
        <v>control</v>
      </c>
      <c r="E5261" s="4" t="str">
        <f>IFERROR(__xludf.DUMMYFUNCTION("if(H5261=""pays"",vlookup(REGEXEXTRACT(C5261, ""🏘️ \w+ \w+ (.*) ✅""),'Country prepositions'!A:B, 2, 0) &amp; "" "" &amp; REGEXEXTRACT(C5261, ""🏘️ \w+ \w+ (.*) ✅"") ,  if(H5261=""quartier"",vlookup(REGEXEXTRACT(C5261, ""🏘️ \w+ \w+ (.*) ✅""),'Quartier prepositio"&amp;"ns'!A:E, 5, 0) ,  if(H5261=""region"",vlookup(REGEXEXTRACT(C5261, ""🏘️ \w+ \w+ (.*) ✅""),'Region prepositions'!B:F, 5, 0),  REGEXEXTRACT(C5261, ""🏘️ \w+ \w+ (.*) ✅""))))"),"#N/A")</f>
        <v>#N/A</v>
      </c>
      <c r="I5261" s="4" t="str">
        <f>IFERROR(__xludf.DUMMYFUNCTION("if(D5261=""variant"",  substitute(filter(Templates!E:E, Templates!A:A = F5261, Templates!B:B = G5261, Templates!C:C = H5261), ""{{}}"", E5261), B5261)"),"Vendre maison Jussy: Trouvez le bien immobilier qui correspond idéalement à vos désirs sur ImmoScout24 - La plateforme de l'immobilier en Suisse.")</f>
        <v>Vendre maison Jussy: Trouvez le bien immobilier qui correspond idéalement à vos désirs sur ImmoScout24 - La plateforme de l'immobilier en Suisse.</v>
      </c>
    </row>
    <row r="5262" hidden="1">
      <c r="A5262" s="5" t="s">
        <v>13621</v>
      </c>
      <c r="B5262" s="2" t="s">
        <v>13622</v>
      </c>
      <c r="C5262" s="2" t="s">
        <v>13622</v>
      </c>
      <c r="D5262" s="4" t="str">
        <f>vlookup(A5262, Sheet2!D:E, 2, 0)</f>
        <v>control</v>
      </c>
      <c r="E5262" s="4" t="str">
        <f>IFERROR(__xludf.DUMMYFUNCTION("if(H5262=""pays"",vlookup(REGEXEXTRACT(C5262, ""🏘️ \w+ \w+ (.*) ✅""),'Country prepositions'!A:B, 2, 0) &amp; "" "" &amp; REGEXEXTRACT(C5262, ""🏘️ \w+ \w+ (.*) ✅"") ,  if(H5262=""quartier"",vlookup(REGEXEXTRACT(C5262, ""🏘️ \w+ \w+ (.*) ✅""),'Quartier prepositio"&amp;"ns'!A:E, 5, 0) ,  if(H5262=""region"",vlookup(REGEXEXTRACT(C5262, ""🏘️ \w+ \w+ (.*) ✅""),'Region prepositions'!B:F, 5, 0),  REGEXEXTRACT(C5262, ""🏘️ \w+ \w+ (.*) ✅""))))"),"#N/A")</f>
        <v>#N/A</v>
      </c>
      <c r="I5262" s="4" t="str">
        <f>IFERROR(__xludf.DUMMYFUNCTION("if(D5262=""variant"",  substitute(filter(Templates!E:E, Templates!A:A = F5262, Templates!B:B = G5262, Templates!C:C = H5262), ""{{}}"", E5262), B5262)"),"Louer appartement Canton de Neuchâtel: Trouvez le bien immobilier qui correspond idéalement à vos désirs sur ImmoScout24 - La plateforme de l'immobilier en Suisse.")</f>
        <v>Louer appartement Canton de Neuchâtel: Trouvez le bien immobilier qui correspond idéalement à vos désirs sur ImmoScout24 - La plateforme de l'immobilier en Suisse.</v>
      </c>
    </row>
    <row r="5263" hidden="1">
      <c r="A5263" s="5" t="s">
        <v>13623</v>
      </c>
      <c r="B5263" s="2" t="s">
        <v>13624</v>
      </c>
      <c r="C5263" s="2" t="s">
        <v>13624</v>
      </c>
      <c r="D5263" s="4" t="str">
        <f>vlookup(A5263, Sheet2!D:E, 2, 0)</f>
        <v>control</v>
      </c>
      <c r="E5263" s="4" t="str">
        <f>IFERROR(__xludf.DUMMYFUNCTION("if(H5263=""pays"",vlookup(REGEXEXTRACT(C5263, ""🏘️ \w+ \w+ (.*) ✅""),'Country prepositions'!A:B, 2, 0) &amp; "" "" &amp; REGEXEXTRACT(C5263, ""🏘️ \w+ \w+ (.*) ✅"") ,  if(H5263=""quartier"",vlookup(REGEXEXTRACT(C5263, ""🏘️ \w+ \w+ (.*) ✅""),'Quartier prepositio"&amp;"ns'!A:E, 5, 0) ,  if(H5263=""region"",vlookup(REGEXEXTRACT(C5263, ""🏘️ \w+ \w+ (.*) ✅""),'Region prepositions'!B:F, 5, 0),  REGEXEXTRACT(C5263, ""🏘️ \w+ \w+ (.*) ✅""))))"),"#N/A")</f>
        <v>#N/A</v>
      </c>
      <c r="I5263" s="4" t="str">
        <f>IFERROR(__xludf.DUMMYFUNCTION("if(D5263=""variant"",  substitute(filter(Templates!E:E, Templates!A:A = F5263, Templates!B:B = G5263, Templates!C:C = H5263), ""{{}}"", E5263), B5263)"),"Louer maison Birmensdorf ZH: Trouvez le bien immobilier qui correspond idéalement à vos désirs sur ImmoScout24 - La plateforme de l'immobilier en Suisse.")</f>
        <v>Louer maison Birmensdorf ZH: Trouvez le bien immobilier qui correspond idéalement à vos désirs sur ImmoScout24 - La plateforme de l'immobilier en Suisse.</v>
      </c>
    </row>
    <row r="5264" hidden="1">
      <c r="A5264" s="5" t="s">
        <v>13625</v>
      </c>
      <c r="B5264" s="2" t="s">
        <v>13626</v>
      </c>
      <c r="C5264" s="2" t="s">
        <v>13626</v>
      </c>
      <c r="D5264" s="4" t="str">
        <f>vlookup(A5264, Sheet2!D:E, 2, 0)</f>
        <v>control</v>
      </c>
      <c r="E5264" s="4" t="str">
        <f>IFERROR(__xludf.DUMMYFUNCTION("if(H5264=""pays"",vlookup(REGEXEXTRACT(C5264, ""🏘️ \w+ \w+ (.*) ✅""),'Country prepositions'!A:B, 2, 0) &amp; "" "" &amp; REGEXEXTRACT(C5264, ""🏘️ \w+ \w+ (.*) ✅"") ,  if(H5264=""quartier"",vlookup(REGEXEXTRACT(C5264, ""🏘️ \w+ \w+ (.*) ✅""),'Quartier prepositio"&amp;"ns'!A:E, 5, 0) ,  if(H5264=""region"",vlookup(REGEXEXTRACT(C5264, ""🏘️ \w+ \w+ (.*) ✅""),'Region prepositions'!B:F, 5, 0),  REGEXEXTRACT(C5264, ""🏘️ \w+ \w+ (.*) ✅""))))"),"#N/A")</f>
        <v>#N/A</v>
      </c>
      <c r="I5264" s="4" t="str">
        <f>IFERROR(__xludf.DUMMYFUNCTION("if(D5264=""variant"",  substitute(filter(Templates!E:E, Templates!A:A = F5264, Templates!B:B = G5264, Templates!C:C = H5264), ""{{}}"", E5264), B5264)"),"Louer appartement Fortunau (Ayent): Trouvez le bien immobilier qui correspond idéalement à vos désirs sur ImmoScout24 - La plateforme de l'immobilier en Suisse.")</f>
        <v>Louer appartement Fortunau (Ayent): Trouvez le bien immobilier qui correspond idéalement à vos désirs sur ImmoScout24 - La plateforme de l'immobilier en Suisse.</v>
      </c>
    </row>
    <row r="5265" hidden="1">
      <c r="A5265" s="5" t="s">
        <v>13627</v>
      </c>
      <c r="B5265" s="2" t="s">
        <v>13628</v>
      </c>
      <c r="C5265" s="2" t="s">
        <v>13628</v>
      </c>
      <c r="D5265" s="4" t="str">
        <f>vlookup(A5265, Sheet2!D:E, 2, 0)</f>
        <v>control</v>
      </c>
      <c r="E5265" s="4" t="str">
        <f>IFERROR(__xludf.DUMMYFUNCTION("if(H5265=""pays"",vlookup(REGEXEXTRACT(C5265, ""🏘️ \w+ \w+ (.*) ✅""),'Country prepositions'!A:B, 2, 0) &amp; "" "" &amp; REGEXEXTRACT(C5265, ""🏘️ \w+ \w+ (.*) ✅"") ,  if(H5265=""quartier"",vlookup(REGEXEXTRACT(C5265, ""🏘️ \w+ \w+ (.*) ✅""),'Quartier prepositio"&amp;"ns'!A:E, 5, 0) ,  if(H5265=""region"",vlookup(REGEXEXTRACT(C5265, ""🏘️ \w+ \w+ (.*) ✅""),'Region prepositions'!B:F, 5, 0),  REGEXEXTRACT(C5265, ""🏘️ \w+ \w+ (.*) ✅""))))"),"#N/A")</f>
        <v>#N/A</v>
      </c>
      <c r="I5265" s="4" t="str">
        <f>IFERROR(__xludf.DUMMYFUNCTION("if(D5265=""variant"",  substitute(filter(Templates!E:E, Templates!A:A = F5265, Templates!B:B = G5265, Templates!C:C = H5265), ""{{}}"", E5265), B5265)"),"Louer maison Ovronnaz: Trouvez le bien immobilier qui correspond idéalement à vos désirs sur ImmoScout24 - La plateforme de l'immobilier en Suisse.")</f>
        <v>Louer maison Ovronnaz: Trouvez le bien immobilier qui correspond idéalement à vos désirs sur ImmoScout24 - La plateforme de l'immobilier en Suisse.</v>
      </c>
    </row>
    <row r="5266" hidden="1">
      <c r="A5266" s="5" t="s">
        <v>13629</v>
      </c>
      <c r="B5266" s="2" t="s">
        <v>13630</v>
      </c>
      <c r="C5266" s="2" t="s">
        <v>13630</v>
      </c>
      <c r="D5266" s="4" t="str">
        <f>vlookup(A5266, Sheet2!D:E, 2, 0)</f>
        <v>control</v>
      </c>
      <c r="E5266" s="4" t="str">
        <f>IFERROR(__xludf.DUMMYFUNCTION("if(H5266=""pays"",vlookup(REGEXEXTRACT(C5266, ""🏘️ \w+ \w+ (.*) ✅""),'Country prepositions'!A:B, 2, 0) &amp; "" "" &amp; REGEXEXTRACT(C5266, ""🏘️ \w+ \w+ (.*) ✅"") ,  if(H5266=""quartier"",vlookup(REGEXEXTRACT(C5266, ""🏘️ \w+ \w+ (.*) ✅""),'Quartier prepositio"&amp;"ns'!A:E, 5, 0) ,  if(H5266=""region"",vlookup(REGEXEXTRACT(C5266, ""🏘️ \w+ \w+ (.*) ✅""),'Region prepositions'!B:F, 5, 0),  REGEXEXTRACT(C5266, ""🏘️ \w+ \w+ (.*) ✅""))))"),"#N/A")</f>
        <v>#N/A</v>
      </c>
      <c r="I5266" s="4" t="str">
        <f>IFERROR(__xludf.DUMMYFUNCTION("if(D5266=""variant"",  substitute(filter(Templates!E:E, Templates!A:A = F5266, Templates!B:B = G5266, Templates!C:C = H5266), ""{{}}"", E5266), B5266)"),"Louer maison Grand-Lancy: Trouvez le bien immobilier qui correspond idéalement à vos désirs sur ImmoScout24 - La plateforme de l'immobilier en Suisse.")</f>
        <v>Louer maison Grand-Lancy: Trouvez le bien immobilier qui correspond idéalement à vos désirs sur ImmoScout24 - La plateforme de l'immobilier en Suisse.</v>
      </c>
    </row>
    <row r="5267" hidden="1">
      <c r="A5267" s="5" t="s">
        <v>13631</v>
      </c>
      <c r="B5267" s="2" t="s">
        <v>13632</v>
      </c>
      <c r="C5267" s="2" t="s">
        <v>13632</v>
      </c>
      <c r="D5267" s="4" t="str">
        <f>vlookup(A5267, Sheet2!D:E, 2, 0)</f>
        <v>control</v>
      </c>
      <c r="E5267" s="4" t="str">
        <f>IFERROR(__xludf.DUMMYFUNCTION("if(H5267=""pays"",vlookup(REGEXEXTRACT(C5267, ""🏘️ \w+ \w+ (.*) ✅""),'Country prepositions'!A:B, 2, 0) &amp; "" "" &amp; REGEXEXTRACT(C5267, ""🏘️ \w+ \w+ (.*) ✅"") ,  if(H5267=""quartier"",vlookup(REGEXEXTRACT(C5267, ""🏘️ \w+ \w+ (.*) ✅""),'Quartier prepositio"&amp;"ns'!A:E, 5, 0) ,  if(H5267=""region"",vlookup(REGEXEXTRACT(C5267, ""🏘️ \w+ \w+ (.*) ✅""),'Region prepositions'!B:F, 5, 0),  REGEXEXTRACT(C5267, ""🏘️ \w+ \w+ (.*) ✅""))))"),"#N/A")</f>
        <v>#N/A</v>
      </c>
      <c r="I5267" s="4" t="str">
        <f>IFERROR(__xludf.DUMMYFUNCTION("if(D5267=""variant"",  substitute(filter(Templates!E:E, Templates!A:A = F5267, Templates!B:B = G5267, Templates!C:C = H5267), ""{{}}"", E5267), B5267)"),"Vendre maison Genève-ville: Trouvez le bien immobilier qui correspond idéalement à vos désirs sur ImmoScout24 - La plateforme de l'immobilier en Suisse.")</f>
        <v>Vendre maison Genève-ville: Trouvez le bien immobilier qui correspond idéalement à vos désirs sur ImmoScout24 - La plateforme de l'immobilier en Suisse.</v>
      </c>
    </row>
    <row r="5268" hidden="1">
      <c r="A5268" s="5" t="s">
        <v>13633</v>
      </c>
      <c r="B5268" s="2" t="s">
        <v>13634</v>
      </c>
      <c r="C5268" s="2" t="s">
        <v>13634</v>
      </c>
      <c r="D5268" s="4" t="str">
        <f>vlookup(A5268, Sheet2!D:E, 2, 0)</f>
        <v>control</v>
      </c>
      <c r="E5268" s="4" t="str">
        <f>IFERROR(__xludf.DUMMYFUNCTION("if(H5268=""pays"",vlookup(REGEXEXTRACT(C5268, ""🏘️ \w+ \w+ (.*) ✅""),'Country prepositions'!A:B, 2, 0) &amp; "" "" &amp; REGEXEXTRACT(C5268, ""🏘️ \w+ \w+ (.*) ✅"") ,  if(H5268=""quartier"",vlookup(REGEXEXTRACT(C5268, ""🏘️ \w+ \w+ (.*) ✅""),'Quartier prepositio"&amp;"ns'!A:E, 5, 0) ,  if(H5268=""region"",vlookup(REGEXEXTRACT(C5268, ""🏘️ \w+ \w+ (.*) ✅""),'Region prepositions'!B:F, 5, 0),  REGEXEXTRACT(C5268, ""🏘️ \w+ \w+ (.*) ✅""))))"),"#N/A")</f>
        <v>#N/A</v>
      </c>
      <c r="I5268" s="4" t="str">
        <f>IFERROR(__xludf.DUMMYFUNCTION("if(D5268=""variant"",  substitute(filter(Templates!E:E, Templates!A:A = F5268, Templates!B:B = G5268, Templates!C:C = H5268), ""{{}}"", E5268), B5268)"),"Louer appartement Vieille ville (Biel/Bienne): Trouvez le bien immobilier qui correspond idéalement à vos désirs sur ImmoScout24 - La plateforme de l'immobilier en Suisse.")</f>
        <v>Louer appartement Vieille ville (Biel/Bienne): Trouvez le bien immobilier qui correspond idéalement à vos désirs sur ImmoScout24 - La plateforme de l'immobilier en Suisse.</v>
      </c>
    </row>
    <row r="5269" hidden="1">
      <c r="A5269" s="5" t="s">
        <v>13635</v>
      </c>
      <c r="B5269" s="2" t="s">
        <v>13636</v>
      </c>
      <c r="C5269" s="2" t="s">
        <v>13636</v>
      </c>
      <c r="D5269" s="4" t="str">
        <f>vlookup(A5269, Sheet2!D:E, 2, 0)</f>
        <v>control</v>
      </c>
      <c r="E5269" s="4" t="str">
        <f>IFERROR(__xludf.DUMMYFUNCTION("if(H5269=""pays"",vlookup(REGEXEXTRACT(C5269, ""🏘️ \w+ \w+ (.*) ✅""),'Country prepositions'!A:B, 2, 0) &amp; "" "" &amp; REGEXEXTRACT(C5269, ""🏘️ \w+ \w+ (.*) ✅"") ,  if(H5269=""quartier"",vlookup(REGEXEXTRACT(C5269, ""🏘️ \w+ \w+ (.*) ✅""),'Quartier prepositio"&amp;"ns'!A:E, 5, 0) ,  if(H5269=""region"",vlookup(REGEXEXTRACT(C5269, ""🏘️ \w+ \w+ (.*) ✅""),'Region prepositions'!B:F, 5, 0),  REGEXEXTRACT(C5269, ""🏘️ \w+ \w+ (.*) ✅""))))"),"#N/A")</f>
        <v>#N/A</v>
      </c>
      <c r="I5269" s="4" t="str">
        <f>IFERROR(__xludf.DUMMYFUNCTION("if(D5269=""variant"",  substitute(filter(Templates!E:E, Templates!A:A = F5269, Templates!B:B = G5269, Templates!C:C = H5269), ""{{}}"", E5269), B5269)"),"Louer appartement Tartegnin: Trouvez le bien immobilier qui correspond idéalement à vos désirs sur ImmoScout24 - La plateforme de l'immobilier en Suisse.")</f>
        <v>Louer appartement Tartegnin: Trouvez le bien immobilier qui correspond idéalement à vos désirs sur ImmoScout24 - La plateforme de l'immobilier en Suisse.</v>
      </c>
    </row>
    <row r="5270" hidden="1">
      <c r="A5270" s="5" t="s">
        <v>13637</v>
      </c>
      <c r="B5270" s="2" t="s">
        <v>13638</v>
      </c>
      <c r="C5270" s="2" t="s">
        <v>13638</v>
      </c>
      <c r="D5270" s="4" t="str">
        <f>vlookup(A5270, Sheet2!D:E, 2, 0)</f>
        <v>control</v>
      </c>
      <c r="E5270" s="4" t="str">
        <f>IFERROR(__xludf.DUMMYFUNCTION("if(H5270=""pays"",vlookup(REGEXEXTRACT(C5270, ""🏘️ \w+ \w+ (.*) ✅""),'Country prepositions'!A:B, 2, 0) &amp; "" "" &amp; REGEXEXTRACT(C5270, ""🏘️ \w+ \w+ (.*) ✅"") ,  if(H5270=""quartier"",vlookup(REGEXEXTRACT(C5270, ""🏘️ \w+ \w+ (.*) ✅""),'Quartier prepositio"&amp;"ns'!A:E, 5, 0) ,  if(H5270=""region"",vlookup(REGEXEXTRACT(C5270, ""🏘️ \w+ \w+ (.*) ✅""),'Region prepositions'!B:F, 5, 0),  REGEXEXTRACT(C5270, ""🏘️ \w+ \w+ (.*) ✅""))))"),"#N/A")</f>
        <v>#N/A</v>
      </c>
      <c r="I5270" s="4" t="str">
        <f>IFERROR(__xludf.DUMMYFUNCTION("if(D5270=""variant"",  substitute(filter(Templates!E:E, Templates!A:A = F5270, Templates!B:B = G5270, Templates!C:C = H5270), ""{{}}"", E5270), B5270)"),"Vendre maison Pampigny: Trouvez le bien immobilier qui correspond idéalement à vos désirs sur ImmoScout24 - La plateforme de l'immobilier en Suisse.")</f>
        <v>Vendre maison Pampigny: Trouvez le bien immobilier qui correspond idéalement à vos désirs sur ImmoScout24 - La plateforme de l'immobilier en Suisse.</v>
      </c>
    </row>
    <row r="5271" hidden="1">
      <c r="A5271" s="5" t="s">
        <v>13639</v>
      </c>
      <c r="B5271" s="2" t="s">
        <v>13640</v>
      </c>
      <c r="C5271" s="2" t="s">
        <v>13640</v>
      </c>
      <c r="D5271" s="4" t="str">
        <f>vlookup(A5271, Sheet2!D:E, 2, 0)</f>
        <v>control</v>
      </c>
      <c r="E5271" s="4" t="str">
        <f>IFERROR(__xludf.DUMMYFUNCTION("if(H5271=""pays"",vlookup(REGEXEXTRACT(C5271, ""🏘️ \w+ \w+ (.*) ✅""),'Country prepositions'!A:B, 2, 0) &amp; "" "" &amp; REGEXEXTRACT(C5271, ""🏘️ \w+ \w+ (.*) ✅"") ,  if(H5271=""quartier"",vlookup(REGEXEXTRACT(C5271, ""🏘️ \w+ \w+ (.*) ✅""),'Quartier prepositio"&amp;"ns'!A:E, 5, 0) ,  if(H5271=""region"",vlookup(REGEXEXTRACT(C5271, ""🏘️ \w+ \w+ (.*) ✅""),'Region prepositions'!B:F, 5, 0),  REGEXEXTRACT(C5271, ""🏘️ \w+ \w+ (.*) ✅""))))"),"#N/A")</f>
        <v>#N/A</v>
      </c>
      <c r="I5271" s="4" t="str">
        <f>IFERROR(__xludf.DUMMYFUNCTION("if(D5271=""variant"",  substitute(filter(Templates!E:E, Templates!A:A = F5271, Templates!B:B = G5271, Templates!C:C = H5271), ""{{}}"", E5271), B5271)"),"Vendre maison Villariaz: Trouvez le bien immobilier qui correspond idéalement à vos désirs sur ImmoScout24 - La plateforme de l'immobilier en Suisse.")</f>
        <v>Vendre maison Villariaz: Trouvez le bien immobilier qui correspond idéalement à vos désirs sur ImmoScout24 - La plateforme de l'immobilier en Suisse.</v>
      </c>
    </row>
    <row r="5272" hidden="1">
      <c r="A5272" s="5" t="s">
        <v>13641</v>
      </c>
      <c r="B5272" s="2" t="s">
        <v>13642</v>
      </c>
      <c r="C5272" s="2" t="s">
        <v>13642</v>
      </c>
      <c r="D5272" s="4" t="str">
        <f>vlookup(A5272, Sheet2!D:E, 2, 0)</f>
        <v>control</v>
      </c>
      <c r="E5272" s="4" t="str">
        <f>IFERROR(__xludf.DUMMYFUNCTION("if(H5272=""pays"",vlookup(REGEXEXTRACT(C5272, ""🏘️ \w+ \w+ (.*) ✅""),'Country prepositions'!A:B, 2, 0) &amp; "" "" &amp; REGEXEXTRACT(C5272, ""🏘️ \w+ \w+ (.*) ✅"") ,  if(H5272=""quartier"",vlookup(REGEXEXTRACT(C5272, ""🏘️ \w+ \w+ (.*) ✅""),'Quartier prepositio"&amp;"ns'!A:E, 5, 0) ,  if(H5272=""region"",vlookup(REGEXEXTRACT(C5272, ""🏘️ \w+ \w+ (.*) ✅""),'Region prepositions'!B:F, 5, 0),  REGEXEXTRACT(C5272, ""🏘️ \w+ \w+ (.*) ✅""))))"),"#N/A")</f>
        <v>#N/A</v>
      </c>
      <c r="I5272" s="4" t="str">
        <f>IFERROR(__xludf.DUMMYFUNCTION("if(D5272=""variant"",  substitute(filter(Templates!E:E, Templates!A:A = F5272, Templates!B:B = G5272, Templates!C:C = H5272), ""{{}}"", E5272), B5272)"),"Louer maison Leuzigen: Trouvez le bien immobilier qui correspond idéalement à vos désirs sur ImmoScout24 - La plateforme de l'immobilier en Suisse.")</f>
        <v>Louer maison Leuzigen: Trouvez le bien immobilier qui correspond idéalement à vos désirs sur ImmoScout24 - La plateforme de l'immobilier en Suisse.</v>
      </c>
    </row>
    <row r="5273" hidden="1">
      <c r="A5273" s="5" t="s">
        <v>13643</v>
      </c>
      <c r="B5273" s="2" t="s">
        <v>13644</v>
      </c>
      <c r="C5273" s="2" t="s">
        <v>13644</v>
      </c>
      <c r="D5273" s="4" t="str">
        <f>vlookup(A5273, Sheet2!D:E, 2, 0)</f>
        <v>control</v>
      </c>
      <c r="E5273" s="4" t="str">
        <f>IFERROR(__xludf.DUMMYFUNCTION("if(H5273=""pays"",vlookup(REGEXEXTRACT(C5273, ""🏘️ \w+ \w+ (.*) ✅""),'Country prepositions'!A:B, 2, 0) &amp; "" "" &amp; REGEXEXTRACT(C5273, ""🏘️ \w+ \w+ (.*) ✅"") ,  if(H5273=""quartier"",vlookup(REGEXEXTRACT(C5273, ""🏘️ \w+ \w+ (.*) ✅""),'Quartier prepositio"&amp;"ns'!A:E, 5, 0) ,  if(H5273=""region"",vlookup(REGEXEXTRACT(C5273, ""🏘️ \w+ \w+ (.*) ✅""),'Region prepositions'!B:F, 5, 0),  REGEXEXTRACT(C5273, ""🏘️ \w+ \w+ (.*) ✅""))))"),"#N/A")</f>
        <v>#N/A</v>
      </c>
      <c r="I5273" s="4" t="str">
        <f>IFERROR(__xludf.DUMMYFUNCTION("if(D5273=""variant"",  substitute(filter(Templates!E:E, Templates!A:A = F5273, Templates!B:B = G5273, Templates!C:C = H5273), ""{{}}"", E5273), B5273)"),"Vendre appartement Muraz (Sierre): Trouvez le bien immobilier qui correspond idéalement à vos désirs sur ImmoScout24 - La plateforme de l'immobilier en Suisse.")</f>
        <v>Vendre appartement Muraz (Sierre): Trouvez le bien immobilier qui correspond idéalement à vos désirs sur ImmoScout24 - La plateforme de l'immobilier en Suisse.</v>
      </c>
    </row>
    <row r="5274" hidden="1">
      <c r="A5274" s="5" t="s">
        <v>13645</v>
      </c>
      <c r="B5274" s="2" t="s">
        <v>13646</v>
      </c>
      <c r="C5274" s="2" t="s">
        <v>13646</v>
      </c>
      <c r="D5274" s="4" t="str">
        <f>vlookup(A5274, Sheet2!D:E, 2, 0)</f>
        <v>control</v>
      </c>
      <c r="E5274" s="4" t="str">
        <f>IFERROR(__xludf.DUMMYFUNCTION("if(H5274=""pays"",vlookup(REGEXEXTRACT(C5274, ""🏘️ \w+ \w+ (.*) ✅""),'Country prepositions'!A:B, 2, 0) &amp; "" "" &amp; REGEXEXTRACT(C5274, ""🏘️ \w+ \w+ (.*) ✅"") ,  if(H5274=""quartier"",vlookup(REGEXEXTRACT(C5274, ""🏘️ \w+ \w+ (.*) ✅""),'Quartier prepositio"&amp;"ns'!A:E, 5, 0) ,  if(H5274=""region"",vlookup(REGEXEXTRACT(C5274, ""🏘️ \w+ \w+ (.*) ✅""),'Region prepositions'!B:F, 5, 0),  REGEXEXTRACT(C5274, ""🏘️ \w+ \w+ (.*) ✅""))))"),"#N/A")</f>
        <v>#N/A</v>
      </c>
      <c r="I5274" s="4" t="str">
        <f>IFERROR(__xludf.DUMMYFUNCTION("if(D5274=""variant"",  substitute(filter(Templates!E:E, Templates!A:A = F5274, Templates!B:B = G5274, Templates!C:C = H5274), ""{{}}"", E5274), B5274)"),"Louer appartement Bournens: Trouvez le bien immobilier qui correspond idéalement à vos désirs sur ImmoScout24 - La plateforme de l'immobilier en Suisse.")</f>
        <v>Louer appartement Bournens: Trouvez le bien immobilier qui correspond idéalement à vos désirs sur ImmoScout24 - La plateforme de l'immobilier en Suisse.</v>
      </c>
    </row>
    <row r="5275" hidden="1">
      <c r="A5275" s="5" t="s">
        <v>13647</v>
      </c>
      <c r="B5275" s="2" t="s">
        <v>13648</v>
      </c>
      <c r="C5275" s="2" t="s">
        <v>13648</v>
      </c>
      <c r="D5275" s="4" t="str">
        <f>vlookup(A5275, Sheet2!D:E, 2, 0)</f>
        <v>control</v>
      </c>
      <c r="E5275" s="4" t="str">
        <f>IFERROR(__xludf.DUMMYFUNCTION("if(H5275=""pays"",vlookup(REGEXEXTRACT(C5275, ""🏘️ \w+ \w+ (.*) ✅""),'Country prepositions'!A:B, 2, 0) &amp; "" "" &amp; REGEXEXTRACT(C5275, ""🏘️ \w+ \w+ (.*) ✅"") ,  if(H5275=""quartier"",vlookup(REGEXEXTRACT(C5275, ""🏘️ \w+ \w+ (.*) ✅""),'Quartier prepositio"&amp;"ns'!A:E, 5, 0) ,  if(H5275=""region"",vlookup(REGEXEXTRACT(C5275, ""🏘️ \w+ \w+ (.*) ✅""),'Region prepositions'!B:F, 5, 0),  REGEXEXTRACT(C5275, ""🏘️ \w+ \w+ (.*) ✅""))))"),"#N/A")</f>
        <v>#N/A</v>
      </c>
      <c r="I5275" s="4" t="str">
        <f>IFERROR(__xludf.DUMMYFUNCTION("if(D5275=""variant"",  substitute(filter(Templates!E:E, Templates!A:A = F5275, Templates!B:B = G5275, Templates!C:C = H5275), ""{{}}"", E5275), B5275)"),"Louer maison Lucens: Trouvez le bien immobilier qui correspond idéalement à vos désirs sur ImmoScout24 - La plateforme de l'immobilier en Suisse.")</f>
        <v>Louer maison Lucens: Trouvez le bien immobilier qui correspond idéalement à vos désirs sur ImmoScout24 - La plateforme de l'immobilier en Suisse.</v>
      </c>
    </row>
    <row r="5276" hidden="1">
      <c r="A5276" s="5" t="s">
        <v>13649</v>
      </c>
      <c r="B5276" s="2" t="s">
        <v>13650</v>
      </c>
      <c r="C5276" s="2" t="s">
        <v>13650</v>
      </c>
      <c r="D5276" s="4" t="str">
        <f>vlookup(A5276, Sheet2!D:E, 2, 0)</f>
        <v>control</v>
      </c>
      <c r="E5276" s="4" t="str">
        <f>IFERROR(__xludf.DUMMYFUNCTION("if(H5276=""pays"",vlookup(REGEXEXTRACT(C5276, ""🏘️ \w+ \w+ (.*) ✅""),'Country prepositions'!A:B, 2, 0) &amp; "" "" &amp; REGEXEXTRACT(C5276, ""🏘️ \w+ \w+ (.*) ✅"") ,  if(H5276=""quartier"",vlookup(REGEXEXTRACT(C5276, ""🏘️ \w+ \w+ (.*) ✅""),'Quartier prepositio"&amp;"ns'!A:E, 5, 0) ,  if(H5276=""region"",vlookup(REGEXEXTRACT(C5276, ""🏘️ \w+ \w+ (.*) ✅""),'Region prepositions'!B:F, 5, 0),  REGEXEXTRACT(C5276, ""🏘️ \w+ \w+ (.*) ✅""))))"),"#N/A")</f>
        <v>#N/A</v>
      </c>
      <c r="I5276" s="4" t="str">
        <f>IFERROR(__xludf.DUMMYFUNCTION("if(D5276=""variant"",  substitute(filter(Templates!E:E, Templates!A:A = F5276, Templates!B:B = G5276, Templates!C:C = H5276), ""{{}}"", E5276), B5276)"),"Louer appartement Silvaplana-Surlej: Trouvez le bien immobilier qui correspond idéalement à vos désirs sur ImmoScout24 - La plateforme de l'immobilier en Suisse.")</f>
        <v>Louer appartement Silvaplana-Surlej: Trouvez le bien immobilier qui correspond idéalement à vos désirs sur ImmoScout24 - La plateforme de l'immobilier en Suisse.</v>
      </c>
    </row>
    <row r="5277" hidden="1">
      <c r="A5277" s="5" t="s">
        <v>13651</v>
      </c>
      <c r="B5277" s="2" t="s">
        <v>13652</v>
      </c>
      <c r="C5277" s="2" t="s">
        <v>13652</v>
      </c>
      <c r="D5277" s="4" t="str">
        <f>vlookup(A5277, Sheet2!D:E, 2, 0)</f>
        <v>control</v>
      </c>
      <c r="E5277" s="4" t="str">
        <f>IFERROR(__xludf.DUMMYFUNCTION("if(H5277=""pays"",vlookup(REGEXEXTRACT(C5277, ""🏘️ \w+ \w+ (.*) ✅""),'Country prepositions'!A:B, 2, 0) &amp; "" "" &amp; REGEXEXTRACT(C5277, ""🏘️ \w+ \w+ (.*) ✅"") ,  if(H5277=""quartier"",vlookup(REGEXEXTRACT(C5277, ""🏘️ \w+ \w+ (.*) ✅""),'Quartier prepositio"&amp;"ns'!A:E, 5, 0) ,  if(H5277=""region"",vlookup(REGEXEXTRACT(C5277, ""🏘️ \w+ \w+ (.*) ✅""),'Region prepositions'!B:F, 5, 0),  REGEXEXTRACT(C5277, ""🏘️ \w+ \w+ (.*) ✅""))))"),"#N/A")</f>
        <v>#N/A</v>
      </c>
      <c r="I5277" s="4" t="str">
        <f>IFERROR(__xludf.DUMMYFUNCTION("if(D5277=""variant"",  substitute(filter(Templates!E:E, Templates!A:A = F5277, Templates!B:B = G5277, Templates!C:C = H5277), ""{{}}"", E5277), B5277)"),"Vendre maison Chernex: Trouvez le bien immobilier qui correspond idéalement à vos désirs sur ImmoScout24 - La plateforme de l'immobilier en Suisse.")</f>
        <v>Vendre maison Chernex: Trouvez le bien immobilier qui correspond idéalement à vos désirs sur ImmoScout24 - La plateforme de l'immobilier en Suisse.</v>
      </c>
    </row>
    <row r="5278" hidden="1">
      <c r="A5278" s="5" t="s">
        <v>13653</v>
      </c>
      <c r="B5278" s="2" t="s">
        <v>13654</v>
      </c>
      <c r="C5278" s="2" t="s">
        <v>13654</v>
      </c>
      <c r="D5278" s="4" t="str">
        <f>vlookup(A5278, Sheet2!D:E, 2, 0)</f>
        <v>control</v>
      </c>
      <c r="E5278" s="4" t="str">
        <f>IFERROR(__xludf.DUMMYFUNCTION("if(H5278=""pays"",vlookup(REGEXEXTRACT(C5278, ""🏘️ \w+ \w+ (.*) ✅""),'Country prepositions'!A:B, 2, 0) &amp; "" "" &amp; REGEXEXTRACT(C5278, ""🏘️ \w+ \w+ (.*) ✅"") ,  if(H5278=""quartier"",vlookup(REGEXEXTRACT(C5278, ""🏘️ \w+ \w+ (.*) ✅""),'Quartier prepositio"&amp;"ns'!A:E, 5, 0) ,  if(H5278=""region"",vlookup(REGEXEXTRACT(C5278, ""🏘️ \w+ \w+ (.*) ✅""),'Region prepositions'!B:F, 5, 0),  REGEXEXTRACT(C5278, ""🏘️ \w+ \w+ (.*) ✅""))))"),"#N/A")</f>
        <v>#N/A</v>
      </c>
      <c r="I5278" s="4" t="str">
        <f>IFERROR(__xludf.DUMMYFUNCTION("if(D5278=""variant"",  substitute(filter(Templates!E:E, Templates!A:A = F5278, Templates!B:B = G5278, Templates!C:C = H5278), ""{{}}"", E5278), B5278)"),"Vendre maison Nunningen: Trouvez le bien immobilier qui correspond idéalement à vos désirs sur ImmoScout24 - La plateforme de l'immobilier en Suisse.")</f>
        <v>Vendre maison Nunningen: Trouvez le bien immobilier qui correspond idéalement à vos désirs sur ImmoScout24 - La plateforme de l'immobilier en Suisse.</v>
      </c>
    </row>
    <row r="5279" hidden="1">
      <c r="A5279" s="5" t="s">
        <v>13655</v>
      </c>
      <c r="B5279" s="2" t="s">
        <v>13656</v>
      </c>
      <c r="C5279" s="2" t="s">
        <v>13656</v>
      </c>
      <c r="D5279" s="4" t="str">
        <f>vlookup(A5279, Sheet2!D:E, 2, 0)</f>
        <v>control</v>
      </c>
      <c r="E5279" s="4" t="str">
        <f>IFERROR(__xludf.DUMMYFUNCTION("if(H5279=""pays"",vlookup(REGEXEXTRACT(C5279, ""🏘️ \w+ \w+ (.*) ✅""),'Country prepositions'!A:B, 2, 0) &amp; "" "" &amp; REGEXEXTRACT(C5279, ""🏘️ \w+ \w+ (.*) ✅"") ,  if(H5279=""quartier"",vlookup(REGEXEXTRACT(C5279, ""🏘️ \w+ \w+ (.*) ✅""),'Quartier prepositio"&amp;"ns'!A:E, 5, 0) ,  if(H5279=""region"",vlookup(REGEXEXTRACT(C5279, ""🏘️ \w+ \w+ (.*) ✅""),'Region prepositions'!B:F, 5, 0),  REGEXEXTRACT(C5279, ""🏘️ \w+ \w+ (.*) ✅""))))"),"#N/A")</f>
        <v>#N/A</v>
      </c>
      <c r="I5279" s="4" t="str">
        <f>IFERROR(__xludf.DUMMYFUNCTION("if(D5279=""variant"",  substitute(filter(Templates!E:E, Templates!A:A = F5279, Templates!B:B = G5279, Templates!C:C = H5279), ""{{}}"", E5279), B5279)"),"Vendre maison Moutier: Trouvez le bien immobilier qui correspond idéalement à vos désirs sur ImmoScout24 - La plateforme de l'immobilier en Suisse.")</f>
        <v>Vendre maison Moutier: Trouvez le bien immobilier qui correspond idéalement à vos désirs sur ImmoScout24 - La plateforme de l'immobilier en Suisse.</v>
      </c>
    </row>
    <row r="5280" hidden="1">
      <c r="A5280" s="5" t="s">
        <v>13657</v>
      </c>
      <c r="B5280" s="2" t="s">
        <v>13658</v>
      </c>
      <c r="C5280" s="2" t="s">
        <v>13658</v>
      </c>
      <c r="D5280" s="4" t="str">
        <f>vlookup(A5280, Sheet2!D:E, 2, 0)</f>
        <v>control</v>
      </c>
      <c r="E5280" s="4" t="str">
        <f>IFERROR(__xludf.DUMMYFUNCTION("if(H5280=""pays"",vlookup(REGEXEXTRACT(C5280, ""🏘️ \w+ \w+ (.*) ✅""),'Country prepositions'!A:B, 2, 0) &amp; "" "" &amp; REGEXEXTRACT(C5280, ""🏘️ \w+ \w+ (.*) ✅"") ,  if(H5280=""quartier"",vlookup(REGEXEXTRACT(C5280, ""🏘️ \w+ \w+ (.*) ✅""),'Quartier prepositio"&amp;"ns'!A:E, 5, 0) ,  if(H5280=""region"",vlookup(REGEXEXTRACT(C5280, ""🏘️ \w+ \w+ (.*) ✅""),'Region prepositions'!B:F, 5, 0),  REGEXEXTRACT(C5280, ""🏘️ \w+ \w+ (.*) ✅""))))"),"#N/A")</f>
        <v>#N/A</v>
      </c>
      <c r="I5280" s="4" t="str">
        <f>IFERROR(__xludf.DUMMYFUNCTION("if(D5280=""variant"",  substitute(filter(Templates!E:E, Templates!A:A = F5280, Templates!B:B = G5280, Templates!C:C = H5280), ""{{}}"", E5280), B5280)"),"Louer appartement Roche VD: Trouvez le bien immobilier qui correspond idéalement à vos désirs sur ImmoScout24 - La plateforme de l'immobilier en Suisse.")</f>
        <v>Louer appartement Roche VD: Trouvez le bien immobilier qui correspond idéalement à vos désirs sur ImmoScout24 - La plateforme de l'immobilier en Suisse.</v>
      </c>
    </row>
    <row r="5281" hidden="1">
      <c r="A5281" s="5" t="s">
        <v>13659</v>
      </c>
      <c r="B5281" s="2" t="s">
        <v>13660</v>
      </c>
      <c r="C5281" s="2" t="s">
        <v>13660</v>
      </c>
      <c r="D5281" s="4" t="str">
        <f>vlookup(A5281, Sheet2!D:E, 2, 0)</f>
        <v>control</v>
      </c>
      <c r="E5281" s="4" t="str">
        <f>IFERROR(__xludf.DUMMYFUNCTION("if(H5281=""pays"",vlookup(REGEXEXTRACT(C5281, ""🏘️ \w+ \w+ (.*) ✅""),'Country prepositions'!A:B, 2, 0) &amp; "" "" &amp; REGEXEXTRACT(C5281, ""🏘️ \w+ \w+ (.*) ✅"") ,  if(H5281=""quartier"",vlookup(REGEXEXTRACT(C5281, ""🏘️ \w+ \w+ (.*) ✅""),'Quartier prepositio"&amp;"ns'!A:E, 5, 0) ,  if(H5281=""region"",vlookup(REGEXEXTRACT(C5281, ""🏘️ \w+ \w+ (.*) ✅""),'Region prepositions'!B:F, 5, 0),  REGEXEXTRACT(C5281, ""🏘️ \w+ \w+ (.*) ✅""))))"),"#N/A")</f>
        <v>#N/A</v>
      </c>
      <c r="I5281" s="4" t="str">
        <f>IFERROR(__xludf.DUMMYFUNCTION("if(D5281=""variant"",  substitute(filter(Templates!E:E, Templates!A:A = F5281, Templates!B:B = G5281, Templates!C:C = H5281), ""{{}}"", E5281), B5281)"),"Louer appartement Nyon: Trouvez le bien immobilier qui correspond idéalement à vos désirs sur ImmoScout24 - La plateforme de l'immobilier en Suisse.")</f>
        <v>Louer appartement Nyon: Trouvez le bien immobilier qui correspond idéalement à vos désirs sur ImmoScout24 - La plateforme de l'immobilier en Suisse.</v>
      </c>
    </row>
    <row r="5282" hidden="1">
      <c r="A5282" s="5" t="s">
        <v>13661</v>
      </c>
      <c r="B5282" s="2" t="s">
        <v>13662</v>
      </c>
      <c r="C5282" s="2" t="s">
        <v>13662</v>
      </c>
      <c r="D5282" s="4" t="str">
        <f>vlookup(A5282, Sheet2!D:E, 2, 0)</f>
        <v>control</v>
      </c>
      <c r="E5282" s="4" t="str">
        <f>IFERROR(__xludf.DUMMYFUNCTION("if(H5282=""pays"",vlookup(REGEXEXTRACT(C5282, ""🏘️ \w+ \w+ (.*) ✅""),'Country prepositions'!A:B, 2, 0) &amp; "" "" &amp; REGEXEXTRACT(C5282, ""🏘️ \w+ \w+ (.*) ✅"") ,  if(H5282=""quartier"",vlookup(REGEXEXTRACT(C5282, ""🏘️ \w+ \w+ (.*) ✅""),'Quartier prepositio"&amp;"ns'!A:E, 5, 0) ,  if(H5282=""region"",vlookup(REGEXEXTRACT(C5282, ""🏘️ \w+ \w+ (.*) ✅""),'Region prepositions'!B:F, 5, 0),  REGEXEXTRACT(C5282, ""🏘️ \w+ \w+ (.*) ✅""))))"),"#N/A")</f>
        <v>#N/A</v>
      </c>
      <c r="I5282" s="4" t="str">
        <f>IFERROR(__xludf.DUMMYFUNCTION("if(D5282=""variant"",  substitute(filter(Templates!E:E, Templates!A:A = F5282, Templates!B:B = G5282, Templates!C:C = H5282), ""{{}}"", E5282), B5282)"),"Vendre appartement St-Luc: Trouvez le bien immobilier qui correspond idéalement à vos désirs sur ImmoScout24 - La plateforme de l'immobilier en Suisse.")</f>
        <v>Vendre appartement St-Luc: Trouvez le bien immobilier qui correspond idéalement à vos désirs sur ImmoScout24 - La plateforme de l'immobilier en Suisse.</v>
      </c>
    </row>
    <row r="5283" hidden="1">
      <c r="A5283" s="5" t="s">
        <v>13663</v>
      </c>
      <c r="B5283" s="2" t="s">
        <v>13664</v>
      </c>
      <c r="C5283" s="2" t="s">
        <v>13664</v>
      </c>
      <c r="D5283" s="4" t="str">
        <f>vlookup(A5283, Sheet2!D:E, 2, 0)</f>
        <v>control</v>
      </c>
      <c r="E5283" s="4" t="str">
        <f>IFERROR(__xludf.DUMMYFUNCTION("if(H5283=""pays"",vlookup(REGEXEXTRACT(C5283, ""🏘️ \w+ \w+ (.*) ✅""),'Country prepositions'!A:B, 2, 0) &amp; "" "" &amp; REGEXEXTRACT(C5283, ""🏘️ \w+ \w+ (.*) ✅"") ,  if(H5283=""quartier"",vlookup(REGEXEXTRACT(C5283, ""🏘️ \w+ \w+ (.*) ✅""),'Quartier prepositio"&amp;"ns'!A:E, 5, 0) ,  if(H5283=""region"",vlookup(REGEXEXTRACT(C5283, ""🏘️ \w+ \w+ (.*) ✅""),'Region prepositions'!B:F, 5, 0),  REGEXEXTRACT(C5283, ""🏘️ \w+ \w+ (.*) ✅""))))"),"#N/A")</f>
        <v>#N/A</v>
      </c>
      <c r="I5283" s="4" t="str">
        <f>IFERROR(__xludf.DUMMYFUNCTION("if(D5283=""variant"",  substitute(filter(Templates!E:E, Templates!A:A = F5283, Templates!B:B = G5283, Templates!C:C = H5283), ""{{}}"", E5283), B5283)"),"Louer maison Mur (Vully) FR: Trouvez le bien immobilier qui correspond idéalement à vos désirs sur ImmoScout24 - La plateforme de l'immobilier en Suisse.")</f>
        <v>Louer maison Mur (Vully) FR: Trouvez le bien immobilier qui correspond idéalement à vos désirs sur ImmoScout24 - La plateforme de l'immobilier en Suisse.</v>
      </c>
    </row>
    <row r="5284" hidden="1">
      <c r="A5284" s="5" t="s">
        <v>13665</v>
      </c>
      <c r="B5284" s="2" t="s">
        <v>13666</v>
      </c>
      <c r="C5284" s="2" t="s">
        <v>13666</v>
      </c>
      <c r="D5284" s="4" t="str">
        <f>vlookup(A5284, Sheet2!D:E, 2, 0)</f>
        <v>control</v>
      </c>
      <c r="E5284" s="4" t="str">
        <f>IFERROR(__xludf.DUMMYFUNCTION("if(H5284=""pays"",vlookup(REGEXEXTRACT(C5284, ""🏘️ \w+ \w+ (.*) ✅""),'Country prepositions'!A:B, 2, 0) &amp; "" "" &amp; REGEXEXTRACT(C5284, ""🏘️ \w+ \w+ (.*) ✅"") ,  if(H5284=""quartier"",vlookup(REGEXEXTRACT(C5284, ""🏘️ \w+ \w+ (.*) ✅""),'Quartier prepositio"&amp;"ns'!A:E, 5, 0) ,  if(H5284=""region"",vlookup(REGEXEXTRACT(C5284, ""🏘️ \w+ \w+ (.*) ✅""),'Region prepositions'!B:F, 5, 0),  REGEXEXTRACT(C5284, ""🏘️ \w+ \w+ (.*) ✅""))))"),"#N/A")</f>
        <v>#N/A</v>
      </c>
      <c r="I5284" s="4" t="str">
        <f>IFERROR(__xludf.DUMMYFUNCTION("if(D5284=""variant"",  substitute(filter(Templates!E:E, Templates!A:A = F5284, Templates!B:B = G5284, Templates!C:C = H5284), ""{{}}"", E5284), B5284)"),"Louer appartement Lamone: Trouvez le bien immobilier qui correspond idéalement à vos désirs sur ImmoScout24 - La plateforme de l'immobilier en Suisse.")</f>
        <v>Louer appartement Lamone: Trouvez le bien immobilier qui correspond idéalement à vos désirs sur ImmoScout24 - La plateforme de l'immobilier en Suisse.</v>
      </c>
    </row>
    <row r="5285" hidden="1">
      <c r="A5285" s="5" t="s">
        <v>13667</v>
      </c>
      <c r="B5285" s="2" t="s">
        <v>13668</v>
      </c>
      <c r="C5285" s="2" t="s">
        <v>13668</v>
      </c>
      <c r="D5285" s="4" t="str">
        <f>vlookup(A5285, Sheet2!D:E, 2, 0)</f>
        <v>control</v>
      </c>
      <c r="E5285" s="4" t="str">
        <f>IFERROR(__xludf.DUMMYFUNCTION("if(H5285=""pays"",vlookup(REGEXEXTRACT(C5285, ""🏘️ \w+ \w+ (.*) ✅""),'Country prepositions'!A:B, 2, 0) &amp; "" "" &amp; REGEXEXTRACT(C5285, ""🏘️ \w+ \w+ (.*) ✅"") ,  if(H5285=""quartier"",vlookup(REGEXEXTRACT(C5285, ""🏘️ \w+ \w+ (.*) ✅""),'Quartier prepositio"&amp;"ns'!A:E, 5, 0) ,  if(H5285=""region"",vlookup(REGEXEXTRACT(C5285, ""🏘️ \w+ \w+ (.*) ✅""),'Region prepositions'!B:F, 5, 0),  REGEXEXTRACT(C5285, ""🏘️ \w+ \w+ (.*) ✅""))))"),"#N/A")</f>
        <v>#N/A</v>
      </c>
      <c r="I5285" s="4" t="str">
        <f>IFERROR(__xludf.DUMMYFUNCTION("if(D5285=""variant"",  substitute(filter(Templates!E:E, Templates!A:A = F5285, Templates!B:B = G5285, Templates!C:C = H5285), ""{{}}"", E5285), B5285)"),"Vendre appartement Porsel: Trouvez le bien immobilier qui correspond idéalement à vos désirs sur ImmoScout24 - La plateforme de l'immobilier en Suisse.")</f>
        <v>Vendre appartement Porsel: Trouvez le bien immobilier qui correspond idéalement à vos désirs sur ImmoScout24 - La plateforme de l'immobilier en Suisse.</v>
      </c>
    </row>
    <row r="5286" hidden="1">
      <c r="A5286" s="5" t="s">
        <v>13669</v>
      </c>
      <c r="B5286" s="2" t="s">
        <v>13670</v>
      </c>
      <c r="C5286" s="2" t="s">
        <v>13670</v>
      </c>
      <c r="D5286" s="4" t="str">
        <f>vlookup(A5286, Sheet2!D:E, 2, 0)</f>
        <v>control</v>
      </c>
      <c r="E5286" s="4" t="str">
        <f>IFERROR(__xludf.DUMMYFUNCTION("if(H5286=""pays"",vlookup(REGEXEXTRACT(C5286, ""🏘️ \w+ \w+ (.*) ✅""),'Country prepositions'!A:B, 2, 0) &amp; "" "" &amp; REGEXEXTRACT(C5286, ""🏘️ \w+ \w+ (.*) ✅"") ,  if(H5286=""quartier"",vlookup(REGEXEXTRACT(C5286, ""🏘️ \w+ \w+ (.*) ✅""),'Quartier prepositio"&amp;"ns'!A:E, 5, 0) ,  if(H5286=""region"",vlookup(REGEXEXTRACT(C5286, ""🏘️ \w+ \w+ (.*) ✅""),'Region prepositions'!B:F, 5, 0),  REGEXEXTRACT(C5286, ""🏘️ \w+ \w+ (.*) ✅""))))"),"#N/A")</f>
        <v>#N/A</v>
      </c>
      <c r="I5286" s="4" t="str">
        <f>IFERROR(__xludf.DUMMYFUNCTION("if(D5286=""variant"",  substitute(filter(Templates!E:E, Templates!A:A = F5286, Templates!B:B = G5286, Templates!C:C = H5286), ""{{}}"", E5286), B5286)"),"Vendre appartement Chêne-Bourg: Trouvez le bien immobilier qui correspond idéalement à vos désirs sur ImmoScout24 - La plateforme de l'immobilier en Suisse.")</f>
        <v>Vendre appartement Chêne-Bourg: Trouvez le bien immobilier qui correspond idéalement à vos désirs sur ImmoScout24 - La plateforme de l'immobilier en Suisse.</v>
      </c>
    </row>
    <row r="5287" hidden="1">
      <c r="A5287" s="5" t="s">
        <v>13671</v>
      </c>
      <c r="B5287" s="2" t="s">
        <v>13672</v>
      </c>
      <c r="C5287" s="2" t="s">
        <v>13672</v>
      </c>
      <c r="D5287" s="4" t="str">
        <f>vlookup(A5287, Sheet2!D:E, 2, 0)</f>
        <v>control</v>
      </c>
      <c r="E5287" s="4" t="str">
        <f>IFERROR(__xludf.DUMMYFUNCTION("if(H5287=""pays"",vlookup(REGEXEXTRACT(C5287, ""🏘️ \w+ \w+ (.*) ✅""),'Country prepositions'!A:B, 2, 0) &amp; "" "" &amp; REGEXEXTRACT(C5287, ""🏘️ \w+ \w+ (.*) ✅"") ,  if(H5287=""quartier"",vlookup(REGEXEXTRACT(C5287, ""🏘️ \w+ \w+ (.*) ✅""),'Quartier prepositio"&amp;"ns'!A:E, 5, 0) ,  if(H5287=""region"",vlookup(REGEXEXTRACT(C5287, ""🏘️ \w+ \w+ (.*) ✅""),'Region prepositions'!B:F, 5, 0),  REGEXEXTRACT(C5287, ""🏘️ \w+ \w+ (.*) ✅""))))"),"#N/A")</f>
        <v>#N/A</v>
      </c>
      <c r="I5287" s="4" t="str">
        <f>IFERROR(__xludf.DUMMYFUNCTION("if(D5287=""variant"",  substitute(filter(Templates!E:E, Templates!A:A = F5287, Templates!B:B = G5287, Templates!C:C = H5287), ""{{}}"", E5287), B5287)"),"Louer appartement Barbengo (Lugano): Trouvez le bien immobilier qui correspond idéalement à vos désirs sur ImmoScout24 - La plateforme de l'immobilier en Suisse.")</f>
        <v>Louer appartement Barbengo (Lugano): Trouvez le bien immobilier qui correspond idéalement à vos désirs sur ImmoScout24 - La plateforme de l'immobilier en Suisse.</v>
      </c>
    </row>
    <row r="5288" hidden="1">
      <c r="A5288" s="5" t="s">
        <v>13673</v>
      </c>
      <c r="B5288" s="2" t="s">
        <v>13674</v>
      </c>
      <c r="C5288" s="2" t="s">
        <v>13674</v>
      </c>
      <c r="D5288" s="4" t="str">
        <f>vlookup(A5288, Sheet2!D:E, 2, 0)</f>
        <v>control</v>
      </c>
      <c r="E5288" s="4" t="str">
        <f>IFERROR(__xludf.DUMMYFUNCTION("if(H5288=""pays"",vlookup(REGEXEXTRACT(C5288, ""🏘️ \w+ \w+ (.*) ✅""),'Country prepositions'!A:B, 2, 0) &amp; "" "" &amp; REGEXEXTRACT(C5288, ""🏘️ \w+ \w+ (.*) ✅"") ,  if(H5288=""quartier"",vlookup(REGEXEXTRACT(C5288, ""🏘️ \w+ \w+ (.*) ✅""),'Quartier prepositio"&amp;"ns'!A:E, 5, 0) ,  if(H5288=""region"",vlookup(REGEXEXTRACT(C5288, ""🏘️ \w+ \w+ (.*) ✅""),'Region prepositions'!B:F, 5, 0),  REGEXEXTRACT(C5288, ""🏘️ \w+ \w+ (.*) ✅""))))"),"#N/A")</f>
        <v>#N/A</v>
      </c>
      <c r="I5288" s="4" t="str">
        <f>IFERROR(__xludf.DUMMYFUNCTION("if(D5288=""variant"",  substitute(filter(Templates!E:E, Templates!A:A = F5288, Templates!B:B = G5288, Templates!C:C = H5288), ""{{}}"", E5288), B5288)"),"Vendre maison Sallaz - Vennes - Séchaud (Lausanne): Trouvez le bien immobilier qui correspond idéalement à vos désirs sur ImmoScout24 - La plateforme de l'immobilier en Suisse.")</f>
        <v>Vendre maison Sallaz - Vennes - Séchaud (Lausanne): Trouvez le bien immobilier qui correspond idéalement à vos désirs sur ImmoScout24 - La plateforme de l'immobilier en Suisse.</v>
      </c>
    </row>
    <row r="5289" hidden="1">
      <c r="A5289" s="5" t="s">
        <v>13675</v>
      </c>
      <c r="B5289" s="2" t="s">
        <v>13676</v>
      </c>
      <c r="C5289" s="2" t="s">
        <v>13676</v>
      </c>
      <c r="D5289" s="4" t="str">
        <f>vlookup(A5289, Sheet2!D:E, 2, 0)</f>
        <v>control</v>
      </c>
      <c r="E5289" s="4" t="str">
        <f>IFERROR(__xludf.DUMMYFUNCTION("if(H5289=""pays"",vlookup(REGEXEXTRACT(C5289, ""🏘️ \w+ \w+ (.*) ✅""),'Country prepositions'!A:B, 2, 0) &amp; "" "" &amp; REGEXEXTRACT(C5289, ""🏘️ \w+ \w+ (.*) ✅"") ,  if(H5289=""quartier"",vlookup(REGEXEXTRACT(C5289, ""🏘️ \w+ \w+ (.*) ✅""),'Quartier prepositio"&amp;"ns'!A:E, 5, 0) ,  if(H5289=""region"",vlookup(REGEXEXTRACT(C5289, ""🏘️ \w+ \w+ (.*) ✅""),'Region prepositions'!B:F, 5, 0),  REGEXEXTRACT(C5289, ""🏘️ \w+ \w+ (.*) ✅""))))"),"#N/A")</f>
        <v>#N/A</v>
      </c>
      <c r="I5289" s="4" t="str">
        <f>IFERROR(__xludf.DUMMYFUNCTION("if(D5289=""variant"",  substitute(filter(Templates!E:E, Templates!A:A = F5289, Templates!B:B = G5289, Templates!C:C = H5289), ""{{}}"", E5289), B5289)"),"Louer maison Haut-Valais: Trouvez le bien immobilier qui correspond idéalement à vos désirs sur ImmoScout24 - La plateforme de l'immobilier en Suisse.")</f>
        <v>Louer maison Haut-Valais: Trouvez le bien immobilier qui correspond idéalement à vos désirs sur ImmoScout24 - La plateforme de l'immobilier en Suisse.</v>
      </c>
    </row>
    <row r="5290" hidden="1">
      <c r="A5290" s="5" t="s">
        <v>13677</v>
      </c>
      <c r="B5290" s="2" t="s">
        <v>13678</v>
      </c>
      <c r="C5290" s="2" t="s">
        <v>13678</v>
      </c>
      <c r="D5290" s="4" t="str">
        <f>vlookup(A5290, Sheet2!D:E, 2, 0)</f>
        <v>control</v>
      </c>
      <c r="E5290" s="4" t="str">
        <f>IFERROR(__xludf.DUMMYFUNCTION("if(H5290=""pays"",vlookup(REGEXEXTRACT(C5290, ""🏘️ \w+ \w+ (.*) ✅""),'Country prepositions'!A:B, 2, 0) &amp; "" "" &amp; REGEXEXTRACT(C5290, ""🏘️ \w+ \w+ (.*) ✅"") ,  if(H5290=""quartier"",vlookup(REGEXEXTRACT(C5290, ""🏘️ \w+ \w+ (.*) ✅""),'Quartier prepositio"&amp;"ns'!A:E, 5, 0) ,  if(H5290=""region"",vlookup(REGEXEXTRACT(C5290, ""🏘️ \w+ \w+ (.*) ✅""),'Region prepositions'!B:F, 5, 0),  REGEXEXTRACT(C5290, ""🏘️ \w+ \w+ (.*) ✅""))))"),"#N/A")</f>
        <v>#N/A</v>
      </c>
      <c r="I5290" s="4" t="str">
        <f>IFERROR(__xludf.DUMMYFUNCTION("if(D5290=""variant"",  substitute(filter(Templates!E:E, Templates!A:A = F5290, Templates!B:B = G5290, Templates!C:C = H5290), ""{{}}"", E5290), B5290)"),"Vendre maison Montbovon: Trouvez le bien immobilier qui correspond idéalement à vos désirs sur ImmoScout24 - La plateforme de l'immobilier en Suisse.")</f>
        <v>Vendre maison Montbovon: Trouvez le bien immobilier qui correspond idéalement à vos désirs sur ImmoScout24 - La plateforme de l'immobilier en Suisse.</v>
      </c>
    </row>
    <row r="5291" hidden="1">
      <c r="A5291" s="5" t="s">
        <v>13679</v>
      </c>
      <c r="B5291" s="2" t="s">
        <v>13680</v>
      </c>
      <c r="C5291" s="2" t="s">
        <v>13680</v>
      </c>
      <c r="D5291" s="4" t="str">
        <f>vlookup(A5291, Sheet2!D:E, 2, 0)</f>
        <v>control</v>
      </c>
      <c r="E5291" s="4" t="str">
        <f>IFERROR(__xludf.DUMMYFUNCTION("if(H5291=""pays"",vlookup(REGEXEXTRACT(C5291, ""🏘️ \w+ \w+ (.*) ✅""),'Country prepositions'!A:B, 2, 0) &amp; "" "" &amp; REGEXEXTRACT(C5291, ""🏘️ \w+ \w+ (.*) ✅"") ,  if(H5291=""quartier"",vlookup(REGEXEXTRACT(C5291, ""🏘️ \w+ \w+ (.*) ✅""),'Quartier prepositio"&amp;"ns'!A:E, 5, 0) ,  if(H5291=""region"",vlookup(REGEXEXTRACT(C5291, ""🏘️ \w+ \w+ (.*) ✅""),'Region prepositions'!B:F, 5, 0),  REGEXEXTRACT(C5291, ""🏘️ \w+ \w+ (.*) ✅""))))"),"#N/A")</f>
        <v>#N/A</v>
      </c>
      <c r="I5291" s="4" t="str">
        <f>IFERROR(__xludf.DUMMYFUNCTION("if(D5291=""variant"",  substitute(filter(Templates!E:E, Templates!A:A = F5291, Templates!B:B = G5291, Templates!C:C = H5291), ""{{}}"", E5291), B5291)"),"Vendre appartement Thaïland: Trouvez le bien immobilier qui correspond idéalement à vos désirs sur ImmoScout24 - La plateforme de l'immobilier en Suisse.")</f>
        <v>Vendre appartement Thaïland: Trouvez le bien immobilier qui correspond idéalement à vos désirs sur ImmoScout24 - La plateforme de l'immobilier en Suisse.</v>
      </c>
    </row>
    <row r="5292" hidden="1">
      <c r="A5292" s="5" t="s">
        <v>13681</v>
      </c>
      <c r="B5292" s="2" t="s">
        <v>13682</v>
      </c>
      <c r="C5292" s="2" t="s">
        <v>13682</v>
      </c>
      <c r="D5292" s="4" t="str">
        <f>vlookup(A5292, Sheet2!D:E, 2, 0)</f>
        <v>control</v>
      </c>
      <c r="E5292" s="4" t="str">
        <f>IFERROR(__xludf.DUMMYFUNCTION("if(H5292=""pays"",vlookup(REGEXEXTRACT(C5292, ""🏘️ \w+ \w+ (.*) ✅""),'Country prepositions'!A:B, 2, 0) &amp; "" "" &amp; REGEXEXTRACT(C5292, ""🏘️ \w+ \w+ (.*) ✅"") ,  if(H5292=""quartier"",vlookup(REGEXEXTRACT(C5292, ""🏘️ \w+ \w+ (.*) ✅""),'Quartier prepositio"&amp;"ns'!A:E, 5, 0) ,  if(H5292=""region"",vlookup(REGEXEXTRACT(C5292, ""🏘️ \w+ \w+ (.*) ✅""),'Region prepositions'!B:F, 5, 0),  REGEXEXTRACT(C5292, ""🏘️ \w+ \w+ (.*) ✅""))))"),"#N/A")</f>
        <v>#N/A</v>
      </c>
      <c r="I5292" s="4" t="str">
        <f>IFERROR(__xludf.DUMMYFUNCTION("if(D5292=""variant"",  substitute(filter(Templates!E:E, Templates!A:A = F5292, Templates!B:B = G5292, Templates!C:C = H5292), ""{{}}"", E5292), B5292)"),"Vendre maison Niva (Vallemaggia): Trouvez le bien immobilier qui correspond idéalement à vos désirs sur ImmoScout24 - La plateforme de l'immobilier en Suisse.")</f>
        <v>Vendre maison Niva (Vallemaggia): Trouvez le bien immobilier qui correspond idéalement à vos désirs sur ImmoScout24 - La plateforme de l'immobilier en Suisse.</v>
      </c>
    </row>
    <row r="5293" hidden="1">
      <c r="A5293" s="5" t="s">
        <v>13683</v>
      </c>
      <c r="B5293" s="2" t="s">
        <v>13684</v>
      </c>
      <c r="C5293" s="2" t="s">
        <v>13684</v>
      </c>
      <c r="D5293" s="4" t="str">
        <f>vlookup(A5293, Sheet2!D:E, 2, 0)</f>
        <v>control</v>
      </c>
      <c r="E5293" s="4" t="str">
        <f>IFERROR(__xludf.DUMMYFUNCTION("if(H5293=""pays"",vlookup(REGEXEXTRACT(C5293, ""🏘️ \w+ \w+ (.*) ✅""),'Country prepositions'!A:B, 2, 0) &amp; "" "" &amp; REGEXEXTRACT(C5293, ""🏘️ \w+ \w+ (.*) ✅"") ,  if(H5293=""quartier"",vlookup(REGEXEXTRACT(C5293, ""🏘️ \w+ \w+ (.*) ✅""),'Quartier prepositio"&amp;"ns'!A:E, 5, 0) ,  if(H5293=""region"",vlookup(REGEXEXTRACT(C5293, ""🏘️ \w+ \w+ (.*) ✅""),'Region prepositions'!B:F, 5, 0),  REGEXEXTRACT(C5293, ""🏘️ \w+ \w+ (.*) ✅""))))"),"#N/A")</f>
        <v>#N/A</v>
      </c>
      <c r="I5293" s="4" t="str">
        <f>IFERROR(__xludf.DUMMYFUNCTION("if(D5293=""variant"",  substitute(filter(Templates!E:E, Templates!A:A = F5293, Templates!B:B = G5293, Templates!C:C = H5293), ""{{}}"", E5293), B5293)"),"Louer appartement Leysin: Trouvez le bien immobilier qui correspond idéalement à vos désirs sur ImmoScout24 - La plateforme de l'immobilier en Suisse.")</f>
        <v>Louer appartement Leysin: Trouvez le bien immobilier qui correspond idéalement à vos désirs sur ImmoScout24 - La plateforme de l'immobilier en Suisse.</v>
      </c>
    </row>
    <row r="5294" hidden="1">
      <c r="A5294" s="5" t="s">
        <v>13685</v>
      </c>
      <c r="B5294" s="2" t="s">
        <v>13686</v>
      </c>
      <c r="C5294" s="2" t="s">
        <v>13686</v>
      </c>
      <c r="D5294" s="4" t="str">
        <f>vlookup(A5294, Sheet2!D:E, 2, 0)</f>
        <v>control</v>
      </c>
      <c r="E5294" s="4" t="str">
        <f>IFERROR(__xludf.DUMMYFUNCTION("if(H5294=""pays"",vlookup(REGEXEXTRACT(C5294, ""🏘️ \w+ \w+ (.*) ✅""),'Country prepositions'!A:B, 2, 0) &amp; "" "" &amp; REGEXEXTRACT(C5294, ""🏘️ \w+ \w+ (.*) ✅"") ,  if(H5294=""quartier"",vlookup(REGEXEXTRACT(C5294, ""🏘️ \w+ \w+ (.*) ✅""),'Quartier prepositio"&amp;"ns'!A:E, 5, 0) ,  if(H5294=""region"",vlookup(REGEXEXTRACT(C5294, ""🏘️ \w+ \w+ (.*) ✅""),'Region prepositions'!B:F, 5, 0),  REGEXEXTRACT(C5294, ""🏘️ \w+ \w+ (.*) ✅""))))"),"#N/A")</f>
        <v>#N/A</v>
      </c>
      <c r="I5294" s="4" t="str">
        <f>IFERROR(__xludf.DUMMYFUNCTION("if(D5294=""variant"",  substitute(filter(Templates!E:E, Templates!A:A = F5294, Templates!B:B = G5294, Templates!C:C = H5294), ""{{}}"", E5294), B5294)"),"Vendre appartement La Chaux-de-Fonds: Trouvez le bien immobilier qui correspond idéalement à vos désirs sur ImmoScout24 - La plateforme de l'immobilier en Suisse.")</f>
        <v>Vendre appartement La Chaux-de-Fonds: Trouvez le bien immobilier qui correspond idéalement à vos désirs sur ImmoScout24 - La plateforme de l'immobilier en Suisse.</v>
      </c>
    </row>
    <row r="5295" hidden="1">
      <c r="A5295" s="5" t="s">
        <v>13687</v>
      </c>
      <c r="B5295" s="2" t="s">
        <v>13688</v>
      </c>
      <c r="C5295" s="2" t="s">
        <v>13688</v>
      </c>
      <c r="D5295" s="4" t="str">
        <f>vlookup(A5295, Sheet2!D:E, 2, 0)</f>
        <v>control</v>
      </c>
      <c r="E5295" s="4" t="str">
        <f>IFERROR(__xludf.DUMMYFUNCTION("if(H5295=""pays"",vlookup(REGEXEXTRACT(C5295, ""🏘️ \w+ \w+ (.*) ✅""),'Country prepositions'!A:B, 2, 0) &amp; "" "" &amp; REGEXEXTRACT(C5295, ""🏘️ \w+ \w+ (.*) ✅"") ,  if(H5295=""quartier"",vlookup(REGEXEXTRACT(C5295, ""🏘️ \w+ \w+ (.*) ✅""),'Quartier prepositio"&amp;"ns'!A:E, 5, 0) ,  if(H5295=""region"",vlookup(REGEXEXTRACT(C5295, ""🏘️ \w+ \w+ (.*) ✅""),'Region prepositions'!B:F, 5, 0),  REGEXEXTRACT(C5295, ""🏘️ \w+ \w+ (.*) ✅""))))"),"#N/A")</f>
        <v>#N/A</v>
      </c>
      <c r="I5295" s="4" t="str">
        <f>IFERROR(__xludf.DUMMYFUNCTION("if(D5295=""variant"",  substitute(filter(Templates!E:E, Templates!A:A = F5295, Templates!B:B = G5295, Templates!C:C = H5295), ""{{}}"", E5295), B5295)"),"Louer appartement Lavaux - Vevey: Trouvez le bien immobilier qui correspond idéalement à vos désirs sur ImmoScout24 - La plateforme de l'immobilier en Suisse.")</f>
        <v>Louer appartement Lavaux - Vevey: Trouvez le bien immobilier qui correspond idéalement à vos désirs sur ImmoScout24 - La plateforme de l'immobilier en Suisse.</v>
      </c>
    </row>
    <row r="5296" hidden="1">
      <c r="A5296" s="5" t="s">
        <v>13689</v>
      </c>
      <c r="B5296" s="2" t="s">
        <v>13690</v>
      </c>
      <c r="C5296" s="2" t="s">
        <v>13690</v>
      </c>
      <c r="D5296" s="4" t="str">
        <f>vlookup(A5296, Sheet2!D:E, 2, 0)</f>
        <v>control</v>
      </c>
      <c r="E5296" s="4" t="str">
        <f>IFERROR(__xludf.DUMMYFUNCTION("if(H5296=""pays"",vlookup(REGEXEXTRACT(C5296, ""🏘️ \w+ \w+ (.*) ✅""),'Country prepositions'!A:B, 2, 0) &amp; "" "" &amp; REGEXEXTRACT(C5296, ""🏘️ \w+ \w+ (.*) ✅"") ,  if(H5296=""quartier"",vlookup(REGEXEXTRACT(C5296, ""🏘️ \w+ \w+ (.*) ✅""),'Quartier prepositio"&amp;"ns'!A:E, 5, 0) ,  if(H5296=""region"",vlookup(REGEXEXTRACT(C5296, ""🏘️ \w+ \w+ (.*) ✅""),'Region prepositions'!B:F, 5, 0),  REGEXEXTRACT(C5296, ""🏘️ \w+ \w+ (.*) ✅""))))"),"#N/A")</f>
        <v>#N/A</v>
      </c>
      <c r="I5296" s="4" t="str">
        <f>IFERROR(__xludf.DUMMYFUNCTION("if(D5296=""variant"",  substitute(filter(Templates!E:E, Templates!A:A = F5296, Templates!B:B = G5296, Templates!C:C = H5296), ""{{}}"", E5296), B5296)"),"Vendre maison Niederwangen b. Bern: Trouvez le bien immobilier qui correspond idéalement à vos désirs sur ImmoScout24 - La plateforme de l'immobilier en Suisse.")</f>
        <v>Vendre maison Niederwangen b. Bern: Trouvez le bien immobilier qui correspond idéalement à vos désirs sur ImmoScout24 - La plateforme de l'immobilier en Suisse.</v>
      </c>
    </row>
    <row r="5297" hidden="1">
      <c r="A5297" s="5" t="s">
        <v>13691</v>
      </c>
      <c r="B5297" s="2" t="s">
        <v>13692</v>
      </c>
      <c r="C5297" s="2" t="s">
        <v>13692</v>
      </c>
      <c r="D5297" s="4" t="str">
        <f>vlookup(A5297, Sheet2!D:E, 2, 0)</f>
        <v>control</v>
      </c>
      <c r="E5297" s="4" t="str">
        <f>IFERROR(__xludf.DUMMYFUNCTION("if(H5297=""pays"",vlookup(REGEXEXTRACT(C5297, ""🏘️ \w+ \w+ (.*) ✅""),'Country prepositions'!A:B, 2, 0) &amp; "" "" &amp; REGEXEXTRACT(C5297, ""🏘️ \w+ \w+ (.*) ✅"") ,  if(H5297=""quartier"",vlookup(REGEXEXTRACT(C5297, ""🏘️ \w+ \w+ (.*) ✅""),'Quartier prepositio"&amp;"ns'!A:E, 5, 0) ,  if(H5297=""region"",vlookup(REGEXEXTRACT(C5297, ""🏘️ \w+ \w+ (.*) ✅""),'Region prepositions'!B:F, 5, 0),  REGEXEXTRACT(C5297, ""🏘️ \w+ \w+ (.*) ✅""))))"),"#N/A")</f>
        <v>#N/A</v>
      </c>
      <c r="I5297" s="4" t="str">
        <f>IFERROR(__xludf.DUMMYFUNCTION("if(D5297=""variant"",  substitute(filter(Templates!E:E, Templates!A:A = F5297, Templates!B:B = G5297, Templates!C:C = H5297), ""{{}}"", E5297), B5297)"),"Louer appartement Canton du Tessin: Trouvez le bien immobilier qui correspond idéalement à vos désirs sur ImmoScout24 - La plateforme de l'immobilier en Suisse.")</f>
        <v>Louer appartement Canton du Tessin: Trouvez le bien immobilier qui correspond idéalement à vos désirs sur ImmoScout24 - La plateforme de l'immobilier en Suisse.</v>
      </c>
    </row>
    <row r="5298" hidden="1">
      <c r="A5298" s="5" t="s">
        <v>13693</v>
      </c>
      <c r="B5298" s="2" t="s">
        <v>13694</v>
      </c>
      <c r="C5298" s="2" t="s">
        <v>13694</v>
      </c>
      <c r="D5298" s="4" t="str">
        <f>vlookup(A5298, Sheet2!D:E, 2, 0)</f>
        <v>control</v>
      </c>
      <c r="E5298" s="4" t="str">
        <f>IFERROR(__xludf.DUMMYFUNCTION("if(H5298=""pays"",vlookup(REGEXEXTRACT(C5298, ""🏘️ \w+ \w+ (.*) ✅""),'Country prepositions'!A:B, 2, 0) &amp; "" "" &amp; REGEXEXTRACT(C5298, ""🏘️ \w+ \w+ (.*) ✅"") ,  if(H5298=""quartier"",vlookup(REGEXEXTRACT(C5298, ""🏘️ \w+ \w+ (.*) ✅""),'Quartier prepositio"&amp;"ns'!A:E, 5, 0) ,  if(H5298=""region"",vlookup(REGEXEXTRACT(C5298, ""🏘️ \w+ \w+ (.*) ✅""),'Region prepositions'!B:F, 5, 0),  REGEXEXTRACT(C5298, ""🏘️ \w+ \w+ (.*) ✅""))))"),"#N/A")</f>
        <v>#N/A</v>
      </c>
      <c r="I5298" s="4" t="str">
        <f>IFERROR(__xludf.DUMMYFUNCTION("if(D5298=""variant"",  substitute(filter(Templates!E:E, Templates!A:A = F5298, Templates!B:B = G5298, Templates!C:C = H5298), ""{{}}"", E5298), B5298)"),"Vendre appartement Sarnen: Trouvez le bien immobilier qui correspond idéalement à vos désirs sur ImmoScout24 - La plateforme de l'immobilier en Suisse.")</f>
        <v>Vendre appartement Sarnen: Trouvez le bien immobilier qui correspond idéalement à vos désirs sur ImmoScout24 - La plateforme de l'immobilier en Suisse.</v>
      </c>
    </row>
    <row r="5299" hidden="1">
      <c r="A5299" s="5" t="s">
        <v>13695</v>
      </c>
      <c r="B5299" s="2" t="s">
        <v>13696</v>
      </c>
      <c r="C5299" s="2" t="s">
        <v>13696</v>
      </c>
      <c r="D5299" s="4" t="str">
        <f>vlookup(A5299, Sheet2!D:E, 2, 0)</f>
        <v>control</v>
      </c>
      <c r="E5299" s="4" t="str">
        <f>IFERROR(__xludf.DUMMYFUNCTION("if(H5299=""pays"",vlookup(REGEXEXTRACT(C5299, ""🏘️ \w+ \w+ (.*) ✅""),'Country prepositions'!A:B, 2, 0) &amp; "" "" &amp; REGEXEXTRACT(C5299, ""🏘️ \w+ \w+ (.*) ✅"") ,  if(H5299=""quartier"",vlookup(REGEXEXTRACT(C5299, ""🏘️ \w+ \w+ (.*) ✅""),'Quartier prepositio"&amp;"ns'!A:E, 5, 0) ,  if(H5299=""region"",vlookup(REGEXEXTRACT(C5299, ""🏘️ \w+ \w+ (.*) ✅""),'Region prepositions'!B:F, 5, 0),  REGEXEXTRACT(C5299, ""🏘️ \w+ \w+ (.*) ✅""))))"),"#N/A")</f>
        <v>#N/A</v>
      </c>
      <c r="I5299" s="4" t="str">
        <f>IFERROR(__xludf.DUMMYFUNCTION("if(D5299=""variant"",  substitute(filter(Templates!E:E, Templates!A:A = F5299, Templates!B:B = G5299, Templates!C:C = H5299), ""{{}}"", E5299), B5299)"),"Vendre appartement Prangins: Trouvez le bien immobilier qui correspond idéalement à vos désirs sur ImmoScout24 - La plateforme de l'immobilier en Suisse.")</f>
        <v>Vendre appartement Prangins: Trouvez le bien immobilier qui correspond idéalement à vos désirs sur ImmoScout24 - La plateforme de l'immobilier en Suisse.</v>
      </c>
    </row>
    <row r="5300" hidden="1">
      <c r="A5300" s="5" t="s">
        <v>13697</v>
      </c>
      <c r="B5300" s="2" t="s">
        <v>13698</v>
      </c>
      <c r="C5300" s="2" t="s">
        <v>13698</v>
      </c>
      <c r="D5300" s="4" t="str">
        <f>vlookup(A5300, Sheet2!D:E, 2, 0)</f>
        <v>control</v>
      </c>
      <c r="E5300" s="4" t="str">
        <f>IFERROR(__xludf.DUMMYFUNCTION("if(H5300=""pays"",vlookup(REGEXEXTRACT(C5300, ""🏘️ \w+ \w+ (.*) ✅""),'Country prepositions'!A:B, 2, 0) &amp; "" "" &amp; REGEXEXTRACT(C5300, ""🏘️ \w+ \w+ (.*) ✅"") ,  if(H5300=""quartier"",vlookup(REGEXEXTRACT(C5300, ""🏘️ \w+ \w+ (.*) ✅""),'Quartier prepositio"&amp;"ns'!A:E, 5, 0) ,  if(H5300=""region"",vlookup(REGEXEXTRACT(C5300, ""🏘️ \w+ \w+ (.*) ✅""),'Region prepositions'!B:F, 5, 0),  REGEXEXTRACT(C5300, ""🏘️ \w+ \w+ (.*) ✅""))))"),"#N/A")</f>
        <v>#N/A</v>
      </c>
      <c r="I5300" s="4" t="str">
        <f>IFERROR(__xludf.DUMMYFUNCTION("if(D5300=""variant"",  substitute(filter(Templates!E:E, Templates!A:A = F5300, Templates!B:B = G5300, Templates!C:C = H5300), ""{{}}"", E5300), B5300)"),"Louer appartement Vaz/Obervaz: Trouvez le bien immobilier qui correspond idéalement à vos désirs sur ImmoScout24 - La plateforme de l'immobilier en Suisse.")</f>
        <v>Louer appartement Vaz/Obervaz: Trouvez le bien immobilier qui correspond idéalement à vos désirs sur ImmoScout24 - La plateforme de l'immobilier en Suisse.</v>
      </c>
    </row>
    <row r="5301" hidden="1">
      <c r="A5301" s="5" t="s">
        <v>13699</v>
      </c>
      <c r="B5301" s="2" t="s">
        <v>13700</v>
      </c>
      <c r="C5301" s="2" t="s">
        <v>13700</v>
      </c>
      <c r="D5301" s="4" t="str">
        <f>vlookup(A5301, Sheet2!D:E, 2, 0)</f>
        <v>control</v>
      </c>
      <c r="E5301" s="4" t="str">
        <f>IFERROR(__xludf.DUMMYFUNCTION("if(H5301=""pays"",vlookup(REGEXEXTRACT(C5301, ""🏘️ \w+ \w+ (.*) ✅""),'Country prepositions'!A:B, 2, 0) &amp; "" "" &amp; REGEXEXTRACT(C5301, ""🏘️ \w+ \w+ (.*) ✅"") ,  if(H5301=""quartier"",vlookup(REGEXEXTRACT(C5301, ""🏘️ \w+ \w+ (.*) ✅""),'Quartier prepositio"&amp;"ns'!A:E, 5, 0) ,  if(H5301=""region"",vlookup(REGEXEXTRACT(C5301, ""🏘️ \w+ \w+ (.*) ✅""),'Region prepositions'!B:F, 5, 0),  REGEXEXTRACT(C5301, ""🏘️ \w+ \w+ (.*) ✅""))))"),"#N/A")</f>
        <v>#N/A</v>
      </c>
      <c r="I5301" s="4" t="str">
        <f>IFERROR(__xludf.DUMMYFUNCTION("if(D5301=""variant"",  substitute(filter(Templates!E:E, Templates!A:A = F5301, Templates!B:B = G5301, Templates!C:C = H5301), ""{{}}"", E5301), B5301)"),"Vendre appartement Le Pont: Trouvez le bien immobilier qui correspond idéalement à vos désirs sur ImmoScout24 - La plateforme de l'immobilier en Suisse.")</f>
        <v>Vendre appartement Le Pont: Trouvez le bien immobilier qui correspond idéalement à vos désirs sur ImmoScout24 - La plateforme de l'immobilier en Suisse.</v>
      </c>
    </row>
    <row r="5302" hidden="1">
      <c r="A5302" s="5" t="s">
        <v>13701</v>
      </c>
      <c r="B5302" s="2" t="s">
        <v>13702</v>
      </c>
      <c r="C5302" s="2" t="s">
        <v>13702</v>
      </c>
      <c r="D5302" s="4" t="str">
        <f>vlookup(A5302, Sheet2!D:E, 2, 0)</f>
        <v>control</v>
      </c>
      <c r="E5302" s="4" t="str">
        <f>IFERROR(__xludf.DUMMYFUNCTION("if(H5302=""pays"",vlookup(REGEXEXTRACT(C5302, ""🏘️ \w+ \w+ (.*) ✅""),'Country prepositions'!A:B, 2, 0) &amp; "" "" &amp; REGEXEXTRACT(C5302, ""🏘️ \w+ \w+ (.*) ✅"") ,  if(H5302=""quartier"",vlookup(REGEXEXTRACT(C5302, ""🏘️ \w+ \w+ (.*) ✅""),'Quartier prepositio"&amp;"ns'!A:E, 5, 0) ,  if(H5302=""region"",vlookup(REGEXEXTRACT(C5302, ""🏘️ \w+ \w+ (.*) ✅""),'Region prepositions'!B:F, 5, 0),  REGEXEXTRACT(C5302, ""🏘️ \w+ \w+ (.*) ✅""))))"),"#N/A")</f>
        <v>#N/A</v>
      </c>
      <c r="I5302" s="4" t="str">
        <f>IFERROR(__xludf.DUMMYFUNCTION("if(D5302=""variant"",  substitute(filter(Templates!E:E, Templates!A:A = F5302, Templates!B:B = G5302, Templates!C:C = H5302), ""{{}}"", E5302), B5302)"),"Vendre maison Gunzwil: Trouvez le bien immobilier qui correspond idéalement à vos désirs sur ImmoScout24 - La plateforme de l'immobilier en Suisse.")</f>
        <v>Vendre maison Gunzwil: Trouvez le bien immobilier qui correspond idéalement à vos désirs sur ImmoScout24 - La plateforme de l'immobilier en Suisse.</v>
      </c>
    </row>
    <row r="5303" hidden="1">
      <c r="A5303" s="5" t="s">
        <v>13703</v>
      </c>
      <c r="B5303" s="2" t="s">
        <v>13704</v>
      </c>
      <c r="C5303" s="2" t="s">
        <v>13704</v>
      </c>
      <c r="D5303" s="4" t="str">
        <f>vlookup(A5303, Sheet2!D:E, 2, 0)</f>
        <v>control</v>
      </c>
      <c r="E5303" s="4" t="str">
        <f>IFERROR(__xludf.DUMMYFUNCTION("if(H5303=""pays"",vlookup(REGEXEXTRACT(C5303, ""🏘️ \w+ \w+ (.*) ✅""),'Country prepositions'!A:B, 2, 0) &amp; "" "" &amp; REGEXEXTRACT(C5303, ""🏘️ \w+ \w+ (.*) ✅"") ,  if(H5303=""quartier"",vlookup(REGEXEXTRACT(C5303, ""🏘️ \w+ \w+ (.*) ✅""),'Quartier prepositio"&amp;"ns'!A:E, 5, 0) ,  if(H5303=""region"",vlookup(REGEXEXTRACT(C5303, ""🏘️ \w+ \w+ (.*) ✅""),'Region prepositions'!B:F, 5, 0),  REGEXEXTRACT(C5303, ""🏘️ \w+ \w+ (.*) ✅""))))"),"#N/A")</f>
        <v>#N/A</v>
      </c>
      <c r="I5303" s="4" t="str">
        <f>IFERROR(__xludf.DUMMYFUNCTION("if(D5303=""variant"",  substitute(filter(Templates!E:E, Templates!A:A = F5303, Templates!B:B = G5303, Templates!C:C = H5303), ""{{}}"", E5303), B5303)"),"Vendre maison St-Séverin: Trouvez le bien immobilier qui correspond idéalement à vos désirs sur ImmoScout24 - La plateforme de l'immobilier en Suisse.")</f>
        <v>Vendre maison St-Séverin: Trouvez le bien immobilier qui correspond idéalement à vos désirs sur ImmoScout24 - La plateforme de l'immobilier en Suisse.</v>
      </c>
    </row>
    <row r="5304" hidden="1">
      <c r="A5304" s="5" t="s">
        <v>13705</v>
      </c>
      <c r="B5304" s="2" t="s">
        <v>13706</v>
      </c>
      <c r="C5304" s="2" t="s">
        <v>13706</v>
      </c>
      <c r="D5304" s="4" t="str">
        <f>vlookup(A5304, Sheet2!D:E, 2, 0)</f>
        <v>control</v>
      </c>
      <c r="E5304" s="4" t="str">
        <f>IFERROR(__xludf.DUMMYFUNCTION("if(H5304=""pays"",vlookup(REGEXEXTRACT(C5304, ""🏘️ \w+ \w+ (.*) ✅""),'Country prepositions'!A:B, 2, 0) &amp; "" "" &amp; REGEXEXTRACT(C5304, ""🏘️ \w+ \w+ (.*) ✅"") ,  if(H5304=""quartier"",vlookup(REGEXEXTRACT(C5304, ""🏘️ \w+ \w+ (.*) ✅""),'Quartier prepositio"&amp;"ns'!A:E, 5, 0) ,  if(H5304=""region"",vlookup(REGEXEXTRACT(C5304, ""🏘️ \w+ \w+ (.*) ✅""),'Region prepositions'!B:F, 5, 0),  REGEXEXTRACT(C5304, ""🏘️ \w+ \w+ (.*) ✅""))))"),"#N/A")</f>
        <v>#N/A</v>
      </c>
      <c r="I5304" s="4" t="str">
        <f>IFERROR(__xludf.DUMMYFUNCTION("if(D5304=""variant"",  substitute(filter(Templates!E:E, Templates!A:A = F5304, Templates!B:B = G5304, Templates!C:C = H5304), ""{{}}"", E5304), B5304)"),"Louer appartement Forel FR: Trouvez le bien immobilier qui correspond idéalement à vos désirs sur ImmoScout24 - La plateforme de l'immobilier en Suisse.")</f>
        <v>Louer appartement Forel FR: Trouvez le bien immobilier qui correspond idéalement à vos désirs sur ImmoScout24 - La plateforme de l'immobilier en Suisse.</v>
      </c>
    </row>
    <row r="5305" hidden="1">
      <c r="A5305" s="5" t="s">
        <v>13707</v>
      </c>
      <c r="B5305" s="2" t="s">
        <v>13708</v>
      </c>
      <c r="C5305" s="2" t="s">
        <v>13708</v>
      </c>
      <c r="D5305" s="4" t="str">
        <f>vlookup(A5305, Sheet2!D:E, 2, 0)</f>
        <v>control</v>
      </c>
      <c r="E5305" s="4" t="str">
        <f>IFERROR(__xludf.DUMMYFUNCTION("if(H5305=""pays"",vlookup(REGEXEXTRACT(C5305, ""🏘️ \w+ \w+ (.*) ✅""),'Country prepositions'!A:B, 2, 0) &amp; "" "" &amp; REGEXEXTRACT(C5305, ""🏘️ \w+ \w+ (.*) ✅"") ,  if(H5305=""quartier"",vlookup(REGEXEXTRACT(C5305, ""🏘️ \w+ \w+ (.*) ✅""),'Quartier prepositio"&amp;"ns'!A:E, 5, 0) ,  if(H5305=""region"",vlookup(REGEXEXTRACT(C5305, ""🏘️ \w+ \w+ (.*) ✅""),'Region prepositions'!B:F, 5, 0),  REGEXEXTRACT(C5305, ""🏘️ \w+ \w+ (.*) ✅""))))"),"#N/A")</f>
        <v>#N/A</v>
      </c>
      <c r="I5305" s="4" t="str">
        <f>IFERROR(__xludf.DUMMYFUNCTION("if(D5305=""variant"",  substitute(filter(Templates!E:E, Templates!A:A = F5305, Templates!B:B = G5305, Templates!C:C = H5305), ""{{}}"", E5305), B5305)"),"Vendre maison Noville: Trouvez le bien immobilier qui correspond idéalement à vos désirs sur ImmoScout24 - La plateforme de l'immobilier en Suisse.")</f>
        <v>Vendre maison Noville: Trouvez le bien immobilier qui correspond idéalement à vos désirs sur ImmoScout24 - La plateforme de l'immobilier en Suisse.</v>
      </c>
    </row>
    <row r="5306" hidden="1">
      <c r="A5306" s="5" t="s">
        <v>13709</v>
      </c>
      <c r="B5306" s="2" t="s">
        <v>13710</v>
      </c>
      <c r="C5306" s="2" t="s">
        <v>13710</v>
      </c>
      <c r="D5306" s="4" t="str">
        <f>vlookup(A5306, Sheet2!D:E, 2, 0)</f>
        <v>control</v>
      </c>
      <c r="E5306" s="4" t="str">
        <f>IFERROR(__xludf.DUMMYFUNCTION("if(H5306=""pays"",vlookup(REGEXEXTRACT(C5306, ""🏘️ \w+ \w+ (.*) ✅""),'Country prepositions'!A:B, 2, 0) &amp; "" "" &amp; REGEXEXTRACT(C5306, ""🏘️ \w+ \w+ (.*) ✅"") ,  if(H5306=""quartier"",vlookup(REGEXEXTRACT(C5306, ""🏘️ \w+ \w+ (.*) ✅""),'Quartier prepositio"&amp;"ns'!A:E, 5, 0) ,  if(H5306=""region"",vlookup(REGEXEXTRACT(C5306, ""🏘️ \w+ \w+ (.*) ✅""),'Region prepositions'!B:F, 5, 0),  REGEXEXTRACT(C5306, ""🏘️ \w+ \w+ (.*) ✅""))))"),"#N/A")</f>
        <v>#N/A</v>
      </c>
      <c r="I5306" s="4" t="str">
        <f>IFERROR(__xludf.DUMMYFUNCTION("if(D5306=""variant"",  substitute(filter(Templates!E:E, Templates!A:A = F5306, Templates!B:B = G5306, Templates!C:C = H5306), ""{{}}"", E5306), B5306)"),"Louer appartement Altdorf UR: Trouvez le bien immobilier qui correspond idéalement à vos désirs sur ImmoScout24 - La plateforme de l'immobilier en Suisse.")</f>
        <v>Louer appartement Altdorf UR: Trouvez le bien immobilier qui correspond idéalement à vos désirs sur ImmoScout24 - La plateforme de l'immobilier en Suisse.</v>
      </c>
    </row>
    <row r="5307" hidden="1">
      <c r="A5307" s="5" t="s">
        <v>13711</v>
      </c>
      <c r="B5307" s="2" t="s">
        <v>13712</v>
      </c>
      <c r="C5307" s="2" t="s">
        <v>13712</v>
      </c>
      <c r="D5307" s="4" t="str">
        <f>vlookup(A5307, Sheet2!D:E, 2, 0)</f>
        <v>control</v>
      </c>
      <c r="E5307" s="4" t="str">
        <f>IFERROR(__xludf.DUMMYFUNCTION("if(H5307=""pays"",vlookup(REGEXEXTRACT(C5307, ""🏘️ \w+ \w+ (.*) ✅""),'Country prepositions'!A:B, 2, 0) &amp; "" "" &amp; REGEXEXTRACT(C5307, ""🏘️ \w+ \w+ (.*) ✅"") ,  if(H5307=""quartier"",vlookup(REGEXEXTRACT(C5307, ""🏘️ \w+ \w+ (.*) ✅""),'Quartier prepositio"&amp;"ns'!A:E, 5, 0) ,  if(H5307=""region"",vlookup(REGEXEXTRACT(C5307, ""🏘️ \w+ \w+ (.*) ✅""),'Region prepositions'!B:F, 5, 0),  REGEXEXTRACT(C5307, ""🏘️ \w+ \w+ (.*) ✅""))))"),"#N/A")</f>
        <v>#N/A</v>
      </c>
      <c r="I5307" s="4" t="str">
        <f>IFERROR(__xludf.DUMMYFUNCTION("if(D5307=""variant"",  substitute(filter(Templates!E:E, Templates!A:A = F5307, Templates!B:B = G5307, Templates!C:C = H5307), ""{{}}"", E5307), B5307)"),"Vendre maison La Chaux-des-Breuleux: Trouvez le bien immobilier qui correspond idéalement à vos désirs sur ImmoScout24 - La plateforme de l'immobilier en Suisse.")</f>
        <v>Vendre maison La Chaux-des-Breuleux: Trouvez le bien immobilier qui correspond idéalement à vos désirs sur ImmoScout24 - La plateforme de l'immobilier en Suisse.</v>
      </c>
    </row>
    <row r="5308" hidden="1">
      <c r="A5308" s="5" t="s">
        <v>13713</v>
      </c>
      <c r="B5308" s="2" t="s">
        <v>13714</v>
      </c>
      <c r="C5308" s="2" t="s">
        <v>13714</v>
      </c>
      <c r="D5308" s="4" t="str">
        <f>vlookup(A5308, Sheet2!D:E, 2, 0)</f>
        <v>control</v>
      </c>
      <c r="E5308" s="4" t="str">
        <f>IFERROR(__xludf.DUMMYFUNCTION("if(H5308=""pays"",vlookup(REGEXEXTRACT(C5308, ""🏘️ \w+ \w+ (.*) ✅""),'Country prepositions'!A:B, 2, 0) &amp; "" "" &amp; REGEXEXTRACT(C5308, ""🏘️ \w+ \w+ (.*) ✅"") ,  if(H5308=""quartier"",vlookup(REGEXEXTRACT(C5308, ""🏘️ \w+ \w+ (.*) ✅""),'Quartier prepositio"&amp;"ns'!A:E, 5, 0) ,  if(H5308=""region"",vlookup(REGEXEXTRACT(C5308, ""🏘️ \w+ \w+ (.*) ✅""),'Region prepositions'!B:F, 5, 0),  REGEXEXTRACT(C5308, ""🏘️ \w+ \w+ (.*) ✅""))))"),"#N/A")</f>
        <v>#N/A</v>
      </c>
      <c r="I5308" s="4" t="str">
        <f>IFERROR(__xludf.DUMMYFUNCTION("if(D5308=""variant"",  substitute(filter(Templates!E:E, Templates!A:A = F5308, Templates!B:B = G5308, Templates!C:C = H5308), ""{{}}"", E5308), B5308)"),"Vendre maison Les Enfers: Trouvez le bien immobilier qui correspond idéalement à vos désirs sur ImmoScout24 - La plateforme de l'immobilier en Suisse.")</f>
        <v>Vendre maison Les Enfers: Trouvez le bien immobilier qui correspond idéalement à vos désirs sur ImmoScout24 - La plateforme de l'immobilier en Suisse.</v>
      </c>
    </row>
    <row r="5309" hidden="1">
      <c r="A5309" s="5" t="s">
        <v>13715</v>
      </c>
      <c r="B5309" s="2" t="s">
        <v>13716</v>
      </c>
      <c r="C5309" s="2" t="s">
        <v>13716</v>
      </c>
      <c r="D5309" s="4" t="str">
        <f>vlookup(A5309, Sheet2!D:E, 2, 0)</f>
        <v>control</v>
      </c>
      <c r="E5309" s="4" t="str">
        <f>IFERROR(__xludf.DUMMYFUNCTION("if(H5309=""pays"",vlookup(REGEXEXTRACT(C5309, ""🏘️ \w+ \w+ (.*) ✅""),'Country prepositions'!A:B, 2, 0) &amp; "" "" &amp; REGEXEXTRACT(C5309, ""🏘️ \w+ \w+ (.*) ✅"") ,  if(H5309=""quartier"",vlookup(REGEXEXTRACT(C5309, ""🏘️ \w+ \w+ (.*) ✅""),'Quartier prepositio"&amp;"ns'!A:E, 5, 0) ,  if(H5309=""region"",vlookup(REGEXEXTRACT(C5309, ""🏘️ \w+ \w+ (.*) ✅""),'Region prepositions'!B:F, 5, 0),  REGEXEXTRACT(C5309, ""🏘️ \w+ \w+ (.*) ✅""))))"),"#N/A")</f>
        <v>#N/A</v>
      </c>
      <c r="I5309" s="4" t="str">
        <f>IFERROR(__xludf.DUMMYFUNCTION("if(D5309=""variant"",  substitute(filter(Templates!E:E, Templates!A:A = F5309, Templates!B:B = G5309, Templates!C:C = H5309), ""{{}}"", E5309), B5309)"),"Louer appartement Roches BE: Trouvez le bien immobilier qui correspond idéalement à vos désirs sur ImmoScout24 - La plateforme de l'immobilier en Suisse.")</f>
        <v>Louer appartement Roches BE: Trouvez le bien immobilier qui correspond idéalement à vos désirs sur ImmoScout24 - La plateforme de l'immobilier en Suisse.</v>
      </c>
    </row>
    <row r="5310" hidden="1">
      <c r="A5310" s="5" t="s">
        <v>13717</v>
      </c>
      <c r="B5310" s="2" t="s">
        <v>13718</v>
      </c>
      <c r="C5310" s="2" t="s">
        <v>13718</v>
      </c>
      <c r="D5310" s="4" t="str">
        <f>vlookup(A5310, Sheet2!D:E, 2, 0)</f>
        <v>control</v>
      </c>
      <c r="E5310" s="4" t="str">
        <f>IFERROR(__xludf.DUMMYFUNCTION("if(H5310=""pays"",vlookup(REGEXEXTRACT(C5310, ""🏘️ \w+ \w+ (.*) ✅""),'Country prepositions'!A:B, 2, 0) &amp; "" "" &amp; REGEXEXTRACT(C5310, ""🏘️ \w+ \w+ (.*) ✅"") ,  if(H5310=""quartier"",vlookup(REGEXEXTRACT(C5310, ""🏘️ \w+ \w+ (.*) ✅""),'Quartier prepositio"&amp;"ns'!A:E, 5, 0) ,  if(H5310=""region"",vlookup(REGEXEXTRACT(C5310, ""🏘️ \w+ \w+ (.*) ✅""),'Region prepositions'!B:F, 5, 0),  REGEXEXTRACT(C5310, ""🏘️ \w+ \w+ (.*) ✅""))))"),"#N/A")</f>
        <v>#N/A</v>
      </c>
      <c r="I5310" s="4" t="str">
        <f>IFERROR(__xludf.DUMMYFUNCTION("if(D5310=""variant"",  substitute(filter(Templates!E:E, Templates!A:A = F5310, Templates!B:B = G5310, Templates!C:C = H5310), ""{{}}"", E5310), B5310)"),"Vendre maison Agiez: Trouvez le bien immobilier qui correspond idéalement à vos désirs sur ImmoScout24 - La plateforme de l'immobilier en Suisse.")</f>
        <v>Vendre maison Agiez: Trouvez le bien immobilier qui correspond idéalement à vos désirs sur ImmoScout24 - La plateforme de l'immobilier en Suisse.</v>
      </c>
    </row>
    <row r="5311" hidden="1">
      <c r="A5311" s="5" t="s">
        <v>13719</v>
      </c>
      <c r="B5311" s="2" t="s">
        <v>13720</v>
      </c>
      <c r="C5311" s="2" t="s">
        <v>13720</v>
      </c>
      <c r="D5311" s="4" t="str">
        <f>vlookup(A5311, Sheet2!D:E, 2, 0)</f>
        <v>control</v>
      </c>
      <c r="E5311" s="4" t="str">
        <f>IFERROR(__xludf.DUMMYFUNCTION("if(H5311=""pays"",vlookup(REGEXEXTRACT(C5311, ""🏘️ \w+ \w+ (.*) ✅""),'Country prepositions'!A:B, 2, 0) &amp; "" "" &amp; REGEXEXTRACT(C5311, ""🏘️ \w+ \w+ (.*) ✅"") ,  if(H5311=""quartier"",vlookup(REGEXEXTRACT(C5311, ""🏘️ \w+ \w+ (.*) ✅""),'Quartier prepositio"&amp;"ns'!A:E, 5, 0) ,  if(H5311=""region"",vlookup(REGEXEXTRACT(C5311, ""🏘️ \w+ \w+ (.*) ✅""),'Region prepositions'!B:F, 5, 0),  REGEXEXTRACT(C5311, ""🏘️ \w+ \w+ (.*) ✅""))))"),"#N/A")</f>
        <v>#N/A</v>
      </c>
      <c r="I5311" s="4" t="str">
        <f>IFERROR(__xludf.DUMMYFUNCTION("if(D5311=""variant"",  substitute(filter(Templates!E:E, Templates!A:A = F5311, Templates!B:B = G5311, Templates!C:C = H5311), ""{{}}"", E5311), B5311)"),"Vendre maison Preonzo: Trouvez le bien immobilier qui correspond idéalement à vos désirs sur ImmoScout24 - La plateforme de l'immobilier en Suisse.")</f>
        <v>Vendre maison Preonzo: Trouvez le bien immobilier qui correspond idéalement à vos désirs sur ImmoScout24 - La plateforme de l'immobilier en Suisse.</v>
      </c>
    </row>
    <row r="5312" hidden="1">
      <c r="A5312" s="5" t="s">
        <v>13721</v>
      </c>
      <c r="B5312" s="2" t="s">
        <v>13722</v>
      </c>
      <c r="C5312" s="2" t="s">
        <v>13722</v>
      </c>
      <c r="D5312" s="4" t="str">
        <f>vlookup(A5312, Sheet2!D:E, 2, 0)</f>
        <v>control</v>
      </c>
      <c r="E5312" s="4" t="str">
        <f>IFERROR(__xludf.DUMMYFUNCTION("if(H5312=""pays"",vlookup(REGEXEXTRACT(C5312, ""🏘️ \w+ \w+ (.*) ✅""),'Country prepositions'!A:B, 2, 0) &amp; "" "" &amp; REGEXEXTRACT(C5312, ""🏘️ \w+ \w+ (.*) ✅"") ,  if(H5312=""quartier"",vlookup(REGEXEXTRACT(C5312, ""🏘️ \w+ \w+ (.*) ✅""),'Quartier prepositio"&amp;"ns'!A:E, 5, 0) ,  if(H5312=""region"",vlookup(REGEXEXTRACT(C5312, ""🏘️ \w+ \w+ (.*) ✅""),'Region prepositions'!B:F, 5, 0),  REGEXEXTRACT(C5312, ""🏘️ \w+ \w+ (.*) ✅""))))"),"#N/A")</f>
        <v>#N/A</v>
      </c>
      <c r="I5312" s="4" t="str">
        <f>IFERROR(__xludf.DUMMYFUNCTION("if(D5312=""variant"",  substitute(filter(Templates!E:E, Templates!A:A = F5312, Templates!B:B = G5312, Templates!C:C = H5312), ""{{}}"", E5312), B5312)"),"Vendre maison Bellwald: Trouvez le bien immobilier qui correspond idéalement à vos désirs sur ImmoScout24 - La plateforme de l'immobilier en Suisse.")</f>
        <v>Vendre maison Bellwald: Trouvez le bien immobilier qui correspond idéalement à vos désirs sur ImmoScout24 - La plateforme de l'immobilier en Suisse.</v>
      </c>
    </row>
    <row r="5313" hidden="1">
      <c r="A5313" s="5" t="s">
        <v>13723</v>
      </c>
      <c r="B5313" s="2" t="s">
        <v>13724</v>
      </c>
      <c r="C5313" s="2" t="s">
        <v>13724</v>
      </c>
      <c r="D5313" s="4" t="str">
        <f>vlookup(A5313, Sheet2!D:E, 2, 0)</f>
        <v>control</v>
      </c>
      <c r="E5313" s="4" t="str">
        <f>IFERROR(__xludf.DUMMYFUNCTION("if(H5313=""pays"",vlookup(REGEXEXTRACT(C5313, ""🏘️ \w+ \w+ (.*) ✅""),'Country prepositions'!A:B, 2, 0) &amp; "" "" &amp; REGEXEXTRACT(C5313, ""🏘️ \w+ \w+ (.*) ✅"") ,  if(H5313=""quartier"",vlookup(REGEXEXTRACT(C5313, ""🏘️ \w+ \w+ (.*) ✅""),'Quartier prepositio"&amp;"ns'!A:E, 5, 0) ,  if(H5313=""region"",vlookup(REGEXEXTRACT(C5313, ""🏘️ \w+ \w+ (.*) ✅""),'Region prepositions'!B:F, 5, 0),  REGEXEXTRACT(C5313, ""🏘️ \w+ \w+ (.*) ✅""))))"),"#N/A")</f>
        <v>#N/A</v>
      </c>
      <c r="I5313" s="4" t="str">
        <f>IFERROR(__xludf.DUMMYFUNCTION("if(D5313=""variant"",  substitute(filter(Templates!E:E, Templates!A:A = F5313, Templates!B:B = G5313, Templates!C:C = H5313), ""{{}}"", E5313), B5313)"),"Vendre maison Evionnaz: Trouvez le bien immobilier qui correspond idéalement à vos désirs sur ImmoScout24 - La plateforme de l'immobilier en Suisse.")</f>
        <v>Vendre maison Evionnaz: Trouvez le bien immobilier qui correspond idéalement à vos désirs sur ImmoScout24 - La plateforme de l'immobilier en Suisse.</v>
      </c>
    </row>
    <row r="5314" hidden="1">
      <c r="A5314" s="5" t="s">
        <v>13725</v>
      </c>
      <c r="B5314" s="2" t="s">
        <v>13726</v>
      </c>
      <c r="C5314" s="2" t="s">
        <v>13726</v>
      </c>
      <c r="D5314" s="4" t="str">
        <f>vlookup(A5314, Sheet2!D:E, 2, 0)</f>
        <v>control</v>
      </c>
      <c r="E5314" s="4" t="str">
        <f>IFERROR(__xludf.DUMMYFUNCTION("if(H5314=""pays"",vlookup(REGEXEXTRACT(C5314, ""🏘️ \w+ \w+ (.*) ✅""),'Country prepositions'!A:B, 2, 0) &amp; "" "" &amp; REGEXEXTRACT(C5314, ""🏘️ \w+ \w+ (.*) ✅"") ,  if(H5314=""quartier"",vlookup(REGEXEXTRACT(C5314, ""🏘️ \w+ \w+ (.*) ✅""),'Quartier prepositio"&amp;"ns'!A:E, 5, 0) ,  if(H5314=""region"",vlookup(REGEXEXTRACT(C5314, ""🏘️ \w+ \w+ (.*) ✅""),'Region prepositions'!B:F, 5, 0),  REGEXEXTRACT(C5314, ""🏘️ \w+ \w+ (.*) ✅""))))"),"#N/A")</f>
        <v>#N/A</v>
      </c>
      <c r="I5314" s="4" t="str">
        <f>IFERROR(__xludf.DUMMYFUNCTION("if(D5314=""variant"",  substitute(filter(Templates!E:E, Templates!A:A = F5314, Templates!B:B = G5314, Templates!C:C = H5314), ""{{}}"", E5314), B5314)"),"Vendre maison Bure: Trouvez le bien immobilier qui correspond idéalement à vos désirs sur ImmoScout24 - La plateforme de l'immobilier en Suisse.")</f>
        <v>Vendre maison Bure: Trouvez le bien immobilier qui correspond idéalement à vos désirs sur ImmoScout24 - La plateforme de l'immobilier en Suisse.</v>
      </c>
    </row>
    <row r="5315" hidden="1">
      <c r="A5315" s="5" t="s">
        <v>13727</v>
      </c>
      <c r="B5315" s="2" t="s">
        <v>13728</v>
      </c>
      <c r="C5315" s="2" t="s">
        <v>13728</v>
      </c>
      <c r="D5315" s="4" t="str">
        <f>vlookup(A5315, Sheet2!D:E, 2, 0)</f>
        <v>control</v>
      </c>
      <c r="E5315" s="4" t="str">
        <f>IFERROR(__xludf.DUMMYFUNCTION("if(H5315=""pays"",vlookup(REGEXEXTRACT(C5315, ""🏘️ \w+ \w+ (.*) ✅""),'Country prepositions'!A:B, 2, 0) &amp; "" "" &amp; REGEXEXTRACT(C5315, ""🏘️ \w+ \w+ (.*) ✅"") ,  if(H5315=""quartier"",vlookup(REGEXEXTRACT(C5315, ""🏘️ \w+ \w+ (.*) ✅""),'Quartier prepositio"&amp;"ns'!A:E, 5, 0) ,  if(H5315=""region"",vlookup(REGEXEXTRACT(C5315, ""🏘️ \w+ \w+ (.*) ✅""),'Region prepositions'!B:F, 5, 0),  REGEXEXTRACT(C5315, ""🏘️ \w+ \w+ (.*) ✅""))))"),"#N/A")</f>
        <v>#N/A</v>
      </c>
      <c r="I5315" s="4" t="str">
        <f>IFERROR(__xludf.DUMMYFUNCTION("if(D5315=""variant"",  substitute(filter(Templates!E:E, Templates!A:A = F5315, Templates!B:B = G5315, Templates!C:C = H5315), ""{{}}"", E5315), B5315)"),"Vendre maison Crêtets (La Chaux-de-Fonds): Trouvez le bien immobilier qui correspond idéalement à vos désirs sur ImmoScout24 - La plateforme de l'immobilier en Suisse.")</f>
        <v>Vendre maison Crêtets (La Chaux-de-Fonds): Trouvez le bien immobilier qui correspond idéalement à vos désirs sur ImmoScout24 - La plateforme de l'immobilier en Suisse.</v>
      </c>
    </row>
    <row r="5316" hidden="1">
      <c r="A5316" s="5" t="s">
        <v>13729</v>
      </c>
      <c r="B5316" s="2" t="s">
        <v>13730</v>
      </c>
      <c r="C5316" s="2" t="s">
        <v>13730</v>
      </c>
      <c r="D5316" s="4" t="str">
        <f>vlookup(A5316, Sheet2!D:E, 2, 0)</f>
        <v>control</v>
      </c>
      <c r="E5316" s="4" t="str">
        <f>IFERROR(__xludf.DUMMYFUNCTION("if(H5316=""pays"",vlookup(REGEXEXTRACT(C5316, ""🏘️ \w+ \w+ (.*) ✅""),'Country prepositions'!A:B, 2, 0) &amp; "" "" &amp; REGEXEXTRACT(C5316, ""🏘️ \w+ \w+ (.*) ✅"") ,  if(H5316=""quartier"",vlookup(REGEXEXTRACT(C5316, ""🏘️ \w+ \w+ (.*) ✅""),'Quartier prepositio"&amp;"ns'!A:E, 5, 0) ,  if(H5316=""region"",vlookup(REGEXEXTRACT(C5316, ""🏘️ \w+ \w+ (.*) ✅""),'Region prepositions'!B:F, 5, 0),  REGEXEXTRACT(C5316, ""🏘️ \w+ \w+ (.*) ✅""))))"),"#N/A")</f>
        <v>#N/A</v>
      </c>
      <c r="I5316" s="4" t="str">
        <f>IFERROR(__xludf.DUMMYFUNCTION("if(D5316=""variant"",  substitute(filter(Templates!E:E, Templates!A:A = F5316, Templates!B:B = G5316, Templates!C:C = H5316), ""{{}}"", E5316), B5316)"),"Louer appartement Spitalacker (Berne): Trouvez le bien immobilier qui correspond idéalement à vos désirs sur ImmoScout24 - La plateforme de l'immobilier en Suisse.")</f>
        <v>Louer appartement Spitalacker (Berne): Trouvez le bien immobilier qui correspond idéalement à vos désirs sur ImmoScout24 - La plateforme de l'immobilier en Suisse.</v>
      </c>
    </row>
    <row r="5317" hidden="1">
      <c r="A5317" s="5" t="s">
        <v>13731</v>
      </c>
      <c r="B5317" s="2" t="s">
        <v>13732</v>
      </c>
      <c r="C5317" s="2" t="s">
        <v>13732</v>
      </c>
      <c r="D5317" s="4" t="str">
        <f>vlookup(A5317, Sheet2!D:E, 2, 0)</f>
        <v>control</v>
      </c>
      <c r="E5317" s="4" t="str">
        <f>IFERROR(__xludf.DUMMYFUNCTION("if(H5317=""pays"",vlookup(REGEXEXTRACT(C5317, ""🏘️ \w+ \w+ (.*) ✅""),'Country prepositions'!A:B, 2, 0) &amp; "" "" &amp; REGEXEXTRACT(C5317, ""🏘️ \w+ \w+ (.*) ✅"") ,  if(H5317=""quartier"",vlookup(REGEXEXTRACT(C5317, ""🏘️ \w+ \w+ (.*) ✅""),'Quartier prepositio"&amp;"ns'!A:E, 5, 0) ,  if(H5317=""region"",vlookup(REGEXEXTRACT(C5317, ""🏘️ \w+ \w+ (.*) ✅""),'Region prepositions'!B:F, 5, 0),  REGEXEXTRACT(C5317, ""🏘️ \w+ \w+ (.*) ✅""))))"),"#N/A")</f>
        <v>#N/A</v>
      </c>
      <c r="I5317" s="4" t="str">
        <f>IFERROR(__xludf.DUMMYFUNCTION("if(D5317=""variant"",  substitute(filter(Templates!E:E, Templates!A:A = F5317, Templates!B:B = G5317, Templates!C:C = H5317), ""{{}}"", E5317), B5317)"),"Vendre maison Riederalp: Trouvez le bien immobilier qui correspond idéalement à vos désirs sur ImmoScout24 - La plateforme de l'immobilier en Suisse.")</f>
        <v>Vendre maison Riederalp: Trouvez le bien immobilier qui correspond idéalement à vos désirs sur ImmoScout24 - La plateforme de l'immobilier en Suisse.</v>
      </c>
    </row>
    <row r="5318" hidden="1">
      <c r="A5318" s="5" t="s">
        <v>13733</v>
      </c>
      <c r="B5318" s="2" t="s">
        <v>13734</v>
      </c>
      <c r="C5318" s="2" t="s">
        <v>13734</v>
      </c>
      <c r="D5318" s="4" t="str">
        <f>vlookup(A5318, Sheet2!D:E, 2, 0)</f>
        <v>control</v>
      </c>
      <c r="E5318" s="4" t="str">
        <f>IFERROR(__xludf.DUMMYFUNCTION("if(H5318=""pays"",vlookup(REGEXEXTRACT(C5318, ""🏘️ \w+ \w+ (.*) ✅""),'Country prepositions'!A:B, 2, 0) &amp; "" "" &amp; REGEXEXTRACT(C5318, ""🏘️ \w+ \w+ (.*) ✅"") ,  if(H5318=""quartier"",vlookup(REGEXEXTRACT(C5318, ""🏘️ \w+ \w+ (.*) ✅""),'Quartier prepositio"&amp;"ns'!A:E, 5, 0) ,  if(H5318=""region"",vlookup(REGEXEXTRACT(C5318, ""🏘️ \w+ \w+ (.*) ✅""),'Region prepositions'!B:F, 5, 0),  REGEXEXTRACT(C5318, ""🏘️ \w+ \w+ (.*) ✅""))))"),"#N/A")</f>
        <v>#N/A</v>
      </c>
      <c r="I5318" s="4" t="str">
        <f>IFERROR(__xludf.DUMMYFUNCTION("if(D5318=""variant"",  substitute(filter(Templates!E:E, Templates!A:A = F5318, Templates!B:B = G5318, Templates!C:C = H5318), ""{{}}"", E5318), B5318)"),"Louer maison Kestenholz: Trouvez le bien immobilier qui correspond idéalement à vos désirs sur ImmoScout24 - La plateforme de l'immobilier en Suisse.")</f>
        <v>Louer maison Kestenholz: Trouvez le bien immobilier qui correspond idéalement à vos désirs sur ImmoScout24 - La plateforme de l'immobilier en Suisse.</v>
      </c>
    </row>
    <row r="5319" hidden="1">
      <c r="A5319" s="5" t="s">
        <v>13735</v>
      </c>
      <c r="B5319" s="2" t="s">
        <v>13197</v>
      </c>
      <c r="C5319" s="2" t="s">
        <v>13197</v>
      </c>
      <c r="D5319" s="4" t="str">
        <f>vlookup(A5319, Sheet2!D:E, 2, 0)</f>
        <v>control</v>
      </c>
      <c r="E5319" s="4" t="str">
        <f>IFERROR(__xludf.DUMMYFUNCTION("if(H5319=""pays"",vlookup(REGEXEXTRACT(C5319, ""🏘️ \w+ \w+ (.*) ✅""),'Country prepositions'!A:B, 2, 0) &amp; "" "" &amp; REGEXEXTRACT(C5319, ""🏘️ \w+ \w+ (.*) ✅"") ,  if(H5319=""quartier"",vlookup(REGEXEXTRACT(C5319, ""🏘️ \w+ \w+ (.*) ✅""),'Quartier prepositio"&amp;"ns'!A:E, 5, 0) ,  if(H5319=""region"",vlookup(REGEXEXTRACT(C5319, ""🏘️ \w+ \w+ (.*) ✅""),'Region prepositions'!B:F, 5, 0),  REGEXEXTRACT(C5319, ""🏘️ \w+ \w+ (.*) ✅""))))"),"#N/A")</f>
        <v>#N/A</v>
      </c>
      <c r="I5319" s="4" t="str">
        <f>IFERROR(__xludf.DUMMYFUNCTION("if(D5319=""variant"",  substitute(filter(Templates!E:E, Templates!A:A = F5319, Templates!B:B = G5319, Templates!C:C = H5319), ""{{}}"", E5319), B5319)"),"Louer maison Delémont: Trouvez le bien immobilier qui correspond idéalement à vos désirs sur ImmoScout24 - La plateforme de l'immobilier en Suisse.")</f>
        <v>Louer maison Delémont: Trouvez le bien immobilier qui correspond idéalement à vos désirs sur ImmoScout24 - La plateforme de l'immobilier en Suisse.</v>
      </c>
    </row>
    <row r="5320" hidden="1">
      <c r="A5320" s="5" t="s">
        <v>13736</v>
      </c>
      <c r="B5320" s="2" t="s">
        <v>13737</v>
      </c>
      <c r="C5320" s="2" t="s">
        <v>13737</v>
      </c>
      <c r="D5320" s="4" t="str">
        <f>vlookup(A5320, Sheet2!D:E, 2, 0)</f>
        <v>control</v>
      </c>
      <c r="E5320" s="4" t="str">
        <f>IFERROR(__xludf.DUMMYFUNCTION("if(H5320=""pays"",vlookup(REGEXEXTRACT(C5320, ""🏘️ \w+ \w+ (.*) ✅""),'Country prepositions'!A:B, 2, 0) &amp; "" "" &amp; REGEXEXTRACT(C5320, ""🏘️ \w+ \w+ (.*) ✅"") ,  if(H5320=""quartier"",vlookup(REGEXEXTRACT(C5320, ""🏘️ \w+ \w+ (.*) ✅""),'Quartier prepositio"&amp;"ns'!A:E, 5, 0) ,  if(H5320=""region"",vlookup(REGEXEXTRACT(C5320, ""🏘️ \w+ \w+ (.*) ✅""),'Region prepositions'!B:F, 5, 0),  REGEXEXTRACT(C5320, ""🏘️ \w+ \w+ (.*) ✅""))))"),"#N/A")</f>
        <v>#N/A</v>
      </c>
      <c r="I5320" s="4" t="str">
        <f>IFERROR(__xludf.DUMMYFUNCTION("if(D5320=""variant"",  substitute(filter(Templates!E:E, Templates!A:A = F5320, Templates!B:B = G5320, Templates!C:C = H5320), ""{{}}"", E5320), B5320)"),"Vendre appartement Charmilles - Châtelaine (Genève): Trouvez le bien immobilier qui correspond idéalement à vos désirs sur ImmoScout24 - La plateforme de l'immobilier en Suisse.")</f>
        <v>Vendre appartement Charmilles - Châtelaine (Genève): Trouvez le bien immobilier qui correspond idéalement à vos désirs sur ImmoScout24 - La plateforme de l'immobilier en Suisse.</v>
      </c>
    </row>
    <row r="5321" hidden="1">
      <c r="A5321" s="5" t="s">
        <v>13738</v>
      </c>
      <c r="B5321" s="2" t="s">
        <v>13739</v>
      </c>
      <c r="C5321" s="2" t="s">
        <v>13739</v>
      </c>
      <c r="D5321" s="4" t="str">
        <f>vlookup(A5321, Sheet2!D:E, 2, 0)</f>
        <v>control</v>
      </c>
      <c r="E5321" s="4" t="str">
        <f>IFERROR(__xludf.DUMMYFUNCTION("if(H5321=""pays"",vlookup(REGEXEXTRACT(C5321, ""🏘️ \w+ \w+ (.*) ✅""),'Country prepositions'!A:B, 2, 0) &amp; "" "" &amp; REGEXEXTRACT(C5321, ""🏘️ \w+ \w+ (.*) ✅"") ,  if(H5321=""quartier"",vlookup(REGEXEXTRACT(C5321, ""🏘️ \w+ \w+ (.*) ✅""),'Quartier prepositio"&amp;"ns'!A:E, 5, 0) ,  if(H5321=""region"",vlookup(REGEXEXTRACT(C5321, ""🏘️ \w+ \w+ (.*) ✅""),'Region prepositions'!B:F, 5, 0),  REGEXEXTRACT(C5321, ""🏘️ \w+ \w+ (.*) ✅""))))"),"#N/A")</f>
        <v>#N/A</v>
      </c>
      <c r="I5321" s="4" t="str">
        <f>IFERROR(__xludf.DUMMYFUNCTION("if(D5321=""variant"",  substitute(filter(Templates!E:E, Templates!A:A = F5321, Templates!B:B = G5321, Templates!C:C = H5321), ""{{}}"", E5321), B5321)"),"Louer appartement Undervelier: Trouvez le bien immobilier qui correspond idéalement à vos désirs sur ImmoScout24 - La plateforme de l'immobilier en Suisse.")</f>
        <v>Louer appartement Undervelier: Trouvez le bien immobilier qui correspond idéalement à vos désirs sur ImmoScout24 - La plateforme de l'immobilier en Suisse.</v>
      </c>
    </row>
    <row r="5322" hidden="1">
      <c r="A5322" s="5" t="s">
        <v>13740</v>
      </c>
      <c r="B5322" s="2" t="s">
        <v>13741</v>
      </c>
      <c r="C5322" s="2" t="s">
        <v>13741</v>
      </c>
      <c r="D5322" s="4" t="str">
        <f>vlookup(A5322, Sheet2!D:E, 2, 0)</f>
        <v>control</v>
      </c>
      <c r="E5322" s="4" t="str">
        <f>IFERROR(__xludf.DUMMYFUNCTION("if(H5322=""pays"",vlookup(REGEXEXTRACT(C5322, ""🏘️ \w+ \w+ (.*) ✅""),'Country prepositions'!A:B, 2, 0) &amp; "" "" &amp; REGEXEXTRACT(C5322, ""🏘️ \w+ \w+ (.*) ✅"") ,  if(H5322=""quartier"",vlookup(REGEXEXTRACT(C5322, ""🏘️ \w+ \w+ (.*) ✅""),'Quartier prepositio"&amp;"ns'!A:E, 5, 0) ,  if(H5322=""region"",vlookup(REGEXEXTRACT(C5322, ""🏘️ \w+ \w+ (.*) ✅""),'Region prepositions'!B:F, 5, 0),  REGEXEXTRACT(C5322, ""🏘️ \w+ \w+ (.*) ✅""))))"),"#N/A")</f>
        <v>#N/A</v>
      </c>
      <c r="I5322" s="4" t="str">
        <f>IFERROR(__xludf.DUMMYFUNCTION("if(D5322=""variant"",  substitute(filter(Templates!E:E, Templates!A:A = F5322, Templates!B:B = G5322, Templates!C:C = H5322), ""{{}}"", E5322), B5322)"),"Vendre appartement Paudex: Trouvez le bien immobilier qui correspond idéalement à vos désirs sur ImmoScout24 - La plateforme de l'immobilier en Suisse.")</f>
        <v>Vendre appartement Paudex: Trouvez le bien immobilier qui correspond idéalement à vos désirs sur ImmoScout24 - La plateforme de l'immobilier en Suisse.</v>
      </c>
    </row>
    <row r="5323" hidden="1">
      <c r="A5323" s="5" t="s">
        <v>13742</v>
      </c>
      <c r="B5323" s="2" t="s">
        <v>13743</v>
      </c>
      <c r="C5323" s="2" t="s">
        <v>13743</v>
      </c>
      <c r="D5323" s="4" t="str">
        <f>vlookup(A5323, Sheet2!D:E, 2, 0)</f>
        <v>control</v>
      </c>
      <c r="E5323" s="4" t="str">
        <f>IFERROR(__xludf.DUMMYFUNCTION("if(H5323=""pays"",vlookup(REGEXEXTRACT(C5323, ""🏘️ \w+ \w+ (.*) ✅""),'Country prepositions'!A:B, 2, 0) &amp; "" "" &amp; REGEXEXTRACT(C5323, ""🏘️ \w+ \w+ (.*) ✅"") ,  if(H5323=""quartier"",vlookup(REGEXEXTRACT(C5323, ""🏘️ \w+ \w+ (.*) ✅""),'Quartier prepositio"&amp;"ns'!A:E, 5, 0) ,  if(H5323=""region"",vlookup(REGEXEXTRACT(C5323, ""🏘️ \w+ \w+ (.*) ✅""),'Region prepositions'!B:F, 5, 0),  REGEXEXTRACT(C5323, ""🏘️ \w+ \w+ (.*) ✅""))))"),"#N/A")</f>
        <v>#N/A</v>
      </c>
      <c r="I5323" s="4" t="str">
        <f>IFERROR(__xludf.DUMMYFUNCTION("if(D5323=""variant"",  substitute(filter(Templates!E:E, Templates!A:A = F5323, Templates!B:B = G5323, Templates!C:C = H5323), ""{{}}"", E5323), B5323)"),"Vendre maison Les Rasses: Trouvez le bien immobilier qui correspond idéalement à vos désirs sur ImmoScout24 - La plateforme de l'immobilier en Suisse.")</f>
        <v>Vendre maison Les Rasses: Trouvez le bien immobilier qui correspond idéalement à vos désirs sur ImmoScout24 - La plateforme de l'immobilier en Suisse.</v>
      </c>
    </row>
    <row r="5324" hidden="1">
      <c r="A5324" s="5" t="s">
        <v>13744</v>
      </c>
      <c r="B5324" s="2" t="s">
        <v>13745</v>
      </c>
      <c r="C5324" s="2" t="s">
        <v>13745</v>
      </c>
      <c r="D5324" s="4" t="str">
        <f>vlookup(A5324, Sheet2!D:E, 2, 0)</f>
        <v>control</v>
      </c>
      <c r="E5324" s="4" t="str">
        <f>IFERROR(__xludf.DUMMYFUNCTION("if(H5324=""pays"",vlookup(REGEXEXTRACT(C5324, ""🏘️ \w+ \w+ (.*) ✅""),'Country prepositions'!A:B, 2, 0) &amp; "" "" &amp; REGEXEXTRACT(C5324, ""🏘️ \w+ \w+ (.*) ✅"") ,  if(H5324=""quartier"",vlookup(REGEXEXTRACT(C5324, ""🏘️ \w+ \w+ (.*) ✅""),'Quartier prepositio"&amp;"ns'!A:E, 5, 0) ,  if(H5324=""region"",vlookup(REGEXEXTRACT(C5324, ""🏘️ \w+ \w+ (.*) ✅""),'Region prepositions'!B:F, 5, 0),  REGEXEXTRACT(C5324, ""🏘️ \w+ \w+ (.*) ✅""))))"),"#N/A")</f>
        <v>#N/A</v>
      </c>
      <c r="I5324" s="4" t="str">
        <f>IFERROR(__xludf.DUMMYFUNCTION("if(D5324=""variant"",  substitute(filter(Templates!E:E, Templates!A:A = F5324, Templates!B:B = G5324, Templates!C:C = H5324), ""{{}}"", E5324), B5324)"),"Louer appartement Broc: Trouvez le bien immobilier qui correspond idéalement à vos désirs sur ImmoScout24 - La plateforme de l'immobilier en Suisse.")</f>
        <v>Louer appartement Broc: Trouvez le bien immobilier qui correspond idéalement à vos désirs sur ImmoScout24 - La plateforme de l'immobilier en Suisse.</v>
      </c>
    </row>
    <row r="5325" hidden="1">
      <c r="A5325" s="5" t="s">
        <v>13746</v>
      </c>
      <c r="B5325" s="2" t="s">
        <v>13747</v>
      </c>
      <c r="C5325" s="2" t="s">
        <v>13747</v>
      </c>
      <c r="D5325" s="4" t="str">
        <f>vlookup(A5325, Sheet2!D:E, 2, 0)</f>
        <v>control</v>
      </c>
      <c r="E5325" s="4" t="str">
        <f>IFERROR(__xludf.DUMMYFUNCTION("if(H5325=""pays"",vlookup(REGEXEXTRACT(C5325, ""🏘️ \w+ \w+ (.*) ✅""),'Country prepositions'!A:B, 2, 0) &amp; "" "" &amp; REGEXEXTRACT(C5325, ""🏘️ \w+ \w+ (.*) ✅"") ,  if(H5325=""quartier"",vlookup(REGEXEXTRACT(C5325, ""🏘️ \w+ \w+ (.*) ✅""),'Quartier prepositio"&amp;"ns'!A:E, 5, 0) ,  if(H5325=""region"",vlookup(REGEXEXTRACT(C5325, ""🏘️ \w+ \w+ (.*) ✅""),'Region prepositions'!B:F, 5, 0),  REGEXEXTRACT(C5325, ""🏘️ \w+ \w+ (.*) ✅""))))"),"#N/A")</f>
        <v>#N/A</v>
      </c>
      <c r="I5325" s="4" t="str">
        <f>IFERROR(__xludf.DUMMYFUNCTION("if(D5325=""variant"",  substitute(filter(Templates!E:E, Templates!A:A = F5325, Templates!B:B = G5325, Templates!C:C = H5325), ""{{}}"", E5325), B5325)"),"Vendre appartement Littoral Neuchâtelois: Trouvez le bien immobilier qui correspond idéalement à vos désirs sur ImmoScout24 - La plateforme de l'immobilier en Suisse.")</f>
        <v>Vendre appartement Littoral Neuchâtelois: Trouvez le bien immobilier qui correspond idéalement à vos désirs sur ImmoScout24 - La plateforme de l'immobilier en Suisse.</v>
      </c>
    </row>
    <row r="5326" hidden="1">
      <c r="A5326" s="5" t="s">
        <v>13748</v>
      </c>
      <c r="B5326" s="2" t="s">
        <v>13749</v>
      </c>
      <c r="C5326" s="2" t="s">
        <v>13749</v>
      </c>
      <c r="D5326" s="4" t="str">
        <f>vlookup(A5326, Sheet2!D:E, 2, 0)</f>
        <v>control</v>
      </c>
      <c r="E5326" s="4" t="str">
        <f>IFERROR(__xludf.DUMMYFUNCTION("if(H5326=""pays"",vlookup(REGEXEXTRACT(C5326, ""🏘️ \w+ \w+ (.*) ✅""),'Country prepositions'!A:B, 2, 0) &amp; "" "" &amp; REGEXEXTRACT(C5326, ""🏘️ \w+ \w+ (.*) ✅"") ,  if(H5326=""quartier"",vlookup(REGEXEXTRACT(C5326, ""🏘️ \w+ \w+ (.*) ✅""),'Quartier prepositio"&amp;"ns'!A:E, 5, 0) ,  if(H5326=""region"",vlookup(REGEXEXTRACT(C5326, ""🏘️ \w+ \w+ (.*) ✅""),'Region prepositions'!B:F, 5, 0),  REGEXEXTRACT(C5326, ""🏘️ \w+ \w+ (.*) ✅""))))"),"#N/A")</f>
        <v>#N/A</v>
      </c>
      <c r="I5326" s="4" t="str">
        <f>IFERROR(__xludf.DUMMYFUNCTION("if(D5326=""variant"",  substitute(filter(Templates!E:E, Templates!A:A = F5326, Templates!B:B = G5326, Templates!C:C = H5326), ""{{}}"", E5326), B5326)"),"Louer appartement Frick: Trouvez le bien immobilier qui correspond idéalement à vos désirs sur ImmoScout24 - La plateforme de l'immobilier en Suisse.")</f>
        <v>Louer appartement Frick: Trouvez le bien immobilier qui correspond idéalement à vos désirs sur ImmoScout24 - La plateforme de l'immobilier en Suisse.</v>
      </c>
    </row>
    <row r="5327" hidden="1">
      <c r="A5327" s="5" t="s">
        <v>13750</v>
      </c>
      <c r="B5327" s="2" t="s">
        <v>13751</v>
      </c>
      <c r="C5327" s="2" t="s">
        <v>13751</v>
      </c>
      <c r="D5327" s="4" t="str">
        <f>vlookup(A5327, Sheet2!D:E, 2, 0)</f>
        <v>control</v>
      </c>
      <c r="E5327" s="4" t="str">
        <f>IFERROR(__xludf.DUMMYFUNCTION("if(H5327=""pays"",vlookup(REGEXEXTRACT(C5327, ""🏘️ \w+ \w+ (.*) ✅""),'Country prepositions'!A:B, 2, 0) &amp; "" "" &amp; REGEXEXTRACT(C5327, ""🏘️ \w+ \w+ (.*) ✅"") ,  if(H5327=""quartier"",vlookup(REGEXEXTRACT(C5327, ""🏘️ \w+ \w+ (.*) ✅""),'Quartier prepositio"&amp;"ns'!A:E, 5, 0) ,  if(H5327=""region"",vlookup(REGEXEXTRACT(C5327, ""🏘️ \w+ \w+ (.*) ✅""),'Region prepositions'!B:F, 5, 0),  REGEXEXTRACT(C5327, ""🏘️ \w+ \w+ (.*) ✅""))))"),"#N/A")</f>
        <v>#N/A</v>
      </c>
      <c r="I5327" s="4" t="str">
        <f>IFERROR(__xludf.DUMMYFUNCTION("if(D5327=""variant"",  substitute(filter(Templates!E:E, Templates!A:A = F5327, Templates!B:B = G5327, Templates!C:C = H5327), ""{{}}"", E5327), B5327)"),"Vendre maison Boveresse: Trouvez le bien immobilier qui correspond idéalement à vos désirs sur ImmoScout24 - La plateforme de l'immobilier en Suisse.")</f>
        <v>Vendre maison Boveresse: Trouvez le bien immobilier qui correspond idéalement à vos désirs sur ImmoScout24 - La plateforme de l'immobilier en Suisse.</v>
      </c>
    </row>
    <row r="5328" hidden="1">
      <c r="A5328" s="5" t="s">
        <v>13752</v>
      </c>
      <c r="B5328" s="2" t="s">
        <v>13753</v>
      </c>
      <c r="C5328" s="2" t="s">
        <v>13753</v>
      </c>
      <c r="D5328" s="4" t="str">
        <f>vlookup(A5328, Sheet2!D:E, 2, 0)</f>
        <v>control</v>
      </c>
      <c r="E5328" s="4" t="str">
        <f>IFERROR(__xludf.DUMMYFUNCTION("if(H5328=""pays"",vlookup(REGEXEXTRACT(C5328, ""🏘️ \w+ \w+ (.*) ✅""),'Country prepositions'!A:B, 2, 0) &amp; "" "" &amp; REGEXEXTRACT(C5328, ""🏘️ \w+ \w+ (.*) ✅"") ,  if(H5328=""quartier"",vlookup(REGEXEXTRACT(C5328, ""🏘️ \w+ \w+ (.*) ✅""),'Quartier prepositio"&amp;"ns'!A:E, 5, 0) ,  if(H5328=""region"",vlookup(REGEXEXTRACT(C5328, ""🏘️ \w+ \w+ (.*) ✅""),'Region prepositions'!B:F, 5, 0),  REGEXEXTRACT(C5328, ""🏘️ \w+ \w+ (.*) ✅""))))"),"#N/A")</f>
        <v>#N/A</v>
      </c>
      <c r="I5328" s="4" t="str">
        <f>IFERROR(__xludf.DUMMYFUNCTION("if(D5328=""variant"",  substitute(filter(Templates!E:E, Templates!A:A = F5328, Templates!B:B = G5328, Templates!C:C = H5328), ""{{}}"", E5328), B5328)"),"Louer appartement St-Léonard: Trouvez le bien immobilier qui correspond idéalement à vos désirs sur ImmoScout24 - La plateforme de l'immobilier en Suisse.")</f>
        <v>Louer appartement St-Léonard: Trouvez le bien immobilier qui correspond idéalement à vos désirs sur ImmoScout24 - La plateforme de l'immobilier en Suisse.</v>
      </c>
    </row>
    <row r="5329" hidden="1">
      <c r="A5329" s="5" t="s">
        <v>13754</v>
      </c>
      <c r="B5329" s="2" t="s">
        <v>13755</v>
      </c>
      <c r="C5329" s="2" t="s">
        <v>13755</v>
      </c>
      <c r="D5329" s="4" t="str">
        <f>vlookup(A5329, Sheet2!D:E, 2, 0)</f>
        <v>control</v>
      </c>
      <c r="E5329" s="4" t="str">
        <f>IFERROR(__xludf.DUMMYFUNCTION("if(H5329=""pays"",vlookup(REGEXEXTRACT(C5329, ""🏘️ \w+ \w+ (.*) ✅""),'Country prepositions'!A:B, 2, 0) &amp; "" "" &amp; REGEXEXTRACT(C5329, ""🏘️ \w+ \w+ (.*) ✅"") ,  if(H5329=""quartier"",vlookup(REGEXEXTRACT(C5329, ""🏘️ \w+ \w+ (.*) ✅""),'Quartier prepositio"&amp;"ns'!A:E, 5, 0) ,  if(H5329=""region"",vlookup(REGEXEXTRACT(C5329, ""🏘️ \w+ \w+ (.*) ✅""),'Region prepositions'!B:F, 5, 0),  REGEXEXTRACT(C5329, ""🏘️ \w+ \w+ (.*) ✅""))))"),"#N/A")</f>
        <v>#N/A</v>
      </c>
      <c r="I5329" s="4" t="str">
        <f>IFERROR(__xludf.DUMMYFUNCTION("if(D5329=""variant"",  substitute(filter(Templates!E:E, Templates!A:A = F5329, Templates!B:B = G5329, Templates!C:C = H5329), ""{{}}"", E5329), B5329)"),"Vendre maison Villars-sur-Ollon: Trouvez le bien immobilier qui correspond idéalement à vos désirs sur ImmoScout24 - La plateforme de l'immobilier en Suisse.")</f>
        <v>Vendre maison Villars-sur-Ollon: Trouvez le bien immobilier qui correspond idéalement à vos désirs sur ImmoScout24 - La plateforme de l'immobilier en Suisse.</v>
      </c>
    </row>
    <row r="5330" hidden="1">
      <c r="A5330" s="5" t="s">
        <v>13756</v>
      </c>
      <c r="B5330" s="2" t="s">
        <v>13757</v>
      </c>
      <c r="C5330" s="2" t="s">
        <v>13757</v>
      </c>
      <c r="D5330" s="4" t="str">
        <f>vlookup(A5330, Sheet2!D:E, 2, 0)</f>
        <v>control</v>
      </c>
      <c r="E5330" s="4" t="str">
        <f>IFERROR(__xludf.DUMMYFUNCTION("if(H5330=""pays"",vlookup(REGEXEXTRACT(C5330, ""🏘️ \w+ \w+ (.*) ✅""),'Country prepositions'!A:B, 2, 0) &amp; "" "" &amp; REGEXEXTRACT(C5330, ""🏘️ \w+ \w+ (.*) ✅"") ,  if(H5330=""quartier"",vlookup(REGEXEXTRACT(C5330, ""🏘️ \w+ \w+ (.*) ✅""),'Quartier prepositio"&amp;"ns'!A:E, 5, 0) ,  if(H5330=""region"",vlookup(REGEXEXTRACT(C5330, ""🏘️ \w+ \w+ (.*) ✅""),'Region prepositions'!B:F, 5, 0),  REGEXEXTRACT(C5330, ""🏘️ \w+ \w+ (.*) ✅""))))"),"#N/A")</f>
        <v>#N/A</v>
      </c>
      <c r="I5330" s="4" t="str">
        <f>IFERROR(__xludf.DUMMYFUNCTION("if(D5330=""variant"",  substitute(filter(Templates!E:E, Templates!A:A = F5330, Templates!B:B = G5330, Templates!C:C = H5330), ""{{}}"", E5330), B5330)"),"Louer appartement Rosenberg (St-Gall): Trouvez le bien immobilier qui correspond idéalement à vos désirs sur ImmoScout24 - La plateforme de l'immobilier en Suisse.")</f>
        <v>Louer appartement Rosenberg (St-Gall): Trouvez le bien immobilier qui correspond idéalement à vos désirs sur ImmoScout24 - La plateforme de l'immobilier en Suisse.</v>
      </c>
    </row>
    <row r="5331" hidden="1">
      <c r="A5331" s="5" t="s">
        <v>13758</v>
      </c>
      <c r="B5331" s="2" t="s">
        <v>13759</v>
      </c>
      <c r="C5331" s="2" t="s">
        <v>13759</v>
      </c>
      <c r="D5331" s="4" t="str">
        <f>vlookup(A5331, Sheet2!D:E, 2, 0)</f>
        <v>control</v>
      </c>
      <c r="E5331" s="4" t="str">
        <f>IFERROR(__xludf.DUMMYFUNCTION("if(H5331=""pays"",vlookup(REGEXEXTRACT(C5331, ""🏘️ \w+ \w+ (.*) ✅""),'Country prepositions'!A:B, 2, 0) &amp; "" "" &amp; REGEXEXTRACT(C5331, ""🏘️ \w+ \w+ (.*) ✅"") ,  if(H5331=""quartier"",vlookup(REGEXEXTRACT(C5331, ""🏘️ \w+ \w+ (.*) ✅""),'Quartier prepositio"&amp;"ns'!A:E, 5, 0) ,  if(H5331=""region"",vlookup(REGEXEXTRACT(C5331, ""🏘️ \w+ \w+ (.*) ✅""),'Region prepositions'!B:F, 5, 0),  REGEXEXTRACT(C5331, ""🏘️ \w+ \w+ (.*) ✅""))))"),"#N/A")</f>
        <v>#N/A</v>
      </c>
      <c r="I5331" s="4" t="str">
        <f>IFERROR(__xludf.DUMMYFUNCTION("if(D5331=""variant"",  substitute(filter(Templates!E:E, Templates!A:A = F5331, Templates!B:B = G5331, Templates!C:C = H5331), ""{{}}"", E5331), B5331)"),"Vendre maison St-Oyens: Trouvez le bien immobilier qui correspond idéalement à vos désirs sur ImmoScout24 - La plateforme de l'immobilier en Suisse.")</f>
        <v>Vendre maison St-Oyens: Trouvez le bien immobilier qui correspond idéalement à vos désirs sur ImmoScout24 - La plateforme de l'immobilier en Suisse.</v>
      </c>
    </row>
    <row r="5332" hidden="1">
      <c r="A5332" s="5" t="s">
        <v>13760</v>
      </c>
      <c r="B5332" s="2" t="s">
        <v>13761</v>
      </c>
      <c r="C5332" s="2" t="s">
        <v>13761</v>
      </c>
      <c r="D5332" s="4" t="str">
        <f>vlookup(A5332, Sheet2!D:E, 2, 0)</f>
        <v>control</v>
      </c>
      <c r="E5332" s="4" t="str">
        <f>IFERROR(__xludf.DUMMYFUNCTION("if(H5332=""pays"",vlookup(REGEXEXTRACT(C5332, ""🏘️ \w+ \w+ (.*) ✅""),'Country prepositions'!A:B, 2, 0) &amp; "" "" &amp; REGEXEXTRACT(C5332, ""🏘️ \w+ \w+ (.*) ✅"") ,  if(H5332=""quartier"",vlookup(REGEXEXTRACT(C5332, ""🏘️ \w+ \w+ (.*) ✅""),'Quartier prepositio"&amp;"ns'!A:E, 5, 0) ,  if(H5332=""region"",vlookup(REGEXEXTRACT(C5332, ""🏘️ \w+ \w+ (.*) ✅""),'Region prepositions'!B:F, 5, 0),  REGEXEXTRACT(C5332, ""🏘️ \w+ \w+ (.*) ✅""))))"),"#N/A")</f>
        <v>#N/A</v>
      </c>
      <c r="I5332" s="4" t="str">
        <f>IFERROR(__xludf.DUMMYFUNCTION("if(D5332=""variant"",  substitute(filter(Templates!E:E, Templates!A:A = F5332, Templates!B:B = G5332, Templates!C:C = H5332), ""{{}}"", E5332), B5332)"),"Louer appartement Laupen BE: Trouvez le bien immobilier qui correspond idéalement à vos désirs sur ImmoScout24 - La plateforme de l'immobilier en Suisse.")</f>
        <v>Louer appartement Laupen BE: Trouvez le bien immobilier qui correspond idéalement à vos désirs sur ImmoScout24 - La plateforme de l'immobilier en Suisse.</v>
      </c>
    </row>
    <row r="5333" hidden="1">
      <c r="A5333" s="5" t="s">
        <v>13762</v>
      </c>
      <c r="B5333" s="2" t="s">
        <v>13763</v>
      </c>
      <c r="C5333" s="2" t="s">
        <v>13763</v>
      </c>
      <c r="D5333" s="4" t="str">
        <f>vlookup(A5333, Sheet2!D:E, 2, 0)</f>
        <v>control</v>
      </c>
      <c r="E5333" s="4" t="str">
        <f>IFERROR(__xludf.DUMMYFUNCTION("if(H5333=""pays"",vlookup(REGEXEXTRACT(C5333, ""🏘️ \w+ \w+ (.*) ✅""),'Country prepositions'!A:B, 2, 0) &amp; "" "" &amp; REGEXEXTRACT(C5333, ""🏘️ \w+ \w+ (.*) ✅"") ,  if(H5333=""quartier"",vlookup(REGEXEXTRACT(C5333, ""🏘️ \w+ \w+ (.*) ✅""),'Quartier prepositio"&amp;"ns'!A:E, 5, 0) ,  if(H5333=""region"",vlookup(REGEXEXTRACT(C5333, ""🏘️ \w+ \w+ (.*) ✅""),'Region prepositions'!B:F, 5, 0),  REGEXEXTRACT(C5333, ""🏘️ \w+ \w+ (.*) ✅""))))"),"#N/A")</f>
        <v>#N/A</v>
      </c>
      <c r="I5333" s="4" t="str">
        <f>IFERROR(__xludf.DUMMYFUNCTION("if(D5333=""variant"",  substitute(filter(Templates!E:E, Templates!A:A = F5333, Templates!B:B = G5333, Templates!C:C = H5333), ""{{}}"", E5333), B5333)"),"Louer maison Aadorf: Trouvez le bien immobilier qui correspond idéalement à vos désirs sur ImmoScout24 - La plateforme de l'immobilier en Suisse.")</f>
        <v>Louer maison Aadorf: Trouvez le bien immobilier qui correspond idéalement à vos désirs sur ImmoScout24 - La plateforme de l'immobilier en Suisse.</v>
      </c>
    </row>
    <row r="5334" hidden="1">
      <c r="A5334" s="5" t="s">
        <v>13764</v>
      </c>
      <c r="B5334" s="2" t="s">
        <v>13765</v>
      </c>
      <c r="C5334" s="2" t="s">
        <v>13765</v>
      </c>
      <c r="D5334" s="4" t="str">
        <f>vlookup(A5334, Sheet2!D:E, 2, 0)</f>
        <v>control</v>
      </c>
      <c r="E5334" s="4" t="str">
        <f>IFERROR(__xludf.DUMMYFUNCTION("if(H5334=""pays"",vlookup(REGEXEXTRACT(C5334, ""🏘️ \w+ \w+ (.*) ✅""),'Country prepositions'!A:B, 2, 0) &amp; "" "" &amp; REGEXEXTRACT(C5334, ""🏘️ \w+ \w+ (.*) ✅"") ,  if(H5334=""quartier"",vlookup(REGEXEXTRACT(C5334, ""🏘️ \w+ \w+ (.*) ✅""),'Quartier prepositio"&amp;"ns'!A:E, 5, 0) ,  if(H5334=""region"",vlookup(REGEXEXTRACT(C5334, ""🏘️ \w+ \w+ (.*) ✅""),'Region prepositions'!B:F, 5, 0),  REGEXEXTRACT(C5334, ""🏘️ \w+ \w+ (.*) ✅""))))"),"#N/A")</f>
        <v>#N/A</v>
      </c>
      <c r="I5334" s="4" t="str">
        <f>IFERROR(__xludf.DUMMYFUNCTION("if(D5334=""variant"",  substitute(filter(Templates!E:E, Templates!A:A = F5334, Templates!B:B = G5334, Templates!C:C = H5334), ""{{}}"", E5334), B5334)"),"Vendre maison Grono: Trouvez le bien immobilier qui correspond idéalement à vos désirs sur ImmoScout24 - La plateforme de l'immobilier en Suisse.")</f>
        <v>Vendre maison Grono: Trouvez le bien immobilier qui correspond idéalement à vos désirs sur ImmoScout24 - La plateforme de l'immobilier en Suisse.</v>
      </c>
    </row>
    <row r="5335" hidden="1">
      <c r="A5335" s="5" t="s">
        <v>13766</v>
      </c>
      <c r="B5335" s="2" t="s">
        <v>13767</v>
      </c>
      <c r="C5335" s="2" t="s">
        <v>13767</v>
      </c>
      <c r="D5335" s="4" t="str">
        <f>vlookup(A5335, Sheet2!D:E, 2, 0)</f>
        <v>control</v>
      </c>
      <c r="E5335" s="4" t="str">
        <f>IFERROR(__xludf.DUMMYFUNCTION("if(H5335=""pays"",vlookup(REGEXEXTRACT(C5335, ""🏘️ \w+ \w+ (.*) ✅""),'Country prepositions'!A:B, 2, 0) &amp; "" "" &amp; REGEXEXTRACT(C5335, ""🏘️ \w+ \w+ (.*) ✅"") ,  if(H5335=""quartier"",vlookup(REGEXEXTRACT(C5335, ""🏘️ \w+ \w+ (.*) ✅""),'Quartier prepositio"&amp;"ns'!A:E, 5, 0) ,  if(H5335=""region"",vlookup(REGEXEXTRACT(C5335, ""🏘️ \w+ \w+ (.*) ✅""),'Region prepositions'!B:F, 5, 0),  REGEXEXTRACT(C5335, ""🏘️ \w+ \w+ (.*) ✅""))))"),"#N/A")</f>
        <v>#N/A</v>
      </c>
      <c r="I5335" s="4" t="str">
        <f>IFERROR(__xludf.DUMMYFUNCTION("if(D5335=""variant"",  substitute(filter(Templates!E:E, Templates!A:A = F5335, Templates!B:B = G5335, Templates!C:C = H5335), ""{{}}"", E5335), B5335)"),"Vendre maison Canton d'Appenzell RE: Trouvez le bien immobilier qui correspond idéalement à vos désirs sur ImmoScout24 - La plateforme de l'immobilier en Suisse.")</f>
        <v>Vendre maison Canton d'Appenzell RE: Trouvez le bien immobilier qui correspond idéalement à vos désirs sur ImmoScout24 - La plateforme de l'immobilier en Suisse.</v>
      </c>
    </row>
    <row r="5336" hidden="1">
      <c r="A5336" s="5" t="s">
        <v>13768</v>
      </c>
      <c r="B5336" s="2" t="s">
        <v>13769</v>
      </c>
      <c r="C5336" s="2" t="s">
        <v>13769</v>
      </c>
      <c r="D5336" s="4" t="str">
        <f>vlookup(A5336, Sheet2!D:E, 2, 0)</f>
        <v>control</v>
      </c>
      <c r="E5336" s="4" t="str">
        <f>IFERROR(__xludf.DUMMYFUNCTION("if(H5336=""pays"",vlookup(REGEXEXTRACT(C5336, ""🏘️ \w+ \w+ (.*) ✅""),'Country prepositions'!A:B, 2, 0) &amp; "" "" &amp; REGEXEXTRACT(C5336, ""🏘️ \w+ \w+ (.*) ✅"") ,  if(H5336=""quartier"",vlookup(REGEXEXTRACT(C5336, ""🏘️ \w+ \w+ (.*) ✅""),'Quartier prepositio"&amp;"ns'!A:E, 5, 0) ,  if(H5336=""region"",vlookup(REGEXEXTRACT(C5336, ""🏘️ \w+ \w+ (.*) ✅""),'Region prepositions'!B:F, 5, 0),  REGEXEXTRACT(C5336, ""🏘️ \w+ \w+ (.*) ✅""))))"),"#N/A")</f>
        <v>#N/A</v>
      </c>
      <c r="I5336" s="4" t="str">
        <f>IFERROR(__xludf.DUMMYFUNCTION("if(D5336=""variant"",  substitute(filter(Templates!E:E, Templates!A:A = F5336, Templates!B:B = G5336, Templates!C:C = H5336), ""{{}}"", E5336), B5336)"),"Vendre maison Martigny: Trouvez le bien immobilier qui correspond idéalement à vos désirs sur ImmoScout24 - La plateforme de l'immobilier en Suisse.")</f>
        <v>Vendre maison Martigny: Trouvez le bien immobilier qui correspond idéalement à vos désirs sur ImmoScout24 - La plateforme de l'immobilier en Suisse.</v>
      </c>
    </row>
    <row r="5337" hidden="1">
      <c r="A5337" s="5" t="s">
        <v>13770</v>
      </c>
      <c r="B5337" s="2" t="s">
        <v>13771</v>
      </c>
      <c r="C5337" s="2" t="s">
        <v>13771</v>
      </c>
      <c r="D5337" s="4" t="str">
        <f>vlookup(A5337, Sheet2!D:E, 2, 0)</f>
        <v>control</v>
      </c>
      <c r="E5337" s="4" t="str">
        <f>IFERROR(__xludf.DUMMYFUNCTION("if(H5337=""pays"",vlookup(REGEXEXTRACT(C5337, ""🏘️ \w+ \w+ (.*) ✅""),'Country prepositions'!A:B, 2, 0) &amp; "" "" &amp; REGEXEXTRACT(C5337, ""🏘️ \w+ \w+ (.*) ✅"") ,  if(H5337=""quartier"",vlookup(REGEXEXTRACT(C5337, ""🏘️ \w+ \w+ (.*) ✅""),'Quartier prepositio"&amp;"ns'!A:E, 5, 0) ,  if(H5337=""region"",vlookup(REGEXEXTRACT(C5337, ""🏘️ \w+ \w+ (.*) ✅""),'Region prepositions'!B:F, 5, 0),  REGEXEXTRACT(C5337, ""🏘️ \w+ \w+ (.*) ✅""))))"),"#N/A")</f>
        <v>#N/A</v>
      </c>
      <c r="I5337" s="4" t="str">
        <f>IFERROR(__xludf.DUMMYFUNCTION("if(D5337=""variant"",  substitute(filter(Templates!E:E, Templates!A:A = F5337, Templates!B:B = G5337, Templates!C:C = H5337), ""{{}}"", E5337), B5337)"),"Vendre maison Luterbach: Trouvez le bien immobilier qui correspond idéalement à vos désirs sur ImmoScout24 - La plateforme de l'immobilier en Suisse.")</f>
        <v>Vendre maison Luterbach: Trouvez le bien immobilier qui correspond idéalement à vos désirs sur ImmoScout24 - La plateforme de l'immobilier en Suisse.</v>
      </c>
    </row>
    <row r="5338" hidden="1">
      <c r="A5338" s="5" t="s">
        <v>13772</v>
      </c>
      <c r="B5338" s="2" t="s">
        <v>13773</v>
      </c>
      <c r="C5338" s="2" t="s">
        <v>13773</v>
      </c>
      <c r="D5338" s="4" t="str">
        <f>vlookup(A5338, Sheet2!D:E, 2, 0)</f>
        <v>control</v>
      </c>
      <c r="E5338" s="4" t="str">
        <f>IFERROR(__xludf.DUMMYFUNCTION("if(H5338=""pays"",vlookup(REGEXEXTRACT(C5338, ""🏘️ \w+ \w+ (.*) ✅""),'Country prepositions'!A:B, 2, 0) &amp; "" "" &amp; REGEXEXTRACT(C5338, ""🏘️ \w+ \w+ (.*) ✅"") ,  if(H5338=""quartier"",vlookup(REGEXEXTRACT(C5338, ""🏘️ \w+ \w+ (.*) ✅""),'Quartier prepositio"&amp;"ns'!A:E, 5, 0) ,  if(H5338=""region"",vlookup(REGEXEXTRACT(C5338, ""🏘️ \w+ \w+ (.*) ✅""),'Region prepositions'!B:F, 5, 0),  REGEXEXTRACT(C5338, ""🏘️ \w+ \w+ (.*) ✅""))))"),"#N/A")</f>
        <v>#N/A</v>
      </c>
      <c r="I5338" s="4" t="str">
        <f>IFERROR(__xludf.DUMMYFUNCTION("if(D5338=""variant"",  substitute(filter(Templates!E:E, Templates!A:A = F5338, Templates!B:B = G5338, Templates!C:C = H5338), ""{{}}"", E5338), B5338)"),"Louer maison Baden: Trouvez le bien immobilier qui correspond idéalement à vos désirs sur ImmoScout24 - La plateforme de l'immobilier en Suisse.")</f>
        <v>Louer maison Baden: Trouvez le bien immobilier qui correspond idéalement à vos désirs sur ImmoScout24 - La plateforme de l'immobilier en Suisse.</v>
      </c>
    </row>
    <row r="5339" hidden="1">
      <c r="A5339" s="5" t="s">
        <v>13774</v>
      </c>
      <c r="B5339" s="2" t="s">
        <v>13775</v>
      </c>
      <c r="C5339" s="2" t="s">
        <v>13775</v>
      </c>
      <c r="D5339" s="4" t="str">
        <f>vlookup(A5339, Sheet2!D:E, 2, 0)</f>
        <v>control</v>
      </c>
      <c r="E5339" s="4" t="str">
        <f>IFERROR(__xludf.DUMMYFUNCTION("if(H5339=""pays"",vlookup(REGEXEXTRACT(C5339, ""🏘️ \w+ \w+ (.*) ✅""),'Country prepositions'!A:B, 2, 0) &amp; "" "" &amp; REGEXEXTRACT(C5339, ""🏘️ \w+ \w+ (.*) ✅"") ,  if(H5339=""quartier"",vlookup(REGEXEXTRACT(C5339, ""🏘️ \w+ \w+ (.*) ✅""),'Quartier prepositio"&amp;"ns'!A:E, 5, 0) ,  if(H5339=""region"",vlookup(REGEXEXTRACT(C5339, ""🏘️ \w+ \w+ (.*) ✅""),'Region prepositions'!B:F, 5, 0),  REGEXEXTRACT(C5339, ""🏘️ \w+ \w+ (.*) ✅""))))"),"#N/A")</f>
        <v>#N/A</v>
      </c>
      <c r="I5339" s="4" t="str">
        <f>IFERROR(__xludf.DUMMYFUNCTION("if(D5339=""variant"",  substitute(filter(Templates!E:E, Templates!A:A = F5339, Templates!B:B = G5339, Templates!C:C = H5339), ""{{}}"", E5339), B5339)"),"Louer appartement Lavey-les-Bains: Trouvez le bien immobilier qui correspond idéalement à vos désirs sur ImmoScout24 - La plateforme de l'immobilier en Suisse.")</f>
        <v>Louer appartement Lavey-les-Bains: Trouvez le bien immobilier qui correspond idéalement à vos désirs sur ImmoScout24 - La plateforme de l'immobilier en Suisse.</v>
      </c>
    </row>
    <row r="5340" hidden="1">
      <c r="A5340" s="5" t="s">
        <v>13776</v>
      </c>
      <c r="B5340" s="2" t="s">
        <v>13777</v>
      </c>
      <c r="C5340" s="2" t="s">
        <v>13777</v>
      </c>
      <c r="D5340" s="4" t="str">
        <f>vlookup(A5340, Sheet2!D:E, 2, 0)</f>
        <v>control</v>
      </c>
      <c r="E5340" s="4" t="str">
        <f>IFERROR(__xludf.DUMMYFUNCTION("if(H5340=""pays"",vlookup(REGEXEXTRACT(C5340, ""🏘️ \w+ \w+ (.*) ✅""),'Country prepositions'!A:B, 2, 0) &amp; "" "" &amp; REGEXEXTRACT(C5340, ""🏘️ \w+ \w+ (.*) ✅"") ,  if(H5340=""quartier"",vlookup(REGEXEXTRACT(C5340, ""🏘️ \w+ \w+ (.*) ✅""),'Quartier prepositio"&amp;"ns'!A:E, 5, 0) ,  if(H5340=""region"",vlookup(REGEXEXTRACT(C5340, ""🏘️ \w+ \w+ (.*) ✅""),'Region prepositions'!B:F, 5, 0),  REGEXEXTRACT(C5340, ""🏘️ \w+ \w+ (.*) ✅""))))"),"#N/A")</f>
        <v>#N/A</v>
      </c>
      <c r="I5340" s="4" t="str">
        <f>IFERROR(__xludf.DUMMYFUNCTION("if(D5340=""variant"",  substitute(filter(Templates!E:E, Templates!A:A = F5340, Templates!B:B = G5340, Templates!C:C = H5340), ""{{}}"", E5340), B5340)"),"Vendre maison Therwil: Trouvez le bien immobilier qui correspond idéalement à vos désirs sur ImmoScout24 - La plateforme de l'immobilier en Suisse.")</f>
        <v>Vendre maison Therwil: Trouvez le bien immobilier qui correspond idéalement à vos désirs sur ImmoScout24 - La plateforme de l'immobilier en Suisse.</v>
      </c>
    </row>
    <row r="5341" hidden="1">
      <c r="A5341" s="5" t="s">
        <v>13778</v>
      </c>
      <c r="B5341" s="2" t="s">
        <v>13779</v>
      </c>
      <c r="C5341" s="2" t="s">
        <v>13779</v>
      </c>
      <c r="D5341" s="4" t="str">
        <f>vlookup(A5341, Sheet2!D:E, 2, 0)</f>
        <v>control</v>
      </c>
      <c r="E5341" s="4" t="str">
        <f>IFERROR(__xludf.DUMMYFUNCTION("if(H5341=""pays"",vlookup(REGEXEXTRACT(C5341, ""🏘️ \w+ \w+ (.*) ✅""),'Country prepositions'!A:B, 2, 0) &amp; "" "" &amp; REGEXEXTRACT(C5341, ""🏘️ \w+ \w+ (.*) ✅"") ,  if(H5341=""quartier"",vlookup(REGEXEXTRACT(C5341, ""🏘️ \w+ \w+ (.*) ✅""),'Quartier prepositio"&amp;"ns'!A:E, 5, 0) ,  if(H5341=""region"",vlookup(REGEXEXTRACT(C5341, ""🏘️ \w+ \w+ (.*) ✅""),'Region prepositions'!B:F, 5, 0),  REGEXEXTRACT(C5341, ""🏘️ \w+ \w+ (.*) ✅""))))"),"#N/A")</f>
        <v>#N/A</v>
      </c>
      <c r="I5341" s="4" t="str">
        <f>IFERROR(__xludf.DUMMYFUNCTION("if(D5341=""variant"",  substitute(filter(Templates!E:E, Templates!A:A = F5341, Templates!B:B = G5341, Templates!C:C = H5341), ""{{}}"", E5341), B5341)"),"Louer appartement Bourg (Fribourg): Trouvez le bien immobilier qui correspond idéalement à vos désirs sur ImmoScout24 - La plateforme de l'immobilier en Suisse.")</f>
        <v>Louer appartement Bourg (Fribourg): Trouvez le bien immobilier qui correspond idéalement à vos désirs sur ImmoScout24 - La plateforme de l'immobilier en Suisse.</v>
      </c>
    </row>
    <row r="5342" hidden="1">
      <c r="A5342" s="5" t="s">
        <v>13780</v>
      </c>
      <c r="B5342" s="2" t="s">
        <v>13781</v>
      </c>
      <c r="C5342" s="2" t="s">
        <v>13781</v>
      </c>
      <c r="D5342" s="4" t="str">
        <f>vlookup(A5342, Sheet2!D:E, 2, 0)</f>
        <v>control</v>
      </c>
      <c r="E5342" s="4" t="str">
        <f>IFERROR(__xludf.DUMMYFUNCTION("if(H5342=""pays"",vlookup(REGEXEXTRACT(C5342, ""🏘️ \w+ \w+ (.*) ✅""),'Country prepositions'!A:B, 2, 0) &amp; "" "" &amp; REGEXEXTRACT(C5342, ""🏘️ \w+ \w+ (.*) ✅"") ,  if(H5342=""quartier"",vlookup(REGEXEXTRACT(C5342, ""🏘️ \w+ \w+ (.*) ✅""),'Quartier prepositio"&amp;"ns'!A:E, 5, 0) ,  if(H5342=""region"",vlookup(REGEXEXTRACT(C5342, ""🏘️ \w+ \w+ (.*) ✅""),'Region prepositions'!B:F, 5, 0),  REGEXEXTRACT(C5342, ""🏘️ \w+ \w+ (.*) ✅""))))"),"#N/A")</f>
        <v>#N/A</v>
      </c>
      <c r="I5342" s="4" t="str">
        <f>IFERROR(__xludf.DUMMYFUNCTION("if(D5342=""variant"",  substitute(filter(Templates!E:E, Templates!A:A = F5342, Templates!B:B = G5342, Templates!C:C = H5342), ""{{}}"", E5342), B5342)"),"Vendre appartement Bussigny: Trouvez le bien immobilier qui correspond idéalement à vos désirs sur ImmoScout24 - La plateforme de l'immobilier en Suisse.")</f>
        <v>Vendre appartement Bussigny: Trouvez le bien immobilier qui correspond idéalement à vos désirs sur ImmoScout24 - La plateforme de l'immobilier en Suisse.</v>
      </c>
    </row>
    <row r="5343" hidden="1">
      <c r="A5343" s="5" t="s">
        <v>13782</v>
      </c>
      <c r="B5343" s="2" t="s">
        <v>13783</v>
      </c>
      <c r="C5343" s="2" t="s">
        <v>13783</v>
      </c>
      <c r="D5343" s="4" t="str">
        <f>vlookup(A5343, Sheet2!D:E, 2, 0)</f>
        <v>control</v>
      </c>
      <c r="E5343" s="4" t="str">
        <f>IFERROR(__xludf.DUMMYFUNCTION("if(H5343=""pays"",vlookup(REGEXEXTRACT(C5343, ""🏘️ \w+ \w+ (.*) ✅""),'Country prepositions'!A:B, 2, 0) &amp; "" "" &amp; REGEXEXTRACT(C5343, ""🏘️ \w+ \w+ (.*) ✅"") ,  if(H5343=""quartier"",vlookup(REGEXEXTRACT(C5343, ""🏘️ \w+ \w+ (.*) ✅""),'Quartier prepositio"&amp;"ns'!A:E, 5, 0) ,  if(H5343=""region"",vlookup(REGEXEXTRACT(C5343, ""🏘️ \w+ \w+ (.*) ✅""),'Region prepositions'!B:F, 5, 0),  REGEXEXTRACT(C5343, ""🏘️ \w+ \w+ (.*) ✅""))))"),"#N/A")</f>
        <v>#N/A</v>
      </c>
      <c r="I5343" s="4" t="str">
        <f>IFERROR(__xludf.DUMMYFUNCTION("if(D5343=""variant"",  substitute(filter(Templates!E:E, Templates!A:A = F5343, Templates!B:B = G5343, Templates!C:C = H5343), ""{{}}"", E5343), B5343)"),"Louer appartement Niederglatt ZH: Trouvez le bien immobilier qui correspond idéalement à vos désirs sur ImmoScout24 - La plateforme de l'immobilier en Suisse.")</f>
        <v>Louer appartement Niederglatt ZH: Trouvez le bien immobilier qui correspond idéalement à vos désirs sur ImmoScout24 - La plateforme de l'immobilier en Suisse.</v>
      </c>
    </row>
    <row r="5344" hidden="1">
      <c r="A5344" s="5" t="s">
        <v>13784</v>
      </c>
      <c r="B5344" s="2" t="s">
        <v>13785</v>
      </c>
      <c r="C5344" s="2" t="s">
        <v>13785</v>
      </c>
      <c r="D5344" s="4" t="str">
        <f>vlookup(A5344, Sheet2!D:E, 2, 0)</f>
        <v>control</v>
      </c>
      <c r="E5344" s="4" t="str">
        <f>IFERROR(__xludf.DUMMYFUNCTION("if(H5344=""pays"",vlookup(REGEXEXTRACT(C5344, ""🏘️ \w+ \w+ (.*) ✅""),'Country prepositions'!A:B, 2, 0) &amp; "" "" &amp; REGEXEXTRACT(C5344, ""🏘️ \w+ \w+ (.*) ✅"") ,  if(H5344=""quartier"",vlookup(REGEXEXTRACT(C5344, ""🏘️ \w+ \w+ (.*) ✅""),'Quartier prepositio"&amp;"ns'!A:E, 5, 0) ,  if(H5344=""region"",vlookup(REGEXEXTRACT(C5344, ""🏘️ \w+ \w+ (.*) ✅""),'Region prepositions'!B:F, 5, 0),  REGEXEXTRACT(C5344, ""🏘️ \w+ \w+ (.*) ✅""))))"),"#N/A")</f>
        <v>#N/A</v>
      </c>
      <c r="I5344" s="4" t="str">
        <f>IFERROR(__xludf.DUMMYFUNCTION("if(D5344=""variant"",  substitute(filter(Templates!E:E, Templates!A:A = F5344, Templates!B:B = G5344, Templates!C:C = H5344), ""{{}}"", E5344), B5344)"),"Louer appartement Oberwald: Trouvez le bien immobilier qui correspond idéalement à vos désirs sur ImmoScout24 - La plateforme de l'immobilier en Suisse.")</f>
        <v>Louer appartement Oberwald: Trouvez le bien immobilier qui correspond idéalement à vos désirs sur ImmoScout24 - La plateforme de l'immobilier en Suisse.</v>
      </c>
    </row>
    <row r="5345" hidden="1">
      <c r="A5345" s="5" t="s">
        <v>13786</v>
      </c>
      <c r="B5345" s="2" t="s">
        <v>13787</v>
      </c>
      <c r="C5345" s="2" t="s">
        <v>13787</v>
      </c>
      <c r="D5345" s="4" t="str">
        <f>vlookup(A5345, Sheet2!D:E, 2, 0)</f>
        <v>control</v>
      </c>
      <c r="E5345" s="4" t="str">
        <f>IFERROR(__xludf.DUMMYFUNCTION("if(H5345=""pays"",vlookup(REGEXEXTRACT(C5345, ""🏘️ \w+ \w+ (.*) ✅""),'Country prepositions'!A:B, 2, 0) &amp; "" "" &amp; REGEXEXTRACT(C5345, ""🏘️ \w+ \w+ (.*) ✅"") ,  if(H5345=""quartier"",vlookup(REGEXEXTRACT(C5345, ""🏘️ \w+ \w+ (.*) ✅""),'Quartier prepositio"&amp;"ns'!A:E, 5, 0) ,  if(H5345=""region"",vlookup(REGEXEXTRACT(C5345, ""🏘️ \w+ \w+ (.*) ✅""),'Region prepositions'!B:F, 5, 0),  REGEXEXTRACT(C5345, ""🏘️ \w+ \w+ (.*) ✅""))))"),"#N/A")</f>
        <v>#N/A</v>
      </c>
      <c r="I5345" s="4" t="str">
        <f>IFERROR(__xludf.DUMMYFUNCTION("if(D5345=""variant"",  substitute(filter(Templates!E:E, Templates!A:A = F5345, Templates!B:B = G5345, Templates!C:C = H5345), ""{{}}"", E5345), B5345)"),"Vendre maison Müllheim Dorf: Trouvez le bien immobilier qui correspond idéalement à vos désirs sur ImmoScout24 - La plateforme de l'immobilier en Suisse.")</f>
        <v>Vendre maison Müllheim Dorf: Trouvez le bien immobilier qui correspond idéalement à vos désirs sur ImmoScout24 - La plateforme de l'immobilier en Suisse.</v>
      </c>
    </row>
    <row r="5346" hidden="1">
      <c r="A5346" s="5" t="s">
        <v>13788</v>
      </c>
      <c r="B5346" s="2" t="s">
        <v>13789</v>
      </c>
      <c r="C5346" s="2" t="s">
        <v>13789</v>
      </c>
      <c r="D5346" s="4" t="str">
        <f>vlookup(A5346, Sheet2!D:E, 2, 0)</f>
        <v>control</v>
      </c>
      <c r="E5346" s="4" t="str">
        <f>IFERROR(__xludf.DUMMYFUNCTION("if(H5346=""pays"",vlookup(REGEXEXTRACT(C5346, ""🏘️ \w+ \w+ (.*) ✅""),'Country prepositions'!A:B, 2, 0) &amp; "" "" &amp; REGEXEXTRACT(C5346, ""🏘️ \w+ \w+ (.*) ✅"") ,  if(H5346=""quartier"",vlookup(REGEXEXTRACT(C5346, ""🏘️ \w+ \w+ (.*) ✅""),'Quartier prepositio"&amp;"ns'!A:E, 5, 0) ,  if(H5346=""region"",vlookup(REGEXEXTRACT(C5346, ""🏘️ \w+ \w+ (.*) ✅""),'Region prepositions'!B:F, 5, 0),  REGEXEXTRACT(C5346, ""🏘️ \w+ \w+ (.*) ✅""))))"),"#N/A")</f>
        <v>#N/A</v>
      </c>
      <c r="I5346" s="4" t="str">
        <f>IFERROR(__xludf.DUMMYFUNCTION("if(D5346=""variant"",  substitute(filter(Templates!E:E, Templates!A:A = F5346, Templates!B:B = G5346, Templates!C:C = H5346), ""{{}}"", E5346), B5346)"),"Vendre maison St-Aubin-Sauges: Trouvez le bien immobilier qui correspond idéalement à vos désirs sur ImmoScout24 - La plateforme de l'immobilier en Suisse.")</f>
        <v>Vendre maison St-Aubin-Sauges: Trouvez le bien immobilier qui correspond idéalement à vos désirs sur ImmoScout24 - La plateforme de l'immobilier en Suisse.</v>
      </c>
    </row>
    <row r="5347" hidden="1">
      <c r="A5347" s="5" t="s">
        <v>13790</v>
      </c>
      <c r="B5347" s="2" t="s">
        <v>13791</v>
      </c>
      <c r="C5347" s="2" t="s">
        <v>13791</v>
      </c>
      <c r="D5347" s="4" t="str">
        <f>vlookup(A5347, Sheet2!D:E, 2, 0)</f>
        <v>control</v>
      </c>
      <c r="E5347" s="4" t="str">
        <f>IFERROR(__xludf.DUMMYFUNCTION("if(H5347=""pays"",vlookup(REGEXEXTRACT(C5347, ""🏘️ \w+ \w+ (.*) ✅""),'Country prepositions'!A:B, 2, 0) &amp; "" "" &amp; REGEXEXTRACT(C5347, ""🏘️ \w+ \w+ (.*) ✅"") ,  if(H5347=""quartier"",vlookup(REGEXEXTRACT(C5347, ""🏘️ \w+ \w+ (.*) ✅""),'Quartier prepositio"&amp;"ns'!A:E, 5, 0) ,  if(H5347=""region"",vlookup(REGEXEXTRACT(C5347, ""🏘️ \w+ \w+ (.*) ✅""),'Region prepositions'!B:F, 5, 0),  REGEXEXTRACT(C5347, ""🏘️ \w+ \w+ (.*) ✅""))))"),"#N/A")</f>
        <v>#N/A</v>
      </c>
      <c r="I5347" s="4" t="str">
        <f>IFERROR(__xludf.DUMMYFUNCTION("if(D5347=""variant"",  substitute(filter(Templates!E:E, Templates!A:A = F5347, Templates!B:B = G5347, Templates!C:C = H5347), ""{{}}"", E5347), B5347)"),"Louer maison Matzingen: Trouvez le bien immobilier qui correspond idéalement à vos désirs sur ImmoScout24 - La plateforme de l'immobilier en Suisse.")</f>
        <v>Louer maison Matzingen: Trouvez le bien immobilier qui correspond idéalement à vos désirs sur ImmoScout24 - La plateforme de l'immobilier en Suisse.</v>
      </c>
    </row>
    <row r="5348" hidden="1">
      <c r="A5348" s="5" t="s">
        <v>13792</v>
      </c>
      <c r="B5348" s="2" t="s">
        <v>13793</v>
      </c>
      <c r="C5348" s="2" t="s">
        <v>13793</v>
      </c>
      <c r="D5348" s="4" t="str">
        <f>vlookup(A5348, Sheet2!D:E, 2, 0)</f>
        <v>control</v>
      </c>
      <c r="E5348" s="4" t="str">
        <f>IFERROR(__xludf.DUMMYFUNCTION("if(H5348=""pays"",vlookup(REGEXEXTRACT(C5348, ""🏘️ \w+ \w+ (.*) ✅""),'Country prepositions'!A:B, 2, 0) &amp; "" "" &amp; REGEXEXTRACT(C5348, ""🏘️ \w+ \w+ (.*) ✅"") ,  if(H5348=""quartier"",vlookup(REGEXEXTRACT(C5348, ""🏘️ \w+ \w+ (.*) ✅""),'Quartier prepositio"&amp;"ns'!A:E, 5, 0) ,  if(H5348=""region"",vlookup(REGEXEXTRACT(C5348, ""🏘️ \w+ \w+ (.*) ✅""),'Region prepositions'!B:F, 5, 0),  REGEXEXTRACT(C5348, ""🏘️ \w+ \w+ (.*) ✅""))))"),"#N/A")</f>
        <v>#N/A</v>
      </c>
      <c r="I5348" s="4" t="str">
        <f>IFERROR(__xludf.DUMMYFUNCTION("if(D5348=""variant"",  substitute(filter(Templates!E:E, Templates!A:A = F5348, Templates!B:B = G5348, Templates!C:C = H5348), ""{{}}"", E5348), B5348)"),"Vendre appartement Draizes - Vauseyon (Neuchâtel): Trouvez le bien immobilier qui correspond idéalement à vos désirs sur ImmoScout24 - La plateforme de l'immobilier en Suisse.")</f>
        <v>Vendre appartement Draizes - Vauseyon (Neuchâtel): Trouvez le bien immobilier qui correspond idéalement à vos désirs sur ImmoScout24 - La plateforme de l'immobilier en Suisse.</v>
      </c>
    </row>
    <row r="5349" hidden="1">
      <c r="A5349" s="5" t="s">
        <v>13794</v>
      </c>
      <c r="B5349" s="2" t="s">
        <v>13795</v>
      </c>
      <c r="C5349" s="2" t="s">
        <v>13795</v>
      </c>
      <c r="D5349" s="4" t="str">
        <f>vlookup(A5349, Sheet2!D:E, 2, 0)</f>
        <v>control</v>
      </c>
      <c r="E5349" s="4" t="str">
        <f>IFERROR(__xludf.DUMMYFUNCTION("if(H5349=""pays"",vlookup(REGEXEXTRACT(C5349, ""🏘️ \w+ \w+ (.*) ✅""),'Country prepositions'!A:B, 2, 0) &amp; "" "" &amp; REGEXEXTRACT(C5349, ""🏘️ \w+ \w+ (.*) ✅"") ,  if(H5349=""quartier"",vlookup(REGEXEXTRACT(C5349, ""🏘️ \w+ \w+ (.*) ✅""),'Quartier prepositio"&amp;"ns'!A:E, 5, 0) ,  if(H5349=""region"",vlookup(REGEXEXTRACT(C5349, ""🏘️ \w+ \w+ (.*) ✅""),'Region prepositions'!B:F, 5, 0),  REGEXEXTRACT(C5349, ""🏘️ \w+ \w+ (.*) ✅""))))"),"#N/A")</f>
        <v>#N/A</v>
      </c>
      <c r="I5349" s="4" t="str">
        <f>IFERROR(__xludf.DUMMYFUNCTION("if(D5349=""variant"",  substitute(filter(Templates!E:E, Templates!A:A = F5349, Templates!B:B = G5349, Templates!C:C = H5349), ""{{}}"", E5349), B5349)"),"Vendre appartement Semsales: Trouvez le bien immobilier qui correspond idéalement à vos désirs sur ImmoScout24 - La plateforme de l'immobilier en Suisse.")</f>
        <v>Vendre appartement Semsales: Trouvez le bien immobilier qui correspond idéalement à vos désirs sur ImmoScout24 - La plateforme de l'immobilier en Suisse.</v>
      </c>
    </row>
    <row r="5350" hidden="1">
      <c r="A5350" s="5" t="s">
        <v>13796</v>
      </c>
      <c r="B5350" s="2" t="s">
        <v>13797</v>
      </c>
      <c r="C5350" s="2" t="s">
        <v>13797</v>
      </c>
      <c r="D5350" s="4" t="str">
        <f>vlookup(A5350, Sheet2!D:E, 2, 0)</f>
        <v>control</v>
      </c>
      <c r="E5350" s="4" t="str">
        <f>IFERROR(__xludf.DUMMYFUNCTION("if(H5350=""pays"",vlookup(REGEXEXTRACT(C5350, ""🏘️ \w+ \w+ (.*) ✅""),'Country prepositions'!A:B, 2, 0) &amp; "" "" &amp; REGEXEXTRACT(C5350, ""🏘️ \w+ \w+ (.*) ✅"") ,  if(H5350=""quartier"",vlookup(REGEXEXTRACT(C5350, ""🏘️ \w+ \w+ (.*) ✅""),'Quartier prepositio"&amp;"ns'!A:E, 5, 0) ,  if(H5350=""region"",vlookup(REGEXEXTRACT(C5350, ""🏘️ \w+ \w+ (.*) ✅""),'Region prepositions'!B:F, 5, 0),  REGEXEXTRACT(C5350, ""🏘️ \w+ \w+ (.*) ✅""))))"),"#N/A")</f>
        <v>#N/A</v>
      </c>
      <c r="I5350" s="4" t="str">
        <f>IFERROR(__xludf.DUMMYFUNCTION("if(D5350=""variant"",  substitute(filter(Templates!E:E, Templates!A:A = F5350, Templates!B:B = G5350, Templates!C:C = H5350), ""{{}}"", E5350), B5350)"),"Vendre maison Ramlinsburg: Trouvez le bien immobilier qui correspond idéalement à vos désirs sur ImmoScout24 - La plateforme de l'immobilier en Suisse.")</f>
        <v>Vendre maison Ramlinsburg: Trouvez le bien immobilier qui correspond idéalement à vos désirs sur ImmoScout24 - La plateforme de l'immobilier en Suisse.</v>
      </c>
    </row>
    <row r="5351" hidden="1">
      <c r="A5351" s="5" t="s">
        <v>13798</v>
      </c>
      <c r="B5351" s="2" t="s">
        <v>13799</v>
      </c>
      <c r="C5351" s="2" t="s">
        <v>13799</v>
      </c>
      <c r="D5351" s="4" t="str">
        <f>vlookup(A5351, Sheet2!D:E, 2, 0)</f>
        <v>control</v>
      </c>
      <c r="E5351" s="4" t="str">
        <f>IFERROR(__xludf.DUMMYFUNCTION("if(H5351=""pays"",vlookup(REGEXEXTRACT(C5351, ""🏘️ \w+ \w+ (.*) ✅""),'Country prepositions'!A:B, 2, 0) &amp; "" "" &amp; REGEXEXTRACT(C5351, ""🏘️ \w+ \w+ (.*) ✅"") ,  if(H5351=""quartier"",vlookup(REGEXEXTRACT(C5351, ""🏘️ \w+ \w+ (.*) ✅""),'Quartier prepositio"&amp;"ns'!A:E, 5, 0) ,  if(H5351=""region"",vlookup(REGEXEXTRACT(C5351, ""🏘️ \w+ \w+ (.*) ✅""),'Region prepositions'!B:F, 5, 0),  REGEXEXTRACT(C5351, ""🏘️ \w+ \w+ (.*) ✅""))))"),"#N/A")</f>
        <v>#N/A</v>
      </c>
      <c r="I5351" s="4" t="str">
        <f>IFERROR(__xludf.DUMMYFUNCTION("if(D5351=""variant"",  substitute(filter(Templates!E:E, Templates!A:A = F5351, Templates!B:B = G5351, Templates!C:C = H5351), ""{{}}"", E5351), B5351)"),"Louer appartement Champéry: Trouvez le bien immobilier qui correspond idéalement à vos désirs sur ImmoScout24 - La plateforme de l'immobilier en Suisse.")</f>
        <v>Louer appartement Champéry: Trouvez le bien immobilier qui correspond idéalement à vos désirs sur ImmoScout24 - La plateforme de l'immobilier en Suisse.</v>
      </c>
    </row>
    <row r="5352" hidden="1">
      <c r="A5352" s="5" t="s">
        <v>13800</v>
      </c>
      <c r="B5352" s="2" t="s">
        <v>13801</v>
      </c>
      <c r="C5352" s="2" t="s">
        <v>13801</v>
      </c>
      <c r="D5352" s="4" t="str">
        <f>vlookup(A5352, Sheet2!D:E, 2, 0)</f>
        <v>control</v>
      </c>
      <c r="E5352" s="4" t="str">
        <f>IFERROR(__xludf.DUMMYFUNCTION("if(H5352=""pays"",vlookup(REGEXEXTRACT(C5352, ""🏘️ \w+ \w+ (.*) ✅""),'Country prepositions'!A:B, 2, 0) &amp; "" "" &amp; REGEXEXTRACT(C5352, ""🏘️ \w+ \w+ (.*) ✅"") ,  if(H5352=""quartier"",vlookup(REGEXEXTRACT(C5352, ""🏘️ \w+ \w+ (.*) ✅""),'Quartier prepositio"&amp;"ns'!A:E, 5, 0) ,  if(H5352=""region"",vlookup(REGEXEXTRACT(C5352, ""🏘️ \w+ \w+ (.*) ✅""),'Region prepositions'!B:F, 5, 0),  REGEXEXTRACT(C5352, ""🏘️ \w+ \w+ (.*) ✅""))))"),"#N/A")</f>
        <v>#N/A</v>
      </c>
      <c r="I5352" s="4" t="str">
        <f>IFERROR(__xludf.DUMMYFUNCTION("if(D5352=""variant"",  substitute(filter(Templates!E:E, Templates!A:A = F5352, Templates!B:B = G5352, Templates!C:C = H5352), ""{{}}"", E5352), B5352)"),"Vendre maison Aristau: Trouvez le bien immobilier qui correspond idéalement à vos désirs sur ImmoScout24 - La plateforme de l'immobilier en Suisse.")</f>
        <v>Vendre maison Aristau: Trouvez le bien immobilier qui correspond idéalement à vos désirs sur ImmoScout24 - La plateforme de l'immobilier en Suisse.</v>
      </c>
    </row>
    <row r="5353" hidden="1">
      <c r="A5353" s="5" t="s">
        <v>13802</v>
      </c>
      <c r="B5353" s="2" t="s">
        <v>13803</v>
      </c>
      <c r="C5353" s="2" t="s">
        <v>13803</v>
      </c>
      <c r="D5353" s="4" t="str">
        <f>vlookup(A5353, Sheet2!D:E, 2, 0)</f>
        <v>control</v>
      </c>
      <c r="E5353" s="4" t="str">
        <f>IFERROR(__xludf.DUMMYFUNCTION("if(H5353=""pays"",vlookup(REGEXEXTRACT(C5353, ""🏘️ \w+ \w+ (.*) ✅""),'Country prepositions'!A:B, 2, 0) &amp; "" "" &amp; REGEXEXTRACT(C5353, ""🏘️ \w+ \w+ (.*) ✅"") ,  if(H5353=""quartier"",vlookup(REGEXEXTRACT(C5353, ""🏘️ \w+ \w+ (.*) ✅""),'Quartier prepositio"&amp;"ns'!A:E, 5, 0) ,  if(H5353=""region"",vlookup(REGEXEXTRACT(C5353, ""🏘️ \w+ \w+ (.*) ✅""),'Region prepositions'!B:F, 5, 0),  REGEXEXTRACT(C5353, ""🏘️ \w+ \w+ (.*) ✅""))))"),"#N/A")</f>
        <v>#N/A</v>
      </c>
      <c r="I5353" s="4" t="str">
        <f>IFERROR(__xludf.DUMMYFUNCTION("if(D5353=""variant"",  substitute(filter(Templates!E:E, Templates!A:A = F5353, Templates!B:B = G5353, Templates!C:C = H5353), ""{{}}"", E5353), B5353)"),"Vendre appartement Lichtensteig: Trouvez le bien immobilier qui correspond idéalement à vos désirs sur ImmoScout24 - La plateforme de l'immobilier en Suisse.")</f>
        <v>Vendre appartement Lichtensteig: Trouvez le bien immobilier qui correspond idéalement à vos désirs sur ImmoScout24 - La plateforme de l'immobilier en Suisse.</v>
      </c>
    </row>
    <row r="5354" hidden="1">
      <c r="A5354" s="5" t="s">
        <v>13804</v>
      </c>
      <c r="B5354" s="2" t="s">
        <v>13805</v>
      </c>
      <c r="C5354" s="2" t="s">
        <v>13805</v>
      </c>
      <c r="D5354" s="4" t="str">
        <f>vlookup(A5354, Sheet2!D:E, 2, 0)</f>
        <v>control</v>
      </c>
      <c r="E5354" s="4" t="str">
        <f>IFERROR(__xludf.DUMMYFUNCTION("if(H5354=""pays"",vlookup(REGEXEXTRACT(C5354, ""🏘️ \w+ \w+ (.*) ✅""),'Country prepositions'!A:B, 2, 0) &amp; "" "" &amp; REGEXEXTRACT(C5354, ""🏘️ \w+ \w+ (.*) ✅"") ,  if(H5354=""quartier"",vlookup(REGEXEXTRACT(C5354, ""🏘️ \w+ \w+ (.*) ✅""),'Quartier prepositio"&amp;"ns'!A:E, 5, 0) ,  if(H5354=""region"",vlookup(REGEXEXTRACT(C5354, ""🏘️ \w+ \w+ (.*) ✅""),'Region prepositions'!B:F, 5, 0),  REGEXEXTRACT(C5354, ""🏘️ \w+ \w+ (.*) ✅""))))"),"#N/A")</f>
        <v>#N/A</v>
      </c>
      <c r="I5354" s="4" t="str">
        <f>IFERROR(__xludf.DUMMYFUNCTION("if(D5354=""variant"",  substitute(filter(Templates!E:E, Templates!A:A = F5354, Templates!B:B = G5354, Templates!C:C = H5354), ""{{}}"", E5354), B5354)"),"Louer maison Cugy VD: Trouvez le bien immobilier qui correspond idéalement à vos désirs sur ImmoScout24 - La plateforme de l'immobilier en Suisse.")</f>
        <v>Louer maison Cugy VD: Trouvez le bien immobilier qui correspond idéalement à vos désirs sur ImmoScout24 - La plateforme de l'immobilier en Suisse.</v>
      </c>
    </row>
    <row r="5355" hidden="1">
      <c r="A5355" s="5" t="s">
        <v>13806</v>
      </c>
      <c r="B5355" s="2" t="s">
        <v>13807</v>
      </c>
      <c r="C5355" s="2" t="s">
        <v>13807</v>
      </c>
      <c r="D5355" s="4" t="str">
        <f>vlookup(A5355, Sheet2!D:E, 2, 0)</f>
        <v>control</v>
      </c>
      <c r="E5355" s="4" t="str">
        <f>IFERROR(__xludf.DUMMYFUNCTION("if(H5355=""pays"",vlookup(REGEXEXTRACT(C5355, ""🏘️ \w+ \w+ (.*) ✅""),'Country prepositions'!A:B, 2, 0) &amp; "" "" &amp; REGEXEXTRACT(C5355, ""🏘️ \w+ \w+ (.*) ✅"") ,  if(H5355=""quartier"",vlookup(REGEXEXTRACT(C5355, ""🏘️ \w+ \w+ (.*) ✅""),'Quartier prepositio"&amp;"ns'!A:E, 5, 0) ,  if(H5355=""region"",vlookup(REGEXEXTRACT(C5355, ""🏘️ \w+ \w+ (.*) ✅""),'Region prepositions'!B:F, 5, 0),  REGEXEXTRACT(C5355, ""🏘️ \w+ \w+ (.*) ✅""))))"),"#N/A")</f>
        <v>#N/A</v>
      </c>
      <c r="I5355" s="4" t="str">
        <f>IFERROR(__xludf.DUMMYFUNCTION("if(D5355=""variant"",  substitute(filter(Templates!E:E, Templates!A:A = F5355, Templates!B:B = G5355, Templates!C:C = H5355), ""{{}}"", E5355), B5355)"),"Louer appartement Amriswil: Trouvez le bien immobilier qui correspond idéalement à vos désirs sur ImmoScout24 - La plateforme de l'immobilier en Suisse.")</f>
        <v>Louer appartement Amriswil: Trouvez le bien immobilier qui correspond idéalement à vos désirs sur ImmoScout24 - La plateforme de l'immobilier en Suisse.</v>
      </c>
    </row>
    <row r="5356" hidden="1">
      <c r="A5356" s="5" t="s">
        <v>13808</v>
      </c>
      <c r="B5356" s="2" t="s">
        <v>13809</v>
      </c>
      <c r="C5356" s="2" t="s">
        <v>13809</v>
      </c>
      <c r="D5356" s="4" t="str">
        <f>vlookup(A5356, Sheet2!D:E, 2, 0)</f>
        <v>control</v>
      </c>
      <c r="E5356" s="4" t="str">
        <f>IFERROR(__xludf.DUMMYFUNCTION("if(H5356=""pays"",vlookup(REGEXEXTRACT(C5356, ""🏘️ \w+ \w+ (.*) ✅""),'Country prepositions'!A:B, 2, 0) &amp; "" "" &amp; REGEXEXTRACT(C5356, ""🏘️ \w+ \w+ (.*) ✅"") ,  if(H5356=""quartier"",vlookup(REGEXEXTRACT(C5356, ""🏘️ \w+ \w+ (.*) ✅""),'Quartier prepositio"&amp;"ns'!A:E, 5, 0) ,  if(H5356=""region"",vlookup(REGEXEXTRACT(C5356, ""🏘️ \w+ \w+ (.*) ✅""),'Region prepositions'!B:F, 5, 0),  REGEXEXTRACT(C5356, ""🏘️ \w+ \w+ (.*) ✅""))))"),"#N/A")</f>
        <v>#N/A</v>
      </c>
      <c r="I5356" s="4" t="str">
        <f>IFERROR(__xludf.DUMMYFUNCTION("if(D5356=""variant"",  substitute(filter(Templates!E:E, Templates!A:A = F5356, Templates!B:B = G5356, Templates!C:C = H5356), ""{{}}"", E5356), B5356)"),"Vendre maison Autigny: Trouvez le bien immobilier qui correspond idéalement à vos désirs sur ImmoScout24 - La plateforme de l'immobilier en Suisse.")</f>
        <v>Vendre maison Autigny: Trouvez le bien immobilier qui correspond idéalement à vos désirs sur ImmoScout24 - La plateforme de l'immobilier en Suisse.</v>
      </c>
    </row>
    <row r="5357" hidden="1">
      <c r="A5357" s="5" t="s">
        <v>13810</v>
      </c>
      <c r="B5357" s="2" t="s">
        <v>13811</v>
      </c>
      <c r="C5357" s="2" t="s">
        <v>13811</v>
      </c>
      <c r="D5357" s="4" t="str">
        <f>vlookup(A5357, Sheet2!D:E, 2, 0)</f>
        <v>control</v>
      </c>
      <c r="E5357" s="4" t="str">
        <f>IFERROR(__xludf.DUMMYFUNCTION("if(H5357=""pays"",vlookup(REGEXEXTRACT(C5357, ""🏘️ \w+ \w+ (.*) ✅""),'Country prepositions'!A:B, 2, 0) &amp; "" "" &amp; REGEXEXTRACT(C5357, ""🏘️ \w+ \w+ (.*) ✅"") ,  if(H5357=""quartier"",vlookup(REGEXEXTRACT(C5357, ""🏘️ \w+ \w+ (.*) ✅""),'Quartier prepositio"&amp;"ns'!A:E, 5, 0) ,  if(H5357=""region"",vlookup(REGEXEXTRACT(C5357, ""🏘️ \w+ \w+ (.*) ✅""),'Region prepositions'!B:F, 5, 0),  REGEXEXTRACT(C5357, ""🏘️ \w+ \w+ (.*) ✅""))))"),"#N/A")</f>
        <v>#N/A</v>
      </c>
      <c r="I5357" s="4" t="str">
        <f>IFERROR(__xludf.DUMMYFUNCTION("if(D5357=""variant"",  substitute(filter(Templates!E:E, Templates!A:A = F5357, Templates!B:B = G5357, Templates!C:C = H5357), ""{{}}"", E5357), B5357)"),"Louer appartement Rueyres-les-Prés: Trouvez le bien immobilier qui correspond idéalement à vos désirs sur ImmoScout24 - La plateforme de l'immobilier en Suisse.")</f>
        <v>Louer appartement Rueyres-les-Prés: Trouvez le bien immobilier qui correspond idéalement à vos désirs sur ImmoScout24 - La plateforme de l'immobilier en Suisse.</v>
      </c>
    </row>
    <row r="5358" hidden="1">
      <c r="A5358" s="5" t="s">
        <v>13812</v>
      </c>
      <c r="B5358" s="2" t="s">
        <v>13813</v>
      </c>
      <c r="C5358" s="2" t="s">
        <v>13813</v>
      </c>
      <c r="D5358" s="4" t="str">
        <f>vlookup(A5358, Sheet2!D:E, 2, 0)</f>
        <v>control</v>
      </c>
      <c r="E5358" s="4" t="str">
        <f>IFERROR(__xludf.DUMMYFUNCTION("if(H5358=""pays"",vlookup(REGEXEXTRACT(C5358, ""🏘️ \w+ \w+ (.*) ✅""),'Country prepositions'!A:B, 2, 0) &amp; "" "" &amp; REGEXEXTRACT(C5358, ""🏘️ \w+ \w+ (.*) ✅"") ,  if(H5358=""quartier"",vlookup(REGEXEXTRACT(C5358, ""🏘️ \w+ \w+ (.*) ✅""),'Quartier prepositio"&amp;"ns'!A:E, 5, 0) ,  if(H5358=""region"",vlookup(REGEXEXTRACT(C5358, ""🏘️ \w+ \w+ (.*) ✅""),'Region prepositions'!B:F, 5, 0),  REGEXEXTRACT(C5358, ""🏘️ \w+ \w+ (.*) ✅""))))"),"#N/A")</f>
        <v>#N/A</v>
      </c>
      <c r="I5358" s="4" t="str">
        <f>IFERROR(__xludf.DUMMYFUNCTION("if(D5358=""variant"",  substitute(filter(Templates!E:E, Templates!A:A = F5358, Templates!B:B = G5358, Templates!C:C = H5358), ""{{}}"", E5358), B5358)"),"Vendre maison Rosshäusern: Trouvez le bien immobilier qui correspond idéalement à vos désirs sur ImmoScout24 - La plateforme de l'immobilier en Suisse.")</f>
        <v>Vendre maison Rosshäusern: Trouvez le bien immobilier qui correspond idéalement à vos désirs sur ImmoScout24 - La plateforme de l'immobilier en Suisse.</v>
      </c>
    </row>
    <row r="5359" hidden="1">
      <c r="A5359" s="5" t="s">
        <v>13814</v>
      </c>
      <c r="B5359" s="2" t="s">
        <v>13815</v>
      </c>
      <c r="C5359" s="2" t="s">
        <v>13815</v>
      </c>
      <c r="D5359" s="4" t="str">
        <f>vlookup(A5359, Sheet2!D:E, 2, 0)</f>
        <v>control</v>
      </c>
      <c r="E5359" s="4" t="str">
        <f>IFERROR(__xludf.DUMMYFUNCTION("if(H5359=""pays"",vlookup(REGEXEXTRACT(C5359, ""🏘️ \w+ \w+ (.*) ✅""),'Country prepositions'!A:B, 2, 0) &amp; "" "" &amp; REGEXEXTRACT(C5359, ""🏘️ \w+ \w+ (.*) ✅"") ,  if(H5359=""quartier"",vlookup(REGEXEXTRACT(C5359, ""🏘️ \w+ \w+ (.*) ✅""),'Quartier prepositio"&amp;"ns'!A:E, 5, 0) ,  if(H5359=""region"",vlookup(REGEXEXTRACT(C5359, ""🏘️ \w+ \w+ (.*) ✅""),'Region prepositions'!B:F, 5, 0),  REGEXEXTRACT(C5359, ""🏘️ \w+ \w+ (.*) ✅""))))"),"#N/A")</f>
        <v>#N/A</v>
      </c>
      <c r="I5359" s="4" t="str">
        <f>IFERROR(__xludf.DUMMYFUNCTION("if(D5359=""variant"",  substitute(filter(Templates!E:E, Templates!A:A = F5359, Templates!B:B = G5359, Templates!C:C = H5359), ""{{}}"", E5359), B5359)"),"Louer maison Wettingen: Trouvez le bien immobilier qui correspond idéalement à vos désirs sur ImmoScout24 - La plateforme de l'immobilier en Suisse.")</f>
        <v>Louer maison Wettingen: Trouvez le bien immobilier qui correspond idéalement à vos désirs sur ImmoScout24 - La plateforme de l'immobilier en Suisse.</v>
      </c>
    </row>
    <row r="5360" hidden="1">
      <c r="A5360" s="5" t="s">
        <v>13816</v>
      </c>
      <c r="B5360" s="2" t="s">
        <v>13817</v>
      </c>
      <c r="C5360" s="2" t="s">
        <v>13817</v>
      </c>
      <c r="D5360" s="4" t="str">
        <f>vlookup(A5360, Sheet2!D:E, 2, 0)</f>
        <v>control</v>
      </c>
      <c r="E5360" s="4" t="str">
        <f>IFERROR(__xludf.DUMMYFUNCTION("if(H5360=""pays"",vlookup(REGEXEXTRACT(C5360, ""🏘️ \w+ \w+ (.*) ✅""),'Country prepositions'!A:B, 2, 0) &amp; "" "" &amp; REGEXEXTRACT(C5360, ""🏘️ \w+ \w+ (.*) ✅"") ,  if(H5360=""quartier"",vlookup(REGEXEXTRACT(C5360, ""🏘️ \w+ \w+ (.*) ✅""),'Quartier prepositio"&amp;"ns'!A:E, 5, 0) ,  if(H5360=""region"",vlookup(REGEXEXTRACT(C5360, ""🏘️ \w+ \w+ (.*) ✅""),'Region prepositions'!B:F, 5, 0),  REGEXEXTRACT(C5360, ""🏘️ \w+ \w+ (.*) ✅""))))"),"#N/A")</f>
        <v>#N/A</v>
      </c>
      <c r="I5360" s="4" t="str">
        <f>IFERROR(__xludf.DUMMYFUNCTION("if(D5360=""variant"",  substitute(filter(Templates!E:E, Templates!A:A = F5360, Templates!B:B = G5360, Templates!C:C = H5360), ""{{}}"", E5360), B5360)"),"Vendre appartement Poliez-le-Grand: Trouvez le bien immobilier qui correspond idéalement à vos désirs sur ImmoScout24 - La plateforme de l'immobilier en Suisse.")</f>
        <v>Vendre appartement Poliez-le-Grand: Trouvez le bien immobilier qui correspond idéalement à vos désirs sur ImmoScout24 - La plateforme de l'immobilier en Suisse.</v>
      </c>
    </row>
    <row r="5361" hidden="1">
      <c r="A5361" s="5" t="s">
        <v>13818</v>
      </c>
      <c r="B5361" s="2" t="s">
        <v>13819</v>
      </c>
      <c r="C5361" s="2" t="s">
        <v>13819</v>
      </c>
      <c r="D5361" s="4" t="str">
        <f>vlookup(A5361, Sheet2!D:E, 2, 0)</f>
        <v>control</v>
      </c>
      <c r="E5361" s="4" t="str">
        <f>IFERROR(__xludf.DUMMYFUNCTION("if(H5361=""pays"",vlookup(REGEXEXTRACT(C5361, ""🏘️ \w+ \w+ (.*) ✅""),'Country prepositions'!A:B, 2, 0) &amp; "" "" &amp; REGEXEXTRACT(C5361, ""🏘️ \w+ \w+ (.*) ✅"") ,  if(H5361=""quartier"",vlookup(REGEXEXTRACT(C5361, ""🏘️ \w+ \w+ (.*) ✅""),'Quartier prepositio"&amp;"ns'!A:E, 5, 0) ,  if(H5361=""region"",vlookup(REGEXEXTRACT(C5361, ""🏘️ \w+ \w+ (.*) ✅""),'Region prepositions'!B:F, 5, 0),  REGEXEXTRACT(C5361, ""🏘️ \w+ \w+ (.*) ✅""))))"),"#N/A")</f>
        <v>#N/A</v>
      </c>
      <c r="I5361" s="4" t="str">
        <f>IFERROR(__xludf.DUMMYFUNCTION("if(D5361=""variant"",  substitute(filter(Templates!E:E, Templates!A:A = F5361, Templates!B:B = G5361, Templates!C:C = H5361), ""{{}}"", E5361), B5361)"),"Vendre maison Enges: Trouvez le bien immobilier qui correspond idéalement à vos désirs sur ImmoScout24 - La plateforme de l'immobilier en Suisse.")</f>
        <v>Vendre maison Enges: Trouvez le bien immobilier qui correspond idéalement à vos désirs sur ImmoScout24 - La plateforme de l'immobilier en Suisse.</v>
      </c>
    </row>
    <row r="5362" hidden="1">
      <c r="A5362" s="5" t="s">
        <v>13820</v>
      </c>
      <c r="B5362" s="2" t="s">
        <v>13821</v>
      </c>
      <c r="C5362" s="2" t="s">
        <v>13821</v>
      </c>
      <c r="D5362" s="4" t="str">
        <f>vlookup(A5362, Sheet2!D:E, 2, 0)</f>
        <v>control</v>
      </c>
      <c r="E5362" s="4" t="str">
        <f>IFERROR(__xludf.DUMMYFUNCTION("if(H5362=""pays"",vlookup(REGEXEXTRACT(C5362, ""🏘️ \w+ \w+ (.*) ✅""),'Country prepositions'!A:B, 2, 0) &amp; "" "" &amp; REGEXEXTRACT(C5362, ""🏘️ \w+ \w+ (.*) ✅"") ,  if(H5362=""quartier"",vlookup(REGEXEXTRACT(C5362, ""🏘️ \w+ \w+ (.*) ✅""),'Quartier prepositio"&amp;"ns'!A:E, 5, 0) ,  if(H5362=""region"",vlookup(REGEXEXTRACT(C5362, ""🏘️ \w+ \w+ (.*) ✅""),'Region prepositions'!B:F, 5, 0),  REGEXEXTRACT(C5362, ""🏘️ \w+ \w+ (.*) ✅""))))"),"#N/A")</f>
        <v>#N/A</v>
      </c>
      <c r="I5362" s="4" t="str">
        <f>IFERROR(__xludf.DUMMYFUNCTION("if(D5362=""variant"",  substitute(filter(Templates!E:E, Templates!A:A = F5362, Templates!B:B = G5362, Templates!C:C = H5362), ""{{}}"", E5362), B5362)"),"Vendre appartement Gruyères: Trouvez le bien immobilier qui correspond idéalement à vos désirs sur ImmoScout24 - La plateforme de l'immobilier en Suisse.")</f>
        <v>Vendre appartement Gruyères: Trouvez le bien immobilier qui correspond idéalement à vos désirs sur ImmoScout24 - La plateforme de l'immobilier en Suisse.</v>
      </c>
    </row>
    <row r="5363" hidden="1">
      <c r="A5363" s="5" t="s">
        <v>13822</v>
      </c>
      <c r="B5363" s="2" t="s">
        <v>13823</v>
      </c>
      <c r="C5363" s="2" t="s">
        <v>13823</v>
      </c>
      <c r="D5363" s="4" t="str">
        <f>vlookup(A5363, Sheet2!D:E, 2, 0)</f>
        <v>control</v>
      </c>
      <c r="E5363" s="4" t="str">
        <f>IFERROR(__xludf.DUMMYFUNCTION("if(H5363=""pays"",vlookup(REGEXEXTRACT(C5363, ""🏘️ \w+ \w+ (.*) ✅""),'Country prepositions'!A:B, 2, 0) &amp; "" "" &amp; REGEXEXTRACT(C5363, ""🏘️ \w+ \w+ (.*) ✅"") ,  if(H5363=""quartier"",vlookup(REGEXEXTRACT(C5363, ""🏘️ \w+ \w+ (.*) ✅""),'Quartier prepositio"&amp;"ns'!A:E, 5, 0) ,  if(H5363=""region"",vlookup(REGEXEXTRACT(C5363, ""🏘️ \w+ \w+ (.*) ✅""),'Region prepositions'!B:F, 5, 0),  REGEXEXTRACT(C5363, ""🏘️ \w+ \w+ (.*) ✅""))))"),"#N/A")</f>
        <v>#N/A</v>
      </c>
      <c r="I5363" s="4" t="str">
        <f>IFERROR(__xludf.DUMMYFUNCTION("if(D5363=""variant"",  substitute(filter(Templates!E:E, Templates!A:A = F5363, Templates!B:B = G5363, Templates!C:C = H5363), ""{{}}"", E5363), B5363)"),"Louer maison Cornaux NE: Trouvez le bien immobilier qui correspond idéalement à vos désirs sur ImmoScout24 - La plateforme de l'immobilier en Suisse.")</f>
        <v>Louer maison Cornaux NE: Trouvez le bien immobilier qui correspond idéalement à vos désirs sur ImmoScout24 - La plateforme de l'immobilier en Suisse.</v>
      </c>
    </row>
    <row r="5364" hidden="1">
      <c r="A5364" s="5" t="s">
        <v>13824</v>
      </c>
      <c r="B5364" s="2" t="s">
        <v>13825</v>
      </c>
      <c r="C5364" s="2" t="s">
        <v>13825</v>
      </c>
      <c r="D5364" s="4" t="str">
        <f>vlookup(A5364, Sheet2!D:E, 2, 0)</f>
        <v>control</v>
      </c>
      <c r="E5364" s="4" t="str">
        <f>IFERROR(__xludf.DUMMYFUNCTION("if(H5364=""pays"",vlookup(REGEXEXTRACT(C5364, ""🏘️ \w+ \w+ (.*) ✅""),'Country prepositions'!A:B, 2, 0) &amp; "" "" &amp; REGEXEXTRACT(C5364, ""🏘️ \w+ \w+ (.*) ✅"") ,  if(H5364=""quartier"",vlookup(REGEXEXTRACT(C5364, ""🏘️ \w+ \w+ (.*) ✅""),'Quartier prepositio"&amp;"ns'!A:E, 5, 0) ,  if(H5364=""region"",vlookup(REGEXEXTRACT(C5364, ""🏘️ \w+ \w+ (.*) ✅""),'Region prepositions'!B:F, 5, 0),  REGEXEXTRACT(C5364, ""🏘️ \w+ \w+ (.*) ✅""))))"),"#N/A")</f>
        <v>#N/A</v>
      </c>
      <c r="I5364" s="4" t="str">
        <f>IFERROR(__xludf.DUMMYFUNCTION("if(D5364=""variant"",  substitute(filter(Templates!E:E, Templates!A:A = F5364, Templates!B:B = G5364, Templates!C:C = H5364), ""{{}}"", E5364), B5364)"),"Vendre maison Locarno: Trouvez le bien immobilier qui correspond idéalement à vos désirs sur ImmoScout24 - La plateforme de l'immobilier en Suisse.")</f>
        <v>Vendre maison Locarno: Trouvez le bien immobilier qui correspond idéalement à vos désirs sur ImmoScout24 - La plateforme de l'immobilier en Suisse.</v>
      </c>
    </row>
    <row r="5365" hidden="1">
      <c r="A5365" s="5" t="s">
        <v>13826</v>
      </c>
      <c r="B5365" s="2" t="s">
        <v>13827</v>
      </c>
      <c r="C5365" s="2" t="s">
        <v>13827</v>
      </c>
      <c r="D5365" s="4" t="str">
        <f>vlookup(A5365, Sheet2!D:E, 2, 0)</f>
        <v>control</v>
      </c>
      <c r="E5365" s="4" t="str">
        <f>IFERROR(__xludf.DUMMYFUNCTION("if(H5365=""pays"",vlookup(REGEXEXTRACT(C5365, ""🏘️ \w+ \w+ (.*) ✅""),'Country prepositions'!A:B, 2, 0) &amp; "" "" &amp; REGEXEXTRACT(C5365, ""🏘️ \w+ \w+ (.*) ✅"") ,  if(H5365=""quartier"",vlookup(REGEXEXTRACT(C5365, ""🏘️ \w+ \w+ (.*) ✅""),'Quartier prepositio"&amp;"ns'!A:E, 5, 0) ,  if(H5365=""region"",vlookup(REGEXEXTRACT(C5365, ""🏘️ \w+ \w+ (.*) ✅""),'Region prepositions'!B:F, 5, 0),  REGEXEXTRACT(C5365, ""🏘️ \w+ \w+ (.*) ✅""))))"),"#N/A")</f>
        <v>#N/A</v>
      </c>
      <c r="I5365" s="4" t="str">
        <f>IFERROR(__xludf.DUMMYFUNCTION("if(D5365=""variant"",  substitute(filter(Templates!E:E, Templates!A:A = F5365, Templates!B:B = G5365, Templates!C:C = H5365), ""{{}}"", E5365), B5365)"),"Vendre maison Villarimboud: Trouvez le bien immobilier qui correspond idéalement à vos désirs sur ImmoScout24 - La plateforme de l'immobilier en Suisse.")</f>
        <v>Vendre maison Villarimboud: Trouvez le bien immobilier qui correspond idéalement à vos désirs sur ImmoScout24 - La plateforme de l'immobilier en Suisse.</v>
      </c>
    </row>
    <row r="5366" hidden="1">
      <c r="A5366" s="5" t="s">
        <v>13828</v>
      </c>
      <c r="B5366" s="2" t="s">
        <v>13829</v>
      </c>
      <c r="C5366" s="2" t="s">
        <v>13829</v>
      </c>
      <c r="D5366" s="4" t="str">
        <f>vlookup(A5366, Sheet2!D:E, 2, 0)</f>
        <v>control</v>
      </c>
      <c r="E5366" s="4" t="str">
        <f>IFERROR(__xludf.DUMMYFUNCTION("if(H5366=""pays"",vlookup(REGEXEXTRACT(C5366, ""🏘️ \w+ \w+ (.*) ✅""),'Country prepositions'!A:B, 2, 0) &amp; "" "" &amp; REGEXEXTRACT(C5366, ""🏘️ \w+ \w+ (.*) ✅"") ,  if(H5366=""quartier"",vlookup(REGEXEXTRACT(C5366, ""🏘️ \w+ \w+ (.*) ✅""),'Quartier prepositio"&amp;"ns'!A:E, 5, 0) ,  if(H5366=""region"",vlookup(REGEXEXTRACT(C5366, ""🏘️ \w+ \w+ (.*) ✅""),'Region prepositions'!B:F, 5, 0),  REGEXEXTRACT(C5366, ""🏘️ \w+ \w+ (.*) ✅""))))"),"#N/A")</f>
        <v>#N/A</v>
      </c>
      <c r="I5366" s="4" t="str">
        <f>IFERROR(__xludf.DUMMYFUNCTION("if(D5366=""variant"",  substitute(filter(Templates!E:E, Templates!A:A = F5366, Templates!B:B = G5366, Templates!C:C = H5366), ""{{}}"", E5366), B5366)"),"Louer appartement Zollikofen: Trouvez le bien immobilier qui correspond idéalement à vos désirs sur ImmoScout24 - La plateforme de l'immobilier en Suisse.")</f>
        <v>Louer appartement Zollikofen: Trouvez le bien immobilier qui correspond idéalement à vos désirs sur ImmoScout24 - La plateforme de l'immobilier en Suisse.</v>
      </c>
    </row>
    <row r="5367" hidden="1">
      <c r="A5367" s="5" t="s">
        <v>13830</v>
      </c>
      <c r="B5367" s="2" t="s">
        <v>13831</v>
      </c>
      <c r="C5367" s="2" t="s">
        <v>13831</v>
      </c>
      <c r="D5367" s="4" t="str">
        <f>vlookup(A5367, Sheet2!D:E, 2, 0)</f>
        <v>control</v>
      </c>
      <c r="E5367" s="4" t="str">
        <f>IFERROR(__xludf.DUMMYFUNCTION("if(H5367=""pays"",vlookup(REGEXEXTRACT(C5367, ""🏘️ \w+ \w+ (.*) ✅""),'Country prepositions'!A:B, 2, 0) &amp; "" "" &amp; REGEXEXTRACT(C5367, ""🏘️ \w+ \w+ (.*) ✅"") ,  if(H5367=""quartier"",vlookup(REGEXEXTRACT(C5367, ""🏘️ \w+ \w+ (.*) ✅""),'Quartier prepositio"&amp;"ns'!A:E, 5, 0) ,  if(H5367=""region"",vlookup(REGEXEXTRACT(C5367, ""🏘️ \w+ \w+ (.*) ✅""),'Region prepositions'!B:F, 5, 0),  REGEXEXTRACT(C5367, ""🏘️ \w+ \w+ (.*) ✅""))))"),"#N/A")</f>
        <v>#N/A</v>
      </c>
      <c r="I5367" s="4" t="str">
        <f>IFERROR(__xludf.DUMMYFUNCTION("if(D5367=""variant"",  substitute(filter(Templates!E:E, Templates!A:A = F5367, Templates!B:B = G5367, Templates!C:C = H5367), ""{{}}"", E5367), B5367)"),"Louer appartement Châtillon JU: Trouvez le bien immobilier qui correspond idéalement à vos désirs sur ImmoScout24 - La plateforme de l'immobilier en Suisse.")</f>
        <v>Louer appartement Châtillon JU: Trouvez le bien immobilier qui correspond idéalement à vos désirs sur ImmoScout24 - La plateforme de l'immobilier en Suisse.</v>
      </c>
    </row>
    <row r="5368" hidden="1">
      <c r="A5368" s="5" t="s">
        <v>13832</v>
      </c>
      <c r="B5368" s="2" t="s">
        <v>13833</v>
      </c>
      <c r="C5368" s="2" t="s">
        <v>13833</v>
      </c>
      <c r="D5368" s="4" t="str">
        <f>vlookup(A5368, Sheet2!D:E, 2, 0)</f>
        <v>control</v>
      </c>
      <c r="E5368" s="4" t="str">
        <f>IFERROR(__xludf.DUMMYFUNCTION("if(H5368=""pays"",vlookup(REGEXEXTRACT(C5368, ""🏘️ \w+ \w+ (.*) ✅""),'Country prepositions'!A:B, 2, 0) &amp; "" "" &amp; REGEXEXTRACT(C5368, ""🏘️ \w+ \w+ (.*) ✅"") ,  if(H5368=""quartier"",vlookup(REGEXEXTRACT(C5368, ""🏘️ \w+ \w+ (.*) ✅""),'Quartier prepositio"&amp;"ns'!A:E, 5, 0) ,  if(H5368=""region"",vlookup(REGEXEXTRACT(C5368, ""🏘️ \w+ \w+ (.*) ✅""),'Region prepositions'!B:F, 5, 0),  REGEXEXTRACT(C5368, ""🏘️ \w+ \w+ (.*) ✅""))))"),"#N/A")</f>
        <v>#N/A</v>
      </c>
      <c r="I5368" s="4" t="str">
        <f>IFERROR(__xludf.DUMMYFUNCTION("if(D5368=""variant"",  substitute(filter(Templates!E:E, Templates!A:A = F5368, Templates!B:B = G5368, Templates!C:C = H5368), ""{{}}"", E5368), B5368)"),"Vendre maison Bâle Campagne Ouest: Trouvez le bien immobilier qui correspond idéalement à vos désirs sur ImmoScout24 - La plateforme de l'immobilier en Suisse.")</f>
        <v>Vendre maison Bâle Campagne Ouest: Trouvez le bien immobilier qui correspond idéalement à vos désirs sur ImmoScout24 - La plateforme de l'immobilier en Suisse.</v>
      </c>
    </row>
    <row r="5369" hidden="1">
      <c r="A5369" s="5" t="s">
        <v>13834</v>
      </c>
      <c r="B5369" s="2" t="s">
        <v>13835</v>
      </c>
      <c r="C5369" s="2" t="s">
        <v>13835</v>
      </c>
      <c r="D5369" s="4" t="str">
        <f>vlookup(A5369, Sheet2!D:E, 2, 0)</f>
        <v>control</v>
      </c>
      <c r="E5369" s="4" t="str">
        <f>IFERROR(__xludf.DUMMYFUNCTION("if(H5369=""pays"",vlookup(REGEXEXTRACT(C5369, ""🏘️ \w+ \w+ (.*) ✅""),'Country prepositions'!A:B, 2, 0) &amp; "" "" &amp; REGEXEXTRACT(C5369, ""🏘️ \w+ \w+ (.*) ✅"") ,  if(H5369=""quartier"",vlookup(REGEXEXTRACT(C5369, ""🏘️ \w+ \w+ (.*) ✅""),'Quartier prepositio"&amp;"ns'!A:E, 5, 0) ,  if(H5369=""region"",vlookup(REGEXEXTRACT(C5369, ""🏘️ \w+ \w+ (.*) ✅""),'Region prepositions'!B:F, 5, 0),  REGEXEXTRACT(C5369, ""🏘️ \w+ \w+ (.*) ✅""))))"),"#N/A")</f>
        <v>#N/A</v>
      </c>
      <c r="I5369" s="4" t="str">
        <f>IFERROR(__xludf.DUMMYFUNCTION("if(D5369=""variant"",  substitute(filter(Templates!E:E, Templates!A:A = F5369, Templates!B:B = G5369, Templates!C:C = H5369), ""{{}}"", E5369), B5369)"),"Louer appartement Carouge GE: Trouvez le bien immobilier qui correspond idéalement à vos désirs sur ImmoScout24 - La plateforme de l'immobilier en Suisse.")</f>
        <v>Louer appartement Carouge GE: Trouvez le bien immobilier qui correspond idéalement à vos désirs sur ImmoScout24 - La plateforme de l'immobilier en Suisse.</v>
      </c>
    </row>
    <row r="5370" hidden="1">
      <c r="A5370" s="5" t="s">
        <v>13836</v>
      </c>
      <c r="B5370" s="2" t="s">
        <v>13837</v>
      </c>
      <c r="C5370" s="2" t="s">
        <v>13837</v>
      </c>
      <c r="D5370" s="4" t="str">
        <f>vlookup(A5370, Sheet2!D:E, 2, 0)</f>
        <v>control</v>
      </c>
      <c r="E5370" s="4" t="str">
        <f>IFERROR(__xludf.DUMMYFUNCTION("if(H5370=""pays"",vlookup(REGEXEXTRACT(C5370, ""🏘️ \w+ \w+ (.*) ✅""),'Country prepositions'!A:B, 2, 0) &amp; "" "" &amp; REGEXEXTRACT(C5370, ""🏘️ \w+ \w+ (.*) ✅"") ,  if(H5370=""quartier"",vlookup(REGEXEXTRACT(C5370, ""🏘️ \w+ \w+ (.*) ✅""),'Quartier prepositio"&amp;"ns'!A:E, 5, 0) ,  if(H5370=""region"",vlookup(REGEXEXTRACT(C5370, ""🏘️ \w+ \w+ (.*) ✅""),'Region prepositions'!B:F, 5, 0),  REGEXEXTRACT(C5370, ""🏘️ \w+ \w+ (.*) ✅""))))"),"#N/A")</f>
        <v>#N/A</v>
      </c>
      <c r="I5370" s="4" t="str">
        <f>IFERROR(__xludf.DUMMYFUNCTION("if(D5370=""variant"",  substitute(filter(Templates!E:E, Templates!A:A = F5370, Templates!B:B = G5370, Templates!C:C = H5370), ""{{}}"", E5370), B5370)"),"Louer appartement Glattbrugg: Trouvez le bien immobilier qui correspond idéalement à vos désirs sur ImmoScout24 - La plateforme de l'immobilier en Suisse.")</f>
        <v>Louer appartement Glattbrugg: Trouvez le bien immobilier qui correspond idéalement à vos désirs sur ImmoScout24 - La plateforme de l'immobilier en Suisse.</v>
      </c>
    </row>
    <row r="5371" hidden="1">
      <c r="A5371" s="5" t="s">
        <v>13838</v>
      </c>
      <c r="B5371" s="2" t="s">
        <v>13839</v>
      </c>
      <c r="C5371" s="2" t="s">
        <v>13839</v>
      </c>
      <c r="D5371" s="4" t="str">
        <f>vlookup(A5371, Sheet2!D:E, 2, 0)</f>
        <v>control</v>
      </c>
      <c r="E5371" s="4" t="str">
        <f>IFERROR(__xludf.DUMMYFUNCTION("if(H5371=""pays"",vlookup(REGEXEXTRACT(C5371, ""🏘️ \w+ \w+ (.*) ✅""),'Country prepositions'!A:B, 2, 0) &amp; "" "" &amp; REGEXEXTRACT(C5371, ""🏘️ \w+ \w+ (.*) ✅"") ,  if(H5371=""quartier"",vlookup(REGEXEXTRACT(C5371, ""🏘️ \w+ \w+ (.*) ✅""),'Quartier prepositio"&amp;"ns'!A:E, 5, 0) ,  if(H5371=""region"",vlookup(REGEXEXTRACT(C5371, ""🏘️ \w+ \w+ (.*) ✅""),'Region prepositions'!B:F, 5, 0),  REGEXEXTRACT(C5371, ""🏘️ \w+ \w+ (.*) ✅""))))"),"#N/A")</f>
        <v>#N/A</v>
      </c>
      <c r="I5371" s="4" t="str">
        <f>IFERROR(__xludf.DUMMYFUNCTION("if(D5371=""variant"",  substitute(filter(Templates!E:E, Templates!A:A = F5371, Templates!B:B = G5371, Templates!C:C = H5371), ""{{}}"", E5371), B5371)"),"Vendre maison Porza: Trouvez le bien immobilier qui correspond idéalement à vos désirs sur ImmoScout24 - La plateforme de l'immobilier en Suisse.")</f>
        <v>Vendre maison Porza: Trouvez le bien immobilier qui correspond idéalement à vos désirs sur ImmoScout24 - La plateforme de l'immobilier en Suisse.</v>
      </c>
    </row>
    <row r="5372" hidden="1">
      <c r="A5372" s="5" t="s">
        <v>13840</v>
      </c>
      <c r="B5372" s="2" t="s">
        <v>13841</v>
      </c>
      <c r="C5372" s="2" t="s">
        <v>13841</v>
      </c>
      <c r="D5372" s="4" t="str">
        <f>vlookup(A5372, Sheet2!D:E, 2, 0)</f>
        <v>control</v>
      </c>
      <c r="E5372" s="4" t="str">
        <f>IFERROR(__xludf.DUMMYFUNCTION("if(H5372=""pays"",vlookup(REGEXEXTRACT(C5372, ""🏘️ \w+ \w+ (.*) ✅""),'Country prepositions'!A:B, 2, 0) &amp; "" "" &amp; REGEXEXTRACT(C5372, ""🏘️ \w+ \w+ (.*) ✅"") ,  if(H5372=""quartier"",vlookup(REGEXEXTRACT(C5372, ""🏘️ \w+ \w+ (.*) ✅""),'Quartier prepositio"&amp;"ns'!A:E, 5, 0) ,  if(H5372=""region"",vlookup(REGEXEXTRACT(C5372, ""🏘️ \w+ \w+ (.*) ✅""),'Region prepositions'!B:F, 5, 0),  REGEXEXTRACT(C5372, ""🏘️ \w+ \w+ (.*) ✅""))))"),"#N/A")</f>
        <v>#N/A</v>
      </c>
      <c r="I5372" s="4" t="str">
        <f>IFERROR(__xludf.DUMMYFUNCTION("if(D5372=""variant"",  substitute(filter(Templates!E:E, Templates!A:A = F5372, Templates!B:B = G5372, Templates!C:C = H5372), ""{{}}"", E5372), B5372)"),"Vendre appartement Réchy: Trouvez le bien immobilier qui correspond idéalement à vos désirs sur ImmoScout24 - La plateforme de l'immobilier en Suisse.")</f>
        <v>Vendre appartement Réchy: Trouvez le bien immobilier qui correspond idéalement à vos désirs sur ImmoScout24 - La plateforme de l'immobilier en Suisse.</v>
      </c>
    </row>
    <row r="5373" hidden="1">
      <c r="A5373" s="5" t="s">
        <v>13842</v>
      </c>
      <c r="B5373" s="2" t="s">
        <v>13843</v>
      </c>
      <c r="C5373" s="2" t="s">
        <v>13843</v>
      </c>
      <c r="D5373" s="4" t="str">
        <f>vlookup(A5373, Sheet2!D:E, 2, 0)</f>
        <v>control</v>
      </c>
      <c r="E5373" s="4" t="str">
        <f>IFERROR(__xludf.DUMMYFUNCTION("if(H5373=""pays"",vlookup(REGEXEXTRACT(C5373, ""🏘️ \w+ \w+ (.*) ✅""),'Country prepositions'!A:B, 2, 0) &amp; "" "" &amp; REGEXEXTRACT(C5373, ""🏘️ \w+ \w+ (.*) ✅"") ,  if(H5373=""quartier"",vlookup(REGEXEXTRACT(C5373, ""🏘️ \w+ \w+ (.*) ✅""),'Quartier prepositio"&amp;"ns'!A:E, 5, 0) ,  if(H5373=""region"",vlookup(REGEXEXTRACT(C5373, ""🏘️ \w+ \w+ (.*) ✅""),'Region prepositions'!B:F, 5, 0),  REGEXEXTRACT(C5373, ""🏘️ \w+ \w+ (.*) ✅""))))"),"#N/A")</f>
        <v>#N/A</v>
      </c>
      <c r="I5373" s="4" t="str">
        <f>IFERROR(__xludf.DUMMYFUNCTION("if(D5373=""variant"",  substitute(filter(Templates!E:E, Templates!A:A = F5373, Templates!B:B = G5373, Templates!C:C = H5373), ""{{}}"", E5373), B5373)"),"Vendre maison Ayer: Trouvez le bien immobilier qui correspond idéalement à vos désirs sur ImmoScout24 - La plateforme de l'immobilier en Suisse.")</f>
        <v>Vendre maison Ayer: Trouvez le bien immobilier qui correspond idéalement à vos désirs sur ImmoScout24 - La plateforme de l'immobilier en Suisse.</v>
      </c>
    </row>
    <row r="5374" hidden="1">
      <c r="A5374" s="5" t="s">
        <v>13844</v>
      </c>
      <c r="B5374" s="2" t="s">
        <v>13845</v>
      </c>
      <c r="C5374" s="2" t="s">
        <v>13845</v>
      </c>
      <c r="D5374" s="4" t="str">
        <f>vlookup(A5374, Sheet2!D:E, 2, 0)</f>
        <v>control</v>
      </c>
      <c r="E5374" s="4" t="str">
        <f>IFERROR(__xludf.DUMMYFUNCTION("if(H5374=""pays"",vlookup(REGEXEXTRACT(C5374, ""🏘️ \w+ \w+ (.*) ✅""),'Country prepositions'!A:B, 2, 0) &amp; "" "" &amp; REGEXEXTRACT(C5374, ""🏘️ \w+ \w+ (.*) ✅"") ,  if(H5374=""quartier"",vlookup(REGEXEXTRACT(C5374, ""🏘️ \w+ \w+ (.*) ✅""),'Quartier prepositio"&amp;"ns'!A:E, 5, 0) ,  if(H5374=""region"",vlookup(REGEXEXTRACT(C5374, ""🏘️ \w+ \w+ (.*) ✅""),'Region prepositions'!B:F, 5, 0),  REGEXEXTRACT(C5374, ""🏘️ \w+ \w+ (.*) ✅""))))"),"#N/A")</f>
        <v>#N/A</v>
      </c>
      <c r="I5374" s="4" t="str">
        <f>IFERROR(__xludf.DUMMYFUNCTION("if(D5374=""variant"",  substitute(filter(Templates!E:E, Templates!A:A = F5374, Templates!B:B = G5374, Templates!C:C = H5374), ""{{}}"", E5374), B5374)"),"Vendre appartement Villargiroud: Trouvez le bien immobilier qui correspond idéalement à vos désirs sur ImmoScout24 - La plateforme de l'immobilier en Suisse.")</f>
        <v>Vendre appartement Villargiroud: Trouvez le bien immobilier qui correspond idéalement à vos désirs sur ImmoScout24 - La plateforme de l'immobilier en Suisse.</v>
      </c>
    </row>
    <row r="5375" hidden="1">
      <c r="A5375" s="5" t="s">
        <v>13846</v>
      </c>
      <c r="B5375" s="2" t="s">
        <v>13847</v>
      </c>
      <c r="C5375" s="2" t="s">
        <v>13847</v>
      </c>
      <c r="D5375" s="4" t="str">
        <f>vlookup(A5375, Sheet2!D:E, 2, 0)</f>
        <v>control</v>
      </c>
      <c r="E5375" s="4" t="str">
        <f>IFERROR(__xludf.DUMMYFUNCTION("if(H5375=""pays"",vlookup(REGEXEXTRACT(C5375, ""🏘️ \w+ \w+ (.*) ✅""),'Country prepositions'!A:B, 2, 0) &amp; "" "" &amp; REGEXEXTRACT(C5375, ""🏘️ \w+ \w+ (.*) ✅"") ,  if(H5375=""quartier"",vlookup(REGEXEXTRACT(C5375, ""🏘️ \w+ \w+ (.*) ✅""),'Quartier prepositio"&amp;"ns'!A:E, 5, 0) ,  if(H5375=""region"",vlookup(REGEXEXTRACT(C5375, ""🏘️ \w+ \w+ (.*) ✅""),'Region prepositions'!B:F, 5, 0),  REGEXEXTRACT(C5375, ""🏘️ \w+ \w+ (.*) ✅""))))"),"#N/A")</f>
        <v>#N/A</v>
      </c>
      <c r="I5375" s="4" t="str">
        <f>IFERROR(__xludf.DUMMYFUNCTION("if(D5375=""variant"",  substitute(filter(Templates!E:E, Templates!A:A = F5375, Templates!B:B = G5375, Templates!C:C = H5375), ""{{}}"", E5375), B5375)"),"Vendre maison Flums: Trouvez le bien immobilier qui correspond idéalement à vos désirs sur ImmoScout24 - La plateforme de l'immobilier en Suisse.")</f>
        <v>Vendre maison Flums: Trouvez le bien immobilier qui correspond idéalement à vos désirs sur ImmoScout24 - La plateforme de l'immobilier en Suisse.</v>
      </c>
    </row>
    <row r="5376" hidden="1">
      <c r="A5376" s="5" t="s">
        <v>13848</v>
      </c>
      <c r="B5376" s="2" t="s">
        <v>13849</v>
      </c>
      <c r="C5376" s="2" t="s">
        <v>13849</v>
      </c>
      <c r="D5376" s="4" t="str">
        <f>vlookup(A5376, Sheet2!D:E, 2, 0)</f>
        <v>control</v>
      </c>
      <c r="E5376" s="4" t="str">
        <f>IFERROR(__xludf.DUMMYFUNCTION("if(H5376=""pays"",vlookup(REGEXEXTRACT(C5376, ""🏘️ \w+ \w+ (.*) ✅""),'Country prepositions'!A:B, 2, 0) &amp; "" "" &amp; REGEXEXTRACT(C5376, ""🏘️ \w+ \w+ (.*) ✅"") ,  if(H5376=""quartier"",vlookup(REGEXEXTRACT(C5376, ""🏘️ \w+ \w+ (.*) ✅""),'Quartier prepositio"&amp;"ns'!A:E, 5, 0) ,  if(H5376=""region"",vlookup(REGEXEXTRACT(C5376, ""🏘️ \w+ \w+ (.*) ✅""),'Region prepositions'!B:F, 5, 0),  REGEXEXTRACT(C5376, ""🏘️ \w+ \w+ (.*) ✅""))))"),"#N/A")</f>
        <v>#N/A</v>
      </c>
      <c r="I5376" s="4" t="str">
        <f>IFERROR(__xludf.DUMMYFUNCTION("if(D5376=""variant"",  substitute(filter(Templates!E:E, Templates!A:A = F5376, Templates!B:B = G5376, Templates!C:C = H5376), ""{{}}"", E5376), B5376)"),"Vendre appartement Malters: Trouvez le bien immobilier qui correspond idéalement à vos désirs sur ImmoScout24 - La plateforme de l'immobilier en Suisse.")</f>
        <v>Vendre appartement Malters: Trouvez le bien immobilier qui correspond idéalement à vos désirs sur ImmoScout24 - La plateforme de l'immobilier en Suisse.</v>
      </c>
    </row>
    <row r="5377" hidden="1">
      <c r="A5377" s="5" t="s">
        <v>13850</v>
      </c>
      <c r="B5377" s="2" t="s">
        <v>13851</v>
      </c>
      <c r="C5377" s="2" t="s">
        <v>13851</v>
      </c>
      <c r="D5377" s="4" t="str">
        <f>vlookup(A5377, Sheet2!D:E, 2, 0)</f>
        <v>control</v>
      </c>
      <c r="E5377" s="4" t="str">
        <f>IFERROR(__xludf.DUMMYFUNCTION("if(H5377=""pays"",vlookup(REGEXEXTRACT(C5377, ""🏘️ \w+ \w+ (.*) ✅""),'Country prepositions'!A:B, 2, 0) &amp; "" "" &amp; REGEXEXTRACT(C5377, ""🏘️ \w+ \w+ (.*) ✅"") ,  if(H5377=""quartier"",vlookup(REGEXEXTRACT(C5377, ""🏘️ \w+ \w+ (.*) ✅""),'Quartier prepositio"&amp;"ns'!A:E, 5, 0) ,  if(H5377=""region"",vlookup(REGEXEXTRACT(C5377, ""🏘️ \w+ \w+ (.*) ✅""),'Region prepositions'!B:F, 5, 0),  REGEXEXTRACT(C5377, ""🏘️ \w+ \w+ (.*) ✅""))))"),"#N/A")</f>
        <v>#N/A</v>
      </c>
      <c r="I5377" s="4" t="str">
        <f>IFERROR(__xludf.DUMMYFUNCTION("if(D5377=""variant"",  substitute(filter(Templates!E:E, Templates!A:A = F5377, Templates!B:B = G5377, Templates!C:C = H5377), ""{{}}"", E5377), B5377)"),"Vendre maison Berlens: Trouvez le bien immobilier qui correspond idéalement à vos désirs sur ImmoScout24 - La plateforme de l'immobilier en Suisse.")</f>
        <v>Vendre maison Berlens: Trouvez le bien immobilier qui correspond idéalement à vos désirs sur ImmoScout24 - La plateforme de l'immobilier en Suisse.</v>
      </c>
    </row>
    <row r="5378" hidden="1">
      <c r="A5378" s="5" t="s">
        <v>13852</v>
      </c>
      <c r="B5378" s="2" t="s">
        <v>13853</v>
      </c>
      <c r="C5378" s="2" t="s">
        <v>13853</v>
      </c>
      <c r="D5378" s="4" t="str">
        <f>vlookup(A5378, Sheet2!D:E, 2, 0)</f>
        <v>control</v>
      </c>
      <c r="E5378" s="4" t="str">
        <f>IFERROR(__xludf.DUMMYFUNCTION("if(H5378=""pays"",vlookup(REGEXEXTRACT(C5378, ""🏘️ \w+ \w+ (.*) ✅""),'Country prepositions'!A:B, 2, 0) &amp; "" "" &amp; REGEXEXTRACT(C5378, ""🏘️ \w+ \w+ (.*) ✅"") ,  if(H5378=""quartier"",vlookup(REGEXEXTRACT(C5378, ""🏘️ \w+ \w+ (.*) ✅""),'Quartier prepositio"&amp;"ns'!A:E, 5, 0) ,  if(H5378=""region"",vlookup(REGEXEXTRACT(C5378, ""🏘️ \w+ \w+ (.*) ✅""),'Region prepositions'!B:F, 5, 0),  REGEXEXTRACT(C5378, ""🏘️ \w+ \w+ (.*) ✅""))))"),"#N/A")</f>
        <v>#N/A</v>
      </c>
      <c r="I5378" s="4" t="str">
        <f>IFERROR(__xludf.DUMMYFUNCTION("if(D5378=""variant"",  substitute(filter(Templates!E:E, Templates!A:A = F5378, Templates!B:B = G5378, Templates!C:C = H5378), ""{{}}"", E5378), B5378)"),"Louer appartement La Praz: Trouvez le bien immobilier qui correspond idéalement à vos désirs sur ImmoScout24 - La plateforme de l'immobilier en Suisse.")</f>
        <v>Louer appartement La Praz: Trouvez le bien immobilier qui correspond idéalement à vos désirs sur ImmoScout24 - La plateforme de l'immobilier en Suisse.</v>
      </c>
    </row>
    <row r="5379" hidden="1">
      <c r="A5379" s="5" t="s">
        <v>13854</v>
      </c>
      <c r="B5379" s="2" t="s">
        <v>13855</v>
      </c>
      <c r="C5379" s="2" t="s">
        <v>13855</v>
      </c>
      <c r="D5379" s="4" t="str">
        <f>vlookup(A5379, Sheet2!D:E, 2, 0)</f>
        <v>control</v>
      </c>
      <c r="E5379" s="4" t="str">
        <f>IFERROR(__xludf.DUMMYFUNCTION("if(H5379=""pays"",vlookup(REGEXEXTRACT(C5379, ""🏘️ \w+ \w+ (.*) ✅""),'Country prepositions'!A:B, 2, 0) &amp; "" "" &amp; REGEXEXTRACT(C5379, ""🏘️ \w+ \w+ (.*) ✅"") ,  if(H5379=""quartier"",vlookup(REGEXEXTRACT(C5379, ""🏘️ \w+ \w+ (.*) ✅""),'Quartier prepositio"&amp;"ns'!A:E, 5, 0) ,  if(H5379=""region"",vlookup(REGEXEXTRACT(C5379, ""🏘️ \w+ \w+ (.*) ✅""),'Region prepositions'!B:F, 5, 0),  REGEXEXTRACT(C5379, ""🏘️ \w+ \w+ (.*) ✅""))))"),"#N/A")</f>
        <v>#N/A</v>
      </c>
      <c r="I5379" s="4" t="str">
        <f>IFERROR(__xludf.DUMMYFUNCTION("if(D5379=""variant"",  substitute(filter(Templates!E:E, Templates!A:A = F5379, Templates!B:B = G5379, Templates!C:C = H5379), ""{{}}"", E5379), B5379)"),"Louer appartement Busswil BE: Trouvez le bien immobilier qui correspond idéalement à vos désirs sur ImmoScout24 - La plateforme de l'immobilier en Suisse.")</f>
        <v>Louer appartement Busswil BE: Trouvez le bien immobilier qui correspond idéalement à vos désirs sur ImmoScout24 - La plateforme de l'immobilier en Suisse.</v>
      </c>
    </row>
    <row r="5380" hidden="1">
      <c r="A5380" s="5" t="s">
        <v>13856</v>
      </c>
      <c r="B5380" s="2" t="s">
        <v>13857</v>
      </c>
      <c r="C5380" s="2" t="s">
        <v>13857</v>
      </c>
      <c r="D5380" s="4" t="str">
        <f>vlookup(A5380, Sheet2!D:E, 2, 0)</f>
        <v>control</v>
      </c>
      <c r="E5380" s="4" t="str">
        <f>IFERROR(__xludf.DUMMYFUNCTION("if(H5380=""pays"",vlookup(REGEXEXTRACT(C5380, ""🏘️ \w+ \w+ (.*) ✅""),'Country prepositions'!A:B, 2, 0) &amp; "" "" &amp; REGEXEXTRACT(C5380, ""🏘️ \w+ \w+ (.*) ✅"") ,  if(H5380=""quartier"",vlookup(REGEXEXTRACT(C5380, ""🏘️ \w+ \w+ (.*) ✅""),'Quartier prepositio"&amp;"ns'!A:E, 5, 0) ,  if(H5380=""region"",vlookup(REGEXEXTRACT(C5380, ""🏘️ \w+ \w+ (.*) ✅""),'Region prepositions'!B:F, 5, 0),  REGEXEXTRACT(C5380, ""🏘️ \w+ \w+ (.*) ✅""))))"),"#N/A")</f>
        <v>#N/A</v>
      </c>
      <c r="I5380" s="4" t="str">
        <f>IFERROR(__xludf.DUMMYFUNCTION("if(D5380=""variant"",  substitute(filter(Templates!E:E, Templates!A:A = F5380, Templates!B:B = G5380, Templates!C:C = H5380), ""{{}}"", E5380), B5380)"),"Louer maison Dorénaz: Trouvez le bien immobilier qui correspond idéalement à vos désirs sur ImmoScout24 - La plateforme de l'immobilier en Suisse.")</f>
        <v>Louer maison Dorénaz: Trouvez le bien immobilier qui correspond idéalement à vos désirs sur ImmoScout24 - La plateforme de l'immobilier en Suisse.</v>
      </c>
    </row>
    <row r="5381" hidden="1">
      <c r="A5381" s="5" t="s">
        <v>13858</v>
      </c>
      <c r="B5381" s="2" t="s">
        <v>13859</v>
      </c>
      <c r="C5381" s="2" t="s">
        <v>13859</v>
      </c>
      <c r="D5381" s="4" t="str">
        <f>vlookup(A5381, Sheet2!D:E, 2, 0)</f>
        <v>control</v>
      </c>
      <c r="E5381" s="4" t="str">
        <f>IFERROR(__xludf.DUMMYFUNCTION("if(H5381=""pays"",vlookup(REGEXEXTRACT(C5381, ""🏘️ \w+ \w+ (.*) ✅""),'Country prepositions'!A:B, 2, 0) &amp; "" "" &amp; REGEXEXTRACT(C5381, ""🏘️ \w+ \w+ (.*) ✅"") ,  if(H5381=""quartier"",vlookup(REGEXEXTRACT(C5381, ""🏘️ \w+ \w+ (.*) ✅""),'Quartier prepositio"&amp;"ns'!A:E, 5, 0) ,  if(H5381=""region"",vlookup(REGEXEXTRACT(C5381, ""🏘️ \w+ \w+ (.*) ✅""),'Region prepositions'!B:F, 5, 0),  REGEXEXTRACT(C5381, ""🏘️ \w+ \w+ (.*) ✅""))))"),"#N/A")</f>
        <v>#N/A</v>
      </c>
      <c r="I5381" s="4" t="str">
        <f>IFERROR(__xludf.DUMMYFUNCTION("if(D5381=""variant"",  substitute(filter(Templates!E:E, Templates!A:A = F5381, Templates!B:B = G5381, Templates!C:C = H5381), ""{{}}"", E5381), B5381)"),"Louer appartement Villarlod: Trouvez le bien immobilier qui correspond idéalement à vos désirs sur ImmoScout24 - La plateforme de l'immobilier en Suisse.")</f>
        <v>Louer appartement Villarlod: Trouvez le bien immobilier qui correspond idéalement à vos désirs sur ImmoScout24 - La plateforme de l'immobilier en Suisse.</v>
      </c>
    </row>
    <row r="5382" hidden="1">
      <c r="A5382" s="5" t="s">
        <v>13860</v>
      </c>
      <c r="B5382" s="2" t="s">
        <v>13861</v>
      </c>
      <c r="C5382" s="2" t="s">
        <v>13861</v>
      </c>
      <c r="D5382" s="4" t="str">
        <f>vlookup(A5382, Sheet2!D:E, 2, 0)</f>
        <v>control</v>
      </c>
      <c r="E5382" s="4" t="str">
        <f>IFERROR(__xludf.DUMMYFUNCTION("if(H5382=""pays"",vlookup(REGEXEXTRACT(C5382, ""🏘️ \w+ \w+ (.*) ✅""),'Country prepositions'!A:B, 2, 0) &amp; "" "" &amp; REGEXEXTRACT(C5382, ""🏘️ \w+ \w+ (.*) ✅"") ,  if(H5382=""quartier"",vlookup(REGEXEXTRACT(C5382, ""🏘️ \w+ \w+ (.*) ✅""),'Quartier prepositio"&amp;"ns'!A:E, 5, 0) ,  if(H5382=""region"",vlookup(REGEXEXTRACT(C5382, ""🏘️ \w+ \w+ (.*) ✅""),'Region prepositions'!B:F, 5, 0),  REGEXEXTRACT(C5382, ""🏘️ \w+ \w+ (.*) ✅""))))"),"#N/A")</f>
        <v>#N/A</v>
      </c>
      <c r="I5382" s="4" t="str">
        <f>IFERROR(__xludf.DUMMYFUNCTION("if(D5382=""variant"",  substitute(filter(Templates!E:E, Templates!A:A = F5382, Templates!B:B = G5382, Templates!C:C = H5382), ""{{}}"", E5382), B5382)"),"Vendre maison Romont BE: Trouvez le bien immobilier qui correspond idéalement à vos désirs sur ImmoScout24 - La plateforme de l'immobilier en Suisse.")</f>
        <v>Vendre maison Romont BE: Trouvez le bien immobilier qui correspond idéalement à vos désirs sur ImmoScout24 - La plateforme de l'immobilier en Suisse.</v>
      </c>
    </row>
    <row r="5383" hidden="1">
      <c r="A5383" s="5" t="s">
        <v>13862</v>
      </c>
      <c r="B5383" s="2" t="s">
        <v>13863</v>
      </c>
      <c r="C5383" s="2" t="s">
        <v>13863</v>
      </c>
      <c r="D5383" s="4" t="str">
        <f>vlookup(A5383, Sheet2!D:E, 2, 0)</f>
        <v>control</v>
      </c>
      <c r="E5383" s="4" t="str">
        <f>IFERROR(__xludf.DUMMYFUNCTION("if(H5383=""pays"",vlookup(REGEXEXTRACT(C5383, ""🏘️ \w+ \w+ (.*) ✅""),'Country prepositions'!A:B, 2, 0) &amp; "" "" &amp; REGEXEXTRACT(C5383, ""🏘️ \w+ \w+ (.*) ✅"") ,  if(H5383=""quartier"",vlookup(REGEXEXTRACT(C5383, ""🏘️ \w+ \w+ (.*) ✅""),'Quartier prepositio"&amp;"ns'!A:E, 5, 0) ,  if(H5383=""region"",vlookup(REGEXEXTRACT(C5383, ""🏘️ \w+ \w+ (.*) ✅""),'Region prepositions'!B:F, 5, 0),  REGEXEXTRACT(C5383, ""🏘️ \w+ \w+ (.*) ✅""))))"),"#N/A")</f>
        <v>#N/A</v>
      </c>
      <c r="I5383" s="4" t="str">
        <f>IFERROR(__xludf.DUMMYFUNCTION("if(D5383=""variant"",  substitute(filter(Templates!E:E, Templates!A:A = F5383, Templates!B:B = G5383, Templates!C:C = H5383), ""{{}}"", E5383), B5383)"),"Louer appartement Kollbrunn: Trouvez le bien immobilier qui correspond idéalement à vos désirs sur ImmoScout24 - La plateforme de l'immobilier en Suisse.")</f>
        <v>Louer appartement Kollbrunn: Trouvez le bien immobilier qui correspond idéalement à vos désirs sur ImmoScout24 - La plateforme de l'immobilier en Suisse.</v>
      </c>
    </row>
    <row r="5384" hidden="1">
      <c r="A5384" s="5" t="s">
        <v>13864</v>
      </c>
      <c r="B5384" s="2" t="s">
        <v>13865</v>
      </c>
      <c r="C5384" s="2" t="s">
        <v>13865</v>
      </c>
      <c r="D5384" s="4" t="str">
        <f>vlookup(A5384, Sheet2!D:E, 2, 0)</f>
        <v>control</v>
      </c>
      <c r="E5384" s="4" t="str">
        <f>IFERROR(__xludf.DUMMYFUNCTION("if(H5384=""pays"",vlookup(REGEXEXTRACT(C5384, ""🏘️ \w+ \w+ (.*) ✅""),'Country prepositions'!A:B, 2, 0) &amp; "" "" &amp; REGEXEXTRACT(C5384, ""🏘️ \w+ \w+ (.*) ✅"") ,  if(H5384=""quartier"",vlookup(REGEXEXTRACT(C5384, ""🏘️ \w+ \w+ (.*) ✅""),'Quartier prepositio"&amp;"ns'!A:E, 5, 0) ,  if(H5384=""region"",vlookup(REGEXEXTRACT(C5384, ""🏘️ \w+ \w+ (.*) ✅""),'Region prepositions'!B:F, 5, 0),  REGEXEXTRACT(C5384, ""🏘️ \w+ \w+ (.*) ✅""))))"),"#N/A")</f>
        <v>#N/A</v>
      </c>
      <c r="I5384" s="4" t="str">
        <f>IFERROR(__xludf.DUMMYFUNCTION("if(D5384=""variant"",  substitute(filter(Templates!E:E, Templates!A:A = F5384, Templates!B:B = G5384, Templates!C:C = H5384), ""{{}}"", E5384), B5384)"),"Louer appartement Kreuzlingen: Trouvez le bien immobilier qui correspond idéalement à vos désirs sur ImmoScout24 - La plateforme de l'immobilier en Suisse.")</f>
        <v>Louer appartement Kreuzlingen: Trouvez le bien immobilier qui correspond idéalement à vos désirs sur ImmoScout24 - La plateforme de l'immobilier en Suisse.</v>
      </c>
    </row>
    <row r="5385" hidden="1">
      <c r="A5385" s="5" t="s">
        <v>13866</v>
      </c>
      <c r="B5385" s="2" t="s">
        <v>13867</v>
      </c>
      <c r="C5385" s="2" t="s">
        <v>13867</v>
      </c>
      <c r="D5385" s="4" t="str">
        <f>vlookup(A5385, Sheet2!D:E, 2, 0)</f>
        <v>control</v>
      </c>
      <c r="E5385" s="4" t="str">
        <f>IFERROR(__xludf.DUMMYFUNCTION("if(H5385=""pays"",vlookup(REGEXEXTRACT(C5385, ""🏘️ \w+ \w+ (.*) ✅""),'Country prepositions'!A:B, 2, 0) &amp; "" "" &amp; REGEXEXTRACT(C5385, ""🏘️ \w+ \w+ (.*) ✅"") ,  if(H5385=""quartier"",vlookup(REGEXEXTRACT(C5385, ""🏘️ \w+ \w+ (.*) ✅""),'Quartier prepositio"&amp;"ns'!A:E, 5, 0) ,  if(H5385=""region"",vlookup(REGEXEXTRACT(C5385, ""🏘️ \w+ \w+ (.*) ✅""),'Region prepositions'!B:F, 5, 0),  REGEXEXTRACT(C5385, ""🏘️ \w+ \w+ (.*) ✅""))))"),"#N/A")</f>
        <v>#N/A</v>
      </c>
      <c r="I5385" s="4" t="str">
        <f>IFERROR(__xludf.DUMMYFUNCTION("if(D5385=""variant"",  substitute(filter(Templates!E:E, Templates!A:A = F5385, Templates!B:B = G5385, Templates!C:C = H5385), ""{{}}"", E5385), B5385)"),"Louer appartement Belmont-sur-Yverdon: Trouvez le bien immobilier qui correspond idéalement à vos désirs sur ImmoScout24 - La plateforme de l'immobilier en Suisse.")</f>
        <v>Louer appartement Belmont-sur-Yverdon: Trouvez le bien immobilier qui correspond idéalement à vos désirs sur ImmoScout24 - La plateforme de l'immobilier en Suisse.</v>
      </c>
    </row>
    <row r="5386" hidden="1">
      <c r="A5386" s="5" t="s">
        <v>13868</v>
      </c>
      <c r="B5386" s="2" t="s">
        <v>13869</v>
      </c>
      <c r="C5386" s="2" t="s">
        <v>13869</v>
      </c>
      <c r="D5386" s="4" t="str">
        <f>vlookup(A5386, Sheet2!D:E, 2, 0)</f>
        <v>control</v>
      </c>
      <c r="E5386" s="4" t="str">
        <f>IFERROR(__xludf.DUMMYFUNCTION("if(H5386=""pays"",vlookup(REGEXEXTRACT(C5386, ""🏘️ \w+ \w+ (.*) ✅""),'Country prepositions'!A:B, 2, 0) &amp; "" "" &amp; REGEXEXTRACT(C5386, ""🏘️ \w+ \w+ (.*) ✅"") ,  if(H5386=""quartier"",vlookup(REGEXEXTRACT(C5386, ""🏘️ \w+ \w+ (.*) ✅""),'Quartier prepositio"&amp;"ns'!A:E, 5, 0) ,  if(H5386=""region"",vlookup(REGEXEXTRACT(C5386, ""🏘️ \w+ \w+ (.*) ✅""),'Region prepositions'!B:F, 5, 0),  REGEXEXTRACT(C5386, ""🏘️ \w+ \w+ (.*) ✅""))))"),"#N/A")</f>
        <v>#N/A</v>
      </c>
      <c r="I5386" s="4" t="str">
        <f>IFERROR(__xludf.DUMMYFUNCTION("if(D5386=""variant"",  substitute(filter(Templates!E:E, Templates!A:A = F5386, Templates!B:B = G5386, Templates!C:C = H5386), ""{{}}"", E5386), B5386)"),"Vendre appartement Cugy VD: Trouvez le bien immobilier qui correspond idéalement à vos désirs sur ImmoScout24 - La plateforme de l'immobilier en Suisse.")</f>
        <v>Vendre appartement Cugy VD: Trouvez le bien immobilier qui correspond idéalement à vos désirs sur ImmoScout24 - La plateforme de l'immobilier en Suisse.</v>
      </c>
    </row>
    <row r="5387" hidden="1">
      <c r="A5387" s="5" t="s">
        <v>13870</v>
      </c>
      <c r="B5387" s="2" t="s">
        <v>13871</v>
      </c>
      <c r="C5387" s="2" t="s">
        <v>13871</v>
      </c>
      <c r="D5387" s="4" t="str">
        <f>vlookup(A5387, Sheet2!D:E, 2, 0)</f>
        <v>control</v>
      </c>
      <c r="E5387" s="4" t="str">
        <f>IFERROR(__xludf.DUMMYFUNCTION("if(H5387=""pays"",vlookup(REGEXEXTRACT(C5387, ""🏘️ \w+ \w+ (.*) ✅""),'Country prepositions'!A:B, 2, 0) &amp; "" "" &amp; REGEXEXTRACT(C5387, ""🏘️ \w+ \w+ (.*) ✅"") ,  if(H5387=""quartier"",vlookup(REGEXEXTRACT(C5387, ""🏘️ \w+ \w+ (.*) ✅""),'Quartier prepositio"&amp;"ns'!A:E, 5, 0) ,  if(H5387=""region"",vlookup(REGEXEXTRACT(C5387, ""🏘️ \w+ \w+ (.*) ✅""),'Region prepositions'!B:F, 5, 0),  REGEXEXTRACT(C5387, ""🏘️ \w+ \w+ (.*) ✅""))))"),"#N/A")</f>
        <v>#N/A</v>
      </c>
      <c r="I5387" s="4" t="str">
        <f>IFERROR(__xludf.DUMMYFUNCTION("if(D5387=""variant"",  substitute(filter(Templates!E:E, Templates!A:A = F5387, Templates!B:B = G5387, Templates!C:C = H5387), ""{{}}"", E5387), B5387)"),"Vendre maison Vogorno: Trouvez le bien immobilier qui correspond idéalement à vos désirs sur ImmoScout24 - La plateforme de l'immobilier en Suisse.")</f>
        <v>Vendre maison Vogorno: Trouvez le bien immobilier qui correspond idéalement à vos désirs sur ImmoScout24 - La plateforme de l'immobilier en Suisse.</v>
      </c>
    </row>
    <row r="5388" hidden="1">
      <c r="A5388" s="5" t="s">
        <v>13872</v>
      </c>
      <c r="B5388" s="2" t="s">
        <v>13873</v>
      </c>
      <c r="C5388" s="2" t="s">
        <v>13873</v>
      </c>
      <c r="D5388" s="4" t="str">
        <f>vlookup(A5388, Sheet2!D:E, 2, 0)</f>
        <v>control</v>
      </c>
      <c r="E5388" s="4" t="str">
        <f>IFERROR(__xludf.DUMMYFUNCTION("if(H5388=""pays"",vlookup(REGEXEXTRACT(C5388, ""🏘️ \w+ \w+ (.*) ✅""),'Country prepositions'!A:B, 2, 0) &amp; "" "" &amp; REGEXEXTRACT(C5388, ""🏘️ \w+ \w+ (.*) ✅"") ,  if(H5388=""quartier"",vlookup(REGEXEXTRACT(C5388, ""🏘️ \w+ \w+ (.*) ✅""),'Quartier prepositio"&amp;"ns'!A:E, 5, 0) ,  if(H5388=""region"",vlookup(REGEXEXTRACT(C5388, ""🏘️ \w+ \w+ (.*) ✅""),'Region prepositions'!B:F, 5, 0),  REGEXEXTRACT(C5388, ""🏘️ \w+ \w+ (.*) ✅""))))"),"#N/A")</f>
        <v>#N/A</v>
      </c>
      <c r="I5388" s="4" t="str">
        <f>IFERROR(__xludf.DUMMYFUNCTION("if(D5388=""variant"",  substitute(filter(Templates!E:E, Templates!A:A = F5388, Templates!B:B = G5388, Templates!C:C = H5388), ""{{}}"", E5388), B5388)"),"Vendre maison S. Antonino: Trouvez le bien immobilier qui correspond idéalement à vos désirs sur ImmoScout24 - La plateforme de l'immobilier en Suisse.")</f>
        <v>Vendre maison S. Antonino: Trouvez le bien immobilier qui correspond idéalement à vos désirs sur ImmoScout24 - La plateforme de l'immobilier en Suisse.</v>
      </c>
    </row>
    <row r="5389" hidden="1">
      <c r="A5389" s="5" t="s">
        <v>13874</v>
      </c>
      <c r="B5389" s="2" t="s">
        <v>13875</v>
      </c>
      <c r="C5389" s="2" t="s">
        <v>13875</v>
      </c>
      <c r="D5389" s="4" t="str">
        <f>vlookup(A5389, Sheet2!D:E, 2, 0)</f>
        <v>control</v>
      </c>
      <c r="E5389" s="4" t="str">
        <f>IFERROR(__xludf.DUMMYFUNCTION("if(H5389=""pays"",vlookup(REGEXEXTRACT(C5389, ""🏘️ \w+ \w+ (.*) ✅""),'Country prepositions'!A:B, 2, 0) &amp; "" "" &amp; REGEXEXTRACT(C5389, ""🏘️ \w+ \w+ (.*) ✅"") ,  if(H5389=""quartier"",vlookup(REGEXEXTRACT(C5389, ""🏘️ \w+ \w+ (.*) ✅""),'Quartier prepositio"&amp;"ns'!A:E, 5, 0) ,  if(H5389=""region"",vlookup(REGEXEXTRACT(C5389, ""🏘️ \w+ \w+ (.*) ✅""),'Region prepositions'!B:F, 5, 0),  REGEXEXTRACT(C5389, ""🏘️ \w+ \w+ (.*) ✅""))))"),"#N/A")</f>
        <v>#N/A</v>
      </c>
      <c r="I5389" s="4" t="str">
        <f>IFERROR(__xludf.DUMMYFUNCTION("if(D5389=""variant"",  substitute(filter(Templates!E:E, Templates!A:A = F5389, Templates!B:B = G5389, Templates!C:C = H5389), ""{{}}"", E5389), B5389)"),"Vendre maison Villars-sur-Glâne: Trouvez le bien immobilier qui correspond idéalement à vos désirs sur ImmoScout24 - La plateforme de l'immobilier en Suisse.")</f>
        <v>Vendre maison Villars-sur-Glâne: Trouvez le bien immobilier qui correspond idéalement à vos désirs sur ImmoScout24 - La plateforme de l'immobilier en Suisse.</v>
      </c>
    </row>
    <row r="5390" hidden="1">
      <c r="A5390" s="5" t="s">
        <v>13876</v>
      </c>
      <c r="B5390" s="2" t="s">
        <v>13877</v>
      </c>
      <c r="C5390" s="2" t="s">
        <v>13877</v>
      </c>
      <c r="D5390" s="4" t="str">
        <f>vlookup(A5390, Sheet2!D:E, 2, 0)</f>
        <v>control</v>
      </c>
      <c r="E5390" s="4" t="str">
        <f>IFERROR(__xludf.DUMMYFUNCTION("if(H5390=""pays"",vlookup(REGEXEXTRACT(C5390, ""🏘️ \w+ \w+ (.*) ✅""),'Country prepositions'!A:B, 2, 0) &amp; "" "" &amp; REGEXEXTRACT(C5390, ""🏘️ \w+ \w+ (.*) ✅"") ,  if(H5390=""quartier"",vlookup(REGEXEXTRACT(C5390, ""🏘️ \w+ \w+ (.*) ✅""),'Quartier prepositio"&amp;"ns'!A:E, 5, 0) ,  if(H5390=""region"",vlookup(REGEXEXTRACT(C5390, ""🏘️ \w+ \w+ (.*) ✅""),'Region prepositions'!B:F, 5, 0),  REGEXEXTRACT(C5390, ""🏘️ \w+ \w+ (.*) ✅""))))"),"#N/A")</f>
        <v>#N/A</v>
      </c>
      <c r="I5390" s="4" t="str">
        <f>IFERROR(__xludf.DUMMYFUNCTION("if(D5390=""variant"",  substitute(filter(Templates!E:E, Templates!A:A = F5390, Templates!B:B = G5390, Templates!C:C = H5390), ""{{}}"", E5390), B5390)"),"Louer appartement Villigen: Trouvez le bien immobilier qui correspond idéalement à vos désirs sur ImmoScout24 - La plateforme de l'immobilier en Suisse.")</f>
        <v>Louer appartement Villigen: Trouvez le bien immobilier qui correspond idéalement à vos désirs sur ImmoScout24 - La plateforme de l'immobilier en Suisse.</v>
      </c>
    </row>
    <row r="5391" hidden="1">
      <c r="A5391" s="5" t="s">
        <v>13878</v>
      </c>
      <c r="B5391" s="2" t="s">
        <v>13879</v>
      </c>
      <c r="C5391" s="2" t="s">
        <v>13879</v>
      </c>
      <c r="D5391" s="4" t="str">
        <f>vlookup(A5391, Sheet2!D:E, 2, 0)</f>
        <v>control</v>
      </c>
      <c r="E5391" s="4" t="str">
        <f>IFERROR(__xludf.DUMMYFUNCTION("if(H5391=""pays"",vlookup(REGEXEXTRACT(C5391, ""🏘️ \w+ \w+ (.*) ✅""),'Country prepositions'!A:B, 2, 0) &amp; "" "" &amp; REGEXEXTRACT(C5391, ""🏘️ \w+ \w+ (.*) ✅"") ,  if(H5391=""quartier"",vlookup(REGEXEXTRACT(C5391, ""🏘️ \w+ \w+ (.*) ✅""),'Quartier prepositio"&amp;"ns'!A:E, 5, 0) ,  if(H5391=""region"",vlookup(REGEXEXTRACT(C5391, ""🏘️ \w+ \w+ (.*) ✅""),'Region prepositions'!B:F, 5, 0),  REGEXEXTRACT(C5391, ""🏘️ \w+ \w+ (.*) ✅""))))"),"#N/A")</f>
        <v>#N/A</v>
      </c>
      <c r="I5391" s="4" t="str">
        <f>IFERROR(__xludf.DUMMYFUNCTION("if(D5391=""variant"",  substitute(filter(Templates!E:E, Templates!A:A = F5391, Templates!B:B = G5391, Templates!C:C = H5391), ""{{}}"", E5391), B5391)"),"Vendre appartement Brignon (Nendaz): Trouvez le bien immobilier qui correspond idéalement à vos désirs sur ImmoScout24 - La plateforme de l'immobilier en Suisse.")</f>
        <v>Vendre appartement Brignon (Nendaz): Trouvez le bien immobilier qui correspond idéalement à vos désirs sur ImmoScout24 - La plateforme de l'immobilier en Suisse.</v>
      </c>
    </row>
    <row r="5392" hidden="1">
      <c r="A5392" s="5" t="s">
        <v>13880</v>
      </c>
      <c r="B5392" s="2" t="s">
        <v>13881</v>
      </c>
      <c r="C5392" s="2" t="s">
        <v>13881</v>
      </c>
      <c r="D5392" s="4" t="str">
        <f>vlookup(A5392, Sheet2!D:E, 2, 0)</f>
        <v>control</v>
      </c>
      <c r="E5392" s="4" t="str">
        <f>IFERROR(__xludf.DUMMYFUNCTION("if(H5392=""pays"",vlookup(REGEXEXTRACT(C5392, ""🏘️ \w+ \w+ (.*) ✅""),'Country prepositions'!A:B, 2, 0) &amp; "" "" &amp; REGEXEXTRACT(C5392, ""🏘️ \w+ \w+ (.*) ✅"") ,  if(H5392=""quartier"",vlookup(REGEXEXTRACT(C5392, ""🏘️ \w+ \w+ (.*) ✅""),'Quartier prepositio"&amp;"ns'!A:E, 5, 0) ,  if(H5392=""region"",vlookup(REGEXEXTRACT(C5392, ""🏘️ \w+ \w+ (.*) ✅""),'Region prepositions'!B:F, 5, 0),  REGEXEXTRACT(C5392, ""🏘️ \w+ \w+ (.*) ✅""))))"),"#N/A")</f>
        <v>#N/A</v>
      </c>
      <c r="I5392" s="4" t="str">
        <f>IFERROR(__xludf.DUMMYFUNCTION("if(D5392=""variant"",  substitute(filter(Templates!E:E, Templates!A:A = F5392, Templates!B:B = G5392, Templates!C:C = H5392), ""{{}}"", E5392), B5392)"),"Louer appartement Uster: Trouvez le bien immobilier qui correspond idéalement à vos désirs sur ImmoScout24 - La plateforme de l'immobilier en Suisse.")</f>
        <v>Louer appartement Uster: Trouvez le bien immobilier qui correspond idéalement à vos désirs sur ImmoScout24 - La plateforme de l'immobilier en Suisse.</v>
      </c>
    </row>
    <row r="5393" hidden="1">
      <c r="A5393" s="5" t="s">
        <v>13882</v>
      </c>
      <c r="B5393" s="2" t="s">
        <v>13883</v>
      </c>
      <c r="C5393" s="2" t="s">
        <v>13883</v>
      </c>
      <c r="D5393" s="4" t="str">
        <f>vlookup(A5393, Sheet2!D:E, 2, 0)</f>
        <v>control</v>
      </c>
      <c r="E5393" s="4" t="str">
        <f>IFERROR(__xludf.DUMMYFUNCTION("if(H5393=""pays"",vlookup(REGEXEXTRACT(C5393, ""🏘️ \w+ \w+ (.*) ✅""),'Country prepositions'!A:B, 2, 0) &amp; "" "" &amp; REGEXEXTRACT(C5393, ""🏘️ \w+ \w+ (.*) ✅"") ,  if(H5393=""quartier"",vlookup(REGEXEXTRACT(C5393, ""🏘️ \w+ \w+ (.*) ✅""),'Quartier prepositio"&amp;"ns'!A:E, 5, 0) ,  if(H5393=""region"",vlookup(REGEXEXTRACT(C5393, ""🏘️ \w+ \w+ (.*) ✅""),'Region prepositions'!B:F, 5, 0),  REGEXEXTRACT(C5393, ""🏘️ \w+ \w+ (.*) ✅""))))"),"#N/A")</f>
        <v>#N/A</v>
      </c>
      <c r="I5393" s="4" t="str">
        <f>IFERROR(__xludf.DUMMYFUNCTION("if(D5393=""variant"",  substitute(filter(Templates!E:E, Templates!A:A = F5393, Templates!B:B = G5393, Templates!C:C = H5393), ""{{}}"", E5393), B5393)"),"Louer appartement Weiach: Trouvez le bien immobilier qui correspond idéalement à vos désirs sur ImmoScout24 - La plateforme de l'immobilier en Suisse.")</f>
        <v>Louer appartement Weiach: Trouvez le bien immobilier qui correspond idéalement à vos désirs sur ImmoScout24 - La plateforme de l'immobilier en Suisse.</v>
      </c>
    </row>
    <row r="5394" hidden="1">
      <c r="A5394" s="5" t="s">
        <v>13884</v>
      </c>
      <c r="B5394" s="2" t="s">
        <v>13885</v>
      </c>
      <c r="C5394" s="2" t="s">
        <v>13885</v>
      </c>
      <c r="D5394" s="4" t="str">
        <f>vlookup(A5394, Sheet2!D:E, 2, 0)</f>
        <v>control</v>
      </c>
      <c r="E5394" s="4" t="str">
        <f>IFERROR(__xludf.DUMMYFUNCTION("if(H5394=""pays"",vlookup(REGEXEXTRACT(C5394, ""🏘️ \w+ \w+ (.*) ✅""),'Country prepositions'!A:B, 2, 0) &amp; "" "" &amp; REGEXEXTRACT(C5394, ""🏘️ \w+ \w+ (.*) ✅"") ,  if(H5394=""quartier"",vlookup(REGEXEXTRACT(C5394, ""🏘️ \w+ \w+ (.*) ✅""),'Quartier prepositio"&amp;"ns'!A:E, 5, 0) ,  if(H5394=""region"",vlookup(REGEXEXTRACT(C5394, ""🏘️ \w+ \w+ (.*) ✅""),'Region prepositions'!B:F, 5, 0),  REGEXEXTRACT(C5394, ""🏘️ \w+ \w+ (.*) ✅""))))"),"#N/A")</f>
        <v>#N/A</v>
      </c>
      <c r="I5394" s="4" t="str">
        <f>IFERROR(__xludf.DUMMYFUNCTION("if(D5394=""variant"",  substitute(filter(Templates!E:E, Templates!A:A = F5394, Templates!B:B = G5394, Templates!C:C = H5394), ""{{}}"", E5394), B5394)"),"Louer appartement Subingen: Trouvez le bien immobilier qui correspond idéalement à vos désirs sur ImmoScout24 - La plateforme de l'immobilier en Suisse.")</f>
        <v>Louer appartement Subingen: Trouvez le bien immobilier qui correspond idéalement à vos désirs sur ImmoScout24 - La plateforme de l'immobilier en Suisse.</v>
      </c>
    </row>
    <row r="5395" hidden="1">
      <c r="A5395" s="5" t="s">
        <v>13886</v>
      </c>
      <c r="B5395" s="2" t="s">
        <v>13887</v>
      </c>
      <c r="C5395" s="2" t="s">
        <v>13887</v>
      </c>
      <c r="D5395" s="4" t="str">
        <f>vlookup(A5395, Sheet2!D:E, 2, 0)</f>
        <v>control</v>
      </c>
      <c r="E5395" s="4" t="str">
        <f>IFERROR(__xludf.DUMMYFUNCTION("if(H5395=""pays"",vlookup(REGEXEXTRACT(C5395, ""🏘️ \w+ \w+ (.*) ✅""),'Country prepositions'!A:B, 2, 0) &amp; "" "" &amp; REGEXEXTRACT(C5395, ""🏘️ \w+ \w+ (.*) ✅"") ,  if(H5395=""quartier"",vlookup(REGEXEXTRACT(C5395, ""🏘️ \w+ \w+ (.*) ✅""),'Quartier prepositio"&amp;"ns'!A:E, 5, 0) ,  if(H5395=""region"",vlookup(REGEXEXTRACT(C5395, ""🏘️ \w+ \w+ (.*) ✅""),'Region prepositions'!B:F, 5, 0),  REGEXEXTRACT(C5395, ""🏘️ \w+ \w+ (.*) ✅""))))"),"#N/A")</f>
        <v>#N/A</v>
      </c>
      <c r="I5395" s="4" t="str">
        <f>IFERROR(__xludf.DUMMYFUNCTION("if(D5395=""variant"",  substitute(filter(Templates!E:E, Templates!A:A = F5395, Templates!B:B = G5395, Templates!C:C = H5395), ""{{}}"", E5395), B5395)"),"Louer appartement Wattenwil: Trouvez le bien immobilier qui correspond idéalement à vos désirs sur ImmoScout24 - La plateforme de l'immobilier en Suisse.")</f>
        <v>Louer appartement Wattenwil: Trouvez le bien immobilier qui correspond idéalement à vos désirs sur ImmoScout24 - La plateforme de l'immobilier en Suisse.</v>
      </c>
    </row>
    <row r="5396" hidden="1">
      <c r="A5396" s="5" t="s">
        <v>13888</v>
      </c>
      <c r="B5396" s="2" t="s">
        <v>13889</v>
      </c>
      <c r="C5396" s="2" t="s">
        <v>13889</v>
      </c>
      <c r="D5396" s="4" t="str">
        <f>vlookup(A5396, Sheet2!D:E, 2, 0)</f>
        <v>control</v>
      </c>
      <c r="E5396" s="4" t="str">
        <f>IFERROR(__xludf.DUMMYFUNCTION("if(H5396=""pays"",vlookup(REGEXEXTRACT(C5396, ""🏘️ \w+ \w+ (.*) ✅""),'Country prepositions'!A:B, 2, 0) &amp; "" "" &amp; REGEXEXTRACT(C5396, ""🏘️ \w+ \w+ (.*) ✅"") ,  if(H5396=""quartier"",vlookup(REGEXEXTRACT(C5396, ""🏘️ \w+ \w+ (.*) ✅""),'Quartier prepositio"&amp;"ns'!A:E, 5, 0) ,  if(H5396=""region"",vlookup(REGEXEXTRACT(C5396, ""🏘️ \w+ \w+ (.*) ✅""),'Region prepositions'!B:F, 5, 0),  REGEXEXTRACT(C5396, ""🏘️ \w+ \w+ (.*) ✅""))))"),"#N/A")</f>
        <v>#N/A</v>
      </c>
      <c r="I5396" s="4" t="str">
        <f>IFERROR(__xludf.DUMMYFUNCTION("if(D5396=""variant"",  substitute(filter(Templates!E:E, Templates!A:A = F5396, Templates!B:B = G5396, Templates!C:C = H5396), ""{{}}"", E5396), B5396)"),"Louer appartement Boswil: Trouvez le bien immobilier qui correspond idéalement à vos désirs sur ImmoScout24 - La plateforme de l'immobilier en Suisse.")</f>
        <v>Louer appartement Boswil: Trouvez le bien immobilier qui correspond idéalement à vos désirs sur ImmoScout24 - La plateforme de l'immobilier en Suisse.</v>
      </c>
    </row>
    <row r="5397" hidden="1">
      <c r="A5397" s="5" t="s">
        <v>13890</v>
      </c>
      <c r="B5397" s="2" t="s">
        <v>13891</v>
      </c>
      <c r="C5397" s="2" t="s">
        <v>13891</v>
      </c>
      <c r="D5397" s="4" t="str">
        <f>vlookup(A5397, Sheet2!D:E, 2, 0)</f>
        <v>control</v>
      </c>
      <c r="E5397" s="4" t="str">
        <f>IFERROR(__xludf.DUMMYFUNCTION("if(H5397=""pays"",vlookup(REGEXEXTRACT(C5397, ""🏘️ \w+ \w+ (.*) ✅""),'Country prepositions'!A:B, 2, 0) &amp; "" "" &amp; REGEXEXTRACT(C5397, ""🏘️ \w+ \w+ (.*) ✅"") ,  if(H5397=""quartier"",vlookup(REGEXEXTRACT(C5397, ""🏘️ \w+ \w+ (.*) ✅""),'Quartier prepositio"&amp;"ns'!A:E, 5, 0) ,  if(H5397=""region"",vlookup(REGEXEXTRACT(C5397, ""🏘️ \w+ \w+ (.*) ✅""),'Region prepositions'!B:F, 5, 0),  REGEXEXTRACT(C5397, ""🏘️ \w+ \w+ (.*) ✅""))))"),"#N/A")</f>
        <v>#N/A</v>
      </c>
      <c r="I5397" s="4" t="str">
        <f>IFERROR(__xludf.DUMMYFUNCTION("if(D5397=""variant"",  substitute(filter(Templates!E:E, Templates!A:A = F5397, Templates!B:B = G5397, Templates!C:C = H5397), ""{{}}"", E5397), B5397)"),"Louer appartement Canton de Fribourg: Trouvez le bien immobilier qui correspond idéalement à vos désirs sur ImmoScout24 - La plateforme de l'immobilier en Suisse.")</f>
        <v>Louer appartement Canton de Fribourg: Trouvez le bien immobilier qui correspond idéalement à vos désirs sur ImmoScout24 - La plateforme de l'immobilier en Suisse.</v>
      </c>
    </row>
    <row r="5398" hidden="1">
      <c r="A5398" s="5" t="s">
        <v>13892</v>
      </c>
      <c r="B5398" s="2" t="s">
        <v>13893</v>
      </c>
      <c r="C5398" s="2" t="s">
        <v>13893</v>
      </c>
      <c r="D5398" s="4" t="str">
        <f>vlookup(A5398, Sheet2!D:E, 2, 0)</f>
        <v>control</v>
      </c>
      <c r="E5398" s="4" t="str">
        <f>IFERROR(__xludf.DUMMYFUNCTION("if(H5398=""pays"",vlookup(REGEXEXTRACT(C5398, ""🏘️ \w+ \w+ (.*) ✅""),'Country prepositions'!A:B, 2, 0) &amp; "" "" &amp; REGEXEXTRACT(C5398, ""🏘️ \w+ \w+ (.*) ✅"") ,  if(H5398=""quartier"",vlookup(REGEXEXTRACT(C5398, ""🏘️ \w+ \w+ (.*) ✅""),'Quartier prepositio"&amp;"ns'!A:E, 5, 0) ,  if(H5398=""region"",vlookup(REGEXEXTRACT(C5398, ""🏘️ \w+ \w+ (.*) ✅""),'Region prepositions'!B:F, 5, 0),  REGEXEXTRACT(C5398, ""🏘️ \w+ \w+ (.*) ✅""))))"),"#N/A")</f>
        <v>#N/A</v>
      </c>
      <c r="I5398" s="4" t="str">
        <f>IFERROR(__xludf.DUMMYFUNCTION("if(D5398=""variant"",  substitute(filter(Templates!E:E, Templates!A:A = F5398, Templates!B:B = G5398, Templates!C:C = H5398), ""{{}}"", E5398), B5398)"),"Louer maison Commugny: Trouvez le bien immobilier qui correspond idéalement à vos désirs sur ImmoScout24 - La plateforme de l'immobilier en Suisse.")</f>
        <v>Louer maison Commugny: Trouvez le bien immobilier qui correspond idéalement à vos désirs sur ImmoScout24 - La plateforme de l'immobilier en Suisse.</v>
      </c>
    </row>
    <row r="5399" hidden="1">
      <c r="A5399" s="5" t="s">
        <v>13894</v>
      </c>
      <c r="B5399" s="2" t="s">
        <v>13895</v>
      </c>
      <c r="C5399" s="2" t="s">
        <v>13895</v>
      </c>
      <c r="D5399" s="4" t="str">
        <f>vlookup(A5399, Sheet2!D:E, 2, 0)</f>
        <v>control</v>
      </c>
      <c r="E5399" s="4" t="str">
        <f>IFERROR(__xludf.DUMMYFUNCTION("if(H5399=""pays"",vlookup(REGEXEXTRACT(C5399, ""🏘️ \w+ \w+ (.*) ✅""),'Country prepositions'!A:B, 2, 0) &amp; "" "" &amp; REGEXEXTRACT(C5399, ""🏘️ \w+ \w+ (.*) ✅"") ,  if(H5399=""quartier"",vlookup(REGEXEXTRACT(C5399, ""🏘️ \w+ \w+ (.*) ✅""),'Quartier prepositio"&amp;"ns'!A:E, 5, 0) ,  if(H5399=""region"",vlookup(REGEXEXTRACT(C5399, ""🏘️ \w+ \w+ (.*) ✅""),'Region prepositions'!B:F, 5, 0),  REGEXEXTRACT(C5399, ""🏘️ \w+ \w+ (.*) ✅""))))"),"#N/A")</f>
        <v>#N/A</v>
      </c>
      <c r="I5399" s="4" t="str">
        <f>IFERROR(__xludf.DUMMYFUNCTION("if(D5399=""variant"",  substitute(filter(Templates!E:E, Templates!A:A = F5399, Templates!B:B = G5399, Templates!C:C = H5399), ""{{}}"", E5399), B5399)"),"Vendre maison Scheuren: Trouvez le bien immobilier qui correspond idéalement à vos désirs sur ImmoScout24 - La plateforme de l'immobilier en Suisse.")</f>
        <v>Vendre maison Scheuren: Trouvez le bien immobilier qui correspond idéalement à vos désirs sur ImmoScout24 - La plateforme de l'immobilier en Suisse.</v>
      </c>
    </row>
    <row r="5400" hidden="1">
      <c r="A5400" s="5" t="s">
        <v>13896</v>
      </c>
      <c r="B5400" s="2" t="s">
        <v>13897</v>
      </c>
      <c r="C5400" s="2" t="s">
        <v>13897</v>
      </c>
      <c r="D5400" s="4" t="str">
        <f>vlookup(A5400, Sheet2!D:E, 2, 0)</f>
        <v>control</v>
      </c>
      <c r="E5400" s="4" t="str">
        <f>IFERROR(__xludf.DUMMYFUNCTION("if(H5400=""pays"",vlookup(REGEXEXTRACT(C5400, ""🏘️ \w+ \w+ (.*) ✅""),'Country prepositions'!A:B, 2, 0) &amp; "" "" &amp; REGEXEXTRACT(C5400, ""🏘️ \w+ \w+ (.*) ✅"") ,  if(H5400=""quartier"",vlookup(REGEXEXTRACT(C5400, ""🏘️ \w+ \w+ (.*) ✅""),'Quartier prepositio"&amp;"ns'!A:E, 5, 0) ,  if(H5400=""region"",vlookup(REGEXEXTRACT(C5400, ""🏘️ \w+ \w+ (.*) ✅""),'Region prepositions'!B:F, 5, 0),  REGEXEXTRACT(C5400, ""🏘️ \w+ \w+ (.*) ✅""))))"),"#N/A")</f>
        <v>#N/A</v>
      </c>
      <c r="I5400" s="4" t="str">
        <f>IFERROR(__xludf.DUMMYFUNCTION("if(D5400=""variant"",  substitute(filter(Templates!E:E, Templates!A:A = F5400, Templates!B:B = G5400, Templates!C:C = H5400), ""{{}}"", E5400), B5400)"),"Vendre maison Maggia: Trouvez le bien immobilier qui correspond idéalement à vos désirs sur ImmoScout24 - La plateforme de l'immobilier en Suisse.")</f>
        <v>Vendre maison Maggia: Trouvez le bien immobilier qui correspond idéalement à vos désirs sur ImmoScout24 - La plateforme de l'immobilier en Suisse.</v>
      </c>
    </row>
    <row r="5401" hidden="1">
      <c r="A5401" s="5" t="s">
        <v>13898</v>
      </c>
      <c r="B5401" s="2" t="s">
        <v>13899</v>
      </c>
      <c r="C5401" s="2" t="s">
        <v>13899</v>
      </c>
      <c r="D5401" s="4" t="str">
        <f>vlookup(A5401, Sheet2!D:E, 2, 0)</f>
        <v>control</v>
      </c>
      <c r="E5401" s="4" t="str">
        <f>IFERROR(__xludf.DUMMYFUNCTION("if(H5401=""pays"",vlookup(REGEXEXTRACT(C5401, ""🏘️ \w+ \w+ (.*) ✅""),'Country prepositions'!A:B, 2, 0) &amp; "" "" &amp; REGEXEXTRACT(C5401, ""🏘️ \w+ \w+ (.*) ✅"") ,  if(H5401=""quartier"",vlookup(REGEXEXTRACT(C5401, ""🏘️ \w+ \w+ (.*) ✅""),'Quartier prepositio"&amp;"ns'!A:E, 5, 0) ,  if(H5401=""region"",vlookup(REGEXEXTRACT(C5401, ""🏘️ \w+ \w+ (.*) ✅""),'Region prepositions'!B:F, 5, 0),  REGEXEXTRACT(C5401, ""🏘️ \w+ \w+ (.*) ✅""))))"),"#N/A")</f>
        <v>#N/A</v>
      </c>
      <c r="I5401" s="4" t="str">
        <f>IFERROR(__xludf.DUMMYFUNCTION("if(D5401=""variant"",  substitute(filter(Templates!E:E, Templates!A:A = F5401, Templates!B:B = G5401, Templates!C:C = H5401), ""{{}}"", E5401), B5401)"),"Vendre maison Emmetten: Trouvez le bien immobilier qui correspond idéalement à vos désirs sur ImmoScout24 - La plateforme de l'immobilier en Suisse.")</f>
        <v>Vendre maison Emmetten: Trouvez le bien immobilier qui correspond idéalement à vos désirs sur ImmoScout24 - La plateforme de l'immobilier en Suisse.</v>
      </c>
    </row>
    <row r="5402" hidden="1">
      <c r="A5402" s="5" t="s">
        <v>13900</v>
      </c>
      <c r="B5402" s="2" t="s">
        <v>13901</v>
      </c>
      <c r="C5402" s="2" t="s">
        <v>13901</v>
      </c>
      <c r="D5402" s="4" t="str">
        <f>vlookup(A5402, Sheet2!D:E, 2, 0)</f>
        <v>control</v>
      </c>
      <c r="E5402" s="4" t="str">
        <f>IFERROR(__xludf.DUMMYFUNCTION("if(H5402=""pays"",vlookup(REGEXEXTRACT(C5402, ""🏘️ \w+ \w+ (.*) ✅""),'Country prepositions'!A:B, 2, 0) &amp; "" "" &amp; REGEXEXTRACT(C5402, ""🏘️ \w+ \w+ (.*) ✅"") ,  if(H5402=""quartier"",vlookup(REGEXEXTRACT(C5402, ""🏘️ \w+ \w+ (.*) ✅""),'Quartier prepositio"&amp;"ns'!A:E, 5, 0) ,  if(H5402=""region"",vlookup(REGEXEXTRACT(C5402, ""🏘️ \w+ \w+ (.*) ✅""),'Region prepositions'!B:F, 5, 0),  REGEXEXTRACT(C5402, ""🏘️ \w+ \w+ (.*) ✅""))))"),"#N/A")</f>
        <v>#N/A</v>
      </c>
      <c r="I5402" s="4" t="str">
        <f>IFERROR(__xludf.DUMMYFUNCTION("if(D5402=""variant"",  substitute(filter(Templates!E:E, Templates!A:A = F5402, Templates!B:B = G5402, Templates!C:C = H5402), ""{{}}"", E5402), B5402)"),"Louer maison Marchissy: Trouvez le bien immobilier qui correspond idéalement à vos désirs sur ImmoScout24 - La plateforme de l'immobilier en Suisse.")</f>
        <v>Louer maison Marchissy: Trouvez le bien immobilier qui correspond idéalement à vos désirs sur ImmoScout24 - La plateforme de l'immobilier en Suisse.</v>
      </c>
    </row>
    <row r="5403" hidden="1">
      <c r="A5403" s="5" t="s">
        <v>13902</v>
      </c>
      <c r="B5403" s="2" t="s">
        <v>13903</v>
      </c>
      <c r="C5403" s="2" t="s">
        <v>13903</v>
      </c>
      <c r="D5403" s="4" t="str">
        <f>vlookup(A5403, Sheet2!D:E, 2, 0)</f>
        <v>control</v>
      </c>
      <c r="E5403" s="4" t="str">
        <f>IFERROR(__xludf.DUMMYFUNCTION("if(H5403=""pays"",vlookup(REGEXEXTRACT(C5403, ""🏘️ \w+ \w+ (.*) ✅""),'Country prepositions'!A:B, 2, 0) &amp; "" "" &amp; REGEXEXTRACT(C5403, ""🏘️ \w+ \w+ (.*) ✅"") ,  if(H5403=""quartier"",vlookup(REGEXEXTRACT(C5403, ""🏘️ \w+ \w+ (.*) ✅""),'Quartier prepositio"&amp;"ns'!A:E, 5, 0) ,  if(H5403=""region"",vlookup(REGEXEXTRACT(C5403, ""🏘️ \w+ \w+ (.*) ✅""),'Region prepositions'!B:F, 5, 0),  REGEXEXTRACT(C5403, ""🏘️ \w+ \w+ (.*) ✅""))))"),"#N/A")</f>
        <v>#N/A</v>
      </c>
      <c r="I5403" s="4" t="str">
        <f>IFERROR(__xludf.DUMMYFUNCTION("if(D5403=""variant"",  substitute(filter(Templates!E:E, Templates!A:A = F5403, Templates!B:B = G5403, Templates!C:C = H5403), ""{{}}"", E5403), B5403)"),"Vendre maison Zoug - Lac de Zoug: Trouvez le bien immobilier qui correspond idéalement à vos désirs sur ImmoScout24 - La plateforme de l'immobilier en Suisse.")</f>
        <v>Vendre maison Zoug - Lac de Zoug: Trouvez le bien immobilier qui correspond idéalement à vos désirs sur ImmoScout24 - La plateforme de l'immobilier en Suisse.</v>
      </c>
    </row>
    <row r="5404" hidden="1">
      <c r="A5404" s="5" t="s">
        <v>13904</v>
      </c>
      <c r="B5404" s="2" t="s">
        <v>13905</v>
      </c>
      <c r="C5404" s="2" t="s">
        <v>13905</v>
      </c>
      <c r="D5404" s="4" t="str">
        <f>vlookup(A5404, Sheet2!D:E, 2, 0)</f>
        <v>control</v>
      </c>
      <c r="E5404" s="4" t="str">
        <f>IFERROR(__xludf.DUMMYFUNCTION("if(H5404=""pays"",vlookup(REGEXEXTRACT(C5404, ""🏘️ \w+ \w+ (.*) ✅""),'Country prepositions'!A:B, 2, 0) &amp; "" "" &amp; REGEXEXTRACT(C5404, ""🏘️ \w+ \w+ (.*) ✅"") ,  if(H5404=""quartier"",vlookup(REGEXEXTRACT(C5404, ""🏘️ \w+ \w+ (.*) ✅""),'Quartier prepositio"&amp;"ns'!A:E, 5, 0) ,  if(H5404=""region"",vlookup(REGEXEXTRACT(C5404, ""🏘️ \w+ \w+ (.*) ✅""),'Region prepositions'!B:F, 5, 0),  REGEXEXTRACT(C5404, ""🏘️ \w+ \w+ (.*) ✅""))))"),"#N/A")</f>
        <v>#N/A</v>
      </c>
      <c r="I5404" s="4" t="str">
        <f>IFERROR(__xludf.DUMMYFUNCTION("if(D5404=""variant"",  substitute(filter(Templates!E:E, Templates!A:A = F5404, Templates!B:B = G5404, Templates!C:C = H5404), ""{{}}"", E5404), B5404)"),"Louer appartement Brugg AG: Trouvez le bien immobilier qui correspond idéalement à vos désirs sur ImmoScout24 - La plateforme de l'immobilier en Suisse.")</f>
        <v>Louer appartement Brugg AG: Trouvez le bien immobilier qui correspond idéalement à vos désirs sur ImmoScout24 - La plateforme de l'immobilier en Suisse.</v>
      </c>
    </row>
    <row r="5405" hidden="1">
      <c r="A5405" s="5" t="s">
        <v>13906</v>
      </c>
      <c r="B5405" s="2" t="s">
        <v>13907</v>
      </c>
      <c r="C5405" s="2" t="s">
        <v>13907</v>
      </c>
      <c r="D5405" s="4" t="str">
        <f>vlookup(A5405, Sheet2!D:E, 2, 0)</f>
        <v>control</v>
      </c>
      <c r="E5405" s="4" t="str">
        <f>IFERROR(__xludf.DUMMYFUNCTION("if(H5405=""pays"",vlookup(REGEXEXTRACT(C5405, ""🏘️ \w+ \w+ (.*) ✅""),'Country prepositions'!A:B, 2, 0) &amp; "" "" &amp; REGEXEXTRACT(C5405, ""🏘️ \w+ \w+ (.*) ✅"") ,  if(H5405=""quartier"",vlookup(REGEXEXTRACT(C5405, ""🏘️ \w+ \w+ (.*) ✅""),'Quartier prepositio"&amp;"ns'!A:E, 5, 0) ,  if(H5405=""region"",vlookup(REGEXEXTRACT(C5405, ""🏘️ \w+ \w+ (.*) ✅""),'Region prepositions'!B:F, 5, 0),  REGEXEXTRACT(C5405, ""🏘️ \w+ \w+ (.*) ✅""))))"),"#N/A")</f>
        <v>#N/A</v>
      </c>
      <c r="I5405" s="4" t="str">
        <f>IFERROR(__xludf.DUMMYFUNCTION("if(D5405=""variant"",  substitute(filter(Templates!E:E, Templates!A:A = F5405, Templates!B:B = G5405, Templates!C:C = H5405), ""{{}}"", E5405), B5405)"),"Louer appartement Cuarny: Trouvez le bien immobilier qui correspond idéalement à vos désirs sur ImmoScout24 - La plateforme de l'immobilier en Suisse.")</f>
        <v>Louer appartement Cuarny: Trouvez le bien immobilier qui correspond idéalement à vos désirs sur ImmoScout24 - La plateforme de l'immobilier en Suisse.</v>
      </c>
    </row>
    <row r="5406" hidden="1">
      <c r="A5406" s="5" t="s">
        <v>13908</v>
      </c>
      <c r="B5406" s="2" t="s">
        <v>13909</v>
      </c>
      <c r="C5406" s="2" t="s">
        <v>13909</v>
      </c>
      <c r="D5406" s="4" t="str">
        <f>vlookup(A5406, Sheet2!D:E, 2, 0)</f>
        <v>control</v>
      </c>
      <c r="E5406" s="4" t="str">
        <f>IFERROR(__xludf.DUMMYFUNCTION("if(H5406=""pays"",vlookup(REGEXEXTRACT(C5406, ""🏘️ \w+ \w+ (.*) ✅""),'Country prepositions'!A:B, 2, 0) &amp; "" "" &amp; REGEXEXTRACT(C5406, ""🏘️ \w+ \w+ (.*) ✅"") ,  if(H5406=""quartier"",vlookup(REGEXEXTRACT(C5406, ""🏘️ \w+ \w+ (.*) ✅""),'Quartier prepositio"&amp;"ns'!A:E, 5, 0) ,  if(H5406=""region"",vlookup(REGEXEXTRACT(C5406, ""🏘️ \w+ \w+ (.*) ✅""),'Region prepositions'!B:F, 5, 0),  REGEXEXTRACT(C5406, ""🏘️ \w+ \w+ (.*) ✅""))))"),"#N/A")</f>
        <v>#N/A</v>
      </c>
      <c r="I5406" s="4" t="str">
        <f>IFERROR(__xludf.DUMMYFUNCTION("if(D5406=""variant"",  substitute(filter(Templates!E:E, Templates!A:A = F5406, Templates!B:B = G5406, Templates!C:C = H5406), ""{{}}"", E5406), B5406)"),"Louer appartement Lac de Thoune sud: Trouvez le bien immobilier qui correspond idéalement à vos désirs sur ImmoScout24 - La plateforme de l'immobilier en Suisse.")</f>
        <v>Louer appartement Lac de Thoune sud: Trouvez le bien immobilier qui correspond idéalement à vos désirs sur ImmoScout24 - La plateforme de l'immobilier en Suisse.</v>
      </c>
    </row>
    <row r="5407" hidden="1">
      <c r="A5407" s="5" t="s">
        <v>13910</v>
      </c>
      <c r="B5407" s="2" t="s">
        <v>13911</v>
      </c>
      <c r="C5407" s="2" t="s">
        <v>13911</v>
      </c>
      <c r="D5407" s="4" t="str">
        <f>vlookup(A5407, Sheet2!D:E, 2, 0)</f>
        <v>control</v>
      </c>
      <c r="E5407" s="4" t="str">
        <f>IFERROR(__xludf.DUMMYFUNCTION("if(H5407=""pays"",vlookup(REGEXEXTRACT(C5407, ""🏘️ \w+ \w+ (.*) ✅""),'Country prepositions'!A:B, 2, 0) &amp; "" "" &amp; REGEXEXTRACT(C5407, ""🏘️ \w+ \w+ (.*) ✅"") ,  if(H5407=""quartier"",vlookup(REGEXEXTRACT(C5407, ""🏘️ \w+ \w+ (.*) ✅""),'Quartier prepositio"&amp;"ns'!A:E, 5, 0) ,  if(H5407=""region"",vlookup(REGEXEXTRACT(C5407, ""🏘️ \w+ \w+ (.*) ✅""),'Region prepositions'!B:F, 5, 0),  REGEXEXTRACT(C5407, ""🏘️ \w+ \w+ (.*) ✅""))))"),"#N/A")</f>
        <v>#N/A</v>
      </c>
      <c r="I5407" s="4" t="str">
        <f>IFERROR(__xludf.DUMMYFUNCTION("if(D5407=""variant"",  substitute(filter(Templates!E:E, Templates!A:A = F5407, Templates!B:B = G5407, Templates!C:C = H5407), ""{{}}"", E5407), B5407)"),"Vendre maison Bollion: Trouvez le bien immobilier qui correspond idéalement à vos désirs sur ImmoScout24 - La plateforme de l'immobilier en Suisse.")</f>
        <v>Vendre maison Bollion: Trouvez le bien immobilier qui correspond idéalement à vos désirs sur ImmoScout24 - La plateforme de l'immobilier en Suisse.</v>
      </c>
    </row>
    <row r="5408" hidden="1">
      <c r="A5408" s="5" t="s">
        <v>13912</v>
      </c>
      <c r="B5408" s="2" t="s">
        <v>13913</v>
      </c>
      <c r="C5408" s="2" t="s">
        <v>13913</v>
      </c>
      <c r="D5408" s="4" t="str">
        <f>vlookup(A5408, Sheet2!D:E, 2, 0)</f>
        <v>control</v>
      </c>
      <c r="E5408" s="4" t="str">
        <f>IFERROR(__xludf.DUMMYFUNCTION("if(H5408=""pays"",vlookup(REGEXEXTRACT(C5408, ""🏘️ \w+ \w+ (.*) ✅""),'Country prepositions'!A:B, 2, 0) &amp; "" "" &amp; REGEXEXTRACT(C5408, ""🏘️ \w+ \w+ (.*) ✅"") ,  if(H5408=""quartier"",vlookup(REGEXEXTRACT(C5408, ""🏘️ \w+ \w+ (.*) ✅""),'Quartier prepositio"&amp;"ns'!A:E, 5, 0) ,  if(H5408=""region"",vlookup(REGEXEXTRACT(C5408, ""🏘️ \w+ \w+ (.*) ✅""),'Region prepositions'!B:F, 5, 0),  REGEXEXTRACT(C5408, ""🏘️ \w+ \w+ (.*) ✅""))))"),"#N/A")</f>
        <v>#N/A</v>
      </c>
      <c r="I5408" s="4" t="str">
        <f>IFERROR(__xludf.DUMMYFUNCTION("if(D5408=""variant"",  substitute(filter(Templates!E:E, Templates!A:A = F5408, Templates!B:B = G5408, Templates!C:C = H5408), ""{{}}"", E5408), B5408)"),"Vendre maison Cottens FR: Trouvez le bien immobilier qui correspond idéalement à vos désirs sur ImmoScout24 - La plateforme de l'immobilier en Suisse.")</f>
        <v>Vendre maison Cottens FR: Trouvez le bien immobilier qui correspond idéalement à vos désirs sur ImmoScout24 - La plateforme de l'immobilier en Suisse.</v>
      </c>
    </row>
    <row r="5409" hidden="1">
      <c r="A5409" s="5" t="s">
        <v>13914</v>
      </c>
      <c r="B5409" s="2" t="s">
        <v>13915</v>
      </c>
      <c r="C5409" s="2" t="s">
        <v>13915</v>
      </c>
      <c r="D5409" s="4" t="str">
        <f>vlookup(A5409, Sheet2!D:E, 2, 0)</f>
        <v>control</v>
      </c>
      <c r="E5409" s="4" t="str">
        <f>IFERROR(__xludf.DUMMYFUNCTION("if(H5409=""pays"",vlookup(REGEXEXTRACT(C5409, ""🏘️ \w+ \w+ (.*) ✅""),'Country prepositions'!A:B, 2, 0) &amp; "" "" &amp; REGEXEXTRACT(C5409, ""🏘️ \w+ \w+ (.*) ✅"") ,  if(H5409=""quartier"",vlookup(REGEXEXTRACT(C5409, ""🏘️ \w+ \w+ (.*) ✅""),'Quartier prepositio"&amp;"ns'!A:E, 5, 0) ,  if(H5409=""region"",vlookup(REGEXEXTRACT(C5409, ""🏘️ \w+ \w+ (.*) ✅""),'Region prepositions'!B:F, 5, 0),  REGEXEXTRACT(C5409, ""🏘️ \w+ \w+ (.*) ✅""))))"),"#N/A")</f>
        <v>#N/A</v>
      </c>
      <c r="I5409" s="4" t="str">
        <f>IFERROR(__xludf.DUMMYFUNCTION("if(D5409=""variant"",  substitute(filter(Templates!E:E, Templates!A:A = F5409, Templates!B:B = G5409, Templates!C:C = H5409), ""{{}}"", E5409), B5409)"),"Vendre appartement Rüti ZH: Trouvez le bien immobilier qui correspond idéalement à vos désirs sur ImmoScout24 - La plateforme de l'immobilier en Suisse.")</f>
        <v>Vendre appartement Rüti ZH: Trouvez le bien immobilier qui correspond idéalement à vos désirs sur ImmoScout24 - La plateforme de l'immobilier en Suisse.</v>
      </c>
    </row>
    <row r="5410" hidden="1">
      <c r="A5410" s="5" t="s">
        <v>13916</v>
      </c>
      <c r="B5410" s="2" t="s">
        <v>13917</v>
      </c>
      <c r="C5410" s="2" t="s">
        <v>13917</v>
      </c>
      <c r="D5410" s="4" t="str">
        <f>vlookup(A5410, Sheet2!D:E, 2, 0)</f>
        <v>control</v>
      </c>
      <c r="E5410" s="4" t="str">
        <f>IFERROR(__xludf.DUMMYFUNCTION("if(H5410=""pays"",vlookup(REGEXEXTRACT(C5410, ""🏘️ \w+ \w+ (.*) ✅""),'Country prepositions'!A:B, 2, 0) &amp; "" "" &amp; REGEXEXTRACT(C5410, ""🏘️ \w+ \w+ (.*) ✅"") ,  if(H5410=""quartier"",vlookup(REGEXEXTRACT(C5410, ""🏘️ \w+ \w+ (.*) ✅""),'Quartier prepositio"&amp;"ns'!A:E, 5, 0) ,  if(H5410=""region"",vlookup(REGEXEXTRACT(C5410, ""🏘️ \w+ \w+ (.*) ✅""),'Region prepositions'!B:F, 5, 0),  REGEXEXTRACT(C5410, ""🏘️ \w+ \w+ (.*) ✅""))))"),"#N/A")</f>
        <v>#N/A</v>
      </c>
      <c r="I5410" s="4" t="str">
        <f>IFERROR(__xludf.DUMMYFUNCTION("if(D5410=""variant"",  substitute(filter(Templates!E:E, Templates!A:A = F5410, Templates!B:B = G5410, Templates!C:C = H5410), ""{{}}"", E5410), B5410)"),"Vendre maison St-Sulpice VD: Trouvez le bien immobilier qui correspond idéalement à vos désirs sur ImmoScout24 - La plateforme de l'immobilier en Suisse.")</f>
        <v>Vendre maison St-Sulpice VD: Trouvez le bien immobilier qui correspond idéalement à vos désirs sur ImmoScout24 - La plateforme de l'immobilier en Suisse.</v>
      </c>
    </row>
    <row r="5411" hidden="1">
      <c r="A5411" s="5" t="s">
        <v>13918</v>
      </c>
      <c r="B5411" s="2" t="s">
        <v>13919</v>
      </c>
      <c r="C5411" s="2" t="s">
        <v>13919</v>
      </c>
      <c r="D5411" s="4" t="str">
        <f>vlookup(A5411, Sheet2!D:E, 2, 0)</f>
        <v>control</v>
      </c>
      <c r="E5411" s="4" t="str">
        <f>IFERROR(__xludf.DUMMYFUNCTION("if(H5411=""pays"",vlookup(REGEXEXTRACT(C5411, ""🏘️ \w+ \w+ (.*) ✅""),'Country prepositions'!A:B, 2, 0) &amp; "" "" &amp; REGEXEXTRACT(C5411, ""🏘️ \w+ \w+ (.*) ✅"") ,  if(H5411=""quartier"",vlookup(REGEXEXTRACT(C5411, ""🏘️ \w+ \w+ (.*) ✅""),'Quartier prepositio"&amp;"ns'!A:E, 5, 0) ,  if(H5411=""region"",vlookup(REGEXEXTRACT(C5411, ""🏘️ \w+ \w+ (.*) ✅""),'Region prepositions'!B:F, 5, 0),  REGEXEXTRACT(C5411, ""🏘️ \w+ \w+ (.*) ✅""))))"),"#N/A")</f>
        <v>#N/A</v>
      </c>
      <c r="I5411" s="4" t="str">
        <f>IFERROR(__xludf.DUMMYFUNCTION("if(D5411=""variant"",  substitute(filter(Templates!E:E, Templates!A:A = F5411, Templates!B:B = G5411, Templates!C:C = H5411), ""{{}}"", E5411), B5411)"),"Vendre maison Bettlach: Trouvez le bien immobilier qui correspond idéalement à vos désirs sur ImmoScout24 - La plateforme de l'immobilier en Suisse.")</f>
        <v>Vendre maison Bettlach: Trouvez le bien immobilier qui correspond idéalement à vos désirs sur ImmoScout24 - La plateforme de l'immobilier en Suisse.</v>
      </c>
    </row>
    <row r="5412" hidden="1">
      <c r="A5412" s="5" t="s">
        <v>13920</v>
      </c>
      <c r="B5412" s="2" t="s">
        <v>13921</v>
      </c>
      <c r="C5412" s="2" t="s">
        <v>13921</v>
      </c>
      <c r="D5412" s="4" t="str">
        <f>vlookup(A5412, Sheet2!D:E, 2, 0)</f>
        <v>control</v>
      </c>
      <c r="E5412" s="4" t="str">
        <f>IFERROR(__xludf.DUMMYFUNCTION("if(H5412=""pays"",vlookup(REGEXEXTRACT(C5412, ""🏘️ \w+ \w+ (.*) ✅""),'Country prepositions'!A:B, 2, 0) &amp; "" "" &amp; REGEXEXTRACT(C5412, ""🏘️ \w+ \w+ (.*) ✅"") ,  if(H5412=""quartier"",vlookup(REGEXEXTRACT(C5412, ""🏘️ \w+ \w+ (.*) ✅""),'Quartier prepositio"&amp;"ns'!A:E, 5, 0) ,  if(H5412=""region"",vlookup(REGEXEXTRACT(C5412, ""🏘️ \w+ \w+ (.*) ✅""),'Region prepositions'!B:F, 5, 0),  REGEXEXTRACT(C5412, ""🏘️ \w+ \w+ (.*) ✅""))))"),"#N/A")</f>
        <v>#N/A</v>
      </c>
      <c r="I5412" s="4" t="str">
        <f>IFERROR(__xludf.DUMMYFUNCTION("if(D5412=""variant"",  substitute(filter(Templates!E:E, Templates!A:A = F5412, Templates!B:B = G5412, Templates!C:C = H5412), ""{{}}"", E5412), B5412)"),"Vendre maison Céligny: Trouvez le bien immobilier qui correspond idéalement à vos désirs sur ImmoScout24 - La plateforme de l'immobilier en Suisse.")</f>
        <v>Vendre maison Céligny: Trouvez le bien immobilier qui correspond idéalement à vos désirs sur ImmoScout24 - La plateforme de l'immobilier en Suisse.</v>
      </c>
    </row>
    <row r="5413" hidden="1">
      <c r="A5413" s="5" t="s">
        <v>13922</v>
      </c>
      <c r="B5413" s="2" t="s">
        <v>13923</v>
      </c>
      <c r="C5413" s="2" t="s">
        <v>13923</v>
      </c>
      <c r="D5413" s="4" t="str">
        <f>vlookup(A5413, Sheet2!D:E, 2, 0)</f>
        <v>control</v>
      </c>
      <c r="E5413" s="4" t="str">
        <f>IFERROR(__xludf.DUMMYFUNCTION("if(H5413=""pays"",vlookup(REGEXEXTRACT(C5413, ""🏘️ \w+ \w+ (.*) ✅""),'Country prepositions'!A:B, 2, 0) &amp; "" "" &amp; REGEXEXTRACT(C5413, ""🏘️ \w+ \w+ (.*) ✅"") ,  if(H5413=""quartier"",vlookup(REGEXEXTRACT(C5413, ""🏘️ \w+ \w+ (.*) ✅""),'Quartier prepositio"&amp;"ns'!A:E, 5, 0) ,  if(H5413=""region"",vlookup(REGEXEXTRACT(C5413, ""🏘️ \w+ \w+ (.*) ✅""),'Region prepositions'!B:F, 5, 0),  REGEXEXTRACT(C5413, ""🏘️ \w+ \w+ (.*) ✅""))))"),"#N/A")</f>
        <v>#N/A</v>
      </c>
      <c r="I5413" s="4" t="str">
        <f>IFERROR(__xludf.DUMMYFUNCTION("if(D5413=""variant"",  substitute(filter(Templates!E:E, Templates!A:A = F5413, Templates!B:B = G5413, Templates!C:C = H5413), ""{{}}"", E5413), B5413)"),"Vendre appartement Ruschein: Trouvez le bien immobilier qui correspond idéalement à vos désirs sur ImmoScout24 - La plateforme de l'immobilier en Suisse.")</f>
        <v>Vendre appartement Ruschein: Trouvez le bien immobilier qui correspond idéalement à vos désirs sur ImmoScout24 - La plateforme de l'immobilier en Suisse.</v>
      </c>
    </row>
    <row r="5414" hidden="1">
      <c r="A5414" s="5" t="s">
        <v>13924</v>
      </c>
      <c r="B5414" s="2" t="s">
        <v>13925</v>
      </c>
      <c r="C5414" s="2" t="s">
        <v>13925</v>
      </c>
      <c r="D5414" s="4" t="str">
        <f>vlookup(A5414, Sheet2!D:E, 2, 0)</f>
        <v>control</v>
      </c>
      <c r="E5414" s="4" t="str">
        <f>IFERROR(__xludf.DUMMYFUNCTION("if(H5414=""pays"",vlookup(REGEXEXTRACT(C5414, ""🏘️ \w+ \w+ (.*) ✅""),'Country prepositions'!A:B, 2, 0) &amp; "" "" &amp; REGEXEXTRACT(C5414, ""🏘️ \w+ \w+ (.*) ✅"") ,  if(H5414=""quartier"",vlookup(REGEXEXTRACT(C5414, ""🏘️ \w+ \w+ (.*) ✅""),'Quartier prepositio"&amp;"ns'!A:E, 5, 0) ,  if(H5414=""region"",vlookup(REGEXEXTRACT(C5414, ""🏘️ \w+ \w+ (.*) ✅""),'Region prepositions'!B:F, 5, 0),  REGEXEXTRACT(C5414, ""🏘️ \w+ \w+ (.*) ✅""))))"),"#N/A")</f>
        <v>#N/A</v>
      </c>
      <c r="I5414" s="4" t="str">
        <f>IFERROR(__xludf.DUMMYFUNCTION("if(D5414=""variant"",  substitute(filter(Templates!E:E, Templates!A:A = F5414, Templates!B:B = G5414, Templates!C:C = H5414), ""{{}}"", E5414), B5414)"),"Louer appartement Arzier-Le Muids: Trouvez le bien immobilier qui correspond idéalement à vos désirs sur ImmoScout24 - La plateforme de l'immobilier en Suisse.")</f>
        <v>Louer appartement Arzier-Le Muids: Trouvez le bien immobilier qui correspond idéalement à vos désirs sur ImmoScout24 - La plateforme de l'immobilier en Suisse.</v>
      </c>
    </row>
    <row r="5415" hidden="1">
      <c r="A5415" s="5" t="s">
        <v>13926</v>
      </c>
      <c r="B5415" s="2" t="s">
        <v>13927</v>
      </c>
      <c r="C5415" s="2" t="s">
        <v>13927</v>
      </c>
      <c r="D5415" s="4" t="str">
        <f>vlookup(A5415, Sheet2!D:E, 2, 0)</f>
        <v>control</v>
      </c>
      <c r="E5415" s="4" t="str">
        <f>IFERROR(__xludf.DUMMYFUNCTION("if(H5415=""pays"",vlookup(REGEXEXTRACT(C5415, ""🏘️ \w+ \w+ (.*) ✅""),'Country prepositions'!A:B, 2, 0) &amp; "" "" &amp; REGEXEXTRACT(C5415, ""🏘️ \w+ \w+ (.*) ✅"") ,  if(H5415=""quartier"",vlookup(REGEXEXTRACT(C5415, ""🏘️ \w+ \w+ (.*) ✅""),'Quartier prepositio"&amp;"ns'!A:E, 5, 0) ,  if(H5415=""region"",vlookup(REGEXEXTRACT(C5415, ""🏘️ \w+ \w+ (.*) ✅""),'Region prepositions'!B:F, 5, 0),  REGEXEXTRACT(C5415, ""🏘️ \w+ \w+ (.*) ✅""))))"),"#N/A")</f>
        <v>#N/A</v>
      </c>
      <c r="I5415" s="4" t="str">
        <f>IFERROR(__xludf.DUMMYFUNCTION("if(D5415=""variant"",  substitute(filter(Templates!E:E, Templates!A:A = F5415, Templates!B:B = G5415, Templates!C:C = H5415), ""{{}}"", E5415), B5415)"),"Vendre maison Suisse + FL: Trouvez le bien immobilier qui correspond idéalement à vos désirs sur ImmoScout24 - La plateforme de l'immobilier en Suisse.")</f>
        <v>Vendre maison Suisse + FL: Trouvez le bien immobilier qui correspond idéalement à vos désirs sur ImmoScout24 - La plateforme de l'immobilier en Suisse.</v>
      </c>
    </row>
    <row r="5416" hidden="1">
      <c r="A5416" s="5" t="s">
        <v>13928</v>
      </c>
      <c r="B5416" s="2" t="s">
        <v>13929</v>
      </c>
      <c r="C5416" s="2" t="s">
        <v>13929</v>
      </c>
      <c r="D5416" s="4" t="str">
        <f>vlookup(A5416, Sheet2!D:E, 2, 0)</f>
        <v>control</v>
      </c>
      <c r="E5416" s="4" t="str">
        <f>IFERROR(__xludf.DUMMYFUNCTION("if(H5416=""pays"",vlookup(REGEXEXTRACT(C5416, ""🏘️ \w+ \w+ (.*) ✅""),'Country prepositions'!A:B, 2, 0) &amp; "" "" &amp; REGEXEXTRACT(C5416, ""🏘️ \w+ \w+ (.*) ✅"") ,  if(H5416=""quartier"",vlookup(REGEXEXTRACT(C5416, ""🏘️ \w+ \w+ (.*) ✅""),'Quartier prepositio"&amp;"ns'!A:E, 5, 0) ,  if(H5416=""region"",vlookup(REGEXEXTRACT(C5416, ""🏘️ \w+ \w+ (.*) ✅""),'Region prepositions'!B:F, 5, 0),  REGEXEXTRACT(C5416, ""🏘️ \w+ \w+ (.*) ✅""))))"),"#N/A")</f>
        <v>#N/A</v>
      </c>
      <c r="I5416" s="4" t="str">
        <f>IFERROR(__xludf.DUMMYFUNCTION("if(D5416=""variant"",  substitute(filter(Templates!E:E, Templates!A:A = F5416, Templates!B:B = G5416, Templates!C:C = H5416), ""{{}}"", E5416), B5416)"),"Vendre maison St-Blaise: Trouvez le bien immobilier qui correspond idéalement à vos désirs sur ImmoScout24 - La plateforme de l'immobilier en Suisse.")</f>
        <v>Vendre maison St-Blaise: Trouvez le bien immobilier qui correspond idéalement à vos désirs sur ImmoScout24 - La plateforme de l'immobilier en Suisse.</v>
      </c>
    </row>
    <row r="5417" hidden="1">
      <c r="A5417" s="5" t="s">
        <v>13930</v>
      </c>
      <c r="B5417" s="2" t="s">
        <v>13931</v>
      </c>
      <c r="C5417" s="2" t="s">
        <v>13931</v>
      </c>
      <c r="D5417" s="4" t="str">
        <f>vlookup(A5417, Sheet2!D:E, 2, 0)</f>
        <v>control</v>
      </c>
      <c r="E5417" s="4" t="str">
        <f>IFERROR(__xludf.DUMMYFUNCTION("if(H5417=""pays"",vlookup(REGEXEXTRACT(C5417, ""🏘️ \w+ \w+ (.*) ✅""),'Country prepositions'!A:B, 2, 0) &amp; "" "" &amp; REGEXEXTRACT(C5417, ""🏘️ \w+ \w+ (.*) ✅"") ,  if(H5417=""quartier"",vlookup(REGEXEXTRACT(C5417, ""🏘️ \w+ \w+ (.*) ✅""),'Quartier prepositio"&amp;"ns'!A:E, 5, 0) ,  if(H5417=""region"",vlookup(REGEXEXTRACT(C5417, ""🏘️ \w+ \w+ (.*) ✅""),'Region prepositions'!B:F, 5, 0),  REGEXEXTRACT(C5417, ""🏘️ \w+ \w+ (.*) ✅""))))"),"#N/A")</f>
        <v>#N/A</v>
      </c>
      <c r="I5417" s="4" t="str">
        <f>IFERROR(__xludf.DUMMYFUNCTION("if(D5417=""variant"",  substitute(filter(Templates!E:E, Templates!A:A = F5417, Templates!B:B = G5417, Templates!C:C = H5417), ""{{}}"", E5417), B5417)"),"Louer appartement Niederwangen b. Bern: Trouvez le bien immobilier qui correspond idéalement à vos désirs sur ImmoScout24 - La plateforme de l'immobilier en Suisse.")</f>
        <v>Louer appartement Niederwangen b. Bern: Trouvez le bien immobilier qui correspond idéalement à vos désirs sur ImmoScout24 - La plateforme de l'immobilier en Suisse.</v>
      </c>
    </row>
    <row r="5418" hidden="1">
      <c r="A5418" s="5" t="s">
        <v>13932</v>
      </c>
      <c r="B5418" s="2" t="s">
        <v>13933</v>
      </c>
      <c r="C5418" s="2" t="s">
        <v>13933</v>
      </c>
      <c r="D5418" s="4" t="str">
        <f>vlookup(A5418, Sheet2!D:E, 2, 0)</f>
        <v>control</v>
      </c>
      <c r="E5418" s="4" t="str">
        <f>IFERROR(__xludf.DUMMYFUNCTION("if(H5418=""pays"",vlookup(REGEXEXTRACT(C5418, ""🏘️ \w+ \w+ (.*) ✅""),'Country prepositions'!A:B, 2, 0) &amp; "" "" &amp; REGEXEXTRACT(C5418, ""🏘️ \w+ \w+ (.*) ✅"") ,  if(H5418=""quartier"",vlookup(REGEXEXTRACT(C5418, ""🏘️ \w+ \w+ (.*) ✅""),'Quartier prepositio"&amp;"ns'!A:E, 5, 0) ,  if(H5418=""region"",vlookup(REGEXEXTRACT(C5418, ""🏘️ \w+ \w+ (.*) ✅""),'Region prepositions'!B:F, 5, 0),  REGEXEXTRACT(C5418, ""🏘️ \w+ \w+ (.*) ✅""))))"),"#N/A")</f>
        <v>#N/A</v>
      </c>
      <c r="I5418" s="4" t="str">
        <f>IFERROR(__xludf.DUMMYFUNCTION("if(D5418=""variant"",  substitute(filter(Templates!E:E, Templates!A:A = F5418, Templates!B:B = G5418, Templates!C:C = H5418), ""{{}}"", E5418), B5418)"),"Louer maison Studen BE: Trouvez le bien immobilier qui correspond idéalement à vos désirs sur ImmoScout24 - La plateforme de l'immobilier en Suisse.")</f>
        <v>Louer maison Studen BE: Trouvez le bien immobilier qui correspond idéalement à vos désirs sur ImmoScout24 - La plateforme de l'immobilier en Suisse.</v>
      </c>
    </row>
    <row r="5419" hidden="1">
      <c r="A5419" s="5" t="s">
        <v>13934</v>
      </c>
      <c r="B5419" s="2" t="s">
        <v>13935</v>
      </c>
      <c r="C5419" s="2" t="s">
        <v>13935</v>
      </c>
      <c r="D5419" s="4" t="str">
        <f>vlookup(A5419, Sheet2!D:E, 2, 0)</f>
        <v>control</v>
      </c>
      <c r="E5419" s="4" t="str">
        <f>IFERROR(__xludf.DUMMYFUNCTION("if(H5419=""pays"",vlookup(REGEXEXTRACT(C5419, ""🏘️ \w+ \w+ (.*) ✅""),'Country prepositions'!A:B, 2, 0) &amp; "" "" &amp; REGEXEXTRACT(C5419, ""🏘️ \w+ \w+ (.*) ✅"") ,  if(H5419=""quartier"",vlookup(REGEXEXTRACT(C5419, ""🏘️ \w+ \w+ (.*) ✅""),'Quartier prepositio"&amp;"ns'!A:E, 5, 0) ,  if(H5419=""region"",vlookup(REGEXEXTRACT(C5419, ""🏘️ \w+ \w+ (.*) ✅""),'Region prepositions'!B:F, 5, 0),  REGEXEXTRACT(C5419, ""🏘️ \w+ \w+ (.*) ✅""))))"),"#N/A")</f>
        <v>#N/A</v>
      </c>
      <c r="I5419" s="4" t="str">
        <f>IFERROR(__xludf.DUMMYFUNCTION("if(D5419=""variant"",  substitute(filter(Templates!E:E, Templates!A:A = F5419, Templates!B:B = G5419, Templates!C:C = H5419), ""{{}}"", E5419), B5419)"),"Vendre appartement Romanens: Trouvez le bien immobilier qui correspond idéalement à vos désirs sur ImmoScout24 - La plateforme de l'immobilier en Suisse.")</f>
        <v>Vendre appartement Romanens: Trouvez le bien immobilier qui correspond idéalement à vos désirs sur ImmoScout24 - La plateforme de l'immobilier en Suisse.</v>
      </c>
    </row>
    <row r="5420" hidden="1">
      <c r="A5420" s="5" t="s">
        <v>13936</v>
      </c>
      <c r="B5420" s="2" t="s">
        <v>13937</v>
      </c>
      <c r="C5420" s="2" t="s">
        <v>13937</v>
      </c>
      <c r="D5420" s="4" t="str">
        <f>vlookup(A5420, Sheet2!D:E, 2, 0)</f>
        <v>control</v>
      </c>
      <c r="E5420" s="4" t="str">
        <f>IFERROR(__xludf.DUMMYFUNCTION("if(H5420=""pays"",vlookup(REGEXEXTRACT(C5420, ""🏘️ \w+ \w+ (.*) ✅""),'Country prepositions'!A:B, 2, 0) &amp; "" "" &amp; REGEXEXTRACT(C5420, ""🏘️ \w+ \w+ (.*) ✅"") ,  if(H5420=""quartier"",vlookup(REGEXEXTRACT(C5420, ""🏘️ \w+ \w+ (.*) ✅""),'Quartier prepositio"&amp;"ns'!A:E, 5, 0) ,  if(H5420=""region"",vlookup(REGEXEXTRACT(C5420, ""🏘️ \w+ \w+ (.*) ✅""),'Region prepositions'!B:F, 5, 0),  REGEXEXTRACT(C5420, ""🏘️ \w+ \w+ (.*) ✅""))))"),"#N/A")</f>
        <v>#N/A</v>
      </c>
      <c r="I5420" s="4" t="str">
        <f>IFERROR(__xludf.DUMMYFUNCTION("if(D5420=""variant"",  substitute(filter(Templates!E:E, Templates!A:A = F5420, Templates!B:B = G5420, Templates!C:C = H5420), ""{{}}"", E5420), B5420)"),"Louer appartement Le Noirmont: Trouvez le bien immobilier qui correspond idéalement à vos désirs sur ImmoScout24 - La plateforme de l'immobilier en Suisse.")</f>
        <v>Louer appartement Le Noirmont: Trouvez le bien immobilier qui correspond idéalement à vos désirs sur ImmoScout24 - La plateforme de l'immobilier en Suisse.</v>
      </c>
    </row>
    <row r="5421" hidden="1">
      <c r="A5421" s="5" t="s">
        <v>13938</v>
      </c>
      <c r="B5421" s="2" t="s">
        <v>13939</v>
      </c>
      <c r="C5421" s="2" t="s">
        <v>13939</v>
      </c>
      <c r="D5421" s="4" t="str">
        <f>vlookup(A5421, Sheet2!D:E, 2, 0)</f>
        <v>control</v>
      </c>
      <c r="E5421" s="4" t="str">
        <f>IFERROR(__xludf.DUMMYFUNCTION("if(H5421=""pays"",vlookup(REGEXEXTRACT(C5421, ""🏘️ \w+ \w+ (.*) ✅""),'Country prepositions'!A:B, 2, 0) &amp; "" "" &amp; REGEXEXTRACT(C5421, ""🏘️ \w+ \w+ (.*) ✅"") ,  if(H5421=""quartier"",vlookup(REGEXEXTRACT(C5421, ""🏘️ \w+ \w+ (.*) ✅""),'Quartier prepositio"&amp;"ns'!A:E, 5, 0) ,  if(H5421=""region"",vlookup(REGEXEXTRACT(C5421, ""🏘️ \w+ \w+ (.*) ✅""),'Region prepositions'!B:F, 5, 0),  REGEXEXTRACT(C5421, ""🏘️ \w+ \w+ (.*) ✅""))))"),"#N/A")</f>
        <v>#N/A</v>
      </c>
      <c r="I5421" s="4" t="str">
        <f>IFERROR(__xludf.DUMMYFUNCTION("if(D5421=""variant"",  substitute(filter(Templates!E:E, Templates!A:A = F5421, Templates!B:B = G5421, Templates!C:C = H5421), ""{{}}"", E5421), B5421)"),"Vendre appartement Rombach: Trouvez le bien immobilier qui correspond idéalement à vos désirs sur ImmoScout24 - La plateforme de l'immobilier en Suisse.")</f>
        <v>Vendre appartement Rombach: Trouvez le bien immobilier qui correspond idéalement à vos désirs sur ImmoScout24 - La plateforme de l'immobilier en Suisse.</v>
      </c>
    </row>
    <row r="5422" hidden="1">
      <c r="A5422" s="5" t="s">
        <v>13940</v>
      </c>
      <c r="B5422" s="2" t="s">
        <v>13941</v>
      </c>
      <c r="C5422" s="2" t="s">
        <v>13941</v>
      </c>
      <c r="D5422" s="4" t="str">
        <f>vlookup(A5422, Sheet2!D:E, 2, 0)</f>
        <v>control</v>
      </c>
      <c r="E5422" s="4" t="str">
        <f>IFERROR(__xludf.DUMMYFUNCTION("if(H5422=""pays"",vlookup(REGEXEXTRACT(C5422, ""🏘️ \w+ \w+ (.*) ✅""),'Country prepositions'!A:B, 2, 0) &amp; "" "" &amp; REGEXEXTRACT(C5422, ""🏘️ \w+ \w+ (.*) ✅"") ,  if(H5422=""quartier"",vlookup(REGEXEXTRACT(C5422, ""🏘️ \w+ \w+ (.*) ✅""),'Quartier prepositio"&amp;"ns'!A:E, 5, 0) ,  if(H5422=""region"",vlookup(REGEXEXTRACT(C5422, ""🏘️ \w+ \w+ (.*) ✅""),'Region prepositions'!B:F, 5, 0),  REGEXEXTRACT(C5422, ""🏘️ \w+ \w+ (.*) ✅""))))"),"#N/A")</f>
        <v>#N/A</v>
      </c>
      <c r="I5422" s="4" t="str">
        <f>IFERROR(__xludf.DUMMYFUNCTION("if(D5422=""variant"",  substitute(filter(Templates!E:E, Templates!A:A = F5422, Templates!B:B = G5422, Templates!C:C = H5422), ""{{}}"", E5422), B5422)"),"Vendre appartement Bümpliz (Berne): Trouvez le bien immobilier qui correspond idéalement à vos désirs sur ImmoScout24 - La plateforme de l'immobilier en Suisse.")</f>
        <v>Vendre appartement Bümpliz (Berne): Trouvez le bien immobilier qui correspond idéalement à vos désirs sur ImmoScout24 - La plateforme de l'immobilier en Suisse.</v>
      </c>
    </row>
    <row r="5423" hidden="1">
      <c r="A5423" s="5" t="s">
        <v>13942</v>
      </c>
      <c r="B5423" s="2" t="s">
        <v>13943</v>
      </c>
      <c r="C5423" s="2" t="s">
        <v>13943</v>
      </c>
      <c r="D5423" s="4" t="str">
        <f>vlookup(A5423, Sheet2!D:E, 2, 0)</f>
        <v>control</v>
      </c>
      <c r="E5423" s="4" t="str">
        <f>IFERROR(__xludf.DUMMYFUNCTION("if(H5423=""pays"",vlookup(REGEXEXTRACT(C5423, ""🏘️ \w+ \w+ (.*) ✅""),'Country prepositions'!A:B, 2, 0) &amp; "" "" &amp; REGEXEXTRACT(C5423, ""🏘️ \w+ \w+ (.*) ✅"") ,  if(H5423=""quartier"",vlookup(REGEXEXTRACT(C5423, ""🏘️ \w+ \w+ (.*) ✅""),'Quartier prepositio"&amp;"ns'!A:E, 5, 0) ,  if(H5423=""region"",vlookup(REGEXEXTRACT(C5423, ""🏘️ \w+ \w+ (.*) ✅""),'Region prepositions'!B:F, 5, 0),  REGEXEXTRACT(C5423, ""🏘️ \w+ \w+ (.*) ✅""))))"),"#N/A")</f>
        <v>#N/A</v>
      </c>
      <c r="I5423" s="4" t="str">
        <f>IFERROR(__xludf.DUMMYFUNCTION("if(D5423=""variant"",  substitute(filter(Templates!E:E, Templates!A:A = F5423, Templates!B:B = G5423, Templates!C:C = H5423), ""{{}}"", E5423), B5423)"),"Vendre maison Mesocco: Trouvez le bien immobilier qui correspond idéalement à vos désirs sur ImmoScout24 - La plateforme de l'immobilier en Suisse.")</f>
        <v>Vendre maison Mesocco: Trouvez le bien immobilier qui correspond idéalement à vos désirs sur ImmoScout24 - La plateforme de l'immobilier en Suisse.</v>
      </c>
    </row>
    <row r="5424" hidden="1">
      <c r="A5424" s="5" t="s">
        <v>13944</v>
      </c>
      <c r="B5424" s="2" t="s">
        <v>13945</v>
      </c>
      <c r="C5424" s="2" t="s">
        <v>13945</v>
      </c>
      <c r="D5424" s="4" t="str">
        <f>vlookup(A5424, Sheet2!D:E, 2, 0)</f>
        <v>control</v>
      </c>
      <c r="E5424" s="4" t="str">
        <f>IFERROR(__xludf.DUMMYFUNCTION("if(H5424=""pays"",vlookup(REGEXEXTRACT(C5424, ""🏘️ \w+ \w+ (.*) ✅""),'Country prepositions'!A:B, 2, 0) &amp; "" "" &amp; REGEXEXTRACT(C5424, ""🏘️ \w+ \w+ (.*) ✅"") ,  if(H5424=""quartier"",vlookup(REGEXEXTRACT(C5424, ""🏘️ \w+ \w+ (.*) ✅""),'Quartier prepositio"&amp;"ns'!A:E, 5, 0) ,  if(H5424=""region"",vlookup(REGEXEXTRACT(C5424, ""🏘️ \w+ \w+ (.*) ✅""),'Region prepositions'!B:F, 5, 0),  REGEXEXTRACT(C5424, ""🏘️ \w+ \w+ (.*) ✅""))))"),"#N/A")</f>
        <v>#N/A</v>
      </c>
      <c r="I5424" s="4" t="str">
        <f>IFERROR(__xludf.DUMMYFUNCTION("if(D5424=""variant"",  substitute(filter(Templates!E:E, Templates!A:A = F5424, Templates!B:B = G5424, Templates!C:C = H5424), ""{{}}"", E5424), B5424)"),"Vendre maison Im Fang: Trouvez le bien immobilier qui correspond idéalement à vos désirs sur ImmoScout24 - La plateforme de l'immobilier en Suisse.")</f>
        <v>Vendre maison Im Fang: Trouvez le bien immobilier qui correspond idéalement à vos désirs sur ImmoScout24 - La plateforme de l'immobilier en Suisse.</v>
      </c>
    </row>
    <row r="5425" hidden="1">
      <c r="A5425" s="5" t="s">
        <v>13946</v>
      </c>
      <c r="B5425" s="2" t="s">
        <v>13947</v>
      </c>
      <c r="C5425" s="2" t="s">
        <v>13947</v>
      </c>
      <c r="D5425" s="4" t="str">
        <f>vlookup(A5425, Sheet2!D:E, 2, 0)</f>
        <v>control</v>
      </c>
      <c r="E5425" s="4" t="str">
        <f>IFERROR(__xludf.DUMMYFUNCTION("if(H5425=""pays"",vlookup(REGEXEXTRACT(C5425, ""🏘️ \w+ \w+ (.*) ✅""),'Country prepositions'!A:B, 2, 0) &amp; "" "" &amp; REGEXEXTRACT(C5425, ""🏘️ \w+ \w+ (.*) ✅"") ,  if(H5425=""quartier"",vlookup(REGEXEXTRACT(C5425, ""🏘️ \w+ \w+ (.*) ✅""),'Quartier prepositio"&amp;"ns'!A:E, 5, 0) ,  if(H5425=""region"",vlookup(REGEXEXTRACT(C5425, ""🏘️ \w+ \w+ (.*) ✅""),'Region prepositions'!B:F, 5, 0),  REGEXEXTRACT(C5425, ""🏘️ \w+ \w+ (.*) ✅""))))"),"#N/A")</f>
        <v>#N/A</v>
      </c>
      <c r="I5425" s="4" t="str">
        <f>IFERROR(__xludf.DUMMYFUNCTION("if(D5425=""variant"",  substitute(filter(Templates!E:E, Templates!A:A = F5425, Templates!B:B = G5425, Templates!C:C = H5425), ""{{}}"", E5425), B5425)"),"Louer appartement Les Avants: Trouvez le bien immobilier qui correspond idéalement à vos désirs sur ImmoScout24 - La plateforme de l'immobilier en Suisse.")</f>
        <v>Louer appartement Les Avants: Trouvez le bien immobilier qui correspond idéalement à vos désirs sur ImmoScout24 - La plateforme de l'immobilier en Suisse.</v>
      </c>
    </row>
    <row r="5426" hidden="1">
      <c r="A5426" s="5" t="s">
        <v>13948</v>
      </c>
      <c r="B5426" s="2" t="s">
        <v>13949</v>
      </c>
      <c r="C5426" s="2" t="s">
        <v>13949</v>
      </c>
      <c r="D5426" s="4" t="str">
        <f>vlookup(A5426, Sheet2!D:E, 2, 0)</f>
        <v>control</v>
      </c>
      <c r="E5426" s="4" t="str">
        <f>IFERROR(__xludf.DUMMYFUNCTION("if(H5426=""pays"",vlookup(REGEXEXTRACT(C5426, ""🏘️ \w+ \w+ (.*) ✅""),'Country prepositions'!A:B, 2, 0) &amp; "" "" &amp; REGEXEXTRACT(C5426, ""🏘️ \w+ \w+ (.*) ✅"") ,  if(H5426=""quartier"",vlookup(REGEXEXTRACT(C5426, ""🏘️ \w+ \w+ (.*) ✅""),'Quartier prepositio"&amp;"ns'!A:E, 5, 0) ,  if(H5426=""region"",vlookup(REGEXEXTRACT(C5426, ""🏘️ \w+ \w+ (.*) ✅""),'Region prepositions'!B:F, 5, 0),  REGEXEXTRACT(C5426, ""🏘️ \w+ \w+ (.*) ✅""))))"),"#N/A")</f>
        <v>#N/A</v>
      </c>
      <c r="I5426" s="4" t="str">
        <f>IFERROR(__xludf.DUMMYFUNCTION("if(D5426=""variant"",  substitute(filter(Templates!E:E, Templates!A:A = F5426, Templates!B:B = G5426, Templates!C:C = H5426), ""{{}}"", E5426), B5426)"),"Louer appartement Autigny: Trouvez le bien immobilier qui correspond idéalement à vos désirs sur ImmoScout24 - La plateforme de l'immobilier en Suisse.")</f>
        <v>Louer appartement Autigny: Trouvez le bien immobilier qui correspond idéalement à vos désirs sur ImmoScout24 - La plateforme de l'immobilier en Suisse.</v>
      </c>
    </row>
    <row r="5427" hidden="1">
      <c r="A5427" s="5" t="s">
        <v>13950</v>
      </c>
      <c r="B5427" s="2" t="s">
        <v>13951</v>
      </c>
      <c r="C5427" s="2" t="s">
        <v>13951</v>
      </c>
      <c r="D5427" s="4" t="str">
        <f>vlookup(A5427, Sheet2!D:E, 2, 0)</f>
        <v>control</v>
      </c>
      <c r="E5427" s="4" t="str">
        <f>IFERROR(__xludf.DUMMYFUNCTION("if(H5427=""pays"",vlookup(REGEXEXTRACT(C5427, ""🏘️ \w+ \w+ (.*) ✅""),'Country prepositions'!A:B, 2, 0) &amp; "" "" &amp; REGEXEXTRACT(C5427, ""🏘️ \w+ \w+ (.*) ✅"") ,  if(H5427=""quartier"",vlookup(REGEXEXTRACT(C5427, ""🏘️ \w+ \w+ (.*) ✅""),'Quartier prepositio"&amp;"ns'!A:E, 5, 0) ,  if(H5427=""region"",vlookup(REGEXEXTRACT(C5427, ""🏘️ \w+ \w+ (.*) ✅""),'Region prepositions'!B:F, 5, 0),  REGEXEXTRACT(C5427, ""🏘️ \w+ \w+ (.*) ✅""))))"),"#N/A")</f>
        <v>#N/A</v>
      </c>
      <c r="I5427" s="4" t="str">
        <f>IFERROR(__xludf.DUMMYFUNCTION("if(D5427=""variant"",  substitute(filter(Templates!E:E, Templates!A:A = F5427, Templates!B:B = G5427, Templates!C:C = H5427), ""{{}}"", E5427), B5427)"),"Vendre maison Veyras: Trouvez le bien immobilier qui correspond idéalement à vos désirs sur ImmoScout24 - La plateforme de l'immobilier en Suisse.")</f>
        <v>Vendre maison Veyras: Trouvez le bien immobilier qui correspond idéalement à vos désirs sur ImmoScout24 - La plateforme de l'immobilier en Suisse.</v>
      </c>
    </row>
    <row r="5428" hidden="1">
      <c r="A5428" s="5" t="s">
        <v>13952</v>
      </c>
      <c r="B5428" s="2" t="s">
        <v>13953</v>
      </c>
      <c r="C5428" s="2" t="s">
        <v>13953</v>
      </c>
      <c r="D5428" s="4" t="str">
        <f>vlookup(A5428, Sheet2!D:E, 2, 0)</f>
        <v>control</v>
      </c>
      <c r="E5428" s="4" t="str">
        <f>IFERROR(__xludf.DUMMYFUNCTION("if(H5428=""pays"",vlookup(REGEXEXTRACT(C5428, ""🏘️ \w+ \w+ (.*) ✅""),'Country prepositions'!A:B, 2, 0) &amp; "" "" &amp; REGEXEXTRACT(C5428, ""🏘️ \w+ \w+ (.*) ✅"") ,  if(H5428=""quartier"",vlookup(REGEXEXTRACT(C5428, ""🏘️ \w+ \w+ (.*) ✅""),'Quartier prepositio"&amp;"ns'!A:E, 5, 0) ,  if(H5428=""region"",vlookup(REGEXEXTRACT(C5428, ""🏘️ \w+ \w+ (.*) ✅""),'Region prepositions'!B:F, 5, 0),  REGEXEXTRACT(C5428, ""🏘️ \w+ \w+ (.*) ✅""))))"),"#N/A")</f>
        <v>#N/A</v>
      </c>
      <c r="I5428" s="4" t="str">
        <f>IFERROR(__xludf.DUMMYFUNCTION("if(D5428=""variant"",  substitute(filter(Templates!E:E, Templates!A:A = F5428, Templates!B:B = G5428, Templates!C:C = H5428), ""{{}}"", E5428), B5428)"),"Louer maison Muttenz: Trouvez le bien immobilier qui correspond idéalement à vos désirs sur ImmoScout24 - La plateforme de l'immobilier en Suisse.")</f>
        <v>Louer maison Muttenz: Trouvez le bien immobilier qui correspond idéalement à vos désirs sur ImmoScout24 - La plateforme de l'immobilier en Suisse.</v>
      </c>
    </row>
    <row r="5429" hidden="1">
      <c r="A5429" s="5" t="s">
        <v>13954</v>
      </c>
      <c r="B5429" s="2" t="s">
        <v>13955</v>
      </c>
      <c r="C5429" s="2" t="s">
        <v>13955</v>
      </c>
      <c r="D5429" s="4" t="str">
        <f>vlookup(A5429, Sheet2!D:E, 2, 0)</f>
        <v>control</v>
      </c>
      <c r="E5429" s="4" t="str">
        <f>IFERROR(__xludf.DUMMYFUNCTION("if(H5429=""pays"",vlookup(REGEXEXTRACT(C5429, ""🏘️ \w+ \w+ (.*) ✅""),'Country prepositions'!A:B, 2, 0) &amp; "" "" &amp; REGEXEXTRACT(C5429, ""🏘️ \w+ \w+ (.*) ✅"") ,  if(H5429=""quartier"",vlookup(REGEXEXTRACT(C5429, ""🏘️ \w+ \w+ (.*) ✅""),'Quartier prepositio"&amp;"ns'!A:E, 5, 0) ,  if(H5429=""region"",vlookup(REGEXEXTRACT(C5429, ""🏘️ \w+ \w+ (.*) ✅""),'Region prepositions'!B:F, 5, 0),  REGEXEXTRACT(C5429, ""🏘️ \w+ \w+ (.*) ✅""))))"),"#N/A")</f>
        <v>#N/A</v>
      </c>
      <c r="I5429" s="4" t="str">
        <f>IFERROR(__xludf.DUMMYFUNCTION("if(D5429=""variant"",  substitute(filter(Templates!E:E, Templates!A:A = F5429, Templates!B:B = G5429, Templates!C:C = H5429), ""{{}}"", E5429), B5429)"),"Louer appartement Dranse (Liddes): Trouvez le bien immobilier qui correspond idéalement à vos désirs sur ImmoScout24 - La plateforme de l'immobilier en Suisse.")</f>
        <v>Louer appartement Dranse (Liddes): Trouvez le bien immobilier qui correspond idéalement à vos désirs sur ImmoScout24 - La plateforme de l'immobilier en Suisse.</v>
      </c>
    </row>
    <row r="5430" hidden="1">
      <c r="A5430" s="5" t="s">
        <v>13956</v>
      </c>
      <c r="B5430" s="2" t="s">
        <v>13957</v>
      </c>
      <c r="C5430" s="2" t="s">
        <v>13957</v>
      </c>
      <c r="D5430" s="4" t="str">
        <f>vlookup(A5430, Sheet2!D:E, 2, 0)</f>
        <v>control</v>
      </c>
      <c r="E5430" s="4" t="str">
        <f>IFERROR(__xludf.DUMMYFUNCTION("if(H5430=""pays"",vlookup(REGEXEXTRACT(C5430, ""🏘️ \w+ \w+ (.*) ✅""),'Country prepositions'!A:B, 2, 0) &amp; "" "" &amp; REGEXEXTRACT(C5430, ""🏘️ \w+ \w+ (.*) ✅"") ,  if(H5430=""quartier"",vlookup(REGEXEXTRACT(C5430, ""🏘️ \w+ \w+ (.*) ✅""),'Quartier prepositio"&amp;"ns'!A:E, 5, 0) ,  if(H5430=""region"",vlookup(REGEXEXTRACT(C5430, ""🏘️ \w+ \w+ (.*) ✅""),'Region prepositions'!B:F, 5, 0),  REGEXEXTRACT(C5430, ""🏘️ \w+ \w+ (.*) ✅""))))"),"#N/A")</f>
        <v>#N/A</v>
      </c>
      <c r="I5430" s="4" t="str">
        <f>IFERROR(__xludf.DUMMYFUNCTION("if(D5430=""variant"",  substitute(filter(Templates!E:E, Templates!A:A = F5430, Templates!B:B = G5430, Templates!C:C = H5430), ""{{}}"", E5430), B5430)"),"Vendre appartement Wallisellen: Trouvez le bien immobilier qui correspond idéalement à vos désirs sur ImmoScout24 - La plateforme de l'immobilier en Suisse.")</f>
        <v>Vendre appartement Wallisellen: Trouvez le bien immobilier qui correspond idéalement à vos désirs sur ImmoScout24 - La plateforme de l'immobilier en Suisse.</v>
      </c>
    </row>
    <row r="5431" hidden="1">
      <c r="A5431" s="5" t="s">
        <v>13958</v>
      </c>
      <c r="B5431" s="2" t="s">
        <v>13959</v>
      </c>
      <c r="C5431" s="2" t="s">
        <v>13959</v>
      </c>
      <c r="D5431" s="4" t="str">
        <f>vlookup(A5431, Sheet2!D:E, 2, 0)</f>
        <v>control</v>
      </c>
      <c r="E5431" s="4" t="str">
        <f>IFERROR(__xludf.DUMMYFUNCTION("if(H5431=""pays"",vlookup(REGEXEXTRACT(C5431, ""🏘️ \w+ \w+ (.*) ✅""),'Country prepositions'!A:B, 2, 0) &amp; "" "" &amp; REGEXEXTRACT(C5431, ""🏘️ \w+ \w+ (.*) ✅"") ,  if(H5431=""quartier"",vlookup(REGEXEXTRACT(C5431, ""🏘️ \w+ \w+ (.*) ✅""),'Quartier prepositio"&amp;"ns'!A:E, 5, 0) ,  if(H5431=""region"",vlookup(REGEXEXTRACT(C5431, ""🏘️ \w+ \w+ (.*) ✅""),'Region prepositions'!B:F, 5, 0),  REGEXEXTRACT(C5431, ""🏘️ \w+ \w+ (.*) ✅""))))"),"#N/A")</f>
        <v>#N/A</v>
      </c>
      <c r="I5431" s="4" t="str">
        <f>IFERROR(__xludf.DUMMYFUNCTION("if(D5431=""variant"",  substitute(filter(Templates!E:E, Templates!A:A = F5431, Templates!B:B = G5431, Templates!C:C = H5431), ""{{}}"", E5431), B5431)"),"Louer maison Courgenay: Trouvez le bien immobilier qui correspond idéalement à vos désirs sur ImmoScout24 - La plateforme de l'immobilier en Suisse.")</f>
        <v>Louer maison Courgenay: Trouvez le bien immobilier qui correspond idéalement à vos désirs sur ImmoScout24 - La plateforme de l'immobilier en Suisse.</v>
      </c>
    </row>
    <row r="5432" hidden="1">
      <c r="A5432" s="5" t="s">
        <v>13960</v>
      </c>
      <c r="B5432" s="2" t="s">
        <v>13961</v>
      </c>
      <c r="C5432" s="2" t="s">
        <v>13961</v>
      </c>
      <c r="D5432" s="4" t="str">
        <f>vlookup(A5432, Sheet2!D:E, 2, 0)</f>
        <v>control</v>
      </c>
      <c r="E5432" s="4" t="str">
        <f>IFERROR(__xludf.DUMMYFUNCTION("if(H5432=""pays"",vlookup(REGEXEXTRACT(C5432, ""🏘️ \w+ \w+ (.*) ✅""),'Country prepositions'!A:B, 2, 0) &amp; "" "" &amp; REGEXEXTRACT(C5432, ""🏘️ \w+ \w+ (.*) ✅"") ,  if(H5432=""quartier"",vlookup(REGEXEXTRACT(C5432, ""🏘️ \w+ \w+ (.*) ✅""),'Quartier prepositio"&amp;"ns'!A:E, 5, 0) ,  if(H5432=""region"",vlookup(REGEXEXTRACT(C5432, ""🏘️ \w+ \w+ (.*) ✅""),'Region prepositions'!B:F, 5, 0),  REGEXEXTRACT(C5432, ""🏘️ \w+ \w+ (.*) ✅""))))"),"#N/A")</f>
        <v>#N/A</v>
      </c>
      <c r="I5432" s="4" t="str">
        <f>IFERROR(__xludf.DUMMYFUNCTION("if(D5432=""variant"",  substitute(filter(Templates!E:E, Templates!A:A = F5432, Templates!B:B = G5432, Templates!C:C = H5432), ""{{}}"", E5432), B5432)"),"Vendre appartement Oberwil BL: Trouvez le bien immobilier qui correspond idéalement à vos désirs sur ImmoScout24 - La plateforme de l'immobilier en Suisse.")</f>
        <v>Vendre appartement Oberwil BL: Trouvez le bien immobilier qui correspond idéalement à vos désirs sur ImmoScout24 - La plateforme de l'immobilier en Suisse.</v>
      </c>
    </row>
    <row r="5433" hidden="1">
      <c r="A5433" s="5" t="s">
        <v>13962</v>
      </c>
      <c r="B5433" s="2" t="s">
        <v>13963</v>
      </c>
      <c r="C5433" s="2" t="s">
        <v>13963</v>
      </c>
      <c r="D5433" s="4" t="str">
        <f>vlookup(A5433, Sheet2!D:E, 2, 0)</f>
        <v>control</v>
      </c>
      <c r="E5433" s="4" t="str">
        <f>IFERROR(__xludf.DUMMYFUNCTION("if(H5433=""pays"",vlookup(REGEXEXTRACT(C5433, ""🏘️ \w+ \w+ (.*) ✅""),'Country prepositions'!A:B, 2, 0) &amp; "" "" &amp; REGEXEXTRACT(C5433, ""🏘️ \w+ \w+ (.*) ✅"") ,  if(H5433=""quartier"",vlookup(REGEXEXTRACT(C5433, ""🏘️ \w+ \w+ (.*) ✅""),'Quartier prepositio"&amp;"ns'!A:E, 5, 0) ,  if(H5433=""region"",vlookup(REGEXEXTRACT(C5433, ""🏘️ \w+ \w+ (.*) ✅""),'Region prepositions'!B:F, 5, 0),  REGEXEXTRACT(C5433, ""🏘️ \w+ \w+ (.*) ✅""))))"),"#N/A")</f>
        <v>#N/A</v>
      </c>
      <c r="I5433" s="4" t="str">
        <f>IFERROR(__xludf.DUMMYFUNCTION("if(D5433=""variant"",  substitute(filter(Templates!E:E, Templates!A:A = F5433, Templates!B:B = G5433, Templates!C:C = H5433), ""{{}}"", E5433), B5433)"),"Louer appartement Rueyres-Treyfayes: Trouvez le bien immobilier qui correspond idéalement à vos désirs sur ImmoScout24 - La plateforme de l'immobilier en Suisse.")</f>
        <v>Louer appartement Rueyres-Treyfayes: Trouvez le bien immobilier qui correspond idéalement à vos désirs sur ImmoScout24 - La plateforme de l'immobilier en Suisse.</v>
      </c>
    </row>
    <row r="5434" hidden="1">
      <c r="A5434" s="5" t="s">
        <v>13964</v>
      </c>
      <c r="B5434" s="2" t="s">
        <v>13965</v>
      </c>
      <c r="C5434" s="2" t="s">
        <v>13965</v>
      </c>
      <c r="D5434" s="4" t="str">
        <f>vlookup(A5434, Sheet2!D:E, 2, 0)</f>
        <v>control</v>
      </c>
      <c r="E5434" s="4" t="str">
        <f>IFERROR(__xludf.DUMMYFUNCTION("if(H5434=""pays"",vlookup(REGEXEXTRACT(C5434, ""🏘️ \w+ \w+ (.*) ✅""),'Country prepositions'!A:B, 2, 0) &amp; "" "" &amp; REGEXEXTRACT(C5434, ""🏘️ \w+ \w+ (.*) ✅"") ,  if(H5434=""quartier"",vlookup(REGEXEXTRACT(C5434, ""🏘️ \w+ \w+ (.*) ✅""),'Quartier prepositio"&amp;"ns'!A:E, 5, 0) ,  if(H5434=""region"",vlookup(REGEXEXTRACT(C5434, ""🏘️ \w+ \w+ (.*) ✅""),'Region prepositions'!B:F, 5, 0),  REGEXEXTRACT(C5434, ""🏘️ \w+ \w+ (.*) ✅""))))"),"#N/A")</f>
        <v>#N/A</v>
      </c>
      <c r="I5434" s="4" t="str">
        <f>IFERROR(__xludf.DUMMYFUNCTION("if(D5434=""variant"",  substitute(filter(Templates!E:E, Templates!A:A = F5434, Templates!B:B = G5434, Templates!C:C = H5434), ""{{}}"", E5434), B5434)"),"Louer appartement Solduno: Trouvez le bien immobilier qui correspond idéalement à vos désirs sur ImmoScout24 - La plateforme de l'immobilier en Suisse.")</f>
        <v>Louer appartement Solduno: Trouvez le bien immobilier qui correspond idéalement à vos désirs sur ImmoScout24 - La plateforme de l'immobilier en Suisse.</v>
      </c>
    </row>
    <row r="5435" hidden="1">
      <c r="A5435" s="5" t="s">
        <v>13966</v>
      </c>
      <c r="B5435" s="2" t="s">
        <v>13967</v>
      </c>
      <c r="C5435" s="2" t="s">
        <v>13967</v>
      </c>
      <c r="D5435" s="4" t="str">
        <f>vlookup(A5435, Sheet2!D:E, 2, 0)</f>
        <v>control</v>
      </c>
      <c r="E5435" s="4" t="str">
        <f>IFERROR(__xludf.DUMMYFUNCTION("if(H5435=""pays"",vlookup(REGEXEXTRACT(C5435, ""🏘️ \w+ \w+ (.*) ✅""),'Country prepositions'!A:B, 2, 0) &amp; "" "" &amp; REGEXEXTRACT(C5435, ""🏘️ \w+ \w+ (.*) ✅"") ,  if(H5435=""quartier"",vlookup(REGEXEXTRACT(C5435, ""🏘️ \w+ \w+ (.*) ✅""),'Quartier prepositio"&amp;"ns'!A:E, 5, 0) ,  if(H5435=""region"",vlookup(REGEXEXTRACT(C5435, ""🏘️ \w+ \w+ (.*) ✅""),'Region prepositions'!B:F, 5, 0),  REGEXEXTRACT(C5435, ""🏘️ \w+ \w+ (.*) ✅""))))"),"#N/A")</f>
        <v>#N/A</v>
      </c>
      <c r="I5435" s="4" t="str">
        <f>IFERROR(__xludf.DUMMYFUNCTION("if(D5435=""variant"",  substitute(filter(Templates!E:E, Templates!A:A = F5435, Templates!B:B = G5435, Templates!C:C = H5435), ""{{}}"", E5435), B5435)"),"Louer maison Montet (Broye): Trouvez le bien immobilier qui correspond idéalement à vos désirs sur ImmoScout24 - La plateforme de l'immobilier en Suisse.")</f>
        <v>Louer maison Montet (Broye): Trouvez le bien immobilier qui correspond idéalement à vos désirs sur ImmoScout24 - La plateforme de l'immobilier en Suisse.</v>
      </c>
    </row>
    <row r="5436" hidden="1">
      <c r="A5436" s="5" t="s">
        <v>13968</v>
      </c>
      <c r="B5436" s="2" t="s">
        <v>13969</v>
      </c>
      <c r="C5436" s="2" t="s">
        <v>13969</v>
      </c>
      <c r="D5436" s="4" t="str">
        <f>vlookup(A5436, Sheet2!D:E, 2, 0)</f>
        <v>control</v>
      </c>
      <c r="E5436" s="4" t="str">
        <f>IFERROR(__xludf.DUMMYFUNCTION("if(H5436=""pays"",vlookup(REGEXEXTRACT(C5436, ""🏘️ \w+ \w+ (.*) ✅""),'Country prepositions'!A:B, 2, 0) &amp; "" "" &amp; REGEXEXTRACT(C5436, ""🏘️ \w+ \w+ (.*) ✅"") ,  if(H5436=""quartier"",vlookup(REGEXEXTRACT(C5436, ""🏘️ \w+ \w+ (.*) ✅""),'Quartier prepositio"&amp;"ns'!A:E, 5, 0) ,  if(H5436=""region"",vlookup(REGEXEXTRACT(C5436, ""🏘️ \w+ \w+ (.*) ✅""),'Region prepositions'!B:F, 5, 0),  REGEXEXTRACT(C5436, ""🏘️ \w+ \w+ (.*) ✅""))))"),"#N/A")</f>
        <v>#N/A</v>
      </c>
      <c r="I5436" s="4" t="str">
        <f>IFERROR(__xludf.DUMMYFUNCTION("if(D5436=""variant"",  substitute(filter(Templates!E:E, Templates!A:A = F5436, Templates!B:B = G5436, Templates!C:C = H5436), ""{{}}"", E5436), B5436)"),"Vendre maison Blitzingen: Trouvez le bien immobilier qui correspond idéalement à vos désirs sur ImmoScout24 - La plateforme de l'immobilier en Suisse.")</f>
        <v>Vendre maison Blitzingen: Trouvez le bien immobilier qui correspond idéalement à vos désirs sur ImmoScout24 - La plateforme de l'immobilier en Suisse.</v>
      </c>
    </row>
    <row r="5437" hidden="1">
      <c r="A5437" s="5" t="s">
        <v>13970</v>
      </c>
      <c r="B5437" s="2" t="s">
        <v>13971</v>
      </c>
      <c r="C5437" s="2" t="s">
        <v>13971</v>
      </c>
      <c r="D5437" s="4" t="str">
        <f>vlookup(A5437, Sheet2!D:E, 2, 0)</f>
        <v>control</v>
      </c>
      <c r="E5437" s="4" t="str">
        <f>IFERROR(__xludf.DUMMYFUNCTION("if(H5437=""pays"",vlookup(REGEXEXTRACT(C5437, ""🏘️ \w+ \w+ (.*) ✅""),'Country prepositions'!A:B, 2, 0) &amp; "" "" &amp; REGEXEXTRACT(C5437, ""🏘️ \w+ \w+ (.*) ✅"") ,  if(H5437=""quartier"",vlookup(REGEXEXTRACT(C5437, ""🏘️ \w+ \w+ (.*) ✅""),'Quartier prepositio"&amp;"ns'!A:E, 5, 0) ,  if(H5437=""region"",vlookup(REGEXEXTRACT(C5437, ""🏘️ \w+ \w+ (.*) ✅""),'Region prepositions'!B:F, 5, 0),  REGEXEXTRACT(C5437, ""🏘️ \w+ \w+ (.*) ✅""))))"),"#N/A")</f>
        <v>#N/A</v>
      </c>
      <c r="I5437" s="4" t="str">
        <f>IFERROR(__xludf.DUMMYFUNCTION("if(D5437=""variant"",  substitute(filter(Templates!E:E, Templates!A:A = F5437, Templates!B:B = G5437, Templates!C:C = H5437), ""{{}}"", E5437), B5437)"),"Louer maison Vella: Trouvez le bien immobilier qui correspond idéalement à vos désirs sur ImmoScout24 - La plateforme de l'immobilier en Suisse.")</f>
        <v>Louer maison Vella: Trouvez le bien immobilier qui correspond idéalement à vos désirs sur ImmoScout24 - La plateforme de l'immobilier en Suisse.</v>
      </c>
    </row>
    <row r="5438" hidden="1">
      <c r="A5438" s="5" t="s">
        <v>13972</v>
      </c>
      <c r="B5438" s="2" t="s">
        <v>13973</v>
      </c>
      <c r="C5438" s="2" t="s">
        <v>13973</v>
      </c>
      <c r="D5438" s="4" t="str">
        <f>vlookup(A5438, Sheet2!D:E, 2, 0)</f>
        <v>control</v>
      </c>
      <c r="E5438" s="4" t="str">
        <f>IFERROR(__xludf.DUMMYFUNCTION("if(H5438=""pays"",vlookup(REGEXEXTRACT(C5438, ""🏘️ \w+ \w+ (.*) ✅""),'Country prepositions'!A:B, 2, 0) &amp; "" "" &amp; REGEXEXTRACT(C5438, ""🏘️ \w+ \w+ (.*) ✅"") ,  if(H5438=""quartier"",vlookup(REGEXEXTRACT(C5438, ""🏘️ \w+ \w+ (.*) ✅""),'Quartier prepositio"&amp;"ns'!A:E, 5, 0) ,  if(H5438=""region"",vlookup(REGEXEXTRACT(C5438, ""🏘️ \w+ \w+ (.*) ✅""),'Region prepositions'!B:F, 5, 0),  REGEXEXTRACT(C5438, ""🏘️ \w+ \w+ (.*) ✅""))))"),"#N/A")</f>
        <v>#N/A</v>
      </c>
      <c r="I5438" s="4" t="str">
        <f>IFERROR(__xludf.DUMMYFUNCTION("if(D5438=""variant"",  substitute(filter(Templates!E:E, Templates!A:A = F5438, Templates!B:B = G5438, Templates!C:C = H5438), ""{{}}"", E5438), B5438)"),"Louer appartement Seewen SZ: Trouvez le bien immobilier qui correspond idéalement à vos désirs sur ImmoScout24 - La plateforme de l'immobilier en Suisse.")</f>
        <v>Louer appartement Seewen SZ: Trouvez le bien immobilier qui correspond idéalement à vos désirs sur ImmoScout24 - La plateforme de l'immobilier en Suisse.</v>
      </c>
    </row>
    <row r="5439" hidden="1">
      <c r="A5439" s="5" t="s">
        <v>13974</v>
      </c>
      <c r="B5439" s="2" t="s">
        <v>13975</v>
      </c>
      <c r="C5439" s="2" t="s">
        <v>13975</v>
      </c>
      <c r="D5439" s="4" t="str">
        <f>vlookup(A5439, Sheet2!D:E, 2, 0)</f>
        <v>control</v>
      </c>
      <c r="E5439" s="4" t="str">
        <f>IFERROR(__xludf.DUMMYFUNCTION("if(H5439=""pays"",vlookup(REGEXEXTRACT(C5439, ""🏘️ \w+ \w+ (.*) ✅""),'Country prepositions'!A:B, 2, 0) &amp; "" "" &amp; REGEXEXTRACT(C5439, ""🏘️ \w+ \w+ (.*) ✅"") ,  if(H5439=""quartier"",vlookup(REGEXEXTRACT(C5439, ""🏘️ \w+ \w+ (.*) ✅""),'Quartier prepositio"&amp;"ns'!A:E, 5, 0) ,  if(H5439=""region"",vlookup(REGEXEXTRACT(C5439, ""🏘️ \w+ \w+ (.*) ✅""),'Region prepositions'!B:F, 5, 0),  REGEXEXTRACT(C5439, ""🏘️ \w+ \w+ (.*) ✅""))))"),"#N/A")</f>
        <v>#N/A</v>
      </c>
      <c r="I5439" s="4" t="str">
        <f>IFERROR(__xludf.DUMMYFUNCTION("if(D5439=""variant"",  substitute(filter(Templates!E:E, Templates!A:A = F5439, Templates!B:B = G5439, Templates!C:C = H5439), ""{{}}"", E5439), B5439)"),"Louer appartement Bavois: Trouvez le bien immobilier qui correspond idéalement à vos désirs sur ImmoScout24 - La plateforme de l'immobilier en Suisse.")</f>
        <v>Louer appartement Bavois: Trouvez le bien immobilier qui correspond idéalement à vos désirs sur ImmoScout24 - La plateforme de l'immobilier en Suisse.</v>
      </c>
    </row>
    <row r="5440" hidden="1">
      <c r="A5440" s="5" t="s">
        <v>13976</v>
      </c>
      <c r="B5440" s="2" t="s">
        <v>13977</v>
      </c>
      <c r="C5440" s="2" t="s">
        <v>13977</v>
      </c>
      <c r="D5440" s="4" t="str">
        <f>vlookup(A5440, Sheet2!D:E, 2, 0)</f>
        <v>control</v>
      </c>
      <c r="E5440" s="4" t="str">
        <f>IFERROR(__xludf.DUMMYFUNCTION("if(H5440=""pays"",vlookup(REGEXEXTRACT(C5440, ""🏘️ \w+ \w+ (.*) ✅""),'Country prepositions'!A:B, 2, 0) &amp; "" "" &amp; REGEXEXTRACT(C5440, ""🏘️ \w+ \w+ (.*) ✅"") ,  if(H5440=""quartier"",vlookup(REGEXEXTRACT(C5440, ""🏘️ \w+ \w+ (.*) ✅""),'Quartier prepositio"&amp;"ns'!A:E, 5, 0) ,  if(H5440=""region"",vlookup(REGEXEXTRACT(C5440, ""🏘️ \w+ \w+ (.*) ✅""),'Region prepositions'!B:F, 5, 0),  REGEXEXTRACT(C5440, ""🏘️ \w+ \w+ (.*) ✅""))))"),"#N/A")</f>
        <v>#N/A</v>
      </c>
      <c r="I5440" s="4" t="str">
        <f>IFERROR(__xludf.DUMMYFUNCTION("if(D5440=""variant"",  substitute(filter(Templates!E:E, Templates!A:A = F5440, Templates!B:B = G5440, Templates!C:C = H5440), ""{{}}"", E5440), B5440)"),"Louer maison Mex VS: Trouvez le bien immobilier qui correspond idéalement à vos désirs sur ImmoScout24 - La plateforme de l'immobilier en Suisse.")</f>
        <v>Louer maison Mex VS: Trouvez le bien immobilier qui correspond idéalement à vos désirs sur ImmoScout24 - La plateforme de l'immobilier en Suisse.</v>
      </c>
    </row>
    <row r="5441" hidden="1">
      <c r="A5441" s="5" t="s">
        <v>13978</v>
      </c>
      <c r="B5441" s="2" t="s">
        <v>13979</v>
      </c>
      <c r="C5441" s="2" t="s">
        <v>13979</v>
      </c>
      <c r="D5441" s="4" t="str">
        <f>vlookup(A5441, Sheet2!D:E, 2, 0)</f>
        <v>control</v>
      </c>
      <c r="E5441" s="4" t="str">
        <f>IFERROR(__xludf.DUMMYFUNCTION("if(H5441=""pays"",vlookup(REGEXEXTRACT(C5441, ""🏘️ \w+ \w+ (.*) ✅""),'Country prepositions'!A:B, 2, 0) &amp; "" "" &amp; REGEXEXTRACT(C5441, ""🏘️ \w+ \w+ (.*) ✅"") ,  if(H5441=""quartier"",vlookup(REGEXEXTRACT(C5441, ""🏘️ \w+ \w+ (.*) ✅""),'Quartier prepositio"&amp;"ns'!A:E, 5, 0) ,  if(H5441=""region"",vlookup(REGEXEXTRACT(C5441, ""🏘️ \w+ \w+ (.*) ✅""),'Region prepositions'!B:F, 5, 0),  REGEXEXTRACT(C5441, ""🏘️ \w+ \w+ (.*) ✅""))))"),"#N/A")</f>
        <v>#N/A</v>
      </c>
      <c r="I5441" s="4" t="str">
        <f>IFERROR(__xludf.DUMMYFUNCTION("if(D5441=""variant"",  substitute(filter(Templates!E:E, Templates!A:A = F5441, Templates!B:B = G5441, Templates!C:C = H5441), ""{{}}"", E5441), B5441)"),"Vendre maison Flumserberg Bergheim: Trouvez le bien immobilier qui correspond idéalement à vos désirs sur ImmoScout24 - La plateforme de l'immobilier en Suisse.")</f>
        <v>Vendre maison Flumserberg Bergheim: Trouvez le bien immobilier qui correspond idéalement à vos désirs sur ImmoScout24 - La plateforme de l'immobilier en Suisse.</v>
      </c>
    </row>
    <row r="5442" hidden="1">
      <c r="A5442" s="5" t="s">
        <v>13980</v>
      </c>
      <c r="B5442" s="2" t="s">
        <v>13981</v>
      </c>
      <c r="C5442" s="2" t="s">
        <v>13981</v>
      </c>
      <c r="D5442" s="4" t="str">
        <f>vlookup(A5442, Sheet2!D:E, 2, 0)</f>
        <v>control</v>
      </c>
      <c r="E5442" s="4" t="str">
        <f>IFERROR(__xludf.DUMMYFUNCTION("if(H5442=""pays"",vlookup(REGEXEXTRACT(C5442, ""🏘️ \w+ \w+ (.*) ✅""),'Country prepositions'!A:B, 2, 0) &amp; "" "" &amp; REGEXEXTRACT(C5442, ""🏘️ \w+ \w+ (.*) ✅"") ,  if(H5442=""quartier"",vlookup(REGEXEXTRACT(C5442, ""🏘️ \w+ \w+ (.*) ✅""),'Quartier prepositio"&amp;"ns'!A:E, 5, 0) ,  if(H5442=""region"",vlookup(REGEXEXTRACT(C5442, ""🏘️ \w+ \w+ (.*) ✅""),'Region prepositions'!B:F, 5, 0),  REGEXEXTRACT(C5442, ""🏘️ \w+ \w+ (.*) ✅""))))"),"#N/A")</f>
        <v>#N/A</v>
      </c>
      <c r="I5442" s="4" t="str">
        <f>IFERROR(__xludf.DUMMYFUNCTION("if(D5442=""variant"",  substitute(filter(Templates!E:E, Templates!A:A = F5442, Templates!B:B = G5442, Templates!C:C = H5442), ""{{}}"", E5442), B5442)"),"Louer appartement Les Friques: Trouvez le bien immobilier qui correspond idéalement à vos désirs sur ImmoScout24 - La plateforme de l'immobilier en Suisse.")</f>
        <v>Louer appartement Les Friques: Trouvez le bien immobilier qui correspond idéalement à vos désirs sur ImmoScout24 - La plateforme de l'immobilier en Suisse.</v>
      </c>
    </row>
    <row r="5443" hidden="1">
      <c r="A5443" s="5" t="s">
        <v>13982</v>
      </c>
      <c r="B5443" s="2" t="s">
        <v>13983</v>
      </c>
      <c r="C5443" s="2" t="s">
        <v>13983</v>
      </c>
      <c r="D5443" s="4" t="str">
        <f>vlookup(A5443, Sheet2!D:E, 2, 0)</f>
        <v>control</v>
      </c>
      <c r="E5443" s="4" t="str">
        <f>IFERROR(__xludf.DUMMYFUNCTION("if(H5443=""pays"",vlookup(REGEXEXTRACT(C5443, ""🏘️ \w+ \w+ (.*) ✅""),'Country prepositions'!A:B, 2, 0) &amp; "" "" &amp; REGEXEXTRACT(C5443, ""🏘️ \w+ \w+ (.*) ✅"") ,  if(H5443=""quartier"",vlookup(REGEXEXTRACT(C5443, ""🏘️ \w+ \w+ (.*) ✅""),'Quartier prepositio"&amp;"ns'!A:E, 5, 0) ,  if(H5443=""region"",vlookup(REGEXEXTRACT(C5443, ""🏘️ \w+ \w+ (.*) ✅""),'Region prepositions'!B:F, 5, 0),  REGEXEXTRACT(C5443, ""🏘️ \w+ \w+ (.*) ✅""))))"),"#N/A")</f>
        <v>#N/A</v>
      </c>
      <c r="I5443" s="4" t="str">
        <f>IFERROR(__xludf.DUMMYFUNCTION("if(D5443=""variant"",  substitute(filter(Templates!E:E, Templates!A:A = F5443, Templates!B:B = G5443, Templates!C:C = H5443), ""{{}}"", E5443), B5443)"),"Louer appartement Hennens: Trouvez le bien immobilier qui correspond idéalement à vos désirs sur ImmoScout24 - La plateforme de l'immobilier en Suisse.")</f>
        <v>Louer appartement Hennens: Trouvez le bien immobilier qui correspond idéalement à vos désirs sur ImmoScout24 - La plateforme de l'immobilier en Suisse.</v>
      </c>
    </row>
    <row r="5444" hidden="1">
      <c r="A5444" s="5" t="s">
        <v>13984</v>
      </c>
      <c r="B5444" s="2" t="s">
        <v>13985</v>
      </c>
      <c r="C5444" s="2" t="s">
        <v>13985</v>
      </c>
      <c r="D5444" s="4" t="str">
        <f>vlookup(A5444, Sheet2!D:E, 2, 0)</f>
        <v>control</v>
      </c>
      <c r="E5444" s="4" t="str">
        <f>IFERROR(__xludf.DUMMYFUNCTION("if(H5444=""pays"",vlookup(REGEXEXTRACT(C5444, ""🏘️ \w+ \w+ (.*) ✅""),'Country prepositions'!A:B, 2, 0) &amp; "" "" &amp; REGEXEXTRACT(C5444, ""🏘️ \w+ \w+ (.*) ✅"") ,  if(H5444=""quartier"",vlookup(REGEXEXTRACT(C5444, ""🏘️ \w+ \w+ (.*) ✅""),'Quartier prepositio"&amp;"ns'!A:E, 5, 0) ,  if(H5444=""region"",vlookup(REGEXEXTRACT(C5444, ""🏘️ \w+ \w+ (.*) ✅""),'Region prepositions'!B:F, 5, 0),  REGEXEXTRACT(C5444, ""🏘️ \w+ \w+ (.*) ✅""))))"),"#N/A")</f>
        <v>#N/A</v>
      </c>
      <c r="I5444" s="4" t="str">
        <f>IFERROR(__xludf.DUMMYFUNCTION("if(D5444=""variant"",  substitute(filter(Templates!E:E, Templates!A:A = F5444, Templates!B:B = G5444, Templates!C:C = H5444), ""{{}}"", E5444), B5444)"),"Vendre maison Tüscherz-Alfermée: Trouvez le bien immobilier qui correspond idéalement à vos désirs sur ImmoScout24 - La plateforme de l'immobilier en Suisse.")</f>
        <v>Vendre maison Tüscherz-Alfermée: Trouvez le bien immobilier qui correspond idéalement à vos désirs sur ImmoScout24 - La plateforme de l'immobilier en Suisse.</v>
      </c>
    </row>
    <row r="5445" hidden="1">
      <c r="A5445" s="5" t="s">
        <v>13986</v>
      </c>
      <c r="B5445" s="2" t="s">
        <v>13987</v>
      </c>
      <c r="C5445" s="2" t="s">
        <v>13987</v>
      </c>
      <c r="D5445" s="4" t="str">
        <f>vlookup(A5445, Sheet2!D:E, 2, 0)</f>
        <v>control</v>
      </c>
      <c r="E5445" s="4" t="str">
        <f>IFERROR(__xludf.DUMMYFUNCTION("if(H5445=""pays"",vlookup(REGEXEXTRACT(C5445, ""🏘️ \w+ \w+ (.*) ✅""),'Country prepositions'!A:B, 2, 0) &amp; "" "" &amp; REGEXEXTRACT(C5445, ""🏘️ \w+ \w+ (.*) ✅"") ,  if(H5445=""quartier"",vlookup(REGEXEXTRACT(C5445, ""🏘️ \w+ \w+ (.*) ✅""),'Quartier prepositio"&amp;"ns'!A:E, 5, 0) ,  if(H5445=""region"",vlookup(REGEXEXTRACT(C5445, ""🏘️ \w+ \w+ (.*) ✅""),'Region prepositions'!B:F, 5, 0),  REGEXEXTRACT(C5445, ""🏘️ \w+ \w+ (.*) ✅""))))"),"#N/A")</f>
        <v>#N/A</v>
      </c>
      <c r="I5445" s="4" t="str">
        <f>IFERROR(__xludf.DUMMYFUNCTION("if(D5445=""variant"",  substitute(filter(Templates!E:E, Templates!A:A = F5445, Templates!B:B = G5445, Templates!C:C = H5445), ""{{}}"", E5445), B5445)"),"Vendre maison Niederbipp: Trouvez le bien immobilier qui correspond idéalement à vos désirs sur ImmoScout24 - La plateforme de l'immobilier en Suisse.")</f>
        <v>Vendre maison Niederbipp: Trouvez le bien immobilier qui correspond idéalement à vos désirs sur ImmoScout24 - La plateforme de l'immobilier en Suisse.</v>
      </c>
    </row>
    <row r="5446" hidden="1">
      <c r="A5446" s="5" t="s">
        <v>13988</v>
      </c>
      <c r="B5446" s="2" t="s">
        <v>13989</v>
      </c>
      <c r="C5446" s="2" t="s">
        <v>13989</v>
      </c>
      <c r="D5446" s="4" t="str">
        <f>vlookup(A5446, Sheet2!D:E, 2, 0)</f>
        <v>control</v>
      </c>
      <c r="E5446" s="4" t="str">
        <f>IFERROR(__xludf.DUMMYFUNCTION("if(H5446=""pays"",vlookup(REGEXEXTRACT(C5446, ""🏘️ \w+ \w+ (.*) ✅""),'Country prepositions'!A:B, 2, 0) &amp; "" "" &amp; REGEXEXTRACT(C5446, ""🏘️ \w+ \w+ (.*) ✅"") ,  if(H5446=""quartier"",vlookup(REGEXEXTRACT(C5446, ""🏘️ \w+ \w+ (.*) ✅""),'Quartier prepositio"&amp;"ns'!A:E, 5, 0) ,  if(H5446=""region"",vlookup(REGEXEXTRACT(C5446, ""🏘️ \w+ \w+ (.*) ✅""),'Region prepositions'!B:F, 5, 0),  REGEXEXTRACT(C5446, ""🏘️ \w+ \w+ (.*) ✅""))))"),"#N/A")</f>
        <v>#N/A</v>
      </c>
      <c r="I5446" s="4" t="str">
        <f>IFERROR(__xludf.DUMMYFUNCTION("if(D5446=""variant"",  substitute(filter(Templates!E:E, Templates!A:A = F5446, Templates!B:B = G5446, Templates!C:C = H5446), ""{{}}"", E5446), B5446)"),"Vendre maison Palagnedra: Trouvez le bien immobilier qui correspond idéalement à vos désirs sur ImmoScout24 - La plateforme de l'immobilier en Suisse.")</f>
        <v>Vendre maison Palagnedra: Trouvez le bien immobilier qui correspond idéalement à vos désirs sur ImmoScout24 - La plateforme de l'immobilier en Suisse.</v>
      </c>
    </row>
    <row r="5447" hidden="1">
      <c r="A5447" s="5" t="s">
        <v>13990</v>
      </c>
      <c r="B5447" s="2" t="s">
        <v>13991</v>
      </c>
      <c r="C5447" s="2" t="s">
        <v>13991</v>
      </c>
      <c r="D5447" s="4" t="str">
        <f>vlookup(A5447, Sheet2!D:E, 2, 0)</f>
        <v>control</v>
      </c>
      <c r="E5447" s="4" t="str">
        <f>IFERROR(__xludf.DUMMYFUNCTION("if(H5447=""pays"",vlookup(REGEXEXTRACT(C5447, ""🏘️ \w+ \w+ (.*) ✅""),'Country prepositions'!A:B, 2, 0) &amp; "" "" &amp; REGEXEXTRACT(C5447, ""🏘️ \w+ \w+ (.*) ✅"") ,  if(H5447=""quartier"",vlookup(REGEXEXTRACT(C5447, ""🏘️ \w+ \w+ (.*) ✅""),'Quartier prepositio"&amp;"ns'!A:E, 5, 0) ,  if(H5447=""region"",vlookup(REGEXEXTRACT(C5447, ""🏘️ \w+ \w+ (.*) ✅""),'Region prepositions'!B:F, 5, 0),  REGEXEXTRACT(C5447, ""🏘️ \w+ \w+ (.*) ✅""))))"),"#N/A")</f>
        <v>#N/A</v>
      </c>
      <c r="I5447" s="4" t="str">
        <f>IFERROR(__xludf.DUMMYFUNCTION("if(D5447=""variant"",  substitute(filter(Templates!E:E, Templates!A:A = F5447, Templates!B:B = G5447, Templates!C:C = H5447), ""{{}}"", E5447), B5447)"),"Vendre appartement Les Bois: Trouvez le bien immobilier qui correspond idéalement à vos désirs sur ImmoScout24 - La plateforme de l'immobilier en Suisse.")</f>
        <v>Vendre appartement Les Bois: Trouvez le bien immobilier qui correspond idéalement à vos désirs sur ImmoScout24 - La plateforme de l'immobilier en Suisse.</v>
      </c>
    </row>
    <row r="5448" hidden="1">
      <c r="A5448" s="5" t="s">
        <v>13992</v>
      </c>
      <c r="B5448" s="2" t="s">
        <v>13993</v>
      </c>
      <c r="C5448" s="2" t="s">
        <v>13993</v>
      </c>
      <c r="D5448" s="4" t="str">
        <f>vlookup(A5448, Sheet2!D:E, 2, 0)</f>
        <v>control</v>
      </c>
      <c r="E5448" s="4" t="str">
        <f>IFERROR(__xludf.DUMMYFUNCTION("if(H5448=""pays"",vlookup(REGEXEXTRACT(C5448, ""🏘️ \w+ \w+ (.*) ✅""),'Country prepositions'!A:B, 2, 0) &amp; "" "" &amp; REGEXEXTRACT(C5448, ""🏘️ \w+ \w+ (.*) ✅"") ,  if(H5448=""quartier"",vlookup(REGEXEXTRACT(C5448, ""🏘️ \w+ \w+ (.*) ✅""),'Quartier prepositio"&amp;"ns'!A:E, 5, 0) ,  if(H5448=""region"",vlookup(REGEXEXTRACT(C5448, ""🏘️ \w+ \w+ (.*) ✅""),'Region prepositions'!B:F, 5, 0),  REGEXEXTRACT(C5448, ""🏘️ \w+ \w+ (.*) ✅""))))"),"#N/A")</f>
        <v>#N/A</v>
      </c>
      <c r="I5448" s="4" t="str">
        <f>IFERROR(__xludf.DUMMYFUNCTION("if(D5448=""variant"",  substitute(filter(Templates!E:E, Templates!A:A = F5448, Templates!B:B = G5448, Templates!C:C = H5448), ""{{}}"", E5448), B5448)"),"Vendre maison Worb: Trouvez le bien immobilier qui correspond idéalement à vos désirs sur ImmoScout24 - La plateforme de l'immobilier en Suisse.")</f>
        <v>Vendre maison Worb: Trouvez le bien immobilier qui correspond idéalement à vos désirs sur ImmoScout24 - La plateforme de l'immobilier en Suisse.</v>
      </c>
    </row>
    <row r="5449" hidden="1">
      <c r="A5449" s="5" t="s">
        <v>13994</v>
      </c>
      <c r="B5449" s="2" t="s">
        <v>13995</v>
      </c>
      <c r="C5449" s="2" t="s">
        <v>13995</v>
      </c>
      <c r="D5449" s="4" t="str">
        <f>vlookup(A5449, Sheet2!D:E, 2, 0)</f>
        <v>control</v>
      </c>
      <c r="E5449" s="4" t="str">
        <f>IFERROR(__xludf.DUMMYFUNCTION("if(H5449=""pays"",vlookup(REGEXEXTRACT(C5449, ""🏘️ \w+ \w+ (.*) ✅""),'Country prepositions'!A:B, 2, 0) &amp; "" "" &amp; REGEXEXTRACT(C5449, ""🏘️ \w+ \w+ (.*) ✅"") ,  if(H5449=""quartier"",vlookup(REGEXEXTRACT(C5449, ""🏘️ \w+ \w+ (.*) ✅""),'Quartier prepositio"&amp;"ns'!A:E, 5, 0) ,  if(H5449=""region"",vlookup(REGEXEXTRACT(C5449, ""🏘️ \w+ \w+ (.*) ✅""),'Region prepositions'!B:F, 5, 0),  REGEXEXTRACT(C5449, ""🏘️ \w+ \w+ (.*) ✅""))))"),"#N/A")</f>
        <v>#N/A</v>
      </c>
      <c r="I5449" s="4" t="str">
        <f>IFERROR(__xludf.DUMMYFUNCTION("if(D5449=""variant"",  substitute(filter(Templates!E:E, Templates!A:A = F5449, Templates!B:B = G5449, Templates!C:C = H5449), ""{{}}"", E5449), B5449)"),"Vendre maison La Brévine: Trouvez le bien immobilier qui correspond idéalement à vos désirs sur ImmoScout24 - La plateforme de l'immobilier en Suisse.")</f>
        <v>Vendre maison La Brévine: Trouvez le bien immobilier qui correspond idéalement à vos désirs sur ImmoScout24 - La plateforme de l'immobilier en Suisse.</v>
      </c>
    </row>
    <row r="5450" hidden="1">
      <c r="A5450" s="5" t="s">
        <v>13996</v>
      </c>
      <c r="B5450" s="2" t="s">
        <v>13997</v>
      </c>
      <c r="C5450" s="2" t="s">
        <v>13997</v>
      </c>
      <c r="D5450" s="4" t="str">
        <f>vlookup(A5450, Sheet2!D:E, 2, 0)</f>
        <v>control</v>
      </c>
      <c r="E5450" s="4" t="str">
        <f>IFERROR(__xludf.DUMMYFUNCTION("if(H5450=""pays"",vlookup(REGEXEXTRACT(C5450, ""🏘️ \w+ \w+ (.*) ✅""),'Country prepositions'!A:B, 2, 0) &amp; "" "" &amp; REGEXEXTRACT(C5450, ""🏘️ \w+ \w+ (.*) ✅"") ,  if(H5450=""quartier"",vlookup(REGEXEXTRACT(C5450, ""🏘️ \w+ \w+ (.*) ✅""),'Quartier prepositio"&amp;"ns'!A:E, 5, 0) ,  if(H5450=""region"",vlookup(REGEXEXTRACT(C5450, ""🏘️ \w+ \w+ (.*) ✅""),'Region prepositions'!B:F, 5, 0),  REGEXEXTRACT(C5450, ""🏘️ \w+ \w+ (.*) ✅""))))"),"#N/A")</f>
        <v>#N/A</v>
      </c>
      <c r="I5450" s="4" t="str">
        <f>IFERROR(__xludf.DUMMYFUNCTION("if(D5450=""variant"",  substitute(filter(Templates!E:E, Templates!A:A = F5450, Templates!B:B = G5450, Templates!C:C = H5450), ""{{}}"", E5450), B5450)"),"Vendre maison Le Grand-Saconnex: Trouvez le bien immobilier qui correspond idéalement à vos désirs sur ImmoScout24 - La plateforme de l'immobilier en Suisse.")</f>
        <v>Vendre maison Le Grand-Saconnex: Trouvez le bien immobilier qui correspond idéalement à vos désirs sur ImmoScout24 - La plateforme de l'immobilier en Suisse.</v>
      </c>
    </row>
    <row r="5451" hidden="1">
      <c r="A5451" s="5" t="s">
        <v>13998</v>
      </c>
      <c r="B5451" s="2" t="s">
        <v>13999</v>
      </c>
      <c r="C5451" s="2" t="s">
        <v>13999</v>
      </c>
      <c r="D5451" s="4" t="str">
        <f>vlookup(A5451, Sheet2!D:E, 2, 0)</f>
        <v>control</v>
      </c>
      <c r="E5451" s="4" t="str">
        <f>IFERROR(__xludf.DUMMYFUNCTION("if(H5451=""pays"",vlookup(REGEXEXTRACT(C5451, ""🏘️ \w+ \w+ (.*) ✅""),'Country prepositions'!A:B, 2, 0) &amp; "" "" &amp; REGEXEXTRACT(C5451, ""🏘️ \w+ \w+ (.*) ✅"") ,  if(H5451=""quartier"",vlookup(REGEXEXTRACT(C5451, ""🏘️ \w+ \w+ (.*) ✅""),'Quartier prepositio"&amp;"ns'!A:E, 5, 0) ,  if(H5451=""region"",vlookup(REGEXEXTRACT(C5451, ""🏘️ \w+ \w+ (.*) ✅""),'Region prepositions'!B:F, 5, 0),  REGEXEXTRACT(C5451, ""🏘️ \w+ \w+ (.*) ✅""))))"),"#N/A")</f>
        <v>#N/A</v>
      </c>
      <c r="I5451" s="4" t="str">
        <f>IFERROR(__xludf.DUMMYFUNCTION("if(D5451=""variant"",  substitute(filter(Templates!E:E, Templates!A:A = F5451, Templates!B:B = G5451, Templates!C:C = H5451), ""{{}}"", E5451), B5451)"),"Vendre appartement Les Ponts-de-Martel: Trouvez le bien immobilier qui correspond idéalement à vos désirs sur ImmoScout24 - La plateforme de l'immobilier en Suisse.")</f>
        <v>Vendre appartement Les Ponts-de-Martel: Trouvez le bien immobilier qui correspond idéalement à vos désirs sur ImmoScout24 - La plateforme de l'immobilier en Suisse.</v>
      </c>
    </row>
    <row r="5452" hidden="1">
      <c r="A5452" s="5" t="s">
        <v>14000</v>
      </c>
      <c r="B5452" s="2" t="s">
        <v>14001</v>
      </c>
      <c r="C5452" s="2" t="s">
        <v>14001</v>
      </c>
      <c r="D5452" s="4" t="str">
        <f>vlookup(A5452, Sheet2!D:E, 2, 0)</f>
        <v>control</v>
      </c>
      <c r="E5452" s="4" t="str">
        <f>IFERROR(__xludf.DUMMYFUNCTION("if(H5452=""pays"",vlookup(REGEXEXTRACT(C5452, ""🏘️ \w+ \w+ (.*) ✅""),'Country prepositions'!A:B, 2, 0) &amp; "" "" &amp; REGEXEXTRACT(C5452, ""🏘️ \w+ \w+ (.*) ✅"") ,  if(H5452=""quartier"",vlookup(REGEXEXTRACT(C5452, ""🏘️ \w+ \w+ (.*) ✅""),'Quartier prepositio"&amp;"ns'!A:E, 5, 0) ,  if(H5452=""region"",vlookup(REGEXEXTRACT(C5452, ""🏘️ \w+ \w+ (.*) ✅""),'Region prepositions'!B:F, 5, 0),  REGEXEXTRACT(C5452, ""🏘️ \w+ \w+ (.*) ✅""))))"),"#N/A")</f>
        <v>#N/A</v>
      </c>
      <c r="I5452" s="4" t="str">
        <f>IFERROR(__xludf.DUMMYFUNCTION("if(D5452=""variant"",  substitute(filter(Templates!E:E, Templates!A:A = F5452, Templates!B:B = G5452, Templates!C:C = H5452), ""{{}}"", E5452), B5452)"),"Vendre appartement Cugy FR: Trouvez le bien immobilier qui correspond idéalement à vos désirs sur ImmoScout24 - La plateforme de l'immobilier en Suisse.")</f>
        <v>Vendre appartement Cugy FR: Trouvez le bien immobilier qui correspond idéalement à vos désirs sur ImmoScout24 - La plateforme de l'immobilier en Suisse.</v>
      </c>
    </row>
    <row r="5453" hidden="1">
      <c r="A5453" s="5" t="s">
        <v>14002</v>
      </c>
      <c r="B5453" s="2" t="s">
        <v>14003</v>
      </c>
      <c r="C5453" s="2" t="s">
        <v>14003</v>
      </c>
      <c r="D5453" s="4" t="str">
        <f>vlookup(A5453, Sheet2!D:E, 2, 0)</f>
        <v>control</v>
      </c>
      <c r="E5453" s="4" t="str">
        <f>IFERROR(__xludf.DUMMYFUNCTION("if(H5453=""pays"",vlookup(REGEXEXTRACT(C5453, ""🏘️ \w+ \w+ (.*) ✅""),'Country prepositions'!A:B, 2, 0) &amp; "" "" &amp; REGEXEXTRACT(C5453, ""🏘️ \w+ \w+ (.*) ✅"") ,  if(H5453=""quartier"",vlookup(REGEXEXTRACT(C5453, ""🏘️ \w+ \w+ (.*) ✅""),'Quartier prepositio"&amp;"ns'!A:E, 5, 0) ,  if(H5453=""region"",vlookup(REGEXEXTRACT(C5453, ""🏘️ \w+ \w+ (.*) ✅""),'Region prepositions'!B:F, 5, 0),  REGEXEXTRACT(C5453, ""🏘️ \w+ \w+ (.*) ✅""))))"),"#N/A")</f>
        <v>#N/A</v>
      </c>
      <c r="I5453" s="4" t="str">
        <f>IFERROR(__xludf.DUMMYFUNCTION("if(D5453=""variant"",  substitute(filter(Templates!E:E, Templates!A:A = F5453, Templates!B:B = G5453, Templates!C:C = H5453), ""{{}}"", E5453), B5453)"),"Louer appartement Hermance: Trouvez le bien immobilier qui correspond idéalement à vos désirs sur ImmoScout24 - La plateforme de l'immobilier en Suisse.")</f>
        <v>Louer appartement Hermance: Trouvez le bien immobilier qui correspond idéalement à vos désirs sur ImmoScout24 - La plateforme de l'immobilier en Suisse.</v>
      </c>
    </row>
    <row r="5454" hidden="1">
      <c r="A5454" s="5" t="s">
        <v>14004</v>
      </c>
      <c r="B5454" s="2" t="s">
        <v>14005</v>
      </c>
      <c r="C5454" s="2" t="s">
        <v>14005</v>
      </c>
      <c r="D5454" s="4" t="str">
        <f>vlookup(A5454, Sheet2!D:E, 2, 0)</f>
        <v>control</v>
      </c>
      <c r="E5454" s="4" t="str">
        <f>IFERROR(__xludf.DUMMYFUNCTION("if(H5454=""pays"",vlookup(REGEXEXTRACT(C5454, ""🏘️ \w+ \w+ (.*) ✅""),'Country prepositions'!A:B, 2, 0) &amp; "" "" &amp; REGEXEXTRACT(C5454, ""🏘️ \w+ \w+ (.*) ✅"") ,  if(H5454=""quartier"",vlookup(REGEXEXTRACT(C5454, ""🏘️ \w+ \w+ (.*) ✅""),'Quartier prepositio"&amp;"ns'!A:E, 5, 0) ,  if(H5454=""region"",vlookup(REGEXEXTRACT(C5454, ""🏘️ \w+ \w+ (.*) ✅""),'Region prepositions'!B:F, 5, 0),  REGEXEXTRACT(C5454, ""🏘️ \w+ \w+ (.*) ✅""))))"),"#N/A")</f>
        <v>#N/A</v>
      </c>
      <c r="I5454" s="4" t="str">
        <f>IFERROR(__xludf.DUMMYFUNCTION("if(D5454=""variant"",  substitute(filter(Templates!E:E, Templates!A:A = F5454, Templates!B:B = G5454, Templates!C:C = H5454), ""{{}}"", E5454), B5454)"),"Vendre maison Verscio: Trouvez le bien immobilier qui correspond idéalement à vos désirs sur ImmoScout24 - La plateforme de l'immobilier en Suisse.")</f>
        <v>Vendre maison Verscio: Trouvez le bien immobilier qui correspond idéalement à vos désirs sur ImmoScout24 - La plateforme de l'immobilier en Suisse.</v>
      </c>
    </row>
    <row r="5455" hidden="1">
      <c r="A5455" s="5" t="s">
        <v>14006</v>
      </c>
      <c r="B5455" s="2" t="s">
        <v>14007</v>
      </c>
      <c r="C5455" s="2" t="s">
        <v>14007</v>
      </c>
      <c r="D5455" s="4" t="str">
        <f>vlookup(A5455, Sheet2!D:E, 2, 0)</f>
        <v>control</v>
      </c>
      <c r="E5455" s="4" t="str">
        <f>IFERROR(__xludf.DUMMYFUNCTION("if(H5455=""pays"",vlookup(REGEXEXTRACT(C5455, ""🏘️ \w+ \w+ (.*) ✅""),'Country prepositions'!A:B, 2, 0) &amp; "" "" &amp; REGEXEXTRACT(C5455, ""🏘️ \w+ \w+ (.*) ✅"") ,  if(H5455=""quartier"",vlookup(REGEXEXTRACT(C5455, ""🏘️ \w+ \w+ (.*) ✅""),'Quartier prepositio"&amp;"ns'!A:E, 5, 0) ,  if(H5455=""region"",vlookup(REGEXEXTRACT(C5455, ""🏘️ \w+ \w+ (.*) ✅""),'Region prepositions'!B:F, 5, 0),  REGEXEXTRACT(C5455, ""🏘️ \w+ \w+ (.*) ✅""))))"),"#N/A")</f>
        <v>#N/A</v>
      </c>
      <c r="I5455" s="4" t="str">
        <f>IFERROR(__xludf.DUMMYFUNCTION("if(D5455=""variant"",  substitute(filter(Templates!E:E, Templates!A:A = F5455, Templates!B:B = G5455, Templates!C:C = H5455), ""{{}}"", E5455), B5455)"),"Louer maison Canton de Bâle-Campagne: Trouvez le bien immobilier qui correspond idéalement à vos désirs sur ImmoScout24 - La plateforme de l'immobilier en Suisse.")</f>
        <v>Louer maison Canton de Bâle-Campagne: Trouvez le bien immobilier qui correspond idéalement à vos désirs sur ImmoScout24 - La plateforme de l'immobilier en Suisse.</v>
      </c>
    </row>
    <row r="5456" hidden="1">
      <c r="A5456" s="5" t="s">
        <v>14008</v>
      </c>
      <c r="B5456" s="2" t="s">
        <v>14009</v>
      </c>
      <c r="C5456" s="2" t="s">
        <v>14009</v>
      </c>
      <c r="D5456" s="4" t="str">
        <f>vlookup(A5456, Sheet2!D:E, 2, 0)</f>
        <v>control</v>
      </c>
      <c r="E5456" s="4" t="str">
        <f>IFERROR(__xludf.DUMMYFUNCTION("if(H5456=""pays"",vlookup(REGEXEXTRACT(C5456, ""🏘️ \w+ \w+ (.*) ✅""),'Country prepositions'!A:B, 2, 0) &amp; "" "" &amp; REGEXEXTRACT(C5456, ""🏘️ \w+ \w+ (.*) ✅"") ,  if(H5456=""quartier"",vlookup(REGEXEXTRACT(C5456, ""🏘️ \w+ \w+ (.*) ✅""),'Quartier prepositio"&amp;"ns'!A:E, 5, 0) ,  if(H5456=""region"",vlookup(REGEXEXTRACT(C5456, ""🏘️ \w+ \w+ (.*) ✅""),'Region prepositions'!B:F, 5, 0),  REGEXEXTRACT(C5456, ""🏘️ \w+ \w+ (.*) ✅""))))"),"#N/A")</f>
        <v>#N/A</v>
      </c>
      <c r="I5456" s="4" t="str">
        <f>IFERROR(__xludf.DUMMYFUNCTION("if(D5456=""variant"",  substitute(filter(Templates!E:E, Templates!A:A = F5456, Templates!B:B = G5456, Templates!C:C = H5456), ""{{}}"", E5456), B5456)"),"Louer maison Flanthey: Trouvez le bien immobilier qui correspond idéalement à vos désirs sur ImmoScout24 - La plateforme de l'immobilier en Suisse.")</f>
        <v>Louer maison Flanthey: Trouvez le bien immobilier qui correspond idéalement à vos désirs sur ImmoScout24 - La plateforme de l'immobilier en Suisse.</v>
      </c>
    </row>
    <row r="5457" hidden="1">
      <c r="A5457" s="5" t="s">
        <v>14010</v>
      </c>
      <c r="B5457" s="2" t="s">
        <v>14011</v>
      </c>
      <c r="C5457" s="2" t="s">
        <v>14011</v>
      </c>
      <c r="D5457" s="4" t="str">
        <f>vlookup(A5457, Sheet2!D:E, 2, 0)</f>
        <v>control</v>
      </c>
      <c r="E5457" s="4" t="str">
        <f>IFERROR(__xludf.DUMMYFUNCTION("if(H5457=""pays"",vlookup(REGEXEXTRACT(C5457, ""🏘️ \w+ \w+ (.*) ✅""),'Country prepositions'!A:B, 2, 0) &amp; "" "" &amp; REGEXEXTRACT(C5457, ""🏘️ \w+ \w+ (.*) ✅"") ,  if(H5457=""quartier"",vlookup(REGEXEXTRACT(C5457, ""🏘️ \w+ \w+ (.*) ✅""),'Quartier prepositio"&amp;"ns'!A:E, 5, 0) ,  if(H5457=""region"",vlookup(REGEXEXTRACT(C5457, ""🏘️ \w+ \w+ (.*) ✅""),'Region prepositions'!B:F, 5, 0),  REGEXEXTRACT(C5457, ""🏘️ \w+ \w+ (.*) ✅""))))"),"#N/A")</f>
        <v>#N/A</v>
      </c>
      <c r="I5457" s="4" t="str">
        <f>IFERROR(__xludf.DUMMYFUNCTION("if(D5457=""variant"",  substitute(filter(Templates!E:E, Templates!A:A = F5457, Templates!B:B = G5457, Templates!C:C = H5457), ""{{}}"", E5457), B5457)"),"Louer maison St-Gingolph: Trouvez le bien immobilier qui correspond idéalement à vos désirs sur ImmoScout24 - La plateforme de l'immobilier en Suisse.")</f>
        <v>Louer maison St-Gingolph: Trouvez le bien immobilier qui correspond idéalement à vos désirs sur ImmoScout24 - La plateforme de l'immobilier en Suisse.</v>
      </c>
    </row>
    <row r="5458" hidden="1">
      <c r="A5458" s="5" t="s">
        <v>14012</v>
      </c>
      <c r="B5458" s="2" t="s">
        <v>14013</v>
      </c>
      <c r="C5458" s="2" t="s">
        <v>14013</v>
      </c>
      <c r="D5458" s="4" t="str">
        <f>vlookup(A5458, Sheet2!D:E, 2, 0)</f>
        <v>control</v>
      </c>
      <c r="E5458" s="4" t="str">
        <f>IFERROR(__xludf.DUMMYFUNCTION("if(H5458=""pays"",vlookup(REGEXEXTRACT(C5458, ""🏘️ \w+ \w+ (.*) ✅""),'Country prepositions'!A:B, 2, 0) &amp; "" "" &amp; REGEXEXTRACT(C5458, ""🏘️ \w+ \w+ (.*) ✅"") ,  if(H5458=""quartier"",vlookup(REGEXEXTRACT(C5458, ""🏘️ \w+ \w+ (.*) ✅""),'Quartier prepositio"&amp;"ns'!A:E, 5, 0) ,  if(H5458=""region"",vlookup(REGEXEXTRACT(C5458, ""🏘️ \w+ \w+ (.*) ✅""),'Region prepositions'!B:F, 5, 0),  REGEXEXTRACT(C5458, ""🏘️ \w+ \w+ (.*) ✅""))))"),"#N/A")</f>
        <v>#N/A</v>
      </c>
      <c r="I5458" s="4" t="str">
        <f>IFERROR(__xludf.DUMMYFUNCTION("if(D5458=""variant"",  substitute(filter(Templates!E:E, Templates!A:A = F5458, Templates!B:B = G5458, Templates!C:C = H5458), ""{{}}"", E5458), B5458)"),"Vendre appartement Orpund: Trouvez le bien immobilier qui correspond idéalement à vos désirs sur ImmoScout24 - La plateforme de l'immobilier en Suisse.")</f>
        <v>Vendre appartement Orpund: Trouvez le bien immobilier qui correspond idéalement à vos désirs sur ImmoScout24 - La plateforme de l'immobilier en Suisse.</v>
      </c>
    </row>
    <row r="5459" hidden="1">
      <c r="A5459" s="5" t="s">
        <v>14014</v>
      </c>
      <c r="B5459" s="2" t="s">
        <v>14015</v>
      </c>
      <c r="C5459" s="2" t="s">
        <v>14015</v>
      </c>
      <c r="D5459" s="4" t="str">
        <f>vlookup(A5459, Sheet2!D:E, 2, 0)</f>
        <v>control</v>
      </c>
      <c r="E5459" s="4" t="str">
        <f>IFERROR(__xludf.DUMMYFUNCTION("if(H5459=""pays"",vlookup(REGEXEXTRACT(C5459, ""🏘️ \w+ \w+ (.*) ✅""),'Country prepositions'!A:B, 2, 0) &amp; "" "" &amp; REGEXEXTRACT(C5459, ""🏘️ \w+ \w+ (.*) ✅"") ,  if(H5459=""quartier"",vlookup(REGEXEXTRACT(C5459, ""🏘️ \w+ \w+ (.*) ✅""),'Quartier prepositio"&amp;"ns'!A:E, 5, 0) ,  if(H5459=""region"",vlookup(REGEXEXTRACT(C5459, ""🏘️ \w+ \w+ (.*) ✅""),'Region prepositions'!B:F, 5, 0),  REGEXEXTRACT(C5459, ""🏘️ \w+ \w+ (.*) ✅""))))"),"#N/A")</f>
        <v>#N/A</v>
      </c>
      <c r="I5459" s="4" t="str">
        <f>IFERROR(__xludf.DUMMYFUNCTION("if(D5459=""variant"",  substitute(filter(Templates!E:E, Templates!A:A = F5459, Templates!B:B = G5459, Templates!C:C = H5459), ""{{}}"", E5459), B5459)"),"Vendre maison Le Sentier: Trouvez le bien immobilier qui correspond idéalement à vos désirs sur ImmoScout24 - La plateforme de l'immobilier en Suisse.")</f>
        <v>Vendre maison Le Sentier: Trouvez le bien immobilier qui correspond idéalement à vos désirs sur ImmoScout24 - La plateforme de l'immobilier en Suisse.</v>
      </c>
    </row>
    <row r="5460" hidden="1">
      <c r="A5460" s="5" t="s">
        <v>14016</v>
      </c>
      <c r="B5460" s="2" t="s">
        <v>14017</v>
      </c>
      <c r="C5460" s="2" t="s">
        <v>14017</v>
      </c>
      <c r="D5460" s="4" t="str">
        <f>vlookup(A5460, Sheet2!D:E, 2, 0)</f>
        <v>control</v>
      </c>
      <c r="E5460" s="4" t="str">
        <f>IFERROR(__xludf.DUMMYFUNCTION("if(H5460=""pays"",vlookup(REGEXEXTRACT(C5460, ""🏘️ \w+ \w+ (.*) ✅""),'Country prepositions'!A:B, 2, 0) &amp; "" "" &amp; REGEXEXTRACT(C5460, ""🏘️ \w+ \w+ (.*) ✅"") ,  if(H5460=""quartier"",vlookup(REGEXEXTRACT(C5460, ""🏘️ \w+ \w+ (.*) ✅""),'Quartier prepositio"&amp;"ns'!A:E, 5, 0) ,  if(H5460=""region"",vlookup(REGEXEXTRACT(C5460, ""🏘️ \w+ \w+ (.*) ✅""),'Region prepositions'!B:F, 5, 0),  REGEXEXTRACT(C5460, ""🏘️ \w+ \w+ (.*) ✅""))))"),"#N/A")</f>
        <v>#N/A</v>
      </c>
      <c r="I5460" s="4" t="str">
        <f>IFERROR(__xludf.DUMMYFUNCTION("if(D5460=""variant"",  substitute(filter(Templates!E:E, Templates!A:A = F5460, Templates!B:B = G5460, Templates!C:C = H5460), ""{{}}"", E5460), B5460)"),"Louer appartement Montherod: Trouvez le bien immobilier qui correspond idéalement à vos désirs sur ImmoScout24 - La plateforme de l'immobilier en Suisse.")</f>
        <v>Louer appartement Montherod: Trouvez le bien immobilier qui correspond idéalement à vos désirs sur ImmoScout24 - La plateforme de l'immobilier en Suisse.</v>
      </c>
    </row>
    <row r="5461" hidden="1">
      <c r="A5461" s="5" t="s">
        <v>14018</v>
      </c>
      <c r="B5461" s="2" t="s">
        <v>14019</v>
      </c>
      <c r="C5461" s="2" t="s">
        <v>14019</v>
      </c>
      <c r="D5461" s="4" t="str">
        <f>vlookup(A5461, Sheet2!D:E, 2, 0)</f>
        <v>control</v>
      </c>
      <c r="E5461" s="4" t="str">
        <f>IFERROR(__xludf.DUMMYFUNCTION("if(H5461=""pays"",vlookup(REGEXEXTRACT(C5461, ""🏘️ \w+ \w+ (.*) ✅""),'Country prepositions'!A:B, 2, 0) &amp; "" "" &amp; REGEXEXTRACT(C5461, ""🏘️ \w+ \w+ (.*) ✅"") ,  if(H5461=""quartier"",vlookup(REGEXEXTRACT(C5461, ""🏘️ \w+ \w+ (.*) ✅""),'Quartier prepositio"&amp;"ns'!A:E, 5, 0) ,  if(H5461=""region"",vlookup(REGEXEXTRACT(C5461, ""🏘️ \w+ \w+ (.*) ✅""),'Region prepositions'!B:F, 5, 0),  REGEXEXTRACT(C5461, ""🏘️ \w+ \w+ (.*) ✅""))))"),"#N/A")</f>
        <v>#N/A</v>
      </c>
      <c r="I5461" s="4" t="str">
        <f>IFERROR(__xludf.DUMMYFUNCTION("if(D5461=""variant"",  substitute(filter(Templates!E:E, Templates!A:A = F5461, Templates!B:B = G5461, Templates!C:C = H5461), ""{{}}"", E5461), B5461)"),"Louer appartement Wimmis: Trouvez le bien immobilier qui correspond idéalement à vos désirs sur ImmoScout24 - La plateforme de l'immobilier en Suisse.")</f>
        <v>Louer appartement Wimmis: Trouvez le bien immobilier qui correspond idéalement à vos désirs sur ImmoScout24 - La plateforme de l'immobilier en Suisse.</v>
      </c>
    </row>
    <row r="5462" hidden="1">
      <c r="A5462" s="5" t="s">
        <v>14020</v>
      </c>
      <c r="B5462" s="2" t="s">
        <v>14021</v>
      </c>
      <c r="C5462" s="2" t="s">
        <v>14021</v>
      </c>
      <c r="D5462" s="4" t="str">
        <f>vlookup(A5462, Sheet2!D:E, 2, 0)</f>
        <v>control</v>
      </c>
      <c r="E5462" s="4" t="str">
        <f>IFERROR(__xludf.DUMMYFUNCTION("if(H5462=""pays"",vlookup(REGEXEXTRACT(C5462, ""🏘️ \w+ \w+ (.*) ✅""),'Country prepositions'!A:B, 2, 0) &amp; "" "" &amp; REGEXEXTRACT(C5462, ""🏘️ \w+ \w+ (.*) ✅"") ,  if(H5462=""quartier"",vlookup(REGEXEXTRACT(C5462, ""🏘️ \w+ \w+ (.*) ✅""),'Quartier prepositio"&amp;"ns'!A:E, 5, 0) ,  if(H5462=""region"",vlookup(REGEXEXTRACT(C5462, ""🏘️ \w+ \w+ (.*) ✅""),'Region prepositions'!B:F, 5, 0),  REGEXEXTRACT(C5462, ""🏘️ \w+ \w+ (.*) ✅""))))"),"#N/A")</f>
        <v>#N/A</v>
      </c>
      <c r="I5462" s="4" t="str">
        <f>IFERROR(__xludf.DUMMYFUNCTION("if(D5462=""variant"",  substitute(filter(Templates!E:E, Templates!A:A = F5462, Templates!B:B = G5462, Templates!C:C = H5462), ""{{}}"", E5462), B5462)"),"Vendre maison Villaz-St-Pierre: Trouvez le bien immobilier qui correspond idéalement à vos désirs sur ImmoScout24 - La plateforme de l'immobilier en Suisse.")</f>
        <v>Vendre maison Villaz-St-Pierre: Trouvez le bien immobilier qui correspond idéalement à vos désirs sur ImmoScout24 - La plateforme de l'immobilier en Suisse.</v>
      </c>
    </row>
    <row r="5463" hidden="1">
      <c r="A5463" s="5" t="s">
        <v>14022</v>
      </c>
      <c r="B5463" s="2" t="s">
        <v>14023</v>
      </c>
      <c r="C5463" s="2" t="s">
        <v>14023</v>
      </c>
      <c r="D5463" s="4" t="str">
        <f>vlookup(A5463, Sheet2!D:E, 2, 0)</f>
        <v>control</v>
      </c>
      <c r="E5463" s="4" t="str">
        <f>IFERROR(__xludf.DUMMYFUNCTION("if(H5463=""pays"",vlookup(REGEXEXTRACT(C5463, ""🏘️ \w+ \w+ (.*) ✅""),'Country prepositions'!A:B, 2, 0) &amp; "" "" &amp; REGEXEXTRACT(C5463, ""🏘️ \w+ \w+ (.*) ✅"") ,  if(H5463=""quartier"",vlookup(REGEXEXTRACT(C5463, ""🏘️ \w+ \w+ (.*) ✅""),'Quartier prepositio"&amp;"ns'!A:E, 5, 0) ,  if(H5463=""region"",vlookup(REGEXEXTRACT(C5463, ""🏘️ \w+ \w+ (.*) ✅""),'Region prepositions'!B:F, 5, 0),  REGEXEXTRACT(C5463, ""🏘️ \w+ \w+ (.*) ✅""))))"),"#N/A")</f>
        <v>#N/A</v>
      </c>
      <c r="I5463" s="4" t="str">
        <f>IFERROR(__xludf.DUMMYFUNCTION("if(D5463=""variant"",  substitute(filter(Templates!E:E, Templates!A:A = F5463, Templates!B:B = G5463, Templates!C:C = H5463), ""{{}}"", E5463), B5463)"),"Louer appartement Forch: Trouvez le bien immobilier qui correspond idéalement à vos désirs sur ImmoScout24 - La plateforme de l'immobilier en Suisse.")</f>
        <v>Louer appartement Forch: Trouvez le bien immobilier qui correspond idéalement à vos désirs sur ImmoScout24 - La plateforme de l'immobilier en Suisse.</v>
      </c>
    </row>
    <row r="5464" hidden="1">
      <c r="A5464" s="5" t="s">
        <v>14024</v>
      </c>
      <c r="B5464" s="2" t="s">
        <v>14025</v>
      </c>
      <c r="C5464" s="2" t="s">
        <v>14025</v>
      </c>
      <c r="D5464" s="4" t="str">
        <f>vlookup(A5464, Sheet2!D:E, 2, 0)</f>
        <v>control</v>
      </c>
      <c r="E5464" s="4" t="str">
        <f>IFERROR(__xludf.DUMMYFUNCTION("if(H5464=""pays"",vlookup(REGEXEXTRACT(C5464, ""🏘️ \w+ \w+ (.*) ✅""),'Country prepositions'!A:B, 2, 0) &amp; "" "" &amp; REGEXEXTRACT(C5464, ""🏘️ \w+ \w+ (.*) ✅"") ,  if(H5464=""quartier"",vlookup(REGEXEXTRACT(C5464, ""🏘️ \w+ \w+ (.*) ✅""),'Quartier prepositio"&amp;"ns'!A:E, 5, 0) ,  if(H5464=""region"",vlookup(REGEXEXTRACT(C5464, ""🏘️ \w+ \w+ (.*) ✅""),'Region prepositions'!B:F, 5, 0),  REGEXEXTRACT(C5464, ""🏘️ \w+ \w+ (.*) ✅""))))"),"#N/A")</f>
        <v>#N/A</v>
      </c>
      <c r="I5464" s="4" t="str">
        <f>IFERROR(__xludf.DUMMYFUNCTION("if(D5464=""variant"",  substitute(filter(Templates!E:E, Templates!A:A = F5464, Templates!B:B = G5464, Templates!C:C = H5464), ""{{}}"", E5464), B5464)"),"Vendre maison Regensdorf: Trouvez le bien immobilier qui correspond idéalement à vos désirs sur ImmoScout24 - La plateforme de l'immobilier en Suisse.")</f>
        <v>Vendre maison Regensdorf: Trouvez le bien immobilier qui correspond idéalement à vos désirs sur ImmoScout24 - La plateforme de l'immobilier en Suisse.</v>
      </c>
    </row>
    <row r="5465" hidden="1">
      <c r="A5465" s="5" t="s">
        <v>14026</v>
      </c>
      <c r="B5465" s="2" t="s">
        <v>14027</v>
      </c>
      <c r="C5465" s="2" t="s">
        <v>14027</v>
      </c>
      <c r="D5465" s="4" t="str">
        <f>vlookup(A5465, Sheet2!D:E, 2, 0)</f>
        <v>control</v>
      </c>
      <c r="E5465" s="4" t="str">
        <f>IFERROR(__xludf.DUMMYFUNCTION("if(H5465=""pays"",vlookup(REGEXEXTRACT(C5465, ""🏘️ \w+ \w+ (.*) ✅""),'Country prepositions'!A:B, 2, 0) &amp; "" "" &amp; REGEXEXTRACT(C5465, ""🏘️ \w+ \w+ (.*) ✅"") ,  if(H5465=""quartier"",vlookup(REGEXEXTRACT(C5465, ""🏘️ \w+ \w+ (.*) ✅""),'Quartier prepositio"&amp;"ns'!A:E, 5, 0) ,  if(H5465=""region"",vlookup(REGEXEXTRACT(C5465, ""🏘️ \w+ \w+ (.*) ✅""),'Region prepositions'!B:F, 5, 0),  REGEXEXTRACT(C5465, ""🏘️ \w+ \w+ (.*) ✅""))))"),"#N/A")</f>
        <v>#N/A</v>
      </c>
      <c r="I5465" s="4" t="str">
        <f>IFERROR(__xludf.DUMMYFUNCTION("if(D5465=""variant"",  substitute(filter(Templates!E:E, Templates!A:A = F5465, Templates!B:B = G5465, Templates!C:C = H5465), ""{{}}"", E5465), B5465)"),"Vendre maison Olten - Thal - Gäu - Gösgen: Trouvez le bien immobilier qui correspond idéalement à vos désirs sur ImmoScout24 - La plateforme de l'immobilier en Suisse.")</f>
        <v>Vendre maison Olten - Thal - Gäu - Gösgen: Trouvez le bien immobilier qui correspond idéalement à vos désirs sur ImmoScout24 - La plateforme de l'immobilier en Suisse.</v>
      </c>
    </row>
    <row r="5466" hidden="1">
      <c r="A5466" s="5" t="s">
        <v>14028</v>
      </c>
      <c r="B5466" s="2" t="s">
        <v>14029</v>
      </c>
      <c r="C5466" s="2" t="s">
        <v>14029</v>
      </c>
      <c r="D5466" s="4" t="str">
        <f>vlookup(A5466, Sheet2!D:E, 2, 0)</f>
        <v>control</v>
      </c>
      <c r="E5466" s="4" t="str">
        <f>IFERROR(__xludf.DUMMYFUNCTION("if(H5466=""pays"",vlookup(REGEXEXTRACT(C5466, ""🏘️ \w+ \w+ (.*) ✅""),'Country prepositions'!A:B, 2, 0) &amp; "" "" &amp; REGEXEXTRACT(C5466, ""🏘️ \w+ \w+ (.*) ✅"") ,  if(H5466=""quartier"",vlookup(REGEXEXTRACT(C5466, ""🏘️ \w+ \w+ (.*) ✅""),'Quartier prepositio"&amp;"ns'!A:E, 5, 0) ,  if(H5466=""region"",vlookup(REGEXEXTRACT(C5466, ""🏘️ \w+ \w+ (.*) ✅""),'Region prepositions'!B:F, 5, 0),  REGEXEXTRACT(C5466, ""🏘️ \w+ \w+ (.*) ✅""))))"),"#N/A")</f>
        <v>#N/A</v>
      </c>
      <c r="I5466" s="4" t="str">
        <f>IFERROR(__xludf.DUMMYFUNCTION("if(D5466=""variant"",  substitute(filter(Templates!E:E, Templates!A:A = F5466, Templates!B:B = G5466, Templates!C:C = H5466), ""{{}}"", E5466), B5466)"),"Louer appartement Poliez-Pittet: Trouvez le bien immobilier qui correspond idéalement à vos désirs sur ImmoScout24 - La plateforme de l'immobilier en Suisse.")</f>
        <v>Louer appartement Poliez-Pittet: Trouvez le bien immobilier qui correspond idéalement à vos désirs sur ImmoScout24 - La plateforme de l'immobilier en Suisse.</v>
      </c>
    </row>
    <row r="5467" hidden="1">
      <c r="A5467" s="5" t="s">
        <v>14030</v>
      </c>
      <c r="B5467" s="2" t="s">
        <v>14031</v>
      </c>
      <c r="C5467" s="2" t="s">
        <v>14031</v>
      </c>
      <c r="D5467" s="4" t="str">
        <f>vlookup(A5467, Sheet2!D:E, 2, 0)</f>
        <v>control</v>
      </c>
      <c r="E5467" s="4" t="str">
        <f>IFERROR(__xludf.DUMMYFUNCTION("if(H5467=""pays"",vlookup(REGEXEXTRACT(C5467, ""🏘️ \w+ \w+ (.*) ✅""),'Country prepositions'!A:B, 2, 0) &amp; "" "" &amp; REGEXEXTRACT(C5467, ""🏘️ \w+ \w+ (.*) ✅"") ,  if(H5467=""quartier"",vlookup(REGEXEXTRACT(C5467, ""🏘️ \w+ \w+ (.*) ✅""),'Quartier prepositio"&amp;"ns'!A:E, 5, 0) ,  if(H5467=""region"",vlookup(REGEXEXTRACT(C5467, ""🏘️ \w+ \w+ (.*) ✅""),'Region prepositions'!B:F, 5, 0),  REGEXEXTRACT(C5467, ""🏘️ \w+ \w+ (.*) ✅""))))"),"#N/A")</f>
        <v>#N/A</v>
      </c>
      <c r="I5467" s="4" t="str">
        <f>IFERROR(__xludf.DUMMYFUNCTION("if(D5467=""variant"",  substitute(filter(Templates!E:E, Templates!A:A = F5467, Templates!B:B = G5467, Templates!C:C = H5467), ""{{}}"", E5467), B5467)"),"Vendre appartement Uitikon Waldegg: Trouvez le bien immobilier qui correspond idéalement à vos désirs sur ImmoScout24 - La plateforme de l'immobilier en Suisse.")</f>
        <v>Vendre appartement Uitikon Waldegg: Trouvez le bien immobilier qui correspond idéalement à vos désirs sur ImmoScout24 - La plateforme de l'immobilier en Suisse.</v>
      </c>
    </row>
    <row r="5468" hidden="1">
      <c r="A5468" s="5" t="s">
        <v>14032</v>
      </c>
      <c r="B5468" s="2" t="s">
        <v>14033</v>
      </c>
      <c r="C5468" s="2" t="s">
        <v>14033</v>
      </c>
      <c r="D5468" s="4" t="str">
        <f>vlookup(A5468, Sheet2!D:E, 2, 0)</f>
        <v>control</v>
      </c>
      <c r="E5468" s="4" t="str">
        <f>IFERROR(__xludf.DUMMYFUNCTION("if(H5468=""pays"",vlookup(REGEXEXTRACT(C5468, ""🏘️ \w+ \w+ (.*) ✅""),'Country prepositions'!A:B, 2, 0) &amp; "" "" &amp; REGEXEXTRACT(C5468, ""🏘️ \w+ \w+ (.*) ✅"") ,  if(H5468=""quartier"",vlookup(REGEXEXTRACT(C5468, ""🏘️ \w+ \w+ (.*) ✅""),'Quartier prepositio"&amp;"ns'!A:E, 5, 0) ,  if(H5468=""region"",vlookup(REGEXEXTRACT(C5468, ""🏘️ \w+ \w+ (.*) ✅""),'Region prepositions'!B:F, 5, 0),  REGEXEXTRACT(C5468, ""🏘️ \w+ \w+ (.*) ✅""))))"),"#N/A")</f>
        <v>#N/A</v>
      </c>
      <c r="I5468" s="4" t="str">
        <f>IFERROR(__xludf.DUMMYFUNCTION("if(D5468=""variant"",  substitute(filter(Templates!E:E, Templates!A:A = F5468, Templates!B:B = G5468, Templates!C:C = H5468), ""{{}}"", E5468), B5468)"),"Louer appartement Boveresse: Trouvez le bien immobilier qui correspond idéalement à vos désirs sur ImmoScout24 - La plateforme de l'immobilier en Suisse.")</f>
        <v>Louer appartement Boveresse: Trouvez le bien immobilier qui correspond idéalement à vos désirs sur ImmoScout24 - La plateforme de l'immobilier en Suisse.</v>
      </c>
    </row>
    <row r="5469" hidden="1">
      <c r="A5469" s="5" t="s">
        <v>14034</v>
      </c>
      <c r="B5469" s="2" t="s">
        <v>14035</v>
      </c>
      <c r="C5469" s="2" t="s">
        <v>14035</v>
      </c>
      <c r="D5469" s="4" t="str">
        <f>vlookup(A5469, Sheet2!D:E, 2, 0)</f>
        <v>control</v>
      </c>
      <c r="E5469" s="4" t="str">
        <f>IFERROR(__xludf.DUMMYFUNCTION("if(H5469=""pays"",vlookup(REGEXEXTRACT(C5469, ""🏘️ \w+ \w+ (.*) ✅""),'Country prepositions'!A:B, 2, 0) &amp; "" "" &amp; REGEXEXTRACT(C5469, ""🏘️ \w+ \w+ (.*) ✅"") ,  if(H5469=""quartier"",vlookup(REGEXEXTRACT(C5469, ""🏘️ \w+ \w+ (.*) ✅""),'Quartier prepositio"&amp;"ns'!A:E, 5, 0) ,  if(H5469=""region"",vlookup(REGEXEXTRACT(C5469, ""🏘️ \w+ \w+ (.*) ✅""),'Region prepositions'!B:F, 5, 0),  REGEXEXTRACT(C5469, ""🏘️ \w+ \w+ (.*) ✅""))))"),"#N/A")</f>
        <v>#N/A</v>
      </c>
      <c r="I5469" s="4" t="str">
        <f>IFERROR(__xludf.DUMMYFUNCTION("if(D5469=""variant"",  substitute(filter(Templates!E:E, Templates!A:A = F5469, Templates!B:B = G5469, Templates!C:C = H5469), ""{{}}"", E5469), B5469)"),"Vendre appartement Herisau: Trouvez le bien immobilier qui correspond idéalement à vos désirs sur ImmoScout24 - La plateforme de l'immobilier en Suisse.")</f>
        <v>Vendre appartement Herisau: Trouvez le bien immobilier qui correspond idéalement à vos désirs sur ImmoScout24 - La plateforme de l'immobilier en Suisse.</v>
      </c>
    </row>
    <row r="5470" hidden="1">
      <c r="A5470" s="5" t="s">
        <v>14036</v>
      </c>
      <c r="B5470" s="2" t="s">
        <v>14037</v>
      </c>
      <c r="C5470" s="2" t="s">
        <v>14037</v>
      </c>
      <c r="D5470" s="4" t="str">
        <f>vlookup(A5470, Sheet2!D:E, 2, 0)</f>
        <v>control</v>
      </c>
      <c r="E5470" s="4" t="str">
        <f>IFERROR(__xludf.DUMMYFUNCTION("if(H5470=""pays"",vlookup(REGEXEXTRACT(C5470, ""🏘️ \w+ \w+ (.*) ✅""),'Country prepositions'!A:B, 2, 0) &amp; "" "" &amp; REGEXEXTRACT(C5470, ""🏘️ \w+ \w+ (.*) ✅"") ,  if(H5470=""quartier"",vlookup(REGEXEXTRACT(C5470, ""🏘️ \w+ \w+ (.*) ✅""),'Quartier prepositio"&amp;"ns'!A:E, 5, 0) ,  if(H5470=""region"",vlookup(REGEXEXTRACT(C5470, ""🏘️ \w+ \w+ (.*) ✅""),'Region prepositions'!B:F, 5, 0),  REGEXEXTRACT(C5470, ""🏘️ \w+ \w+ (.*) ✅""))))"),"#N/A")</f>
        <v>#N/A</v>
      </c>
      <c r="I5470" s="4" t="str">
        <f>IFERROR(__xludf.DUMMYFUNCTION("if(D5470=""variant"",  substitute(filter(Templates!E:E, Templates!A:A = F5470, Templates!B:B = G5470, Templates!C:C = H5470), ""{{}}"", E5470), B5470)"),"Louer maison Jaun: Trouvez le bien immobilier qui correspond idéalement à vos désirs sur ImmoScout24 - La plateforme de l'immobilier en Suisse.")</f>
        <v>Louer maison Jaun: Trouvez le bien immobilier qui correspond idéalement à vos désirs sur ImmoScout24 - La plateforme de l'immobilier en Suisse.</v>
      </c>
    </row>
    <row r="5471" hidden="1">
      <c r="A5471" s="5" t="s">
        <v>14038</v>
      </c>
      <c r="B5471" s="2" t="s">
        <v>14039</v>
      </c>
      <c r="C5471" s="2" t="s">
        <v>14039</v>
      </c>
      <c r="D5471" s="4" t="str">
        <f>vlookup(A5471, Sheet2!D:E, 2, 0)</f>
        <v>control</v>
      </c>
      <c r="E5471" s="4" t="str">
        <f>IFERROR(__xludf.DUMMYFUNCTION("if(H5471=""pays"",vlookup(REGEXEXTRACT(C5471, ""🏘️ \w+ \w+ (.*) ✅""),'Country prepositions'!A:B, 2, 0) &amp; "" "" &amp; REGEXEXTRACT(C5471, ""🏘️ \w+ \w+ (.*) ✅"") ,  if(H5471=""quartier"",vlookup(REGEXEXTRACT(C5471, ""🏘️ \w+ \w+ (.*) ✅""),'Quartier prepositio"&amp;"ns'!A:E, 5, 0) ,  if(H5471=""region"",vlookup(REGEXEXTRACT(C5471, ""🏘️ \w+ \w+ (.*) ✅""),'Region prepositions'!B:F, 5, 0),  REGEXEXTRACT(C5471, ""🏘️ \w+ \w+ (.*) ✅""))))"),"#N/A")</f>
        <v>#N/A</v>
      </c>
      <c r="I5471" s="4" t="str">
        <f>IFERROR(__xludf.DUMMYFUNCTION("if(D5471=""variant"",  substitute(filter(Templates!E:E, Templates!A:A = F5471, Templates!B:B = G5471, Templates!C:C = H5471), ""{{}}"", E5471), B5471)"),"Vendre maison Buus: Trouvez le bien immobilier qui correspond idéalement à vos désirs sur ImmoScout24 - La plateforme de l'immobilier en Suisse.")</f>
        <v>Vendre maison Buus: Trouvez le bien immobilier qui correspond idéalement à vos désirs sur ImmoScout24 - La plateforme de l'immobilier en Suisse.</v>
      </c>
    </row>
    <row r="5472" hidden="1">
      <c r="A5472" s="5" t="s">
        <v>14040</v>
      </c>
      <c r="B5472" s="2" t="s">
        <v>14041</v>
      </c>
      <c r="C5472" s="2" t="s">
        <v>14041</v>
      </c>
      <c r="D5472" s="4" t="str">
        <f>vlookup(A5472, Sheet2!D:E, 2, 0)</f>
        <v>control</v>
      </c>
      <c r="E5472" s="4" t="str">
        <f>IFERROR(__xludf.DUMMYFUNCTION("if(H5472=""pays"",vlookup(REGEXEXTRACT(C5472, ""🏘️ \w+ \w+ (.*) ✅""),'Country prepositions'!A:B, 2, 0) &amp; "" "" &amp; REGEXEXTRACT(C5472, ""🏘️ \w+ \w+ (.*) ✅"") ,  if(H5472=""quartier"",vlookup(REGEXEXTRACT(C5472, ""🏘️ \w+ \w+ (.*) ✅""),'Quartier prepositio"&amp;"ns'!A:E, 5, 0) ,  if(H5472=""region"",vlookup(REGEXEXTRACT(C5472, ""🏘️ \w+ \w+ (.*) ✅""),'Region prepositions'!B:F, 5, 0),  REGEXEXTRACT(C5472, ""🏘️ \w+ \w+ (.*) ✅""))))"),"#N/A")</f>
        <v>#N/A</v>
      </c>
      <c r="I5472" s="4" t="str">
        <f>IFERROR(__xludf.DUMMYFUNCTION("if(D5472=""variant"",  substitute(filter(Templates!E:E, Templates!A:A = F5472, Templates!B:B = G5472, Templates!C:C = H5472), ""{{}}"", E5472), B5472)"),"Vendre appartement Perly: Trouvez le bien immobilier qui correspond idéalement à vos désirs sur ImmoScout24 - La plateforme de l'immobilier en Suisse.")</f>
        <v>Vendre appartement Perly: Trouvez le bien immobilier qui correspond idéalement à vos désirs sur ImmoScout24 - La plateforme de l'immobilier en Suisse.</v>
      </c>
    </row>
    <row r="5473" hidden="1">
      <c r="A5473" s="5" t="s">
        <v>14042</v>
      </c>
      <c r="B5473" s="2" t="s">
        <v>14043</v>
      </c>
      <c r="C5473" s="2" t="s">
        <v>14043</v>
      </c>
      <c r="D5473" s="4" t="str">
        <f>vlookup(A5473, Sheet2!D:E, 2, 0)</f>
        <v>control</v>
      </c>
      <c r="E5473" s="4" t="str">
        <f>IFERROR(__xludf.DUMMYFUNCTION("if(H5473=""pays"",vlookup(REGEXEXTRACT(C5473, ""🏘️ \w+ \w+ (.*) ✅""),'Country prepositions'!A:B, 2, 0) &amp; "" "" &amp; REGEXEXTRACT(C5473, ""🏘️ \w+ \w+ (.*) ✅"") ,  if(H5473=""quartier"",vlookup(REGEXEXTRACT(C5473, ""🏘️ \w+ \w+ (.*) ✅""),'Quartier prepositio"&amp;"ns'!A:E, 5, 0) ,  if(H5473=""region"",vlookup(REGEXEXTRACT(C5473, ""🏘️ \w+ \w+ (.*) ✅""),'Region prepositions'!B:F, 5, 0),  REGEXEXTRACT(C5473, ""🏘️ \w+ \w+ (.*) ✅""))))"),"#N/A")</f>
        <v>#N/A</v>
      </c>
      <c r="I5473" s="4" t="str">
        <f>IFERROR(__xludf.DUMMYFUNCTION("if(D5473=""variant"",  substitute(filter(Templates!E:E, Templates!A:A = F5473, Templates!B:B = G5473, Templates!C:C = H5473), ""{{}}"", E5473), B5473)"),"Louer appartement Belprahon: Trouvez le bien immobilier qui correspond idéalement à vos désirs sur ImmoScout24 - La plateforme de l'immobilier en Suisse.")</f>
        <v>Louer appartement Belprahon: Trouvez le bien immobilier qui correspond idéalement à vos désirs sur ImmoScout24 - La plateforme de l'immobilier en Suisse.</v>
      </c>
    </row>
    <row r="5474" hidden="1">
      <c r="A5474" s="5" t="s">
        <v>14044</v>
      </c>
      <c r="B5474" s="2" t="s">
        <v>14045</v>
      </c>
      <c r="C5474" s="2" t="s">
        <v>14045</v>
      </c>
      <c r="D5474" s="4" t="str">
        <f>vlookup(A5474, Sheet2!D:E, 2, 0)</f>
        <v>control</v>
      </c>
      <c r="E5474" s="4" t="str">
        <f>IFERROR(__xludf.DUMMYFUNCTION("if(H5474=""pays"",vlookup(REGEXEXTRACT(C5474, ""🏘️ \w+ \w+ (.*) ✅""),'Country prepositions'!A:B, 2, 0) &amp; "" "" &amp; REGEXEXTRACT(C5474, ""🏘️ \w+ \w+ (.*) ✅"") ,  if(H5474=""quartier"",vlookup(REGEXEXTRACT(C5474, ""🏘️ \w+ \w+ (.*) ✅""),'Quartier prepositio"&amp;"ns'!A:E, 5, 0) ,  if(H5474=""region"",vlookup(REGEXEXTRACT(C5474, ""🏘️ \w+ \w+ (.*) ✅""),'Region prepositions'!B:F, 5, 0),  REGEXEXTRACT(C5474, ""🏘️ \w+ \w+ (.*) ✅""))))"),"#N/A")</f>
        <v>#N/A</v>
      </c>
      <c r="I5474" s="4" t="str">
        <f>IFERROR(__xludf.DUMMYFUNCTION("if(D5474=""variant"",  substitute(filter(Templates!E:E, Templates!A:A = F5474, Templates!B:B = G5474, Templates!C:C = H5474), ""{{}}"", E5474), B5474)"),"Vendre maison Serbie: Trouvez le bien immobilier qui correspond idéalement à vos désirs sur ImmoScout24 - La plateforme de l'immobilier en Suisse.")</f>
        <v>Vendre maison Serbie: Trouvez le bien immobilier qui correspond idéalement à vos désirs sur ImmoScout24 - La plateforme de l'immobilier en Suisse.</v>
      </c>
    </row>
    <row r="5475" hidden="1">
      <c r="A5475" s="5" t="s">
        <v>14046</v>
      </c>
      <c r="B5475" s="2" t="s">
        <v>14047</v>
      </c>
      <c r="C5475" s="2" t="s">
        <v>14047</v>
      </c>
      <c r="D5475" s="4" t="str">
        <f>vlookup(A5475, Sheet2!D:E, 2, 0)</f>
        <v>control</v>
      </c>
      <c r="E5475" s="4" t="str">
        <f>IFERROR(__xludf.DUMMYFUNCTION("if(H5475=""pays"",vlookup(REGEXEXTRACT(C5475, ""🏘️ \w+ \w+ (.*) ✅""),'Country prepositions'!A:B, 2, 0) &amp; "" "" &amp; REGEXEXTRACT(C5475, ""🏘️ \w+ \w+ (.*) ✅"") ,  if(H5475=""quartier"",vlookup(REGEXEXTRACT(C5475, ""🏘️ \w+ \w+ (.*) ✅""),'Quartier prepositio"&amp;"ns'!A:E, 5, 0) ,  if(H5475=""region"",vlookup(REGEXEXTRACT(C5475, ""🏘️ \w+ \w+ (.*) ✅""),'Region prepositions'!B:F, 5, 0),  REGEXEXTRACT(C5475, ""🏘️ \w+ \w+ (.*) ✅""))))"),"#N/A")</f>
        <v>#N/A</v>
      </c>
      <c r="I5475" s="4" t="str">
        <f>IFERROR(__xludf.DUMMYFUNCTION("if(D5475=""variant"",  substitute(filter(Templates!E:E, Templates!A:A = F5475, Templates!B:B = G5475, Templates!C:C = H5475), ""{{}}"", E5475), B5475)"),"Vendre maison Fontaines NE: Trouvez le bien immobilier qui correspond idéalement à vos désirs sur ImmoScout24 - La plateforme de l'immobilier en Suisse.")</f>
        <v>Vendre maison Fontaines NE: Trouvez le bien immobilier qui correspond idéalement à vos désirs sur ImmoScout24 - La plateforme de l'immobilier en Suisse.</v>
      </c>
    </row>
    <row r="5476" hidden="1">
      <c r="A5476" s="5" t="s">
        <v>14048</v>
      </c>
      <c r="B5476" s="2" t="s">
        <v>14049</v>
      </c>
      <c r="C5476" s="2" t="s">
        <v>14049</v>
      </c>
      <c r="D5476" s="4" t="str">
        <f>vlookup(A5476, Sheet2!D:E, 2, 0)</f>
        <v>control</v>
      </c>
      <c r="E5476" s="4" t="str">
        <f>IFERROR(__xludf.DUMMYFUNCTION("if(H5476=""pays"",vlookup(REGEXEXTRACT(C5476, ""🏘️ \w+ \w+ (.*) ✅""),'Country prepositions'!A:B, 2, 0) &amp; "" "" &amp; REGEXEXTRACT(C5476, ""🏘️ \w+ \w+ (.*) ✅"") ,  if(H5476=""quartier"",vlookup(REGEXEXTRACT(C5476, ""🏘️ \w+ \w+ (.*) ✅""),'Quartier prepositio"&amp;"ns'!A:E, 5, 0) ,  if(H5476=""region"",vlookup(REGEXEXTRACT(C5476, ""🏘️ \w+ \w+ (.*) ✅""),'Region prepositions'!B:F, 5, 0),  REGEXEXTRACT(C5476, ""🏘️ \w+ \w+ (.*) ✅""))))"),"#N/A")</f>
        <v>#N/A</v>
      </c>
      <c r="I5476" s="4" t="str">
        <f>IFERROR(__xludf.DUMMYFUNCTION("if(D5476=""variant"",  substitute(filter(Templates!E:E, Templates!A:A = F5476, Templates!B:B = G5476, Templates!C:C = H5476), ""{{}}"", E5476), B5476)"),"Louer appartement Mollie-Margot: Trouvez le bien immobilier qui correspond idéalement à vos désirs sur ImmoScout24 - La plateforme de l'immobilier en Suisse.")</f>
        <v>Louer appartement Mollie-Margot: Trouvez le bien immobilier qui correspond idéalement à vos désirs sur ImmoScout24 - La plateforme de l'immobilier en Suisse.</v>
      </c>
    </row>
    <row r="5477" hidden="1">
      <c r="A5477" s="5" t="s">
        <v>14050</v>
      </c>
      <c r="B5477" s="2" t="s">
        <v>14051</v>
      </c>
      <c r="C5477" s="2" t="s">
        <v>14051</v>
      </c>
      <c r="D5477" s="4" t="str">
        <f>vlookup(A5477, Sheet2!D:E, 2, 0)</f>
        <v>control</v>
      </c>
      <c r="E5477" s="4" t="str">
        <f>IFERROR(__xludf.DUMMYFUNCTION("if(H5477=""pays"",vlookup(REGEXEXTRACT(C5477, ""🏘️ \w+ \w+ (.*) ✅""),'Country prepositions'!A:B, 2, 0) &amp; "" "" &amp; REGEXEXTRACT(C5477, ""🏘️ \w+ \w+ (.*) ✅"") ,  if(H5477=""quartier"",vlookup(REGEXEXTRACT(C5477, ""🏘️ \w+ \w+ (.*) ✅""),'Quartier prepositio"&amp;"ns'!A:E, 5, 0) ,  if(H5477=""region"",vlookup(REGEXEXTRACT(C5477, ""🏘️ \w+ \w+ (.*) ✅""),'Region prepositions'!B:F, 5, 0),  REGEXEXTRACT(C5477, ""🏘️ \w+ \w+ (.*) ✅""))))"),"#N/A")</f>
        <v>#N/A</v>
      </c>
      <c r="I5477" s="4" t="str">
        <f>IFERROR(__xludf.DUMMYFUNCTION("if(D5477=""variant"",  substitute(filter(Templates!E:E, Templates!A:A = F5477, Templates!B:B = G5477, Templates!C:C = H5477), ""{{}}"", E5477), B5477)"),"Vendre appartement Glarnerland: Trouvez le bien immobilier qui correspond idéalement à vos désirs sur ImmoScout24 - La plateforme de l'immobilier en Suisse.")</f>
        <v>Vendre appartement Glarnerland: Trouvez le bien immobilier qui correspond idéalement à vos désirs sur ImmoScout24 - La plateforme de l'immobilier en Suisse.</v>
      </c>
    </row>
    <row r="5478" hidden="1">
      <c r="A5478" s="5" t="s">
        <v>14052</v>
      </c>
      <c r="B5478" s="2" t="s">
        <v>14053</v>
      </c>
      <c r="C5478" s="2" t="s">
        <v>14053</v>
      </c>
      <c r="D5478" s="4" t="str">
        <f>vlookup(A5478, Sheet2!D:E, 2, 0)</f>
        <v>control</v>
      </c>
      <c r="E5478" s="4" t="str">
        <f>IFERROR(__xludf.DUMMYFUNCTION("if(H5478=""pays"",vlookup(REGEXEXTRACT(C5478, ""🏘️ \w+ \w+ (.*) ✅""),'Country prepositions'!A:B, 2, 0) &amp; "" "" &amp; REGEXEXTRACT(C5478, ""🏘️ \w+ \w+ (.*) ✅"") ,  if(H5478=""quartier"",vlookup(REGEXEXTRACT(C5478, ""🏘️ \w+ \w+ (.*) ✅""),'Quartier prepositio"&amp;"ns'!A:E, 5, 0) ,  if(H5478=""region"",vlookup(REGEXEXTRACT(C5478, ""🏘️ \w+ \w+ (.*) ✅""),'Region prepositions'!B:F, 5, 0),  REGEXEXTRACT(C5478, ""🏘️ \w+ \w+ (.*) ✅""))))"),"#N/A")</f>
        <v>#N/A</v>
      </c>
      <c r="I5478" s="4" t="str">
        <f>IFERROR(__xludf.DUMMYFUNCTION("if(D5478=""variant"",  substitute(filter(Templates!E:E, Templates!A:A = F5478, Templates!B:B = G5478, Templates!C:C = H5478), ""{{}}"", E5478), B5478)"),"Vendre appartement Meyrin: Trouvez le bien immobilier qui correspond idéalement à vos désirs sur ImmoScout24 - La plateforme de l'immobilier en Suisse.")</f>
        <v>Vendre appartement Meyrin: Trouvez le bien immobilier qui correspond idéalement à vos désirs sur ImmoScout24 - La plateforme de l'immobilier en Suisse.</v>
      </c>
    </row>
    <row r="5479" hidden="1">
      <c r="A5479" s="5" t="s">
        <v>14054</v>
      </c>
      <c r="B5479" s="2" t="s">
        <v>14055</v>
      </c>
      <c r="C5479" s="2" t="s">
        <v>14055</v>
      </c>
      <c r="D5479" s="4" t="str">
        <f>vlookup(A5479, Sheet2!D:E, 2, 0)</f>
        <v>control</v>
      </c>
      <c r="E5479" s="4" t="str">
        <f>IFERROR(__xludf.DUMMYFUNCTION("if(H5479=""pays"",vlookup(REGEXEXTRACT(C5479, ""🏘️ \w+ \w+ (.*) ✅""),'Country prepositions'!A:B, 2, 0) &amp; "" "" &amp; REGEXEXTRACT(C5479, ""🏘️ \w+ \w+ (.*) ✅"") ,  if(H5479=""quartier"",vlookup(REGEXEXTRACT(C5479, ""🏘️ \w+ \w+ (.*) ✅""),'Quartier prepositio"&amp;"ns'!A:E, 5, 0) ,  if(H5479=""region"",vlookup(REGEXEXTRACT(C5479, ""🏘️ \w+ \w+ (.*) ✅""),'Region prepositions'!B:F, 5, 0),  REGEXEXTRACT(C5479, ""🏘️ \w+ \w+ (.*) ✅""))))"),"#N/A")</f>
        <v>#N/A</v>
      </c>
      <c r="I5479" s="4" t="str">
        <f>IFERROR(__xludf.DUMMYFUNCTION("if(D5479=""variant"",  substitute(filter(Templates!E:E, Templates!A:A = F5479, Templates!B:B = G5479, Templates!C:C = H5479), ""{{}}"", E5479), B5479)"),"Vendre maison Grandson: Trouvez le bien immobilier qui correspond idéalement à vos désirs sur ImmoScout24 - La plateforme de l'immobilier en Suisse.")</f>
        <v>Vendre maison Grandson: Trouvez le bien immobilier qui correspond idéalement à vos désirs sur ImmoScout24 - La plateforme de l'immobilier en Suisse.</v>
      </c>
    </row>
    <row r="5480" hidden="1">
      <c r="A5480" s="5" t="s">
        <v>14056</v>
      </c>
      <c r="B5480" s="2" t="s">
        <v>14057</v>
      </c>
      <c r="C5480" s="2" t="s">
        <v>14057</v>
      </c>
      <c r="D5480" s="4" t="str">
        <f>vlookup(A5480, Sheet2!D:E, 2, 0)</f>
        <v>control</v>
      </c>
      <c r="E5480" s="4" t="str">
        <f>IFERROR(__xludf.DUMMYFUNCTION("if(H5480=""pays"",vlookup(REGEXEXTRACT(C5480, ""🏘️ \w+ \w+ (.*) ✅""),'Country prepositions'!A:B, 2, 0) &amp; "" "" &amp; REGEXEXTRACT(C5480, ""🏘️ \w+ \w+ (.*) ✅"") ,  if(H5480=""quartier"",vlookup(REGEXEXTRACT(C5480, ""🏘️ \w+ \w+ (.*) ✅""),'Quartier prepositio"&amp;"ns'!A:E, 5, 0) ,  if(H5480=""region"",vlookup(REGEXEXTRACT(C5480, ""🏘️ \w+ \w+ (.*) ✅""),'Region prepositions'!B:F, 5, 0),  REGEXEXTRACT(C5480, ""🏘️ \w+ \w+ (.*) ✅""))))"),"#N/A")</f>
        <v>#N/A</v>
      </c>
      <c r="I5480" s="4" t="str">
        <f>IFERROR(__xludf.DUMMYFUNCTION("if(D5480=""variant"",  substitute(filter(Templates!E:E, Templates!A:A = F5480, Templates!B:B = G5480, Templates!C:C = H5480), ""{{}}"", E5480), B5480)"),"Louer appartement Rheintal - Werdenberg: Trouvez le bien immobilier qui correspond idéalement à vos désirs sur ImmoScout24 - La plateforme de l'immobilier en Suisse.")</f>
        <v>Louer appartement Rheintal - Werdenberg: Trouvez le bien immobilier qui correspond idéalement à vos désirs sur ImmoScout24 - La plateforme de l'immobilier en Suisse.</v>
      </c>
    </row>
    <row r="5481" hidden="1">
      <c r="A5481" s="5" t="s">
        <v>14058</v>
      </c>
      <c r="B5481" s="2" t="s">
        <v>14059</v>
      </c>
      <c r="C5481" s="2" t="s">
        <v>14059</v>
      </c>
      <c r="D5481" s="4" t="str">
        <f>vlookup(A5481, Sheet2!D:E, 2, 0)</f>
        <v>control</v>
      </c>
      <c r="E5481" s="4" t="str">
        <f>IFERROR(__xludf.DUMMYFUNCTION("if(H5481=""pays"",vlookup(REGEXEXTRACT(C5481, ""🏘️ \w+ \w+ (.*) ✅""),'Country prepositions'!A:B, 2, 0) &amp; "" "" &amp; REGEXEXTRACT(C5481, ""🏘️ \w+ \w+ (.*) ✅"") ,  if(H5481=""quartier"",vlookup(REGEXEXTRACT(C5481, ""🏘️ \w+ \w+ (.*) ✅""),'Quartier prepositio"&amp;"ns'!A:E, 5, 0) ,  if(H5481=""region"",vlookup(REGEXEXTRACT(C5481, ""🏘️ \w+ \w+ (.*) ✅""),'Region prepositions'!B:F, 5, 0),  REGEXEXTRACT(C5481, ""🏘️ \w+ \w+ (.*) ✅""))))"),"#N/A")</f>
        <v>#N/A</v>
      </c>
      <c r="I5481" s="4" t="str">
        <f>IFERROR(__xludf.DUMMYFUNCTION("if(D5481=""variant"",  substitute(filter(Templates!E:E, Templates!A:A = F5481, Templates!B:B = G5481, Templates!C:C = H5481), ""{{}}"", E5481), B5481)"),"Vendre appartement Veyras: Trouvez le bien immobilier qui correspond idéalement à vos désirs sur ImmoScout24 - La plateforme de l'immobilier en Suisse.")</f>
        <v>Vendre appartement Veyras: Trouvez le bien immobilier qui correspond idéalement à vos désirs sur ImmoScout24 - La plateforme de l'immobilier en Suisse.</v>
      </c>
    </row>
    <row r="5482" hidden="1">
      <c r="A5482" s="5" t="s">
        <v>14060</v>
      </c>
      <c r="B5482" s="2" t="s">
        <v>14061</v>
      </c>
      <c r="C5482" s="2" t="s">
        <v>14061</v>
      </c>
      <c r="D5482" s="4" t="str">
        <f>vlookup(A5482, Sheet2!D:E, 2, 0)</f>
        <v>control</v>
      </c>
      <c r="E5482" s="4" t="str">
        <f>IFERROR(__xludf.DUMMYFUNCTION("if(H5482=""pays"",vlookup(REGEXEXTRACT(C5482, ""🏘️ \w+ \w+ (.*) ✅""),'Country prepositions'!A:B, 2, 0) &amp; "" "" &amp; REGEXEXTRACT(C5482, ""🏘️ \w+ \w+ (.*) ✅"") ,  if(H5482=""quartier"",vlookup(REGEXEXTRACT(C5482, ""🏘️ \w+ \w+ (.*) ✅""),'Quartier prepositio"&amp;"ns'!A:E, 5, 0) ,  if(H5482=""region"",vlookup(REGEXEXTRACT(C5482, ""🏘️ \w+ \w+ (.*) ✅""),'Region prepositions'!B:F, 5, 0),  REGEXEXTRACT(C5482, ""🏘️ \w+ \w+ (.*) ✅""))))"),"#N/A")</f>
        <v>#N/A</v>
      </c>
      <c r="I5482" s="4" t="str">
        <f>IFERROR(__xludf.DUMMYFUNCTION("if(D5482=""variant"",  substitute(filter(Templates!E:E, Templates!A:A = F5482, Templates!B:B = G5482, Templates!C:C = H5482), ""{{}}"", E5482), B5482)"),"Vendre appartement Grenchen: Trouvez le bien immobilier qui correspond idéalement à vos désirs sur ImmoScout24 - La plateforme de l'immobilier en Suisse.")</f>
        <v>Vendre appartement Grenchen: Trouvez le bien immobilier qui correspond idéalement à vos désirs sur ImmoScout24 - La plateforme de l'immobilier en Suisse.</v>
      </c>
    </row>
    <row r="5483" hidden="1">
      <c r="A5483" s="5" t="s">
        <v>14062</v>
      </c>
      <c r="B5483" s="2" t="s">
        <v>14063</v>
      </c>
      <c r="C5483" s="2" t="s">
        <v>14063</v>
      </c>
      <c r="D5483" s="4" t="str">
        <f>vlookup(A5483, Sheet2!D:E, 2, 0)</f>
        <v>control</v>
      </c>
      <c r="E5483" s="4" t="str">
        <f>IFERROR(__xludf.DUMMYFUNCTION("if(H5483=""pays"",vlookup(REGEXEXTRACT(C5483, ""🏘️ \w+ \w+ (.*) ✅""),'Country prepositions'!A:B, 2, 0) &amp; "" "" &amp; REGEXEXTRACT(C5483, ""🏘️ \w+ \w+ (.*) ✅"") ,  if(H5483=""quartier"",vlookup(REGEXEXTRACT(C5483, ""🏘️ \w+ \w+ (.*) ✅""),'Quartier prepositio"&amp;"ns'!A:E, 5, 0) ,  if(H5483=""region"",vlookup(REGEXEXTRACT(C5483, ""🏘️ \w+ \w+ (.*) ✅""),'Region prepositions'!B:F, 5, 0),  REGEXEXTRACT(C5483, ""🏘️ \w+ \w+ (.*) ✅""))))"),"#N/A")</f>
        <v>#N/A</v>
      </c>
      <c r="I5483" s="4" t="str">
        <f>IFERROR(__xludf.DUMMYFUNCTION("if(D5483=""variant"",  substitute(filter(Templates!E:E, Templates!A:A = F5483, Templates!B:B = G5483, Templates!C:C = H5483), ""{{}}"", E5483), B5483)"),"Louer appartement Birsfelden: Trouvez le bien immobilier qui correspond idéalement à vos désirs sur ImmoScout24 - La plateforme de l'immobilier en Suisse.")</f>
        <v>Louer appartement Birsfelden: Trouvez le bien immobilier qui correspond idéalement à vos désirs sur ImmoScout24 - La plateforme de l'immobilier en Suisse.</v>
      </c>
    </row>
    <row r="5484" hidden="1">
      <c r="A5484" s="5" t="s">
        <v>14064</v>
      </c>
      <c r="B5484" s="2" t="s">
        <v>14065</v>
      </c>
      <c r="C5484" s="2" t="s">
        <v>14065</v>
      </c>
      <c r="D5484" s="4" t="str">
        <f>vlookup(A5484, Sheet2!D:E, 2, 0)</f>
        <v>control</v>
      </c>
      <c r="E5484" s="4" t="str">
        <f>IFERROR(__xludf.DUMMYFUNCTION("if(H5484=""pays"",vlookup(REGEXEXTRACT(C5484, ""🏘️ \w+ \w+ (.*) ✅""),'Country prepositions'!A:B, 2, 0) &amp; "" "" &amp; REGEXEXTRACT(C5484, ""🏘️ \w+ \w+ (.*) ✅"") ,  if(H5484=""quartier"",vlookup(REGEXEXTRACT(C5484, ""🏘️ \w+ \w+ (.*) ✅""),'Quartier prepositio"&amp;"ns'!A:E, 5, 0) ,  if(H5484=""region"",vlookup(REGEXEXTRACT(C5484, ""🏘️ \w+ \w+ (.*) ✅""),'Region prepositions'!B:F, 5, 0),  REGEXEXTRACT(C5484, ""🏘️ \w+ \w+ (.*) ✅""))))"),"#N/A")</f>
        <v>#N/A</v>
      </c>
      <c r="I5484" s="4" t="str">
        <f>IFERROR(__xludf.DUMMYFUNCTION("if(D5484=""variant"",  substitute(filter(Templates!E:E, Templates!A:A = F5484, Templates!B:B = G5484, Templates!C:C = H5484), ""{{}}"", E5484), B5484)"),"Louer appartement Adliswil: Trouvez le bien immobilier qui correspond idéalement à vos désirs sur ImmoScout24 - La plateforme de l'immobilier en Suisse.")</f>
        <v>Louer appartement Adliswil: Trouvez le bien immobilier qui correspond idéalement à vos désirs sur ImmoScout24 - La plateforme de l'immobilier en Suisse.</v>
      </c>
    </row>
    <row r="5485" hidden="1">
      <c r="A5485" s="5" t="s">
        <v>14066</v>
      </c>
      <c r="B5485" s="2" t="s">
        <v>14067</v>
      </c>
      <c r="C5485" s="2" t="s">
        <v>14067</v>
      </c>
      <c r="D5485" s="4" t="str">
        <f>vlookup(A5485, Sheet2!D:E, 2, 0)</f>
        <v>control</v>
      </c>
      <c r="E5485" s="4" t="str">
        <f>IFERROR(__xludf.DUMMYFUNCTION("if(H5485=""pays"",vlookup(REGEXEXTRACT(C5485, ""🏘️ \w+ \w+ (.*) ✅""),'Country prepositions'!A:B, 2, 0) &amp; "" "" &amp; REGEXEXTRACT(C5485, ""🏘️ \w+ \w+ (.*) ✅"") ,  if(H5485=""quartier"",vlookup(REGEXEXTRACT(C5485, ""🏘️ \w+ \w+ (.*) ✅""),'Quartier prepositio"&amp;"ns'!A:E, 5, 0) ,  if(H5485=""region"",vlookup(REGEXEXTRACT(C5485, ""🏘️ \w+ \w+ (.*) ✅""),'Region prepositions'!B:F, 5, 0),  REGEXEXTRACT(C5485, ""🏘️ \w+ \w+ (.*) ✅""))))"),"#N/A")</f>
        <v>#N/A</v>
      </c>
      <c r="I5485" s="4" t="str">
        <f>IFERROR(__xludf.DUMMYFUNCTION("if(D5485=""variant"",  substitute(filter(Templates!E:E, Templates!A:A = F5485, Templates!B:B = G5485, Templates!C:C = H5485), ""{{}}"", E5485), B5485)"),"Vendre appartement Bremblens: Trouvez le bien immobilier qui correspond idéalement à vos désirs sur ImmoScout24 - La plateforme de l'immobilier en Suisse.")</f>
        <v>Vendre appartement Bremblens: Trouvez le bien immobilier qui correspond idéalement à vos désirs sur ImmoScout24 - La plateforme de l'immobilier en Suisse.</v>
      </c>
    </row>
    <row r="5486" hidden="1">
      <c r="A5486" s="5" t="s">
        <v>14068</v>
      </c>
      <c r="B5486" s="2" t="s">
        <v>14069</v>
      </c>
      <c r="C5486" s="2" t="s">
        <v>14069</v>
      </c>
      <c r="D5486" s="4" t="str">
        <f>vlookup(A5486, Sheet2!D:E, 2, 0)</f>
        <v>control</v>
      </c>
      <c r="E5486" s="4" t="str">
        <f>IFERROR(__xludf.DUMMYFUNCTION("if(H5486=""pays"",vlookup(REGEXEXTRACT(C5486, ""🏘️ \w+ \w+ (.*) ✅""),'Country prepositions'!A:B, 2, 0) &amp; "" "" &amp; REGEXEXTRACT(C5486, ""🏘️ \w+ \w+ (.*) ✅"") ,  if(H5486=""quartier"",vlookup(REGEXEXTRACT(C5486, ""🏘️ \w+ \w+ (.*) ✅""),'Quartier prepositio"&amp;"ns'!A:E, 5, 0) ,  if(H5486=""region"",vlookup(REGEXEXTRACT(C5486, ""🏘️ \w+ \w+ (.*) ✅""),'Region prepositions'!B:F, 5, 0),  REGEXEXTRACT(C5486, ""🏘️ \w+ \w+ (.*) ✅""))))"),"#N/A")</f>
        <v>#N/A</v>
      </c>
      <c r="I5486" s="4" t="str">
        <f>IFERROR(__xludf.DUMMYFUNCTION("if(D5486=""variant"",  substitute(filter(Templates!E:E, Templates!A:A = F5486, Templates!B:B = G5486, Templates!C:C = H5486), ""{{}}"", E5486), B5486)"),"Vendre maison Tramelan: Trouvez le bien immobilier qui correspond idéalement à vos désirs sur ImmoScout24 - La plateforme de l'immobilier en Suisse.")</f>
        <v>Vendre maison Tramelan: Trouvez le bien immobilier qui correspond idéalement à vos désirs sur ImmoScout24 - La plateforme de l'immobilier en Suisse.</v>
      </c>
    </row>
    <row r="5487" hidden="1">
      <c r="A5487" s="5" t="s">
        <v>14070</v>
      </c>
      <c r="B5487" s="2" t="s">
        <v>14071</v>
      </c>
      <c r="C5487" s="2" t="s">
        <v>14071</v>
      </c>
      <c r="D5487" s="4" t="str">
        <f>vlookup(A5487, Sheet2!D:E, 2, 0)</f>
        <v>control</v>
      </c>
      <c r="E5487" s="4" t="str">
        <f>IFERROR(__xludf.DUMMYFUNCTION("if(H5487=""pays"",vlookup(REGEXEXTRACT(C5487, ""🏘️ \w+ \w+ (.*) ✅""),'Country prepositions'!A:B, 2, 0) &amp; "" "" &amp; REGEXEXTRACT(C5487, ""🏘️ \w+ \w+ (.*) ✅"") ,  if(H5487=""quartier"",vlookup(REGEXEXTRACT(C5487, ""🏘️ \w+ \w+ (.*) ✅""),'Quartier prepositio"&amp;"ns'!A:E, 5, 0) ,  if(H5487=""region"",vlookup(REGEXEXTRACT(C5487, ""🏘️ \w+ \w+ (.*) ✅""),'Region prepositions'!B:F, 5, 0),  REGEXEXTRACT(C5487, ""🏘️ \w+ \w+ (.*) ✅""))))"),"#N/A")</f>
        <v>#N/A</v>
      </c>
      <c r="I5487" s="4" t="str">
        <f>IFERROR(__xludf.DUMMYFUNCTION("if(D5487=""variant"",  substitute(filter(Templates!E:E, Templates!A:A = F5487, Templates!B:B = G5487, Templates!C:C = H5487), ""{{}}"", E5487), B5487)"),"Louer appartement Obergütsch - Untergütsch (Lucerne): Trouvez le bien immobilier qui correspond idéalement à vos désirs sur ImmoScout24 - La plateforme de l'immobilier en Suisse.")</f>
        <v>Louer appartement Obergütsch - Untergütsch (Lucerne): Trouvez le bien immobilier qui correspond idéalement à vos désirs sur ImmoScout24 - La plateforme de l'immobilier en Suisse.</v>
      </c>
    </row>
    <row r="5488" hidden="1">
      <c r="A5488" s="5" t="s">
        <v>14072</v>
      </c>
      <c r="B5488" s="2" t="s">
        <v>14073</v>
      </c>
      <c r="C5488" s="2" t="s">
        <v>14073</v>
      </c>
      <c r="D5488" s="4" t="str">
        <f>vlookup(A5488, Sheet2!D:E, 2, 0)</f>
        <v>control</v>
      </c>
      <c r="E5488" s="4" t="str">
        <f>IFERROR(__xludf.DUMMYFUNCTION("if(H5488=""pays"",vlookup(REGEXEXTRACT(C5488, ""🏘️ \w+ \w+ (.*) ✅""),'Country prepositions'!A:B, 2, 0) &amp; "" "" &amp; REGEXEXTRACT(C5488, ""🏘️ \w+ \w+ (.*) ✅"") ,  if(H5488=""quartier"",vlookup(REGEXEXTRACT(C5488, ""🏘️ \w+ \w+ (.*) ✅""),'Quartier prepositio"&amp;"ns'!A:E, 5, 0) ,  if(H5488=""region"",vlookup(REGEXEXTRACT(C5488, ""🏘️ \w+ \w+ (.*) ✅""),'Region prepositions'!B:F, 5, 0),  REGEXEXTRACT(C5488, ""🏘️ \w+ \w+ (.*) ✅""))))"),"#N/A")</f>
        <v>#N/A</v>
      </c>
      <c r="I5488" s="4" t="str">
        <f>IFERROR(__xludf.DUMMYFUNCTION("if(D5488=""variant"",  substitute(filter(Templates!E:E, Templates!A:A = F5488, Templates!B:B = G5488, Templates!C:C = H5488), ""{{}}"", E5488), B5488)"),"Louer maison Wetzikon ZH: Trouvez le bien immobilier qui correspond idéalement à vos désirs sur ImmoScout24 - La plateforme de l'immobilier en Suisse.")</f>
        <v>Louer maison Wetzikon ZH: Trouvez le bien immobilier qui correspond idéalement à vos désirs sur ImmoScout24 - La plateforme de l'immobilier en Suisse.</v>
      </c>
    </row>
    <row r="5489" hidden="1">
      <c r="A5489" s="5" t="s">
        <v>14074</v>
      </c>
      <c r="B5489" s="2" t="s">
        <v>14075</v>
      </c>
      <c r="C5489" s="2" t="s">
        <v>14075</v>
      </c>
      <c r="D5489" s="4" t="str">
        <f>vlookup(A5489, Sheet2!D:E, 2, 0)</f>
        <v>control</v>
      </c>
      <c r="E5489" s="4" t="str">
        <f>IFERROR(__xludf.DUMMYFUNCTION("if(H5489=""pays"",vlookup(REGEXEXTRACT(C5489, ""🏘️ \w+ \w+ (.*) ✅""),'Country prepositions'!A:B, 2, 0) &amp; "" "" &amp; REGEXEXTRACT(C5489, ""🏘️ \w+ \w+ (.*) ✅"") ,  if(H5489=""quartier"",vlookup(REGEXEXTRACT(C5489, ""🏘️ \w+ \w+ (.*) ✅""),'Quartier prepositio"&amp;"ns'!A:E, 5, 0) ,  if(H5489=""region"",vlookup(REGEXEXTRACT(C5489, ""🏘️ \w+ \w+ (.*) ✅""),'Region prepositions'!B:F, 5, 0),  REGEXEXTRACT(C5489, ""🏘️ \w+ \w+ (.*) ✅""))))"),"#N/A")</f>
        <v>#N/A</v>
      </c>
      <c r="I5489" s="4" t="str">
        <f>IFERROR(__xludf.DUMMYFUNCTION("if(D5489=""variant"",  substitute(filter(Templates!E:E, Templates!A:A = F5489, Templates!B:B = G5489, Templates!C:C = H5489), ""{{}}"", E5489), B5489)"),"Louer appartement Höfen b. Thun: Trouvez le bien immobilier qui correspond idéalement à vos désirs sur ImmoScout24 - La plateforme de l'immobilier en Suisse.")</f>
        <v>Louer appartement Höfen b. Thun: Trouvez le bien immobilier qui correspond idéalement à vos désirs sur ImmoScout24 - La plateforme de l'immobilier en Suisse.</v>
      </c>
    </row>
    <row r="5490" hidden="1">
      <c r="A5490" s="5" t="s">
        <v>14076</v>
      </c>
      <c r="B5490" s="2" t="s">
        <v>14077</v>
      </c>
      <c r="C5490" s="2" t="s">
        <v>14077</v>
      </c>
      <c r="D5490" s="4" t="str">
        <f>vlookup(A5490, Sheet2!D:E, 2, 0)</f>
        <v>control</v>
      </c>
      <c r="E5490" s="4" t="str">
        <f>IFERROR(__xludf.DUMMYFUNCTION("if(H5490=""pays"",vlookup(REGEXEXTRACT(C5490, ""🏘️ \w+ \w+ (.*) ✅""),'Country prepositions'!A:B, 2, 0) &amp; "" "" &amp; REGEXEXTRACT(C5490, ""🏘️ \w+ \w+ (.*) ✅"") ,  if(H5490=""quartier"",vlookup(REGEXEXTRACT(C5490, ""🏘️ \w+ \w+ (.*) ✅""),'Quartier prepositio"&amp;"ns'!A:E, 5, 0) ,  if(H5490=""region"",vlookup(REGEXEXTRACT(C5490, ""🏘️ \w+ \w+ (.*) ✅""),'Region prepositions'!B:F, 5, 0),  REGEXEXTRACT(C5490, ""🏘️ \w+ \w+ (.*) ✅""))))"),"#N/A")</f>
        <v>#N/A</v>
      </c>
      <c r="I5490" s="4" t="str">
        <f>IFERROR(__xludf.DUMMYFUNCTION("if(D5490=""variant"",  substitute(filter(Templates!E:E, Templates!A:A = F5490, Templates!B:B = G5490, Templates!C:C = H5490), ""{{}}"", E5490), B5490)"),"Louer maison Wavre: Trouvez le bien immobilier qui correspond idéalement à vos désirs sur ImmoScout24 - La plateforme de l'immobilier en Suisse.")</f>
        <v>Louer maison Wavre: Trouvez le bien immobilier qui correspond idéalement à vos désirs sur ImmoScout24 - La plateforme de l'immobilier en Suisse.</v>
      </c>
    </row>
    <row r="5491" hidden="1">
      <c r="A5491" s="5" t="s">
        <v>14078</v>
      </c>
      <c r="B5491" s="2" t="s">
        <v>14079</v>
      </c>
      <c r="C5491" s="2" t="s">
        <v>14079</v>
      </c>
      <c r="D5491" s="4" t="str">
        <f>vlookup(A5491, Sheet2!D:E, 2, 0)</f>
        <v>control</v>
      </c>
      <c r="E5491" s="4" t="str">
        <f>IFERROR(__xludf.DUMMYFUNCTION("if(H5491=""pays"",vlookup(REGEXEXTRACT(C5491, ""🏘️ \w+ \w+ (.*) ✅""),'Country prepositions'!A:B, 2, 0) &amp; "" "" &amp; REGEXEXTRACT(C5491, ""🏘️ \w+ \w+ (.*) ✅"") ,  if(H5491=""quartier"",vlookup(REGEXEXTRACT(C5491, ""🏘️ \w+ \w+ (.*) ✅""),'Quartier prepositio"&amp;"ns'!A:E, 5, 0) ,  if(H5491=""region"",vlookup(REGEXEXTRACT(C5491, ""🏘️ \w+ \w+ (.*) ✅""),'Region prepositions'!B:F, 5, 0),  REGEXEXTRACT(C5491, ""🏘️ \w+ \w+ (.*) ✅""))))"),"#N/A")</f>
        <v>#N/A</v>
      </c>
      <c r="I5491" s="4" t="str">
        <f>IFERROR(__xludf.DUMMYFUNCTION("if(D5491=""variant"",  substitute(filter(Templates!E:E, Templates!A:A = F5491, Templates!B:B = G5491, Templates!C:C = H5491), ""{{}}"", E5491), B5491)"),"Vendre maison Val de Ruz: Trouvez le bien immobilier qui correspond idéalement à vos désirs sur ImmoScout24 - La plateforme de l'immobilier en Suisse.")</f>
        <v>Vendre maison Val de Ruz: Trouvez le bien immobilier qui correspond idéalement à vos désirs sur ImmoScout24 - La plateforme de l'immobilier en Suisse.</v>
      </c>
    </row>
    <row r="5492" hidden="1">
      <c r="A5492" s="5" t="s">
        <v>14080</v>
      </c>
      <c r="B5492" s="2" t="s">
        <v>14081</v>
      </c>
      <c r="C5492" s="2" t="s">
        <v>14081</v>
      </c>
      <c r="D5492" s="4" t="str">
        <f>vlookup(A5492, Sheet2!D:E, 2, 0)</f>
        <v>control</v>
      </c>
      <c r="E5492" s="4" t="str">
        <f>IFERROR(__xludf.DUMMYFUNCTION("if(H5492=""pays"",vlookup(REGEXEXTRACT(C5492, ""🏘️ \w+ \w+ (.*) ✅""),'Country prepositions'!A:B, 2, 0) &amp; "" "" &amp; REGEXEXTRACT(C5492, ""🏘️ \w+ \w+ (.*) ✅"") ,  if(H5492=""quartier"",vlookup(REGEXEXTRACT(C5492, ""🏘️ \w+ \w+ (.*) ✅""),'Quartier prepositio"&amp;"ns'!A:E, 5, 0) ,  if(H5492=""region"",vlookup(REGEXEXTRACT(C5492, ""🏘️ \w+ \w+ (.*) ✅""),'Region prepositions'!B:F, 5, 0),  REGEXEXTRACT(C5492, ""🏘️ \w+ \w+ (.*) ✅""))))"),"#N/A")</f>
        <v>#N/A</v>
      </c>
      <c r="I5492" s="4" t="str">
        <f>IFERROR(__xludf.DUMMYFUNCTION("if(D5492=""variant"",  substitute(filter(Templates!E:E, Templates!A:A = F5492, Templates!B:B = G5492, Templates!C:C = H5492), ""{{}}"", E5492), B5492)"),"Louer maison Grenilles: Trouvez le bien immobilier qui correspond idéalement à vos désirs sur ImmoScout24 - La plateforme de l'immobilier en Suisse.")</f>
        <v>Louer maison Grenilles: Trouvez le bien immobilier qui correspond idéalement à vos désirs sur ImmoScout24 - La plateforme de l'immobilier en Suisse.</v>
      </c>
    </row>
    <row r="5493" hidden="1">
      <c r="A5493" s="5" t="s">
        <v>14082</v>
      </c>
      <c r="B5493" s="2" t="s">
        <v>14083</v>
      </c>
      <c r="C5493" s="2" t="s">
        <v>14083</v>
      </c>
      <c r="D5493" s="4" t="str">
        <f>vlookup(A5493, Sheet2!D:E, 2, 0)</f>
        <v>control</v>
      </c>
      <c r="E5493" s="4" t="str">
        <f>IFERROR(__xludf.DUMMYFUNCTION("if(H5493=""pays"",vlookup(REGEXEXTRACT(C5493, ""🏘️ \w+ \w+ (.*) ✅""),'Country prepositions'!A:B, 2, 0) &amp; "" "" &amp; REGEXEXTRACT(C5493, ""🏘️ \w+ \w+ (.*) ✅"") ,  if(H5493=""quartier"",vlookup(REGEXEXTRACT(C5493, ""🏘️ \w+ \w+ (.*) ✅""),'Quartier prepositio"&amp;"ns'!A:E, 5, 0) ,  if(H5493=""region"",vlookup(REGEXEXTRACT(C5493, ""🏘️ \w+ \w+ (.*) ✅""),'Region prepositions'!B:F, 5, 0),  REGEXEXTRACT(C5493, ""🏘️ \w+ \w+ (.*) ✅""))))"),"#N/A")</f>
        <v>#N/A</v>
      </c>
      <c r="I5493" s="4" t="str">
        <f>IFERROR(__xludf.DUMMYFUNCTION("if(D5493=""variant"",  substitute(filter(Templates!E:E, Templates!A:A = F5493, Templates!B:B = G5493, Templates!C:C = H5493), ""{{}}"", E5493), B5493)"),"Louer appartement Stein AG: Trouvez le bien immobilier qui correspond idéalement à vos désirs sur ImmoScout24 - La plateforme de l'immobilier en Suisse.")</f>
        <v>Louer appartement Stein AG: Trouvez le bien immobilier qui correspond idéalement à vos désirs sur ImmoScout24 - La plateforme de l'immobilier en Suisse.</v>
      </c>
    </row>
    <row r="5494" hidden="1">
      <c r="A5494" s="5" t="s">
        <v>14084</v>
      </c>
      <c r="B5494" s="2" t="s">
        <v>14085</v>
      </c>
      <c r="C5494" s="2" t="s">
        <v>14085</v>
      </c>
      <c r="D5494" s="4" t="str">
        <f>vlookup(A5494, Sheet2!D:E, 2, 0)</f>
        <v>control</v>
      </c>
      <c r="E5494" s="4" t="str">
        <f>IFERROR(__xludf.DUMMYFUNCTION("if(H5494=""pays"",vlookup(REGEXEXTRACT(C5494, ""🏘️ \w+ \w+ (.*) ✅""),'Country prepositions'!A:B, 2, 0) &amp; "" "" &amp; REGEXEXTRACT(C5494, ""🏘️ \w+ \w+ (.*) ✅"") ,  if(H5494=""quartier"",vlookup(REGEXEXTRACT(C5494, ""🏘️ \w+ \w+ (.*) ✅""),'Quartier prepositio"&amp;"ns'!A:E, 5, 0) ,  if(H5494=""region"",vlookup(REGEXEXTRACT(C5494, ""🏘️ \w+ \w+ (.*) ✅""),'Region prepositions'!B:F, 5, 0),  REGEXEXTRACT(C5494, ""🏘️ \w+ \w+ (.*) ✅""))))"),"#N/A")</f>
        <v>#N/A</v>
      </c>
      <c r="I5494" s="4" t="str">
        <f>IFERROR(__xludf.DUMMYFUNCTION("if(D5494=""variant"",  substitute(filter(Templates!E:E, Templates!A:A = F5494, Templates!B:B = G5494, Templates!C:C = H5494), ""{{}}"", E5494), B5494)"),"Vendre maison Turin (Salins): Trouvez le bien immobilier qui correspond idéalement à vos désirs sur ImmoScout24 - La plateforme de l'immobilier en Suisse.")</f>
        <v>Vendre maison Turin (Salins): Trouvez le bien immobilier qui correspond idéalement à vos désirs sur ImmoScout24 - La plateforme de l'immobilier en Suisse.</v>
      </c>
    </row>
    <row r="5495" hidden="1">
      <c r="A5495" s="5" t="s">
        <v>14086</v>
      </c>
      <c r="B5495" s="2" t="s">
        <v>14087</v>
      </c>
      <c r="C5495" s="2" t="s">
        <v>14087</v>
      </c>
      <c r="D5495" s="4" t="str">
        <f>vlookup(A5495, Sheet2!D:E, 2, 0)</f>
        <v>control</v>
      </c>
      <c r="E5495" s="4" t="str">
        <f>IFERROR(__xludf.DUMMYFUNCTION("if(H5495=""pays"",vlookup(REGEXEXTRACT(C5495, ""🏘️ \w+ \w+ (.*) ✅""),'Country prepositions'!A:B, 2, 0) &amp; "" "" &amp; REGEXEXTRACT(C5495, ""🏘️ \w+ \w+ (.*) ✅"") ,  if(H5495=""quartier"",vlookup(REGEXEXTRACT(C5495, ""🏘️ \w+ \w+ (.*) ✅""),'Quartier prepositio"&amp;"ns'!A:E, 5, 0) ,  if(H5495=""region"",vlookup(REGEXEXTRACT(C5495, ""🏘️ \w+ \w+ (.*) ✅""),'Region prepositions'!B:F, 5, 0),  REGEXEXTRACT(C5495, ""🏘️ \w+ \w+ (.*) ✅""))))"),"#N/A")</f>
        <v>#N/A</v>
      </c>
      <c r="I5495" s="4" t="str">
        <f>IFERROR(__xludf.DUMMYFUNCTION("if(D5495=""variant"",  substitute(filter(Templates!E:E, Templates!A:A = F5495, Templates!B:B = G5495, Templates!C:C = H5495), ""{{}}"", E5495), B5495)"),"Vendre maison Champex-Lac: Trouvez le bien immobilier qui correspond idéalement à vos désirs sur ImmoScout24 - La plateforme de l'immobilier en Suisse.")</f>
        <v>Vendre maison Champex-Lac: Trouvez le bien immobilier qui correspond idéalement à vos désirs sur ImmoScout24 - La plateforme de l'immobilier en Suisse.</v>
      </c>
    </row>
    <row r="5496" hidden="1">
      <c r="A5496" s="5" t="s">
        <v>14088</v>
      </c>
      <c r="B5496" s="2" t="s">
        <v>14089</v>
      </c>
      <c r="C5496" s="2" t="s">
        <v>14089</v>
      </c>
      <c r="D5496" s="4" t="str">
        <f>vlookup(A5496, Sheet2!D:E, 2, 0)</f>
        <v>control</v>
      </c>
      <c r="E5496" s="4" t="str">
        <f>IFERROR(__xludf.DUMMYFUNCTION("if(H5496=""pays"",vlookup(REGEXEXTRACT(C5496, ""🏘️ \w+ \w+ (.*) ✅""),'Country prepositions'!A:B, 2, 0) &amp; "" "" &amp; REGEXEXTRACT(C5496, ""🏘️ \w+ \w+ (.*) ✅"") ,  if(H5496=""quartier"",vlookup(REGEXEXTRACT(C5496, ""🏘️ \w+ \w+ (.*) ✅""),'Quartier prepositio"&amp;"ns'!A:E, 5, 0) ,  if(H5496=""region"",vlookup(REGEXEXTRACT(C5496, ""🏘️ \w+ \w+ (.*) ✅""),'Region prepositions'!B:F, 5, 0),  REGEXEXTRACT(C5496, ""🏘️ \w+ \w+ (.*) ✅""))))"),"#N/A")</f>
        <v>#N/A</v>
      </c>
      <c r="I5496" s="4" t="str">
        <f>IFERROR(__xludf.DUMMYFUNCTION("if(D5496=""variant"",  substitute(filter(Templates!E:E, Templates!A:A = F5496, Templates!B:B = G5496, Templates!C:C = H5496), ""{{}}"", E5496), B5496)"),"Vendre appartement Riehen: Trouvez le bien immobilier qui correspond idéalement à vos désirs sur ImmoScout24 - La plateforme de l'immobilier en Suisse.")</f>
        <v>Vendre appartement Riehen: Trouvez le bien immobilier qui correspond idéalement à vos désirs sur ImmoScout24 - La plateforme de l'immobilier en Suisse.</v>
      </c>
    </row>
    <row r="5497" hidden="1">
      <c r="A5497" s="5" t="s">
        <v>14090</v>
      </c>
      <c r="B5497" s="2" t="s">
        <v>14091</v>
      </c>
      <c r="C5497" s="2" t="s">
        <v>14091</v>
      </c>
      <c r="D5497" s="4" t="str">
        <f>vlookup(A5497, Sheet2!D:E, 2, 0)</f>
        <v>control</v>
      </c>
      <c r="E5497" s="4" t="str">
        <f>IFERROR(__xludf.DUMMYFUNCTION("if(H5497=""pays"",vlookup(REGEXEXTRACT(C5497, ""🏘️ \w+ \w+ (.*) ✅""),'Country prepositions'!A:B, 2, 0) &amp; "" "" &amp; REGEXEXTRACT(C5497, ""🏘️ \w+ \w+ (.*) ✅"") ,  if(H5497=""quartier"",vlookup(REGEXEXTRACT(C5497, ""🏘️ \w+ \w+ (.*) ✅""),'Quartier prepositio"&amp;"ns'!A:E, 5, 0) ,  if(H5497=""region"",vlookup(REGEXEXTRACT(C5497, ""🏘️ \w+ \w+ (.*) ✅""),'Region prepositions'!B:F, 5, 0),  REGEXEXTRACT(C5497, ""🏘️ \w+ \w+ (.*) ✅""))))"),"#N/A")</f>
        <v>#N/A</v>
      </c>
      <c r="I5497" s="4" t="str">
        <f>IFERROR(__xludf.DUMMYFUNCTION("if(D5497=""variant"",  substitute(filter(Templates!E:E, Templates!A:A = F5497, Templates!B:B = G5497, Templates!C:C = H5497), ""{{}}"", E5497), B5497)"),"Vendre maison Embd: Trouvez le bien immobilier qui correspond idéalement à vos désirs sur ImmoScout24 - La plateforme de l'immobilier en Suisse.")</f>
        <v>Vendre maison Embd: Trouvez le bien immobilier qui correspond idéalement à vos désirs sur ImmoScout24 - La plateforme de l'immobilier en Suisse.</v>
      </c>
    </row>
    <row r="5498" hidden="1">
      <c r="A5498" s="5" t="s">
        <v>14092</v>
      </c>
      <c r="B5498" s="2" t="s">
        <v>14093</v>
      </c>
      <c r="C5498" s="2" t="s">
        <v>14093</v>
      </c>
      <c r="D5498" s="4" t="str">
        <f>vlookup(A5498, Sheet2!D:E, 2, 0)</f>
        <v>control</v>
      </c>
      <c r="E5498" s="4" t="str">
        <f>IFERROR(__xludf.DUMMYFUNCTION("if(H5498=""pays"",vlookup(REGEXEXTRACT(C5498, ""🏘️ \w+ \w+ (.*) ✅""),'Country prepositions'!A:B, 2, 0) &amp; "" "" &amp; REGEXEXTRACT(C5498, ""🏘️ \w+ \w+ (.*) ✅"") ,  if(H5498=""quartier"",vlookup(REGEXEXTRACT(C5498, ""🏘️ \w+ \w+ (.*) ✅""),'Quartier prepositio"&amp;"ns'!A:E, 5, 0) ,  if(H5498=""region"",vlookup(REGEXEXTRACT(C5498, ""🏘️ \w+ \w+ (.*) ✅""),'Region prepositions'!B:F, 5, 0),  REGEXEXTRACT(C5498, ""🏘️ \w+ \w+ (.*) ✅""))))"),"#N/A")</f>
        <v>#N/A</v>
      </c>
      <c r="I5498" s="4" t="str">
        <f>IFERROR(__xludf.DUMMYFUNCTION("if(D5498=""variant"",  substitute(filter(Templates!E:E, Templates!A:A = F5498, Templates!B:B = G5498, Templates!C:C = H5498), ""{{}}"", E5498), B5498)"),"Louer appartement Lommis: Trouvez le bien immobilier qui correspond idéalement à vos désirs sur ImmoScout24 - La plateforme de l'immobilier en Suisse.")</f>
        <v>Louer appartement Lommis: Trouvez le bien immobilier qui correspond idéalement à vos désirs sur ImmoScout24 - La plateforme de l'immobilier en Suisse.</v>
      </c>
    </row>
    <row r="5499" hidden="1">
      <c r="A5499" s="5" t="s">
        <v>14094</v>
      </c>
      <c r="B5499" s="2" t="s">
        <v>14095</v>
      </c>
      <c r="C5499" s="2" t="s">
        <v>14095</v>
      </c>
      <c r="D5499" s="4" t="str">
        <f>vlookup(A5499, Sheet2!D:E, 2, 0)</f>
        <v>control</v>
      </c>
      <c r="E5499" s="4" t="str">
        <f>IFERROR(__xludf.DUMMYFUNCTION("if(H5499=""pays"",vlookup(REGEXEXTRACT(C5499, ""🏘️ \w+ \w+ (.*) ✅""),'Country prepositions'!A:B, 2, 0) &amp; "" "" &amp; REGEXEXTRACT(C5499, ""🏘️ \w+ \w+ (.*) ✅"") ,  if(H5499=""quartier"",vlookup(REGEXEXTRACT(C5499, ""🏘️ \w+ \w+ (.*) ✅""),'Quartier prepositio"&amp;"ns'!A:E, 5, 0) ,  if(H5499=""region"",vlookup(REGEXEXTRACT(C5499, ""🏘️ \w+ \w+ (.*) ✅""),'Region prepositions'!B:F, 5, 0),  REGEXEXTRACT(C5499, ""🏘️ \w+ \w+ (.*) ✅""))))"),"#N/A")</f>
        <v>#N/A</v>
      </c>
      <c r="I5499" s="4" t="str">
        <f>IFERROR(__xludf.DUMMYFUNCTION("if(D5499=""variant"",  substitute(filter(Templates!E:E, Templates!A:A = F5499, Templates!B:B = G5499, Templates!C:C = H5499), ""{{}}"", E5499), B5499)"),"Vendre appartement Chippis: Trouvez le bien immobilier qui correspond idéalement à vos désirs sur ImmoScout24 - La plateforme de l'immobilier en Suisse.")</f>
        <v>Vendre appartement Chippis: Trouvez le bien immobilier qui correspond idéalement à vos désirs sur ImmoScout24 - La plateforme de l'immobilier en Suisse.</v>
      </c>
    </row>
    <row r="5500" hidden="1">
      <c r="A5500" s="5" t="s">
        <v>14096</v>
      </c>
      <c r="B5500" s="2" t="s">
        <v>14097</v>
      </c>
      <c r="C5500" s="2" t="s">
        <v>14097</v>
      </c>
      <c r="D5500" s="4" t="str">
        <f>vlookup(A5500, Sheet2!D:E, 2, 0)</f>
        <v>control</v>
      </c>
      <c r="E5500" s="4" t="str">
        <f>IFERROR(__xludf.DUMMYFUNCTION("if(H5500=""pays"",vlookup(REGEXEXTRACT(C5500, ""🏘️ \w+ \w+ (.*) ✅""),'Country prepositions'!A:B, 2, 0) &amp; "" "" &amp; REGEXEXTRACT(C5500, ""🏘️ \w+ \w+ (.*) ✅"") ,  if(H5500=""quartier"",vlookup(REGEXEXTRACT(C5500, ""🏘️ \w+ \w+ (.*) ✅""),'Quartier prepositio"&amp;"ns'!A:E, 5, 0) ,  if(H5500=""region"",vlookup(REGEXEXTRACT(C5500, ""🏘️ \w+ \w+ (.*) ✅""),'Region prepositions'!B:F, 5, 0),  REGEXEXTRACT(C5500, ""🏘️ \w+ \w+ (.*) ✅""))))"),"#N/A")</f>
        <v>#N/A</v>
      </c>
      <c r="I5500" s="4" t="str">
        <f>IFERROR(__xludf.DUMMYFUNCTION("if(D5500=""variant"",  substitute(filter(Templates!E:E, Templates!A:A = F5500, Templates!B:B = G5500, Templates!C:C = H5500), ""{{}}"", E5500), B5500)"),"Louer appartement Amden: Trouvez le bien immobilier qui correspond idéalement à vos désirs sur ImmoScout24 - La plateforme de l'immobilier en Suisse.")</f>
        <v>Louer appartement Amden: Trouvez le bien immobilier qui correspond idéalement à vos désirs sur ImmoScout24 - La plateforme de l'immobilier en Suisse.</v>
      </c>
    </row>
    <row r="5501" hidden="1">
      <c r="A5501" s="5" t="s">
        <v>14098</v>
      </c>
      <c r="B5501" s="2" t="s">
        <v>14099</v>
      </c>
      <c r="C5501" s="2" t="s">
        <v>14099</v>
      </c>
      <c r="D5501" s="4" t="str">
        <f>vlookup(A5501, Sheet2!D:E, 2, 0)</f>
        <v>control</v>
      </c>
      <c r="E5501" s="4" t="str">
        <f>IFERROR(__xludf.DUMMYFUNCTION("if(H5501=""pays"",vlookup(REGEXEXTRACT(C5501, ""🏘️ \w+ \w+ (.*) ✅""),'Country prepositions'!A:B, 2, 0) &amp; "" "" &amp; REGEXEXTRACT(C5501, ""🏘️ \w+ \w+ (.*) ✅"") ,  if(H5501=""quartier"",vlookup(REGEXEXTRACT(C5501, ""🏘️ \w+ \w+ (.*) ✅""),'Quartier prepositio"&amp;"ns'!A:E, 5, 0) ,  if(H5501=""region"",vlookup(REGEXEXTRACT(C5501, ""🏘️ \w+ \w+ (.*) ✅""),'Region prepositions'!B:F, 5, 0),  REGEXEXTRACT(C5501, ""🏘️ \w+ \w+ (.*) ✅""))))"),"#N/A")</f>
        <v>#N/A</v>
      </c>
      <c r="I5501" s="4" t="str">
        <f>IFERROR(__xludf.DUMMYFUNCTION("if(D5501=""variant"",  substitute(filter(Templates!E:E, Templates!A:A = F5501, Templates!B:B = G5501, Templates!C:C = H5501), ""{{}}"", E5501), B5501)"),"Vendre maison Centre (Neuchâtel): Trouvez le bien immobilier qui correspond idéalement à vos désirs sur ImmoScout24 - La plateforme de l'immobilier en Suisse.")</f>
        <v>Vendre maison Centre (Neuchâtel): Trouvez le bien immobilier qui correspond idéalement à vos désirs sur ImmoScout24 - La plateforme de l'immobilier en Suisse.</v>
      </c>
    </row>
    <row r="5502" hidden="1">
      <c r="A5502" s="5" t="s">
        <v>14100</v>
      </c>
      <c r="B5502" s="2" t="s">
        <v>14101</v>
      </c>
      <c r="C5502" s="2" t="s">
        <v>14101</v>
      </c>
      <c r="D5502" s="4" t="str">
        <f>vlookup(A5502, Sheet2!D:E, 2, 0)</f>
        <v>control</v>
      </c>
      <c r="E5502" s="4" t="str">
        <f>IFERROR(__xludf.DUMMYFUNCTION("if(H5502=""pays"",vlookup(REGEXEXTRACT(C5502, ""🏘️ \w+ \w+ (.*) ✅""),'Country prepositions'!A:B, 2, 0) &amp; "" "" &amp; REGEXEXTRACT(C5502, ""🏘️ \w+ \w+ (.*) ✅"") ,  if(H5502=""quartier"",vlookup(REGEXEXTRACT(C5502, ""🏘️ \w+ \w+ (.*) ✅""),'Quartier prepositio"&amp;"ns'!A:E, 5, 0) ,  if(H5502=""region"",vlookup(REGEXEXTRACT(C5502, ""🏘️ \w+ \w+ (.*) ✅""),'Region prepositions'!B:F, 5, 0),  REGEXEXTRACT(C5502, ""🏘️ \w+ \w+ (.*) ✅""))))"),"#N/A")</f>
        <v>#N/A</v>
      </c>
      <c r="I5502" s="4" t="str">
        <f>IFERROR(__xludf.DUMMYFUNCTION("if(D5502=""variant"",  substitute(filter(Templates!E:E, Templates!A:A = F5502, Templates!B:B = G5502, Templates!C:C = H5502), ""{{}}"", E5502), B5502)"),"Louer maison Les Giettes: Trouvez le bien immobilier qui correspond idéalement à vos désirs sur ImmoScout24 - La plateforme de l'immobilier en Suisse.")</f>
        <v>Louer maison Les Giettes: Trouvez le bien immobilier qui correspond idéalement à vos désirs sur ImmoScout24 - La plateforme de l'immobilier en Suisse.</v>
      </c>
    </row>
    <row r="5503" hidden="1">
      <c r="A5503" s="5" t="s">
        <v>14102</v>
      </c>
      <c r="B5503" s="2" t="s">
        <v>14103</v>
      </c>
      <c r="C5503" s="2" t="s">
        <v>14103</v>
      </c>
      <c r="D5503" s="4" t="str">
        <f>vlookup(A5503, Sheet2!D:E, 2, 0)</f>
        <v>control</v>
      </c>
      <c r="E5503" s="4" t="str">
        <f>IFERROR(__xludf.DUMMYFUNCTION("if(H5503=""pays"",vlookup(REGEXEXTRACT(C5503, ""🏘️ \w+ \w+ (.*) ✅""),'Country prepositions'!A:B, 2, 0) &amp; "" "" &amp; REGEXEXTRACT(C5503, ""🏘️ \w+ \w+ (.*) ✅"") ,  if(H5503=""quartier"",vlookup(REGEXEXTRACT(C5503, ""🏘️ \w+ \w+ (.*) ✅""),'Quartier prepositio"&amp;"ns'!A:E, 5, 0) ,  if(H5503=""region"",vlookup(REGEXEXTRACT(C5503, ""🏘️ \w+ \w+ (.*) ✅""),'Region prepositions'!B:F, 5, 0),  REGEXEXTRACT(C5503, ""🏘️ \w+ \w+ (.*) ✅""))))"),"#N/A")</f>
        <v>#N/A</v>
      </c>
      <c r="I5503" s="4" t="str">
        <f>IFERROR(__xludf.DUMMYFUNCTION("if(D5503=""variant"",  substitute(filter(Templates!E:E, Templates!A:A = F5503, Templates!B:B = G5503, Templates!C:C = H5503), ""{{}}"", E5503), B5503)"),"Vendre maison Lussery-Villars: Trouvez le bien immobilier qui correspond idéalement à vos désirs sur ImmoScout24 - La plateforme de l'immobilier en Suisse.")</f>
        <v>Vendre maison Lussery-Villars: Trouvez le bien immobilier qui correspond idéalement à vos désirs sur ImmoScout24 - La plateforme de l'immobilier en Suisse.</v>
      </c>
    </row>
    <row r="5504" hidden="1">
      <c r="A5504" s="5" t="s">
        <v>14104</v>
      </c>
      <c r="B5504" s="2" t="s">
        <v>14105</v>
      </c>
      <c r="C5504" s="2" t="s">
        <v>14105</v>
      </c>
      <c r="D5504" s="4" t="str">
        <f>vlookup(A5504, Sheet2!D:E, 2, 0)</f>
        <v>control</v>
      </c>
      <c r="E5504" s="4" t="str">
        <f>IFERROR(__xludf.DUMMYFUNCTION("if(H5504=""pays"",vlookup(REGEXEXTRACT(C5504, ""🏘️ \w+ \w+ (.*) ✅""),'Country prepositions'!A:B, 2, 0) &amp; "" "" &amp; REGEXEXTRACT(C5504, ""🏘️ \w+ \w+ (.*) ✅"") ,  if(H5504=""quartier"",vlookup(REGEXEXTRACT(C5504, ""🏘️ \w+ \w+ (.*) ✅""),'Quartier prepositio"&amp;"ns'!A:E, 5, 0) ,  if(H5504=""region"",vlookup(REGEXEXTRACT(C5504, ""🏘️ \w+ \w+ (.*) ✅""),'Region prepositions'!B:F, 5, 0),  REGEXEXTRACT(C5504, ""🏘️ \w+ \w+ (.*) ✅""))))"),"#N/A")</f>
        <v>#N/A</v>
      </c>
      <c r="I5504" s="4" t="str">
        <f>IFERROR(__xludf.DUMMYFUNCTION("if(D5504=""variant"",  substitute(filter(Templates!E:E, Templates!A:A = F5504, Templates!B:B = G5504, Templates!C:C = H5504), ""{{}}"", E5504), B5504)"),"Vendre appartement La Sagne NE: Trouvez le bien immobilier qui correspond idéalement à vos désirs sur ImmoScout24 - La plateforme de l'immobilier en Suisse.")</f>
        <v>Vendre appartement La Sagne NE: Trouvez le bien immobilier qui correspond idéalement à vos désirs sur ImmoScout24 - La plateforme de l'immobilier en Suisse.</v>
      </c>
    </row>
    <row r="5505" hidden="1">
      <c r="A5505" s="5" t="s">
        <v>14106</v>
      </c>
      <c r="B5505" s="2" t="s">
        <v>14107</v>
      </c>
      <c r="C5505" s="2" t="s">
        <v>14107</v>
      </c>
      <c r="D5505" s="4" t="str">
        <f>vlookup(A5505, Sheet2!D:E, 2, 0)</f>
        <v>control</v>
      </c>
      <c r="E5505" s="4" t="str">
        <f>IFERROR(__xludf.DUMMYFUNCTION("if(H5505=""pays"",vlookup(REGEXEXTRACT(C5505, ""🏘️ \w+ \w+ (.*) ✅""),'Country prepositions'!A:B, 2, 0) &amp; "" "" &amp; REGEXEXTRACT(C5505, ""🏘️ \w+ \w+ (.*) ✅"") ,  if(H5505=""quartier"",vlookup(REGEXEXTRACT(C5505, ""🏘️ \w+ \w+ (.*) ✅""),'Quartier prepositio"&amp;"ns'!A:E, 5, 0) ,  if(H5505=""region"",vlookup(REGEXEXTRACT(C5505, ""🏘️ \w+ \w+ (.*) ✅""),'Region prepositions'!B:F, 5, 0),  REGEXEXTRACT(C5505, ""🏘️ \w+ \w+ (.*) ✅""))))"),"#N/A")</f>
        <v>#N/A</v>
      </c>
      <c r="I5505" s="4" t="str">
        <f>IFERROR(__xludf.DUMMYFUNCTION("if(D5505=""variant"",  substitute(filter(Templates!E:E, Templates!A:A = F5505, Templates!B:B = G5505, Templates!C:C = H5505), ""{{}}"", E5505), B5505)"),"Vendre appartement Givisiez: Trouvez le bien immobilier qui correspond idéalement à vos désirs sur ImmoScout24 - La plateforme de l'immobilier en Suisse.")</f>
        <v>Vendre appartement Givisiez: Trouvez le bien immobilier qui correspond idéalement à vos désirs sur ImmoScout24 - La plateforme de l'immobilier en Suisse.</v>
      </c>
    </row>
    <row r="5506" hidden="1">
      <c r="A5506" s="5" t="s">
        <v>14108</v>
      </c>
      <c r="B5506" s="2" t="s">
        <v>14109</v>
      </c>
      <c r="C5506" s="2" t="s">
        <v>14109</v>
      </c>
      <c r="D5506" s="4" t="str">
        <f>vlookup(A5506, Sheet2!D:E, 2, 0)</f>
        <v>control</v>
      </c>
      <c r="E5506" s="4" t="str">
        <f>IFERROR(__xludf.DUMMYFUNCTION("if(H5506=""pays"",vlookup(REGEXEXTRACT(C5506, ""🏘️ \w+ \w+ (.*) ✅""),'Country prepositions'!A:B, 2, 0) &amp; "" "" &amp; REGEXEXTRACT(C5506, ""🏘️ \w+ \w+ (.*) ✅"") ,  if(H5506=""quartier"",vlookup(REGEXEXTRACT(C5506, ""🏘️ \w+ \w+ (.*) ✅""),'Quartier prepositio"&amp;"ns'!A:E, 5, 0) ,  if(H5506=""region"",vlookup(REGEXEXTRACT(C5506, ""🏘️ \w+ \w+ (.*) ✅""),'Region prepositions'!B:F, 5, 0),  REGEXEXTRACT(C5506, ""🏘️ \w+ \w+ (.*) ✅""))))"),"#N/A")</f>
        <v>#N/A</v>
      </c>
      <c r="I5506" s="4" t="str">
        <f>IFERROR(__xludf.DUMMYFUNCTION("if(D5506=""variant"",  substitute(filter(Templates!E:E, Templates!A:A = F5506, Templates!B:B = G5506, Templates!C:C = H5506), ""{{}}"", E5506), B5506)"),"Louer appartement Canton de Nidwald: Trouvez le bien immobilier qui correspond idéalement à vos désirs sur ImmoScout24 - La plateforme de l'immobilier en Suisse.")</f>
        <v>Louer appartement Canton de Nidwald: Trouvez le bien immobilier qui correspond idéalement à vos désirs sur ImmoScout24 - La plateforme de l'immobilier en Suisse.</v>
      </c>
    </row>
    <row r="5507" hidden="1">
      <c r="A5507" s="5" t="s">
        <v>14110</v>
      </c>
      <c r="B5507" s="2" t="s">
        <v>14111</v>
      </c>
      <c r="C5507" s="2" t="s">
        <v>14111</v>
      </c>
      <c r="D5507" s="4" t="str">
        <f>vlookup(A5507, Sheet2!D:E, 2, 0)</f>
        <v>control</v>
      </c>
      <c r="E5507" s="4" t="str">
        <f>IFERROR(__xludf.DUMMYFUNCTION("if(H5507=""pays"",vlookup(REGEXEXTRACT(C5507, ""🏘️ \w+ \w+ (.*) ✅""),'Country prepositions'!A:B, 2, 0) &amp; "" "" &amp; REGEXEXTRACT(C5507, ""🏘️ \w+ \w+ (.*) ✅"") ,  if(H5507=""quartier"",vlookup(REGEXEXTRACT(C5507, ""🏘️ \w+ \w+ (.*) ✅""),'Quartier prepositio"&amp;"ns'!A:E, 5, 0) ,  if(H5507=""region"",vlookup(REGEXEXTRACT(C5507, ""🏘️ \w+ \w+ (.*) ✅""),'Region prepositions'!B:F, 5, 0),  REGEXEXTRACT(C5507, ""🏘️ \w+ \w+ (.*) ✅""))))"),"#N/A")</f>
        <v>#N/A</v>
      </c>
      <c r="I5507" s="4" t="str">
        <f>IFERROR(__xludf.DUMMYFUNCTION("if(D5507=""variant"",  substitute(filter(Templates!E:E, Templates!A:A = F5507, Templates!B:B = G5507, Templates!C:C = H5507), ""{{}}"", E5507), B5507)"),"Louer maison Founex: Trouvez le bien immobilier qui correspond idéalement à vos désirs sur ImmoScout24 - La plateforme de l'immobilier en Suisse.")</f>
        <v>Louer maison Founex: Trouvez le bien immobilier qui correspond idéalement à vos désirs sur ImmoScout24 - La plateforme de l'immobilier en Suisse.</v>
      </c>
    </row>
    <row r="5508" hidden="1">
      <c r="A5508" s="5" t="s">
        <v>14112</v>
      </c>
      <c r="B5508" s="2" t="s">
        <v>14113</v>
      </c>
      <c r="C5508" s="2" t="s">
        <v>14113</v>
      </c>
      <c r="D5508" s="4" t="str">
        <f>vlookup(A5508, Sheet2!D:E, 2, 0)</f>
        <v>control</v>
      </c>
      <c r="E5508" s="4" t="str">
        <f>IFERROR(__xludf.DUMMYFUNCTION("if(H5508=""pays"",vlookup(REGEXEXTRACT(C5508, ""🏘️ \w+ \w+ (.*) ✅""),'Country prepositions'!A:B, 2, 0) &amp; "" "" &amp; REGEXEXTRACT(C5508, ""🏘️ \w+ \w+ (.*) ✅"") ,  if(H5508=""quartier"",vlookup(REGEXEXTRACT(C5508, ""🏘️ \w+ \w+ (.*) ✅""),'Quartier prepositio"&amp;"ns'!A:E, 5, 0) ,  if(H5508=""region"",vlookup(REGEXEXTRACT(C5508, ""🏘️ \w+ \w+ (.*) ✅""),'Region prepositions'!B:F, 5, 0),  REGEXEXTRACT(C5508, ""🏘️ \w+ \w+ (.*) ✅""))))"),"#N/A")</f>
        <v>#N/A</v>
      </c>
      <c r="I5508" s="4" t="str">
        <f>IFERROR(__xludf.DUMMYFUNCTION("if(D5508=""variant"",  substitute(filter(Templates!E:E, Templates!A:A = F5508, Templates!B:B = G5508, Templates!C:C = H5508), ""{{}}"", E5508), B5508)"),"Vendre appartement Ried-Brig: Trouvez le bien immobilier qui correspond idéalement à vos désirs sur ImmoScout24 - La plateforme de l'immobilier en Suisse.")</f>
        <v>Vendre appartement Ried-Brig: Trouvez le bien immobilier qui correspond idéalement à vos désirs sur ImmoScout24 - La plateforme de l'immobilier en Suisse.</v>
      </c>
    </row>
    <row r="5509" hidden="1">
      <c r="A5509" s="5" t="s">
        <v>14114</v>
      </c>
      <c r="B5509" s="2" t="s">
        <v>14115</v>
      </c>
      <c r="C5509" s="2" t="s">
        <v>14115</v>
      </c>
      <c r="D5509" s="4" t="str">
        <f>vlookup(A5509, Sheet2!D:E, 2, 0)</f>
        <v>control</v>
      </c>
      <c r="E5509" s="4" t="str">
        <f>IFERROR(__xludf.DUMMYFUNCTION("if(H5509=""pays"",vlookup(REGEXEXTRACT(C5509, ""🏘️ \w+ \w+ (.*) ✅""),'Country prepositions'!A:B, 2, 0) &amp; "" "" &amp; REGEXEXTRACT(C5509, ""🏘️ \w+ \w+ (.*) ✅"") ,  if(H5509=""quartier"",vlookup(REGEXEXTRACT(C5509, ""🏘️ \w+ \w+ (.*) ✅""),'Quartier prepositio"&amp;"ns'!A:E, 5, 0) ,  if(H5509=""region"",vlookup(REGEXEXTRACT(C5509, ""🏘️ \w+ \w+ (.*) ✅""),'Region prepositions'!B:F, 5, 0),  REGEXEXTRACT(C5509, ""🏘️ \w+ \w+ (.*) ✅""))))"),"#N/A")</f>
        <v>#N/A</v>
      </c>
      <c r="I5509" s="4" t="str">
        <f>IFERROR(__xludf.DUMMYFUNCTION("if(D5509=""variant"",  substitute(filter(Templates!E:E, Templates!A:A = F5509, Templates!B:B = G5509, Templates!C:C = H5509), ""{{}}"", E5509), B5509)"),"Louer appartement Montbrelloz: Trouvez le bien immobilier qui correspond idéalement à vos désirs sur ImmoScout24 - La plateforme de l'immobilier en Suisse.")</f>
        <v>Louer appartement Montbrelloz: Trouvez le bien immobilier qui correspond idéalement à vos désirs sur ImmoScout24 - La plateforme de l'immobilier en Suisse.</v>
      </c>
    </row>
    <row r="5510" hidden="1">
      <c r="A5510" s="5" t="s">
        <v>14116</v>
      </c>
      <c r="B5510" s="2" t="s">
        <v>14117</v>
      </c>
      <c r="C5510" s="2" t="s">
        <v>14117</v>
      </c>
      <c r="D5510" s="4" t="str">
        <f>vlookup(A5510, Sheet2!D:E, 2, 0)</f>
        <v>control</v>
      </c>
      <c r="E5510" s="4" t="str">
        <f>IFERROR(__xludf.DUMMYFUNCTION("if(H5510=""pays"",vlookup(REGEXEXTRACT(C5510, ""🏘️ \w+ \w+ (.*) ✅""),'Country prepositions'!A:B, 2, 0) &amp; "" "" &amp; REGEXEXTRACT(C5510, ""🏘️ \w+ \w+ (.*) ✅"") ,  if(H5510=""quartier"",vlookup(REGEXEXTRACT(C5510, ""🏘️ \w+ \w+ (.*) ✅""),'Quartier prepositio"&amp;"ns'!A:E, 5, 0) ,  if(H5510=""region"",vlookup(REGEXEXTRACT(C5510, ""🏘️ \w+ \w+ (.*) ✅""),'Region prepositions'!B:F, 5, 0),  REGEXEXTRACT(C5510, ""🏘️ \w+ \w+ (.*) ✅""))))"),"#N/A")</f>
        <v>#N/A</v>
      </c>
      <c r="I5510" s="4" t="str">
        <f>IFERROR(__xludf.DUMMYFUNCTION("if(D5510=""variant"",  substitute(filter(Templates!E:E, Templates!A:A = F5510, Templates!B:B = G5510, Templates!C:C = H5510), ""{{}}"", E5510), B5510)"),"Louer appartement Zürich: Trouvez le bien immobilier qui correspond idéalement à vos désirs sur ImmoScout24 - La plateforme de l'immobilier en Suisse.")</f>
        <v>Louer appartement Zürich: Trouvez le bien immobilier qui correspond idéalement à vos désirs sur ImmoScout24 - La plateforme de l'immobilier en Suisse.</v>
      </c>
    </row>
    <row r="5511" hidden="1">
      <c r="A5511" s="5" t="s">
        <v>14118</v>
      </c>
      <c r="B5511" s="2" t="s">
        <v>14119</v>
      </c>
      <c r="C5511" s="2" t="s">
        <v>14119</v>
      </c>
      <c r="D5511" s="4" t="str">
        <f>vlookup(A5511, Sheet2!D:E, 2, 0)</f>
        <v>control</v>
      </c>
      <c r="E5511" s="4" t="str">
        <f>IFERROR(__xludf.DUMMYFUNCTION("if(H5511=""pays"",vlookup(REGEXEXTRACT(C5511, ""🏘️ \w+ \w+ (.*) ✅""),'Country prepositions'!A:B, 2, 0) &amp; "" "" &amp; REGEXEXTRACT(C5511, ""🏘️ \w+ \w+ (.*) ✅"") ,  if(H5511=""quartier"",vlookup(REGEXEXTRACT(C5511, ""🏘️ \w+ \w+ (.*) ✅""),'Quartier prepositio"&amp;"ns'!A:E, 5, 0) ,  if(H5511=""region"",vlookup(REGEXEXTRACT(C5511, ""🏘️ \w+ \w+ (.*) ✅""),'Region prepositions'!B:F, 5, 0),  REGEXEXTRACT(C5511, ""🏘️ \w+ \w+ (.*) ✅""))))"),"#N/A")</f>
        <v>#N/A</v>
      </c>
      <c r="I5511" s="4" t="str">
        <f>IFERROR(__xludf.DUMMYFUNCTION("if(D5511=""variant"",  substitute(filter(Templates!E:E, Templates!A:A = F5511, Templates!B:B = G5511, Templates!C:C = H5511), ""{{}}"", E5511), B5511)"),"Louer appartement Adelboden: Trouvez le bien immobilier qui correspond idéalement à vos désirs sur ImmoScout24 - La plateforme de l'immobilier en Suisse.")</f>
        <v>Louer appartement Adelboden: Trouvez le bien immobilier qui correspond idéalement à vos désirs sur ImmoScout24 - La plateforme de l'immobilier en Suisse.</v>
      </c>
    </row>
    <row r="5512" hidden="1">
      <c r="A5512" s="5" t="s">
        <v>14120</v>
      </c>
      <c r="B5512" s="2" t="s">
        <v>14121</v>
      </c>
      <c r="C5512" s="2" t="s">
        <v>14121</v>
      </c>
      <c r="D5512" s="4" t="str">
        <f>vlookup(A5512, Sheet2!D:E, 2, 0)</f>
        <v>control</v>
      </c>
      <c r="E5512" s="4" t="str">
        <f>IFERROR(__xludf.DUMMYFUNCTION("if(H5512=""pays"",vlookup(REGEXEXTRACT(C5512, ""🏘️ \w+ \w+ (.*) ✅""),'Country prepositions'!A:B, 2, 0) &amp; "" "" &amp; REGEXEXTRACT(C5512, ""🏘️ \w+ \w+ (.*) ✅"") ,  if(H5512=""quartier"",vlookup(REGEXEXTRACT(C5512, ""🏘️ \w+ \w+ (.*) ✅""),'Quartier prepositio"&amp;"ns'!A:E, 5, 0) ,  if(H5512=""region"",vlookup(REGEXEXTRACT(C5512, ""🏘️ \w+ \w+ (.*) ✅""),'Region prepositions'!B:F, 5, 0),  REGEXEXTRACT(C5512, ""🏘️ \w+ \w+ (.*) ✅""))))"),"#N/A")</f>
        <v>#N/A</v>
      </c>
      <c r="I5512" s="4" t="str">
        <f>IFERROR(__xludf.DUMMYFUNCTION("if(D5512=""variant"",  substitute(filter(Templates!E:E, Templates!A:A = F5512, Templates!B:B = G5512, Templates!C:C = H5512), ""{{}}"", E5512), B5512)"),"Vendre appartement Chavornay: Trouvez le bien immobilier qui correspond idéalement à vos désirs sur ImmoScout24 - La plateforme de l'immobilier en Suisse.")</f>
        <v>Vendre appartement Chavornay: Trouvez le bien immobilier qui correspond idéalement à vos désirs sur ImmoScout24 - La plateforme de l'immobilier en Suisse.</v>
      </c>
    </row>
    <row r="5513" hidden="1">
      <c r="A5513" s="5" t="s">
        <v>14122</v>
      </c>
      <c r="B5513" s="2" t="s">
        <v>14123</v>
      </c>
      <c r="C5513" s="2" t="s">
        <v>14123</v>
      </c>
      <c r="D5513" s="4" t="str">
        <f>vlookup(A5513, Sheet2!D:E, 2, 0)</f>
        <v>control</v>
      </c>
      <c r="E5513" s="4" t="str">
        <f>IFERROR(__xludf.DUMMYFUNCTION("if(H5513=""pays"",vlookup(REGEXEXTRACT(C5513, ""🏘️ \w+ \w+ (.*) ✅""),'Country prepositions'!A:B, 2, 0) &amp; "" "" &amp; REGEXEXTRACT(C5513, ""🏘️ \w+ \w+ (.*) ✅"") ,  if(H5513=""quartier"",vlookup(REGEXEXTRACT(C5513, ""🏘️ \w+ \w+ (.*) ✅""),'Quartier prepositio"&amp;"ns'!A:E, 5, 0) ,  if(H5513=""region"",vlookup(REGEXEXTRACT(C5513, ""🏘️ \w+ \w+ (.*) ✅""),'Region prepositions'!B:F, 5, 0),  REGEXEXTRACT(C5513, ""🏘️ \w+ \w+ (.*) ✅""))))"),"#N/A")</f>
        <v>#N/A</v>
      </c>
      <c r="I5513" s="4" t="str">
        <f>IFERROR(__xludf.DUMMYFUNCTION("if(D5513=""variant"",  substitute(filter(Templates!E:E, Templates!A:A = F5513, Templates!B:B = G5513, Templates!C:C = H5513), ""{{}}"", E5513), B5513)"),"Louer appartement Pregassona: Trouvez le bien immobilier qui correspond idéalement à vos désirs sur ImmoScout24 - La plateforme de l'immobilier en Suisse.")</f>
        <v>Louer appartement Pregassona: Trouvez le bien immobilier qui correspond idéalement à vos désirs sur ImmoScout24 - La plateforme de l'immobilier en Suisse.</v>
      </c>
    </row>
    <row r="5514" hidden="1">
      <c r="A5514" s="5" t="s">
        <v>14124</v>
      </c>
      <c r="B5514" s="2" t="s">
        <v>14125</v>
      </c>
      <c r="C5514" s="2" t="s">
        <v>14125</v>
      </c>
      <c r="D5514" s="4" t="str">
        <f>vlookup(A5514, Sheet2!D:E, 2, 0)</f>
        <v>control</v>
      </c>
      <c r="E5514" s="4" t="str">
        <f>IFERROR(__xludf.DUMMYFUNCTION("if(H5514=""pays"",vlookup(REGEXEXTRACT(C5514, ""🏘️ \w+ \w+ (.*) ✅""),'Country prepositions'!A:B, 2, 0) &amp; "" "" &amp; REGEXEXTRACT(C5514, ""🏘️ \w+ \w+ (.*) ✅"") ,  if(H5514=""quartier"",vlookup(REGEXEXTRACT(C5514, ""🏘️ \w+ \w+ (.*) ✅""),'Quartier prepositio"&amp;"ns'!A:E, 5, 0) ,  if(H5514=""region"",vlookup(REGEXEXTRACT(C5514, ""🏘️ \w+ \w+ (.*) ✅""),'Region prepositions'!B:F, 5, 0),  REGEXEXTRACT(C5514, ""🏘️ \w+ \w+ (.*) ✅""))))"),"#N/A")</f>
        <v>#N/A</v>
      </c>
      <c r="I5514" s="4" t="str">
        <f>IFERROR(__xludf.DUMMYFUNCTION("if(D5514=""variant"",  substitute(filter(Templates!E:E, Templates!A:A = F5514, Templates!B:B = G5514, Templates!C:C = H5514), ""{{}}"", E5514), B5514)"),"Vendre maison Vulliens: Trouvez le bien immobilier qui correspond idéalement à vos désirs sur ImmoScout24 - La plateforme de l'immobilier en Suisse.")</f>
        <v>Vendre maison Vulliens: Trouvez le bien immobilier qui correspond idéalement à vos désirs sur ImmoScout24 - La plateforme de l'immobilier en Suisse.</v>
      </c>
    </row>
    <row r="5515" hidden="1">
      <c r="A5515" s="5" t="s">
        <v>14126</v>
      </c>
      <c r="B5515" s="2" t="s">
        <v>14127</v>
      </c>
      <c r="C5515" s="2" t="s">
        <v>14127</v>
      </c>
      <c r="D5515" s="4" t="str">
        <f>vlookup(A5515, Sheet2!D:E, 2, 0)</f>
        <v>control</v>
      </c>
      <c r="E5515" s="4" t="str">
        <f>IFERROR(__xludf.DUMMYFUNCTION("if(H5515=""pays"",vlookup(REGEXEXTRACT(C5515, ""🏘️ \w+ \w+ (.*) ✅""),'Country prepositions'!A:B, 2, 0) &amp; "" "" &amp; REGEXEXTRACT(C5515, ""🏘️ \w+ \w+ (.*) ✅"") ,  if(H5515=""quartier"",vlookup(REGEXEXTRACT(C5515, ""🏘️ \w+ \w+ (.*) ✅""),'Quartier prepositio"&amp;"ns'!A:E, 5, 0) ,  if(H5515=""region"",vlookup(REGEXEXTRACT(C5515, ""🏘️ \w+ \w+ (.*) ✅""),'Region prepositions'!B:F, 5, 0),  REGEXEXTRACT(C5515, ""🏘️ \w+ \w+ (.*) ✅""))))"),"#N/A")</f>
        <v>#N/A</v>
      </c>
      <c r="I5515" s="4" t="str">
        <f>IFERROR(__xludf.DUMMYFUNCTION("if(D5515=""variant"",  substitute(filter(Templates!E:E, Templates!A:A = F5515, Templates!B:B = G5515, Templates!C:C = H5515), ""{{}}"", E5515), B5515)"),"Vendre maison Vérossaz: Trouvez le bien immobilier qui correspond idéalement à vos désirs sur ImmoScout24 - La plateforme de l'immobilier en Suisse.")</f>
        <v>Vendre maison Vérossaz: Trouvez le bien immobilier qui correspond idéalement à vos désirs sur ImmoScout24 - La plateforme de l'immobilier en Suisse.</v>
      </c>
    </row>
    <row r="5516" hidden="1">
      <c r="A5516" s="5" t="s">
        <v>14128</v>
      </c>
      <c r="B5516" s="2" t="s">
        <v>14129</v>
      </c>
      <c r="C5516" s="2" t="s">
        <v>14129</v>
      </c>
      <c r="D5516" s="4" t="str">
        <f>vlookup(A5516, Sheet2!D:E, 2, 0)</f>
        <v>control</v>
      </c>
      <c r="E5516" s="4" t="str">
        <f>IFERROR(__xludf.DUMMYFUNCTION("if(H5516=""pays"",vlookup(REGEXEXTRACT(C5516, ""🏘️ \w+ \w+ (.*) ✅""),'Country prepositions'!A:B, 2, 0) &amp; "" "" &amp; REGEXEXTRACT(C5516, ""🏘️ \w+ \w+ (.*) ✅"") ,  if(H5516=""quartier"",vlookup(REGEXEXTRACT(C5516, ""🏘️ \w+ \w+ (.*) ✅""),'Quartier prepositio"&amp;"ns'!A:E, 5, 0) ,  if(H5516=""region"",vlookup(REGEXEXTRACT(C5516, ""🏘️ \w+ \w+ (.*) ✅""),'Region prepositions'!B:F, 5, 0),  REGEXEXTRACT(C5516, ""🏘️ \w+ \w+ (.*) ✅""))))"),"#N/A")</f>
        <v>#N/A</v>
      </c>
      <c r="I5516" s="4" t="str">
        <f>IFERROR(__xludf.DUMMYFUNCTION("if(D5516=""variant"",  substitute(filter(Templates!E:E, Templates!A:A = F5516, Templates!B:B = G5516, Templates!C:C = H5516), ""{{}}"", E5516), B5516)"),"Vendre maison Vichères (Liddes): Trouvez le bien immobilier qui correspond idéalement à vos désirs sur ImmoScout24 - La plateforme de l'immobilier en Suisse.")</f>
        <v>Vendre maison Vichères (Liddes): Trouvez le bien immobilier qui correspond idéalement à vos désirs sur ImmoScout24 - La plateforme de l'immobilier en Suisse.</v>
      </c>
    </row>
    <row r="5517" hidden="1">
      <c r="A5517" s="5" t="s">
        <v>14130</v>
      </c>
      <c r="B5517" s="2" t="s">
        <v>14131</v>
      </c>
      <c r="C5517" s="2" t="s">
        <v>14131</v>
      </c>
      <c r="D5517" s="4" t="str">
        <f>vlookup(A5517, Sheet2!D:E, 2, 0)</f>
        <v>control</v>
      </c>
      <c r="E5517" s="4" t="str">
        <f>IFERROR(__xludf.DUMMYFUNCTION("if(H5517=""pays"",vlookup(REGEXEXTRACT(C5517, ""🏘️ \w+ \w+ (.*) ✅""),'Country prepositions'!A:B, 2, 0) &amp; "" "" &amp; REGEXEXTRACT(C5517, ""🏘️ \w+ \w+ (.*) ✅"") ,  if(H5517=""quartier"",vlookup(REGEXEXTRACT(C5517, ""🏘️ \w+ \w+ (.*) ✅""),'Quartier prepositio"&amp;"ns'!A:E, 5, 0) ,  if(H5517=""region"",vlookup(REGEXEXTRACT(C5517, ""🏘️ \w+ \w+ (.*) ✅""),'Region prepositions'!B:F, 5, 0),  REGEXEXTRACT(C5517, ""🏘️ \w+ \w+ (.*) ✅""))))"),"#N/A")</f>
        <v>#N/A</v>
      </c>
      <c r="I5517" s="4" t="str">
        <f>IFERROR(__xludf.DUMMYFUNCTION("if(D5517=""variant"",  substitute(filter(Templates!E:E, Templates!A:A = F5517, Templates!B:B = G5517, Templates!C:C = H5517), ""{{}}"", E5517), B5517)"),"Vendre maison Bourrignon: Trouvez le bien immobilier qui correspond idéalement à vos désirs sur ImmoScout24 - La plateforme de l'immobilier en Suisse.")</f>
        <v>Vendre maison Bourrignon: Trouvez le bien immobilier qui correspond idéalement à vos désirs sur ImmoScout24 - La plateforme de l'immobilier en Suisse.</v>
      </c>
    </row>
    <row r="5518" hidden="1">
      <c r="A5518" s="5" t="s">
        <v>14132</v>
      </c>
      <c r="B5518" s="2" t="s">
        <v>14133</v>
      </c>
      <c r="C5518" s="2" t="s">
        <v>14133</v>
      </c>
      <c r="D5518" s="4" t="str">
        <f>vlookup(A5518, Sheet2!D:E, 2, 0)</f>
        <v>control</v>
      </c>
      <c r="E5518" s="4" t="str">
        <f>IFERROR(__xludf.DUMMYFUNCTION("if(H5518=""pays"",vlookup(REGEXEXTRACT(C5518, ""🏘️ \w+ \w+ (.*) ✅""),'Country prepositions'!A:B, 2, 0) &amp; "" "" &amp; REGEXEXTRACT(C5518, ""🏘️ \w+ \w+ (.*) ✅"") ,  if(H5518=""quartier"",vlookup(REGEXEXTRACT(C5518, ""🏘️ \w+ \w+ (.*) ✅""),'Quartier prepositio"&amp;"ns'!A:E, 5, 0) ,  if(H5518=""region"",vlookup(REGEXEXTRACT(C5518, ""🏘️ \w+ \w+ (.*) ✅""),'Region prepositions'!B:F, 5, 0),  REGEXEXTRACT(C5518, ""🏘️ \w+ \w+ (.*) ✅""))))"),"#N/A")</f>
        <v>#N/A</v>
      </c>
      <c r="I5518" s="4" t="str">
        <f>IFERROR(__xludf.DUMMYFUNCTION("if(D5518=""variant"",  substitute(filter(Templates!E:E, Templates!A:A = F5518, Templates!B:B = G5518, Templates!C:C = H5518), ""{{}}"", E5518), B5518)"),"Vendre appartement Mex VD: Trouvez le bien immobilier qui correspond idéalement à vos désirs sur ImmoScout24 - La plateforme de l'immobilier en Suisse.")</f>
        <v>Vendre appartement Mex VD: Trouvez le bien immobilier qui correspond idéalement à vos désirs sur ImmoScout24 - La plateforme de l'immobilier en Suisse.</v>
      </c>
    </row>
    <row r="5519" hidden="1">
      <c r="A5519" s="5" t="s">
        <v>14134</v>
      </c>
      <c r="B5519" s="2" t="s">
        <v>14135</v>
      </c>
      <c r="C5519" s="2" t="s">
        <v>14135</v>
      </c>
      <c r="D5519" s="4" t="str">
        <f>vlookup(A5519, Sheet2!D:E, 2, 0)</f>
        <v>control</v>
      </c>
      <c r="E5519" s="4" t="str">
        <f>IFERROR(__xludf.DUMMYFUNCTION("if(H5519=""pays"",vlookup(REGEXEXTRACT(C5519, ""🏘️ \w+ \w+ (.*) ✅""),'Country prepositions'!A:B, 2, 0) &amp; "" "" &amp; REGEXEXTRACT(C5519, ""🏘️ \w+ \w+ (.*) ✅"") ,  if(H5519=""quartier"",vlookup(REGEXEXTRACT(C5519, ""🏘️ \w+ \w+ (.*) ✅""),'Quartier prepositio"&amp;"ns'!A:E, 5, 0) ,  if(H5519=""region"",vlookup(REGEXEXTRACT(C5519, ""🏘️ \w+ \w+ (.*) ✅""),'Region prepositions'!B:F, 5, 0),  REGEXEXTRACT(C5519, ""🏘️ \w+ \w+ (.*) ✅""))))"),"#N/A")</f>
        <v>#N/A</v>
      </c>
      <c r="I5519" s="4" t="str">
        <f>IFERROR(__xludf.DUMMYFUNCTION("if(D5519=""variant"",  substitute(filter(Templates!E:E, Templates!A:A = F5519, Templates!B:B = G5519, Templates!C:C = H5519), ""{{}}"", E5519), B5519)"),"Louer appartement Fribourg ville: Trouvez le bien immobilier qui correspond idéalement à vos désirs sur ImmoScout24 - La plateforme de l'immobilier en Suisse.")</f>
        <v>Louer appartement Fribourg ville: Trouvez le bien immobilier qui correspond idéalement à vos désirs sur ImmoScout24 - La plateforme de l'immobilier en Suisse.</v>
      </c>
    </row>
    <row r="5520" hidden="1">
      <c r="A5520" s="5" t="s">
        <v>14136</v>
      </c>
      <c r="B5520" s="2" t="s">
        <v>14137</v>
      </c>
      <c r="C5520" s="2" t="s">
        <v>14137</v>
      </c>
      <c r="D5520" s="4" t="str">
        <f>vlookup(A5520, Sheet2!D:E, 2, 0)</f>
        <v>control</v>
      </c>
      <c r="E5520" s="4" t="str">
        <f>IFERROR(__xludf.DUMMYFUNCTION("if(H5520=""pays"",vlookup(REGEXEXTRACT(C5520, ""🏘️ \w+ \w+ (.*) ✅""),'Country prepositions'!A:B, 2, 0) &amp; "" "" &amp; REGEXEXTRACT(C5520, ""🏘️ \w+ \w+ (.*) ✅"") ,  if(H5520=""quartier"",vlookup(REGEXEXTRACT(C5520, ""🏘️ \w+ \w+ (.*) ✅""),'Quartier prepositio"&amp;"ns'!A:E, 5, 0) ,  if(H5520=""region"",vlookup(REGEXEXTRACT(C5520, ""🏘️ \w+ \w+ (.*) ✅""),'Region prepositions'!B:F, 5, 0),  REGEXEXTRACT(C5520, ""🏘️ \w+ \w+ (.*) ✅""))))"),"#N/A")</f>
        <v>#N/A</v>
      </c>
      <c r="I5520" s="4" t="str">
        <f>IFERROR(__xludf.DUMMYFUNCTION("if(D5520=""variant"",  substitute(filter(Templates!E:E, Templates!A:A = F5520, Templates!B:B = G5520, Templates!C:C = H5520), ""{{}}"", E5520), B5520)"),"Louer appartement Haute-Nendaz: Trouvez le bien immobilier qui correspond idéalement à vos désirs sur ImmoScout24 - La plateforme de l'immobilier en Suisse.")</f>
        <v>Louer appartement Haute-Nendaz: Trouvez le bien immobilier qui correspond idéalement à vos désirs sur ImmoScout24 - La plateforme de l'immobilier en Suisse.</v>
      </c>
    </row>
    <row r="5521" hidden="1">
      <c r="A5521" s="5" t="s">
        <v>14138</v>
      </c>
      <c r="B5521" s="2" t="s">
        <v>14139</v>
      </c>
      <c r="C5521" s="2" t="s">
        <v>14139</v>
      </c>
      <c r="D5521" s="4" t="str">
        <f>vlookup(A5521, Sheet2!D:E, 2, 0)</f>
        <v>control</v>
      </c>
      <c r="E5521" s="4" t="str">
        <f>IFERROR(__xludf.DUMMYFUNCTION("if(H5521=""pays"",vlookup(REGEXEXTRACT(C5521, ""🏘️ \w+ \w+ (.*) ✅""),'Country prepositions'!A:B, 2, 0) &amp; "" "" &amp; REGEXEXTRACT(C5521, ""🏘️ \w+ \w+ (.*) ✅"") ,  if(H5521=""quartier"",vlookup(REGEXEXTRACT(C5521, ""🏘️ \w+ \w+ (.*) ✅""),'Quartier prepositio"&amp;"ns'!A:E, 5, 0) ,  if(H5521=""region"",vlookup(REGEXEXTRACT(C5521, ""🏘️ \w+ \w+ (.*) ✅""),'Region prepositions'!B:F, 5, 0),  REGEXEXTRACT(C5521, ""🏘️ \w+ \w+ (.*) ✅""))))"),"#N/A")</f>
        <v>#N/A</v>
      </c>
      <c r="I5521" s="4" t="str">
        <f>IFERROR(__xludf.DUMMYFUNCTION("if(D5521=""variant"",  substitute(filter(Templates!E:E, Templates!A:A = F5521, Templates!B:B = G5521, Templates!C:C = H5521), ""{{}}"", E5521), B5521)"),"Louer appartement Montreux: Trouvez le bien immobilier qui correspond idéalement à vos désirs sur ImmoScout24 - La plateforme de l'immobilier en Suisse.")</f>
        <v>Louer appartement Montreux: Trouvez le bien immobilier qui correspond idéalement à vos désirs sur ImmoScout24 - La plateforme de l'immobilier en Suisse.</v>
      </c>
    </row>
    <row r="5522" hidden="1">
      <c r="A5522" s="5" t="s">
        <v>14140</v>
      </c>
      <c r="B5522" s="2" t="s">
        <v>14141</v>
      </c>
      <c r="C5522" s="2" t="s">
        <v>14141</v>
      </c>
      <c r="D5522" s="4" t="str">
        <f>vlookup(A5522, Sheet2!D:E, 2, 0)</f>
        <v>control</v>
      </c>
      <c r="E5522" s="4" t="str">
        <f>IFERROR(__xludf.DUMMYFUNCTION("if(H5522=""pays"",vlookup(REGEXEXTRACT(C5522, ""🏘️ \w+ \w+ (.*) ✅""),'Country prepositions'!A:B, 2, 0) &amp; "" "" &amp; REGEXEXTRACT(C5522, ""🏘️ \w+ \w+ (.*) ✅"") ,  if(H5522=""quartier"",vlookup(REGEXEXTRACT(C5522, ""🏘️ \w+ \w+ (.*) ✅""),'Quartier prepositio"&amp;"ns'!A:E, 5, 0) ,  if(H5522=""region"",vlookup(REGEXEXTRACT(C5522, ""🏘️ \w+ \w+ (.*) ✅""),'Region prepositions'!B:F, 5, 0),  REGEXEXTRACT(C5522, ""🏘️ \w+ \w+ (.*) ✅""))))"),"#N/A")</f>
        <v>#N/A</v>
      </c>
      <c r="I5522" s="4" t="str">
        <f>IFERROR(__xludf.DUMMYFUNCTION("if(D5522=""variant"",  substitute(filter(Templates!E:E, Templates!A:A = F5522, Templates!B:B = G5522, Templates!C:C = H5522), ""{{}}"", E5522), B5522)"),"Vendre appartement Nouvelle ville nord (Biel/Bienne): Trouvez le bien immobilier qui correspond idéalement à vos désirs sur ImmoScout24 - La plateforme de l'immobilier en Suisse.")</f>
        <v>Vendre appartement Nouvelle ville nord (Biel/Bienne): Trouvez le bien immobilier qui correspond idéalement à vos désirs sur ImmoScout24 - La plateforme de l'immobilier en Suisse.</v>
      </c>
    </row>
    <row r="5523" hidden="1">
      <c r="A5523" s="5" t="s">
        <v>14142</v>
      </c>
      <c r="B5523" s="2" t="s">
        <v>14143</v>
      </c>
      <c r="C5523" s="2" t="s">
        <v>14143</v>
      </c>
      <c r="D5523" s="4" t="str">
        <f>vlookup(A5523, Sheet2!D:E, 2, 0)</f>
        <v>control</v>
      </c>
      <c r="E5523" s="4" t="str">
        <f>IFERROR(__xludf.DUMMYFUNCTION("if(H5523=""pays"",vlookup(REGEXEXTRACT(C5523, ""🏘️ \w+ \w+ (.*) ✅""),'Country prepositions'!A:B, 2, 0) &amp; "" "" &amp; REGEXEXTRACT(C5523, ""🏘️ \w+ \w+ (.*) ✅"") ,  if(H5523=""quartier"",vlookup(REGEXEXTRACT(C5523, ""🏘️ \w+ \w+ (.*) ✅""),'Quartier prepositio"&amp;"ns'!A:E, 5, 0) ,  if(H5523=""region"",vlookup(REGEXEXTRACT(C5523, ""🏘️ \w+ \w+ (.*) ✅""),'Region prepositions'!B:F, 5, 0),  REGEXEXTRACT(C5523, ""🏘️ \w+ \w+ (.*) ✅""))))"),"#N/A")</f>
        <v>#N/A</v>
      </c>
      <c r="I5523" s="4" t="str">
        <f>IFERROR(__xludf.DUMMYFUNCTION("if(D5523=""variant"",  substitute(filter(Templates!E:E, Templates!A:A = F5523, Templates!B:B = G5523, Templates!C:C = H5523), ""{{}}"", E5523), B5523)"),"Vendre maison Canton de Zoug: Trouvez le bien immobilier qui correspond idéalement à vos désirs sur ImmoScout24 - La plateforme de l'immobilier en Suisse.")</f>
        <v>Vendre maison Canton de Zoug: Trouvez le bien immobilier qui correspond idéalement à vos désirs sur ImmoScout24 - La plateforme de l'immobilier en Suisse.</v>
      </c>
    </row>
    <row r="5524" hidden="1">
      <c r="A5524" s="5" t="s">
        <v>14144</v>
      </c>
      <c r="B5524" s="2" t="s">
        <v>14145</v>
      </c>
      <c r="C5524" s="2" t="s">
        <v>14145</v>
      </c>
      <c r="D5524" s="4" t="str">
        <f>vlookup(A5524, Sheet2!D:E, 2, 0)</f>
        <v>control</v>
      </c>
      <c r="E5524" s="4" t="str">
        <f>IFERROR(__xludf.DUMMYFUNCTION("if(H5524=""pays"",vlookup(REGEXEXTRACT(C5524, ""🏘️ \w+ \w+ (.*) ✅""),'Country prepositions'!A:B, 2, 0) &amp; "" "" &amp; REGEXEXTRACT(C5524, ""🏘️ \w+ \w+ (.*) ✅"") ,  if(H5524=""quartier"",vlookup(REGEXEXTRACT(C5524, ""🏘️ \w+ \w+ (.*) ✅""),'Quartier prepositio"&amp;"ns'!A:E, 5, 0) ,  if(H5524=""region"",vlookup(REGEXEXTRACT(C5524, ""🏘️ \w+ \w+ (.*) ✅""),'Region prepositions'!B:F, 5, 0),  REGEXEXTRACT(C5524, ""🏘️ \w+ \w+ (.*) ✅""))))"),"#N/A")</f>
        <v>#N/A</v>
      </c>
      <c r="I5524" s="4" t="str">
        <f>IFERROR(__xludf.DUMMYFUNCTION("if(D5524=""variant"",  substitute(filter(Templates!E:E, Templates!A:A = F5524, Templates!B:B = G5524, Templates!C:C = H5524), ""{{}}"", E5524), B5524)"),"Vendre maison Cademario: Trouvez le bien immobilier qui correspond idéalement à vos désirs sur ImmoScout24 - La plateforme de l'immobilier en Suisse.")</f>
        <v>Vendre maison Cademario: Trouvez le bien immobilier qui correspond idéalement à vos désirs sur ImmoScout24 - La plateforme de l'immobilier en Suisse.</v>
      </c>
    </row>
    <row r="5525" hidden="1">
      <c r="A5525" s="5" t="s">
        <v>14146</v>
      </c>
      <c r="B5525" s="2" t="s">
        <v>14147</v>
      </c>
      <c r="C5525" s="2" t="s">
        <v>14147</v>
      </c>
      <c r="D5525" s="4" t="str">
        <f>vlookup(A5525, Sheet2!D:E, 2, 0)</f>
        <v>control</v>
      </c>
      <c r="E5525" s="4" t="str">
        <f>IFERROR(__xludf.DUMMYFUNCTION("if(H5525=""pays"",vlookup(REGEXEXTRACT(C5525, ""🏘️ \w+ \w+ (.*) ✅""),'Country prepositions'!A:B, 2, 0) &amp; "" "" &amp; REGEXEXTRACT(C5525, ""🏘️ \w+ \w+ (.*) ✅"") ,  if(H5525=""quartier"",vlookup(REGEXEXTRACT(C5525, ""🏘️ \w+ \w+ (.*) ✅""),'Quartier prepositio"&amp;"ns'!A:E, 5, 0) ,  if(H5525=""region"",vlookup(REGEXEXTRACT(C5525, ""🏘️ \w+ \w+ (.*) ✅""),'Region prepositions'!B:F, 5, 0),  REGEXEXTRACT(C5525, ""🏘️ \w+ \w+ (.*) ✅""))))"),"#N/A")</f>
        <v>#N/A</v>
      </c>
      <c r="I5525" s="4" t="str">
        <f>IFERROR(__xludf.DUMMYFUNCTION("if(D5525=""variant"",  substitute(filter(Templates!E:E, Templates!A:A = F5525, Templates!B:B = G5525, Templates!C:C = H5525), ""{{}}"", E5525), B5525)"),"Vendre maison Bullet: Trouvez le bien immobilier qui correspond idéalement à vos désirs sur ImmoScout24 - La plateforme de l'immobilier en Suisse.")</f>
        <v>Vendre maison Bullet: Trouvez le bien immobilier qui correspond idéalement à vos désirs sur ImmoScout24 - La plateforme de l'immobilier en Suisse.</v>
      </c>
    </row>
    <row r="5526" hidden="1">
      <c r="A5526" s="5" t="s">
        <v>14148</v>
      </c>
      <c r="B5526" s="2" t="s">
        <v>14149</v>
      </c>
      <c r="C5526" s="2" t="s">
        <v>14149</v>
      </c>
      <c r="D5526" s="4" t="str">
        <f>vlookup(A5526, Sheet2!D:E, 2, 0)</f>
        <v>control</v>
      </c>
      <c r="E5526" s="4" t="str">
        <f>IFERROR(__xludf.DUMMYFUNCTION("if(H5526=""pays"",vlookup(REGEXEXTRACT(C5526, ""🏘️ \w+ \w+ (.*) ✅""),'Country prepositions'!A:B, 2, 0) &amp; "" "" &amp; REGEXEXTRACT(C5526, ""🏘️ \w+ \w+ (.*) ✅"") ,  if(H5526=""quartier"",vlookup(REGEXEXTRACT(C5526, ""🏘️ \w+ \w+ (.*) ✅""),'Quartier prepositio"&amp;"ns'!A:E, 5, 0) ,  if(H5526=""region"",vlookup(REGEXEXTRACT(C5526, ""🏘️ \w+ \w+ (.*) ✅""),'Region prepositions'!B:F, 5, 0),  REGEXEXTRACT(C5526, ""🏘️ \w+ \w+ (.*) ✅""))))"),"#N/A")</f>
        <v>#N/A</v>
      </c>
      <c r="I5526" s="4" t="str">
        <f>IFERROR(__xludf.DUMMYFUNCTION("if(D5526=""variant"",  substitute(filter(Templates!E:E, Templates!A:A = F5526, Templates!B:B = G5526, Templates!C:C = H5526), ""{{}}"", E5526), B5526)"),"Vendre appartement Corcelles NE: Trouvez le bien immobilier qui correspond idéalement à vos désirs sur ImmoScout24 - La plateforme de l'immobilier en Suisse.")</f>
        <v>Vendre appartement Corcelles NE: Trouvez le bien immobilier qui correspond idéalement à vos désirs sur ImmoScout24 - La plateforme de l'immobilier en Suisse.</v>
      </c>
    </row>
    <row r="5527" hidden="1">
      <c r="A5527" s="5" t="s">
        <v>14150</v>
      </c>
      <c r="B5527" s="2" t="s">
        <v>14151</v>
      </c>
      <c r="C5527" s="2" t="s">
        <v>14151</v>
      </c>
      <c r="D5527" s="4" t="str">
        <f>vlookup(A5527, Sheet2!D:E, 2, 0)</f>
        <v>control</v>
      </c>
      <c r="E5527" s="4" t="str">
        <f>IFERROR(__xludf.DUMMYFUNCTION("if(H5527=""pays"",vlookup(REGEXEXTRACT(C5527, ""🏘️ \w+ \w+ (.*) ✅""),'Country prepositions'!A:B, 2, 0) &amp; "" "" &amp; REGEXEXTRACT(C5527, ""🏘️ \w+ \w+ (.*) ✅"") ,  if(H5527=""quartier"",vlookup(REGEXEXTRACT(C5527, ""🏘️ \w+ \w+ (.*) ✅""),'Quartier prepositio"&amp;"ns'!A:E, 5, 0) ,  if(H5527=""region"",vlookup(REGEXEXTRACT(C5527, ""🏘️ \w+ \w+ (.*) ✅""),'Region prepositions'!B:F, 5, 0),  REGEXEXTRACT(C5527, ""🏘️ \w+ \w+ (.*) ✅""))))"),"#N/A")</f>
        <v>#N/A</v>
      </c>
      <c r="I5527" s="4" t="str">
        <f>IFERROR(__xludf.DUMMYFUNCTION("if(D5527=""variant"",  substitute(filter(Templates!E:E, Templates!A:A = F5527, Templates!B:B = G5527, Templates!C:C = H5527), ""{{}}"", E5527), B5527)"),"Louer appartement Rafz: Trouvez le bien immobilier qui correspond idéalement à vos désirs sur ImmoScout24 - La plateforme de l'immobilier en Suisse.")</f>
        <v>Louer appartement Rafz: Trouvez le bien immobilier qui correspond idéalement à vos désirs sur ImmoScout24 - La plateforme de l'immobilier en Suisse.</v>
      </c>
    </row>
    <row r="5528" hidden="1">
      <c r="A5528" s="5" t="s">
        <v>14152</v>
      </c>
      <c r="B5528" s="2" t="s">
        <v>14153</v>
      </c>
      <c r="C5528" s="2" t="s">
        <v>14153</v>
      </c>
      <c r="D5528" s="4" t="str">
        <f>vlookup(A5528, Sheet2!D:E, 2, 0)</f>
        <v>control</v>
      </c>
      <c r="E5528" s="4" t="str">
        <f>IFERROR(__xludf.DUMMYFUNCTION("if(H5528=""pays"",vlookup(REGEXEXTRACT(C5528, ""🏘️ \w+ \w+ (.*) ✅""),'Country prepositions'!A:B, 2, 0) &amp; "" "" &amp; REGEXEXTRACT(C5528, ""🏘️ \w+ \w+ (.*) ✅"") ,  if(H5528=""quartier"",vlookup(REGEXEXTRACT(C5528, ""🏘️ \w+ \w+ (.*) ✅""),'Quartier prepositio"&amp;"ns'!A:E, 5, 0) ,  if(H5528=""region"",vlookup(REGEXEXTRACT(C5528, ""🏘️ \w+ \w+ (.*) ✅""),'Region prepositions'!B:F, 5, 0),  REGEXEXTRACT(C5528, ""🏘️ \w+ \w+ (.*) ✅""))))"),"#N/A")</f>
        <v>#N/A</v>
      </c>
      <c r="I5528" s="4" t="str">
        <f>IFERROR(__xludf.DUMMYFUNCTION("if(D5528=""variant"",  substitute(filter(Templates!E:E, Templates!A:A = F5528, Templates!B:B = G5528, Templates!C:C = H5528), ""{{}}"", E5528), B5528)"),"Vendre maison Oberried am Brienzersee: Trouvez le bien immobilier qui correspond idéalement à vos désirs sur ImmoScout24 - La plateforme de l'immobilier en Suisse.")</f>
        <v>Vendre maison Oberried am Brienzersee: Trouvez le bien immobilier qui correspond idéalement à vos désirs sur ImmoScout24 - La plateforme de l'immobilier en Suisse.</v>
      </c>
    </row>
    <row r="5529" hidden="1">
      <c r="A5529" s="5" t="s">
        <v>14154</v>
      </c>
      <c r="B5529" s="2" t="s">
        <v>14155</v>
      </c>
      <c r="C5529" s="2" t="s">
        <v>14155</v>
      </c>
      <c r="D5529" s="4" t="str">
        <f>vlookup(A5529, Sheet2!D:E, 2, 0)</f>
        <v>control</v>
      </c>
      <c r="E5529" s="4" t="str">
        <f>IFERROR(__xludf.DUMMYFUNCTION("if(H5529=""pays"",vlookup(REGEXEXTRACT(C5529, ""🏘️ \w+ \w+ (.*) ✅""),'Country prepositions'!A:B, 2, 0) &amp; "" "" &amp; REGEXEXTRACT(C5529, ""🏘️ \w+ \w+ (.*) ✅"") ,  if(H5529=""quartier"",vlookup(REGEXEXTRACT(C5529, ""🏘️ \w+ \w+ (.*) ✅""),'Quartier prepositio"&amp;"ns'!A:E, 5, 0) ,  if(H5529=""region"",vlookup(REGEXEXTRACT(C5529, ""🏘️ \w+ \w+ (.*) ✅""),'Region prepositions'!B:F, 5, 0),  REGEXEXTRACT(C5529, ""🏘️ \w+ \w+ (.*) ✅""))))"),"#N/A")</f>
        <v>#N/A</v>
      </c>
      <c r="I5529" s="4" t="str">
        <f>IFERROR(__xludf.DUMMYFUNCTION("if(D5529=""variant"",  substitute(filter(Templates!E:E, Templates!A:A = F5529, Templates!B:B = G5529, Templates!C:C = H5529), ""{{}}"", E5529), B5529)"),"Vendre maison Thun: Trouvez le bien immobilier qui correspond idéalement à vos désirs sur ImmoScout24 - La plateforme de l'immobilier en Suisse.")</f>
        <v>Vendre maison Thun: Trouvez le bien immobilier qui correspond idéalement à vos désirs sur ImmoScout24 - La plateforme de l'immobilier en Suisse.</v>
      </c>
    </row>
    <row r="5530" hidden="1">
      <c r="A5530" s="5" t="s">
        <v>14156</v>
      </c>
      <c r="B5530" s="2" t="s">
        <v>14157</v>
      </c>
      <c r="C5530" s="2" t="s">
        <v>14157</v>
      </c>
      <c r="D5530" s="4" t="str">
        <f>vlookup(A5530, Sheet2!D:E, 2, 0)</f>
        <v>control</v>
      </c>
      <c r="E5530" s="4" t="str">
        <f>IFERROR(__xludf.DUMMYFUNCTION("if(H5530=""pays"",vlookup(REGEXEXTRACT(C5530, ""🏘️ \w+ \w+ (.*) ✅""),'Country prepositions'!A:B, 2, 0) &amp; "" "" &amp; REGEXEXTRACT(C5530, ""🏘️ \w+ \w+ (.*) ✅"") ,  if(H5530=""quartier"",vlookup(REGEXEXTRACT(C5530, ""🏘️ \w+ \w+ (.*) ✅""),'Quartier prepositio"&amp;"ns'!A:E, 5, 0) ,  if(H5530=""region"",vlookup(REGEXEXTRACT(C5530, ""🏘️ \w+ \w+ (.*) ✅""),'Region prepositions'!B:F, 5, 0),  REGEXEXTRACT(C5530, ""🏘️ \w+ \w+ (.*) ✅""))))"),"#N/A")</f>
        <v>#N/A</v>
      </c>
      <c r="I5530" s="4" t="str">
        <f>IFERROR(__xludf.DUMMYFUNCTION("if(D5530=""variant"",  substitute(filter(Templates!E:E, Templates!A:A = F5530, Templates!B:B = G5530, Templates!C:C = H5530), ""{{}}"", E5530), B5530)"),"Louer maison Ollon VD: Trouvez le bien immobilier qui correspond idéalement à vos désirs sur ImmoScout24 - La plateforme de l'immobilier en Suisse.")</f>
        <v>Louer maison Ollon VD: Trouvez le bien immobilier qui correspond idéalement à vos désirs sur ImmoScout24 - La plateforme de l'immobilier en Suisse.</v>
      </c>
    </row>
    <row r="5531" hidden="1">
      <c r="A5531" s="5" t="s">
        <v>14158</v>
      </c>
      <c r="B5531" s="2" t="s">
        <v>14159</v>
      </c>
      <c r="C5531" s="2" t="s">
        <v>14159</v>
      </c>
      <c r="D5531" s="4" t="str">
        <f>vlookup(A5531, Sheet2!D:E, 2, 0)</f>
        <v>control</v>
      </c>
      <c r="E5531" s="4" t="str">
        <f>IFERROR(__xludf.DUMMYFUNCTION("if(H5531=""pays"",vlookup(REGEXEXTRACT(C5531, ""🏘️ \w+ \w+ (.*) ✅""),'Country prepositions'!A:B, 2, 0) &amp; "" "" &amp; REGEXEXTRACT(C5531, ""🏘️ \w+ \w+ (.*) ✅"") ,  if(H5531=""quartier"",vlookup(REGEXEXTRACT(C5531, ""🏘️ \w+ \w+ (.*) ✅""),'Quartier prepositio"&amp;"ns'!A:E, 5, 0) ,  if(H5531=""region"",vlookup(REGEXEXTRACT(C5531, ""🏘️ \w+ \w+ (.*) ✅""),'Region prepositions'!B:F, 5, 0),  REGEXEXTRACT(C5531, ""🏘️ \w+ \w+ (.*) ✅""))))"),"#N/A")</f>
        <v>#N/A</v>
      </c>
      <c r="I5531" s="4" t="str">
        <f>IFERROR(__xludf.DUMMYFUNCTION("if(D5531=""variant"",  substitute(filter(Templates!E:E, Templates!A:A = F5531, Templates!B:B = G5531, Templates!C:C = H5531), ""{{}}"", E5531), B5531)"),"Louer appartement Sébeillon - Malley (Lausanne): Trouvez le bien immobilier qui correspond idéalement à vos désirs sur ImmoScout24 - La plateforme de l'immobilier en Suisse.")</f>
        <v>Louer appartement Sébeillon - Malley (Lausanne): Trouvez le bien immobilier qui correspond idéalement à vos désirs sur ImmoScout24 - La plateforme de l'immobilier en Suisse.</v>
      </c>
    </row>
    <row r="5532" hidden="1">
      <c r="A5532" s="5" t="s">
        <v>14160</v>
      </c>
      <c r="B5532" s="2" t="s">
        <v>14161</v>
      </c>
      <c r="C5532" s="2" t="s">
        <v>14161</v>
      </c>
      <c r="D5532" s="4" t="str">
        <f>vlookup(A5532, Sheet2!D:E, 2, 0)</f>
        <v>control</v>
      </c>
      <c r="E5532" s="4" t="str">
        <f>IFERROR(__xludf.DUMMYFUNCTION("if(H5532=""pays"",vlookup(REGEXEXTRACT(C5532, ""🏘️ \w+ \w+ (.*) ✅""),'Country prepositions'!A:B, 2, 0) &amp; "" "" &amp; REGEXEXTRACT(C5532, ""🏘️ \w+ \w+ (.*) ✅"") ,  if(H5532=""quartier"",vlookup(REGEXEXTRACT(C5532, ""🏘️ \w+ \w+ (.*) ✅""),'Quartier prepositio"&amp;"ns'!A:E, 5, 0) ,  if(H5532=""region"",vlookup(REGEXEXTRACT(C5532, ""🏘️ \w+ \w+ (.*) ✅""),'Region prepositions'!B:F, 5, 0),  REGEXEXTRACT(C5532, ""🏘️ \w+ \w+ (.*) ✅""))))"),"#N/A")</f>
        <v>#N/A</v>
      </c>
      <c r="I5532" s="4" t="str">
        <f>IFERROR(__xludf.DUMMYFUNCTION("if(D5532=""variant"",  substitute(filter(Templates!E:E, Templates!A:A = F5532, Templates!B:B = G5532, Templates!C:C = H5532), ""{{}}"", E5532), B5532)"),"Vendre maison Donneloye: Trouvez le bien immobilier qui correspond idéalement à vos désirs sur ImmoScout24 - La plateforme de l'immobilier en Suisse.")</f>
        <v>Vendre maison Donneloye: Trouvez le bien immobilier qui correspond idéalement à vos désirs sur ImmoScout24 - La plateforme de l'immobilier en Suisse.</v>
      </c>
    </row>
    <row r="5533" hidden="1">
      <c r="A5533" s="5" t="s">
        <v>14162</v>
      </c>
      <c r="B5533" s="2" t="s">
        <v>14163</v>
      </c>
      <c r="C5533" s="2" t="s">
        <v>14163</v>
      </c>
      <c r="D5533" s="4" t="str">
        <f>vlookup(A5533, Sheet2!D:E, 2, 0)</f>
        <v>control</v>
      </c>
      <c r="E5533" s="4" t="str">
        <f>IFERROR(__xludf.DUMMYFUNCTION("if(H5533=""pays"",vlookup(REGEXEXTRACT(C5533, ""🏘️ \w+ \w+ (.*) ✅""),'Country prepositions'!A:B, 2, 0) &amp; "" "" &amp; REGEXEXTRACT(C5533, ""🏘️ \w+ \w+ (.*) ✅"") ,  if(H5533=""quartier"",vlookup(REGEXEXTRACT(C5533, ""🏘️ \w+ \w+ (.*) ✅""),'Quartier prepositio"&amp;"ns'!A:E, 5, 0) ,  if(H5533=""region"",vlookup(REGEXEXTRACT(C5533, ""🏘️ \w+ \w+ (.*) ✅""),'Region prepositions'!B:F, 5, 0),  REGEXEXTRACT(C5533, ""🏘️ \w+ \w+ (.*) ✅""))))"),"#N/A")</f>
        <v>#N/A</v>
      </c>
      <c r="I5533" s="4" t="str">
        <f>IFERROR(__xludf.DUMMYFUNCTION("if(D5533=""variant"",  substitute(filter(Templates!E:E, Templates!A:A = F5533, Templates!B:B = G5533, Templates!C:C = H5533), ""{{}}"", E5533), B5533)"),"Louer appartement Giez: Trouvez le bien immobilier qui correspond idéalement à vos désirs sur ImmoScout24 - La plateforme de l'immobilier en Suisse.")</f>
        <v>Louer appartement Giez: Trouvez le bien immobilier qui correspond idéalement à vos désirs sur ImmoScout24 - La plateforme de l'immobilier en Suisse.</v>
      </c>
    </row>
    <row r="5534" hidden="1">
      <c r="A5534" s="5" t="s">
        <v>14164</v>
      </c>
      <c r="B5534" s="2" t="s">
        <v>14165</v>
      </c>
      <c r="C5534" s="2" t="s">
        <v>14165</v>
      </c>
      <c r="D5534" s="4" t="str">
        <f>vlookup(A5534, Sheet2!D:E, 2, 0)</f>
        <v>control</v>
      </c>
      <c r="E5534" s="4" t="str">
        <f>IFERROR(__xludf.DUMMYFUNCTION("if(H5534=""pays"",vlookup(REGEXEXTRACT(C5534, ""🏘️ \w+ \w+ (.*) ✅""),'Country prepositions'!A:B, 2, 0) &amp; "" "" &amp; REGEXEXTRACT(C5534, ""🏘️ \w+ \w+ (.*) ✅"") ,  if(H5534=""quartier"",vlookup(REGEXEXTRACT(C5534, ""🏘️ \w+ \w+ (.*) ✅""),'Quartier prepositio"&amp;"ns'!A:E, 5, 0) ,  if(H5534=""region"",vlookup(REGEXEXTRACT(C5534, ""🏘️ \w+ \w+ (.*) ✅""),'Region prepositions'!B:F, 5, 0),  REGEXEXTRACT(C5534, ""🏘️ \w+ \w+ (.*) ✅""))))"),"#N/A")</f>
        <v>#N/A</v>
      </c>
      <c r="I5534" s="4" t="str">
        <f>IFERROR(__xludf.DUMMYFUNCTION("if(D5534=""variant"",  substitute(filter(Templates!E:E, Templates!A:A = F5534, Templates!B:B = G5534, Templates!C:C = H5534), ""{{}}"", E5534), B5534)"),"Vendre appartement Domdidier: Trouvez le bien immobilier qui correspond idéalement à vos désirs sur ImmoScout24 - La plateforme de l'immobilier en Suisse.")</f>
        <v>Vendre appartement Domdidier: Trouvez le bien immobilier qui correspond idéalement à vos désirs sur ImmoScout24 - La plateforme de l'immobilier en Suisse.</v>
      </c>
    </row>
    <row r="5535" hidden="1">
      <c r="A5535" s="5" t="s">
        <v>14166</v>
      </c>
      <c r="B5535" s="2" t="s">
        <v>14167</v>
      </c>
      <c r="C5535" s="2" t="s">
        <v>14167</v>
      </c>
      <c r="D5535" s="4" t="str">
        <f>vlookup(A5535, Sheet2!D:E, 2, 0)</f>
        <v>control</v>
      </c>
      <c r="E5535" s="4" t="str">
        <f>IFERROR(__xludf.DUMMYFUNCTION("if(H5535=""pays"",vlookup(REGEXEXTRACT(C5535, ""🏘️ \w+ \w+ (.*) ✅""),'Country prepositions'!A:B, 2, 0) &amp; "" "" &amp; REGEXEXTRACT(C5535, ""🏘️ \w+ \w+ (.*) ✅"") ,  if(H5535=""quartier"",vlookup(REGEXEXTRACT(C5535, ""🏘️ \w+ \w+ (.*) ✅""),'Quartier prepositio"&amp;"ns'!A:E, 5, 0) ,  if(H5535=""region"",vlookup(REGEXEXTRACT(C5535, ""🏘️ \w+ \w+ (.*) ✅""),'Region prepositions'!B:F, 5, 0),  REGEXEXTRACT(C5535, ""🏘️ \w+ \w+ (.*) ✅""))))"),"#N/A")</f>
        <v>#N/A</v>
      </c>
      <c r="I5535" s="4" t="str">
        <f>IFERROR(__xludf.DUMMYFUNCTION("if(D5535=""variant"",  substitute(filter(Templates!E:E, Templates!A:A = F5535, Templates!B:B = G5535, Templates!C:C = H5535), ""{{}}"", E5535), B5535)"),"Louer maison Bottens: Trouvez le bien immobilier qui correspond idéalement à vos désirs sur ImmoScout24 - La plateforme de l'immobilier en Suisse.")</f>
        <v>Louer maison Bottens: Trouvez le bien immobilier qui correspond idéalement à vos désirs sur ImmoScout24 - La plateforme de l'immobilier en Suisse.</v>
      </c>
    </row>
    <row r="5536" hidden="1">
      <c r="A5536" s="5" t="s">
        <v>14168</v>
      </c>
      <c r="B5536" s="2" t="s">
        <v>14169</v>
      </c>
      <c r="C5536" s="2" t="s">
        <v>14169</v>
      </c>
      <c r="D5536" s="4" t="str">
        <f>vlookup(A5536, Sheet2!D:E, 2, 0)</f>
        <v>control</v>
      </c>
      <c r="E5536" s="4" t="str">
        <f>IFERROR(__xludf.DUMMYFUNCTION("if(H5536=""pays"",vlookup(REGEXEXTRACT(C5536, ""🏘️ \w+ \w+ (.*) ✅""),'Country prepositions'!A:B, 2, 0) &amp; "" "" &amp; REGEXEXTRACT(C5536, ""🏘️ \w+ \w+ (.*) ✅"") ,  if(H5536=""quartier"",vlookup(REGEXEXTRACT(C5536, ""🏘️ \w+ \w+ (.*) ✅""),'Quartier prepositio"&amp;"ns'!A:E, 5, 0) ,  if(H5536=""region"",vlookup(REGEXEXTRACT(C5536, ""🏘️ \w+ \w+ (.*) ✅""),'Region prepositions'!B:F, 5, 0),  REGEXEXTRACT(C5536, ""🏘️ \w+ \w+ (.*) ✅""))))"),"#N/A")</f>
        <v>#N/A</v>
      </c>
      <c r="I5536" s="4" t="str">
        <f>IFERROR(__xludf.DUMMYFUNCTION("if(D5536=""variant"",  substitute(filter(Templates!E:E, Templates!A:A = F5536, Templates!B:B = G5536, Templates!C:C = H5536), ""{{}}"", E5536), B5536)"),"Louer appartement La Ferrière: Trouvez le bien immobilier qui correspond idéalement à vos désirs sur ImmoScout24 - La plateforme de l'immobilier en Suisse.")</f>
        <v>Louer appartement La Ferrière: Trouvez le bien immobilier qui correspond idéalement à vos désirs sur ImmoScout24 - La plateforme de l'immobilier en Suisse.</v>
      </c>
    </row>
    <row r="5537" hidden="1">
      <c r="A5537" s="5" t="s">
        <v>14170</v>
      </c>
      <c r="B5537" s="2" t="s">
        <v>14171</v>
      </c>
      <c r="C5537" s="2" t="s">
        <v>14171</v>
      </c>
      <c r="D5537" s="4" t="str">
        <f>vlookup(A5537, Sheet2!D:E, 2, 0)</f>
        <v>control</v>
      </c>
      <c r="E5537" s="4" t="str">
        <f>IFERROR(__xludf.DUMMYFUNCTION("if(H5537=""pays"",vlookup(REGEXEXTRACT(C5537, ""🏘️ \w+ \w+ (.*) ✅""),'Country prepositions'!A:B, 2, 0) &amp; "" "" &amp; REGEXEXTRACT(C5537, ""🏘️ \w+ \w+ (.*) ✅"") ,  if(H5537=""quartier"",vlookup(REGEXEXTRACT(C5537, ""🏘️ \w+ \w+ (.*) ✅""),'Quartier prepositio"&amp;"ns'!A:E, 5, 0) ,  if(H5537=""region"",vlookup(REGEXEXTRACT(C5537, ""🏘️ \w+ \w+ (.*) ✅""),'Region prepositions'!B:F, 5, 0),  REGEXEXTRACT(C5537, ""🏘️ \w+ \w+ (.*) ✅""))))"),"#N/A")</f>
        <v>#N/A</v>
      </c>
      <c r="I5537" s="4" t="str">
        <f>IFERROR(__xludf.DUMMYFUNCTION("if(D5537=""variant"",  substitute(filter(Templates!E:E, Templates!A:A = F5537, Templates!B:B = G5537, Templates!C:C = H5537), ""{{}}"", E5537), B5537)"),"Vendre maison Malleray: Trouvez le bien immobilier qui correspond idéalement à vos désirs sur ImmoScout24 - La plateforme de l'immobilier en Suisse.")</f>
        <v>Vendre maison Malleray: Trouvez le bien immobilier qui correspond idéalement à vos désirs sur ImmoScout24 - La plateforme de l'immobilier en Suisse.</v>
      </c>
    </row>
    <row r="5538" hidden="1">
      <c r="A5538" s="5" t="s">
        <v>14172</v>
      </c>
      <c r="B5538" s="2" t="s">
        <v>14173</v>
      </c>
      <c r="C5538" s="2" t="s">
        <v>14173</v>
      </c>
      <c r="D5538" s="4" t="str">
        <f>vlookup(A5538, Sheet2!D:E, 2, 0)</f>
        <v>control</v>
      </c>
      <c r="E5538" s="4" t="str">
        <f>IFERROR(__xludf.DUMMYFUNCTION("if(H5538=""pays"",vlookup(REGEXEXTRACT(C5538, ""🏘️ \w+ \w+ (.*) ✅""),'Country prepositions'!A:B, 2, 0) &amp; "" "" &amp; REGEXEXTRACT(C5538, ""🏘️ \w+ \w+ (.*) ✅"") ,  if(H5538=""quartier"",vlookup(REGEXEXTRACT(C5538, ""🏘️ \w+ \w+ (.*) ✅""),'Quartier prepositio"&amp;"ns'!A:E, 5, 0) ,  if(H5538=""region"",vlookup(REGEXEXTRACT(C5538, ""🏘️ \w+ \w+ (.*) ✅""),'Region prepositions'!B:F, 5, 0),  REGEXEXTRACT(C5538, ""🏘️ \w+ \w+ (.*) ✅""))))"),"#N/A")</f>
        <v>#N/A</v>
      </c>
      <c r="I5538" s="4" t="str">
        <f>IFERROR(__xludf.DUMMYFUNCTION("if(D5538=""variant"",  substitute(filter(Templates!E:E, Templates!A:A = F5538, Templates!B:B = G5538, Templates!C:C = H5538), ""{{}}"", E5538), B5538)"),"Vendre maison Gland: Trouvez le bien immobilier qui correspond idéalement à vos désirs sur ImmoScout24 - La plateforme de l'immobilier en Suisse.")</f>
        <v>Vendre maison Gland: Trouvez le bien immobilier qui correspond idéalement à vos désirs sur ImmoScout24 - La plateforme de l'immobilier en Suisse.</v>
      </c>
    </row>
    <row r="5539" hidden="1">
      <c r="A5539" s="5" t="s">
        <v>14174</v>
      </c>
      <c r="B5539" s="2" t="s">
        <v>14175</v>
      </c>
      <c r="C5539" s="2" t="s">
        <v>14175</v>
      </c>
      <c r="D5539" s="4" t="str">
        <f>vlookup(A5539, Sheet2!D:E, 2, 0)</f>
        <v>control</v>
      </c>
      <c r="E5539" s="4" t="str">
        <f>IFERROR(__xludf.DUMMYFUNCTION("if(H5539=""pays"",vlookup(REGEXEXTRACT(C5539, ""🏘️ \w+ \w+ (.*) ✅""),'Country prepositions'!A:B, 2, 0) &amp; "" "" &amp; REGEXEXTRACT(C5539, ""🏘️ \w+ \w+ (.*) ✅"") ,  if(H5539=""quartier"",vlookup(REGEXEXTRACT(C5539, ""🏘️ \w+ \w+ (.*) ✅""),'Quartier prepositio"&amp;"ns'!A:E, 5, 0) ,  if(H5539=""region"",vlookup(REGEXEXTRACT(C5539, ""🏘️ \w+ \w+ (.*) ✅""),'Region prepositions'!B:F, 5, 0),  REGEXEXTRACT(C5539, ""🏘️ \w+ \w+ (.*) ✅""))))"),"#N/A")</f>
        <v>#N/A</v>
      </c>
      <c r="I5539" s="4" t="str">
        <f>IFERROR(__xludf.DUMMYFUNCTION("if(D5539=""variant"",  substitute(filter(Templates!E:E, Templates!A:A = F5539, Templates!B:B = G5539, Templates!C:C = H5539), ""{{}}"", E5539), B5539)"),"Louer maison Giswil: Trouvez le bien immobilier qui correspond idéalement à vos désirs sur ImmoScout24 - La plateforme de l'immobilier en Suisse.")</f>
        <v>Louer maison Giswil: Trouvez le bien immobilier qui correspond idéalement à vos désirs sur ImmoScout24 - La plateforme de l'immobilier en Suisse.</v>
      </c>
    </row>
    <row r="5540" hidden="1">
      <c r="A5540" s="5" t="s">
        <v>14176</v>
      </c>
      <c r="B5540" s="2" t="s">
        <v>14177</v>
      </c>
      <c r="C5540" s="2" t="s">
        <v>14177</v>
      </c>
      <c r="D5540" s="4" t="str">
        <f>vlookup(A5540, Sheet2!D:E, 2, 0)</f>
        <v>control</v>
      </c>
      <c r="E5540" s="4" t="str">
        <f>IFERROR(__xludf.DUMMYFUNCTION("if(H5540=""pays"",vlookup(REGEXEXTRACT(C5540, ""🏘️ \w+ \w+ (.*) ✅""),'Country prepositions'!A:B, 2, 0) &amp; "" "" &amp; REGEXEXTRACT(C5540, ""🏘️ \w+ \w+ (.*) ✅"") ,  if(H5540=""quartier"",vlookup(REGEXEXTRACT(C5540, ""🏘️ \w+ \w+ (.*) ✅""),'Quartier prepositio"&amp;"ns'!A:E, 5, 0) ,  if(H5540=""region"",vlookup(REGEXEXTRACT(C5540, ""🏘️ \w+ \w+ (.*) ✅""),'Region prepositions'!B:F, 5, 0),  REGEXEXTRACT(C5540, ""🏘️ \w+ \w+ (.*) ✅""))))"),"#N/A")</f>
        <v>#N/A</v>
      </c>
      <c r="I5540" s="4" t="str">
        <f>IFERROR(__xludf.DUMMYFUNCTION("if(D5540=""variant"",  substitute(filter(Templates!E:E, Templates!A:A = F5540, Templates!B:B = G5540, Templates!C:C = H5540), ""{{}}"", E5540), B5540)"),"Vendre appartement Meggen: Trouvez le bien immobilier qui correspond idéalement à vos désirs sur ImmoScout24 - La plateforme de l'immobilier en Suisse.")</f>
        <v>Vendre appartement Meggen: Trouvez le bien immobilier qui correspond idéalement à vos désirs sur ImmoScout24 - La plateforme de l'immobilier en Suisse.</v>
      </c>
    </row>
    <row r="5541" hidden="1">
      <c r="A5541" s="5" t="s">
        <v>14178</v>
      </c>
      <c r="B5541" s="2" t="s">
        <v>14179</v>
      </c>
      <c r="C5541" s="2" t="s">
        <v>14179</v>
      </c>
      <c r="D5541" s="4" t="str">
        <f>vlookup(A5541, Sheet2!D:E, 2, 0)</f>
        <v>control</v>
      </c>
      <c r="E5541" s="4" t="str">
        <f>IFERROR(__xludf.DUMMYFUNCTION("if(H5541=""pays"",vlookup(REGEXEXTRACT(C5541, ""🏘️ \w+ \w+ (.*) ✅""),'Country prepositions'!A:B, 2, 0) &amp; "" "" &amp; REGEXEXTRACT(C5541, ""🏘️ \w+ \w+ (.*) ✅"") ,  if(H5541=""quartier"",vlookup(REGEXEXTRACT(C5541, ""🏘️ \w+ \w+ (.*) ✅""),'Quartier prepositio"&amp;"ns'!A:E, 5, 0) ,  if(H5541=""region"",vlookup(REGEXEXTRACT(C5541, ""🏘️ \w+ \w+ (.*) ✅""),'Region prepositions'!B:F, 5, 0),  REGEXEXTRACT(C5541, ""🏘️ \w+ \w+ (.*) ✅""))))"),"#N/A")</f>
        <v>#N/A</v>
      </c>
      <c r="I5541" s="4" t="str">
        <f>IFERROR(__xludf.DUMMYFUNCTION("if(D5541=""variant"",  substitute(filter(Templates!E:E, Templates!A:A = F5541, Templates!B:B = G5541, Templates!C:C = H5541), ""{{}}"", E5541), B5541)"),"Louer appartement Nax: Trouvez le bien immobilier qui correspond idéalement à vos désirs sur ImmoScout24 - La plateforme de l'immobilier en Suisse.")</f>
        <v>Louer appartement Nax: Trouvez le bien immobilier qui correspond idéalement à vos désirs sur ImmoScout24 - La plateforme de l'immobilier en Suisse.</v>
      </c>
    </row>
    <row r="5542" hidden="1">
      <c r="A5542" s="5" t="s">
        <v>14180</v>
      </c>
      <c r="B5542" s="2" t="s">
        <v>14181</v>
      </c>
      <c r="C5542" s="2" t="s">
        <v>14181</v>
      </c>
      <c r="D5542" s="4" t="str">
        <f>vlookup(A5542, Sheet2!D:E, 2, 0)</f>
        <v>control</v>
      </c>
      <c r="E5542" s="4" t="str">
        <f>IFERROR(__xludf.DUMMYFUNCTION("if(H5542=""pays"",vlookup(REGEXEXTRACT(C5542, ""🏘️ \w+ \w+ (.*) ✅""),'Country prepositions'!A:B, 2, 0) &amp; "" "" &amp; REGEXEXTRACT(C5542, ""🏘️ \w+ \w+ (.*) ✅"") ,  if(H5542=""quartier"",vlookup(REGEXEXTRACT(C5542, ""🏘️ \w+ \w+ (.*) ✅""),'Quartier prepositio"&amp;"ns'!A:E, 5, 0) ,  if(H5542=""region"",vlookup(REGEXEXTRACT(C5542, ""🏘️ \w+ \w+ (.*) ✅""),'Region prepositions'!B:F, 5, 0),  REGEXEXTRACT(C5542, ""🏘️ \w+ \w+ (.*) ✅""))))"),"#N/A")</f>
        <v>#N/A</v>
      </c>
      <c r="I5542" s="4" t="str">
        <f>IFERROR(__xludf.DUMMYFUNCTION("if(D5542=""variant"",  substitute(filter(Templates!E:E, Templates!A:A = F5542, Templates!B:B = G5542, Templates!C:C = H5542), ""{{}}"", E5542), B5542)"),"Louer appartement Pologne: Trouvez le bien immobilier qui correspond idéalement à vos désirs sur ImmoScout24 - La plateforme de l'immobilier en Suisse.")</f>
        <v>Louer appartement Pologne: Trouvez le bien immobilier qui correspond idéalement à vos désirs sur ImmoScout24 - La plateforme de l'immobilier en Suisse.</v>
      </c>
    </row>
    <row r="5543" hidden="1">
      <c r="A5543" s="5" t="s">
        <v>14182</v>
      </c>
      <c r="B5543" s="2" t="s">
        <v>14183</v>
      </c>
      <c r="C5543" s="2" t="s">
        <v>14183</v>
      </c>
      <c r="D5543" s="4" t="str">
        <f>vlookup(A5543, Sheet2!D:E, 2, 0)</f>
        <v>control</v>
      </c>
      <c r="E5543" s="4" t="str">
        <f>IFERROR(__xludf.DUMMYFUNCTION("if(H5543=""pays"",vlookup(REGEXEXTRACT(C5543, ""🏘️ \w+ \w+ (.*) ✅""),'Country prepositions'!A:B, 2, 0) &amp; "" "" &amp; REGEXEXTRACT(C5543, ""🏘️ \w+ \w+ (.*) ✅"") ,  if(H5543=""quartier"",vlookup(REGEXEXTRACT(C5543, ""🏘️ \w+ \w+ (.*) ✅""),'Quartier prepositio"&amp;"ns'!A:E, 5, 0) ,  if(H5543=""region"",vlookup(REGEXEXTRACT(C5543, ""🏘️ \w+ \w+ (.*) ✅""),'Region prepositions'!B:F, 5, 0),  REGEXEXTRACT(C5543, ""🏘️ \w+ \w+ (.*) ✅""))))"),"#N/A")</f>
        <v>#N/A</v>
      </c>
      <c r="I5543" s="4" t="str">
        <f>IFERROR(__xludf.DUMMYFUNCTION("if(D5543=""variant"",  substitute(filter(Templates!E:E, Templates!A:A = F5543, Templates!B:B = G5543, Templates!C:C = H5543), ""{{}}"", E5543), B5543)"),"Vendre maison Lac Majeur: Trouvez le bien immobilier qui correspond idéalement à vos désirs sur ImmoScout24 - La plateforme de l'immobilier en Suisse.")</f>
        <v>Vendre maison Lac Majeur: Trouvez le bien immobilier qui correspond idéalement à vos désirs sur ImmoScout24 - La plateforme de l'immobilier en Suisse.</v>
      </c>
    </row>
    <row r="5544" hidden="1">
      <c r="A5544" s="5" t="s">
        <v>14184</v>
      </c>
      <c r="B5544" s="2" t="s">
        <v>14185</v>
      </c>
      <c r="C5544" s="2" t="s">
        <v>14185</v>
      </c>
      <c r="D5544" s="4" t="str">
        <f>vlookup(A5544, Sheet2!D:E, 2, 0)</f>
        <v>control</v>
      </c>
      <c r="E5544" s="4" t="str">
        <f>IFERROR(__xludf.DUMMYFUNCTION("if(H5544=""pays"",vlookup(REGEXEXTRACT(C5544, ""🏘️ \w+ \w+ (.*) ✅""),'Country prepositions'!A:B, 2, 0) &amp; "" "" &amp; REGEXEXTRACT(C5544, ""🏘️ \w+ \w+ (.*) ✅"") ,  if(H5544=""quartier"",vlookup(REGEXEXTRACT(C5544, ""🏘️ \w+ \w+ (.*) ✅""),'Quartier prepositio"&amp;"ns'!A:E, 5, 0) ,  if(H5544=""region"",vlookup(REGEXEXTRACT(C5544, ""🏘️ \w+ \w+ (.*) ✅""),'Region prepositions'!B:F, 5, 0),  REGEXEXTRACT(C5544, ""🏘️ \w+ \w+ (.*) ✅""))))"),"#N/A")</f>
        <v>#N/A</v>
      </c>
      <c r="I5544" s="4" t="str">
        <f>IFERROR(__xludf.DUMMYFUNCTION("if(D5544=""variant"",  substitute(filter(Templates!E:E, Templates!A:A = F5544, Templates!B:B = G5544, Templates!C:C = H5544), ""{{}}"", E5544), B5544)"),"Vendre appartement Champel - Roseraie (Genève): Trouvez le bien immobilier qui correspond idéalement à vos désirs sur ImmoScout24 - La plateforme de l'immobilier en Suisse.")</f>
        <v>Vendre appartement Champel - Roseraie (Genève): Trouvez le bien immobilier qui correspond idéalement à vos désirs sur ImmoScout24 - La plateforme de l'immobilier en Suisse.</v>
      </c>
    </row>
    <row r="5545" hidden="1">
      <c r="A5545" s="5" t="s">
        <v>14186</v>
      </c>
      <c r="B5545" s="2" t="s">
        <v>14187</v>
      </c>
      <c r="C5545" s="2" t="s">
        <v>14187</v>
      </c>
      <c r="D5545" s="4" t="str">
        <f>vlookup(A5545, Sheet2!D:E, 2, 0)</f>
        <v>control</v>
      </c>
      <c r="E5545" s="4" t="str">
        <f>IFERROR(__xludf.DUMMYFUNCTION("if(H5545=""pays"",vlookup(REGEXEXTRACT(C5545, ""🏘️ \w+ \w+ (.*) ✅""),'Country prepositions'!A:B, 2, 0) &amp; "" "" &amp; REGEXEXTRACT(C5545, ""🏘️ \w+ \w+ (.*) ✅"") ,  if(H5545=""quartier"",vlookup(REGEXEXTRACT(C5545, ""🏘️ \w+ \w+ (.*) ✅""),'Quartier prepositio"&amp;"ns'!A:E, 5, 0) ,  if(H5545=""region"",vlookup(REGEXEXTRACT(C5545, ""🏘️ \w+ \w+ (.*) ✅""),'Region prepositions'!B:F, 5, 0),  REGEXEXTRACT(C5545, ""🏘️ \w+ \w+ (.*) ✅""))))"),"#N/A")</f>
        <v>#N/A</v>
      </c>
      <c r="I5545" s="4" t="str">
        <f>IFERROR(__xludf.DUMMYFUNCTION("if(D5545=""variant"",  substitute(filter(Templates!E:E, Templates!A:A = F5545, Templates!B:B = G5545, Templates!C:C = H5545), ""{{}}"", E5545), B5545)"),"Vendre maison Lugano: Trouvez le bien immobilier qui correspond idéalement à vos désirs sur ImmoScout24 - La plateforme de l'immobilier en Suisse.")</f>
        <v>Vendre maison Lugano: Trouvez le bien immobilier qui correspond idéalement à vos désirs sur ImmoScout24 - La plateforme de l'immobilier en Suisse.</v>
      </c>
    </row>
    <row r="5546" hidden="1">
      <c r="A5546" s="5" t="s">
        <v>14188</v>
      </c>
      <c r="B5546" s="2" t="s">
        <v>14189</v>
      </c>
      <c r="C5546" s="2" t="s">
        <v>14189</v>
      </c>
      <c r="D5546" s="4" t="str">
        <f>vlookup(A5546, Sheet2!D:E, 2, 0)</f>
        <v>control</v>
      </c>
      <c r="E5546" s="4" t="str">
        <f>IFERROR(__xludf.DUMMYFUNCTION("if(H5546=""pays"",vlookup(REGEXEXTRACT(C5546, ""🏘️ \w+ \w+ (.*) ✅""),'Country prepositions'!A:B, 2, 0) &amp; "" "" &amp; REGEXEXTRACT(C5546, ""🏘️ \w+ \w+ (.*) ✅"") ,  if(H5546=""quartier"",vlookup(REGEXEXTRACT(C5546, ""🏘️ \w+ \w+ (.*) ✅""),'Quartier prepositio"&amp;"ns'!A:E, 5, 0) ,  if(H5546=""region"",vlookup(REGEXEXTRACT(C5546, ""🏘️ \w+ \w+ (.*) ✅""),'Region prepositions'!B:F, 5, 0),  REGEXEXTRACT(C5546, ""🏘️ \w+ \w+ (.*) ✅""))))"),"#N/A")</f>
        <v>#N/A</v>
      </c>
      <c r="I5546" s="4" t="str">
        <f>IFERROR(__xludf.DUMMYFUNCTION("if(D5546=""variant"",  substitute(filter(Templates!E:E, Templates!A:A = F5546, Templates!B:B = G5546, Templates!C:C = H5546), ""{{}}"", E5546), B5546)"),"Louer maison Farvagny-le-Petit: Trouvez le bien immobilier qui correspond idéalement à vos désirs sur ImmoScout24 - La plateforme de l'immobilier en Suisse.")</f>
        <v>Louer maison Farvagny-le-Petit: Trouvez le bien immobilier qui correspond idéalement à vos désirs sur ImmoScout24 - La plateforme de l'immobilier en Suisse.</v>
      </c>
    </row>
    <row r="5547" hidden="1">
      <c r="A5547" s="5" t="s">
        <v>14190</v>
      </c>
      <c r="B5547" s="2" t="s">
        <v>14191</v>
      </c>
      <c r="C5547" s="2" t="s">
        <v>14191</v>
      </c>
      <c r="D5547" s="4" t="str">
        <f>vlookup(A5547, Sheet2!D:E, 2, 0)</f>
        <v>control</v>
      </c>
      <c r="E5547" s="4" t="str">
        <f>IFERROR(__xludf.DUMMYFUNCTION("if(H5547=""pays"",vlookup(REGEXEXTRACT(C5547, ""🏘️ \w+ \w+ (.*) ✅""),'Country prepositions'!A:B, 2, 0) &amp; "" "" &amp; REGEXEXTRACT(C5547, ""🏘️ \w+ \w+ (.*) ✅"") ,  if(H5547=""quartier"",vlookup(REGEXEXTRACT(C5547, ""🏘️ \w+ \w+ (.*) ✅""),'Quartier prepositio"&amp;"ns'!A:E, 5, 0) ,  if(H5547=""region"",vlookup(REGEXEXTRACT(C5547, ""🏘️ \w+ \w+ (.*) ✅""),'Region prepositions'!B:F, 5, 0),  REGEXEXTRACT(C5547, ""🏘️ \w+ \w+ (.*) ✅""))))"),"#N/A")</f>
        <v>#N/A</v>
      </c>
      <c r="I5547" s="4" t="str">
        <f>IFERROR(__xludf.DUMMYFUNCTION("if(D5547=""variant"",  substitute(filter(Templates!E:E, Templates!A:A = F5547, Templates!B:B = G5547, Templates!C:C = H5547), ""{{}}"", E5547), B5547)"),"Louer maison St-Cergue: Trouvez le bien immobilier qui correspond idéalement à vos désirs sur ImmoScout24 - La plateforme de l'immobilier en Suisse.")</f>
        <v>Louer maison St-Cergue: Trouvez le bien immobilier qui correspond idéalement à vos désirs sur ImmoScout24 - La plateforme de l'immobilier en Suisse.</v>
      </c>
    </row>
    <row r="5548" hidden="1">
      <c r="A5548" s="5" t="s">
        <v>14192</v>
      </c>
      <c r="B5548" s="2" t="s">
        <v>14193</v>
      </c>
      <c r="C5548" s="2" t="s">
        <v>14193</v>
      </c>
      <c r="D5548" s="4" t="str">
        <f>vlookup(A5548, Sheet2!D:E, 2, 0)</f>
        <v>control</v>
      </c>
      <c r="E5548" s="4" t="str">
        <f>IFERROR(__xludf.DUMMYFUNCTION("if(H5548=""pays"",vlookup(REGEXEXTRACT(C5548, ""🏘️ \w+ \w+ (.*) ✅""),'Country prepositions'!A:B, 2, 0) &amp; "" "" &amp; REGEXEXTRACT(C5548, ""🏘️ \w+ \w+ (.*) ✅"") ,  if(H5548=""quartier"",vlookup(REGEXEXTRACT(C5548, ""🏘️ \w+ \w+ (.*) ✅""),'Quartier prepositio"&amp;"ns'!A:E, 5, 0) ,  if(H5548=""region"",vlookup(REGEXEXTRACT(C5548, ""🏘️ \w+ \w+ (.*) ✅""),'Region prepositions'!B:F, 5, 0),  REGEXEXTRACT(C5548, ""🏘️ \w+ \w+ (.*) ✅""))))"),"#N/A")</f>
        <v>#N/A</v>
      </c>
      <c r="I5548" s="4" t="str">
        <f>IFERROR(__xludf.DUMMYFUNCTION("if(D5548=""variant"",  substitute(filter(Templates!E:E, Templates!A:A = F5548, Templates!B:B = G5548, Templates!C:C = H5548), ""{{}}"", E5548), B5548)"),"Vendre maison Grolley: Trouvez le bien immobilier qui correspond idéalement à vos désirs sur ImmoScout24 - La plateforme de l'immobilier en Suisse.")</f>
        <v>Vendre maison Grolley: Trouvez le bien immobilier qui correspond idéalement à vos désirs sur ImmoScout24 - La plateforme de l'immobilier en Suisse.</v>
      </c>
    </row>
    <row r="5549" hidden="1">
      <c r="A5549" s="5" t="s">
        <v>14194</v>
      </c>
      <c r="B5549" s="2" t="s">
        <v>14195</v>
      </c>
      <c r="C5549" s="2" t="s">
        <v>14195</v>
      </c>
      <c r="D5549" s="4" t="str">
        <f>vlookup(A5549, Sheet2!D:E, 2, 0)</f>
        <v>control</v>
      </c>
      <c r="E5549" s="4" t="str">
        <f>IFERROR(__xludf.DUMMYFUNCTION("if(H5549=""pays"",vlookup(REGEXEXTRACT(C5549, ""🏘️ \w+ \w+ (.*) ✅""),'Country prepositions'!A:B, 2, 0) &amp; "" "" &amp; REGEXEXTRACT(C5549, ""🏘️ \w+ \w+ (.*) ✅"") ,  if(H5549=""quartier"",vlookup(REGEXEXTRACT(C5549, ""🏘️ \w+ \w+ (.*) ✅""),'Quartier prepositio"&amp;"ns'!A:E, 5, 0) ,  if(H5549=""region"",vlookup(REGEXEXTRACT(C5549, ""🏘️ \w+ \w+ (.*) ✅""),'Region prepositions'!B:F, 5, 0),  REGEXEXTRACT(C5549, ""🏘️ \w+ \w+ (.*) ✅""))))"),"#N/A")</f>
        <v>#N/A</v>
      </c>
      <c r="I5549" s="4" t="str">
        <f>IFERROR(__xludf.DUMMYFUNCTION("if(D5549=""variant"",  substitute(filter(Templates!E:E, Templates!A:A = F5549, Templates!B:B = G5549, Templates!C:C = H5549), ""{{}}"", E5549), B5549)"),"Vendre appartement Noville: Trouvez le bien immobilier qui correspond idéalement à vos désirs sur ImmoScout24 - La plateforme de l'immobilier en Suisse.")</f>
        <v>Vendre appartement Noville: Trouvez le bien immobilier qui correspond idéalement à vos désirs sur ImmoScout24 - La plateforme de l'immobilier en Suisse.</v>
      </c>
    </row>
    <row r="5550" hidden="1">
      <c r="A5550" s="5" t="s">
        <v>14196</v>
      </c>
      <c r="B5550" s="2" t="s">
        <v>14197</v>
      </c>
      <c r="C5550" s="2" t="s">
        <v>14197</v>
      </c>
      <c r="D5550" s="4" t="str">
        <f>vlookup(A5550, Sheet2!D:E, 2, 0)</f>
        <v>control</v>
      </c>
      <c r="E5550" s="4" t="str">
        <f>IFERROR(__xludf.DUMMYFUNCTION("if(H5550=""pays"",vlookup(REGEXEXTRACT(C5550, ""🏘️ \w+ \w+ (.*) ✅""),'Country prepositions'!A:B, 2, 0) &amp; "" "" &amp; REGEXEXTRACT(C5550, ""🏘️ \w+ \w+ (.*) ✅"") ,  if(H5550=""quartier"",vlookup(REGEXEXTRACT(C5550, ""🏘️ \w+ \w+ (.*) ✅""),'Quartier prepositio"&amp;"ns'!A:E, 5, 0) ,  if(H5550=""region"",vlookup(REGEXEXTRACT(C5550, ""🏘️ \w+ \w+ (.*) ✅""),'Region prepositions'!B:F, 5, 0),  REGEXEXTRACT(C5550, ""🏘️ \w+ \w+ (.*) ✅""))))"),"#N/A")</f>
        <v>#N/A</v>
      </c>
      <c r="I5550" s="4" t="str">
        <f>IFERROR(__xludf.DUMMYFUNCTION("if(D5550=""variant"",  substitute(filter(Templates!E:E, Templates!A:A = F5550, Templates!B:B = G5550, Templates!C:C = H5550), ""{{}}"", E5550), B5550)"),"Louer maison Bouchet - Moillebeau (Genève): Trouvez le bien immobilier qui correspond idéalement à vos désirs sur ImmoScout24 - La plateforme de l'immobilier en Suisse.")</f>
        <v>Louer maison Bouchet - Moillebeau (Genève): Trouvez le bien immobilier qui correspond idéalement à vos désirs sur ImmoScout24 - La plateforme de l'immobilier en Suisse.</v>
      </c>
    </row>
    <row r="5551" hidden="1">
      <c r="A5551" s="5" t="s">
        <v>14198</v>
      </c>
      <c r="B5551" s="2" t="s">
        <v>14199</v>
      </c>
      <c r="C5551" s="2" t="s">
        <v>14199</v>
      </c>
      <c r="D5551" s="4" t="str">
        <f>vlookup(A5551, Sheet2!D:E, 2, 0)</f>
        <v>control</v>
      </c>
      <c r="E5551" s="4" t="str">
        <f>IFERROR(__xludf.DUMMYFUNCTION("if(H5551=""pays"",vlookup(REGEXEXTRACT(C5551, ""🏘️ \w+ \w+ (.*) ✅""),'Country prepositions'!A:B, 2, 0) &amp; "" "" &amp; REGEXEXTRACT(C5551, ""🏘️ \w+ \w+ (.*) ✅"") ,  if(H5551=""quartier"",vlookup(REGEXEXTRACT(C5551, ""🏘️ \w+ \w+ (.*) ✅""),'Quartier prepositio"&amp;"ns'!A:E, 5, 0) ,  if(H5551=""region"",vlookup(REGEXEXTRACT(C5551, ""🏘️ \w+ \w+ (.*) ✅""),'Region prepositions'!B:F, 5, 0),  REGEXEXTRACT(C5551, ""🏘️ \w+ \w+ (.*) ✅""))))"),"#N/A")</f>
        <v>#N/A</v>
      </c>
      <c r="I5551" s="4" t="str">
        <f>IFERROR(__xludf.DUMMYFUNCTION("if(D5551=""variant"",  substitute(filter(Templates!E:E, Templates!A:A = F5551, Templates!B:B = G5551, Templates!C:C = H5551), ""{{}}"", E5551), B5551)"),"Louer appartement Eggenwil: Trouvez le bien immobilier qui correspond idéalement à vos désirs sur ImmoScout24 - La plateforme de l'immobilier en Suisse.")</f>
        <v>Louer appartement Eggenwil: Trouvez le bien immobilier qui correspond idéalement à vos désirs sur ImmoScout24 - La plateforme de l'immobilier en Suisse.</v>
      </c>
    </row>
    <row r="5552" hidden="1">
      <c r="A5552" s="5" t="s">
        <v>14200</v>
      </c>
      <c r="B5552" s="2" t="s">
        <v>14201</v>
      </c>
      <c r="C5552" s="2" t="s">
        <v>14201</v>
      </c>
      <c r="D5552" s="4" t="str">
        <f>vlookup(A5552, Sheet2!D:E, 2, 0)</f>
        <v>control</v>
      </c>
      <c r="E5552" s="4" t="str">
        <f>IFERROR(__xludf.DUMMYFUNCTION("if(H5552=""pays"",vlookup(REGEXEXTRACT(C5552, ""🏘️ \w+ \w+ (.*) ✅""),'Country prepositions'!A:B, 2, 0) &amp; "" "" &amp; REGEXEXTRACT(C5552, ""🏘️ \w+ \w+ (.*) ✅"") ,  if(H5552=""quartier"",vlookup(REGEXEXTRACT(C5552, ""🏘️ \w+ \w+ (.*) ✅""),'Quartier prepositio"&amp;"ns'!A:E, 5, 0) ,  if(H5552=""region"",vlookup(REGEXEXTRACT(C5552, ""🏘️ \w+ \w+ (.*) ✅""),'Region prepositions'!B:F, 5, 0),  REGEXEXTRACT(C5552, ""🏘️ \w+ \w+ (.*) ✅""))))"),"#N/A")</f>
        <v>#N/A</v>
      </c>
      <c r="I5552" s="4" t="str">
        <f>IFERROR(__xludf.DUMMYFUNCTION("if(D5552=""variant"",  substitute(filter(Templates!E:E, Templates!A:A = F5552, Templates!B:B = G5552, Templates!C:C = H5552), ""{{}}"", E5552), B5552)"),"Vendre appartement Unterterzen: Trouvez le bien immobilier qui correspond idéalement à vos désirs sur ImmoScout24 - La plateforme de l'immobilier en Suisse.")</f>
        <v>Vendre appartement Unterterzen: Trouvez le bien immobilier qui correspond idéalement à vos désirs sur ImmoScout24 - La plateforme de l'immobilier en Suisse.</v>
      </c>
    </row>
    <row r="5553" hidden="1">
      <c r="A5553" s="5" t="s">
        <v>14202</v>
      </c>
      <c r="B5553" s="2" t="s">
        <v>14203</v>
      </c>
      <c r="C5553" s="2" t="s">
        <v>14203</v>
      </c>
      <c r="D5553" s="4" t="str">
        <f>vlookup(A5553, Sheet2!D:E, 2, 0)</f>
        <v>control</v>
      </c>
      <c r="E5553" s="4" t="str">
        <f>IFERROR(__xludf.DUMMYFUNCTION("if(H5553=""pays"",vlookup(REGEXEXTRACT(C5553, ""🏘️ \w+ \w+ (.*) ✅""),'Country prepositions'!A:B, 2, 0) &amp; "" "" &amp; REGEXEXTRACT(C5553, ""🏘️ \w+ \w+ (.*) ✅"") ,  if(H5553=""quartier"",vlookup(REGEXEXTRACT(C5553, ""🏘️ \w+ \w+ (.*) ✅""),'Quartier prepositio"&amp;"ns'!A:E, 5, 0) ,  if(H5553=""region"",vlookup(REGEXEXTRACT(C5553, ""🏘️ \w+ \w+ (.*) ✅""),'Region prepositions'!B:F, 5, 0),  REGEXEXTRACT(C5553, ""🏘️ \w+ \w+ (.*) ✅""))))"),"#N/A")</f>
        <v>#N/A</v>
      </c>
      <c r="I5553" s="4" t="str">
        <f>IFERROR(__xludf.DUMMYFUNCTION("if(D5553=""variant"",  substitute(filter(Templates!E:E, Templates!A:A = F5553, Templates!B:B = G5553, Templates!C:C = H5553), ""{{}}"", E5553), B5553)"),"Vendre appartement Pregassona: Trouvez le bien immobilier qui correspond idéalement à vos désirs sur ImmoScout24 - La plateforme de l'immobilier en Suisse.")</f>
        <v>Vendre appartement Pregassona: Trouvez le bien immobilier qui correspond idéalement à vos désirs sur ImmoScout24 - La plateforme de l'immobilier en Suisse.</v>
      </c>
    </row>
    <row r="5554" hidden="1">
      <c r="A5554" s="5" t="s">
        <v>14204</v>
      </c>
      <c r="B5554" s="2" t="s">
        <v>14205</v>
      </c>
      <c r="C5554" s="2" t="s">
        <v>14205</v>
      </c>
      <c r="D5554" s="4" t="str">
        <f>vlookup(A5554, Sheet2!D:E, 2, 0)</f>
        <v>control</v>
      </c>
      <c r="E5554" s="4" t="str">
        <f>IFERROR(__xludf.DUMMYFUNCTION("if(H5554=""pays"",vlookup(REGEXEXTRACT(C5554, ""🏘️ \w+ \w+ (.*) ✅""),'Country prepositions'!A:B, 2, 0) &amp; "" "" &amp; REGEXEXTRACT(C5554, ""🏘️ \w+ \w+ (.*) ✅"") ,  if(H5554=""quartier"",vlookup(REGEXEXTRACT(C5554, ""🏘️ \w+ \w+ (.*) ✅""),'Quartier prepositio"&amp;"ns'!A:E, 5, 0) ,  if(H5554=""region"",vlookup(REGEXEXTRACT(C5554, ""🏘️ \w+ \w+ (.*) ✅""),'Region prepositions'!B:F, 5, 0),  REGEXEXTRACT(C5554, ""🏘️ \w+ \w+ (.*) ✅""))))"),"#N/A")</f>
        <v>#N/A</v>
      </c>
      <c r="I5554" s="4" t="str">
        <f>IFERROR(__xludf.DUMMYFUNCTION("if(D5554=""variant"",  substitute(filter(Templates!E:E, Templates!A:A = F5554, Templates!B:B = G5554, Templates!C:C = H5554), ""{{}}"", E5554), B5554)"),"Vendre maison Avenches: Trouvez le bien immobilier qui correspond idéalement à vos désirs sur ImmoScout24 - La plateforme de l'immobilier en Suisse.")</f>
        <v>Vendre maison Avenches: Trouvez le bien immobilier qui correspond idéalement à vos désirs sur ImmoScout24 - La plateforme de l'immobilier en Suisse.</v>
      </c>
    </row>
    <row r="5555" hidden="1">
      <c r="A5555" s="5" t="s">
        <v>14206</v>
      </c>
      <c r="B5555" s="2" t="s">
        <v>14207</v>
      </c>
      <c r="C5555" s="2" t="s">
        <v>14207</v>
      </c>
      <c r="D5555" s="4" t="str">
        <f>vlookup(A5555, Sheet2!D:E, 2, 0)</f>
        <v>control</v>
      </c>
      <c r="E5555" s="4" t="str">
        <f>IFERROR(__xludf.DUMMYFUNCTION("if(H5555=""pays"",vlookup(REGEXEXTRACT(C5555, ""🏘️ \w+ \w+ (.*) ✅""),'Country prepositions'!A:B, 2, 0) &amp; "" "" &amp; REGEXEXTRACT(C5555, ""🏘️ \w+ \w+ (.*) ✅"") ,  if(H5555=""quartier"",vlookup(REGEXEXTRACT(C5555, ""🏘️ \w+ \w+ (.*) ✅""),'Quartier prepositio"&amp;"ns'!A:E, 5, 0) ,  if(H5555=""region"",vlookup(REGEXEXTRACT(C5555, ""🏘️ \w+ \w+ (.*) ✅""),'Region prepositions'!B:F, 5, 0),  REGEXEXTRACT(C5555, ""🏘️ \w+ \w+ (.*) ✅""))))"),"#N/A")</f>
        <v>#N/A</v>
      </c>
      <c r="I5555" s="4" t="str">
        <f>IFERROR(__xludf.DUMMYFUNCTION("if(D5555=""variant"",  substitute(filter(Templates!E:E, Templates!A:A = F5555, Templates!B:B = G5555, Templates!C:C = H5555), ""{{}}"", E5555), B5555)"),"Louer maison Münchwilen TG: Trouvez le bien immobilier qui correspond idéalement à vos désirs sur ImmoScout24 - La plateforme de l'immobilier en Suisse.")</f>
        <v>Louer maison Münchwilen TG: Trouvez le bien immobilier qui correspond idéalement à vos désirs sur ImmoScout24 - La plateforme de l'immobilier en Suisse.</v>
      </c>
    </row>
    <row r="5556" hidden="1">
      <c r="A5556" s="5" t="s">
        <v>14208</v>
      </c>
      <c r="B5556" s="2" t="s">
        <v>14209</v>
      </c>
      <c r="C5556" s="2" t="s">
        <v>14209</v>
      </c>
      <c r="D5556" s="4" t="str">
        <f>vlookup(A5556, Sheet2!D:E, 2, 0)</f>
        <v>control</v>
      </c>
      <c r="E5556" s="4" t="str">
        <f>IFERROR(__xludf.DUMMYFUNCTION("if(H5556=""pays"",vlookup(REGEXEXTRACT(C5556, ""🏘️ \w+ \w+ (.*) ✅""),'Country prepositions'!A:B, 2, 0) &amp; "" "" &amp; REGEXEXTRACT(C5556, ""🏘️ \w+ \w+ (.*) ✅"") ,  if(H5556=""quartier"",vlookup(REGEXEXTRACT(C5556, ""🏘️ \w+ \w+ (.*) ✅""),'Quartier prepositio"&amp;"ns'!A:E, 5, 0) ,  if(H5556=""region"",vlookup(REGEXEXTRACT(C5556, ""🏘️ \w+ \w+ (.*) ✅""),'Region prepositions'!B:F, 5, 0),  REGEXEXTRACT(C5556, ""🏘️ \w+ \w+ (.*) ✅""))))"),"#N/A")</f>
        <v>#N/A</v>
      </c>
      <c r="I5556" s="4" t="str">
        <f>IFERROR(__xludf.DUMMYFUNCTION("if(D5556=""variant"",  substitute(filter(Templates!E:E, Templates!A:A = F5556, Templates!B:B = G5556, Templates!C:C = H5556), ""{{}}"", E5556), B5556)"),"Vendre maison Les Clées: Trouvez le bien immobilier qui correspond idéalement à vos désirs sur ImmoScout24 - La plateforme de l'immobilier en Suisse.")</f>
        <v>Vendre maison Les Clées: Trouvez le bien immobilier qui correspond idéalement à vos désirs sur ImmoScout24 - La plateforme de l'immobilier en Suisse.</v>
      </c>
    </row>
    <row r="5557" hidden="1">
      <c r="A5557" s="5" t="s">
        <v>14210</v>
      </c>
      <c r="B5557" s="2" t="s">
        <v>14211</v>
      </c>
      <c r="C5557" s="2" t="s">
        <v>14211</v>
      </c>
      <c r="D5557" s="4" t="str">
        <f>vlookup(A5557, Sheet2!D:E, 2, 0)</f>
        <v>control</v>
      </c>
      <c r="E5557" s="4" t="str">
        <f>IFERROR(__xludf.DUMMYFUNCTION("if(H5557=""pays"",vlookup(REGEXEXTRACT(C5557, ""🏘️ \w+ \w+ (.*) ✅""),'Country prepositions'!A:B, 2, 0) &amp; "" "" &amp; REGEXEXTRACT(C5557, ""🏘️ \w+ \w+ (.*) ✅"") ,  if(H5557=""quartier"",vlookup(REGEXEXTRACT(C5557, ""🏘️ \w+ \w+ (.*) ✅""),'Quartier prepositio"&amp;"ns'!A:E, 5, 0) ,  if(H5557=""region"",vlookup(REGEXEXTRACT(C5557, ""🏘️ \w+ \w+ (.*) ✅""),'Region prepositions'!B:F, 5, 0),  REGEXEXTRACT(C5557, ""🏘️ \w+ \w+ (.*) ✅""))))"),"#N/A")</f>
        <v>#N/A</v>
      </c>
      <c r="I5557" s="4" t="str">
        <f>IFERROR(__xludf.DUMMYFUNCTION("if(D5557=""variant"",  substitute(filter(Templates!E:E, Templates!A:A = F5557, Templates!B:B = G5557, Templates!C:C = H5557), ""{{}}"", E5557), B5557)"),"Louer appartement Bossonnens: Trouvez le bien immobilier qui correspond idéalement à vos désirs sur ImmoScout24 - La plateforme de l'immobilier en Suisse.")</f>
        <v>Louer appartement Bossonnens: Trouvez le bien immobilier qui correspond idéalement à vos désirs sur ImmoScout24 - La plateforme de l'immobilier en Suisse.</v>
      </c>
    </row>
    <row r="5558" hidden="1">
      <c r="A5558" s="5" t="s">
        <v>14212</v>
      </c>
      <c r="B5558" s="2" t="s">
        <v>14213</v>
      </c>
      <c r="C5558" s="2" t="s">
        <v>14213</v>
      </c>
      <c r="D5558" s="4" t="str">
        <f>vlookup(A5558, Sheet2!D:E, 2, 0)</f>
        <v>control</v>
      </c>
      <c r="E5558" s="4" t="str">
        <f>IFERROR(__xludf.DUMMYFUNCTION("if(H5558=""pays"",vlookup(REGEXEXTRACT(C5558, ""🏘️ \w+ \w+ (.*) ✅""),'Country prepositions'!A:B, 2, 0) &amp; "" "" &amp; REGEXEXTRACT(C5558, ""🏘️ \w+ \w+ (.*) ✅"") ,  if(H5558=""quartier"",vlookup(REGEXEXTRACT(C5558, ""🏘️ \w+ \w+ (.*) ✅""),'Quartier prepositio"&amp;"ns'!A:E, 5, 0) ,  if(H5558=""region"",vlookup(REGEXEXTRACT(C5558, ""🏘️ \w+ \w+ (.*) ✅""),'Region prepositions'!B:F, 5, 0),  REGEXEXTRACT(C5558, ""🏘️ \w+ \w+ (.*) ✅""))))"),"#N/A")</f>
        <v>#N/A</v>
      </c>
      <c r="I5558" s="4" t="str">
        <f>IFERROR(__xludf.DUMMYFUNCTION("if(D5558=""variant"",  substitute(filter(Templates!E:E, Templates!A:A = F5558, Templates!B:B = G5558, Templates!C:C = H5558), ""{{}}"", E5558), B5558)"),"Vendre appartement Dübendorf: Trouvez le bien immobilier qui correspond idéalement à vos désirs sur ImmoScout24 - La plateforme de l'immobilier en Suisse.")</f>
        <v>Vendre appartement Dübendorf: Trouvez le bien immobilier qui correspond idéalement à vos désirs sur ImmoScout24 - La plateforme de l'immobilier en Suisse.</v>
      </c>
    </row>
    <row r="5559" hidden="1">
      <c r="A5559" s="5" t="s">
        <v>14214</v>
      </c>
      <c r="B5559" s="2" t="s">
        <v>14215</v>
      </c>
      <c r="C5559" s="2" t="s">
        <v>14215</v>
      </c>
      <c r="D5559" s="4" t="str">
        <f>vlookup(A5559, Sheet2!D:E, 2, 0)</f>
        <v>control</v>
      </c>
      <c r="E5559" s="4" t="str">
        <f>IFERROR(__xludf.DUMMYFUNCTION("if(H5559=""pays"",vlookup(REGEXEXTRACT(C5559, ""🏘️ \w+ \w+ (.*) ✅""),'Country prepositions'!A:B, 2, 0) &amp; "" "" &amp; REGEXEXTRACT(C5559, ""🏘️ \w+ \w+ (.*) ✅"") ,  if(H5559=""quartier"",vlookup(REGEXEXTRACT(C5559, ""🏘️ \w+ \w+ (.*) ✅""),'Quartier prepositio"&amp;"ns'!A:E, 5, 0) ,  if(H5559=""region"",vlookup(REGEXEXTRACT(C5559, ""🏘️ \w+ \w+ (.*) ✅""),'Region prepositions'!B:F, 5, 0),  REGEXEXTRACT(C5559, ""🏘️ \w+ \w+ (.*) ✅""))))"),"#N/A")</f>
        <v>#N/A</v>
      </c>
      <c r="I5559" s="4" t="str">
        <f>IFERROR(__xludf.DUMMYFUNCTION("if(D5559=""variant"",  substitute(filter(Templates!E:E, Templates!A:A = F5559, Templates!B:B = G5559, Templates!C:C = H5559), ""{{}}"", E5559), B5559)"),"Vendre maison Trogne (St-Martin): Trouvez le bien immobilier qui correspond idéalement à vos désirs sur ImmoScout24 - La plateforme de l'immobilier en Suisse.")</f>
        <v>Vendre maison Trogne (St-Martin): Trouvez le bien immobilier qui correspond idéalement à vos désirs sur ImmoScout24 - La plateforme de l'immobilier en Suisse.</v>
      </c>
    </row>
    <row r="5560" hidden="1">
      <c r="A5560" s="5" t="s">
        <v>14216</v>
      </c>
      <c r="B5560" s="2" t="s">
        <v>14217</v>
      </c>
      <c r="C5560" s="2" t="s">
        <v>14217</v>
      </c>
      <c r="D5560" s="4" t="str">
        <f>vlookup(A5560, Sheet2!D:E, 2, 0)</f>
        <v>control</v>
      </c>
      <c r="E5560" s="4" t="str">
        <f>IFERROR(__xludf.DUMMYFUNCTION("if(H5560=""pays"",vlookup(REGEXEXTRACT(C5560, ""🏘️ \w+ \w+ (.*) ✅""),'Country prepositions'!A:B, 2, 0) &amp; "" "" &amp; REGEXEXTRACT(C5560, ""🏘️ \w+ \w+ (.*) ✅"") ,  if(H5560=""quartier"",vlookup(REGEXEXTRACT(C5560, ""🏘️ \w+ \w+ (.*) ✅""),'Quartier prepositio"&amp;"ns'!A:E, 5, 0) ,  if(H5560=""region"",vlookup(REGEXEXTRACT(C5560, ""🏘️ \w+ \w+ (.*) ✅""),'Region prepositions'!B:F, 5, 0),  REGEXEXTRACT(C5560, ""🏘️ \w+ \w+ (.*) ✅""))))"),"#N/A")</f>
        <v>#N/A</v>
      </c>
      <c r="I5560" s="4" t="str">
        <f>IFERROR(__xludf.DUMMYFUNCTION("if(D5560=""variant"",  substitute(filter(Templates!E:E, Templates!A:A = F5560, Templates!B:B = G5560, Templates!C:C = H5560), ""{{}}"", E5560), B5560)"),"Louer appartement Veyrier: Trouvez le bien immobilier qui correspond idéalement à vos désirs sur ImmoScout24 - La plateforme de l'immobilier en Suisse.")</f>
        <v>Louer appartement Veyrier: Trouvez le bien immobilier qui correspond idéalement à vos désirs sur ImmoScout24 - La plateforme de l'immobilier en Suisse.</v>
      </c>
    </row>
    <row r="5561" hidden="1">
      <c r="A5561" s="5" t="s">
        <v>14218</v>
      </c>
      <c r="B5561" s="2" t="s">
        <v>14219</v>
      </c>
      <c r="C5561" s="2" t="s">
        <v>14219</v>
      </c>
      <c r="D5561" s="4" t="str">
        <f>vlookup(A5561, Sheet2!D:E, 2, 0)</f>
        <v>control</v>
      </c>
      <c r="E5561" s="4" t="str">
        <f>IFERROR(__xludf.DUMMYFUNCTION("if(H5561=""pays"",vlookup(REGEXEXTRACT(C5561, ""🏘️ \w+ \w+ (.*) ✅""),'Country prepositions'!A:B, 2, 0) &amp; "" "" &amp; REGEXEXTRACT(C5561, ""🏘️ \w+ \w+ (.*) ✅"") ,  if(H5561=""quartier"",vlookup(REGEXEXTRACT(C5561, ""🏘️ \w+ \w+ (.*) ✅""),'Quartier prepositio"&amp;"ns'!A:E, 5, 0) ,  if(H5561=""region"",vlookup(REGEXEXTRACT(C5561, ""🏘️ \w+ \w+ (.*) ✅""),'Region prepositions'!B:F, 5, 0),  REGEXEXTRACT(C5561, ""🏘️ \w+ \w+ (.*) ✅""))))"),"#N/A")</f>
        <v>#N/A</v>
      </c>
      <c r="I5561" s="4" t="str">
        <f>IFERROR(__xludf.DUMMYFUNCTION("if(D5561=""variant"",  substitute(filter(Templates!E:E, Templates!A:A = F5561, Templates!B:B = G5561, Templates!C:C = H5561), ""{{}}"", E5561), B5561)"),"Louer appartement Meyrin: Trouvez le bien immobilier qui correspond idéalement à vos désirs sur ImmoScout24 - La plateforme de l'immobilier en Suisse.")</f>
        <v>Louer appartement Meyrin: Trouvez le bien immobilier qui correspond idéalement à vos désirs sur ImmoScout24 - La plateforme de l'immobilier en Suisse.</v>
      </c>
    </row>
    <row r="5562" hidden="1">
      <c r="A5562" s="5" t="s">
        <v>14220</v>
      </c>
      <c r="B5562" s="2" t="s">
        <v>14221</v>
      </c>
      <c r="C5562" s="2" t="s">
        <v>14221</v>
      </c>
      <c r="D5562" s="4" t="str">
        <f>vlookup(A5562, Sheet2!D:E, 2, 0)</f>
        <v>control</v>
      </c>
      <c r="E5562" s="4" t="str">
        <f>IFERROR(__xludf.DUMMYFUNCTION("if(H5562=""pays"",vlookup(REGEXEXTRACT(C5562, ""🏘️ \w+ \w+ (.*) ✅""),'Country prepositions'!A:B, 2, 0) &amp; "" "" &amp; REGEXEXTRACT(C5562, ""🏘️ \w+ \w+ (.*) ✅"") ,  if(H5562=""quartier"",vlookup(REGEXEXTRACT(C5562, ""🏘️ \w+ \w+ (.*) ✅""),'Quartier prepositio"&amp;"ns'!A:E, 5, 0) ,  if(H5562=""region"",vlookup(REGEXEXTRACT(C5562, ""🏘️ \w+ \w+ (.*) ✅""),'Region prepositions'!B:F, 5, 0),  REGEXEXTRACT(C5562, ""🏘️ \w+ \w+ (.*) ✅""))))"),"#N/A")</f>
        <v>#N/A</v>
      </c>
      <c r="I5562" s="4" t="str">
        <f>IFERROR(__xludf.DUMMYFUNCTION("if(D5562=""variant"",  substitute(filter(Templates!E:E, Templates!A:A = F5562, Templates!B:B = G5562, Templates!C:C = H5562), ""{{}}"", E5562), B5562)"),"Vendre maison Kloten: Trouvez le bien immobilier qui correspond idéalement à vos désirs sur ImmoScout24 - La plateforme de l'immobilier en Suisse.")</f>
        <v>Vendre maison Kloten: Trouvez le bien immobilier qui correspond idéalement à vos désirs sur ImmoScout24 - La plateforme de l'immobilier en Suisse.</v>
      </c>
    </row>
    <row r="5563" hidden="1">
      <c r="A5563" s="5" t="s">
        <v>14222</v>
      </c>
      <c r="B5563" s="2" t="s">
        <v>14223</v>
      </c>
      <c r="C5563" s="2" t="s">
        <v>14223</v>
      </c>
      <c r="D5563" s="4" t="str">
        <f>vlookup(A5563, Sheet2!D:E, 2, 0)</f>
        <v>control</v>
      </c>
      <c r="E5563" s="4" t="str">
        <f>IFERROR(__xludf.DUMMYFUNCTION("if(H5563=""pays"",vlookup(REGEXEXTRACT(C5563, ""🏘️ \w+ \w+ (.*) ✅""),'Country prepositions'!A:B, 2, 0) &amp; "" "" &amp; REGEXEXTRACT(C5563, ""🏘️ \w+ \w+ (.*) ✅"") ,  if(H5563=""quartier"",vlookup(REGEXEXTRACT(C5563, ""🏘️ \w+ \w+ (.*) ✅""),'Quartier prepositio"&amp;"ns'!A:E, 5, 0) ,  if(H5563=""region"",vlookup(REGEXEXTRACT(C5563, ""🏘️ \w+ \w+ (.*) ✅""),'Region prepositions'!B:F, 5, 0),  REGEXEXTRACT(C5563, ""🏘️ \w+ \w+ (.*) ✅""))))"),"#N/A")</f>
        <v>#N/A</v>
      </c>
      <c r="I5563" s="4" t="str">
        <f>IFERROR(__xludf.DUMMYFUNCTION("if(D5563=""variant"",  substitute(filter(Templates!E:E, Templates!A:A = F5563, Templates!B:B = G5563, Templates!C:C = H5563), ""{{}}"", E5563), B5563)"),"Vendre maison Winterthu et environs: Trouvez le bien immobilier qui correspond idéalement à vos désirs sur ImmoScout24 - La plateforme de l'immobilier en Suisse.")</f>
        <v>Vendre maison Winterthu et environs: Trouvez le bien immobilier qui correspond idéalement à vos désirs sur ImmoScout24 - La plateforme de l'immobilier en Suisse.</v>
      </c>
    </row>
    <row r="5564" hidden="1">
      <c r="A5564" s="5" t="s">
        <v>14224</v>
      </c>
      <c r="B5564" s="2" t="s">
        <v>14225</v>
      </c>
      <c r="C5564" s="2" t="s">
        <v>14225</v>
      </c>
      <c r="D5564" s="4" t="str">
        <f>vlookup(A5564, Sheet2!D:E, 2, 0)</f>
        <v>control</v>
      </c>
      <c r="E5564" s="4" t="str">
        <f>IFERROR(__xludf.DUMMYFUNCTION("if(H5564=""pays"",vlookup(REGEXEXTRACT(C5564, ""🏘️ \w+ \w+ (.*) ✅""),'Country prepositions'!A:B, 2, 0) &amp; "" "" &amp; REGEXEXTRACT(C5564, ""🏘️ \w+ \w+ (.*) ✅"") ,  if(H5564=""quartier"",vlookup(REGEXEXTRACT(C5564, ""🏘️ \w+ \w+ (.*) ✅""),'Quartier prepositio"&amp;"ns'!A:E, 5, 0) ,  if(H5564=""region"",vlookup(REGEXEXTRACT(C5564, ""🏘️ \w+ \w+ (.*) ✅""),'Region prepositions'!B:F, 5, 0),  REGEXEXTRACT(C5564, ""🏘️ \w+ \w+ (.*) ✅""))))"),"#N/A")</f>
        <v>#N/A</v>
      </c>
      <c r="I5564" s="4" t="str">
        <f>IFERROR(__xludf.DUMMYFUNCTION("if(D5564=""variant"",  substitute(filter(Templates!E:E, Templates!A:A = F5564, Templates!B:B = G5564, Templates!C:C = H5564), ""{{}}"", E5564), B5564)"),"Vendre appartement Savièse: Trouvez le bien immobilier qui correspond idéalement à vos désirs sur ImmoScout24 - La plateforme de l'immobilier en Suisse.")</f>
        <v>Vendre appartement Savièse: Trouvez le bien immobilier qui correspond idéalement à vos désirs sur ImmoScout24 - La plateforme de l'immobilier en Suisse.</v>
      </c>
    </row>
    <row r="5565" hidden="1">
      <c r="A5565" s="5" t="s">
        <v>14226</v>
      </c>
      <c r="B5565" s="2" t="s">
        <v>14227</v>
      </c>
      <c r="C5565" s="2" t="s">
        <v>14227</v>
      </c>
      <c r="D5565" s="4" t="str">
        <f>vlookup(A5565, Sheet2!D:E, 2, 0)</f>
        <v>control</v>
      </c>
      <c r="E5565" s="4" t="str">
        <f>IFERROR(__xludf.DUMMYFUNCTION("if(H5565=""pays"",vlookup(REGEXEXTRACT(C5565, ""🏘️ \w+ \w+ (.*) ✅""),'Country prepositions'!A:B, 2, 0) &amp; "" "" &amp; REGEXEXTRACT(C5565, ""🏘️ \w+ \w+ (.*) ✅"") ,  if(H5565=""quartier"",vlookup(REGEXEXTRACT(C5565, ""🏘️ \w+ \w+ (.*) ✅""),'Quartier prepositio"&amp;"ns'!A:E, 5, 0) ,  if(H5565=""region"",vlookup(REGEXEXTRACT(C5565, ""🏘️ \w+ \w+ (.*) ✅""),'Region prepositions'!B:F, 5, 0),  REGEXEXTRACT(C5565, ""🏘️ \w+ \w+ (.*) ✅""))))"),"#N/A")</f>
        <v>#N/A</v>
      </c>
      <c r="I5565" s="4" t="str">
        <f>IFERROR(__xludf.DUMMYFUNCTION("if(D5565=""variant"",  substitute(filter(Templates!E:E, Templates!A:A = F5565, Templates!B:B = G5565, Templates!C:C = H5565), ""{{}}"", E5565), B5565)"),"Vendre appartement Ebikon: Trouvez le bien immobilier qui correspond idéalement à vos désirs sur ImmoScout24 - La plateforme de l'immobilier en Suisse.")</f>
        <v>Vendre appartement Ebikon: Trouvez le bien immobilier qui correspond idéalement à vos désirs sur ImmoScout24 - La plateforme de l'immobilier en Suisse.</v>
      </c>
    </row>
    <row r="5566" hidden="1">
      <c r="A5566" s="5" t="s">
        <v>14228</v>
      </c>
      <c r="B5566" s="2" t="s">
        <v>14229</v>
      </c>
      <c r="C5566" s="2" t="s">
        <v>14229</v>
      </c>
      <c r="D5566" s="4" t="str">
        <f>vlookup(A5566, Sheet2!D:E, 2, 0)</f>
        <v>control</v>
      </c>
      <c r="E5566" s="4" t="str">
        <f>IFERROR(__xludf.DUMMYFUNCTION("if(H5566=""pays"",vlookup(REGEXEXTRACT(C5566, ""🏘️ \w+ \w+ (.*) ✅""),'Country prepositions'!A:B, 2, 0) &amp; "" "" &amp; REGEXEXTRACT(C5566, ""🏘️ \w+ \w+ (.*) ✅"") ,  if(H5566=""quartier"",vlookup(REGEXEXTRACT(C5566, ""🏘️ \w+ \w+ (.*) ✅""),'Quartier prepositio"&amp;"ns'!A:E, 5, 0) ,  if(H5566=""region"",vlookup(REGEXEXTRACT(C5566, ""🏘️ \w+ \w+ (.*) ✅""),'Region prepositions'!B:F, 5, 0),  REGEXEXTRACT(C5566, ""🏘️ \w+ \w+ (.*) ✅""))))"),"#N/A")</f>
        <v>#N/A</v>
      </c>
      <c r="I5566" s="4" t="str">
        <f>IFERROR(__xludf.DUMMYFUNCTION("if(D5566=""variant"",  substitute(filter(Templates!E:E, Templates!A:A = F5566, Templates!B:B = G5566, Templates!C:C = H5566), ""{{}}"", E5566), B5566)"),"Vendre appartement Grindelwald: Trouvez le bien immobilier qui correspond idéalement à vos désirs sur ImmoScout24 - La plateforme de l'immobilier en Suisse.")</f>
        <v>Vendre appartement Grindelwald: Trouvez le bien immobilier qui correspond idéalement à vos désirs sur ImmoScout24 - La plateforme de l'immobilier en Suisse.</v>
      </c>
    </row>
    <row r="5567" hidden="1">
      <c r="A5567" s="5" t="s">
        <v>14230</v>
      </c>
      <c r="B5567" s="2" t="s">
        <v>14231</v>
      </c>
      <c r="C5567" s="2" t="s">
        <v>14231</v>
      </c>
      <c r="D5567" s="4" t="str">
        <f>vlookup(A5567, Sheet2!D:E, 2, 0)</f>
        <v>control</v>
      </c>
      <c r="E5567" s="4" t="str">
        <f>IFERROR(__xludf.DUMMYFUNCTION("if(H5567=""pays"",vlookup(REGEXEXTRACT(C5567, ""🏘️ \w+ \w+ (.*) ✅""),'Country prepositions'!A:B, 2, 0) &amp; "" "" &amp; REGEXEXTRACT(C5567, ""🏘️ \w+ \w+ (.*) ✅"") ,  if(H5567=""quartier"",vlookup(REGEXEXTRACT(C5567, ""🏘️ \w+ \w+ (.*) ✅""),'Quartier prepositio"&amp;"ns'!A:E, 5, 0) ,  if(H5567=""region"",vlookup(REGEXEXTRACT(C5567, ""🏘️ \w+ \w+ (.*) ✅""),'Region prepositions'!B:F, 5, 0),  REGEXEXTRACT(C5567, ""🏘️ \w+ \w+ (.*) ✅""))))"),"#N/A")</f>
        <v>#N/A</v>
      </c>
      <c r="I5567" s="4" t="str">
        <f>IFERROR(__xludf.DUMMYFUNCTION("if(D5567=""variant"",  substitute(filter(Templates!E:E, Templates!A:A = F5567, Templates!B:B = G5567, Templates!C:C = H5567), ""{{}}"", E5567), B5567)"),"Vendre maison Widnau: Trouvez le bien immobilier qui correspond idéalement à vos désirs sur ImmoScout24 - La plateforme de l'immobilier en Suisse.")</f>
        <v>Vendre maison Widnau: Trouvez le bien immobilier qui correspond idéalement à vos désirs sur ImmoScout24 - La plateforme de l'immobilier en Suisse.</v>
      </c>
    </row>
    <row r="5568" hidden="1">
      <c r="A5568" s="5" t="s">
        <v>14232</v>
      </c>
      <c r="B5568" s="2" t="s">
        <v>14233</v>
      </c>
      <c r="C5568" s="2" t="s">
        <v>14233</v>
      </c>
      <c r="D5568" s="4" t="str">
        <f>vlookup(A5568, Sheet2!D:E, 2, 0)</f>
        <v>control</v>
      </c>
      <c r="E5568" s="4" t="str">
        <f>IFERROR(__xludf.DUMMYFUNCTION("if(H5568=""pays"",vlookup(REGEXEXTRACT(C5568, ""🏘️ \w+ \w+ (.*) ✅""),'Country prepositions'!A:B, 2, 0) &amp; "" "" &amp; REGEXEXTRACT(C5568, ""🏘️ \w+ \w+ (.*) ✅"") ,  if(H5568=""quartier"",vlookup(REGEXEXTRACT(C5568, ""🏘️ \w+ \w+ (.*) ✅""),'Quartier prepositio"&amp;"ns'!A:E, 5, 0) ,  if(H5568=""region"",vlookup(REGEXEXTRACT(C5568, ""🏘️ \w+ \w+ (.*) ✅""),'Region prepositions'!B:F, 5, 0),  REGEXEXTRACT(C5568, ""🏘️ \w+ \w+ (.*) ✅""))))"),"#N/A")</f>
        <v>#N/A</v>
      </c>
      <c r="I5568" s="4" t="str">
        <f>IFERROR(__xludf.DUMMYFUNCTION("if(D5568=""variant"",  substitute(filter(Templates!E:E, Templates!A:A = F5568, Templates!B:B = G5568, Templates!C:C = H5568), ""{{}}"", E5568), B5568)"),"Louer appartement St-Jean VS: Trouvez le bien immobilier qui correspond idéalement à vos désirs sur ImmoScout24 - La plateforme de l'immobilier en Suisse.")</f>
        <v>Louer appartement St-Jean VS: Trouvez le bien immobilier qui correspond idéalement à vos désirs sur ImmoScout24 - La plateforme de l'immobilier en Suisse.</v>
      </c>
    </row>
    <row r="5569" hidden="1">
      <c r="A5569" s="5" t="s">
        <v>14234</v>
      </c>
      <c r="B5569" s="2" t="s">
        <v>14235</v>
      </c>
      <c r="C5569" s="2" t="s">
        <v>14235</v>
      </c>
      <c r="D5569" s="4" t="str">
        <f>vlookup(A5569, Sheet2!D:E, 2, 0)</f>
        <v>control</v>
      </c>
      <c r="E5569" s="4" t="str">
        <f>IFERROR(__xludf.DUMMYFUNCTION("if(H5569=""pays"",vlookup(REGEXEXTRACT(C5569, ""🏘️ \w+ \w+ (.*) ✅""),'Country prepositions'!A:B, 2, 0) &amp; "" "" &amp; REGEXEXTRACT(C5569, ""🏘️ \w+ \w+ (.*) ✅"") ,  if(H5569=""quartier"",vlookup(REGEXEXTRACT(C5569, ""🏘️ \w+ \w+ (.*) ✅""),'Quartier prepositio"&amp;"ns'!A:E, 5, 0) ,  if(H5569=""region"",vlookup(REGEXEXTRACT(C5569, ""🏘️ \w+ \w+ (.*) ✅""),'Region prepositions'!B:F, 5, 0),  REGEXEXTRACT(C5569, ""🏘️ \w+ \w+ (.*) ✅""))))"),"#N/A")</f>
        <v>#N/A</v>
      </c>
      <c r="I5569" s="4" t="str">
        <f>IFERROR(__xludf.DUMMYFUNCTION("if(D5569=""variant"",  substitute(filter(Templates!E:E, Templates!A:A = F5569, Templates!B:B = G5569, Templates!C:C = H5569), ""{{}}"", E5569), B5569)"),"Louer appartement Ursy: Trouvez le bien immobilier qui correspond idéalement à vos désirs sur ImmoScout24 - La plateforme de l'immobilier en Suisse.")</f>
        <v>Louer appartement Ursy: Trouvez le bien immobilier qui correspond idéalement à vos désirs sur ImmoScout24 - La plateforme de l'immobilier en Suisse.</v>
      </c>
    </row>
    <row r="5570" hidden="1">
      <c r="A5570" s="5" t="s">
        <v>14236</v>
      </c>
      <c r="B5570" s="2" t="s">
        <v>14237</v>
      </c>
      <c r="C5570" s="2" t="s">
        <v>14237</v>
      </c>
      <c r="D5570" s="4" t="str">
        <f>vlookup(A5570, Sheet2!D:E, 2, 0)</f>
        <v>control</v>
      </c>
      <c r="E5570" s="4" t="str">
        <f>IFERROR(__xludf.DUMMYFUNCTION("if(H5570=""pays"",vlookup(REGEXEXTRACT(C5570, ""🏘️ \w+ \w+ (.*) ✅""),'Country prepositions'!A:B, 2, 0) &amp; "" "" &amp; REGEXEXTRACT(C5570, ""🏘️ \w+ \w+ (.*) ✅"") ,  if(H5570=""quartier"",vlookup(REGEXEXTRACT(C5570, ""🏘️ \w+ \w+ (.*) ✅""),'Quartier prepositio"&amp;"ns'!A:E, 5, 0) ,  if(H5570=""region"",vlookup(REGEXEXTRACT(C5570, ""🏘️ \w+ \w+ (.*) ✅""),'Region prepositions'!B:F, 5, 0),  REGEXEXTRACT(C5570, ""🏘️ \w+ \w+ (.*) ✅""))))"),"#N/A")</f>
        <v>#N/A</v>
      </c>
      <c r="I5570" s="4" t="str">
        <f>IFERROR(__xludf.DUMMYFUNCTION("if(D5570=""variant"",  substitute(filter(Templates!E:E, Templates!A:A = F5570, Templates!B:B = G5570, Templates!C:C = H5570), ""{{}}"", E5570), B5570)"),"Louer appartement Les Posses-sur-Bex: Trouvez le bien immobilier qui correspond idéalement à vos désirs sur ImmoScout24 - La plateforme de l'immobilier en Suisse.")</f>
        <v>Louer appartement Les Posses-sur-Bex: Trouvez le bien immobilier qui correspond idéalement à vos désirs sur ImmoScout24 - La plateforme de l'immobilier en Suisse.</v>
      </c>
    </row>
    <row r="5571" hidden="1">
      <c r="A5571" s="5" t="s">
        <v>14238</v>
      </c>
      <c r="B5571" s="2" t="s">
        <v>14239</v>
      </c>
      <c r="C5571" s="2" t="s">
        <v>14239</v>
      </c>
      <c r="D5571" s="4" t="str">
        <f>vlookup(A5571, Sheet2!D:E, 2, 0)</f>
        <v>control</v>
      </c>
      <c r="E5571" s="4" t="str">
        <f>IFERROR(__xludf.DUMMYFUNCTION("if(H5571=""pays"",vlookup(REGEXEXTRACT(C5571, ""🏘️ \w+ \w+ (.*) ✅""),'Country prepositions'!A:B, 2, 0) &amp; "" "" &amp; REGEXEXTRACT(C5571, ""🏘️ \w+ \w+ (.*) ✅"") ,  if(H5571=""quartier"",vlookup(REGEXEXTRACT(C5571, ""🏘️ \w+ \w+ (.*) ✅""),'Quartier prepositio"&amp;"ns'!A:E, 5, 0) ,  if(H5571=""region"",vlookup(REGEXEXTRACT(C5571, ""🏘️ \w+ \w+ (.*) ✅""),'Region prepositions'!B:F, 5, 0),  REGEXEXTRACT(C5571, ""🏘️ \w+ \w+ (.*) ✅""))))"),"#N/A")</f>
        <v>#N/A</v>
      </c>
      <c r="I5571" s="4" t="str">
        <f>IFERROR(__xludf.DUMMYFUNCTION("if(D5571=""variant"",  substitute(filter(Templates!E:E, Templates!A:A = F5571, Templates!B:B = G5571, Templates!C:C = H5571), ""{{}}"", E5571), B5571)"),"Vendre maison Hauterive NE: Trouvez le bien immobilier qui correspond idéalement à vos désirs sur ImmoScout24 - La plateforme de l'immobilier en Suisse.")</f>
        <v>Vendre maison Hauterive NE: Trouvez le bien immobilier qui correspond idéalement à vos désirs sur ImmoScout24 - La plateforme de l'immobilier en Suisse.</v>
      </c>
    </row>
    <row r="5572" hidden="1">
      <c r="A5572" s="5" t="s">
        <v>14240</v>
      </c>
      <c r="B5572" s="2" t="s">
        <v>14241</v>
      </c>
      <c r="C5572" s="2" t="s">
        <v>14241</v>
      </c>
      <c r="D5572" s="4" t="str">
        <f>vlookup(A5572, Sheet2!D:E, 2, 0)</f>
        <v>control</v>
      </c>
      <c r="E5572" s="4" t="str">
        <f>IFERROR(__xludf.DUMMYFUNCTION("if(H5572=""pays"",vlookup(REGEXEXTRACT(C5572, ""🏘️ \w+ \w+ (.*) ✅""),'Country prepositions'!A:B, 2, 0) &amp; "" "" &amp; REGEXEXTRACT(C5572, ""🏘️ \w+ \w+ (.*) ✅"") ,  if(H5572=""quartier"",vlookup(REGEXEXTRACT(C5572, ""🏘️ \w+ \w+ (.*) ✅""),'Quartier prepositio"&amp;"ns'!A:E, 5, 0) ,  if(H5572=""region"",vlookup(REGEXEXTRACT(C5572, ""🏘️ \w+ \w+ (.*) ✅""),'Region prepositions'!B:F, 5, 0),  REGEXEXTRACT(C5572, ""🏘️ \w+ \w+ (.*) ✅""))))"),"#N/A")</f>
        <v>#N/A</v>
      </c>
      <c r="I5572" s="4" t="str">
        <f>IFERROR(__xludf.DUMMYFUNCTION("if(D5572=""variant"",  substitute(filter(Templates!E:E, Templates!A:A = F5572, Templates!B:B = G5572, Templates!C:C = H5572), ""{{}}"", E5572), B5572)"),"Vendre maison Uvrier: Trouvez le bien immobilier qui correspond idéalement à vos désirs sur ImmoScout24 - La plateforme de l'immobilier en Suisse.")</f>
        <v>Vendre maison Uvrier: Trouvez le bien immobilier qui correspond idéalement à vos désirs sur ImmoScout24 - La plateforme de l'immobilier en Suisse.</v>
      </c>
    </row>
    <row r="5573" hidden="1">
      <c r="A5573" s="5" t="s">
        <v>14242</v>
      </c>
      <c r="B5573" s="2" t="s">
        <v>14243</v>
      </c>
      <c r="C5573" s="2" t="s">
        <v>14243</v>
      </c>
      <c r="D5573" s="4" t="str">
        <f>vlookup(A5573, Sheet2!D:E, 2, 0)</f>
        <v>control</v>
      </c>
      <c r="E5573" s="4" t="str">
        <f>IFERROR(__xludf.DUMMYFUNCTION("if(H5573=""pays"",vlookup(REGEXEXTRACT(C5573, ""🏘️ \w+ \w+ (.*) ✅""),'Country prepositions'!A:B, 2, 0) &amp; "" "" &amp; REGEXEXTRACT(C5573, ""🏘️ \w+ \w+ (.*) ✅"") ,  if(H5573=""quartier"",vlookup(REGEXEXTRACT(C5573, ""🏘️ \w+ \w+ (.*) ✅""),'Quartier prepositio"&amp;"ns'!A:E, 5, 0) ,  if(H5573=""region"",vlookup(REGEXEXTRACT(C5573, ""🏘️ \w+ \w+ (.*) ✅""),'Region prepositions'!B:F, 5, 0),  REGEXEXTRACT(C5573, ""🏘️ \w+ \w+ (.*) ✅""))))"),"#N/A")</f>
        <v>#N/A</v>
      </c>
      <c r="I5573" s="4" t="str">
        <f>IFERROR(__xludf.DUMMYFUNCTION("if(D5573=""variant"",  substitute(filter(Templates!E:E, Templates!A:A = F5573, Templates!B:B = G5573, Templates!C:C = H5573), ""{{}}"", E5573), B5573)"),"Louer appartement Arisdorf: Trouvez le bien immobilier qui correspond idéalement à vos désirs sur ImmoScout24 - La plateforme de l'immobilier en Suisse.")</f>
        <v>Louer appartement Arisdorf: Trouvez le bien immobilier qui correspond idéalement à vos désirs sur ImmoScout24 - La plateforme de l'immobilier en Suisse.</v>
      </c>
    </row>
    <row r="5574" hidden="1">
      <c r="A5574" s="5" t="s">
        <v>14244</v>
      </c>
      <c r="B5574" s="2" t="s">
        <v>14245</v>
      </c>
      <c r="C5574" s="2" t="s">
        <v>14245</v>
      </c>
      <c r="D5574" s="4" t="str">
        <f>vlookup(A5574, Sheet2!D:E, 2, 0)</f>
        <v>control</v>
      </c>
      <c r="E5574" s="4" t="str">
        <f>IFERROR(__xludf.DUMMYFUNCTION("if(H5574=""pays"",vlookup(REGEXEXTRACT(C5574, ""🏘️ \w+ \w+ (.*) ✅""),'Country prepositions'!A:B, 2, 0) &amp; "" "" &amp; REGEXEXTRACT(C5574, ""🏘️ \w+ \w+ (.*) ✅"") ,  if(H5574=""quartier"",vlookup(REGEXEXTRACT(C5574, ""🏘️ \w+ \w+ (.*) ✅""),'Quartier prepositio"&amp;"ns'!A:E, 5, 0) ,  if(H5574=""region"",vlookup(REGEXEXTRACT(C5574, ""🏘️ \w+ \w+ (.*) ✅""),'Region prepositions'!B:F, 5, 0),  REGEXEXTRACT(C5574, ""🏘️ \w+ \w+ (.*) ✅""))))"),"#N/A")</f>
        <v>#N/A</v>
      </c>
      <c r="I5574" s="4" t="str">
        <f>IFERROR(__xludf.DUMMYFUNCTION("if(D5574=""variant"",  substitute(filter(Templates!E:E, Templates!A:A = F5574, Templates!B:B = G5574, Templates!C:C = H5574), ""{{}}"", E5574), B5574)"),"Louer appartement Trois-Portes (Neuchâtel): Trouvez le bien immobilier qui correspond idéalement à vos désirs sur ImmoScout24 - La plateforme de l'immobilier en Suisse.")</f>
        <v>Louer appartement Trois-Portes (Neuchâtel): Trouvez le bien immobilier qui correspond idéalement à vos désirs sur ImmoScout24 - La plateforme de l'immobilier en Suisse.</v>
      </c>
    </row>
    <row r="5575" hidden="1">
      <c r="A5575" s="5" t="s">
        <v>14246</v>
      </c>
      <c r="B5575" s="2" t="s">
        <v>14247</v>
      </c>
      <c r="C5575" s="2" t="s">
        <v>14247</v>
      </c>
      <c r="D5575" s="4" t="str">
        <f>vlookup(A5575, Sheet2!D:E, 2, 0)</f>
        <v>control</v>
      </c>
      <c r="E5575" s="4" t="str">
        <f>IFERROR(__xludf.DUMMYFUNCTION("if(H5575=""pays"",vlookup(REGEXEXTRACT(C5575, ""🏘️ \w+ \w+ (.*) ✅""),'Country prepositions'!A:B, 2, 0) &amp; "" "" &amp; REGEXEXTRACT(C5575, ""🏘️ \w+ \w+ (.*) ✅"") ,  if(H5575=""quartier"",vlookup(REGEXEXTRACT(C5575, ""🏘️ \w+ \w+ (.*) ✅""),'Quartier prepositio"&amp;"ns'!A:E, 5, 0) ,  if(H5575=""region"",vlookup(REGEXEXTRACT(C5575, ""🏘️ \w+ \w+ (.*) ✅""),'Region prepositions'!B:F, 5, 0),  REGEXEXTRACT(C5575, ""🏘️ \w+ \w+ (.*) ✅""))))"),"#N/A")</f>
        <v>#N/A</v>
      </c>
      <c r="I5575" s="4" t="str">
        <f>IFERROR(__xludf.DUMMYFUNCTION("if(D5575=""variant"",  substitute(filter(Templates!E:E, Templates!A:A = F5575, Templates!B:B = G5575, Templates!C:C = H5575), ""{{}}"", E5575), B5575)"),"Louer maison Court: Trouvez le bien immobilier qui correspond idéalement à vos désirs sur ImmoScout24 - La plateforme de l'immobilier en Suisse.")</f>
        <v>Louer maison Court: Trouvez le bien immobilier qui correspond idéalement à vos désirs sur ImmoScout24 - La plateforme de l'immobilier en Suisse.</v>
      </c>
    </row>
    <row r="5576" hidden="1">
      <c r="A5576" s="5" t="s">
        <v>14248</v>
      </c>
      <c r="B5576" s="2" t="s">
        <v>14249</v>
      </c>
      <c r="C5576" s="2" t="s">
        <v>14249</v>
      </c>
      <c r="D5576" s="4" t="str">
        <f>vlookup(A5576, Sheet2!D:E, 2, 0)</f>
        <v>control</v>
      </c>
      <c r="E5576" s="4" t="str">
        <f>IFERROR(__xludf.DUMMYFUNCTION("if(H5576=""pays"",vlookup(REGEXEXTRACT(C5576, ""🏘️ \w+ \w+ (.*) ✅""),'Country prepositions'!A:B, 2, 0) &amp; "" "" &amp; REGEXEXTRACT(C5576, ""🏘️ \w+ \w+ (.*) ✅"") ,  if(H5576=""quartier"",vlookup(REGEXEXTRACT(C5576, ""🏘️ \w+ \w+ (.*) ✅""),'Quartier prepositio"&amp;"ns'!A:E, 5, 0) ,  if(H5576=""region"",vlookup(REGEXEXTRACT(C5576, ""🏘️ \w+ \w+ (.*) ✅""),'Region prepositions'!B:F, 5, 0),  REGEXEXTRACT(C5576, ""🏘️ \w+ \w+ (.*) ✅""))))"),"#N/A")</f>
        <v>#N/A</v>
      </c>
      <c r="I5576" s="4" t="str">
        <f>IFERROR(__xludf.DUMMYFUNCTION("if(D5576=""variant"",  substitute(filter(Templates!E:E, Templates!A:A = F5576, Templates!B:B = G5576, Templates!C:C = H5576), ""{{}}"", E5576), B5576)"),"Vendre maison Aigle - Alpes Vaudoises: Trouvez le bien immobilier qui correspond idéalement à vos désirs sur ImmoScout24 - La plateforme de l'immobilier en Suisse.")</f>
        <v>Vendre maison Aigle - Alpes Vaudoises: Trouvez le bien immobilier qui correspond idéalement à vos désirs sur ImmoScout24 - La plateforme de l'immobilier en Suisse.</v>
      </c>
    </row>
    <row r="5577" hidden="1">
      <c r="A5577" s="5" t="s">
        <v>14250</v>
      </c>
      <c r="B5577" s="2" t="s">
        <v>14251</v>
      </c>
      <c r="C5577" s="2" t="s">
        <v>14251</v>
      </c>
      <c r="D5577" s="4" t="str">
        <f>vlookup(A5577, Sheet2!D:E, 2, 0)</f>
        <v>control</v>
      </c>
      <c r="E5577" s="4" t="str">
        <f>IFERROR(__xludf.DUMMYFUNCTION("if(H5577=""pays"",vlookup(REGEXEXTRACT(C5577, ""🏘️ \w+ \w+ (.*) ✅""),'Country prepositions'!A:B, 2, 0) &amp; "" "" &amp; REGEXEXTRACT(C5577, ""🏘️ \w+ \w+ (.*) ✅"") ,  if(H5577=""quartier"",vlookup(REGEXEXTRACT(C5577, ""🏘️ \w+ \w+ (.*) ✅""),'Quartier prepositio"&amp;"ns'!A:E, 5, 0) ,  if(H5577=""region"",vlookup(REGEXEXTRACT(C5577, ""🏘️ \w+ \w+ (.*) ✅""),'Region prepositions'!B:F, 5, 0),  REGEXEXTRACT(C5577, ""🏘️ \w+ \w+ (.*) ✅""))))"),"#N/A")</f>
        <v>#N/A</v>
      </c>
      <c r="I5577" s="4" t="str">
        <f>IFERROR(__xludf.DUMMYFUNCTION("if(D5577=""variant"",  substitute(filter(Templates!E:E, Templates!A:A = F5577, Templates!B:B = G5577, Templates!C:C = H5577), ""{{}}"", E5577), B5577)"),"Louer maison Mies: Trouvez le bien immobilier qui correspond idéalement à vos désirs sur ImmoScout24 - La plateforme de l'immobilier en Suisse.")</f>
        <v>Louer maison Mies: Trouvez le bien immobilier qui correspond idéalement à vos désirs sur ImmoScout24 - La plateforme de l'immobilier en Suisse.</v>
      </c>
    </row>
    <row r="5578" hidden="1">
      <c r="A5578" s="5" t="s">
        <v>14252</v>
      </c>
      <c r="B5578" s="2" t="s">
        <v>14253</v>
      </c>
      <c r="C5578" s="2" t="s">
        <v>14253</v>
      </c>
      <c r="D5578" s="4" t="str">
        <f>vlookup(A5578, Sheet2!D:E, 2, 0)</f>
        <v>control</v>
      </c>
      <c r="E5578" s="4" t="str">
        <f>IFERROR(__xludf.DUMMYFUNCTION("if(H5578=""pays"",vlookup(REGEXEXTRACT(C5578, ""🏘️ \w+ \w+ (.*) ✅""),'Country prepositions'!A:B, 2, 0) &amp; "" "" &amp; REGEXEXTRACT(C5578, ""🏘️ \w+ \w+ (.*) ✅"") ,  if(H5578=""quartier"",vlookup(REGEXEXTRACT(C5578, ""🏘️ \w+ \w+ (.*) ✅""),'Quartier prepositio"&amp;"ns'!A:E, 5, 0) ,  if(H5578=""region"",vlookup(REGEXEXTRACT(C5578, ""🏘️ \w+ \w+ (.*) ✅""),'Region prepositions'!B:F, 5, 0),  REGEXEXTRACT(C5578, ""🏘️ \w+ \w+ (.*) ✅""))))"),"#N/A")</f>
        <v>#N/A</v>
      </c>
      <c r="I5578" s="4" t="str">
        <f>IFERROR(__xludf.DUMMYFUNCTION("if(D5578=""variant"",  substitute(filter(Templates!E:E, Templates!A:A = F5578, Templates!B:B = G5578, Templates!C:C = H5578), ""{{}}"", E5578), B5578)"),"Louer appartement Agarn: Trouvez le bien immobilier qui correspond idéalement à vos désirs sur ImmoScout24 - La plateforme de l'immobilier en Suisse.")</f>
        <v>Louer appartement Agarn: Trouvez le bien immobilier qui correspond idéalement à vos désirs sur ImmoScout24 - La plateforme de l'immobilier en Suisse.</v>
      </c>
    </row>
    <row r="5579" hidden="1">
      <c r="A5579" s="5" t="s">
        <v>14254</v>
      </c>
      <c r="B5579" s="2" t="s">
        <v>14255</v>
      </c>
      <c r="C5579" s="2" t="s">
        <v>14255</v>
      </c>
      <c r="D5579" s="4" t="str">
        <f>vlookup(A5579, Sheet2!D:E, 2, 0)</f>
        <v>control</v>
      </c>
      <c r="E5579" s="4" t="str">
        <f>IFERROR(__xludf.DUMMYFUNCTION("if(H5579=""pays"",vlookup(REGEXEXTRACT(C5579, ""🏘️ \w+ \w+ (.*) ✅""),'Country prepositions'!A:B, 2, 0) &amp; "" "" &amp; REGEXEXTRACT(C5579, ""🏘️ \w+ \w+ (.*) ✅"") ,  if(H5579=""quartier"",vlookup(REGEXEXTRACT(C5579, ""🏘️ \w+ \w+ (.*) ✅""),'Quartier prepositio"&amp;"ns'!A:E, 5, 0) ,  if(H5579=""region"",vlookup(REGEXEXTRACT(C5579, ""🏘️ \w+ \w+ (.*) ✅""),'Region prepositions'!B:F, 5, 0),  REGEXEXTRACT(C5579, ""🏘️ \w+ \w+ (.*) ✅""))))"),"#N/A")</f>
        <v>#N/A</v>
      </c>
      <c r="I5579" s="4" t="str">
        <f>IFERROR(__xludf.DUMMYFUNCTION("if(D5579=""variant"",  substitute(filter(Templates!E:E, Templates!A:A = F5579, Templates!B:B = G5579, Templates!C:C = H5579), ""{{}}"", E5579), B5579)"),"Louer appartement Gy: Trouvez le bien immobilier qui correspond idéalement à vos désirs sur ImmoScout24 - La plateforme de l'immobilier en Suisse.")</f>
        <v>Louer appartement Gy: Trouvez le bien immobilier qui correspond idéalement à vos désirs sur ImmoScout24 - La plateforme de l'immobilier en Suisse.</v>
      </c>
    </row>
    <row r="5580" hidden="1">
      <c r="A5580" s="5" t="s">
        <v>14256</v>
      </c>
      <c r="B5580" s="2" t="s">
        <v>14257</v>
      </c>
      <c r="C5580" s="2" t="s">
        <v>14257</v>
      </c>
      <c r="D5580" s="4" t="str">
        <f>vlookup(A5580, Sheet2!D:E, 2, 0)</f>
        <v>control</v>
      </c>
      <c r="E5580" s="4" t="str">
        <f>IFERROR(__xludf.DUMMYFUNCTION("if(H5580=""pays"",vlookup(REGEXEXTRACT(C5580, ""🏘️ \w+ \w+ (.*) ✅""),'Country prepositions'!A:B, 2, 0) &amp; "" "" &amp; REGEXEXTRACT(C5580, ""🏘️ \w+ \w+ (.*) ✅"") ,  if(H5580=""quartier"",vlookup(REGEXEXTRACT(C5580, ""🏘️ \w+ \w+ (.*) ✅""),'Quartier prepositio"&amp;"ns'!A:E, 5, 0) ,  if(H5580=""region"",vlookup(REGEXEXTRACT(C5580, ""🏘️ \w+ \w+ (.*) ✅""),'Region prepositions'!B:F, 5, 0),  REGEXEXTRACT(C5580, ""🏘️ \w+ \w+ (.*) ✅""))))"),"#N/A")</f>
        <v>#N/A</v>
      </c>
      <c r="I5580" s="4" t="str">
        <f>IFERROR(__xludf.DUMMYFUNCTION("if(D5580=""variant"",  substitute(filter(Templates!E:E, Templates!A:A = F5580, Templates!B:B = G5580, Templates!C:C = H5580), ""{{}}"", E5580), B5580)"),"Vendre appartement St. Niklaus VS: Trouvez le bien immobilier qui correspond idéalement à vos désirs sur ImmoScout24 - La plateforme de l'immobilier en Suisse.")</f>
        <v>Vendre appartement St. Niklaus VS: Trouvez le bien immobilier qui correspond idéalement à vos désirs sur ImmoScout24 - La plateforme de l'immobilier en Suisse.</v>
      </c>
    </row>
    <row r="5581" hidden="1">
      <c r="A5581" s="5" t="s">
        <v>14258</v>
      </c>
      <c r="B5581" s="2" t="s">
        <v>14259</v>
      </c>
      <c r="C5581" s="2" t="s">
        <v>14259</v>
      </c>
      <c r="D5581" s="4" t="str">
        <f>vlookup(A5581, Sheet2!D:E, 2, 0)</f>
        <v>control</v>
      </c>
      <c r="E5581" s="4" t="str">
        <f>IFERROR(__xludf.DUMMYFUNCTION("if(H5581=""pays"",vlookup(REGEXEXTRACT(C5581, ""🏘️ \w+ \w+ (.*) ✅""),'Country prepositions'!A:B, 2, 0) &amp; "" "" &amp; REGEXEXTRACT(C5581, ""🏘️ \w+ \w+ (.*) ✅"") ,  if(H5581=""quartier"",vlookup(REGEXEXTRACT(C5581, ""🏘️ \w+ \w+ (.*) ✅""),'Quartier prepositio"&amp;"ns'!A:E, 5, 0) ,  if(H5581=""region"",vlookup(REGEXEXTRACT(C5581, ""🏘️ \w+ \w+ (.*) ✅""),'Region prepositions'!B:F, 5, 0),  REGEXEXTRACT(C5581, ""🏘️ \w+ \w+ (.*) ✅""))))"),"#N/A")</f>
        <v>#N/A</v>
      </c>
      <c r="I5581" s="4" t="str">
        <f>IFERROR(__xludf.DUMMYFUNCTION("if(D5581=""variant"",  substitute(filter(Templates!E:E, Templates!A:A = F5581, Templates!B:B = G5581, Templates!C:C = H5581), ""{{}}"", E5581), B5581)"),"Vendre appartement Bürchen: Trouvez le bien immobilier qui correspond idéalement à vos désirs sur ImmoScout24 - La plateforme de l'immobilier en Suisse.")</f>
        <v>Vendre appartement Bürchen: Trouvez le bien immobilier qui correspond idéalement à vos désirs sur ImmoScout24 - La plateforme de l'immobilier en Suisse.</v>
      </c>
    </row>
    <row r="5582" hidden="1">
      <c r="A5582" s="5" t="s">
        <v>14260</v>
      </c>
      <c r="B5582" s="2" t="s">
        <v>14261</v>
      </c>
      <c r="C5582" s="2" t="s">
        <v>14261</v>
      </c>
      <c r="D5582" s="4" t="str">
        <f>vlookup(A5582, Sheet2!D:E, 2, 0)</f>
        <v>control</v>
      </c>
      <c r="E5582" s="4" t="str">
        <f>IFERROR(__xludf.DUMMYFUNCTION("if(H5582=""pays"",vlookup(REGEXEXTRACT(C5582, ""🏘️ \w+ \w+ (.*) ✅""),'Country prepositions'!A:B, 2, 0) &amp; "" "" &amp; REGEXEXTRACT(C5582, ""🏘️ \w+ \w+ (.*) ✅"") ,  if(H5582=""quartier"",vlookup(REGEXEXTRACT(C5582, ""🏘️ \w+ \w+ (.*) ✅""),'Quartier prepositio"&amp;"ns'!A:E, 5, 0) ,  if(H5582=""region"",vlookup(REGEXEXTRACT(C5582, ""🏘️ \w+ \w+ (.*) ✅""),'Region prepositions'!B:F, 5, 0),  REGEXEXTRACT(C5582, ""🏘️ \w+ \w+ (.*) ✅""))))"),"#N/A")</f>
        <v>#N/A</v>
      </c>
      <c r="I5582" s="4" t="str">
        <f>IFERROR(__xludf.DUMMYFUNCTION("if(D5582=""variant"",  substitute(filter(Templates!E:E, Templates!A:A = F5582, Templates!B:B = G5582, Templates!C:C = H5582), ""{{}}"", E5582), B5582)"),"Louer appartement Rothrist: Trouvez le bien immobilier qui correspond idéalement à vos désirs sur ImmoScout24 - La plateforme de l'immobilier en Suisse.")</f>
        <v>Louer appartement Rothrist: Trouvez le bien immobilier qui correspond idéalement à vos désirs sur ImmoScout24 - La plateforme de l'immobilier en Suisse.</v>
      </c>
    </row>
    <row r="5583" hidden="1">
      <c r="A5583" s="5" t="s">
        <v>14262</v>
      </c>
      <c r="B5583" s="2" t="s">
        <v>14263</v>
      </c>
      <c r="C5583" s="2" t="s">
        <v>14263</v>
      </c>
      <c r="D5583" s="4" t="str">
        <f>vlookup(A5583, Sheet2!D:E, 2, 0)</f>
        <v>control</v>
      </c>
      <c r="E5583" s="4" t="str">
        <f>IFERROR(__xludf.DUMMYFUNCTION("if(H5583=""pays"",vlookup(REGEXEXTRACT(C5583, ""🏘️ \w+ \w+ (.*) ✅""),'Country prepositions'!A:B, 2, 0) &amp; "" "" &amp; REGEXEXTRACT(C5583, ""🏘️ \w+ \w+ (.*) ✅"") ,  if(H5583=""quartier"",vlookup(REGEXEXTRACT(C5583, ""🏘️ \w+ \w+ (.*) ✅""),'Quartier prepositio"&amp;"ns'!A:E, 5, 0) ,  if(H5583=""region"",vlookup(REGEXEXTRACT(C5583, ""🏘️ \w+ \w+ (.*) ✅""),'Region prepositions'!B:F, 5, 0),  REGEXEXTRACT(C5583, ""🏘️ \w+ \w+ (.*) ✅""))))"),"#N/A")</f>
        <v>#N/A</v>
      </c>
      <c r="I5583" s="4" t="str">
        <f>IFERROR(__xludf.DUMMYFUNCTION("if(D5583=""variant"",  substitute(filter(Templates!E:E, Templates!A:A = F5583, Templates!B:B = G5583, Templates!C:C = H5583), ""{{}}"", E5583), B5583)"),"Louer appartement Les Sagnettes: Trouvez le bien immobilier qui correspond idéalement à vos désirs sur ImmoScout24 - La plateforme de l'immobilier en Suisse.")</f>
        <v>Louer appartement Les Sagnettes: Trouvez le bien immobilier qui correspond idéalement à vos désirs sur ImmoScout24 - La plateforme de l'immobilier en Suisse.</v>
      </c>
    </row>
    <row r="5584" hidden="1">
      <c r="A5584" s="5" t="s">
        <v>14264</v>
      </c>
      <c r="B5584" s="2" t="s">
        <v>14265</v>
      </c>
      <c r="C5584" s="2" t="s">
        <v>14265</v>
      </c>
      <c r="D5584" s="4" t="str">
        <f>vlookup(A5584, Sheet2!D:E, 2, 0)</f>
        <v>control</v>
      </c>
      <c r="E5584" s="4" t="str">
        <f>IFERROR(__xludf.DUMMYFUNCTION("if(H5584=""pays"",vlookup(REGEXEXTRACT(C5584, ""🏘️ \w+ \w+ (.*) ✅""),'Country prepositions'!A:B, 2, 0) &amp; "" "" &amp; REGEXEXTRACT(C5584, ""🏘️ \w+ \w+ (.*) ✅"") ,  if(H5584=""quartier"",vlookup(REGEXEXTRACT(C5584, ""🏘️ \w+ \w+ (.*) ✅""),'Quartier prepositio"&amp;"ns'!A:E, 5, 0) ,  if(H5584=""region"",vlookup(REGEXEXTRACT(C5584, ""🏘️ \w+ \w+ (.*) ✅""),'Region prepositions'!B:F, 5, 0),  REGEXEXTRACT(C5584, ""🏘️ \w+ \w+ (.*) ✅""))))"),"#N/A")</f>
        <v>#N/A</v>
      </c>
      <c r="I5584" s="4" t="str">
        <f>IFERROR(__xludf.DUMMYFUNCTION("if(D5584=""variant"",  substitute(filter(Templates!E:E, Templates!A:A = F5584, Templates!B:B = G5584, Templates!C:C = H5584), ""{{}}"", E5584), B5584)"),"Vendre maison Cerniat FR: Trouvez le bien immobilier qui correspond idéalement à vos désirs sur ImmoScout24 - La plateforme de l'immobilier en Suisse.")</f>
        <v>Vendre maison Cerniat FR: Trouvez le bien immobilier qui correspond idéalement à vos désirs sur ImmoScout24 - La plateforme de l'immobilier en Suisse.</v>
      </c>
    </row>
    <row r="5585" hidden="1">
      <c r="A5585" s="5" t="s">
        <v>14266</v>
      </c>
      <c r="B5585" s="2" t="s">
        <v>14267</v>
      </c>
      <c r="C5585" s="2" t="s">
        <v>14267</v>
      </c>
      <c r="D5585" s="4" t="str">
        <f>vlookup(A5585, Sheet2!D:E, 2, 0)</f>
        <v>control</v>
      </c>
      <c r="E5585" s="4" t="str">
        <f>IFERROR(__xludf.DUMMYFUNCTION("if(H5585=""pays"",vlookup(REGEXEXTRACT(C5585, ""🏘️ \w+ \w+ (.*) ✅""),'Country prepositions'!A:B, 2, 0) &amp; "" "" &amp; REGEXEXTRACT(C5585, ""🏘️ \w+ \w+ (.*) ✅"") ,  if(H5585=""quartier"",vlookup(REGEXEXTRACT(C5585, ""🏘️ \w+ \w+ (.*) ✅""),'Quartier prepositio"&amp;"ns'!A:E, 5, 0) ,  if(H5585=""region"",vlookup(REGEXEXTRACT(C5585, ""🏘️ \w+ \w+ (.*) ✅""),'Region prepositions'!B:F, 5, 0),  REGEXEXTRACT(C5585, ""🏘️ \w+ \w+ (.*) ✅""))))"),"#N/A")</f>
        <v>#N/A</v>
      </c>
      <c r="I5585" s="4" t="str">
        <f>IFERROR(__xludf.DUMMYFUNCTION("if(D5585=""variant"",  substitute(filter(Templates!E:E, Templates!A:A = F5585, Templates!B:B = G5585, Templates!C:C = H5585), ""{{}}"", E5585), B5585)"),"Louer appartement Galgenen: Trouvez le bien immobilier qui correspond idéalement à vos désirs sur ImmoScout24 - La plateforme de l'immobilier en Suisse.")</f>
        <v>Louer appartement Galgenen: Trouvez le bien immobilier qui correspond idéalement à vos désirs sur ImmoScout24 - La plateforme de l'immobilier en Suisse.</v>
      </c>
    </row>
    <row r="5586" hidden="1">
      <c r="A5586" s="5" t="s">
        <v>14268</v>
      </c>
      <c r="B5586" s="2" t="s">
        <v>14269</v>
      </c>
      <c r="C5586" s="2" t="s">
        <v>14269</v>
      </c>
      <c r="D5586" s="4" t="str">
        <f>vlookup(A5586, Sheet2!D:E, 2, 0)</f>
        <v>control</v>
      </c>
      <c r="E5586" s="4" t="str">
        <f>IFERROR(__xludf.DUMMYFUNCTION("if(H5586=""pays"",vlookup(REGEXEXTRACT(C5586, ""🏘️ \w+ \w+ (.*) ✅""),'Country prepositions'!A:B, 2, 0) &amp; "" "" &amp; REGEXEXTRACT(C5586, ""🏘️ \w+ \w+ (.*) ✅"") ,  if(H5586=""quartier"",vlookup(REGEXEXTRACT(C5586, ""🏘️ \w+ \w+ (.*) ✅""),'Quartier prepositio"&amp;"ns'!A:E, 5, 0) ,  if(H5586=""region"",vlookup(REGEXEXTRACT(C5586, ""🏘️ \w+ \w+ (.*) ✅""),'Region prepositions'!B:F, 5, 0),  REGEXEXTRACT(C5586, ""🏘️ \w+ \w+ (.*) ✅""))))"),"#N/A")</f>
        <v>#N/A</v>
      </c>
      <c r="I5586" s="4" t="str">
        <f>IFERROR(__xludf.DUMMYFUNCTION("if(D5586=""variant"",  substitute(filter(Templates!E:E, Templates!A:A = F5586, Templates!B:B = G5586, Templates!C:C = H5586), ""{{}}"", E5586), B5586)"),"Louer appartement Buonas: Trouvez le bien immobilier qui correspond idéalement à vos désirs sur ImmoScout24 - La plateforme de l'immobilier en Suisse.")</f>
        <v>Louer appartement Buonas: Trouvez le bien immobilier qui correspond idéalement à vos désirs sur ImmoScout24 - La plateforme de l'immobilier en Suisse.</v>
      </c>
    </row>
    <row r="5587" hidden="1">
      <c r="A5587" s="5" t="s">
        <v>14270</v>
      </c>
      <c r="B5587" s="2" t="s">
        <v>14271</v>
      </c>
      <c r="C5587" s="2" t="s">
        <v>14271</v>
      </c>
      <c r="D5587" s="4" t="str">
        <f>vlookup(A5587, Sheet2!D:E, 2, 0)</f>
        <v>control</v>
      </c>
      <c r="E5587" s="4" t="str">
        <f>IFERROR(__xludf.DUMMYFUNCTION("if(H5587=""pays"",vlookup(REGEXEXTRACT(C5587, ""🏘️ \w+ \w+ (.*) ✅""),'Country prepositions'!A:B, 2, 0) &amp; "" "" &amp; REGEXEXTRACT(C5587, ""🏘️ \w+ \w+ (.*) ✅"") ,  if(H5587=""quartier"",vlookup(REGEXEXTRACT(C5587, ""🏘️ \w+ \w+ (.*) ✅""),'Quartier prepositio"&amp;"ns'!A:E, 5, 0) ,  if(H5587=""region"",vlookup(REGEXEXTRACT(C5587, ""🏘️ \w+ \w+ (.*) ✅""),'Region prepositions'!B:F, 5, 0),  REGEXEXTRACT(C5587, ""🏘️ \w+ \w+ (.*) ✅""))))"),"#N/A")</f>
        <v>#N/A</v>
      </c>
      <c r="I5587" s="4" t="str">
        <f>IFERROR(__xludf.DUMMYFUNCTION("if(D5587=""variant"",  substitute(filter(Templates!E:E, Templates!A:A = F5587, Templates!B:B = G5587, Templates!C:C = H5587), ""{{}}"", E5587), B5587)"),"Vendre maison Pazzallo: Trouvez le bien immobilier qui correspond idéalement à vos désirs sur ImmoScout24 - La plateforme de l'immobilier en Suisse.")</f>
        <v>Vendre maison Pazzallo: Trouvez le bien immobilier qui correspond idéalement à vos désirs sur ImmoScout24 - La plateforme de l'immobilier en Suisse.</v>
      </c>
    </row>
    <row r="5588" hidden="1">
      <c r="A5588" s="5" t="s">
        <v>14272</v>
      </c>
      <c r="B5588" s="2" t="s">
        <v>14273</v>
      </c>
      <c r="C5588" s="2" t="s">
        <v>14273</v>
      </c>
      <c r="D5588" s="4" t="str">
        <f>vlookup(A5588, Sheet2!D:E, 2, 0)</f>
        <v>control</v>
      </c>
      <c r="E5588" s="4" t="str">
        <f>IFERROR(__xludf.DUMMYFUNCTION("if(H5588=""pays"",vlookup(REGEXEXTRACT(C5588, ""🏘️ \w+ \w+ (.*) ✅""),'Country prepositions'!A:B, 2, 0) &amp; "" "" &amp; REGEXEXTRACT(C5588, ""🏘️ \w+ \w+ (.*) ✅"") ,  if(H5588=""quartier"",vlookup(REGEXEXTRACT(C5588, ""🏘️ \w+ \w+ (.*) ✅""),'Quartier prepositio"&amp;"ns'!A:E, 5, 0) ,  if(H5588=""region"",vlookup(REGEXEXTRACT(C5588, ""🏘️ \w+ \w+ (.*) ✅""),'Region prepositions'!B:F, 5, 0),  REGEXEXTRACT(C5588, ""🏘️ \w+ \w+ (.*) ✅""))))"),"#N/A")</f>
        <v>#N/A</v>
      </c>
      <c r="I5588" s="4" t="str">
        <f>IFERROR(__xludf.DUMMYFUNCTION("if(D5588=""variant"",  substitute(filter(Templates!E:E, Templates!A:A = F5588, Templates!B:B = G5588, Templates!C:C = H5588), ""{{}}"", E5588), B5588)"),"Louer appartement Orsières: Trouvez le bien immobilier qui correspond idéalement à vos désirs sur ImmoScout24 - La plateforme de l'immobilier en Suisse.")</f>
        <v>Louer appartement Orsières: Trouvez le bien immobilier qui correspond idéalement à vos désirs sur ImmoScout24 - La plateforme de l'immobilier en Suisse.</v>
      </c>
    </row>
    <row r="5589" hidden="1">
      <c r="A5589" s="5" t="s">
        <v>14274</v>
      </c>
      <c r="B5589" s="2" t="s">
        <v>14275</v>
      </c>
      <c r="C5589" s="2" t="s">
        <v>14275</v>
      </c>
      <c r="D5589" s="4" t="str">
        <f>vlookup(A5589, Sheet2!D:E, 2, 0)</f>
        <v>control</v>
      </c>
      <c r="E5589" s="4" t="str">
        <f>IFERROR(__xludf.DUMMYFUNCTION("if(H5589=""pays"",vlookup(REGEXEXTRACT(C5589, ""🏘️ \w+ \w+ (.*) ✅""),'Country prepositions'!A:B, 2, 0) &amp; "" "" &amp; REGEXEXTRACT(C5589, ""🏘️ \w+ \w+ (.*) ✅"") ,  if(H5589=""quartier"",vlookup(REGEXEXTRACT(C5589, ""🏘️ \w+ \w+ (.*) ✅""),'Quartier prepositio"&amp;"ns'!A:E, 5, 0) ,  if(H5589=""region"",vlookup(REGEXEXTRACT(C5589, ""🏘️ \w+ \w+ (.*) ✅""),'Region prepositions'!B:F, 5, 0),  REGEXEXTRACT(C5589, ""🏘️ \w+ \w+ (.*) ✅""))))"),"#N/A")</f>
        <v>#N/A</v>
      </c>
      <c r="I5589" s="4" t="str">
        <f>IFERROR(__xludf.DUMMYFUNCTION("if(D5589=""variant"",  substitute(filter(Templates!E:E, Templates!A:A = F5589, Templates!B:B = G5589, Templates!C:C = H5589), ""{{}}"", E5589), B5589)"),"Louer maison Vuisternens-devant-Romont: Trouvez le bien immobilier qui correspond idéalement à vos désirs sur ImmoScout24 - La plateforme de l'immobilier en Suisse.")</f>
        <v>Louer maison Vuisternens-devant-Romont: Trouvez le bien immobilier qui correspond idéalement à vos désirs sur ImmoScout24 - La plateforme de l'immobilier en Suisse.</v>
      </c>
    </row>
    <row r="5590" hidden="1">
      <c r="A5590" s="5" t="s">
        <v>14276</v>
      </c>
      <c r="B5590" s="2" t="s">
        <v>14277</v>
      </c>
      <c r="C5590" s="2" t="s">
        <v>14277</v>
      </c>
      <c r="D5590" s="4" t="str">
        <f>vlookup(A5590, Sheet2!D:E, 2, 0)</f>
        <v>control</v>
      </c>
      <c r="E5590" s="4" t="str">
        <f>IFERROR(__xludf.DUMMYFUNCTION("if(H5590=""pays"",vlookup(REGEXEXTRACT(C5590, ""🏘️ \w+ \w+ (.*) ✅""),'Country prepositions'!A:B, 2, 0) &amp; "" "" &amp; REGEXEXTRACT(C5590, ""🏘️ \w+ \w+ (.*) ✅"") ,  if(H5590=""quartier"",vlookup(REGEXEXTRACT(C5590, ""🏘️ \w+ \w+ (.*) ✅""),'Quartier prepositio"&amp;"ns'!A:E, 5, 0) ,  if(H5590=""region"",vlookup(REGEXEXTRACT(C5590, ""🏘️ \w+ \w+ (.*) ✅""),'Region prepositions'!B:F, 5, 0),  REGEXEXTRACT(C5590, ""🏘️ \w+ \w+ (.*) ✅""))))"),"#N/A")</f>
        <v>#N/A</v>
      </c>
      <c r="I5590" s="4" t="str">
        <f>IFERROR(__xludf.DUMMYFUNCTION("if(D5590=""variant"",  substitute(filter(Templates!E:E, Templates!A:A = F5590, Templates!B:B = G5590, Templates!C:C = H5590), ""{{}}"", E5590), B5590)"),"Vendre appartement Blankenburg: Trouvez le bien immobilier qui correspond idéalement à vos désirs sur ImmoScout24 - La plateforme de l'immobilier en Suisse.")</f>
        <v>Vendre appartement Blankenburg: Trouvez le bien immobilier qui correspond idéalement à vos désirs sur ImmoScout24 - La plateforme de l'immobilier en Suisse.</v>
      </c>
    </row>
    <row r="5591" hidden="1">
      <c r="A5591" s="5" t="s">
        <v>14278</v>
      </c>
      <c r="B5591" s="2" t="s">
        <v>14279</v>
      </c>
      <c r="C5591" s="2" t="s">
        <v>14279</v>
      </c>
      <c r="D5591" s="4" t="str">
        <f>vlookup(A5591, Sheet2!D:E, 2, 0)</f>
        <v>control</v>
      </c>
      <c r="E5591" s="4" t="str">
        <f>IFERROR(__xludf.DUMMYFUNCTION("if(H5591=""pays"",vlookup(REGEXEXTRACT(C5591, ""🏘️ \w+ \w+ (.*) ✅""),'Country prepositions'!A:B, 2, 0) &amp; "" "" &amp; REGEXEXTRACT(C5591, ""🏘️ \w+ \w+ (.*) ✅"") ,  if(H5591=""quartier"",vlookup(REGEXEXTRACT(C5591, ""🏘️ \w+ \w+ (.*) ✅""),'Quartier prepositio"&amp;"ns'!A:E, 5, 0) ,  if(H5591=""region"",vlookup(REGEXEXTRACT(C5591, ""🏘️ \w+ \w+ (.*) ✅""),'Region prepositions'!B:F, 5, 0),  REGEXEXTRACT(C5591, ""🏘️ \w+ \w+ (.*) ✅""))))"),"#N/A")</f>
        <v>#N/A</v>
      </c>
      <c r="I5591" s="4" t="str">
        <f>IFERROR(__xludf.DUMMYFUNCTION("if(D5591=""variant"",  substitute(filter(Templates!E:E, Templates!A:A = F5591, Templates!B:B = G5591, Templates!C:C = H5591), ""{{}}"", E5591), B5591)"),"Louer appartement Chalais: Trouvez le bien immobilier qui correspond idéalement à vos désirs sur ImmoScout24 - La plateforme de l'immobilier en Suisse.")</f>
        <v>Louer appartement Chalais: Trouvez le bien immobilier qui correspond idéalement à vos désirs sur ImmoScout24 - La plateforme de l'immobilier en Suisse.</v>
      </c>
    </row>
    <row r="5592" hidden="1">
      <c r="A5592" s="5" t="s">
        <v>14280</v>
      </c>
      <c r="B5592" s="2" t="s">
        <v>14281</v>
      </c>
      <c r="C5592" s="2" t="s">
        <v>14281</v>
      </c>
      <c r="D5592" s="4" t="str">
        <f>vlookup(A5592, Sheet2!D:E, 2, 0)</f>
        <v>control</v>
      </c>
      <c r="E5592" s="4" t="str">
        <f>IFERROR(__xludf.DUMMYFUNCTION("if(H5592=""pays"",vlookup(REGEXEXTRACT(C5592, ""🏘️ \w+ \w+ (.*) ✅""),'Country prepositions'!A:B, 2, 0) &amp; "" "" &amp; REGEXEXTRACT(C5592, ""🏘️ \w+ \w+ (.*) ✅"") ,  if(H5592=""quartier"",vlookup(REGEXEXTRACT(C5592, ""🏘️ \w+ \w+ (.*) ✅""),'Quartier prepositio"&amp;"ns'!A:E, 5, 0) ,  if(H5592=""region"",vlookup(REGEXEXTRACT(C5592, ""🏘️ \w+ \w+ (.*) ✅""),'Region prepositions'!B:F, 5, 0),  REGEXEXTRACT(C5592, ""🏘️ \w+ \w+ (.*) ✅""))))"),"#N/A")</f>
        <v>#N/A</v>
      </c>
      <c r="I5592" s="4" t="str">
        <f>IFERROR(__xludf.DUMMYFUNCTION("if(D5592=""variant"",  substitute(filter(Templates!E:E, Templates!A:A = F5592, Templates!B:B = G5592, Templates!C:C = H5592), ""{{}}"", E5592), B5592)"),"Vendre appartement Areuse: Trouvez le bien immobilier qui correspond idéalement à vos désirs sur ImmoScout24 - La plateforme de l'immobilier en Suisse.")</f>
        <v>Vendre appartement Areuse: Trouvez le bien immobilier qui correspond idéalement à vos désirs sur ImmoScout24 - La plateforme de l'immobilier en Suisse.</v>
      </c>
    </row>
    <row r="5593" hidden="1">
      <c r="A5593" s="5" t="s">
        <v>14282</v>
      </c>
      <c r="B5593" s="2" t="s">
        <v>14283</v>
      </c>
      <c r="C5593" s="2" t="s">
        <v>14283</v>
      </c>
      <c r="D5593" s="4" t="str">
        <f>vlookup(A5593, Sheet2!D:E, 2, 0)</f>
        <v>control</v>
      </c>
      <c r="E5593" s="4" t="str">
        <f>IFERROR(__xludf.DUMMYFUNCTION("if(H5593=""pays"",vlookup(REGEXEXTRACT(C5593, ""🏘️ \w+ \w+ (.*) ✅""),'Country prepositions'!A:B, 2, 0) &amp; "" "" &amp; REGEXEXTRACT(C5593, ""🏘️ \w+ \w+ (.*) ✅"") ,  if(H5593=""quartier"",vlookup(REGEXEXTRACT(C5593, ""🏘️ \w+ \w+ (.*) ✅""),'Quartier prepositio"&amp;"ns'!A:E, 5, 0) ,  if(H5593=""region"",vlookup(REGEXEXTRACT(C5593, ""🏘️ \w+ \w+ (.*) ✅""),'Region prepositions'!B:F, 5, 0),  REGEXEXTRACT(C5593, ""🏘️ \w+ \w+ (.*) ✅""))))"),"#N/A")</f>
        <v>#N/A</v>
      </c>
      <c r="I5593" s="4" t="str">
        <f>IFERROR(__xludf.DUMMYFUNCTION("if(D5593=""variant"",  substitute(filter(Templates!E:E, Templates!A:A = F5593, Templates!B:B = G5593, Templates!C:C = H5593), ""{{}}"", E5593), B5593)"),"Vendre appartement Bruderholz (Bâle): Trouvez le bien immobilier qui correspond idéalement à vos désirs sur ImmoScout24 - La plateforme de l'immobilier en Suisse.")</f>
        <v>Vendre appartement Bruderholz (Bâle): Trouvez le bien immobilier qui correspond idéalement à vos désirs sur ImmoScout24 - La plateforme de l'immobilier en Suisse.</v>
      </c>
    </row>
    <row r="5594" hidden="1">
      <c r="A5594" s="5" t="s">
        <v>14284</v>
      </c>
      <c r="B5594" s="2" t="s">
        <v>14285</v>
      </c>
      <c r="C5594" s="2" t="s">
        <v>14285</v>
      </c>
      <c r="D5594" s="4" t="str">
        <f>vlookup(A5594, Sheet2!D:E, 2, 0)</f>
        <v>control</v>
      </c>
      <c r="E5594" s="4" t="str">
        <f>IFERROR(__xludf.DUMMYFUNCTION("if(H5594=""pays"",vlookup(REGEXEXTRACT(C5594, ""🏘️ \w+ \w+ (.*) ✅""),'Country prepositions'!A:B, 2, 0) &amp; "" "" &amp; REGEXEXTRACT(C5594, ""🏘️ \w+ \w+ (.*) ✅"") ,  if(H5594=""quartier"",vlookup(REGEXEXTRACT(C5594, ""🏘️ \w+ \w+ (.*) ✅""),'Quartier prepositio"&amp;"ns'!A:E, 5, 0) ,  if(H5594=""region"",vlookup(REGEXEXTRACT(C5594, ""🏘️ \w+ \w+ (.*) ✅""),'Region prepositions'!B:F, 5, 0),  REGEXEXTRACT(C5594, ""🏘️ \w+ \w+ (.*) ✅""))))"),"#N/A")</f>
        <v>#N/A</v>
      </c>
      <c r="I5594" s="4" t="str">
        <f>IFERROR(__xludf.DUMMYFUNCTION("if(D5594=""variant"",  substitute(filter(Templates!E:E, Templates!A:A = F5594, Templates!B:B = G5594, Templates!C:C = H5594), ""{{}}"", E5594), B5594)"),"Vendre maison Le Mont-sur-Lausanne: Trouvez le bien immobilier qui correspond idéalement à vos désirs sur ImmoScout24 - La plateforme de l'immobilier en Suisse.")</f>
        <v>Vendre maison Le Mont-sur-Lausanne: Trouvez le bien immobilier qui correspond idéalement à vos désirs sur ImmoScout24 - La plateforme de l'immobilier en Suisse.</v>
      </c>
    </row>
    <row r="5595" hidden="1">
      <c r="A5595" s="5" t="s">
        <v>14286</v>
      </c>
      <c r="B5595" s="2" t="s">
        <v>14287</v>
      </c>
      <c r="C5595" s="2" t="s">
        <v>14287</v>
      </c>
      <c r="D5595" s="4" t="str">
        <f>vlookup(A5595, Sheet2!D:E, 2, 0)</f>
        <v>control</v>
      </c>
      <c r="E5595" s="4" t="str">
        <f>IFERROR(__xludf.DUMMYFUNCTION("if(H5595=""pays"",vlookup(REGEXEXTRACT(C5595, ""🏘️ \w+ \w+ (.*) ✅""),'Country prepositions'!A:B, 2, 0) &amp; "" "" &amp; REGEXEXTRACT(C5595, ""🏘️ \w+ \w+ (.*) ✅"") ,  if(H5595=""quartier"",vlookup(REGEXEXTRACT(C5595, ""🏘️ \w+ \w+ (.*) ✅""),'Quartier prepositio"&amp;"ns'!A:E, 5, 0) ,  if(H5595=""region"",vlookup(REGEXEXTRACT(C5595, ""🏘️ \w+ \w+ (.*) ✅""),'Region prepositions'!B:F, 5, 0),  REGEXEXTRACT(C5595, ""🏘️ \w+ \w+ (.*) ✅""))))"),"#N/A")</f>
        <v>#N/A</v>
      </c>
      <c r="I5595" s="4" t="str">
        <f>IFERROR(__xludf.DUMMYFUNCTION("if(D5595=""variant"",  substitute(filter(Templates!E:E, Templates!A:A = F5595, Templates!B:B = G5595, Templates!C:C = H5595), ""{{}}"", E5595), B5595)"),"Louer appartement Vuippens: Trouvez le bien immobilier qui correspond idéalement à vos désirs sur ImmoScout24 - La plateforme de l'immobilier en Suisse.")</f>
        <v>Louer appartement Vuippens: Trouvez le bien immobilier qui correspond idéalement à vos désirs sur ImmoScout24 - La plateforme de l'immobilier en Suisse.</v>
      </c>
    </row>
    <row r="5596" hidden="1">
      <c r="A5596" s="5" t="s">
        <v>14288</v>
      </c>
      <c r="B5596" s="2" t="s">
        <v>14289</v>
      </c>
      <c r="C5596" s="2" t="s">
        <v>14289</v>
      </c>
      <c r="D5596" s="4" t="str">
        <f>vlookup(A5596, Sheet2!D:E, 2, 0)</f>
        <v>control</v>
      </c>
      <c r="E5596" s="4" t="str">
        <f>IFERROR(__xludf.DUMMYFUNCTION("if(H5596=""pays"",vlookup(REGEXEXTRACT(C5596, ""🏘️ \w+ \w+ (.*) ✅""),'Country prepositions'!A:B, 2, 0) &amp; "" "" &amp; REGEXEXTRACT(C5596, ""🏘️ \w+ \w+ (.*) ✅"") ,  if(H5596=""quartier"",vlookup(REGEXEXTRACT(C5596, ""🏘️ \w+ \w+ (.*) ✅""),'Quartier prepositio"&amp;"ns'!A:E, 5, 0) ,  if(H5596=""region"",vlookup(REGEXEXTRACT(C5596, ""🏘️ \w+ \w+ (.*) ✅""),'Region prepositions'!B:F, 5, 0),  REGEXEXTRACT(C5596, ""🏘️ \w+ \w+ (.*) ✅""))))"),"#N/A")</f>
        <v>#N/A</v>
      </c>
      <c r="I5596" s="4" t="str">
        <f>IFERROR(__xludf.DUMMYFUNCTION("if(D5596=""variant"",  substitute(filter(Templates!E:E, Templates!A:A = F5596, Templates!B:B = G5596, Templates!C:C = H5596), ""{{}}"", E5596), B5596)"),"Louer maison Crans-Montana: Trouvez le bien immobilier qui correspond idéalement à vos désirs sur ImmoScout24 - La plateforme de l'immobilier en Suisse.")</f>
        <v>Louer maison Crans-Montana: Trouvez le bien immobilier qui correspond idéalement à vos désirs sur ImmoScout24 - La plateforme de l'immobilier en Suisse.</v>
      </c>
    </row>
    <row r="5597" hidden="1">
      <c r="A5597" s="5" t="s">
        <v>14290</v>
      </c>
      <c r="B5597" s="2" t="s">
        <v>14291</v>
      </c>
      <c r="C5597" s="2" t="s">
        <v>14291</v>
      </c>
      <c r="D5597" s="4" t="str">
        <f>vlookup(A5597, Sheet2!D:E, 2, 0)</f>
        <v>control</v>
      </c>
      <c r="E5597" s="4" t="str">
        <f>IFERROR(__xludf.DUMMYFUNCTION("if(H5597=""pays"",vlookup(REGEXEXTRACT(C5597, ""🏘️ \w+ \w+ (.*) ✅""),'Country prepositions'!A:B, 2, 0) &amp; "" "" &amp; REGEXEXTRACT(C5597, ""🏘️ \w+ \w+ (.*) ✅"") ,  if(H5597=""quartier"",vlookup(REGEXEXTRACT(C5597, ""🏘️ \w+ \w+ (.*) ✅""),'Quartier prepositio"&amp;"ns'!A:E, 5, 0) ,  if(H5597=""region"",vlookup(REGEXEXTRACT(C5597, ""🏘️ \w+ \w+ (.*) ✅""),'Region prepositions'!B:F, 5, 0),  REGEXEXTRACT(C5597, ""🏘️ \w+ \w+ (.*) ✅""))))"),"#N/A")</f>
        <v>#N/A</v>
      </c>
      <c r="I5597" s="4" t="str">
        <f>IFERROR(__xludf.DUMMYFUNCTION("if(D5597=""variant"",  substitute(filter(Templates!E:E, Templates!A:A = F5597, Templates!B:B = G5597, Templates!C:C = H5597), ""{{}}"", E5597), B5597)"),"Louer appartement Biberist: Trouvez le bien immobilier qui correspond idéalement à vos désirs sur ImmoScout24 - La plateforme de l'immobilier en Suisse.")</f>
        <v>Louer appartement Biberist: Trouvez le bien immobilier qui correspond idéalement à vos désirs sur ImmoScout24 - La plateforme de l'immobilier en Suisse.</v>
      </c>
    </row>
    <row r="5598" hidden="1">
      <c r="A5598" s="5" t="s">
        <v>14292</v>
      </c>
      <c r="B5598" s="2" t="s">
        <v>14293</v>
      </c>
      <c r="C5598" s="2" t="s">
        <v>14293</v>
      </c>
      <c r="D5598" s="4" t="str">
        <f>vlookup(A5598, Sheet2!D:E, 2, 0)</f>
        <v>control</v>
      </c>
      <c r="E5598" s="4" t="str">
        <f>IFERROR(__xludf.DUMMYFUNCTION("if(H5598=""pays"",vlookup(REGEXEXTRACT(C5598, ""🏘️ \w+ \w+ (.*) ✅""),'Country prepositions'!A:B, 2, 0) &amp; "" "" &amp; REGEXEXTRACT(C5598, ""🏘️ \w+ \w+ (.*) ✅"") ,  if(H5598=""quartier"",vlookup(REGEXEXTRACT(C5598, ""🏘️ \w+ \w+ (.*) ✅""),'Quartier prepositio"&amp;"ns'!A:E, 5, 0) ,  if(H5598=""region"",vlookup(REGEXEXTRACT(C5598, ""🏘️ \w+ \w+ (.*) ✅""),'Region prepositions'!B:F, 5, 0),  REGEXEXTRACT(C5598, ""🏘️ \w+ \w+ (.*) ✅""))))"),"#N/A")</f>
        <v>#N/A</v>
      </c>
      <c r="I5598" s="4" t="str">
        <f>IFERROR(__xludf.DUMMYFUNCTION("if(D5598=""variant"",  substitute(filter(Templates!E:E, Templates!A:A = F5598, Templates!B:B = G5598, Templates!C:C = H5598), ""{{}}"", E5598), B5598)"),"Vendre maison Maldives: Trouvez le bien immobilier qui correspond idéalement à vos désirs sur ImmoScout24 - La plateforme de l'immobilier en Suisse.")</f>
        <v>Vendre maison Maldives: Trouvez le bien immobilier qui correspond idéalement à vos désirs sur ImmoScout24 - La plateforme de l'immobilier en Suisse.</v>
      </c>
    </row>
    <row r="5599" hidden="1">
      <c r="A5599" s="5" t="s">
        <v>14294</v>
      </c>
      <c r="B5599" s="2" t="s">
        <v>14295</v>
      </c>
      <c r="C5599" s="2" t="s">
        <v>14295</v>
      </c>
      <c r="D5599" s="4" t="str">
        <f>vlookup(A5599, Sheet2!D:E, 2, 0)</f>
        <v>control</v>
      </c>
      <c r="E5599" s="4" t="str">
        <f>IFERROR(__xludf.DUMMYFUNCTION("if(H5599=""pays"",vlookup(REGEXEXTRACT(C5599, ""🏘️ \w+ \w+ (.*) ✅""),'Country prepositions'!A:B, 2, 0) &amp; "" "" &amp; REGEXEXTRACT(C5599, ""🏘️ \w+ \w+ (.*) ✅"") ,  if(H5599=""quartier"",vlookup(REGEXEXTRACT(C5599, ""🏘️ \w+ \w+ (.*) ✅""),'Quartier prepositio"&amp;"ns'!A:E, 5, 0) ,  if(H5599=""region"",vlookup(REGEXEXTRACT(C5599, ""🏘️ \w+ \w+ (.*) ✅""),'Region prepositions'!B:F, 5, 0),  REGEXEXTRACT(C5599, ""🏘️ \w+ \w+ (.*) ✅""))))"),"#N/A")</f>
        <v>#N/A</v>
      </c>
      <c r="I5599" s="4" t="str">
        <f>IFERROR(__xludf.DUMMYFUNCTION("if(D5599=""variant"",  substitute(filter(Templates!E:E, Templates!A:A = F5599, Templates!B:B = G5599, Templates!C:C = H5599), ""{{}}"", E5599), B5599)"),"Vendre appartement Allmendingen (Thun): Trouvez le bien immobilier qui correspond idéalement à vos désirs sur ImmoScout24 - La plateforme de l'immobilier en Suisse.")</f>
        <v>Vendre appartement Allmendingen (Thun): Trouvez le bien immobilier qui correspond idéalement à vos désirs sur ImmoScout24 - La plateforme de l'immobilier en Suisse.</v>
      </c>
    </row>
    <row r="5600" hidden="1">
      <c r="A5600" s="5" t="s">
        <v>14296</v>
      </c>
      <c r="B5600" s="2" t="s">
        <v>14297</v>
      </c>
      <c r="C5600" s="2" t="s">
        <v>14297</v>
      </c>
      <c r="D5600" s="4" t="str">
        <f>vlookup(A5600, Sheet2!D:E, 2, 0)</f>
        <v>control</v>
      </c>
      <c r="E5600" s="4" t="str">
        <f>IFERROR(__xludf.DUMMYFUNCTION("if(H5600=""pays"",vlookup(REGEXEXTRACT(C5600, ""🏘️ \w+ \w+ (.*) ✅""),'Country prepositions'!A:B, 2, 0) &amp; "" "" &amp; REGEXEXTRACT(C5600, ""🏘️ \w+ \w+ (.*) ✅"") ,  if(H5600=""quartier"",vlookup(REGEXEXTRACT(C5600, ""🏘️ \w+ \w+ (.*) ✅""),'Quartier prepositio"&amp;"ns'!A:E, 5, 0) ,  if(H5600=""region"",vlookup(REGEXEXTRACT(C5600, ""🏘️ \w+ \w+ (.*) ✅""),'Region prepositions'!B:F, 5, 0),  REGEXEXTRACT(C5600, ""🏘️ \w+ \w+ (.*) ✅""))))"),"#N/A")</f>
        <v>#N/A</v>
      </c>
      <c r="I5600" s="4" t="str">
        <f>IFERROR(__xludf.DUMMYFUNCTION("if(D5600=""variant"",  substitute(filter(Templates!E:E, Templates!A:A = F5600, Templates!B:B = G5600, Templates!C:C = H5600), ""{{}}"", E5600), B5600)"),"Vendre maison Gimmelwald: Trouvez le bien immobilier qui correspond idéalement à vos désirs sur ImmoScout24 - La plateforme de l'immobilier en Suisse.")</f>
        <v>Vendre maison Gimmelwald: Trouvez le bien immobilier qui correspond idéalement à vos désirs sur ImmoScout24 - La plateforme de l'immobilier en Suisse.</v>
      </c>
    </row>
    <row r="5601" hidden="1">
      <c r="A5601" s="5" t="s">
        <v>14298</v>
      </c>
      <c r="B5601" s="2" t="s">
        <v>14299</v>
      </c>
      <c r="C5601" s="2" t="s">
        <v>14299</v>
      </c>
      <c r="D5601" s="4" t="str">
        <f>vlookup(A5601, Sheet2!D:E, 2, 0)</f>
        <v>control</v>
      </c>
      <c r="E5601" s="4" t="str">
        <f>IFERROR(__xludf.DUMMYFUNCTION("if(H5601=""pays"",vlookup(REGEXEXTRACT(C5601, ""🏘️ \w+ \w+ (.*) ✅""),'Country prepositions'!A:B, 2, 0) &amp; "" "" &amp; REGEXEXTRACT(C5601, ""🏘️ \w+ \w+ (.*) ✅"") ,  if(H5601=""quartier"",vlookup(REGEXEXTRACT(C5601, ""🏘️ \w+ \w+ (.*) ✅""),'Quartier prepositio"&amp;"ns'!A:E, 5, 0) ,  if(H5601=""region"",vlookup(REGEXEXTRACT(C5601, ""🏘️ \w+ \w+ (.*) ✅""),'Region prepositions'!B:F, 5, 0),  REGEXEXTRACT(C5601, ""🏘️ \w+ \w+ (.*) ✅""))))"),"#N/A")</f>
        <v>#N/A</v>
      </c>
      <c r="I5601" s="4" t="str">
        <f>IFERROR(__xludf.DUMMYFUNCTION("if(D5601=""variant"",  substitute(filter(Templates!E:E, Templates!A:A = F5601, Templates!B:B = G5601, Templates!C:C = H5601), ""{{}}"", E5601), B5601)"),"Louer maison Rorschach: Trouvez le bien immobilier qui correspond idéalement à vos désirs sur ImmoScout24 - La plateforme de l'immobilier en Suisse.")</f>
        <v>Louer maison Rorschach: Trouvez le bien immobilier qui correspond idéalement à vos désirs sur ImmoScout24 - La plateforme de l'immobilier en Suisse.</v>
      </c>
    </row>
    <row r="5602" hidden="1">
      <c r="A5602" s="5" t="s">
        <v>14300</v>
      </c>
      <c r="B5602" s="2" t="s">
        <v>14301</v>
      </c>
      <c r="C5602" s="2" t="s">
        <v>14301</v>
      </c>
      <c r="D5602" s="4" t="str">
        <f>vlookup(A5602, Sheet2!D:E, 2, 0)</f>
        <v>control</v>
      </c>
      <c r="E5602" s="4" t="str">
        <f>IFERROR(__xludf.DUMMYFUNCTION("if(H5602=""pays"",vlookup(REGEXEXTRACT(C5602, ""🏘️ \w+ \w+ (.*) ✅""),'Country prepositions'!A:B, 2, 0) &amp; "" "" &amp; REGEXEXTRACT(C5602, ""🏘️ \w+ \w+ (.*) ✅"") ,  if(H5602=""quartier"",vlookup(REGEXEXTRACT(C5602, ""🏘️ \w+ \w+ (.*) ✅""),'Quartier prepositio"&amp;"ns'!A:E, 5, 0) ,  if(H5602=""region"",vlookup(REGEXEXTRACT(C5602, ""🏘️ \w+ \w+ (.*) ✅""),'Region prepositions'!B:F, 5, 0),  REGEXEXTRACT(C5602, ""🏘️ \w+ \w+ (.*) ✅""))))"),"#N/A")</f>
        <v>#N/A</v>
      </c>
      <c r="I5602" s="4" t="str">
        <f>IFERROR(__xludf.DUMMYFUNCTION("if(D5602=""variant"",  substitute(filter(Templates!E:E, Templates!A:A = F5602, Templates!B:B = G5602, Templates!C:C = H5602), ""{{}}"", E5602), B5602)"),"Vendre maison Gunten: Trouvez le bien immobilier qui correspond idéalement à vos désirs sur ImmoScout24 - La plateforme de l'immobilier en Suisse.")</f>
        <v>Vendre maison Gunten: Trouvez le bien immobilier qui correspond idéalement à vos désirs sur ImmoScout24 - La plateforme de l'immobilier en Suisse.</v>
      </c>
    </row>
    <row r="5603" hidden="1">
      <c r="A5603" s="5" t="s">
        <v>14302</v>
      </c>
      <c r="B5603" s="2" t="s">
        <v>14303</v>
      </c>
      <c r="C5603" s="2" t="s">
        <v>14303</v>
      </c>
      <c r="D5603" s="4" t="str">
        <f>vlookup(A5603, Sheet2!D:E, 2, 0)</f>
        <v>control</v>
      </c>
      <c r="E5603" s="4" t="str">
        <f>IFERROR(__xludf.DUMMYFUNCTION("if(H5603=""pays"",vlookup(REGEXEXTRACT(C5603, ""🏘️ \w+ \w+ (.*) ✅""),'Country prepositions'!A:B, 2, 0) &amp; "" "" &amp; REGEXEXTRACT(C5603, ""🏘️ \w+ \w+ (.*) ✅"") ,  if(H5603=""quartier"",vlookup(REGEXEXTRACT(C5603, ""🏘️ \w+ \w+ (.*) ✅""),'Quartier prepositio"&amp;"ns'!A:E, 5, 0) ,  if(H5603=""region"",vlookup(REGEXEXTRACT(C5603, ""🏘️ \w+ \w+ (.*) ✅""),'Region prepositions'!B:F, 5, 0),  REGEXEXTRACT(C5603, ""🏘️ \w+ \w+ (.*) ✅""))))"),"#N/A")</f>
        <v>#N/A</v>
      </c>
      <c r="I5603" s="4" t="str">
        <f>IFERROR(__xludf.DUMMYFUNCTION("if(D5603=""variant"",  substitute(filter(Templates!E:E, Templates!A:A = F5603, Templates!B:B = G5603, Templates!C:C = H5603), ""{{}}"", E5603), B5603)"),"Vendre appartement Genthod: Trouvez le bien immobilier qui correspond idéalement à vos désirs sur ImmoScout24 - La plateforme de l'immobilier en Suisse.")</f>
        <v>Vendre appartement Genthod: Trouvez le bien immobilier qui correspond idéalement à vos désirs sur ImmoScout24 - La plateforme de l'immobilier en Suisse.</v>
      </c>
    </row>
    <row r="5604" hidden="1">
      <c r="A5604" s="5" t="s">
        <v>14304</v>
      </c>
      <c r="B5604" s="2" t="s">
        <v>14305</v>
      </c>
      <c r="C5604" s="2" t="s">
        <v>14305</v>
      </c>
      <c r="D5604" s="4" t="str">
        <f>vlookup(A5604, Sheet2!D:E, 2, 0)</f>
        <v>control</v>
      </c>
      <c r="E5604" s="4" t="str">
        <f>IFERROR(__xludf.DUMMYFUNCTION("if(H5604=""pays"",vlookup(REGEXEXTRACT(C5604, ""🏘️ \w+ \w+ (.*) ✅""),'Country prepositions'!A:B, 2, 0) &amp; "" "" &amp; REGEXEXTRACT(C5604, ""🏘️ \w+ \w+ (.*) ✅"") ,  if(H5604=""quartier"",vlookup(REGEXEXTRACT(C5604, ""🏘️ \w+ \w+ (.*) ✅""),'Quartier prepositio"&amp;"ns'!A:E, 5, 0) ,  if(H5604=""region"",vlookup(REGEXEXTRACT(C5604, ""🏘️ \w+ \w+ (.*) ✅""),'Region prepositions'!B:F, 5, 0),  REGEXEXTRACT(C5604, ""🏘️ \w+ \w+ (.*) ✅""))))"),"#N/A")</f>
        <v>#N/A</v>
      </c>
      <c r="I5604" s="4" t="str">
        <f>IFERROR(__xludf.DUMMYFUNCTION("if(D5604=""variant"",  substitute(filter(Templates!E:E, Templates!A:A = F5604, Templates!B:B = G5604, Templates!C:C = H5604), ""{{}}"", E5604), B5604)"),"Louer maison Dübendorf: Trouvez le bien immobilier qui correspond idéalement à vos désirs sur ImmoScout24 - La plateforme de l'immobilier en Suisse.")</f>
        <v>Louer maison Dübendorf: Trouvez le bien immobilier qui correspond idéalement à vos désirs sur ImmoScout24 - La plateforme de l'immobilier en Suisse.</v>
      </c>
    </row>
    <row r="5605" hidden="1">
      <c r="A5605" s="5" t="s">
        <v>14306</v>
      </c>
      <c r="B5605" s="2" t="s">
        <v>14307</v>
      </c>
      <c r="C5605" s="2" t="s">
        <v>14307</v>
      </c>
      <c r="D5605" s="4" t="str">
        <f>vlookup(A5605, Sheet2!D:E, 2, 0)</f>
        <v>control</v>
      </c>
      <c r="E5605" s="4" t="str">
        <f>IFERROR(__xludf.DUMMYFUNCTION("if(H5605=""pays"",vlookup(REGEXEXTRACT(C5605, ""🏘️ \w+ \w+ (.*) ✅""),'Country prepositions'!A:B, 2, 0) &amp; "" "" &amp; REGEXEXTRACT(C5605, ""🏘️ \w+ \w+ (.*) ✅"") ,  if(H5605=""quartier"",vlookup(REGEXEXTRACT(C5605, ""🏘️ \w+ \w+ (.*) ✅""),'Quartier prepositio"&amp;"ns'!A:E, 5, 0) ,  if(H5605=""region"",vlookup(REGEXEXTRACT(C5605, ""🏘️ \w+ \w+ (.*) ✅""),'Region prepositions'!B:F, 5, 0),  REGEXEXTRACT(C5605, ""🏘️ \w+ \w+ (.*) ✅""))))"),"#N/A")</f>
        <v>#N/A</v>
      </c>
      <c r="I5605" s="4" t="str">
        <f>IFERROR(__xludf.DUMMYFUNCTION("if(D5605=""variant"",  substitute(filter(Templates!E:E, Templates!A:A = F5605, Templates!B:B = G5605, Templates!C:C = H5605), ""{{}}"", E5605), B5605)"),"Louer maison Orbe: Trouvez le bien immobilier qui correspond idéalement à vos désirs sur ImmoScout24 - La plateforme de l'immobilier en Suisse.")</f>
        <v>Louer maison Orbe: Trouvez le bien immobilier qui correspond idéalement à vos désirs sur ImmoScout24 - La plateforme de l'immobilier en Suisse.</v>
      </c>
    </row>
    <row r="5606" hidden="1">
      <c r="A5606" s="5" t="s">
        <v>14308</v>
      </c>
      <c r="B5606" s="2" t="s">
        <v>14309</v>
      </c>
      <c r="C5606" s="2" t="s">
        <v>14309</v>
      </c>
      <c r="D5606" s="4" t="str">
        <f>vlookup(A5606, Sheet2!D:E, 2, 0)</f>
        <v>control</v>
      </c>
      <c r="E5606" s="4" t="str">
        <f>IFERROR(__xludf.DUMMYFUNCTION("if(H5606=""pays"",vlookup(REGEXEXTRACT(C5606, ""🏘️ \w+ \w+ (.*) ✅""),'Country prepositions'!A:B, 2, 0) &amp; "" "" &amp; REGEXEXTRACT(C5606, ""🏘️ \w+ \w+ (.*) ✅"") ,  if(H5606=""quartier"",vlookup(REGEXEXTRACT(C5606, ""🏘️ \w+ \w+ (.*) ✅""),'Quartier prepositio"&amp;"ns'!A:E, 5, 0) ,  if(H5606=""region"",vlookup(REGEXEXTRACT(C5606, ""🏘️ \w+ \w+ (.*) ✅""),'Region prepositions'!B:F, 5, 0),  REGEXEXTRACT(C5606, ""🏘️ \w+ \w+ (.*) ✅""))))"),"#N/A")</f>
        <v>#N/A</v>
      </c>
      <c r="I5606" s="4" t="str">
        <f>IFERROR(__xludf.DUMMYFUNCTION("if(D5606=""variant"",  substitute(filter(Templates!E:E, Templates!A:A = F5606, Templates!B:B = G5606, Templates!C:C = H5606), ""{{}}"", E5606), B5606)"),"Louer appartement Landquart: Trouvez le bien immobilier qui correspond idéalement à vos désirs sur ImmoScout24 - La plateforme de l'immobilier en Suisse.")</f>
        <v>Louer appartement Landquart: Trouvez le bien immobilier qui correspond idéalement à vos désirs sur ImmoScout24 - La plateforme de l'immobilier en Suisse.</v>
      </c>
    </row>
    <row r="5607" hidden="1">
      <c r="A5607" s="5" t="s">
        <v>14310</v>
      </c>
      <c r="B5607" s="2" t="s">
        <v>14311</v>
      </c>
      <c r="C5607" s="2" t="s">
        <v>14311</v>
      </c>
      <c r="D5607" s="4" t="str">
        <f>vlookup(A5607, Sheet2!D:E, 2, 0)</f>
        <v>control</v>
      </c>
      <c r="E5607" s="4" t="str">
        <f>IFERROR(__xludf.DUMMYFUNCTION("if(H5607=""pays"",vlookup(REGEXEXTRACT(C5607, ""🏘️ \w+ \w+ (.*) ✅""),'Country prepositions'!A:B, 2, 0) &amp; "" "" &amp; REGEXEXTRACT(C5607, ""🏘️ \w+ \w+ (.*) ✅"") ,  if(H5607=""quartier"",vlookup(REGEXEXTRACT(C5607, ""🏘️ \w+ \w+ (.*) ✅""),'Quartier prepositio"&amp;"ns'!A:E, 5, 0) ,  if(H5607=""region"",vlookup(REGEXEXTRACT(C5607, ""🏘️ \w+ \w+ (.*) ✅""),'Region prepositions'!B:F, 5, 0),  REGEXEXTRACT(C5607, ""🏘️ \w+ \w+ (.*) ✅""))))"),"#N/A")</f>
        <v>#N/A</v>
      </c>
      <c r="I5607" s="4" t="str">
        <f>IFERROR(__xludf.DUMMYFUNCTION("if(D5607=""variant"",  substitute(filter(Templates!E:E, Templates!A:A = F5607, Templates!B:B = G5607, Templates!C:C = H5607), ""{{}}"", E5607), B5607)"),"Louer appartement Schwerzenbach: Trouvez le bien immobilier qui correspond idéalement à vos désirs sur ImmoScout24 - La plateforme de l'immobilier en Suisse.")</f>
        <v>Louer appartement Schwerzenbach: Trouvez le bien immobilier qui correspond idéalement à vos désirs sur ImmoScout24 - La plateforme de l'immobilier en Suisse.</v>
      </c>
    </row>
    <row r="5608" hidden="1">
      <c r="A5608" s="5" t="s">
        <v>14312</v>
      </c>
      <c r="B5608" s="2" t="s">
        <v>14313</v>
      </c>
      <c r="C5608" s="2" t="s">
        <v>14313</v>
      </c>
      <c r="D5608" s="4" t="str">
        <f>vlookup(A5608, Sheet2!D:E, 2, 0)</f>
        <v>control</v>
      </c>
      <c r="E5608" s="4" t="str">
        <f>IFERROR(__xludf.DUMMYFUNCTION("if(H5608=""pays"",vlookup(REGEXEXTRACT(C5608, ""🏘️ \w+ \w+ (.*) ✅""),'Country prepositions'!A:B, 2, 0) &amp; "" "" &amp; REGEXEXTRACT(C5608, ""🏘️ \w+ \w+ (.*) ✅"") ,  if(H5608=""quartier"",vlookup(REGEXEXTRACT(C5608, ""🏘️ \w+ \w+ (.*) ✅""),'Quartier prepositio"&amp;"ns'!A:E, 5, 0) ,  if(H5608=""region"",vlookup(REGEXEXTRACT(C5608, ""🏘️ \w+ \w+ (.*) ✅""),'Region prepositions'!B:F, 5, 0),  REGEXEXTRACT(C5608, ""🏘️ \w+ \w+ (.*) ✅""))))"),"#N/A")</f>
        <v>#N/A</v>
      </c>
      <c r="I5608" s="4" t="str">
        <f>IFERROR(__xludf.DUMMYFUNCTION("if(D5608=""variant"",  substitute(filter(Templates!E:E, Templates!A:A = F5608, Templates!B:B = G5608, Templates!C:C = H5608), ""{{}}"", E5608), B5608)"),"Louer appartement Melchsee-Frutt: Trouvez le bien immobilier qui correspond idéalement à vos désirs sur ImmoScout24 - La plateforme de l'immobilier en Suisse.")</f>
        <v>Louer appartement Melchsee-Frutt: Trouvez le bien immobilier qui correspond idéalement à vos désirs sur ImmoScout24 - La plateforme de l'immobilier en Suisse.</v>
      </c>
    </row>
    <row r="5609" hidden="1">
      <c r="A5609" s="5" t="s">
        <v>14314</v>
      </c>
      <c r="B5609" s="2" t="s">
        <v>14315</v>
      </c>
      <c r="C5609" s="2" t="s">
        <v>14315</v>
      </c>
      <c r="D5609" s="4" t="str">
        <f>vlookup(A5609, Sheet2!D:E, 2, 0)</f>
        <v>control</v>
      </c>
      <c r="E5609" s="4" t="str">
        <f>IFERROR(__xludf.DUMMYFUNCTION("if(H5609=""pays"",vlookup(REGEXEXTRACT(C5609, ""🏘️ \w+ \w+ (.*) ✅""),'Country prepositions'!A:B, 2, 0) &amp; "" "" &amp; REGEXEXTRACT(C5609, ""🏘️ \w+ \w+ (.*) ✅"") ,  if(H5609=""quartier"",vlookup(REGEXEXTRACT(C5609, ""🏘️ \w+ \w+ (.*) ✅""),'Quartier prepositio"&amp;"ns'!A:E, 5, 0) ,  if(H5609=""region"",vlookup(REGEXEXTRACT(C5609, ""🏘️ \w+ \w+ (.*) ✅""),'Region prepositions'!B:F, 5, 0),  REGEXEXTRACT(C5609, ""🏘️ \w+ \w+ (.*) ✅""))))"),"#N/A")</f>
        <v>#N/A</v>
      </c>
      <c r="I5609" s="4" t="str">
        <f>IFERROR(__xludf.DUMMYFUNCTION("if(D5609=""variant"",  substitute(filter(Templates!E:E, Templates!A:A = F5609, Templates!B:B = G5609, Templates!C:C = H5609), ""{{}}"", E5609), B5609)"),"Vendre maison Montignez: Trouvez le bien immobilier qui correspond idéalement à vos désirs sur ImmoScout24 - La plateforme de l'immobilier en Suisse.")</f>
        <v>Vendre maison Montignez: Trouvez le bien immobilier qui correspond idéalement à vos désirs sur ImmoScout24 - La plateforme de l'immobilier en Suisse.</v>
      </c>
    </row>
    <row r="5610" hidden="1">
      <c r="A5610" s="5" t="s">
        <v>14316</v>
      </c>
      <c r="B5610" s="2" t="s">
        <v>14317</v>
      </c>
      <c r="C5610" s="2" t="s">
        <v>14317</v>
      </c>
      <c r="D5610" s="4" t="str">
        <f>vlookup(A5610, Sheet2!D:E, 2, 0)</f>
        <v>control</v>
      </c>
      <c r="E5610" s="4" t="str">
        <f>IFERROR(__xludf.DUMMYFUNCTION("if(H5610=""pays"",vlookup(REGEXEXTRACT(C5610, ""🏘️ \w+ \w+ (.*) ✅""),'Country prepositions'!A:B, 2, 0) &amp; "" "" &amp; REGEXEXTRACT(C5610, ""🏘️ \w+ \w+ (.*) ✅"") ,  if(H5610=""quartier"",vlookup(REGEXEXTRACT(C5610, ""🏘️ \w+ \w+ (.*) ✅""),'Quartier prepositio"&amp;"ns'!A:E, 5, 0) ,  if(H5610=""region"",vlookup(REGEXEXTRACT(C5610, ""🏘️ \w+ \w+ (.*) ✅""),'Region prepositions'!B:F, 5, 0),  REGEXEXTRACT(C5610, ""🏘️ \w+ \w+ (.*) ✅""))))"),"#N/A")</f>
        <v>#N/A</v>
      </c>
      <c r="I5610" s="4" t="str">
        <f>IFERROR(__xludf.DUMMYFUNCTION("if(D5610=""variant"",  substitute(filter(Templates!E:E, Templates!A:A = F5610, Templates!B:B = G5610, Templates!C:C = H5610), ""{{}}"", E5610), B5610)"),"Vendre maison Albinen: Trouvez le bien immobilier qui correspond idéalement à vos désirs sur ImmoScout24 - La plateforme de l'immobilier en Suisse.")</f>
        <v>Vendre maison Albinen: Trouvez le bien immobilier qui correspond idéalement à vos désirs sur ImmoScout24 - La plateforme de l'immobilier en Suisse.</v>
      </c>
    </row>
    <row r="5611" hidden="1">
      <c r="A5611" s="5" t="s">
        <v>14318</v>
      </c>
      <c r="B5611" s="2" t="s">
        <v>14319</v>
      </c>
      <c r="C5611" s="2" t="s">
        <v>14319</v>
      </c>
      <c r="D5611" s="4" t="str">
        <f>vlookup(A5611, Sheet2!D:E, 2, 0)</f>
        <v>control</v>
      </c>
      <c r="E5611" s="4" t="str">
        <f>IFERROR(__xludf.DUMMYFUNCTION("if(H5611=""pays"",vlookup(REGEXEXTRACT(C5611, ""🏘️ \w+ \w+ (.*) ✅""),'Country prepositions'!A:B, 2, 0) &amp; "" "" &amp; REGEXEXTRACT(C5611, ""🏘️ \w+ \w+ (.*) ✅"") ,  if(H5611=""quartier"",vlookup(REGEXEXTRACT(C5611, ""🏘️ \w+ \w+ (.*) ✅""),'Quartier prepositio"&amp;"ns'!A:E, 5, 0) ,  if(H5611=""region"",vlookup(REGEXEXTRACT(C5611, ""🏘️ \w+ \w+ (.*) ✅""),'Region prepositions'!B:F, 5, 0),  REGEXEXTRACT(C5611, ""🏘️ \w+ \w+ (.*) ✅""))))"),"#N/A")</f>
        <v>#N/A</v>
      </c>
      <c r="I5611" s="4" t="str">
        <f>IFERROR(__xludf.DUMMYFUNCTION("if(D5611=""variant"",  substitute(filter(Templates!E:E, Templates!A:A = F5611, Templates!B:B = G5611, Templates!C:C = H5611), ""{{}}"", E5611), B5611)"),"Louer maison Montagny-la-Ville: Trouvez le bien immobilier qui correspond idéalement à vos désirs sur ImmoScout24 - La plateforme de l'immobilier en Suisse.")</f>
        <v>Louer maison Montagny-la-Ville: Trouvez le bien immobilier qui correspond idéalement à vos désirs sur ImmoScout24 - La plateforme de l'immobilier en Suisse.</v>
      </c>
    </row>
    <row r="5612" hidden="1">
      <c r="A5612" s="5" t="s">
        <v>14320</v>
      </c>
      <c r="B5612" s="2" t="s">
        <v>14321</v>
      </c>
      <c r="C5612" s="2" t="s">
        <v>14321</v>
      </c>
      <c r="D5612" s="4" t="str">
        <f>vlookup(A5612, Sheet2!D:E, 2, 0)</f>
        <v>control</v>
      </c>
      <c r="E5612" s="4" t="str">
        <f>IFERROR(__xludf.DUMMYFUNCTION("if(H5612=""pays"",vlookup(REGEXEXTRACT(C5612, ""🏘️ \w+ \w+ (.*) ✅""),'Country prepositions'!A:B, 2, 0) &amp; "" "" &amp; REGEXEXTRACT(C5612, ""🏘️ \w+ \w+ (.*) ✅"") ,  if(H5612=""quartier"",vlookup(REGEXEXTRACT(C5612, ""🏘️ \w+ \w+ (.*) ✅""),'Quartier prepositio"&amp;"ns'!A:E, 5, 0) ,  if(H5612=""region"",vlookup(REGEXEXTRACT(C5612, ""🏘️ \w+ \w+ (.*) ✅""),'Region prepositions'!B:F, 5, 0),  REGEXEXTRACT(C5612, ""🏘️ \w+ \w+ (.*) ✅""))))"),"#N/A")</f>
        <v>#N/A</v>
      </c>
      <c r="I5612" s="4" t="str">
        <f>IFERROR(__xludf.DUMMYFUNCTION("if(D5612=""variant"",  substitute(filter(Templates!E:E, Templates!A:A = F5612, Templates!B:B = G5612, Templates!C:C = H5612), ""{{}}"", E5612), B5612)"),"Louer appartement Cadenazzo: Trouvez le bien immobilier qui correspond idéalement à vos désirs sur ImmoScout24 - La plateforme de l'immobilier en Suisse.")</f>
        <v>Louer appartement Cadenazzo: Trouvez le bien immobilier qui correspond idéalement à vos désirs sur ImmoScout24 - La plateforme de l'immobilier en Suisse.</v>
      </c>
    </row>
    <row r="5613" hidden="1">
      <c r="A5613" s="5" t="s">
        <v>14322</v>
      </c>
      <c r="B5613" s="2" t="s">
        <v>14323</v>
      </c>
      <c r="C5613" s="2" t="s">
        <v>14323</v>
      </c>
      <c r="D5613" s="4" t="str">
        <f>vlookup(A5613, Sheet2!D:E, 2, 0)</f>
        <v>control</v>
      </c>
      <c r="E5613" s="4" t="str">
        <f>IFERROR(__xludf.DUMMYFUNCTION("if(H5613=""pays"",vlookup(REGEXEXTRACT(C5613, ""🏘️ \w+ \w+ (.*) ✅""),'Country prepositions'!A:B, 2, 0) &amp; "" "" &amp; REGEXEXTRACT(C5613, ""🏘️ \w+ \w+ (.*) ✅"") ,  if(H5613=""quartier"",vlookup(REGEXEXTRACT(C5613, ""🏘️ \w+ \w+ (.*) ✅""),'Quartier prepositio"&amp;"ns'!A:E, 5, 0) ,  if(H5613=""region"",vlookup(REGEXEXTRACT(C5613, ""🏘️ \w+ \w+ (.*) ✅""),'Region prepositions'!B:F, 5, 0),  REGEXEXTRACT(C5613, ""🏘️ \w+ \w+ (.*) ✅""))))"),"#N/A")</f>
        <v>#N/A</v>
      </c>
      <c r="I5613" s="4" t="str">
        <f>IFERROR(__xludf.DUMMYFUNCTION("if(D5613=""variant"",  substitute(filter(Templates!E:E, Templates!A:A = F5613, Templates!B:B = G5613, Templates!C:C = H5613), ""{{}}"", E5613), B5613)"),"Louer maison Frauenfeld - Münchwilen: Trouvez le bien immobilier qui correspond idéalement à vos désirs sur ImmoScout24 - La plateforme de l'immobilier en Suisse.")</f>
        <v>Louer maison Frauenfeld - Münchwilen: Trouvez le bien immobilier qui correspond idéalement à vos désirs sur ImmoScout24 - La plateforme de l'immobilier en Suisse.</v>
      </c>
    </row>
    <row r="5614" hidden="1">
      <c r="A5614" s="5" t="s">
        <v>14324</v>
      </c>
      <c r="B5614" s="2" t="s">
        <v>14325</v>
      </c>
      <c r="C5614" s="2" t="s">
        <v>14325</v>
      </c>
      <c r="D5614" s="4" t="str">
        <f>vlookup(A5614, Sheet2!D:E, 2, 0)</f>
        <v>control</v>
      </c>
      <c r="E5614" s="4" t="str">
        <f>IFERROR(__xludf.DUMMYFUNCTION("if(H5614=""pays"",vlookup(REGEXEXTRACT(C5614, ""🏘️ \w+ \w+ (.*) ✅""),'Country prepositions'!A:B, 2, 0) &amp; "" "" &amp; REGEXEXTRACT(C5614, ""🏘️ \w+ \w+ (.*) ✅"") ,  if(H5614=""quartier"",vlookup(REGEXEXTRACT(C5614, ""🏘️ \w+ \w+ (.*) ✅""),'Quartier prepositio"&amp;"ns'!A:E, 5, 0) ,  if(H5614=""region"",vlookup(REGEXEXTRACT(C5614, ""🏘️ \w+ \w+ (.*) ✅""),'Region prepositions'!B:F, 5, 0),  REGEXEXTRACT(C5614, ""🏘️ \w+ \w+ (.*) ✅""))))"),"#N/A")</f>
        <v>#N/A</v>
      </c>
      <c r="I5614" s="4" t="str">
        <f>IFERROR(__xludf.DUMMYFUNCTION("if(D5614=""variant"",  substitute(filter(Templates!E:E, Templates!A:A = F5614, Templates!B:B = G5614, Templates!C:C = H5614), ""{{}}"", E5614), B5614)"),"Louer appartement Ederswiler: Trouvez le bien immobilier qui correspond idéalement à vos désirs sur ImmoScout24 - La plateforme de l'immobilier en Suisse.")</f>
        <v>Louer appartement Ederswiler: Trouvez le bien immobilier qui correspond idéalement à vos désirs sur ImmoScout24 - La plateforme de l'immobilier en Suisse.</v>
      </c>
    </row>
    <row r="5615" hidden="1">
      <c r="A5615" s="5" t="s">
        <v>14326</v>
      </c>
      <c r="B5615" s="2" t="s">
        <v>14327</v>
      </c>
      <c r="C5615" s="2" t="s">
        <v>14327</v>
      </c>
      <c r="D5615" s="4" t="str">
        <f>vlookup(A5615, Sheet2!D:E, 2, 0)</f>
        <v>control</v>
      </c>
      <c r="E5615" s="4" t="str">
        <f>IFERROR(__xludf.DUMMYFUNCTION("if(H5615=""pays"",vlookup(REGEXEXTRACT(C5615, ""🏘️ \w+ \w+ (.*) ✅""),'Country prepositions'!A:B, 2, 0) &amp; "" "" &amp; REGEXEXTRACT(C5615, ""🏘️ \w+ \w+ (.*) ✅"") ,  if(H5615=""quartier"",vlookup(REGEXEXTRACT(C5615, ""🏘️ \w+ \w+ (.*) ✅""),'Quartier prepositio"&amp;"ns'!A:E, 5, 0) ,  if(H5615=""region"",vlookup(REGEXEXTRACT(C5615, ""🏘️ \w+ \w+ (.*) ✅""),'Region prepositions'!B:F, 5, 0),  REGEXEXTRACT(C5615, ""🏘️ \w+ \w+ (.*) ✅""))))"),"#N/A")</f>
        <v>#N/A</v>
      </c>
      <c r="I5615" s="4" t="str">
        <f>IFERROR(__xludf.DUMMYFUNCTION("if(D5615=""variant"",  substitute(filter(Templates!E:E, Templates!A:A = F5615, Templates!B:B = G5615, Templates!C:C = H5615), ""{{}}"", E5615), B5615)"),"Vendre appartement Canton de Glaris: Trouvez le bien immobilier qui correspond idéalement à vos désirs sur ImmoScout24 - La plateforme de l'immobilier en Suisse.")</f>
        <v>Vendre appartement Canton de Glaris: Trouvez le bien immobilier qui correspond idéalement à vos désirs sur ImmoScout24 - La plateforme de l'immobilier en Suisse.</v>
      </c>
    </row>
    <row r="5616" hidden="1">
      <c r="A5616" s="5" t="s">
        <v>14328</v>
      </c>
      <c r="B5616" s="2" t="s">
        <v>14329</v>
      </c>
      <c r="C5616" s="2" t="s">
        <v>14329</v>
      </c>
      <c r="D5616" s="4" t="str">
        <f>vlookup(A5616, Sheet2!D:E, 2, 0)</f>
        <v>control</v>
      </c>
      <c r="E5616" s="4" t="str">
        <f>IFERROR(__xludf.DUMMYFUNCTION("if(H5616=""pays"",vlookup(REGEXEXTRACT(C5616, ""🏘️ \w+ \w+ (.*) ✅""),'Country prepositions'!A:B, 2, 0) &amp; "" "" &amp; REGEXEXTRACT(C5616, ""🏘️ \w+ \w+ (.*) ✅"") ,  if(H5616=""quartier"",vlookup(REGEXEXTRACT(C5616, ""🏘️ \w+ \w+ (.*) ✅""),'Quartier prepositio"&amp;"ns'!A:E, 5, 0) ,  if(H5616=""region"",vlookup(REGEXEXTRACT(C5616, ""🏘️ \w+ \w+ (.*) ✅""),'Region prepositions'!B:F, 5, 0),  REGEXEXTRACT(C5616, ""🏘️ \w+ \w+ (.*) ✅""))))"),"#N/A")</f>
        <v>#N/A</v>
      </c>
      <c r="I5616" s="4" t="str">
        <f>IFERROR(__xludf.DUMMYFUNCTION("if(D5616=""variant"",  substitute(filter(Templates!E:E, Templates!A:A = F5616, Templates!B:B = G5616, Templates!C:C = H5616), ""{{}}"", E5616), B5616)"),"Vendre appartement Vieille ville (Biel/Bienne): Trouvez le bien immobilier qui correspond idéalement à vos désirs sur ImmoScout24 - La plateforme de l'immobilier en Suisse.")</f>
        <v>Vendre appartement Vieille ville (Biel/Bienne): Trouvez le bien immobilier qui correspond idéalement à vos désirs sur ImmoScout24 - La plateforme de l'immobilier en Suisse.</v>
      </c>
    </row>
    <row r="5617" hidden="1">
      <c r="A5617" s="5" t="s">
        <v>14330</v>
      </c>
      <c r="B5617" s="2" t="s">
        <v>14331</v>
      </c>
      <c r="C5617" s="2" t="s">
        <v>14331</v>
      </c>
      <c r="D5617" s="4" t="str">
        <f>vlookup(A5617, Sheet2!D:E, 2, 0)</f>
        <v>control</v>
      </c>
      <c r="E5617" s="4" t="str">
        <f>IFERROR(__xludf.DUMMYFUNCTION("if(H5617=""pays"",vlookup(REGEXEXTRACT(C5617, ""🏘️ \w+ \w+ (.*) ✅""),'Country prepositions'!A:B, 2, 0) &amp; "" "" &amp; REGEXEXTRACT(C5617, ""🏘️ \w+ \w+ (.*) ✅"") ,  if(H5617=""quartier"",vlookup(REGEXEXTRACT(C5617, ""🏘️ \w+ \w+ (.*) ✅""),'Quartier prepositio"&amp;"ns'!A:E, 5, 0) ,  if(H5617=""region"",vlookup(REGEXEXTRACT(C5617, ""🏘️ \w+ \w+ (.*) ✅""),'Region prepositions'!B:F, 5, 0),  REGEXEXTRACT(C5617, ""🏘️ \w+ \w+ (.*) ✅""))))"),"#N/A")</f>
        <v>#N/A</v>
      </c>
      <c r="I5617" s="4" t="str">
        <f>IFERROR(__xludf.DUMMYFUNCTION("if(D5617=""variant"",  substitute(filter(Templates!E:E, Templates!A:A = F5617, Templates!B:B = G5617, Templates!C:C = H5617), ""{{}}"", E5617), B5617)"),"Louer maison Canton de Zurich: Trouvez le bien immobilier qui correspond idéalement à vos désirs sur ImmoScout24 - La plateforme de l'immobilier en Suisse.")</f>
        <v>Louer maison Canton de Zurich: Trouvez le bien immobilier qui correspond idéalement à vos désirs sur ImmoScout24 - La plateforme de l'immobilier en Suisse.</v>
      </c>
    </row>
    <row r="5618" hidden="1">
      <c r="A5618" s="5" t="s">
        <v>14332</v>
      </c>
      <c r="B5618" s="2" t="s">
        <v>14333</v>
      </c>
      <c r="C5618" s="2" t="s">
        <v>14333</v>
      </c>
      <c r="D5618" s="4" t="str">
        <f>vlookup(A5618, Sheet2!D:E, 2, 0)</f>
        <v>control</v>
      </c>
      <c r="E5618" s="4" t="str">
        <f>IFERROR(__xludf.DUMMYFUNCTION("if(H5618=""pays"",vlookup(REGEXEXTRACT(C5618, ""🏘️ \w+ \w+ (.*) ✅""),'Country prepositions'!A:B, 2, 0) &amp; "" "" &amp; REGEXEXTRACT(C5618, ""🏘️ \w+ \w+ (.*) ✅"") ,  if(H5618=""quartier"",vlookup(REGEXEXTRACT(C5618, ""🏘️ \w+ \w+ (.*) ✅""),'Quartier prepositio"&amp;"ns'!A:E, 5, 0) ,  if(H5618=""region"",vlookup(REGEXEXTRACT(C5618, ""🏘️ \w+ \w+ (.*) ✅""),'Region prepositions'!B:F, 5, 0),  REGEXEXTRACT(C5618, ""🏘️ \w+ \w+ (.*) ✅""))))"),"#N/A")</f>
        <v>#N/A</v>
      </c>
      <c r="I5618" s="4" t="str">
        <f>IFERROR(__xludf.DUMMYFUNCTION("if(D5618=""variant"",  substitute(filter(Templates!E:E, Templates!A:A = F5618, Templates!B:B = G5618, Templates!C:C = H5618), ""{{}}"", E5618), B5618)"),"Vendre maison Brione sopra Minusio: Trouvez le bien immobilier qui correspond idéalement à vos désirs sur ImmoScout24 - La plateforme de l'immobilier en Suisse.")</f>
        <v>Vendre maison Brione sopra Minusio: Trouvez le bien immobilier qui correspond idéalement à vos désirs sur ImmoScout24 - La plateforme de l'immobilier en Suisse.</v>
      </c>
    </row>
    <row r="5619" hidden="1">
      <c r="A5619" s="5" t="s">
        <v>14334</v>
      </c>
      <c r="B5619" s="2" t="s">
        <v>14335</v>
      </c>
      <c r="C5619" s="2" t="s">
        <v>14335</v>
      </c>
      <c r="D5619" s="4" t="str">
        <f>vlookup(A5619, Sheet2!D:E, 2, 0)</f>
        <v>control</v>
      </c>
      <c r="E5619" s="4" t="str">
        <f>IFERROR(__xludf.DUMMYFUNCTION("if(H5619=""pays"",vlookup(REGEXEXTRACT(C5619, ""🏘️ \w+ \w+ (.*) ✅""),'Country prepositions'!A:B, 2, 0) &amp; "" "" &amp; REGEXEXTRACT(C5619, ""🏘️ \w+ \w+ (.*) ✅"") ,  if(H5619=""quartier"",vlookup(REGEXEXTRACT(C5619, ""🏘️ \w+ \w+ (.*) ✅""),'Quartier prepositio"&amp;"ns'!A:E, 5, 0) ,  if(H5619=""region"",vlookup(REGEXEXTRACT(C5619, ""🏘️ \w+ \w+ (.*) ✅""),'Region prepositions'!B:F, 5, 0),  REGEXEXTRACT(C5619, ""🏘️ \w+ \w+ (.*) ✅""))))"),"#N/A")</f>
        <v>#N/A</v>
      </c>
      <c r="I5619" s="4" t="str">
        <f>IFERROR(__xludf.DUMMYFUNCTION("if(D5619=""variant"",  substitute(filter(Templates!E:E, Templates!A:A = F5619, Templates!B:B = G5619, Templates!C:C = H5619), ""{{}}"", E5619), B5619)"),"Louer appartement Kloten: Trouvez le bien immobilier qui correspond idéalement à vos désirs sur ImmoScout24 - La plateforme de l'immobilier en Suisse.")</f>
        <v>Louer appartement Kloten: Trouvez le bien immobilier qui correspond idéalement à vos désirs sur ImmoScout24 - La plateforme de l'immobilier en Suisse.</v>
      </c>
    </row>
    <row r="5620" hidden="1">
      <c r="A5620" s="5" t="s">
        <v>14336</v>
      </c>
      <c r="B5620" s="2" t="s">
        <v>14337</v>
      </c>
      <c r="C5620" s="2" t="s">
        <v>14337</v>
      </c>
      <c r="D5620" s="4" t="str">
        <f>vlookup(A5620, Sheet2!D:E, 2, 0)</f>
        <v>control</v>
      </c>
      <c r="E5620" s="4" t="str">
        <f>IFERROR(__xludf.DUMMYFUNCTION("if(H5620=""pays"",vlookup(REGEXEXTRACT(C5620, ""🏘️ \w+ \w+ (.*) ✅""),'Country prepositions'!A:B, 2, 0) &amp; "" "" &amp; REGEXEXTRACT(C5620, ""🏘️ \w+ \w+ (.*) ✅"") ,  if(H5620=""quartier"",vlookup(REGEXEXTRACT(C5620, ""🏘️ \w+ \w+ (.*) ✅""),'Quartier prepositio"&amp;"ns'!A:E, 5, 0) ,  if(H5620=""region"",vlookup(REGEXEXTRACT(C5620, ""🏘️ \w+ \w+ (.*) ✅""),'Region prepositions'!B:F, 5, 0),  REGEXEXTRACT(C5620, ""🏘️ \w+ \w+ (.*) ✅""))))"),"#N/A")</f>
        <v>#N/A</v>
      </c>
      <c r="I5620" s="4" t="str">
        <f>IFERROR(__xludf.DUMMYFUNCTION("if(D5620=""variant"",  substitute(filter(Templates!E:E, Templates!A:A = F5620, Templates!B:B = G5620, Templates!C:C = H5620), ""{{}}"", E5620), B5620)"),"Louer appartement Trimbach: Trouvez le bien immobilier qui correspond idéalement à vos désirs sur ImmoScout24 - La plateforme de l'immobilier en Suisse.")</f>
        <v>Louer appartement Trimbach: Trouvez le bien immobilier qui correspond idéalement à vos désirs sur ImmoScout24 - La plateforme de l'immobilier en Suisse.</v>
      </c>
    </row>
    <row r="5621" hidden="1">
      <c r="A5621" s="5" t="s">
        <v>14338</v>
      </c>
      <c r="B5621" s="2" t="s">
        <v>14339</v>
      </c>
      <c r="C5621" s="2" t="s">
        <v>14339</v>
      </c>
      <c r="D5621" s="4" t="str">
        <f>vlookup(A5621, Sheet2!D:E, 2, 0)</f>
        <v>control</v>
      </c>
      <c r="E5621" s="4" t="str">
        <f>IFERROR(__xludf.DUMMYFUNCTION("if(H5621=""pays"",vlookup(REGEXEXTRACT(C5621, ""🏘️ \w+ \w+ (.*) ✅""),'Country prepositions'!A:B, 2, 0) &amp; "" "" &amp; REGEXEXTRACT(C5621, ""🏘️ \w+ \w+ (.*) ✅"") ,  if(H5621=""quartier"",vlookup(REGEXEXTRACT(C5621, ""🏘️ \w+ \w+ (.*) ✅""),'Quartier prepositio"&amp;"ns'!A:E, 5, 0) ,  if(H5621=""region"",vlookup(REGEXEXTRACT(C5621, ""🏘️ \w+ \w+ (.*) ✅""),'Region prepositions'!B:F, 5, 0),  REGEXEXTRACT(C5621, ""🏘️ \w+ \w+ (.*) ✅""))))"),"#N/A")</f>
        <v>#N/A</v>
      </c>
      <c r="I5621" s="4" t="str">
        <f>IFERROR(__xludf.DUMMYFUNCTION("if(D5621=""variant"",  substitute(filter(Templates!E:E, Templates!A:A = F5621, Templates!B:B = G5621, Templates!C:C = H5621), ""{{}}"", E5621), B5621)"),"Louer appartement Lussy FR: Trouvez le bien immobilier qui correspond idéalement à vos désirs sur ImmoScout24 - La plateforme de l'immobilier en Suisse.")</f>
        <v>Louer appartement Lussy FR: Trouvez le bien immobilier qui correspond idéalement à vos désirs sur ImmoScout24 - La plateforme de l'immobilier en Suisse.</v>
      </c>
    </row>
    <row r="5622" hidden="1">
      <c r="A5622" s="5" t="s">
        <v>14340</v>
      </c>
      <c r="B5622" s="2" t="s">
        <v>14341</v>
      </c>
      <c r="C5622" s="2" t="s">
        <v>14341</v>
      </c>
      <c r="D5622" s="4" t="str">
        <f>vlookup(A5622, Sheet2!D:E, 2, 0)</f>
        <v>control</v>
      </c>
      <c r="E5622" s="4" t="str">
        <f>IFERROR(__xludf.DUMMYFUNCTION("if(H5622=""pays"",vlookup(REGEXEXTRACT(C5622, ""🏘️ \w+ \w+ (.*) ✅""),'Country prepositions'!A:B, 2, 0) &amp; "" "" &amp; REGEXEXTRACT(C5622, ""🏘️ \w+ \w+ (.*) ✅"") ,  if(H5622=""quartier"",vlookup(REGEXEXTRACT(C5622, ""🏘️ \w+ \w+ (.*) ✅""),'Quartier prepositio"&amp;"ns'!A:E, 5, 0) ,  if(H5622=""region"",vlookup(REGEXEXTRACT(C5622, ""🏘️ \w+ \w+ (.*) ✅""),'Region prepositions'!B:F, 5, 0),  REGEXEXTRACT(C5622, ""🏘️ \w+ \w+ (.*) ✅""))))"),"#N/A")</f>
        <v>#N/A</v>
      </c>
      <c r="I5622" s="4" t="str">
        <f>IFERROR(__xludf.DUMMYFUNCTION("if(D5622=""variant"",  substitute(filter(Templates!E:E, Templates!A:A = F5622, Templates!B:B = G5622, Templates!C:C = H5622), ""{{}}"", E5622), B5622)"),"Louer maison Oberland Ouest: Trouvez le bien immobilier qui correspond idéalement à vos désirs sur ImmoScout24 - La plateforme de l'immobilier en Suisse.")</f>
        <v>Louer maison Oberland Ouest: Trouvez le bien immobilier qui correspond idéalement à vos désirs sur ImmoScout24 - La plateforme de l'immobilier en Suisse.</v>
      </c>
    </row>
    <row r="5623" hidden="1">
      <c r="A5623" s="5" t="s">
        <v>14342</v>
      </c>
      <c r="B5623" s="2" t="s">
        <v>14343</v>
      </c>
      <c r="C5623" s="2" t="s">
        <v>14343</v>
      </c>
      <c r="D5623" s="4" t="str">
        <f>vlookup(A5623, Sheet2!D:E, 2, 0)</f>
        <v>control</v>
      </c>
      <c r="E5623" s="4" t="str">
        <f>IFERROR(__xludf.DUMMYFUNCTION("if(H5623=""pays"",vlookup(REGEXEXTRACT(C5623, ""🏘️ \w+ \w+ (.*) ✅""),'Country prepositions'!A:B, 2, 0) &amp; "" "" &amp; REGEXEXTRACT(C5623, ""🏘️ \w+ \w+ (.*) ✅"") ,  if(H5623=""quartier"",vlookup(REGEXEXTRACT(C5623, ""🏘️ \w+ \w+ (.*) ✅""),'Quartier prepositio"&amp;"ns'!A:E, 5, 0) ,  if(H5623=""region"",vlookup(REGEXEXTRACT(C5623, ""🏘️ \w+ \w+ (.*) ✅""),'Region prepositions'!B:F, 5, 0),  REGEXEXTRACT(C5623, ""🏘️ \w+ \w+ (.*) ✅""))))"),"#N/A")</f>
        <v>#N/A</v>
      </c>
      <c r="I5623" s="4" t="str">
        <f>IFERROR(__xludf.DUMMYFUNCTION("if(D5623=""variant"",  substitute(filter(Templates!E:E, Templates!A:A = F5623, Templates!B:B = G5623, Templates!C:C = H5623), ""{{}}"", E5623), B5623)"),"Louer appartement Vernate: Trouvez le bien immobilier qui correspond idéalement à vos désirs sur ImmoScout24 - La plateforme de l'immobilier en Suisse.")</f>
        <v>Louer appartement Vernate: Trouvez le bien immobilier qui correspond idéalement à vos désirs sur ImmoScout24 - La plateforme de l'immobilier en Suisse.</v>
      </c>
    </row>
    <row r="5624" hidden="1">
      <c r="A5624" s="5" t="s">
        <v>14344</v>
      </c>
      <c r="B5624" s="2" t="s">
        <v>14345</v>
      </c>
      <c r="C5624" s="2" t="s">
        <v>14345</v>
      </c>
      <c r="D5624" s="4" t="str">
        <f>vlookup(A5624, Sheet2!D:E, 2, 0)</f>
        <v>control</v>
      </c>
      <c r="E5624" s="4" t="str">
        <f>IFERROR(__xludf.DUMMYFUNCTION("if(H5624=""pays"",vlookup(REGEXEXTRACT(C5624, ""🏘️ \w+ \w+ (.*) ✅""),'Country prepositions'!A:B, 2, 0) &amp; "" "" &amp; REGEXEXTRACT(C5624, ""🏘️ \w+ \w+ (.*) ✅"") ,  if(H5624=""quartier"",vlookup(REGEXEXTRACT(C5624, ""🏘️ \w+ \w+ (.*) ✅""),'Quartier prepositio"&amp;"ns'!A:E, 5, 0) ,  if(H5624=""region"",vlookup(REGEXEXTRACT(C5624, ""🏘️ \w+ \w+ (.*) ✅""),'Region prepositions'!B:F, 5, 0),  REGEXEXTRACT(C5624, ""🏘️ \w+ \w+ (.*) ✅""))))"),"#N/A")</f>
        <v>#N/A</v>
      </c>
      <c r="I5624" s="4" t="str">
        <f>IFERROR(__xludf.DUMMYFUNCTION("if(D5624=""variant"",  substitute(filter(Templates!E:E, Templates!A:A = F5624, Templates!B:B = G5624, Templates!C:C = H5624), ""{{}}"", E5624), B5624)"),"Vendre maison Vens (Sembrancher): Trouvez le bien immobilier qui correspond idéalement à vos désirs sur ImmoScout24 - La plateforme de l'immobilier en Suisse.")</f>
        <v>Vendre maison Vens (Sembrancher): Trouvez le bien immobilier qui correspond idéalement à vos désirs sur ImmoScout24 - La plateforme de l'immobilier en Suisse.</v>
      </c>
    </row>
    <row r="5625" hidden="1">
      <c r="A5625" s="5" t="s">
        <v>14346</v>
      </c>
      <c r="B5625" s="2" t="s">
        <v>14347</v>
      </c>
      <c r="C5625" s="2" t="s">
        <v>14347</v>
      </c>
      <c r="D5625" s="4" t="str">
        <f>vlookup(A5625, Sheet2!D:E, 2, 0)</f>
        <v>control</v>
      </c>
      <c r="E5625" s="4" t="str">
        <f>IFERROR(__xludf.DUMMYFUNCTION("if(H5625=""pays"",vlookup(REGEXEXTRACT(C5625, ""🏘️ \w+ \w+ (.*) ✅""),'Country prepositions'!A:B, 2, 0) &amp; "" "" &amp; REGEXEXTRACT(C5625, ""🏘️ \w+ \w+ (.*) ✅"") ,  if(H5625=""quartier"",vlookup(REGEXEXTRACT(C5625, ""🏘️ \w+ \w+ (.*) ✅""),'Quartier prepositio"&amp;"ns'!A:E, 5, 0) ,  if(H5625=""region"",vlookup(REGEXEXTRACT(C5625, ""🏘️ \w+ \w+ (.*) ✅""),'Region prepositions'!B:F, 5, 0),  REGEXEXTRACT(C5625, ""🏘️ \w+ \w+ (.*) ✅""))))"),"#N/A")</f>
        <v>#N/A</v>
      </c>
      <c r="I5625" s="4" t="str">
        <f>IFERROR(__xludf.DUMMYFUNCTION("if(D5625=""variant"",  substitute(filter(Templates!E:E, Templates!A:A = F5625, Templates!B:B = G5625, Templates!C:C = H5625), ""{{}}"", E5625), B5625)"),"Vendre maison Kirchberg BE: Trouvez le bien immobilier qui correspond idéalement à vos désirs sur ImmoScout24 - La plateforme de l'immobilier en Suisse.")</f>
        <v>Vendre maison Kirchberg BE: Trouvez le bien immobilier qui correspond idéalement à vos désirs sur ImmoScout24 - La plateforme de l'immobilier en Suisse.</v>
      </c>
    </row>
    <row r="5626" hidden="1">
      <c r="A5626" s="5" t="s">
        <v>14348</v>
      </c>
      <c r="B5626" s="2" t="s">
        <v>14349</v>
      </c>
      <c r="C5626" s="2" t="s">
        <v>14349</v>
      </c>
      <c r="D5626" s="4" t="str">
        <f>vlookup(A5626, Sheet2!D:E, 2, 0)</f>
        <v>control</v>
      </c>
      <c r="E5626" s="4" t="str">
        <f>IFERROR(__xludf.DUMMYFUNCTION("if(H5626=""pays"",vlookup(REGEXEXTRACT(C5626, ""🏘️ \w+ \w+ (.*) ✅""),'Country prepositions'!A:B, 2, 0) &amp; "" "" &amp; REGEXEXTRACT(C5626, ""🏘️ \w+ \w+ (.*) ✅"") ,  if(H5626=""quartier"",vlookup(REGEXEXTRACT(C5626, ""🏘️ \w+ \w+ (.*) ✅""),'Quartier prepositio"&amp;"ns'!A:E, 5, 0) ,  if(H5626=""region"",vlookup(REGEXEXTRACT(C5626, ""🏘️ \w+ \w+ (.*) ✅""),'Region prepositions'!B:F, 5, 0),  REGEXEXTRACT(C5626, ""🏘️ \w+ \w+ (.*) ✅""))))"),"#N/A")</f>
        <v>#N/A</v>
      </c>
      <c r="I5626" s="4" t="str">
        <f>IFERROR(__xludf.DUMMYFUNCTION("if(D5626=""variant"",  substitute(filter(Templates!E:E, Templates!A:A = F5626, Templates!B:B = G5626, Templates!C:C = H5626), ""{{}}"", E5626), B5626)"),"Vendre appartement Naters: Trouvez le bien immobilier qui correspond idéalement à vos désirs sur ImmoScout24 - La plateforme de l'immobilier en Suisse.")</f>
        <v>Vendre appartement Naters: Trouvez le bien immobilier qui correspond idéalement à vos désirs sur ImmoScout24 - La plateforme de l'immobilier en Suisse.</v>
      </c>
    </row>
    <row r="5627" hidden="1">
      <c r="A5627" s="5" t="s">
        <v>14350</v>
      </c>
      <c r="B5627" s="2" t="s">
        <v>14351</v>
      </c>
      <c r="C5627" s="2" t="s">
        <v>14351</v>
      </c>
      <c r="D5627" s="4" t="str">
        <f>vlookup(A5627, Sheet2!D:E, 2, 0)</f>
        <v>control</v>
      </c>
      <c r="E5627" s="4" t="str">
        <f>IFERROR(__xludf.DUMMYFUNCTION("if(H5627=""pays"",vlookup(REGEXEXTRACT(C5627, ""🏘️ \w+ \w+ (.*) ✅""),'Country prepositions'!A:B, 2, 0) &amp; "" "" &amp; REGEXEXTRACT(C5627, ""🏘️ \w+ \w+ (.*) ✅"") ,  if(H5627=""quartier"",vlookup(REGEXEXTRACT(C5627, ""🏘️ \w+ \w+ (.*) ✅""),'Quartier prepositio"&amp;"ns'!A:E, 5, 0) ,  if(H5627=""region"",vlookup(REGEXEXTRACT(C5627, ""🏘️ \w+ \w+ (.*) ✅""),'Region prepositions'!B:F, 5, 0),  REGEXEXTRACT(C5627, ""🏘️ \w+ \w+ (.*) ✅""))))"),"#N/A")</f>
        <v>#N/A</v>
      </c>
      <c r="I5627" s="4" t="str">
        <f>IFERROR(__xludf.DUMMYFUNCTION("if(D5627=""variant"",  substitute(filter(Templates!E:E, Templates!A:A = F5627, Templates!B:B = G5627, Templates!C:C = H5627), ""{{}}"", E5627), B5627)"),"Vendre maison Cham: Trouvez le bien immobilier qui correspond idéalement à vos désirs sur ImmoScout24 - La plateforme de l'immobilier en Suisse.")</f>
        <v>Vendre maison Cham: Trouvez le bien immobilier qui correspond idéalement à vos désirs sur ImmoScout24 - La plateforme de l'immobilier en Suisse.</v>
      </c>
    </row>
    <row r="5628" hidden="1">
      <c r="A5628" s="5" t="s">
        <v>14352</v>
      </c>
      <c r="B5628" s="2" t="s">
        <v>14353</v>
      </c>
      <c r="C5628" s="2" t="s">
        <v>14353</v>
      </c>
      <c r="D5628" s="4" t="str">
        <f>vlookup(A5628, Sheet2!D:E, 2, 0)</f>
        <v>control</v>
      </c>
      <c r="E5628" s="4" t="str">
        <f>IFERROR(__xludf.DUMMYFUNCTION("if(H5628=""pays"",vlookup(REGEXEXTRACT(C5628, ""🏘️ \w+ \w+ (.*) ✅""),'Country prepositions'!A:B, 2, 0) &amp; "" "" &amp; REGEXEXTRACT(C5628, ""🏘️ \w+ \w+ (.*) ✅"") ,  if(H5628=""quartier"",vlookup(REGEXEXTRACT(C5628, ""🏘️ \w+ \w+ (.*) ✅""),'Quartier prepositio"&amp;"ns'!A:E, 5, 0) ,  if(H5628=""region"",vlookup(REGEXEXTRACT(C5628, ""🏘️ \w+ \w+ (.*) ✅""),'Region prepositions'!B:F, 5, 0),  REGEXEXTRACT(C5628, ""🏘️ \w+ \w+ (.*) ✅""))))"),"#N/A")</f>
        <v>#N/A</v>
      </c>
      <c r="I5628" s="4" t="str">
        <f>IFERROR(__xludf.DUMMYFUNCTION("if(D5628=""variant"",  substitute(filter(Templates!E:E, Templates!A:A = F5628, Templates!B:B = G5628, Templates!C:C = H5628), ""{{}}"", E5628), B5628)"),"Louer appartement Montezillon: Trouvez le bien immobilier qui correspond idéalement à vos désirs sur ImmoScout24 - La plateforme de l'immobilier en Suisse.")</f>
        <v>Louer appartement Montezillon: Trouvez le bien immobilier qui correspond idéalement à vos désirs sur ImmoScout24 - La plateforme de l'immobilier en Suisse.</v>
      </c>
    </row>
    <row r="5629" hidden="1">
      <c r="A5629" s="5" t="s">
        <v>14354</v>
      </c>
      <c r="B5629" s="2" t="s">
        <v>14355</v>
      </c>
      <c r="C5629" s="2" t="s">
        <v>14355</v>
      </c>
      <c r="D5629" s="4" t="str">
        <f>vlookup(A5629, Sheet2!D:E, 2, 0)</f>
        <v>control</v>
      </c>
      <c r="E5629" s="4" t="str">
        <f>IFERROR(__xludf.DUMMYFUNCTION("if(H5629=""pays"",vlookup(REGEXEXTRACT(C5629, ""🏘️ \w+ \w+ (.*) ✅""),'Country prepositions'!A:B, 2, 0) &amp; "" "" &amp; REGEXEXTRACT(C5629, ""🏘️ \w+ \w+ (.*) ✅"") ,  if(H5629=""quartier"",vlookup(REGEXEXTRACT(C5629, ""🏘️ \w+ \w+ (.*) ✅""),'Quartier prepositio"&amp;"ns'!A:E, 5, 0) ,  if(H5629=""region"",vlookup(REGEXEXTRACT(C5629, ""🏘️ \w+ \w+ (.*) ✅""),'Region prepositions'!B:F, 5, 0),  REGEXEXTRACT(C5629, ""🏘️ \w+ \w+ (.*) ✅""))))"),"#N/A")</f>
        <v>#N/A</v>
      </c>
      <c r="I5629" s="4" t="str">
        <f>IFERROR(__xludf.DUMMYFUNCTION("if(D5629=""variant"",  substitute(filter(Templates!E:E, Templates!A:A = F5629, Templates!B:B = G5629, Templates!C:C = H5629), ""{{}}"", E5629), B5629)"),"Louer maison Praz (Vully): Trouvez le bien immobilier qui correspond idéalement à vos désirs sur ImmoScout24 - La plateforme de l'immobilier en Suisse.")</f>
        <v>Louer maison Praz (Vully): Trouvez le bien immobilier qui correspond idéalement à vos désirs sur ImmoScout24 - La plateforme de l'immobilier en Suisse.</v>
      </c>
    </row>
    <row r="5630" hidden="1">
      <c r="A5630" s="5" t="s">
        <v>14356</v>
      </c>
      <c r="B5630" s="2" t="s">
        <v>14357</v>
      </c>
      <c r="C5630" s="2" t="s">
        <v>14357</v>
      </c>
      <c r="D5630" s="4" t="str">
        <f>vlookup(A5630, Sheet2!D:E, 2, 0)</f>
        <v>control</v>
      </c>
      <c r="E5630" s="4" t="str">
        <f>IFERROR(__xludf.DUMMYFUNCTION("if(H5630=""pays"",vlookup(REGEXEXTRACT(C5630, ""🏘️ \w+ \w+ (.*) ✅""),'Country prepositions'!A:B, 2, 0) &amp; "" "" &amp; REGEXEXTRACT(C5630, ""🏘️ \w+ \w+ (.*) ✅"") ,  if(H5630=""quartier"",vlookup(REGEXEXTRACT(C5630, ""🏘️ \w+ \w+ (.*) ✅""),'Quartier prepositio"&amp;"ns'!A:E, 5, 0) ,  if(H5630=""region"",vlookup(REGEXEXTRACT(C5630, ""🏘️ \w+ \w+ (.*) ✅""),'Region prepositions'!B:F, 5, 0),  REGEXEXTRACT(C5630, ""🏘️ \w+ \w+ (.*) ✅""))))"),"#N/A")</f>
        <v>#N/A</v>
      </c>
      <c r="I5630" s="4" t="str">
        <f>IFERROR(__xludf.DUMMYFUNCTION("if(D5630=""variant"",  substitute(filter(Templates!E:E, Templates!A:A = F5630, Templates!B:B = G5630, Templates!C:C = H5630), ""{{}}"", E5630), B5630)"),"Louer appartement Reichenbach im Kandertal: Trouvez le bien immobilier qui correspond idéalement à vos désirs sur ImmoScout24 - La plateforme de l'immobilier en Suisse.")</f>
        <v>Louer appartement Reichenbach im Kandertal: Trouvez le bien immobilier qui correspond idéalement à vos désirs sur ImmoScout24 - La plateforme de l'immobilier en Suisse.</v>
      </c>
    </row>
    <row r="5631" hidden="1">
      <c r="A5631" s="5" t="s">
        <v>14358</v>
      </c>
      <c r="B5631" s="2" t="s">
        <v>14359</v>
      </c>
      <c r="C5631" s="2" t="s">
        <v>14359</v>
      </c>
      <c r="D5631" s="4" t="str">
        <f>vlookup(A5631, Sheet2!D:E, 2, 0)</f>
        <v>control</v>
      </c>
      <c r="E5631" s="4" t="str">
        <f>IFERROR(__xludf.DUMMYFUNCTION("if(H5631=""pays"",vlookup(REGEXEXTRACT(C5631, ""🏘️ \w+ \w+ (.*) ✅""),'Country prepositions'!A:B, 2, 0) &amp; "" "" &amp; REGEXEXTRACT(C5631, ""🏘️ \w+ \w+ (.*) ✅"") ,  if(H5631=""quartier"",vlookup(REGEXEXTRACT(C5631, ""🏘️ \w+ \w+ (.*) ✅""),'Quartier prepositio"&amp;"ns'!A:E, 5, 0) ,  if(H5631=""region"",vlookup(REGEXEXTRACT(C5631, ""🏘️ \w+ \w+ (.*) ✅""),'Region prepositions'!B:F, 5, 0),  REGEXEXTRACT(C5631, ""🏘️ \w+ \w+ (.*) ✅""))))"),"#N/A")</f>
        <v>#N/A</v>
      </c>
      <c r="I5631" s="4" t="str">
        <f>IFERROR(__xludf.DUMMYFUNCTION("if(D5631=""variant"",  substitute(filter(Templates!E:E, Templates!A:A = F5631, Templates!B:B = G5631, Templates!C:C = H5631), ""{{}}"", E5631), B5631)"),"Vendre maison Winden: Trouvez le bien immobilier qui correspond idéalement à vos désirs sur ImmoScout24 - La plateforme de l'immobilier en Suisse.")</f>
        <v>Vendre maison Winden: Trouvez le bien immobilier qui correspond idéalement à vos désirs sur ImmoScout24 - La plateforme de l'immobilier en Suisse.</v>
      </c>
    </row>
    <row r="5632" hidden="1">
      <c r="A5632" s="5" t="s">
        <v>14360</v>
      </c>
      <c r="B5632" s="2" t="s">
        <v>14361</v>
      </c>
      <c r="C5632" s="2" t="s">
        <v>14361</v>
      </c>
      <c r="D5632" s="4" t="str">
        <f>vlookup(A5632, Sheet2!D:E, 2, 0)</f>
        <v>control</v>
      </c>
      <c r="E5632" s="4" t="str">
        <f>IFERROR(__xludf.DUMMYFUNCTION("if(H5632=""pays"",vlookup(REGEXEXTRACT(C5632, ""🏘️ \w+ \w+ (.*) ✅""),'Country prepositions'!A:B, 2, 0) &amp; "" "" &amp; REGEXEXTRACT(C5632, ""🏘️ \w+ \w+ (.*) ✅"") ,  if(H5632=""quartier"",vlookup(REGEXEXTRACT(C5632, ""🏘️ \w+ \w+ (.*) ✅""),'Quartier prepositio"&amp;"ns'!A:E, 5, 0) ,  if(H5632=""region"",vlookup(REGEXEXTRACT(C5632, ""🏘️ \w+ \w+ (.*) ✅""),'Region prepositions'!B:F, 5, 0),  REGEXEXTRACT(C5632, ""🏘️ \w+ \w+ (.*) ✅""))))"),"#N/A")</f>
        <v>#N/A</v>
      </c>
      <c r="I5632" s="4" t="str">
        <f>IFERROR(__xludf.DUMMYFUNCTION("if(D5632=""variant"",  substitute(filter(Templates!E:E, Templates!A:A = F5632, Templates!B:B = G5632, Templates!C:C = H5632), ""{{}}"", E5632), B5632)"),"Louer appartement Villars-Mendraz: Trouvez le bien immobilier qui correspond idéalement à vos désirs sur ImmoScout24 - La plateforme de l'immobilier en Suisse.")</f>
        <v>Louer appartement Villars-Mendraz: Trouvez le bien immobilier qui correspond idéalement à vos désirs sur ImmoScout24 - La plateforme de l'immobilier en Suisse.</v>
      </c>
    </row>
    <row r="5633" hidden="1">
      <c r="A5633" s="5" t="s">
        <v>14362</v>
      </c>
      <c r="B5633" s="2" t="s">
        <v>14363</v>
      </c>
      <c r="C5633" s="2" t="s">
        <v>14363</v>
      </c>
      <c r="D5633" s="4" t="str">
        <f>vlookup(A5633, Sheet2!D:E, 2, 0)</f>
        <v>control</v>
      </c>
      <c r="E5633" s="4" t="str">
        <f>IFERROR(__xludf.DUMMYFUNCTION("if(H5633=""pays"",vlookup(REGEXEXTRACT(C5633, ""🏘️ \w+ \w+ (.*) ✅""),'Country prepositions'!A:B, 2, 0) &amp; "" "" &amp; REGEXEXTRACT(C5633, ""🏘️ \w+ \w+ (.*) ✅"") ,  if(H5633=""quartier"",vlookup(REGEXEXTRACT(C5633, ""🏘️ \w+ \w+ (.*) ✅""),'Quartier prepositio"&amp;"ns'!A:E, 5, 0) ,  if(H5633=""region"",vlookup(REGEXEXTRACT(C5633, ""🏘️ \w+ \w+ (.*) ✅""),'Region prepositions'!B:F, 5, 0),  REGEXEXTRACT(C5633, ""🏘️ \w+ \w+ (.*) ✅""))))"),"#N/A")</f>
        <v>#N/A</v>
      </c>
      <c r="I5633" s="4" t="str">
        <f>IFERROR(__xludf.DUMMYFUNCTION("if(D5633=""variant"",  substitute(filter(Templates!E:E, Templates!A:A = F5633, Templates!B:B = G5633, Templates!C:C = H5633), ""{{}}"", E5633), B5633)"),"Vendre maison Guttannen: Trouvez le bien immobilier qui correspond idéalement à vos désirs sur ImmoScout24 - La plateforme de l'immobilier en Suisse.")</f>
        <v>Vendre maison Guttannen: Trouvez le bien immobilier qui correspond idéalement à vos désirs sur ImmoScout24 - La plateforme de l'immobilier en Suisse.</v>
      </c>
    </row>
    <row r="5634" hidden="1">
      <c r="A5634" s="5" t="s">
        <v>14364</v>
      </c>
      <c r="B5634" s="2" t="s">
        <v>14365</v>
      </c>
      <c r="C5634" s="2" t="s">
        <v>14365</v>
      </c>
      <c r="D5634" s="4" t="str">
        <f>vlookup(A5634, Sheet2!D:E, 2, 0)</f>
        <v>control</v>
      </c>
      <c r="E5634" s="4" t="str">
        <f>IFERROR(__xludf.DUMMYFUNCTION("if(H5634=""pays"",vlookup(REGEXEXTRACT(C5634, ""🏘️ \w+ \w+ (.*) ✅""),'Country prepositions'!A:B, 2, 0) &amp; "" "" &amp; REGEXEXTRACT(C5634, ""🏘️ \w+ \w+ (.*) ✅"") ,  if(H5634=""quartier"",vlookup(REGEXEXTRACT(C5634, ""🏘️ \w+ \w+ (.*) ✅""),'Quartier prepositio"&amp;"ns'!A:E, 5, 0) ,  if(H5634=""region"",vlookup(REGEXEXTRACT(C5634, ""🏘️ \w+ \w+ (.*) ✅""),'Region prepositions'!B:F, 5, 0),  REGEXEXTRACT(C5634, ""🏘️ \w+ \w+ (.*) ✅""))))"),"#N/A")</f>
        <v>#N/A</v>
      </c>
      <c r="I5634" s="4" t="str">
        <f>IFERROR(__xludf.DUMMYFUNCTION("if(D5634=""variant"",  substitute(filter(Templates!E:E, Templates!A:A = F5634, Templates!B:B = G5634, Templates!C:C = H5634), ""{{}}"", E5634), B5634)"),"Vendre maison Sessa: Trouvez le bien immobilier qui correspond idéalement à vos désirs sur ImmoScout24 - La plateforme de l'immobilier en Suisse.")</f>
        <v>Vendre maison Sessa: Trouvez le bien immobilier qui correspond idéalement à vos désirs sur ImmoScout24 - La plateforme de l'immobilier en Suisse.</v>
      </c>
    </row>
    <row r="5635" hidden="1">
      <c r="A5635" s="5" t="s">
        <v>14366</v>
      </c>
      <c r="B5635" s="2" t="s">
        <v>14367</v>
      </c>
      <c r="C5635" s="2" t="s">
        <v>14367</v>
      </c>
      <c r="D5635" s="4" t="str">
        <f>vlookup(A5635, Sheet2!D:E, 2, 0)</f>
        <v>control</v>
      </c>
      <c r="E5635" s="4" t="str">
        <f>IFERROR(__xludf.DUMMYFUNCTION("if(H5635=""pays"",vlookup(REGEXEXTRACT(C5635, ""🏘️ \w+ \w+ (.*) ✅""),'Country prepositions'!A:B, 2, 0) &amp; "" "" &amp; REGEXEXTRACT(C5635, ""🏘️ \w+ \w+ (.*) ✅"") ,  if(H5635=""quartier"",vlookup(REGEXEXTRACT(C5635, ""🏘️ \w+ \w+ (.*) ✅""),'Quartier prepositio"&amp;"ns'!A:E, 5, 0) ,  if(H5635=""region"",vlookup(REGEXEXTRACT(C5635, ""🏘️ \w+ \w+ (.*) ✅""),'Region prepositions'!B:F, 5, 0),  REGEXEXTRACT(C5635, ""🏘️ \w+ \w+ (.*) ✅""))))"),"#N/A")</f>
        <v>#N/A</v>
      </c>
      <c r="I5635" s="4" t="str">
        <f>IFERROR(__xludf.DUMMYFUNCTION("if(D5635=""variant"",  substitute(filter(Templates!E:E, Templates!A:A = F5635, Templates!B:B = G5635, Templates!C:C = H5635), ""{{}}"", E5635), B5635)"),"Louer maison Troistorrents: Trouvez le bien immobilier qui correspond idéalement à vos désirs sur ImmoScout24 - La plateforme de l'immobilier en Suisse.")</f>
        <v>Louer maison Troistorrents: Trouvez le bien immobilier qui correspond idéalement à vos désirs sur ImmoScout24 - La plateforme de l'immobilier en Suisse.</v>
      </c>
    </row>
    <row r="5636" hidden="1">
      <c r="A5636" s="5" t="s">
        <v>14368</v>
      </c>
      <c r="B5636" s="2" t="s">
        <v>14369</v>
      </c>
      <c r="C5636" s="2" t="s">
        <v>14369</v>
      </c>
      <c r="D5636" s="4" t="str">
        <f>vlookup(A5636, Sheet2!D:E, 2, 0)</f>
        <v>control</v>
      </c>
      <c r="E5636" s="4" t="str">
        <f>IFERROR(__xludf.DUMMYFUNCTION("if(H5636=""pays"",vlookup(REGEXEXTRACT(C5636, ""🏘️ \w+ \w+ (.*) ✅""),'Country prepositions'!A:B, 2, 0) &amp; "" "" &amp; REGEXEXTRACT(C5636, ""🏘️ \w+ \w+ (.*) ✅"") ,  if(H5636=""quartier"",vlookup(REGEXEXTRACT(C5636, ""🏘️ \w+ \w+ (.*) ✅""),'Quartier prepositio"&amp;"ns'!A:E, 5, 0) ,  if(H5636=""region"",vlookup(REGEXEXTRACT(C5636, ""🏘️ \w+ \w+ (.*) ✅""),'Region prepositions'!B:F, 5, 0),  REGEXEXTRACT(C5636, ""🏘️ \w+ \w+ (.*) ✅""))))"),"#N/A")</f>
        <v>#N/A</v>
      </c>
      <c r="I5636" s="4" t="str">
        <f>IFERROR(__xludf.DUMMYFUNCTION("if(D5636=""variant"",  substitute(filter(Templates!E:E, Templates!A:A = F5636, Templates!B:B = G5636, Templates!C:C = H5636), ""{{}}"", E5636), B5636)"),"Louer appartement Adlikon b. Regensdorf: Trouvez le bien immobilier qui correspond idéalement à vos désirs sur ImmoScout24 - La plateforme de l'immobilier en Suisse.")</f>
        <v>Louer appartement Adlikon b. Regensdorf: Trouvez le bien immobilier qui correspond idéalement à vos désirs sur ImmoScout24 - La plateforme de l'immobilier en Suisse.</v>
      </c>
    </row>
    <row r="5637" hidden="1">
      <c r="A5637" s="5" t="s">
        <v>14370</v>
      </c>
      <c r="B5637" s="2" t="s">
        <v>14371</v>
      </c>
      <c r="C5637" s="2" t="s">
        <v>14371</v>
      </c>
      <c r="D5637" s="4" t="str">
        <f>vlookup(A5637, Sheet2!D:E, 2, 0)</f>
        <v>control</v>
      </c>
      <c r="E5637" s="4" t="str">
        <f>IFERROR(__xludf.DUMMYFUNCTION("if(H5637=""pays"",vlookup(REGEXEXTRACT(C5637, ""🏘️ \w+ \w+ (.*) ✅""),'Country prepositions'!A:B, 2, 0) &amp; "" "" &amp; REGEXEXTRACT(C5637, ""🏘️ \w+ \w+ (.*) ✅"") ,  if(H5637=""quartier"",vlookup(REGEXEXTRACT(C5637, ""🏘️ \w+ \w+ (.*) ✅""),'Quartier prepositio"&amp;"ns'!A:E, 5, 0) ,  if(H5637=""region"",vlookup(REGEXEXTRACT(C5637, ""🏘️ \w+ \w+ (.*) ✅""),'Region prepositions'!B:F, 5, 0),  REGEXEXTRACT(C5637, ""🏘️ \w+ \w+ (.*) ✅""))))"),"#N/A")</f>
        <v>#N/A</v>
      </c>
      <c r="I5637" s="4" t="str">
        <f>IFERROR(__xludf.DUMMYFUNCTION("if(D5637=""variant"",  substitute(filter(Templates!E:E, Templates!A:A = F5637, Templates!B:B = G5637, Templates!C:C = H5637), ""{{}}"", E5637), B5637)"),"Louer appartement Pompaples: Trouvez le bien immobilier qui correspond idéalement à vos désirs sur ImmoScout24 - La plateforme de l'immobilier en Suisse.")</f>
        <v>Louer appartement Pompaples: Trouvez le bien immobilier qui correspond idéalement à vos désirs sur ImmoScout24 - La plateforme de l'immobilier en Suisse.</v>
      </c>
    </row>
    <row r="5638" hidden="1">
      <c r="A5638" s="5" t="s">
        <v>14372</v>
      </c>
      <c r="B5638" s="2" t="s">
        <v>14373</v>
      </c>
      <c r="C5638" s="2" t="s">
        <v>14373</v>
      </c>
      <c r="D5638" s="4" t="str">
        <f>vlookup(A5638, Sheet2!D:E, 2, 0)</f>
        <v>control</v>
      </c>
      <c r="E5638" s="4" t="str">
        <f>IFERROR(__xludf.DUMMYFUNCTION("if(H5638=""pays"",vlookup(REGEXEXTRACT(C5638, ""🏘️ \w+ \w+ (.*) ✅""),'Country prepositions'!A:B, 2, 0) &amp; "" "" &amp; REGEXEXTRACT(C5638, ""🏘️ \w+ \w+ (.*) ✅"") ,  if(H5638=""quartier"",vlookup(REGEXEXTRACT(C5638, ""🏘️ \w+ \w+ (.*) ✅""),'Quartier prepositio"&amp;"ns'!A:E, 5, 0) ,  if(H5638=""region"",vlookup(REGEXEXTRACT(C5638, ""🏘️ \w+ \w+ (.*) ✅""),'Region prepositions'!B:F, 5, 0),  REGEXEXTRACT(C5638, ""🏘️ \w+ \w+ (.*) ✅""))))"),"#N/A")</f>
        <v>#N/A</v>
      </c>
      <c r="I5638" s="4" t="str">
        <f>IFERROR(__xludf.DUMMYFUNCTION("if(D5638=""variant"",  substitute(filter(Templates!E:E, Templates!A:A = F5638, Templates!B:B = G5638, Templates!C:C = H5638), ""{{}}"", E5638), B5638)"),"Louer appartement Westquartier (Thun): Trouvez le bien immobilier qui correspond idéalement à vos désirs sur ImmoScout24 - La plateforme de l'immobilier en Suisse.")</f>
        <v>Louer appartement Westquartier (Thun): Trouvez le bien immobilier qui correspond idéalement à vos désirs sur ImmoScout24 - La plateforme de l'immobilier en Suisse.</v>
      </c>
    </row>
    <row r="5639" hidden="1">
      <c r="A5639" s="5" t="s">
        <v>14374</v>
      </c>
      <c r="B5639" s="2" t="s">
        <v>14375</v>
      </c>
      <c r="C5639" s="2" t="s">
        <v>14375</v>
      </c>
      <c r="D5639" s="4" t="str">
        <f>vlookup(A5639, Sheet2!D:E, 2, 0)</f>
        <v>control</v>
      </c>
      <c r="E5639" s="4" t="str">
        <f>IFERROR(__xludf.DUMMYFUNCTION("if(H5639=""pays"",vlookup(REGEXEXTRACT(C5639, ""🏘️ \w+ \w+ (.*) ✅""),'Country prepositions'!A:B, 2, 0) &amp; "" "" &amp; REGEXEXTRACT(C5639, ""🏘️ \w+ \w+ (.*) ✅"") ,  if(H5639=""quartier"",vlookup(REGEXEXTRACT(C5639, ""🏘️ \w+ \w+ (.*) ✅""),'Quartier prepositio"&amp;"ns'!A:E, 5, 0) ,  if(H5639=""region"",vlookup(REGEXEXTRACT(C5639, ""🏘️ \w+ \w+ (.*) ✅""),'Region prepositions'!B:F, 5, 0),  REGEXEXTRACT(C5639, ""🏘️ \w+ \w+ (.*) ✅""))))"),"#N/A")</f>
        <v>#N/A</v>
      </c>
      <c r="I5639" s="4" t="str">
        <f>IFERROR(__xludf.DUMMYFUNCTION("if(D5639=""variant"",  substitute(filter(Templates!E:E, Templates!A:A = F5639, Templates!B:B = G5639, Templates!C:C = H5639), ""{{}}"", E5639), B5639)"),"Vendre appartement La Chaux (Cossonay): Trouvez le bien immobilier qui correspond idéalement à vos désirs sur ImmoScout24 - La plateforme de l'immobilier en Suisse.")</f>
        <v>Vendre appartement La Chaux (Cossonay): Trouvez le bien immobilier qui correspond idéalement à vos désirs sur ImmoScout24 - La plateforme de l'immobilier en Suisse.</v>
      </c>
    </row>
    <row r="5640" hidden="1">
      <c r="A5640" s="5" t="s">
        <v>14376</v>
      </c>
      <c r="B5640" s="2" t="s">
        <v>14377</v>
      </c>
      <c r="C5640" s="2" t="s">
        <v>14377</v>
      </c>
      <c r="D5640" s="4" t="str">
        <f>vlookup(A5640, Sheet2!D:E, 2, 0)</f>
        <v>control</v>
      </c>
      <c r="E5640" s="4" t="str">
        <f>IFERROR(__xludf.DUMMYFUNCTION("if(H5640=""pays"",vlookup(REGEXEXTRACT(C5640, ""🏘️ \w+ \w+ (.*) ✅""),'Country prepositions'!A:B, 2, 0) &amp; "" "" &amp; REGEXEXTRACT(C5640, ""🏘️ \w+ \w+ (.*) ✅"") ,  if(H5640=""quartier"",vlookup(REGEXEXTRACT(C5640, ""🏘️ \w+ \w+ (.*) ✅""),'Quartier prepositio"&amp;"ns'!A:E, 5, 0) ,  if(H5640=""region"",vlookup(REGEXEXTRACT(C5640, ""🏘️ \w+ \w+ (.*) ✅""),'Region prepositions'!B:F, 5, 0),  REGEXEXTRACT(C5640, ""🏘️ \w+ \w+ (.*) ✅""))))"),"#N/A")</f>
        <v>#N/A</v>
      </c>
      <c r="I5640" s="4" t="str">
        <f>IFERROR(__xludf.DUMMYFUNCTION("if(D5640=""variant"",  substitute(filter(Templates!E:E, Templates!A:A = F5640, Templates!B:B = G5640, Templates!C:C = H5640), ""{{}}"", E5640), B5640)"),"Louer appartement Freienbach: Trouvez le bien immobilier qui correspond idéalement à vos désirs sur ImmoScout24 - La plateforme de l'immobilier en Suisse.")</f>
        <v>Louer appartement Freienbach: Trouvez le bien immobilier qui correspond idéalement à vos désirs sur ImmoScout24 - La plateforme de l'immobilier en Suisse.</v>
      </c>
    </row>
    <row r="5641" hidden="1">
      <c r="A5641" s="5" t="s">
        <v>14378</v>
      </c>
      <c r="B5641" s="2" t="s">
        <v>14379</v>
      </c>
      <c r="C5641" s="2" t="s">
        <v>14379</v>
      </c>
      <c r="D5641" s="4" t="str">
        <f>vlookup(A5641, Sheet2!D:E, 2, 0)</f>
        <v>control</v>
      </c>
      <c r="E5641" s="4" t="str">
        <f>IFERROR(__xludf.DUMMYFUNCTION("if(H5641=""pays"",vlookup(REGEXEXTRACT(C5641, ""🏘️ \w+ \w+ (.*) ✅""),'Country prepositions'!A:B, 2, 0) &amp; "" "" &amp; REGEXEXTRACT(C5641, ""🏘️ \w+ \w+ (.*) ✅"") ,  if(H5641=""quartier"",vlookup(REGEXEXTRACT(C5641, ""🏘️ \w+ \w+ (.*) ✅""),'Quartier prepositio"&amp;"ns'!A:E, 5, 0) ,  if(H5641=""region"",vlookup(REGEXEXTRACT(C5641, ""🏘️ \w+ \w+ (.*) ✅""),'Region prepositions'!B:F, 5, 0),  REGEXEXTRACT(C5641, ""🏘️ \w+ \w+ (.*) ✅""))))"),"#N/A")</f>
        <v>#N/A</v>
      </c>
      <c r="I5641" s="4" t="str">
        <f>IFERROR(__xludf.DUMMYFUNCTION("if(D5641=""variant"",  substitute(filter(Templates!E:E, Templates!A:A = F5641, Templates!B:B = G5641, Templates!C:C = H5641), ""{{}}"", E5641), B5641)"),"Vendre appartement Rheinau: Trouvez le bien immobilier qui correspond idéalement à vos désirs sur ImmoScout24 - La plateforme de l'immobilier en Suisse.")</f>
        <v>Vendre appartement Rheinau: Trouvez le bien immobilier qui correspond idéalement à vos désirs sur ImmoScout24 - La plateforme de l'immobilier en Suisse.</v>
      </c>
    </row>
    <row r="5642" hidden="1">
      <c r="A5642" s="5" t="s">
        <v>14380</v>
      </c>
      <c r="B5642" s="2" t="s">
        <v>14381</v>
      </c>
      <c r="C5642" s="2" t="s">
        <v>14381</v>
      </c>
      <c r="D5642" s="4" t="str">
        <f>vlookup(A5642, Sheet2!D:E, 2, 0)</f>
        <v>control</v>
      </c>
      <c r="E5642" s="4" t="str">
        <f>IFERROR(__xludf.DUMMYFUNCTION("if(H5642=""pays"",vlookup(REGEXEXTRACT(C5642, ""🏘️ \w+ \w+ (.*) ✅""),'Country prepositions'!A:B, 2, 0) &amp; "" "" &amp; REGEXEXTRACT(C5642, ""🏘️ \w+ \w+ (.*) ✅"") ,  if(H5642=""quartier"",vlookup(REGEXEXTRACT(C5642, ""🏘️ \w+ \w+ (.*) ✅""),'Quartier prepositio"&amp;"ns'!A:E, 5, 0) ,  if(H5642=""region"",vlookup(REGEXEXTRACT(C5642, ""🏘️ \w+ \w+ (.*) ✅""),'Region prepositions'!B:F, 5, 0),  REGEXEXTRACT(C5642, ""🏘️ \w+ \w+ (.*) ✅""))))"),"#N/A")</f>
        <v>#N/A</v>
      </c>
      <c r="I5642" s="4" t="str">
        <f>IFERROR(__xludf.DUMMYFUNCTION("if(D5642=""variant"",  substitute(filter(Templates!E:E, Templates!A:A = F5642, Templates!B:B = G5642, Templates!C:C = H5642), ""{{}}"", E5642), B5642)"),"Vendre appartement Alpes (Neuchâtel): Trouvez le bien immobilier qui correspond idéalement à vos désirs sur ImmoScout24 - La plateforme de l'immobilier en Suisse.")</f>
        <v>Vendre appartement Alpes (Neuchâtel): Trouvez le bien immobilier qui correspond idéalement à vos désirs sur ImmoScout24 - La plateforme de l'immobilier en Suisse.</v>
      </c>
    </row>
    <row r="5643" hidden="1">
      <c r="A5643" s="5" t="s">
        <v>14382</v>
      </c>
      <c r="B5643" s="2" t="s">
        <v>14383</v>
      </c>
      <c r="C5643" s="2" t="s">
        <v>14383</v>
      </c>
      <c r="D5643" s="4" t="str">
        <f>vlookup(A5643, Sheet2!D:E, 2, 0)</f>
        <v>control</v>
      </c>
      <c r="E5643" s="4" t="str">
        <f>IFERROR(__xludf.DUMMYFUNCTION("if(H5643=""pays"",vlookup(REGEXEXTRACT(C5643, ""🏘️ \w+ \w+ (.*) ✅""),'Country prepositions'!A:B, 2, 0) &amp; "" "" &amp; REGEXEXTRACT(C5643, ""🏘️ \w+ \w+ (.*) ✅"") ,  if(H5643=""quartier"",vlookup(REGEXEXTRACT(C5643, ""🏘️ \w+ \w+ (.*) ✅""),'Quartier prepositio"&amp;"ns'!A:E, 5, 0) ,  if(H5643=""region"",vlookup(REGEXEXTRACT(C5643, ""🏘️ \w+ \w+ (.*) ✅""),'Region prepositions'!B:F, 5, 0),  REGEXEXTRACT(C5643, ""🏘️ \w+ \w+ (.*) ✅""))))"),"#N/A")</f>
        <v>#N/A</v>
      </c>
      <c r="I5643" s="4" t="str">
        <f>IFERROR(__xludf.DUMMYFUNCTION("if(D5643=""variant"",  substitute(filter(Templates!E:E, Templates!A:A = F5643, Templates!B:B = G5643, Templates!C:C = H5643), ""{{}}"", E5643), B5643)"),"Vendre maison Mézières VD: Trouvez le bien immobilier qui correspond idéalement à vos désirs sur ImmoScout24 - La plateforme de l'immobilier en Suisse.")</f>
        <v>Vendre maison Mézières VD: Trouvez le bien immobilier qui correspond idéalement à vos désirs sur ImmoScout24 - La plateforme de l'immobilier en Suisse.</v>
      </c>
    </row>
    <row r="5644" hidden="1">
      <c r="A5644" s="5" t="s">
        <v>14384</v>
      </c>
      <c r="B5644" s="2" t="s">
        <v>14385</v>
      </c>
      <c r="C5644" s="2" t="s">
        <v>14385</v>
      </c>
      <c r="D5644" s="4" t="str">
        <f>vlookup(A5644, Sheet2!D:E, 2, 0)</f>
        <v>control</v>
      </c>
      <c r="E5644" s="4" t="str">
        <f>IFERROR(__xludf.DUMMYFUNCTION("if(H5644=""pays"",vlookup(REGEXEXTRACT(C5644, ""🏘️ \w+ \w+ (.*) ✅""),'Country prepositions'!A:B, 2, 0) &amp; "" "" &amp; REGEXEXTRACT(C5644, ""🏘️ \w+ \w+ (.*) ✅"") ,  if(H5644=""quartier"",vlookup(REGEXEXTRACT(C5644, ""🏘️ \w+ \w+ (.*) ✅""),'Quartier prepositio"&amp;"ns'!A:E, 5, 0) ,  if(H5644=""region"",vlookup(REGEXEXTRACT(C5644, ""🏘️ \w+ \w+ (.*) ✅""),'Region prepositions'!B:F, 5, 0),  REGEXEXTRACT(C5644, ""🏘️ \w+ \w+ (.*) ✅""))))"),"#N/A")</f>
        <v>#N/A</v>
      </c>
      <c r="I5644" s="4" t="str">
        <f>IFERROR(__xludf.DUMMYFUNCTION("if(D5644=""variant"",  substitute(filter(Templates!E:E, Templates!A:A = F5644, Templates!B:B = G5644, Templates!C:C = H5644), ""{{}}"", E5644), B5644)"),"Louer appartement Seengen: Trouvez le bien immobilier qui correspond idéalement à vos désirs sur ImmoScout24 - La plateforme de l'immobilier en Suisse.")</f>
        <v>Louer appartement Seengen: Trouvez le bien immobilier qui correspond idéalement à vos désirs sur ImmoScout24 - La plateforme de l'immobilier en Suisse.</v>
      </c>
    </row>
    <row r="5645" hidden="1">
      <c r="A5645" s="5" t="s">
        <v>14386</v>
      </c>
      <c r="B5645" s="2" t="s">
        <v>14387</v>
      </c>
      <c r="C5645" s="2" t="s">
        <v>14387</v>
      </c>
      <c r="D5645" s="4" t="str">
        <f>vlookup(A5645, Sheet2!D:E, 2, 0)</f>
        <v>control</v>
      </c>
      <c r="E5645" s="4" t="str">
        <f>IFERROR(__xludf.DUMMYFUNCTION("if(H5645=""pays"",vlookup(REGEXEXTRACT(C5645, ""🏘️ \w+ \w+ (.*) ✅""),'Country prepositions'!A:B, 2, 0) &amp; "" "" &amp; REGEXEXTRACT(C5645, ""🏘️ \w+ \w+ (.*) ✅"") ,  if(H5645=""quartier"",vlookup(REGEXEXTRACT(C5645, ""🏘️ \w+ \w+ (.*) ✅""),'Quartier prepositio"&amp;"ns'!A:E, 5, 0) ,  if(H5645=""region"",vlookup(REGEXEXTRACT(C5645, ""🏘️ \w+ \w+ (.*) ✅""),'Region prepositions'!B:F, 5, 0),  REGEXEXTRACT(C5645, ""🏘️ \w+ \w+ (.*) ✅""))))"),"#N/A")</f>
        <v>#N/A</v>
      </c>
      <c r="I5645" s="4" t="str">
        <f>IFERROR(__xludf.DUMMYFUNCTION("if(D5645=""variant"",  substitute(filter(Templates!E:E, Templates!A:A = F5645, Templates!B:B = G5645, Templates!C:C = H5645), ""{{}}"", E5645), B5645)"),"Vendre maison Anzère: Trouvez le bien immobilier qui correspond idéalement à vos désirs sur ImmoScout24 - La plateforme de l'immobilier en Suisse.")</f>
        <v>Vendre maison Anzère: Trouvez le bien immobilier qui correspond idéalement à vos désirs sur ImmoScout24 - La plateforme de l'immobilier en Suisse.</v>
      </c>
    </row>
    <row r="5646" hidden="1">
      <c r="A5646" s="5" t="s">
        <v>14388</v>
      </c>
      <c r="B5646" s="2" t="s">
        <v>14389</v>
      </c>
      <c r="C5646" s="2" t="s">
        <v>14389</v>
      </c>
      <c r="D5646" s="4" t="str">
        <f>vlookup(A5646, Sheet2!D:E, 2, 0)</f>
        <v>control</v>
      </c>
      <c r="E5646" s="4" t="str">
        <f>IFERROR(__xludf.DUMMYFUNCTION("if(H5646=""pays"",vlookup(REGEXEXTRACT(C5646, ""🏘️ \w+ \w+ (.*) ✅""),'Country prepositions'!A:B, 2, 0) &amp; "" "" &amp; REGEXEXTRACT(C5646, ""🏘️ \w+ \w+ (.*) ✅"") ,  if(H5646=""quartier"",vlookup(REGEXEXTRACT(C5646, ""🏘️ \w+ \w+ (.*) ✅""),'Quartier prepositio"&amp;"ns'!A:E, 5, 0) ,  if(H5646=""region"",vlookup(REGEXEXTRACT(C5646, ""🏘️ \w+ \w+ (.*) ✅""),'Region prepositions'!B:F, 5, 0),  REGEXEXTRACT(C5646, ""🏘️ \w+ \w+ (.*) ✅""))))"),"#N/A")</f>
        <v>#N/A</v>
      </c>
      <c r="I5646" s="4" t="str">
        <f>IFERROR(__xludf.DUMMYFUNCTION("if(D5646=""variant"",  substitute(filter(Templates!E:E, Templates!A:A = F5646, Templates!B:B = G5646, Templates!C:C = H5646), ""{{}}"", E5646), B5646)"),"Vendre maison Ennetbürgen: Trouvez le bien immobilier qui correspond idéalement à vos désirs sur ImmoScout24 - La plateforme de l'immobilier en Suisse.")</f>
        <v>Vendre maison Ennetbürgen: Trouvez le bien immobilier qui correspond idéalement à vos désirs sur ImmoScout24 - La plateforme de l'immobilier en Suisse.</v>
      </c>
    </row>
    <row r="5647" hidden="1">
      <c r="A5647" s="5" t="s">
        <v>14390</v>
      </c>
      <c r="B5647" s="2" t="s">
        <v>14391</v>
      </c>
      <c r="C5647" s="2" t="s">
        <v>14391</v>
      </c>
      <c r="D5647" s="4" t="str">
        <f>vlookup(A5647, Sheet2!D:E, 2, 0)</f>
        <v>control</v>
      </c>
      <c r="E5647" s="4" t="str">
        <f>IFERROR(__xludf.DUMMYFUNCTION("if(H5647=""pays"",vlookup(REGEXEXTRACT(C5647, ""🏘️ \w+ \w+ (.*) ✅""),'Country prepositions'!A:B, 2, 0) &amp; "" "" &amp; REGEXEXTRACT(C5647, ""🏘️ \w+ \w+ (.*) ✅"") ,  if(H5647=""quartier"",vlookup(REGEXEXTRACT(C5647, ""🏘️ \w+ \w+ (.*) ✅""),'Quartier prepositio"&amp;"ns'!A:E, 5, 0) ,  if(H5647=""region"",vlookup(REGEXEXTRACT(C5647, ""🏘️ \w+ \w+ (.*) ✅""),'Region prepositions'!B:F, 5, 0),  REGEXEXTRACT(C5647, ""🏘️ \w+ \w+ (.*) ✅""))))"),"#N/A")</f>
        <v>#N/A</v>
      </c>
      <c r="I5647" s="4" t="str">
        <f>IFERROR(__xludf.DUMMYFUNCTION("if(D5647=""variant"",  substitute(filter(Templates!E:E, Templates!A:A = F5647, Templates!B:B = G5647, Templates!C:C = H5647), ""{{}}"", E5647), B5647)"),"Louer appartement Bâle Campagne Ouest: Trouvez le bien immobilier qui correspond idéalement à vos désirs sur ImmoScout24 - La plateforme de l'immobilier en Suisse.")</f>
        <v>Louer appartement Bâle Campagne Ouest: Trouvez le bien immobilier qui correspond idéalement à vos désirs sur ImmoScout24 - La plateforme de l'immobilier en Suisse.</v>
      </c>
    </row>
    <row r="5648" hidden="1">
      <c r="A5648" s="5" t="s">
        <v>14392</v>
      </c>
      <c r="B5648" s="2" t="s">
        <v>14393</v>
      </c>
      <c r="C5648" s="2" t="s">
        <v>14393</v>
      </c>
      <c r="D5648" s="4" t="str">
        <f>vlookup(A5648, Sheet2!D:E, 2, 0)</f>
        <v>control</v>
      </c>
      <c r="E5648" s="4" t="str">
        <f>IFERROR(__xludf.DUMMYFUNCTION("if(H5648=""pays"",vlookup(REGEXEXTRACT(C5648, ""🏘️ \w+ \w+ (.*) ✅""),'Country prepositions'!A:B, 2, 0) &amp; "" "" &amp; REGEXEXTRACT(C5648, ""🏘️ \w+ \w+ (.*) ✅"") ,  if(H5648=""quartier"",vlookup(REGEXEXTRACT(C5648, ""🏘️ \w+ \w+ (.*) ✅""),'Quartier prepositio"&amp;"ns'!A:E, 5, 0) ,  if(H5648=""region"",vlookup(REGEXEXTRACT(C5648, ""🏘️ \w+ \w+ (.*) ✅""),'Region prepositions'!B:F, 5, 0),  REGEXEXTRACT(C5648, ""🏘️ \w+ \w+ (.*) ✅""))))"),"#N/A")</f>
        <v>#N/A</v>
      </c>
      <c r="I5648" s="4" t="str">
        <f>IFERROR(__xludf.DUMMYFUNCTION("if(D5648=""variant"",  substitute(filter(Templates!E:E, Templates!A:A = F5648, Templates!B:B = G5648, Templates!C:C = H5648), ""{{}}"", E5648), B5648)"),"Louer maison Champéry: Trouvez le bien immobilier qui correspond idéalement à vos désirs sur ImmoScout24 - La plateforme de l'immobilier en Suisse.")</f>
        <v>Louer maison Champéry: Trouvez le bien immobilier qui correspond idéalement à vos désirs sur ImmoScout24 - La plateforme de l'immobilier en Suisse.</v>
      </c>
    </row>
    <row r="5649" hidden="1">
      <c r="A5649" s="5" t="s">
        <v>14394</v>
      </c>
      <c r="B5649" s="2" t="s">
        <v>14395</v>
      </c>
      <c r="C5649" s="2" t="s">
        <v>14395</v>
      </c>
      <c r="D5649" s="4" t="str">
        <f>vlookup(A5649, Sheet2!D:E, 2, 0)</f>
        <v>control</v>
      </c>
      <c r="E5649" s="4" t="str">
        <f>IFERROR(__xludf.DUMMYFUNCTION("if(H5649=""pays"",vlookup(REGEXEXTRACT(C5649, ""🏘️ \w+ \w+ (.*) ✅""),'Country prepositions'!A:B, 2, 0) &amp; "" "" &amp; REGEXEXTRACT(C5649, ""🏘️ \w+ \w+ (.*) ✅"") ,  if(H5649=""quartier"",vlookup(REGEXEXTRACT(C5649, ""🏘️ \w+ \w+ (.*) ✅""),'Quartier prepositio"&amp;"ns'!A:E, 5, 0) ,  if(H5649=""region"",vlookup(REGEXEXTRACT(C5649, ""🏘️ \w+ \w+ (.*) ✅""),'Region prepositions'!B:F, 5, 0),  REGEXEXTRACT(C5649, ""🏘️ \w+ \w+ (.*) ✅""))))"),"#N/A")</f>
        <v>#N/A</v>
      </c>
      <c r="I5649" s="4" t="str">
        <f>IFERROR(__xludf.DUMMYFUNCTION("if(D5649=""variant"",  substitute(filter(Templates!E:E, Templates!A:A = F5649, Templates!B:B = G5649, Templates!C:C = H5649), ""{{}}"", E5649), B5649)"),"Vendre appartement Rennaz: Trouvez le bien immobilier qui correspond idéalement à vos désirs sur ImmoScout24 - La plateforme de l'immobilier en Suisse.")</f>
        <v>Vendre appartement Rennaz: Trouvez le bien immobilier qui correspond idéalement à vos désirs sur ImmoScout24 - La plateforme de l'immobilier en Suisse.</v>
      </c>
    </row>
    <row r="5650" hidden="1">
      <c r="A5650" s="5" t="s">
        <v>14396</v>
      </c>
      <c r="B5650" s="2" t="s">
        <v>14397</v>
      </c>
      <c r="C5650" s="2" t="s">
        <v>14397</v>
      </c>
      <c r="D5650" s="4" t="str">
        <f>vlookup(A5650, Sheet2!D:E, 2, 0)</f>
        <v>control</v>
      </c>
      <c r="E5650" s="4" t="str">
        <f>IFERROR(__xludf.DUMMYFUNCTION("if(H5650=""pays"",vlookup(REGEXEXTRACT(C5650, ""🏘️ \w+ \w+ (.*) ✅""),'Country prepositions'!A:B, 2, 0) &amp; "" "" &amp; REGEXEXTRACT(C5650, ""🏘️ \w+ \w+ (.*) ✅"") ,  if(H5650=""quartier"",vlookup(REGEXEXTRACT(C5650, ""🏘️ \w+ \w+ (.*) ✅""),'Quartier prepositio"&amp;"ns'!A:E, 5, 0) ,  if(H5650=""region"",vlookup(REGEXEXTRACT(C5650, ""🏘️ \w+ \w+ (.*) ✅""),'Region prepositions'!B:F, 5, 0),  REGEXEXTRACT(C5650, ""🏘️ \w+ \w+ (.*) ✅""))))"),"#N/A")</f>
        <v>#N/A</v>
      </c>
      <c r="I5650" s="4" t="str">
        <f>IFERROR(__xludf.DUMMYFUNCTION("if(D5650=""variant"",  substitute(filter(Templates!E:E, Templates!A:A = F5650, Templates!B:B = G5650, Templates!C:C = H5650), ""{{}}"", E5650), B5650)"),"Vendre appartement S. Antonino: Trouvez le bien immobilier qui correspond idéalement à vos désirs sur ImmoScout24 - La plateforme de l'immobilier en Suisse.")</f>
        <v>Vendre appartement S. Antonino: Trouvez le bien immobilier qui correspond idéalement à vos désirs sur ImmoScout24 - La plateforme de l'immobilier en Suisse.</v>
      </c>
    </row>
    <row r="5651" hidden="1">
      <c r="A5651" s="5" t="s">
        <v>14398</v>
      </c>
      <c r="B5651" s="2" t="s">
        <v>14399</v>
      </c>
      <c r="C5651" s="2" t="s">
        <v>14399</v>
      </c>
      <c r="D5651" s="4" t="str">
        <f>vlookup(A5651, Sheet2!D:E, 2, 0)</f>
        <v>control</v>
      </c>
      <c r="E5651" s="4" t="str">
        <f>IFERROR(__xludf.DUMMYFUNCTION("if(H5651=""pays"",vlookup(REGEXEXTRACT(C5651, ""🏘️ \w+ \w+ (.*) ✅""),'Country prepositions'!A:B, 2, 0) &amp; "" "" &amp; REGEXEXTRACT(C5651, ""🏘️ \w+ \w+ (.*) ✅"") ,  if(H5651=""quartier"",vlookup(REGEXEXTRACT(C5651, ""🏘️ \w+ \w+ (.*) ✅""),'Quartier prepositio"&amp;"ns'!A:E, 5, 0) ,  if(H5651=""region"",vlookup(REGEXEXTRACT(C5651, ""🏘️ \w+ \w+ (.*) ✅""),'Region prepositions'!B:F, 5, 0),  REGEXEXTRACT(C5651, ""🏘️ \w+ \w+ (.*) ✅""))))"),"#N/A")</f>
        <v>#N/A</v>
      </c>
      <c r="I5651" s="4" t="str">
        <f>IFERROR(__xludf.DUMMYFUNCTION("if(D5651=""variant"",  substitute(filter(Templates!E:E, Templates!A:A = F5651, Templates!B:B = G5651, Templates!C:C = H5651), ""{{}}"", E5651), B5651)"),"Vendre maison Laupen BE: Trouvez le bien immobilier qui correspond idéalement à vos désirs sur ImmoScout24 - La plateforme de l'immobilier en Suisse.")</f>
        <v>Vendre maison Laupen BE: Trouvez le bien immobilier qui correspond idéalement à vos désirs sur ImmoScout24 - La plateforme de l'immobilier en Suisse.</v>
      </c>
    </row>
    <row r="5652" hidden="1">
      <c r="A5652" s="5" t="s">
        <v>14400</v>
      </c>
      <c r="B5652" s="2" t="s">
        <v>14401</v>
      </c>
      <c r="C5652" s="2" t="s">
        <v>14401</v>
      </c>
      <c r="D5652" s="4" t="str">
        <f>vlookup(A5652, Sheet2!D:E, 2, 0)</f>
        <v>control</v>
      </c>
      <c r="E5652" s="4" t="str">
        <f>IFERROR(__xludf.DUMMYFUNCTION("if(H5652=""pays"",vlookup(REGEXEXTRACT(C5652, ""🏘️ \w+ \w+ (.*) ✅""),'Country prepositions'!A:B, 2, 0) &amp; "" "" &amp; REGEXEXTRACT(C5652, ""🏘️ \w+ \w+ (.*) ✅"") ,  if(H5652=""quartier"",vlookup(REGEXEXTRACT(C5652, ""🏘️ \w+ \w+ (.*) ✅""),'Quartier prepositio"&amp;"ns'!A:E, 5, 0) ,  if(H5652=""region"",vlookup(REGEXEXTRACT(C5652, ""🏘️ \w+ \w+ (.*) ✅""),'Region prepositions'!B:F, 5, 0),  REGEXEXTRACT(C5652, ""🏘️ \w+ \w+ (.*) ✅""))))"),"#N/A")</f>
        <v>#N/A</v>
      </c>
      <c r="I5652" s="4" t="str">
        <f>IFERROR(__xludf.DUMMYFUNCTION("if(D5652=""variant"",  substitute(filter(Templates!E:E, Templates!A:A = F5652, Templates!B:B = G5652, Templates!C:C = H5652), ""{{}}"", E5652), B5652)"),"Vendre appartement Canton de Lucerne: Trouvez le bien immobilier qui correspond idéalement à vos désirs sur ImmoScout24 - La plateforme de l'immobilier en Suisse.")</f>
        <v>Vendre appartement Canton de Lucerne: Trouvez le bien immobilier qui correspond idéalement à vos désirs sur ImmoScout24 - La plateforme de l'immobilier en Suisse.</v>
      </c>
    </row>
    <row r="5653" hidden="1">
      <c r="A5653" s="5" t="s">
        <v>14402</v>
      </c>
      <c r="B5653" s="2" t="s">
        <v>14403</v>
      </c>
      <c r="C5653" s="2" t="s">
        <v>14403</v>
      </c>
      <c r="D5653" s="4" t="str">
        <f>vlookup(A5653, Sheet2!D:E, 2, 0)</f>
        <v>control</v>
      </c>
      <c r="E5653" s="4" t="str">
        <f>IFERROR(__xludf.DUMMYFUNCTION("if(H5653=""pays"",vlookup(REGEXEXTRACT(C5653, ""🏘️ \w+ \w+ (.*) ✅""),'Country prepositions'!A:B, 2, 0) &amp; "" "" &amp; REGEXEXTRACT(C5653, ""🏘️ \w+ \w+ (.*) ✅"") ,  if(H5653=""quartier"",vlookup(REGEXEXTRACT(C5653, ""🏘️ \w+ \w+ (.*) ✅""),'Quartier prepositio"&amp;"ns'!A:E, 5, 0) ,  if(H5653=""region"",vlookup(REGEXEXTRACT(C5653, ""🏘️ \w+ \w+ (.*) ✅""),'Region prepositions'!B:F, 5, 0),  REGEXEXTRACT(C5653, ""🏘️ \w+ \w+ (.*) ✅""))))"),"#N/A")</f>
        <v>#N/A</v>
      </c>
      <c r="I5653" s="4" t="str">
        <f>IFERROR(__xludf.DUMMYFUNCTION("if(D5653=""variant"",  substitute(filter(Templates!E:E, Templates!A:A = F5653, Templates!B:B = G5653, Templates!C:C = H5653), ""{{}}"", E5653), B5653)"),"Vendre maison Campo (Vallemaggia): Trouvez le bien immobilier qui correspond idéalement à vos désirs sur ImmoScout24 - La plateforme de l'immobilier en Suisse.")</f>
        <v>Vendre maison Campo (Vallemaggia): Trouvez le bien immobilier qui correspond idéalement à vos désirs sur ImmoScout24 - La plateforme de l'immobilier en Suisse.</v>
      </c>
    </row>
    <row r="5654" hidden="1">
      <c r="A5654" s="5" t="s">
        <v>14404</v>
      </c>
      <c r="B5654" s="2" t="s">
        <v>14405</v>
      </c>
      <c r="C5654" s="2" t="s">
        <v>14405</v>
      </c>
      <c r="D5654" s="4" t="str">
        <f>vlookup(A5654, Sheet2!D:E, 2, 0)</f>
        <v>control</v>
      </c>
      <c r="E5654" s="4" t="str">
        <f>IFERROR(__xludf.DUMMYFUNCTION("if(H5654=""pays"",vlookup(REGEXEXTRACT(C5654, ""🏘️ \w+ \w+ (.*) ✅""),'Country prepositions'!A:B, 2, 0) &amp; "" "" &amp; REGEXEXTRACT(C5654, ""🏘️ \w+ \w+ (.*) ✅"") ,  if(H5654=""quartier"",vlookup(REGEXEXTRACT(C5654, ""🏘️ \w+ \w+ (.*) ✅""),'Quartier prepositio"&amp;"ns'!A:E, 5, 0) ,  if(H5654=""region"",vlookup(REGEXEXTRACT(C5654, ""🏘️ \w+ \w+ (.*) ✅""),'Region prepositions'!B:F, 5, 0),  REGEXEXTRACT(C5654, ""🏘️ \w+ \w+ (.*) ✅""))))"),"#N/A")</f>
        <v>#N/A</v>
      </c>
      <c r="I5654" s="4" t="str">
        <f>IFERROR(__xludf.DUMMYFUNCTION("if(D5654=""variant"",  substitute(filter(Templates!E:E, Templates!A:A = F5654, Templates!B:B = G5654, Templates!C:C = H5654), ""{{}}"", E5654), B5654)"),"Louer maison Ependes VD: Trouvez le bien immobilier qui correspond idéalement à vos désirs sur ImmoScout24 - La plateforme de l'immobilier en Suisse.")</f>
        <v>Louer maison Ependes VD: Trouvez le bien immobilier qui correspond idéalement à vos désirs sur ImmoScout24 - La plateforme de l'immobilier en Suisse.</v>
      </c>
    </row>
    <row r="5655" hidden="1">
      <c r="A5655" s="5" t="s">
        <v>14406</v>
      </c>
      <c r="B5655" s="2" t="s">
        <v>14407</v>
      </c>
      <c r="C5655" s="2" t="s">
        <v>14407</v>
      </c>
      <c r="D5655" s="4" t="str">
        <f>vlookup(A5655, Sheet2!D:E, 2, 0)</f>
        <v>control</v>
      </c>
      <c r="E5655" s="4" t="str">
        <f>IFERROR(__xludf.DUMMYFUNCTION("if(H5655=""pays"",vlookup(REGEXEXTRACT(C5655, ""🏘️ \w+ \w+ (.*) ✅""),'Country prepositions'!A:B, 2, 0) &amp; "" "" &amp; REGEXEXTRACT(C5655, ""🏘️ \w+ \w+ (.*) ✅"") ,  if(H5655=""quartier"",vlookup(REGEXEXTRACT(C5655, ""🏘️ \w+ \w+ (.*) ✅""),'Quartier prepositio"&amp;"ns'!A:E, 5, 0) ,  if(H5655=""region"",vlookup(REGEXEXTRACT(C5655, ""🏘️ \w+ \w+ (.*) ✅""),'Region prepositions'!B:F, 5, 0),  REGEXEXTRACT(C5655, ""🏘️ \w+ \w+ (.*) ✅""))))"),"#N/A")</f>
        <v>#N/A</v>
      </c>
      <c r="I5655" s="4" t="str">
        <f>IFERROR(__xludf.DUMMYFUNCTION("if(D5655=""variant"",  substitute(filter(Templates!E:E, Templates!A:A = F5655, Templates!B:B = G5655, Templates!C:C = H5655), ""{{}}"", E5655), B5655)"),"Vendre maison Féchy: Trouvez le bien immobilier qui correspond idéalement à vos désirs sur ImmoScout24 - La plateforme de l'immobilier en Suisse.")</f>
        <v>Vendre maison Féchy: Trouvez le bien immobilier qui correspond idéalement à vos désirs sur ImmoScout24 - La plateforme de l'immobilier en Suisse.</v>
      </c>
    </row>
    <row r="5656" hidden="1">
      <c r="A5656" s="5" t="s">
        <v>14408</v>
      </c>
      <c r="B5656" s="2" t="s">
        <v>14409</v>
      </c>
      <c r="C5656" s="2" t="s">
        <v>14409</v>
      </c>
      <c r="D5656" s="4" t="str">
        <f>vlookup(A5656, Sheet2!D:E, 2, 0)</f>
        <v>control</v>
      </c>
      <c r="E5656" s="4" t="str">
        <f>IFERROR(__xludf.DUMMYFUNCTION("if(H5656=""pays"",vlookup(REGEXEXTRACT(C5656, ""🏘️ \w+ \w+ (.*) ✅""),'Country prepositions'!A:B, 2, 0) &amp; "" "" &amp; REGEXEXTRACT(C5656, ""🏘️ \w+ \w+ (.*) ✅"") ,  if(H5656=""quartier"",vlookup(REGEXEXTRACT(C5656, ""🏘️ \w+ \w+ (.*) ✅""),'Quartier prepositio"&amp;"ns'!A:E, 5, 0) ,  if(H5656=""region"",vlookup(REGEXEXTRACT(C5656, ""🏘️ \w+ \w+ (.*) ✅""),'Region prepositions'!B:F, 5, 0),  REGEXEXTRACT(C5656, ""🏘️ \w+ \w+ (.*) ✅""))))"),"#N/A")</f>
        <v>#N/A</v>
      </c>
      <c r="I5656" s="4" t="str">
        <f>IFERROR(__xludf.DUMMYFUNCTION("if(D5656=""variant"",  substitute(filter(Templates!E:E, Templates!A:A = F5656, Templates!B:B = G5656, Templates!C:C = H5656), ""{{}}"", E5656), B5656)"),"Vendre appartement Collonge-Bellerive: Trouvez le bien immobilier qui correspond idéalement à vos désirs sur ImmoScout24 - La plateforme de l'immobilier en Suisse.")</f>
        <v>Vendre appartement Collonge-Bellerive: Trouvez le bien immobilier qui correspond idéalement à vos désirs sur ImmoScout24 - La plateforme de l'immobilier en Suisse.</v>
      </c>
    </row>
    <row r="5657" hidden="1">
      <c r="A5657" s="5" t="s">
        <v>14410</v>
      </c>
      <c r="B5657" s="2" t="s">
        <v>14411</v>
      </c>
      <c r="C5657" s="2" t="s">
        <v>14411</v>
      </c>
      <c r="D5657" s="4" t="str">
        <f>vlookup(A5657, Sheet2!D:E, 2, 0)</f>
        <v>control</v>
      </c>
      <c r="E5657" s="4" t="str">
        <f>IFERROR(__xludf.DUMMYFUNCTION("if(H5657=""pays"",vlookup(REGEXEXTRACT(C5657, ""🏘️ \w+ \w+ (.*) ✅""),'Country prepositions'!A:B, 2, 0) &amp; "" "" &amp; REGEXEXTRACT(C5657, ""🏘️ \w+ \w+ (.*) ✅"") ,  if(H5657=""quartier"",vlookup(REGEXEXTRACT(C5657, ""🏘️ \w+ \w+ (.*) ✅""),'Quartier prepositio"&amp;"ns'!A:E, 5, 0) ,  if(H5657=""region"",vlookup(REGEXEXTRACT(C5657, ""🏘️ \w+ \w+ (.*) ✅""),'Region prepositions'!B:F, 5, 0),  REGEXEXTRACT(C5657, ""🏘️ \w+ \w+ (.*) ✅""))))"),"#N/A")</f>
        <v>#N/A</v>
      </c>
      <c r="I5657" s="4" t="str">
        <f>IFERROR(__xludf.DUMMYFUNCTION("if(D5657=""variant"",  substitute(filter(Templates!E:E, Templates!A:A = F5657, Templates!B:B = G5657, Templates!C:C = H5657), ""{{}}"", E5657), B5657)"),"Vendre maison Riddes: Trouvez le bien immobilier qui correspond idéalement à vos désirs sur ImmoScout24 - La plateforme de l'immobilier en Suisse.")</f>
        <v>Vendre maison Riddes: Trouvez le bien immobilier qui correspond idéalement à vos désirs sur ImmoScout24 - La plateforme de l'immobilier en Suisse.</v>
      </c>
    </row>
    <row r="5658" hidden="1">
      <c r="A5658" s="5" t="s">
        <v>14412</v>
      </c>
      <c r="B5658" s="2" t="s">
        <v>14413</v>
      </c>
      <c r="C5658" s="2" t="s">
        <v>14413</v>
      </c>
      <c r="D5658" s="4" t="str">
        <f>vlookup(A5658, Sheet2!D:E, 2, 0)</f>
        <v>control</v>
      </c>
      <c r="E5658" s="4" t="str">
        <f>IFERROR(__xludf.DUMMYFUNCTION("if(H5658=""pays"",vlookup(REGEXEXTRACT(C5658, ""🏘️ \w+ \w+ (.*) ✅""),'Country prepositions'!A:B, 2, 0) &amp; "" "" &amp; REGEXEXTRACT(C5658, ""🏘️ \w+ \w+ (.*) ✅"") ,  if(H5658=""quartier"",vlookup(REGEXEXTRACT(C5658, ""🏘️ \w+ \w+ (.*) ✅""),'Quartier prepositio"&amp;"ns'!A:E, 5, 0) ,  if(H5658=""region"",vlookup(REGEXEXTRACT(C5658, ""🏘️ \w+ \w+ (.*) ✅""),'Region prepositions'!B:F, 5, 0),  REGEXEXTRACT(C5658, ""🏘️ \w+ \w+ (.*) ✅""))))"),"#N/A")</f>
        <v>#N/A</v>
      </c>
      <c r="I5658" s="4" t="str">
        <f>IFERROR(__xludf.DUMMYFUNCTION("if(D5658=""variant"",  substitute(filter(Templates!E:E, Templates!A:A = F5658, Templates!B:B = G5658, Templates!C:C = H5658), ""{{}}"", E5658), B5658)"),"Vendre appartement Denges: Trouvez le bien immobilier qui correspond idéalement à vos désirs sur ImmoScout24 - La plateforme de l'immobilier en Suisse.")</f>
        <v>Vendre appartement Denges: Trouvez le bien immobilier qui correspond idéalement à vos désirs sur ImmoScout24 - La plateforme de l'immobilier en Suisse.</v>
      </c>
    </row>
    <row r="5659" hidden="1">
      <c r="A5659" s="5" t="s">
        <v>14414</v>
      </c>
      <c r="B5659" s="2" t="s">
        <v>14415</v>
      </c>
      <c r="C5659" s="2" t="s">
        <v>14415</v>
      </c>
      <c r="D5659" s="4" t="str">
        <f>vlookup(A5659, Sheet2!D:E, 2, 0)</f>
        <v>control</v>
      </c>
      <c r="E5659" s="4" t="str">
        <f>IFERROR(__xludf.DUMMYFUNCTION("if(H5659=""pays"",vlookup(REGEXEXTRACT(C5659, ""🏘️ \w+ \w+ (.*) ✅""),'Country prepositions'!A:B, 2, 0) &amp; "" "" &amp; REGEXEXTRACT(C5659, ""🏘️ \w+ \w+ (.*) ✅"") ,  if(H5659=""quartier"",vlookup(REGEXEXTRACT(C5659, ""🏘️ \w+ \w+ (.*) ✅""),'Quartier prepositio"&amp;"ns'!A:E, 5, 0) ,  if(H5659=""region"",vlookup(REGEXEXTRACT(C5659, ""🏘️ \w+ \w+ (.*) ✅""),'Region prepositions'!B:F, 5, 0),  REGEXEXTRACT(C5659, ""🏘️ \w+ \w+ (.*) ✅""))))"),"#N/A")</f>
        <v>#N/A</v>
      </c>
      <c r="I5659" s="4" t="str">
        <f>IFERROR(__xludf.DUMMYFUNCTION("if(D5659=""variant"",  substitute(filter(Templates!E:E, Templates!A:A = F5659, Templates!B:B = G5659, Templates!C:C = H5659), ""{{}}"", E5659), B5659)"),"Louer appartement Zug: Trouvez le bien immobilier qui correspond idéalement à vos désirs sur ImmoScout24 - La plateforme de l'immobilier en Suisse.")</f>
        <v>Louer appartement Zug: Trouvez le bien immobilier qui correspond idéalement à vos désirs sur ImmoScout24 - La plateforme de l'immobilier en Suisse.</v>
      </c>
    </row>
    <row r="5660" hidden="1">
      <c r="A5660" s="5" t="s">
        <v>14416</v>
      </c>
      <c r="B5660" s="2" t="s">
        <v>14417</v>
      </c>
      <c r="C5660" s="2" t="s">
        <v>14417</v>
      </c>
      <c r="D5660" s="4" t="str">
        <f>vlookup(A5660, Sheet2!D:E, 2, 0)</f>
        <v>control</v>
      </c>
      <c r="E5660" s="4" t="str">
        <f>IFERROR(__xludf.DUMMYFUNCTION("if(H5660=""pays"",vlookup(REGEXEXTRACT(C5660, ""🏘️ \w+ \w+ (.*) ✅""),'Country prepositions'!A:B, 2, 0) &amp; "" "" &amp; REGEXEXTRACT(C5660, ""🏘️ \w+ \w+ (.*) ✅"") ,  if(H5660=""quartier"",vlookup(REGEXEXTRACT(C5660, ""🏘️ \w+ \w+ (.*) ✅""),'Quartier prepositio"&amp;"ns'!A:E, 5, 0) ,  if(H5660=""region"",vlookup(REGEXEXTRACT(C5660, ""🏘️ \w+ \w+ (.*) ✅""),'Region prepositions'!B:F, 5, 0),  REGEXEXTRACT(C5660, ""🏘️ \w+ \w+ (.*) ✅""))))"),"#N/A")</f>
        <v>#N/A</v>
      </c>
      <c r="I5660" s="4" t="str">
        <f>IFERROR(__xludf.DUMMYFUNCTION("if(D5660=""variant"",  substitute(filter(Templates!E:E, Templates!A:A = F5660, Templates!B:B = G5660, Templates!C:C = H5660), ""{{}}"", E5660), B5660)"),"Louer maison Bussy FR: Trouvez le bien immobilier qui correspond idéalement à vos désirs sur ImmoScout24 - La plateforme de l'immobilier en Suisse.")</f>
        <v>Louer maison Bussy FR: Trouvez le bien immobilier qui correspond idéalement à vos désirs sur ImmoScout24 - La plateforme de l'immobilier en Suisse.</v>
      </c>
    </row>
    <row r="5661" hidden="1">
      <c r="A5661" s="5" t="s">
        <v>14418</v>
      </c>
      <c r="B5661" s="2" t="s">
        <v>14419</v>
      </c>
      <c r="C5661" s="2" t="s">
        <v>14419</v>
      </c>
      <c r="D5661" s="4" t="str">
        <f>vlookup(A5661, Sheet2!D:E, 2, 0)</f>
        <v>control</v>
      </c>
      <c r="E5661" s="4" t="str">
        <f>IFERROR(__xludf.DUMMYFUNCTION("if(H5661=""pays"",vlookup(REGEXEXTRACT(C5661, ""🏘️ \w+ \w+ (.*) ✅""),'Country prepositions'!A:B, 2, 0) &amp; "" "" &amp; REGEXEXTRACT(C5661, ""🏘️ \w+ \w+ (.*) ✅"") ,  if(H5661=""quartier"",vlookup(REGEXEXTRACT(C5661, ""🏘️ \w+ \w+ (.*) ✅""),'Quartier prepositio"&amp;"ns'!A:E, 5, 0) ,  if(H5661=""region"",vlookup(REGEXEXTRACT(C5661, ""🏘️ \w+ \w+ (.*) ✅""),'Region prepositions'!B:F, 5, 0),  REGEXEXTRACT(C5661, ""🏘️ \w+ \w+ (.*) ✅""))))"),"#N/A")</f>
        <v>#N/A</v>
      </c>
      <c r="I5661" s="4" t="str">
        <f>IFERROR(__xludf.DUMMYFUNCTION("if(D5661=""variant"",  substitute(filter(Templates!E:E, Templates!A:A = F5661, Templates!B:B = G5661, Templates!C:C = H5661), ""{{}}"", E5661), B5661)"),"Louer maison Bassecourt: Trouvez le bien immobilier qui correspond idéalement à vos désirs sur ImmoScout24 - La plateforme de l'immobilier en Suisse.")</f>
        <v>Louer maison Bassecourt: Trouvez le bien immobilier qui correspond idéalement à vos désirs sur ImmoScout24 - La plateforme de l'immobilier en Suisse.</v>
      </c>
    </row>
    <row r="5662" hidden="1">
      <c r="A5662" s="5" t="s">
        <v>14420</v>
      </c>
      <c r="B5662" s="2" t="s">
        <v>14421</v>
      </c>
      <c r="C5662" s="2" t="s">
        <v>14421</v>
      </c>
      <c r="D5662" s="4" t="str">
        <f>vlookup(A5662, Sheet2!D:E, 2, 0)</f>
        <v>control</v>
      </c>
      <c r="E5662" s="4" t="str">
        <f>IFERROR(__xludf.DUMMYFUNCTION("if(H5662=""pays"",vlookup(REGEXEXTRACT(C5662, ""🏘️ \w+ \w+ (.*) ✅""),'Country prepositions'!A:B, 2, 0) &amp; "" "" &amp; REGEXEXTRACT(C5662, ""🏘️ \w+ \w+ (.*) ✅"") ,  if(H5662=""quartier"",vlookup(REGEXEXTRACT(C5662, ""🏘️ \w+ \w+ (.*) ✅""),'Quartier prepositio"&amp;"ns'!A:E, 5, 0) ,  if(H5662=""region"",vlookup(REGEXEXTRACT(C5662, ""🏘️ \w+ \w+ (.*) ✅""),'Region prepositions'!B:F, 5, 0),  REGEXEXTRACT(C5662, ""🏘️ \w+ \w+ (.*) ✅""))))"),"#N/A")</f>
        <v>#N/A</v>
      </c>
      <c r="I5662" s="4" t="str">
        <f>IFERROR(__xludf.DUMMYFUNCTION("if(D5662=""variant"",  substitute(filter(Templates!E:E, Templates!A:A = F5662, Templates!B:B = G5662, Templates!C:C = H5662), ""{{}}"", E5662), B5662)"),"Louer appartement Krummenau: Trouvez le bien immobilier qui correspond idéalement à vos désirs sur ImmoScout24 - La plateforme de l'immobilier en Suisse.")</f>
        <v>Louer appartement Krummenau: Trouvez le bien immobilier qui correspond idéalement à vos désirs sur ImmoScout24 - La plateforme de l'immobilier en Suisse.</v>
      </c>
    </row>
    <row r="5663" hidden="1">
      <c r="A5663" s="5" t="s">
        <v>14422</v>
      </c>
      <c r="B5663" s="2" t="s">
        <v>14423</v>
      </c>
      <c r="C5663" s="2" t="s">
        <v>14423</v>
      </c>
      <c r="D5663" s="4" t="str">
        <f>vlookup(A5663, Sheet2!D:E, 2, 0)</f>
        <v>control</v>
      </c>
      <c r="E5663" s="4" t="str">
        <f>IFERROR(__xludf.DUMMYFUNCTION("if(H5663=""pays"",vlookup(REGEXEXTRACT(C5663, ""🏘️ \w+ \w+ (.*) ✅""),'Country prepositions'!A:B, 2, 0) &amp; "" "" &amp; REGEXEXTRACT(C5663, ""🏘️ \w+ \w+ (.*) ✅"") ,  if(H5663=""quartier"",vlookup(REGEXEXTRACT(C5663, ""🏘️ \w+ \w+ (.*) ✅""),'Quartier prepositio"&amp;"ns'!A:E, 5, 0) ,  if(H5663=""region"",vlookup(REGEXEXTRACT(C5663, ""🏘️ \w+ \w+ (.*) ✅""),'Region prepositions'!B:F, 5, 0),  REGEXEXTRACT(C5663, ""🏘️ \w+ \w+ (.*) ✅""))))"),"#N/A")</f>
        <v>#N/A</v>
      </c>
      <c r="I5663" s="4" t="str">
        <f>IFERROR(__xludf.DUMMYFUNCTION("if(D5663=""variant"",  substitute(filter(Templates!E:E, Templates!A:A = F5663, Templates!B:B = G5663, Templates!C:C = H5663), ""{{}}"", E5663), B5663)"),"Louer maison Mousquines - Bellevue (Lausanne): Trouvez le bien immobilier qui correspond idéalement à vos désirs sur ImmoScout24 - La plateforme de l'immobilier en Suisse.")</f>
        <v>Louer maison Mousquines - Bellevue (Lausanne): Trouvez le bien immobilier qui correspond idéalement à vos désirs sur ImmoScout24 - La plateforme de l'immobilier en Suisse.</v>
      </c>
    </row>
    <row r="5664" hidden="1">
      <c r="A5664" s="5" t="s">
        <v>14424</v>
      </c>
      <c r="B5664" s="2" t="s">
        <v>14425</v>
      </c>
      <c r="C5664" s="2" t="s">
        <v>14425</v>
      </c>
      <c r="D5664" s="4" t="str">
        <f>vlookup(A5664, Sheet2!D:E, 2, 0)</f>
        <v>control</v>
      </c>
      <c r="E5664" s="4" t="str">
        <f>IFERROR(__xludf.DUMMYFUNCTION("if(H5664=""pays"",vlookup(REGEXEXTRACT(C5664, ""🏘️ \w+ \w+ (.*) ✅""),'Country prepositions'!A:B, 2, 0) &amp; "" "" &amp; REGEXEXTRACT(C5664, ""🏘️ \w+ \w+ (.*) ✅"") ,  if(H5664=""quartier"",vlookup(REGEXEXTRACT(C5664, ""🏘️ \w+ \w+ (.*) ✅""),'Quartier prepositio"&amp;"ns'!A:E, 5, 0) ,  if(H5664=""region"",vlookup(REGEXEXTRACT(C5664, ""🏘️ \w+ \w+ (.*) ✅""),'Region prepositions'!B:F, 5, 0),  REGEXEXTRACT(C5664, ""🏘️ \w+ \w+ (.*) ✅""))))"),"#N/A")</f>
        <v>#N/A</v>
      </c>
      <c r="I5664" s="4" t="str">
        <f>IFERROR(__xludf.DUMMYFUNCTION("if(D5664=""variant"",  substitute(filter(Templates!E:E, Templates!A:A = F5664, Templates!B:B = G5664, Templates!C:C = H5664), ""{{}}"", E5664), B5664)"),"Louer appartement Bellelay: Trouvez le bien immobilier qui correspond idéalement à vos désirs sur ImmoScout24 - La plateforme de l'immobilier en Suisse.")</f>
        <v>Louer appartement Bellelay: Trouvez le bien immobilier qui correspond idéalement à vos désirs sur ImmoScout24 - La plateforme de l'immobilier en Suisse.</v>
      </c>
    </row>
    <row r="5665" hidden="1">
      <c r="A5665" s="5" t="s">
        <v>14426</v>
      </c>
      <c r="B5665" s="2" t="s">
        <v>14427</v>
      </c>
      <c r="C5665" s="2" t="s">
        <v>14427</v>
      </c>
      <c r="D5665" s="4" t="str">
        <f>vlookup(A5665, Sheet2!D:E, 2, 0)</f>
        <v>control</v>
      </c>
      <c r="E5665" s="4" t="str">
        <f>IFERROR(__xludf.DUMMYFUNCTION("if(H5665=""pays"",vlookup(REGEXEXTRACT(C5665, ""🏘️ \w+ \w+ (.*) ✅""),'Country prepositions'!A:B, 2, 0) &amp; "" "" &amp; REGEXEXTRACT(C5665, ""🏘️ \w+ \w+ (.*) ✅"") ,  if(H5665=""quartier"",vlookup(REGEXEXTRACT(C5665, ""🏘️ \w+ \w+ (.*) ✅""),'Quartier prepositio"&amp;"ns'!A:E, 5, 0) ,  if(H5665=""region"",vlookup(REGEXEXTRACT(C5665, ""🏘️ \w+ \w+ (.*) ✅""),'Region prepositions'!B:F, 5, 0),  REGEXEXTRACT(C5665, ""🏘️ \w+ \w+ (.*) ✅""))))"),"#N/A")</f>
        <v>#N/A</v>
      </c>
      <c r="I5665" s="4" t="str">
        <f>IFERROR(__xludf.DUMMYFUNCTION("if(D5665=""variant"",  substitute(filter(Templates!E:E, Templates!A:A = F5665, Templates!B:B = G5665, Templates!C:C = H5665), ""{{}}"", E5665), B5665)"),"Louer appartement Champex-Lac: Trouvez le bien immobilier qui correspond idéalement à vos désirs sur ImmoScout24 - La plateforme de l'immobilier en Suisse.")</f>
        <v>Louer appartement Champex-Lac: Trouvez le bien immobilier qui correspond idéalement à vos désirs sur ImmoScout24 - La plateforme de l'immobilier en Suisse.</v>
      </c>
    </row>
    <row r="5666" hidden="1">
      <c r="A5666" s="5" t="s">
        <v>14428</v>
      </c>
      <c r="B5666" s="2" t="s">
        <v>14429</v>
      </c>
      <c r="C5666" s="2" t="s">
        <v>14429</v>
      </c>
      <c r="D5666" s="4" t="str">
        <f>vlookup(A5666, Sheet2!D:E, 2, 0)</f>
        <v>control</v>
      </c>
      <c r="E5666" s="4" t="str">
        <f>IFERROR(__xludf.DUMMYFUNCTION("if(H5666=""pays"",vlookup(REGEXEXTRACT(C5666, ""🏘️ \w+ \w+ (.*) ✅""),'Country prepositions'!A:B, 2, 0) &amp; "" "" &amp; REGEXEXTRACT(C5666, ""🏘️ \w+ \w+ (.*) ✅"") ,  if(H5666=""quartier"",vlookup(REGEXEXTRACT(C5666, ""🏘️ \w+ \w+ (.*) ✅""),'Quartier prepositio"&amp;"ns'!A:E, 5, 0) ,  if(H5666=""region"",vlookup(REGEXEXTRACT(C5666, ""🏘️ \w+ \w+ (.*) ✅""),'Region prepositions'!B:F, 5, 0),  REGEXEXTRACT(C5666, ""🏘️ \w+ \w+ (.*) ✅""))))"),"#N/A")</f>
        <v>#N/A</v>
      </c>
      <c r="I5666" s="4" t="str">
        <f>IFERROR(__xludf.DUMMYFUNCTION("if(D5666=""variant"",  substitute(filter(Templates!E:E, Templates!A:A = F5666, Templates!B:B = G5666, Templates!C:C = H5666), ""{{}}"", E5666), B5666)"),"Louer appartement Chexbres: Trouvez le bien immobilier qui correspond idéalement à vos désirs sur ImmoScout24 - La plateforme de l'immobilier en Suisse.")</f>
        <v>Louer appartement Chexbres: Trouvez le bien immobilier qui correspond idéalement à vos désirs sur ImmoScout24 - La plateforme de l'immobilier en Suisse.</v>
      </c>
    </row>
    <row r="5667" hidden="1">
      <c r="A5667" s="5" t="s">
        <v>14430</v>
      </c>
      <c r="B5667" s="2" t="s">
        <v>14431</v>
      </c>
      <c r="C5667" s="2" t="s">
        <v>14431</v>
      </c>
      <c r="D5667" s="4" t="str">
        <f>vlookup(A5667, Sheet2!D:E, 2, 0)</f>
        <v>control</v>
      </c>
      <c r="E5667" s="4" t="str">
        <f>IFERROR(__xludf.DUMMYFUNCTION("if(H5667=""pays"",vlookup(REGEXEXTRACT(C5667, ""🏘️ \w+ \w+ (.*) ✅""),'Country prepositions'!A:B, 2, 0) &amp; "" "" &amp; REGEXEXTRACT(C5667, ""🏘️ \w+ \w+ (.*) ✅"") ,  if(H5667=""quartier"",vlookup(REGEXEXTRACT(C5667, ""🏘️ \w+ \w+ (.*) ✅""),'Quartier prepositio"&amp;"ns'!A:E, 5, 0) ,  if(H5667=""region"",vlookup(REGEXEXTRACT(C5667, ""🏘️ \w+ \w+ (.*) ✅""),'Region prepositions'!B:F, 5, 0),  REGEXEXTRACT(C5667, ""🏘️ \w+ \w+ (.*) ✅""))))"),"#N/A")</f>
        <v>#N/A</v>
      </c>
      <c r="I5667" s="4" t="str">
        <f>IFERROR(__xludf.DUMMYFUNCTION("if(D5667=""variant"",  substitute(filter(Templates!E:E, Templates!A:A = F5667, Templates!B:B = G5667, Templates!C:C = H5667), ""{{}}"", E5667), B5667)"),"Vendre appartement Schinznach Dorf: Trouvez le bien immobilier qui correspond idéalement à vos désirs sur ImmoScout24 - La plateforme de l'immobilier en Suisse.")</f>
        <v>Vendre appartement Schinznach Dorf: Trouvez le bien immobilier qui correspond idéalement à vos désirs sur ImmoScout24 - La plateforme de l'immobilier en Suisse.</v>
      </c>
    </row>
    <row r="5668" hidden="1">
      <c r="A5668" s="5" t="s">
        <v>14432</v>
      </c>
      <c r="B5668" s="2" t="s">
        <v>14433</v>
      </c>
      <c r="C5668" s="2" t="s">
        <v>14433</v>
      </c>
      <c r="D5668" s="4" t="str">
        <f>vlookup(A5668, Sheet2!D:E, 2, 0)</f>
        <v>control</v>
      </c>
      <c r="E5668" s="4" t="str">
        <f>IFERROR(__xludf.DUMMYFUNCTION("if(H5668=""pays"",vlookup(REGEXEXTRACT(C5668, ""🏘️ \w+ \w+ (.*) ✅""),'Country prepositions'!A:B, 2, 0) &amp; "" "" &amp; REGEXEXTRACT(C5668, ""🏘️ \w+ \w+ (.*) ✅"") ,  if(H5668=""quartier"",vlookup(REGEXEXTRACT(C5668, ""🏘️ \w+ \w+ (.*) ✅""),'Quartier prepositio"&amp;"ns'!A:E, 5, 0) ,  if(H5668=""region"",vlookup(REGEXEXTRACT(C5668, ""🏘️ \w+ \w+ (.*) ✅""),'Region prepositions'!B:F, 5, 0),  REGEXEXTRACT(C5668, ""🏘️ \w+ \w+ (.*) ✅""))))"),"#N/A")</f>
        <v>#N/A</v>
      </c>
      <c r="I5668" s="4" t="str">
        <f>IFERROR(__xludf.DUMMYFUNCTION("if(D5668=""variant"",  substitute(filter(Templates!E:E, Templates!A:A = F5668, Templates!B:B = G5668, Templates!C:C = H5668), ""{{}}"", E5668), B5668)"),"Vendre maison Villars-le-Comte: Trouvez le bien immobilier qui correspond idéalement à vos désirs sur ImmoScout24 - La plateforme de l'immobilier en Suisse.")</f>
        <v>Vendre maison Villars-le-Comte: Trouvez le bien immobilier qui correspond idéalement à vos désirs sur ImmoScout24 - La plateforme de l'immobilier en Suisse.</v>
      </c>
    </row>
    <row r="5669" hidden="1">
      <c r="A5669" s="5" t="s">
        <v>14434</v>
      </c>
      <c r="B5669" s="2" t="s">
        <v>14435</v>
      </c>
      <c r="C5669" s="2" t="s">
        <v>14435</v>
      </c>
      <c r="D5669" s="4" t="str">
        <f>vlookup(A5669, Sheet2!D:E, 2, 0)</f>
        <v>control</v>
      </c>
      <c r="E5669" s="4" t="str">
        <f>IFERROR(__xludf.DUMMYFUNCTION("if(H5669=""pays"",vlookup(REGEXEXTRACT(C5669, ""🏘️ \w+ \w+ (.*) ✅""),'Country prepositions'!A:B, 2, 0) &amp; "" "" &amp; REGEXEXTRACT(C5669, ""🏘️ \w+ \w+ (.*) ✅"") ,  if(H5669=""quartier"",vlookup(REGEXEXTRACT(C5669, ""🏘️ \w+ \w+ (.*) ✅""),'Quartier prepositio"&amp;"ns'!A:E, 5, 0) ,  if(H5669=""region"",vlookup(REGEXEXTRACT(C5669, ""🏘️ \w+ \w+ (.*) ✅""),'Region prepositions'!B:F, 5, 0),  REGEXEXTRACT(C5669, ""🏘️ \w+ \w+ (.*) ✅""))))"),"#N/A")</f>
        <v>#N/A</v>
      </c>
      <c r="I5669" s="4" t="str">
        <f>IFERROR(__xludf.DUMMYFUNCTION("if(D5669=""variant"",  substitute(filter(Templates!E:E, Templates!A:A = F5669, Templates!B:B = G5669, Templates!C:C = H5669), ""{{}}"", E5669), B5669)"),"Louer maison Le Locle: Trouvez le bien immobilier qui correspond idéalement à vos désirs sur ImmoScout24 - La plateforme de l'immobilier en Suisse.")</f>
        <v>Louer maison Le Locle: Trouvez le bien immobilier qui correspond idéalement à vos désirs sur ImmoScout24 - La plateforme de l'immobilier en Suisse.</v>
      </c>
    </row>
    <row r="5670" hidden="1">
      <c r="A5670" s="5" t="s">
        <v>14436</v>
      </c>
      <c r="B5670" s="2" t="s">
        <v>14437</v>
      </c>
      <c r="C5670" s="2" t="s">
        <v>14437</v>
      </c>
      <c r="D5670" s="4" t="str">
        <f>vlookup(A5670, Sheet2!D:E, 2, 0)</f>
        <v>control</v>
      </c>
      <c r="E5670" s="4" t="str">
        <f>IFERROR(__xludf.DUMMYFUNCTION("if(H5670=""pays"",vlookup(REGEXEXTRACT(C5670, ""🏘️ \w+ \w+ (.*) ✅""),'Country prepositions'!A:B, 2, 0) &amp; "" "" &amp; REGEXEXTRACT(C5670, ""🏘️ \w+ \w+ (.*) ✅"") ,  if(H5670=""quartier"",vlookup(REGEXEXTRACT(C5670, ""🏘️ \w+ \w+ (.*) ✅""),'Quartier prepositio"&amp;"ns'!A:E, 5, 0) ,  if(H5670=""region"",vlookup(REGEXEXTRACT(C5670, ""🏘️ \w+ \w+ (.*) ✅""),'Region prepositions'!B:F, 5, 0),  REGEXEXTRACT(C5670, ""🏘️ \w+ \w+ (.*) ✅""))))"),"#N/A")</f>
        <v>#N/A</v>
      </c>
      <c r="I5670" s="4" t="str">
        <f>IFERROR(__xludf.DUMMYFUNCTION("if(D5670=""variant"",  substitute(filter(Templates!E:E, Templates!A:A = F5670, Templates!B:B = G5670, Templates!C:C = H5670), ""{{}}"", E5670), B5670)"),"Louer appartement Giornico: Trouvez le bien immobilier qui correspond idéalement à vos désirs sur ImmoScout24 - La plateforme de l'immobilier en Suisse.")</f>
        <v>Louer appartement Giornico: Trouvez le bien immobilier qui correspond idéalement à vos désirs sur ImmoScout24 - La plateforme de l'immobilier en Suisse.</v>
      </c>
    </row>
    <row r="5671" hidden="1">
      <c r="A5671" s="5" t="s">
        <v>14438</v>
      </c>
      <c r="B5671" s="2" t="s">
        <v>14439</v>
      </c>
      <c r="C5671" s="2" t="s">
        <v>14439</v>
      </c>
      <c r="D5671" s="4" t="str">
        <f>vlookup(A5671, Sheet2!D:E, 2, 0)</f>
        <v>control</v>
      </c>
      <c r="E5671" s="4" t="str">
        <f>IFERROR(__xludf.DUMMYFUNCTION("if(H5671=""pays"",vlookup(REGEXEXTRACT(C5671, ""🏘️ \w+ \w+ (.*) ✅""),'Country prepositions'!A:B, 2, 0) &amp; "" "" &amp; REGEXEXTRACT(C5671, ""🏘️ \w+ \w+ (.*) ✅"") ,  if(H5671=""quartier"",vlookup(REGEXEXTRACT(C5671, ""🏘️ \w+ \w+ (.*) ✅""),'Quartier prepositio"&amp;"ns'!A:E, 5, 0) ,  if(H5671=""region"",vlookup(REGEXEXTRACT(C5671, ""🏘️ \w+ \w+ (.*) ✅""),'Region prepositions'!B:F, 5, 0),  REGEXEXTRACT(C5671, ""🏘️ \w+ \w+ (.*) ✅""))))"),"#N/A")</f>
        <v>#N/A</v>
      </c>
      <c r="I5671" s="4" t="str">
        <f>IFERROR(__xludf.DUMMYFUNCTION("if(D5671=""variant"",  substitute(filter(Templates!E:E, Templates!A:A = F5671, Templates!B:B = G5671, Templates!C:C = H5671), ""{{}}"", E5671), B5671)"),"Louer appartement Praz-de-Fort: Trouvez le bien immobilier qui correspond idéalement à vos désirs sur ImmoScout24 - La plateforme de l'immobilier en Suisse.")</f>
        <v>Louer appartement Praz-de-Fort: Trouvez le bien immobilier qui correspond idéalement à vos désirs sur ImmoScout24 - La plateforme de l'immobilier en Suisse.</v>
      </c>
    </row>
    <row r="5672" hidden="1">
      <c r="A5672" s="5" t="s">
        <v>14440</v>
      </c>
      <c r="B5672" s="2" t="s">
        <v>14441</v>
      </c>
      <c r="C5672" s="2" t="s">
        <v>14441</v>
      </c>
      <c r="D5672" s="4" t="str">
        <f>vlookup(A5672, Sheet2!D:E, 2, 0)</f>
        <v>control</v>
      </c>
      <c r="E5672" s="4" t="str">
        <f>IFERROR(__xludf.DUMMYFUNCTION("if(H5672=""pays"",vlookup(REGEXEXTRACT(C5672, ""🏘️ \w+ \w+ (.*) ✅""),'Country prepositions'!A:B, 2, 0) &amp; "" "" &amp; REGEXEXTRACT(C5672, ""🏘️ \w+ \w+ (.*) ✅"") ,  if(H5672=""quartier"",vlookup(REGEXEXTRACT(C5672, ""🏘️ \w+ \w+ (.*) ✅""),'Quartier prepositio"&amp;"ns'!A:E, 5, 0) ,  if(H5672=""region"",vlookup(REGEXEXTRACT(C5672, ""🏘️ \w+ \w+ (.*) ✅""),'Region prepositions'!B:F, 5, 0),  REGEXEXTRACT(C5672, ""🏘️ \w+ \w+ (.*) ✅""))))"),"#N/A")</f>
        <v>#N/A</v>
      </c>
      <c r="I5672" s="4" t="str">
        <f>IFERROR(__xludf.DUMMYFUNCTION("if(D5672=""variant"",  substitute(filter(Templates!E:E, Templates!A:A = F5672, Templates!B:B = G5672, Templates!C:C = H5672), ""{{}}"", E5672), B5672)"),"Vendre maison Farvagny-le-Petit: Trouvez le bien immobilier qui correspond idéalement à vos désirs sur ImmoScout24 - La plateforme de l'immobilier en Suisse.")</f>
        <v>Vendre maison Farvagny-le-Petit: Trouvez le bien immobilier qui correspond idéalement à vos désirs sur ImmoScout24 - La plateforme de l'immobilier en Suisse.</v>
      </c>
    </row>
    <row r="5673" hidden="1">
      <c r="A5673" s="5" t="s">
        <v>14442</v>
      </c>
      <c r="B5673" s="2" t="s">
        <v>14443</v>
      </c>
      <c r="C5673" s="2" t="s">
        <v>14443</v>
      </c>
      <c r="D5673" s="4" t="str">
        <f>vlookup(A5673, Sheet2!D:E, 2, 0)</f>
        <v>control</v>
      </c>
      <c r="E5673" s="4" t="str">
        <f>IFERROR(__xludf.DUMMYFUNCTION("if(H5673=""pays"",vlookup(REGEXEXTRACT(C5673, ""🏘️ \w+ \w+ (.*) ✅""),'Country prepositions'!A:B, 2, 0) &amp; "" "" &amp; REGEXEXTRACT(C5673, ""🏘️ \w+ \w+ (.*) ✅"") ,  if(H5673=""quartier"",vlookup(REGEXEXTRACT(C5673, ""🏘️ \w+ \w+ (.*) ✅""),'Quartier prepositio"&amp;"ns'!A:E, 5, 0) ,  if(H5673=""region"",vlookup(REGEXEXTRACT(C5673, ""🏘️ \w+ \w+ (.*) ✅""),'Region prepositions'!B:F, 5, 0),  REGEXEXTRACT(C5673, ""🏘️ \w+ \w+ (.*) ✅""))))"),"#N/A")</f>
        <v>#N/A</v>
      </c>
      <c r="I5673" s="4" t="str">
        <f>IFERROR(__xludf.DUMMYFUNCTION("if(D5673=""variant"",  substitute(filter(Templates!E:E, Templates!A:A = F5673, Templates!B:B = G5673, Templates!C:C = H5673), ""{{}}"", E5673), B5673)"),"Vendre maison Balsthal: Trouvez le bien immobilier qui correspond idéalement à vos désirs sur ImmoScout24 - La plateforme de l'immobilier en Suisse.")</f>
        <v>Vendre maison Balsthal: Trouvez le bien immobilier qui correspond idéalement à vos désirs sur ImmoScout24 - La plateforme de l'immobilier en Suisse.</v>
      </c>
    </row>
    <row r="5674" hidden="1">
      <c r="A5674" s="5" t="s">
        <v>14444</v>
      </c>
      <c r="B5674" s="2" t="s">
        <v>14445</v>
      </c>
      <c r="C5674" s="2" t="s">
        <v>14445</v>
      </c>
      <c r="D5674" s="4" t="str">
        <f>vlookup(A5674, Sheet2!D:E, 2, 0)</f>
        <v>control</v>
      </c>
      <c r="E5674" s="4" t="str">
        <f>IFERROR(__xludf.DUMMYFUNCTION("if(H5674=""pays"",vlookup(REGEXEXTRACT(C5674, ""🏘️ \w+ \w+ (.*) ✅""),'Country prepositions'!A:B, 2, 0) &amp; "" "" &amp; REGEXEXTRACT(C5674, ""🏘️ \w+ \w+ (.*) ✅"") ,  if(H5674=""quartier"",vlookup(REGEXEXTRACT(C5674, ""🏘️ \w+ \w+ (.*) ✅""),'Quartier prepositio"&amp;"ns'!A:E, 5, 0) ,  if(H5674=""region"",vlookup(REGEXEXTRACT(C5674, ""🏘️ \w+ \w+ (.*) ✅""),'Region prepositions'!B:F, 5, 0),  REGEXEXTRACT(C5674, ""🏘️ \w+ \w+ (.*) ✅""))))"),"#N/A")</f>
        <v>#N/A</v>
      </c>
      <c r="I5674" s="4" t="str">
        <f>IFERROR(__xludf.DUMMYFUNCTION("if(D5674=""variant"",  substitute(filter(Templates!E:E, Templates!A:A = F5674, Templates!B:B = G5674, Templates!C:C = H5674), ""{{}}"", E5674), B5674)"),"Louer appartement Aarau Rohr: Trouvez le bien immobilier qui correspond idéalement à vos désirs sur ImmoScout24 - La plateforme de l'immobilier en Suisse.")</f>
        <v>Louer appartement Aarau Rohr: Trouvez le bien immobilier qui correspond idéalement à vos désirs sur ImmoScout24 - La plateforme de l'immobilier en Suisse.</v>
      </c>
    </row>
    <row r="5675" hidden="1">
      <c r="A5675" s="5" t="s">
        <v>14446</v>
      </c>
      <c r="B5675" s="2" t="s">
        <v>14447</v>
      </c>
      <c r="C5675" s="2" t="s">
        <v>14447</v>
      </c>
      <c r="D5675" s="4" t="str">
        <f>vlookup(A5675, Sheet2!D:E, 2, 0)</f>
        <v>control</v>
      </c>
      <c r="E5675" s="4" t="str">
        <f>IFERROR(__xludf.DUMMYFUNCTION("if(H5675=""pays"",vlookup(REGEXEXTRACT(C5675, ""🏘️ \w+ \w+ (.*) ✅""),'Country prepositions'!A:B, 2, 0) &amp; "" "" &amp; REGEXEXTRACT(C5675, ""🏘️ \w+ \w+ (.*) ✅"") ,  if(H5675=""quartier"",vlookup(REGEXEXTRACT(C5675, ""🏘️ \w+ \w+ (.*) ✅""),'Quartier prepositio"&amp;"ns'!A:E, 5, 0) ,  if(H5675=""region"",vlookup(REGEXEXTRACT(C5675, ""🏘️ \w+ \w+ (.*) ✅""),'Region prepositions'!B:F, 5, 0),  REGEXEXTRACT(C5675, ""🏘️ \w+ \w+ (.*) ✅""))))"),"#N/A")</f>
        <v>#N/A</v>
      </c>
      <c r="I5675" s="4" t="str">
        <f>IFERROR(__xludf.DUMMYFUNCTION("if(D5675=""variant"",  substitute(filter(Templates!E:E, Templates!A:A = F5675, Templates!B:B = G5675, Templates!C:C = H5675), ""{{}}"", E5675), B5675)"),"Louer appartement Ependes FR: Trouvez le bien immobilier qui correspond idéalement à vos désirs sur ImmoScout24 - La plateforme de l'immobilier en Suisse.")</f>
        <v>Louer appartement Ependes FR: Trouvez le bien immobilier qui correspond idéalement à vos désirs sur ImmoScout24 - La plateforme de l'immobilier en Suisse.</v>
      </c>
    </row>
    <row r="5676" hidden="1">
      <c r="A5676" s="5" t="s">
        <v>14448</v>
      </c>
      <c r="B5676" s="2" t="s">
        <v>14449</v>
      </c>
      <c r="C5676" s="2" t="s">
        <v>14449</v>
      </c>
      <c r="D5676" s="4" t="str">
        <f>vlookup(A5676, Sheet2!D:E, 2, 0)</f>
        <v>control</v>
      </c>
      <c r="E5676" s="4" t="str">
        <f>IFERROR(__xludf.DUMMYFUNCTION("if(H5676=""pays"",vlookup(REGEXEXTRACT(C5676, ""🏘️ \w+ \w+ (.*) ✅""),'Country prepositions'!A:B, 2, 0) &amp; "" "" &amp; REGEXEXTRACT(C5676, ""🏘️ \w+ \w+ (.*) ✅"") ,  if(H5676=""quartier"",vlookup(REGEXEXTRACT(C5676, ""🏘️ \w+ \w+ (.*) ✅""),'Quartier prepositio"&amp;"ns'!A:E, 5, 0) ,  if(H5676=""region"",vlookup(REGEXEXTRACT(C5676, ""🏘️ \w+ \w+ (.*) ✅""),'Region prepositions'!B:F, 5, 0),  REGEXEXTRACT(C5676, ""🏘️ \w+ \w+ (.*) ✅""))))"),"#N/A")</f>
        <v>#N/A</v>
      </c>
      <c r="I5676" s="4" t="str">
        <f>IFERROR(__xludf.DUMMYFUNCTION("if(D5676=""variant"",  substitute(filter(Templates!E:E, Templates!A:A = F5676, Templates!B:B = G5676, Templates!C:C = H5676), ""{{}}"", E5676), B5676)"),"Vendre maison Les Sciernes-d'Albeuve: Trouvez le bien immobilier qui correspond idéalement à vos désirs sur ImmoScout24 - La plateforme de l'immobilier en Suisse.")</f>
        <v>Vendre maison Les Sciernes-d'Albeuve: Trouvez le bien immobilier qui correspond idéalement à vos désirs sur ImmoScout24 - La plateforme de l'immobilier en Suisse.</v>
      </c>
    </row>
    <row r="5677" hidden="1">
      <c r="A5677" s="5" t="s">
        <v>14450</v>
      </c>
      <c r="B5677" s="2" t="s">
        <v>14451</v>
      </c>
      <c r="C5677" s="2" t="s">
        <v>14451</v>
      </c>
      <c r="D5677" s="4" t="str">
        <f>vlookup(A5677, Sheet2!D:E, 2, 0)</f>
        <v>control</v>
      </c>
      <c r="E5677" s="4" t="str">
        <f>IFERROR(__xludf.DUMMYFUNCTION("if(H5677=""pays"",vlookup(REGEXEXTRACT(C5677, ""🏘️ \w+ \w+ (.*) ✅""),'Country prepositions'!A:B, 2, 0) &amp; "" "" &amp; REGEXEXTRACT(C5677, ""🏘️ \w+ \w+ (.*) ✅"") ,  if(H5677=""quartier"",vlookup(REGEXEXTRACT(C5677, ""🏘️ \w+ \w+ (.*) ✅""),'Quartier prepositio"&amp;"ns'!A:E, 5, 0) ,  if(H5677=""region"",vlookup(REGEXEXTRACT(C5677, ""🏘️ \w+ \w+ (.*) ✅""),'Region prepositions'!B:F, 5, 0),  REGEXEXTRACT(C5677, ""🏘️ \w+ \w+ (.*) ✅""))))"),"#N/A")</f>
        <v>#N/A</v>
      </c>
      <c r="I5677" s="4" t="str">
        <f>IFERROR(__xludf.DUMMYFUNCTION("if(D5677=""variant"",  substitute(filter(Templates!E:E, Templates!A:A = F5677, Templates!B:B = G5677, Templates!C:C = H5677), ""{{}}"", E5677), B5677)"),"Vendre appartement La Tzoumaz: Trouvez le bien immobilier qui correspond idéalement à vos désirs sur ImmoScout24 - La plateforme de l'immobilier en Suisse.")</f>
        <v>Vendre appartement La Tzoumaz: Trouvez le bien immobilier qui correspond idéalement à vos désirs sur ImmoScout24 - La plateforme de l'immobilier en Suisse.</v>
      </c>
    </row>
    <row r="5678" hidden="1">
      <c r="A5678" s="5" t="s">
        <v>14452</v>
      </c>
      <c r="B5678" s="2" t="s">
        <v>14453</v>
      </c>
      <c r="C5678" s="2" t="s">
        <v>14453</v>
      </c>
      <c r="D5678" s="4" t="str">
        <f>vlookup(A5678, Sheet2!D:E, 2, 0)</f>
        <v>control</v>
      </c>
      <c r="E5678" s="4" t="str">
        <f>IFERROR(__xludf.DUMMYFUNCTION("if(H5678=""pays"",vlookup(REGEXEXTRACT(C5678, ""🏘️ \w+ \w+ (.*) ✅""),'Country prepositions'!A:B, 2, 0) &amp; "" "" &amp; REGEXEXTRACT(C5678, ""🏘️ \w+ \w+ (.*) ✅"") ,  if(H5678=""quartier"",vlookup(REGEXEXTRACT(C5678, ""🏘️ \w+ \w+ (.*) ✅""),'Quartier prepositio"&amp;"ns'!A:E, 5, 0) ,  if(H5678=""region"",vlookup(REGEXEXTRACT(C5678, ""🏘️ \w+ \w+ (.*) ✅""),'Region prepositions'!B:F, 5, 0),  REGEXEXTRACT(C5678, ""🏘️ \w+ \w+ (.*) ✅""))))"),"#N/A")</f>
        <v>#N/A</v>
      </c>
      <c r="I5678" s="4" t="str">
        <f>IFERROR(__xludf.DUMMYFUNCTION("if(D5678=""variant"",  substitute(filter(Templates!E:E, Templates!A:A = F5678, Templates!B:B = G5678, Templates!C:C = H5678), ""{{}}"", E5678), B5678)"),"Louer appartement Wahlen b. Laufen: Trouvez le bien immobilier qui correspond idéalement à vos désirs sur ImmoScout24 - La plateforme de l'immobilier en Suisse.")</f>
        <v>Louer appartement Wahlen b. Laufen: Trouvez le bien immobilier qui correspond idéalement à vos désirs sur ImmoScout24 - La plateforme de l'immobilier en Suisse.</v>
      </c>
    </row>
    <row r="5679" hidden="1">
      <c r="A5679" s="5" t="s">
        <v>14454</v>
      </c>
      <c r="B5679" s="2" t="s">
        <v>14455</v>
      </c>
      <c r="C5679" s="2" t="s">
        <v>14455</v>
      </c>
      <c r="D5679" s="4" t="str">
        <f>vlookup(A5679, Sheet2!D:E, 2, 0)</f>
        <v>control</v>
      </c>
      <c r="E5679" s="4" t="str">
        <f>IFERROR(__xludf.DUMMYFUNCTION("if(H5679=""pays"",vlookup(REGEXEXTRACT(C5679, ""🏘️ \w+ \w+ (.*) ✅""),'Country prepositions'!A:B, 2, 0) &amp; "" "" &amp; REGEXEXTRACT(C5679, ""🏘️ \w+ \w+ (.*) ✅"") ,  if(H5679=""quartier"",vlookup(REGEXEXTRACT(C5679, ""🏘️ \w+ \w+ (.*) ✅""),'Quartier prepositio"&amp;"ns'!A:E, 5, 0) ,  if(H5679=""region"",vlookup(REGEXEXTRACT(C5679, ""🏘️ \w+ \w+ (.*) ✅""),'Region prepositions'!B:F, 5, 0),  REGEXEXTRACT(C5679, ""🏘️ \w+ \w+ (.*) ✅""))))"),"#N/A")</f>
        <v>#N/A</v>
      </c>
      <c r="I5679" s="4" t="str">
        <f>IFERROR(__xludf.DUMMYFUNCTION("if(D5679=""variant"",  substitute(filter(Templates!E:E, Templates!A:A = F5679, Templates!B:B = G5679, Templates!C:C = H5679), ""{{}}"", E5679), B5679)"),"Vendre maison Grimisuat: Trouvez le bien immobilier qui correspond idéalement à vos désirs sur ImmoScout24 - La plateforme de l'immobilier en Suisse.")</f>
        <v>Vendre maison Grimisuat: Trouvez le bien immobilier qui correspond idéalement à vos désirs sur ImmoScout24 - La plateforme de l'immobilier en Suisse.</v>
      </c>
    </row>
    <row r="5680" hidden="1">
      <c r="A5680" s="5" t="s">
        <v>14456</v>
      </c>
      <c r="B5680" s="2" t="s">
        <v>14457</v>
      </c>
      <c r="C5680" s="2" t="s">
        <v>14457</v>
      </c>
      <c r="D5680" s="4" t="str">
        <f>vlookup(A5680, Sheet2!D:E, 2, 0)</f>
        <v>control</v>
      </c>
      <c r="E5680" s="4" t="str">
        <f>IFERROR(__xludf.DUMMYFUNCTION("if(H5680=""pays"",vlookup(REGEXEXTRACT(C5680, ""🏘️ \w+ \w+ (.*) ✅""),'Country prepositions'!A:B, 2, 0) &amp; "" "" &amp; REGEXEXTRACT(C5680, ""🏘️ \w+ \w+ (.*) ✅"") ,  if(H5680=""quartier"",vlookup(REGEXEXTRACT(C5680, ""🏘️ \w+ \w+ (.*) ✅""),'Quartier prepositio"&amp;"ns'!A:E, 5, 0) ,  if(H5680=""region"",vlookup(REGEXEXTRACT(C5680, ""🏘️ \w+ \w+ (.*) ✅""),'Region prepositions'!B:F, 5, 0),  REGEXEXTRACT(C5680, ""🏘️ \w+ \w+ (.*) ✅""))))"),"#N/A")</f>
        <v>#N/A</v>
      </c>
      <c r="I5680" s="4" t="str">
        <f>IFERROR(__xludf.DUMMYFUNCTION("if(D5680=""variant"",  substitute(filter(Templates!E:E, Templates!A:A = F5680, Templates!B:B = G5680, Templates!C:C = H5680), ""{{}}"", E5680), B5680)"),"Louer maison Broc: Trouvez le bien immobilier qui correspond idéalement à vos désirs sur ImmoScout24 - La plateforme de l'immobilier en Suisse.")</f>
        <v>Louer maison Broc: Trouvez le bien immobilier qui correspond idéalement à vos désirs sur ImmoScout24 - La plateforme de l'immobilier en Suisse.</v>
      </c>
    </row>
    <row r="5681" hidden="1">
      <c r="A5681" s="5" t="s">
        <v>14458</v>
      </c>
      <c r="B5681" s="2" t="s">
        <v>14459</v>
      </c>
      <c r="C5681" s="2" t="s">
        <v>14459</v>
      </c>
      <c r="D5681" s="4" t="str">
        <f>vlookup(A5681, Sheet2!D:E, 2, 0)</f>
        <v>control</v>
      </c>
      <c r="E5681" s="4" t="str">
        <f>IFERROR(__xludf.DUMMYFUNCTION("if(H5681=""pays"",vlookup(REGEXEXTRACT(C5681, ""🏘️ \w+ \w+ (.*) ✅""),'Country prepositions'!A:B, 2, 0) &amp; "" "" &amp; REGEXEXTRACT(C5681, ""🏘️ \w+ \w+ (.*) ✅"") ,  if(H5681=""quartier"",vlookup(REGEXEXTRACT(C5681, ""🏘️ \w+ \w+ (.*) ✅""),'Quartier prepositio"&amp;"ns'!A:E, 5, 0) ,  if(H5681=""region"",vlookup(REGEXEXTRACT(C5681, ""🏘️ \w+ \w+ (.*) ✅""),'Region prepositions'!B:F, 5, 0),  REGEXEXTRACT(C5681, ""🏘️ \w+ \w+ (.*) ✅""))))"),"#N/A")</f>
        <v>#N/A</v>
      </c>
      <c r="I5681" s="4" t="str">
        <f>IFERROR(__xludf.DUMMYFUNCTION("if(D5681=""variant"",  substitute(filter(Templates!E:E, Templates!A:A = F5681, Templates!B:B = G5681, Templates!C:C = H5681), ""{{}}"", E5681), B5681)"),"Louer appartement Isone: Trouvez le bien immobilier qui correspond idéalement à vos désirs sur ImmoScout24 - La plateforme de l'immobilier en Suisse.")</f>
        <v>Louer appartement Isone: Trouvez le bien immobilier qui correspond idéalement à vos désirs sur ImmoScout24 - La plateforme de l'immobilier en Suisse.</v>
      </c>
    </row>
    <row r="5682" hidden="1">
      <c r="A5682" s="5" t="s">
        <v>14460</v>
      </c>
      <c r="B5682" s="2" t="s">
        <v>14461</v>
      </c>
      <c r="C5682" s="2" t="s">
        <v>14461</v>
      </c>
      <c r="D5682" s="4" t="str">
        <f>vlookup(A5682, Sheet2!D:E, 2, 0)</f>
        <v>control</v>
      </c>
      <c r="E5682" s="4" t="str">
        <f>IFERROR(__xludf.DUMMYFUNCTION("if(H5682=""pays"",vlookup(REGEXEXTRACT(C5682, ""🏘️ \w+ \w+ (.*) ✅""),'Country prepositions'!A:B, 2, 0) &amp; "" "" &amp; REGEXEXTRACT(C5682, ""🏘️ \w+ \w+ (.*) ✅"") ,  if(H5682=""quartier"",vlookup(REGEXEXTRACT(C5682, ""🏘️ \w+ \w+ (.*) ✅""),'Quartier prepositio"&amp;"ns'!A:E, 5, 0) ,  if(H5682=""region"",vlookup(REGEXEXTRACT(C5682, ""🏘️ \w+ \w+ (.*) ✅""),'Region prepositions'!B:F, 5, 0),  REGEXEXTRACT(C5682, ""🏘️ \w+ \w+ (.*) ✅""))))"),"#N/A")</f>
        <v>#N/A</v>
      </c>
      <c r="I5682" s="4" t="str">
        <f>IFERROR(__xludf.DUMMYFUNCTION("if(D5682=""variant"",  substitute(filter(Templates!E:E, Templates!A:A = F5682, Templates!B:B = G5682, Templates!C:C = H5682), ""{{}}"", E5682), B5682)"),"Vendre maison Bretigny-sur-Morrens: Trouvez le bien immobilier qui correspond idéalement à vos désirs sur ImmoScout24 - La plateforme de l'immobilier en Suisse.")</f>
        <v>Vendre maison Bretigny-sur-Morrens: Trouvez le bien immobilier qui correspond idéalement à vos désirs sur ImmoScout24 - La plateforme de l'immobilier en Suisse.</v>
      </c>
    </row>
    <row r="5683" hidden="1">
      <c r="A5683" s="5" t="s">
        <v>14462</v>
      </c>
      <c r="B5683" s="2" t="s">
        <v>14463</v>
      </c>
      <c r="C5683" s="2" t="s">
        <v>14463</v>
      </c>
      <c r="D5683" s="4" t="str">
        <f>vlookup(A5683, Sheet2!D:E, 2, 0)</f>
        <v>control</v>
      </c>
      <c r="E5683" s="4" t="str">
        <f>IFERROR(__xludf.DUMMYFUNCTION("if(H5683=""pays"",vlookup(REGEXEXTRACT(C5683, ""🏘️ \w+ \w+ (.*) ✅""),'Country prepositions'!A:B, 2, 0) &amp; "" "" &amp; REGEXEXTRACT(C5683, ""🏘️ \w+ \w+ (.*) ✅"") ,  if(H5683=""quartier"",vlookup(REGEXEXTRACT(C5683, ""🏘️ \w+ \w+ (.*) ✅""),'Quartier prepositio"&amp;"ns'!A:E, 5, 0) ,  if(H5683=""region"",vlookup(REGEXEXTRACT(C5683, ""🏘️ \w+ \w+ (.*) ✅""),'Region prepositions'!B:F, 5, 0),  REGEXEXTRACT(C5683, ""🏘️ \w+ \w+ (.*) ✅""))))"),"#N/A")</f>
        <v>#N/A</v>
      </c>
      <c r="I5683" s="4" t="str">
        <f>IFERROR(__xludf.DUMMYFUNCTION("if(D5683=""variant"",  substitute(filter(Templates!E:E, Templates!A:A = F5683, Templates!B:B = G5683, Templates!C:C = H5683), ""{{}}"", E5683), B5683)"),"Louer appartement Susch: Trouvez le bien immobilier qui correspond idéalement à vos désirs sur ImmoScout24 - La plateforme de l'immobilier en Suisse.")</f>
        <v>Louer appartement Susch: Trouvez le bien immobilier qui correspond idéalement à vos désirs sur ImmoScout24 - La plateforme de l'immobilier en Suisse.</v>
      </c>
    </row>
    <row r="5684" hidden="1">
      <c r="A5684" s="5" t="s">
        <v>14464</v>
      </c>
      <c r="B5684" s="2" t="s">
        <v>14465</v>
      </c>
      <c r="C5684" s="2" t="s">
        <v>14465</v>
      </c>
      <c r="D5684" s="4" t="str">
        <f>vlookup(A5684, Sheet2!D:E, 2, 0)</f>
        <v>control</v>
      </c>
      <c r="E5684" s="4" t="str">
        <f>IFERROR(__xludf.DUMMYFUNCTION("if(H5684=""pays"",vlookup(REGEXEXTRACT(C5684, ""🏘️ \w+ \w+ (.*) ✅""),'Country prepositions'!A:B, 2, 0) &amp; "" "" &amp; REGEXEXTRACT(C5684, ""🏘️ \w+ \w+ (.*) ✅"") ,  if(H5684=""quartier"",vlookup(REGEXEXTRACT(C5684, ""🏘️ \w+ \w+ (.*) ✅""),'Quartier prepositio"&amp;"ns'!A:E, 5, 0) ,  if(H5684=""region"",vlookup(REGEXEXTRACT(C5684, ""🏘️ \w+ \w+ (.*) ✅""),'Region prepositions'!B:F, 5, 0),  REGEXEXTRACT(C5684, ""🏘️ \w+ \w+ (.*) ✅""))))"),"#N/A")</f>
        <v>#N/A</v>
      </c>
      <c r="I5684" s="4" t="str">
        <f>IFERROR(__xludf.DUMMYFUNCTION("if(D5684=""variant"",  substitute(filter(Templates!E:E, Templates!A:A = F5684, Templates!B:B = G5684, Templates!C:C = H5684), ""{{}}"", E5684), B5684)"),"Louer maison Villeneuve FR: Trouvez le bien immobilier qui correspond idéalement à vos désirs sur ImmoScout24 - La plateforme de l'immobilier en Suisse.")</f>
        <v>Louer maison Villeneuve FR: Trouvez le bien immobilier qui correspond idéalement à vos désirs sur ImmoScout24 - La plateforme de l'immobilier en Suisse.</v>
      </c>
    </row>
    <row r="5685" hidden="1">
      <c r="A5685" s="5" t="s">
        <v>14466</v>
      </c>
      <c r="B5685" s="2" t="s">
        <v>14467</v>
      </c>
      <c r="C5685" s="2" t="s">
        <v>14467</v>
      </c>
      <c r="D5685" s="4" t="str">
        <f>vlookup(A5685, Sheet2!D:E, 2, 0)</f>
        <v>control</v>
      </c>
      <c r="E5685" s="4" t="str">
        <f>IFERROR(__xludf.DUMMYFUNCTION("if(H5685=""pays"",vlookup(REGEXEXTRACT(C5685, ""🏘️ \w+ \w+ (.*) ✅""),'Country prepositions'!A:B, 2, 0) &amp; "" "" &amp; REGEXEXTRACT(C5685, ""🏘️ \w+ \w+ (.*) ✅"") ,  if(H5685=""quartier"",vlookup(REGEXEXTRACT(C5685, ""🏘️ \w+ \w+ (.*) ✅""),'Quartier prepositio"&amp;"ns'!A:E, 5, 0) ,  if(H5685=""region"",vlookup(REGEXEXTRACT(C5685, ""🏘️ \w+ \w+ (.*) ✅""),'Region prepositions'!B:F, 5, 0),  REGEXEXTRACT(C5685, ""🏘️ \w+ \w+ (.*) ✅""))))"),"#N/A")</f>
        <v>#N/A</v>
      </c>
      <c r="I5685" s="4" t="str">
        <f>IFERROR(__xludf.DUMMYFUNCTION("if(D5685=""variant"",  substitute(filter(Templates!E:E, Templates!A:A = F5685, Templates!B:B = G5685, Templates!C:C = H5685), ""{{}}"", E5685), B5685)"),"Vendre maison Hallau: Trouvez le bien immobilier qui correspond idéalement à vos désirs sur ImmoScout24 - La plateforme de l'immobilier en Suisse.")</f>
        <v>Vendre maison Hallau: Trouvez le bien immobilier qui correspond idéalement à vos désirs sur ImmoScout24 - La plateforme de l'immobilier en Suisse.</v>
      </c>
    </row>
    <row r="5686" hidden="1">
      <c r="A5686" s="5" t="s">
        <v>14468</v>
      </c>
      <c r="B5686" s="2" t="s">
        <v>14469</v>
      </c>
      <c r="C5686" s="2" t="s">
        <v>14469</v>
      </c>
      <c r="D5686" s="4" t="str">
        <f>vlookup(A5686, Sheet2!D:E, 2, 0)</f>
        <v>control</v>
      </c>
      <c r="E5686" s="4" t="str">
        <f>IFERROR(__xludf.DUMMYFUNCTION("if(H5686=""pays"",vlookup(REGEXEXTRACT(C5686, ""🏘️ \w+ \w+ (.*) ✅""),'Country prepositions'!A:B, 2, 0) &amp; "" "" &amp; REGEXEXTRACT(C5686, ""🏘️ \w+ \w+ (.*) ✅"") ,  if(H5686=""quartier"",vlookup(REGEXEXTRACT(C5686, ""🏘️ \w+ \w+ (.*) ✅""),'Quartier prepositio"&amp;"ns'!A:E, 5, 0) ,  if(H5686=""region"",vlookup(REGEXEXTRACT(C5686, ""🏘️ \w+ \w+ (.*) ✅""),'Region prepositions'!B:F, 5, 0),  REGEXEXTRACT(C5686, ""🏘️ \w+ \w+ (.*) ✅""))))"),"#N/A")</f>
        <v>#N/A</v>
      </c>
      <c r="I5686" s="4" t="str">
        <f>IFERROR(__xludf.DUMMYFUNCTION("if(D5686=""variant"",  substitute(filter(Templates!E:E, Templates!A:A = F5686, Templates!B:B = G5686, Templates!C:C = H5686), ""{{}}"", E5686), B5686)"),"Louer appartement Plagne: Trouvez le bien immobilier qui correspond idéalement à vos désirs sur ImmoScout24 - La plateforme de l'immobilier en Suisse.")</f>
        <v>Louer appartement Plagne: Trouvez le bien immobilier qui correspond idéalement à vos désirs sur ImmoScout24 - La plateforme de l'immobilier en Suisse.</v>
      </c>
    </row>
    <row r="5687" hidden="1">
      <c r="A5687" s="5" t="s">
        <v>14470</v>
      </c>
      <c r="B5687" s="2" t="s">
        <v>14471</v>
      </c>
      <c r="C5687" s="2" t="s">
        <v>14471</v>
      </c>
      <c r="D5687" s="4" t="str">
        <f>vlookup(A5687, Sheet2!D:E, 2, 0)</f>
        <v>control</v>
      </c>
      <c r="E5687" s="4" t="str">
        <f>IFERROR(__xludf.DUMMYFUNCTION("if(H5687=""pays"",vlookup(REGEXEXTRACT(C5687, ""🏘️ \w+ \w+ (.*) ✅""),'Country prepositions'!A:B, 2, 0) &amp; "" "" &amp; REGEXEXTRACT(C5687, ""🏘️ \w+ \w+ (.*) ✅"") ,  if(H5687=""quartier"",vlookup(REGEXEXTRACT(C5687, ""🏘️ \w+ \w+ (.*) ✅""),'Quartier prepositio"&amp;"ns'!A:E, 5, 0) ,  if(H5687=""region"",vlookup(REGEXEXTRACT(C5687, ""🏘️ \w+ \w+ (.*) ✅""),'Region prepositions'!B:F, 5, 0),  REGEXEXTRACT(C5687, ""🏘️ \w+ \w+ (.*) ✅""))))"),"#N/A")</f>
        <v>#N/A</v>
      </c>
      <c r="I5687" s="4" t="str">
        <f>IFERROR(__xludf.DUMMYFUNCTION("if(D5687=""variant"",  substitute(filter(Templates!E:E, Templates!A:A = F5687, Templates!B:B = G5687, Templates!C:C = H5687), ""{{}}"", E5687), B5687)"),"Vendre appartement Lac de Constance: Trouvez le bien immobilier qui correspond idéalement à vos désirs sur ImmoScout24 - La plateforme de l'immobilier en Suisse.")</f>
        <v>Vendre appartement Lac de Constance: Trouvez le bien immobilier qui correspond idéalement à vos désirs sur ImmoScout24 - La plateforme de l'immobilier en Suisse.</v>
      </c>
    </row>
    <row r="5688" hidden="1">
      <c r="A5688" s="5" t="s">
        <v>14472</v>
      </c>
      <c r="B5688" s="2" t="s">
        <v>14473</v>
      </c>
      <c r="C5688" s="2" t="s">
        <v>14473</v>
      </c>
      <c r="D5688" s="4" t="str">
        <f>vlookup(A5688, Sheet2!D:E, 2, 0)</f>
        <v>control</v>
      </c>
      <c r="E5688" s="4" t="str">
        <f>IFERROR(__xludf.DUMMYFUNCTION("if(H5688=""pays"",vlookup(REGEXEXTRACT(C5688, ""🏘️ \w+ \w+ (.*) ✅""),'Country prepositions'!A:B, 2, 0) &amp; "" "" &amp; REGEXEXTRACT(C5688, ""🏘️ \w+ \w+ (.*) ✅"") ,  if(H5688=""quartier"",vlookup(REGEXEXTRACT(C5688, ""🏘️ \w+ \w+ (.*) ✅""),'Quartier prepositio"&amp;"ns'!A:E, 5, 0) ,  if(H5688=""region"",vlookup(REGEXEXTRACT(C5688, ""🏘️ \w+ \w+ (.*) ✅""),'Region prepositions'!B:F, 5, 0),  REGEXEXTRACT(C5688, ""🏘️ \w+ \w+ (.*) ✅""))))"),"#N/A")</f>
        <v>#N/A</v>
      </c>
      <c r="I5688" s="4" t="str">
        <f>IFERROR(__xludf.DUMMYFUNCTION("if(D5688=""variant"",  substitute(filter(Templates!E:E, Templates!A:A = F5688, Templates!B:B = G5688, Templates!C:C = H5688), ""{{}}"", E5688), B5688)"),"Vendre maison Echarlens: Trouvez le bien immobilier qui correspond idéalement à vos désirs sur ImmoScout24 - La plateforme de l'immobilier en Suisse.")</f>
        <v>Vendre maison Echarlens: Trouvez le bien immobilier qui correspond idéalement à vos désirs sur ImmoScout24 - La plateforme de l'immobilier en Suisse.</v>
      </c>
    </row>
    <row r="5689" hidden="1">
      <c r="A5689" s="5" t="s">
        <v>14474</v>
      </c>
      <c r="B5689" s="2" t="s">
        <v>14475</v>
      </c>
      <c r="C5689" s="2" t="s">
        <v>14475</v>
      </c>
      <c r="D5689" s="4" t="str">
        <f>vlookup(A5689, Sheet2!D:E, 2, 0)</f>
        <v>control</v>
      </c>
      <c r="E5689" s="4" t="str">
        <f>IFERROR(__xludf.DUMMYFUNCTION("if(H5689=""pays"",vlookup(REGEXEXTRACT(C5689, ""🏘️ \w+ \w+ (.*) ✅""),'Country prepositions'!A:B, 2, 0) &amp; "" "" &amp; REGEXEXTRACT(C5689, ""🏘️ \w+ \w+ (.*) ✅"") ,  if(H5689=""quartier"",vlookup(REGEXEXTRACT(C5689, ""🏘️ \w+ \w+ (.*) ✅""),'Quartier prepositio"&amp;"ns'!A:E, 5, 0) ,  if(H5689=""region"",vlookup(REGEXEXTRACT(C5689, ""🏘️ \w+ \w+ (.*) ✅""),'Region prepositions'!B:F, 5, 0),  REGEXEXTRACT(C5689, ""🏘️ \w+ \w+ (.*) ✅""))))"),"#N/A")</f>
        <v>#N/A</v>
      </c>
      <c r="I5689" s="4" t="str">
        <f>IFERROR(__xludf.DUMMYFUNCTION("if(D5689=""variant"",  substitute(filter(Templates!E:E, Templates!A:A = F5689, Templates!B:B = G5689, Templates!C:C = H5689), ""{{}}"", E5689), B5689)"),"Vendre maison Rigi Kulm: Trouvez le bien immobilier qui correspond idéalement à vos désirs sur ImmoScout24 - La plateforme de l'immobilier en Suisse.")</f>
        <v>Vendre maison Rigi Kulm: Trouvez le bien immobilier qui correspond idéalement à vos désirs sur ImmoScout24 - La plateforme de l'immobilier en Suisse.</v>
      </c>
    </row>
    <row r="5690" hidden="1">
      <c r="A5690" s="5" t="s">
        <v>14476</v>
      </c>
      <c r="B5690" s="2" t="s">
        <v>14477</v>
      </c>
      <c r="C5690" s="2" t="s">
        <v>14477</v>
      </c>
      <c r="D5690" s="4" t="str">
        <f>vlookup(A5690, Sheet2!D:E, 2, 0)</f>
        <v>control</v>
      </c>
      <c r="E5690" s="4" t="str">
        <f>IFERROR(__xludf.DUMMYFUNCTION("if(H5690=""pays"",vlookup(REGEXEXTRACT(C5690, ""🏘️ \w+ \w+ (.*) ✅""),'Country prepositions'!A:B, 2, 0) &amp; "" "" &amp; REGEXEXTRACT(C5690, ""🏘️ \w+ \w+ (.*) ✅"") ,  if(H5690=""quartier"",vlookup(REGEXEXTRACT(C5690, ""🏘️ \w+ \w+ (.*) ✅""),'Quartier prepositio"&amp;"ns'!A:E, 5, 0) ,  if(H5690=""region"",vlookup(REGEXEXTRACT(C5690, ""🏘️ \w+ \w+ (.*) ✅""),'Region prepositions'!B:F, 5, 0),  REGEXEXTRACT(C5690, ""🏘️ \w+ \w+ (.*) ✅""))))"),"#N/A")</f>
        <v>#N/A</v>
      </c>
      <c r="I5690" s="4" t="str">
        <f>IFERROR(__xludf.DUMMYFUNCTION("if(D5690=""variant"",  substitute(filter(Templates!E:E, Templates!A:A = F5690, Templates!B:B = G5690, Templates!C:C = H5690), ""{{}}"", E5690), B5690)"),"Louer maison Les Rasses: Trouvez le bien immobilier qui correspond idéalement à vos désirs sur ImmoScout24 - La plateforme de l'immobilier en Suisse.")</f>
        <v>Louer maison Les Rasses: Trouvez le bien immobilier qui correspond idéalement à vos désirs sur ImmoScout24 - La plateforme de l'immobilier en Suisse.</v>
      </c>
    </row>
    <row r="5691" hidden="1">
      <c r="A5691" s="5" t="s">
        <v>14478</v>
      </c>
      <c r="B5691" s="2" t="s">
        <v>14479</v>
      </c>
      <c r="C5691" s="2" t="s">
        <v>14479</v>
      </c>
      <c r="D5691" s="4" t="str">
        <f>vlookup(A5691, Sheet2!D:E, 2, 0)</f>
        <v>control</v>
      </c>
      <c r="E5691" s="4" t="str">
        <f>IFERROR(__xludf.DUMMYFUNCTION("if(H5691=""pays"",vlookup(REGEXEXTRACT(C5691, ""🏘️ \w+ \w+ (.*) ✅""),'Country prepositions'!A:B, 2, 0) &amp; "" "" &amp; REGEXEXTRACT(C5691, ""🏘️ \w+ \w+ (.*) ✅"") ,  if(H5691=""quartier"",vlookup(REGEXEXTRACT(C5691, ""🏘️ \w+ \w+ (.*) ✅""),'Quartier prepositio"&amp;"ns'!A:E, 5, 0) ,  if(H5691=""region"",vlookup(REGEXEXTRACT(C5691, ""🏘️ \w+ \w+ (.*) ✅""),'Region prepositions'!B:F, 5, 0),  REGEXEXTRACT(C5691, ""🏘️ \w+ \w+ (.*) ✅""))))"),"#N/A")</f>
        <v>#N/A</v>
      </c>
      <c r="I5691" s="4" t="str">
        <f>IFERROR(__xludf.DUMMYFUNCTION("if(D5691=""variant"",  substitute(filter(Templates!E:E, Templates!A:A = F5691, Templates!B:B = G5691, Templates!C:C = H5691), ""{{}}"", E5691), B5691)"),"Louer appartement Henniez: Trouvez le bien immobilier qui correspond idéalement à vos désirs sur ImmoScout24 - La plateforme de l'immobilier en Suisse.")</f>
        <v>Louer appartement Henniez: Trouvez le bien immobilier qui correspond idéalement à vos désirs sur ImmoScout24 - La plateforme de l'immobilier en Suisse.</v>
      </c>
    </row>
    <row r="5692" hidden="1">
      <c r="A5692" s="5" t="s">
        <v>14480</v>
      </c>
      <c r="B5692" s="2" t="s">
        <v>14481</v>
      </c>
      <c r="C5692" s="2" t="s">
        <v>14481</v>
      </c>
      <c r="D5692" s="4" t="str">
        <f>vlookup(A5692, Sheet2!D:E, 2, 0)</f>
        <v>control</v>
      </c>
      <c r="E5692" s="4" t="str">
        <f>IFERROR(__xludf.DUMMYFUNCTION("if(H5692=""pays"",vlookup(REGEXEXTRACT(C5692, ""🏘️ \w+ \w+ (.*) ✅""),'Country prepositions'!A:B, 2, 0) &amp; "" "" &amp; REGEXEXTRACT(C5692, ""🏘️ \w+ \w+ (.*) ✅"") ,  if(H5692=""quartier"",vlookup(REGEXEXTRACT(C5692, ""🏘️ \w+ \w+ (.*) ✅""),'Quartier prepositio"&amp;"ns'!A:E, 5, 0) ,  if(H5692=""region"",vlookup(REGEXEXTRACT(C5692, ""🏘️ \w+ \w+ (.*) ✅""),'Region prepositions'!B:F, 5, 0),  REGEXEXTRACT(C5692, ""🏘️ \w+ \w+ (.*) ✅""))))"),"#N/A")</f>
        <v>#N/A</v>
      </c>
      <c r="I5692" s="4" t="str">
        <f>IFERROR(__xludf.DUMMYFUNCTION("if(D5692=""variant"",  substitute(filter(Templates!E:E, Templates!A:A = F5692, Templates!B:B = G5692, Templates!C:C = H5692), ""{{}}"", E5692), B5692)"),"Vendre appartement Chernex: Trouvez le bien immobilier qui correspond idéalement à vos désirs sur ImmoScout24 - La plateforme de l'immobilier en Suisse.")</f>
        <v>Vendre appartement Chernex: Trouvez le bien immobilier qui correspond idéalement à vos désirs sur ImmoScout24 - La plateforme de l'immobilier en Suisse.</v>
      </c>
    </row>
    <row r="5693" hidden="1">
      <c r="A5693" s="5" t="s">
        <v>14482</v>
      </c>
      <c r="B5693" s="2" t="s">
        <v>14483</v>
      </c>
      <c r="C5693" s="2" t="s">
        <v>14483</v>
      </c>
      <c r="D5693" s="4" t="str">
        <f>vlookup(A5693, Sheet2!D:E, 2, 0)</f>
        <v>control</v>
      </c>
      <c r="E5693" s="4" t="str">
        <f>IFERROR(__xludf.DUMMYFUNCTION("if(H5693=""pays"",vlookup(REGEXEXTRACT(C5693, ""🏘️ \w+ \w+ (.*) ✅""),'Country prepositions'!A:B, 2, 0) &amp; "" "" &amp; REGEXEXTRACT(C5693, ""🏘️ \w+ \w+ (.*) ✅"") ,  if(H5693=""quartier"",vlookup(REGEXEXTRACT(C5693, ""🏘️ \w+ \w+ (.*) ✅""),'Quartier prepositio"&amp;"ns'!A:E, 5, 0) ,  if(H5693=""region"",vlookup(REGEXEXTRACT(C5693, ""🏘️ \w+ \w+ (.*) ✅""),'Region prepositions'!B:F, 5, 0),  REGEXEXTRACT(C5693, ""🏘️ \w+ \w+ (.*) ✅""))))"),"#N/A")</f>
        <v>#N/A</v>
      </c>
      <c r="I5693" s="4" t="str">
        <f>IFERROR(__xludf.DUMMYFUNCTION("if(D5693=""variant"",  substitute(filter(Templates!E:E, Templates!A:A = F5693, Templates!B:B = G5693, Templates!C:C = H5693), ""{{}}"", E5693), B5693)"),"Louer appartement Hagneck: Trouvez le bien immobilier qui correspond idéalement à vos désirs sur ImmoScout24 - La plateforme de l'immobilier en Suisse.")</f>
        <v>Louer appartement Hagneck: Trouvez le bien immobilier qui correspond idéalement à vos désirs sur ImmoScout24 - La plateforme de l'immobilier en Suisse.</v>
      </c>
    </row>
    <row r="5694" hidden="1">
      <c r="A5694" s="5" t="s">
        <v>14484</v>
      </c>
      <c r="B5694" s="2" t="s">
        <v>14485</v>
      </c>
      <c r="C5694" s="2" t="s">
        <v>14485</v>
      </c>
      <c r="D5694" s="4" t="str">
        <f>vlookup(A5694, Sheet2!D:E, 2, 0)</f>
        <v>control</v>
      </c>
      <c r="E5694" s="4" t="str">
        <f>IFERROR(__xludf.DUMMYFUNCTION("if(H5694=""pays"",vlookup(REGEXEXTRACT(C5694, ""🏘️ \w+ \w+ (.*) ✅""),'Country prepositions'!A:B, 2, 0) &amp; "" "" &amp; REGEXEXTRACT(C5694, ""🏘️ \w+ \w+ (.*) ✅"") ,  if(H5694=""quartier"",vlookup(REGEXEXTRACT(C5694, ""🏘️ \w+ \w+ (.*) ✅""),'Quartier prepositio"&amp;"ns'!A:E, 5, 0) ,  if(H5694=""region"",vlookup(REGEXEXTRACT(C5694, ""🏘️ \w+ \w+ (.*) ✅""),'Region prepositions'!B:F, 5, 0),  REGEXEXTRACT(C5694, ""🏘️ \w+ \w+ (.*) ✅""))))"),"#N/A")</f>
        <v>#N/A</v>
      </c>
      <c r="I5694" s="4" t="str">
        <f>IFERROR(__xludf.DUMMYFUNCTION("if(D5694=""variant"",  substitute(filter(Templates!E:E, Templates!A:A = F5694, Templates!B:B = G5694, Templates!C:C = H5694), ""{{}}"", E5694), B5694)"),"Vendre maison Valangin: Trouvez le bien immobilier qui correspond idéalement à vos désirs sur ImmoScout24 - La plateforme de l'immobilier en Suisse.")</f>
        <v>Vendre maison Valangin: Trouvez le bien immobilier qui correspond idéalement à vos désirs sur ImmoScout24 - La plateforme de l'immobilier en Suisse.</v>
      </c>
    </row>
    <row r="5695" hidden="1">
      <c r="A5695" s="5" t="s">
        <v>14486</v>
      </c>
      <c r="B5695" s="2" t="s">
        <v>14487</v>
      </c>
      <c r="C5695" s="2" t="s">
        <v>14487</v>
      </c>
      <c r="D5695" s="4" t="str">
        <f>vlookup(A5695, Sheet2!D:E, 2, 0)</f>
        <v>control</v>
      </c>
      <c r="E5695" s="4" t="str">
        <f>IFERROR(__xludf.DUMMYFUNCTION("if(H5695=""pays"",vlookup(REGEXEXTRACT(C5695, ""🏘️ \w+ \w+ (.*) ✅""),'Country prepositions'!A:B, 2, 0) &amp; "" "" &amp; REGEXEXTRACT(C5695, ""🏘️ \w+ \w+ (.*) ✅"") ,  if(H5695=""quartier"",vlookup(REGEXEXTRACT(C5695, ""🏘️ \w+ \w+ (.*) ✅""),'Quartier prepositio"&amp;"ns'!A:E, 5, 0) ,  if(H5695=""region"",vlookup(REGEXEXTRACT(C5695, ""🏘️ \w+ \w+ (.*) ✅""),'Region prepositions'!B:F, 5, 0),  REGEXEXTRACT(C5695, ""🏘️ \w+ \w+ (.*) ✅""))))"),"#N/A")</f>
        <v>#N/A</v>
      </c>
      <c r="I5695" s="4" t="str">
        <f>IFERROR(__xludf.DUMMYFUNCTION("if(D5695=""variant"",  substitute(filter(Templates!E:E, Templates!A:A = F5695, Templates!B:B = G5695, Templates!C:C = H5695), ""{{}}"", E5695), B5695)"),"Vendre appartement Orges: Trouvez le bien immobilier qui correspond idéalement à vos désirs sur ImmoScout24 - La plateforme de l'immobilier en Suisse.")</f>
        <v>Vendre appartement Orges: Trouvez le bien immobilier qui correspond idéalement à vos désirs sur ImmoScout24 - La plateforme de l'immobilier en Suisse.</v>
      </c>
    </row>
    <row r="5696" hidden="1">
      <c r="A5696" s="5" t="s">
        <v>14488</v>
      </c>
      <c r="B5696" s="2" t="s">
        <v>14489</v>
      </c>
      <c r="C5696" s="2" t="s">
        <v>14489</v>
      </c>
      <c r="D5696" s="4" t="str">
        <f>vlookup(A5696, Sheet2!D:E, 2, 0)</f>
        <v>control</v>
      </c>
      <c r="E5696" s="4" t="str">
        <f>IFERROR(__xludf.DUMMYFUNCTION("if(H5696=""pays"",vlookup(REGEXEXTRACT(C5696, ""🏘️ \w+ \w+ (.*) ✅""),'Country prepositions'!A:B, 2, 0) &amp; "" "" &amp; REGEXEXTRACT(C5696, ""🏘️ \w+ \w+ (.*) ✅"") ,  if(H5696=""quartier"",vlookup(REGEXEXTRACT(C5696, ""🏘️ \w+ \w+ (.*) ✅""),'Quartier prepositio"&amp;"ns'!A:E, 5, 0) ,  if(H5696=""region"",vlookup(REGEXEXTRACT(C5696, ""🏘️ \w+ \w+ (.*) ✅""),'Region prepositions'!B:F, 5, 0),  REGEXEXTRACT(C5696, ""🏘️ \w+ \w+ (.*) ✅""))))"),"#N/A")</f>
        <v>#N/A</v>
      </c>
      <c r="I5696" s="4" t="str">
        <f>IFERROR(__xludf.DUMMYFUNCTION("if(D5696=""variant"",  substitute(filter(Templates!E:E, Templates!A:A = F5696, Templates!B:B = G5696, Templates!C:C = H5696), ""{{}}"", E5696), B5696)"),"Louer appartement Planken: Trouvez le bien immobilier qui correspond idéalement à vos désirs sur ImmoScout24 - La plateforme de l'immobilier en Suisse.")</f>
        <v>Louer appartement Planken: Trouvez le bien immobilier qui correspond idéalement à vos désirs sur ImmoScout24 - La plateforme de l'immobilier en Suisse.</v>
      </c>
    </row>
    <row r="5697" hidden="1">
      <c r="A5697" s="5" t="s">
        <v>14490</v>
      </c>
      <c r="B5697" s="2" t="s">
        <v>14491</v>
      </c>
      <c r="C5697" s="2" t="s">
        <v>14491</v>
      </c>
      <c r="D5697" s="4" t="str">
        <f>vlookup(A5697, Sheet2!D:E, 2, 0)</f>
        <v>control</v>
      </c>
      <c r="E5697" s="4" t="str">
        <f>IFERROR(__xludf.DUMMYFUNCTION("if(H5697=""pays"",vlookup(REGEXEXTRACT(C5697, ""🏘️ \w+ \w+ (.*) ✅""),'Country prepositions'!A:B, 2, 0) &amp; "" "" &amp; REGEXEXTRACT(C5697, ""🏘️ \w+ \w+ (.*) ✅"") ,  if(H5697=""quartier"",vlookup(REGEXEXTRACT(C5697, ""🏘️ \w+ \w+ (.*) ✅""),'Quartier prepositio"&amp;"ns'!A:E, 5, 0) ,  if(H5697=""region"",vlookup(REGEXEXTRACT(C5697, ""🏘️ \w+ \w+ (.*) ✅""),'Region prepositions'!B:F, 5, 0),  REGEXEXTRACT(C5697, ""🏘️ \w+ \w+ (.*) ✅""))))"),"#N/A")</f>
        <v>#N/A</v>
      </c>
      <c r="I5697" s="4" t="str">
        <f>IFERROR(__xludf.DUMMYFUNCTION("if(D5697=""variant"",  substitute(filter(Templates!E:E, Templates!A:A = F5697, Templates!B:B = G5697, Templates!C:C = H5697), ""{{}}"", E5697), B5697)"),"Louer appartement Bedano: Trouvez le bien immobilier qui correspond idéalement à vos désirs sur ImmoScout24 - La plateforme de l'immobilier en Suisse.")</f>
        <v>Louer appartement Bedano: Trouvez le bien immobilier qui correspond idéalement à vos désirs sur ImmoScout24 - La plateforme de l'immobilier en Suisse.</v>
      </c>
    </row>
    <row r="5698" hidden="1">
      <c r="A5698" s="5" t="s">
        <v>14492</v>
      </c>
      <c r="B5698" s="2" t="s">
        <v>14493</v>
      </c>
      <c r="C5698" s="2" t="s">
        <v>14493</v>
      </c>
      <c r="D5698" s="4" t="str">
        <f>vlookup(A5698, Sheet2!D:E, 2, 0)</f>
        <v>control</v>
      </c>
      <c r="E5698" s="4" t="str">
        <f>IFERROR(__xludf.DUMMYFUNCTION("if(H5698=""pays"",vlookup(REGEXEXTRACT(C5698, ""🏘️ \w+ \w+ (.*) ✅""),'Country prepositions'!A:B, 2, 0) &amp; "" "" &amp; REGEXEXTRACT(C5698, ""🏘️ \w+ \w+ (.*) ✅"") ,  if(H5698=""quartier"",vlookup(REGEXEXTRACT(C5698, ""🏘️ \w+ \w+ (.*) ✅""),'Quartier prepositio"&amp;"ns'!A:E, 5, 0) ,  if(H5698=""region"",vlookup(REGEXEXTRACT(C5698, ""🏘️ \w+ \w+ (.*) ✅""),'Region prepositions'!B:F, 5, 0),  REGEXEXTRACT(C5698, ""🏘️ \w+ \w+ (.*) ✅""))))"),"#N/A")</f>
        <v>#N/A</v>
      </c>
      <c r="I5698" s="4" t="str">
        <f>IFERROR(__xludf.DUMMYFUNCTION("if(D5698=""variant"",  substitute(filter(Templates!E:E, Templates!A:A = F5698, Templates!B:B = G5698, Templates!C:C = H5698), ""{{}}"", E5698), B5698)"),"Louer appartement Münchenbuchsee: Trouvez le bien immobilier qui correspond idéalement à vos désirs sur ImmoScout24 - La plateforme de l'immobilier en Suisse.")</f>
        <v>Louer appartement Münchenbuchsee: Trouvez le bien immobilier qui correspond idéalement à vos désirs sur ImmoScout24 - La plateforme de l'immobilier en Suisse.</v>
      </c>
    </row>
    <row r="5699" hidden="1">
      <c r="A5699" s="5" t="s">
        <v>14494</v>
      </c>
      <c r="B5699" s="2" t="s">
        <v>14495</v>
      </c>
      <c r="C5699" s="2" t="s">
        <v>14495</v>
      </c>
      <c r="D5699" s="4" t="str">
        <f>vlookup(A5699, Sheet2!D:E, 2, 0)</f>
        <v>control</v>
      </c>
      <c r="E5699" s="4" t="str">
        <f>IFERROR(__xludf.DUMMYFUNCTION("if(H5699=""pays"",vlookup(REGEXEXTRACT(C5699, ""🏘️ \w+ \w+ (.*) ✅""),'Country prepositions'!A:B, 2, 0) &amp; "" "" &amp; REGEXEXTRACT(C5699, ""🏘️ \w+ \w+ (.*) ✅"") ,  if(H5699=""quartier"",vlookup(REGEXEXTRACT(C5699, ""🏘️ \w+ \w+ (.*) ✅""),'Quartier prepositio"&amp;"ns'!A:E, 5, 0) ,  if(H5699=""region"",vlookup(REGEXEXTRACT(C5699, ""🏘️ \w+ \w+ (.*) ✅""),'Region prepositions'!B:F, 5, 0),  REGEXEXTRACT(C5699, ""🏘️ \w+ \w+ (.*) ✅""))))"),"#N/A")</f>
        <v>#N/A</v>
      </c>
      <c r="I5699" s="4" t="str">
        <f>IFERROR(__xludf.DUMMYFUNCTION("if(D5699=""variant"",  substitute(filter(Templates!E:E, Templates!A:A = F5699, Templates!B:B = G5699, Templates!C:C = H5699), ""{{}}"", E5699), B5699)"),"Vendre maison Wiedlisbach: Trouvez le bien immobilier qui correspond idéalement à vos désirs sur ImmoScout24 - La plateforme de l'immobilier en Suisse.")</f>
        <v>Vendre maison Wiedlisbach: Trouvez le bien immobilier qui correspond idéalement à vos désirs sur ImmoScout24 - La plateforme de l'immobilier en Suisse.</v>
      </c>
    </row>
    <row r="5700" hidden="1">
      <c r="A5700" s="5" t="s">
        <v>14496</v>
      </c>
      <c r="B5700" s="2" t="s">
        <v>14497</v>
      </c>
      <c r="C5700" s="2" t="s">
        <v>14497</v>
      </c>
      <c r="D5700" s="4" t="str">
        <f>vlookup(A5700, Sheet2!D:E, 2, 0)</f>
        <v>control</v>
      </c>
      <c r="E5700" s="4" t="str">
        <f>IFERROR(__xludf.DUMMYFUNCTION("if(H5700=""pays"",vlookup(REGEXEXTRACT(C5700, ""🏘️ \w+ \w+ (.*) ✅""),'Country prepositions'!A:B, 2, 0) &amp; "" "" &amp; REGEXEXTRACT(C5700, ""🏘️ \w+ \w+ (.*) ✅"") ,  if(H5700=""quartier"",vlookup(REGEXEXTRACT(C5700, ""🏘️ \w+ \w+ (.*) ✅""),'Quartier prepositio"&amp;"ns'!A:E, 5, 0) ,  if(H5700=""region"",vlookup(REGEXEXTRACT(C5700, ""🏘️ \w+ \w+ (.*) ✅""),'Region prepositions'!B:F, 5, 0),  REGEXEXTRACT(C5700, ""🏘️ \w+ \w+ (.*) ✅""))))"),"#N/A")</f>
        <v>#N/A</v>
      </c>
      <c r="I5700" s="4" t="str">
        <f>IFERROR(__xludf.DUMMYFUNCTION("if(D5700=""variant"",  substitute(filter(Templates!E:E, Templates!A:A = F5700, Templates!B:B = G5700, Templates!C:C = H5700), ""{{}}"", E5700), B5700)"),"Vendre appartement St-Imier: Trouvez le bien immobilier qui correspond idéalement à vos désirs sur ImmoScout24 - La plateforme de l'immobilier en Suisse.")</f>
        <v>Vendre appartement St-Imier: Trouvez le bien immobilier qui correspond idéalement à vos désirs sur ImmoScout24 - La plateforme de l'immobilier en Suisse.</v>
      </c>
    </row>
    <row r="5701" hidden="1">
      <c r="A5701" s="5" t="s">
        <v>14498</v>
      </c>
      <c r="B5701" s="2" t="s">
        <v>14499</v>
      </c>
      <c r="C5701" s="2" t="s">
        <v>14499</v>
      </c>
      <c r="D5701" s="4" t="str">
        <f>vlookup(A5701, Sheet2!D:E, 2, 0)</f>
        <v>control</v>
      </c>
      <c r="E5701" s="4" t="str">
        <f>IFERROR(__xludf.DUMMYFUNCTION("if(H5701=""pays"",vlookup(REGEXEXTRACT(C5701, ""🏘️ \w+ \w+ (.*) ✅""),'Country prepositions'!A:B, 2, 0) &amp; "" "" &amp; REGEXEXTRACT(C5701, ""🏘️ \w+ \w+ (.*) ✅"") ,  if(H5701=""quartier"",vlookup(REGEXEXTRACT(C5701, ""🏘️ \w+ \w+ (.*) ✅""),'Quartier prepositio"&amp;"ns'!A:E, 5, 0) ,  if(H5701=""region"",vlookup(REGEXEXTRACT(C5701, ""🏘️ \w+ \w+ (.*) ✅""),'Region prepositions'!B:F, 5, 0),  REGEXEXTRACT(C5701, ""🏘️ \w+ \w+ (.*) ✅""))))"),"#N/A")</f>
        <v>#N/A</v>
      </c>
      <c r="I5701" s="4" t="str">
        <f>IFERROR(__xludf.DUMMYFUNCTION("if(D5701=""variant"",  substitute(filter(Templates!E:E, Templates!A:A = F5701, Templates!B:B = G5701, Templates!C:C = H5701), ""{{}}"", E5701), B5701)"),"Vendre appartement Conches: Trouvez le bien immobilier qui correspond idéalement à vos désirs sur ImmoScout24 - La plateforme de l'immobilier en Suisse.")</f>
        <v>Vendre appartement Conches: Trouvez le bien immobilier qui correspond idéalement à vos désirs sur ImmoScout24 - La plateforme de l'immobilier en Suisse.</v>
      </c>
    </row>
    <row r="5702" hidden="1">
      <c r="A5702" s="5" t="s">
        <v>14500</v>
      </c>
      <c r="B5702" s="2" t="s">
        <v>14501</v>
      </c>
      <c r="C5702" s="2" t="s">
        <v>14501</v>
      </c>
      <c r="D5702" s="4" t="str">
        <f>vlookup(A5702, Sheet2!D:E, 2, 0)</f>
        <v>control</v>
      </c>
      <c r="E5702" s="4" t="str">
        <f>IFERROR(__xludf.DUMMYFUNCTION("if(H5702=""pays"",vlookup(REGEXEXTRACT(C5702, ""🏘️ \w+ \w+ (.*) ✅""),'Country prepositions'!A:B, 2, 0) &amp; "" "" &amp; REGEXEXTRACT(C5702, ""🏘️ \w+ \w+ (.*) ✅"") ,  if(H5702=""quartier"",vlookup(REGEXEXTRACT(C5702, ""🏘️ \w+ \w+ (.*) ✅""),'Quartier prepositio"&amp;"ns'!A:E, 5, 0) ,  if(H5702=""region"",vlookup(REGEXEXTRACT(C5702, ""🏘️ \w+ \w+ (.*) ✅""),'Region prepositions'!B:F, 5, 0),  REGEXEXTRACT(C5702, ""🏘️ \w+ \w+ (.*) ✅""))))"),"#N/A")</f>
        <v>#N/A</v>
      </c>
      <c r="I5702" s="4" t="str">
        <f>IFERROR(__xludf.DUMMYFUNCTION("if(D5702=""variant"",  substitute(filter(Templates!E:E, Templates!A:A = F5702, Templates!B:B = G5702, Templates!C:C = H5702), ""{{}}"", E5702), B5702)"),"Vendre maison Massonnens: Trouvez le bien immobilier qui correspond idéalement à vos désirs sur ImmoScout24 - La plateforme de l'immobilier en Suisse.")</f>
        <v>Vendre maison Massonnens: Trouvez le bien immobilier qui correspond idéalement à vos désirs sur ImmoScout24 - La plateforme de l'immobilier en Suisse.</v>
      </c>
    </row>
    <row r="5703" hidden="1">
      <c r="A5703" s="5" t="s">
        <v>14502</v>
      </c>
      <c r="B5703" s="2" t="s">
        <v>14503</v>
      </c>
      <c r="C5703" s="2" t="s">
        <v>14503</v>
      </c>
      <c r="D5703" s="4" t="str">
        <f>vlookup(A5703, Sheet2!D:E, 2, 0)</f>
        <v>control</v>
      </c>
      <c r="E5703" s="4" t="str">
        <f>IFERROR(__xludf.DUMMYFUNCTION("if(H5703=""pays"",vlookup(REGEXEXTRACT(C5703, ""🏘️ \w+ \w+ (.*) ✅""),'Country prepositions'!A:B, 2, 0) &amp; "" "" &amp; REGEXEXTRACT(C5703, ""🏘️ \w+ \w+ (.*) ✅"") ,  if(H5703=""quartier"",vlookup(REGEXEXTRACT(C5703, ""🏘️ \w+ \w+ (.*) ✅""),'Quartier prepositio"&amp;"ns'!A:E, 5, 0) ,  if(H5703=""region"",vlookup(REGEXEXTRACT(C5703, ""🏘️ \w+ \w+ (.*) ✅""),'Region prepositions'!B:F, 5, 0),  REGEXEXTRACT(C5703, ""🏘️ \w+ \w+ (.*) ✅""))))"),"#N/A")</f>
        <v>#N/A</v>
      </c>
      <c r="I5703" s="4" t="str">
        <f>IFERROR(__xludf.DUMMYFUNCTION("if(D5703=""variant"",  substitute(filter(Templates!E:E, Templates!A:A = F5703, Templates!B:B = G5703, Templates!C:C = H5703), ""{{}}"", E5703), B5703)"),"Louer maison Roche VD: Trouvez le bien immobilier qui correspond idéalement à vos désirs sur ImmoScout24 - La plateforme de l'immobilier en Suisse.")</f>
        <v>Louer maison Roche VD: Trouvez le bien immobilier qui correspond idéalement à vos désirs sur ImmoScout24 - La plateforme de l'immobilier en Suisse.</v>
      </c>
    </row>
    <row r="5704" hidden="1">
      <c r="A5704" s="5" t="s">
        <v>14504</v>
      </c>
      <c r="B5704" s="2" t="s">
        <v>14505</v>
      </c>
      <c r="C5704" s="2" t="s">
        <v>14505</v>
      </c>
      <c r="D5704" s="4" t="str">
        <f>vlookup(A5704, Sheet2!D:E, 2, 0)</f>
        <v>control</v>
      </c>
      <c r="E5704" s="4" t="str">
        <f>IFERROR(__xludf.DUMMYFUNCTION("if(H5704=""pays"",vlookup(REGEXEXTRACT(C5704, ""🏘️ \w+ \w+ (.*) ✅""),'Country prepositions'!A:B, 2, 0) &amp; "" "" &amp; REGEXEXTRACT(C5704, ""🏘️ \w+ \w+ (.*) ✅"") ,  if(H5704=""quartier"",vlookup(REGEXEXTRACT(C5704, ""🏘️ \w+ \w+ (.*) ✅""),'Quartier prepositio"&amp;"ns'!A:E, 5, 0) ,  if(H5704=""region"",vlookup(REGEXEXTRACT(C5704, ""🏘️ \w+ \w+ (.*) ✅""),'Region prepositions'!B:F, 5, 0),  REGEXEXTRACT(C5704, ""🏘️ \w+ \w+ (.*) ✅""))))"),"#N/A")</f>
        <v>#N/A</v>
      </c>
      <c r="I5704" s="4" t="str">
        <f>IFERROR(__xludf.DUMMYFUNCTION("if(D5704=""variant"",  substitute(filter(Templates!E:E, Templates!A:A = F5704, Templates!B:B = G5704, Templates!C:C = H5704), ""{{}}"", E5704), B5704)"),"Louer appartement Le Locle: Trouvez le bien immobilier qui correspond idéalement à vos désirs sur ImmoScout24 - La plateforme de l'immobilier en Suisse.")</f>
        <v>Louer appartement Le Locle: Trouvez le bien immobilier qui correspond idéalement à vos désirs sur ImmoScout24 - La plateforme de l'immobilier en Suisse.</v>
      </c>
    </row>
    <row r="5705" hidden="1">
      <c r="A5705" s="5" t="s">
        <v>14506</v>
      </c>
      <c r="B5705" s="2" t="s">
        <v>14507</v>
      </c>
      <c r="C5705" s="2" t="s">
        <v>14507</v>
      </c>
      <c r="D5705" s="4" t="str">
        <f>vlookup(A5705, Sheet2!D:E, 2, 0)</f>
        <v>control</v>
      </c>
      <c r="E5705" s="4" t="str">
        <f>IFERROR(__xludf.DUMMYFUNCTION("if(H5705=""pays"",vlookup(REGEXEXTRACT(C5705, ""🏘️ \w+ \w+ (.*) ✅""),'Country prepositions'!A:B, 2, 0) &amp; "" "" &amp; REGEXEXTRACT(C5705, ""🏘️ \w+ \w+ (.*) ✅"") ,  if(H5705=""quartier"",vlookup(REGEXEXTRACT(C5705, ""🏘️ \w+ \w+ (.*) ✅""),'Quartier prepositio"&amp;"ns'!A:E, 5, 0) ,  if(H5705=""region"",vlookup(REGEXEXTRACT(C5705, ""🏘️ \w+ \w+ (.*) ✅""),'Region prepositions'!B:F, 5, 0),  REGEXEXTRACT(C5705, ""🏘️ \w+ \w+ (.*) ✅""))))"),"#N/A")</f>
        <v>#N/A</v>
      </c>
      <c r="I5705" s="4" t="str">
        <f>IFERROR(__xludf.DUMMYFUNCTION("if(D5705=""variant"",  substitute(filter(Templates!E:E, Templates!A:A = F5705, Templates!B:B = G5705, Templates!C:C = H5705), ""{{}}"", E5705), B5705)"),"Louer appartement Gerlafingen: Trouvez le bien immobilier qui correspond idéalement à vos désirs sur ImmoScout24 - La plateforme de l'immobilier en Suisse.")</f>
        <v>Louer appartement Gerlafingen: Trouvez le bien immobilier qui correspond idéalement à vos désirs sur ImmoScout24 - La plateforme de l'immobilier en Suisse.</v>
      </c>
    </row>
    <row r="5706" hidden="1">
      <c r="A5706" s="5" t="s">
        <v>14508</v>
      </c>
      <c r="B5706" s="2" t="s">
        <v>14509</v>
      </c>
      <c r="C5706" s="2" t="s">
        <v>14509</v>
      </c>
      <c r="D5706" s="4" t="str">
        <f>vlookup(A5706, Sheet2!D:E, 2, 0)</f>
        <v>control</v>
      </c>
      <c r="E5706" s="4" t="str">
        <f>IFERROR(__xludf.DUMMYFUNCTION("if(H5706=""pays"",vlookup(REGEXEXTRACT(C5706, ""🏘️ \w+ \w+ (.*) ✅""),'Country prepositions'!A:B, 2, 0) &amp; "" "" &amp; REGEXEXTRACT(C5706, ""🏘️ \w+ \w+ (.*) ✅"") ,  if(H5706=""quartier"",vlookup(REGEXEXTRACT(C5706, ""🏘️ \w+ \w+ (.*) ✅""),'Quartier prepositio"&amp;"ns'!A:E, 5, 0) ,  if(H5706=""region"",vlookup(REGEXEXTRACT(C5706, ""🏘️ \w+ \w+ (.*) ✅""),'Region prepositions'!B:F, 5, 0),  REGEXEXTRACT(C5706, ""🏘️ \w+ \w+ (.*) ✅""))))"),"#N/A")</f>
        <v>#N/A</v>
      </c>
      <c r="I5706" s="4" t="str">
        <f>IFERROR(__xludf.DUMMYFUNCTION("if(D5706=""variant"",  substitute(filter(Templates!E:E, Templates!A:A = F5706, Templates!B:B = G5706, Templates!C:C = H5706), ""{{}}"", E5706), B5706)"),"Vendre maison Moiry VD: Trouvez le bien immobilier qui correspond idéalement à vos désirs sur ImmoScout24 - La plateforme de l'immobilier en Suisse.")</f>
        <v>Vendre maison Moiry VD: Trouvez le bien immobilier qui correspond idéalement à vos désirs sur ImmoScout24 - La plateforme de l'immobilier en Suisse.</v>
      </c>
    </row>
    <row r="5707" hidden="1">
      <c r="A5707" s="5" t="s">
        <v>14510</v>
      </c>
      <c r="B5707" s="2" t="s">
        <v>14511</v>
      </c>
      <c r="C5707" s="2" t="s">
        <v>14511</v>
      </c>
      <c r="D5707" s="4" t="str">
        <f>vlookup(A5707, Sheet2!D:E, 2, 0)</f>
        <v>control</v>
      </c>
      <c r="E5707" s="4" t="str">
        <f>IFERROR(__xludf.DUMMYFUNCTION("if(H5707=""pays"",vlookup(REGEXEXTRACT(C5707, ""🏘️ \w+ \w+ (.*) ✅""),'Country prepositions'!A:B, 2, 0) &amp; "" "" &amp; REGEXEXTRACT(C5707, ""🏘️ \w+ \w+ (.*) ✅"") ,  if(H5707=""quartier"",vlookup(REGEXEXTRACT(C5707, ""🏘️ \w+ \w+ (.*) ✅""),'Quartier prepositio"&amp;"ns'!A:E, 5, 0) ,  if(H5707=""region"",vlookup(REGEXEXTRACT(C5707, ""🏘️ \w+ \w+ (.*) ✅""),'Region prepositions'!B:F, 5, 0),  REGEXEXTRACT(C5707, ""🏘️ \w+ \w+ (.*) ✅""))))"),"#N/A")</f>
        <v>#N/A</v>
      </c>
      <c r="I5707" s="4" t="str">
        <f>IFERROR(__xludf.DUMMYFUNCTION("if(D5707=""variant"",  substitute(filter(Templates!E:E, Templates!A:A = F5707, Templates!B:B = G5707, Templates!C:C = H5707), ""{{}}"", E5707), B5707)"),"Louer appartement Bauen: Trouvez le bien immobilier qui correspond idéalement à vos désirs sur ImmoScout24 - La plateforme de l'immobilier en Suisse.")</f>
        <v>Louer appartement Bauen: Trouvez le bien immobilier qui correspond idéalement à vos désirs sur ImmoScout24 - La plateforme de l'immobilier en Suisse.</v>
      </c>
    </row>
    <row r="5708" hidden="1">
      <c r="A5708" s="5" t="s">
        <v>14512</v>
      </c>
      <c r="B5708" s="2" t="s">
        <v>14513</v>
      </c>
      <c r="C5708" s="2" t="s">
        <v>14513</v>
      </c>
      <c r="D5708" s="4" t="str">
        <f>vlookup(A5708, Sheet2!D:E, 2, 0)</f>
        <v>control</v>
      </c>
      <c r="E5708" s="4" t="str">
        <f>IFERROR(__xludf.DUMMYFUNCTION("if(H5708=""pays"",vlookup(REGEXEXTRACT(C5708, ""🏘️ \w+ \w+ (.*) ✅""),'Country prepositions'!A:B, 2, 0) &amp; "" "" &amp; REGEXEXTRACT(C5708, ""🏘️ \w+ \w+ (.*) ✅"") ,  if(H5708=""quartier"",vlookup(REGEXEXTRACT(C5708, ""🏘️ \w+ \w+ (.*) ✅""),'Quartier prepositio"&amp;"ns'!A:E, 5, 0) ,  if(H5708=""region"",vlookup(REGEXEXTRACT(C5708, ""🏘️ \w+ \w+ (.*) ✅""),'Region prepositions'!B:F, 5, 0),  REGEXEXTRACT(C5708, ""🏘️ \w+ \w+ (.*) ✅""))))"),"#N/A")</f>
        <v>#N/A</v>
      </c>
      <c r="I5708" s="4" t="str">
        <f>IFERROR(__xludf.DUMMYFUNCTION("if(D5708=""variant"",  substitute(filter(Templates!E:E, Templates!A:A = F5708, Templates!B:B = G5708, Templates!C:C = H5708), ""{{}}"", E5708), B5708)"),"Louer appartement Oberengadin - Puschlav - Bergell: Trouvez le bien immobilier qui correspond idéalement à vos désirs sur ImmoScout24 - La plateforme de l'immobilier en Suisse.")</f>
        <v>Louer appartement Oberengadin - Puschlav - Bergell: Trouvez le bien immobilier qui correspond idéalement à vos désirs sur ImmoScout24 - La plateforme de l'immobilier en Suisse.</v>
      </c>
    </row>
    <row r="5709" hidden="1">
      <c r="A5709" s="5" t="s">
        <v>14514</v>
      </c>
      <c r="B5709" s="2" t="s">
        <v>14515</v>
      </c>
      <c r="C5709" s="2" t="s">
        <v>14515</v>
      </c>
      <c r="D5709" s="4" t="str">
        <f>vlookup(A5709, Sheet2!D:E, 2, 0)</f>
        <v>control</v>
      </c>
      <c r="E5709" s="4" t="str">
        <f>IFERROR(__xludf.DUMMYFUNCTION("if(H5709=""pays"",vlookup(REGEXEXTRACT(C5709, ""🏘️ \w+ \w+ (.*) ✅""),'Country prepositions'!A:B, 2, 0) &amp; "" "" &amp; REGEXEXTRACT(C5709, ""🏘️ \w+ \w+ (.*) ✅"") ,  if(H5709=""quartier"",vlookup(REGEXEXTRACT(C5709, ""🏘️ \w+ \w+ (.*) ✅""),'Quartier prepositio"&amp;"ns'!A:E, 5, 0) ,  if(H5709=""region"",vlookup(REGEXEXTRACT(C5709, ""🏘️ \w+ \w+ (.*) ✅""),'Region prepositions'!B:F, 5, 0),  REGEXEXTRACT(C5709, ""🏘️ \w+ \w+ (.*) ✅""))))"),"#N/A")</f>
        <v>#N/A</v>
      </c>
      <c r="I5709" s="4" t="str">
        <f>IFERROR(__xludf.DUMMYFUNCTION("if(D5709=""variant"",  substitute(filter(Templates!E:E, Templates!A:A = F5709, Templates!B:B = G5709, Templates!C:C = H5709), ""{{}}"", E5709), B5709)"),"Louer appartement Kriegstetten: Trouvez le bien immobilier qui correspond idéalement à vos désirs sur ImmoScout24 - La plateforme de l'immobilier en Suisse.")</f>
        <v>Louer appartement Kriegstetten: Trouvez le bien immobilier qui correspond idéalement à vos désirs sur ImmoScout24 - La plateforme de l'immobilier en Suisse.</v>
      </c>
    </row>
    <row r="5710" hidden="1">
      <c r="A5710" s="5" t="s">
        <v>14516</v>
      </c>
      <c r="B5710" s="2" t="s">
        <v>14517</v>
      </c>
      <c r="C5710" s="2" t="s">
        <v>14517</v>
      </c>
      <c r="D5710" s="4" t="str">
        <f>vlookup(A5710, Sheet2!D:E, 2, 0)</f>
        <v>control</v>
      </c>
      <c r="E5710" s="4" t="str">
        <f>IFERROR(__xludf.DUMMYFUNCTION("if(H5710=""pays"",vlookup(REGEXEXTRACT(C5710, ""🏘️ \w+ \w+ (.*) ✅""),'Country prepositions'!A:B, 2, 0) &amp; "" "" &amp; REGEXEXTRACT(C5710, ""🏘️ \w+ \w+ (.*) ✅"") ,  if(H5710=""quartier"",vlookup(REGEXEXTRACT(C5710, ""🏘️ \w+ \w+ (.*) ✅""),'Quartier prepositio"&amp;"ns'!A:E, 5, 0) ,  if(H5710=""region"",vlookup(REGEXEXTRACT(C5710, ""🏘️ \w+ \w+ (.*) ✅""),'Region prepositions'!B:F, 5, 0),  REGEXEXTRACT(C5710, ""🏘️ \w+ \w+ (.*) ✅""))))"),"#N/A")</f>
        <v>#N/A</v>
      </c>
      <c r="I5710" s="4" t="str">
        <f>IFERROR(__xludf.DUMMYFUNCTION("if(D5710=""variant"",  substitute(filter(Templates!E:E, Templates!A:A = F5710, Templates!B:B = G5710, Templates!C:C = H5710), ""{{}}"", E5710), B5710)"),"Louer maison Bäch SZ: Trouvez le bien immobilier qui correspond idéalement à vos désirs sur ImmoScout24 - La plateforme de l'immobilier en Suisse.")</f>
        <v>Louer maison Bäch SZ: Trouvez le bien immobilier qui correspond idéalement à vos désirs sur ImmoScout24 - La plateforme de l'immobilier en Suisse.</v>
      </c>
    </row>
    <row r="5711" hidden="1">
      <c r="A5711" s="5" t="s">
        <v>14518</v>
      </c>
      <c r="B5711" s="2" t="s">
        <v>14519</v>
      </c>
      <c r="C5711" s="2" t="s">
        <v>14519</v>
      </c>
      <c r="D5711" s="4" t="str">
        <f>vlookup(A5711, Sheet2!D:E, 2, 0)</f>
        <v>control</v>
      </c>
      <c r="E5711" s="4" t="str">
        <f>IFERROR(__xludf.DUMMYFUNCTION("if(H5711=""pays"",vlookup(REGEXEXTRACT(C5711, ""🏘️ \w+ \w+ (.*) ✅""),'Country prepositions'!A:B, 2, 0) &amp; "" "" &amp; REGEXEXTRACT(C5711, ""🏘️ \w+ \w+ (.*) ✅"") ,  if(H5711=""quartier"",vlookup(REGEXEXTRACT(C5711, ""🏘️ \w+ \w+ (.*) ✅""),'Quartier prepositio"&amp;"ns'!A:E, 5, 0) ,  if(H5711=""region"",vlookup(REGEXEXTRACT(C5711, ""🏘️ \w+ \w+ (.*) ✅""),'Region prepositions'!B:F, 5, 0),  REGEXEXTRACT(C5711, ""🏘️ \w+ \w+ (.*) ✅""))))"),"#N/A")</f>
        <v>#N/A</v>
      </c>
      <c r="I5711" s="4" t="str">
        <f>IFERROR(__xludf.DUMMYFUNCTION("if(D5711=""variant"",  substitute(filter(Templates!E:E, Templates!A:A = F5711, Templates!B:B = G5711, Templates!C:C = H5711), ""{{}}"", E5711), B5711)"),"Vendre maison Secteur forain ouest (La Chaux-de-Fonds): Trouvez le bien immobilier qui correspond idéalement à vos désirs sur ImmoScout24 - La plateforme de l'immobilier en Suisse.")</f>
        <v>Vendre maison Secteur forain ouest (La Chaux-de-Fonds): Trouvez le bien immobilier qui correspond idéalement à vos désirs sur ImmoScout24 - La plateforme de l'immobilier en Suisse.</v>
      </c>
    </row>
    <row r="5712" hidden="1">
      <c r="A5712" s="5" t="s">
        <v>14520</v>
      </c>
      <c r="B5712" s="2" t="s">
        <v>14521</v>
      </c>
      <c r="C5712" s="2" t="s">
        <v>14521</v>
      </c>
      <c r="D5712" s="4" t="str">
        <f>vlookup(A5712, Sheet2!D:E, 2, 0)</f>
        <v>control</v>
      </c>
      <c r="E5712" s="4" t="str">
        <f>IFERROR(__xludf.DUMMYFUNCTION("if(H5712=""pays"",vlookup(REGEXEXTRACT(C5712, ""🏘️ \w+ \w+ (.*) ✅""),'Country prepositions'!A:B, 2, 0) &amp; "" "" &amp; REGEXEXTRACT(C5712, ""🏘️ \w+ \w+ (.*) ✅"") ,  if(H5712=""quartier"",vlookup(REGEXEXTRACT(C5712, ""🏘️ \w+ \w+ (.*) ✅""),'Quartier prepositio"&amp;"ns'!A:E, 5, 0) ,  if(H5712=""region"",vlookup(REGEXEXTRACT(C5712, ""🏘️ \w+ \w+ (.*) ✅""),'Region prepositions'!B:F, 5, 0),  REGEXEXTRACT(C5712, ""🏘️ \w+ \w+ (.*) ✅""))))"),"#N/A")</f>
        <v>#N/A</v>
      </c>
      <c r="I5712" s="4" t="str">
        <f>IFERROR(__xludf.DUMMYFUNCTION("if(D5712=""variant"",  substitute(filter(Templates!E:E, Templates!A:A = F5712, Templates!B:B = G5712, Templates!C:C = H5712), ""{{}}"", E5712), B5712)"),"Louer appartement Aubonne: Trouvez le bien immobilier qui correspond idéalement à vos désirs sur ImmoScout24 - La plateforme de l'immobilier en Suisse.")</f>
        <v>Louer appartement Aubonne: Trouvez le bien immobilier qui correspond idéalement à vos désirs sur ImmoScout24 - La plateforme de l'immobilier en Suisse.</v>
      </c>
    </row>
    <row r="5713" hidden="1">
      <c r="A5713" s="5" t="s">
        <v>14522</v>
      </c>
      <c r="B5713" s="2" t="s">
        <v>14523</v>
      </c>
      <c r="C5713" s="2" t="s">
        <v>14523</v>
      </c>
      <c r="D5713" s="4" t="str">
        <f>vlookup(A5713, Sheet2!D:E, 2, 0)</f>
        <v>control</v>
      </c>
      <c r="E5713" s="4" t="str">
        <f>IFERROR(__xludf.DUMMYFUNCTION("if(H5713=""pays"",vlookup(REGEXEXTRACT(C5713, ""🏘️ \w+ \w+ (.*) ✅""),'Country prepositions'!A:B, 2, 0) &amp; "" "" &amp; REGEXEXTRACT(C5713, ""🏘️ \w+ \w+ (.*) ✅"") ,  if(H5713=""quartier"",vlookup(REGEXEXTRACT(C5713, ""🏘️ \w+ \w+ (.*) ✅""),'Quartier prepositio"&amp;"ns'!A:E, 5, 0) ,  if(H5713=""region"",vlookup(REGEXEXTRACT(C5713, ""🏘️ \w+ \w+ (.*) ✅""),'Region prepositions'!B:F, 5, 0),  REGEXEXTRACT(C5713, ""🏘️ \w+ \w+ (.*) ✅""))))"),"#N/A")</f>
        <v>#N/A</v>
      </c>
      <c r="I5713" s="4" t="str">
        <f>IFERROR(__xludf.DUMMYFUNCTION("if(D5713=""variant"",  substitute(filter(Templates!E:E, Templates!A:A = F5713, Templates!B:B = G5713, Templates!C:C = H5713), ""{{}}"", E5713), B5713)"),"Vendre maison Lausanne: Trouvez le bien immobilier qui correspond idéalement à vos désirs sur ImmoScout24 - La plateforme de l'immobilier en Suisse.")</f>
        <v>Vendre maison Lausanne: Trouvez le bien immobilier qui correspond idéalement à vos désirs sur ImmoScout24 - La plateforme de l'immobilier en Suisse.</v>
      </c>
    </row>
    <row r="5714" hidden="1">
      <c r="A5714" s="5" t="s">
        <v>14524</v>
      </c>
      <c r="B5714" s="2" t="s">
        <v>14525</v>
      </c>
      <c r="C5714" s="2" t="s">
        <v>14525</v>
      </c>
      <c r="D5714" s="4" t="str">
        <f>vlookup(A5714, Sheet2!D:E, 2, 0)</f>
        <v>control</v>
      </c>
      <c r="E5714" s="4" t="str">
        <f>IFERROR(__xludf.DUMMYFUNCTION("if(H5714=""pays"",vlookup(REGEXEXTRACT(C5714, ""🏘️ \w+ \w+ (.*) ✅""),'Country prepositions'!A:B, 2, 0) &amp; "" "" &amp; REGEXEXTRACT(C5714, ""🏘️ \w+ \w+ (.*) ✅"") ,  if(H5714=""quartier"",vlookup(REGEXEXTRACT(C5714, ""🏘️ \w+ \w+ (.*) ✅""),'Quartier prepositio"&amp;"ns'!A:E, 5, 0) ,  if(H5714=""region"",vlookup(REGEXEXTRACT(C5714, ""🏘️ \w+ \w+ (.*) ✅""),'Region prepositions'!B:F, 5, 0),  REGEXEXTRACT(C5714, ""🏘️ \w+ \w+ (.*) ✅""))))"),"#N/A")</f>
        <v>#N/A</v>
      </c>
      <c r="I5714" s="4" t="str">
        <f>IFERROR(__xludf.DUMMYFUNCTION("if(D5714=""variant"",  substitute(filter(Templates!E:E, Templates!A:A = F5714, Templates!B:B = G5714, Templates!C:C = H5714), ""{{}}"", E5714), B5714)"),"Louer appartement Burtigny: Trouvez le bien immobilier qui correspond idéalement à vos désirs sur ImmoScout24 - La plateforme de l'immobilier en Suisse.")</f>
        <v>Louer appartement Burtigny: Trouvez le bien immobilier qui correspond idéalement à vos désirs sur ImmoScout24 - La plateforme de l'immobilier en Suisse.</v>
      </c>
    </row>
    <row r="5715" hidden="1">
      <c r="A5715" s="5" t="s">
        <v>14526</v>
      </c>
      <c r="B5715" s="2" t="s">
        <v>14527</v>
      </c>
      <c r="C5715" s="2" t="s">
        <v>14527</v>
      </c>
      <c r="D5715" s="4" t="str">
        <f>vlookup(A5715, Sheet2!D:E, 2, 0)</f>
        <v>control</v>
      </c>
      <c r="E5715" s="4" t="str">
        <f>IFERROR(__xludf.DUMMYFUNCTION("if(H5715=""pays"",vlookup(REGEXEXTRACT(C5715, ""🏘️ \w+ \w+ (.*) ✅""),'Country prepositions'!A:B, 2, 0) &amp; "" "" &amp; REGEXEXTRACT(C5715, ""🏘️ \w+ \w+ (.*) ✅"") ,  if(H5715=""quartier"",vlookup(REGEXEXTRACT(C5715, ""🏘️ \w+ \w+ (.*) ✅""),'Quartier prepositio"&amp;"ns'!A:E, 5, 0) ,  if(H5715=""region"",vlookup(REGEXEXTRACT(C5715, ""🏘️ \w+ \w+ (.*) ✅""),'Region prepositions'!B:F, 5, 0),  REGEXEXTRACT(C5715, ""🏘️ \w+ \w+ (.*) ✅""))))"),"#N/A")</f>
        <v>#N/A</v>
      </c>
      <c r="I5715" s="4" t="str">
        <f>IFERROR(__xludf.DUMMYFUNCTION("if(D5715=""variant"",  substitute(filter(Templates!E:E, Templates!A:A = F5715, Templates!B:B = G5715, Templates!C:C = H5715), ""{{}}"", E5715), B5715)"),"Louer appartement Gonten: Trouvez le bien immobilier qui correspond idéalement à vos désirs sur ImmoScout24 - La plateforme de l'immobilier en Suisse.")</f>
        <v>Louer appartement Gonten: Trouvez le bien immobilier qui correspond idéalement à vos désirs sur ImmoScout24 - La plateforme de l'immobilier en Suisse.</v>
      </c>
    </row>
    <row r="5716" hidden="1">
      <c r="A5716" s="5" t="s">
        <v>14528</v>
      </c>
      <c r="B5716" s="2" t="s">
        <v>14529</v>
      </c>
      <c r="C5716" s="2" t="s">
        <v>14529</v>
      </c>
      <c r="D5716" s="4" t="str">
        <f>vlookup(A5716, Sheet2!D:E, 2, 0)</f>
        <v>control</v>
      </c>
      <c r="E5716" s="4" t="str">
        <f>IFERROR(__xludf.DUMMYFUNCTION("if(H5716=""pays"",vlookup(REGEXEXTRACT(C5716, ""🏘️ \w+ \w+ (.*) ✅""),'Country prepositions'!A:B, 2, 0) &amp; "" "" &amp; REGEXEXTRACT(C5716, ""🏘️ \w+ \w+ (.*) ✅"") ,  if(H5716=""quartier"",vlookup(REGEXEXTRACT(C5716, ""🏘️ \w+ \w+ (.*) ✅""),'Quartier prepositio"&amp;"ns'!A:E, 5, 0) ,  if(H5716=""region"",vlookup(REGEXEXTRACT(C5716, ""🏘️ \w+ \w+ (.*) ✅""),'Region prepositions'!B:F, 5, 0),  REGEXEXTRACT(C5716, ""🏘️ \w+ \w+ (.*) ✅""))))"),"#N/A")</f>
        <v>#N/A</v>
      </c>
      <c r="I5716" s="4" t="str">
        <f>IFERROR(__xludf.DUMMYFUNCTION("if(D5716=""variant"",  substitute(filter(Templates!E:E, Templates!A:A = F5716, Templates!B:B = G5716, Templates!C:C = H5716), ""{{}}"", E5716), B5716)"),"Vendre maison Suhr: Trouvez le bien immobilier qui correspond idéalement à vos désirs sur ImmoScout24 - La plateforme de l'immobilier en Suisse.")</f>
        <v>Vendre maison Suhr: Trouvez le bien immobilier qui correspond idéalement à vos désirs sur ImmoScout24 - La plateforme de l'immobilier en Suisse.</v>
      </c>
    </row>
    <row r="5717" hidden="1">
      <c r="A5717" s="5" t="s">
        <v>14530</v>
      </c>
      <c r="B5717" s="2" t="s">
        <v>14531</v>
      </c>
      <c r="C5717" s="2" t="s">
        <v>14531</v>
      </c>
      <c r="D5717" s="4" t="str">
        <f>vlookup(A5717, Sheet2!D:E, 2, 0)</f>
        <v>control</v>
      </c>
      <c r="E5717" s="4" t="str">
        <f>IFERROR(__xludf.DUMMYFUNCTION("if(H5717=""pays"",vlookup(REGEXEXTRACT(C5717, ""🏘️ \w+ \w+ (.*) ✅""),'Country prepositions'!A:B, 2, 0) &amp; "" "" &amp; REGEXEXTRACT(C5717, ""🏘️ \w+ \w+ (.*) ✅"") ,  if(H5717=""quartier"",vlookup(REGEXEXTRACT(C5717, ""🏘️ \w+ \w+ (.*) ✅""),'Quartier prepositio"&amp;"ns'!A:E, 5, 0) ,  if(H5717=""region"",vlookup(REGEXEXTRACT(C5717, ""🏘️ \w+ \w+ (.*) ✅""),'Region prepositions'!B:F, 5, 0),  REGEXEXTRACT(C5717, ""🏘️ \w+ \w+ (.*) ✅""))))"),"#N/A")</f>
        <v>#N/A</v>
      </c>
      <c r="I5717" s="4" t="str">
        <f>IFERROR(__xludf.DUMMYFUNCTION("if(D5717=""variant"",  substitute(filter(Templates!E:E, Templates!A:A = F5717, Templates!B:B = G5717, Templates!C:C = H5717), ""{{}}"", E5717), B5717)"),"Louer appartement Ecuvillens: Trouvez le bien immobilier qui correspond idéalement à vos désirs sur ImmoScout24 - La plateforme de l'immobilier en Suisse.")</f>
        <v>Louer appartement Ecuvillens: Trouvez le bien immobilier qui correspond idéalement à vos désirs sur ImmoScout24 - La plateforme de l'immobilier en Suisse.</v>
      </c>
    </row>
    <row r="5718" hidden="1">
      <c r="A5718" s="5" t="s">
        <v>14532</v>
      </c>
      <c r="B5718" s="2" t="s">
        <v>14533</v>
      </c>
      <c r="C5718" s="2" t="s">
        <v>14533</v>
      </c>
      <c r="D5718" s="4" t="str">
        <f>vlookup(A5718, Sheet2!D:E, 2, 0)</f>
        <v>control</v>
      </c>
      <c r="E5718" s="4" t="str">
        <f>IFERROR(__xludf.DUMMYFUNCTION("if(H5718=""pays"",vlookup(REGEXEXTRACT(C5718, ""🏘️ \w+ \w+ (.*) ✅""),'Country prepositions'!A:B, 2, 0) &amp; "" "" &amp; REGEXEXTRACT(C5718, ""🏘️ \w+ \w+ (.*) ✅"") ,  if(H5718=""quartier"",vlookup(REGEXEXTRACT(C5718, ""🏘️ \w+ \w+ (.*) ✅""),'Quartier prepositio"&amp;"ns'!A:E, 5, 0) ,  if(H5718=""region"",vlookup(REGEXEXTRACT(C5718, ""🏘️ \w+ \w+ (.*) ✅""),'Region prepositions'!B:F, 5, 0),  REGEXEXTRACT(C5718, ""🏘️ \w+ \w+ (.*) ✅""))))"),"#N/A")</f>
        <v>#N/A</v>
      </c>
      <c r="I5718" s="4" t="str">
        <f>IFERROR(__xludf.DUMMYFUNCTION("if(D5718=""variant"",  substitute(filter(Templates!E:E, Templates!A:A = F5718, Templates!B:B = G5718, Templates!C:C = H5718), ""{{}}"", E5718), B5718)"),"Louer appartement Heimberg: Trouvez le bien immobilier qui correspond idéalement à vos désirs sur ImmoScout24 - La plateforme de l'immobilier en Suisse.")</f>
        <v>Louer appartement Heimberg: Trouvez le bien immobilier qui correspond idéalement à vos désirs sur ImmoScout24 - La plateforme de l'immobilier en Suisse.</v>
      </c>
    </row>
    <row r="5719" hidden="1">
      <c r="A5719" s="5" t="s">
        <v>14534</v>
      </c>
      <c r="B5719" s="2" t="s">
        <v>14535</v>
      </c>
      <c r="C5719" s="2" t="s">
        <v>14535</v>
      </c>
      <c r="D5719" s="4" t="str">
        <f>vlookup(A5719, Sheet2!D:E, 2, 0)</f>
        <v>control</v>
      </c>
      <c r="E5719" s="4" t="str">
        <f>IFERROR(__xludf.DUMMYFUNCTION("if(H5719=""pays"",vlookup(REGEXEXTRACT(C5719, ""🏘️ \w+ \w+ (.*) ✅""),'Country prepositions'!A:B, 2, 0) &amp; "" "" &amp; REGEXEXTRACT(C5719, ""🏘️ \w+ \w+ (.*) ✅"") ,  if(H5719=""quartier"",vlookup(REGEXEXTRACT(C5719, ""🏘️ \w+ \w+ (.*) ✅""),'Quartier prepositio"&amp;"ns'!A:E, 5, 0) ,  if(H5719=""region"",vlookup(REGEXEXTRACT(C5719, ""🏘️ \w+ \w+ (.*) ✅""),'Region prepositions'!B:F, 5, 0),  REGEXEXTRACT(C5719, ""🏘️ \w+ \w+ (.*) ✅""))))"),"#N/A")</f>
        <v>#N/A</v>
      </c>
      <c r="I5719" s="4" t="str">
        <f>IFERROR(__xludf.DUMMYFUNCTION("if(D5719=""variant"",  substitute(filter(Templates!E:E, Templates!A:A = F5719, Templates!B:B = G5719, Templates!C:C = H5719), ""{{}}"", E5719), B5719)"),"Louer appartement Lajoux JU: Trouvez le bien immobilier qui correspond idéalement à vos désirs sur ImmoScout24 - La plateforme de l'immobilier en Suisse.")</f>
        <v>Louer appartement Lajoux JU: Trouvez le bien immobilier qui correspond idéalement à vos désirs sur ImmoScout24 - La plateforme de l'immobilier en Suisse.</v>
      </c>
    </row>
    <row r="5720" hidden="1">
      <c r="A5720" s="5" t="s">
        <v>14536</v>
      </c>
      <c r="B5720" s="2" t="s">
        <v>14537</v>
      </c>
      <c r="C5720" s="2" t="s">
        <v>14537</v>
      </c>
      <c r="D5720" s="4" t="str">
        <f>vlookup(A5720, Sheet2!D:E, 2, 0)</f>
        <v>control</v>
      </c>
      <c r="E5720" s="4" t="str">
        <f>IFERROR(__xludf.DUMMYFUNCTION("if(H5720=""pays"",vlookup(REGEXEXTRACT(C5720, ""🏘️ \w+ \w+ (.*) ✅""),'Country prepositions'!A:B, 2, 0) &amp; "" "" &amp; REGEXEXTRACT(C5720, ""🏘️ \w+ \w+ (.*) ✅"") ,  if(H5720=""quartier"",vlookup(REGEXEXTRACT(C5720, ""🏘️ \w+ \w+ (.*) ✅""),'Quartier prepositio"&amp;"ns'!A:E, 5, 0) ,  if(H5720=""region"",vlookup(REGEXEXTRACT(C5720, ""🏘️ \w+ \w+ (.*) ✅""),'Region prepositions'!B:F, 5, 0),  REGEXEXTRACT(C5720, ""🏘️ \w+ \w+ (.*) ✅""))))"),"#N/A")</f>
        <v>#N/A</v>
      </c>
      <c r="I5720" s="4" t="str">
        <f>IFERROR(__xludf.DUMMYFUNCTION("if(D5720=""variant"",  substitute(filter(Templates!E:E, Templates!A:A = F5720, Templates!B:B = G5720, Templates!C:C = H5720), ""{{}}"", E5720), B5720)"),"Louer maison Frenières-sur-Bex: Trouvez le bien immobilier qui correspond idéalement à vos désirs sur ImmoScout24 - La plateforme de l'immobilier en Suisse.")</f>
        <v>Louer maison Frenières-sur-Bex: Trouvez le bien immobilier qui correspond idéalement à vos désirs sur ImmoScout24 - La plateforme de l'immobilier en Suisse.</v>
      </c>
    </row>
    <row r="5721" hidden="1">
      <c r="A5721" s="5" t="s">
        <v>14538</v>
      </c>
      <c r="B5721" s="2" t="s">
        <v>14539</v>
      </c>
      <c r="C5721" s="2" t="s">
        <v>14539</v>
      </c>
      <c r="D5721" s="4" t="str">
        <f>vlookup(A5721, Sheet2!D:E, 2, 0)</f>
        <v>control</v>
      </c>
      <c r="E5721" s="4" t="str">
        <f>IFERROR(__xludf.DUMMYFUNCTION("if(H5721=""pays"",vlookup(REGEXEXTRACT(C5721, ""🏘️ \w+ \w+ (.*) ✅""),'Country prepositions'!A:B, 2, 0) &amp; "" "" &amp; REGEXEXTRACT(C5721, ""🏘️ \w+ \w+ (.*) ✅"") ,  if(H5721=""quartier"",vlookup(REGEXEXTRACT(C5721, ""🏘️ \w+ \w+ (.*) ✅""),'Quartier prepositio"&amp;"ns'!A:E, 5, 0) ,  if(H5721=""region"",vlookup(REGEXEXTRACT(C5721, ""🏘️ \w+ \w+ (.*) ✅""),'Region prepositions'!B:F, 5, 0),  REGEXEXTRACT(C5721, ""🏘️ \w+ \w+ (.*) ✅""))))"),"#N/A")</f>
        <v>#N/A</v>
      </c>
      <c r="I5721" s="4" t="str">
        <f>IFERROR(__xludf.DUMMYFUNCTION("if(D5721=""variant"",  substitute(filter(Templates!E:E, Templates!A:A = F5721, Templates!B:B = G5721, Templates!C:C = H5721), ""{{}}"", E5721), B5721)"),"Vendre maison Giumaglio: Trouvez le bien immobilier qui correspond idéalement à vos désirs sur ImmoScout24 - La plateforme de l'immobilier en Suisse.")</f>
        <v>Vendre maison Giumaglio: Trouvez le bien immobilier qui correspond idéalement à vos désirs sur ImmoScout24 - La plateforme de l'immobilier en Suisse.</v>
      </c>
    </row>
    <row r="5722" hidden="1">
      <c r="A5722" s="5" t="s">
        <v>14540</v>
      </c>
      <c r="B5722" s="2" t="s">
        <v>14541</v>
      </c>
      <c r="C5722" s="2" t="s">
        <v>14541</v>
      </c>
      <c r="D5722" s="4" t="str">
        <f>vlookup(A5722, Sheet2!D:E, 2, 0)</f>
        <v>control</v>
      </c>
      <c r="E5722" s="4" t="str">
        <f>IFERROR(__xludf.DUMMYFUNCTION("if(H5722=""pays"",vlookup(REGEXEXTRACT(C5722, ""🏘️ \w+ \w+ (.*) ✅""),'Country prepositions'!A:B, 2, 0) &amp; "" "" &amp; REGEXEXTRACT(C5722, ""🏘️ \w+ \w+ (.*) ✅"") ,  if(H5722=""quartier"",vlookup(REGEXEXTRACT(C5722, ""🏘️ \w+ \w+ (.*) ✅""),'Quartier prepositio"&amp;"ns'!A:E, 5, 0) ,  if(H5722=""region"",vlookup(REGEXEXTRACT(C5722, ""🏘️ \w+ \w+ (.*) ✅""),'Region prepositions'!B:F, 5, 0),  REGEXEXTRACT(C5722, ""🏘️ \w+ \w+ (.*) ✅""))))"),"#N/A")</f>
        <v>#N/A</v>
      </c>
      <c r="I5722" s="4" t="str">
        <f>IFERROR(__xludf.DUMMYFUNCTION("if(D5722=""variant"",  substitute(filter(Templates!E:E, Templates!A:A = F5722, Templates!B:B = G5722, Templates!C:C = H5722), ""{{}}"", E5722), B5722)"),"Vendre maison Chavornay: Trouvez le bien immobilier qui correspond idéalement à vos désirs sur ImmoScout24 - La plateforme de l'immobilier en Suisse.")</f>
        <v>Vendre maison Chavornay: Trouvez le bien immobilier qui correspond idéalement à vos désirs sur ImmoScout24 - La plateforme de l'immobilier en Suisse.</v>
      </c>
    </row>
    <row r="5723" hidden="1">
      <c r="A5723" s="5" t="s">
        <v>14542</v>
      </c>
      <c r="B5723" s="2" t="s">
        <v>14543</v>
      </c>
      <c r="C5723" s="2" t="s">
        <v>14543</v>
      </c>
      <c r="D5723" s="4" t="str">
        <f>vlookup(A5723, Sheet2!D:E, 2, 0)</f>
        <v>control</v>
      </c>
      <c r="E5723" s="4" t="str">
        <f>IFERROR(__xludf.DUMMYFUNCTION("if(H5723=""pays"",vlookup(REGEXEXTRACT(C5723, ""🏘️ \w+ \w+ (.*) ✅""),'Country prepositions'!A:B, 2, 0) &amp; "" "" &amp; REGEXEXTRACT(C5723, ""🏘️ \w+ \w+ (.*) ✅"") ,  if(H5723=""quartier"",vlookup(REGEXEXTRACT(C5723, ""🏘️ \w+ \w+ (.*) ✅""),'Quartier prepositio"&amp;"ns'!A:E, 5, 0) ,  if(H5723=""region"",vlookup(REGEXEXTRACT(C5723, ""🏘️ \w+ \w+ (.*) ✅""),'Region prepositions'!B:F, 5, 0),  REGEXEXTRACT(C5723, ""🏘️ \w+ \w+ (.*) ✅""))))"),"#N/A")</f>
        <v>#N/A</v>
      </c>
      <c r="I5723" s="4" t="str">
        <f>IFERROR(__xludf.DUMMYFUNCTION("if(D5723=""variant"",  substitute(filter(Templates!E:E, Templates!A:A = F5723, Templates!B:B = G5723, Templates!C:C = H5723), ""{{}}"", E5723), B5723)"),"Vendre appartement Pontresina: Trouvez le bien immobilier qui correspond idéalement à vos désirs sur ImmoScout24 - La plateforme de l'immobilier en Suisse.")</f>
        <v>Vendre appartement Pontresina: Trouvez le bien immobilier qui correspond idéalement à vos désirs sur ImmoScout24 - La plateforme de l'immobilier en Suisse.</v>
      </c>
    </row>
    <row r="5724" hidden="1">
      <c r="A5724" s="5" t="s">
        <v>14544</v>
      </c>
      <c r="B5724" s="2" t="s">
        <v>14545</v>
      </c>
      <c r="C5724" s="2" t="s">
        <v>14545</v>
      </c>
      <c r="D5724" s="4" t="str">
        <f>vlookup(A5724, Sheet2!D:E, 2, 0)</f>
        <v>control</v>
      </c>
      <c r="E5724" s="4" t="str">
        <f>IFERROR(__xludf.DUMMYFUNCTION("if(H5724=""pays"",vlookup(REGEXEXTRACT(C5724, ""🏘️ \w+ \w+ (.*) ✅""),'Country prepositions'!A:B, 2, 0) &amp; "" "" &amp; REGEXEXTRACT(C5724, ""🏘️ \w+ \w+ (.*) ✅"") ,  if(H5724=""quartier"",vlookup(REGEXEXTRACT(C5724, ""🏘️ \w+ \w+ (.*) ✅""),'Quartier prepositio"&amp;"ns'!A:E, 5, 0) ,  if(H5724=""region"",vlookup(REGEXEXTRACT(C5724, ""🏘️ \w+ \w+ (.*) ✅""),'Region prepositions'!B:F, 5, 0),  REGEXEXTRACT(C5724, ""🏘️ \w+ \w+ (.*) ✅""))))"),"#N/A")</f>
        <v>#N/A</v>
      </c>
      <c r="I5724" s="4" t="str">
        <f>IFERROR(__xludf.DUMMYFUNCTION("if(D5724=""variant"",  substitute(filter(Templates!E:E, Templates!A:A = F5724, Templates!B:B = G5724, Templates!C:C = H5724), ""{{}}"", E5724), B5724)"),"Vendre appartement Flims Waldhaus: Trouvez le bien immobilier qui correspond idéalement à vos désirs sur ImmoScout24 - La plateforme de l'immobilier en Suisse.")</f>
        <v>Vendre appartement Flims Waldhaus: Trouvez le bien immobilier qui correspond idéalement à vos désirs sur ImmoScout24 - La plateforme de l'immobilier en Suisse.</v>
      </c>
    </row>
    <row r="5725" hidden="1">
      <c r="A5725" s="5" t="s">
        <v>14546</v>
      </c>
      <c r="B5725" s="2" t="s">
        <v>14547</v>
      </c>
      <c r="C5725" s="2" t="s">
        <v>14547</v>
      </c>
      <c r="D5725" s="4" t="str">
        <f>vlookup(A5725, Sheet2!D:E, 2, 0)</f>
        <v>control</v>
      </c>
      <c r="E5725" s="4" t="str">
        <f>IFERROR(__xludf.DUMMYFUNCTION("if(H5725=""pays"",vlookup(REGEXEXTRACT(C5725, ""🏘️ \w+ \w+ (.*) ✅""),'Country prepositions'!A:B, 2, 0) &amp; "" "" &amp; REGEXEXTRACT(C5725, ""🏘️ \w+ \w+ (.*) ✅"") ,  if(H5725=""quartier"",vlookup(REGEXEXTRACT(C5725, ""🏘️ \w+ \w+ (.*) ✅""),'Quartier prepositio"&amp;"ns'!A:E, 5, 0) ,  if(H5725=""region"",vlookup(REGEXEXTRACT(C5725, ""🏘️ \w+ \w+ (.*) ✅""),'Region prepositions'!B:F, 5, 0),  REGEXEXTRACT(C5725, ""🏘️ \w+ \w+ (.*) ✅""))))"),"#N/A")</f>
        <v>#N/A</v>
      </c>
      <c r="I5725" s="4" t="str">
        <f>IFERROR(__xludf.DUMMYFUNCTION("if(D5725=""variant"",  substitute(filter(Templates!E:E, Templates!A:A = F5725, Templates!B:B = G5725, Templates!C:C = H5725), ""{{}}"", E5725), B5725)"),"Louer appartement Münster VS: Trouvez le bien immobilier qui correspond idéalement à vos désirs sur ImmoScout24 - La plateforme de l'immobilier en Suisse.")</f>
        <v>Louer appartement Münster VS: Trouvez le bien immobilier qui correspond idéalement à vos désirs sur ImmoScout24 - La plateforme de l'immobilier en Suisse.</v>
      </c>
    </row>
    <row r="5726" hidden="1">
      <c r="A5726" s="5" t="s">
        <v>14548</v>
      </c>
      <c r="B5726" s="2" t="s">
        <v>14549</v>
      </c>
      <c r="C5726" s="2" t="s">
        <v>14549</v>
      </c>
      <c r="D5726" s="4" t="str">
        <f>vlookup(A5726, Sheet2!D:E, 2, 0)</f>
        <v>control</v>
      </c>
      <c r="E5726" s="4" t="str">
        <f>IFERROR(__xludf.DUMMYFUNCTION("if(H5726=""pays"",vlookup(REGEXEXTRACT(C5726, ""🏘️ \w+ \w+ (.*) ✅""),'Country prepositions'!A:B, 2, 0) &amp; "" "" &amp; REGEXEXTRACT(C5726, ""🏘️ \w+ \w+ (.*) ✅"") ,  if(H5726=""quartier"",vlookup(REGEXEXTRACT(C5726, ""🏘️ \w+ \w+ (.*) ✅""),'Quartier prepositio"&amp;"ns'!A:E, 5, 0) ,  if(H5726=""region"",vlookup(REGEXEXTRACT(C5726, ""🏘️ \w+ \w+ (.*) ✅""),'Region prepositions'!B:F, 5, 0),  REGEXEXTRACT(C5726, ""🏘️ \w+ \w+ (.*) ✅""))))"),"#N/A")</f>
        <v>#N/A</v>
      </c>
      <c r="I5726" s="4" t="str">
        <f>IFERROR(__xludf.DUMMYFUNCTION("if(D5726=""variant"",  substitute(filter(Templates!E:E, Templates!A:A = F5726, Templates!B:B = G5726, Templates!C:C = H5726), ""{{}}"", E5726), B5726)"),"Louer appartement Principauté de Liechtenstein: Trouvez le bien immobilier qui correspond idéalement à vos désirs sur ImmoScout24 - La plateforme de l'immobilier en Suisse.")</f>
        <v>Louer appartement Principauté de Liechtenstein: Trouvez le bien immobilier qui correspond idéalement à vos désirs sur ImmoScout24 - La plateforme de l'immobilier en Suisse.</v>
      </c>
    </row>
    <row r="5727" hidden="1">
      <c r="A5727" s="5" t="s">
        <v>14550</v>
      </c>
      <c r="B5727" s="2" t="s">
        <v>14551</v>
      </c>
      <c r="C5727" s="2" t="s">
        <v>14551</v>
      </c>
      <c r="D5727" s="4" t="str">
        <f>vlookup(A5727, Sheet2!D:E, 2, 0)</f>
        <v>control</v>
      </c>
      <c r="E5727" s="4" t="str">
        <f>IFERROR(__xludf.DUMMYFUNCTION("if(H5727=""pays"",vlookup(REGEXEXTRACT(C5727, ""🏘️ \w+ \w+ (.*) ✅""),'Country prepositions'!A:B, 2, 0) &amp; "" "" &amp; REGEXEXTRACT(C5727, ""🏘️ \w+ \w+ (.*) ✅"") ,  if(H5727=""quartier"",vlookup(REGEXEXTRACT(C5727, ""🏘️ \w+ \w+ (.*) ✅""),'Quartier prepositio"&amp;"ns'!A:E, 5, 0) ,  if(H5727=""region"",vlookup(REGEXEXTRACT(C5727, ""🏘️ \w+ \w+ (.*) ✅""),'Region prepositions'!B:F, 5, 0),  REGEXEXTRACT(C5727, ""🏘️ \w+ \w+ (.*) ✅""))))"),"#N/A")</f>
        <v>#N/A</v>
      </c>
      <c r="I5727" s="4" t="str">
        <f>IFERROR(__xludf.DUMMYFUNCTION("if(D5727=""variant"",  substitute(filter(Templates!E:E, Templates!A:A = F5727, Templates!B:B = G5727, Templates!C:C = H5727), ""{{}}"", E5727), B5727)"),"Vendre maison Oberried FR: Trouvez le bien immobilier qui correspond idéalement à vos désirs sur ImmoScout24 - La plateforme de l'immobilier en Suisse.")</f>
        <v>Vendre maison Oberried FR: Trouvez le bien immobilier qui correspond idéalement à vos désirs sur ImmoScout24 - La plateforme de l'immobilier en Suisse.</v>
      </c>
    </row>
    <row r="5728" hidden="1">
      <c r="A5728" s="5" t="s">
        <v>14552</v>
      </c>
      <c r="B5728" s="2" t="s">
        <v>14553</v>
      </c>
      <c r="C5728" s="2" t="s">
        <v>14553</v>
      </c>
      <c r="D5728" s="4" t="str">
        <f>vlookup(A5728, Sheet2!D:E, 2, 0)</f>
        <v>control</v>
      </c>
      <c r="E5728" s="4" t="str">
        <f>IFERROR(__xludf.DUMMYFUNCTION("if(H5728=""pays"",vlookup(REGEXEXTRACT(C5728, ""🏘️ \w+ \w+ (.*) ✅""),'Country prepositions'!A:B, 2, 0) &amp; "" "" &amp; REGEXEXTRACT(C5728, ""🏘️ \w+ \w+ (.*) ✅"") ,  if(H5728=""quartier"",vlookup(REGEXEXTRACT(C5728, ""🏘️ \w+ \w+ (.*) ✅""),'Quartier prepositio"&amp;"ns'!A:E, 5, 0) ,  if(H5728=""region"",vlookup(REGEXEXTRACT(C5728, ""🏘️ \w+ \w+ (.*) ✅""),'Region prepositions'!B:F, 5, 0),  REGEXEXTRACT(C5728, ""🏘️ \w+ \w+ (.*) ✅""))))"),"#N/A")</f>
        <v>#N/A</v>
      </c>
      <c r="I5728" s="4" t="str">
        <f>IFERROR(__xludf.DUMMYFUNCTION("if(D5728=""variant"",  substitute(filter(Templates!E:E, Templates!A:A = F5728, Templates!B:B = G5728, Templates!C:C = H5728), ""{{}}"", E5728), B5728)"),"Vendre maison Thielle: Trouvez le bien immobilier qui correspond idéalement à vos désirs sur ImmoScout24 - La plateforme de l'immobilier en Suisse.")</f>
        <v>Vendre maison Thielle: Trouvez le bien immobilier qui correspond idéalement à vos désirs sur ImmoScout24 - La plateforme de l'immobilier en Suisse.</v>
      </c>
    </row>
    <row r="5729" hidden="1">
      <c r="A5729" s="5" t="s">
        <v>14554</v>
      </c>
      <c r="B5729" s="2" t="s">
        <v>14555</v>
      </c>
      <c r="C5729" s="2" t="s">
        <v>14555</v>
      </c>
      <c r="D5729" s="4" t="str">
        <f>vlookup(A5729, Sheet2!D:E, 2, 0)</f>
        <v>control</v>
      </c>
      <c r="E5729" s="4" t="str">
        <f>IFERROR(__xludf.DUMMYFUNCTION("if(H5729=""pays"",vlookup(REGEXEXTRACT(C5729, ""🏘️ \w+ \w+ (.*) ✅""),'Country prepositions'!A:B, 2, 0) &amp; "" "" &amp; REGEXEXTRACT(C5729, ""🏘️ \w+ \w+ (.*) ✅"") ,  if(H5729=""quartier"",vlookup(REGEXEXTRACT(C5729, ""🏘️ \w+ \w+ (.*) ✅""),'Quartier prepositio"&amp;"ns'!A:E, 5, 0) ,  if(H5729=""region"",vlookup(REGEXEXTRACT(C5729, ""🏘️ \w+ \w+ (.*) ✅""),'Region prepositions'!B:F, 5, 0),  REGEXEXTRACT(C5729, ""🏘️ \w+ \w+ (.*) ✅""))))"),"#N/A")</f>
        <v>#N/A</v>
      </c>
      <c r="I5729" s="4" t="str">
        <f>IFERROR(__xludf.DUMMYFUNCTION("if(D5729=""variant"",  substitute(filter(Templates!E:E, Templates!A:A = F5729, Templates!B:B = G5729, Templates!C:C = H5729), ""{{}}"", E5729), B5729)"),"Louer appartement Scuol: Trouvez le bien immobilier qui correspond idéalement à vos désirs sur ImmoScout24 - La plateforme de l'immobilier en Suisse.")</f>
        <v>Louer appartement Scuol: Trouvez le bien immobilier qui correspond idéalement à vos désirs sur ImmoScout24 - La plateforme de l'immobilier en Suisse.</v>
      </c>
    </row>
    <row r="5730" hidden="1">
      <c r="A5730" s="5" t="s">
        <v>14556</v>
      </c>
      <c r="B5730" s="2" t="s">
        <v>14557</v>
      </c>
      <c r="C5730" s="2" t="s">
        <v>14557</v>
      </c>
      <c r="D5730" s="4" t="str">
        <f>vlookup(A5730, Sheet2!D:E, 2, 0)</f>
        <v>control</v>
      </c>
      <c r="E5730" s="4" t="str">
        <f>IFERROR(__xludf.DUMMYFUNCTION("if(H5730=""pays"",vlookup(REGEXEXTRACT(C5730, ""🏘️ \w+ \w+ (.*) ✅""),'Country prepositions'!A:B, 2, 0) &amp; "" "" &amp; REGEXEXTRACT(C5730, ""🏘️ \w+ \w+ (.*) ✅"") ,  if(H5730=""quartier"",vlookup(REGEXEXTRACT(C5730, ""🏘️ \w+ \w+ (.*) ✅""),'Quartier prepositio"&amp;"ns'!A:E, 5, 0) ,  if(H5730=""region"",vlookup(REGEXEXTRACT(C5730, ""🏘️ \w+ \w+ (.*) ✅""),'Region prepositions'!B:F, 5, 0),  REGEXEXTRACT(C5730, ""🏘️ \w+ \w+ (.*) ✅""))))"),"#N/A")</f>
        <v>#N/A</v>
      </c>
      <c r="I5730" s="4" t="str">
        <f>IFERROR(__xludf.DUMMYFUNCTION("if(D5730=""variant"",  substitute(filter(Templates!E:E, Templates!A:A = F5730, Templates!B:B = G5730, Templates!C:C = H5730), ""{{}}"", E5730), B5730)"),"Vendre maison Camignolo: Trouvez le bien immobilier qui correspond idéalement à vos désirs sur ImmoScout24 - La plateforme de l'immobilier en Suisse.")</f>
        <v>Vendre maison Camignolo: Trouvez le bien immobilier qui correspond idéalement à vos désirs sur ImmoScout24 - La plateforme de l'immobilier en Suisse.</v>
      </c>
    </row>
    <row r="5731" hidden="1">
      <c r="A5731" s="5" t="s">
        <v>14558</v>
      </c>
      <c r="B5731" s="2" t="s">
        <v>14559</v>
      </c>
      <c r="C5731" s="2" t="s">
        <v>14559</v>
      </c>
      <c r="D5731" s="4" t="str">
        <f>vlookup(A5731, Sheet2!D:E, 2, 0)</f>
        <v>control</v>
      </c>
      <c r="E5731" s="4" t="str">
        <f>IFERROR(__xludf.DUMMYFUNCTION("if(H5731=""pays"",vlookup(REGEXEXTRACT(C5731, ""🏘️ \w+ \w+ (.*) ✅""),'Country prepositions'!A:B, 2, 0) &amp; "" "" &amp; REGEXEXTRACT(C5731, ""🏘️ \w+ \w+ (.*) ✅"") ,  if(H5731=""quartier"",vlookup(REGEXEXTRACT(C5731, ""🏘️ \w+ \w+ (.*) ✅""),'Quartier prepositio"&amp;"ns'!A:E, 5, 0) ,  if(H5731=""region"",vlookup(REGEXEXTRACT(C5731, ""🏘️ \w+ \w+ (.*) ✅""),'Region prepositions'!B:F, 5, 0),  REGEXEXTRACT(C5731, ""🏘️ \w+ \w+ (.*) ✅""))))"),"#N/A")</f>
        <v>#N/A</v>
      </c>
      <c r="I5731" s="4" t="str">
        <f>IFERROR(__xludf.DUMMYFUNCTION("if(D5731=""variant"",  substitute(filter(Templates!E:E, Templates!A:A = F5731, Templates!B:B = G5731, Templates!C:C = H5731), ""{{}}"", E5731), B5731)"),"Vendre maison Oberbottigen (Berne): Trouvez le bien immobilier qui correspond idéalement à vos désirs sur ImmoScout24 - La plateforme de l'immobilier en Suisse.")</f>
        <v>Vendre maison Oberbottigen (Berne): Trouvez le bien immobilier qui correspond idéalement à vos désirs sur ImmoScout24 - La plateforme de l'immobilier en Suisse.</v>
      </c>
    </row>
    <row r="5732" hidden="1">
      <c r="A5732" s="5" t="s">
        <v>14560</v>
      </c>
      <c r="B5732" s="2" t="s">
        <v>14561</v>
      </c>
      <c r="C5732" s="2" t="s">
        <v>14561</v>
      </c>
      <c r="D5732" s="4" t="str">
        <f>vlookup(A5732, Sheet2!D:E, 2, 0)</f>
        <v>control</v>
      </c>
      <c r="E5732" s="4" t="str">
        <f>IFERROR(__xludf.DUMMYFUNCTION("if(H5732=""pays"",vlookup(REGEXEXTRACT(C5732, ""🏘️ \w+ \w+ (.*) ✅""),'Country prepositions'!A:B, 2, 0) &amp; "" "" &amp; REGEXEXTRACT(C5732, ""🏘️ \w+ \w+ (.*) ✅"") ,  if(H5732=""quartier"",vlookup(REGEXEXTRACT(C5732, ""🏘️ \w+ \w+ (.*) ✅""),'Quartier prepositio"&amp;"ns'!A:E, 5, 0) ,  if(H5732=""region"",vlookup(REGEXEXTRACT(C5732, ""🏘️ \w+ \w+ (.*) ✅""),'Region prepositions'!B:F, 5, 0),  REGEXEXTRACT(C5732, ""🏘️ \w+ \w+ (.*) ✅""))))"),"#N/A")</f>
        <v>#N/A</v>
      </c>
      <c r="I5732" s="4" t="str">
        <f>IFERROR(__xludf.DUMMYFUNCTION("if(D5732=""variant"",  substitute(filter(Templates!E:E, Templates!A:A = F5732, Templates!B:B = G5732, Templates!C:C = H5732), ""{{}}"", E5732), B5732)"),"Vendre appartement Ronco sopra Ascona: Trouvez le bien immobilier qui correspond idéalement à vos désirs sur ImmoScout24 - La plateforme de l'immobilier en Suisse.")</f>
        <v>Vendre appartement Ronco sopra Ascona: Trouvez le bien immobilier qui correspond idéalement à vos désirs sur ImmoScout24 - La plateforme de l'immobilier en Suisse.</v>
      </c>
    </row>
    <row r="5733" hidden="1">
      <c r="A5733" s="5" t="s">
        <v>14562</v>
      </c>
      <c r="B5733" s="2" t="s">
        <v>14563</v>
      </c>
      <c r="C5733" s="2" t="s">
        <v>14563</v>
      </c>
      <c r="D5733" s="4" t="str">
        <f>vlookup(A5733, Sheet2!D:E, 2, 0)</f>
        <v>control</v>
      </c>
      <c r="E5733" s="4" t="str">
        <f>IFERROR(__xludf.DUMMYFUNCTION("if(H5733=""pays"",vlookup(REGEXEXTRACT(C5733, ""🏘️ \w+ \w+ (.*) ✅""),'Country prepositions'!A:B, 2, 0) &amp; "" "" &amp; REGEXEXTRACT(C5733, ""🏘️ \w+ \w+ (.*) ✅"") ,  if(H5733=""quartier"",vlookup(REGEXEXTRACT(C5733, ""🏘️ \w+ \w+ (.*) ✅""),'Quartier prepositio"&amp;"ns'!A:E, 5, 0) ,  if(H5733=""region"",vlookup(REGEXEXTRACT(C5733, ""🏘️ \w+ \w+ (.*) ✅""),'Region prepositions'!B:F, 5, 0),  REGEXEXTRACT(C5733, ""🏘️ \w+ \w+ (.*) ✅""))))"),"#N/A")</f>
        <v>#N/A</v>
      </c>
      <c r="I5733" s="4" t="str">
        <f>IFERROR(__xludf.DUMMYFUNCTION("if(D5733=""variant"",  substitute(filter(Templates!E:E, Templates!A:A = F5733, Templates!B:B = G5733, Templates!C:C = H5733), ""{{}}"", E5733), B5733)"),"Vendre maison Leytron: Trouvez le bien immobilier qui correspond idéalement à vos désirs sur ImmoScout24 - La plateforme de l'immobilier en Suisse.")</f>
        <v>Vendre maison Leytron: Trouvez le bien immobilier qui correspond idéalement à vos désirs sur ImmoScout24 - La plateforme de l'immobilier en Suisse.</v>
      </c>
    </row>
    <row r="5734" hidden="1">
      <c r="A5734" s="5" t="s">
        <v>14564</v>
      </c>
      <c r="B5734" s="2" t="s">
        <v>14565</v>
      </c>
      <c r="C5734" s="2" t="s">
        <v>14565</v>
      </c>
      <c r="D5734" s="4" t="str">
        <f>vlookup(A5734, Sheet2!D:E, 2, 0)</f>
        <v>control</v>
      </c>
      <c r="E5734" s="4" t="str">
        <f>IFERROR(__xludf.DUMMYFUNCTION("if(H5734=""pays"",vlookup(REGEXEXTRACT(C5734, ""🏘️ \w+ \w+ (.*) ✅""),'Country prepositions'!A:B, 2, 0) &amp; "" "" &amp; REGEXEXTRACT(C5734, ""🏘️ \w+ \w+ (.*) ✅"") ,  if(H5734=""quartier"",vlookup(REGEXEXTRACT(C5734, ""🏘️ \w+ \w+ (.*) ✅""),'Quartier prepositio"&amp;"ns'!A:E, 5, 0) ,  if(H5734=""region"",vlookup(REGEXEXTRACT(C5734, ""🏘️ \w+ \w+ (.*) ✅""),'Region prepositions'!B:F, 5, 0),  REGEXEXTRACT(C5734, ""🏘️ \w+ \w+ (.*) ✅""))))"),"#N/A")</f>
        <v>#N/A</v>
      </c>
      <c r="I5734" s="4" t="str">
        <f>IFERROR(__xludf.DUMMYFUNCTION("if(D5734=""variant"",  substitute(filter(Templates!E:E, Templates!A:A = F5734, Templates!B:B = G5734, Templates!C:C = H5734), ""{{}}"", E5734), B5734)"),"Vendre maison Düdingen: Trouvez le bien immobilier qui correspond idéalement à vos désirs sur ImmoScout24 - La plateforme de l'immobilier en Suisse.")</f>
        <v>Vendre maison Düdingen: Trouvez le bien immobilier qui correspond idéalement à vos désirs sur ImmoScout24 - La plateforme de l'immobilier en Suisse.</v>
      </c>
    </row>
    <row r="5735" hidden="1">
      <c r="A5735" s="5" t="s">
        <v>14566</v>
      </c>
      <c r="B5735" s="2" t="s">
        <v>14567</v>
      </c>
      <c r="C5735" s="2" t="s">
        <v>14567</v>
      </c>
      <c r="D5735" s="4" t="str">
        <f>vlookup(A5735, Sheet2!D:E, 2, 0)</f>
        <v>control</v>
      </c>
      <c r="E5735" s="4" t="str">
        <f>IFERROR(__xludf.DUMMYFUNCTION("if(H5735=""pays"",vlookup(REGEXEXTRACT(C5735, ""🏘️ \w+ \w+ (.*) ✅""),'Country prepositions'!A:B, 2, 0) &amp; "" "" &amp; REGEXEXTRACT(C5735, ""🏘️ \w+ \w+ (.*) ✅"") ,  if(H5735=""quartier"",vlookup(REGEXEXTRACT(C5735, ""🏘️ \w+ \w+ (.*) ✅""),'Quartier prepositio"&amp;"ns'!A:E, 5, 0) ,  if(H5735=""region"",vlookup(REGEXEXTRACT(C5735, ""🏘️ \w+ \w+ (.*) ✅""),'Region prepositions'!B:F, 5, 0),  REGEXEXTRACT(C5735, ""🏘️ \w+ \w+ (.*) ✅""))))"),"#N/A")</f>
        <v>#N/A</v>
      </c>
      <c r="I5735" s="4" t="str">
        <f>IFERROR(__xludf.DUMMYFUNCTION("if(D5735=""variant"",  substitute(filter(Templates!E:E, Templates!A:A = F5735, Templates!B:B = G5735, Templates!C:C = H5735), ""{{}}"", E5735), B5735)"),"Vendre appartement Morlon: Trouvez le bien immobilier qui correspond idéalement à vos désirs sur ImmoScout24 - La plateforme de l'immobilier en Suisse.")</f>
        <v>Vendre appartement Morlon: Trouvez le bien immobilier qui correspond idéalement à vos désirs sur ImmoScout24 - La plateforme de l'immobilier en Suisse.</v>
      </c>
    </row>
    <row r="5736" hidden="1">
      <c r="A5736" s="5" t="s">
        <v>14568</v>
      </c>
      <c r="B5736" s="2" t="s">
        <v>14569</v>
      </c>
      <c r="C5736" s="2" t="s">
        <v>14569</v>
      </c>
      <c r="D5736" s="4" t="str">
        <f>vlookup(A5736, Sheet2!D:E, 2, 0)</f>
        <v>control</v>
      </c>
      <c r="E5736" s="4" t="str">
        <f>IFERROR(__xludf.DUMMYFUNCTION("if(H5736=""pays"",vlookup(REGEXEXTRACT(C5736, ""🏘️ \w+ \w+ (.*) ✅""),'Country prepositions'!A:B, 2, 0) &amp; "" "" &amp; REGEXEXTRACT(C5736, ""🏘️ \w+ \w+ (.*) ✅"") ,  if(H5736=""quartier"",vlookup(REGEXEXTRACT(C5736, ""🏘️ \w+ \w+ (.*) ✅""),'Quartier prepositio"&amp;"ns'!A:E, 5, 0) ,  if(H5736=""region"",vlookup(REGEXEXTRACT(C5736, ""🏘️ \w+ \w+ (.*) ✅""),'Region prepositions'!B:F, 5, 0),  REGEXEXTRACT(C5736, ""🏘️ \w+ \w+ (.*) ✅""))))"),"#N/A")</f>
        <v>#N/A</v>
      </c>
      <c r="I5736" s="4" t="str">
        <f>IFERROR(__xludf.DUMMYFUNCTION("if(D5736=""variant"",  substitute(filter(Templates!E:E, Templates!A:A = F5736, Templates!B:B = G5736, Templates!C:C = H5736), ""{{}}"", E5736), B5736)"),"Louer appartement Willerzell: Trouvez le bien immobilier qui correspond idéalement à vos désirs sur ImmoScout24 - La plateforme de l'immobilier en Suisse.")</f>
        <v>Louer appartement Willerzell: Trouvez le bien immobilier qui correspond idéalement à vos désirs sur ImmoScout24 - La plateforme de l'immobilier en Suisse.</v>
      </c>
    </row>
    <row r="5737" hidden="1">
      <c r="A5737" s="5" t="s">
        <v>14570</v>
      </c>
      <c r="B5737" s="2" t="s">
        <v>14571</v>
      </c>
      <c r="C5737" s="2" t="s">
        <v>14571</v>
      </c>
      <c r="D5737" s="4" t="str">
        <f>vlookup(A5737, Sheet2!D:E, 2, 0)</f>
        <v>control</v>
      </c>
      <c r="E5737" s="4" t="str">
        <f>IFERROR(__xludf.DUMMYFUNCTION("if(H5737=""pays"",vlookup(REGEXEXTRACT(C5737, ""🏘️ \w+ \w+ (.*) ✅""),'Country prepositions'!A:B, 2, 0) &amp; "" "" &amp; REGEXEXTRACT(C5737, ""🏘️ \w+ \w+ (.*) ✅"") ,  if(H5737=""quartier"",vlookup(REGEXEXTRACT(C5737, ""🏘️ \w+ \w+ (.*) ✅""),'Quartier prepositio"&amp;"ns'!A:E, 5, 0) ,  if(H5737=""region"",vlookup(REGEXEXTRACT(C5737, ""🏘️ \w+ \w+ (.*) ✅""),'Region prepositions'!B:F, 5, 0),  REGEXEXTRACT(C5737, ""🏘️ \w+ \w+ (.*) ✅""))))"),"#N/A")</f>
        <v>#N/A</v>
      </c>
      <c r="I5737" s="4" t="str">
        <f>IFERROR(__xludf.DUMMYFUNCTION("if(D5737=""variant"",  substitute(filter(Templates!E:E, Templates!A:A = F5737, Templates!B:B = G5737, Templates!C:C = H5737), ""{{}}"", E5737), B5737)"),"Vendre maison Le Mouret: Trouvez le bien immobilier qui correspond idéalement à vos désirs sur ImmoScout24 - La plateforme de l'immobilier en Suisse.")</f>
        <v>Vendre maison Le Mouret: Trouvez le bien immobilier qui correspond idéalement à vos désirs sur ImmoScout24 - La plateforme de l'immobilier en Suisse.</v>
      </c>
    </row>
    <row r="5738" hidden="1">
      <c r="A5738" s="5" t="s">
        <v>14572</v>
      </c>
      <c r="B5738" s="2" t="s">
        <v>14573</v>
      </c>
      <c r="C5738" s="2" t="s">
        <v>14573</v>
      </c>
      <c r="D5738" s="4" t="str">
        <f>vlookup(A5738, Sheet2!D:E, 2, 0)</f>
        <v>control</v>
      </c>
      <c r="E5738" s="4" t="str">
        <f>IFERROR(__xludf.DUMMYFUNCTION("if(H5738=""pays"",vlookup(REGEXEXTRACT(C5738, ""🏘️ \w+ \w+ (.*) ✅""),'Country prepositions'!A:B, 2, 0) &amp; "" "" &amp; REGEXEXTRACT(C5738, ""🏘️ \w+ \w+ (.*) ✅"") ,  if(H5738=""quartier"",vlookup(REGEXEXTRACT(C5738, ""🏘️ \w+ \w+ (.*) ✅""),'Quartier prepositio"&amp;"ns'!A:E, 5, 0) ,  if(H5738=""region"",vlookup(REGEXEXTRACT(C5738, ""🏘️ \w+ \w+ (.*) ✅""),'Region prepositions'!B:F, 5, 0),  REGEXEXTRACT(C5738, ""🏘️ \w+ \w+ (.*) ✅""))))"),"#N/A")</f>
        <v>#N/A</v>
      </c>
      <c r="I5738" s="4" t="str">
        <f>IFERROR(__xludf.DUMMYFUNCTION("if(D5738=""variant"",  substitute(filter(Templates!E:E, Templates!A:A = F5738, Templates!B:B = G5738, Templates!C:C = H5738), ""{{}}"", E5738), B5738)"),"Vendre appartement La Neuveville: Trouvez le bien immobilier qui correspond idéalement à vos désirs sur ImmoScout24 - La plateforme de l'immobilier en Suisse.")</f>
        <v>Vendre appartement La Neuveville: Trouvez le bien immobilier qui correspond idéalement à vos désirs sur ImmoScout24 - La plateforme de l'immobilier en Suisse.</v>
      </c>
    </row>
    <row r="5739" hidden="1">
      <c r="A5739" s="5" t="s">
        <v>14574</v>
      </c>
      <c r="B5739" s="2" t="s">
        <v>14575</v>
      </c>
      <c r="C5739" s="2" t="s">
        <v>14575</v>
      </c>
      <c r="D5739" s="4" t="str">
        <f>vlookup(A5739, Sheet2!D:E, 2, 0)</f>
        <v>control</v>
      </c>
      <c r="E5739" s="4" t="str">
        <f>IFERROR(__xludf.DUMMYFUNCTION("if(H5739=""pays"",vlookup(REGEXEXTRACT(C5739, ""🏘️ \w+ \w+ (.*) ✅""),'Country prepositions'!A:B, 2, 0) &amp; "" "" &amp; REGEXEXTRACT(C5739, ""🏘️ \w+ \w+ (.*) ✅"") ,  if(H5739=""quartier"",vlookup(REGEXEXTRACT(C5739, ""🏘️ \w+ \w+ (.*) ✅""),'Quartier prepositio"&amp;"ns'!A:E, 5, 0) ,  if(H5739=""region"",vlookup(REGEXEXTRACT(C5739, ""🏘️ \w+ \w+ (.*) ✅""),'Region prepositions'!B:F, 5, 0),  REGEXEXTRACT(C5739, ""🏘️ \w+ \w+ (.*) ✅""))))"),"#N/A")</f>
        <v>#N/A</v>
      </c>
      <c r="I5739" s="4" t="str">
        <f>IFERROR(__xludf.DUMMYFUNCTION("if(D5739=""variant"",  substitute(filter(Templates!E:E, Templates!A:A = F5739, Templates!B:B = G5739, Templates!C:C = H5739), ""{{}}"", E5739), B5739)"),"Vendre maison Veyrier: Trouvez le bien immobilier qui correspond idéalement à vos désirs sur ImmoScout24 - La plateforme de l'immobilier en Suisse.")</f>
        <v>Vendre maison Veyrier: Trouvez le bien immobilier qui correspond idéalement à vos désirs sur ImmoScout24 - La plateforme de l'immobilier en Suisse.</v>
      </c>
    </row>
    <row r="5740" hidden="1">
      <c r="A5740" s="5" t="s">
        <v>14576</v>
      </c>
      <c r="B5740" s="2" t="s">
        <v>14577</v>
      </c>
      <c r="C5740" s="2" t="s">
        <v>14577</v>
      </c>
      <c r="D5740" s="4" t="str">
        <f>vlookup(A5740, Sheet2!D:E, 2, 0)</f>
        <v>control</v>
      </c>
      <c r="E5740" s="4" t="str">
        <f>IFERROR(__xludf.DUMMYFUNCTION("if(H5740=""pays"",vlookup(REGEXEXTRACT(C5740, ""🏘️ \w+ \w+ (.*) ✅""),'Country prepositions'!A:B, 2, 0) &amp; "" "" &amp; REGEXEXTRACT(C5740, ""🏘️ \w+ \w+ (.*) ✅"") ,  if(H5740=""quartier"",vlookup(REGEXEXTRACT(C5740, ""🏘️ \w+ \w+ (.*) ✅""),'Quartier prepositio"&amp;"ns'!A:E, 5, 0) ,  if(H5740=""region"",vlookup(REGEXEXTRACT(C5740, ""🏘️ \w+ \w+ (.*) ✅""),'Region prepositions'!B:F, 5, 0),  REGEXEXTRACT(C5740, ""🏘️ \w+ \w+ (.*) ✅""))))"),"#N/A")</f>
        <v>#N/A</v>
      </c>
      <c r="I5740" s="4" t="str">
        <f>IFERROR(__xludf.DUMMYFUNCTION("if(D5740=""variant"",  substitute(filter(Templates!E:E, Templates!A:A = F5740, Templates!B:B = G5740, Templates!C:C = H5740), ""{{}}"", E5740), B5740)"),"Vendre maison Canton d'Argovie: Trouvez le bien immobilier qui correspond idéalement à vos désirs sur ImmoScout24 - La plateforme de l'immobilier en Suisse.")</f>
        <v>Vendre maison Canton d'Argovie: Trouvez le bien immobilier qui correspond idéalement à vos désirs sur ImmoScout24 - La plateforme de l'immobilier en Suisse.</v>
      </c>
    </row>
    <row r="5741" hidden="1">
      <c r="A5741" s="5" t="s">
        <v>14578</v>
      </c>
      <c r="B5741" s="2" t="s">
        <v>14579</v>
      </c>
      <c r="C5741" s="2" t="s">
        <v>14579</v>
      </c>
      <c r="D5741" s="4" t="str">
        <f>vlookup(A5741, Sheet2!D:E, 2, 0)</f>
        <v>control</v>
      </c>
      <c r="E5741" s="4" t="str">
        <f>IFERROR(__xludf.DUMMYFUNCTION("if(H5741=""pays"",vlookup(REGEXEXTRACT(C5741, ""🏘️ \w+ \w+ (.*) ✅""),'Country prepositions'!A:B, 2, 0) &amp; "" "" &amp; REGEXEXTRACT(C5741, ""🏘️ \w+ \w+ (.*) ✅"") ,  if(H5741=""quartier"",vlookup(REGEXEXTRACT(C5741, ""🏘️ \w+ \w+ (.*) ✅""),'Quartier prepositio"&amp;"ns'!A:E, 5, 0) ,  if(H5741=""region"",vlookup(REGEXEXTRACT(C5741, ""🏘️ \w+ \w+ (.*) ✅""),'Region prepositions'!B:F, 5, 0),  REGEXEXTRACT(C5741, ""🏘️ \w+ \w+ (.*) ✅""))))"),"#N/A")</f>
        <v>#N/A</v>
      </c>
      <c r="I5741" s="4" t="str">
        <f>IFERROR(__xludf.DUMMYFUNCTION("if(D5741=""variant"",  substitute(filter(Templates!E:E, Templates!A:A = F5741, Templates!B:B = G5741, Templates!C:C = H5741), ""{{}}"", E5741), B5741)"),"Louer maison Arbaz: Trouvez le bien immobilier qui correspond idéalement à vos désirs sur ImmoScout24 - La plateforme de l'immobilier en Suisse.")</f>
        <v>Louer maison Arbaz: Trouvez le bien immobilier qui correspond idéalement à vos désirs sur ImmoScout24 - La plateforme de l'immobilier en Suisse.</v>
      </c>
    </row>
    <row r="5742" hidden="1">
      <c r="A5742" s="5" t="s">
        <v>14580</v>
      </c>
      <c r="B5742" s="2" t="s">
        <v>14581</v>
      </c>
      <c r="C5742" s="2" t="s">
        <v>14581</v>
      </c>
      <c r="D5742" s="4" t="str">
        <f>vlookup(A5742, Sheet2!D:E, 2, 0)</f>
        <v>control</v>
      </c>
      <c r="E5742" s="4" t="str">
        <f>IFERROR(__xludf.DUMMYFUNCTION("if(H5742=""pays"",vlookup(REGEXEXTRACT(C5742, ""🏘️ \w+ \w+ (.*) ✅""),'Country prepositions'!A:B, 2, 0) &amp; "" "" &amp; REGEXEXTRACT(C5742, ""🏘️ \w+ \w+ (.*) ✅"") ,  if(H5742=""quartier"",vlookup(REGEXEXTRACT(C5742, ""🏘️ \w+ \w+ (.*) ✅""),'Quartier prepositio"&amp;"ns'!A:E, 5, 0) ,  if(H5742=""region"",vlookup(REGEXEXTRACT(C5742, ""🏘️ \w+ \w+ (.*) ✅""),'Region prepositions'!B:F, 5, 0),  REGEXEXTRACT(C5742, ""🏘️ \w+ \w+ (.*) ✅""))))"),"#N/A")</f>
        <v>#N/A</v>
      </c>
      <c r="I5742" s="4" t="str">
        <f>IFERROR(__xludf.DUMMYFUNCTION("if(D5742=""variant"",  substitute(filter(Templates!E:E, Templates!A:A = F5742, Templates!B:B = G5742, Templates!C:C = H5742), ""{{}}"", E5742), B5742)"),"Vendre maison Villars-Mendraz: Trouvez le bien immobilier qui correspond idéalement à vos désirs sur ImmoScout24 - La plateforme de l'immobilier en Suisse.")</f>
        <v>Vendre maison Villars-Mendraz: Trouvez le bien immobilier qui correspond idéalement à vos désirs sur ImmoScout24 - La plateforme de l'immobilier en Suisse.</v>
      </c>
    </row>
    <row r="5743" hidden="1">
      <c r="A5743" s="5" t="s">
        <v>14582</v>
      </c>
      <c r="B5743" s="2" t="s">
        <v>14583</v>
      </c>
      <c r="C5743" s="2" t="s">
        <v>14583</v>
      </c>
      <c r="D5743" s="4" t="str">
        <f>vlookup(A5743, Sheet2!D:E, 2, 0)</f>
        <v>control</v>
      </c>
      <c r="E5743" s="4" t="str">
        <f>IFERROR(__xludf.DUMMYFUNCTION("if(H5743=""pays"",vlookup(REGEXEXTRACT(C5743, ""🏘️ \w+ \w+ (.*) ✅""),'Country prepositions'!A:B, 2, 0) &amp; "" "" &amp; REGEXEXTRACT(C5743, ""🏘️ \w+ \w+ (.*) ✅"") ,  if(H5743=""quartier"",vlookup(REGEXEXTRACT(C5743, ""🏘️ \w+ \w+ (.*) ✅""),'Quartier prepositio"&amp;"ns'!A:E, 5, 0) ,  if(H5743=""region"",vlookup(REGEXEXTRACT(C5743, ""🏘️ \w+ \w+ (.*) ✅""),'Region prepositions'!B:F, 5, 0),  REGEXEXTRACT(C5743, ""🏘️ \w+ \w+ (.*) ✅""))))"),"#N/A")</f>
        <v>#N/A</v>
      </c>
      <c r="I5743" s="4" t="str">
        <f>IFERROR(__xludf.DUMMYFUNCTION("if(D5743=""variant"",  substitute(filter(Templates!E:E, Templates!A:A = F5743, Templates!B:B = G5743, Templates!C:C = H5743), ""{{}}"", E5743), B5743)"),"Louer maison La Coudre (Neuchâtel): Trouvez le bien immobilier qui correspond idéalement à vos désirs sur ImmoScout24 - La plateforme de l'immobilier en Suisse.")</f>
        <v>Louer maison La Coudre (Neuchâtel): Trouvez le bien immobilier qui correspond idéalement à vos désirs sur ImmoScout24 - La plateforme de l'immobilier en Suisse.</v>
      </c>
    </row>
    <row r="5744" hidden="1">
      <c r="A5744" s="5" t="s">
        <v>14584</v>
      </c>
      <c r="B5744" s="2" t="s">
        <v>14585</v>
      </c>
      <c r="C5744" s="2" t="s">
        <v>14585</v>
      </c>
      <c r="D5744" s="4" t="str">
        <f>vlookup(A5744, Sheet2!D:E, 2, 0)</f>
        <v>control</v>
      </c>
      <c r="E5744" s="4" t="str">
        <f>IFERROR(__xludf.DUMMYFUNCTION("if(H5744=""pays"",vlookup(REGEXEXTRACT(C5744, ""🏘️ \w+ \w+ (.*) ✅""),'Country prepositions'!A:B, 2, 0) &amp; "" "" &amp; REGEXEXTRACT(C5744, ""🏘️ \w+ \w+ (.*) ✅"") ,  if(H5744=""quartier"",vlookup(REGEXEXTRACT(C5744, ""🏘️ \w+ \w+ (.*) ✅""),'Quartier prepositio"&amp;"ns'!A:E, 5, 0) ,  if(H5744=""region"",vlookup(REGEXEXTRACT(C5744, ""🏘️ \w+ \w+ (.*) ✅""),'Region prepositions'!B:F, 5, 0),  REGEXEXTRACT(C5744, ""🏘️ \w+ \w+ (.*) ✅""))))"),"#N/A")</f>
        <v>#N/A</v>
      </c>
      <c r="I5744" s="4" t="str">
        <f>IFERROR(__xludf.DUMMYFUNCTION("if(D5744=""variant"",  substitute(filter(Templates!E:E, Templates!A:A = F5744, Templates!B:B = G5744, Templates!C:C = H5744), ""{{}}"", E5744), B5744)"),"Louer appartement Aclens: Trouvez le bien immobilier qui correspond idéalement à vos désirs sur ImmoScout24 - La plateforme de l'immobilier en Suisse.")</f>
        <v>Louer appartement Aclens: Trouvez le bien immobilier qui correspond idéalement à vos désirs sur ImmoScout24 - La plateforme de l'immobilier en Suisse.</v>
      </c>
    </row>
    <row r="5745" hidden="1">
      <c r="A5745" s="5" t="s">
        <v>14586</v>
      </c>
      <c r="B5745" s="2" t="s">
        <v>14587</v>
      </c>
      <c r="C5745" s="2" t="s">
        <v>14587</v>
      </c>
      <c r="D5745" s="4" t="str">
        <f>vlookup(A5745, Sheet2!D:E, 2, 0)</f>
        <v>control</v>
      </c>
      <c r="E5745" s="4" t="str">
        <f>IFERROR(__xludf.DUMMYFUNCTION("if(H5745=""pays"",vlookup(REGEXEXTRACT(C5745, ""🏘️ \w+ \w+ (.*) ✅""),'Country prepositions'!A:B, 2, 0) &amp; "" "" &amp; REGEXEXTRACT(C5745, ""🏘️ \w+ \w+ (.*) ✅"") ,  if(H5745=""quartier"",vlookup(REGEXEXTRACT(C5745, ""🏘️ \w+ \w+ (.*) ✅""),'Quartier prepositio"&amp;"ns'!A:E, 5, 0) ,  if(H5745=""region"",vlookup(REGEXEXTRACT(C5745, ""🏘️ \w+ \w+ (.*) ✅""),'Region prepositions'!B:F, 5, 0),  REGEXEXTRACT(C5745, ""🏘️ \w+ \w+ (.*) ✅""))))"),"#N/A")</f>
        <v>#N/A</v>
      </c>
      <c r="I5745" s="4" t="str">
        <f>IFERROR(__xludf.DUMMYFUNCTION("if(D5745=""variant"",  substitute(filter(Templates!E:E, Templates!A:A = F5745, Templates!B:B = G5745, Templates!C:C = H5745), ""{{}}"", E5745), B5745)"),"Vendre maison Gandria: Trouvez le bien immobilier qui correspond idéalement à vos désirs sur ImmoScout24 - La plateforme de l'immobilier en Suisse.")</f>
        <v>Vendre maison Gandria: Trouvez le bien immobilier qui correspond idéalement à vos désirs sur ImmoScout24 - La plateforme de l'immobilier en Suisse.</v>
      </c>
    </row>
    <row r="5746" hidden="1">
      <c r="A5746" s="5" t="s">
        <v>14588</v>
      </c>
      <c r="B5746" s="2" t="s">
        <v>14589</v>
      </c>
      <c r="C5746" s="2" t="s">
        <v>14589</v>
      </c>
      <c r="D5746" s="4" t="str">
        <f>vlookup(A5746, Sheet2!D:E, 2, 0)</f>
        <v>control</v>
      </c>
      <c r="E5746" s="4" t="str">
        <f>IFERROR(__xludf.DUMMYFUNCTION("if(H5746=""pays"",vlookup(REGEXEXTRACT(C5746, ""🏘️ \w+ \w+ (.*) ✅""),'Country prepositions'!A:B, 2, 0) &amp; "" "" &amp; REGEXEXTRACT(C5746, ""🏘️ \w+ \w+ (.*) ✅"") ,  if(H5746=""quartier"",vlookup(REGEXEXTRACT(C5746, ""🏘️ \w+ \w+ (.*) ✅""),'Quartier prepositio"&amp;"ns'!A:E, 5, 0) ,  if(H5746=""region"",vlookup(REGEXEXTRACT(C5746, ""🏘️ \w+ \w+ (.*) ✅""),'Region prepositions'!B:F, 5, 0),  REGEXEXTRACT(C5746, ""🏘️ \w+ \w+ (.*) ✅""))))"),"#N/A")</f>
        <v>#N/A</v>
      </c>
      <c r="I5746" s="4" t="str">
        <f>IFERROR(__xludf.DUMMYFUNCTION("if(D5746=""variant"",  substitute(filter(Templates!E:E, Templates!A:A = F5746, Templates!B:B = G5746, Templates!C:C = H5746), ""{{}}"", E5746), B5746)"),"Vendre appartement Condémines (Nendaz): Trouvez le bien immobilier qui correspond idéalement à vos désirs sur ImmoScout24 - La plateforme de l'immobilier en Suisse.")</f>
        <v>Vendre appartement Condémines (Nendaz): Trouvez le bien immobilier qui correspond idéalement à vos désirs sur ImmoScout24 - La plateforme de l'immobilier en Suisse.</v>
      </c>
    </row>
    <row r="5747" hidden="1">
      <c r="A5747" s="5" t="s">
        <v>14590</v>
      </c>
      <c r="B5747" s="2" t="s">
        <v>14591</v>
      </c>
      <c r="C5747" s="2" t="s">
        <v>14591</v>
      </c>
      <c r="D5747" s="4" t="str">
        <f>vlookup(A5747, Sheet2!D:E, 2, 0)</f>
        <v>control</v>
      </c>
      <c r="E5747" s="4" t="str">
        <f>IFERROR(__xludf.DUMMYFUNCTION("if(H5747=""pays"",vlookup(REGEXEXTRACT(C5747, ""🏘️ \w+ \w+ (.*) ✅""),'Country prepositions'!A:B, 2, 0) &amp; "" "" &amp; REGEXEXTRACT(C5747, ""🏘️ \w+ \w+ (.*) ✅"") ,  if(H5747=""quartier"",vlookup(REGEXEXTRACT(C5747, ""🏘️ \w+ \w+ (.*) ✅""),'Quartier prepositio"&amp;"ns'!A:E, 5, 0) ,  if(H5747=""region"",vlookup(REGEXEXTRACT(C5747, ""🏘️ \w+ \w+ (.*) ✅""),'Region prepositions'!B:F, 5, 0),  REGEXEXTRACT(C5747, ""🏘️ \w+ \w+ (.*) ✅""))))"),"#N/A")</f>
        <v>#N/A</v>
      </c>
      <c r="I5747" s="4" t="str">
        <f>IFERROR(__xludf.DUMMYFUNCTION("if(D5747=""variant"",  substitute(filter(Templates!E:E, Templates!A:A = F5747, Templates!B:B = G5747, Templates!C:C = H5747), ""{{}}"", E5747), B5747)"),"Louer appartement Wald ZH: Trouvez le bien immobilier qui correspond idéalement à vos désirs sur ImmoScout24 - La plateforme de l'immobilier en Suisse.")</f>
        <v>Louer appartement Wald ZH: Trouvez le bien immobilier qui correspond idéalement à vos désirs sur ImmoScout24 - La plateforme de l'immobilier en Suisse.</v>
      </c>
    </row>
    <row r="5748" hidden="1">
      <c r="A5748" s="5" t="s">
        <v>14592</v>
      </c>
      <c r="B5748" s="2" t="s">
        <v>14593</v>
      </c>
      <c r="C5748" s="2" t="s">
        <v>14593</v>
      </c>
      <c r="D5748" s="4" t="str">
        <f>vlookup(A5748, Sheet2!D:E, 2, 0)</f>
        <v>control</v>
      </c>
      <c r="E5748" s="4" t="str">
        <f>IFERROR(__xludf.DUMMYFUNCTION("if(H5748=""pays"",vlookup(REGEXEXTRACT(C5748, ""🏘️ \w+ \w+ (.*) ✅""),'Country prepositions'!A:B, 2, 0) &amp; "" "" &amp; REGEXEXTRACT(C5748, ""🏘️ \w+ \w+ (.*) ✅"") ,  if(H5748=""quartier"",vlookup(REGEXEXTRACT(C5748, ""🏘️ \w+ \w+ (.*) ✅""),'Quartier prepositio"&amp;"ns'!A:E, 5, 0) ,  if(H5748=""region"",vlookup(REGEXEXTRACT(C5748, ""🏘️ \w+ \w+ (.*) ✅""),'Region prepositions'!B:F, 5, 0),  REGEXEXTRACT(C5748, ""🏘️ \w+ \w+ (.*) ✅""))))"),"#N/A")</f>
        <v>#N/A</v>
      </c>
      <c r="I5748" s="4" t="str">
        <f>IFERROR(__xludf.DUMMYFUNCTION("if(D5748=""variant"",  substitute(filter(Templates!E:E, Templates!A:A = F5748, Templates!B:B = G5748, Templates!C:C = H5748), ""{{}}"", E5748), B5748)"),"Louer appartement Epesses: Trouvez le bien immobilier qui correspond idéalement à vos désirs sur ImmoScout24 - La plateforme de l'immobilier en Suisse.")</f>
        <v>Louer appartement Epesses: Trouvez le bien immobilier qui correspond idéalement à vos désirs sur ImmoScout24 - La plateforme de l'immobilier en Suisse.</v>
      </c>
    </row>
    <row r="5749" hidden="1">
      <c r="A5749" s="5" t="s">
        <v>14594</v>
      </c>
      <c r="B5749" s="2" t="s">
        <v>14595</v>
      </c>
      <c r="C5749" s="2" t="s">
        <v>14595</v>
      </c>
      <c r="D5749" s="4" t="str">
        <f>vlookup(A5749, Sheet2!D:E, 2, 0)</f>
        <v>control</v>
      </c>
      <c r="E5749" s="4" t="str">
        <f>IFERROR(__xludf.DUMMYFUNCTION("if(H5749=""pays"",vlookup(REGEXEXTRACT(C5749, ""🏘️ \w+ \w+ (.*) ✅""),'Country prepositions'!A:B, 2, 0) &amp; "" "" &amp; REGEXEXTRACT(C5749, ""🏘️ \w+ \w+ (.*) ✅"") ,  if(H5749=""quartier"",vlookup(REGEXEXTRACT(C5749, ""🏘️ \w+ \w+ (.*) ✅""),'Quartier prepositio"&amp;"ns'!A:E, 5, 0) ,  if(H5749=""region"",vlookup(REGEXEXTRACT(C5749, ""🏘️ \w+ \w+ (.*) ✅""),'Region prepositions'!B:F, 5, 0),  REGEXEXTRACT(C5749, ""🏘️ \w+ \w+ (.*) ✅""))))"),"#N/A")</f>
        <v>#N/A</v>
      </c>
      <c r="I5749" s="4" t="str">
        <f>IFERROR(__xludf.DUMMYFUNCTION("if(D5749=""variant"",  substitute(filter(Templates!E:E, Templates!A:A = F5749, Templates!B:B = G5749, Templates!C:C = H5749), ""{{}}"", E5749), B5749)"),"Louer appartement Brienz BE: Trouvez le bien immobilier qui correspond idéalement à vos désirs sur ImmoScout24 - La plateforme de l'immobilier en Suisse.")</f>
        <v>Louer appartement Brienz BE: Trouvez le bien immobilier qui correspond idéalement à vos désirs sur ImmoScout24 - La plateforme de l'immobilier en Suisse.</v>
      </c>
    </row>
    <row r="5750" hidden="1">
      <c r="A5750" s="5" t="s">
        <v>14596</v>
      </c>
      <c r="B5750" s="2" t="s">
        <v>14597</v>
      </c>
      <c r="C5750" s="2" t="s">
        <v>14597</v>
      </c>
      <c r="D5750" s="4" t="str">
        <f>vlookup(A5750, Sheet2!D:E, 2, 0)</f>
        <v>control</v>
      </c>
      <c r="E5750" s="4" t="str">
        <f>IFERROR(__xludf.DUMMYFUNCTION("if(H5750=""pays"",vlookup(REGEXEXTRACT(C5750, ""🏘️ \w+ \w+ (.*) ✅""),'Country prepositions'!A:B, 2, 0) &amp; "" "" &amp; REGEXEXTRACT(C5750, ""🏘️ \w+ \w+ (.*) ✅"") ,  if(H5750=""quartier"",vlookup(REGEXEXTRACT(C5750, ""🏘️ \w+ \w+ (.*) ✅""),'Quartier prepositio"&amp;"ns'!A:E, 5, 0) ,  if(H5750=""region"",vlookup(REGEXEXTRACT(C5750, ""🏘️ \w+ \w+ (.*) ✅""),'Region prepositions'!B:F, 5, 0),  REGEXEXTRACT(C5750, ""🏘️ \w+ \w+ (.*) ✅""))))"),"#N/A")</f>
        <v>#N/A</v>
      </c>
      <c r="I5750" s="4" t="str">
        <f>IFERROR(__xludf.DUMMYFUNCTION("if(D5750=""variant"",  substitute(filter(Templates!E:E, Templates!A:A = F5750, Templates!B:B = G5750, Templates!C:C = H5750), ""{{}}"", E5750), B5750)"),"Vendre appartement Cornaux NE: Trouvez le bien immobilier qui correspond idéalement à vos désirs sur ImmoScout24 - La plateforme de l'immobilier en Suisse.")</f>
        <v>Vendre appartement Cornaux NE: Trouvez le bien immobilier qui correspond idéalement à vos désirs sur ImmoScout24 - La plateforme de l'immobilier en Suisse.</v>
      </c>
    </row>
    <row r="5751" hidden="1">
      <c r="A5751" s="5" t="s">
        <v>14598</v>
      </c>
      <c r="B5751" s="2" t="s">
        <v>14599</v>
      </c>
      <c r="C5751" s="2" t="s">
        <v>14599</v>
      </c>
      <c r="D5751" s="4" t="str">
        <f>vlookup(A5751, Sheet2!D:E, 2, 0)</f>
        <v>control</v>
      </c>
      <c r="E5751" s="4" t="str">
        <f>IFERROR(__xludf.DUMMYFUNCTION("if(H5751=""pays"",vlookup(REGEXEXTRACT(C5751, ""🏘️ \w+ \w+ (.*) ✅""),'Country prepositions'!A:B, 2, 0) &amp; "" "" &amp; REGEXEXTRACT(C5751, ""🏘️ \w+ \w+ (.*) ✅"") ,  if(H5751=""quartier"",vlookup(REGEXEXTRACT(C5751, ""🏘️ \w+ \w+ (.*) ✅""),'Quartier prepositio"&amp;"ns'!A:E, 5, 0) ,  if(H5751=""region"",vlookup(REGEXEXTRACT(C5751, ""🏘️ \w+ \w+ (.*) ✅""),'Region prepositions'!B:F, 5, 0),  REGEXEXTRACT(C5751, ""🏘️ \w+ \w+ (.*) ✅""))))"),"#N/A")</f>
        <v>#N/A</v>
      </c>
      <c r="I5751" s="4" t="str">
        <f>IFERROR(__xludf.DUMMYFUNCTION("if(D5751=""variant"",  substitute(filter(Templates!E:E, Templates!A:A = F5751, Templates!B:B = G5751, Templates!C:C = H5751), ""{{}}"", E5751), B5751)"),"Louer appartement Canton de Vaud: Trouvez le bien immobilier qui correspond idéalement à vos désirs sur ImmoScout24 - La plateforme de l'immobilier en Suisse.")</f>
        <v>Louer appartement Canton de Vaud: Trouvez le bien immobilier qui correspond idéalement à vos désirs sur ImmoScout24 - La plateforme de l'immobilier en Suisse.</v>
      </c>
    </row>
    <row r="5752" hidden="1">
      <c r="A5752" s="5" t="s">
        <v>14600</v>
      </c>
      <c r="B5752" s="2" t="s">
        <v>14601</v>
      </c>
      <c r="C5752" s="2" t="s">
        <v>14601</v>
      </c>
      <c r="D5752" s="4" t="str">
        <f>vlookup(A5752, Sheet2!D:E, 2, 0)</f>
        <v>control</v>
      </c>
      <c r="E5752" s="4" t="str">
        <f>IFERROR(__xludf.DUMMYFUNCTION("if(H5752=""pays"",vlookup(REGEXEXTRACT(C5752, ""🏘️ \w+ \w+ (.*) ✅""),'Country prepositions'!A:B, 2, 0) &amp; "" "" &amp; REGEXEXTRACT(C5752, ""🏘️ \w+ \w+ (.*) ✅"") ,  if(H5752=""quartier"",vlookup(REGEXEXTRACT(C5752, ""🏘️ \w+ \w+ (.*) ✅""),'Quartier prepositio"&amp;"ns'!A:E, 5, 0) ,  if(H5752=""region"",vlookup(REGEXEXTRACT(C5752, ""🏘️ \w+ \w+ (.*) ✅""),'Region prepositions'!B:F, 5, 0),  REGEXEXTRACT(C5752, ""🏘️ \w+ \w+ (.*) ✅""))))"),"#N/A")</f>
        <v>#N/A</v>
      </c>
      <c r="I5752" s="4" t="str">
        <f>IFERROR(__xludf.DUMMYFUNCTION("if(D5752=""variant"",  substitute(filter(Templates!E:E, Templates!A:A = F5752, Templates!B:B = G5752, Templates!C:C = H5752), ""{{}}"", E5752), B5752)"),"Louer appartement Laufenburg: Trouvez le bien immobilier qui correspond idéalement à vos désirs sur ImmoScout24 - La plateforme de l'immobilier en Suisse.")</f>
        <v>Louer appartement Laufenburg: Trouvez le bien immobilier qui correspond idéalement à vos désirs sur ImmoScout24 - La plateforme de l'immobilier en Suisse.</v>
      </c>
    </row>
    <row r="5753" hidden="1">
      <c r="A5753" s="5" t="s">
        <v>14602</v>
      </c>
      <c r="B5753" s="2" t="s">
        <v>14603</v>
      </c>
      <c r="C5753" s="2" t="s">
        <v>14603</v>
      </c>
      <c r="D5753" s="4" t="str">
        <f>vlookup(A5753, Sheet2!D:E, 2, 0)</f>
        <v>control</v>
      </c>
      <c r="E5753" s="4" t="str">
        <f>IFERROR(__xludf.DUMMYFUNCTION("if(H5753=""pays"",vlookup(REGEXEXTRACT(C5753, ""🏘️ \w+ \w+ (.*) ✅""),'Country prepositions'!A:B, 2, 0) &amp; "" "" &amp; REGEXEXTRACT(C5753, ""🏘️ \w+ \w+ (.*) ✅"") ,  if(H5753=""quartier"",vlookup(REGEXEXTRACT(C5753, ""🏘️ \w+ \w+ (.*) ✅""),'Quartier prepositio"&amp;"ns'!A:E, 5, 0) ,  if(H5753=""region"",vlookup(REGEXEXTRACT(C5753, ""🏘️ \w+ \w+ (.*) ✅""),'Region prepositions'!B:F, 5, 0),  REGEXEXTRACT(C5753, ""🏘️ \w+ \w+ (.*) ✅""))))"),"#N/A")</f>
        <v>#N/A</v>
      </c>
      <c r="I5753" s="4" t="str">
        <f>IFERROR(__xludf.DUMMYFUNCTION("if(D5753=""variant"",  substitute(filter(Templates!E:E, Templates!A:A = F5753, Templates!B:B = G5753, Templates!C:C = H5753), ""{{}}"", E5753), B5753)"),"Louer appartement Le Mont-sur-Lausanne: Trouvez le bien immobilier qui correspond idéalement à vos désirs sur ImmoScout24 - La plateforme de l'immobilier en Suisse.")</f>
        <v>Louer appartement Le Mont-sur-Lausanne: Trouvez le bien immobilier qui correspond idéalement à vos désirs sur ImmoScout24 - La plateforme de l'immobilier en Suisse.</v>
      </c>
    </row>
    <row r="5754" hidden="1">
      <c r="A5754" s="5" t="s">
        <v>14604</v>
      </c>
      <c r="B5754" s="2" t="s">
        <v>14605</v>
      </c>
      <c r="C5754" s="2" t="s">
        <v>14605</v>
      </c>
      <c r="D5754" s="4" t="str">
        <f>vlookup(A5754, Sheet2!D:E, 2, 0)</f>
        <v>control</v>
      </c>
      <c r="E5754" s="4" t="str">
        <f>IFERROR(__xludf.DUMMYFUNCTION("if(H5754=""pays"",vlookup(REGEXEXTRACT(C5754, ""🏘️ \w+ \w+ (.*) ✅""),'Country prepositions'!A:B, 2, 0) &amp; "" "" &amp; REGEXEXTRACT(C5754, ""🏘️ \w+ \w+ (.*) ✅"") ,  if(H5754=""quartier"",vlookup(REGEXEXTRACT(C5754, ""🏘️ \w+ \w+ (.*) ✅""),'Quartier prepositio"&amp;"ns'!A:E, 5, 0) ,  if(H5754=""region"",vlookup(REGEXEXTRACT(C5754, ""🏘️ \w+ \w+ (.*) ✅""),'Region prepositions'!B:F, 5, 0),  REGEXEXTRACT(C5754, ""🏘️ \w+ \w+ (.*) ✅""))))"),"#N/A")</f>
        <v>#N/A</v>
      </c>
      <c r="I5754" s="4" t="str">
        <f>IFERROR(__xludf.DUMMYFUNCTION("if(D5754=""variant"",  substitute(filter(Templates!E:E, Templates!A:A = F5754, Templates!B:B = G5754, Templates!C:C = H5754), ""{{}}"", E5754), B5754)"),"Louer maison Damphreux: Trouvez le bien immobilier qui correspond idéalement à vos désirs sur ImmoScout24 - La plateforme de l'immobilier en Suisse.")</f>
        <v>Louer maison Damphreux: Trouvez le bien immobilier qui correspond idéalement à vos désirs sur ImmoScout24 - La plateforme de l'immobilier en Suisse.</v>
      </c>
    </row>
    <row r="5755" hidden="1">
      <c r="A5755" s="5" t="s">
        <v>14606</v>
      </c>
      <c r="B5755" s="2" t="s">
        <v>14607</v>
      </c>
      <c r="C5755" s="2" t="s">
        <v>14607</v>
      </c>
      <c r="D5755" s="4" t="str">
        <f>vlookup(A5755, Sheet2!D:E, 2, 0)</f>
        <v>control</v>
      </c>
      <c r="E5755" s="4" t="str">
        <f>IFERROR(__xludf.DUMMYFUNCTION("if(H5755=""pays"",vlookup(REGEXEXTRACT(C5755, ""🏘️ \w+ \w+ (.*) ✅""),'Country prepositions'!A:B, 2, 0) &amp; "" "" &amp; REGEXEXTRACT(C5755, ""🏘️ \w+ \w+ (.*) ✅"") ,  if(H5755=""quartier"",vlookup(REGEXEXTRACT(C5755, ""🏘️ \w+ \w+ (.*) ✅""),'Quartier prepositio"&amp;"ns'!A:E, 5, 0) ,  if(H5755=""region"",vlookup(REGEXEXTRACT(C5755, ""🏘️ \w+ \w+ (.*) ✅""),'Region prepositions'!B:F, 5, 0),  REGEXEXTRACT(C5755, ""🏘️ \w+ \w+ (.*) ✅""))))"),"#N/A")</f>
        <v>#N/A</v>
      </c>
      <c r="I5755" s="4" t="str">
        <f>IFERROR(__xludf.DUMMYFUNCTION("if(D5755=""variant"",  substitute(filter(Templates!E:E, Templates!A:A = F5755, Templates!B:B = G5755, Templates!C:C = H5755), ""{{}}"", E5755), B5755)"),"Vendre appartement Epesses: Trouvez le bien immobilier qui correspond idéalement à vos désirs sur ImmoScout24 - La plateforme de l'immobilier en Suisse.")</f>
        <v>Vendre appartement Epesses: Trouvez le bien immobilier qui correspond idéalement à vos désirs sur ImmoScout24 - La plateforme de l'immobilier en Suisse.</v>
      </c>
    </row>
    <row r="5756" hidden="1">
      <c r="A5756" s="5" t="s">
        <v>14608</v>
      </c>
      <c r="B5756" s="2" t="s">
        <v>14609</v>
      </c>
      <c r="C5756" s="2" t="s">
        <v>14609</v>
      </c>
      <c r="D5756" s="4" t="str">
        <f>vlookup(A5756, Sheet2!D:E, 2, 0)</f>
        <v>control</v>
      </c>
      <c r="E5756" s="4" t="str">
        <f>IFERROR(__xludf.DUMMYFUNCTION("if(H5756=""pays"",vlookup(REGEXEXTRACT(C5756, ""🏘️ \w+ \w+ (.*) ✅""),'Country prepositions'!A:B, 2, 0) &amp; "" "" &amp; REGEXEXTRACT(C5756, ""🏘️ \w+ \w+ (.*) ✅"") ,  if(H5756=""quartier"",vlookup(REGEXEXTRACT(C5756, ""🏘️ \w+ \w+ (.*) ✅""),'Quartier prepositio"&amp;"ns'!A:E, 5, 0) ,  if(H5756=""region"",vlookup(REGEXEXTRACT(C5756, ""🏘️ \w+ \w+ (.*) ✅""),'Region prepositions'!B:F, 5, 0),  REGEXEXTRACT(C5756, ""🏘️ \w+ \w+ (.*) ✅""))))"),"#N/A")</f>
        <v>#N/A</v>
      </c>
      <c r="I5756" s="4" t="str">
        <f>IFERROR(__xludf.DUMMYFUNCTION("if(D5756=""variant"",  substitute(filter(Templates!E:E, Templates!A:A = F5756, Templates!B:B = G5756, Templates!C:C = H5756), ""{{}}"", E5756), B5756)"),"Vendre appartement Salvan: Trouvez le bien immobilier qui correspond idéalement à vos désirs sur ImmoScout24 - La plateforme de l'immobilier en Suisse.")</f>
        <v>Vendre appartement Salvan: Trouvez le bien immobilier qui correspond idéalement à vos désirs sur ImmoScout24 - La plateforme de l'immobilier en Suisse.</v>
      </c>
    </row>
    <row r="5757" hidden="1">
      <c r="A5757" s="5" t="s">
        <v>14610</v>
      </c>
      <c r="B5757" s="2" t="s">
        <v>14611</v>
      </c>
      <c r="C5757" s="2" t="s">
        <v>14611</v>
      </c>
      <c r="D5757" s="4" t="str">
        <f>vlookup(A5757, Sheet2!D:E, 2, 0)</f>
        <v>control</v>
      </c>
      <c r="E5757" s="4" t="str">
        <f>IFERROR(__xludf.DUMMYFUNCTION("if(H5757=""pays"",vlookup(REGEXEXTRACT(C5757, ""🏘️ \w+ \w+ (.*) ✅""),'Country prepositions'!A:B, 2, 0) &amp; "" "" &amp; REGEXEXTRACT(C5757, ""🏘️ \w+ \w+ (.*) ✅"") ,  if(H5757=""quartier"",vlookup(REGEXEXTRACT(C5757, ""🏘️ \w+ \w+ (.*) ✅""),'Quartier prepositio"&amp;"ns'!A:E, 5, 0) ,  if(H5757=""region"",vlookup(REGEXEXTRACT(C5757, ""🏘️ \w+ \w+ (.*) ✅""),'Region prepositions'!B:F, 5, 0),  REGEXEXTRACT(C5757, ""🏘️ \w+ \w+ (.*) ✅""))))"),"#N/A")</f>
        <v>#N/A</v>
      </c>
      <c r="I5757" s="4" t="str">
        <f>IFERROR(__xludf.DUMMYFUNCTION("if(D5757=""variant"",  substitute(filter(Templates!E:E, Templates!A:A = F5757, Templates!B:B = G5757, Templates!C:C = H5757), ""{{}}"", E5757), B5757)"),"Vendre maison Bévilard: Trouvez le bien immobilier qui correspond idéalement à vos désirs sur ImmoScout24 - La plateforme de l'immobilier en Suisse.")</f>
        <v>Vendre maison Bévilard: Trouvez le bien immobilier qui correspond idéalement à vos désirs sur ImmoScout24 - La plateforme de l'immobilier en Suisse.</v>
      </c>
    </row>
    <row r="5758" hidden="1">
      <c r="A5758" s="5" t="s">
        <v>14612</v>
      </c>
      <c r="B5758" s="2" t="s">
        <v>14613</v>
      </c>
      <c r="C5758" s="2" t="s">
        <v>14613</v>
      </c>
      <c r="D5758" s="4" t="str">
        <f>vlookup(A5758, Sheet2!D:E, 2, 0)</f>
        <v>control</v>
      </c>
      <c r="E5758" s="4" t="str">
        <f>IFERROR(__xludf.DUMMYFUNCTION("if(H5758=""pays"",vlookup(REGEXEXTRACT(C5758, ""🏘️ \w+ \w+ (.*) ✅""),'Country prepositions'!A:B, 2, 0) &amp; "" "" &amp; REGEXEXTRACT(C5758, ""🏘️ \w+ \w+ (.*) ✅"") ,  if(H5758=""quartier"",vlookup(REGEXEXTRACT(C5758, ""🏘️ \w+ \w+ (.*) ✅""),'Quartier prepositio"&amp;"ns'!A:E, 5, 0) ,  if(H5758=""region"",vlookup(REGEXEXTRACT(C5758, ""🏘️ \w+ \w+ (.*) ✅""),'Region prepositions'!B:F, 5, 0),  REGEXEXTRACT(C5758, ""🏘️ \w+ \w+ (.*) ✅""))))"),"#N/A")</f>
        <v>#N/A</v>
      </c>
      <c r="I5758" s="4" t="str">
        <f>IFERROR(__xludf.DUMMYFUNCTION("if(D5758=""variant"",  substitute(filter(Templates!E:E, Templates!A:A = F5758, Templates!B:B = G5758, Templates!C:C = H5758), ""{{}}"", E5758), B5758)"),"Vendre appartement Madretsch Süd (Biel/Bienne): Trouvez le bien immobilier qui correspond idéalement à vos désirs sur ImmoScout24 - La plateforme de l'immobilier en Suisse.")</f>
        <v>Vendre appartement Madretsch Süd (Biel/Bienne): Trouvez le bien immobilier qui correspond idéalement à vos désirs sur ImmoScout24 - La plateforme de l'immobilier en Suisse.</v>
      </c>
    </row>
    <row r="5759" hidden="1">
      <c r="A5759" s="5" t="s">
        <v>14614</v>
      </c>
      <c r="B5759" s="2" t="s">
        <v>14615</v>
      </c>
      <c r="C5759" s="2" t="s">
        <v>14615</v>
      </c>
      <c r="D5759" s="4" t="str">
        <f>vlookup(A5759, Sheet2!D:E, 2, 0)</f>
        <v>control</v>
      </c>
      <c r="E5759" s="4" t="str">
        <f>IFERROR(__xludf.DUMMYFUNCTION("if(H5759=""pays"",vlookup(REGEXEXTRACT(C5759, ""🏘️ \w+ \w+ (.*) ✅""),'Country prepositions'!A:B, 2, 0) &amp; "" "" &amp; REGEXEXTRACT(C5759, ""🏘️ \w+ \w+ (.*) ✅"") ,  if(H5759=""quartier"",vlookup(REGEXEXTRACT(C5759, ""🏘️ \w+ \w+ (.*) ✅""),'Quartier prepositio"&amp;"ns'!A:E, 5, 0) ,  if(H5759=""region"",vlookup(REGEXEXTRACT(C5759, ""🏘️ \w+ \w+ (.*) ✅""),'Region prepositions'!B:F, 5, 0),  REGEXEXTRACT(C5759, ""🏘️ \w+ \w+ (.*) ✅""))))"),"#N/A")</f>
        <v>#N/A</v>
      </c>
      <c r="I5759" s="4" t="str">
        <f>IFERROR(__xludf.DUMMYFUNCTION("if(D5759=""variant"",  substitute(filter(Templates!E:E, Templates!A:A = F5759, Templates!B:B = G5759, Templates!C:C = H5759), ""{{}}"", E5759), B5759)"),"Louer appartement Tentlingen: Trouvez le bien immobilier qui correspond idéalement à vos désirs sur ImmoScout24 - La plateforme de l'immobilier en Suisse.")</f>
        <v>Louer appartement Tentlingen: Trouvez le bien immobilier qui correspond idéalement à vos désirs sur ImmoScout24 - La plateforme de l'immobilier en Suisse.</v>
      </c>
    </row>
    <row r="5760" hidden="1">
      <c r="A5760" s="5" t="s">
        <v>14616</v>
      </c>
      <c r="B5760" s="2" t="s">
        <v>14617</v>
      </c>
      <c r="C5760" s="2" t="s">
        <v>14617</v>
      </c>
      <c r="D5760" s="4" t="str">
        <f>vlookup(A5760, Sheet2!D:E, 2, 0)</f>
        <v>control</v>
      </c>
      <c r="E5760" s="4" t="str">
        <f>IFERROR(__xludf.DUMMYFUNCTION("if(H5760=""pays"",vlookup(REGEXEXTRACT(C5760, ""🏘️ \w+ \w+ (.*) ✅""),'Country prepositions'!A:B, 2, 0) &amp; "" "" &amp; REGEXEXTRACT(C5760, ""🏘️ \w+ \w+ (.*) ✅"") ,  if(H5760=""quartier"",vlookup(REGEXEXTRACT(C5760, ""🏘️ \w+ \w+ (.*) ✅""),'Quartier prepositio"&amp;"ns'!A:E, 5, 0) ,  if(H5760=""region"",vlookup(REGEXEXTRACT(C5760, ""🏘️ \w+ \w+ (.*) ✅""),'Region prepositions'!B:F, 5, 0),  REGEXEXTRACT(C5760, ""🏘️ \w+ \w+ (.*) ✅""))))"),"#N/A")</f>
        <v>#N/A</v>
      </c>
      <c r="I5760" s="4" t="str">
        <f>IFERROR(__xludf.DUMMYFUNCTION("if(D5760=""variant"",  substitute(filter(Templates!E:E, Templates!A:A = F5760, Templates!B:B = G5760, Templates!C:C = H5760), ""{{}}"", E5760), B5760)"),"Louer maison Chapelle (Glâne): Trouvez le bien immobilier qui correspond idéalement à vos désirs sur ImmoScout24 - La plateforme de l'immobilier en Suisse.")</f>
        <v>Louer maison Chapelle (Glâne): Trouvez le bien immobilier qui correspond idéalement à vos désirs sur ImmoScout24 - La plateforme de l'immobilier en Suisse.</v>
      </c>
    </row>
    <row r="5761" hidden="1">
      <c r="A5761" s="5" t="s">
        <v>14618</v>
      </c>
      <c r="B5761" s="2" t="s">
        <v>14619</v>
      </c>
      <c r="C5761" s="2" t="s">
        <v>14619</v>
      </c>
      <c r="D5761" s="4" t="str">
        <f>vlookup(A5761, Sheet2!D:E, 2, 0)</f>
        <v>control</v>
      </c>
      <c r="E5761" s="4" t="str">
        <f>IFERROR(__xludf.DUMMYFUNCTION("if(H5761=""pays"",vlookup(REGEXEXTRACT(C5761, ""🏘️ \w+ \w+ (.*) ✅""),'Country prepositions'!A:B, 2, 0) &amp; "" "" &amp; REGEXEXTRACT(C5761, ""🏘️ \w+ \w+ (.*) ✅"") ,  if(H5761=""quartier"",vlookup(REGEXEXTRACT(C5761, ""🏘️ \w+ \w+ (.*) ✅""),'Quartier prepositio"&amp;"ns'!A:E, 5, 0) ,  if(H5761=""region"",vlookup(REGEXEXTRACT(C5761, ""🏘️ \w+ \w+ (.*) ✅""),'Region prepositions'!B:F, 5, 0),  REGEXEXTRACT(C5761, ""🏘️ \w+ \w+ (.*) ✅""))))"),"#N/A")</f>
        <v>#N/A</v>
      </c>
      <c r="I5761" s="4" t="str">
        <f>IFERROR(__xludf.DUMMYFUNCTION("if(D5761=""variant"",  substitute(filter(Templates!E:E, Templates!A:A = F5761, Templates!B:B = G5761, Templates!C:C = H5761), ""{{}}"", E5761), B5761)"),"Louer appartement Guggisberg: Trouvez le bien immobilier qui correspond idéalement à vos désirs sur ImmoScout24 - La plateforme de l'immobilier en Suisse.")</f>
        <v>Louer appartement Guggisberg: Trouvez le bien immobilier qui correspond idéalement à vos désirs sur ImmoScout24 - La plateforme de l'immobilier en Suisse.</v>
      </c>
    </row>
    <row r="5762" hidden="1">
      <c r="A5762" s="5" t="s">
        <v>14620</v>
      </c>
      <c r="B5762" s="2" t="s">
        <v>14621</v>
      </c>
      <c r="C5762" s="2" t="s">
        <v>14621</v>
      </c>
      <c r="D5762" s="4" t="str">
        <f>vlookup(A5762, Sheet2!D:E, 2, 0)</f>
        <v>control</v>
      </c>
      <c r="E5762" s="4" t="str">
        <f>IFERROR(__xludf.DUMMYFUNCTION("if(H5762=""pays"",vlookup(REGEXEXTRACT(C5762, ""🏘️ \w+ \w+ (.*) ✅""),'Country prepositions'!A:B, 2, 0) &amp; "" "" &amp; REGEXEXTRACT(C5762, ""🏘️ \w+ \w+ (.*) ✅"") ,  if(H5762=""quartier"",vlookup(REGEXEXTRACT(C5762, ""🏘️ \w+ \w+ (.*) ✅""),'Quartier prepositio"&amp;"ns'!A:E, 5, 0) ,  if(H5762=""region"",vlookup(REGEXEXTRACT(C5762, ""🏘️ \w+ \w+ (.*) ✅""),'Region prepositions'!B:F, 5, 0),  REGEXEXTRACT(C5762, ""🏘️ \w+ \w+ (.*) ✅""))))"),"#N/A")</f>
        <v>#N/A</v>
      </c>
      <c r="I5762" s="4" t="str">
        <f>IFERROR(__xludf.DUMMYFUNCTION("if(D5762=""variant"",  substitute(filter(Templates!E:E, Templates!A:A = F5762, Templates!B:B = G5762, Templates!C:C = H5762), ""{{}}"", E5762), B5762)"),"Louer maison Weingarten-Kalthäusern: Trouvez le bien immobilier qui correspond idéalement à vos désirs sur ImmoScout24 - La plateforme de l'immobilier en Suisse.")</f>
        <v>Louer maison Weingarten-Kalthäusern: Trouvez le bien immobilier qui correspond idéalement à vos désirs sur ImmoScout24 - La plateforme de l'immobilier en Suisse.</v>
      </c>
    </row>
    <row r="5763" hidden="1">
      <c r="A5763" s="5" t="s">
        <v>14622</v>
      </c>
      <c r="B5763" s="2" t="s">
        <v>14623</v>
      </c>
      <c r="C5763" s="2" t="s">
        <v>14623</v>
      </c>
      <c r="D5763" s="4" t="str">
        <f>vlookup(A5763, Sheet2!D:E, 2, 0)</f>
        <v>control</v>
      </c>
      <c r="E5763" s="4" t="str">
        <f>IFERROR(__xludf.DUMMYFUNCTION("if(H5763=""pays"",vlookup(REGEXEXTRACT(C5763, ""🏘️ \w+ \w+ (.*) ✅""),'Country prepositions'!A:B, 2, 0) &amp; "" "" &amp; REGEXEXTRACT(C5763, ""🏘️ \w+ \w+ (.*) ✅"") ,  if(H5763=""quartier"",vlookup(REGEXEXTRACT(C5763, ""🏘️ \w+ \w+ (.*) ✅""),'Quartier prepositio"&amp;"ns'!A:E, 5, 0) ,  if(H5763=""region"",vlookup(REGEXEXTRACT(C5763, ""🏘️ \w+ \w+ (.*) ✅""),'Region prepositions'!B:F, 5, 0),  REGEXEXTRACT(C5763, ""🏘️ \w+ \w+ (.*) ✅""))))"),"#N/A")</f>
        <v>#N/A</v>
      </c>
      <c r="I5763" s="4" t="str">
        <f>IFERROR(__xludf.DUMMYFUNCTION("if(D5763=""variant"",  substitute(filter(Templates!E:E, Templates!A:A = F5763, Templates!B:B = G5763, Templates!C:C = H5763), ""{{}}"", E5763), B5763)"),"Louer maison Troinex: Trouvez le bien immobilier qui correspond idéalement à vos désirs sur ImmoScout24 - La plateforme de l'immobilier en Suisse.")</f>
        <v>Louer maison Troinex: Trouvez le bien immobilier qui correspond idéalement à vos désirs sur ImmoScout24 - La plateforme de l'immobilier en Suisse.</v>
      </c>
    </row>
    <row r="5764" hidden="1">
      <c r="A5764" s="5" t="s">
        <v>14624</v>
      </c>
      <c r="B5764" s="2" t="s">
        <v>14625</v>
      </c>
      <c r="C5764" s="2" t="s">
        <v>14625</v>
      </c>
      <c r="D5764" s="4" t="str">
        <f>vlookup(A5764, Sheet2!D:E, 2, 0)</f>
        <v>control</v>
      </c>
      <c r="E5764" s="4" t="str">
        <f>IFERROR(__xludf.DUMMYFUNCTION("if(H5764=""pays"",vlookup(REGEXEXTRACT(C5764, ""🏘️ \w+ \w+ (.*) ✅""),'Country prepositions'!A:B, 2, 0) &amp; "" "" &amp; REGEXEXTRACT(C5764, ""🏘️ \w+ \w+ (.*) ✅"") ,  if(H5764=""quartier"",vlookup(REGEXEXTRACT(C5764, ""🏘️ \w+ \w+ (.*) ✅""),'Quartier prepositio"&amp;"ns'!A:E, 5, 0) ,  if(H5764=""region"",vlookup(REGEXEXTRACT(C5764, ""🏘️ \w+ \w+ (.*) ✅""),'Region prepositions'!B:F, 5, 0),  REGEXEXTRACT(C5764, ""🏘️ \w+ \w+ (.*) ✅""))))"),"#N/A")</f>
        <v>#N/A</v>
      </c>
      <c r="I5764" s="4" t="str">
        <f>IFERROR(__xludf.DUMMYFUNCTION("if(D5764=""variant"",  substitute(filter(Templates!E:E, Templates!A:A = F5764, Templates!B:B = G5764, Templates!C:C = H5764), ""{{}}"", E5764), B5764)"),"Louer maison Vercorin: Trouvez le bien immobilier qui correspond idéalement à vos désirs sur ImmoScout24 - La plateforme de l'immobilier en Suisse.")</f>
        <v>Louer maison Vercorin: Trouvez le bien immobilier qui correspond idéalement à vos désirs sur ImmoScout24 - La plateforme de l'immobilier en Suisse.</v>
      </c>
    </row>
    <row r="5765" hidden="1">
      <c r="A5765" s="5" t="s">
        <v>14626</v>
      </c>
      <c r="B5765" s="2" t="s">
        <v>14627</v>
      </c>
      <c r="C5765" s="2" t="s">
        <v>14627</v>
      </c>
      <c r="D5765" s="4" t="str">
        <f>vlookup(A5765, Sheet2!D:E, 2, 0)</f>
        <v>control</v>
      </c>
      <c r="E5765" s="4" t="str">
        <f>IFERROR(__xludf.DUMMYFUNCTION("if(H5765=""pays"",vlookup(REGEXEXTRACT(C5765, ""🏘️ \w+ \w+ (.*) ✅""),'Country prepositions'!A:B, 2, 0) &amp; "" "" &amp; REGEXEXTRACT(C5765, ""🏘️ \w+ \w+ (.*) ✅"") ,  if(H5765=""quartier"",vlookup(REGEXEXTRACT(C5765, ""🏘️ \w+ \w+ (.*) ✅""),'Quartier prepositio"&amp;"ns'!A:E, 5, 0) ,  if(H5765=""region"",vlookup(REGEXEXTRACT(C5765, ""🏘️ \w+ \w+ (.*) ✅""),'Region prepositions'!B:F, 5, 0),  REGEXEXTRACT(C5765, ""🏘️ \w+ \w+ (.*) ✅""))))"),"#N/A")</f>
        <v>#N/A</v>
      </c>
      <c r="I5765" s="4" t="str">
        <f>IFERROR(__xludf.DUMMYFUNCTION("if(D5765=""variant"",  substitute(filter(Templates!E:E, Templates!A:A = F5765, Templates!B:B = G5765, Templates!C:C = H5765), ""{{}}"", E5765), B5765)"),"Louer appartement Tafers: Trouvez le bien immobilier qui correspond idéalement à vos désirs sur ImmoScout24 - La plateforme de l'immobilier en Suisse.")</f>
        <v>Louer appartement Tafers: Trouvez le bien immobilier qui correspond idéalement à vos désirs sur ImmoScout24 - La plateforme de l'immobilier en Suisse.</v>
      </c>
    </row>
    <row r="5766" hidden="1">
      <c r="A5766" s="5" t="s">
        <v>14628</v>
      </c>
      <c r="B5766" s="2" t="s">
        <v>14629</v>
      </c>
      <c r="C5766" s="2" t="s">
        <v>14629</v>
      </c>
      <c r="D5766" s="4" t="str">
        <f>vlookup(A5766, Sheet2!D:E, 2, 0)</f>
        <v>control</v>
      </c>
      <c r="E5766" s="4" t="str">
        <f>IFERROR(__xludf.DUMMYFUNCTION("if(H5766=""pays"",vlookup(REGEXEXTRACT(C5766, ""🏘️ \w+ \w+ (.*) ✅""),'Country prepositions'!A:B, 2, 0) &amp; "" "" &amp; REGEXEXTRACT(C5766, ""🏘️ \w+ \w+ (.*) ✅"") ,  if(H5766=""quartier"",vlookup(REGEXEXTRACT(C5766, ""🏘️ \w+ \w+ (.*) ✅""),'Quartier prepositio"&amp;"ns'!A:E, 5, 0) ,  if(H5766=""region"",vlookup(REGEXEXTRACT(C5766, ""🏘️ \w+ \w+ (.*) ✅""),'Region prepositions'!B:F, 5, 0),  REGEXEXTRACT(C5766, ""🏘️ \w+ \w+ (.*) ✅""))))"),"#N/A")</f>
        <v>#N/A</v>
      </c>
      <c r="I5766" s="4" t="str">
        <f>IFERROR(__xludf.DUMMYFUNCTION("if(D5766=""variant"",  substitute(filter(Templates!E:E, Templates!A:A = F5766, Templates!B:B = G5766, Templates!C:C = H5766), ""{{}}"", E5766), B5766)"),"Louer appartement Mörel: Trouvez le bien immobilier qui correspond idéalement à vos désirs sur ImmoScout24 - La plateforme de l'immobilier en Suisse.")</f>
        <v>Louer appartement Mörel: Trouvez le bien immobilier qui correspond idéalement à vos désirs sur ImmoScout24 - La plateforme de l'immobilier en Suisse.</v>
      </c>
    </row>
    <row r="5767" hidden="1">
      <c r="A5767" s="5" t="s">
        <v>14630</v>
      </c>
      <c r="B5767" s="2" t="s">
        <v>14631</v>
      </c>
      <c r="C5767" s="2" t="s">
        <v>14631</v>
      </c>
      <c r="D5767" s="4" t="str">
        <f>vlookup(A5767, Sheet2!D:E, 2, 0)</f>
        <v>control</v>
      </c>
      <c r="E5767" s="4" t="str">
        <f>IFERROR(__xludf.DUMMYFUNCTION("if(H5767=""pays"",vlookup(REGEXEXTRACT(C5767, ""🏘️ \w+ \w+ (.*) ✅""),'Country prepositions'!A:B, 2, 0) &amp; "" "" &amp; REGEXEXTRACT(C5767, ""🏘️ \w+ \w+ (.*) ✅"") ,  if(H5767=""quartier"",vlookup(REGEXEXTRACT(C5767, ""🏘️ \w+ \w+ (.*) ✅""),'Quartier prepositio"&amp;"ns'!A:E, 5, 0) ,  if(H5767=""region"",vlookup(REGEXEXTRACT(C5767, ""🏘️ \w+ \w+ (.*) ✅""),'Region prepositions'!B:F, 5, 0),  REGEXEXTRACT(C5767, ""🏘️ \w+ \w+ (.*) ✅""))))"),"#N/A")</f>
        <v>#N/A</v>
      </c>
      <c r="I5767" s="4" t="str">
        <f>IFERROR(__xludf.DUMMYFUNCTION("if(D5767=""variant"",  substitute(filter(Templates!E:E, Templates!A:A = F5767, Templates!B:B = G5767, Templates!C:C = H5767), ""{{}}"", E5767), B5767)"),"Louer appartement Mettembert: Trouvez le bien immobilier qui correspond idéalement à vos désirs sur ImmoScout24 - La plateforme de l'immobilier en Suisse.")</f>
        <v>Louer appartement Mettembert: Trouvez le bien immobilier qui correspond idéalement à vos désirs sur ImmoScout24 - La plateforme de l'immobilier en Suisse.</v>
      </c>
    </row>
    <row r="5768" hidden="1">
      <c r="A5768" s="5" t="s">
        <v>14632</v>
      </c>
      <c r="B5768" s="2" t="s">
        <v>14633</v>
      </c>
      <c r="C5768" s="2" t="s">
        <v>14633</v>
      </c>
      <c r="D5768" s="4" t="str">
        <f>vlookup(A5768, Sheet2!D:E, 2, 0)</f>
        <v>control</v>
      </c>
      <c r="E5768" s="4" t="str">
        <f>IFERROR(__xludf.DUMMYFUNCTION("if(H5768=""pays"",vlookup(REGEXEXTRACT(C5768, ""🏘️ \w+ \w+ (.*) ✅""),'Country prepositions'!A:B, 2, 0) &amp; "" "" &amp; REGEXEXTRACT(C5768, ""🏘️ \w+ \w+ (.*) ✅"") ,  if(H5768=""quartier"",vlookup(REGEXEXTRACT(C5768, ""🏘️ \w+ \w+ (.*) ✅""),'Quartier prepositio"&amp;"ns'!A:E, 5, 0) ,  if(H5768=""region"",vlookup(REGEXEXTRACT(C5768, ""🏘️ \w+ \w+ (.*) ✅""),'Region prepositions'!B:F, 5, 0),  REGEXEXTRACT(C5768, ""🏘️ \w+ \w+ (.*) ✅""))))"),"#N/A")</f>
        <v>#N/A</v>
      </c>
      <c r="I5768" s="4" t="str">
        <f>IFERROR(__xludf.DUMMYFUNCTION("if(D5768=""variant"",  substitute(filter(Templates!E:E, Templates!A:A = F5768, Templates!B:B = G5768, Templates!C:C = H5768), ""{{}}"", E5768), B5768)"),"Louer appartement Belmont-sur-Lausanne: Trouvez le bien immobilier qui correspond idéalement à vos désirs sur ImmoScout24 - La plateforme de l'immobilier en Suisse.")</f>
        <v>Louer appartement Belmont-sur-Lausanne: Trouvez le bien immobilier qui correspond idéalement à vos désirs sur ImmoScout24 - La plateforme de l'immobilier en Suisse.</v>
      </c>
    </row>
    <row r="5769" hidden="1">
      <c r="A5769" s="5" t="s">
        <v>14634</v>
      </c>
      <c r="B5769" s="2" t="s">
        <v>14635</v>
      </c>
      <c r="C5769" s="2" t="s">
        <v>14635</v>
      </c>
      <c r="D5769" s="4" t="str">
        <f>vlookup(A5769, Sheet2!D:E, 2, 0)</f>
        <v>control</v>
      </c>
      <c r="E5769" s="4" t="str">
        <f>IFERROR(__xludf.DUMMYFUNCTION("if(H5769=""pays"",vlookup(REGEXEXTRACT(C5769, ""🏘️ \w+ \w+ (.*) ✅""),'Country prepositions'!A:B, 2, 0) &amp; "" "" &amp; REGEXEXTRACT(C5769, ""🏘️ \w+ \w+ (.*) ✅"") ,  if(H5769=""quartier"",vlookup(REGEXEXTRACT(C5769, ""🏘️ \w+ \w+ (.*) ✅""),'Quartier prepositio"&amp;"ns'!A:E, 5, 0) ,  if(H5769=""region"",vlookup(REGEXEXTRACT(C5769, ""🏘️ \w+ \w+ (.*) ✅""),'Region prepositions'!B:F, 5, 0),  REGEXEXTRACT(C5769, ""🏘️ \w+ \w+ (.*) ✅""))))"),"#N/A")</f>
        <v>#N/A</v>
      </c>
      <c r="I5769" s="4" t="str">
        <f>IFERROR(__xludf.DUMMYFUNCTION("if(D5769=""variant"",  substitute(filter(Templates!E:E, Templates!A:A = F5769, Templates!B:B = G5769, Templates!C:C = H5769), ""{{}}"", E5769), B5769)"),"Louer maison Brot-Plamboz: Trouvez le bien immobilier qui correspond idéalement à vos désirs sur ImmoScout24 - La plateforme de l'immobilier en Suisse.")</f>
        <v>Louer maison Brot-Plamboz: Trouvez le bien immobilier qui correspond idéalement à vos désirs sur ImmoScout24 - La plateforme de l'immobilier en Suisse.</v>
      </c>
    </row>
    <row r="5770" hidden="1">
      <c r="A5770" s="5" t="s">
        <v>14636</v>
      </c>
      <c r="B5770" s="2" t="s">
        <v>14637</v>
      </c>
      <c r="C5770" s="2" t="s">
        <v>14637</v>
      </c>
      <c r="D5770" s="4" t="str">
        <f>vlookup(A5770, Sheet2!D:E, 2, 0)</f>
        <v>control</v>
      </c>
      <c r="E5770" s="4" t="str">
        <f>IFERROR(__xludf.DUMMYFUNCTION("if(H5770=""pays"",vlookup(REGEXEXTRACT(C5770, ""🏘️ \w+ \w+ (.*) ✅""),'Country prepositions'!A:B, 2, 0) &amp; "" "" &amp; REGEXEXTRACT(C5770, ""🏘️ \w+ \w+ (.*) ✅"") ,  if(H5770=""quartier"",vlookup(REGEXEXTRACT(C5770, ""🏘️ \w+ \w+ (.*) ✅""),'Quartier prepositio"&amp;"ns'!A:E, 5, 0) ,  if(H5770=""region"",vlookup(REGEXEXTRACT(C5770, ""🏘️ \w+ \w+ (.*) ✅""),'Region prepositions'!B:F, 5, 0),  REGEXEXTRACT(C5770, ""🏘️ \w+ \w+ (.*) ✅""))))"),"#N/A")</f>
        <v>#N/A</v>
      </c>
      <c r="I5770" s="4" t="str">
        <f>IFERROR(__xludf.DUMMYFUNCTION("if(D5770=""variant"",  substitute(filter(Templates!E:E, Templates!A:A = F5770, Templates!B:B = G5770, Templates!C:C = H5770), ""{{}}"", E5770), B5770)"),"Vendre maison Font: Trouvez le bien immobilier qui correspond idéalement à vos désirs sur ImmoScout24 - La plateforme de l'immobilier en Suisse.")</f>
        <v>Vendre maison Font: Trouvez le bien immobilier qui correspond idéalement à vos désirs sur ImmoScout24 - La plateforme de l'immobilier en Suisse.</v>
      </c>
    </row>
    <row r="5771" hidden="1">
      <c r="A5771" s="5" t="s">
        <v>14638</v>
      </c>
      <c r="B5771" s="2" t="s">
        <v>14639</v>
      </c>
      <c r="C5771" s="2" t="s">
        <v>14639</v>
      </c>
      <c r="D5771" s="4" t="str">
        <f>vlookup(A5771, Sheet2!D:E, 2, 0)</f>
        <v>control</v>
      </c>
      <c r="E5771" s="4" t="str">
        <f>IFERROR(__xludf.DUMMYFUNCTION("if(H5771=""pays"",vlookup(REGEXEXTRACT(C5771, ""🏘️ \w+ \w+ (.*) ✅""),'Country prepositions'!A:B, 2, 0) &amp; "" "" &amp; REGEXEXTRACT(C5771, ""🏘️ \w+ \w+ (.*) ✅"") ,  if(H5771=""quartier"",vlookup(REGEXEXTRACT(C5771, ""🏘️ \w+ \w+ (.*) ✅""),'Quartier prepositio"&amp;"ns'!A:E, 5, 0) ,  if(H5771=""region"",vlookup(REGEXEXTRACT(C5771, ""🏘️ \w+ \w+ (.*) ✅""),'Region prepositions'!B:F, 5, 0),  REGEXEXTRACT(C5771, ""🏘️ \w+ \w+ (.*) ✅""))))"),"#N/A")</f>
        <v>#N/A</v>
      </c>
      <c r="I5771" s="4" t="str">
        <f>IFERROR(__xludf.DUMMYFUNCTION("if(D5771=""variant"",  substitute(filter(Templates!E:E, Templates!A:A = F5771, Templates!B:B = G5771, Templates!C:C = H5771), ""{{}}"", E5771), B5771)"),"Vendre maison Montet (Broye): Trouvez le bien immobilier qui correspond idéalement à vos désirs sur ImmoScout24 - La plateforme de l'immobilier en Suisse.")</f>
        <v>Vendre maison Montet (Broye): Trouvez le bien immobilier qui correspond idéalement à vos désirs sur ImmoScout24 - La plateforme de l'immobilier en Suisse.</v>
      </c>
    </row>
    <row r="5772" hidden="1">
      <c r="A5772" s="5" t="s">
        <v>14640</v>
      </c>
      <c r="B5772" s="2" t="s">
        <v>14641</v>
      </c>
      <c r="C5772" s="2" t="s">
        <v>14641</v>
      </c>
      <c r="D5772" s="4" t="str">
        <f>vlookup(A5772, Sheet2!D:E, 2, 0)</f>
        <v>control</v>
      </c>
      <c r="E5772" s="4" t="str">
        <f>IFERROR(__xludf.DUMMYFUNCTION("if(H5772=""pays"",vlookup(REGEXEXTRACT(C5772, ""🏘️ \w+ \w+ (.*) ✅""),'Country prepositions'!A:B, 2, 0) &amp; "" "" &amp; REGEXEXTRACT(C5772, ""🏘️ \w+ \w+ (.*) ✅"") ,  if(H5772=""quartier"",vlookup(REGEXEXTRACT(C5772, ""🏘️ \w+ \w+ (.*) ✅""),'Quartier prepositio"&amp;"ns'!A:E, 5, 0) ,  if(H5772=""region"",vlookup(REGEXEXTRACT(C5772, ""🏘️ \w+ \w+ (.*) ✅""),'Region prepositions'!B:F, 5, 0),  REGEXEXTRACT(C5772, ""🏘️ \w+ \w+ (.*) ✅""))))"),"#N/A")</f>
        <v>#N/A</v>
      </c>
      <c r="I5772" s="4" t="str">
        <f>IFERROR(__xludf.DUMMYFUNCTION("if(D5772=""variant"",  substitute(filter(Templates!E:E, Templates!A:A = F5772, Templates!B:B = G5772, Templates!C:C = H5772), ""{{}}"", E5772), B5772)"),"Vendre maison Beinwil (Freiamt): Trouvez le bien immobilier qui correspond idéalement à vos désirs sur ImmoScout24 - La plateforme de l'immobilier en Suisse.")</f>
        <v>Vendre maison Beinwil (Freiamt): Trouvez le bien immobilier qui correspond idéalement à vos désirs sur ImmoScout24 - La plateforme de l'immobilier en Suisse.</v>
      </c>
    </row>
    <row r="5773" hidden="1">
      <c r="A5773" s="5" t="s">
        <v>14642</v>
      </c>
      <c r="B5773" s="2" t="s">
        <v>14643</v>
      </c>
      <c r="C5773" s="2" t="s">
        <v>14643</v>
      </c>
      <c r="D5773" s="4" t="str">
        <f>vlookup(A5773, Sheet2!D:E, 2, 0)</f>
        <v>control</v>
      </c>
      <c r="E5773" s="4" t="str">
        <f>IFERROR(__xludf.DUMMYFUNCTION("if(H5773=""pays"",vlookup(REGEXEXTRACT(C5773, ""🏘️ \w+ \w+ (.*) ✅""),'Country prepositions'!A:B, 2, 0) &amp; "" "" &amp; REGEXEXTRACT(C5773, ""🏘️ \w+ \w+ (.*) ✅"") ,  if(H5773=""quartier"",vlookup(REGEXEXTRACT(C5773, ""🏘️ \w+ \w+ (.*) ✅""),'Quartier prepositio"&amp;"ns'!A:E, 5, 0) ,  if(H5773=""region"",vlookup(REGEXEXTRACT(C5773, ""🏘️ \w+ \w+ (.*) ✅""),'Region prepositions'!B:F, 5, 0),  REGEXEXTRACT(C5773, ""🏘️ \w+ \w+ (.*) ✅""))))"),"#N/A")</f>
        <v>#N/A</v>
      </c>
      <c r="I5773" s="4" t="str">
        <f>IFERROR(__xludf.DUMMYFUNCTION("if(D5773=""variant"",  substitute(filter(Templates!E:E, Templates!A:A = F5773, Templates!B:B = G5773, Templates!C:C = H5773), ""{{}}"", E5773), B5773)"),"Vendre appartement Aigle - Alpes Vaudoises: Trouvez le bien immobilier qui correspond idéalement à vos désirs sur ImmoScout24 - La plateforme de l'immobilier en Suisse.")</f>
        <v>Vendre appartement Aigle - Alpes Vaudoises: Trouvez le bien immobilier qui correspond idéalement à vos désirs sur ImmoScout24 - La plateforme de l'immobilier en Suisse.</v>
      </c>
    </row>
    <row r="5774" hidden="1">
      <c r="A5774" s="5" t="s">
        <v>14644</v>
      </c>
      <c r="B5774" s="2" t="s">
        <v>14645</v>
      </c>
      <c r="C5774" s="2" t="s">
        <v>14645</v>
      </c>
      <c r="D5774" s="4" t="str">
        <f>vlookup(A5774, Sheet2!D:E, 2, 0)</f>
        <v>control</v>
      </c>
      <c r="E5774" s="4" t="str">
        <f>IFERROR(__xludf.DUMMYFUNCTION("if(H5774=""pays"",vlookup(REGEXEXTRACT(C5774, ""🏘️ \w+ \w+ (.*) ✅""),'Country prepositions'!A:B, 2, 0) &amp; "" "" &amp; REGEXEXTRACT(C5774, ""🏘️ \w+ \w+ (.*) ✅"") ,  if(H5774=""quartier"",vlookup(REGEXEXTRACT(C5774, ""🏘️ \w+ \w+ (.*) ✅""),'Quartier prepositio"&amp;"ns'!A:E, 5, 0) ,  if(H5774=""region"",vlookup(REGEXEXTRACT(C5774, ""🏘️ \w+ \w+ (.*) ✅""),'Region prepositions'!B:F, 5, 0),  REGEXEXTRACT(C5774, ""🏘️ \w+ \w+ (.*) ✅""))))"),"#N/A")</f>
        <v>#N/A</v>
      </c>
      <c r="I5774" s="4" t="str">
        <f>IFERROR(__xludf.DUMMYFUNCTION("if(D5774=""variant"",  substitute(filter(Templates!E:E, Templates!A:A = F5774, Templates!B:B = G5774, Templates!C:C = H5774), ""{{}}"", E5774), B5774)"),"Vendre maison Gryon: Trouvez le bien immobilier qui correspond idéalement à vos désirs sur ImmoScout24 - La plateforme de l'immobilier en Suisse.")</f>
        <v>Vendre maison Gryon: Trouvez le bien immobilier qui correspond idéalement à vos désirs sur ImmoScout24 - La plateforme de l'immobilier en Suisse.</v>
      </c>
    </row>
    <row r="5775" hidden="1">
      <c r="A5775" s="5" t="s">
        <v>14646</v>
      </c>
      <c r="B5775" s="2" t="s">
        <v>14647</v>
      </c>
      <c r="C5775" s="2" t="s">
        <v>14647</v>
      </c>
      <c r="D5775" s="4" t="str">
        <f>vlookup(A5775, Sheet2!D:E, 2, 0)</f>
        <v>control</v>
      </c>
      <c r="E5775" s="4" t="str">
        <f>IFERROR(__xludf.DUMMYFUNCTION("if(H5775=""pays"",vlookup(REGEXEXTRACT(C5775, ""🏘️ \w+ \w+ (.*) ✅""),'Country prepositions'!A:B, 2, 0) &amp; "" "" &amp; REGEXEXTRACT(C5775, ""🏘️ \w+ \w+ (.*) ✅"") ,  if(H5775=""quartier"",vlookup(REGEXEXTRACT(C5775, ""🏘️ \w+ \w+ (.*) ✅""),'Quartier prepositio"&amp;"ns'!A:E, 5, 0) ,  if(H5775=""region"",vlookup(REGEXEXTRACT(C5775, ""🏘️ \w+ \w+ (.*) ✅""),'Region prepositions'!B:F, 5, 0),  REGEXEXTRACT(C5775, ""🏘️ \w+ \w+ (.*) ✅""))))"),"#N/A")</f>
        <v>#N/A</v>
      </c>
      <c r="I5775" s="4" t="str">
        <f>IFERROR(__xludf.DUMMYFUNCTION("if(D5775=""variant"",  substitute(filter(Templates!E:E, Templates!A:A = F5775, Templates!B:B = G5775, Templates!C:C = H5775), ""{{}}"", E5775), B5775)"),"Vendre appartement Portugal: Trouvez le bien immobilier qui correspond idéalement à vos désirs sur ImmoScout24 - La plateforme de l'immobilier en Suisse.")</f>
        <v>Vendre appartement Portugal: Trouvez le bien immobilier qui correspond idéalement à vos désirs sur ImmoScout24 - La plateforme de l'immobilier en Suisse.</v>
      </c>
    </row>
    <row r="5776" hidden="1">
      <c r="A5776" s="5" t="s">
        <v>14648</v>
      </c>
      <c r="B5776" s="2" t="s">
        <v>14649</v>
      </c>
      <c r="C5776" s="2" t="s">
        <v>14649</v>
      </c>
      <c r="D5776" s="4" t="str">
        <f>vlookup(A5776, Sheet2!D:E, 2, 0)</f>
        <v>control</v>
      </c>
      <c r="E5776" s="4" t="str">
        <f>IFERROR(__xludf.DUMMYFUNCTION("if(H5776=""pays"",vlookup(REGEXEXTRACT(C5776, ""🏘️ \w+ \w+ (.*) ✅""),'Country prepositions'!A:B, 2, 0) &amp; "" "" &amp; REGEXEXTRACT(C5776, ""🏘️ \w+ \w+ (.*) ✅"") ,  if(H5776=""quartier"",vlookup(REGEXEXTRACT(C5776, ""🏘️ \w+ \w+ (.*) ✅""),'Quartier prepositio"&amp;"ns'!A:E, 5, 0) ,  if(H5776=""region"",vlookup(REGEXEXTRACT(C5776, ""🏘️ \w+ \w+ (.*) ✅""),'Region prepositions'!B:F, 5, 0),  REGEXEXTRACT(C5776, ""🏘️ \w+ \w+ (.*) ✅""))))"),"#N/A")</f>
        <v>#N/A</v>
      </c>
      <c r="I5776" s="4" t="str">
        <f>IFERROR(__xludf.DUMMYFUNCTION("if(D5776=""variant"",  substitute(filter(Templates!E:E, Templates!A:A = F5776, Templates!B:B = G5776, Templates!C:C = H5776), ""{{}}"", E5776), B5776)"),"Louer appartement Choëx: Trouvez le bien immobilier qui correspond idéalement à vos désirs sur ImmoScout24 - La plateforme de l'immobilier en Suisse.")</f>
        <v>Louer appartement Choëx: Trouvez le bien immobilier qui correspond idéalement à vos désirs sur ImmoScout24 - La plateforme de l'immobilier en Suisse.</v>
      </c>
    </row>
    <row r="5777" hidden="1">
      <c r="A5777" s="5" t="s">
        <v>14650</v>
      </c>
      <c r="B5777" s="2" t="s">
        <v>14651</v>
      </c>
      <c r="C5777" s="2" t="s">
        <v>14651</v>
      </c>
      <c r="D5777" s="4" t="str">
        <f>vlookup(A5777, Sheet2!D:E, 2, 0)</f>
        <v>control</v>
      </c>
      <c r="E5777" s="4" t="str">
        <f>IFERROR(__xludf.DUMMYFUNCTION("if(H5777=""pays"",vlookup(REGEXEXTRACT(C5777, ""🏘️ \w+ \w+ (.*) ✅""),'Country prepositions'!A:B, 2, 0) &amp; "" "" &amp; REGEXEXTRACT(C5777, ""🏘️ \w+ \w+ (.*) ✅"") ,  if(H5777=""quartier"",vlookup(REGEXEXTRACT(C5777, ""🏘️ \w+ \w+ (.*) ✅""),'Quartier prepositio"&amp;"ns'!A:E, 5, 0) ,  if(H5777=""region"",vlookup(REGEXEXTRACT(C5777, ""🏘️ \w+ \w+ (.*) ✅""),'Region prepositions'!B:F, 5, 0),  REGEXEXTRACT(C5777, ""🏘️ \w+ \w+ (.*) ✅""))))"),"#N/A")</f>
        <v>#N/A</v>
      </c>
      <c r="I5777" s="4" t="str">
        <f>IFERROR(__xludf.DUMMYFUNCTION("if(D5777=""variant"",  substitute(filter(Templates!E:E, Templates!A:A = F5777, Templates!B:B = G5777, Templates!C:C = H5777), ""{{}}"", E5777), B5777)"),"Vendre maison Poliez-Pittet: Trouvez le bien immobilier qui correspond idéalement à vos désirs sur ImmoScout24 - La plateforme de l'immobilier en Suisse.")</f>
        <v>Vendre maison Poliez-Pittet: Trouvez le bien immobilier qui correspond idéalement à vos désirs sur ImmoScout24 - La plateforme de l'immobilier en Suisse.</v>
      </c>
    </row>
    <row r="5778" hidden="1">
      <c r="A5778" s="5" t="s">
        <v>14652</v>
      </c>
      <c r="B5778" s="2" t="s">
        <v>14653</v>
      </c>
      <c r="C5778" s="2" t="s">
        <v>14653</v>
      </c>
      <c r="D5778" s="4" t="str">
        <f>vlookup(A5778, Sheet2!D:E, 2, 0)</f>
        <v>control</v>
      </c>
      <c r="E5778" s="4" t="str">
        <f>IFERROR(__xludf.DUMMYFUNCTION("if(H5778=""pays"",vlookup(REGEXEXTRACT(C5778, ""🏘️ \w+ \w+ (.*) ✅""),'Country prepositions'!A:B, 2, 0) &amp; "" "" &amp; REGEXEXTRACT(C5778, ""🏘️ \w+ \w+ (.*) ✅"") ,  if(H5778=""quartier"",vlookup(REGEXEXTRACT(C5778, ""🏘️ \w+ \w+ (.*) ✅""),'Quartier prepositio"&amp;"ns'!A:E, 5, 0) ,  if(H5778=""region"",vlookup(REGEXEXTRACT(C5778, ""🏘️ \w+ \w+ (.*) ✅""),'Region prepositions'!B:F, 5, 0),  REGEXEXTRACT(C5778, ""🏘️ \w+ \w+ (.*) ✅""))))"),"#N/A")</f>
        <v>#N/A</v>
      </c>
      <c r="I5778" s="4" t="str">
        <f>IFERROR(__xludf.DUMMYFUNCTION("if(D5778=""variant"",  substitute(filter(Templates!E:E, Templates!A:A = F5778, Templates!B:B = G5778, Templates!C:C = H5778), ""{{}}"", E5778), B5778)"),"Vendre maison Quartino: Trouvez le bien immobilier qui correspond idéalement à vos désirs sur ImmoScout24 - La plateforme de l'immobilier en Suisse.")</f>
        <v>Vendre maison Quartino: Trouvez le bien immobilier qui correspond idéalement à vos désirs sur ImmoScout24 - La plateforme de l'immobilier en Suisse.</v>
      </c>
    </row>
    <row r="5779" hidden="1">
      <c r="A5779" s="5" t="s">
        <v>14654</v>
      </c>
      <c r="B5779" s="2" t="s">
        <v>14655</v>
      </c>
      <c r="C5779" s="2" t="s">
        <v>14655</v>
      </c>
      <c r="D5779" s="4" t="str">
        <f>vlookup(A5779, Sheet2!D:E, 2, 0)</f>
        <v>control</v>
      </c>
      <c r="E5779" s="4" t="str">
        <f>IFERROR(__xludf.DUMMYFUNCTION("if(H5779=""pays"",vlookup(REGEXEXTRACT(C5779, ""🏘️ \w+ \w+ (.*) ✅""),'Country prepositions'!A:B, 2, 0) &amp; "" "" &amp; REGEXEXTRACT(C5779, ""🏘️ \w+ \w+ (.*) ✅"") ,  if(H5779=""quartier"",vlookup(REGEXEXTRACT(C5779, ""🏘️ \w+ \w+ (.*) ✅""),'Quartier prepositio"&amp;"ns'!A:E, 5, 0) ,  if(H5779=""region"",vlookup(REGEXEXTRACT(C5779, ""🏘️ \w+ \w+ (.*) ✅""),'Region prepositions'!B:F, 5, 0),  REGEXEXTRACT(C5779, ""🏘️ \w+ \w+ (.*) ✅""))))"),"#N/A")</f>
        <v>#N/A</v>
      </c>
      <c r="I5779" s="4" t="str">
        <f>IFERROR(__xludf.DUMMYFUNCTION("if(D5779=""variant"",  substitute(filter(Templates!E:E, Templates!A:A = F5779, Templates!B:B = G5779, Templates!C:C = H5779), ""{{}}"", E5779), B5779)"),"Vendre maison Stalden VS: Trouvez le bien immobilier qui correspond idéalement à vos désirs sur ImmoScout24 - La plateforme de l'immobilier en Suisse.")</f>
        <v>Vendre maison Stalden VS: Trouvez le bien immobilier qui correspond idéalement à vos désirs sur ImmoScout24 - La plateforme de l'immobilier en Suisse.</v>
      </c>
    </row>
    <row r="5780" hidden="1">
      <c r="A5780" s="5" t="s">
        <v>14656</v>
      </c>
      <c r="B5780" s="2" t="s">
        <v>14657</v>
      </c>
      <c r="C5780" s="2" t="s">
        <v>14657</v>
      </c>
      <c r="D5780" s="4" t="str">
        <f>vlookup(A5780, Sheet2!D:E, 2, 0)</f>
        <v>control</v>
      </c>
      <c r="E5780" s="4" t="str">
        <f>IFERROR(__xludf.DUMMYFUNCTION("if(H5780=""pays"",vlookup(REGEXEXTRACT(C5780, ""🏘️ \w+ \w+ (.*) ✅""),'Country prepositions'!A:B, 2, 0) &amp; "" "" &amp; REGEXEXTRACT(C5780, ""🏘️ \w+ \w+ (.*) ✅"") ,  if(H5780=""quartier"",vlookup(REGEXEXTRACT(C5780, ""🏘️ \w+ \w+ (.*) ✅""),'Quartier prepositio"&amp;"ns'!A:E, 5, 0) ,  if(H5780=""region"",vlookup(REGEXEXTRACT(C5780, ""🏘️ \w+ \w+ (.*) ✅""),'Region prepositions'!B:F, 5, 0),  REGEXEXTRACT(C5780, ""🏘️ \w+ \w+ (.*) ✅""))))"),"#N/A")</f>
        <v>#N/A</v>
      </c>
      <c r="I5780" s="4" t="str">
        <f>IFERROR(__xludf.DUMMYFUNCTION("if(D5780=""variant"",  substitute(filter(Templates!E:E, Templates!A:A = F5780, Templates!B:B = G5780, Templates!C:C = H5780), ""{{}}"", E5780), B5780)"),"Vendre maison La Rippe: Trouvez le bien immobilier qui correspond idéalement à vos désirs sur ImmoScout24 - La plateforme de l'immobilier en Suisse.")</f>
        <v>Vendre maison La Rippe: Trouvez le bien immobilier qui correspond idéalement à vos désirs sur ImmoScout24 - La plateforme de l'immobilier en Suisse.</v>
      </c>
    </row>
    <row r="5781" hidden="1">
      <c r="A5781" s="5" t="s">
        <v>14658</v>
      </c>
      <c r="B5781" s="2" t="s">
        <v>14659</v>
      </c>
      <c r="C5781" s="2" t="s">
        <v>14659</v>
      </c>
      <c r="D5781" s="4" t="str">
        <f>vlookup(A5781, Sheet2!D:E, 2, 0)</f>
        <v>control</v>
      </c>
      <c r="E5781" s="4" t="str">
        <f>IFERROR(__xludf.DUMMYFUNCTION("if(H5781=""pays"",vlookup(REGEXEXTRACT(C5781, ""🏘️ \w+ \w+ (.*) ✅""),'Country prepositions'!A:B, 2, 0) &amp; "" "" &amp; REGEXEXTRACT(C5781, ""🏘️ \w+ \w+ (.*) ✅"") ,  if(H5781=""quartier"",vlookup(REGEXEXTRACT(C5781, ""🏘️ \w+ \w+ (.*) ✅""),'Quartier prepositio"&amp;"ns'!A:E, 5, 0) ,  if(H5781=""region"",vlookup(REGEXEXTRACT(C5781, ""🏘️ \w+ \w+ (.*) ✅""),'Region prepositions'!B:F, 5, 0),  REGEXEXTRACT(C5781, ""🏘️ \w+ \w+ (.*) ✅""))))"),"#N/A")</f>
        <v>#N/A</v>
      </c>
      <c r="I5781" s="4" t="str">
        <f>IFERROR(__xludf.DUMMYFUNCTION("if(D5781=""variant"",  substitute(filter(Templates!E:E, Templates!A:A = F5781, Templates!B:B = G5781, Templates!C:C = H5781), ""{{}}"", E5781), B5781)"),"Vendre maison Münchenbuchsee: Trouvez le bien immobilier qui correspond idéalement à vos désirs sur ImmoScout24 - La plateforme de l'immobilier en Suisse.")</f>
        <v>Vendre maison Münchenbuchsee: Trouvez le bien immobilier qui correspond idéalement à vos désirs sur ImmoScout24 - La plateforme de l'immobilier en Suisse.</v>
      </c>
    </row>
    <row r="5782" hidden="1">
      <c r="A5782" s="5" t="s">
        <v>14660</v>
      </c>
      <c r="B5782" s="2" t="s">
        <v>14661</v>
      </c>
      <c r="C5782" s="2" t="s">
        <v>14661</v>
      </c>
      <c r="D5782" s="4" t="str">
        <f>vlookup(A5782, Sheet2!D:E, 2, 0)</f>
        <v>control</v>
      </c>
      <c r="E5782" s="4" t="str">
        <f>IFERROR(__xludf.DUMMYFUNCTION("if(H5782=""pays"",vlookup(REGEXEXTRACT(C5782, ""🏘️ \w+ \w+ (.*) ✅""),'Country prepositions'!A:B, 2, 0) &amp; "" "" &amp; REGEXEXTRACT(C5782, ""🏘️ \w+ \w+ (.*) ✅"") ,  if(H5782=""quartier"",vlookup(REGEXEXTRACT(C5782, ""🏘️ \w+ \w+ (.*) ✅""),'Quartier prepositio"&amp;"ns'!A:E, 5, 0) ,  if(H5782=""region"",vlookup(REGEXEXTRACT(C5782, ""🏘️ \w+ \w+ (.*) ✅""),'Region prepositions'!B:F, 5, 0),  REGEXEXTRACT(C5782, ""🏘️ \w+ \w+ (.*) ✅""))))"),"#N/A")</f>
        <v>#N/A</v>
      </c>
      <c r="I5782" s="4" t="str">
        <f>IFERROR(__xludf.DUMMYFUNCTION("if(D5782=""variant"",  substitute(filter(Templates!E:E, Templates!A:A = F5782, Templates!B:B = G5782, Templates!C:C = H5782), ""{{}}"", E5782), B5782)"),"Vendre maison Signèse (Ayent): Trouvez le bien immobilier qui correspond idéalement à vos désirs sur ImmoScout24 - La plateforme de l'immobilier en Suisse.")</f>
        <v>Vendre maison Signèse (Ayent): Trouvez le bien immobilier qui correspond idéalement à vos désirs sur ImmoScout24 - La plateforme de l'immobilier en Suisse.</v>
      </c>
    </row>
    <row r="5783" hidden="1">
      <c r="A5783" s="5" t="s">
        <v>14662</v>
      </c>
      <c r="B5783" s="2" t="s">
        <v>14663</v>
      </c>
      <c r="C5783" s="2" t="s">
        <v>14663</v>
      </c>
      <c r="D5783" s="4" t="str">
        <f>vlookup(A5783, Sheet2!D:E, 2, 0)</f>
        <v>control</v>
      </c>
      <c r="E5783" s="4" t="str">
        <f>IFERROR(__xludf.DUMMYFUNCTION("if(H5783=""pays"",vlookup(REGEXEXTRACT(C5783, ""🏘️ \w+ \w+ (.*) ✅""),'Country prepositions'!A:B, 2, 0) &amp; "" "" &amp; REGEXEXTRACT(C5783, ""🏘️ \w+ \w+ (.*) ✅"") ,  if(H5783=""quartier"",vlookup(REGEXEXTRACT(C5783, ""🏘️ \w+ \w+ (.*) ✅""),'Quartier prepositio"&amp;"ns'!A:E, 5, 0) ,  if(H5783=""region"",vlookup(REGEXEXTRACT(C5783, ""🏘️ \w+ \w+ (.*) ✅""),'Region prepositions'!B:F, 5, 0),  REGEXEXTRACT(C5783, ""🏘️ \w+ \w+ (.*) ✅""))))"),"#N/A")</f>
        <v>#N/A</v>
      </c>
      <c r="I5783" s="4" t="str">
        <f>IFERROR(__xludf.DUMMYFUNCTION("if(D5783=""variant"",  substitute(filter(Templates!E:E, Templates!A:A = F5783, Templates!B:B = G5783, Templates!C:C = H5783), ""{{}}"", E5783), B5783)"),"Vendre maison Lupsingen: Trouvez le bien immobilier qui correspond idéalement à vos désirs sur ImmoScout24 - La plateforme de l'immobilier en Suisse.")</f>
        <v>Vendre maison Lupsingen: Trouvez le bien immobilier qui correspond idéalement à vos désirs sur ImmoScout24 - La plateforme de l'immobilier en Suisse.</v>
      </c>
    </row>
    <row r="5784" hidden="1">
      <c r="A5784" s="5" t="s">
        <v>14664</v>
      </c>
      <c r="B5784" s="2" t="s">
        <v>14665</v>
      </c>
      <c r="C5784" s="2" t="s">
        <v>14665</v>
      </c>
      <c r="D5784" s="4" t="str">
        <f>vlookup(A5784, Sheet2!D:E, 2, 0)</f>
        <v>control</v>
      </c>
      <c r="E5784" s="4" t="str">
        <f>IFERROR(__xludf.DUMMYFUNCTION("if(H5784=""pays"",vlookup(REGEXEXTRACT(C5784, ""🏘️ \w+ \w+ (.*) ✅""),'Country prepositions'!A:B, 2, 0) &amp; "" "" &amp; REGEXEXTRACT(C5784, ""🏘️ \w+ \w+ (.*) ✅"") ,  if(H5784=""quartier"",vlookup(REGEXEXTRACT(C5784, ""🏘️ \w+ \w+ (.*) ✅""),'Quartier prepositio"&amp;"ns'!A:E, 5, 0) ,  if(H5784=""region"",vlookup(REGEXEXTRACT(C5784, ""🏘️ \w+ \w+ (.*) ✅""),'Region prepositions'!B:F, 5, 0),  REGEXEXTRACT(C5784, ""🏘️ \w+ \w+ (.*) ✅""))))"),"#N/A")</f>
        <v>#N/A</v>
      </c>
      <c r="I5784" s="4" t="str">
        <f>IFERROR(__xludf.DUMMYFUNCTION("if(D5784=""variant"",  substitute(filter(Templates!E:E, Templates!A:A = F5784, Templates!B:B = G5784, Templates!C:C = H5784), ""{{}}"", E5784), B5784)"),"Louer appartement Muhen: Trouvez le bien immobilier qui correspond idéalement à vos désirs sur ImmoScout24 - La plateforme de l'immobilier en Suisse.")</f>
        <v>Louer appartement Muhen: Trouvez le bien immobilier qui correspond idéalement à vos désirs sur ImmoScout24 - La plateforme de l'immobilier en Suisse.</v>
      </c>
    </row>
    <row r="5785" hidden="1">
      <c r="A5785" s="5" t="s">
        <v>14666</v>
      </c>
      <c r="B5785" s="2" t="s">
        <v>14667</v>
      </c>
      <c r="C5785" s="2" t="s">
        <v>14667</v>
      </c>
      <c r="D5785" s="4" t="str">
        <f>vlookup(A5785, Sheet2!D:E, 2, 0)</f>
        <v>control</v>
      </c>
      <c r="E5785" s="4" t="str">
        <f>IFERROR(__xludf.DUMMYFUNCTION("if(H5785=""pays"",vlookup(REGEXEXTRACT(C5785, ""🏘️ \w+ \w+ (.*) ✅""),'Country prepositions'!A:B, 2, 0) &amp; "" "" &amp; REGEXEXTRACT(C5785, ""🏘️ \w+ \w+ (.*) ✅"") ,  if(H5785=""quartier"",vlookup(REGEXEXTRACT(C5785, ""🏘️ \w+ \w+ (.*) ✅""),'Quartier prepositio"&amp;"ns'!A:E, 5, 0) ,  if(H5785=""region"",vlookup(REGEXEXTRACT(C5785, ""🏘️ \w+ \w+ (.*) ✅""),'Region prepositions'!B:F, 5, 0),  REGEXEXTRACT(C5785, ""🏘️ \w+ \w+ (.*) ✅""))))"),"#N/A")</f>
        <v>#N/A</v>
      </c>
      <c r="I5785" s="4" t="str">
        <f>IFERROR(__xludf.DUMMYFUNCTION("if(D5785=""variant"",  substitute(filter(Templates!E:E, Templates!A:A = F5785, Templates!B:B = G5785, Templates!C:C = H5785), ""{{}}"", E5785), B5785)"),"Vendre maison Salins: Trouvez le bien immobilier qui correspond idéalement à vos désirs sur ImmoScout24 - La plateforme de l'immobilier en Suisse.")</f>
        <v>Vendre maison Salins: Trouvez le bien immobilier qui correspond idéalement à vos désirs sur ImmoScout24 - La plateforme de l'immobilier en Suisse.</v>
      </c>
    </row>
    <row r="5786" hidden="1">
      <c r="A5786" s="5" t="s">
        <v>14668</v>
      </c>
      <c r="B5786" s="2" t="s">
        <v>14669</v>
      </c>
      <c r="C5786" s="2" t="s">
        <v>14669</v>
      </c>
      <c r="D5786" s="4" t="str">
        <f>vlookup(A5786, Sheet2!D:E, 2, 0)</f>
        <v>control</v>
      </c>
      <c r="E5786" s="4" t="str">
        <f>IFERROR(__xludf.DUMMYFUNCTION("if(H5786=""pays"",vlookup(REGEXEXTRACT(C5786, ""🏘️ \w+ \w+ (.*) ✅""),'Country prepositions'!A:B, 2, 0) &amp; "" "" &amp; REGEXEXTRACT(C5786, ""🏘️ \w+ \w+ (.*) ✅"") ,  if(H5786=""quartier"",vlookup(REGEXEXTRACT(C5786, ""🏘️ \w+ \w+ (.*) ✅""),'Quartier prepositio"&amp;"ns'!A:E, 5, 0) ,  if(H5786=""region"",vlookup(REGEXEXTRACT(C5786, ""🏘️ \w+ \w+ (.*) ✅""),'Region prepositions'!B:F, 5, 0),  REGEXEXTRACT(C5786, ""🏘️ \w+ \w+ (.*) ✅""))))"),"#N/A")</f>
        <v>#N/A</v>
      </c>
      <c r="I5786" s="4" t="str">
        <f>IFERROR(__xludf.DUMMYFUNCTION("if(D5786=""variant"",  substitute(filter(Templates!E:E, Templates!A:A = F5786, Templates!B:B = G5786, Templates!C:C = H5786), ""{{}}"", E5786), B5786)"),"Louer appartement Soleure: Trouvez le bien immobilier qui correspond idéalement à vos désirs sur ImmoScout24 - La plateforme de l'immobilier en Suisse.")</f>
        <v>Louer appartement Soleure: Trouvez le bien immobilier qui correspond idéalement à vos désirs sur ImmoScout24 - La plateforme de l'immobilier en Suisse.</v>
      </c>
    </row>
    <row r="5787" hidden="1">
      <c r="A5787" s="5" t="s">
        <v>14670</v>
      </c>
      <c r="B5787" s="2" t="s">
        <v>14671</v>
      </c>
      <c r="C5787" s="2" t="s">
        <v>14671</v>
      </c>
      <c r="D5787" s="4" t="str">
        <f>vlookup(A5787, Sheet2!D:E, 2, 0)</f>
        <v>control</v>
      </c>
      <c r="E5787" s="4" t="str">
        <f>IFERROR(__xludf.DUMMYFUNCTION("if(H5787=""pays"",vlookup(REGEXEXTRACT(C5787, ""🏘️ \w+ \w+ (.*) ✅""),'Country prepositions'!A:B, 2, 0) &amp; "" "" &amp; REGEXEXTRACT(C5787, ""🏘️ \w+ \w+ (.*) ✅"") ,  if(H5787=""quartier"",vlookup(REGEXEXTRACT(C5787, ""🏘️ \w+ \w+ (.*) ✅""),'Quartier prepositio"&amp;"ns'!A:E, 5, 0) ,  if(H5787=""region"",vlookup(REGEXEXTRACT(C5787, ""🏘️ \w+ \w+ (.*) ✅""),'Region prepositions'!B:F, 5, 0),  REGEXEXTRACT(C5787, ""🏘️ \w+ \w+ (.*) ✅""))))"),"#N/A")</f>
        <v>#N/A</v>
      </c>
      <c r="I5787" s="4" t="str">
        <f>IFERROR(__xludf.DUMMYFUNCTION("if(D5787=""variant"",  substitute(filter(Templates!E:E, Templates!A:A = F5787, Templates!B:B = G5787, Templates!C:C = H5787), ""{{}}"", E5787), B5787)"),"Louer appartement Beuson (Nendaz): Trouvez le bien immobilier qui correspond idéalement à vos désirs sur ImmoScout24 - La plateforme de l'immobilier en Suisse.")</f>
        <v>Louer appartement Beuson (Nendaz): Trouvez le bien immobilier qui correspond idéalement à vos désirs sur ImmoScout24 - La plateforme de l'immobilier en Suisse.</v>
      </c>
    </row>
    <row r="5788" hidden="1">
      <c r="A5788" s="5" t="s">
        <v>14672</v>
      </c>
      <c r="B5788" s="2" t="s">
        <v>14673</v>
      </c>
      <c r="C5788" s="2" t="s">
        <v>14673</v>
      </c>
      <c r="D5788" s="4" t="str">
        <f>vlookup(A5788, Sheet2!D:E, 2, 0)</f>
        <v>control</v>
      </c>
      <c r="E5788" s="4" t="str">
        <f>IFERROR(__xludf.DUMMYFUNCTION("if(H5788=""pays"",vlookup(REGEXEXTRACT(C5788, ""🏘️ \w+ \w+ (.*) ✅""),'Country prepositions'!A:B, 2, 0) &amp; "" "" &amp; REGEXEXTRACT(C5788, ""🏘️ \w+ \w+ (.*) ✅"") ,  if(H5788=""quartier"",vlookup(REGEXEXTRACT(C5788, ""🏘️ \w+ \w+ (.*) ✅""),'Quartier prepositio"&amp;"ns'!A:E, 5, 0) ,  if(H5788=""region"",vlookup(REGEXEXTRACT(C5788, ""🏘️ \w+ \w+ (.*) ✅""),'Region prepositions'!B:F, 5, 0),  REGEXEXTRACT(C5788, ""🏘️ \w+ \w+ (.*) ✅""))))"),"#N/A")</f>
        <v>#N/A</v>
      </c>
      <c r="I5788" s="4" t="str">
        <f>IFERROR(__xludf.DUMMYFUNCTION("if(D5788=""variant"",  substitute(filter(Templates!E:E, Templates!A:A = F5788, Templates!B:B = G5788, Templates!C:C = H5788), ""{{}}"", E5788), B5788)"),"Louer maison Maules: Trouvez le bien immobilier qui correspond idéalement à vos désirs sur ImmoScout24 - La plateforme de l'immobilier en Suisse.")</f>
        <v>Louer maison Maules: Trouvez le bien immobilier qui correspond idéalement à vos désirs sur ImmoScout24 - La plateforme de l'immobilier en Suisse.</v>
      </c>
    </row>
    <row r="5789" hidden="1">
      <c r="A5789" s="5" t="s">
        <v>14674</v>
      </c>
      <c r="B5789" s="2" t="s">
        <v>14675</v>
      </c>
      <c r="C5789" s="2" t="s">
        <v>14675</v>
      </c>
      <c r="D5789" s="4" t="str">
        <f>vlookup(A5789, Sheet2!D:E, 2, 0)</f>
        <v>control</v>
      </c>
      <c r="E5789" s="4" t="str">
        <f>IFERROR(__xludf.DUMMYFUNCTION("if(H5789=""pays"",vlookup(REGEXEXTRACT(C5789, ""🏘️ \w+ \w+ (.*) ✅""),'Country prepositions'!A:B, 2, 0) &amp; "" "" &amp; REGEXEXTRACT(C5789, ""🏘️ \w+ \w+ (.*) ✅"") ,  if(H5789=""quartier"",vlookup(REGEXEXTRACT(C5789, ""🏘️ \w+ \w+ (.*) ✅""),'Quartier prepositio"&amp;"ns'!A:E, 5, 0) ,  if(H5789=""region"",vlookup(REGEXEXTRACT(C5789, ""🏘️ \w+ \w+ (.*) ✅""),'Region prepositions'!B:F, 5, 0),  REGEXEXTRACT(C5789, ""🏘️ \w+ \w+ (.*) ✅""))))"),"#N/A")</f>
        <v>#N/A</v>
      </c>
      <c r="I5789" s="4" t="str">
        <f>IFERROR(__xludf.DUMMYFUNCTION("if(D5789=""variant"",  substitute(filter(Templates!E:E, Templates!A:A = F5789, Templates!B:B = G5789, Templates!C:C = H5789), ""{{}}"", E5789), B5789)"),"Louer appartement Bonnefontaine: Trouvez le bien immobilier qui correspond idéalement à vos désirs sur ImmoScout24 - La plateforme de l'immobilier en Suisse.")</f>
        <v>Louer appartement Bonnefontaine: Trouvez le bien immobilier qui correspond idéalement à vos désirs sur ImmoScout24 - La plateforme de l'immobilier en Suisse.</v>
      </c>
    </row>
    <row r="5790" hidden="1">
      <c r="A5790" s="5" t="s">
        <v>14676</v>
      </c>
      <c r="B5790" s="2" t="s">
        <v>14677</v>
      </c>
      <c r="C5790" s="2" t="s">
        <v>14677</v>
      </c>
      <c r="D5790" s="4" t="str">
        <f>vlookup(A5790, Sheet2!D:E, 2, 0)</f>
        <v>control</v>
      </c>
      <c r="E5790" s="4" t="str">
        <f>IFERROR(__xludf.DUMMYFUNCTION("if(H5790=""pays"",vlookup(REGEXEXTRACT(C5790, ""🏘️ \w+ \w+ (.*) ✅""),'Country prepositions'!A:B, 2, 0) &amp; "" "" &amp; REGEXEXTRACT(C5790, ""🏘️ \w+ \w+ (.*) ✅"") ,  if(H5790=""quartier"",vlookup(REGEXEXTRACT(C5790, ""🏘️ \w+ \w+ (.*) ✅""),'Quartier prepositio"&amp;"ns'!A:E, 5, 0) ,  if(H5790=""region"",vlookup(REGEXEXTRACT(C5790, ""🏘️ \w+ \w+ (.*) ✅""),'Region prepositions'!B:F, 5, 0),  REGEXEXTRACT(C5790, ""🏘️ \w+ \w+ (.*) ✅""))))"),"#N/A")</f>
        <v>#N/A</v>
      </c>
      <c r="I5790" s="4" t="str">
        <f>IFERROR(__xludf.DUMMYFUNCTION("if(D5790=""variant"",  substitute(filter(Templates!E:E, Templates!A:A = F5790, Templates!B:B = G5790, Templates!C:C = H5790), ""{{}}"", E5790), B5790)"),"Louer appartement Paudex: Trouvez le bien immobilier qui correspond idéalement à vos désirs sur ImmoScout24 - La plateforme de l'immobilier en Suisse.")</f>
        <v>Louer appartement Paudex: Trouvez le bien immobilier qui correspond idéalement à vos désirs sur ImmoScout24 - La plateforme de l'immobilier en Suisse.</v>
      </c>
    </row>
    <row r="5791" hidden="1">
      <c r="A5791" s="5" t="s">
        <v>14678</v>
      </c>
      <c r="B5791" s="2" t="s">
        <v>14679</v>
      </c>
      <c r="C5791" s="2" t="s">
        <v>14679</v>
      </c>
      <c r="D5791" s="4" t="str">
        <f>vlookup(A5791, Sheet2!D:E, 2, 0)</f>
        <v>control</v>
      </c>
      <c r="E5791" s="4" t="str">
        <f>IFERROR(__xludf.DUMMYFUNCTION("if(H5791=""pays"",vlookup(REGEXEXTRACT(C5791, ""🏘️ \w+ \w+ (.*) ✅""),'Country prepositions'!A:B, 2, 0) &amp; "" "" &amp; REGEXEXTRACT(C5791, ""🏘️ \w+ \w+ (.*) ✅"") ,  if(H5791=""quartier"",vlookup(REGEXEXTRACT(C5791, ""🏘️ \w+ \w+ (.*) ✅""),'Quartier prepositio"&amp;"ns'!A:E, 5, 0) ,  if(H5791=""region"",vlookup(REGEXEXTRACT(C5791, ""🏘️ \w+ \w+ (.*) ✅""),'Region prepositions'!B:F, 5, 0),  REGEXEXTRACT(C5791, ""🏘️ \w+ \w+ (.*) ✅""))))"),"#N/A")</f>
        <v>#N/A</v>
      </c>
      <c r="I5791" s="4" t="str">
        <f>IFERROR(__xludf.DUMMYFUNCTION("if(D5791=""variant"",  substitute(filter(Templates!E:E, Templates!A:A = F5791, Templates!B:B = G5791, Templates!C:C = H5791), ""{{}}"", E5791), B5791)"),"Vendre maison Blonay: Trouvez le bien immobilier qui correspond idéalement à vos désirs sur ImmoScout24 - La plateforme de l'immobilier en Suisse.")</f>
        <v>Vendre maison Blonay: Trouvez le bien immobilier qui correspond idéalement à vos désirs sur ImmoScout24 - La plateforme de l'immobilier en Suisse.</v>
      </c>
    </row>
    <row r="5792" hidden="1">
      <c r="A5792" s="5" t="s">
        <v>14680</v>
      </c>
      <c r="B5792" s="2" t="s">
        <v>14681</v>
      </c>
      <c r="C5792" s="2" t="s">
        <v>14681</v>
      </c>
      <c r="D5792" s="4" t="str">
        <f>vlookup(A5792, Sheet2!D:E, 2, 0)</f>
        <v>control</v>
      </c>
      <c r="E5792" s="4" t="str">
        <f>IFERROR(__xludf.DUMMYFUNCTION("if(H5792=""pays"",vlookup(REGEXEXTRACT(C5792, ""🏘️ \w+ \w+ (.*) ✅""),'Country prepositions'!A:B, 2, 0) &amp; "" "" &amp; REGEXEXTRACT(C5792, ""🏘️ \w+ \w+ (.*) ✅"") ,  if(H5792=""quartier"",vlookup(REGEXEXTRACT(C5792, ""🏘️ \w+ \w+ (.*) ✅""),'Quartier prepositio"&amp;"ns'!A:E, 5, 0) ,  if(H5792=""region"",vlookup(REGEXEXTRACT(C5792, ""🏘️ \w+ \w+ (.*) ✅""),'Region prepositions'!B:F, 5, 0),  REGEXEXTRACT(C5792, ""🏘️ \w+ \w+ (.*) ✅""))))"),"#N/A")</f>
        <v>#N/A</v>
      </c>
      <c r="I5792" s="4" t="str">
        <f>IFERROR(__xludf.DUMMYFUNCTION("if(D5792=""variant"",  substitute(filter(Templates!E:E, Templates!A:A = F5792, Templates!B:B = G5792, Templates!C:C = H5792), ""{{}}"", E5792), B5792)"),"Vendre maison Essert-sous-Champvent: Trouvez le bien immobilier qui correspond idéalement à vos désirs sur ImmoScout24 - La plateforme de l'immobilier en Suisse.")</f>
        <v>Vendre maison Essert-sous-Champvent: Trouvez le bien immobilier qui correspond idéalement à vos désirs sur ImmoScout24 - La plateforme de l'immobilier en Suisse.</v>
      </c>
    </row>
    <row r="5793" hidden="1">
      <c r="A5793" s="5" t="s">
        <v>14682</v>
      </c>
      <c r="B5793" s="2" t="s">
        <v>14683</v>
      </c>
      <c r="C5793" s="2" t="s">
        <v>14683</v>
      </c>
      <c r="D5793" s="4" t="str">
        <f>vlookup(A5793, Sheet2!D:E, 2, 0)</f>
        <v>control</v>
      </c>
      <c r="E5793" s="4" t="str">
        <f>IFERROR(__xludf.DUMMYFUNCTION("if(H5793=""pays"",vlookup(REGEXEXTRACT(C5793, ""🏘️ \w+ \w+ (.*) ✅""),'Country prepositions'!A:B, 2, 0) &amp; "" "" &amp; REGEXEXTRACT(C5793, ""🏘️ \w+ \w+ (.*) ✅"") ,  if(H5793=""quartier"",vlookup(REGEXEXTRACT(C5793, ""🏘️ \w+ \w+ (.*) ✅""),'Quartier prepositio"&amp;"ns'!A:E, 5, 0) ,  if(H5793=""region"",vlookup(REGEXEXTRACT(C5793, ""🏘️ \w+ \w+ (.*) ✅""),'Region prepositions'!B:F, 5, 0),  REGEXEXTRACT(C5793, ""🏘️ \w+ \w+ (.*) ✅""))))"),"#N/A")</f>
        <v>#N/A</v>
      </c>
      <c r="I5793" s="4" t="str">
        <f>IFERROR(__xludf.DUMMYFUNCTION("if(D5793=""variant"",  substitute(filter(Templates!E:E, Templates!A:A = F5793, Templates!B:B = G5793, Templates!C:C = H5793), ""{{}}"", E5793), B5793)"),"Louer appartement Sala Capriasca: Trouvez le bien immobilier qui correspond idéalement à vos désirs sur ImmoScout24 - La plateforme de l'immobilier en Suisse.")</f>
        <v>Louer appartement Sala Capriasca: Trouvez le bien immobilier qui correspond idéalement à vos désirs sur ImmoScout24 - La plateforme de l'immobilier en Suisse.</v>
      </c>
    </row>
    <row r="5794" hidden="1">
      <c r="A5794" s="5" t="s">
        <v>14684</v>
      </c>
      <c r="B5794" s="2" t="s">
        <v>14685</v>
      </c>
      <c r="C5794" s="2" t="s">
        <v>14685</v>
      </c>
      <c r="D5794" s="4" t="str">
        <f>vlookup(A5794, Sheet2!D:E, 2, 0)</f>
        <v>control</v>
      </c>
      <c r="E5794" s="4" t="str">
        <f>IFERROR(__xludf.DUMMYFUNCTION("if(H5794=""pays"",vlookup(REGEXEXTRACT(C5794, ""🏘️ \w+ \w+ (.*) ✅""),'Country prepositions'!A:B, 2, 0) &amp; "" "" &amp; REGEXEXTRACT(C5794, ""🏘️ \w+ \w+ (.*) ✅"") ,  if(H5794=""quartier"",vlookup(REGEXEXTRACT(C5794, ""🏘️ \w+ \w+ (.*) ✅""),'Quartier prepositio"&amp;"ns'!A:E, 5, 0) ,  if(H5794=""region"",vlookup(REGEXEXTRACT(C5794, ""🏘️ \w+ \w+ (.*) ✅""),'Region prepositions'!B:F, 5, 0),  REGEXEXTRACT(C5794, ""🏘️ \w+ \w+ (.*) ✅""))))"),"#N/A")</f>
        <v>#N/A</v>
      </c>
      <c r="I5794" s="4" t="str">
        <f>IFERROR(__xludf.DUMMYFUNCTION("if(D5794=""variant"",  substitute(filter(Templates!E:E, Templates!A:A = F5794, Templates!B:B = G5794, Templates!C:C = H5794), ""{{}}"", E5794), B5794)"),"Vendre appartement Birsfelden: Trouvez le bien immobilier qui correspond idéalement à vos désirs sur ImmoScout24 - La plateforme de l'immobilier en Suisse.")</f>
        <v>Vendre appartement Birsfelden: Trouvez le bien immobilier qui correspond idéalement à vos désirs sur ImmoScout24 - La plateforme de l'immobilier en Suisse.</v>
      </c>
    </row>
    <row r="5795" hidden="1">
      <c r="A5795" s="5" t="s">
        <v>14686</v>
      </c>
      <c r="B5795" s="2" t="s">
        <v>14687</v>
      </c>
      <c r="C5795" s="2" t="s">
        <v>14687</v>
      </c>
      <c r="D5795" s="4" t="str">
        <f>vlookup(A5795, Sheet2!D:E, 2, 0)</f>
        <v>control</v>
      </c>
      <c r="E5795" s="4" t="str">
        <f>IFERROR(__xludf.DUMMYFUNCTION("if(H5795=""pays"",vlookup(REGEXEXTRACT(C5795, ""🏘️ \w+ \w+ (.*) ✅""),'Country prepositions'!A:B, 2, 0) &amp; "" "" &amp; REGEXEXTRACT(C5795, ""🏘️ \w+ \w+ (.*) ✅"") ,  if(H5795=""quartier"",vlookup(REGEXEXTRACT(C5795, ""🏘️ \w+ \w+ (.*) ✅""),'Quartier prepositio"&amp;"ns'!A:E, 5, 0) ,  if(H5795=""region"",vlookup(REGEXEXTRACT(C5795, ""🏘️ \w+ \w+ (.*) ✅""),'Region prepositions'!B:F, 5, 0),  REGEXEXTRACT(C5795, ""🏘️ \w+ \w+ (.*) ✅""))))"),"#N/A")</f>
        <v>#N/A</v>
      </c>
      <c r="I5795" s="4" t="str">
        <f>IFERROR(__xludf.DUMMYFUNCTION("if(D5795=""variant"",  substitute(filter(Templates!E:E, Templates!A:A = F5795, Templates!B:B = G5795, Templates!C:C = H5795), ""{{}}"", E5795), B5795)"),"Louer appartement Sierre: Trouvez le bien immobilier qui correspond idéalement à vos désirs sur ImmoScout24 - La plateforme de l'immobilier en Suisse.")</f>
        <v>Louer appartement Sierre: Trouvez le bien immobilier qui correspond idéalement à vos désirs sur ImmoScout24 - La plateforme de l'immobilier en Suisse.</v>
      </c>
    </row>
    <row r="5796" hidden="1">
      <c r="A5796" s="5" t="s">
        <v>14688</v>
      </c>
      <c r="B5796" s="2" t="s">
        <v>14689</v>
      </c>
      <c r="C5796" s="2" t="s">
        <v>14689</v>
      </c>
      <c r="D5796" s="4" t="str">
        <f>vlookup(A5796, Sheet2!D:E, 2, 0)</f>
        <v>control</v>
      </c>
      <c r="E5796" s="4" t="str">
        <f>IFERROR(__xludf.DUMMYFUNCTION("if(H5796=""pays"",vlookup(REGEXEXTRACT(C5796, ""🏘️ \w+ \w+ (.*) ✅""),'Country prepositions'!A:B, 2, 0) &amp; "" "" &amp; REGEXEXTRACT(C5796, ""🏘️ \w+ \w+ (.*) ✅"") ,  if(H5796=""quartier"",vlookup(REGEXEXTRACT(C5796, ""🏘️ \w+ \w+ (.*) ✅""),'Quartier prepositio"&amp;"ns'!A:E, 5, 0) ,  if(H5796=""region"",vlookup(REGEXEXTRACT(C5796, ""🏘️ \w+ \w+ (.*) ✅""),'Region prepositions'!B:F, 5, 0),  REGEXEXTRACT(C5796, ""🏘️ \w+ \w+ (.*) ✅""))))"),"#N/A")</f>
        <v>#N/A</v>
      </c>
      <c r="I5796" s="4" t="str">
        <f>IFERROR(__xludf.DUMMYFUNCTION("if(D5796=""variant"",  substitute(filter(Templates!E:E, Templates!A:A = F5796, Templates!B:B = G5796, Templates!C:C = H5796), ""{{}}"", E5796), B5796)"),"Vendre appartement Watt: Trouvez le bien immobilier qui correspond idéalement à vos désirs sur ImmoScout24 - La plateforme de l'immobilier en Suisse.")</f>
        <v>Vendre appartement Watt: Trouvez le bien immobilier qui correspond idéalement à vos désirs sur ImmoScout24 - La plateforme de l'immobilier en Suisse.</v>
      </c>
    </row>
    <row r="5797" hidden="1">
      <c r="A5797" s="5" t="s">
        <v>14690</v>
      </c>
      <c r="B5797" s="2" t="s">
        <v>14691</v>
      </c>
      <c r="C5797" s="2" t="s">
        <v>14691</v>
      </c>
      <c r="D5797" s="4" t="str">
        <f>vlookup(A5797, Sheet2!D:E, 2, 0)</f>
        <v>control</v>
      </c>
      <c r="E5797" s="4" t="str">
        <f>IFERROR(__xludf.DUMMYFUNCTION("if(H5797=""pays"",vlookup(REGEXEXTRACT(C5797, ""🏘️ \w+ \w+ (.*) ✅""),'Country prepositions'!A:B, 2, 0) &amp; "" "" &amp; REGEXEXTRACT(C5797, ""🏘️ \w+ \w+ (.*) ✅"") ,  if(H5797=""quartier"",vlookup(REGEXEXTRACT(C5797, ""🏘️ \w+ \w+ (.*) ✅""),'Quartier prepositio"&amp;"ns'!A:E, 5, 0) ,  if(H5797=""region"",vlookup(REGEXEXTRACT(C5797, ""🏘️ \w+ \w+ (.*) ✅""),'Region prepositions'!B:F, 5, 0),  REGEXEXTRACT(C5797, ""🏘️ \w+ \w+ (.*) ✅""))))"),"#N/A")</f>
        <v>#N/A</v>
      </c>
      <c r="I5797" s="4" t="str">
        <f>IFERROR(__xludf.DUMMYFUNCTION("if(D5797=""variant"",  substitute(filter(Templates!E:E, Templates!A:A = F5797, Templates!B:B = G5797, Templates!C:C = H5797), ""{{}}"", E5797), B5797)"),"Vendre maison Roche-d'Or: Trouvez le bien immobilier qui correspond idéalement à vos désirs sur ImmoScout24 - La plateforme de l'immobilier en Suisse.")</f>
        <v>Vendre maison Roche-d'Or: Trouvez le bien immobilier qui correspond idéalement à vos désirs sur ImmoScout24 - La plateforme de l'immobilier en Suisse.</v>
      </c>
    </row>
    <row r="5798" hidden="1">
      <c r="A5798" s="5" t="s">
        <v>14692</v>
      </c>
      <c r="B5798" s="2" t="s">
        <v>14693</v>
      </c>
      <c r="C5798" s="2" t="s">
        <v>14693</v>
      </c>
      <c r="D5798" s="4" t="str">
        <f>vlookup(A5798, Sheet2!D:E, 2, 0)</f>
        <v>control</v>
      </c>
      <c r="E5798" s="4" t="str">
        <f>IFERROR(__xludf.DUMMYFUNCTION("if(H5798=""pays"",vlookup(REGEXEXTRACT(C5798, ""🏘️ \w+ \w+ (.*) ✅""),'Country prepositions'!A:B, 2, 0) &amp; "" "" &amp; REGEXEXTRACT(C5798, ""🏘️ \w+ \w+ (.*) ✅"") ,  if(H5798=""quartier"",vlookup(REGEXEXTRACT(C5798, ""🏘️ \w+ \w+ (.*) ✅""),'Quartier prepositio"&amp;"ns'!A:E, 5, 0) ,  if(H5798=""region"",vlookup(REGEXEXTRACT(C5798, ""🏘️ \w+ \w+ (.*) ✅""),'Region prepositions'!B:F, 5, 0),  REGEXEXTRACT(C5798, ""🏘️ \w+ \w+ (.*) ✅""))))"),"#N/A")</f>
        <v>#N/A</v>
      </c>
      <c r="I5798" s="4" t="str">
        <f>IFERROR(__xludf.DUMMYFUNCTION("if(D5798=""variant"",  substitute(filter(Templates!E:E, Templates!A:A = F5798, Templates!B:B = G5798, Templates!C:C = H5798), ""{{}}"", E5798), B5798)"),"Louer appartement Fribourg: Trouvez le bien immobilier qui correspond idéalement à vos désirs sur ImmoScout24 - La plateforme de l'immobilier en Suisse.")</f>
        <v>Louer appartement Fribourg: Trouvez le bien immobilier qui correspond idéalement à vos désirs sur ImmoScout24 - La plateforme de l'immobilier en Suisse.</v>
      </c>
    </row>
    <row r="5799" hidden="1">
      <c r="A5799" s="5" t="s">
        <v>14694</v>
      </c>
      <c r="B5799" s="2" t="s">
        <v>14695</v>
      </c>
      <c r="C5799" s="2" t="s">
        <v>14695</v>
      </c>
      <c r="D5799" s="4" t="str">
        <f>vlookup(A5799, Sheet2!D:E, 2, 0)</f>
        <v>control</v>
      </c>
      <c r="E5799" s="4" t="str">
        <f>IFERROR(__xludf.DUMMYFUNCTION("if(H5799=""pays"",vlookup(REGEXEXTRACT(C5799, ""🏘️ \w+ \w+ (.*) ✅""),'Country prepositions'!A:B, 2, 0) &amp; "" "" &amp; REGEXEXTRACT(C5799, ""🏘️ \w+ \w+ (.*) ✅"") ,  if(H5799=""quartier"",vlookup(REGEXEXTRACT(C5799, ""🏘️ \w+ \w+ (.*) ✅""),'Quartier prepositio"&amp;"ns'!A:E, 5, 0) ,  if(H5799=""region"",vlookup(REGEXEXTRACT(C5799, ""🏘️ \w+ \w+ (.*) ✅""),'Region prepositions'!B:F, 5, 0),  REGEXEXTRACT(C5799, ""🏘️ \w+ \w+ (.*) ✅""))))"),"#N/A")</f>
        <v>#N/A</v>
      </c>
      <c r="I5799" s="4" t="str">
        <f>IFERROR(__xludf.DUMMYFUNCTION("if(D5799=""variant"",  substitute(filter(Templates!E:E, Templates!A:A = F5799, Templates!B:B = G5799, Templates!C:C = H5799), ""{{}}"", E5799), B5799)"),"Louer appartement Sennwald: Trouvez le bien immobilier qui correspond idéalement à vos désirs sur ImmoScout24 - La plateforme de l'immobilier en Suisse.")</f>
        <v>Louer appartement Sennwald: Trouvez le bien immobilier qui correspond idéalement à vos désirs sur ImmoScout24 - La plateforme de l'immobilier en Suisse.</v>
      </c>
    </row>
    <row r="5800" hidden="1">
      <c r="A5800" s="5" t="s">
        <v>14696</v>
      </c>
      <c r="B5800" s="2" t="s">
        <v>14697</v>
      </c>
      <c r="C5800" s="2" t="s">
        <v>14697</v>
      </c>
      <c r="D5800" s="4" t="str">
        <f>vlookup(A5800, Sheet2!D:E, 2, 0)</f>
        <v>control</v>
      </c>
      <c r="E5800" s="4" t="str">
        <f>IFERROR(__xludf.DUMMYFUNCTION("if(H5800=""pays"",vlookup(REGEXEXTRACT(C5800, ""🏘️ \w+ \w+ (.*) ✅""),'Country prepositions'!A:B, 2, 0) &amp; "" "" &amp; REGEXEXTRACT(C5800, ""🏘️ \w+ \w+ (.*) ✅"") ,  if(H5800=""quartier"",vlookup(REGEXEXTRACT(C5800, ""🏘️ \w+ \w+ (.*) ✅""),'Quartier prepositio"&amp;"ns'!A:E, 5, 0) ,  if(H5800=""region"",vlookup(REGEXEXTRACT(C5800, ""🏘️ \w+ \w+ (.*) ✅""),'Region prepositions'!B:F, 5, 0),  REGEXEXTRACT(C5800, ""🏘️ \w+ \w+ (.*) ✅""))))"),"#N/A")</f>
        <v>#N/A</v>
      </c>
      <c r="I5800" s="4" t="str">
        <f>IFERROR(__xludf.DUMMYFUNCTION("if(D5800=""variant"",  substitute(filter(Templates!E:E, Templates!A:A = F5800, Templates!B:B = G5800, Templates!C:C = H5800), ""{{}}"", E5800), B5800)"),"Louer appartement Limmattal: Trouvez le bien immobilier qui correspond idéalement à vos désirs sur ImmoScout24 - La plateforme de l'immobilier en Suisse.")</f>
        <v>Louer appartement Limmattal: Trouvez le bien immobilier qui correspond idéalement à vos désirs sur ImmoScout24 - La plateforme de l'immobilier en Suisse.</v>
      </c>
    </row>
    <row r="5801" hidden="1">
      <c r="A5801" s="5" t="s">
        <v>14698</v>
      </c>
      <c r="B5801" s="2" t="s">
        <v>14699</v>
      </c>
      <c r="C5801" s="2" t="s">
        <v>14699</v>
      </c>
      <c r="D5801" s="4" t="str">
        <f>vlookup(A5801, Sheet2!D:E, 2, 0)</f>
        <v>control</v>
      </c>
      <c r="E5801" s="4" t="str">
        <f>IFERROR(__xludf.DUMMYFUNCTION("if(H5801=""pays"",vlookup(REGEXEXTRACT(C5801, ""🏘️ \w+ \w+ (.*) ✅""),'Country prepositions'!A:B, 2, 0) &amp; "" "" &amp; REGEXEXTRACT(C5801, ""🏘️ \w+ \w+ (.*) ✅"") ,  if(H5801=""quartier"",vlookup(REGEXEXTRACT(C5801, ""🏘️ \w+ \w+ (.*) ✅""),'Quartier prepositio"&amp;"ns'!A:E, 5, 0) ,  if(H5801=""region"",vlookup(REGEXEXTRACT(C5801, ""🏘️ \w+ \w+ (.*) ✅""),'Region prepositions'!B:F, 5, 0),  REGEXEXTRACT(C5801, ""🏘️ \w+ \w+ (.*) ✅""))))"),"#N/A")</f>
        <v>#N/A</v>
      </c>
      <c r="I5801" s="4" t="str">
        <f>IFERROR(__xludf.DUMMYFUNCTION("if(D5801=""variant"",  substitute(filter(Templates!E:E, Templates!A:A = F5801, Templates!B:B = G5801, Templates!C:C = H5801), ""{{}}"", E5801), B5801)"),"Louer maison Marly: Trouvez le bien immobilier qui correspond idéalement à vos désirs sur ImmoScout24 - La plateforme de l'immobilier en Suisse.")</f>
        <v>Louer maison Marly: Trouvez le bien immobilier qui correspond idéalement à vos désirs sur ImmoScout24 - La plateforme de l'immobilier en Suisse.</v>
      </c>
    </row>
    <row r="5802" hidden="1">
      <c r="A5802" s="5" t="s">
        <v>14700</v>
      </c>
      <c r="B5802" s="2" t="s">
        <v>14701</v>
      </c>
      <c r="C5802" s="2" t="s">
        <v>14701</v>
      </c>
      <c r="D5802" s="4" t="str">
        <f>vlookup(A5802, Sheet2!D:E, 2, 0)</f>
        <v>control</v>
      </c>
      <c r="E5802" s="4" t="str">
        <f>IFERROR(__xludf.DUMMYFUNCTION("if(H5802=""pays"",vlookup(REGEXEXTRACT(C5802, ""🏘️ \w+ \w+ (.*) ✅""),'Country prepositions'!A:B, 2, 0) &amp; "" "" &amp; REGEXEXTRACT(C5802, ""🏘️ \w+ \w+ (.*) ✅"") ,  if(H5802=""quartier"",vlookup(REGEXEXTRACT(C5802, ""🏘️ \w+ \w+ (.*) ✅""),'Quartier prepositio"&amp;"ns'!A:E, 5, 0) ,  if(H5802=""region"",vlookup(REGEXEXTRACT(C5802, ""🏘️ \w+ \w+ (.*) ✅""),'Region prepositions'!B:F, 5, 0),  REGEXEXTRACT(C5802, ""🏘️ \w+ \w+ (.*) ✅""))))"),"#N/A")</f>
        <v>#N/A</v>
      </c>
      <c r="I5802" s="4" t="str">
        <f>IFERROR(__xludf.DUMMYFUNCTION("if(D5802=""variant"",  substitute(filter(Templates!E:E, Templates!A:A = F5802, Templates!B:B = G5802, Templates!C:C = H5802), ""{{}}"", E5802), B5802)"),"Louer maison Stadel b. Niederglatt: Trouvez le bien immobilier qui correspond idéalement à vos désirs sur ImmoScout24 - La plateforme de l'immobilier en Suisse.")</f>
        <v>Louer maison Stadel b. Niederglatt: Trouvez le bien immobilier qui correspond idéalement à vos désirs sur ImmoScout24 - La plateforme de l'immobilier en Suisse.</v>
      </c>
    </row>
    <row r="5803" hidden="1">
      <c r="A5803" s="5" t="s">
        <v>14702</v>
      </c>
      <c r="B5803" s="2" t="s">
        <v>14703</v>
      </c>
      <c r="C5803" s="2" t="s">
        <v>14703</v>
      </c>
      <c r="D5803" s="4" t="str">
        <f>vlookup(A5803, Sheet2!D:E, 2, 0)</f>
        <v>control</v>
      </c>
      <c r="E5803" s="4" t="str">
        <f>IFERROR(__xludf.DUMMYFUNCTION("if(H5803=""pays"",vlookup(REGEXEXTRACT(C5803, ""🏘️ \w+ \w+ (.*) ✅""),'Country prepositions'!A:B, 2, 0) &amp; "" "" &amp; REGEXEXTRACT(C5803, ""🏘️ \w+ \w+ (.*) ✅"") ,  if(H5803=""quartier"",vlookup(REGEXEXTRACT(C5803, ""🏘️ \w+ \w+ (.*) ✅""),'Quartier prepositio"&amp;"ns'!A:E, 5, 0) ,  if(H5803=""region"",vlookup(REGEXEXTRACT(C5803, ""🏘️ \w+ \w+ (.*) ✅""),'Region prepositions'!B:F, 5, 0),  REGEXEXTRACT(C5803, ""🏘️ \w+ \w+ (.*) ✅""))))"),"#N/A")</f>
        <v>#N/A</v>
      </c>
      <c r="I5803" s="4" t="str">
        <f>IFERROR(__xludf.DUMMYFUNCTION("if(D5803=""variant"",  substitute(filter(Templates!E:E, Templates!A:A = F5803, Templates!B:B = G5803, Templates!C:C = H5803), ""{{}}"", E5803), B5803)"),"Vendre appartement Bad Ragaz: Trouvez le bien immobilier qui correspond idéalement à vos désirs sur ImmoScout24 - La plateforme de l'immobilier en Suisse.")</f>
        <v>Vendre appartement Bad Ragaz: Trouvez le bien immobilier qui correspond idéalement à vos désirs sur ImmoScout24 - La plateforme de l'immobilier en Suisse.</v>
      </c>
    </row>
    <row r="5804" hidden="1">
      <c r="A5804" s="5" t="s">
        <v>14704</v>
      </c>
      <c r="B5804" s="2" t="s">
        <v>14705</v>
      </c>
      <c r="C5804" s="2" t="s">
        <v>14705</v>
      </c>
      <c r="D5804" s="4" t="str">
        <f>vlookup(A5804, Sheet2!D:E, 2, 0)</f>
        <v>control</v>
      </c>
      <c r="E5804" s="4" t="str">
        <f>IFERROR(__xludf.DUMMYFUNCTION("if(H5804=""pays"",vlookup(REGEXEXTRACT(C5804, ""🏘️ \w+ \w+ (.*) ✅""),'Country prepositions'!A:B, 2, 0) &amp; "" "" &amp; REGEXEXTRACT(C5804, ""🏘️ \w+ \w+ (.*) ✅"") ,  if(H5804=""quartier"",vlookup(REGEXEXTRACT(C5804, ""🏘️ \w+ \w+ (.*) ✅""),'Quartier prepositio"&amp;"ns'!A:E, 5, 0) ,  if(H5804=""region"",vlookup(REGEXEXTRACT(C5804, ""🏘️ \w+ \w+ (.*) ✅""),'Region prepositions'!B:F, 5, 0),  REGEXEXTRACT(C5804, ""🏘️ \w+ \w+ (.*) ✅""))))"),"#N/A")</f>
        <v>#N/A</v>
      </c>
      <c r="I5804" s="4" t="str">
        <f>IFERROR(__xludf.DUMMYFUNCTION("if(D5804=""variant"",  substitute(filter(Templates!E:E, Templates!A:A = F5804, Templates!B:B = G5804, Templates!C:C = H5804), ""{{}}"", E5804), B5804)"),"Vendre appartement Castagnola (Lugano): Trouvez le bien immobilier qui correspond idéalement à vos désirs sur ImmoScout24 - La plateforme de l'immobilier en Suisse.")</f>
        <v>Vendre appartement Castagnola (Lugano): Trouvez le bien immobilier qui correspond idéalement à vos désirs sur ImmoScout24 - La plateforme de l'immobilier en Suisse.</v>
      </c>
    </row>
    <row r="5805" hidden="1">
      <c r="A5805" s="5" t="s">
        <v>14706</v>
      </c>
      <c r="B5805" s="2" t="s">
        <v>14707</v>
      </c>
      <c r="C5805" s="2" t="s">
        <v>14707</v>
      </c>
      <c r="D5805" s="4" t="str">
        <f>vlookup(A5805, Sheet2!D:E, 2, 0)</f>
        <v>control</v>
      </c>
      <c r="E5805" s="4" t="str">
        <f>IFERROR(__xludf.DUMMYFUNCTION("if(H5805=""pays"",vlookup(REGEXEXTRACT(C5805, ""🏘️ \w+ \w+ (.*) ✅""),'Country prepositions'!A:B, 2, 0) &amp; "" "" &amp; REGEXEXTRACT(C5805, ""🏘️ \w+ \w+ (.*) ✅"") ,  if(H5805=""quartier"",vlookup(REGEXEXTRACT(C5805, ""🏘️ \w+ \w+ (.*) ✅""),'Quartier prepositio"&amp;"ns'!A:E, 5, 0) ,  if(H5805=""region"",vlookup(REGEXEXTRACT(C5805, ""🏘️ \w+ \w+ (.*) ✅""),'Region prepositions'!B:F, 5, 0),  REGEXEXTRACT(C5805, ""🏘️ \w+ \w+ (.*) ✅""))))"),"#N/A")</f>
        <v>#N/A</v>
      </c>
      <c r="I5805" s="4" t="str">
        <f>IFERROR(__xludf.DUMMYFUNCTION("if(D5805=""variant"",  substitute(filter(Templates!E:E, Templates!A:A = F5805, Templates!B:B = G5805, Templates!C:C = H5805), ""{{}}"", E5805), B5805)"),"Vendre maison Vira (Gambarogno): Trouvez le bien immobilier qui correspond idéalement à vos désirs sur ImmoScout24 - La plateforme de l'immobilier en Suisse.")</f>
        <v>Vendre maison Vira (Gambarogno): Trouvez le bien immobilier qui correspond idéalement à vos désirs sur ImmoScout24 - La plateforme de l'immobilier en Suisse.</v>
      </c>
    </row>
    <row r="5806" hidden="1">
      <c r="A5806" s="5" t="s">
        <v>14708</v>
      </c>
      <c r="B5806" s="2" t="s">
        <v>14709</v>
      </c>
      <c r="C5806" s="2" t="s">
        <v>14709</v>
      </c>
      <c r="D5806" s="4" t="str">
        <f>vlookup(A5806, Sheet2!D:E, 2, 0)</f>
        <v>control</v>
      </c>
      <c r="E5806" s="4" t="str">
        <f>IFERROR(__xludf.DUMMYFUNCTION("if(H5806=""pays"",vlookup(REGEXEXTRACT(C5806, ""🏘️ \w+ \w+ (.*) ✅""),'Country prepositions'!A:B, 2, 0) &amp; "" "" &amp; REGEXEXTRACT(C5806, ""🏘️ \w+ \w+ (.*) ✅"") ,  if(H5806=""quartier"",vlookup(REGEXEXTRACT(C5806, ""🏘️ \w+ \w+ (.*) ✅""),'Quartier prepositio"&amp;"ns'!A:E, 5, 0) ,  if(H5806=""region"",vlookup(REGEXEXTRACT(C5806, ""🏘️ \w+ \w+ (.*) ✅""),'Region prepositions'!B:F, 5, 0),  REGEXEXTRACT(C5806, ""🏘️ \w+ \w+ (.*) ✅""))))"),"#N/A")</f>
        <v>#N/A</v>
      </c>
      <c r="I5806" s="4" t="str">
        <f>IFERROR(__xludf.DUMMYFUNCTION("if(D5806=""variant"",  substitute(filter(Templates!E:E, Templates!A:A = F5806, Templates!B:B = G5806, Templates!C:C = H5806), ""{{}}"", E5806), B5806)"),"Vendre maison Riedholz: Trouvez le bien immobilier qui correspond idéalement à vos désirs sur ImmoScout24 - La plateforme de l'immobilier en Suisse.")</f>
        <v>Vendre maison Riedholz: Trouvez le bien immobilier qui correspond idéalement à vos désirs sur ImmoScout24 - La plateforme de l'immobilier en Suisse.</v>
      </c>
    </row>
    <row r="5807" hidden="1">
      <c r="A5807" s="5" t="s">
        <v>14710</v>
      </c>
      <c r="B5807" s="2" t="s">
        <v>14711</v>
      </c>
      <c r="C5807" s="2" t="s">
        <v>14711</v>
      </c>
      <c r="D5807" s="4" t="str">
        <f>vlookup(A5807, Sheet2!D:E, 2, 0)</f>
        <v>control</v>
      </c>
      <c r="E5807" s="4" t="str">
        <f>IFERROR(__xludf.DUMMYFUNCTION("if(H5807=""pays"",vlookup(REGEXEXTRACT(C5807, ""🏘️ \w+ \w+ (.*) ✅""),'Country prepositions'!A:B, 2, 0) &amp; "" "" &amp; REGEXEXTRACT(C5807, ""🏘️ \w+ \w+ (.*) ✅"") ,  if(H5807=""quartier"",vlookup(REGEXEXTRACT(C5807, ""🏘️ \w+ \w+ (.*) ✅""),'Quartier prepositio"&amp;"ns'!A:E, 5, 0) ,  if(H5807=""region"",vlookup(REGEXEXTRACT(C5807, ""🏘️ \w+ \w+ (.*) ✅""),'Region prepositions'!B:F, 5, 0),  REGEXEXTRACT(C5807, ""🏘️ \w+ \w+ (.*) ✅""))))"),"#N/A")</f>
        <v>#N/A</v>
      </c>
      <c r="I5807" s="4" t="str">
        <f>IFERROR(__xludf.DUMMYFUNCTION("if(D5807=""variant"",  substitute(filter(Templates!E:E, Templates!A:A = F5807, Templates!B:B = G5807, Templates!C:C = H5807), ""{{}}"", E5807), B5807)"),"Vendre appartement Basse-Nendaz: Trouvez le bien immobilier qui correspond idéalement à vos désirs sur ImmoScout24 - La plateforme de l'immobilier en Suisse.")</f>
        <v>Vendre appartement Basse-Nendaz: Trouvez le bien immobilier qui correspond idéalement à vos désirs sur ImmoScout24 - La plateforme de l'immobilier en Suisse.</v>
      </c>
    </row>
    <row r="5808" hidden="1">
      <c r="A5808" s="5" t="s">
        <v>14712</v>
      </c>
      <c r="B5808" s="2" t="s">
        <v>14713</v>
      </c>
      <c r="C5808" s="2" t="s">
        <v>14713</v>
      </c>
      <c r="D5808" s="4" t="str">
        <f>vlookup(A5808, Sheet2!D:E, 2, 0)</f>
        <v>control</v>
      </c>
      <c r="E5808" s="4" t="str">
        <f>IFERROR(__xludf.DUMMYFUNCTION("if(H5808=""pays"",vlookup(REGEXEXTRACT(C5808, ""🏘️ \w+ \w+ (.*) ✅""),'Country prepositions'!A:B, 2, 0) &amp; "" "" &amp; REGEXEXTRACT(C5808, ""🏘️ \w+ \w+ (.*) ✅"") ,  if(H5808=""quartier"",vlookup(REGEXEXTRACT(C5808, ""🏘️ \w+ \w+ (.*) ✅""),'Quartier prepositio"&amp;"ns'!A:E, 5, 0) ,  if(H5808=""region"",vlookup(REGEXEXTRACT(C5808, ""🏘️ \w+ \w+ (.*) ✅""),'Region prepositions'!B:F, 5, 0),  REGEXEXTRACT(C5808, ""🏘️ \w+ \w+ (.*) ✅""))))"),"#N/A")</f>
        <v>#N/A</v>
      </c>
      <c r="I5808" s="4" t="str">
        <f>IFERROR(__xludf.DUMMYFUNCTION("if(D5808=""variant"",  substitute(filter(Templates!E:E, Templates!A:A = F5808, Templates!B:B = G5808, Templates!C:C = H5808), ""{{}}"", E5808), B5808)"),"Louer appartement St-Cierges: Trouvez le bien immobilier qui correspond idéalement à vos désirs sur ImmoScout24 - La plateforme de l'immobilier en Suisse.")</f>
        <v>Louer appartement St-Cierges: Trouvez le bien immobilier qui correspond idéalement à vos désirs sur ImmoScout24 - La plateforme de l'immobilier en Suisse.</v>
      </c>
    </row>
    <row r="5809" hidden="1">
      <c r="A5809" s="5" t="s">
        <v>14714</v>
      </c>
      <c r="B5809" s="2" t="s">
        <v>14715</v>
      </c>
      <c r="C5809" s="2" t="s">
        <v>14715</v>
      </c>
      <c r="D5809" s="4" t="str">
        <f>vlookup(A5809, Sheet2!D:E, 2, 0)</f>
        <v>control</v>
      </c>
      <c r="E5809" s="4" t="str">
        <f>IFERROR(__xludf.DUMMYFUNCTION("if(H5809=""pays"",vlookup(REGEXEXTRACT(C5809, ""🏘️ \w+ \w+ (.*) ✅""),'Country prepositions'!A:B, 2, 0) &amp; "" "" &amp; REGEXEXTRACT(C5809, ""🏘️ \w+ \w+ (.*) ✅"") ,  if(H5809=""quartier"",vlookup(REGEXEXTRACT(C5809, ""🏘️ \w+ \w+ (.*) ✅""),'Quartier prepositio"&amp;"ns'!A:E, 5, 0) ,  if(H5809=""region"",vlookup(REGEXEXTRACT(C5809, ""🏘️ \w+ \w+ (.*) ✅""),'Region prepositions'!B:F, 5, 0),  REGEXEXTRACT(C5809, ""🏘️ \w+ \w+ (.*) ✅""))))"),"#N/A")</f>
        <v>#N/A</v>
      </c>
      <c r="I5809" s="4" t="str">
        <f>IFERROR(__xludf.DUMMYFUNCTION("if(D5809=""variant"",  substitute(filter(Templates!E:E, Templates!A:A = F5809, Templates!B:B = G5809, Templates!C:C = H5809), ""{{}}"", E5809), B5809)"),"Vendre appartement Canton de Zurich: Trouvez le bien immobilier qui correspond idéalement à vos désirs sur ImmoScout24 - La plateforme de l'immobilier en Suisse.")</f>
        <v>Vendre appartement Canton de Zurich: Trouvez le bien immobilier qui correspond idéalement à vos désirs sur ImmoScout24 - La plateforme de l'immobilier en Suisse.</v>
      </c>
    </row>
    <row r="5810" hidden="1">
      <c r="A5810" s="5" t="s">
        <v>14716</v>
      </c>
      <c r="B5810" s="2" t="s">
        <v>14717</v>
      </c>
      <c r="C5810" s="2" t="s">
        <v>14717</v>
      </c>
      <c r="D5810" s="4" t="str">
        <f>vlookup(A5810, Sheet2!D:E, 2, 0)</f>
        <v>control</v>
      </c>
      <c r="E5810" s="4" t="str">
        <f>IFERROR(__xludf.DUMMYFUNCTION("if(H5810=""pays"",vlookup(REGEXEXTRACT(C5810, ""🏘️ \w+ \w+ (.*) ✅""),'Country prepositions'!A:B, 2, 0) &amp; "" "" &amp; REGEXEXTRACT(C5810, ""🏘️ \w+ \w+ (.*) ✅"") ,  if(H5810=""quartier"",vlookup(REGEXEXTRACT(C5810, ""🏘️ \w+ \w+ (.*) ✅""),'Quartier prepositio"&amp;"ns'!A:E, 5, 0) ,  if(H5810=""region"",vlookup(REGEXEXTRACT(C5810, ""🏘️ \w+ \w+ (.*) ✅""),'Region prepositions'!B:F, 5, 0),  REGEXEXTRACT(C5810, ""🏘️ \w+ \w+ (.*) ✅""))))"),"#N/A")</f>
        <v>#N/A</v>
      </c>
      <c r="I5810" s="4" t="str">
        <f>IFERROR(__xludf.DUMMYFUNCTION("if(D5810=""variant"",  substitute(filter(Templates!E:E, Templates!A:A = F5810, Templates!B:B = G5810, Templates!C:C = H5810), ""{{}}"", E5810), B5810)"),"Louer appartement Stadtbach (Berne): Trouvez le bien immobilier qui correspond idéalement à vos désirs sur ImmoScout24 - La plateforme de l'immobilier en Suisse.")</f>
        <v>Louer appartement Stadtbach (Berne): Trouvez le bien immobilier qui correspond idéalement à vos désirs sur ImmoScout24 - La plateforme de l'immobilier en Suisse.</v>
      </c>
    </row>
    <row r="5811" hidden="1">
      <c r="A5811" s="5" t="s">
        <v>14718</v>
      </c>
      <c r="B5811" s="2" t="s">
        <v>14719</v>
      </c>
      <c r="C5811" s="2" t="s">
        <v>14719</v>
      </c>
      <c r="D5811" s="4" t="str">
        <f>vlookup(A5811, Sheet2!D:E, 2, 0)</f>
        <v>control</v>
      </c>
      <c r="E5811" s="4" t="str">
        <f>IFERROR(__xludf.DUMMYFUNCTION("if(H5811=""pays"",vlookup(REGEXEXTRACT(C5811, ""🏘️ \w+ \w+ (.*) ✅""),'Country prepositions'!A:B, 2, 0) &amp; "" "" &amp; REGEXEXTRACT(C5811, ""🏘️ \w+ \w+ (.*) ✅"") ,  if(H5811=""quartier"",vlookup(REGEXEXTRACT(C5811, ""🏘️ \w+ \w+ (.*) ✅""),'Quartier prepositio"&amp;"ns'!A:E, 5, 0) ,  if(H5811=""region"",vlookup(REGEXEXTRACT(C5811, ""🏘️ \w+ \w+ (.*) ✅""),'Region prepositions'!B:F, 5, 0),  REGEXEXTRACT(C5811, ""🏘️ \w+ \w+ (.*) ✅""))))"),"#N/A")</f>
        <v>#N/A</v>
      </c>
      <c r="I5811" s="4" t="str">
        <f>IFERROR(__xludf.DUMMYFUNCTION("if(D5811=""variant"",  substitute(filter(Templates!E:E, Templates!A:A = F5811, Templates!B:B = G5811, Templates!C:C = H5811), ""{{}}"", E5811), B5811)"),"Vendre maison Villars-sur-Fontenais: Trouvez le bien immobilier qui correspond idéalement à vos désirs sur ImmoScout24 - La plateforme de l'immobilier en Suisse.")</f>
        <v>Vendre maison Villars-sur-Fontenais: Trouvez le bien immobilier qui correspond idéalement à vos désirs sur ImmoScout24 - La plateforme de l'immobilier en Suisse.</v>
      </c>
    </row>
    <row r="5812" hidden="1">
      <c r="A5812" s="5" t="s">
        <v>14720</v>
      </c>
      <c r="B5812" s="2" t="s">
        <v>14721</v>
      </c>
      <c r="C5812" s="2" t="s">
        <v>14721</v>
      </c>
      <c r="D5812" s="4" t="str">
        <f>vlookup(A5812, Sheet2!D:E, 2, 0)</f>
        <v>control</v>
      </c>
      <c r="E5812" s="4" t="str">
        <f>IFERROR(__xludf.DUMMYFUNCTION("if(H5812=""pays"",vlookup(REGEXEXTRACT(C5812, ""🏘️ \w+ \w+ (.*) ✅""),'Country prepositions'!A:B, 2, 0) &amp; "" "" &amp; REGEXEXTRACT(C5812, ""🏘️ \w+ \w+ (.*) ✅"") ,  if(H5812=""quartier"",vlookup(REGEXEXTRACT(C5812, ""🏘️ \w+ \w+ (.*) ✅""),'Quartier prepositio"&amp;"ns'!A:E, 5, 0) ,  if(H5812=""region"",vlookup(REGEXEXTRACT(C5812, ""🏘️ \w+ \w+ (.*) ✅""),'Region prepositions'!B:F, 5, 0),  REGEXEXTRACT(C5812, ""🏘️ \w+ \w+ (.*) ✅""))))"),"#N/A")</f>
        <v>#N/A</v>
      </c>
      <c r="I5812" s="4" t="str">
        <f>IFERROR(__xludf.DUMMYFUNCTION("if(D5812=""variant"",  substitute(filter(Templates!E:E, Templates!A:A = F5812, Templates!B:B = G5812, Templates!C:C = H5812), ""{{}}"", E5812), B5812)"),"Vendre appartement Denezy: Trouvez le bien immobilier qui correspond idéalement à vos désirs sur ImmoScout24 - La plateforme de l'immobilier en Suisse.")</f>
        <v>Vendre appartement Denezy: Trouvez le bien immobilier qui correspond idéalement à vos désirs sur ImmoScout24 - La plateforme de l'immobilier en Suisse.</v>
      </c>
    </row>
    <row r="5813" hidden="1">
      <c r="A5813" s="5" t="s">
        <v>14722</v>
      </c>
      <c r="B5813" s="2" t="s">
        <v>14723</v>
      </c>
      <c r="C5813" s="2" t="s">
        <v>14723</v>
      </c>
      <c r="D5813" s="4" t="str">
        <f>vlookup(A5813, Sheet2!D:E, 2, 0)</f>
        <v>control</v>
      </c>
      <c r="E5813" s="4" t="str">
        <f>IFERROR(__xludf.DUMMYFUNCTION("if(H5813=""pays"",vlookup(REGEXEXTRACT(C5813, ""🏘️ \w+ \w+ (.*) ✅""),'Country prepositions'!A:B, 2, 0) &amp; "" "" &amp; REGEXEXTRACT(C5813, ""🏘️ \w+ \w+ (.*) ✅"") ,  if(H5813=""quartier"",vlookup(REGEXEXTRACT(C5813, ""🏘️ \w+ \w+ (.*) ✅""),'Quartier prepositio"&amp;"ns'!A:E, 5, 0) ,  if(H5813=""region"",vlookup(REGEXEXTRACT(C5813, ""🏘️ \w+ \w+ (.*) ✅""),'Region prepositions'!B:F, 5, 0),  REGEXEXTRACT(C5813, ""🏘️ \w+ \w+ (.*) ✅""))))"),"#N/A")</f>
        <v>#N/A</v>
      </c>
      <c r="I5813" s="4" t="str">
        <f>IFERROR(__xludf.DUMMYFUNCTION("if(D5813=""variant"",  substitute(filter(Templates!E:E, Templates!A:A = F5813, Templates!B:B = G5813, Templates!C:C = H5813), ""{{}}"", E5813), B5813)"),"Vendre maison Kastanienbaum: Trouvez le bien immobilier qui correspond idéalement à vos désirs sur ImmoScout24 - La plateforme de l'immobilier en Suisse.")</f>
        <v>Vendre maison Kastanienbaum: Trouvez le bien immobilier qui correspond idéalement à vos désirs sur ImmoScout24 - La plateforme de l'immobilier en Suisse.</v>
      </c>
    </row>
    <row r="5814" hidden="1">
      <c r="A5814" s="5" t="s">
        <v>14724</v>
      </c>
      <c r="B5814" s="2" t="s">
        <v>14725</v>
      </c>
      <c r="C5814" s="2" t="s">
        <v>14725</v>
      </c>
      <c r="D5814" s="4" t="str">
        <f>vlookup(A5814, Sheet2!D:E, 2, 0)</f>
        <v>control</v>
      </c>
      <c r="E5814" s="4" t="str">
        <f>IFERROR(__xludf.DUMMYFUNCTION("if(H5814=""pays"",vlookup(REGEXEXTRACT(C5814, ""🏘️ \w+ \w+ (.*) ✅""),'Country prepositions'!A:B, 2, 0) &amp; "" "" &amp; REGEXEXTRACT(C5814, ""🏘️ \w+ \w+ (.*) ✅"") ,  if(H5814=""quartier"",vlookup(REGEXEXTRACT(C5814, ""🏘️ \w+ \w+ (.*) ✅""),'Quartier prepositio"&amp;"ns'!A:E, 5, 0) ,  if(H5814=""region"",vlookup(REGEXEXTRACT(C5814, ""🏘️ \w+ \w+ (.*) ✅""),'Region prepositions'!B:F, 5, 0),  REGEXEXTRACT(C5814, ""🏘️ \w+ \w+ (.*) ✅""))))"),"#N/A")</f>
        <v>#N/A</v>
      </c>
      <c r="I5814" s="4" t="str">
        <f>IFERROR(__xludf.DUMMYFUNCTION("if(D5814=""variant"",  substitute(filter(Templates!E:E, Templates!A:A = F5814, Templates!B:B = G5814, Templates!C:C = H5814), ""{{}}"", E5814), B5814)"),"Louer appartement Rotkreuz: Trouvez le bien immobilier qui correspond idéalement à vos désirs sur ImmoScout24 - La plateforme de l'immobilier en Suisse.")</f>
        <v>Louer appartement Rotkreuz: Trouvez le bien immobilier qui correspond idéalement à vos désirs sur ImmoScout24 - La plateforme de l'immobilier en Suisse.</v>
      </c>
    </row>
    <row r="5815" hidden="1">
      <c r="A5815" s="5" t="s">
        <v>14726</v>
      </c>
      <c r="B5815" s="2" t="s">
        <v>14727</v>
      </c>
      <c r="C5815" s="2" t="s">
        <v>14727</v>
      </c>
      <c r="D5815" s="4" t="str">
        <f>vlookup(A5815, Sheet2!D:E, 2, 0)</f>
        <v>control</v>
      </c>
      <c r="E5815" s="4" t="str">
        <f>IFERROR(__xludf.DUMMYFUNCTION("if(H5815=""pays"",vlookup(REGEXEXTRACT(C5815, ""🏘️ \w+ \w+ (.*) ✅""),'Country prepositions'!A:B, 2, 0) &amp; "" "" &amp; REGEXEXTRACT(C5815, ""🏘️ \w+ \w+ (.*) ✅"") ,  if(H5815=""quartier"",vlookup(REGEXEXTRACT(C5815, ""🏘️ \w+ \w+ (.*) ✅""),'Quartier prepositio"&amp;"ns'!A:E, 5, 0) ,  if(H5815=""region"",vlookup(REGEXEXTRACT(C5815, ""🏘️ \w+ \w+ (.*) ✅""),'Region prepositions'!B:F, 5, 0),  REGEXEXTRACT(C5815, ""🏘️ \w+ \w+ (.*) ✅""))))"),"#N/A")</f>
        <v>#N/A</v>
      </c>
      <c r="I5815" s="4" t="str">
        <f>IFERROR(__xludf.DUMMYFUNCTION("if(D5815=""variant"",  substitute(filter(Templates!E:E, Templates!A:A = F5815, Templates!B:B = G5815, Templates!C:C = H5815), ""{{}}"", E5815), B5815)"),"Louer appartement Premier: Trouvez le bien immobilier qui correspond idéalement à vos désirs sur ImmoScout24 - La plateforme de l'immobilier en Suisse.")</f>
        <v>Louer appartement Premier: Trouvez le bien immobilier qui correspond idéalement à vos désirs sur ImmoScout24 - La plateforme de l'immobilier en Suisse.</v>
      </c>
    </row>
    <row r="5816" hidden="1">
      <c r="A5816" s="5" t="s">
        <v>14728</v>
      </c>
      <c r="B5816" s="2" t="s">
        <v>14729</v>
      </c>
      <c r="C5816" s="2" t="s">
        <v>14729</v>
      </c>
      <c r="D5816" s="4" t="str">
        <f>vlookup(A5816, Sheet2!D:E, 2, 0)</f>
        <v>control</v>
      </c>
      <c r="E5816" s="4" t="str">
        <f>IFERROR(__xludf.DUMMYFUNCTION("if(H5816=""pays"",vlookup(REGEXEXTRACT(C5816, ""🏘️ \w+ \w+ (.*) ✅""),'Country prepositions'!A:B, 2, 0) &amp; "" "" &amp; REGEXEXTRACT(C5816, ""🏘️ \w+ \w+ (.*) ✅"") ,  if(H5816=""quartier"",vlookup(REGEXEXTRACT(C5816, ""🏘️ \w+ \w+ (.*) ✅""),'Quartier prepositio"&amp;"ns'!A:E, 5, 0) ,  if(H5816=""region"",vlookup(REGEXEXTRACT(C5816, ""🏘️ \w+ \w+ (.*) ✅""),'Region prepositions'!B:F, 5, 0),  REGEXEXTRACT(C5816, ""🏘️ \w+ \w+ (.*) ✅""))))"),"#N/A")</f>
        <v>#N/A</v>
      </c>
      <c r="I5816" s="4" t="str">
        <f>IFERROR(__xludf.DUMMYFUNCTION("if(D5816=""variant"",  substitute(filter(Templates!E:E, Templates!A:A = F5816, Templates!B:B = G5816, Templates!C:C = H5816), ""{{}}"", E5816), B5816)"),"Vendre maison Auvernier: Trouvez le bien immobilier qui correspond idéalement à vos désirs sur ImmoScout24 - La plateforme de l'immobilier en Suisse.")</f>
        <v>Vendre maison Auvernier: Trouvez le bien immobilier qui correspond idéalement à vos désirs sur ImmoScout24 - La plateforme de l'immobilier en Suisse.</v>
      </c>
    </row>
    <row r="5817" hidden="1">
      <c r="A5817" s="5" t="s">
        <v>14730</v>
      </c>
      <c r="B5817" s="2" t="s">
        <v>14731</v>
      </c>
      <c r="C5817" s="2" t="s">
        <v>14731</v>
      </c>
      <c r="D5817" s="4" t="str">
        <f>vlookup(A5817, Sheet2!D:E, 2, 0)</f>
        <v>control</v>
      </c>
      <c r="E5817" s="4" t="str">
        <f>IFERROR(__xludf.DUMMYFUNCTION("if(H5817=""pays"",vlookup(REGEXEXTRACT(C5817, ""🏘️ \w+ \w+ (.*) ✅""),'Country prepositions'!A:B, 2, 0) &amp; "" "" &amp; REGEXEXTRACT(C5817, ""🏘️ \w+ \w+ (.*) ✅"") ,  if(H5817=""quartier"",vlookup(REGEXEXTRACT(C5817, ""🏘️ \w+ \w+ (.*) ✅""),'Quartier prepositio"&amp;"ns'!A:E, 5, 0) ,  if(H5817=""region"",vlookup(REGEXEXTRACT(C5817, ""🏘️ \w+ \w+ (.*) ✅""),'Region prepositions'!B:F, 5, 0),  REGEXEXTRACT(C5817, ""🏘️ \w+ \w+ (.*) ✅""))))"),"#N/A")</f>
        <v>#N/A</v>
      </c>
      <c r="I5817" s="4" t="str">
        <f>IFERROR(__xludf.DUMMYFUNCTION("if(D5817=""variant"",  substitute(filter(Templates!E:E, Templates!A:A = F5817, Templates!B:B = G5817, Templates!C:C = H5817), ""{{}}"", E5817), B5817)"),"Louer appartement Penthaz: Trouvez le bien immobilier qui correspond idéalement à vos désirs sur ImmoScout24 - La plateforme de l'immobilier en Suisse.")</f>
        <v>Louer appartement Penthaz: Trouvez le bien immobilier qui correspond idéalement à vos désirs sur ImmoScout24 - La plateforme de l'immobilier en Suisse.</v>
      </c>
    </row>
    <row r="5818" hidden="1">
      <c r="A5818" s="5" t="s">
        <v>14732</v>
      </c>
      <c r="B5818" s="2" t="s">
        <v>14733</v>
      </c>
      <c r="C5818" s="2" t="s">
        <v>14733</v>
      </c>
      <c r="D5818" s="4" t="str">
        <f>vlookup(A5818, Sheet2!D:E, 2, 0)</f>
        <v>control</v>
      </c>
      <c r="E5818" s="4" t="str">
        <f>IFERROR(__xludf.DUMMYFUNCTION("if(H5818=""pays"",vlookup(REGEXEXTRACT(C5818, ""🏘️ \w+ \w+ (.*) ✅""),'Country prepositions'!A:B, 2, 0) &amp; "" "" &amp; REGEXEXTRACT(C5818, ""🏘️ \w+ \w+ (.*) ✅"") ,  if(H5818=""quartier"",vlookup(REGEXEXTRACT(C5818, ""🏘️ \w+ \w+ (.*) ✅""),'Quartier prepositio"&amp;"ns'!A:E, 5, 0) ,  if(H5818=""region"",vlookup(REGEXEXTRACT(C5818, ""🏘️ \w+ \w+ (.*) ✅""),'Region prepositions'!B:F, 5, 0),  REGEXEXTRACT(C5818, ""🏘️ \w+ \w+ (.*) ✅""))))"),"#N/A")</f>
        <v>#N/A</v>
      </c>
      <c r="I5818" s="4" t="str">
        <f>IFERROR(__xludf.DUMMYFUNCTION("if(D5818=""variant"",  substitute(filter(Templates!E:E, Templates!A:A = F5818, Templates!B:B = G5818, Templates!C:C = H5818), ""{{}}"", E5818), B5818)"),"Louer appartement Canton de Glaris: Trouvez le bien immobilier qui correspond idéalement à vos désirs sur ImmoScout24 - La plateforme de l'immobilier en Suisse.")</f>
        <v>Louer appartement Canton de Glaris: Trouvez le bien immobilier qui correspond idéalement à vos désirs sur ImmoScout24 - La plateforme de l'immobilier en Suisse.</v>
      </c>
    </row>
    <row r="5819" hidden="1">
      <c r="A5819" s="5" t="s">
        <v>14734</v>
      </c>
      <c r="B5819" s="2" t="s">
        <v>14735</v>
      </c>
      <c r="C5819" s="2" t="s">
        <v>14735</v>
      </c>
      <c r="D5819" s="4" t="str">
        <f>vlookup(A5819, Sheet2!D:E, 2, 0)</f>
        <v>control</v>
      </c>
      <c r="E5819" s="4" t="str">
        <f>IFERROR(__xludf.DUMMYFUNCTION("if(H5819=""pays"",vlookup(REGEXEXTRACT(C5819, ""🏘️ \w+ \w+ (.*) ✅""),'Country prepositions'!A:B, 2, 0) &amp; "" "" &amp; REGEXEXTRACT(C5819, ""🏘️ \w+ \w+ (.*) ✅"") ,  if(H5819=""quartier"",vlookup(REGEXEXTRACT(C5819, ""🏘️ \w+ \w+ (.*) ✅""),'Quartier prepositio"&amp;"ns'!A:E, 5, 0) ,  if(H5819=""region"",vlookup(REGEXEXTRACT(C5819, ""🏘️ \w+ \w+ (.*) ✅""),'Region prepositions'!B:F, 5, 0),  REGEXEXTRACT(C5819, ""🏘️ \w+ \w+ (.*) ✅""))))"),"#N/A")</f>
        <v>#N/A</v>
      </c>
      <c r="I5819" s="4" t="str">
        <f>IFERROR(__xludf.DUMMYFUNCTION("if(D5819=""variant"",  substitute(filter(Templates!E:E, Templates!A:A = F5819, Templates!B:B = G5819, Templates!C:C = H5819), ""{{}}"", E5819), B5819)"),"Vendre maison Brè (Lugano): Trouvez le bien immobilier qui correspond idéalement à vos désirs sur ImmoScout24 - La plateforme de l'immobilier en Suisse.")</f>
        <v>Vendre maison Brè (Lugano): Trouvez le bien immobilier qui correspond idéalement à vos désirs sur ImmoScout24 - La plateforme de l'immobilier en Suisse.</v>
      </c>
    </row>
    <row r="5820" hidden="1">
      <c r="A5820" s="5" t="s">
        <v>14736</v>
      </c>
      <c r="B5820" s="2" t="s">
        <v>14737</v>
      </c>
      <c r="C5820" s="2" t="s">
        <v>14737</v>
      </c>
      <c r="D5820" s="4" t="str">
        <f>vlookup(A5820, Sheet2!D:E, 2, 0)</f>
        <v>control</v>
      </c>
      <c r="E5820" s="4" t="str">
        <f>IFERROR(__xludf.DUMMYFUNCTION("if(H5820=""pays"",vlookup(REGEXEXTRACT(C5820, ""🏘️ \w+ \w+ (.*) ✅""),'Country prepositions'!A:B, 2, 0) &amp; "" "" &amp; REGEXEXTRACT(C5820, ""🏘️ \w+ \w+ (.*) ✅"") ,  if(H5820=""quartier"",vlookup(REGEXEXTRACT(C5820, ""🏘️ \w+ \w+ (.*) ✅""),'Quartier prepositio"&amp;"ns'!A:E, 5, 0) ,  if(H5820=""region"",vlookup(REGEXEXTRACT(C5820, ""🏘️ \w+ \w+ (.*) ✅""),'Region prepositions'!B:F, 5, 0),  REGEXEXTRACT(C5820, ""🏘️ \w+ \w+ (.*) ✅""))))"),"#N/A")</f>
        <v>#N/A</v>
      </c>
      <c r="I5820" s="4" t="str">
        <f>IFERROR(__xludf.DUMMYFUNCTION("if(D5820=""variant"",  substitute(filter(Templates!E:E, Templates!A:A = F5820, Templates!B:B = G5820, Templates!C:C = H5820), ""{{}}"", E5820), B5820)"),"Vendre maison Zuchwil: Trouvez le bien immobilier qui correspond idéalement à vos désirs sur ImmoScout24 - La plateforme de l'immobilier en Suisse.")</f>
        <v>Vendre maison Zuchwil: Trouvez le bien immobilier qui correspond idéalement à vos désirs sur ImmoScout24 - La plateforme de l'immobilier en Suisse.</v>
      </c>
    </row>
    <row r="5821" hidden="1">
      <c r="A5821" s="5" t="s">
        <v>14738</v>
      </c>
      <c r="B5821" s="2" t="s">
        <v>14739</v>
      </c>
      <c r="C5821" s="2" t="s">
        <v>14739</v>
      </c>
      <c r="D5821" s="4" t="str">
        <f>vlookup(A5821, Sheet2!D:E, 2, 0)</f>
        <v>control</v>
      </c>
      <c r="E5821" s="4" t="str">
        <f>IFERROR(__xludf.DUMMYFUNCTION("if(H5821=""pays"",vlookup(REGEXEXTRACT(C5821, ""🏘️ \w+ \w+ (.*) ✅""),'Country prepositions'!A:B, 2, 0) &amp; "" "" &amp; REGEXEXTRACT(C5821, ""🏘️ \w+ \w+ (.*) ✅"") ,  if(H5821=""quartier"",vlookup(REGEXEXTRACT(C5821, ""🏘️ \w+ \w+ (.*) ✅""),'Quartier prepositio"&amp;"ns'!A:E, 5, 0) ,  if(H5821=""region"",vlookup(REGEXEXTRACT(C5821, ""🏘️ \w+ \w+ (.*) ✅""),'Region prepositions'!B:F, 5, 0),  REGEXEXTRACT(C5821, ""🏘️ \w+ \w+ (.*) ✅""))))"),"#N/A")</f>
        <v>#N/A</v>
      </c>
      <c r="I5821" s="4" t="str">
        <f>IFERROR(__xludf.DUMMYFUNCTION("if(D5821=""variant"",  substitute(filter(Templates!E:E, Templates!A:A = F5821, Templates!B:B = G5821, Templates!C:C = H5821), ""{{}}"", E5821), B5821)"),"Louer appartement Hinwil: Trouvez le bien immobilier qui correspond idéalement à vos désirs sur ImmoScout24 - La plateforme de l'immobilier en Suisse.")</f>
        <v>Louer appartement Hinwil: Trouvez le bien immobilier qui correspond idéalement à vos désirs sur ImmoScout24 - La plateforme de l'immobilier en Suisse.</v>
      </c>
    </row>
    <row r="5822" hidden="1">
      <c r="A5822" s="5" t="s">
        <v>14740</v>
      </c>
      <c r="B5822" s="2" t="s">
        <v>14741</v>
      </c>
      <c r="C5822" s="2" t="s">
        <v>14741</v>
      </c>
      <c r="D5822" s="4" t="str">
        <f>vlookup(A5822, Sheet2!D:E, 2, 0)</f>
        <v>control</v>
      </c>
      <c r="E5822" s="4" t="str">
        <f>IFERROR(__xludf.DUMMYFUNCTION("if(H5822=""pays"",vlookup(REGEXEXTRACT(C5822, ""🏘️ \w+ \w+ (.*) ✅""),'Country prepositions'!A:B, 2, 0) &amp; "" "" &amp; REGEXEXTRACT(C5822, ""🏘️ \w+ \w+ (.*) ✅"") ,  if(H5822=""quartier"",vlookup(REGEXEXTRACT(C5822, ""🏘️ \w+ \w+ (.*) ✅""),'Quartier prepositio"&amp;"ns'!A:E, 5, 0) ,  if(H5822=""region"",vlookup(REGEXEXTRACT(C5822, ""🏘️ \w+ \w+ (.*) ✅""),'Region prepositions'!B:F, 5, 0),  REGEXEXTRACT(C5822, ""🏘️ \w+ \w+ (.*) ✅""))))"),"#N/A")</f>
        <v>#N/A</v>
      </c>
      <c r="I5822" s="4" t="str">
        <f>IFERROR(__xludf.DUMMYFUNCTION("if(D5822=""variant"",  substitute(filter(Templates!E:E, Templates!A:A = F5822, Templates!B:B = G5822, Templates!C:C = H5822), ""{{}}"", E5822), B5822)"),"Louer maison Bellerive VD: Trouvez le bien immobilier qui correspond idéalement à vos désirs sur ImmoScout24 - La plateforme de l'immobilier en Suisse.")</f>
        <v>Louer maison Bellerive VD: Trouvez le bien immobilier qui correspond idéalement à vos désirs sur ImmoScout24 - La plateforme de l'immobilier en Suisse.</v>
      </c>
    </row>
    <row r="5823" hidden="1">
      <c r="A5823" s="5" t="s">
        <v>14742</v>
      </c>
      <c r="B5823" s="2" t="s">
        <v>14743</v>
      </c>
      <c r="C5823" s="2" t="s">
        <v>14743</v>
      </c>
      <c r="D5823" s="4" t="str">
        <f>vlookup(A5823, Sheet2!D:E, 2, 0)</f>
        <v>control</v>
      </c>
      <c r="E5823" s="4" t="str">
        <f>IFERROR(__xludf.DUMMYFUNCTION("if(H5823=""pays"",vlookup(REGEXEXTRACT(C5823, ""🏘️ \w+ \w+ (.*) ✅""),'Country prepositions'!A:B, 2, 0) &amp; "" "" &amp; REGEXEXTRACT(C5823, ""🏘️ \w+ \w+ (.*) ✅"") ,  if(H5823=""quartier"",vlookup(REGEXEXTRACT(C5823, ""🏘️ \w+ \w+ (.*) ✅""),'Quartier prepositio"&amp;"ns'!A:E, 5, 0) ,  if(H5823=""region"",vlookup(REGEXEXTRACT(C5823, ""🏘️ \w+ \w+ (.*) ✅""),'Region prepositions'!B:F, 5, 0),  REGEXEXTRACT(C5823, ""🏘️ \w+ \w+ (.*) ✅""))))"),"#N/A")</f>
        <v>#N/A</v>
      </c>
      <c r="I5823" s="4" t="str">
        <f>IFERROR(__xludf.DUMMYFUNCTION("if(D5823=""variant"",  substitute(filter(Templates!E:E, Templates!A:A = F5823, Templates!B:B = G5823, Templates!C:C = H5823), ""{{}}"", E5823), B5823)"),"Vendre appartement Le Lignon: Trouvez le bien immobilier qui correspond idéalement à vos désirs sur ImmoScout24 - La plateforme de l'immobilier en Suisse.")</f>
        <v>Vendre appartement Le Lignon: Trouvez le bien immobilier qui correspond idéalement à vos désirs sur ImmoScout24 - La plateforme de l'immobilier en Suisse.</v>
      </c>
    </row>
    <row r="5824" hidden="1">
      <c r="A5824" s="5" t="s">
        <v>14744</v>
      </c>
      <c r="B5824" s="2" t="s">
        <v>14745</v>
      </c>
      <c r="C5824" s="2" t="s">
        <v>14745</v>
      </c>
      <c r="D5824" s="4" t="str">
        <f>vlookup(A5824, Sheet2!D:E, 2, 0)</f>
        <v>control</v>
      </c>
      <c r="E5824" s="4" t="str">
        <f>IFERROR(__xludf.DUMMYFUNCTION("if(H5824=""pays"",vlookup(REGEXEXTRACT(C5824, ""🏘️ \w+ \w+ (.*) ✅""),'Country prepositions'!A:B, 2, 0) &amp; "" "" &amp; REGEXEXTRACT(C5824, ""🏘️ \w+ \w+ (.*) ✅"") ,  if(H5824=""quartier"",vlookup(REGEXEXTRACT(C5824, ""🏘️ \w+ \w+ (.*) ✅""),'Quartier prepositio"&amp;"ns'!A:E, 5, 0) ,  if(H5824=""region"",vlookup(REGEXEXTRACT(C5824, ""🏘️ \w+ \w+ (.*) ✅""),'Region prepositions'!B:F, 5, 0),  REGEXEXTRACT(C5824, ""🏘️ \w+ \w+ (.*) ✅""))))"),"#N/A")</f>
        <v>#N/A</v>
      </c>
      <c r="I5824" s="4" t="str">
        <f>IFERROR(__xludf.DUMMYFUNCTION("if(D5824=""variant"",  substitute(filter(Templates!E:E, Templates!A:A = F5824, Templates!B:B = G5824, Templates!C:C = H5824), ""{{}}"", E5824), B5824)"),"Louer appartement Noës: Trouvez le bien immobilier qui correspond idéalement à vos désirs sur ImmoScout24 - La plateforme de l'immobilier en Suisse.")</f>
        <v>Louer appartement Noës: Trouvez le bien immobilier qui correspond idéalement à vos désirs sur ImmoScout24 - La plateforme de l'immobilier en Suisse.</v>
      </c>
    </row>
    <row r="5825" hidden="1">
      <c r="A5825" s="5" t="s">
        <v>14746</v>
      </c>
      <c r="B5825" s="2" t="s">
        <v>14747</v>
      </c>
      <c r="C5825" s="2" t="s">
        <v>14747</v>
      </c>
      <c r="D5825" s="4" t="str">
        <f>vlookup(A5825, Sheet2!D:E, 2, 0)</f>
        <v>control</v>
      </c>
      <c r="E5825" s="4" t="str">
        <f>IFERROR(__xludf.DUMMYFUNCTION("if(H5825=""pays"",vlookup(REGEXEXTRACT(C5825, ""🏘️ \w+ \w+ (.*) ✅""),'Country prepositions'!A:B, 2, 0) &amp; "" "" &amp; REGEXEXTRACT(C5825, ""🏘️ \w+ \w+ (.*) ✅"") ,  if(H5825=""quartier"",vlookup(REGEXEXTRACT(C5825, ""🏘️ \w+ \w+ (.*) ✅""),'Quartier prepositio"&amp;"ns'!A:E, 5, 0) ,  if(H5825=""region"",vlookup(REGEXEXTRACT(C5825, ""🏘️ \w+ \w+ (.*) ✅""),'Region prepositions'!B:F, 5, 0),  REGEXEXTRACT(C5825, ""🏘️ \w+ \w+ (.*) ✅""))))"),"#N/A")</f>
        <v>#N/A</v>
      </c>
      <c r="I5825" s="4" t="str">
        <f>IFERROR(__xludf.DUMMYFUNCTION("if(D5825=""variant"",  substitute(filter(Templates!E:E, Templates!A:A = F5825, Templates!B:B = G5825, Templates!C:C = H5825), ""{{}}"", E5825), B5825)"),"Louer appartement Auge (Fribourg): Trouvez le bien immobilier qui correspond idéalement à vos désirs sur ImmoScout24 - La plateforme de l'immobilier en Suisse.")</f>
        <v>Louer appartement Auge (Fribourg): Trouvez le bien immobilier qui correspond idéalement à vos désirs sur ImmoScout24 - La plateforme de l'immobilier en Suisse.</v>
      </c>
    </row>
    <row r="5826" hidden="1">
      <c r="A5826" s="5" t="s">
        <v>14748</v>
      </c>
      <c r="B5826" s="2" t="s">
        <v>14749</v>
      </c>
      <c r="C5826" s="2" t="s">
        <v>14749</v>
      </c>
      <c r="D5826" s="4" t="str">
        <f>vlookup(A5826, Sheet2!D:E, 2, 0)</f>
        <v>control</v>
      </c>
      <c r="E5826" s="4" t="str">
        <f>IFERROR(__xludf.DUMMYFUNCTION("if(H5826=""pays"",vlookup(REGEXEXTRACT(C5826, ""🏘️ \w+ \w+ (.*) ✅""),'Country prepositions'!A:B, 2, 0) &amp; "" "" &amp; REGEXEXTRACT(C5826, ""🏘️ \w+ \w+ (.*) ✅"") ,  if(H5826=""quartier"",vlookup(REGEXEXTRACT(C5826, ""🏘️ \w+ \w+ (.*) ✅""),'Quartier prepositio"&amp;"ns'!A:E, 5, 0) ,  if(H5826=""region"",vlookup(REGEXEXTRACT(C5826, ""🏘️ \w+ \w+ (.*) ✅""),'Region prepositions'!B:F, 5, 0),  REGEXEXTRACT(C5826, ""🏘️ \w+ \w+ (.*) ✅""))))"),"#N/A")</f>
        <v>#N/A</v>
      </c>
      <c r="I5826" s="4" t="str">
        <f>IFERROR(__xludf.DUMMYFUNCTION("if(D5826=""variant"",  substitute(filter(Templates!E:E, Templates!A:A = F5826, Templates!B:B = G5826, Templates!C:C = H5826), ""{{}}"", E5826), B5826)"),"Louer appartement Wittenbach: Trouvez le bien immobilier qui correspond idéalement à vos désirs sur ImmoScout24 - La plateforme de l'immobilier en Suisse.")</f>
        <v>Louer appartement Wittenbach: Trouvez le bien immobilier qui correspond idéalement à vos désirs sur ImmoScout24 - La plateforme de l'immobilier en Suisse.</v>
      </c>
    </row>
    <row r="5827" hidden="1">
      <c r="A5827" s="5" t="s">
        <v>14750</v>
      </c>
      <c r="B5827" s="2" t="s">
        <v>14751</v>
      </c>
      <c r="C5827" s="2" t="s">
        <v>14751</v>
      </c>
      <c r="D5827" s="4" t="str">
        <f>vlookup(A5827, Sheet2!D:E, 2, 0)</f>
        <v>control</v>
      </c>
      <c r="E5827" s="4" t="str">
        <f>IFERROR(__xludf.DUMMYFUNCTION("if(H5827=""pays"",vlookup(REGEXEXTRACT(C5827, ""🏘️ \w+ \w+ (.*) ✅""),'Country prepositions'!A:B, 2, 0) &amp; "" "" &amp; REGEXEXTRACT(C5827, ""🏘️ \w+ \w+ (.*) ✅"") ,  if(H5827=""quartier"",vlookup(REGEXEXTRACT(C5827, ""🏘️ \w+ \w+ (.*) ✅""),'Quartier prepositio"&amp;"ns'!A:E, 5, 0) ,  if(H5827=""region"",vlookup(REGEXEXTRACT(C5827, ""🏘️ \w+ \w+ (.*) ✅""),'Region prepositions'!B:F, 5, 0),  REGEXEXTRACT(C5827, ""🏘️ \w+ \w+ (.*) ✅""))))"),"#N/A")</f>
        <v>#N/A</v>
      </c>
      <c r="I5827" s="4" t="str">
        <f>IFERROR(__xludf.DUMMYFUNCTION("if(D5827=""variant"",  substitute(filter(Templates!E:E, Templates!A:A = F5827, Templates!B:B = G5827, Templates!C:C = H5827), ""{{}}"", E5827), B5827)"),"Louer appartement Schwarzenburg: Trouvez le bien immobilier qui correspond idéalement à vos désirs sur ImmoScout24 - La plateforme de l'immobilier en Suisse.")</f>
        <v>Louer appartement Schwarzenburg: Trouvez le bien immobilier qui correspond idéalement à vos désirs sur ImmoScout24 - La plateforme de l'immobilier en Suisse.</v>
      </c>
    </row>
    <row r="5828" hidden="1">
      <c r="A5828" s="5" t="s">
        <v>14752</v>
      </c>
      <c r="B5828" s="2" t="s">
        <v>14753</v>
      </c>
      <c r="C5828" s="2" t="s">
        <v>14753</v>
      </c>
      <c r="D5828" s="4" t="str">
        <f>vlookup(A5828, Sheet2!D:E, 2, 0)</f>
        <v>control</v>
      </c>
      <c r="E5828" s="4" t="str">
        <f>IFERROR(__xludf.DUMMYFUNCTION("if(H5828=""pays"",vlookup(REGEXEXTRACT(C5828, ""🏘️ \w+ \w+ (.*) ✅""),'Country prepositions'!A:B, 2, 0) &amp; "" "" &amp; REGEXEXTRACT(C5828, ""🏘️ \w+ \w+ (.*) ✅"") ,  if(H5828=""quartier"",vlookup(REGEXEXTRACT(C5828, ""🏘️ \w+ \w+ (.*) ✅""),'Quartier prepositio"&amp;"ns'!A:E, 5, 0) ,  if(H5828=""region"",vlookup(REGEXEXTRACT(C5828, ""🏘️ \w+ \w+ (.*) ✅""),'Region prepositions'!B:F, 5, 0),  REGEXEXTRACT(C5828, ""🏘️ \w+ \w+ (.*) ✅""))))"),"#N/A")</f>
        <v>#N/A</v>
      </c>
      <c r="I5828" s="4" t="str">
        <f>IFERROR(__xludf.DUMMYFUNCTION("if(D5828=""variant"",  substitute(filter(Templates!E:E, Templates!A:A = F5828, Templates!B:B = G5828, Templates!C:C = H5828), ""{{}}"", E5828), B5828)"),"Vendre maison Corsier-sur-Vevey: Trouvez le bien immobilier qui correspond idéalement à vos désirs sur ImmoScout24 - La plateforme de l'immobilier en Suisse.")</f>
        <v>Vendre maison Corsier-sur-Vevey: Trouvez le bien immobilier qui correspond idéalement à vos désirs sur ImmoScout24 - La plateforme de l'immobilier en Suisse.</v>
      </c>
    </row>
    <row r="5829" hidden="1">
      <c r="A5829" s="5" t="s">
        <v>14754</v>
      </c>
      <c r="B5829" s="2" t="s">
        <v>14755</v>
      </c>
      <c r="C5829" s="2" t="s">
        <v>14755</v>
      </c>
      <c r="D5829" s="4" t="str">
        <f>vlookup(A5829, Sheet2!D:E, 2, 0)</f>
        <v>control</v>
      </c>
      <c r="E5829" s="4" t="str">
        <f>IFERROR(__xludf.DUMMYFUNCTION("if(H5829=""pays"",vlookup(REGEXEXTRACT(C5829, ""🏘️ \w+ \w+ (.*) ✅""),'Country prepositions'!A:B, 2, 0) &amp; "" "" &amp; REGEXEXTRACT(C5829, ""🏘️ \w+ \w+ (.*) ✅"") ,  if(H5829=""quartier"",vlookup(REGEXEXTRACT(C5829, ""🏘️ \w+ \w+ (.*) ✅""),'Quartier prepositio"&amp;"ns'!A:E, 5, 0) ,  if(H5829=""region"",vlookup(REGEXEXTRACT(C5829, ""🏘️ \w+ \w+ (.*) ✅""),'Region prepositions'!B:F, 5, 0),  REGEXEXTRACT(C5829, ""🏘️ \w+ \w+ (.*) ✅""))))"),"#N/A")</f>
        <v>#N/A</v>
      </c>
      <c r="I5829" s="4" t="str">
        <f>IFERROR(__xludf.DUMMYFUNCTION("if(D5829=""variant"",  substitute(filter(Templates!E:E, Templates!A:A = F5829, Templates!B:B = G5829, Templates!C:C = H5829), ""{{}}"", E5829), B5829)"),"Louer maison La Sarraz: Trouvez le bien immobilier qui correspond idéalement à vos désirs sur ImmoScout24 - La plateforme de l'immobilier en Suisse.")</f>
        <v>Louer maison La Sarraz: Trouvez le bien immobilier qui correspond idéalement à vos désirs sur ImmoScout24 - La plateforme de l'immobilier en Suisse.</v>
      </c>
    </row>
    <row r="5830" hidden="1">
      <c r="A5830" s="5" t="s">
        <v>14756</v>
      </c>
      <c r="B5830" s="2" t="s">
        <v>14757</v>
      </c>
      <c r="C5830" s="2" t="s">
        <v>14757</v>
      </c>
      <c r="D5830" s="4" t="str">
        <f>vlookup(A5830, Sheet2!D:E, 2, 0)</f>
        <v>control</v>
      </c>
      <c r="E5830" s="4" t="str">
        <f>IFERROR(__xludf.DUMMYFUNCTION("if(H5830=""pays"",vlookup(REGEXEXTRACT(C5830, ""🏘️ \w+ \w+ (.*) ✅""),'Country prepositions'!A:B, 2, 0) &amp; "" "" &amp; REGEXEXTRACT(C5830, ""🏘️ \w+ \w+ (.*) ✅"") ,  if(H5830=""quartier"",vlookup(REGEXEXTRACT(C5830, ""🏘️ \w+ \w+ (.*) ✅""),'Quartier prepositio"&amp;"ns'!A:E, 5, 0) ,  if(H5830=""region"",vlookup(REGEXEXTRACT(C5830, ""🏘️ \w+ \w+ (.*) ✅""),'Region prepositions'!B:F, 5, 0),  REGEXEXTRACT(C5830, ""🏘️ \w+ \w+ (.*) ✅""))))"),"#N/A")</f>
        <v>#N/A</v>
      </c>
      <c r="I5830" s="4" t="str">
        <f>IFERROR(__xludf.DUMMYFUNCTION("if(D5830=""variant"",  substitute(filter(Templates!E:E, Templates!A:A = F5830, Templates!B:B = G5830, Templates!C:C = H5830), ""{{}}"", E5830), B5830)"),"Louer appartement Winkel: Trouvez le bien immobilier qui correspond idéalement à vos désirs sur ImmoScout24 - La plateforme de l'immobilier en Suisse.")</f>
        <v>Louer appartement Winkel: Trouvez le bien immobilier qui correspond idéalement à vos désirs sur ImmoScout24 - La plateforme de l'immobilier en Suisse.</v>
      </c>
    </row>
    <row r="5831" hidden="1">
      <c r="A5831" s="5" t="s">
        <v>14758</v>
      </c>
      <c r="B5831" s="2" t="s">
        <v>14759</v>
      </c>
      <c r="C5831" s="2" t="s">
        <v>14759</v>
      </c>
      <c r="D5831" s="4" t="str">
        <f>vlookup(A5831, Sheet2!D:E, 2, 0)</f>
        <v>control</v>
      </c>
      <c r="E5831" s="4" t="str">
        <f>IFERROR(__xludf.DUMMYFUNCTION("if(H5831=""pays"",vlookup(REGEXEXTRACT(C5831, ""🏘️ \w+ \w+ (.*) ✅""),'Country prepositions'!A:B, 2, 0) &amp; "" "" &amp; REGEXEXTRACT(C5831, ""🏘️ \w+ \w+ (.*) ✅"") ,  if(H5831=""quartier"",vlookup(REGEXEXTRACT(C5831, ""🏘️ \w+ \w+ (.*) ✅""),'Quartier prepositio"&amp;"ns'!A:E, 5, 0) ,  if(H5831=""region"",vlookup(REGEXEXTRACT(C5831, ""🏘️ \w+ \w+ (.*) ✅""),'Region prepositions'!B:F, 5, 0),  REGEXEXTRACT(C5831, ""🏘️ \w+ \w+ (.*) ✅""))))"),"#N/A")</f>
        <v>#N/A</v>
      </c>
      <c r="I5831" s="4" t="str">
        <f>IFERROR(__xludf.DUMMYFUNCTION("if(D5831=""variant"",  substitute(filter(Templates!E:E, Templates!A:A = F5831, Templates!B:B = G5831, Templates!C:C = H5831), ""{{}}"", E5831), B5831)"),"Vendre maison Flüh: Trouvez le bien immobilier qui correspond idéalement à vos désirs sur ImmoScout24 - La plateforme de l'immobilier en Suisse.")</f>
        <v>Vendre maison Flüh: Trouvez le bien immobilier qui correspond idéalement à vos désirs sur ImmoScout24 - La plateforme de l'immobilier en Suisse.</v>
      </c>
    </row>
    <row r="5832" hidden="1">
      <c r="A5832" s="5" t="s">
        <v>14760</v>
      </c>
      <c r="B5832" s="2" t="s">
        <v>14761</v>
      </c>
      <c r="C5832" s="2" t="s">
        <v>14761</v>
      </c>
      <c r="D5832" s="4" t="str">
        <f>vlookup(A5832, Sheet2!D:E, 2, 0)</f>
        <v>control</v>
      </c>
      <c r="E5832" s="4" t="str">
        <f>IFERROR(__xludf.DUMMYFUNCTION("if(H5832=""pays"",vlookup(REGEXEXTRACT(C5832, ""🏘️ \w+ \w+ (.*) ✅""),'Country prepositions'!A:B, 2, 0) &amp; "" "" &amp; REGEXEXTRACT(C5832, ""🏘️ \w+ \w+ (.*) ✅"") ,  if(H5832=""quartier"",vlookup(REGEXEXTRACT(C5832, ""🏘️ \w+ \w+ (.*) ✅""),'Quartier prepositio"&amp;"ns'!A:E, 5, 0) ,  if(H5832=""region"",vlookup(REGEXEXTRACT(C5832, ""🏘️ \w+ \w+ (.*) ✅""),'Region prepositions'!B:F, 5, 0),  REGEXEXTRACT(C5832, ""🏘️ \w+ \w+ (.*) ✅""))))"),"#N/A")</f>
        <v>#N/A</v>
      </c>
      <c r="I5832" s="4" t="str">
        <f>IFERROR(__xludf.DUMMYFUNCTION("if(D5832=""variant"",  substitute(filter(Templates!E:E, Templates!A:A = F5832, Templates!B:B = G5832, Templates!C:C = H5832), ""{{}}"", E5832), B5832)"),"Louer appartement Produit (Leytron): Trouvez le bien immobilier qui correspond idéalement à vos désirs sur ImmoScout24 - La plateforme de l'immobilier en Suisse.")</f>
        <v>Louer appartement Produit (Leytron): Trouvez le bien immobilier qui correspond idéalement à vos désirs sur ImmoScout24 - La plateforme de l'immobilier en Suisse.</v>
      </c>
    </row>
    <row r="5833" hidden="1">
      <c r="A5833" s="5" t="s">
        <v>14762</v>
      </c>
      <c r="B5833" s="2" t="s">
        <v>14763</v>
      </c>
      <c r="C5833" s="2" t="s">
        <v>14763</v>
      </c>
      <c r="D5833" s="4" t="str">
        <f>vlookup(A5833, Sheet2!D:E, 2, 0)</f>
        <v>control</v>
      </c>
      <c r="E5833" s="4" t="str">
        <f>IFERROR(__xludf.DUMMYFUNCTION("if(H5833=""pays"",vlookup(REGEXEXTRACT(C5833, ""🏘️ \w+ \w+ (.*) ✅""),'Country prepositions'!A:B, 2, 0) &amp; "" "" &amp; REGEXEXTRACT(C5833, ""🏘️ \w+ \w+ (.*) ✅"") ,  if(H5833=""quartier"",vlookup(REGEXEXTRACT(C5833, ""🏘️ \w+ \w+ (.*) ✅""),'Quartier prepositio"&amp;"ns'!A:E, 5, 0) ,  if(H5833=""region"",vlookup(REGEXEXTRACT(C5833, ""🏘️ \w+ \w+ (.*) ✅""),'Region prepositions'!B:F, 5, 0),  REGEXEXTRACT(C5833, ""🏘️ \w+ \w+ (.*) ✅""))))"),"#N/A")</f>
        <v>#N/A</v>
      </c>
      <c r="I5833" s="4" t="str">
        <f>IFERROR(__xludf.DUMMYFUNCTION("if(D5833=""variant"",  substitute(filter(Templates!E:E, Templates!A:A = F5833, Templates!B:B = G5833, Templates!C:C = H5833), ""{{}}"", E5833), B5833)"),"Vendre appartement Urtenen-Schönbühl: Trouvez le bien immobilier qui correspond idéalement à vos désirs sur ImmoScout24 - La plateforme de l'immobilier en Suisse.")</f>
        <v>Vendre appartement Urtenen-Schönbühl: Trouvez le bien immobilier qui correspond idéalement à vos désirs sur ImmoScout24 - La plateforme de l'immobilier en Suisse.</v>
      </c>
    </row>
    <row r="5834" hidden="1">
      <c r="A5834" s="5" t="s">
        <v>14764</v>
      </c>
      <c r="B5834" s="2" t="s">
        <v>14765</v>
      </c>
      <c r="C5834" s="2" t="s">
        <v>14765</v>
      </c>
      <c r="D5834" s="4" t="str">
        <f>vlookup(A5834, Sheet2!D:E, 2, 0)</f>
        <v>control</v>
      </c>
      <c r="E5834" s="4" t="str">
        <f>IFERROR(__xludf.DUMMYFUNCTION("if(H5834=""pays"",vlookup(REGEXEXTRACT(C5834, ""🏘️ \w+ \w+ (.*) ✅""),'Country prepositions'!A:B, 2, 0) &amp; "" "" &amp; REGEXEXTRACT(C5834, ""🏘️ \w+ \w+ (.*) ✅"") ,  if(H5834=""quartier"",vlookup(REGEXEXTRACT(C5834, ""🏘️ \w+ \w+ (.*) ✅""),'Quartier prepositio"&amp;"ns'!A:E, 5, 0) ,  if(H5834=""region"",vlookup(REGEXEXTRACT(C5834, ""🏘️ \w+ \w+ (.*) ✅""),'Region prepositions'!B:F, 5, 0),  REGEXEXTRACT(C5834, ""🏘️ \w+ \w+ (.*) ✅""))))"),"#N/A")</f>
        <v>#N/A</v>
      </c>
      <c r="I5834" s="4" t="str">
        <f>IFERROR(__xludf.DUMMYFUNCTION("if(D5834=""variant"",  substitute(filter(Templates!E:E, Templates!A:A = F5834, Templates!B:B = G5834, Templates!C:C = H5834), ""{{}}"", E5834), B5834)"),"Vendre maison Progens: Trouvez le bien immobilier qui correspond idéalement à vos désirs sur ImmoScout24 - La plateforme de l'immobilier en Suisse.")</f>
        <v>Vendre maison Progens: Trouvez le bien immobilier qui correspond idéalement à vos désirs sur ImmoScout24 - La plateforme de l'immobilier en Suisse.</v>
      </c>
    </row>
    <row r="5835" hidden="1">
      <c r="A5835" s="5" t="s">
        <v>14766</v>
      </c>
      <c r="B5835" s="2" t="s">
        <v>14767</v>
      </c>
      <c r="C5835" s="2" t="s">
        <v>14767</v>
      </c>
      <c r="D5835" s="4" t="str">
        <f>vlookup(A5835, Sheet2!D:E, 2, 0)</f>
        <v>control</v>
      </c>
      <c r="E5835" s="4" t="str">
        <f>IFERROR(__xludf.DUMMYFUNCTION("if(H5835=""pays"",vlookup(REGEXEXTRACT(C5835, ""🏘️ \w+ \w+ (.*) ✅""),'Country prepositions'!A:B, 2, 0) &amp; "" "" &amp; REGEXEXTRACT(C5835, ""🏘️ \w+ \w+ (.*) ✅"") ,  if(H5835=""quartier"",vlookup(REGEXEXTRACT(C5835, ""🏘️ \w+ \w+ (.*) ✅""),'Quartier prepositio"&amp;"ns'!A:E, 5, 0) ,  if(H5835=""region"",vlookup(REGEXEXTRACT(C5835, ""🏘️ \w+ \w+ (.*) ✅""),'Region prepositions'!B:F, 5, 0),  REGEXEXTRACT(C5835, ""🏘️ \w+ \w+ (.*) ✅""))))"),"#N/A")</f>
        <v>#N/A</v>
      </c>
      <c r="I5835" s="4" t="str">
        <f>IFERROR(__xludf.DUMMYFUNCTION("if(D5835=""variant"",  substitute(filter(Templates!E:E, Templates!A:A = F5835, Templates!B:B = G5835, Templates!C:C = H5835), ""{{}}"", E5835), B5835)"),"Louer appartement Cimo: Trouvez le bien immobilier qui correspond idéalement à vos désirs sur ImmoScout24 - La plateforme de l'immobilier en Suisse.")</f>
        <v>Louer appartement Cimo: Trouvez le bien immobilier qui correspond idéalement à vos désirs sur ImmoScout24 - La plateforme de l'immobilier en Suisse.</v>
      </c>
    </row>
    <row r="5836" hidden="1">
      <c r="A5836" s="5" t="s">
        <v>14768</v>
      </c>
      <c r="B5836" s="2" t="s">
        <v>14769</v>
      </c>
      <c r="C5836" s="2" t="s">
        <v>14769</v>
      </c>
      <c r="D5836" s="4" t="str">
        <f>vlookup(A5836, Sheet2!D:E, 2, 0)</f>
        <v>control</v>
      </c>
      <c r="E5836" s="4" t="str">
        <f>IFERROR(__xludf.DUMMYFUNCTION("if(H5836=""pays"",vlookup(REGEXEXTRACT(C5836, ""🏘️ \w+ \w+ (.*) ✅""),'Country prepositions'!A:B, 2, 0) &amp; "" "" &amp; REGEXEXTRACT(C5836, ""🏘️ \w+ \w+ (.*) ✅"") ,  if(H5836=""quartier"",vlookup(REGEXEXTRACT(C5836, ""🏘️ \w+ \w+ (.*) ✅""),'Quartier prepositio"&amp;"ns'!A:E, 5, 0) ,  if(H5836=""region"",vlookup(REGEXEXTRACT(C5836, ""🏘️ \w+ \w+ (.*) ✅""),'Region prepositions'!B:F, 5, 0),  REGEXEXTRACT(C5836, ""🏘️ \w+ \w+ (.*) ✅""))))"),"#N/A")</f>
        <v>#N/A</v>
      </c>
      <c r="I5836" s="4" t="str">
        <f>IFERROR(__xludf.DUMMYFUNCTION("if(D5836=""variant"",  substitute(filter(Templates!E:E, Templates!A:A = F5836, Templates!B:B = G5836, Templates!C:C = H5836), ""{{}}"", E5836), B5836)"),"Vendre appartement Zurich et environs: Trouvez le bien immobilier qui correspond idéalement à vos désirs sur ImmoScout24 - La plateforme de l'immobilier en Suisse.")</f>
        <v>Vendre appartement Zurich et environs: Trouvez le bien immobilier qui correspond idéalement à vos désirs sur ImmoScout24 - La plateforme de l'immobilier en Suisse.</v>
      </c>
    </row>
    <row r="5837" hidden="1">
      <c r="A5837" s="5" t="s">
        <v>14770</v>
      </c>
      <c r="B5837" s="2" t="s">
        <v>14771</v>
      </c>
      <c r="C5837" s="2" t="s">
        <v>14771</v>
      </c>
      <c r="D5837" s="4" t="str">
        <f>vlookup(A5837, Sheet2!D:E, 2, 0)</f>
        <v>control</v>
      </c>
      <c r="E5837" s="4" t="str">
        <f>IFERROR(__xludf.DUMMYFUNCTION("if(H5837=""pays"",vlookup(REGEXEXTRACT(C5837, ""🏘️ \w+ \w+ (.*) ✅""),'Country prepositions'!A:B, 2, 0) &amp; "" "" &amp; REGEXEXTRACT(C5837, ""🏘️ \w+ \w+ (.*) ✅"") ,  if(H5837=""quartier"",vlookup(REGEXEXTRACT(C5837, ""🏘️ \w+ \w+ (.*) ✅""),'Quartier prepositio"&amp;"ns'!A:E, 5, 0) ,  if(H5837=""region"",vlookup(REGEXEXTRACT(C5837, ""🏘️ \w+ \w+ (.*) ✅""),'Region prepositions'!B:F, 5, 0),  REGEXEXTRACT(C5837, ""🏘️ \w+ \w+ (.*) ✅""))))"),"#N/A")</f>
        <v>#N/A</v>
      </c>
      <c r="I5837" s="4" t="str">
        <f>IFERROR(__xludf.DUMMYFUNCTION("if(D5837=""variant"",  substitute(filter(Templates!E:E, Templates!A:A = F5837, Templates!B:B = G5837, Templates!C:C = H5837), ""{{}}"", E5837), B5837)"),"Vendre maison Vauffelin: Trouvez le bien immobilier qui correspond idéalement à vos désirs sur ImmoScout24 - La plateforme de l'immobilier en Suisse.")</f>
        <v>Vendre maison Vauffelin: Trouvez le bien immobilier qui correspond idéalement à vos désirs sur ImmoScout24 - La plateforme de l'immobilier en Suisse.</v>
      </c>
    </row>
    <row r="5838" hidden="1">
      <c r="A5838" s="5" t="s">
        <v>14772</v>
      </c>
      <c r="B5838" s="2" t="s">
        <v>14773</v>
      </c>
      <c r="C5838" s="2" t="s">
        <v>14773</v>
      </c>
      <c r="D5838" s="4" t="str">
        <f>vlookup(A5838, Sheet2!D:E, 2, 0)</f>
        <v>control</v>
      </c>
      <c r="E5838" s="4" t="str">
        <f>IFERROR(__xludf.DUMMYFUNCTION("if(H5838=""pays"",vlookup(REGEXEXTRACT(C5838, ""🏘️ \w+ \w+ (.*) ✅""),'Country prepositions'!A:B, 2, 0) &amp; "" "" &amp; REGEXEXTRACT(C5838, ""🏘️ \w+ \w+ (.*) ✅"") ,  if(H5838=""quartier"",vlookup(REGEXEXTRACT(C5838, ""🏘️ \w+ \w+ (.*) ✅""),'Quartier prepositio"&amp;"ns'!A:E, 5, 0) ,  if(H5838=""region"",vlookup(REGEXEXTRACT(C5838, ""🏘️ \w+ \w+ (.*) ✅""),'Region prepositions'!B:F, 5, 0),  REGEXEXTRACT(C5838, ""🏘️ \w+ \w+ (.*) ✅""))))"),"#N/A")</f>
        <v>#N/A</v>
      </c>
      <c r="I5838" s="4" t="str">
        <f>IFERROR(__xludf.DUMMYFUNCTION("if(D5838=""variant"",  substitute(filter(Templates!E:E, Templates!A:A = F5838, Templates!B:B = G5838, Templates!C:C = H5838), ""{{}}"", E5838), B5838)"),"Louer appartement Cudrefin: Trouvez le bien immobilier qui correspond idéalement à vos désirs sur ImmoScout24 - La plateforme de l'immobilier en Suisse.")</f>
        <v>Louer appartement Cudrefin: Trouvez le bien immobilier qui correspond idéalement à vos désirs sur ImmoScout24 - La plateforme de l'immobilier en Suisse.</v>
      </c>
    </row>
    <row r="5839" hidden="1">
      <c r="A5839" s="5" t="s">
        <v>14774</v>
      </c>
      <c r="B5839" s="2" t="s">
        <v>14775</v>
      </c>
      <c r="C5839" s="2" t="s">
        <v>14775</v>
      </c>
      <c r="D5839" s="4" t="str">
        <f>vlookup(A5839, Sheet2!D:E, 2, 0)</f>
        <v>control</v>
      </c>
      <c r="E5839" s="4" t="str">
        <f>IFERROR(__xludf.DUMMYFUNCTION("if(H5839=""pays"",vlookup(REGEXEXTRACT(C5839, ""🏘️ \w+ \w+ (.*) ✅""),'Country prepositions'!A:B, 2, 0) &amp; "" "" &amp; REGEXEXTRACT(C5839, ""🏘️ \w+ \w+ (.*) ✅"") ,  if(H5839=""quartier"",vlookup(REGEXEXTRACT(C5839, ""🏘️ \w+ \w+ (.*) ✅""),'Quartier prepositio"&amp;"ns'!A:E, 5, 0) ,  if(H5839=""region"",vlookup(REGEXEXTRACT(C5839, ""🏘️ \w+ \w+ (.*) ✅""),'Region prepositions'!B:F, 5, 0),  REGEXEXTRACT(C5839, ""🏘️ \w+ \w+ (.*) ✅""))))"),"#N/A")</f>
        <v>#N/A</v>
      </c>
      <c r="I5839" s="4" t="str">
        <f>IFERROR(__xludf.DUMMYFUNCTION("if(D5839=""variant"",  substitute(filter(Templates!E:E, Templates!A:A = F5839, Templates!B:B = G5839, Templates!C:C = H5839), ""{{}}"", E5839), B5839)"),"Louer appartement Albligen: Trouvez le bien immobilier qui correspond idéalement à vos désirs sur ImmoScout24 - La plateforme de l'immobilier en Suisse.")</f>
        <v>Louer appartement Albligen: Trouvez le bien immobilier qui correspond idéalement à vos désirs sur ImmoScout24 - La plateforme de l'immobilier en Suisse.</v>
      </c>
    </row>
    <row r="5840" hidden="1">
      <c r="A5840" s="5" t="s">
        <v>14776</v>
      </c>
      <c r="B5840" s="2" t="s">
        <v>14777</v>
      </c>
      <c r="C5840" s="2" t="s">
        <v>14777</v>
      </c>
      <c r="D5840" s="4" t="str">
        <f>vlookup(A5840, Sheet2!D:E, 2, 0)</f>
        <v>control</v>
      </c>
      <c r="E5840" s="4" t="str">
        <f>IFERROR(__xludf.DUMMYFUNCTION("if(H5840=""pays"",vlookup(REGEXEXTRACT(C5840, ""🏘️ \w+ \w+ (.*) ✅""),'Country prepositions'!A:B, 2, 0) &amp; "" "" &amp; REGEXEXTRACT(C5840, ""🏘️ \w+ \w+ (.*) ✅"") ,  if(H5840=""quartier"",vlookup(REGEXEXTRACT(C5840, ""🏘️ \w+ \w+ (.*) ✅""),'Quartier prepositio"&amp;"ns'!A:E, 5, 0) ,  if(H5840=""region"",vlookup(REGEXEXTRACT(C5840, ""🏘️ \w+ \w+ (.*) ✅""),'Region prepositions'!B:F, 5, 0),  REGEXEXTRACT(C5840, ""🏘️ \w+ \w+ (.*) ✅""))))"),"#N/A")</f>
        <v>#N/A</v>
      </c>
      <c r="I5840" s="4" t="str">
        <f>IFERROR(__xludf.DUMMYFUNCTION("if(D5840=""variant"",  substitute(filter(Templates!E:E, Templates!A:A = F5840, Templates!B:B = G5840, Templates!C:C = H5840), ""{{}}"", E5840), B5840)"),"Louer appartement Lussery-Villars: Trouvez le bien immobilier qui correspond idéalement à vos désirs sur ImmoScout24 - La plateforme de l'immobilier en Suisse.")</f>
        <v>Louer appartement Lussery-Villars: Trouvez le bien immobilier qui correspond idéalement à vos désirs sur ImmoScout24 - La plateforme de l'immobilier en Suisse.</v>
      </c>
    </row>
    <row r="5841" hidden="1">
      <c r="A5841" s="5" t="s">
        <v>14778</v>
      </c>
      <c r="B5841" s="2" t="s">
        <v>14779</v>
      </c>
      <c r="C5841" s="2" t="s">
        <v>14779</v>
      </c>
      <c r="D5841" s="4" t="str">
        <f>vlookup(A5841, Sheet2!D:E, 2, 0)</f>
        <v>control</v>
      </c>
      <c r="E5841" s="4" t="str">
        <f>IFERROR(__xludf.DUMMYFUNCTION("if(H5841=""pays"",vlookup(REGEXEXTRACT(C5841, ""🏘️ \w+ \w+ (.*) ✅""),'Country prepositions'!A:B, 2, 0) &amp; "" "" &amp; REGEXEXTRACT(C5841, ""🏘️ \w+ \w+ (.*) ✅"") ,  if(H5841=""quartier"",vlookup(REGEXEXTRACT(C5841, ""🏘️ \w+ \w+ (.*) ✅""),'Quartier prepositio"&amp;"ns'!A:E, 5, 0) ,  if(H5841=""region"",vlookup(REGEXEXTRACT(C5841, ""🏘️ \w+ \w+ (.*) ✅""),'Region prepositions'!B:F, 5, 0),  REGEXEXTRACT(C5841, ""🏘️ \w+ \w+ (.*) ✅""))))"),"#N/A")</f>
        <v>#N/A</v>
      </c>
      <c r="I5841" s="4" t="str">
        <f>IFERROR(__xludf.DUMMYFUNCTION("if(D5841=""variant"",  substitute(filter(Templates!E:E, Templates!A:A = F5841, Templates!B:B = G5841, Templates!C:C = H5841), ""{{}}"", E5841), B5841)"),"Vendre maison Puplinge: Trouvez le bien immobilier qui correspond idéalement à vos désirs sur ImmoScout24 - La plateforme de l'immobilier en Suisse.")</f>
        <v>Vendre maison Puplinge: Trouvez le bien immobilier qui correspond idéalement à vos désirs sur ImmoScout24 - La plateforme de l'immobilier en Suisse.</v>
      </c>
    </row>
    <row r="5842" hidden="1">
      <c r="A5842" s="5" t="s">
        <v>14780</v>
      </c>
      <c r="B5842" s="2" t="s">
        <v>14781</v>
      </c>
      <c r="C5842" s="2" t="s">
        <v>14781</v>
      </c>
      <c r="D5842" s="4" t="str">
        <f>vlookup(A5842, Sheet2!D:E, 2, 0)</f>
        <v>control</v>
      </c>
      <c r="E5842" s="4" t="str">
        <f>IFERROR(__xludf.DUMMYFUNCTION("if(H5842=""pays"",vlookup(REGEXEXTRACT(C5842, ""🏘️ \w+ \w+ (.*) ✅""),'Country prepositions'!A:B, 2, 0) &amp; "" "" &amp; REGEXEXTRACT(C5842, ""🏘️ \w+ \w+ (.*) ✅"") ,  if(H5842=""quartier"",vlookup(REGEXEXTRACT(C5842, ""🏘️ \w+ \w+ (.*) ✅""),'Quartier prepositio"&amp;"ns'!A:E, 5, 0) ,  if(H5842=""region"",vlookup(REGEXEXTRACT(C5842, ""🏘️ \w+ \w+ (.*) ✅""),'Region prepositions'!B:F, 5, 0),  REGEXEXTRACT(C5842, ""🏘️ \w+ \w+ (.*) ✅""))))"),"#N/A")</f>
        <v>#N/A</v>
      </c>
      <c r="I5842" s="4" t="str">
        <f>IFERROR(__xludf.DUMMYFUNCTION("if(D5842=""variant"",  substitute(filter(Templates!E:E, Templates!A:A = F5842, Templates!B:B = G5842, Templates!C:C = H5842), ""{{}}"", E5842), B5842)"),"Louer appartement Krauchthal: Trouvez le bien immobilier qui correspond idéalement à vos désirs sur ImmoScout24 - La plateforme de l'immobilier en Suisse.")</f>
        <v>Louer appartement Krauchthal: Trouvez le bien immobilier qui correspond idéalement à vos désirs sur ImmoScout24 - La plateforme de l'immobilier en Suisse.</v>
      </c>
    </row>
    <row r="5843" hidden="1">
      <c r="A5843" s="5" t="s">
        <v>14782</v>
      </c>
      <c r="B5843" s="2" t="s">
        <v>14783</v>
      </c>
      <c r="C5843" s="2" t="s">
        <v>14783</v>
      </c>
      <c r="D5843" s="4" t="str">
        <f>vlookup(A5843, Sheet2!D:E, 2, 0)</f>
        <v>control</v>
      </c>
      <c r="E5843" s="4" t="str">
        <f>IFERROR(__xludf.DUMMYFUNCTION("if(H5843=""pays"",vlookup(REGEXEXTRACT(C5843, ""🏘️ \w+ \w+ (.*) ✅""),'Country prepositions'!A:B, 2, 0) &amp; "" "" &amp; REGEXEXTRACT(C5843, ""🏘️ \w+ \w+ (.*) ✅"") ,  if(H5843=""quartier"",vlookup(REGEXEXTRACT(C5843, ""🏘️ \w+ \w+ (.*) ✅""),'Quartier prepositio"&amp;"ns'!A:E, 5, 0) ,  if(H5843=""region"",vlookup(REGEXEXTRACT(C5843, ""🏘️ \w+ \w+ (.*) ✅""),'Region prepositions'!B:F, 5, 0),  REGEXEXTRACT(C5843, ""🏘️ \w+ \w+ (.*) ✅""))))"),"#N/A")</f>
        <v>#N/A</v>
      </c>
      <c r="I5843" s="4" t="str">
        <f>IFERROR(__xludf.DUMMYFUNCTION("if(D5843=""variant"",  substitute(filter(Templates!E:E, Templates!A:A = F5843, Templates!B:B = G5843, Templates!C:C = H5843), ""{{}}"", E5843), B5843)"),"Vendre appartement Lavey-Village: Trouvez le bien immobilier qui correspond idéalement à vos désirs sur ImmoScout24 - La plateforme de l'immobilier en Suisse.")</f>
        <v>Vendre appartement Lavey-Village: Trouvez le bien immobilier qui correspond idéalement à vos désirs sur ImmoScout24 - La plateforme de l'immobilier en Suisse.</v>
      </c>
    </row>
    <row r="5844" hidden="1">
      <c r="A5844" s="5" t="s">
        <v>14784</v>
      </c>
      <c r="B5844" s="2" t="s">
        <v>14785</v>
      </c>
      <c r="C5844" s="2" t="s">
        <v>14785</v>
      </c>
      <c r="D5844" s="4" t="str">
        <f>vlookup(A5844, Sheet2!D:E, 2, 0)</f>
        <v>control</v>
      </c>
      <c r="E5844" s="4" t="str">
        <f>IFERROR(__xludf.DUMMYFUNCTION("if(H5844=""pays"",vlookup(REGEXEXTRACT(C5844, ""🏘️ \w+ \w+ (.*) ✅""),'Country prepositions'!A:B, 2, 0) &amp; "" "" &amp; REGEXEXTRACT(C5844, ""🏘️ \w+ \w+ (.*) ✅"") ,  if(H5844=""quartier"",vlookup(REGEXEXTRACT(C5844, ""🏘️ \w+ \w+ (.*) ✅""),'Quartier prepositio"&amp;"ns'!A:E, 5, 0) ,  if(H5844=""region"",vlookup(REGEXEXTRACT(C5844, ""🏘️ \w+ \w+ (.*) ✅""),'Region prepositions'!B:F, 5, 0),  REGEXEXTRACT(C5844, ""🏘️ \w+ \w+ (.*) ✅""))))"),"#N/A")</f>
        <v>#N/A</v>
      </c>
      <c r="I5844" s="4" t="str">
        <f>IFERROR(__xludf.DUMMYFUNCTION("if(D5844=""variant"",  substitute(filter(Templates!E:E, Templates!A:A = F5844, Templates!B:B = G5844, Templates!C:C = H5844), ""{{}}"", E5844), B5844)"),"Louer maison Meyrin: Trouvez le bien immobilier qui correspond idéalement à vos désirs sur ImmoScout24 - La plateforme de l'immobilier en Suisse.")</f>
        <v>Louer maison Meyrin: Trouvez le bien immobilier qui correspond idéalement à vos désirs sur ImmoScout24 - La plateforme de l'immobilier en Suisse.</v>
      </c>
    </row>
    <row r="5845" hidden="1">
      <c r="A5845" s="5" t="s">
        <v>14786</v>
      </c>
      <c r="B5845" s="2" t="s">
        <v>14787</v>
      </c>
      <c r="C5845" s="2" t="s">
        <v>14787</v>
      </c>
      <c r="D5845" s="4" t="str">
        <f>vlookup(A5845, Sheet2!D:E, 2, 0)</f>
        <v>control</v>
      </c>
      <c r="E5845" s="4" t="str">
        <f>IFERROR(__xludf.DUMMYFUNCTION("if(H5845=""pays"",vlookup(REGEXEXTRACT(C5845, ""🏘️ \w+ \w+ (.*) ✅""),'Country prepositions'!A:B, 2, 0) &amp; "" "" &amp; REGEXEXTRACT(C5845, ""🏘️ \w+ \w+ (.*) ✅"") ,  if(H5845=""quartier"",vlookup(REGEXEXTRACT(C5845, ""🏘️ \w+ \w+ (.*) ✅""),'Quartier prepositio"&amp;"ns'!A:E, 5, 0) ,  if(H5845=""region"",vlookup(REGEXEXTRACT(C5845, ""🏘️ \w+ \w+ (.*) ✅""),'Region prepositions'!B:F, 5, 0),  REGEXEXTRACT(C5845, ""🏘️ \w+ \w+ (.*) ✅""))))"),"#N/A")</f>
        <v>#N/A</v>
      </c>
      <c r="I5845" s="4" t="str">
        <f>IFERROR(__xludf.DUMMYFUNCTION("if(D5845=""variant"",  substitute(filter(Templates!E:E, Templates!A:A = F5845, Templates!B:B = G5845, Templates!C:C = H5845), ""{{}}"", E5845), B5845)"),"Louer maison Montagnola: Trouvez le bien immobilier qui correspond idéalement à vos désirs sur ImmoScout24 - La plateforme de l'immobilier en Suisse.")</f>
        <v>Louer maison Montagnola: Trouvez le bien immobilier qui correspond idéalement à vos désirs sur ImmoScout24 - La plateforme de l'immobilier en Suisse.</v>
      </c>
    </row>
    <row r="5846" hidden="1">
      <c r="A5846" s="5" t="s">
        <v>14788</v>
      </c>
      <c r="B5846" s="2" t="s">
        <v>14789</v>
      </c>
      <c r="C5846" s="2" t="s">
        <v>14789</v>
      </c>
      <c r="D5846" s="4" t="str">
        <f>vlookup(A5846, Sheet2!D:E, 2, 0)</f>
        <v>control</v>
      </c>
      <c r="E5846" s="4" t="str">
        <f>IFERROR(__xludf.DUMMYFUNCTION("if(H5846=""pays"",vlookup(REGEXEXTRACT(C5846, ""🏘️ \w+ \w+ (.*) ✅""),'Country prepositions'!A:B, 2, 0) &amp; "" "" &amp; REGEXEXTRACT(C5846, ""🏘️ \w+ \w+ (.*) ✅"") ,  if(H5846=""quartier"",vlookup(REGEXEXTRACT(C5846, ""🏘️ \w+ \w+ (.*) ✅""),'Quartier prepositio"&amp;"ns'!A:E, 5, 0) ,  if(H5846=""region"",vlookup(REGEXEXTRACT(C5846, ""🏘️ \w+ \w+ (.*) ✅""),'Region prepositions'!B:F, 5, 0),  REGEXEXTRACT(C5846, ""🏘️ \w+ \w+ (.*) ✅""))))"),"#N/A")</f>
        <v>#N/A</v>
      </c>
      <c r="I5846" s="4" t="str">
        <f>IFERROR(__xludf.DUMMYFUNCTION("if(D5846=""variant"",  substitute(filter(Templates!E:E, Templates!A:A = F5846, Templates!B:B = G5846, Templates!C:C = H5846), ""{{}}"", E5846), B5846)"),"Louer appartement Ropraz: Trouvez le bien immobilier qui correspond idéalement à vos désirs sur ImmoScout24 - La plateforme de l'immobilier en Suisse.")</f>
        <v>Louer appartement Ropraz: Trouvez le bien immobilier qui correspond idéalement à vos désirs sur ImmoScout24 - La plateforme de l'immobilier en Suisse.</v>
      </c>
    </row>
    <row r="5847" hidden="1">
      <c r="A5847" s="5" t="s">
        <v>14790</v>
      </c>
      <c r="B5847" s="2" t="s">
        <v>14791</v>
      </c>
      <c r="C5847" s="2" t="s">
        <v>14791</v>
      </c>
      <c r="D5847" s="4" t="str">
        <f>vlookup(A5847, Sheet2!D:E, 2, 0)</f>
        <v>control</v>
      </c>
      <c r="E5847" s="4" t="str">
        <f>IFERROR(__xludf.DUMMYFUNCTION("if(H5847=""pays"",vlookup(REGEXEXTRACT(C5847, ""🏘️ \w+ \w+ (.*) ✅""),'Country prepositions'!A:B, 2, 0) &amp; "" "" &amp; REGEXEXTRACT(C5847, ""🏘️ \w+ \w+ (.*) ✅"") ,  if(H5847=""quartier"",vlookup(REGEXEXTRACT(C5847, ""🏘️ \w+ \w+ (.*) ✅""),'Quartier prepositio"&amp;"ns'!A:E, 5, 0) ,  if(H5847=""region"",vlookup(REGEXEXTRACT(C5847, ""🏘️ \w+ \w+ (.*) ✅""),'Region prepositions'!B:F, 5, 0),  REGEXEXTRACT(C5847, ""🏘️ \w+ \w+ (.*) ✅""))))"),"#N/A")</f>
        <v>#N/A</v>
      </c>
      <c r="I5847" s="4" t="str">
        <f>IFERROR(__xludf.DUMMYFUNCTION("if(D5847=""variant"",  substitute(filter(Templates!E:E, Templates!A:A = F5847, Templates!B:B = G5847, Templates!C:C = H5847), ""{{}}"", E5847), B5847)"),"Louer appartement Jouxtens-Mézery: Trouvez le bien immobilier qui correspond idéalement à vos désirs sur ImmoScout24 - La plateforme de l'immobilier en Suisse.")</f>
        <v>Louer appartement Jouxtens-Mézery: Trouvez le bien immobilier qui correspond idéalement à vos désirs sur ImmoScout24 - La plateforme de l'immobilier en Suisse.</v>
      </c>
    </row>
    <row r="5848" hidden="1">
      <c r="A5848" s="5" t="s">
        <v>14792</v>
      </c>
      <c r="B5848" s="2" t="s">
        <v>14793</v>
      </c>
      <c r="C5848" s="2" t="s">
        <v>14793</v>
      </c>
      <c r="D5848" s="4" t="str">
        <f>vlookup(A5848, Sheet2!D:E, 2, 0)</f>
        <v>control</v>
      </c>
      <c r="E5848" s="4" t="str">
        <f>IFERROR(__xludf.DUMMYFUNCTION("if(H5848=""pays"",vlookup(REGEXEXTRACT(C5848, ""🏘️ \w+ \w+ (.*) ✅""),'Country prepositions'!A:B, 2, 0) &amp; "" "" &amp; REGEXEXTRACT(C5848, ""🏘️ \w+ \w+ (.*) ✅"") ,  if(H5848=""quartier"",vlookup(REGEXEXTRACT(C5848, ""🏘️ \w+ \w+ (.*) ✅""),'Quartier prepositio"&amp;"ns'!A:E, 5, 0) ,  if(H5848=""region"",vlookup(REGEXEXTRACT(C5848, ""🏘️ \w+ \w+ (.*) ✅""),'Region prepositions'!B:F, 5, 0),  REGEXEXTRACT(C5848, ""🏘️ \w+ \w+ (.*) ✅""))))"),"#N/A")</f>
        <v>#N/A</v>
      </c>
      <c r="I5848" s="4" t="str">
        <f>IFERROR(__xludf.DUMMYFUNCTION("if(D5848=""variant"",  substitute(filter(Templates!E:E, Templates!A:A = F5848, Templates!B:B = G5848, Templates!C:C = H5848), ""{{}}"", E5848), B5848)"),"Louer appartement Schaan: Trouvez le bien immobilier qui correspond idéalement à vos désirs sur ImmoScout24 - La plateforme de l'immobilier en Suisse.")</f>
        <v>Louer appartement Schaan: Trouvez le bien immobilier qui correspond idéalement à vos désirs sur ImmoScout24 - La plateforme de l'immobilier en Suisse.</v>
      </c>
    </row>
    <row r="5849" hidden="1">
      <c r="A5849" s="5" t="s">
        <v>14794</v>
      </c>
      <c r="B5849" s="2" t="s">
        <v>14795</v>
      </c>
      <c r="C5849" s="2" t="s">
        <v>14795</v>
      </c>
      <c r="D5849" s="4" t="str">
        <f>vlookup(A5849, Sheet2!D:E, 2, 0)</f>
        <v>control</v>
      </c>
      <c r="E5849" s="4" t="str">
        <f>IFERROR(__xludf.DUMMYFUNCTION("if(H5849=""pays"",vlookup(REGEXEXTRACT(C5849, ""🏘️ \w+ \w+ (.*) ✅""),'Country prepositions'!A:B, 2, 0) &amp; "" "" &amp; REGEXEXTRACT(C5849, ""🏘️ \w+ \w+ (.*) ✅"") ,  if(H5849=""quartier"",vlookup(REGEXEXTRACT(C5849, ""🏘️ \w+ \w+ (.*) ✅""),'Quartier prepositio"&amp;"ns'!A:E, 5, 0) ,  if(H5849=""region"",vlookup(REGEXEXTRACT(C5849, ""🏘️ \w+ \w+ (.*) ✅""),'Region prepositions'!B:F, 5, 0),  REGEXEXTRACT(C5849, ""🏘️ \w+ \w+ (.*) ✅""))))"),"#N/A")</f>
        <v>#N/A</v>
      </c>
      <c r="I5849" s="4" t="str">
        <f>IFERROR(__xludf.DUMMYFUNCTION("if(D5849=""variant"",  substitute(filter(Templates!E:E, Templates!A:A = F5849, Templates!B:B = G5849, Templates!C:C = H5849), ""{{}}"", E5849), B5849)"),"Louer appartement Ecublens VD: Trouvez le bien immobilier qui correspond idéalement à vos désirs sur ImmoScout24 - La plateforme de l'immobilier en Suisse.")</f>
        <v>Louer appartement Ecublens VD: Trouvez le bien immobilier qui correspond idéalement à vos désirs sur ImmoScout24 - La plateforme de l'immobilier en Suisse.</v>
      </c>
    </row>
    <row r="5850" hidden="1">
      <c r="A5850" s="5" t="s">
        <v>14796</v>
      </c>
      <c r="B5850" s="2" t="s">
        <v>14797</v>
      </c>
      <c r="C5850" s="2" t="s">
        <v>14797</v>
      </c>
      <c r="D5850" s="4" t="str">
        <f>vlookup(A5850, Sheet2!D:E, 2, 0)</f>
        <v>control</v>
      </c>
      <c r="E5850" s="4" t="str">
        <f>IFERROR(__xludf.DUMMYFUNCTION("if(H5850=""pays"",vlookup(REGEXEXTRACT(C5850, ""🏘️ \w+ \w+ (.*) ✅""),'Country prepositions'!A:B, 2, 0) &amp; "" "" &amp; REGEXEXTRACT(C5850, ""🏘️ \w+ \w+ (.*) ✅"") ,  if(H5850=""quartier"",vlookup(REGEXEXTRACT(C5850, ""🏘️ \w+ \w+ (.*) ✅""),'Quartier prepositio"&amp;"ns'!A:E, 5, 0) ,  if(H5850=""region"",vlookup(REGEXEXTRACT(C5850, ""🏘️ \w+ \w+ (.*) ✅""),'Region prepositions'!B:F, 5, 0),  REGEXEXTRACT(C5850, ""🏘️ \w+ \w+ (.*) ✅""))))"),"#N/A")</f>
        <v>#N/A</v>
      </c>
      <c r="I5850" s="4" t="str">
        <f>IFERROR(__xludf.DUMMYFUNCTION("if(D5850=""variant"",  substitute(filter(Templates!E:E, Templates!A:A = F5850, Templates!B:B = G5850, Templates!C:C = H5850), ""{{}}"", E5850), B5850)"),"Louer maison Vessy: Trouvez le bien immobilier qui correspond idéalement à vos désirs sur ImmoScout24 - La plateforme de l'immobilier en Suisse.")</f>
        <v>Louer maison Vessy: Trouvez le bien immobilier qui correspond idéalement à vos désirs sur ImmoScout24 - La plateforme de l'immobilier en Suisse.</v>
      </c>
    </row>
    <row r="5851" hidden="1">
      <c r="A5851" s="5" t="s">
        <v>14798</v>
      </c>
      <c r="B5851" s="2" t="s">
        <v>14799</v>
      </c>
      <c r="C5851" s="2" t="s">
        <v>14799</v>
      </c>
      <c r="D5851" s="4" t="str">
        <f>vlookup(A5851, Sheet2!D:E, 2, 0)</f>
        <v>control</v>
      </c>
      <c r="E5851" s="4" t="str">
        <f>IFERROR(__xludf.DUMMYFUNCTION("if(H5851=""pays"",vlookup(REGEXEXTRACT(C5851, ""🏘️ \w+ \w+ (.*) ✅""),'Country prepositions'!A:B, 2, 0) &amp; "" "" &amp; REGEXEXTRACT(C5851, ""🏘️ \w+ \w+ (.*) ✅"") ,  if(H5851=""quartier"",vlookup(REGEXEXTRACT(C5851, ""🏘️ \w+ \w+ (.*) ✅""),'Quartier prepositio"&amp;"ns'!A:E, 5, 0) ,  if(H5851=""region"",vlookup(REGEXEXTRACT(C5851, ""🏘️ \w+ \w+ (.*) ✅""),'Region prepositions'!B:F, 5, 0),  REGEXEXTRACT(C5851, ""🏘️ \w+ \w+ (.*) ✅""))))"),"#N/A")</f>
        <v>#N/A</v>
      </c>
      <c r="I5851" s="4" t="str">
        <f>IFERROR(__xludf.DUMMYFUNCTION("if(D5851=""variant"",  substitute(filter(Templates!E:E, Templates!A:A = F5851, Templates!B:B = G5851, Templates!C:C = H5851), ""{{}}"", E5851), B5851)"),"Vendre maison Lieffrens: Trouvez le bien immobilier qui correspond idéalement à vos désirs sur ImmoScout24 - La plateforme de l'immobilier en Suisse.")</f>
        <v>Vendre maison Lieffrens: Trouvez le bien immobilier qui correspond idéalement à vos désirs sur ImmoScout24 - La plateforme de l'immobilier en Suisse.</v>
      </c>
    </row>
    <row r="5852" hidden="1">
      <c r="A5852" s="5" t="s">
        <v>14800</v>
      </c>
      <c r="B5852" s="2" t="s">
        <v>14801</v>
      </c>
      <c r="C5852" s="2" t="s">
        <v>14801</v>
      </c>
      <c r="D5852" s="4" t="str">
        <f>vlookup(A5852, Sheet2!D:E, 2, 0)</f>
        <v>control</v>
      </c>
      <c r="E5852" s="4" t="str">
        <f>IFERROR(__xludf.DUMMYFUNCTION("if(H5852=""pays"",vlookup(REGEXEXTRACT(C5852, ""🏘️ \w+ \w+ (.*) ✅""),'Country prepositions'!A:B, 2, 0) &amp; "" "" &amp; REGEXEXTRACT(C5852, ""🏘️ \w+ \w+ (.*) ✅"") ,  if(H5852=""quartier"",vlookup(REGEXEXTRACT(C5852, ""🏘️ \w+ \w+ (.*) ✅""),'Quartier prepositio"&amp;"ns'!A:E, 5, 0) ,  if(H5852=""region"",vlookup(REGEXEXTRACT(C5852, ""🏘️ \w+ \w+ (.*) ✅""),'Region prepositions'!B:F, 5, 0),  REGEXEXTRACT(C5852, ""🏘️ \w+ \w+ (.*) ✅""))))"),"#N/A")</f>
        <v>#N/A</v>
      </c>
      <c r="I5852" s="4" t="str">
        <f>IFERROR(__xludf.DUMMYFUNCTION("if(D5852=""variant"",  substitute(filter(Templates!E:E, Templates!A:A = F5852, Templates!B:B = G5852, Templates!C:C = H5852), ""{{}}"", E5852), B5852)"),"Vendre maison Gerra (Gambarogno): Trouvez le bien immobilier qui correspond idéalement à vos désirs sur ImmoScout24 - La plateforme de l'immobilier en Suisse.")</f>
        <v>Vendre maison Gerra (Gambarogno): Trouvez le bien immobilier qui correspond idéalement à vos désirs sur ImmoScout24 - La plateforme de l'immobilier en Suisse.</v>
      </c>
    </row>
    <row r="5853" hidden="1">
      <c r="A5853" s="5" t="s">
        <v>14802</v>
      </c>
      <c r="B5853" s="2" t="s">
        <v>14803</v>
      </c>
      <c r="C5853" s="2" t="s">
        <v>14803</v>
      </c>
      <c r="D5853" s="4" t="str">
        <f>vlookup(A5853, Sheet2!D:E, 2, 0)</f>
        <v>control</v>
      </c>
      <c r="E5853" s="4" t="str">
        <f>IFERROR(__xludf.DUMMYFUNCTION("if(H5853=""pays"",vlookup(REGEXEXTRACT(C5853, ""🏘️ \w+ \w+ (.*) ✅""),'Country prepositions'!A:B, 2, 0) &amp; "" "" &amp; REGEXEXTRACT(C5853, ""🏘️ \w+ \w+ (.*) ✅"") ,  if(H5853=""quartier"",vlookup(REGEXEXTRACT(C5853, ""🏘️ \w+ \w+ (.*) ✅""),'Quartier prepositio"&amp;"ns'!A:E, 5, 0) ,  if(H5853=""region"",vlookup(REGEXEXTRACT(C5853, ""🏘️ \w+ \w+ (.*) ✅""),'Region prepositions'!B:F, 5, 0),  REGEXEXTRACT(C5853, ""🏘️ \w+ \w+ (.*) ✅""))))"),"#N/A")</f>
        <v>#N/A</v>
      </c>
      <c r="I5853" s="4" t="str">
        <f>IFERROR(__xludf.DUMMYFUNCTION("if(D5853=""variant"",  substitute(filter(Templates!E:E, Templates!A:A = F5853, Templates!B:B = G5853, Templates!C:C = H5853), ""{{}}"", E5853), B5853)"),"Vendre appartement Chiasso: Trouvez le bien immobilier qui correspond idéalement à vos désirs sur ImmoScout24 - La plateforme de l'immobilier en Suisse.")</f>
        <v>Vendre appartement Chiasso: Trouvez le bien immobilier qui correspond idéalement à vos désirs sur ImmoScout24 - La plateforme de l'immobilier en Suisse.</v>
      </c>
    </row>
    <row r="5854" hidden="1">
      <c r="A5854" s="5" t="s">
        <v>14804</v>
      </c>
      <c r="B5854" s="2" t="s">
        <v>14805</v>
      </c>
      <c r="C5854" s="2" t="s">
        <v>14805</v>
      </c>
      <c r="D5854" s="4" t="str">
        <f>vlookup(A5854, Sheet2!D:E, 2, 0)</f>
        <v>control</v>
      </c>
      <c r="E5854" s="4" t="str">
        <f>IFERROR(__xludf.DUMMYFUNCTION("if(H5854=""pays"",vlookup(REGEXEXTRACT(C5854, ""🏘️ \w+ \w+ (.*) ✅""),'Country prepositions'!A:B, 2, 0) &amp; "" "" &amp; REGEXEXTRACT(C5854, ""🏘️ \w+ \w+ (.*) ✅"") ,  if(H5854=""quartier"",vlookup(REGEXEXTRACT(C5854, ""🏘️ \w+ \w+ (.*) ✅""),'Quartier prepositio"&amp;"ns'!A:E, 5, 0) ,  if(H5854=""region"",vlookup(REGEXEXTRACT(C5854, ""🏘️ \w+ \w+ (.*) ✅""),'Region prepositions'!B:F, 5, 0),  REGEXEXTRACT(C5854, ""🏘️ \w+ \w+ (.*) ✅""))))"),"#N/A")</f>
        <v>#N/A</v>
      </c>
      <c r="I5854" s="4" t="str">
        <f>IFERROR(__xludf.DUMMYFUNCTION("if(D5854=""variant"",  substitute(filter(Templates!E:E, Templates!A:A = F5854, Templates!B:B = G5854, Templates!C:C = H5854), ""{{}}"", E5854), B5854)"),"Louer appartement Cernier: Trouvez le bien immobilier qui correspond idéalement à vos désirs sur ImmoScout24 - La plateforme de l'immobilier en Suisse.")</f>
        <v>Louer appartement Cernier: Trouvez le bien immobilier qui correspond idéalement à vos désirs sur ImmoScout24 - La plateforme de l'immobilier en Suisse.</v>
      </c>
    </row>
    <row r="5855" hidden="1">
      <c r="A5855" s="5" t="s">
        <v>14806</v>
      </c>
      <c r="B5855" s="2" t="s">
        <v>14807</v>
      </c>
      <c r="C5855" s="2" t="s">
        <v>14807</v>
      </c>
      <c r="D5855" s="4" t="str">
        <f>vlookup(A5855, Sheet2!D:E, 2, 0)</f>
        <v>control</v>
      </c>
      <c r="E5855" s="4" t="str">
        <f>IFERROR(__xludf.DUMMYFUNCTION("if(H5855=""pays"",vlookup(REGEXEXTRACT(C5855, ""🏘️ \w+ \w+ (.*) ✅""),'Country prepositions'!A:B, 2, 0) &amp; "" "" &amp; REGEXEXTRACT(C5855, ""🏘️ \w+ \w+ (.*) ✅"") ,  if(H5855=""quartier"",vlookup(REGEXEXTRACT(C5855, ""🏘️ \w+ \w+ (.*) ✅""),'Quartier prepositio"&amp;"ns'!A:E, 5, 0) ,  if(H5855=""region"",vlookup(REGEXEXTRACT(C5855, ""🏘️ \w+ \w+ (.*) ✅""),'Region prepositions'!B:F, 5, 0),  REGEXEXTRACT(C5855, ""🏘️ \w+ \w+ (.*) ✅""))))"),"#N/A")</f>
        <v>#N/A</v>
      </c>
      <c r="I5855" s="4" t="str">
        <f>IFERROR(__xludf.DUMMYFUNCTION("if(D5855=""variant"",  substitute(filter(Templates!E:E, Templates!A:A = F5855, Templates!B:B = G5855, Templates!C:C = H5855), ""{{}}"", E5855), B5855)"),"Louer maison Moutier: Trouvez le bien immobilier qui correspond idéalement à vos désirs sur ImmoScout24 - La plateforme de l'immobilier en Suisse.")</f>
        <v>Louer maison Moutier: Trouvez le bien immobilier qui correspond idéalement à vos désirs sur ImmoScout24 - La plateforme de l'immobilier en Suisse.</v>
      </c>
    </row>
    <row r="5856" hidden="1">
      <c r="A5856" s="5" t="s">
        <v>14808</v>
      </c>
      <c r="B5856" s="2" t="s">
        <v>14809</v>
      </c>
      <c r="C5856" s="2" t="s">
        <v>14809</v>
      </c>
      <c r="D5856" s="4" t="str">
        <f>vlookup(A5856, Sheet2!D:E, 2, 0)</f>
        <v>control</v>
      </c>
      <c r="E5856" s="4" t="str">
        <f>IFERROR(__xludf.DUMMYFUNCTION("if(H5856=""pays"",vlookup(REGEXEXTRACT(C5856, ""🏘️ \w+ \w+ (.*) ✅""),'Country prepositions'!A:B, 2, 0) &amp; "" "" &amp; REGEXEXTRACT(C5856, ""🏘️ \w+ \w+ (.*) ✅"") ,  if(H5856=""quartier"",vlookup(REGEXEXTRACT(C5856, ""🏘️ \w+ \w+ (.*) ✅""),'Quartier prepositio"&amp;"ns'!A:E, 5, 0) ,  if(H5856=""region"",vlookup(REGEXEXTRACT(C5856, ""🏘️ \w+ \w+ (.*) ✅""),'Region prepositions'!B:F, 5, 0),  REGEXEXTRACT(C5856, ""🏘️ \w+ \w+ (.*) ✅""))))"),"#N/A")</f>
        <v>#N/A</v>
      </c>
      <c r="I5856" s="4" t="str">
        <f>IFERROR(__xludf.DUMMYFUNCTION("if(D5856=""variant"",  substitute(filter(Templates!E:E, Templates!A:A = F5856, Templates!B:B = G5856, Templates!C:C = H5856), ""{{}}"", E5856), B5856)"),"Louer appartement Bottens: Trouvez le bien immobilier qui correspond idéalement à vos désirs sur ImmoScout24 - La plateforme de l'immobilier en Suisse.")</f>
        <v>Louer appartement Bottens: Trouvez le bien immobilier qui correspond idéalement à vos désirs sur ImmoScout24 - La plateforme de l'immobilier en Suisse.</v>
      </c>
    </row>
    <row r="5857" hidden="1">
      <c r="A5857" s="5" t="s">
        <v>14810</v>
      </c>
      <c r="B5857" s="2" t="s">
        <v>14811</v>
      </c>
      <c r="C5857" s="2" t="s">
        <v>14811</v>
      </c>
      <c r="D5857" s="4" t="str">
        <f>vlookup(A5857, Sheet2!D:E, 2, 0)</f>
        <v>control</v>
      </c>
      <c r="E5857" s="4" t="str">
        <f>IFERROR(__xludf.DUMMYFUNCTION("if(H5857=""pays"",vlookup(REGEXEXTRACT(C5857, ""🏘️ \w+ \w+ (.*) ✅""),'Country prepositions'!A:B, 2, 0) &amp; "" "" &amp; REGEXEXTRACT(C5857, ""🏘️ \w+ \w+ (.*) ✅"") ,  if(H5857=""quartier"",vlookup(REGEXEXTRACT(C5857, ""🏘️ \w+ \w+ (.*) ✅""),'Quartier prepositio"&amp;"ns'!A:E, 5, 0) ,  if(H5857=""region"",vlookup(REGEXEXTRACT(C5857, ""🏘️ \w+ \w+ (.*) ✅""),'Region prepositions'!B:F, 5, 0),  REGEXEXTRACT(C5857, ""🏘️ \w+ \w+ (.*) ✅""))))"),"#N/A")</f>
        <v>#N/A</v>
      </c>
      <c r="I5857" s="4" t="str">
        <f>IFERROR(__xludf.DUMMYFUNCTION("if(D5857=""variant"",  substitute(filter(Templates!E:E, Templates!A:A = F5857, Templates!B:B = G5857, Templates!C:C = H5857), ""{{}}"", E5857), B5857)"),"Louer appartement Savigny: Trouvez le bien immobilier qui correspond idéalement à vos désirs sur ImmoScout24 - La plateforme de l'immobilier en Suisse.")</f>
        <v>Louer appartement Savigny: Trouvez le bien immobilier qui correspond idéalement à vos désirs sur ImmoScout24 - La plateforme de l'immobilier en Suisse.</v>
      </c>
    </row>
    <row r="5858" hidden="1">
      <c r="A5858" s="5" t="s">
        <v>14812</v>
      </c>
      <c r="B5858" s="2" t="s">
        <v>14813</v>
      </c>
      <c r="C5858" s="2" t="s">
        <v>14813</v>
      </c>
      <c r="D5858" s="4" t="str">
        <f>vlookup(A5858, Sheet2!D:E, 2, 0)</f>
        <v>control</v>
      </c>
      <c r="E5858" s="4" t="str">
        <f>IFERROR(__xludf.DUMMYFUNCTION("if(H5858=""pays"",vlookup(REGEXEXTRACT(C5858, ""🏘️ \w+ \w+ (.*) ✅""),'Country prepositions'!A:B, 2, 0) &amp; "" "" &amp; REGEXEXTRACT(C5858, ""🏘️ \w+ \w+ (.*) ✅"") ,  if(H5858=""quartier"",vlookup(REGEXEXTRACT(C5858, ""🏘️ \w+ \w+ (.*) ✅""),'Quartier prepositio"&amp;"ns'!A:E, 5, 0) ,  if(H5858=""region"",vlookup(REGEXEXTRACT(C5858, ""🏘️ \w+ \w+ (.*) ✅""),'Region prepositions'!B:F, 5, 0),  REGEXEXTRACT(C5858, ""🏘️ \w+ \w+ (.*) ✅""))))"),"#N/A")</f>
        <v>#N/A</v>
      </c>
      <c r="I5858" s="4" t="str">
        <f>IFERROR(__xludf.DUMMYFUNCTION("if(D5858=""variant"",  substitute(filter(Templates!E:E, Templates!A:A = F5858, Templates!B:B = G5858, Templates!C:C = H5858), ""{{}}"", E5858), B5858)"),"Louer maison Le Châble VS: Trouvez le bien immobilier qui correspond idéalement à vos désirs sur ImmoScout24 - La plateforme de l'immobilier en Suisse.")</f>
        <v>Louer maison Le Châble VS: Trouvez le bien immobilier qui correspond idéalement à vos désirs sur ImmoScout24 - La plateforme de l'immobilier en Suisse.</v>
      </c>
    </row>
    <row r="5859" hidden="1">
      <c r="A5859" s="5" t="s">
        <v>14814</v>
      </c>
      <c r="B5859" s="2" t="s">
        <v>14815</v>
      </c>
      <c r="C5859" s="2" t="s">
        <v>14815</v>
      </c>
      <c r="D5859" s="4" t="str">
        <f>vlookup(A5859, Sheet2!D:E, 2, 0)</f>
        <v>control</v>
      </c>
      <c r="E5859" s="4" t="str">
        <f>IFERROR(__xludf.DUMMYFUNCTION("if(H5859=""pays"",vlookup(REGEXEXTRACT(C5859, ""🏘️ \w+ \w+ (.*) ✅""),'Country prepositions'!A:B, 2, 0) &amp; "" "" &amp; REGEXEXTRACT(C5859, ""🏘️ \w+ \w+ (.*) ✅"") ,  if(H5859=""quartier"",vlookup(REGEXEXTRACT(C5859, ""🏘️ \w+ \w+ (.*) ✅""),'Quartier prepositio"&amp;"ns'!A:E, 5, 0) ,  if(H5859=""region"",vlookup(REGEXEXTRACT(C5859, ""🏘️ \w+ \w+ (.*) ✅""),'Region prepositions'!B:F, 5, 0),  REGEXEXTRACT(C5859, ""🏘️ \w+ \w+ (.*) ✅""))))"),"#N/A")</f>
        <v>#N/A</v>
      </c>
      <c r="I5859" s="4" t="str">
        <f>IFERROR(__xludf.DUMMYFUNCTION("if(D5859=""variant"",  substitute(filter(Templates!E:E, Templates!A:A = F5859, Templates!B:B = G5859, Templates!C:C = H5859), ""{{}}"", E5859), B5859)"),"Louer appartement Beauregard (La Chaux-de-Fonds): Trouvez le bien immobilier qui correspond idéalement à vos désirs sur ImmoScout24 - La plateforme de l'immobilier en Suisse.")</f>
        <v>Louer appartement Beauregard (La Chaux-de-Fonds): Trouvez le bien immobilier qui correspond idéalement à vos désirs sur ImmoScout24 - La plateforme de l'immobilier en Suisse.</v>
      </c>
    </row>
    <row r="5860" hidden="1">
      <c r="A5860" s="5" t="s">
        <v>14816</v>
      </c>
      <c r="B5860" s="2" t="s">
        <v>14817</v>
      </c>
      <c r="C5860" s="2" t="s">
        <v>14817</v>
      </c>
      <c r="D5860" s="4" t="str">
        <f>vlookup(A5860, Sheet2!D:E, 2, 0)</f>
        <v>control</v>
      </c>
      <c r="E5860" s="4" t="str">
        <f>IFERROR(__xludf.DUMMYFUNCTION("if(H5860=""pays"",vlookup(REGEXEXTRACT(C5860, ""🏘️ \w+ \w+ (.*) ✅""),'Country prepositions'!A:B, 2, 0) &amp; "" "" &amp; REGEXEXTRACT(C5860, ""🏘️ \w+ \w+ (.*) ✅"") ,  if(H5860=""quartier"",vlookup(REGEXEXTRACT(C5860, ""🏘️ \w+ \w+ (.*) ✅""),'Quartier prepositio"&amp;"ns'!A:E, 5, 0) ,  if(H5860=""region"",vlookup(REGEXEXTRACT(C5860, ""🏘️ \w+ \w+ (.*) ✅""),'Region prepositions'!B:F, 5, 0),  REGEXEXTRACT(C5860, ""🏘️ \w+ \w+ (.*) ✅""))))"),"#N/A")</f>
        <v>#N/A</v>
      </c>
      <c r="I5860" s="4" t="str">
        <f>IFERROR(__xludf.DUMMYFUNCTION("if(D5860=""variant"",  substitute(filter(Templates!E:E, Templates!A:A = F5860, Templates!B:B = G5860, Templates!C:C = H5860), ""{{}}"", E5860), B5860)"),"Louer appartement Champsec: Trouvez le bien immobilier qui correspond idéalement à vos désirs sur ImmoScout24 - La plateforme de l'immobilier en Suisse.")</f>
        <v>Louer appartement Champsec: Trouvez le bien immobilier qui correspond idéalement à vos désirs sur ImmoScout24 - La plateforme de l'immobilier en Suisse.</v>
      </c>
    </row>
    <row r="5861" hidden="1">
      <c r="A5861" s="5" t="s">
        <v>14818</v>
      </c>
      <c r="B5861" s="2" t="s">
        <v>14819</v>
      </c>
      <c r="C5861" s="2" t="s">
        <v>14819</v>
      </c>
      <c r="D5861" s="4" t="str">
        <f>vlookup(A5861, Sheet2!D:E, 2, 0)</f>
        <v>control</v>
      </c>
      <c r="E5861" s="4" t="str">
        <f>IFERROR(__xludf.DUMMYFUNCTION("if(H5861=""pays"",vlookup(REGEXEXTRACT(C5861, ""🏘️ \w+ \w+ (.*) ✅""),'Country prepositions'!A:B, 2, 0) &amp; "" "" &amp; REGEXEXTRACT(C5861, ""🏘️ \w+ \w+ (.*) ✅"") ,  if(H5861=""quartier"",vlookup(REGEXEXTRACT(C5861, ""🏘️ \w+ \w+ (.*) ✅""),'Quartier prepositio"&amp;"ns'!A:E, 5, 0) ,  if(H5861=""region"",vlookup(REGEXEXTRACT(C5861, ""🏘️ \w+ \w+ (.*) ✅""),'Region prepositions'!B:F, 5, 0),  REGEXEXTRACT(C5861, ""🏘️ \w+ \w+ (.*) ✅""))))"),"#N/A")</f>
        <v>#N/A</v>
      </c>
      <c r="I5861" s="4" t="str">
        <f>IFERROR(__xludf.DUMMYFUNCTION("if(D5861=""variant"",  substitute(filter(Templates!E:E, Templates!A:A = F5861, Templates!B:B = G5861, Templates!C:C = H5861), ""{{}}"", E5861), B5861)"),"Louer appartement Canton d'Uri: Trouvez le bien immobilier qui correspond idéalement à vos désirs sur ImmoScout24 - La plateforme de l'immobilier en Suisse.")</f>
        <v>Louer appartement Canton d'Uri: Trouvez le bien immobilier qui correspond idéalement à vos désirs sur ImmoScout24 - La plateforme de l'immobilier en Suisse.</v>
      </c>
    </row>
    <row r="5862" hidden="1">
      <c r="A5862" s="5" t="s">
        <v>14820</v>
      </c>
      <c r="B5862" s="2" t="s">
        <v>14821</v>
      </c>
      <c r="C5862" s="2" t="s">
        <v>14821</v>
      </c>
      <c r="D5862" s="4" t="str">
        <f>vlookup(A5862, Sheet2!D:E, 2, 0)</f>
        <v>control</v>
      </c>
      <c r="E5862" s="4" t="str">
        <f>IFERROR(__xludf.DUMMYFUNCTION("if(H5862=""pays"",vlookup(REGEXEXTRACT(C5862, ""🏘️ \w+ \w+ (.*) ✅""),'Country prepositions'!A:B, 2, 0) &amp; "" "" &amp; REGEXEXTRACT(C5862, ""🏘️ \w+ \w+ (.*) ✅"") ,  if(H5862=""quartier"",vlookup(REGEXEXTRACT(C5862, ""🏘️ \w+ \w+ (.*) ✅""),'Quartier prepositio"&amp;"ns'!A:E, 5, 0) ,  if(H5862=""region"",vlookup(REGEXEXTRACT(C5862, ""🏘️ \w+ \w+ (.*) ✅""),'Region prepositions'!B:F, 5, 0),  REGEXEXTRACT(C5862, ""🏘️ \w+ \w+ (.*) ✅""))))"),"#N/A")</f>
        <v>#N/A</v>
      </c>
      <c r="I5862" s="4" t="str">
        <f>IFERROR(__xludf.DUMMYFUNCTION("if(D5862=""variant"",  substitute(filter(Templates!E:E, Templates!A:A = F5862, Templates!B:B = G5862, Templates!C:C = H5862), ""{{}}"", E5862), B5862)"),"Louer maison Goldau: Trouvez le bien immobilier qui correspond idéalement à vos désirs sur ImmoScout24 - La plateforme de l'immobilier en Suisse.")</f>
        <v>Louer maison Goldau: Trouvez le bien immobilier qui correspond idéalement à vos désirs sur ImmoScout24 - La plateforme de l'immobilier en Suisse.</v>
      </c>
    </row>
    <row r="5863" hidden="1">
      <c r="A5863" s="5" t="s">
        <v>14822</v>
      </c>
      <c r="B5863" s="2" t="s">
        <v>14823</v>
      </c>
      <c r="C5863" s="2" t="s">
        <v>14823</v>
      </c>
      <c r="D5863" s="4" t="str">
        <f>vlookup(A5863, Sheet2!D:E, 2, 0)</f>
        <v>control</v>
      </c>
      <c r="E5863" s="4" t="str">
        <f>IFERROR(__xludf.DUMMYFUNCTION("if(H5863=""pays"",vlookup(REGEXEXTRACT(C5863, ""🏘️ \w+ \w+ (.*) ✅""),'Country prepositions'!A:B, 2, 0) &amp; "" "" &amp; REGEXEXTRACT(C5863, ""🏘️ \w+ \w+ (.*) ✅"") ,  if(H5863=""quartier"",vlookup(REGEXEXTRACT(C5863, ""🏘️ \w+ \w+ (.*) ✅""),'Quartier prepositio"&amp;"ns'!A:E, 5, 0) ,  if(H5863=""region"",vlookup(REGEXEXTRACT(C5863, ""🏘️ \w+ \w+ (.*) ✅""),'Region prepositions'!B:F, 5, 0),  REGEXEXTRACT(C5863, ""🏘️ \w+ \w+ (.*) ✅""))))"),"#N/A")</f>
        <v>#N/A</v>
      </c>
      <c r="I5863" s="4" t="str">
        <f>IFERROR(__xludf.DUMMYFUNCTION("if(D5863=""variant"",  substitute(filter(Templates!E:E, Templates!A:A = F5863, Templates!B:B = G5863, Templates!C:C = H5863), ""{{}}"", E5863), B5863)"),"Vendre maison Sumiswald: Trouvez le bien immobilier qui correspond idéalement à vos désirs sur ImmoScout24 - La plateforme de l'immobilier en Suisse.")</f>
        <v>Vendre maison Sumiswald: Trouvez le bien immobilier qui correspond idéalement à vos désirs sur ImmoScout24 - La plateforme de l'immobilier en Suisse.</v>
      </c>
    </row>
    <row r="5864" hidden="1">
      <c r="A5864" s="5" t="s">
        <v>14824</v>
      </c>
      <c r="B5864" s="2" t="s">
        <v>14825</v>
      </c>
      <c r="C5864" s="2" t="s">
        <v>14825</v>
      </c>
      <c r="D5864" s="4" t="str">
        <f>vlookup(A5864, Sheet2!D:E, 2, 0)</f>
        <v>control</v>
      </c>
      <c r="E5864" s="4" t="str">
        <f>IFERROR(__xludf.DUMMYFUNCTION("if(H5864=""pays"",vlookup(REGEXEXTRACT(C5864, ""🏘️ \w+ \w+ (.*) ✅""),'Country prepositions'!A:B, 2, 0) &amp; "" "" &amp; REGEXEXTRACT(C5864, ""🏘️ \w+ \w+ (.*) ✅"") ,  if(H5864=""quartier"",vlookup(REGEXEXTRACT(C5864, ""🏘️ \w+ \w+ (.*) ✅""),'Quartier prepositio"&amp;"ns'!A:E, 5, 0) ,  if(H5864=""region"",vlookup(REGEXEXTRACT(C5864, ""🏘️ \w+ \w+ (.*) ✅""),'Region prepositions'!B:F, 5, 0),  REGEXEXTRACT(C5864, ""🏘️ \w+ \w+ (.*) ✅""))))"),"#N/A")</f>
        <v>#N/A</v>
      </c>
      <c r="I5864" s="4" t="str">
        <f>IFERROR(__xludf.DUMMYFUNCTION("if(D5864=""variant"",  substitute(filter(Templates!E:E, Templates!A:A = F5864, Templates!B:B = G5864, Templates!C:C = H5864), ""{{}}"", E5864), B5864)"),"Vendre maison Le Séchey: Trouvez le bien immobilier qui correspond idéalement à vos désirs sur ImmoScout24 - La plateforme de l'immobilier en Suisse.")</f>
        <v>Vendre maison Le Séchey: Trouvez le bien immobilier qui correspond idéalement à vos désirs sur ImmoScout24 - La plateforme de l'immobilier en Suisse.</v>
      </c>
    </row>
    <row r="5865" hidden="1">
      <c r="A5865" s="5" t="s">
        <v>14826</v>
      </c>
      <c r="B5865" s="2" t="s">
        <v>14827</v>
      </c>
      <c r="C5865" s="2" t="s">
        <v>14827</v>
      </c>
      <c r="D5865" s="4" t="str">
        <f>vlookup(A5865, Sheet2!D:E, 2, 0)</f>
        <v>control</v>
      </c>
      <c r="E5865" s="4" t="str">
        <f>IFERROR(__xludf.DUMMYFUNCTION("if(H5865=""pays"",vlookup(REGEXEXTRACT(C5865, ""🏘️ \w+ \w+ (.*) ✅""),'Country prepositions'!A:B, 2, 0) &amp; "" "" &amp; REGEXEXTRACT(C5865, ""🏘️ \w+ \w+ (.*) ✅"") ,  if(H5865=""quartier"",vlookup(REGEXEXTRACT(C5865, ""🏘️ \w+ \w+ (.*) ✅""),'Quartier prepositio"&amp;"ns'!A:E, 5, 0) ,  if(H5865=""region"",vlookup(REGEXEXTRACT(C5865, ""🏘️ \w+ \w+ (.*) ✅""),'Region prepositions'!B:F, 5, 0),  REGEXEXTRACT(C5865, ""🏘️ \w+ \w+ (.*) ✅""))))"),"#N/A")</f>
        <v>#N/A</v>
      </c>
      <c r="I5865" s="4" t="str">
        <f>IFERROR(__xludf.DUMMYFUNCTION("if(D5865=""variant"",  substitute(filter(Templates!E:E, Templates!A:A = F5865, Templates!B:B = G5865, Templates!C:C = H5865), ""{{}}"", E5865), B5865)"),"Louer appartement Ostermundigen: Trouvez le bien immobilier qui correspond idéalement à vos désirs sur ImmoScout24 - La plateforme de l'immobilier en Suisse.")</f>
        <v>Louer appartement Ostermundigen: Trouvez le bien immobilier qui correspond idéalement à vos désirs sur ImmoScout24 - La plateforme de l'immobilier en Suisse.</v>
      </c>
    </row>
    <row r="5866" hidden="1">
      <c r="A5866" s="5" t="s">
        <v>14828</v>
      </c>
      <c r="B5866" s="2" t="s">
        <v>14829</v>
      </c>
      <c r="C5866" s="2" t="s">
        <v>14829</v>
      </c>
      <c r="D5866" s="4" t="str">
        <f>vlookup(A5866, Sheet2!D:E, 2, 0)</f>
        <v>control</v>
      </c>
      <c r="E5866" s="4" t="str">
        <f>IFERROR(__xludf.DUMMYFUNCTION("if(H5866=""pays"",vlookup(REGEXEXTRACT(C5866, ""🏘️ \w+ \w+ (.*) ✅""),'Country prepositions'!A:B, 2, 0) &amp; "" "" &amp; REGEXEXTRACT(C5866, ""🏘️ \w+ \w+ (.*) ✅"") ,  if(H5866=""quartier"",vlookup(REGEXEXTRACT(C5866, ""🏘️ \w+ \w+ (.*) ✅""),'Quartier prepositio"&amp;"ns'!A:E, 5, 0) ,  if(H5866=""region"",vlookup(REGEXEXTRACT(C5866, ""🏘️ \w+ \w+ (.*) ✅""),'Region prepositions'!B:F, 5, 0),  REGEXEXTRACT(C5866, ""🏘️ \w+ \w+ (.*) ✅""))))"),"#N/A")</f>
        <v>#N/A</v>
      </c>
      <c r="I5866" s="4" t="str">
        <f>IFERROR(__xludf.DUMMYFUNCTION("if(D5866=""variant"",  substitute(filter(Templates!E:E, Templates!A:A = F5866, Templates!B:B = G5866, Templates!C:C = H5866), ""{{}}"", E5866), B5866)"),"Louer appartement Romont BE: Trouvez le bien immobilier qui correspond idéalement à vos désirs sur ImmoScout24 - La plateforme de l'immobilier en Suisse.")</f>
        <v>Louer appartement Romont BE: Trouvez le bien immobilier qui correspond idéalement à vos désirs sur ImmoScout24 - La plateforme de l'immobilier en Suisse.</v>
      </c>
    </row>
    <row r="5867" hidden="1">
      <c r="A5867" s="5" t="s">
        <v>14830</v>
      </c>
      <c r="B5867" s="2" t="s">
        <v>14831</v>
      </c>
      <c r="C5867" s="2" t="s">
        <v>14831</v>
      </c>
      <c r="D5867" s="4" t="str">
        <f>vlookup(A5867, Sheet2!D:E, 2, 0)</f>
        <v>control</v>
      </c>
      <c r="E5867" s="4" t="str">
        <f>IFERROR(__xludf.DUMMYFUNCTION("if(H5867=""pays"",vlookup(REGEXEXTRACT(C5867, ""🏘️ \w+ \w+ (.*) ✅""),'Country prepositions'!A:B, 2, 0) &amp; "" "" &amp; REGEXEXTRACT(C5867, ""🏘️ \w+ \w+ (.*) ✅"") ,  if(H5867=""quartier"",vlookup(REGEXEXTRACT(C5867, ""🏘️ \w+ \w+ (.*) ✅""),'Quartier prepositio"&amp;"ns'!A:E, 5, 0) ,  if(H5867=""region"",vlookup(REGEXEXTRACT(C5867, ""🏘️ \w+ \w+ (.*) ✅""),'Region prepositions'!B:F, 5, 0),  REGEXEXTRACT(C5867, ""🏘️ \w+ \w+ (.*) ✅""))))"),"#N/A")</f>
        <v>#N/A</v>
      </c>
      <c r="I5867" s="4" t="str">
        <f>IFERROR(__xludf.DUMMYFUNCTION("if(D5867=""variant"",  substitute(filter(Templates!E:E, Templates!A:A = F5867, Templates!B:B = G5867, Templates!C:C = H5867), ""{{}}"", E5867), B5867)"),"Louer appartement Lupfig: Trouvez le bien immobilier qui correspond idéalement à vos désirs sur ImmoScout24 - La plateforme de l'immobilier en Suisse.")</f>
        <v>Louer appartement Lupfig: Trouvez le bien immobilier qui correspond idéalement à vos désirs sur ImmoScout24 - La plateforme de l'immobilier en Suisse.</v>
      </c>
    </row>
    <row r="5868" hidden="1">
      <c r="A5868" s="5" t="s">
        <v>14832</v>
      </c>
      <c r="B5868" s="2" t="s">
        <v>14833</v>
      </c>
      <c r="C5868" s="2" t="s">
        <v>14833</v>
      </c>
      <c r="D5868" s="4" t="str">
        <f>vlookup(A5868, Sheet2!D:E, 2, 0)</f>
        <v>control</v>
      </c>
      <c r="E5868" s="4" t="str">
        <f>IFERROR(__xludf.DUMMYFUNCTION("if(H5868=""pays"",vlookup(REGEXEXTRACT(C5868, ""🏘️ \w+ \w+ (.*) ✅""),'Country prepositions'!A:B, 2, 0) &amp; "" "" &amp; REGEXEXTRACT(C5868, ""🏘️ \w+ \w+ (.*) ✅"") ,  if(H5868=""quartier"",vlookup(REGEXEXTRACT(C5868, ""🏘️ \w+ \w+ (.*) ✅""),'Quartier prepositio"&amp;"ns'!A:E, 5, 0) ,  if(H5868=""region"",vlookup(REGEXEXTRACT(C5868, ""🏘️ \w+ \w+ (.*) ✅""),'Region prepositions'!B:F, 5, 0),  REGEXEXTRACT(C5868, ""🏘️ \w+ \w+ (.*) ✅""))))"),"#N/A")</f>
        <v>#N/A</v>
      </c>
      <c r="I5868" s="4" t="str">
        <f>IFERROR(__xludf.DUMMYFUNCTION("if(D5868=""variant"",  substitute(filter(Templates!E:E, Templates!A:A = F5868, Templates!B:B = G5868, Templates!C:C = H5868), ""{{}}"", E5868), B5868)"),"Vendre appartement Riva San Vitale: Trouvez le bien immobilier qui correspond idéalement à vos désirs sur ImmoScout24 - La plateforme de l'immobilier en Suisse.")</f>
        <v>Vendre appartement Riva San Vitale: Trouvez le bien immobilier qui correspond idéalement à vos désirs sur ImmoScout24 - La plateforme de l'immobilier en Suisse.</v>
      </c>
    </row>
    <row r="5869" hidden="1">
      <c r="A5869" s="5" t="s">
        <v>14834</v>
      </c>
      <c r="B5869" s="2" t="s">
        <v>14835</v>
      </c>
      <c r="C5869" s="2" t="s">
        <v>14835</v>
      </c>
      <c r="D5869" s="4" t="str">
        <f>vlookup(A5869, Sheet2!D:E, 2, 0)</f>
        <v>control</v>
      </c>
      <c r="E5869" s="4" t="str">
        <f>IFERROR(__xludf.DUMMYFUNCTION("if(H5869=""pays"",vlookup(REGEXEXTRACT(C5869, ""🏘️ \w+ \w+ (.*) ✅""),'Country prepositions'!A:B, 2, 0) &amp; "" "" &amp; REGEXEXTRACT(C5869, ""🏘️ \w+ \w+ (.*) ✅"") ,  if(H5869=""quartier"",vlookup(REGEXEXTRACT(C5869, ""🏘️ \w+ \w+ (.*) ✅""),'Quartier prepositio"&amp;"ns'!A:E, 5, 0) ,  if(H5869=""region"",vlookup(REGEXEXTRACT(C5869, ""🏘️ \w+ \w+ (.*) ✅""),'Region prepositions'!B:F, 5, 0),  REGEXEXTRACT(C5869, ""🏘️ \w+ \w+ (.*) ✅""))))"),"#N/A")</f>
        <v>#N/A</v>
      </c>
      <c r="I5869" s="4" t="str">
        <f>IFERROR(__xludf.DUMMYFUNCTION("if(D5869=""variant"",  substitute(filter(Templates!E:E, Templates!A:A = F5869, Templates!B:B = G5869, Templates!C:C = H5869), ""{{}}"", E5869), B5869)"),"Louer appartement Tuggen: Trouvez le bien immobilier qui correspond idéalement à vos désirs sur ImmoScout24 - La plateforme de l'immobilier en Suisse.")</f>
        <v>Louer appartement Tuggen: Trouvez le bien immobilier qui correspond idéalement à vos désirs sur ImmoScout24 - La plateforme de l'immobilier en Suisse.</v>
      </c>
    </row>
    <row r="5870" hidden="1">
      <c r="A5870" s="5" t="s">
        <v>14836</v>
      </c>
      <c r="B5870" s="2" t="s">
        <v>14837</v>
      </c>
      <c r="C5870" s="2" t="s">
        <v>14837</v>
      </c>
      <c r="D5870" s="4" t="str">
        <f>vlookup(A5870, Sheet2!D:E, 2, 0)</f>
        <v>control</v>
      </c>
      <c r="E5870" s="4" t="str">
        <f>IFERROR(__xludf.DUMMYFUNCTION("if(H5870=""pays"",vlookup(REGEXEXTRACT(C5870, ""🏘️ \w+ \w+ (.*) ✅""),'Country prepositions'!A:B, 2, 0) &amp; "" "" &amp; REGEXEXTRACT(C5870, ""🏘️ \w+ \w+ (.*) ✅"") ,  if(H5870=""quartier"",vlookup(REGEXEXTRACT(C5870, ""🏘️ \w+ \w+ (.*) ✅""),'Quartier prepositio"&amp;"ns'!A:E, 5, 0) ,  if(H5870=""region"",vlookup(REGEXEXTRACT(C5870, ""🏘️ \w+ \w+ (.*) ✅""),'Region prepositions'!B:F, 5, 0),  REGEXEXTRACT(C5870, ""🏘️ \w+ \w+ (.*) ✅""))))"),"#N/A")</f>
        <v>#N/A</v>
      </c>
      <c r="I5870" s="4" t="str">
        <f>IFERROR(__xludf.DUMMYFUNCTION("if(D5870=""variant"",  substitute(filter(Templates!E:E, Templates!A:A = F5870, Templates!B:B = G5870, Templates!C:C = H5870), ""{{}}"", E5870), B5870)"),"Vendre appartement La Côte - Nyon: Trouvez le bien immobilier qui correspond idéalement à vos désirs sur ImmoScout24 - La plateforme de l'immobilier en Suisse.")</f>
        <v>Vendre appartement La Côte - Nyon: Trouvez le bien immobilier qui correspond idéalement à vos désirs sur ImmoScout24 - La plateforme de l'immobilier en Suisse.</v>
      </c>
    </row>
    <row r="5871" hidden="1">
      <c r="A5871" s="5" t="s">
        <v>14838</v>
      </c>
      <c r="B5871" s="2" t="s">
        <v>14839</v>
      </c>
      <c r="C5871" s="2" t="s">
        <v>14839</v>
      </c>
      <c r="D5871" s="4" t="str">
        <f>vlookup(A5871, Sheet2!D:E, 2, 0)</f>
        <v>control</v>
      </c>
      <c r="E5871" s="4" t="str">
        <f>IFERROR(__xludf.DUMMYFUNCTION("if(H5871=""pays"",vlookup(REGEXEXTRACT(C5871, ""🏘️ \w+ \w+ (.*) ✅""),'Country prepositions'!A:B, 2, 0) &amp; "" "" &amp; REGEXEXTRACT(C5871, ""🏘️ \w+ \w+ (.*) ✅"") ,  if(H5871=""quartier"",vlookup(REGEXEXTRACT(C5871, ""🏘️ \w+ \w+ (.*) ✅""),'Quartier prepositio"&amp;"ns'!A:E, 5, 0) ,  if(H5871=""region"",vlookup(REGEXEXTRACT(C5871, ""🏘️ \w+ \w+ (.*) ✅""),'Region prepositions'!B:F, 5, 0),  REGEXEXTRACT(C5871, ""🏘️ \w+ \w+ (.*) ✅""))))"),"#N/A")</f>
        <v>#N/A</v>
      </c>
      <c r="I5871" s="4" t="str">
        <f>IFERROR(__xludf.DUMMYFUNCTION("if(D5871=""variant"",  substitute(filter(Templates!E:E, Templates!A:A = F5871, Templates!B:B = G5871, Templates!C:C = H5871), ""{{}}"", E5871), B5871)"),"Vendre appartement Concise: Trouvez le bien immobilier qui correspond idéalement à vos désirs sur ImmoScout24 - La plateforme de l'immobilier en Suisse.")</f>
        <v>Vendre appartement Concise: Trouvez le bien immobilier qui correspond idéalement à vos désirs sur ImmoScout24 - La plateforme de l'immobilier en Suisse.</v>
      </c>
    </row>
    <row r="5872" hidden="1">
      <c r="A5872" s="5" t="s">
        <v>14840</v>
      </c>
      <c r="B5872" s="2" t="s">
        <v>14841</v>
      </c>
      <c r="C5872" s="2" t="s">
        <v>14841</v>
      </c>
      <c r="D5872" s="4" t="str">
        <f>vlookup(A5872, Sheet2!D:E, 2, 0)</f>
        <v>control</v>
      </c>
      <c r="E5872" s="4" t="str">
        <f>IFERROR(__xludf.DUMMYFUNCTION("if(H5872=""pays"",vlookup(REGEXEXTRACT(C5872, ""🏘️ \w+ \w+ (.*) ✅""),'Country prepositions'!A:B, 2, 0) &amp; "" "" &amp; REGEXEXTRACT(C5872, ""🏘️ \w+ \w+ (.*) ✅"") ,  if(H5872=""quartier"",vlookup(REGEXEXTRACT(C5872, ""🏘️ \w+ \w+ (.*) ✅""),'Quartier prepositio"&amp;"ns'!A:E, 5, 0) ,  if(H5872=""region"",vlookup(REGEXEXTRACT(C5872, ""🏘️ \w+ \w+ (.*) ✅""),'Region prepositions'!B:F, 5, 0),  REGEXEXTRACT(C5872, ""🏘️ \w+ \w+ (.*) ✅""))))"),"#N/A")</f>
        <v>#N/A</v>
      </c>
      <c r="I5872" s="4" t="str">
        <f>IFERROR(__xludf.DUMMYFUNCTION("if(D5872=""variant"",  substitute(filter(Templates!E:E, Templates!A:A = F5872, Templates!B:B = G5872, Templates!C:C = H5872), ""{{}}"", E5872), B5872)"),"Vendre appartement Lutry: Trouvez le bien immobilier qui correspond idéalement à vos désirs sur ImmoScout24 - La plateforme de l'immobilier en Suisse.")</f>
        <v>Vendre appartement Lutry: Trouvez le bien immobilier qui correspond idéalement à vos désirs sur ImmoScout24 - La plateforme de l'immobilier en Suisse.</v>
      </c>
    </row>
    <row r="5873" hidden="1">
      <c r="A5873" s="5" t="s">
        <v>14842</v>
      </c>
      <c r="B5873" s="2" t="s">
        <v>14843</v>
      </c>
      <c r="C5873" s="2" t="s">
        <v>14843</v>
      </c>
      <c r="D5873" s="4" t="str">
        <f>vlookup(A5873, Sheet2!D:E, 2, 0)</f>
        <v>control</v>
      </c>
      <c r="E5873" s="4" t="str">
        <f>IFERROR(__xludf.DUMMYFUNCTION("if(H5873=""pays"",vlookup(REGEXEXTRACT(C5873, ""🏘️ \w+ \w+ (.*) ✅""),'Country prepositions'!A:B, 2, 0) &amp; "" "" &amp; REGEXEXTRACT(C5873, ""🏘️ \w+ \w+ (.*) ✅"") ,  if(H5873=""quartier"",vlookup(REGEXEXTRACT(C5873, ""🏘️ \w+ \w+ (.*) ✅""),'Quartier prepositio"&amp;"ns'!A:E, 5, 0) ,  if(H5873=""region"",vlookup(REGEXEXTRACT(C5873, ""🏘️ \w+ \w+ (.*) ✅""),'Region prepositions'!B:F, 5, 0),  REGEXEXTRACT(C5873, ""🏘️ \w+ \w+ (.*) ✅""))))"),"#N/A")</f>
        <v>#N/A</v>
      </c>
      <c r="I5873" s="4" t="str">
        <f>IFERROR(__xludf.DUMMYFUNCTION("if(D5873=""variant"",  substitute(filter(Templates!E:E, Templates!A:A = F5873, Templates!B:B = G5873, Templates!C:C = H5873), ""{{}}"", E5873), B5873)"),"Louer maison Maroc: Trouvez le bien immobilier qui correspond idéalement à vos désirs sur ImmoScout24 - La plateforme de l'immobilier en Suisse.")</f>
        <v>Louer maison Maroc: Trouvez le bien immobilier qui correspond idéalement à vos désirs sur ImmoScout24 - La plateforme de l'immobilier en Suisse.</v>
      </c>
    </row>
    <row r="5874" hidden="1">
      <c r="A5874" s="5" t="s">
        <v>14844</v>
      </c>
      <c r="B5874" s="2" t="s">
        <v>14845</v>
      </c>
      <c r="C5874" s="2" t="s">
        <v>14845</v>
      </c>
      <c r="D5874" s="4" t="str">
        <f>vlookup(A5874, Sheet2!D:E, 2, 0)</f>
        <v>control</v>
      </c>
      <c r="E5874" s="4" t="str">
        <f>IFERROR(__xludf.DUMMYFUNCTION("if(H5874=""pays"",vlookup(REGEXEXTRACT(C5874, ""🏘️ \w+ \w+ (.*) ✅""),'Country prepositions'!A:B, 2, 0) &amp; "" "" &amp; REGEXEXTRACT(C5874, ""🏘️ \w+ \w+ (.*) ✅"") ,  if(H5874=""quartier"",vlookup(REGEXEXTRACT(C5874, ""🏘️ \w+ \w+ (.*) ✅""),'Quartier prepositio"&amp;"ns'!A:E, 5, 0) ,  if(H5874=""region"",vlookup(REGEXEXTRACT(C5874, ""🏘️ \w+ \w+ (.*) ✅""),'Region prepositions'!B:F, 5, 0),  REGEXEXTRACT(C5874, ""🏘️ \w+ \w+ (.*) ✅""))))"),"#N/A")</f>
        <v>#N/A</v>
      </c>
      <c r="I5874" s="4" t="str">
        <f>IFERROR(__xludf.DUMMYFUNCTION("if(D5874=""variant"",  substitute(filter(Templates!E:E, Templates!A:A = F5874, Templates!B:B = G5874, Templates!C:C = H5874), ""{{}}"", E5874), B5874)"),"Louer maison Icogne: Trouvez le bien immobilier qui correspond idéalement à vos désirs sur ImmoScout24 - La plateforme de l'immobilier en Suisse.")</f>
        <v>Louer maison Icogne: Trouvez le bien immobilier qui correspond idéalement à vos désirs sur ImmoScout24 - La plateforme de l'immobilier en Suisse.</v>
      </c>
    </row>
    <row r="5875" hidden="1">
      <c r="A5875" s="5" t="s">
        <v>14846</v>
      </c>
      <c r="B5875" s="2" t="s">
        <v>14847</v>
      </c>
      <c r="C5875" s="2" t="s">
        <v>14847</v>
      </c>
      <c r="D5875" s="4" t="str">
        <f>vlookup(A5875, Sheet2!D:E, 2, 0)</f>
        <v>control</v>
      </c>
      <c r="E5875" s="4" t="str">
        <f>IFERROR(__xludf.DUMMYFUNCTION("if(H5875=""pays"",vlookup(REGEXEXTRACT(C5875, ""🏘️ \w+ \w+ (.*) ✅""),'Country prepositions'!A:B, 2, 0) &amp; "" "" &amp; REGEXEXTRACT(C5875, ""🏘️ \w+ \w+ (.*) ✅"") ,  if(H5875=""quartier"",vlookup(REGEXEXTRACT(C5875, ""🏘️ \w+ \w+ (.*) ✅""),'Quartier prepositio"&amp;"ns'!A:E, 5, 0) ,  if(H5875=""region"",vlookup(REGEXEXTRACT(C5875, ""🏘️ \w+ \w+ (.*) ✅""),'Region prepositions'!B:F, 5, 0),  REGEXEXTRACT(C5875, ""🏘️ \w+ \w+ (.*) ✅""))))"),"#N/A")</f>
        <v>#N/A</v>
      </c>
      <c r="I5875" s="4" t="str">
        <f>IFERROR(__xludf.DUMMYFUNCTION("if(D5875=""variant"",  substitute(filter(Templates!E:E, Templates!A:A = F5875, Templates!B:B = G5875, Templates!C:C = H5875), ""{{}}"", E5875), B5875)"),"Vendre appartement Muhen: Trouvez le bien immobilier qui correspond idéalement à vos désirs sur ImmoScout24 - La plateforme de l'immobilier en Suisse.")</f>
        <v>Vendre appartement Muhen: Trouvez le bien immobilier qui correspond idéalement à vos désirs sur ImmoScout24 - La plateforme de l'immobilier en Suisse.</v>
      </c>
    </row>
    <row r="5876" hidden="1">
      <c r="A5876" s="5" t="s">
        <v>14848</v>
      </c>
      <c r="B5876" s="2" t="s">
        <v>14849</v>
      </c>
      <c r="C5876" s="2" t="s">
        <v>14849</v>
      </c>
      <c r="D5876" s="4" t="str">
        <f>vlookup(A5876, Sheet2!D:E, 2, 0)</f>
        <v>control</v>
      </c>
      <c r="E5876" s="4" t="str">
        <f>IFERROR(__xludf.DUMMYFUNCTION("if(H5876=""pays"",vlookup(REGEXEXTRACT(C5876, ""🏘️ \w+ \w+ (.*) ✅""),'Country prepositions'!A:B, 2, 0) &amp; "" "" &amp; REGEXEXTRACT(C5876, ""🏘️ \w+ \w+ (.*) ✅"") ,  if(H5876=""quartier"",vlookup(REGEXEXTRACT(C5876, ""🏘️ \w+ \w+ (.*) ✅""),'Quartier prepositio"&amp;"ns'!A:E, 5, 0) ,  if(H5876=""region"",vlookup(REGEXEXTRACT(C5876, ""🏘️ \w+ \w+ (.*) ✅""),'Region prepositions'!B:F, 5, 0),  REGEXEXTRACT(C5876, ""🏘️ \w+ \w+ (.*) ✅""))))"),"#N/A")</f>
        <v>#N/A</v>
      </c>
      <c r="I5876" s="4" t="str">
        <f>IFERROR(__xludf.DUMMYFUNCTION("if(D5876=""variant"",  substitute(filter(Templates!E:E, Templates!A:A = F5876, Templates!B:B = G5876, Templates!C:C = H5876), ""{{}}"", E5876), B5876)"),"Vendre maison Origlio: Trouvez le bien immobilier qui correspond idéalement à vos désirs sur ImmoScout24 - La plateforme de l'immobilier en Suisse.")</f>
        <v>Vendre maison Origlio: Trouvez le bien immobilier qui correspond idéalement à vos désirs sur ImmoScout24 - La plateforme de l'immobilier en Suisse.</v>
      </c>
    </row>
    <row r="5877" hidden="1">
      <c r="A5877" s="5" t="s">
        <v>14850</v>
      </c>
      <c r="B5877" s="2" t="s">
        <v>14851</v>
      </c>
      <c r="C5877" s="2" t="s">
        <v>14851</v>
      </c>
      <c r="D5877" s="4" t="str">
        <f>vlookup(A5877, Sheet2!D:E, 2, 0)</f>
        <v>control</v>
      </c>
      <c r="E5877" s="4" t="str">
        <f>IFERROR(__xludf.DUMMYFUNCTION("if(H5877=""pays"",vlookup(REGEXEXTRACT(C5877, ""🏘️ \w+ \w+ (.*) ✅""),'Country prepositions'!A:B, 2, 0) &amp; "" "" &amp; REGEXEXTRACT(C5877, ""🏘️ \w+ \w+ (.*) ✅"") ,  if(H5877=""quartier"",vlookup(REGEXEXTRACT(C5877, ""🏘️ \w+ \w+ (.*) ✅""),'Quartier prepositio"&amp;"ns'!A:E, 5, 0) ,  if(H5877=""region"",vlookup(REGEXEXTRACT(C5877, ""🏘️ \w+ \w+ (.*) ✅""),'Region prepositions'!B:F, 5, 0),  REGEXEXTRACT(C5877, ""🏘️ \w+ \w+ (.*) ✅""))))"),"#N/A")</f>
        <v>#N/A</v>
      </c>
      <c r="I5877" s="4" t="str">
        <f>IFERROR(__xludf.DUMMYFUNCTION("if(D5877=""variant"",  substitute(filter(Templates!E:E, Templates!A:A = F5877, Templates!B:B = G5877, Templates!C:C = H5877), ""{{}}"", E5877), B5877)"),"Louer appartement Chevenez: Trouvez le bien immobilier qui correspond idéalement à vos désirs sur ImmoScout24 - La plateforme de l'immobilier en Suisse.")</f>
        <v>Louer appartement Chevenez: Trouvez le bien immobilier qui correspond idéalement à vos désirs sur ImmoScout24 - La plateforme de l'immobilier en Suisse.</v>
      </c>
    </row>
    <row r="5878" hidden="1">
      <c r="A5878" s="5" t="s">
        <v>14852</v>
      </c>
      <c r="B5878" s="2" t="s">
        <v>14853</v>
      </c>
      <c r="C5878" s="2" t="s">
        <v>14853</v>
      </c>
      <c r="D5878" s="4" t="str">
        <f>vlookup(A5878, Sheet2!D:E, 2, 0)</f>
        <v>control</v>
      </c>
      <c r="E5878" s="4" t="str">
        <f>IFERROR(__xludf.DUMMYFUNCTION("if(H5878=""pays"",vlookup(REGEXEXTRACT(C5878, ""🏘️ \w+ \w+ (.*) ✅""),'Country prepositions'!A:B, 2, 0) &amp; "" "" &amp; REGEXEXTRACT(C5878, ""🏘️ \w+ \w+ (.*) ✅"") ,  if(H5878=""quartier"",vlookup(REGEXEXTRACT(C5878, ""🏘️ \w+ \w+ (.*) ✅""),'Quartier prepositio"&amp;"ns'!A:E, 5, 0) ,  if(H5878=""region"",vlookup(REGEXEXTRACT(C5878, ""🏘️ \w+ \w+ (.*) ✅""),'Region prepositions'!B:F, 5, 0),  REGEXEXTRACT(C5878, ""🏘️ \w+ \w+ (.*) ✅""))))"),"#N/A")</f>
        <v>#N/A</v>
      </c>
      <c r="I5878" s="4" t="str">
        <f>IFERROR(__xludf.DUMMYFUNCTION("if(D5878=""variant"",  substitute(filter(Templates!E:E, Templates!A:A = F5878, Templates!B:B = G5878, Templates!C:C = H5878), ""{{}}"", E5878), B5878)"),"Vendre maison Stabio: Trouvez le bien immobilier qui correspond idéalement à vos désirs sur ImmoScout24 - La plateforme de l'immobilier en Suisse.")</f>
        <v>Vendre maison Stabio: Trouvez le bien immobilier qui correspond idéalement à vos désirs sur ImmoScout24 - La plateforme de l'immobilier en Suisse.</v>
      </c>
    </row>
    <row r="5879" hidden="1">
      <c r="A5879" s="5" t="s">
        <v>14854</v>
      </c>
      <c r="B5879" s="2" t="s">
        <v>14855</v>
      </c>
      <c r="C5879" s="2" t="s">
        <v>14855</v>
      </c>
      <c r="D5879" s="4" t="str">
        <f>vlookup(A5879, Sheet2!D:E, 2, 0)</f>
        <v>control</v>
      </c>
      <c r="E5879" s="4" t="str">
        <f>IFERROR(__xludf.DUMMYFUNCTION("if(H5879=""pays"",vlookup(REGEXEXTRACT(C5879, ""🏘️ \w+ \w+ (.*) ✅""),'Country prepositions'!A:B, 2, 0) &amp; "" "" &amp; REGEXEXTRACT(C5879, ""🏘️ \w+ \w+ (.*) ✅"") ,  if(H5879=""quartier"",vlookup(REGEXEXTRACT(C5879, ""🏘️ \w+ \w+ (.*) ✅""),'Quartier prepositio"&amp;"ns'!A:E, 5, 0) ,  if(H5879=""region"",vlookup(REGEXEXTRACT(C5879, ""🏘️ \w+ \w+ (.*) ✅""),'Region prepositions'!B:F, 5, 0),  REGEXEXTRACT(C5879, ""🏘️ \w+ \w+ (.*) ✅""))))"),"#N/A")</f>
        <v>#N/A</v>
      </c>
      <c r="I5879" s="4" t="str">
        <f>IFERROR(__xludf.DUMMYFUNCTION("if(D5879=""variant"",  substitute(filter(Templates!E:E, Templates!A:A = F5879, Templates!B:B = G5879, Templates!C:C = H5879), ""{{}}"", E5879), B5879)"),"Louer appartement Granges-Paccot: Trouvez le bien immobilier qui correspond idéalement à vos désirs sur ImmoScout24 - La plateforme de l'immobilier en Suisse.")</f>
        <v>Louer appartement Granges-Paccot: Trouvez le bien immobilier qui correspond idéalement à vos désirs sur ImmoScout24 - La plateforme de l'immobilier en Suisse.</v>
      </c>
    </row>
    <row r="5880" hidden="1">
      <c r="A5880" s="5" t="s">
        <v>14856</v>
      </c>
      <c r="B5880" s="2" t="s">
        <v>14857</v>
      </c>
      <c r="C5880" s="2" t="s">
        <v>14857</v>
      </c>
      <c r="D5880" s="4" t="str">
        <f>vlookup(A5880, Sheet2!D:E, 2, 0)</f>
        <v>control</v>
      </c>
      <c r="E5880" s="4" t="str">
        <f>IFERROR(__xludf.DUMMYFUNCTION("if(H5880=""pays"",vlookup(REGEXEXTRACT(C5880, ""🏘️ \w+ \w+ (.*) ✅""),'Country prepositions'!A:B, 2, 0) &amp; "" "" &amp; REGEXEXTRACT(C5880, ""🏘️ \w+ \w+ (.*) ✅"") ,  if(H5880=""quartier"",vlookup(REGEXEXTRACT(C5880, ""🏘️ \w+ \w+ (.*) ✅""),'Quartier prepositio"&amp;"ns'!A:E, 5, 0) ,  if(H5880=""region"",vlookup(REGEXEXTRACT(C5880, ""🏘️ \w+ \w+ (.*) ✅""),'Region prepositions'!B:F, 5, 0),  REGEXEXTRACT(C5880, ""🏘️ \w+ \w+ (.*) ✅""))))"),"#N/A")</f>
        <v>#N/A</v>
      </c>
      <c r="I5880" s="4" t="str">
        <f>IFERROR(__xludf.DUMMYFUNCTION("if(D5880=""variant"",  substitute(filter(Templates!E:E, Templates!A:A = F5880, Templates!B:B = G5880, Templates!C:C = H5880), ""{{}}"", E5880), B5880)"),"Vendre appartement Stäfa: Trouvez le bien immobilier qui correspond idéalement à vos désirs sur ImmoScout24 - La plateforme de l'immobilier en Suisse.")</f>
        <v>Vendre appartement Stäfa: Trouvez le bien immobilier qui correspond idéalement à vos désirs sur ImmoScout24 - La plateforme de l'immobilier en Suisse.</v>
      </c>
    </row>
    <row r="5881" hidden="1">
      <c r="A5881" s="5" t="s">
        <v>14858</v>
      </c>
      <c r="B5881" s="2" t="s">
        <v>14859</v>
      </c>
      <c r="C5881" s="2" t="s">
        <v>14859</v>
      </c>
      <c r="D5881" s="4" t="str">
        <f>vlookup(A5881, Sheet2!D:E, 2, 0)</f>
        <v>control</v>
      </c>
      <c r="E5881" s="4" t="str">
        <f>IFERROR(__xludf.DUMMYFUNCTION("if(H5881=""pays"",vlookup(REGEXEXTRACT(C5881, ""🏘️ \w+ \w+ (.*) ✅""),'Country prepositions'!A:B, 2, 0) &amp; "" "" &amp; REGEXEXTRACT(C5881, ""🏘️ \w+ \w+ (.*) ✅"") ,  if(H5881=""quartier"",vlookup(REGEXEXTRACT(C5881, ""🏘️ \w+ \w+ (.*) ✅""),'Quartier prepositio"&amp;"ns'!A:E, 5, 0) ,  if(H5881=""region"",vlookup(REGEXEXTRACT(C5881, ""🏘️ \w+ \w+ (.*) ✅""),'Region prepositions'!B:F, 5, 0),  REGEXEXTRACT(C5881, ""🏘️ \w+ \w+ (.*) ✅""))))"),"#N/A")</f>
        <v>#N/A</v>
      </c>
      <c r="I5881" s="4" t="str">
        <f>IFERROR(__xludf.DUMMYFUNCTION("if(D5881=""variant"",  substitute(filter(Templates!E:E, Templates!A:A = F5881, Templates!B:B = G5881, Templates!C:C = H5881), ""{{}}"", E5881), B5881)"),"Louer appartement Samedan: Trouvez le bien immobilier qui correspond idéalement à vos désirs sur ImmoScout24 - La plateforme de l'immobilier en Suisse.")</f>
        <v>Louer appartement Samedan: Trouvez le bien immobilier qui correspond idéalement à vos désirs sur ImmoScout24 - La plateforme de l'immobilier en Suisse.</v>
      </c>
    </row>
    <row r="5882" hidden="1">
      <c r="A5882" s="5" t="s">
        <v>14860</v>
      </c>
      <c r="B5882" s="2" t="s">
        <v>14861</v>
      </c>
      <c r="C5882" s="2" t="s">
        <v>14861</v>
      </c>
      <c r="D5882" s="4" t="str">
        <f>vlookup(A5882, Sheet2!D:E, 2, 0)</f>
        <v>control</v>
      </c>
      <c r="E5882" s="4" t="str">
        <f>IFERROR(__xludf.DUMMYFUNCTION("if(H5882=""pays"",vlookup(REGEXEXTRACT(C5882, ""🏘️ \w+ \w+ (.*) ✅""),'Country prepositions'!A:B, 2, 0) &amp; "" "" &amp; REGEXEXTRACT(C5882, ""🏘️ \w+ \w+ (.*) ✅"") ,  if(H5882=""quartier"",vlookup(REGEXEXTRACT(C5882, ""🏘️ \w+ \w+ (.*) ✅""),'Quartier prepositio"&amp;"ns'!A:E, 5, 0) ,  if(H5882=""region"",vlookup(REGEXEXTRACT(C5882, ""🏘️ \w+ \w+ (.*) ✅""),'Region prepositions'!B:F, 5, 0),  REGEXEXTRACT(C5882, ""🏘️ \w+ \w+ (.*) ✅""))))"),"#N/A")</f>
        <v>#N/A</v>
      </c>
      <c r="I5882" s="4" t="str">
        <f>IFERROR(__xludf.DUMMYFUNCTION("if(D5882=""variant"",  substitute(filter(Templates!E:E, Templates!A:A = F5882, Templates!B:B = G5882, Templates!C:C = H5882), ""{{}}"", E5882), B5882)"),"Vendre maison Collex: Trouvez le bien immobilier qui correspond idéalement à vos désirs sur ImmoScout24 - La plateforme de l'immobilier en Suisse.")</f>
        <v>Vendre maison Collex: Trouvez le bien immobilier qui correspond idéalement à vos désirs sur ImmoScout24 - La plateforme de l'immobilier en Suisse.</v>
      </c>
    </row>
    <row r="5883" hidden="1">
      <c r="A5883" s="5" t="s">
        <v>14862</v>
      </c>
      <c r="B5883" s="2" t="s">
        <v>14863</v>
      </c>
      <c r="C5883" s="2" t="s">
        <v>14863</v>
      </c>
      <c r="D5883" s="4" t="str">
        <f>vlookup(A5883, Sheet2!D:E, 2, 0)</f>
        <v>control</v>
      </c>
      <c r="E5883" s="4" t="str">
        <f>IFERROR(__xludf.DUMMYFUNCTION("if(H5883=""pays"",vlookup(REGEXEXTRACT(C5883, ""🏘️ \w+ \w+ (.*) ✅""),'Country prepositions'!A:B, 2, 0) &amp; "" "" &amp; REGEXEXTRACT(C5883, ""🏘️ \w+ \w+ (.*) ✅"") ,  if(H5883=""quartier"",vlookup(REGEXEXTRACT(C5883, ""🏘️ \w+ \w+ (.*) ✅""),'Quartier prepositio"&amp;"ns'!A:E, 5, 0) ,  if(H5883=""region"",vlookup(REGEXEXTRACT(C5883, ""🏘️ \w+ \w+ (.*) ✅""),'Region prepositions'!B:F, 5, 0),  REGEXEXTRACT(C5883, ""🏘️ \w+ \w+ (.*) ✅""))))"),"#N/A")</f>
        <v>#N/A</v>
      </c>
      <c r="I5883" s="4" t="str">
        <f>IFERROR(__xludf.DUMMYFUNCTION("if(D5883=""variant"",  substitute(filter(Templates!E:E, Templates!A:A = F5883, Templates!B:B = G5883, Templates!C:C = H5883), ""{{}}"", E5883), B5883)"),"Vendre maison Oulens-sur-Lucens: Trouvez le bien immobilier qui correspond idéalement à vos désirs sur ImmoScout24 - La plateforme de l'immobilier en Suisse.")</f>
        <v>Vendre maison Oulens-sur-Lucens: Trouvez le bien immobilier qui correspond idéalement à vos désirs sur ImmoScout24 - La plateforme de l'immobilier en Suisse.</v>
      </c>
    </row>
    <row r="5884" hidden="1">
      <c r="A5884" s="5" t="s">
        <v>14864</v>
      </c>
      <c r="B5884" s="2" t="s">
        <v>14865</v>
      </c>
      <c r="C5884" s="2" t="s">
        <v>14865</v>
      </c>
      <c r="D5884" s="4" t="str">
        <f>vlookup(A5884, Sheet2!D:E, 2, 0)</f>
        <v>control</v>
      </c>
      <c r="E5884" s="4" t="str">
        <f>IFERROR(__xludf.DUMMYFUNCTION("if(H5884=""pays"",vlookup(REGEXEXTRACT(C5884, ""🏘️ \w+ \w+ (.*) ✅""),'Country prepositions'!A:B, 2, 0) &amp; "" "" &amp; REGEXEXTRACT(C5884, ""🏘️ \w+ \w+ (.*) ✅"") ,  if(H5884=""quartier"",vlookup(REGEXEXTRACT(C5884, ""🏘️ \w+ \w+ (.*) ✅""),'Quartier prepositio"&amp;"ns'!A:E, 5, 0) ,  if(H5884=""region"",vlookup(REGEXEXTRACT(C5884, ""🏘️ \w+ \w+ (.*) ✅""),'Region prepositions'!B:F, 5, 0),  REGEXEXTRACT(C5884, ""🏘️ \w+ \w+ (.*) ✅""))))"),"#N/A")</f>
        <v>#N/A</v>
      </c>
      <c r="I5884" s="4" t="str">
        <f>IFERROR(__xludf.DUMMYFUNCTION("if(D5884=""variant"",  substitute(filter(Templates!E:E, Templates!A:A = F5884, Templates!B:B = G5884, Templates!C:C = H5884), ""{{}}"", E5884), B5884)"),"Vendre appartement Bettmeralp: Trouvez le bien immobilier qui correspond idéalement à vos désirs sur ImmoScout24 - La plateforme de l'immobilier en Suisse.")</f>
        <v>Vendre appartement Bettmeralp: Trouvez le bien immobilier qui correspond idéalement à vos désirs sur ImmoScout24 - La plateforme de l'immobilier en Suisse.</v>
      </c>
    </row>
    <row r="5885" hidden="1">
      <c r="A5885" s="5" t="s">
        <v>14866</v>
      </c>
      <c r="B5885" s="2" t="s">
        <v>14867</v>
      </c>
      <c r="C5885" s="2" t="s">
        <v>14867</v>
      </c>
      <c r="D5885" s="4" t="str">
        <f>vlookup(A5885, Sheet2!D:E, 2, 0)</f>
        <v>control</v>
      </c>
      <c r="E5885" s="4" t="str">
        <f>IFERROR(__xludf.DUMMYFUNCTION("if(H5885=""pays"",vlookup(REGEXEXTRACT(C5885, ""🏘️ \w+ \w+ (.*) ✅""),'Country prepositions'!A:B, 2, 0) &amp; "" "" &amp; REGEXEXTRACT(C5885, ""🏘️ \w+ \w+ (.*) ✅"") ,  if(H5885=""quartier"",vlookup(REGEXEXTRACT(C5885, ""🏘️ \w+ \w+ (.*) ✅""),'Quartier prepositio"&amp;"ns'!A:E, 5, 0) ,  if(H5885=""region"",vlookup(REGEXEXTRACT(C5885, ""🏘️ \w+ \w+ (.*) ✅""),'Region prepositions'!B:F, 5, 0),  REGEXEXTRACT(C5885, ""🏘️ \w+ \w+ (.*) ✅""))))"),"#N/A")</f>
        <v>#N/A</v>
      </c>
      <c r="I5885" s="4" t="str">
        <f>IFERROR(__xludf.DUMMYFUNCTION("if(D5885=""variant"",  substitute(filter(Templates!E:E, Templates!A:A = F5885, Templates!B:B = G5885, Templates!C:C = H5885), ""{{}}"", E5885), B5885)"),"Vendre maison Ludiano: Trouvez le bien immobilier qui correspond idéalement à vos désirs sur ImmoScout24 - La plateforme de l'immobilier en Suisse.")</f>
        <v>Vendre maison Ludiano: Trouvez le bien immobilier qui correspond idéalement à vos désirs sur ImmoScout24 - La plateforme de l'immobilier en Suisse.</v>
      </c>
    </row>
    <row r="5886" hidden="1">
      <c r="A5886" s="5" t="s">
        <v>14868</v>
      </c>
      <c r="B5886" s="2" t="s">
        <v>14869</v>
      </c>
      <c r="C5886" s="2" t="s">
        <v>14869</v>
      </c>
      <c r="D5886" s="4" t="str">
        <f>vlookup(A5886, Sheet2!D:E, 2, 0)</f>
        <v>control</v>
      </c>
      <c r="E5886" s="4" t="str">
        <f>IFERROR(__xludf.DUMMYFUNCTION("if(H5886=""pays"",vlookup(REGEXEXTRACT(C5886, ""🏘️ \w+ \w+ (.*) ✅""),'Country prepositions'!A:B, 2, 0) &amp; "" "" &amp; REGEXEXTRACT(C5886, ""🏘️ \w+ \w+ (.*) ✅"") ,  if(H5886=""quartier"",vlookup(REGEXEXTRACT(C5886, ""🏘️ \w+ \w+ (.*) ✅""),'Quartier prepositio"&amp;"ns'!A:E, 5, 0) ,  if(H5886=""region"",vlookup(REGEXEXTRACT(C5886, ""🏘️ \w+ \w+ (.*) ✅""),'Region prepositions'!B:F, 5, 0),  REGEXEXTRACT(C5886, ""🏘️ \w+ \w+ (.*) ✅""))))"),"#N/A")</f>
        <v>#N/A</v>
      </c>
      <c r="I5886" s="4" t="str">
        <f>IFERROR(__xludf.DUMMYFUNCTION("if(D5886=""variant"",  substitute(filter(Templates!E:E, Templates!A:A = F5886, Templates!B:B = G5886, Templates!C:C = H5886), ""{{}}"", E5886), B5886)"),"Vendre appartement Flüh: Trouvez le bien immobilier qui correspond idéalement à vos désirs sur ImmoScout24 - La plateforme de l'immobilier en Suisse.")</f>
        <v>Vendre appartement Flüh: Trouvez le bien immobilier qui correspond idéalement à vos désirs sur ImmoScout24 - La plateforme de l'immobilier en Suisse.</v>
      </c>
    </row>
    <row r="5887" hidden="1">
      <c r="A5887" s="5" t="s">
        <v>14870</v>
      </c>
      <c r="B5887" s="2" t="s">
        <v>14871</v>
      </c>
      <c r="C5887" s="2" t="s">
        <v>14871</v>
      </c>
      <c r="D5887" s="4" t="str">
        <f>vlookup(A5887, Sheet2!D:E, 2, 0)</f>
        <v>control</v>
      </c>
      <c r="E5887" s="4" t="str">
        <f>IFERROR(__xludf.DUMMYFUNCTION("if(H5887=""pays"",vlookup(REGEXEXTRACT(C5887, ""🏘️ \w+ \w+ (.*) ✅""),'Country prepositions'!A:B, 2, 0) &amp; "" "" &amp; REGEXEXTRACT(C5887, ""🏘️ \w+ \w+ (.*) ✅"") ,  if(H5887=""quartier"",vlookup(REGEXEXTRACT(C5887, ""🏘️ \w+ \w+ (.*) ✅""),'Quartier prepositio"&amp;"ns'!A:E, 5, 0) ,  if(H5887=""region"",vlookup(REGEXEXTRACT(C5887, ""🏘️ \w+ \w+ (.*) ✅""),'Region prepositions'!B:F, 5, 0),  REGEXEXTRACT(C5887, ""🏘️ \w+ \w+ (.*) ✅""))))"),"#N/A")</f>
        <v>#N/A</v>
      </c>
      <c r="I5887" s="4" t="str">
        <f>IFERROR(__xludf.DUMMYFUNCTION("if(D5887=""variant"",  substitute(filter(Templates!E:E, Templates!A:A = F5887, Templates!B:B = G5887, Templates!C:C = H5887), ""{{}}"", E5887), B5887)"),"Vendre maison Baden - Brugg - Zurzach: Trouvez le bien immobilier qui correspond idéalement à vos désirs sur ImmoScout24 - La plateforme de l'immobilier en Suisse.")</f>
        <v>Vendre maison Baden - Brugg - Zurzach: Trouvez le bien immobilier qui correspond idéalement à vos désirs sur ImmoScout24 - La plateforme de l'immobilier en Suisse.</v>
      </c>
    </row>
    <row r="5888" hidden="1">
      <c r="A5888" s="5" t="s">
        <v>14872</v>
      </c>
      <c r="B5888" s="2" t="s">
        <v>14873</v>
      </c>
      <c r="C5888" s="2" t="s">
        <v>14873</v>
      </c>
      <c r="D5888" s="4" t="str">
        <f>vlookup(A5888, Sheet2!D:E, 2, 0)</f>
        <v>control</v>
      </c>
      <c r="E5888" s="4" t="str">
        <f>IFERROR(__xludf.DUMMYFUNCTION("if(H5888=""pays"",vlookup(REGEXEXTRACT(C5888, ""🏘️ \w+ \w+ (.*) ✅""),'Country prepositions'!A:B, 2, 0) &amp; "" "" &amp; REGEXEXTRACT(C5888, ""🏘️ \w+ \w+ (.*) ✅"") ,  if(H5888=""quartier"",vlookup(REGEXEXTRACT(C5888, ""🏘️ \w+ \w+ (.*) ✅""),'Quartier prepositio"&amp;"ns'!A:E, 5, 0) ,  if(H5888=""region"",vlookup(REGEXEXTRACT(C5888, ""🏘️ \w+ \w+ (.*) ✅""),'Region prepositions'!B:F, 5, 0),  REGEXEXTRACT(C5888, ""🏘️ \w+ \w+ (.*) ✅""))))"),"#N/A")</f>
        <v>#N/A</v>
      </c>
      <c r="I5888" s="4" t="str">
        <f>IFERROR(__xludf.DUMMYFUNCTION("if(D5888=""variant"",  substitute(filter(Templates!E:E, Templates!A:A = F5888, Templates!B:B = G5888, Templates!C:C = H5888), ""{{}}"", E5888), B5888)"),"Louer appartement Chailly - Rovéréaz (Lausanne): Trouvez le bien immobilier qui correspond idéalement à vos désirs sur ImmoScout24 - La plateforme de l'immobilier en Suisse.")</f>
        <v>Louer appartement Chailly - Rovéréaz (Lausanne): Trouvez le bien immobilier qui correspond idéalement à vos désirs sur ImmoScout24 - La plateforme de l'immobilier en Suisse.</v>
      </c>
    </row>
    <row r="5889" hidden="1">
      <c r="A5889" s="5" t="s">
        <v>14874</v>
      </c>
      <c r="B5889" s="2" t="s">
        <v>14875</v>
      </c>
      <c r="C5889" s="2" t="s">
        <v>14875</v>
      </c>
      <c r="D5889" s="4" t="str">
        <f>vlookup(A5889, Sheet2!D:E, 2, 0)</f>
        <v>control</v>
      </c>
      <c r="E5889" s="4" t="str">
        <f>IFERROR(__xludf.DUMMYFUNCTION("if(H5889=""pays"",vlookup(REGEXEXTRACT(C5889, ""🏘️ \w+ \w+ (.*) ✅""),'Country prepositions'!A:B, 2, 0) &amp; "" "" &amp; REGEXEXTRACT(C5889, ""🏘️ \w+ \w+ (.*) ✅"") ,  if(H5889=""quartier"",vlookup(REGEXEXTRACT(C5889, ""🏘️ \w+ \w+ (.*) ✅""),'Quartier prepositio"&amp;"ns'!A:E, 5, 0) ,  if(H5889=""region"",vlookup(REGEXEXTRACT(C5889, ""🏘️ \w+ \w+ (.*) ✅""),'Region prepositions'!B:F, 5, 0),  REGEXEXTRACT(C5889, ""🏘️ \w+ \w+ (.*) ✅""))))"),"#N/A")</f>
        <v>#N/A</v>
      </c>
      <c r="I5889" s="4" t="str">
        <f>IFERROR(__xludf.DUMMYFUNCTION("if(D5889=""variant"",  substitute(filter(Templates!E:E, Templates!A:A = F5889, Templates!B:B = G5889, Templates!C:C = H5889), ""{{}}"", E5889), B5889)"),"Louer appartement Morges: Trouvez le bien immobilier qui correspond idéalement à vos désirs sur ImmoScout24 - La plateforme de l'immobilier en Suisse.")</f>
        <v>Louer appartement Morges: Trouvez le bien immobilier qui correspond idéalement à vos désirs sur ImmoScout24 - La plateforme de l'immobilier en Suisse.</v>
      </c>
    </row>
    <row r="5890" hidden="1">
      <c r="A5890" s="5" t="s">
        <v>14876</v>
      </c>
      <c r="B5890" s="2" t="s">
        <v>14877</v>
      </c>
      <c r="C5890" s="2" t="s">
        <v>14877</v>
      </c>
      <c r="D5890" s="4" t="str">
        <f>vlookup(A5890, Sheet2!D:E, 2, 0)</f>
        <v>control</v>
      </c>
      <c r="E5890" s="4" t="str">
        <f>IFERROR(__xludf.DUMMYFUNCTION("if(H5890=""pays"",vlookup(REGEXEXTRACT(C5890, ""🏘️ \w+ \w+ (.*) ✅""),'Country prepositions'!A:B, 2, 0) &amp; "" "" &amp; REGEXEXTRACT(C5890, ""🏘️ \w+ \w+ (.*) ✅"") ,  if(H5890=""quartier"",vlookup(REGEXEXTRACT(C5890, ""🏘️ \w+ \w+ (.*) ✅""),'Quartier prepositio"&amp;"ns'!A:E, 5, 0) ,  if(H5890=""region"",vlookup(REGEXEXTRACT(C5890, ""🏘️ \w+ \w+ (.*) ✅""),'Region prepositions'!B:F, 5, 0),  REGEXEXTRACT(C5890, ""🏘️ \w+ \w+ (.*) ✅""))))"),"#N/A")</f>
        <v>#N/A</v>
      </c>
      <c r="I5890" s="4" t="str">
        <f>IFERROR(__xludf.DUMMYFUNCTION("if(D5890=""variant"",  substitute(filter(Templates!E:E, Templates!A:A = F5890, Templates!B:B = G5890, Templates!C:C = H5890), ""{{}}"", E5890), B5890)"),"Louer maison Ependes FR: Trouvez le bien immobilier qui correspond idéalement à vos désirs sur ImmoScout24 - La plateforme de l'immobilier en Suisse.")</f>
        <v>Louer maison Ependes FR: Trouvez le bien immobilier qui correspond idéalement à vos désirs sur ImmoScout24 - La plateforme de l'immobilier en Suisse.</v>
      </c>
    </row>
    <row r="5891" hidden="1">
      <c r="A5891" s="5" t="s">
        <v>14878</v>
      </c>
      <c r="B5891" s="2" t="s">
        <v>14879</v>
      </c>
      <c r="C5891" s="2" t="s">
        <v>14879</v>
      </c>
      <c r="D5891" s="4" t="str">
        <f>vlookup(A5891, Sheet2!D:E, 2, 0)</f>
        <v>control</v>
      </c>
      <c r="E5891" s="4" t="str">
        <f>IFERROR(__xludf.DUMMYFUNCTION("if(H5891=""pays"",vlookup(REGEXEXTRACT(C5891, ""🏘️ \w+ \w+ (.*) ✅""),'Country prepositions'!A:B, 2, 0) &amp; "" "" &amp; REGEXEXTRACT(C5891, ""🏘️ \w+ \w+ (.*) ✅"") ,  if(H5891=""quartier"",vlookup(REGEXEXTRACT(C5891, ""🏘️ \w+ \w+ (.*) ✅""),'Quartier prepositio"&amp;"ns'!A:E, 5, 0) ,  if(H5891=""region"",vlookup(REGEXEXTRACT(C5891, ""🏘️ \w+ \w+ (.*) ✅""),'Region prepositions'!B:F, 5, 0),  REGEXEXTRACT(C5891, ""🏘️ \w+ \w+ (.*) ✅""))))"),"#N/A")</f>
        <v>#N/A</v>
      </c>
      <c r="I5891" s="4" t="str">
        <f>IFERROR(__xludf.DUMMYFUNCTION("if(D5891=""variant"",  substitute(filter(Templates!E:E, Templates!A:A = F5891, Templates!B:B = G5891, Templates!C:C = H5891), ""{{}}"", E5891), B5891)"),"Vendre appartement Délices - Grottes (Genève): Trouvez le bien immobilier qui correspond idéalement à vos désirs sur ImmoScout24 - La plateforme de l'immobilier en Suisse.")</f>
        <v>Vendre appartement Délices - Grottes (Genève): Trouvez le bien immobilier qui correspond idéalement à vos désirs sur ImmoScout24 - La plateforme de l'immobilier en Suisse.</v>
      </c>
    </row>
    <row r="5892" hidden="1">
      <c r="A5892" s="5" t="s">
        <v>14880</v>
      </c>
      <c r="B5892" s="2" t="s">
        <v>14881</v>
      </c>
      <c r="C5892" s="2" t="s">
        <v>14881</v>
      </c>
      <c r="D5892" s="4" t="str">
        <f>vlookup(A5892, Sheet2!D:E, 2, 0)</f>
        <v>control</v>
      </c>
      <c r="E5892" s="4" t="str">
        <f>IFERROR(__xludf.DUMMYFUNCTION("if(H5892=""pays"",vlookup(REGEXEXTRACT(C5892, ""🏘️ \w+ \w+ (.*) ✅""),'Country prepositions'!A:B, 2, 0) &amp; "" "" &amp; REGEXEXTRACT(C5892, ""🏘️ \w+ \w+ (.*) ✅"") ,  if(H5892=""quartier"",vlookup(REGEXEXTRACT(C5892, ""🏘️ \w+ \w+ (.*) ✅""),'Quartier prepositio"&amp;"ns'!A:E, 5, 0) ,  if(H5892=""region"",vlookup(REGEXEXTRACT(C5892, ""🏘️ \w+ \w+ (.*) ✅""),'Region prepositions'!B:F, 5, 0),  REGEXEXTRACT(C5892, ""🏘️ \w+ \w+ (.*) ✅""))))"),"#N/A")</f>
        <v>#N/A</v>
      </c>
      <c r="I5892" s="4" t="str">
        <f>IFERROR(__xludf.DUMMYFUNCTION("if(D5892=""variant"",  substitute(filter(Templates!E:E, Templates!A:A = F5892, Templates!B:B = G5892, Templates!C:C = H5892), ""{{}}"", E5892), B5892)"),"Louer appartement Sonvilier: Trouvez le bien immobilier qui correspond idéalement à vos désirs sur ImmoScout24 - La plateforme de l'immobilier en Suisse.")</f>
        <v>Louer appartement Sonvilier: Trouvez le bien immobilier qui correspond idéalement à vos désirs sur ImmoScout24 - La plateforme de l'immobilier en Suisse.</v>
      </c>
    </row>
    <row r="5893" hidden="1">
      <c r="A5893" s="5" t="s">
        <v>14882</v>
      </c>
      <c r="B5893" s="2" t="s">
        <v>14883</v>
      </c>
      <c r="C5893" s="2" t="s">
        <v>14883</v>
      </c>
      <c r="D5893" s="4" t="str">
        <f>vlookup(A5893, Sheet2!D:E, 2, 0)</f>
        <v>control</v>
      </c>
      <c r="E5893" s="4" t="str">
        <f>IFERROR(__xludf.DUMMYFUNCTION("if(H5893=""pays"",vlookup(REGEXEXTRACT(C5893, ""🏘️ \w+ \w+ (.*) ✅""),'Country prepositions'!A:B, 2, 0) &amp; "" "" &amp; REGEXEXTRACT(C5893, ""🏘️ \w+ \w+ (.*) ✅"") ,  if(H5893=""quartier"",vlookup(REGEXEXTRACT(C5893, ""🏘️ \w+ \w+ (.*) ✅""),'Quartier prepositio"&amp;"ns'!A:E, 5, 0) ,  if(H5893=""region"",vlookup(REGEXEXTRACT(C5893, ""🏘️ \w+ \w+ (.*) ✅""),'Region prepositions'!B:F, 5, 0),  REGEXEXTRACT(C5893, ""🏘️ \w+ \w+ (.*) ✅""))))"),"#N/A")</f>
        <v>#N/A</v>
      </c>
      <c r="I5893" s="4" t="str">
        <f>IFERROR(__xludf.DUMMYFUNCTION("if(D5893=""variant"",  substitute(filter(Templates!E:E, Templates!A:A = F5893, Templates!B:B = G5893, Templates!C:C = H5893), ""{{}}"", E5893), B5893)"),"Vendre maison Brünisried: Trouvez le bien immobilier qui correspond idéalement à vos désirs sur ImmoScout24 - La plateforme de l'immobilier en Suisse.")</f>
        <v>Vendre maison Brünisried: Trouvez le bien immobilier qui correspond idéalement à vos désirs sur ImmoScout24 - La plateforme de l'immobilier en Suisse.</v>
      </c>
    </row>
    <row r="5894" hidden="1">
      <c r="A5894" s="5" t="s">
        <v>14884</v>
      </c>
      <c r="B5894" s="2" t="s">
        <v>14885</v>
      </c>
      <c r="C5894" s="2" t="s">
        <v>14885</v>
      </c>
      <c r="D5894" s="4" t="str">
        <f>vlookup(A5894, Sheet2!D:E, 2, 0)</f>
        <v>control</v>
      </c>
      <c r="E5894" s="4" t="str">
        <f>IFERROR(__xludf.DUMMYFUNCTION("if(H5894=""pays"",vlookup(REGEXEXTRACT(C5894, ""🏘️ \w+ \w+ (.*) ✅""),'Country prepositions'!A:B, 2, 0) &amp; "" "" &amp; REGEXEXTRACT(C5894, ""🏘️ \w+ \w+ (.*) ✅"") ,  if(H5894=""quartier"",vlookup(REGEXEXTRACT(C5894, ""🏘️ \w+ \w+ (.*) ✅""),'Quartier prepositio"&amp;"ns'!A:E, 5, 0) ,  if(H5894=""region"",vlookup(REGEXEXTRACT(C5894, ""🏘️ \w+ \w+ (.*) ✅""),'Region prepositions'!B:F, 5, 0),  REGEXEXTRACT(C5894, ""🏘️ \w+ \w+ (.*) ✅""))))"),"#N/A")</f>
        <v>#N/A</v>
      </c>
      <c r="I5894" s="4" t="str">
        <f>IFERROR(__xludf.DUMMYFUNCTION("if(D5894=""variant"",  substitute(filter(Templates!E:E, Templates!A:A = F5894, Templates!B:B = G5894, Templates!C:C = H5894), ""{{}}"", E5894), B5894)"),"Vendre appartement Kehrsatz: Trouvez le bien immobilier qui correspond idéalement à vos désirs sur ImmoScout24 - La plateforme de l'immobilier en Suisse.")</f>
        <v>Vendre appartement Kehrsatz: Trouvez le bien immobilier qui correspond idéalement à vos désirs sur ImmoScout24 - La plateforme de l'immobilier en Suisse.</v>
      </c>
    </row>
    <row r="5895" hidden="1">
      <c r="A5895" s="5" t="s">
        <v>14886</v>
      </c>
      <c r="B5895" s="2" t="s">
        <v>14887</v>
      </c>
      <c r="C5895" s="2" t="s">
        <v>14887</v>
      </c>
      <c r="D5895" s="4" t="str">
        <f>vlookup(A5895, Sheet2!D:E, 2, 0)</f>
        <v>control</v>
      </c>
      <c r="E5895" s="4" t="str">
        <f>IFERROR(__xludf.DUMMYFUNCTION("if(H5895=""pays"",vlookup(REGEXEXTRACT(C5895, ""🏘️ \w+ \w+ (.*) ✅""),'Country prepositions'!A:B, 2, 0) &amp; "" "" &amp; REGEXEXTRACT(C5895, ""🏘️ \w+ \w+ (.*) ✅"") ,  if(H5895=""quartier"",vlookup(REGEXEXTRACT(C5895, ""🏘️ \w+ \w+ (.*) ✅""),'Quartier prepositio"&amp;"ns'!A:E, 5, 0) ,  if(H5895=""region"",vlookup(REGEXEXTRACT(C5895, ""🏘️ \w+ \w+ (.*) ✅""),'Region prepositions'!B:F, 5, 0),  REGEXEXTRACT(C5895, ""🏘️ \w+ \w+ (.*) ✅""))))"),"#N/A")</f>
        <v>#N/A</v>
      </c>
      <c r="I5895" s="4" t="str">
        <f>IFERROR(__xludf.DUMMYFUNCTION("if(D5895=""variant"",  substitute(filter(Templates!E:E, Templates!A:A = F5895, Templates!B:B = G5895, Templates!C:C = H5895), ""{{}}"", E5895), B5895)"),"Vendre appartement Langenthal: Trouvez le bien immobilier qui correspond idéalement à vos désirs sur ImmoScout24 - La plateforme de l'immobilier en Suisse.")</f>
        <v>Vendre appartement Langenthal: Trouvez le bien immobilier qui correspond idéalement à vos désirs sur ImmoScout24 - La plateforme de l'immobilier en Suisse.</v>
      </c>
    </row>
    <row r="5896" hidden="1">
      <c r="A5896" s="5" t="s">
        <v>14888</v>
      </c>
      <c r="B5896" s="2" t="s">
        <v>14889</v>
      </c>
      <c r="C5896" s="2" t="s">
        <v>14889</v>
      </c>
      <c r="D5896" s="4" t="str">
        <f>vlookup(A5896, Sheet2!D:E, 2, 0)</f>
        <v>control</v>
      </c>
      <c r="E5896" s="4" t="str">
        <f>IFERROR(__xludf.DUMMYFUNCTION("if(H5896=""pays"",vlookup(REGEXEXTRACT(C5896, ""🏘️ \w+ \w+ (.*) ✅""),'Country prepositions'!A:B, 2, 0) &amp; "" "" &amp; REGEXEXTRACT(C5896, ""🏘️ \w+ \w+ (.*) ✅"") ,  if(H5896=""quartier"",vlookup(REGEXEXTRACT(C5896, ""🏘️ \w+ \w+ (.*) ✅""),'Quartier prepositio"&amp;"ns'!A:E, 5, 0) ,  if(H5896=""region"",vlookup(REGEXEXTRACT(C5896, ""🏘️ \w+ \w+ (.*) ✅""),'Region prepositions'!B:F, 5, 0),  REGEXEXTRACT(C5896, ""🏘️ \w+ \w+ (.*) ✅""))))"),"#N/A")</f>
        <v>#N/A</v>
      </c>
      <c r="I5896" s="4" t="str">
        <f>IFERROR(__xludf.DUMMYFUNCTION("if(D5896=""variant"",  substitute(filter(Templates!E:E, Templates!A:A = F5896, Templates!B:B = G5896, Templates!C:C = H5896), ""{{}}"", E5896), B5896)"),"Vendre maison Kappelen: Trouvez le bien immobilier qui correspond idéalement à vos désirs sur ImmoScout24 - La plateforme de l'immobilier en Suisse.")</f>
        <v>Vendre maison Kappelen: Trouvez le bien immobilier qui correspond idéalement à vos désirs sur ImmoScout24 - La plateforme de l'immobilier en Suisse.</v>
      </c>
    </row>
    <row r="5897" hidden="1">
      <c r="A5897" s="5" t="s">
        <v>14890</v>
      </c>
      <c r="B5897" s="2" t="s">
        <v>14891</v>
      </c>
      <c r="C5897" s="2" t="s">
        <v>14891</v>
      </c>
      <c r="D5897" s="4" t="str">
        <f>vlookup(A5897, Sheet2!D:E, 2, 0)</f>
        <v>control</v>
      </c>
      <c r="E5897" s="4" t="str">
        <f>IFERROR(__xludf.DUMMYFUNCTION("if(H5897=""pays"",vlookup(REGEXEXTRACT(C5897, ""🏘️ \w+ \w+ (.*) ✅""),'Country prepositions'!A:B, 2, 0) &amp; "" "" &amp; REGEXEXTRACT(C5897, ""🏘️ \w+ \w+ (.*) ✅"") ,  if(H5897=""quartier"",vlookup(REGEXEXTRACT(C5897, ""🏘️ \w+ \w+ (.*) ✅""),'Quartier prepositio"&amp;"ns'!A:E, 5, 0) ,  if(H5897=""region"",vlookup(REGEXEXTRACT(C5897, ""🏘️ \w+ \w+ (.*) ✅""),'Region prepositions'!B:F, 5, 0),  REGEXEXTRACT(C5897, ""🏘️ \w+ \w+ (.*) ✅""))))"),"#N/A")</f>
        <v>#N/A</v>
      </c>
      <c r="I5897" s="4" t="str">
        <f>IFERROR(__xludf.DUMMYFUNCTION("if(D5897=""variant"",  substitute(filter(Templates!E:E, Templates!A:A = F5897, Templates!B:B = G5897, Templates!C:C = H5897), ""{{}}"", E5897), B5897)"),"Louer appartement Bussigny: Trouvez le bien immobilier qui correspond idéalement à vos désirs sur ImmoScout24 - La plateforme de l'immobilier en Suisse.")</f>
        <v>Louer appartement Bussigny: Trouvez le bien immobilier qui correspond idéalement à vos désirs sur ImmoScout24 - La plateforme de l'immobilier en Suisse.</v>
      </c>
    </row>
    <row r="5898" hidden="1">
      <c r="A5898" s="5" t="s">
        <v>14892</v>
      </c>
      <c r="B5898" s="2" t="s">
        <v>14893</v>
      </c>
      <c r="C5898" s="2" t="s">
        <v>14893</v>
      </c>
      <c r="D5898" s="4" t="str">
        <f>vlookup(A5898, Sheet2!D:E, 2, 0)</f>
        <v>control</v>
      </c>
      <c r="E5898" s="4" t="str">
        <f>IFERROR(__xludf.DUMMYFUNCTION("if(H5898=""pays"",vlookup(REGEXEXTRACT(C5898, ""🏘️ \w+ \w+ (.*) ✅""),'Country prepositions'!A:B, 2, 0) &amp; "" "" &amp; REGEXEXTRACT(C5898, ""🏘️ \w+ \w+ (.*) ✅"") ,  if(H5898=""quartier"",vlookup(REGEXEXTRACT(C5898, ""🏘️ \w+ \w+ (.*) ✅""),'Quartier prepositio"&amp;"ns'!A:E, 5, 0) ,  if(H5898=""region"",vlookup(REGEXEXTRACT(C5898, ""🏘️ \w+ \w+ (.*) ✅""),'Region prepositions'!B:F, 5, 0),  REGEXEXTRACT(C5898, ""🏘️ \w+ \w+ (.*) ✅""))))"),"#N/A")</f>
        <v>#N/A</v>
      </c>
      <c r="I5898" s="4" t="str">
        <f>IFERROR(__xludf.DUMMYFUNCTION("if(D5898=""variant"",  substitute(filter(Templates!E:E, Templates!A:A = F5898, Templates!B:B = G5898, Templates!C:C = H5898), ""{{}}"", E5898), B5898)"),"Vendre appartement Obergösgen: Trouvez le bien immobilier qui correspond idéalement à vos désirs sur ImmoScout24 - La plateforme de l'immobilier en Suisse.")</f>
        <v>Vendre appartement Obergösgen: Trouvez le bien immobilier qui correspond idéalement à vos désirs sur ImmoScout24 - La plateforme de l'immobilier en Suisse.</v>
      </c>
    </row>
    <row r="5899" hidden="1">
      <c r="A5899" s="5" t="s">
        <v>14894</v>
      </c>
      <c r="B5899" s="2" t="s">
        <v>14895</v>
      </c>
      <c r="C5899" s="2" t="s">
        <v>14895</v>
      </c>
      <c r="D5899" s="4" t="str">
        <f>vlookup(A5899, Sheet2!D:E, 2, 0)</f>
        <v>control</v>
      </c>
      <c r="E5899" s="4" t="str">
        <f>IFERROR(__xludf.DUMMYFUNCTION("if(H5899=""pays"",vlookup(REGEXEXTRACT(C5899, ""🏘️ \w+ \w+ (.*) ✅""),'Country prepositions'!A:B, 2, 0) &amp; "" "" &amp; REGEXEXTRACT(C5899, ""🏘️ \w+ \w+ (.*) ✅"") ,  if(H5899=""quartier"",vlookup(REGEXEXTRACT(C5899, ""🏘️ \w+ \w+ (.*) ✅""),'Quartier prepositio"&amp;"ns'!A:E, 5, 0) ,  if(H5899=""region"",vlookup(REGEXEXTRACT(C5899, ""🏘️ \w+ \w+ (.*) ✅""),'Region prepositions'!B:F, 5, 0),  REGEXEXTRACT(C5899, ""🏘️ \w+ \w+ (.*) ✅""))))"),"#N/A")</f>
        <v>#N/A</v>
      </c>
      <c r="I5899" s="4" t="str">
        <f>IFERROR(__xludf.DUMMYFUNCTION("if(D5899=""variant"",  substitute(filter(Templates!E:E, Templates!A:A = F5899, Templates!B:B = G5899, Templates!C:C = H5899), ""{{}}"", E5899), B5899)"),"Louer appartement Estavayer-le-Lac: Trouvez le bien immobilier qui correspond idéalement à vos désirs sur ImmoScout24 - La plateforme de l'immobilier en Suisse.")</f>
        <v>Louer appartement Estavayer-le-Lac: Trouvez le bien immobilier qui correspond idéalement à vos désirs sur ImmoScout24 - La plateforme de l'immobilier en Suisse.</v>
      </c>
    </row>
    <row r="5900" hidden="1">
      <c r="A5900" s="5" t="s">
        <v>14896</v>
      </c>
      <c r="B5900" s="2" t="s">
        <v>14897</v>
      </c>
      <c r="C5900" s="2" t="s">
        <v>14897</v>
      </c>
      <c r="D5900" s="4" t="str">
        <f>vlookup(A5900, Sheet2!D:E, 2, 0)</f>
        <v>control</v>
      </c>
      <c r="E5900" s="4" t="str">
        <f>IFERROR(__xludf.DUMMYFUNCTION("if(H5900=""pays"",vlookup(REGEXEXTRACT(C5900, ""🏘️ \w+ \w+ (.*) ✅""),'Country prepositions'!A:B, 2, 0) &amp; "" "" &amp; REGEXEXTRACT(C5900, ""🏘️ \w+ \w+ (.*) ✅"") ,  if(H5900=""quartier"",vlookup(REGEXEXTRACT(C5900, ""🏘️ \w+ \w+ (.*) ✅""),'Quartier prepositio"&amp;"ns'!A:E, 5, 0) ,  if(H5900=""region"",vlookup(REGEXEXTRACT(C5900, ""🏘️ \w+ \w+ (.*) ✅""),'Region prepositions'!B:F, 5, 0),  REGEXEXTRACT(C5900, ""🏘️ \w+ \w+ (.*) ✅""))))"),"#N/A")</f>
        <v>#N/A</v>
      </c>
      <c r="I5900" s="4" t="str">
        <f>IFERROR(__xludf.DUMMYFUNCTION("if(D5900=""variant"",  substitute(filter(Templates!E:E, Templates!A:A = F5900, Templates!B:B = G5900, Templates!C:C = H5900), ""{{}}"", E5900), B5900)"),"Louer appartement Yvonand: Trouvez le bien immobilier qui correspond idéalement à vos désirs sur ImmoScout24 - La plateforme de l'immobilier en Suisse.")</f>
        <v>Louer appartement Yvonand: Trouvez le bien immobilier qui correspond idéalement à vos désirs sur ImmoScout24 - La plateforme de l'immobilier en Suisse.</v>
      </c>
    </row>
    <row r="5901" hidden="1">
      <c r="A5901" s="5" t="s">
        <v>14898</v>
      </c>
      <c r="B5901" s="2" t="s">
        <v>14899</v>
      </c>
      <c r="C5901" s="2" t="s">
        <v>14899</v>
      </c>
      <c r="D5901" s="4" t="str">
        <f>vlookup(A5901, Sheet2!D:E, 2, 0)</f>
        <v>control</v>
      </c>
      <c r="E5901" s="4" t="str">
        <f>IFERROR(__xludf.DUMMYFUNCTION("if(H5901=""pays"",vlookup(REGEXEXTRACT(C5901, ""🏘️ \w+ \w+ (.*) ✅""),'Country prepositions'!A:B, 2, 0) &amp; "" "" &amp; REGEXEXTRACT(C5901, ""🏘️ \w+ \w+ (.*) ✅"") ,  if(H5901=""quartier"",vlookup(REGEXEXTRACT(C5901, ""🏘️ \w+ \w+ (.*) ✅""),'Quartier prepositio"&amp;"ns'!A:E, 5, 0) ,  if(H5901=""region"",vlookup(REGEXEXTRACT(C5901, ""🏘️ \w+ \w+ (.*) ✅""),'Region prepositions'!B:F, 5, 0),  REGEXEXTRACT(C5901, ""🏘️ \w+ \w+ (.*) ✅""))))"),"#N/A")</f>
        <v>#N/A</v>
      </c>
      <c r="I5901" s="4" t="str">
        <f>IFERROR(__xludf.DUMMYFUNCTION("if(D5901=""variant"",  substitute(filter(Templates!E:E, Templates!A:A = F5901, Templates!B:B = G5901, Templates!C:C = H5901), ""{{}}"", E5901), B5901)"),"Louer appartement Kehrsatz: Trouvez le bien immobilier qui correspond idéalement à vos désirs sur ImmoScout24 - La plateforme de l'immobilier en Suisse.")</f>
        <v>Louer appartement Kehrsatz: Trouvez le bien immobilier qui correspond idéalement à vos désirs sur ImmoScout24 - La plateforme de l'immobilier en Suisse.</v>
      </c>
    </row>
    <row r="5902" hidden="1">
      <c r="A5902" s="5" t="s">
        <v>14900</v>
      </c>
      <c r="B5902" s="2" t="s">
        <v>14901</v>
      </c>
      <c r="C5902" s="2" t="s">
        <v>14901</v>
      </c>
      <c r="D5902" s="4" t="str">
        <f>vlookup(A5902, Sheet2!D:E, 2, 0)</f>
        <v>control</v>
      </c>
      <c r="E5902" s="4" t="str">
        <f>IFERROR(__xludf.DUMMYFUNCTION("if(H5902=""pays"",vlookup(REGEXEXTRACT(C5902, ""🏘️ \w+ \w+ (.*) ✅""),'Country prepositions'!A:B, 2, 0) &amp; "" "" &amp; REGEXEXTRACT(C5902, ""🏘️ \w+ \w+ (.*) ✅"") ,  if(H5902=""quartier"",vlookup(REGEXEXTRACT(C5902, ""🏘️ \w+ \w+ (.*) ✅""),'Quartier prepositio"&amp;"ns'!A:E, 5, 0) ,  if(H5902=""region"",vlookup(REGEXEXTRACT(C5902, ""🏘️ \w+ \w+ (.*) ✅""),'Region prepositions'!B:F, 5, 0),  REGEXEXTRACT(C5902, ""🏘️ \w+ \w+ (.*) ✅""))))"),"#N/A")</f>
        <v>#N/A</v>
      </c>
      <c r="I5902" s="4" t="str">
        <f>IFERROR(__xludf.DUMMYFUNCTION("if(D5902=""variant"",  substitute(filter(Templates!E:E, Templates!A:A = F5902, Templates!B:B = G5902, Templates!C:C = H5902), ""{{}}"", E5902), B5902)"),"Louer appartement Prez-vers-Noréaz: Trouvez le bien immobilier qui correspond idéalement à vos désirs sur ImmoScout24 - La plateforme de l'immobilier en Suisse.")</f>
        <v>Louer appartement Prez-vers-Noréaz: Trouvez le bien immobilier qui correspond idéalement à vos désirs sur ImmoScout24 - La plateforme de l'immobilier en Suisse.</v>
      </c>
    </row>
    <row r="5903" hidden="1">
      <c r="A5903" s="5" t="s">
        <v>14902</v>
      </c>
      <c r="B5903" s="2" t="s">
        <v>14903</v>
      </c>
      <c r="C5903" s="2" t="s">
        <v>14903</v>
      </c>
      <c r="D5903" s="4" t="str">
        <f>vlookup(A5903, Sheet2!D:E, 2, 0)</f>
        <v>control</v>
      </c>
      <c r="E5903" s="4" t="str">
        <f>IFERROR(__xludf.DUMMYFUNCTION("if(H5903=""pays"",vlookup(REGEXEXTRACT(C5903, ""🏘️ \w+ \w+ (.*) ✅""),'Country prepositions'!A:B, 2, 0) &amp; "" "" &amp; REGEXEXTRACT(C5903, ""🏘️ \w+ \w+ (.*) ✅"") ,  if(H5903=""quartier"",vlookup(REGEXEXTRACT(C5903, ""🏘️ \w+ \w+ (.*) ✅""),'Quartier prepositio"&amp;"ns'!A:E, 5, 0) ,  if(H5903=""region"",vlookup(REGEXEXTRACT(C5903, ""🏘️ \w+ \w+ (.*) ✅""),'Region prepositions'!B:F, 5, 0),  REGEXEXTRACT(C5903, ""🏘️ \w+ \w+ (.*) ✅""))))"),"#N/A")</f>
        <v>#N/A</v>
      </c>
      <c r="I5903" s="4" t="str">
        <f>IFERROR(__xludf.DUMMYFUNCTION("if(D5903=""variant"",  substitute(filter(Templates!E:E, Templates!A:A = F5903, Templates!B:B = G5903, Templates!C:C = H5903), ""{{}}"", E5903), B5903)"),"Louer maison Renens VD: Trouvez le bien immobilier qui correspond idéalement à vos désirs sur ImmoScout24 - La plateforme de l'immobilier en Suisse.")</f>
        <v>Louer maison Renens VD: Trouvez le bien immobilier qui correspond idéalement à vos désirs sur ImmoScout24 - La plateforme de l'immobilier en Suisse.</v>
      </c>
    </row>
    <row r="5904" hidden="1">
      <c r="A5904" s="5" t="s">
        <v>14904</v>
      </c>
      <c r="B5904" s="2" t="s">
        <v>14905</v>
      </c>
      <c r="C5904" s="2" t="s">
        <v>14905</v>
      </c>
      <c r="D5904" s="4" t="str">
        <f>vlookup(A5904, Sheet2!D:E, 2, 0)</f>
        <v>control</v>
      </c>
      <c r="E5904" s="4" t="str">
        <f>IFERROR(__xludf.DUMMYFUNCTION("if(H5904=""pays"",vlookup(REGEXEXTRACT(C5904, ""🏘️ \w+ \w+ (.*) ✅""),'Country prepositions'!A:B, 2, 0) &amp; "" "" &amp; REGEXEXTRACT(C5904, ""🏘️ \w+ \w+ (.*) ✅"") ,  if(H5904=""quartier"",vlookup(REGEXEXTRACT(C5904, ""🏘️ \w+ \w+ (.*) ✅""),'Quartier prepositio"&amp;"ns'!A:E, 5, 0) ,  if(H5904=""region"",vlookup(REGEXEXTRACT(C5904, ""🏘️ \w+ \w+ (.*) ✅""),'Region prepositions'!B:F, 5, 0),  REGEXEXTRACT(C5904, ""🏘️ \w+ \w+ (.*) ✅""))))"),"#N/A")</f>
        <v>#N/A</v>
      </c>
      <c r="I5904" s="4" t="str">
        <f>IFERROR(__xludf.DUMMYFUNCTION("if(D5904=""variant"",  substitute(filter(Templates!E:E, Templates!A:A = F5904, Templates!B:B = G5904, Templates!C:C = H5904), ""{{}}"", E5904), B5904)"),"Louer appartement Zwillikon: Trouvez le bien immobilier qui correspond idéalement à vos désirs sur ImmoScout24 - La plateforme de l'immobilier en Suisse.")</f>
        <v>Louer appartement Zwillikon: Trouvez le bien immobilier qui correspond idéalement à vos désirs sur ImmoScout24 - La plateforme de l'immobilier en Suisse.</v>
      </c>
    </row>
    <row r="5905" hidden="1">
      <c r="A5905" s="5" t="s">
        <v>14906</v>
      </c>
      <c r="B5905" s="2" t="s">
        <v>14907</v>
      </c>
      <c r="C5905" s="2" t="s">
        <v>14907</v>
      </c>
      <c r="D5905" s="4" t="str">
        <f>vlookup(A5905, Sheet2!D:E, 2, 0)</f>
        <v>control</v>
      </c>
      <c r="E5905" s="4" t="str">
        <f>IFERROR(__xludf.DUMMYFUNCTION("if(H5905=""pays"",vlookup(REGEXEXTRACT(C5905, ""🏘️ \w+ \w+ (.*) ✅""),'Country prepositions'!A:B, 2, 0) &amp; "" "" &amp; REGEXEXTRACT(C5905, ""🏘️ \w+ \w+ (.*) ✅"") ,  if(H5905=""quartier"",vlookup(REGEXEXTRACT(C5905, ""🏘️ \w+ \w+ (.*) ✅""),'Quartier prepositio"&amp;"ns'!A:E, 5, 0) ,  if(H5905=""region"",vlookup(REGEXEXTRACT(C5905, ""🏘️ \w+ \w+ (.*) ✅""),'Region prepositions'!B:F, 5, 0),  REGEXEXTRACT(C5905, ""🏘️ \w+ \w+ (.*) ✅""))))"),"#N/A")</f>
        <v>#N/A</v>
      </c>
      <c r="I5905" s="4" t="str">
        <f>IFERROR(__xludf.DUMMYFUNCTION("if(D5905=""variant"",  substitute(filter(Templates!E:E, Templates!A:A = F5905, Templates!B:B = G5905, Templates!C:C = H5905), ""{{}}"", E5905), B5905)"),"Vendre appartement Canton de Fribourg: Trouvez le bien immobilier qui correspond idéalement à vos désirs sur ImmoScout24 - La plateforme de l'immobilier en Suisse.")</f>
        <v>Vendre appartement Canton de Fribourg: Trouvez le bien immobilier qui correspond idéalement à vos désirs sur ImmoScout24 - La plateforme de l'immobilier en Suisse.</v>
      </c>
    </row>
    <row r="5906" hidden="1">
      <c r="A5906" s="5" t="s">
        <v>14908</v>
      </c>
      <c r="B5906" s="2" t="s">
        <v>14909</v>
      </c>
      <c r="C5906" s="2" t="s">
        <v>14909</v>
      </c>
      <c r="D5906" s="4" t="str">
        <f>vlookup(A5906, Sheet2!D:E, 2, 0)</f>
        <v>control</v>
      </c>
      <c r="E5906" s="4" t="str">
        <f>IFERROR(__xludf.DUMMYFUNCTION("if(H5906=""pays"",vlookup(REGEXEXTRACT(C5906, ""🏘️ \w+ \w+ (.*) ✅""),'Country prepositions'!A:B, 2, 0) &amp; "" "" &amp; REGEXEXTRACT(C5906, ""🏘️ \w+ \w+ (.*) ✅"") ,  if(H5906=""quartier"",vlookup(REGEXEXTRACT(C5906, ""🏘️ \w+ \w+ (.*) ✅""),'Quartier prepositio"&amp;"ns'!A:E, 5, 0) ,  if(H5906=""region"",vlookup(REGEXEXTRACT(C5906, ""🏘️ \w+ \w+ (.*) ✅""),'Region prepositions'!B:F, 5, 0),  REGEXEXTRACT(C5906, ""🏘️ \w+ \w+ (.*) ✅""))))"),"#N/A")</f>
        <v>#N/A</v>
      </c>
      <c r="I5906" s="4" t="str">
        <f>IFERROR(__xludf.DUMMYFUNCTION("if(D5906=""variant"",  substitute(filter(Templates!E:E, Templates!A:A = F5906, Templates!B:B = G5906, Templates!C:C = H5906), ""{{}}"", E5906), B5906)"),"Louer appartement Melchtal: Trouvez le bien immobilier qui correspond idéalement à vos désirs sur ImmoScout24 - La plateforme de l'immobilier en Suisse.")</f>
        <v>Louer appartement Melchtal: Trouvez le bien immobilier qui correspond idéalement à vos désirs sur ImmoScout24 - La plateforme de l'immobilier en Suisse.</v>
      </c>
    </row>
    <row r="5907" hidden="1">
      <c r="A5907" s="5" t="s">
        <v>14910</v>
      </c>
      <c r="B5907" s="2" t="s">
        <v>14911</v>
      </c>
      <c r="C5907" s="2" t="s">
        <v>14911</v>
      </c>
      <c r="D5907" s="4" t="str">
        <f>vlookup(A5907, Sheet2!D:E, 2, 0)</f>
        <v>control</v>
      </c>
      <c r="E5907" s="4" t="str">
        <f>IFERROR(__xludf.DUMMYFUNCTION("if(H5907=""pays"",vlookup(REGEXEXTRACT(C5907, ""🏘️ \w+ \w+ (.*) ✅""),'Country prepositions'!A:B, 2, 0) &amp; "" "" &amp; REGEXEXTRACT(C5907, ""🏘️ \w+ \w+ (.*) ✅"") ,  if(H5907=""quartier"",vlookup(REGEXEXTRACT(C5907, ""🏘️ \w+ \w+ (.*) ✅""),'Quartier prepositio"&amp;"ns'!A:E, 5, 0) ,  if(H5907=""region"",vlookup(REGEXEXTRACT(C5907, ""🏘️ \w+ \w+ (.*) ✅""),'Region prepositions'!B:F, 5, 0),  REGEXEXTRACT(C5907, ""🏘️ \w+ \w+ (.*) ✅""))))"),"#N/A")</f>
        <v>#N/A</v>
      </c>
      <c r="I5907" s="4" t="str">
        <f>IFERROR(__xludf.DUMMYFUNCTION("if(D5907=""variant"",  substitute(filter(Templates!E:E, Templates!A:A = F5907, Templates!B:B = G5907, Templates!C:C = H5907), ""{{}}"", E5907), B5907)"),"Louer maison La Praz: Trouvez le bien immobilier qui correspond idéalement à vos désirs sur ImmoScout24 - La plateforme de l'immobilier en Suisse.")</f>
        <v>Louer maison La Praz: Trouvez le bien immobilier qui correspond idéalement à vos désirs sur ImmoScout24 - La plateforme de l'immobilier en Suisse.</v>
      </c>
    </row>
    <row r="5908" hidden="1">
      <c r="A5908" s="5" t="s">
        <v>14912</v>
      </c>
      <c r="B5908" s="2" t="s">
        <v>14913</v>
      </c>
      <c r="C5908" s="2" t="s">
        <v>14913</v>
      </c>
      <c r="D5908" s="4" t="str">
        <f>vlookup(A5908, Sheet2!D:E, 2, 0)</f>
        <v>control</v>
      </c>
      <c r="E5908" s="4" t="str">
        <f>IFERROR(__xludf.DUMMYFUNCTION("if(H5908=""pays"",vlookup(REGEXEXTRACT(C5908, ""🏘️ \w+ \w+ (.*) ✅""),'Country prepositions'!A:B, 2, 0) &amp; "" "" &amp; REGEXEXTRACT(C5908, ""🏘️ \w+ \w+ (.*) ✅"") ,  if(H5908=""quartier"",vlookup(REGEXEXTRACT(C5908, ""🏘️ \w+ \w+ (.*) ✅""),'Quartier prepositio"&amp;"ns'!A:E, 5, 0) ,  if(H5908=""region"",vlookup(REGEXEXTRACT(C5908, ""🏘️ \w+ \w+ (.*) ✅""),'Region prepositions'!B:F, 5, 0),  REGEXEXTRACT(C5908, ""🏘️ \w+ \w+ (.*) ✅""))))"),"#N/A")</f>
        <v>#N/A</v>
      </c>
      <c r="I5908" s="4" t="str">
        <f>IFERROR(__xludf.DUMMYFUNCTION("if(D5908=""variant"",  substitute(filter(Templates!E:E, Templates!A:A = F5908, Templates!B:B = G5908, Templates!C:C = H5908), ""{{}}"", E5908), B5908)"),"Louer appartement Intragna: Trouvez le bien immobilier qui correspond idéalement à vos désirs sur ImmoScout24 - La plateforme de l'immobilier en Suisse.")</f>
        <v>Louer appartement Intragna: Trouvez le bien immobilier qui correspond idéalement à vos désirs sur ImmoScout24 - La plateforme de l'immobilier en Suisse.</v>
      </c>
    </row>
    <row r="5909" hidden="1">
      <c r="A5909" s="5" t="s">
        <v>14914</v>
      </c>
      <c r="B5909" s="2" t="s">
        <v>14915</v>
      </c>
      <c r="C5909" s="2" t="s">
        <v>14915</v>
      </c>
      <c r="D5909" s="4" t="str">
        <f>vlookup(A5909, Sheet2!D:E, 2, 0)</f>
        <v>control</v>
      </c>
      <c r="E5909" s="4" t="str">
        <f>IFERROR(__xludf.DUMMYFUNCTION("if(H5909=""pays"",vlookup(REGEXEXTRACT(C5909, ""🏘️ \w+ \w+ (.*) ✅""),'Country prepositions'!A:B, 2, 0) &amp; "" "" &amp; REGEXEXTRACT(C5909, ""🏘️ \w+ \w+ (.*) ✅"") ,  if(H5909=""quartier"",vlookup(REGEXEXTRACT(C5909, ""🏘️ \w+ \w+ (.*) ✅""),'Quartier prepositio"&amp;"ns'!A:E, 5, 0) ,  if(H5909=""region"",vlookup(REGEXEXTRACT(C5909, ""🏘️ \w+ \w+ (.*) ✅""),'Region prepositions'!B:F, 5, 0),  REGEXEXTRACT(C5909, ""🏘️ \w+ \w+ (.*) ✅""))))"),"#N/A")</f>
        <v>#N/A</v>
      </c>
      <c r="I5909" s="4" t="str">
        <f>IFERROR(__xludf.DUMMYFUNCTION("if(D5909=""variant"",  substitute(filter(Templates!E:E, Templates!A:A = F5909, Templates!B:B = G5909, Templates!C:C = H5909), ""{{}}"", E5909), B5909)"),"Louer appartement Villaz-St-Pierre: Trouvez le bien immobilier qui correspond idéalement à vos désirs sur ImmoScout24 - La plateforme de l'immobilier en Suisse.")</f>
        <v>Louer appartement Villaz-St-Pierre: Trouvez le bien immobilier qui correspond idéalement à vos désirs sur ImmoScout24 - La plateforme de l'immobilier en Suisse.</v>
      </c>
    </row>
    <row r="5910" hidden="1">
      <c r="A5910" s="5" t="s">
        <v>14916</v>
      </c>
      <c r="B5910" s="2" t="s">
        <v>14917</v>
      </c>
      <c r="C5910" s="2" t="s">
        <v>14917</v>
      </c>
      <c r="D5910" s="4" t="str">
        <f>vlookup(A5910, Sheet2!D:E, 2, 0)</f>
        <v>control</v>
      </c>
      <c r="E5910" s="4" t="str">
        <f>IFERROR(__xludf.DUMMYFUNCTION("if(H5910=""pays"",vlookup(REGEXEXTRACT(C5910, ""🏘️ \w+ \w+ (.*) ✅""),'Country prepositions'!A:B, 2, 0) &amp; "" "" &amp; REGEXEXTRACT(C5910, ""🏘️ \w+ \w+ (.*) ✅"") ,  if(H5910=""quartier"",vlookup(REGEXEXTRACT(C5910, ""🏘️ \w+ \w+ (.*) ✅""),'Quartier prepositio"&amp;"ns'!A:E, 5, 0) ,  if(H5910=""region"",vlookup(REGEXEXTRACT(C5910, ""🏘️ \w+ \w+ (.*) ✅""),'Region prepositions'!B:F, 5, 0),  REGEXEXTRACT(C5910, ""🏘️ \w+ \w+ (.*) ✅""))))"),"#N/A")</f>
        <v>#N/A</v>
      </c>
      <c r="I5910" s="4" t="str">
        <f>IFERROR(__xludf.DUMMYFUNCTION("if(D5910=""variant"",  substitute(filter(Templates!E:E, Templates!A:A = F5910, Templates!B:B = G5910, Templates!C:C = H5910), ""{{}}"", E5910), B5910)"),"Louer appartement Erlinsbach: Trouvez le bien immobilier qui correspond idéalement à vos désirs sur ImmoScout24 - La plateforme de l'immobilier en Suisse.")</f>
        <v>Louer appartement Erlinsbach: Trouvez le bien immobilier qui correspond idéalement à vos désirs sur ImmoScout24 - La plateforme de l'immobilier en Suisse.</v>
      </c>
    </row>
    <row r="5911" hidden="1">
      <c r="A5911" s="5" t="s">
        <v>14918</v>
      </c>
      <c r="B5911" s="2" t="s">
        <v>14919</v>
      </c>
      <c r="C5911" s="2" t="s">
        <v>14919</v>
      </c>
      <c r="D5911" s="4" t="str">
        <f>vlookup(A5911, Sheet2!D:E, 2, 0)</f>
        <v>control</v>
      </c>
      <c r="E5911" s="4" t="str">
        <f>IFERROR(__xludf.DUMMYFUNCTION("if(H5911=""pays"",vlookup(REGEXEXTRACT(C5911, ""🏘️ \w+ \w+ (.*) ✅""),'Country prepositions'!A:B, 2, 0) &amp; "" "" &amp; REGEXEXTRACT(C5911, ""🏘️ \w+ \w+ (.*) ✅"") ,  if(H5911=""quartier"",vlookup(REGEXEXTRACT(C5911, ""🏘️ \w+ \w+ (.*) ✅""),'Quartier prepositio"&amp;"ns'!A:E, 5, 0) ,  if(H5911=""region"",vlookup(REGEXEXTRACT(C5911, ""🏘️ \w+ \w+ (.*) ✅""),'Region prepositions'!B:F, 5, 0),  REGEXEXTRACT(C5911, ""🏘️ \w+ \w+ (.*) ✅""))))"),"#N/A")</f>
        <v>#N/A</v>
      </c>
      <c r="I5911" s="4" t="str">
        <f>IFERROR(__xludf.DUMMYFUNCTION("if(D5911=""variant"",  substitute(filter(Templates!E:E, Templates!A:A = F5911, Templates!B:B = G5911, Templates!C:C = H5911), ""{{}}"", E5911), B5911)"),"Vendre maison Rothwald: Trouvez le bien immobilier qui correspond idéalement à vos désirs sur ImmoScout24 - La plateforme de l'immobilier en Suisse.")</f>
        <v>Vendre maison Rothwald: Trouvez le bien immobilier qui correspond idéalement à vos désirs sur ImmoScout24 - La plateforme de l'immobilier en Suisse.</v>
      </c>
    </row>
    <row r="5912" hidden="1">
      <c r="A5912" s="5" t="s">
        <v>14920</v>
      </c>
      <c r="B5912" s="2" t="s">
        <v>14921</v>
      </c>
      <c r="C5912" s="2" t="s">
        <v>14921</v>
      </c>
      <c r="D5912" s="4" t="str">
        <f>vlookup(A5912, Sheet2!D:E, 2, 0)</f>
        <v>control</v>
      </c>
      <c r="E5912" s="4" t="str">
        <f>IFERROR(__xludf.DUMMYFUNCTION("if(H5912=""pays"",vlookup(REGEXEXTRACT(C5912, ""🏘️ \w+ \w+ (.*) ✅""),'Country prepositions'!A:B, 2, 0) &amp; "" "" &amp; REGEXEXTRACT(C5912, ""🏘️ \w+ \w+ (.*) ✅"") ,  if(H5912=""quartier"",vlookup(REGEXEXTRACT(C5912, ""🏘️ \w+ \w+ (.*) ✅""),'Quartier prepositio"&amp;"ns'!A:E, 5, 0) ,  if(H5912=""region"",vlookup(REGEXEXTRACT(C5912, ""🏘️ \w+ \w+ (.*) ✅""),'Region prepositions'!B:F, 5, 0),  REGEXEXTRACT(C5912, ""🏘️ \w+ \w+ (.*) ✅""))))"),"#N/A")</f>
        <v>#N/A</v>
      </c>
      <c r="I5912" s="4" t="str">
        <f>IFERROR(__xludf.DUMMYFUNCTION("if(D5912=""variant"",  substitute(filter(Templates!E:E, Templates!A:A = F5912, Templates!B:B = G5912, Templates!C:C = H5912), ""{{}}"", E5912), B5912)"),"Vendre maison Vaulruz: Trouvez le bien immobilier qui correspond idéalement à vos désirs sur ImmoScout24 - La plateforme de l'immobilier en Suisse.")</f>
        <v>Vendre maison Vaulruz: Trouvez le bien immobilier qui correspond idéalement à vos désirs sur ImmoScout24 - La plateforme de l'immobilier en Suisse.</v>
      </c>
    </row>
    <row r="5913" hidden="1">
      <c r="A5913" s="5" t="s">
        <v>14922</v>
      </c>
      <c r="B5913" s="2" t="s">
        <v>14923</v>
      </c>
      <c r="C5913" s="2" t="s">
        <v>14923</v>
      </c>
      <c r="D5913" s="4" t="str">
        <f>vlookup(A5913, Sheet2!D:E, 2, 0)</f>
        <v>control</v>
      </c>
      <c r="E5913" s="4" t="str">
        <f>IFERROR(__xludf.DUMMYFUNCTION("if(H5913=""pays"",vlookup(REGEXEXTRACT(C5913, ""🏘️ \w+ \w+ (.*) ✅""),'Country prepositions'!A:B, 2, 0) &amp; "" "" &amp; REGEXEXTRACT(C5913, ""🏘️ \w+ \w+ (.*) ✅"") ,  if(H5913=""quartier"",vlookup(REGEXEXTRACT(C5913, ""🏘️ \w+ \w+ (.*) ✅""),'Quartier prepositio"&amp;"ns'!A:E, 5, 0) ,  if(H5913=""region"",vlookup(REGEXEXTRACT(C5913, ""🏘️ \w+ \w+ (.*) ✅""),'Region prepositions'!B:F, 5, 0),  REGEXEXTRACT(C5913, ""🏘️ \w+ \w+ (.*) ✅""))))"),"#N/A")</f>
        <v>#N/A</v>
      </c>
      <c r="I5913" s="4" t="str">
        <f>IFERROR(__xludf.DUMMYFUNCTION("if(D5913=""variant"",  substitute(filter(Templates!E:E, Templates!A:A = F5913, Templates!B:B = G5913, Templates!C:C = H5913), ""{{}}"", E5913), B5913)"),"Louer maison Canton d'Appenzell RI: Trouvez le bien immobilier qui correspond idéalement à vos désirs sur ImmoScout24 - La plateforme de l'immobilier en Suisse.")</f>
        <v>Louer maison Canton d'Appenzell RI: Trouvez le bien immobilier qui correspond idéalement à vos désirs sur ImmoScout24 - La plateforme de l'immobilier en Suisse.</v>
      </c>
    </row>
    <row r="5914" hidden="1">
      <c r="A5914" s="5" t="s">
        <v>14924</v>
      </c>
      <c r="B5914" s="2" t="s">
        <v>14925</v>
      </c>
      <c r="C5914" s="2" t="s">
        <v>14925</v>
      </c>
      <c r="D5914" s="4" t="str">
        <f>vlookup(A5914, Sheet2!D:E, 2, 0)</f>
        <v>control</v>
      </c>
      <c r="E5914" s="4" t="str">
        <f>IFERROR(__xludf.DUMMYFUNCTION("if(H5914=""pays"",vlookup(REGEXEXTRACT(C5914, ""🏘️ \w+ \w+ (.*) ✅""),'Country prepositions'!A:B, 2, 0) &amp; "" "" &amp; REGEXEXTRACT(C5914, ""🏘️ \w+ \w+ (.*) ✅"") ,  if(H5914=""quartier"",vlookup(REGEXEXTRACT(C5914, ""🏘️ \w+ \w+ (.*) ✅""),'Quartier prepositio"&amp;"ns'!A:E, 5, 0) ,  if(H5914=""region"",vlookup(REGEXEXTRACT(C5914, ""🏘️ \w+ \w+ (.*) ✅""),'Region prepositions'!B:F, 5, 0),  REGEXEXTRACT(C5914, ""🏘️ \w+ \w+ (.*) ✅""))))"),"#N/A")</f>
        <v>#N/A</v>
      </c>
      <c r="I5914" s="4" t="str">
        <f>IFERROR(__xludf.DUMMYFUNCTION("if(D5914=""variant"",  substitute(filter(Templates!E:E, Templates!A:A = F5914, Templates!B:B = G5914, Templates!C:C = H5914), ""{{}}"", E5914), B5914)"),"Louer appartement Ballaigues: Trouvez le bien immobilier qui correspond idéalement à vos désirs sur ImmoScout24 - La plateforme de l'immobilier en Suisse.")</f>
        <v>Louer appartement Ballaigues: Trouvez le bien immobilier qui correspond idéalement à vos désirs sur ImmoScout24 - La plateforme de l'immobilier en Suisse.</v>
      </c>
    </row>
    <row r="5915" hidden="1">
      <c r="A5915" s="5" t="s">
        <v>14926</v>
      </c>
      <c r="B5915" s="2" t="s">
        <v>14927</v>
      </c>
      <c r="C5915" s="2" t="s">
        <v>14927</v>
      </c>
      <c r="D5915" s="4" t="str">
        <f>vlookup(A5915, Sheet2!D:E, 2, 0)</f>
        <v>control</v>
      </c>
      <c r="E5915" s="4" t="str">
        <f>IFERROR(__xludf.DUMMYFUNCTION("if(H5915=""pays"",vlookup(REGEXEXTRACT(C5915, ""🏘️ \w+ \w+ (.*) ✅""),'Country prepositions'!A:B, 2, 0) &amp; "" "" &amp; REGEXEXTRACT(C5915, ""🏘️ \w+ \w+ (.*) ✅"") ,  if(H5915=""quartier"",vlookup(REGEXEXTRACT(C5915, ""🏘️ \w+ \w+ (.*) ✅""),'Quartier prepositio"&amp;"ns'!A:E, 5, 0) ,  if(H5915=""region"",vlookup(REGEXEXTRACT(C5915, ""🏘️ \w+ \w+ (.*) ✅""),'Region prepositions'!B:F, 5, 0),  REGEXEXTRACT(C5915, ""🏘️ \w+ \w+ (.*) ✅""))))"),"#N/A")</f>
        <v>#N/A</v>
      </c>
      <c r="I5915" s="4" t="str">
        <f>IFERROR(__xludf.DUMMYFUNCTION("if(D5915=""variant"",  substitute(filter(Templates!E:E, Templates!A:A = F5915, Templates!B:B = G5915, Templates!C:C = H5915), ""{{}}"", E5915), B5915)"),"Louer appartement Buchillon: Trouvez le bien immobilier qui correspond idéalement à vos désirs sur ImmoScout24 - La plateforme de l'immobilier en Suisse.")</f>
        <v>Louer appartement Buchillon: Trouvez le bien immobilier qui correspond idéalement à vos désirs sur ImmoScout24 - La plateforme de l'immobilier en Suisse.</v>
      </c>
    </row>
    <row r="5916" hidden="1">
      <c r="A5916" s="5" t="s">
        <v>14928</v>
      </c>
      <c r="B5916" s="2" t="s">
        <v>14929</v>
      </c>
      <c r="C5916" s="2" t="s">
        <v>14929</v>
      </c>
      <c r="D5916" s="4" t="str">
        <f>vlookup(A5916, Sheet2!D:E, 2, 0)</f>
        <v>control</v>
      </c>
      <c r="E5916" s="4" t="str">
        <f>IFERROR(__xludf.DUMMYFUNCTION("if(H5916=""pays"",vlookup(REGEXEXTRACT(C5916, ""🏘️ \w+ \w+ (.*) ✅""),'Country prepositions'!A:B, 2, 0) &amp; "" "" &amp; REGEXEXTRACT(C5916, ""🏘️ \w+ \w+ (.*) ✅"") ,  if(H5916=""quartier"",vlookup(REGEXEXTRACT(C5916, ""🏘️ \w+ \w+ (.*) ✅""),'Quartier prepositio"&amp;"ns'!A:E, 5, 0) ,  if(H5916=""region"",vlookup(REGEXEXTRACT(C5916, ""🏘️ \w+ \w+ (.*) ✅""),'Region prepositions'!B:F, 5, 0),  REGEXEXTRACT(C5916, ""🏘️ \w+ \w+ (.*) ✅""))))"),"#N/A")</f>
        <v>#N/A</v>
      </c>
      <c r="I5916" s="4" t="str">
        <f>IFERROR(__xludf.DUMMYFUNCTION("if(D5916=""variant"",  substitute(filter(Templates!E:E, Templates!A:A = F5916, Templates!B:B = G5916, Templates!C:C = H5916), ""{{}}"", E5916), B5916)"),"Louer appartement Worblaufen: Trouvez le bien immobilier qui correspond idéalement à vos désirs sur ImmoScout24 - La plateforme de l'immobilier en Suisse.")</f>
        <v>Louer appartement Worblaufen: Trouvez le bien immobilier qui correspond idéalement à vos désirs sur ImmoScout24 - La plateforme de l'immobilier en Suisse.</v>
      </c>
    </row>
    <row r="5917" hidden="1">
      <c r="A5917" s="5" t="s">
        <v>14930</v>
      </c>
      <c r="B5917" s="2" t="s">
        <v>14931</v>
      </c>
      <c r="C5917" s="2" t="s">
        <v>14931</v>
      </c>
      <c r="D5917" s="4" t="str">
        <f>vlookup(A5917, Sheet2!D:E, 2, 0)</f>
        <v>control</v>
      </c>
      <c r="E5917" s="4" t="str">
        <f>IFERROR(__xludf.DUMMYFUNCTION("if(H5917=""pays"",vlookup(REGEXEXTRACT(C5917, ""🏘️ \w+ \w+ (.*) ✅""),'Country prepositions'!A:B, 2, 0) &amp; "" "" &amp; REGEXEXTRACT(C5917, ""🏘️ \w+ \w+ (.*) ✅"") ,  if(H5917=""quartier"",vlookup(REGEXEXTRACT(C5917, ""🏘️ \w+ \w+ (.*) ✅""),'Quartier prepositio"&amp;"ns'!A:E, 5, 0) ,  if(H5917=""region"",vlookup(REGEXEXTRACT(C5917, ""🏘️ \w+ \w+ (.*) ✅""),'Region prepositions'!B:F, 5, 0),  REGEXEXTRACT(C5917, ""🏘️ \w+ \w+ (.*) ✅""))))"),"#N/A")</f>
        <v>#N/A</v>
      </c>
      <c r="I5917" s="4" t="str">
        <f>IFERROR(__xludf.DUMMYFUNCTION("if(D5917=""variant"",  substitute(filter(Templates!E:E, Templates!A:A = F5917, Templates!B:B = G5917, Templates!C:C = H5917), ""{{}}"", E5917), B5917)"),"Vendre maison Chenaux: Trouvez le bien immobilier qui correspond idéalement à vos désirs sur ImmoScout24 - La plateforme de l'immobilier en Suisse.")</f>
        <v>Vendre maison Chenaux: Trouvez le bien immobilier qui correspond idéalement à vos désirs sur ImmoScout24 - La plateforme de l'immobilier en Suisse.</v>
      </c>
    </row>
    <row r="5918" hidden="1">
      <c r="A5918" s="5" t="s">
        <v>14932</v>
      </c>
      <c r="B5918" s="2" t="s">
        <v>14933</v>
      </c>
      <c r="C5918" s="2" t="s">
        <v>14933</v>
      </c>
      <c r="D5918" s="4" t="str">
        <f>vlookup(A5918, Sheet2!D:E, 2, 0)</f>
        <v>control</v>
      </c>
      <c r="E5918" s="4" t="str">
        <f>IFERROR(__xludf.DUMMYFUNCTION("if(H5918=""pays"",vlookup(REGEXEXTRACT(C5918, ""🏘️ \w+ \w+ (.*) ✅""),'Country prepositions'!A:B, 2, 0) &amp; "" "" &amp; REGEXEXTRACT(C5918, ""🏘️ \w+ \w+ (.*) ✅"") ,  if(H5918=""quartier"",vlookup(REGEXEXTRACT(C5918, ""🏘️ \w+ \w+ (.*) ✅""),'Quartier prepositio"&amp;"ns'!A:E, 5, 0) ,  if(H5918=""region"",vlookup(REGEXEXTRACT(C5918, ""🏘️ \w+ \w+ (.*) ✅""),'Region prepositions'!B:F, 5, 0),  REGEXEXTRACT(C5918, ""🏘️ \w+ \w+ (.*) ✅""))))"),"#N/A")</f>
        <v>#N/A</v>
      </c>
      <c r="I5918" s="4" t="str">
        <f>IFERROR(__xludf.DUMMYFUNCTION("if(D5918=""variant"",  substitute(filter(Templates!E:E, Templates!A:A = F5918, Templates!B:B = G5918, Templates!C:C = H5918), ""{{}}"", E5918), B5918)"),"Vendre appartement Ovronnaz: Trouvez le bien immobilier qui correspond idéalement à vos désirs sur ImmoScout24 - La plateforme de l'immobilier en Suisse.")</f>
        <v>Vendre appartement Ovronnaz: Trouvez le bien immobilier qui correspond idéalement à vos désirs sur ImmoScout24 - La plateforme de l'immobilier en Suisse.</v>
      </c>
    </row>
    <row r="5919" hidden="1">
      <c r="A5919" s="5" t="s">
        <v>14934</v>
      </c>
      <c r="B5919" s="2" t="s">
        <v>14935</v>
      </c>
      <c r="C5919" s="2" t="s">
        <v>14935</v>
      </c>
      <c r="D5919" s="4" t="str">
        <f>vlookup(A5919, Sheet2!D:E, 2, 0)</f>
        <v>control</v>
      </c>
      <c r="E5919" s="4" t="str">
        <f>IFERROR(__xludf.DUMMYFUNCTION("if(H5919=""pays"",vlookup(REGEXEXTRACT(C5919, ""🏘️ \w+ \w+ (.*) ✅""),'Country prepositions'!A:B, 2, 0) &amp; "" "" &amp; REGEXEXTRACT(C5919, ""🏘️ \w+ \w+ (.*) ✅"") ,  if(H5919=""quartier"",vlookup(REGEXEXTRACT(C5919, ""🏘️ \w+ \w+ (.*) ✅""),'Quartier prepositio"&amp;"ns'!A:E, 5, 0) ,  if(H5919=""region"",vlookup(REGEXEXTRACT(C5919, ""🏘️ \w+ \w+ (.*) ✅""),'Region prepositions'!B:F, 5, 0),  REGEXEXTRACT(C5919, ""🏘️ \w+ \w+ (.*) ✅""))))"),"#N/A")</f>
        <v>#N/A</v>
      </c>
      <c r="I5919" s="4" t="str">
        <f>IFERROR(__xludf.DUMMYFUNCTION("if(D5919=""variant"",  substitute(filter(Templates!E:E, Templates!A:A = F5919, Templates!B:B = G5919, Templates!C:C = H5919), ""{{}}"", E5919), B5919)"),"Louer maison Aproz (Nendaz): Trouvez le bien immobilier qui correspond idéalement à vos désirs sur ImmoScout24 - La plateforme de l'immobilier en Suisse.")</f>
        <v>Louer maison Aproz (Nendaz): Trouvez le bien immobilier qui correspond idéalement à vos désirs sur ImmoScout24 - La plateforme de l'immobilier en Suisse.</v>
      </c>
    </row>
    <row r="5920" hidden="1">
      <c r="A5920" s="5" t="s">
        <v>14936</v>
      </c>
      <c r="B5920" s="2" t="s">
        <v>14937</v>
      </c>
      <c r="C5920" s="2" t="s">
        <v>14937</v>
      </c>
      <c r="D5920" s="4" t="str">
        <f>vlookup(A5920, Sheet2!D:E, 2, 0)</f>
        <v>control</v>
      </c>
      <c r="E5920" s="4" t="str">
        <f>IFERROR(__xludf.DUMMYFUNCTION("if(H5920=""pays"",vlookup(REGEXEXTRACT(C5920, ""🏘️ \w+ \w+ (.*) ✅""),'Country prepositions'!A:B, 2, 0) &amp; "" "" &amp; REGEXEXTRACT(C5920, ""🏘️ \w+ \w+ (.*) ✅"") ,  if(H5920=""quartier"",vlookup(REGEXEXTRACT(C5920, ""🏘️ \w+ \w+ (.*) ✅""),'Quartier prepositio"&amp;"ns'!A:E, 5, 0) ,  if(H5920=""region"",vlookup(REGEXEXTRACT(C5920, ""🏘️ \w+ \w+ (.*) ✅""),'Region prepositions'!B:F, 5, 0),  REGEXEXTRACT(C5920, ""🏘️ \w+ \w+ (.*) ✅""))))"),"#N/A")</f>
        <v>#N/A</v>
      </c>
      <c r="I5920" s="4" t="str">
        <f>IFERROR(__xludf.DUMMYFUNCTION("if(D5920=""variant"",  substitute(filter(Templates!E:E, Templates!A:A = F5920, Templates!B:B = G5920, Templates!C:C = H5920), ""{{}}"", E5920), B5920)"),"Vendre maison Tavannes: Trouvez le bien immobilier qui correspond idéalement à vos désirs sur ImmoScout24 - La plateforme de l'immobilier en Suisse.")</f>
        <v>Vendre maison Tavannes: Trouvez le bien immobilier qui correspond idéalement à vos désirs sur ImmoScout24 - La plateforme de l'immobilier en Suisse.</v>
      </c>
    </row>
    <row r="5921" hidden="1">
      <c r="A5921" s="5" t="s">
        <v>14938</v>
      </c>
      <c r="B5921" s="2" t="s">
        <v>14939</v>
      </c>
      <c r="C5921" s="2" t="s">
        <v>14939</v>
      </c>
      <c r="D5921" s="4" t="str">
        <f>vlookup(A5921, Sheet2!D:E, 2, 0)</f>
        <v>control</v>
      </c>
      <c r="E5921" s="4" t="str">
        <f>IFERROR(__xludf.DUMMYFUNCTION("if(H5921=""pays"",vlookup(REGEXEXTRACT(C5921, ""🏘️ \w+ \w+ (.*) ✅""),'Country prepositions'!A:B, 2, 0) &amp; "" "" &amp; REGEXEXTRACT(C5921, ""🏘️ \w+ \w+ (.*) ✅"") ,  if(H5921=""quartier"",vlookup(REGEXEXTRACT(C5921, ""🏘️ \w+ \w+ (.*) ✅""),'Quartier prepositio"&amp;"ns'!A:E, 5, 0) ,  if(H5921=""region"",vlookup(REGEXEXTRACT(C5921, ""🏘️ \w+ \w+ (.*) ✅""),'Region prepositions'!B:F, 5, 0),  REGEXEXTRACT(C5921, ""🏘️ \w+ \w+ (.*) ✅""))))"),"#N/A")</f>
        <v>#N/A</v>
      </c>
      <c r="I5921" s="4" t="str">
        <f>IFERROR(__xludf.DUMMYFUNCTION("if(D5921=""variant"",  substitute(filter(Templates!E:E, Templates!A:A = F5921, Templates!B:B = G5921, Templates!C:C = H5921), ""{{}}"", E5921), B5921)"),"Vendre maison Disentis/Mustér: Trouvez le bien immobilier qui correspond idéalement à vos désirs sur ImmoScout24 - La plateforme de l'immobilier en Suisse.")</f>
        <v>Vendre maison Disentis/Mustér: Trouvez le bien immobilier qui correspond idéalement à vos désirs sur ImmoScout24 - La plateforme de l'immobilier en Suisse.</v>
      </c>
    </row>
    <row r="5922" hidden="1">
      <c r="A5922" s="5" t="s">
        <v>14940</v>
      </c>
      <c r="B5922" s="2" t="s">
        <v>14941</v>
      </c>
      <c r="C5922" s="2" t="s">
        <v>14941</v>
      </c>
      <c r="D5922" s="4" t="str">
        <f>vlookup(A5922, Sheet2!D:E, 2, 0)</f>
        <v>control</v>
      </c>
      <c r="E5922" s="4" t="str">
        <f>IFERROR(__xludf.DUMMYFUNCTION("if(H5922=""pays"",vlookup(REGEXEXTRACT(C5922, ""🏘️ \w+ \w+ (.*) ✅""),'Country prepositions'!A:B, 2, 0) &amp; "" "" &amp; REGEXEXTRACT(C5922, ""🏘️ \w+ \w+ (.*) ✅"") ,  if(H5922=""quartier"",vlookup(REGEXEXTRACT(C5922, ""🏘️ \w+ \w+ (.*) ✅""),'Quartier prepositio"&amp;"ns'!A:E, 5, 0) ,  if(H5922=""region"",vlookup(REGEXEXTRACT(C5922, ""🏘️ \w+ \w+ (.*) ✅""),'Region prepositions'!B:F, 5, 0),  REGEXEXTRACT(C5922, ""🏘️ \w+ \w+ (.*) ✅""))))"),"#N/A")</f>
        <v>#N/A</v>
      </c>
      <c r="I5922" s="4" t="str">
        <f>IFERROR(__xludf.DUMMYFUNCTION("if(D5922=""variant"",  substitute(filter(Templates!E:E, Templates!A:A = F5922, Templates!B:B = G5922, Templates!C:C = H5922), ""{{}}"", E5922), B5922)"),"Louer appartement Unterseen: Trouvez le bien immobilier qui correspond idéalement à vos désirs sur ImmoScout24 - La plateforme de l'immobilier en Suisse.")</f>
        <v>Louer appartement Unterseen: Trouvez le bien immobilier qui correspond idéalement à vos désirs sur ImmoScout24 - La plateforme de l'immobilier en Suisse.</v>
      </c>
    </row>
    <row r="5923" hidden="1">
      <c r="A5923" s="5" t="s">
        <v>14942</v>
      </c>
      <c r="B5923" s="2" t="s">
        <v>14943</v>
      </c>
      <c r="C5923" s="2" t="s">
        <v>14943</v>
      </c>
      <c r="D5923" s="4" t="str">
        <f>vlookup(A5923, Sheet2!D:E, 2, 0)</f>
        <v>control</v>
      </c>
      <c r="E5923" s="4" t="str">
        <f>IFERROR(__xludf.DUMMYFUNCTION("if(H5923=""pays"",vlookup(REGEXEXTRACT(C5923, ""🏘️ \w+ \w+ (.*) ✅""),'Country prepositions'!A:B, 2, 0) &amp; "" "" &amp; REGEXEXTRACT(C5923, ""🏘️ \w+ \w+ (.*) ✅"") ,  if(H5923=""quartier"",vlookup(REGEXEXTRACT(C5923, ""🏘️ \w+ \w+ (.*) ✅""),'Quartier prepositio"&amp;"ns'!A:E, 5, 0) ,  if(H5923=""region"",vlookup(REGEXEXTRACT(C5923, ""🏘️ \w+ \w+ (.*) ✅""),'Region prepositions'!B:F, 5, 0),  REGEXEXTRACT(C5923, ""🏘️ \w+ \w+ (.*) ✅""))))"),"#N/A")</f>
        <v>#N/A</v>
      </c>
      <c r="I5923" s="4" t="str">
        <f>IFERROR(__xludf.DUMMYFUNCTION("if(D5923=""variant"",  substitute(filter(Templates!E:E, Templates!A:A = F5923, Templates!B:B = G5923, Templates!C:C = H5923), ""{{}}"", E5923), B5923)"),"Vendre appartement Castel San Pietro: Trouvez le bien immobilier qui correspond idéalement à vos désirs sur ImmoScout24 - La plateforme de l'immobilier en Suisse.")</f>
        <v>Vendre appartement Castel San Pietro: Trouvez le bien immobilier qui correspond idéalement à vos désirs sur ImmoScout24 - La plateforme de l'immobilier en Suisse.</v>
      </c>
    </row>
    <row r="5924" hidden="1">
      <c r="A5924" s="5" t="s">
        <v>14944</v>
      </c>
      <c r="B5924" s="2" t="s">
        <v>14945</v>
      </c>
      <c r="C5924" s="2" t="s">
        <v>14945</v>
      </c>
      <c r="D5924" s="4" t="str">
        <f>vlookup(A5924, Sheet2!D:E, 2, 0)</f>
        <v>control</v>
      </c>
      <c r="E5924" s="4" t="str">
        <f>IFERROR(__xludf.DUMMYFUNCTION("if(H5924=""pays"",vlookup(REGEXEXTRACT(C5924, ""🏘️ \w+ \w+ (.*) ✅""),'Country prepositions'!A:B, 2, 0) &amp; "" "" &amp; REGEXEXTRACT(C5924, ""🏘️ \w+ \w+ (.*) ✅"") ,  if(H5924=""quartier"",vlookup(REGEXEXTRACT(C5924, ""🏘️ \w+ \w+ (.*) ✅""),'Quartier prepositio"&amp;"ns'!A:E, 5, 0) ,  if(H5924=""region"",vlookup(REGEXEXTRACT(C5924, ""🏘️ \w+ \w+ (.*) ✅""),'Region prepositions'!B:F, 5, 0),  REGEXEXTRACT(C5924, ""🏘️ \w+ \w+ (.*) ✅""))))"),"#N/A")</f>
        <v>#N/A</v>
      </c>
      <c r="I5924" s="4" t="str">
        <f>IFERROR(__xludf.DUMMYFUNCTION("if(D5924=""variant"",  substitute(filter(Templates!E:E, Templates!A:A = F5924, Templates!B:B = G5924, Templates!C:C = H5924), ""{{}}"", E5924), B5924)"),"Louer appartement Grenilles: Trouvez le bien immobilier qui correspond idéalement à vos désirs sur ImmoScout24 - La plateforme de l'immobilier en Suisse.")</f>
        <v>Louer appartement Grenilles: Trouvez le bien immobilier qui correspond idéalement à vos désirs sur ImmoScout24 - La plateforme de l'immobilier en Suisse.</v>
      </c>
    </row>
    <row r="5925" hidden="1">
      <c r="A5925" s="5" t="s">
        <v>14946</v>
      </c>
      <c r="B5925" s="2" t="s">
        <v>14947</v>
      </c>
      <c r="C5925" s="2" t="s">
        <v>14947</v>
      </c>
      <c r="D5925" s="4" t="str">
        <f>vlookup(A5925, Sheet2!D:E, 2, 0)</f>
        <v>control</v>
      </c>
      <c r="E5925" s="4" t="str">
        <f>IFERROR(__xludf.DUMMYFUNCTION("if(H5925=""pays"",vlookup(REGEXEXTRACT(C5925, ""🏘️ \w+ \w+ (.*) ✅""),'Country prepositions'!A:B, 2, 0) &amp; "" "" &amp; REGEXEXTRACT(C5925, ""🏘️ \w+ \w+ (.*) ✅"") ,  if(H5925=""quartier"",vlookup(REGEXEXTRACT(C5925, ""🏘️ \w+ \w+ (.*) ✅""),'Quartier prepositio"&amp;"ns'!A:E, 5, 0) ,  if(H5925=""region"",vlookup(REGEXEXTRACT(C5925, ""🏘️ \w+ \w+ (.*) ✅""),'Region prepositions'!B:F, 5, 0),  REGEXEXTRACT(C5925, ""🏘️ \w+ \w+ (.*) ✅""))))"),"#N/A")</f>
        <v>#N/A</v>
      </c>
      <c r="I5925" s="4" t="str">
        <f>IFERROR(__xludf.DUMMYFUNCTION("if(D5925=""variant"",  substitute(filter(Templates!E:E, Templates!A:A = F5925, Templates!B:B = G5925, Templates!C:C = H5925), ""{{}}"", E5925), B5925)"),"Louer appartement Maroggia: Trouvez le bien immobilier qui correspond idéalement à vos désirs sur ImmoScout24 - La plateforme de l'immobilier en Suisse.")</f>
        <v>Louer appartement Maroggia: Trouvez le bien immobilier qui correspond idéalement à vos désirs sur ImmoScout24 - La plateforme de l'immobilier en Suisse.</v>
      </c>
    </row>
    <row r="5926" hidden="1">
      <c r="A5926" s="5" t="s">
        <v>14948</v>
      </c>
      <c r="B5926" s="2" t="s">
        <v>14949</v>
      </c>
      <c r="C5926" s="2" t="s">
        <v>14949</v>
      </c>
      <c r="D5926" s="4" t="str">
        <f>vlookup(A5926, Sheet2!D:E, 2, 0)</f>
        <v>control</v>
      </c>
      <c r="E5926" s="4" t="str">
        <f>IFERROR(__xludf.DUMMYFUNCTION("if(H5926=""pays"",vlookup(REGEXEXTRACT(C5926, ""🏘️ \w+ \w+ (.*) ✅""),'Country prepositions'!A:B, 2, 0) &amp; "" "" &amp; REGEXEXTRACT(C5926, ""🏘️ \w+ \w+ (.*) ✅"") ,  if(H5926=""quartier"",vlookup(REGEXEXTRACT(C5926, ""🏘️ \w+ \w+ (.*) ✅""),'Quartier prepositio"&amp;"ns'!A:E, 5, 0) ,  if(H5926=""region"",vlookup(REGEXEXTRACT(C5926, ""🏘️ \w+ \w+ (.*) ✅""),'Region prepositions'!B:F, 5, 0),  REGEXEXTRACT(C5926, ""🏘️ \w+ \w+ (.*) ✅""))))"),"#N/A")</f>
        <v>#N/A</v>
      </c>
      <c r="I5926" s="4" t="str">
        <f>IFERROR(__xludf.DUMMYFUNCTION("if(D5926=""variant"",  substitute(filter(Templates!E:E, Templates!A:A = F5926, Templates!B:B = G5926, Templates!C:C = H5926), ""{{}}"", E5926), B5926)"),"Vendre maison Oberägeri: Trouvez le bien immobilier qui correspond idéalement à vos désirs sur ImmoScout24 - La plateforme de l'immobilier en Suisse.")</f>
        <v>Vendre maison Oberägeri: Trouvez le bien immobilier qui correspond idéalement à vos désirs sur ImmoScout24 - La plateforme de l'immobilier en Suisse.</v>
      </c>
    </row>
    <row r="5927" hidden="1">
      <c r="A5927" s="5" t="s">
        <v>14950</v>
      </c>
      <c r="B5927" s="2" t="s">
        <v>14951</v>
      </c>
      <c r="C5927" s="2" t="s">
        <v>14951</v>
      </c>
      <c r="D5927" s="4" t="str">
        <f>vlookup(A5927, Sheet2!D:E, 2, 0)</f>
        <v>control</v>
      </c>
      <c r="E5927" s="4" t="str">
        <f>IFERROR(__xludf.DUMMYFUNCTION("if(H5927=""pays"",vlookup(REGEXEXTRACT(C5927, ""🏘️ \w+ \w+ (.*) ✅""),'Country prepositions'!A:B, 2, 0) &amp; "" "" &amp; REGEXEXTRACT(C5927, ""🏘️ \w+ \w+ (.*) ✅"") ,  if(H5927=""quartier"",vlookup(REGEXEXTRACT(C5927, ""🏘️ \w+ \w+ (.*) ✅""),'Quartier prepositio"&amp;"ns'!A:E, 5, 0) ,  if(H5927=""region"",vlookup(REGEXEXTRACT(C5927, ""🏘️ \w+ \w+ (.*) ✅""),'Region prepositions'!B:F, 5, 0),  REGEXEXTRACT(C5927, ""🏘️ \w+ \w+ (.*) ✅""))))"),"#N/A")</f>
        <v>#N/A</v>
      </c>
      <c r="I5927" s="4" t="str">
        <f>IFERROR(__xludf.DUMMYFUNCTION("if(D5927=""variant"",  substitute(filter(Templates!E:E, Templates!A:A = F5927, Templates!B:B = G5927, Templates!C:C = H5927), ""{{}}"", E5927), B5927)"),"Louer appartement St-Pierre-de-Clages: Trouvez le bien immobilier qui correspond idéalement à vos désirs sur ImmoScout24 - La plateforme de l'immobilier en Suisse.")</f>
        <v>Louer appartement St-Pierre-de-Clages: Trouvez le bien immobilier qui correspond idéalement à vos désirs sur ImmoScout24 - La plateforme de l'immobilier en Suisse.</v>
      </c>
    </row>
    <row r="5928" hidden="1">
      <c r="A5928" s="5" t="s">
        <v>14952</v>
      </c>
      <c r="B5928" s="2" t="s">
        <v>14953</v>
      </c>
      <c r="C5928" s="2" t="s">
        <v>14953</v>
      </c>
      <c r="D5928" s="4" t="str">
        <f>vlookup(A5928, Sheet2!D:E, 2, 0)</f>
        <v>control</v>
      </c>
      <c r="E5928" s="4" t="str">
        <f>IFERROR(__xludf.DUMMYFUNCTION("if(H5928=""pays"",vlookup(REGEXEXTRACT(C5928, ""🏘️ \w+ \w+ (.*) ✅""),'Country prepositions'!A:B, 2, 0) &amp; "" "" &amp; REGEXEXTRACT(C5928, ""🏘️ \w+ \w+ (.*) ✅"") ,  if(H5928=""quartier"",vlookup(REGEXEXTRACT(C5928, ""🏘️ \w+ \w+ (.*) ✅""),'Quartier prepositio"&amp;"ns'!A:E, 5, 0) ,  if(H5928=""region"",vlookup(REGEXEXTRACT(C5928, ""🏘️ \w+ \w+ (.*) ✅""),'Region prepositions'!B:F, 5, 0),  REGEXEXTRACT(C5928, ""🏘️ \w+ \w+ (.*) ✅""))))"),"#N/A")</f>
        <v>#N/A</v>
      </c>
      <c r="I5928" s="4" t="str">
        <f>IFERROR(__xludf.DUMMYFUNCTION("if(D5928=""variant"",  substitute(filter(Templates!E:E, Templates!A:A = F5928, Templates!B:B = G5928, Templates!C:C = H5928), ""{{}}"", E5928), B5928)"),"Vendre maison Wolfhausen: Trouvez le bien immobilier qui correspond idéalement à vos désirs sur ImmoScout24 - La plateforme de l'immobilier en Suisse.")</f>
        <v>Vendre maison Wolfhausen: Trouvez le bien immobilier qui correspond idéalement à vos désirs sur ImmoScout24 - La plateforme de l'immobilier en Suisse.</v>
      </c>
    </row>
    <row r="5929" hidden="1">
      <c r="A5929" s="5" t="s">
        <v>14954</v>
      </c>
      <c r="B5929" s="2" t="s">
        <v>14955</v>
      </c>
      <c r="C5929" s="2" t="s">
        <v>14955</v>
      </c>
      <c r="D5929" s="4" t="str">
        <f>vlookup(A5929, Sheet2!D:E, 2, 0)</f>
        <v>control</v>
      </c>
      <c r="E5929" s="4" t="str">
        <f>IFERROR(__xludf.DUMMYFUNCTION("if(H5929=""pays"",vlookup(REGEXEXTRACT(C5929, ""🏘️ \w+ \w+ (.*) ✅""),'Country prepositions'!A:B, 2, 0) &amp; "" "" &amp; REGEXEXTRACT(C5929, ""🏘️ \w+ \w+ (.*) ✅"") ,  if(H5929=""quartier"",vlookup(REGEXEXTRACT(C5929, ""🏘️ \w+ \w+ (.*) ✅""),'Quartier prepositio"&amp;"ns'!A:E, 5, 0) ,  if(H5929=""region"",vlookup(REGEXEXTRACT(C5929, ""🏘️ \w+ \w+ (.*) ✅""),'Region prepositions'!B:F, 5, 0),  REGEXEXTRACT(C5929, ""🏘️ \w+ \w+ (.*) ✅""))))"),"#N/A")</f>
        <v>#N/A</v>
      </c>
      <c r="I5929" s="4" t="str">
        <f>IFERROR(__xludf.DUMMYFUNCTION("if(D5929=""variant"",  substitute(filter(Templates!E:E, Templates!A:A = F5929, Templates!B:B = G5929, Templates!C:C = H5929), ""{{}}"", E5929), B5929)"),"Vendre maison Frenkendorf: Trouvez le bien immobilier qui correspond idéalement à vos désirs sur ImmoScout24 - La plateforme de l'immobilier en Suisse.")</f>
        <v>Vendre maison Frenkendorf: Trouvez le bien immobilier qui correspond idéalement à vos désirs sur ImmoScout24 - La plateforme de l'immobilier en Suisse.</v>
      </c>
    </row>
    <row r="5930" hidden="1">
      <c r="A5930" s="5" t="s">
        <v>14956</v>
      </c>
      <c r="B5930" s="2" t="s">
        <v>14957</v>
      </c>
      <c r="C5930" s="2" t="s">
        <v>14957</v>
      </c>
      <c r="D5930" s="4" t="str">
        <f>vlookup(A5930, Sheet2!D:E, 2, 0)</f>
        <v>control</v>
      </c>
      <c r="E5930" s="4" t="str">
        <f>IFERROR(__xludf.DUMMYFUNCTION("if(H5930=""pays"",vlookup(REGEXEXTRACT(C5930, ""🏘️ \w+ \w+ (.*) ✅""),'Country prepositions'!A:B, 2, 0) &amp; "" "" &amp; REGEXEXTRACT(C5930, ""🏘️ \w+ \w+ (.*) ✅"") ,  if(H5930=""quartier"",vlookup(REGEXEXTRACT(C5930, ""🏘️ \w+ \w+ (.*) ✅""),'Quartier prepositio"&amp;"ns'!A:E, 5, 0) ,  if(H5930=""region"",vlookup(REGEXEXTRACT(C5930, ""🏘️ \w+ \w+ (.*) ✅""),'Region prepositions'!B:F, 5, 0),  REGEXEXTRACT(C5930, ""🏘️ \w+ \w+ (.*) ✅""))))"),"#N/A")</f>
        <v>#N/A</v>
      </c>
      <c r="I5930" s="4" t="str">
        <f>IFERROR(__xludf.DUMMYFUNCTION("if(D5930=""variant"",  substitute(filter(Templates!E:E, Templates!A:A = F5930, Templates!B:B = G5930, Templates!C:C = H5930), ""{{}}"", E5930), B5930)"),"Louer appartement Saas-Fee: Trouvez le bien immobilier qui correspond idéalement à vos désirs sur ImmoScout24 - La plateforme de l'immobilier en Suisse.")</f>
        <v>Louer appartement Saas-Fee: Trouvez le bien immobilier qui correspond idéalement à vos désirs sur ImmoScout24 - La plateforme de l'immobilier en Suisse.</v>
      </c>
    </row>
    <row r="5931" hidden="1">
      <c r="A5931" s="5" t="s">
        <v>14958</v>
      </c>
      <c r="B5931" s="2" t="s">
        <v>14959</v>
      </c>
      <c r="C5931" s="2" t="s">
        <v>14959</v>
      </c>
      <c r="D5931" s="4" t="str">
        <f>vlookup(A5931, Sheet2!D:E, 2, 0)</f>
        <v>control</v>
      </c>
      <c r="E5931" s="4" t="str">
        <f>IFERROR(__xludf.DUMMYFUNCTION("if(H5931=""pays"",vlookup(REGEXEXTRACT(C5931, ""🏘️ \w+ \w+ (.*) ✅""),'Country prepositions'!A:B, 2, 0) &amp; "" "" &amp; REGEXEXTRACT(C5931, ""🏘️ \w+ \w+ (.*) ✅"") ,  if(H5931=""quartier"",vlookup(REGEXEXTRACT(C5931, ""🏘️ \w+ \w+ (.*) ✅""),'Quartier prepositio"&amp;"ns'!A:E, 5, 0) ,  if(H5931=""region"",vlookup(REGEXEXTRACT(C5931, ""🏘️ \w+ \w+ (.*) ✅""),'Region prepositions'!B:F, 5, 0),  REGEXEXTRACT(C5931, ""🏘️ \w+ \w+ (.*) ✅""))))"),"#N/A")</f>
        <v>#N/A</v>
      </c>
      <c r="I5931" s="4" t="str">
        <f>IFERROR(__xludf.DUMMYFUNCTION("if(D5931=""variant"",  substitute(filter(Templates!E:E, Templates!A:A = F5931, Templates!B:B = G5931, Templates!C:C = H5931), ""{{}}"", E5931), B5931)"),"Vendre maison Semione: Trouvez le bien immobilier qui correspond idéalement à vos désirs sur ImmoScout24 - La plateforme de l'immobilier en Suisse.")</f>
        <v>Vendre maison Semione: Trouvez le bien immobilier qui correspond idéalement à vos désirs sur ImmoScout24 - La plateforme de l'immobilier en Suisse.</v>
      </c>
    </row>
    <row r="5932" hidden="1">
      <c r="A5932" s="5" t="s">
        <v>14960</v>
      </c>
      <c r="B5932" s="2" t="s">
        <v>14961</v>
      </c>
      <c r="C5932" s="2" t="s">
        <v>14961</v>
      </c>
      <c r="D5932" s="4" t="str">
        <f>vlookup(A5932, Sheet2!D:E, 2, 0)</f>
        <v>control</v>
      </c>
      <c r="E5932" s="4" t="str">
        <f>IFERROR(__xludf.DUMMYFUNCTION("if(H5932=""pays"",vlookup(REGEXEXTRACT(C5932, ""🏘️ \w+ \w+ (.*) ✅""),'Country prepositions'!A:B, 2, 0) &amp; "" "" &amp; REGEXEXTRACT(C5932, ""🏘️ \w+ \w+ (.*) ✅"") ,  if(H5932=""quartier"",vlookup(REGEXEXTRACT(C5932, ""🏘️ \w+ \w+ (.*) ✅""),'Quartier prepositio"&amp;"ns'!A:E, 5, 0) ,  if(H5932=""region"",vlookup(REGEXEXTRACT(C5932, ""🏘️ \w+ \w+ (.*) ✅""),'Region prepositions'!B:F, 5, 0),  REGEXEXTRACT(C5932, ""🏘️ \w+ \w+ (.*) ✅""))))"),"#N/A")</f>
        <v>#N/A</v>
      </c>
      <c r="I5932" s="4" t="str">
        <f>IFERROR(__xludf.DUMMYFUNCTION("if(D5932=""variant"",  substitute(filter(Templates!E:E, Templates!A:A = F5932, Templates!B:B = G5932, Templates!C:C = H5932), ""{{}}"", E5932), B5932)"),"Louer appartement Emmenbrücke: Trouvez le bien immobilier qui correspond idéalement à vos désirs sur ImmoScout24 - La plateforme de l'immobilier en Suisse.")</f>
        <v>Louer appartement Emmenbrücke: Trouvez le bien immobilier qui correspond idéalement à vos désirs sur ImmoScout24 - La plateforme de l'immobilier en Suisse.</v>
      </c>
    </row>
    <row r="5933" hidden="1">
      <c r="A5933" s="5" t="s">
        <v>14962</v>
      </c>
      <c r="B5933" s="2" t="s">
        <v>14963</v>
      </c>
      <c r="C5933" s="2" t="s">
        <v>14963</v>
      </c>
      <c r="D5933" s="4" t="str">
        <f>vlookup(A5933, Sheet2!D:E, 2, 0)</f>
        <v>control</v>
      </c>
      <c r="E5933" s="4" t="str">
        <f>IFERROR(__xludf.DUMMYFUNCTION("if(H5933=""pays"",vlookup(REGEXEXTRACT(C5933, ""🏘️ \w+ \w+ (.*) ✅""),'Country prepositions'!A:B, 2, 0) &amp; "" "" &amp; REGEXEXTRACT(C5933, ""🏘️ \w+ \w+ (.*) ✅"") ,  if(H5933=""quartier"",vlookup(REGEXEXTRACT(C5933, ""🏘️ \w+ \w+ (.*) ✅""),'Quartier prepositio"&amp;"ns'!A:E, 5, 0) ,  if(H5933=""region"",vlookup(REGEXEXTRACT(C5933, ""🏘️ \w+ \w+ (.*) ✅""),'Region prepositions'!B:F, 5, 0),  REGEXEXTRACT(C5933, ""🏘️ \w+ \w+ (.*) ✅""))))"),"#N/A")</f>
        <v>#N/A</v>
      </c>
      <c r="I5933" s="4" t="str">
        <f>IFERROR(__xludf.DUMMYFUNCTION("if(D5933=""variant"",  substitute(filter(Templates!E:E, Templates!A:A = F5933, Templates!B:B = G5933, Templates!C:C = H5933), ""{{}}"", E5933), B5933)"),"Louer appartement Amsoldingen: Trouvez le bien immobilier qui correspond idéalement à vos désirs sur ImmoScout24 - La plateforme de l'immobilier en Suisse.")</f>
        <v>Louer appartement Amsoldingen: Trouvez le bien immobilier qui correspond idéalement à vos désirs sur ImmoScout24 - La plateforme de l'immobilier en Suisse.</v>
      </c>
    </row>
    <row r="5934" hidden="1">
      <c r="A5934" s="5" t="s">
        <v>14964</v>
      </c>
      <c r="B5934" s="2" t="s">
        <v>14965</v>
      </c>
      <c r="C5934" s="2" t="s">
        <v>14965</v>
      </c>
      <c r="D5934" s="4" t="str">
        <f>vlookup(A5934, Sheet2!D:E, 2, 0)</f>
        <v>control</v>
      </c>
      <c r="E5934" s="4" t="str">
        <f>IFERROR(__xludf.DUMMYFUNCTION("if(H5934=""pays"",vlookup(REGEXEXTRACT(C5934, ""🏘️ \w+ \w+ (.*) ✅""),'Country prepositions'!A:B, 2, 0) &amp; "" "" &amp; REGEXEXTRACT(C5934, ""🏘️ \w+ \w+ (.*) ✅"") ,  if(H5934=""quartier"",vlookup(REGEXEXTRACT(C5934, ""🏘️ \w+ \w+ (.*) ✅""),'Quartier prepositio"&amp;"ns'!A:E, 5, 0) ,  if(H5934=""region"",vlookup(REGEXEXTRACT(C5934, ""🏘️ \w+ \w+ (.*) ✅""),'Region prepositions'!B:F, 5, 0),  REGEXEXTRACT(C5934, ""🏘️ \w+ \w+ (.*) ✅""))))"),"#N/A")</f>
        <v>#N/A</v>
      </c>
      <c r="I5934" s="4" t="str">
        <f>IFERROR(__xludf.DUMMYFUNCTION("if(D5934=""variant"",  substitute(filter(Templates!E:E, Templates!A:A = F5934, Templates!B:B = G5934, Templates!C:C = H5934), ""{{}}"", E5934), B5934)"),"Louer appartement Vucherens: Trouvez le bien immobilier qui correspond idéalement à vos désirs sur ImmoScout24 - La plateforme de l'immobilier en Suisse.")</f>
        <v>Louer appartement Vucherens: Trouvez le bien immobilier qui correspond idéalement à vos désirs sur ImmoScout24 - La plateforme de l'immobilier en Suisse.</v>
      </c>
    </row>
    <row r="5935" hidden="1">
      <c r="A5935" s="5" t="s">
        <v>14966</v>
      </c>
      <c r="B5935" s="2" t="s">
        <v>14967</v>
      </c>
      <c r="C5935" s="2" t="s">
        <v>14967</v>
      </c>
      <c r="D5935" s="4" t="str">
        <f>vlookup(A5935, Sheet2!D:E, 2, 0)</f>
        <v>control</v>
      </c>
      <c r="E5935" s="4" t="str">
        <f>IFERROR(__xludf.DUMMYFUNCTION("if(H5935=""pays"",vlookup(REGEXEXTRACT(C5935, ""🏘️ \w+ \w+ (.*) ✅""),'Country prepositions'!A:B, 2, 0) &amp; "" "" &amp; REGEXEXTRACT(C5935, ""🏘️ \w+ \w+ (.*) ✅"") ,  if(H5935=""quartier"",vlookup(REGEXEXTRACT(C5935, ""🏘️ \w+ \w+ (.*) ✅""),'Quartier prepositio"&amp;"ns'!A:E, 5, 0) ,  if(H5935=""region"",vlookup(REGEXEXTRACT(C5935, ""🏘️ \w+ \w+ (.*) ✅""),'Region prepositions'!B:F, 5, 0),  REGEXEXTRACT(C5935, ""🏘️ \w+ \w+ (.*) ✅""))))"),"#N/A")</f>
        <v>#N/A</v>
      </c>
      <c r="I5935" s="4" t="str">
        <f>IFERROR(__xludf.DUMMYFUNCTION("if(D5935=""variant"",  substitute(filter(Templates!E:E, Templates!A:A = F5935, Templates!B:B = G5935, Templates!C:C = H5935), ""{{}}"", E5935), B5935)"),"Vendre maison Villars-le-Grand: Trouvez le bien immobilier qui correspond idéalement à vos désirs sur ImmoScout24 - La plateforme de l'immobilier en Suisse.")</f>
        <v>Vendre maison Villars-le-Grand: Trouvez le bien immobilier qui correspond idéalement à vos désirs sur ImmoScout24 - La plateforme de l'immobilier en Suisse.</v>
      </c>
    </row>
    <row r="5936" hidden="1">
      <c r="A5936" s="5" t="s">
        <v>14968</v>
      </c>
      <c r="B5936" s="2" t="s">
        <v>14969</v>
      </c>
      <c r="C5936" s="2" t="s">
        <v>14969</v>
      </c>
      <c r="D5936" s="4" t="str">
        <f>vlookup(A5936, Sheet2!D:E, 2, 0)</f>
        <v>control</v>
      </c>
      <c r="E5936" s="4" t="str">
        <f>IFERROR(__xludf.DUMMYFUNCTION("if(H5936=""pays"",vlookup(REGEXEXTRACT(C5936, ""🏘️ \w+ \w+ (.*) ✅""),'Country prepositions'!A:B, 2, 0) &amp; "" "" &amp; REGEXEXTRACT(C5936, ""🏘️ \w+ \w+ (.*) ✅"") ,  if(H5936=""quartier"",vlookup(REGEXEXTRACT(C5936, ""🏘️ \w+ \w+ (.*) ✅""),'Quartier prepositio"&amp;"ns'!A:E, 5, 0) ,  if(H5936=""region"",vlookup(REGEXEXTRACT(C5936, ""🏘️ \w+ \w+ (.*) ✅""),'Region prepositions'!B:F, 5, 0),  REGEXEXTRACT(C5936, ""🏘️ \w+ \w+ (.*) ✅""))))"),"#N/A")</f>
        <v>#N/A</v>
      </c>
      <c r="I5936" s="4" t="str">
        <f>IFERROR(__xludf.DUMMYFUNCTION("if(D5936=""variant"",  substitute(filter(Templates!E:E, Templates!A:A = F5936, Templates!B:B = G5936, Templates!C:C = H5936), ""{{}}"", E5936), B5936)"),"Louer appartement Rohrbach: Trouvez le bien immobilier qui correspond idéalement à vos désirs sur ImmoScout24 - La plateforme de l'immobilier en Suisse.")</f>
        <v>Louer appartement Rohrbach: Trouvez le bien immobilier qui correspond idéalement à vos désirs sur ImmoScout24 - La plateforme de l'immobilier en Suisse.</v>
      </c>
    </row>
    <row r="5937" hidden="1">
      <c r="A5937" s="5" t="s">
        <v>14970</v>
      </c>
      <c r="B5937" s="2" t="s">
        <v>14971</v>
      </c>
      <c r="C5937" s="2" t="s">
        <v>14971</v>
      </c>
      <c r="D5937" s="4" t="str">
        <f>vlookup(A5937, Sheet2!D:E, 2, 0)</f>
        <v>control</v>
      </c>
      <c r="E5937" s="4" t="str">
        <f>IFERROR(__xludf.DUMMYFUNCTION("if(H5937=""pays"",vlookup(REGEXEXTRACT(C5937, ""🏘️ \w+ \w+ (.*) ✅""),'Country prepositions'!A:B, 2, 0) &amp; "" "" &amp; REGEXEXTRACT(C5937, ""🏘️ \w+ \w+ (.*) ✅"") ,  if(H5937=""quartier"",vlookup(REGEXEXTRACT(C5937, ""🏘️ \w+ \w+ (.*) ✅""),'Quartier prepositio"&amp;"ns'!A:E, 5, 0) ,  if(H5937=""region"",vlookup(REGEXEXTRACT(C5937, ""🏘️ \w+ \w+ (.*) ✅""),'Region prepositions'!B:F, 5, 0),  REGEXEXTRACT(C5937, ""🏘️ \w+ \w+ (.*) ✅""))))"),"#N/A")</f>
        <v>#N/A</v>
      </c>
      <c r="I5937" s="4" t="str">
        <f>IFERROR(__xludf.DUMMYFUNCTION("if(D5937=""variant"",  substitute(filter(Templates!E:E, Templates!A:A = F5937, Templates!B:B = G5937, Templates!C:C = H5937), ""{{}}"", E5937), B5937)"),"Vendre appartement Marsens: Trouvez le bien immobilier qui correspond idéalement à vos désirs sur ImmoScout24 - La plateforme de l'immobilier en Suisse.")</f>
        <v>Vendre appartement Marsens: Trouvez le bien immobilier qui correspond idéalement à vos désirs sur ImmoScout24 - La plateforme de l'immobilier en Suisse.</v>
      </c>
    </row>
    <row r="5938" hidden="1">
      <c r="A5938" s="5" t="s">
        <v>14972</v>
      </c>
      <c r="B5938" s="2" t="s">
        <v>14973</v>
      </c>
      <c r="C5938" s="2" t="s">
        <v>14973</v>
      </c>
      <c r="D5938" s="4" t="str">
        <f>vlookup(A5938, Sheet2!D:E, 2, 0)</f>
        <v>control</v>
      </c>
      <c r="E5938" s="4" t="str">
        <f>IFERROR(__xludf.DUMMYFUNCTION("if(H5938=""pays"",vlookup(REGEXEXTRACT(C5938, ""🏘️ \w+ \w+ (.*) ✅""),'Country prepositions'!A:B, 2, 0) &amp; "" "" &amp; REGEXEXTRACT(C5938, ""🏘️ \w+ \w+ (.*) ✅"") ,  if(H5938=""quartier"",vlookup(REGEXEXTRACT(C5938, ""🏘️ \w+ \w+ (.*) ✅""),'Quartier prepositio"&amp;"ns'!A:E, 5, 0) ,  if(H5938=""region"",vlookup(REGEXEXTRACT(C5938, ""🏘️ \w+ \w+ (.*) ✅""),'Region prepositions'!B:F, 5, 0),  REGEXEXTRACT(C5938, ""🏘️ \w+ \w+ (.*) ✅""))))"),"#N/A")</f>
        <v>#N/A</v>
      </c>
      <c r="I5938" s="4" t="str">
        <f>IFERROR(__xludf.DUMMYFUNCTION("if(D5938=""variant"",  substitute(filter(Templates!E:E, Templates!A:A = F5938, Templates!B:B = G5938, Templates!C:C = H5938), ""{{}}"", E5938), B5938)"),"Vendre appartement Tagelswangen: Trouvez le bien immobilier qui correspond idéalement à vos désirs sur ImmoScout24 - La plateforme de l'immobilier en Suisse.")</f>
        <v>Vendre appartement Tagelswangen: Trouvez le bien immobilier qui correspond idéalement à vos désirs sur ImmoScout24 - La plateforme de l'immobilier en Suisse.</v>
      </c>
    </row>
    <row r="5939" hidden="1">
      <c r="A5939" s="5" t="s">
        <v>14974</v>
      </c>
      <c r="B5939" s="2" t="s">
        <v>14975</v>
      </c>
      <c r="C5939" s="2" t="s">
        <v>14975</v>
      </c>
      <c r="D5939" s="4" t="str">
        <f>vlookup(A5939, Sheet2!D:E, 2, 0)</f>
        <v>control</v>
      </c>
      <c r="E5939" s="4" t="str">
        <f>IFERROR(__xludf.DUMMYFUNCTION("if(H5939=""pays"",vlookup(REGEXEXTRACT(C5939, ""🏘️ \w+ \w+ (.*) ✅""),'Country prepositions'!A:B, 2, 0) &amp; "" "" &amp; REGEXEXTRACT(C5939, ""🏘️ \w+ \w+ (.*) ✅"") ,  if(H5939=""quartier"",vlookup(REGEXEXTRACT(C5939, ""🏘️ \w+ \w+ (.*) ✅""),'Quartier prepositio"&amp;"ns'!A:E, 5, 0) ,  if(H5939=""region"",vlookup(REGEXEXTRACT(C5939, ""🏘️ \w+ \w+ (.*) ✅""),'Region prepositions'!B:F, 5, 0),  REGEXEXTRACT(C5939, ""🏘️ \w+ \w+ (.*) ✅""))))"),"#N/A")</f>
        <v>#N/A</v>
      </c>
      <c r="I5939" s="4" t="str">
        <f>IFERROR(__xludf.DUMMYFUNCTION("if(D5939=""variant"",  substitute(filter(Templates!E:E, Templates!A:A = F5939, Templates!B:B = G5939, Templates!C:C = H5939), ""{{}}"", E5939), B5939)"),"Vendre appartement Chézard-St-Martin: Trouvez le bien immobilier qui correspond idéalement à vos désirs sur ImmoScout24 - La plateforme de l'immobilier en Suisse.")</f>
        <v>Vendre appartement Chézard-St-Martin: Trouvez le bien immobilier qui correspond idéalement à vos désirs sur ImmoScout24 - La plateforme de l'immobilier en Suisse.</v>
      </c>
    </row>
    <row r="5940" hidden="1">
      <c r="A5940" s="5" t="s">
        <v>14976</v>
      </c>
      <c r="B5940" s="2" t="s">
        <v>14977</v>
      </c>
      <c r="C5940" s="2" t="s">
        <v>14977</v>
      </c>
      <c r="D5940" s="4" t="str">
        <f>vlookup(A5940, Sheet2!D:E, 2, 0)</f>
        <v>control</v>
      </c>
      <c r="E5940" s="4" t="str">
        <f>IFERROR(__xludf.DUMMYFUNCTION("if(H5940=""pays"",vlookup(REGEXEXTRACT(C5940, ""🏘️ \w+ \w+ (.*) ✅""),'Country prepositions'!A:B, 2, 0) &amp; "" "" &amp; REGEXEXTRACT(C5940, ""🏘️ \w+ \w+ (.*) ✅"") ,  if(H5940=""quartier"",vlookup(REGEXEXTRACT(C5940, ""🏘️ \w+ \w+ (.*) ✅""),'Quartier prepositio"&amp;"ns'!A:E, 5, 0) ,  if(H5940=""region"",vlookup(REGEXEXTRACT(C5940, ""🏘️ \w+ \w+ (.*) ✅""),'Region prepositions'!B:F, 5, 0),  REGEXEXTRACT(C5940, ""🏘️ \w+ \w+ (.*) ✅""))))"),"#N/A")</f>
        <v>#N/A</v>
      </c>
      <c r="I5940" s="4" t="str">
        <f>IFERROR(__xludf.DUMMYFUNCTION("if(D5940=""variant"",  substitute(filter(Templates!E:E, Templates!A:A = F5940, Templates!B:B = G5940, Templates!C:C = H5940), ""{{}}"", E5940), B5940)"),"Louer appartement Pont-de-la-Morge (Sion): Trouvez le bien immobilier qui correspond idéalement à vos désirs sur ImmoScout24 - La plateforme de l'immobilier en Suisse.")</f>
        <v>Louer appartement Pont-de-la-Morge (Sion): Trouvez le bien immobilier qui correspond idéalement à vos désirs sur ImmoScout24 - La plateforme de l'immobilier en Suisse.</v>
      </c>
    </row>
    <row r="5941" hidden="1">
      <c r="A5941" s="5" t="s">
        <v>14978</v>
      </c>
      <c r="B5941" s="2" t="s">
        <v>14979</v>
      </c>
      <c r="C5941" s="2" t="s">
        <v>14979</v>
      </c>
      <c r="D5941" s="4" t="str">
        <f>vlookup(A5941, Sheet2!D:E, 2, 0)</f>
        <v>control</v>
      </c>
      <c r="E5941" s="4" t="str">
        <f>IFERROR(__xludf.DUMMYFUNCTION("if(H5941=""pays"",vlookup(REGEXEXTRACT(C5941, ""🏘️ \w+ \w+ (.*) ✅""),'Country prepositions'!A:B, 2, 0) &amp; "" "" &amp; REGEXEXTRACT(C5941, ""🏘️ \w+ \w+ (.*) ✅"") ,  if(H5941=""quartier"",vlookup(REGEXEXTRACT(C5941, ""🏘️ \w+ \w+ (.*) ✅""),'Quartier prepositio"&amp;"ns'!A:E, 5, 0) ,  if(H5941=""region"",vlookup(REGEXEXTRACT(C5941, ""🏘️ \w+ \w+ (.*) ✅""),'Region prepositions'!B:F, 5, 0),  REGEXEXTRACT(C5941, ""🏘️ \w+ \w+ (.*) ✅""))))"),"#N/A")</f>
        <v>#N/A</v>
      </c>
      <c r="I5941" s="4" t="str">
        <f>IFERROR(__xludf.DUMMYFUNCTION("if(D5941=""variant"",  substitute(filter(Templates!E:E, Templates!A:A = F5941, Templates!B:B = G5941, Templates!C:C = H5941), ""{{}}"", E5941), B5941)"),"Vendre maison Agarone: Trouvez le bien immobilier qui correspond idéalement à vos désirs sur ImmoScout24 - La plateforme de l'immobilier en Suisse.")</f>
        <v>Vendre maison Agarone: Trouvez le bien immobilier qui correspond idéalement à vos désirs sur ImmoScout24 - La plateforme de l'immobilier en Suisse.</v>
      </c>
    </row>
    <row r="5942" hidden="1">
      <c r="A5942" s="5" t="s">
        <v>14980</v>
      </c>
      <c r="B5942" s="2" t="s">
        <v>14981</v>
      </c>
      <c r="C5942" s="2" t="s">
        <v>14981</v>
      </c>
      <c r="D5942" s="4" t="str">
        <f>vlookup(A5942, Sheet2!D:E, 2, 0)</f>
        <v>control</v>
      </c>
      <c r="E5942" s="4" t="str">
        <f>IFERROR(__xludf.DUMMYFUNCTION("if(H5942=""pays"",vlookup(REGEXEXTRACT(C5942, ""🏘️ \w+ \w+ (.*) ✅""),'Country prepositions'!A:B, 2, 0) &amp; "" "" &amp; REGEXEXTRACT(C5942, ""🏘️ \w+ \w+ (.*) ✅"") ,  if(H5942=""quartier"",vlookup(REGEXEXTRACT(C5942, ""🏘️ \w+ \w+ (.*) ✅""),'Quartier prepositio"&amp;"ns'!A:E, 5, 0) ,  if(H5942=""region"",vlookup(REGEXEXTRACT(C5942, ""🏘️ \w+ \w+ (.*) ✅""),'Region prepositions'!B:F, 5, 0),  REGEXEXTRACT(C5942, ""🏘️ \w+ \w+ (.*) ✅""))))"),"#N/A")</f>
        <v>#N/A</v>
      </c>
      <c r="I5942" s="4" t="str">
        <f>IFERROR(__xludf.DUMMYFUNCTION("if(D5942=""variant"",  substitute(filter(Templates!E:E, Templates!A:A = F5942, Templates!B:B = G5942, Templates!C:C = H5942), ""{{}}"", E5942), B5942)"),"Vendre maison Canton d'Appenzell RI: Trouvez le bien immobilier qui correspond idéalement à vos désirs sur ImmoScout24 - La plateforme de l'immobilier en Suisse.")</f>
        <v>Vendre maison Canton d'Appenzell RI: Trouvez le bien immobilier qui correspond idéalement à vos désirs sur ImmoScout24 - La plateforme de l'immobilier en Suisse.</v>
      </c>
    </row>
    <row r="5943" hidden="1">
      <c r="A5943" s="5" t="s">
        <v>14982</v>
      </c>
      <c r="B5943" s="2" t="s">
        <v>14983</v>
      </c>
      <c r="C5943" s="2" t="s">
        <v>14983</v>
      </c>
      <c r="D5943" s="4" t="str">
        <f>vlookup(A5943, Sheet2!D:E, 2, 0)</f>
        <v>control</v>
      </c>
      <c r="E5943" s="4" t="str">
        <f>IFERROR(__xludf.DUMMYFUNCTION("if(H5943=""pays"",vlookup(REGEXEXTRACT(C5943, ""🏘️ \w+ \w+ (.*) ✅""),'Country prepositions'!A:B, 2, 0) &amp; "" "" &amp; REGEXEXTRACT(C5943, ""🏘️ \w+ \w+ (.*) ✅"") ,  if(H5943=""quartier"",vlookup(REGEXEXTRACT(C5943, ""🏘️ \w+ \w+ (.*) ✅""),'Quartier prepositio"&amp;"ns'!A:E, 5, 0) ,  if(H5943=""region"",vlookup(REGEXEXTRACT(C5943, ""🏘️ \w+ \w+ (.*) ✅""),'Region prepositions'!B:F, 5, 0),  REGEXEXTRACT(C5943, ""🏘️ \w+ \w+ (.*) ✅""))))"),"#N/A")</f>
        <v>#N/A</v>
      </c>
      <c r="I5943" s="4" t="str">
        <f>IFERROR(__xludf.DUMMYFUNCTION("if(D5943=""variant"",  substitute(filter(Templates!E:E, Templates!A:A = F5943, Templates!B:B = G5943, Templates!C:C = H5943), ""{{}}"", E5943), B5943)"),"Louer appartement Uetikon am See: Trouvez le bien immobilier qui correspond idéalement à vos désirs sur ImmoScout24 - La plateforme de l'immobilier en Suisse.")</f>
        <v>Louer appartement Uetikon am See: Trouvez le bien immobilier qui correspond idéalement à vos désirs sur ImmoScout24 - La plateforme de l'immobilier en Suisse.</v>
      </c>
    </row>
    <row r="5944" hidden="1">
      <c r="A5944" s="5" t="s">
        <v>14984</v>
      </c>
      <c r="B5944" s="2" t="s">
        <v>14985</v>
      </c>
      <c r="C5944" s="2" t="s">
        <v>14985</v>
      </c>
      <c r="D5944" s="4" t="str">
        <f>vlookup(A5944, Sheet2!D:E, 2, 0)</f>
        <v>control</v>
      </c>
      <c r="E5944" s="4" t="str">
        <f>IFERROR(__xludf.DUMMYFUNCTION("if(H5944=""pays"",vlookup(REGEXEXTRACT(C5944, ""🏘️ \w+ \w+ (.*) ✅""),'Country prepositions'!A:B, 2, 0) &amp; "" "" &amp; REGEXEXTRACT(C5944, ""🏘️ \w+ \w+ (.*) ✅"") ,  if(H5944=""quartier"",vlookup(REGEXEXTRACT(C5944, ""🏘️ \w+ \w+ (.*) ✅""),'Quartier prepositio"&amp;"ns'!A:E, 5, 0) ,  if(H5944=""region"",vlookup(REGEXEXTRACT(C5944, ""🏘️ \w+ \w+ (.*) ✅""),'Region prepositions'!B:F, 5, 0),  REGEXEXTRACT(C5944, ""🏘️ \w+ \w+ (.*) ✅""))))"),"#N/A")</f>
        <v>#N/A</v>
      </c>
      <c r="I5944" s="4" t="str">
        <f>IFERROR(__xludf.DUMMYFUNCTION("if(D5944=""variant"",  substitute(filter(Templates!E:E, Templates!A:A = F5944, Templates!B:B = G5944, Templates!C:C = H5944), ""{{}}"", E5944), B5944)"),"Louer appartement La Tanne: Trouvez le bien immobilier qui correspond idéalement à vos désirs sur ImmoScout24 - La plateforme de l'immobilier en Suisse.")</f>
        <v>Louer appartement La Tanne: Trouvez le bien immobilier qui correspond idéalement à vos désirs sur ImmoScout24 - La plateforme de l'immobilier en Suisse.</v>
      </c>
    </row>
    <row r="5945" hidden="1">
      <c r="A5945" s="5" t="s">
        <v>14986</v>
      </c>
      <c r="B5945" s="2" t="s">
        <v>14987</v>
      </c>
      <c r="C5945" s="2" t="s">
        <v>14987</v>
      </c>
      <c r="D5945" s="4" t="str">
        <f>vlookup(A5945, Sheet2!D:E, 2, 0)</f>
        <v>control</v>
      </c>
      <c r="E5945" s="4" t="str">
        <f>IFERROR(__xludf.DUMMYFUNCTION("if(H5945=""pays"",vlookup(REGEXEXTRACT(C5945, ""🏘️ \w+ \w+ (.*) ✅""),'Country prepositions'!A:B, 2, 0) &amp; "" "" &amp; REGEXEXTRACT(C5945, ""🏘️ \w+ \w+ (.*) ✅"") ,  if(H5945=""quartier"",vlookup(REGEXEXTRACT(C5945, ""🏘️ \w+ \w+ (.*) ✅""),'Quartier prepositio"&amp;"ns'!A:E, 5, 0) ,  if(H5945=""region"",vlookup(REGEXEXTRACT(C5945, ""🏘️ \w+ \w+ (.*) ✅""),'Region prepositions'!B:F, 5, 0),  REGEXEXTRACT(C5945, ""🏘️ \w+ \w+ (.*) ✅""))))"),"#N/A")</f>
        <v>#N/A</v>
      </c>
      <c r="I5945" s="4" t="str">
        <f>IFERROR(__xludf.DUMMYFUNCTION("if(D5945=""variant"",  substitute(filter(Templates!E:E, Templates!A:A = F5945, Templates!B:B = G5945, Templates!C:C = H5945), ""{{}}"", E5945), B5945)"),"Louer appartement St-Prex: Trouvez le bien immobilier qui correspond idéalement à vos désirs sur ImmoScout24 - La plateforme de l'immobilier en Suisse.")</f>
        <v>Louer appartement St-Prex: Trouvez le bien immobilier qui correspond idéalement à vos désirs sur ImmoScout24 - La plateforme de l'immobilier en Suisse.</v>
      </c>
    </row>
    <row r="5946" hidden="1">
      <c r="A5946" s="5" t="s">
        <v>14988</v>
      </c>
      <c r="B5946" s="2" t="s">
        <v>14989</v>
      </c>
      <c r="C5946" s="2" t="s">
        <v>14989</v>
      </c>
      <c r="D5946" s="4" t="str">
        <f>vlookup(A5946, Sheet2!D:E, 2, 0)</f>
        <v>control</v>
      </c>
      <c r="E5946" s="4" t="str">
        <f>IFERROR(__xludf.DUMMYFUNCTION("if(H5946=""pays"",vlookup(REGEXEXTRACT(C5946, ""🏘️ \w+ \w+ (.*) ✅""),'Country prepositions'!A:B, 2, 0) &amp; "" "" &amp; REGEXEXTRACT(C5946, ""🏘️ \w+ \w+ (.*) ✅"") ,  if(H5946=""quartier"",vlookup(REGEXEXTRACT(C5946, ""🏘️ \w+ \w+ (.*) ✅""),'Quartier prepositio"&amp;"ns'!A:E, 5, 0) ,  if(H5946=""region"",vlookup(REGEXEXTRACT(C5946, ""🏘️ \w+ \w+ (.*) ✅""),'Region prepositions'!B:F, 5, 0),  REGEXEXTRACT(C5946, ""🏘️ \w+ \w+ (.*) ✅""))))"),"#N/A")</f>
        <v>#N/A</v>
      </c>
      <c r="I5946" s="4" t="str">
        <f>IFERROR(__xludf.DUMMYFUNCTION("if(D5946=""variant"",  substitute(filter(Templates!E:E, Templates!A:A = F5946, Templates!B:B = G5946, Templates!C:C = H5946), ""{{}}"", E5946), B5946)"),"Louer maison Lignières: Trouvez le bien immobilier qui correspond idéalement à vos désirs sur ImmoScout24 - La plateforme de l'immobilier en Suisse.")</f>
        <v>Louer maison Lignières: Trouvez le bien immobilier qui correspond idéalement à vos désirs sur ImmoScout24 - La plateforme de l'immobilier en Suisse.</v>
      </c>
    </row>
    <row r="5947" hidden="1">
      <c r="A5947" s="5" t="s">
        <v>14990</v>
      </c>
      <c r="B5947" s="2" t="s">
        <v>14991</v>
      </c>
      <c r="C5947" s="2" t="s">
        <v>14991</v>
      </c>
      <c r="D5947" s="4" t="str">
        <f>vlookup(A5947, Sheet2!D:E, 2, 0)</f>
        <v>control</v>
      </c>
      <c r="E5947" s="4" t="str">
        <f>IFERROR(__xludf.DUMMYFUNCTION("if(H5947=""pays"",vlookup(REGEXEXTRACT(C5947, ""🏘️ \w+ \w+ (.*) ✅""),'Country prepositions'!A:B, 2, 0) &amp; "" "" &amp; REGEXEXTRACT(C5947, ""🏘️ \w+ \w+ (.*) ✅"") ,  if(H5947=""quartier"",vlookup(REGEXEXTRACT(C5947, ""🏘️ \w+ \w+ (.*) ✅""),'Quartier prepositio"&amp;"ns'!A:E, 5, 0) ,  if(H5947=""region"",vlookup(REGEXEXTRACT(C5947, ""🏘️ \w+ \w+ (.*) ✅""),'Region prepositions'!B:F, 5, 0),  REGEXEXTRACT(C5947, ""🏘️ \w+ \w+ (.*) ✅""))))"),"#N/A")</f>
        <v>#N/A</v>
      </c>
      <c r="I5947" s="4" t="str">
        <f>IFERROR(__xludf.DUMMYFUNCTION("if(D5947=""variant"",  substitute(filter(Templates!E:E, Templates!A:A = F5947, Templates!B:B = G5947, Templates!C:C = H5947), ""{{}}"", E5947), B5947)"),"Louer appartement Comano: Trouvez le bien immobilier qui correspond idéalement à vos désirs sur ImmoScout24 - La plateforme de l'immobilier en Suisse.")</f>
        <v>Louer appartement Comano: Trouvez le bien immobilier qui correspond idéalement à vos désirs sur ImmoScout24 - La plateforme de l'immobilier en Suisse.</v>
      </c>
    </row>
    <row r="5948" hidden="1">
      <c r="A5948" s="5" t="s">
        <v>14992</v>
      </c>
      <c r="B5948" s="2" t="s">
        <v>14993</v>
      </c>
      <c r="C5948" s="2" t="s">
        <v>14993</v>
      </c>
      <c r="D5948" s="4" t="str">
        <f>vlookup(A5948, Sheet2!D:E, 2, 0)</f>
        <v>control</v>
      </c>
      <c r="E5948" s="4" t="str">
        <f>IFERROR(__xludf.DUMMYFUNCTION("if(H5948=""pays"",vlookup(REGEXEXTRACT(C5948, ""🏘️ \w+ \w+ (.*) ✅""),'Country prepositions'!A:B, 2, 0) &amp; "" "" &amp; REGEXEXTRACT(C5948, ""🏘️ \w+ \w+ (.*) ✅"") ,  if(H5948=""quartier"",vlookup(REGEXEXTRACT(C5948, ""🏘️ \w+ \w+ (.*) ✅""),'Quartier prepositio"&amp;"ns'!A:E, 5, 0) ,  if(H5948=""region"",vlookup(REGEXEXTRACT(C5948, ""🏘️ \w+ \w+ (.*) ✅""),'Region prepositions'!B:F, 5, 0),  REGEXEXTRACT(C5948, ""🏘️ \w+ \w+ (.*) ✅""))))"),"#N/A")</f>
        <v>#N/A</v>
      </c>
      <c r="I5948" s="4" t="str">
        <f>IFERROR(__xludf.DUMMYFUNCTION("if(D5948=""variant"",  substitute(filter(Templates!E:E, Templates!A:A = F5948, Templates!B:B = G5948, Templates!C:C = H5948), ""{{}}"", E5948), B5948)"),"Vendre maison Gipf-Oberfrick: Trouvez le bien immobilier qui correspond idéalement à vos désirs sur ImmoScout24 - La plateforme de l'immobilier en Suisse.")</f>
        <v>Vendre maison Gipf-Oberfrick: Trouvez le bien immobilier qui correspond idéalement à vos désirs sur ImmoScout24 - La plateforme de l'immobilier en Suisse.</v>
      </c>
    </row>
    <row r="5949" hidden="1">
      <c r="A5949" s="5" t="s">
        <v>14994</v>
      </c>
      <c r="B5949" s="2" t="s">
        <v>14995</v>
      </c>
      <c r="C5949" s="2" t="s">
        <v>14995</v>
      </c>
      <c r="D5949" s="4" t="str">
        <f>vlookup(A5949, Sheet2!D:E, 2, 0)</f>
        <v>control</v>
      </c>
      <c r="E5949" s="4" t="str">
        <f>IFERROR(__xludf.DUMMYFUNCTION("if(H5949=""pays"",vlookup(REGEXEXTRACT(C5949, ""🏘️ \w+ \w+ (.*) ✅""),'Country prepositions'!A:B, 2, 0) &amp; "" "" &amp; REGEXEXTRACT(C5949, ""🏘️ \w+ \w+ (.*) ✅"") ,  if(H5949=""quartier"",vlookup(REGEXEXTRACT(C5949, ""🏘️ \w+ \w+ (.*) ✅""),'Quartier prepositio"&amp;"ns'!A:E, 5, 0) ,  if(H5949=""region"",vlookup(REGEXEXTRACT(C5949, ""🏘️ \w+ \w+ (.*) ✅""),'Region prepositions'!B:F, 5, 0),  REGEXEXTRACT(C5949, ""🏘️ \w+ \w+ (.*) ✅""))))"),"#N/A")</f>
        <v>#N/A</v>
      </c>
      <c r="I5949" s="4" t="str">
        <f>IFERROR(__xludf.DUMMYFUNCTION("if(D5949=""variant"",  substitute(filter(Templates!E:E, Templates!A:A = F5949, Templates!B:B = G5949, Templates!C:C = H5949), ""{{}}"", E5949), B5949)"),"Vendre appartement Lerchenfeld (Thun): Trouvez le bien immobilier qui correspond idéalement à vos désirs sur ImmoScout24 - La plateforme de l'immobilier en Suisse.")</f>
        <v>Vendre appartement Lerchenfeld (Thun): Trouvez le bien immobilier qui correspond idéalement à vos désirs sur ImmoScout24 - La plateforme de l'immobilier en Suisse.</v>
      </c>
    </row>
    <row r="5950" hidden="1">
      <c r="A5950" s="5" t="s">
        <v>14996</v>
      </c>
      <c r="B5950" s="2" t="s">
        <v>14997</v>
      </c>
      <c r="C5950" s="2" t="s">
        <v>14997</v>
      </c>
      <c r="D5950" s="4" t="str">
        <f>vlookup(A5950, Sheet2!D:E, 2, 0)</f>
        <v>control</v>
      </c>
      <c r="E5950" s="4" t="str">
        <f>IFERROR(__xludf.DUMMYFUNCTION("if(H5950=""pays"",vlookup(REGEXEXTRACT(C5950, ""🏘️ \w+ \w+ (.*) ✅""),'Country prepositions'!A:B, 2, 0) &amp; "" "" &amp; REGEXEXTRACT(C5950, ""🏘️ \w+ \w+ (.*) ✅"") ,  if(H5950=""quartier"",vlookup(REGEXEXTRACT(C5950, ""🏘️ \w+ \w+ (.*) ✅""),'Quartier prepositio"&amp;"ns'!A:E, 5, 0) ,  if(H5950=""region"",vlookup(REGEXEXTRACT(C5950, ""🏘️ \w+ \w+ (.*) ✅""),'Region prepositions'!B:F, 5, 0),  REGEXEXTRACT(C5950, ""🏘️ \w+ \w+ (.*) ✅""))))"),"#N/A")</f>
        <v>#N/A</v>
      </c>
      <c r="I5950" s="4" t="str">
        <f>IFERROR(__xludf.DUMMYFUNCTION("if(D5950=""variant"",  substitute(filter(Templates!E:E, Templates!A:A = F5950, Templates!B:B = G5950, Templates!C:C = H5950), ""{{}}"", E5950), B5950)"),"Vendre appartement Vinelz: Trouvez le bien immobilier qui correspond idéalement à vos désirs sur ImmoScout24 - La plateforme de l'immobilier en Suisse.")</f>
        <v>Vendre appartement Vinelz: Trouvez le bien immobilier qui correspond idéalement à vos désirs sur ImmoScout24 - La plateforme de l'immobilier en Suisse.</v>
      </c>
    </row>
    <row r="5951" hidden="1">
      <c r="A5951" s="5" t="s">
        <v>14998</v>
      </c>
      <c r="B5951" s="2" t="s">
        <v>14999</v>
      </c>
      <c r="C5951" s="2" t="s">
        <v>14999</v>
      </c>
      <c r="D5951" s="4" t="str">
        <f>vlookup(A5951, Sheet2!D:E, 2, 0)</f>
        <v>control</v>
      </c>
      <c r="E5951" s="4" t="str">
        <f>IFERROR(__xludf.DUMMYFUNCTION("if(H5951=""pays"",vlookup(REGEXEXTRACT(C5951, ""🏘️ \w+ \w+ (.*) ✅""),'Country prepositions'!A:B, 2, 0) &amp; "" "" &amp; REGEXEXTRACT(C5951, ""🏘️ \w+ \w+ (.*) ✅"") ,  if(H5951=""quartier"",vlookup(REGEXEXTRACT(C5951, ""🏘️ \w+ \w+ (.*) ✅""),'Quartier prepositio"&amp;"ns'!A:E, 5, 0) ,  if(H5951=""region"",vlookup(REGEXEXTRACT(C5951, ""🏘️ \w+ \w+ (.*) ✅""),'Region prepositions'!B:F, 5, 0),  REGEXEXTRACT(C5951, ""🏘️ \w+ \w+ (.*) ✅""))))"),"#N/A")</f>
        <v>#N/A</v>
      </c>
      <c r="I5951" s="4" t="str">
        <f>IFERROR(__xludf.DUMMYFUNCTION("if(D5951=""variant"",  substitute(filter(Templates!E:E, Templates!A:A = F5951, Templates!B:B = G5951, Templates!C:C = H5951), ""{{}}"", E5951), B5951)"),"Vendre maison Vicques: Trouvez le bien immobilier qui correspond idéalement à vos désirs sur ImmoScout24 - La plateforme de l'immobilier en Suisse.")</f>
        <v>Vendre maison Vicques: Trouvez le bien immobilier qui correspond idéalement à vos désirs sur ImmoScout24 - La plateforme de l'immobilier en Suisse.</v>
      </c>
    </row>
    <row r="5952" hidden="1">
      <c r="A5952" s="5" t="s">
        <v>15000</v>
      </c>
      <c r="B5952" s="2" t="s">
        <v>15001</v>
      </c>
      <c r="C5952" s="2" t="s">
        <v>15001</v>
      </c>
      <c r="D5952" s="4" t="str">
        <f>vlookup(A5952, Sheet2!D:E, 2, 0)</f>
        <v>control</v>
      </c>
      <c r="E5952" s="4" t="str">
        <f>IFERROR(__xludf.DUMMYFUNCTION("if(H5952=""pays"",vlookup(REGEXEXTRACT(C5952, ""🏘️ \w+ \w+ (.*) ✅""),'Country prepositions'!A:B, 2, 0) &amp; "" "" &amp; REGEXEXTRACT(C5952, ""🏘️ \w+ \w+ (.*) ✅"") ,  if(H5952=""quartier"",vlookup(REGEXEXTRACT(C5952, ""🏘️ \w+ \w+ (.*) ✅""),'Quartier prepositio"&amp;"ns'!A:E, 5, 0) ,  if(H5952=""region"",vlookup(REGEXEXTRACT(C5952, ""🏘️ \w+ \w+ (.*) ✅""),'Region prepositions'!B:F, 5, 0),  REGEXEXTRACT(C5952, ""🏘️ \w+ \w+ (.*) ✅""))))"),"#N/A")</f>
        <v>#N/A</v>
      </c>
      <c r="I5952" s="4" t="str">
        <f>IFERROR(__xludf.DUMMYFUNCTION("if(D5952=""variant"",  substitute(filter(Templates!E:E, Templates!A:A = F5952, Templates!B:B = G5952, Templates!C:C = H5952), ""{{}}"", E5952), B5952)"),"Vendre appartement Bretigny-sur-Morrens: Trouvez le bien immobilier qui correspond idéalement à vos désirs sur ImmoScout24 - La plateforme de l'immobilier en Suisse.")</f>
        <v>Vendre appartement Bretigny-sur-Morrens: Trouvez le bien immobilier qui correspond idéalement à vos désirs sur ImmoScout24 - La plateforme de l'immobilier en Suisse.</v>
      </c>
    </row>
    <row r="5953" hidden="1">
      <c r="A5953" s="5" t="s">
        <v>15002</v>
      </c>
      <c r="B5953" s="2" t="s">
        <v>15003</v>
      </c>
      <c r="C5953" s="2" t="s">
        <v>15003</v>
      </c>
      <c r="D5953" s="4" t="str">
        <f>vlookup(A5953, Sheet2!D:E, 2, 0)</f>
        <v>control</v>
      </c>
      <c r="E5953" s="4" t="str">
        <f>IFERROR(__xludf.DUMMYFUNCTION("if(H5953=""pays"",vlookup(REGEXEXTRACT(C5953, ""🏘️ \w+ \w+ (.*) ✅""),'Country prepositions'!A:B, 2, 0) &amp; "" "" &amp; REGEXEXTRACT(C5953, ""🏘️ \w+ \w+ (.*) ✅"") ,  if(H5953=""quartier"",vlookup(REGEXEXTRACT(C5953, ""🏘️ \w+ \w+ (.*) ✅""),'Quartier prepositio"&amp;"ns'!A:E, 5, 0) ,  if(H5953=""region"",vlookup(REGEXEXTRACT(C5953, ""🏘️ \w+ \w+ (.*) ✅""),'Region prepositions'!B:F, 5, 0),  REGEXEXTRACT(C5953, ""🏘️ \w+ \w+ (.*) ✅""))))"),"#N/A")</f>
        <v>#N/A</v>
      </c>
      <c r="I5953" s="4" t="str">
        <f>IFERROR(__xludf.DUMMYFUNCTION("if(D5953=""variant"",  substitute(filter(Templates!E:E, Templates!A:A = F5953, Templates!B:B = G5953, Templates!C:C = H5953), ""{{}}"", E5953), B5953)"),"Vendre maison Susten: Trouvez le bien immobilier qui correspond idéalement à vos désirs sur ImmoScout24 - La plateforme de l'immobilier en Suisse.")</f>
        <v>Vendre maison Susten: Trouvez le bien immobilier qui correspond idéalement à vos désirs sur ImmoScout24 - La plateforme de l'immobilier en Suisse.</v>
      </c>
    </row>
    <row r="5954" hidden="1">
      <c r="A5954" s="5" t="s">
        <v>15004</v>
      </c>
      <c r="B5954" s="2" t="s">
        <v>15005</v>
      </c>
      <c r="C5954" s="2" t="s">
        <v>15005</v>
      </c>
      <c r="D5954" s="4" t="str">
        <f>vlookup(A5954, Sheet2!D:E, 2, 0)</f>
        <v>control</v>
      </c>
      <c r="E5954" s="4" t="str">
        <f>IFERROR(__xludf.DUMMYFUNCTION("if(H5954=""pays"",vlookup(REGEXEXTRACT(C5954, ""🏘️ \w+ \w+ (.*) ✅""),'Country prepositions'!A:B, 2, 0) &amp; "" "" &amp; REGEXEXTRACT(C5954, ""🏘️ \w+ \w+ (.*) ✅"") ,  if(H5954=""quartier"",vlookup(REGEXEXTRACT(C5954, ""🏘️ \w+ \w+ (.*) ✅""),'Quartier prepositio"&amp;"ns'!A:E, 5, 0) ,  if(H5954=""region"",vlookup(REGEXEXTRACT(C5954, ""🏘️ \w+ \w+ (.*) ✅""),'Region prepositions'!B:F, 5, 0),  REGEXEXTRACT(C5954, ""🏘️ \w+ \w+ (.*) ✅""))))"),"#N/A")</f>
        <v>#N/A</v>
      </c>
      <c r="I5954" s="4" t="str">
        <f>IFERROR(__xludf.DUMMYFUNCTION("if(D5954=""variant"",  substitute(filter(Templates!E:E, Templates!A:A = F5954, Templates!B:B = G5954, Templates!C:C = H5954), ""{{}}"", E5954), B5954)"),"Vendre maison Champagne: Trouvez le bien immobilier qui correspond idéalement à vos désirs sur ImmoScout24 - La plateforme de l'immobilier en Suisse.")</f>
        <v>Vendre maison Champagne: Trouvez le bien immobilier qui correspond idéalement à vos désirs sur ImmoScout24 - La plateforme de l'immobilier en Suisse.</v>
      </c>
    </row>
    <row r="5955" hidden="1">
      <c r="A5955" s="5" t="s">
        <v>15006</v>
      </c>
      <c r="B5955" s="2" t="s">
        <v>15007</v>
      </c>
      <c r="C5955" s="2" t="s">
        <v>15007</v>
      </c>
      <c r="D5955" s="4" t="str">
        <f>vlookup(A5955, Sheet2!D:E, 2, 0)</f>
        <v>control</v>
      </c>
      <c r="E5955" s="4" t="str">
        <f>IFERROR(__xludf.DUMMYFUNCTION("if(H5955=""pays"",vlookup(REGEXEXTRACT(C5955, ""🏘️ \w+ \w+ (.*) ✅""),'Country prepositions'!A:B, 2, 0) &amp; "" "" &amp; REGEXEXTRACT(C5955, ""🏘️ \w+ \w+ (.*) ✅"") ,  if(H5955=""quartier"",vlookup(REGEXEXTRACT(C5955, ""🏘️ \w+ \w+ (.*) ✅""),'Quartier prepositio"&amp;"ns'!A:E, 5, 0) ,  if(H5955=""region"",vlookup(REGEXEXTRACT(C5955, ""🏘️ \w+ \w+ (.*) ✅""),'Region prepositions'!B:F, 5, 0),  REGEXEXTRACT(C5955, ""🏘️ \w+ \w+ (.*) ✅""))))"),"#N/A")</f>
        <v>#N/A</v>
      </c>
      <c r="I5955" s="4" t="str">
        <f>IFERROR(__xludf.DUMMYFUNCTION("if(D5955=""variant"",  substitute(filter(Templates!E:E, Templates!A:A = F5955, Templates!B:B = G5955, Templates!C:C = H5955), ""{{}}"", E5955), B5955)"),"Vendre appartement Canton d'Argovie: Trouvez le bien immobilier qui correspond idéalement à vos désirs sur ImmoScout24 - La plateforme de l'immobilier en Suisse.")</f>
        <v>Vendre appartement Canton d'Argovie: Trouvez le bien immobilier qui correspond idéalement à vos désirs sur ImmoScout24 - La plateforme de l'immobilier en Suisse.</v>
      </c>
    </row>
    <row r="5956" hidden="1">
      <c r="A5956" s="5" t="s">
        <v>15008</v>
      </c>
      <c r="B5956" s="2" t="s">
        <v>15009</v>
      </c>
      <c r="C5956" s="2" t="s">
        <v>15009</v>
      </c>
      <c r="D5956" s="4" t="str">
        <f>vlookup(A5956, Sheet2!D:E, 2, 0)</f>
        <v>control</v>
      </c>
      <c r="E5956" s="4" t="str">
        <f>IFERROR(__xludf.DUMMYFUNCTION("if(H5956=""pays"",vlookup(REGEXEXTRACT(C5956, ""🏘️ \w+ \w+ (.*) ✅""),'Country prepositions'!A:B, 2, 0) &amp; "" "" &amp; REGEXEXTRACT(C5956, ""🏘️ \w+ \w+ (.*) ✅"") ,  if(H5956=""quartier"",vlookup(REGEXEXTRACT(C5956, ""🏘️ \w+ \w+ (.*) ✅""),'Quartier prepositio"&amp;"ns'!A:E, 5, 0) ,  if(H5956=""region"",vlookup(REGEXEXTRACT(C5956, ""🏘️ \w+ \w+ (.*) ✅""),'Region prepositions'!B:F, 5, 0),  REGEXEXTRACT(C5956, ""🏘️ \w+ \w+ (.*) ✅""))))"),"#N/A")</f>
        <v>#N/A</v>
      </c>
      <c r="I5956" s="4" t="str">
        <f>IFERROR(__xludf.DUMMYFUNCTION("if(D5956=""variant"",  substitute(filter(Templates!E:E, Templates!A:A = F5956, Templates!B:B = G5956, Templates!C:C = H5956), ""{{}}"", E5956), B5956)"),"Vendre appartement Altstetten (Zurich): Trouvez le bien immobilier qui correspond idéalement à vos désirs sur ImmoScout24 - La plateforme de l'immobilier en Suisse.")</f>
        <v>Vendre appartement Altstetten (Zurich): Trouvez le bien immobilier qui correspond idéalement à vos désirs sur ImmoScout24 - La plateforme de l'immobilier en Suisse.</v>
      </c>
    </row>
    <row r="5957" hidden="1">
      <c r="A5957" s="5" t="s">
        <v>15010</v>
      </c>
      <c r="B5957" s="2" t="s">
        <v>15011</v>
      </c>
      <c r="C5957" s="2" t="s">
        <v>15011</v>
      </c>
      <c r="D5957" s="4" t="str">
        <f>vlookup(A5957, Sheet2!D:E, 2, 0)</f>
        <v>control</v>
      </c>
      <c r="E5957" s="4" t="str">
        <f>IFERROR(__xludf.DUMMYFUNCTION("if(H5957=""pays"",vlookup(REGEXEXTRACT(C5957, ""🏘️ \w+ \w+ (.*) ✅""),'Country prepositions'!A:B, 2, 0) &amp; "" "" &amp; REGEXEXTRACT(C5957, ""🏘️ \w+ \w+ (.*) ✅"") ,  if(H5957=""quartier"",vlookup(REGEXEXTRACT(C5957, ""🏘️ \w+ \w+ (.*) ✅""),'Quartier prepositio"&amp;"ns'!A:E, 5, 0) ,  if(H5957=""region"",vlookup(REGEXEXTRACT(C5957, ""🏘️ \w+ \w+ (.*) ✅""),'Region prepositions'!B:F, 5, 0),  REGEXEXTRACT(C5957, ""🏘️ \w+ \w+ (.*) ✅""))))"),"#N/A")</f>
        <v>#N/A</v>
      </c>
      <c r="I5957" s="4" t="str">
        <f>IFERROR(__xludf.DUMMYFUNCTION("if(D5957=""variant"",  substitute(filter(Templates!E:E, Templates!A:A = F5957, Templates!B:B = G5957, Templates!C:C = H5957), ""{{}}"", E5957), B5957)"),"Louer appartement Champagne: Trouvez le bien immobilier qui correspond idéalement à vos désirs sur ImmoScout24 - La plateforme de l'immobilier en Suisse.")</f>
        <v>Louer appartement Champagne: Trouvez le bien immobilier qui correspond idéalement à vos désirs sur ImmoScout24 - La plateforme de l'immobilier en Suisse.</v>
      </c>
    </row>
    <row r="5958" hidden="1">
      <c r="A5958" s="5" t="s">
        <v>15012</v>
      </c>
      <c r="B5958" s="2" t="s">
        <v>15013</v>
      </c>
      <c r="C5958" s="2" t="s">
        <v>15013</v>
      </c>
      <c r="D5958" s="4" t="str">
        <f>vlookup(A5958, Sheet2!D:E, 2, 0)</f>
        <v>control</v>
      </c>
      <c r="E5958" s="4" t="str">
        <f>IFERROR(__xludf.DUMMYFUNCTION("if(H5958=""pays"",vlookup(REGEXEXTRACT(C5958, ""🏘️ \w+ \w+ (.*) ✅""),'Country prepositions'!A:B, 2, 0) &amp; "" "" &amp; REGEXEXTRACT(C5958, ""🏘️ \w+ \w+ (.*) ✅"") ,  if(H5958=""quartier"",vlookup(REGEXEXTRACT(C5958, ""🏘️ \w+ \w+ (.*) ✅""),'Quartier prepositio"&amp;"ns'!A:E, 5, 0) ,  if(H5958=""region"",vlookup(REGEXEXTRACT(C5958, ""🏘️ \w+ \w+ (.*) ✅""),'Region prepositions'!B:F, 5, 0),  REGEXEXTRACT(C5958, ""🏘️ \w+ \w+ (.*) ✅""))))"),"#N/A")</f>
        <v>#N/A</v>
      </c>
      <c r="I5958" s="4" t="str">
        <f>IFERROR(__xludf.DUMMYFUNCTION("if(D5958=""variant"",  substitute(filter(Templates!E:E, Templates!A:A = F5958, Templates!B:B = G5958, Templates!C:C = H5958), ""{{}}"", E5958), B5958)"),"Vendre appartement Courrendlin: Trouvez le bien immobilier qui correspond idéalement à vos désirs sur ImmoScout24 - La plateforme de l'immobilier en Suisse.")</f>
        <v>Vendre appartement Courrendlin: Trouvez le bien immobilier qui correspond idéalement à vos désirs sur ImmoScout24 - La plateforme de l'immobilier en Suisse.</v>
      </c>
    </row>
    <row r="5959" hidden="1">
      <c r="A5959" s="5" t="s">
        <v>15014</v>
      </c>
      <c r="B5959" s="2" t="s">
        <v>15015</v>
      </c>
      <c r="C5959" s="2" t="s">
        <v>15015</v>
      </c>
      <c r="D5959" s="4" t="str">
        <f>vlookup(A5959, Sheet2!D:E, 2, 0)</f>
        <v>control</v>
      </c>
      <c r="E5959" s="4" t="str">
        <f>IFERROR(__xludf.DUMMYFUNCTION("if(H5959=""pays"",vlookup(REGEXEXTRACT(C5959, ""🏘️ \w+ \w+ (.*) ✅""),'Country prepositions'!A:B, 2, 0) &amp; "" "" &amp; REGEXEXTRACT(C5959, ""🏘️ \w+ \w+ (.*) ✅"") ,  if(H5959=""quartier"",vlookup(REGEXEXTRACT(C5959, ""🏘️ \w+ \w+ (.*) ✅""),'Quartier prepositio"&amp;"ns'!A:E, 5, 0) ,  if(H5959=""region"",vlookup(REGEXEXTRACT(C5959, ""🏘️ \w+ \w+ (.*) ✅""),'Region prepositions'!B:F, 5, 0),  REGEXEXTRACT(C5959, ""🏘️ \w+ \w+ (.*) ✅""))))"),"#N/A")</f>
        <v>#N/A</v>
      </c>
      <c r="I5959" s="4" t="str">
        <f>IFERROR(__xludf.DUMMYFUNCTION("if(D5959=""variant"",  substitute(filter(Templates!E:E, Templates!A:A = F5959, Templates!B:B = G5959, Templates!C:C = H5959), ""{{}}"", E5959), B5959)"),"Louer appartement Laufenburg - Rheinfelden: Trouvez le bien immobilier qui correspond idéalement à vos désirs sur ImmoScout24 - La plateforme de l'immobilier en Suisse.")</f>
        <v>Louer appartement Laufenburg - Rheinfelden: Trouvez le bien immobilier qui correspond idéalement à vos désirs sur ImmoScout24 - La plateforme de l'immobilier en Suisse.</v>
      </c>
    </row>
    <row r="5960" hidden="1">
      <c r="A5960" s="5" t="s">
        <v>15016</v>
      </c>
      <c r="B5960" s="2" t="s">
        <v>15017</v>
      </c>
      <c r="C5960" s="2" t="s">
        <v>15017</v>
      </c>
      <c r="D5960" s="4" t="str">
        <f>vlookup(A5960, Sheet2!D:E, 2, 0)</f>
        <v>control</v>
      </c>
      <c r="E5960" s="4" t="str">
        <f>IFERROR(__xludf.DUMMYFUNCTION("if(H5960=""pays"",vlookup(REGEXEXTRACT(C5960, ""🏘️ \w+ \w+ (.*) ✅""),'Country prepositions'!A:B, 2, 0) &amp; "" "" &amp; REGEXEXTRACT(C5960, ""🏘️ \w+ \w+ (.*) ✅"") ,  if(H5960=""quartier"",vlookup(REGEXEXTRACT(C5960, ""🏘️ \w+ \w+ (.*) ✅""),'Quartier prepositio"&amp;"ns'!A:E, 5, 0) ,  if(H5960=""region"",vlookup(REGEXEXTRACT(C5960, ""🏘️ \w+ \w+ (.*) ✅""),'Region prepositions'!B:F, 5, 0),  REGEXEXTRACT(C5960, ""🏘️ \w+ \w+ (.*) ✅""))))"),"#N/A")</f>
        <v>#N/A</v>
      </c>
      <c r="I5960" s="4" t="str">
        <f>IFERROR(__xludf.DUMMYFUNCTION("if(D5960=""variant"",  substitute(filter(Templates!E:E, Templates!A:A = F5960, Templates!B:B = G5960, Templates!C:C = H5960), ""{{}}"", E5960), B5960)"),"Louer appartement Aarburg: Trouvez le bien immobilier qui correspond idéalement à vos désirs sur ImmoScout24 - La plateforme de l'immobilier en Suisse.")</f>
        <v>Louer appartement Aarburg: Trouvez le bien immobilier qui correspond idéalement à vos désirs sur ImmoScout24 - La plateforme de l'immobilier en Suisse.</v>
      </c>
    </row>
    <row r="5961" hidden="1">
      <c r="A5961" s="5" t="s">
        <v>15018</v>
      </c>
      <c r="B5961" s="2" t="s">
        <v>15019</v>
      </c>
      <c r="C5961" s="2" t="s">
        <v>15019</v>
      </c>
      <c r="D5961" s="4" t="str">
        <f>vlookup(A5961, Sheet2!D:E, 2, 0)</f>
        <v>control</v>
      </c>
      <c r="E5961" s="4" t="str">
        <f>IFERROR(__xludf.DUMMYFUNCTION("if(H5961=""pays"",vlookup(REGEXEXTRACT(C5961, ""🏘️ \w+ \w+ (.*) ✅""),'Country prepositions'!A:B, 2, 0) &amp; "" "" &amp; REGEXEXTRACT(C5961, ""🏘️ \w+ \w+ (.*) ✅"") ,  if(H5961=""quartier"",vlookup(REGEXEXTRACT(C5961, ""🏘️ \w+ \w+ (.*) ✅""),'Quartier prepositio"&amp;"ns'!A:E, 5, 0) ,  if(H5961=""region"",vlookup(REGEXEXTRACT(C5961, ""🏘️ \w+ \w+ (.*) ✅""),'Region prepositions'!B:F, 5, 0),  REGEXEXTRACT(C5961, ""🏘️ \w+ \w+ (.*) ✅""))))"),"#N/A")</f>
        <v>#N/A</v>
      </c>
      <c r="I5961" s="4" t="str">
        <f>IFERROR(__xludf.DUMMYFUNCTION("if(D5961=""variant"",  substitute(filter(Templates!E:E, Templates!A:A = F5961, Templates!B:B = G5961, Templates!C:C = H5961), ""{{}}"", E5961), B5961)"),"Louer appartement Arcegno: Trouvez le bien immobilier qui correspond idéalement à vos désirs sur ImmoScout24 - La plateforme de l'immobilier en Suisse.")</f>
        <v>Louer appartement Arcegno: Trouvez le bien immobilier qui correspond idéalement à vos désirs sur ImmoScout24 - La plateforme de l'immobilier en Suisse.</v>
      </c>
    </row>
    <row r="5962" hidden="1">
      <c r="A5962" s="5" t="s">
        <v>15020</v>
      </c>
      <c r="B5962" s="2" t="s">
        <v>15021</v>
      </c>
      <c r="C5962" s="2" t="s">
        <v>15021</v>
      </c>
      <c r="D5962" s="4" t="str">
        <f>vlookup(A5962, Sheet2!D:E, 2, 0)</f>
        <v>control</v>
      </c>
      <c r="E5962" s="4" t="str">
        <f>IFERROR(__xludf.DUMMYFUNCTION("if(H5962=""pays"",vlookup(REGEXEXTRACT(C5962, ""🏘️ \w+ \w+ (.*) ✅""),'Country prepositions'!A:B, 2, 0) &amp; "" "" &amp; REGEXEXTRACT(C5962, ""🏘️ \w+ \w+ (.*) ✅"") ,  if(H5962=""quartier"",vlookup(REGEXEXTRACT(C5962, ""🏘️ \w+ \w+ (.*) ✅""),'Quartier prepositio"&amp;"ns'!A:E, 5, 0) ,  if(H5962=""region"",vlookup(REGEXEXTRACT(C5962, ""🏘️ \w+ \w+ (.*) ✅""),'Region prepositions'!B:F, 5, 0),  REGEXEXTRACT(C5962, ""🏘️ \w+ \w+ (.*) ✅""))))"),"#N/A")</f>
        <v>#N/A</v>
      </c>
      <c r="I5962" s="4" t="str">
        <f>IFERROR(__xludf.DUMMYFUNCTION("if(D5962=""variant"",  substitute(filter(Templates!E:E, Templates!A:A = F5962, Templates!B:B = G5962, Templates!C:C = H5962), ""{{}}"", E5962), B5962)"),"Vendre appartement Autafond: Trouvez le bien immobilier qui correspond idéalement à vos désirs sur ImmoScout24 - La plateforme de l'immobilier en Suisse.")</f>
        <v>Vendre appartement Autafond: Trouvez le bien immobilier qui correspond idéalement à vos désirs sur ImmoScout24 - La plateforme de l'immobilier en Suisse.</v>
      </c>
    </row>
    <row r="5963" hidden="1">
      <c r="A5963" s="5" t="s">
        <v>15022</v>
      </c>
      <c r="B5963" s="2" t="s">
        <v>15023</v>
      </c>
      <c r="C5963" s="2" t="s">
        <v>15023</v>
      </c>
      <c r="D5963" s="4" t="str">
        <f>vlookup(A5963, Sheet2!D:E, 2, 0)</f>
        <v>control</v>
      </c>
      <c r="E5963" s="4" t="str">
        <f>IFERROR(__xludf.DUMMYFUNCTION("if(H5963=""pays"",vlookup(REGEXEXTRACT(C5963, ""🏘️ \w+ \w+ (.*) ✅""),'Country prepositions'!A:B, 2, 0) &amp; "" "" &amp; REGEXEXTRACT(C5963, ""🏘️ \w+ \w+ (.*) ✅"") ,  if(H5963=""quartier"",vlookup(REGEXEXTRACT(C5963, ""🏘️ \w+ \w+ (.*) ✅""),'Quartier prepositio"&amp;"ns'!A:E, 5, 0) ,  if(H5963=""region"",vlookup(REGEXEXTRACT(C5963, ""🏘️ \w+ \w+ (.*) ✅""),'Region prepositions'!B:F, 5, 0),  REGEXEXTRACT(C5963, ""🏘️ \w+ \w+ (.*) ✅""))))"),"#N/A")</f>
        <v>#N/A</v>
      </c>
      <c r="I5963" s="4" t="str">
        <f>IFERROR(__xludf.DUMMYFUNCTION("if(D5963=""variant"",  substitute(filter(Templates!E:E, Templates!A:A = F5963, Templates!B:B = G5963, Templates!C:C = H5963), ""{{}}"", E5963), B5963)"),"Louer appartement Regensdorf: Trouvez le bien immobilier qui correspond idéalement à vos désirs sur ImmoScout24 - La plateforme de l'immobilier en Suisse.")</f>
        <v>Louer appartement Regensdorf: Trouvez le bien immobilier qui correspond idéalement à vos désirs sur ImmoScout24 - La plateforme de l'immobilier en Suisse.</v>
      </c>
    </row>
    <row r="5964" hidden="1">
      <c r="A5964" s="5" t="s">
        <v>15024</v>
      </c>
      <c r="B5964" s="2" t="s">
        <v>15025</v>
      </c>
      <c r="C5964" s="2" t="s">
        <v>15025</v>
      </c>
      <c r="D5964" s="4" t="str">
        <f>vlookup(A5964, Sheet2!D:E, 2, 0)</f>
        <v>control</v>
      </c>
      <c r="E5964" s="4" t="str">
        <f>IFERROR(__xludf.DUMMYFUNCTION("if(H5964=""pays"",vlookup(REGEXEXTRACT(C5964, ""🏘️ \w+ \w+ (.*) ✅""),'Country prepositions'!A:B, 2, 0) &amp; "" "" &amp; REGEXEXTRACT(C5964, ""🏘️ \w+ \w+ (.*) ✅"") ,  if(H5964=""quartier"",vlookup(REGEXEXTRACT(C5964, ""🏘️ \w+ \w+ (.*) ✅""),'Quartier prepositio"&amp;"ns'!A:E, 5, 0) ,  if(H5964=""region"",vlookup(REGEXEXTRACT(C5964, ""🏘️ \w+ \w+ (.*) ✅""),'Region prepositions'!B:F, 5, 0),  REGEXEXTRACT(C5964, ""🏘️ \w+ \w+ (.*) ✅""))))"),"#N/A")</f>
        <v>#N/A</v>
      </c>
      <c r="I5964" s="4" t="str">
        <f>IFERROR(__xludf.DUMMYFUNCTION("if(D5964=""variant"",  substitute(filter(Templates!E:E, Templates!A:A = F5964, Templates!B:B = G5964, Templates!C:C = H5964), ""{{}}"", E5964), B5964)"),"Louer appartement Dürnten: Trouvez le bien immobilier qui correspond idéalement à vos désirs sur ImmoScout24 - La plateforme de l'immobilier en Suisse.")</f>
        <v>Louer appartement Dürnten: Trouvez le bien immobilier qui correspond idéalement à vos désirs sur ImmoScout24 - La plateforme de l'immobilier en Suisse.</v>
      </c>
    </row>
    <row r="5965" hidden="1">
      <c r="A5965" s="5" t="s">
        <v>15026</v>
      </c>
      <c r="B5965" s="2" t="s">
        <v>15027</v>
      </c>
      <c r="C5965" s="2" t="s">
        <v>15027</v>
      </c>
      <c r="D5965" s="4" t="str">
        <f>vlookup(A5965, Sheet2!D:E, 2, 0)</f>
        <v>control</v>
      </c>
      <c r="E5965" s="4" t="str">
        <f>IFERROR(__xludf.DUMMYFUNCTION("if(H5965=""pays"",vlookup(REGEXEXTRACT(C5965, ""🏘️ \w+ \w+ (.*) ✅""),'Country prepositions'!A:B, 2, 0) &amp; "" "" &amp; REGEXEXTRACT(C5965, ""🏘️ \w+ \w+ (.*) ✅"") ,  if(H5965=""quartier"",vlookup(REGEXEXTRACT(C5965, ""🏘️ \w+ \w+ (.*) ✅""),'Quartier prepositio"&amp;"ns'!A:E, 5, 0) ,  if(H5965=""region"",vlookup(REGEXEXTRACT(C5965, ""🏘️ \w+ \w+ (.*) ✅""),'Region prepositions'!B:F, 5, 0),  REGEXEXTRACT(C5965, ""🏘️ \w+ \w+ (.*) ✅""))))"),"#N/A")</f>
        <v>#N/A</v>
      </c>
      <c r="I5965" s="4" t="str">
        <f>IFERROR(__xludf.DUMMYFUNCTION("if(D5965=""variant"",  substitute(filter(Templates!E:E, Templates!A:A = F5965, Templates!B:B = G5965, Templates!C:C = H5965), ""{{}}"", E5965), B5965)"),"Vendre maison Maisprach: Trouvez le bien immobilier qui correspond idéalement à vos désirs sur ImmoScout24 - La plateforme de l'immobilier en Suisse.")</f>
        <v>Vendre maison Maisprach: Trouvez le bien immobilier qui correspond idéalement à vos désirs sur ImmoScout24 - La plateforme de l'immobilier en Suisse.</v>
      </c>
    </row>
    <row r="5966" hidden="1">
      <c r="A5966" s="5" t="s">
        <v>15028</v>
      </c>
      <c r="B5966" s="2" t="s">
        <v>15029</v>
      </c>
      <c r="C5966" s="2" t="s">
        <v>15029</v>
      </c>
      <c r="D5966" s="4" t="str">
        <f>vlookup(A5966, Sheet2!D:E, 2, 0)</f>
        <v>control</v>
      </c>
      <c r="E5966" s="4" t="str">
        <f>IFERROR(__xludf.DUMMYFUNCTION("if(H5966=""pays"",vlookup(REGEXEXTRACT(C5966, ""🏘️ \w+ \w+ (.*) ✅""),'Country prepositions'!A:B, 2, 0) &amp; "" "" &amp; REGEXEXTRACT(C5966, ""🏘️ \w+ \w+ (.*) ✅"") ,  if(H5966=""quartier"",vlookup(REGEXEXTRACT(C5966, ""🏘️ \w+ \w+ (.*) ✅""),'Quartier prepositio"&amp;"ns'!A:E, 5, 0) ,  if(H5966=""region"",vlookup(REGEXEXTRACT(C5966, ""🏘️ \w+ \w+ (.*) ✅""),'Region prepositions'!B:F, 5, 0),  REGEXEXTRACT(C5966, ""🏘️ \w+ \w+ (.*) ✅""))))"),"#N/A")</f>
        <v>#N/A</v>
      </c>
      <c r="I5966" s="4" t="str">
        <f>IFERROR(__xludf.DUMMYFUNCTION("if(D5966=""variant"",  substitute(filter(Templates!E:E, Templates!A:A = F5966, Templates!B:B = G5966, Templates!C:C = H5966), ""{{}}"", E5966), B5966)"),"Vendre maison Bressaucourt: Trouvez le bien immobilier qui correspond idéalement à vos désirs sur ImmoScout24 - La plateforme de l'immobilier en Suisse.")</f>
        <v>Vendre maison Bressaucourt: Trouvez le bien immobilier qui correspond idéalement à vos désirs sur ImmoScout24 - La plateforme de l'immobilier en Suisse.</v>
      </c>
    </row>
    <row r="5967" hidden="1">
      <c r="A5967" s="5" t="s">
        <v>15030</v>
      </c>
      <c r="B5967" s="2" t="s">
        <v>15031</v>
      </c>
      <c r="C5967" s="2" t="s">
        <v>15031</v>
      </c>
      <c r="D5967" s="4" t="str">
        <f>vlookup(A5967, Sheet2!D:E, 2, 0)</f>
        <v>control</v>
      </c>
      <c r="E5967" s="4" t="str">
        <f>IFERROR(__xludf.DUMMYFUNCTION("if(H5967=""pays"",vlookup(REGEXEXTRACT(C5967, ""🏘️ \w+ \w+ (.*) ✅""),'Country prepositions'!A:B, 2, 0) &amp; "" "" &amp; REGEXEXTRACT(C5967, ""🏘️ \w+ \w+ (.*) ✅"") ,  if(H5967=""quartier"",vlookup(REGEXEXTRACT(C5967, ""🏘️ \w+ \w+ (.*) ✅""),'Quartier prepositio"&amp;"ns'!A:E, 5, 0) ,  if(H5967=""region"",vlookup(REGEXEXTRACT(C5967, ""🏘️ \w+ \w+ (.*) ✅""),'Region prepositions'!B:F, 5, 0),  REGEXEXTRACT(C5967, ""🏘️ \w+ \w+ (.*) ✅""))))"),"#N/A")</f>
        <v>#N/A</v>
      </c>
      <c r="I5967" s="4" t="str">
        <f>IFERROR(__xludf.DUMMYFUNCTION("if(D5967=""variant"",  substitute(filter(Templates!E:E, Templates!A:A = F5967, Templates!B:B = G5967, Templates!C:C = H5967), ""{{}}"", E5967), B5967)"),"Vendre maison Montagny-près-Yverdon: Trouvez le bien immobilier qui correspond idéalement à vos désirs sur ImmoScout24 - La plateforme de l'immobilier en Suisse.")</f>
        <v>Vendre maison Montagny-près-Yverdon: Trouvez le bien immobilier qui correspond idéalement à vos désirs sur ImmoScout24 - La plateforme de l'immobilier en Suisse.</v>
      </c>
    </row>
    <row r="5968" hidden="1">
      <c r="A5968" s="5" t="s">
        <v>15032</v>
      </c>
      <c r="B5968" s="2" t="s">
        <v>15033</v>
      </c>
      <c r="C5968" s="2" t="s">
        <v>15033</v>
      </c>
      <c r="D5968" s="4" t="str">
        <f>vlookup(A5968, Sheet2!D:E, 2, 0)</f>
        <v>control</v>
      </c>
      <c r="E5968" s="4" t="str">
        <f>IFERROR(__xludf.DUMMYFUNCTION("if(H5968=""pays"",vlookup(REGEXEXTRACT(C5968, ""🏘️ \w+ \w+ (.*) ✅""),'Country prepositions'!A:B, 2, 0) &amp; "" "" &amp; REGEXEXTRACT(C5968, ""🏘️ \w+ \w+ (.*) ✅"") ,  if(H5968=""quartier"",vlookup(REGEXEXTRACT(C5968, ""🏘️ \w+ \w+ (.*) ✅""),'Quartier prepositio"&amp;"ns'!A:E, 5, 0) ,  if(H5968=""region"",vlookup(REGEXEXTRACT(C5968, ""🏘️ \w+ \w+ (.*) ✅""),'Region prepositions'!B:F, 5, 0),  REGEXEXTRACT(C5968, ""🏘️ \w+ \w+ (.*) ✅""))))"),"#N/A")</f>
        <v>#N/A</v>
      </c>
      <c r="I5968" s="4" t="str">
        <f>IFERROR(__xludf.DUMMYFUNCTION("if(D5968=""variant"",  substitute(filter(Templates!E:E, Templates!A:A = F5968, Templates!B:B = G5968, Templates!C:C = H5968), ""{{}}"", E5968), B5968)"),"Vendre maison Chandon: Trouvez le bien immobilier qui correspond idéalement à vos désirs sur ImmoScout24 - La plateforme de l'immobilier en Suisse.")</f>
        <v>Vendre maison Chandon: Trouvez le bien immobilier qui correspond idéalement à vos désirs sur ImmoScout24 - La plateforme de l'immobilier en Suisse.</v>
      </c>
    </row>
    <row r="5969" hidden="1">
      <c r="A5969" s="5" t="s">
        <v>15034</v>
      </c>
      <c r="B5969" s="2" t="s">
        <v>15035</v>
      </c>
      <c r="C5969" s="2" t="s">
        <v>15035</v>
      </c>
      <c r="D5969" s="4" t="str">
        <f>vlookup(A5969, Sheet2!D:E, 2, 0)</f>
        <v>control</v>
      </c>
      <c r="E5969" s="4" t="str">
        <f>IFERROR(__xludf.DUMMYFUNCTION("if(H5969=""pays"",vlookup(REGEXEXTRACT(C5969, ""🏘️ \w+ \w+ (.*) ✅""),'Country prepositions'!A:B, 2, 0) &amp; "" "" &amp; REGEXEXTRACT(C5969, ""🏘️ \w+ \w+ (.*) ✅"") ,  if(H5969=""quartier"",vlookup(REGEXEXTRACT(C5969, ""🏘️ \w+ \w+ (.*) ✅""),'Quartier prepositio"&amp;"ns'!A:E, 5, 0) ,  if(H5969=""region"",vlookup(REGEXEXTRACT(C5969, ""🏘️ \w+ \w+ (.*) ✅""),'Region prepositions'!B:F, 5, 0),  REGEXEXTRACT(C5969, ""🏘️ \w+ \w+ (.*) ✅""))))"),"#N/A")</f>
        <v>#N/A</v>
      </c>
      <c r="I5969" s="4" t="str">
        <f>IFERROR(__xludf.DUMMYFUNCTION("if(D5969=""variant"",  substitute(filter(Templates!E:E, Templates!A:A = F5969, Templates!B:B = G5969, Templates!C:C = H5969), ""{{}}"", E5969), B5969)"),"Vendre maison Villars-Ste-Croix: Trouvez le bien immobilier qui correspond idéalement à vos désirs sur ImmoScout24 - La plateforme de l'immobilier en Suisse.")</f>
        <v>Vendre maison Villars-Ste-Croix: Trouvez le bien immobilier qui correspond idéalement à vos désirs sur ImmoScout24 - La plateforme de l'immobilier en Suisse.</v>
      </c>
    </row>
    <row r="5970" hidden="1">
      <c r="A5970" s="5" t="s">
        <v>15036</v>
      </c>
      <c r="B5970" s="2" t="s">
        <v>15037</v>
      </c>
      <c r="C5970" s="2" t="s">
        <v>15037</v>
      </c>
      <c r="D5970" s="4" t="str">
        <f>vlookup(A5970, Sheet2!D:E, 2, 0)</f>
        <v>control</v>
      </c>
      <c r="E5970" s="4" t="str">
        <f>IFERROR(__xludf.DUMMYFUNCTION("if(H5970=""pays"",vlookup(REGEXEXTRACT(C5970, ""🏘️ \w+ \w+ (.*) ✅""),'Country prepositions'!A:B, 2, 0) &amp; "" "" &amp; REGEXEXTRACT(C5970, ""🏘️ \w+ \w+ (.*) ✅"") ,  if(H5970=""quartier"",vlookup(REGEXEXTRACT(C5970, ""🏘️ \w+ \w+ (.*) ✅""),'Quartier prepositio"&amp;"ns'!A:E, 5, 0) ,  if(H5970=""region"",vlookup(REGEXEXTRACT(C5970, ""🏘️ \w+ \w+ (.*) ✅""),'Region prepositions'!B:F, 5, 0),  REGEXEXTRACT(C5970, ""🏘️ \w+ \w+ (.*) ✅""))))"),"#N/A")</f>
        <v>#N/A</v>
      </c>
      <c r="I5970" s="4" t="str">
        <f>IFERROR(__xludf.DUMMYFUNCTION("if(D5970=""variant"",  substitute(filter(Templates!E:E, Templates!A:A = F5970, Templates!B:B = G5970, Templates!C:C = H5970), ""{{}}"", E5970), B5970)"),"Louer maison La Tour-de-Peilz: Trouvez le bien immobilier qui correspond idéalement à vos désirs sur ImmoScout24 - La plateforme de l'immobilier en Suisse.")</f>
        <v>Louer maison La Tour-de-Peilz: Trouvez le bien immobilier qui correspond idéalement à vos désirs sur ImmoScout24 - La plateforme de l'immobilier en Suisse.</v>
      </c>
    </row>
    <row r="5971" hidden="1">
      <c r="A5971" s="5" t="s">
        <v>15038</v>
      </c>
      <c r="B5971" s="2" t="s">
        <v>15039</v>
      </c>
      <c r="C5971" s="2" t="s">
        <v>15039</v>
      </c>
      <c r="D5971" s="4" t="str">
        <f>vlookup(A5971, Sheet2!D:E, 2, 0)</f>
        <v>control</v>
      </c>
      <c r="E5971" s="4" t="str">
        <f>IFERROR(__xludf.DUMMYFUNCTION("if(H5971=""pays"",vlookup(REGEXEXTRACT(C5971, ""🏘️ \w+ \w+ (.*) ✅""),'Country prepositions'!A:B, 2, 0) &amp; "" "" &amp; REGEXEXTRACT(C5971, ""🏘️ \w+ \w+ (.*) ✅"") ,  if(H5971=""quartier"",vlookup(REGEXEXTRACT(C5971, ""🏘️ \w+ \w+ (.*) ✅""),'Quartier prepositio"&amp;"ns'!A:E, 5, 0) ,  if(H5971=""region"",vlookup(REGEXEXTRACT(C5971, ""🏘️ \w+ \w+ (.*) ✅""),'Region prepositions'!B:F, 5, 0),  REGEXEXTRACT(C5971, ""🏘️ \w+ \w+ (.*) ✅""))))"),"#N/A")</f>
        <v>#N/A</v>
      </c>
      <c r="I5971" s="4" t="str">
        <f>IFERROR(__xludf.DUMMYFUNCTION("if(D5971=""variant"",  substitute(filter(Templates!E:E, Templates!A:A = F5971, Templates!B:B = G5971, Templates!C:C = H5971), ""{{}}"", E5971), B5971)"),"Louer appartement Daillens: Trouvez le bien immobilier qui correspond idéalement à vos désirs sur ImmoScout24 - La plateforme de l'immobilier en Suisse.")</f>
        <v>Louer appartement Daillens: Trouvez le bien immobilier qui correspond idéalement à vos désirs sur ImmoScout24 - La plateforme de l'immobilier en Suisse.</v>
      </c>
    </row>
    <row r="5972" hidden="1">
      <c r="A5972" s="5" t="s">
        <v>15040</v>
      </c>
      <c r="B5972" s="2" t="s">
        <v>15041</v>
      </c>
      <c r="C5972" s="2" t="s">
        <v>15041</v>
      </c>
      <c r="D5972" s="4" t="str">
        <f>vlookup(A5972, Sheet2!D:E, 2, 0)</f>
        <v>control</v>
      </c>
      <c r="E5972" s="4" t="str">
        <f>IFERROR(__xludf.DUMMYFUNCTION("if(H5972=""pays"",vlookup(REGEXEXTRACT(C5972, ""🏘️ \w+ \w+ (.*) ✅""),'Country prepositions'!A:B, 2, 0) &amp; "" "" &amp; REGEXEXTRACT(C5972, ""🏘️ \w+ \w+ (.*) ✅"") ,  if(H5972=""quartier"",vlookup(REGEXEXTRACT(C5972, ""🏘️ \w+ \w+ (.*) ✅""),'Quartier prepositio"&amp;"ns'!A:E, 5, 0) ,  if(H5972=""region"",vlookup(REGEXEXTRACT(C5972, ""🏘️ \w+ \w+ (.*) ✅""),'Region prepositions'!B:F, 5, 0),  REGEXEXTRACT(C5972, ""🏘️ \w+ \w+ (.*) ✅""))))"),"#N/A")</f>
        <v>#N/A</v>
      </c>
      <c r="I5972" s="4" t="str">
        <f>IFERROR(__xludf.DUMMYFUNCTION("if(D5972=""variant"",  substitute(filter(Templates!E:E, Templates!A:A = F5972, Templates!B:B = G5972, Templates!C:C = H5972), ""{{}}"", E5972), B5972)"),"Louer maison Autafond: Trouvez le bien immobilier qui correspond idéalement à vos désirs sur ImmoScout24 - La plateforme de l'immobilier en Suisse.")</f>
        <v>Louer maison Autafond: Trouvez le bien immobilier qui correspond idéalement à vos désirs sur ImmoScout24 - La plateforme de l'immobilier en Suisse.</v>
      </c>
    </row>
    <row r="5973" hidden="1">
      <c r="A5973" s="5" t="s">
        <v>15042</v>
      </c>
      <c r="B5973" s="2" t="s">
        <v>15043</v>
      </c>
      <c r="C5973" s="2" t="s">
        <v>15043</v>
      </c>
      <c r="D5973" s="4" t="str">
        <f>vlookup(A5973, Sheet2!D:E, 2, 0)</f>
        <v>control</v>
      </c>
      <c r="E5973" s="4" t="str">
        <f>IFERROR(__xludf.DUMMYFUNCTION("if(H5973=""pays"",vlookup(REGEXEXTRACT(C5973, ""🏘️ \w+ \w+ (.*) ✅""),'Country prepositions'!A:B, 2, 0) &amp; "" "" &amp; REGEXEXTRACT(C5973, ""🏘️ \w+ \w+ (.*) ✅"") ,  if(H5973=""quartier"",vlookup(REGEXEXTRACT(C5973, ""🏘️ \w+ \w+ (.*) ✅""),'Quartier prepositio"&amp;"ns'!A:E, 5, 0) ,  if(H5973=""region"",vlookup(REGEXEXTRACT(C5973, ""🏘️ \w+ \w+ (.*) ✅""),'Region prepositions'!B:F, 5, 0),  REGEXEXTRACT(C5973, ""🏘️ \w+ \w+ (.*) ✅""))))"),"#N/A")</f>
        <v>#N/A</v>
      </c>
      <c r="I5973" s="4" t="str">
        <f>IFERROR(__xludf.DUMMYFUNCTION("if(D5973=""variant"",  substitute(filter(Templates!E:E, Templates!A:A = F5973, Templates!B:B = G5973, Templates!C:C = H5973), ""{{}}"", E5973), B5973)"),"Vendre appartement Schwadernau: Trouvez le bien immobilier qui correspond idéalement à vos désirs sur ImmoScout24 - La plateforme de l'immobilier en Suisse.")</f>
        <v>Vendre appartement Schwadernau: Trouvez le bien immobilier qui correspond idéalement à vos désirs sur ImmoScout24 - La plateforme de l'immobilier en Suisse.</v>
      </c>
    </row>
    <row r="5974" hidden="1">
      <c r="A5974" s="5" t="s">
        <v>15044</v>
      </c>
      <c r="B5974" s="2" t="s">
        <v>15045</v>
      </c>
      <c r="C5974" s="2" t="s">
        <v>15045</v>
      </c>
      <c r="D5974" s="4" t="str">
        <f>vlookup(A5974, Sheet2!D:E, 2, 0)</f>
        <v>control</v>
      </c>
      <c r="E5974" s="4" t="str">
        <f>IFERROR(__xludf.DUMMYFUNCTION("if(H5974=""pays"",vlookup(REGEXEXTRACT(C5974, ""🏘️ \w+ \w+ (.*) ✅""),'Country prepositions'!A:B, 2, 0) &amp; "" "" &amp; REGEXEXTRACT(C5974, ""🏘️ \w+ \w+ (.*) ✅"") ,  if(H5974=""quartier"",vlookup(REGEXEXTRACT(C5974, ""🏘️ \w+ \w+ (.*) ✅""),'Quartier prepositio"&amp;"ns'!A:E, 5, 0) ,  if(H5974=""region"",vlookup(REGEXEXTRACT(C5974, ""🏘️ \w+ \w+ (.*) ✅""),'Region prepositions'!B:F, 5, 0),  REGEXEXTRACT(C5974, ""🏘️ \w+ \w+ (.*) ✅""))))"),"#N/A")</f>
        <v>#N/A</v>
      </c>
      <c r="I5974" s="4" t="str">
        <f>IFERROR(__xludf.DUMMYFUNCTION("if(D5974=""variant"",  substitute(filter(Templates!E:E, Templates!A:A = F5974, Templates!B:B = G5974, Templates!C:C = H5974), ""{{}}"", E5974), B5974)"),"Louer maison Vétroz: Trouvez le bien immobilier qui correspond idéalement à vos désirs sur ImmoScout24 - La plateforme de l'immobilier en Suisse.")</f>
        <v>Louer maison Vétroz: Trouvez le bien immobilier qui correspond idéalement à vos désirs sur ImmoScout24 - La plateforme de l'immobilier en Suisse.</v>
      </c>
    </row>
    <row r="5975" hidden="1">
      <c r="A5975" s="5" t="s">
        <v>15046</v>
      </c>
      <c r="B5975" s="2" t="s">
        <v>15047</v>
      </c>
      <c r="C5975" s="2" t="s">
        <v>15047</v>
      </c>
      <c r="D5975" s="4" t="str">
        <f>vlookup(A5975, Sheet2!D:E, 2, 0)</f>
        <v>control</v>
      </c>
      <c r="E5975" s="4" t="str">
        <f>IFERROR(__xludf.DUMMYFUNCTION("if(H5975=""pays"",vlookup(REGEXEXTRACT(C5975, ""🏘️ \w+ \w+ (.*) ✅""),'Country prepositions'!A:B, 2, 0) &amp; "" "" &amp; REGEXEXTRACT(C5975, ""🏘️ \w+ \w+ (.*) ✅"") ,  if(H5975=""quartier"",vlookup(REGEXEXTRACT(C5975, ""🏘️ \w+ \w+ (.*) ✅""),'Quartier prepositio"&amp;"ns'!A:E, 5, 0) ,  if(H5975=""region"",vlookup(REGEXEXTRACT(C5975, ""🏘️ \w+ \w+ (.*) ✅""),'Region prepositions'!B:F, 5, 0),  REGEXEXTRACT(C5975, ""🏘️ \w+ \w+ (.*) ✅""))))"),"#N/A")</f>
        <v>#N/A</v>
      </c>
      <c r="I5975" s="4" t="str">
        <f>IFERROR(__xludf.DUMMYFUNCTION("if(D5975=""variant"",  substitute(filter(Templates!E:E, Templates!A:A = F5975, Templates!B:B = G5975, Templates!C:C = H5975), ""{{}}"", E5975), B5975)"),"Louer maison Bourguillon (Fribourg): Trouvez le bien immobilier qui correspond idéalement à vos désirs sur ImmoScout24 - La plateforme de l'immobilier en Suisse.")</f>
        <v>Louer maison Bourguillon (Fribourg): Trouvez le bien immobilier qui correspond idéalement à vos désirs sur ImmoScout24 - La plateforme de l'immobilier en Suisse.</v>
      </c>
    </row>
    <row r="5976" hidden="1">
      <c r="A5976" s="5" t="s">
        <v>15048</v>
      </c>
      <c r="B5976" s="2" t="s">
        <v>15049</v>
      </c>
      <c r="C5976" s="2" t="s">
        <v>15049</v>
      </c>
      <c r="D5976" s="4" t="str">
        <f>vlookup(A5976, Sheet2!D:E, 2, 0)</f>
        <v>control</v>
      </c>
      <c r="E5976" s="4" t="str">
        <f>IFERROR(__xludf.DUMMYFUNCTION("if(H5976=""pays"",vlookup(REGEXEXTRACT(C5976, ""🏘️ \w+ \w+ (.*) ✅""),'Country prepositions'!A:B, 2, 0) &amp; "" "" &amp; REGEXEXTRACT(C5976, ""🏘️ \w+ \w+ (.*) ✅"") ,  if(H5976=""quartier"",vlookup(REGEXEXTRACT(C5976, ""🏘️ \w+ \w+ (.*) ✅""),'Quartier prepositio"&amp;"ns'!A:E, 5, 0) ,  if(H5976=""region"",vlookup(REGEXEXTRACT(C5976, ""🏘️ \w+ \w+ (.*) ✅""),'Region prepositions'!B:F, 5, 0),  REGEXEXTRACT(C5976, ""🏘️ \w+ \w+ (.*) ✅""))))"),"#N/A")</f>
        <v>#N/A</v>
      </c>
      <c r="I5976" s="4" t="str">
        <f>IFERROR(__xludf.DUMMYFUNCTION("if(D5976=""variant"",  substitute(filter(Templates!E:E, Templates!A:A = F5976, Templates!B:B = G5976, Templates!C:C = H5976), ""{{}}"", E5976), B5976)"),"Louer appartement Hochdorf: Trouvez le bien immobilier qui correspond idéalement à vos désirs sur ImmoScout24 - La plateforme de l'immobilier en Suisse.")</f>
        <v>Louer appartement Hochdorf: Trouvez le bien immobilier qui correspond idéalement à vos désirs sur ImmoScout24 - La plateforme de l'immobilier en Suisse.</v>
      </c>
    </row>
    <row r="5977" hidden="1">
      <c r="A5977" s="5" t="s">
        <v>15050</v>
      </c>
      <c r="B5977" s="2" t="s">
        <v>15051</v>
      </c>
      <c r="C5977" s="2" t="s">
        <v>15051</v>
      </c>
      <c r="D5977" s="4" t="str">
        <f>vlookup(A5977, Sheet2!D:E, 2, 0)</f>
        <v>control</v>
      </c>
      <c r="E5977" s="4" t="str">
        <f>IFERROR(__xludf.DUMMYFUNCTION("if(H5977=""pays"",vlookup(REGEXEXTRACT(C5977, ""🏘️ \w+ \w+ (.*) ✅""),'Country prepositions'!A:B, 2, 0) &amp; "" "" &amp; REGEXEXTRACT(C5977, ""🏘️ \w+ \w+ (.*) ✅"") ,  if(H5977=""quartier"",vlookup(REGEXEXTRACT(C5977, ""🏘️ \w+ \w+ (.*) ✅""),'Quartier prepositio"&amp;"ns'!A:E, 5, 0) ,  if(H5977=""region"",vlookup(REGEXEXTRACT(C5977, ""🏘️ \w+ \w+ (.*) ✅""),'Region prepositions'!B:F, 5, 0),  REGEXEXTRACT(C5977, ""🏘️ \w+ \w+ (.*) ✅""))))"),"#N/A")</f>
        <v>#N/A</v>
      </c>
      <c r="I5977" s="4" t="str">
        <f>IFERROR(__xludf.DUMMYFUNCTION("if(D5977=""variant"",  substitute(filter(Templates!E:E, Templates!A:A = F5977, Templates!B:B = G5977, Templates!C:C = H5977), ""{{}}"", E5977), B5977)"),"Louer appartement Altstadt (Winterthur): Trouvez le bien immobilier qui correspond idéalement à vos désirs sur ImmoScout24 - La plateforme de l'immobilier en Suisse.")</f>
        <v>Louer appartement Altstadt (Winterthur): Trouvez le bien immobilier qui correspond idéalement à vos désirs sur ImmoScout24 - La plateforme de l'immobilier en Suisse.</v>
      </c>
    </row>
    <row r="5978" hidden="1">
      <c r="A5978" s="5" t="s">
        <v>15052</v>
      </c>
      <c r="B5978" s="2" t="s">
        <v>15053</v>
      </c>
      <c r="C5978" s="2" t="s">
        <v>15053</v>
      </c>
      <c r="D5978" s="4" t="str">
        <f>vlookup(A5978, Sheet2!D:E, 2, 0)</f>
        <v>control</v>
      </c>
      <c r="E5978" s="4" t="str">
        <f>IFERROR(__xludf.DUMMYFUNCTION("if(H5978=""pays"",vlookup(REGEXEXTRACT(C5978, ""🏘️ \w+ \w+ (.*) ✅""),'Country prepositions'!A:B, 2, 0) &amp; "" "" &amp; REGEXEXTRACT(C5978, ""🏘️ \w+ \w+ (.*) ✅"") ,  if(H5978=""quartier"",vlookup(REGEXEXTRACT(C5978, ""🏘️ \w+ \w+ (.*) ✅""),'Quartier prepositio"&amp;"ns'!A:E, 5, 0) ,  if(H5978=""region"",vlookup(REGEXEXTRACT(C5978, ""🏘️ \w+ \w+ (.*) ✅""),'Region prepositions'!B:F, 5, 0),  REGEXEXTRACT(C5978, ""🏘️ \w+ \w+ (.*) ✅""))))"),"#N/A")</f>
        <v>#N/A</v>
      </c>
      <c r="I5978" s="4" t="str">
        <f>IFERROR(__xludf.DUMMYFUNCTION("if(D5978=""variant"",  substitute(filter(Templates!E:E, Templates!A:A = F5978, Templates!B:B = G5978, Templates!C:C = H5978), ""{{}}"", E5978), B5978)"),"Vendre maison Lüscherz: Trouvez le bien immobilier qui correspond idéalement à vos désirs sur ImmoScout24 - La plateforme de l'immobilier en Suisse.")</f>
        <v>Vendre maison Lüscherz: Trouvez le bien immobilier qui correspond idéalement à vos désirs sur ImmoScout24 - La plateforme de l'immobilier en Suisse.</v>
      </c>
    </row>
    <row r="5979" hidden="1">
      <c r="A5979" s="5" t="s">
        <v>15054</v>
      </c>
      <c r="B5979" s="2" t="s">
        <v>15055</v>
      </c>
      <c r="C5979" s="2" t="s">
        <v>15055</v>
      </c>
      <c r="D5979" s="4" t="str">
        <f>vlookup(A5979, Sheet2!D:E, 2, 0)</f>
        <v>control</v>
      </c>
      <c r="E5979" s="4" t="str">
        <f>IFERROR(__xludf.DUMMYFUNCTION("if(H5979=""pays"",vlookup(REGEXEXTRACT(C5979, ""🏘️ \w+ \w+ (.*) ✅""),'Country prepositions'!A:B, 2, 0) &amp; "" "" &amp; REGEXEXTRACT(C5979, ""🏘️ \w+ \w+ (.*) ✅"") ,  if(H5979=""quartier"",vlookup(REGEXEXTRACT(C5979, ""🏘️ \w+ \w+ (.*) ✅""),'Quartier prepositio"&amp;"ns'!A:E, 5, 0) ,  if(H5979=""region"",vlookup(REGEXEXTRACT(C5979, ""🏘️ \w+ \w+ (.*) ✅""),'Region prepositions'!B:F, 5, 0),  REGEXEXTRACT(C5979, ""🏘️ \w+ \w+ (.*) ✅""))))"),"#N/A")</f>
        <v>#N/A</v>
      </c>
      <c r="I5979" s="4" t="str">
        <f>IFERROR(__xludf.DUMMYFUNCTION("if(D5979=""variant"",  substitute(filter(Templates!E:E, Templates!A:A = F5979, Templates!B:B = G5979, Templates!C:C = H5979), ""{{}}"", E5979), B5979)"),"Louer appartement Zurich et environs: Trouvez le bien immobilier qui correspond idéalement à vos désirs sur ImmoScout24 - La plateforme de l'immobilier en Suisse.")</f>
        <v>Louer appartement Zurich et environs: Trouvez le bien immobilier qui correspond idéalement à vos désirs sur ImmoScout24 - La plateforme de l'immobilier en Suisse.</v>
      </c>
    </row>
    <row r="5980" hidden="1">
      <c r="A5980" s="5" t="s">
        <v>15056</v>
      </c>
      <c r="B5980" s="2" t="s">
        <v>15057</v>
      </c>
      <c r="C5980" s="2" t="s">
        <v>15057</v>
      </c>
      <c r="D5980" s="4" t="str">
        <f>vlookup(A5980, Sheet2!D:E, 2, 0)</f>
        <v>control</v>
      </c>
      <c r="E5980" s="4" t="str">
        <f>IFERROR(__xludf.DUMMYFUNCTION("if(H5980=""pays"",vlookup(REGEXEXTRACT(C5980, ""🏘️ \w+ \w+ (.*) ✅""),'Country prepositions'!A:B, 2, 0) &amp; "" "" &amp; REGEXEXTRACT(C5980, ""🏘️ \w+ \w+ (.*) ✅"") ,  if(H5980=""quartier"",vlookup(REGEXEXTRACT(C5980, ""🏘️ \w+ \w+ (.*) ✅""),'Quartier prepositio"&amp;"ns'!A:E, 5, 0) ,  if(H5980=""region"",vlookup(REGEXEXTRACT(C5980, ""🏘️ \w+ \w+ (.*) ✅""),'Region prepositions'!B:F, 5, 0),  REGEXEXTRACT(C5980, ""🏘️ \w+ \w+ (.*) ✅""))))"),"#N/A")</f>
        <v>#N/A</v>
      </c>
      <c r="I5980" s="4" t="str">
        <f>IFERROR(__xludf.DUMMYFUNCTION("if(D5980=""variant"",  substitute(filter(Templates!E:E, Templates!A:A = F5980, Templates!B:B = G5980, Templates!C:C = H5980), ""{{}}"", E5980), B5980)"),"Louer appartement Bâle-Ville: Trouvez le bien immobilier qui correspond idéalement à vos désirs sur ImmoScout24 - La plateforme de l'immobilier en Suisse.")</f>
        <v>Louer appartement Bâle-Ville: Trouvez le bien immobilier qui correspond idéalement à vos désirs sur ImmoScout24 - La plateforme de l'immobilier en Suisse.</v>
      </c>
    </row>
    <row r="5981" hidden="1">
      <c r="A5981" s="5" t="s">
        <v>15058</v>
      </c>
      <c r="B5981" s="2" t="s">
        <v>15059</v>
      </c>
      <c r="C5981" s="2" t="s">
        <v>15059</v>
      </c>
      <c r="D5981" s="4" t="str">
        <f>vlookup(A5981, Sheet2!D:E, 2, 0)</f>
        <v>control</v>
      </c>
      <c r="E5981" s="4" t="str">
        <f>IFERROR(__xludf.DUMMYFUNCTION("if(H5981=""pays"",vlookup(REGEXEXTRACT(C5981, ""🏘️ \w+ \w+ (.*) ✅""),'Country prepositions'!A:B, 2, 0) &amp; "" "" &amp; REGEXEXTRACT(C5981, ""🏘️ \w+ \w+ (.*) ✅"") ,  if(H5981=""quartier"",vlookup(REGEXEXTRACT(C5981, ""🏘️ \w+ \w+ (.*) ✅""),'Quartier prepositio"&amp;"ns'!A:E, 5, 0) ,  if(H5981=""region"",vlookup(REGEXEXTRACT(C5981, ""🏘️ \w+ \w+ (.*) ✅""),'Region prepositions'!B:F, 5, 0),  REGEXEXTRACT(C5981, ""🏘️ \w+ \w+ (.*) ✅""))))"),"#N/A")</f>
        <v>#N/A</v>
      </c>
      <c r="I5981" s="4" t="str">
        <f>IFERROR(__xludf.DUMMYFUNCTION("if(D5981=""variant"",  substitute(filter(Templates!E:E, Templates!A:A = F5981, Templates!B:B = G5981, Templates!C:C = H5981), ""{{}}"", E5981), B5981)"),"Vendre maison Bonfol: Trouvez le bien immobilier qui correspond idéalement à vos désirs sur ImmoScout24 - La plateforme de l'immobilier en Suisse.")</f>
        <v>Vendre maison Bonfol: Trouvez le bien immobilier qui correspond idéalement à vos désirs sur ImmoScout24 - La plateforme de l'immobilier en Suisse.</v>
      </c>
    </row>
    <row r="5982" hidden="1">
      <c r="A5982" s="5" t="s">
        <v>15060</v>
      </c>
      <c r="B5982" s="2" t="s">
        <v>15061</v>
      </c>
      <c r="C5982" s="2" t="s">
        <v>15061</v>
      </c>
      <c r="D5982" s="4" t="str">
        <f>vlookup(A5982, Sheet2!D:E, 2, 0)</f>
        <v>control</v>
      </c>
      <c r="E5982" s="4" t="str">
        <f>IFERROR(__xludf.DUMMYFUNCTION("if(H5982=""pays"",vlookup(REGEXEXTRACT(C5982, ""🏘️ \w+ \w+ (.*) ✅""),'Country prepositions'!A:B, 2, 0) &amp; "" "" &amp; REGEXEXTRACT(C5982, ""🏘️ \w+ \w+ (.*) ✅"") ,  if(H5982=""quartier"",vlookup(REGEXEXTRACT(C5982, ""🏘️ \w+ \w+ (.*) ✅""),'Quartier prepositio"&amp;"ns'!A:E, 5, 0) ,  if(H5982=""region"",vlookup(REGEXEXTRACT(C5982, ""🏘️ \w+ \w+ (.*) ✅""),'Region prepositions'!B:F, 5, 0),  REGEXEXTRACT(C5982, ""🏘️ \w+ \w+ (.*) ✅""))))"),"#N/A")</f>
        <v>#N/A</v>
      </c>
      <c r="I5982" s="4" t="str">
        <f>IFERROR(__xludf.DUMMYFUNCTION("if(D5982=""variant"",  substitute(filter(Templates!E:E, Templates!A:A = F5982, Templates!B:B = G5982, Templates!C:C = H5982), ""{{}}"", E5982), B5982)"),"Louer appartement Cheyres: Trouvez le bien immobilier qui correspond idéalement à vos désirs sur ImmoScout24 - La plateforme de l'immobilier en Suisse.")</f>
        <v>Louer appartement Cheyres: Trouvez le bien immobilier qui correspond idéalement à vos désirs sur ImmoScout24 - La plateforme de l'immobilier en Suisse.</v>
      </c>
    </row>
    <row r="5983" hidden="1">
      <c r="A5983" s="5" t="s">
        <v>15062</v>
      </c>
      <c r="B5983" s="2" t="s">
        <v>15063</v>
      </c>
      <c r="C5983" s="2" t="s">
        <v>15063</v>
      </c>
      <c r="D5983" s="4" t="str">
        <f>vlookup(A5983, Sheet2!D:E, 2, 0)</f>
        <v>control</v>
      </c>
      <c r="E5983" s="4" t="str">
        <f>IFERROR(__xludf.DUMMYFUNCTION("if(H5983=""pays"",vlookup(REGEXEXTRACT(C5983, ""🏘️ \w+ \w+ (.*) ✅""),'Country prepositions'!A:B, 2, 0) &amp; "" "" &amp; REGEXEXTRACT(C5983, ""🏘️ \w+ \w+ (.*) ✅"") ,  if(H5983=""quartier"",vlookup(REGEXEXTRACT(C5983, ""🏘️ \w+ \w+ (.*) ✅""),'Quartier prepositio"&amp;"ns'!A:E, 5, 0) ,  if(H5983=""region"",vlookup(REGEXEXTRACT(C5983, ""🏘️ \w+ \w+ (.*) ✅""),'Region prepositions'!B:F, 5, 0),  REGEXEXTRACT(C5983, ""🏘️ \w+ \w+ (.*) ✅""))))"),"#N/A")</f>
        <v>#N/A</v>
      </c>
      <c r="I5983" s="4" t="str">
        <f>IFERROR(__xludf.DUMMYFUNCTION("if(D5983=""variant"",  substitute(filter(Templates!E:E, Templates!A:A = F5983, Templates!B:B = G5983, Templates!C:C = H5983), ""{{}}"", E5983), B5983)"),"Vendre appartement Mur (Vully) FR: Trouvez le bien immobilier qui correspond idéalement à vos désirs sur ImmoScout24 - La plateforme de l'immobilier en Suisse.")</f>
        <v>Vendre appartement Mur (Vully) FR: Trouvez le bien immobilier qui correspond idéalement à vos désirs sur ImmoScout24 - La plateforme de l'immobilier en Suisse.</v>
      </c>
    </row>
    <row r="5984" hidden="1">
      <c r="A5984" s="5" t="s">
        <v>15064</v>
      </c>
      <c r="B5984" s="2" t="s">
        <v>15065</v>
      </c>
      <c r="C5984" s="2" t="s">
        <v>15065</v>
      </c>
      <c r="D5984" s="4" t="str">
        <f>vlookup(A5984, Sheet2!D:E, 2, 0)</f>
        <v>control</v>
      </c>
      <c r="E5984" s="4" t="str">
        <f>IFERROR(__xludf.DUMMYFUNCTION("if(H5984=""pays"",vlookup(REGEXEXTRACT(C5984, ""🏘️ \w+ \w+ (.*) ✅""),'Country prepositions'!A:B, 2, 0) &amp; "" "" &amp; REGEXEXTRACT(C5984, ""🏘️ \w+ \w+ (.*) ✅"") ,  if(H5984=""quartier"",vlookup(REGEXEXTRACT(C5984, ""🏘️ \w+ \w+ (.*) ✅""),'Quartier prepositio"&amp;"ns'!A:E, 5, 0) ,  if(H5984=""region"",vlookup(REGEXEXTRACT(C5984, ""🏘️ \w+ \w+ (.*) ✅""),'Region prepositions'!B:F, 5, 0),  REGEXEXTRACT(C5984, ""🏘️ \w+ \w+ (.*) ✅""))))"),"#N/A")</f>
        <v>#N/A</v>
      </c>
      <c r="I5984" s="4" t="str">
        <f>IFERROR(__xludf.DUMMYFUNCTION("if(D5984=""variant"",  substitute(filter(Templates!E:E, Templates!A:A = F5984, Templates!B:B = G5984, Templates!C:C = H5984), ""{{}}"", E5984), B5984)"),"Vendre maison Bovernier: Trouvez le bien immobilier qui correspond idéalement à vos désirs sur ImmoScout24 - La plateforme de l'immobilier en Suisse.")</f>
        <v>Vendre maison Bovernier: Trouvez le bien immobilier qui correspond idéalement à vos désirs sur ImmoScout24 - La plateforme de l'immobilier en Suisse.</v>
      </c>
    </row>
    <row r="5985" hidden="1">
      <c r="A5985" s="5" t="s">
        <v>15066</v>
      </c>
      <c r="B5985" s="2" t="s">
        <v>15067</v>
      </c>
      <c r="C5985" s="2" t="s">
        <v>15067</v>
      </c>
      <c r="D5985" s="4" t="str">
        <f>vlookup(A5985, Sheet2!D:E, 2, 0)</f>
        <v>control</v>
      </c>
      <c r="E5985" s="4" t="str">
        <f>IFERROR(__xludf.DUMMYFUNCTION("if(H5985=""pays"",vlookup(REGEXEXTRACT(C5985, ""🏘️ \w+ \w+ (.*) ✅""),'Country prepositions'!A:B, 2, 0) &amp; "" "" &amp; REGEXEXTRACT(C5985, ""🏘️ \w+ \w+ (.*) ✅"") ,  if(H5985=""quartier"",vlookup(REGEXEXTRACT(C5985, ""🏘️ \w+ \w+ (.*) ✅""),'Quartier prepositio"&amp;"ns'!A:E, 5, 0) ,  if(H5985=""region"",vlookup(REGEXEXTRACT(C5985, ""🏘️ \w+ \w+ (.*) ✅""),'Region prepositions'!B:F, 5, 0),  REGEXEXTRACT(C5985, ""🏘️ \w+ \w+ (.*) ✅""))))"),"#N/A")</f>
        <v>#N/A</v>
      </c>
      <c r="I5985" s="4" t="str">
        <f>IFERROR(__xludf.DUMMYFUNCTION("if(D5985=""variant"",  substitute(filter(Templates!E:E, Templates!A:A = F5985, Templates!B:B = G5985, Templates!C:C = H5985), ""{{}}"", E5985), B5985)"),"Vendre appartement Lucerne - Lac: Trouvez le bien immobilier qui correspond idéalement à vos désirs sur ImmoScout24 - La plateforme de l'immobilier en Suisse.")</f>
        <v>Vendre appartement Lucerne - Lac: Trouvez le bien immobilier qui correspond idéalement à vos désirs sur ImmoScout24 - La plateforme de l'immobilier en Suisse.</v>
      </c>
    </row>
    <row r="5986" hidden="1">
      <c r="A5986" s="5" t="s">
        <v>15068</v>
      </c>
      <c r="B5986" s="2" t="s">
        <v>15069</v>
      </c>
      <c r="C5986" s="2" t="s">
        <v>15069</v>
      </c>
      <c r="D5986" s="4" t="str">
        <f>vlookup(A5986, Sheet2!D:E, 2, 0)</f>
        <v>control</v>
      </c>
      <c r="E5986" s="4" t="str">
        <f>IFERROR(__xludf.DUMMYFUNCTION("if(H5986=""pays"",vlookup(REGEXEXTRACT(C5986, ""🏘️ \w+ \w+ (.*) ✅""),'Country prepositions'!A:B, 2, 0) &amp; "" "" &amp; REGEXEXTRACT(C5986, ""🏘️ \w+ \w+ (.*) ✅"") ,  if(H5986=""quartier"",vlookup(REGEXEXTRACT(C5986, ""🏘️ \w+ \w+ (.*) ✅""),'Quartier prepositio"&amp;"ns'!A:E, 5, 0) ,  if(H5986=""region"",vlookup(REGEXEXTRACT(C5986, ""🏘️ \w+ \w+ (.*) ✅""),'Region prepositions'!B:F, 5, 0),  REGEXEXTRACT(C5986, ""🏘️ \w+ \w+ (.*) ✅""))))"),"#N/A")</f>
        <v>#N/A</v>
      </c>
      <c r="I5986" s="4" t="str">
        <f>IFERROR(__xludf.DUMMYFUNCTION("if(D5986=""variant"",  substitute(filter(Templates!E:E, Templates!A:A = F5986, Templates!B:B = G5986, Templates!C:C = H5986), ""{{}}"", E5986), B5986)"),"Vendre appartement Martigny-Croix: Trouvez le bien immobilier qui correspond idéalement à vos désirs sur ImmoScout24 - La plateforme de l'immobilier en Suisse.")</f>
        <v>Vendre appartement Martigny-Croix: Trouvez le bien immobilier qui correspond idéalement à vos désirs sur ImmoScout24 - La plateforme de l'immobilier en Suisse.</v>
      </c>
    </row>
    <row r="5987" hidden="1">
      <c r="A5987" s="5" t="s">
        <v>15070</v>
      </c>
      <c r="B5987" s="2" t="s">
        <v>15071</v>
      </c>
      <c r="C5987" s="2" t="s">
        <v>15071</v>
      </c>
      <c r="D5987" s="4" t="str">
        <f>vlookup(A5987, Sheet2!D:E, 2, 0)</f>
        <v>control</v>
      </c>
      <c r="E5987" s="4" t="str">
        <f>IFERROR(__xludf.DUMMYFUNCTION("if(H5987=""pays"",vlookup(REGEXEXTRACT(C5987, ""🏘️ \w+ \w+ (.*) ✅""),'Country prepositions'!A:B, 2, 0) &amp; "" "" &amp; REGEXEXTRACT(C5987, ""🏘️ \w+ \w+ (.*) ✅"") ,  if(H5987=""quartier"",vlookup(REGEXEXTRACT(C5987, ""🏘️ \w+ \w+ (.*) ✅""),'Quartier prepositio"&amp;"ns'!A:E, 5, 0) ,  if(H5987=""region"",vlookup(REGEXEXTRACT(C5987, ""🏘️ \w+ \w+ (.*) ✅""),'Region prepositions'!B:F, 5, 0),  REGEXEXTRACT(C5987, ""🏘️ \w+ \w+ (.*) ✅""))))"),"#N/A")</f>
        <v>#N/A</v>
      </c>
      <c r="I5987" s="4" t="str">
        <f>IFERROR(__xludf.DUMMYFUNCTION("if(D5987=""variant"",  substitute(filter(Templates!E:E, Templates!A:A = F5987, Templates!B:B = G5987, Templates!C:C = H5987), ""{{}}"", E5987), B5987)"),"Vendre maison Champsec: Trouvez le bien immobilier qui correspond idéalement à vos désirs sur ImmoScout24 - La plateforme de l'immobilier en Suisse.")</f>
        <v>Vendre maison Champsec: Trouvez le bien immobilier qui correspond idéalement à vos désirs sur ImmoScout24 - La plateforme de l'immobilier en Suisse.</v>
      </c>
    </row>
    <row r="5988" hidden="1">
      <c r="A5988" s="5" t="s">
        <v>15072</v>
      </c>
      <c r="B5988" s="2" t="s">
        <v>15073</v>
      </c>
      <c r="C5988" s="2" t="s">
        <v>15073</v>
      </c>
      <c r="D5988" s="4" t="str">
        <f>vlookup(A5988, Sheet2!D:E, 2, 0)</f>
        <v>control</v>
      </c>
      <c r="E5988" s="4" t="str">
        <f>IFERROR(__xludf.DUMMYFUNCTION("if(H5988=""pays"",vlookup(REGEXEXTRACT(C5988, ""🏘️ \w+ \w+ (.*) ✅""),'Country prepositions'!A:B, 2, 0) &amp; "" "" &amp; REGEXEXTRACT(C5988, ""🏘️ \w+ \w+ (.*) ✅"") ,  if(H5988=""quartier"",vlookup(REGEXEXTRACT(C5988, ""🏘️ \w+ \w+ (.*) ✅""),'Quartier prepositio"&amp;"ns'!A:E, 5, 0) ,  if(H5988=""region"",vlookup(REGEXEXTRACT(C5988, ""🏘️ \w+ \w+ (.*) ✅""),'Region prepositions'!B:F, 5, 0),  REGEXEXTRACT(C5988, ""🏘️ \w+ \w+ (.*) ✅""))))"),"#N/A")</f>
        <v>#N/A</v>
      </c>
      <c r="I5988" s="4" t="str">
        <f>IFERROR(__xludf.DUMMYFUNCTION("if(D5988=""variant"",  substitute(filter(Templates!E:E, Templates!A:A = F5988, Templates!B:B = G5988, Templates!C:C = H5988), ""{{}}"", E5988), B5988)"),"Vendre maison Ponte Tresa: Trouvez le bien immobilier qui correspond idéalement à vos désirs sur ImmoScout24 - La plateforme de l'immobilier en Suisse.")</f>
        <v>Vendre maison Ponte Tresa: Trouvez le bien immobilier qui correspond idéalement à vos désirs sur ImmoScout24 - La plateforme de l'immobilier en Suisse.</v>
      </c>
    </row>
    <row r="5989" hidden="1">
      <c r="A5989" s="5" t="s">
        <v>15074</v>
      </c>
      <c r="B5989" s="2" t="s">
        <v>15075</v>
      </c>
      <c r="C5989" s="2" t="s">
        <v>15075</v>
      </c>
      <c r="D5989" s="4" t="str">
        <f>vlookup(A5989, Sheet2!D:E, 2, 0)</f>
        <v>control</v>
      </c>
      <c r="E5989" s="4" t="str">
        <f>IFERROR(__xludf.DUMMYFUNCTION("if(H5989=""pays"",vlookup(REGEXEXTRACT(C5989, ""🏘️ \w+ \w+ (.*) ✅""),'Country prepositions'!A:B, 2, 0) &amp; "" "" &amp; REGEXEXTRACT(C5989, ""🏘️ \w+ \w+ (.*) ✅"") ,  if(H5989=""quartier"",vlookup(REGEXEXTRACT(C5989, ""🏘️ \w+ \w+ (.*) ✅""),'Quartier prepositio"&amp;"ns'!A:E, 5, 0) ,  if(H5989=""region"",vlookup(REGEXEXTRACT(C5989, ""🏘️ \w+ \w+ (.*) ✅""),'Region prepositions'!B:F, 5, 0),  REGEXEXTRACT(C5989, ""🏘️ \w+ \w+ (.*) ✅""))))"),"#N/A")</f>
        <v>#N/A</v>
      </c>
      <c r="I5989" s="4" t="str">
        <f>IFERROR(__xludf.DUMMYFUNCTION("if(D5989=""variant"",  substitute(filter(Templates!E:E, Templates!A:A = F5989, Templates!B:B = G5989, Templates!C:C = H5989), ""{{}}"", E5989), B5989)"),"Vendre appartement Regensdorf: Trouvez le bien immobilier qui correspond idéalement à vos désirs sur ImmoScout24 - La plateforme de l'immobilier en Suisse.")</f>
        <v>Vendre appartement Regensdorf: Trouvez le bien immobilier qui correspond idéalement à vos désirs sur ImmoScout24 - La plateforme de l'immobilier en Suisse.</v>
      </c>
    </row>
    <row r="5990" hidden="1">
      <c r="A5990" s="5" t="s">
        <v>15076</v>
      </c>
      <c r="B5990" s="2" t="s">
        <v>15077</v>
      </c>
      <c r="C5990" s="2" t="s">
        <v>15077</v>
      </c>
      <c r="D5990" s="4" t="str">
        <f>vlookup(A5990, Sheet2!D:E, 2, 0)</f>
        <v>control</v>
      </c>
      <c r="E5990" s="4" t="str">
        <f>IFERROR(__xludf.DUMMYFUNCTION("if(H5990=""pays"",vlookup(REGEXEXTRACT(C5990, ""🏘️ \w+ \w+ (.*) ✅""),'Country prepositions'!A:B, 2, 0) &amp; "" "" &amp; REGEXEXTRACT(C5990, ""🏘️ \w+ \w+ (.*) ✅"") ,  if(H5990=""quartier"",vlookup(REGEXEXTRACT(C5990, ""🏘️ \w+ \w+ (.*) ✅""),'Quartier prepositio"&amp;"ns'!A:E, 5, 0) ,  if(H5990=""region"",vlookup(REGEXEXTRACT(C5990, ""🏘️ \w+ \w+ (.*) ✅""),'Region prepositions'!B:F, 5, 0),  REGEXEXTRACT(C5990, ""🏘️ \w+ \w+ (.*) ✅""))))"),"#N/A")</f>
        <v>#N/A</v>
      </c>
      <c r="I5990" s="4" t="str">
        <f>IFERROR(__xludf.DUMMYFUNCTION("if(D5990=""variant"",  substitute(filter(Templates!E:E, Templates!A:A = F5990, Templates!B:B = G5990, Templates!C:C = H5990), ""{{}}"", E5990), B5990)"),"Vendre appartement Les Collons: Trouvez le bien immobilier qui correspond idéalement à vos désirs sur ImmoScout24 - La plateforme de l'immobilier en Suisse.")</f>
        <v>Vendre appartement Les Collons: Trouvez le bien immobilier qui correspond idéalement à vos désirs sur ImmoScout24 - La plateforme de l'immobilier en Suisse.</v>
      </c>
    </row>
    <row r="5991" hidden="1">
      <c r="A5991" s="5" t="s">
        <v>15078</v>
      </c>
      <c r="B5991" s="2" t="s">
        <v>15079</v>
      </c>
      <c r="C5991" s="2" t="s">
        <v>15079</v>
      </c>
      <c r="D5991" s="4" t="str">
        <f>vlookup(A5991, Sheet2!D:E, 2, 0)</f>
        <v>control</v>
      </c>
      <c r="E5991" s="4" t="str">
        <f>IFERROR(__xludf.DUMMYFUNCTION("if(H5991=""pays"",vlookup(REGEXEXTRACT(C5991, ""🏘️ \w+ \w+ (.*) ✅""),'Country prepositions'!A:B, 2, 0) &amp; "" "" &amp; REGEXEXTRACT(C5991, ""🏘️ \w+ \w+ (.*) ✅"") ,  if(H5991=""quartier"",vlookup(REGEXEXTRACT(C5991, ""🏘️ \w+ \w+ (.*) ✅""),'Quartier prepositio"&amp;"ns'!A:E, 5, 0) ,  if(H5991=""region"",vlookup(REGEXEXTRACT(C5991, ""🏘️ \w+ \w+ (.*) ✅""),'Region prepositions'!B:F, 5, 0),  REGEXEXTRACT(C5991, ""🏘️ \w+ \w+ (.*) ✅""))))"),"#N/A")</f>
        <v>#N/A</v>
      </c>
      <c r="I5991" s="4" t="str">
        <f>IFERROR(__xludf.DUMMYFUNCTION("if(D5991=""variant"",  substitute(filter(Templates!E:E, Templates!A:A = F5991, Templates!B:B = G5991, Templates!C:C = H5991), ""{{}}"", E5991), B5991)"),"Louer maison Jouxtens-Mézery: Trouvez le bien immobilier qui correspond idéalement à vos désirs sur ImmoScout24 - La plateforme de l'immobilier en Suisse.")</f>
        <v>Louer maison Jouxtens-Mézery: Trouvez le bien immobilier qui correspond idéalement à vos désirs sur ImmoScout24 - La plateforme de l'immobilier en Suisse.</v>
      </c>
    </row>
    <row r="5992" hidden="1">
      <c r="A5992" s="5" t="s">
        <v>15080</v>
      </c>
      <c r="B5992" s="2" t="s">
        <v>15081</v>
      </c>
      <c r="C5992" s="2" t="s">
        <v>15081</v>
      </c>
      <c r="D5992" s="4" t="str">
        <f>vlookup(A5992, Sheet2!D:E, 2, 0)</f>
        <v>control</v>
      </c>
      <c r="E5992" s="4" t="str">
        <f>IFERROR(__xludf.DUMMYFUNCTION("if(H5992=""pays"",vlookup(REGEXEXTRACT(C5992, ""🏘️ \w+ \w+ (.*) ✅""),'Country prepositions'!A:B, 2, 0) &amp; "" "" &amp; REGEXEXTRACT(C5992, ""🏘️ \w+ \w+ (.*) ✅"") ,  if(H5992=""quartier"",vlookup(REGEXEXTRACT(C5992, ""🏘️ \w+ \w+ (.*) ✅""),'Quartier prepositio"&amp;"ns'!A:E, 5, 0) ,  if(H5992=""region"",vlookup(REGEXEXTRACT(C5992, ""🏘️ \w+ \w+ (.*) ✅""),'Region prepositions'!B:F, 5, 0),  REGEXEXTRACT(C5992, ""🏘️ \w+ \w+ (.*) ✅""))))"),"#N/A")</f>
        <v>#N/A</v>
      </c>
      <c r="I5992" s="4" t="str">
        <f>IFERROR(__xludf.DUMMYFUNCTION("if(D5992=""variant"",  substitute(filter(Templates!E:E, Templates!A:A = F5992, Templates!B:B = G5992, Templates!C:C = H5992), ""{{}}"", E5992), B5992)"),"Louer appartement Barberêche: Trouvez le bien immobilier qui correspond idéalement à vos désirs sur ImmoScout24 - La plateforme de l'immobilier en Suisse.")</f>
        <v>Louer appartement Barberêche: Trouvez le bien immobilier qui correspond idéalement à vos désirs sur ImmoScout24 - La plateforme de l'immobilier en Suisse.</v>
      </c>
    </row>
    <row r="5993" hidden="1">
      <c r="A5993" s="5" t="s">
        <v>15082</v>
      </c>
      <c r="B5993" s="2" t="s">
        <v>15083</v>
      </c>
      <c r="C5993" s="2" t="s">
        <v>15083</v>
      </c>
      <c r="D5993" s="4" t="str">
        <f>vlookup(A5993, Sheet2!D:E, 2, 0)</f>
        <v>control</v>
      </c>
      <c r="E5993" s="4" t="str">
        <f>IFERROR(__xludf.DUMMYFUNCTION("if(H5993=""pays"",vlookup(REGEXEXTRACT(C5993, ""🏘️ \w+ \w+ (.*) ✅""),'Country prepositions'!A:B, 2, 0) &amp; "" "" &amp; REGEXEXTRACT(C5993, ""🏘️ \w+ \w+ (.*) ✅"") ,  if(H5993=""quartier"",vlookup(REGEXEXTRACT(C5993, ""🏘️ \w+ \w+ (.*) ✅""),'Quartier prepositio"&amp;"ns'!A:E, 5, 0) ,  if(H5993=""region"",vlookup(REGEXEXTRACT(C5993, ""🏘️ \w+ \w+ (.*) ✅""),'Region prepositions'!B:F, 5, 0),  REGEXEXTRACT(C5993, ""🏘️ \w+ \w+ (.*) ✅""))))"),"#N/A")</f>
        <v>#N/A</v>
      </c>
      <c r="I5993" s="4" t="str">
        <f>IFERROR(__xludf.DUMMYFUNCTION("if(D5993=""variant"",  substitute(filter(Templates!E:E, Templates!A:A = F5993, Templates!B:B = G5993, Templates!C:C = H5993), ""{{}}"", E5993), B5993)"),"Vendre maison Courroux: Trouvez le bien immobilier qui correspond idéalement à vos désirs sur ImmoScout24 - La plateforme de l'immobilier en Suisse.")</f>
        <v>Vendre maison Courroux: Trouvez le bien immobilier qui correspond idéalement à vos désirs sur ImmoScout24 - La plateforme de l'immobilier en Suisse.</v>
      </c>
    </row>
    <row r="5994" hidden="1">
      <c r="A5994" s="5" t="s">
        <v>15084</v>
      </c>
      <c r="B5994" s="2" t="s">
        <v>15085</v>
      </c>
      <c r="C5994" s="2" t="s">
        <v>15085</v>
      </c>
      <c r="D5994" s="4" t="str">
        <f>vlookup(A5994, Sheet2!D:E, 2, 0)</f>
        <v>control</v>
      </c>
      <c r="E5994" s="4" t="str">
        <f>IFERROR(__xludf.DUMMYFUNCTION("if(H5994=""pays"",vlookup(REGEXEXTRACT(C5994, ""🏘️ \w+ \w+ (.*) ✅""),'Country prepositions'!A:B, 2, 0) &amp; "" "" &amp; REGEXEXTRACT(C5994, ""🏘️ \w+ \w+ (.*) ✅"") ,  if(H5994=""quartier"",vlookup(REGEXEXTRACT(C5994, ""🏘️ \w+ \w+ (.*) ✅""),'Quartier prepositio"&amp;"ns'!A:E, 5, 0) ,  if(H5994=""region"",vlookup(REGEXEXTRACT(C5994, ""🏘️ \w+ \w+ (.*) ✅""),'Region prepositions'!B:F, 5, 0),  REGEXEXTRACT(C5994, ""🏘️ \w+ \w+ (.*) ✅""))))"),"#N/A")</f>
        <v>#N/A</v>
      </c>
      <c r="I5994" s="4" t="str">
        <f>IFERROR(__xludf.DUMMYFUNCTION("if(D5994=""variant"",  substitute(filter(Templates!E:E, Templates!A:A = F5994, Templates!B:B = G5994, Templates!C:C = H5994), ""{{}}"", E5994), B5994)"),"Louer appartement Rüegsau: Trouvez le bien immobilier qui correspond idéalement à vos désirs sur ImmoScout24 - La plateforme de l'immobilier en Suisse.")</f>
        <v>Louer appartement Rüegsau: Trouvez le bien immobilier qui correspond idéalement à vos désirs sur ImmoScout24 - La plateforme de l'immobilier en Suisse.</v>
      </c>
    </row>
    <row r="5995" hidden="1">
      <c r="A5995" s="5" t="s">
        <v>15086</v>
      </c>
      <c r="B5995" s="2" t="s">
        <v>15087</v>
      </c>
      <c r="C5995" s="2" t="s">
        <v>15087</v>
      </c>
      <c r="D5995" s="4" t="str">
        <f>vlookup(A5995, Sheet2!D:E, 2, 0)</f>
        <v>control</v>
      </c>
      <c r="E5995" s="4" t="str">
        <f>IFERROR(__xludf.DUMMYFUNCTION("if(H5995=""pays"",vlookup(REGEXEXTRACT(C5995, ""🏘️ \w+ \w+ (.*) ✅""),'Country prepositions'!A:B, 2, 0) &amp; "" "" &amp; REGEXEXTRACT(C5995, ""🏘️ \w+ \w+ (.*) ✅"") ,  if(H5995=""quartier"",vlookup(REGEXEXTRACT(C5995, ""🏘️ \w+ \w+ (.*) ✅""),'Quartier prepositio"&amp;"ns'!A:E, 5, 0) ,  if(H5995=""region"",vlookup(REGEXEXTRACT(C5995, ""🏘️ \w+ \w+ (.*) ✅""),'Region prepositions'!B:F, 5, 0),  REGEXEXTRACT(C5995, ""🏘️ \w+ \w+ (.*) ✅""))))"),"#N/A")</f>
        <v>#N/A</v>
      </c>
      <c r="I5995" s="4" t="str">
        <f>IFERROR(__xludf.DUMMYFUNCTION("if(D5995=""variant"",  substitute(filter(Templates!E:E, Templates!A:A = F5995, Templates!B:B = G5995, Templates!C:C = H5995), ""{{}}"", E5995), B5995)"),"Vendre appartement Saignelégier: Trouvez le bien immobilier qui correspond idéalement à vos désirs sur ImmoScout24 - La plateforme de l'immobilier en Suisse.")</f>
        <v>Vendre appartement Saignelégier: Trouvez le bien immobilier qui correspond idéalement à vos désirs sur ImmoScout24 - La plateforme de l'immobilier en Suisse.</v>
      </c>
    </row>
    <row r="5996" hidden="1">
      <c r="A5996" s="5" t="s">
        <v>15088</v>
      </c>
      <c r="B5996" s="2" t="s">
        <v>15089</v>
      </c>
      <c r="C5996" s="2" t="s">
        <v>15089</v>
      </c>
      <c r="D5996" s="4" t="str">
        <f>vlookup(A5996, Sheet2!D:E, 2, 0)</f>
        <v>control</v>
      </c>
      <c r="E5996" s="4" t="str">
        <f>IFERROR(__xludf.DUMMYFUNCTION("if(H5996=""pays"",vlookup(REGEXEXTRACT(C5996, ""🏘️ \w+ \w+ (.*) ✅""),'Country prepositions'!A:B, 2, 0) &amp; "" "" &amp; REGEXEXTRACT(C5996, ""🏘️ \w+ \w+ (.*) ✅"") ,  if(H5996=""quartier"",vlookup(REGEXEXTRACT(C5996, ""🏘️ \w+ \w+ (.*) ✅""),'Quartier prepositio"&amp;"ns'!A:E, 5, 0) ,  if(H5996=""region"",vlookup(REGEXEXTRACT(C5996, ""🏘️ \w+ \w+ (.*) ✅""),'Region prepositions'!B:F, 5, 0),  REGEXEXTRACT(C5996, ""🏘️ \w+ \w+ (.*) ✅""))))"),"#N/A")</f>
        <v>#N/A</v>
      </c>
      <c r="I5996" s="4" t="str">
        <f>IFERROR(__xludf.DUMMYFUNCTION("if(D5996=""variant"",  substitute(filter(Templates!E:E, Templates!A:A = F5996, Templates!B:B = G5996, Templates!C:C = H5996), ""{{}}"", E5996), B5996)"),"Vendre maison Oensingen: Trouvez le bien immobilier qui correspond idéalement à vos désirs sur ImmoScout24 - La plateforme de l'immobilier en Suisse.")</f>
        <v>Vendre maison Oensingen: Trouvez le bien immobilier qui correspond idéalement à vos désirs sur ImmoScout24 - La plateforme de l'immobilier en Suisse.</v>
      </c>
    </row>
    <row r="5997" hidden="1">
      <c r="A5997" s="5" t="s">
        <v>15090</v>
      </c>
      <c r="B5997" s="2" t="s">
        <v>15091</v>
      </c>
      <c r="C5997" s="2" t="s">
        <v>15091</v>
      </c>
      <c r="D5997" s="4" t="str">
        <f>vlookup(A5997, Sheet2!D:E, 2, 0)</f>
        <v>control</v>
      </c>
      <c r="E5997" s="4" t="str">
        <f>IFERROR(__xludf.DUMMYFUNCTION("if(H5997=""pays"",vlookup(REGEXEXTRACT(C5997, ""🏘️ \w+ \w+ (.*) ✅""),'Country prepositions'!A:B, 2, 0) &amp; "" "" &amp; REGEXEXTRACT(C5997, ""🏘️ \w+ \w+ (.*) ✅"") ,  if(H5997=""quartier"",vlookup(REGEXEXTRACT(C5997, ""🏘️ \w+ \w+ (.*) ✅""),'Quartier prepositio"&amp;"ns'!A:E, 5, 0) ,  if(H5997=""region"",vlookup(REGEXEXTRACT(C5997, ""🏘️ \w+ \w+ (.*) ✅""),'Region prepositions'!B:F, 5, 0),  REGEXEXTRACT(C5997, ""🏘️ \w+ \w+ (.*) ✅""))))"),"#N/A")</f>
        <v>#N/A</v>
      </c>
      <c r="I5997" s="4" t="str">
        <f>IFERROR(__xludf.DUMMYFUNCTION("if(D5997=""variant"",  substitute(filter(Templates!E:E, Templates!A:A = F5997, Templates!B:B = G5997, Templates!C:C = H5997), ""{{}}"", E5997), B5997)"),"Louer appartement Chermignon-d'en-Bas: Trouvez le bien immobilier qui correspond idéalement à vos désirs sur ImmoScout24 - La plateforme de l'immobilier en Suisse.")</f>
        <v>Louer appartement Chermignon-d'en-Bas: Trouvez le bien immobilier qui correspond idéalement à vos désirs sur ImmoScout24 - La plateforme de l'immobilier en Suisse.</v>
      </c>
    </row>
    <row r="5998" hidden="1">
      <c r="A5998" s="5" t="s">
        <v>15092</v>
      </c>
      <c r="B5998" s="2" t="s">
        <v>15093</v>
      </c>
      <c r="C5998" s="2" t="s">
        <v>15093</v>
      </c>
      <c r="D5998" s="4" t="str">
        <f>vlookup(A5998, Sheet2!D:E, 2, 0)</f>
        <v>control</v>
      </c>
      <c r="E5998" s="4" t="str">
        <f>IFERROR(__xludf.DUMMYFUNCTION("if(H5998=""pays"",vlookup(REGEXEXTRACT(C5998, ""🏘️ \w+ \w+ (.*) ✅""),'Country prepositions'!A:B, 2, 0) &amp; "" "" &amp; REGEXEXTRACT(C5998, ""🏘️ \w+ \w+ (.*) ✅"") ,  if(H5998=""quartier"",vlookup(REGEXEXTRACT(C5998, ""🏘️ \w+ \w+ (.*) ✅""),'Quartier prepositio"&amp;"ns'!A:E, 5, 0) ,  if(H5998=""region"",vlookup(REGEXEXTRACT(C5998, ""🏘️ \w+ \w+ (.*) ✅""),'Region prepositions'!B:F, 5, 0),  REGEXEXTRACT(C5998, ""🏘️ \w+ \w+ (.*) ✅""))))"),"#N/A")</f>
        <v>#N/A</v>
      </c>
      <c r="I5998" s="4" t="str">
        <f>IFERROR(__xludf.DUMMYFUNCTION("if(D5998=""variant"",  substitute(filter(Templates!E:E, Templates!A:A = F5998, Templates!B:B = G5998, Templates!C:C = H5998), ""{{}}"", E5998), B5998)"),"Vendre appartement Forel (Lavaux): Trouvez le bien immobilier qui correspond idéalement à vos désirs sur ImmoScout24 - La plateforme de l'immobilier en Suisse.")</f>
        <v>Vendre appartement Forel (Lavaux): Trouvez le bien immobilier qui correspond idéalement à vos désirs sur ImmoScout24 - La plateforme de l'immobilier en Suisse.</v>
      </c>
    </row>
    <row r="5999" hidden="1">
      <c r="A5999" s="5" t="s">
        <v>15094</v>
      </c>
      <c r="B5999" s="2" t="s">
        <v>15095</v>
      </c>
      <c r="C5999" s="2" t="s">
        <v>15095</v>
      </c>
      <c r="D5999" s="4" t="str">
        <f>vlookup(A5999, Sheet2!D:E, 2, 0)</f>
        <v>control</v>
      </c>
      <c r="E5999" s="4" t="str">
        <f>IFERROR(__xludf.DUMMYFUNCTION("if(H5999=""pays"",vlookup(REGEXEXTRACT(C5999, ""🏘️ \w+ \w+ (.*) ✅""),'Country prepositions'!A:B, 2, 0) &amp; "" "" &amp; REGEXEXTRACT(C5999, ""🏘️ \w+ \w+ (.*) ✅"") ,  if(H5999=""quartier"",vlookup(REGEXEXTRACT(C5999, ""🏘️ \w+ \w+ (.*) ✅""),'Quartier prepositio"&amp;"ns'!A:E, 5, 0) ,  if(H5999=""region"",vlookup(REGEXEXTRACT(C5999, ""🏘️ \w+ \w+ (.*) ✅""),'Region prepositions'!B:F, 5, 0),  REGEXEXTRACT(C5999, ""🏘️ \w+ \w+ (.*) ✅""))))"),"#N/A")</f>
        <v>#N/A</v>
      </c>
      <c r="I5999" s="4" t="str">
        <f>IFERROR(__xludf.DUMMYFUNCTION("if(D5999=""variant"",  substitute(filter(Templates!E:E, Templates!A:A = F5999, Templates!B:B = G5999, Templates!C:C = H5999), ""{{}}"", E5999), B5999)"),"Vendre maison St-Saphorin-sur-Morges: Trouvez le bien immobilier qui correspond idéalement à vos désirs sur ImmoScout24 - La plateforme de l'immobilier en Suisse.")</f>
        <v>Vendre maison St-Saphorin-sur-Morges: Trouvez le bien immobilier qui correspond idéalement à vos désirs sur ImmoScout24 - La plateforme de l'immobilier en Suisse.</v>
      </c>
    </row>
    <row r="6000" hidden="1">
      <c r="A6000" s="5" t="s">
        <v>15096</v>
      </c>
      <c r="B6000" s="2" t="s">
        <v>15097</v>
      </c>
      <c r="C6000" s="2" t="s">
        <v>15097</v>
      </c>
      <c r="D6000" s="4" t="str">
        <f>vlookup(A6000, Sheet2!D:E, 2, 0)</f>
        <v>control</v>
      </c>
      <c r="E6000" s="4" t="str">
        <f>IFERROR(__xludf.DUMMYFUNCTION("if(H6000=""pays"",vlookup(REGEXEXTRACT(C6000, ""🏘️ \w+ \w+ (.*) ✅""),'Country prepositions'!A:B, 2, 0) &amp; "" "" &amp; REGEXEXTRACT(C6000, ""🏘️ \w+ \w+ (.*) ✅"") ,  if(H6000=""quartier"",vlookup(REGEXEXTRACT(C6000, ""🏘️ \w+ \w+ (.*) ✅""),'Quartier prepositio"&amp;"ns'!A:E, 5, 0) ,  if(H6000=""region"",vlookup(REGEXEXTRACT(C6000, ""🏘️ \w+ \w+ (.*) ✅""),'Region prepositions'!B:F, 5, 0),  REGEXEXTRACT(C6000, ""🏘️ \w+ \w+ (.*) ✅""))))"),"#N/A")</f>
        <v>#N/A</v>
      </c>
      <c r="I6000" s="4" t="str">
        <f>IFERROR(__xludf.DUMMYFUNCTION("if(D6000=""variant"",  substitute(filter(Templates!E:E, Templates!A:A = F6000, Templates!B:B = G6000, Templates!C:C = H6000), ""{{}}"", E6000), B6000)"),"Vendre appartement Serrières (Neuchâtel): Trouvez le bien immobilier qui correspond idéalement à vos désirs sur ImmoScout24 - La plateforme de l'immobilier en Suisse.")</f>
        <v>Vendre appartement Serrières (Neuchâtel): Trouvez le bien immobilier qui correspond idéalement à vos désirs sur ImmoScout24 - La plateforme de l'immobilier en Suisse.</v>
      </c>
    </row>
    <row r="6001" hidden="1">
      <c r="A6001" s="5" t="s">
        <v>15098</v>
      </c>
      <c r="B6001" s="2" t="s">
        <v>15099</v>
      </c>
      <c r="C6001" s="2" t="s">
        <v>15099</v>
      </c>
      <c r="D6001" s="4" t="str">
        <f>vlookup(A6001, Sheet2!D:E, 2, 0)</f>
        <v>control</v>
      </c>
      <c r="E6001" s="4" t="str">
        <f>IFERROR(__xludf.DUMMYFUNCTION("if(H6001=""pays"",vlookup(REGEXEXTRACT(C6001, ""🏘️ \w+ \w+ (.*) ✅""),'Country prepositions'!A:B, 2, 0) &amp; "" "" &amp; REGEXEXTRACT(C6001, ""🏘️ \w+ \w+ (.*) ✅"") ,  if(H6001=""quartier"",vlookup(REGEXEXTRACT(C6001, ""🏘️ \w+ \w+ (.*) ✅""),'Quartier prepositio"&amp;"ns'!A:E, 5, 0) ,  if(H6001=""region"",vlookup(REGEXEXTRACT(C6001, ""🏘️ \w+ \w+ (.*) ✅""),'Region prepositions'!B:F, 5, 0),  REGEXEXTRACT(C6001, ""🏘️ \w+ \w+ (.*) ✅""))))"),"#N/A")</f>
        <v>#N/A</v>
      </c>
      <c r="I6001" s="4" t="str">
        <f>IFERROR(__xludf.DUMMYFUNCTION("if(D6001=""variant"",  substitute(filter(Templates!E:E, Templates!A:A = F6001, Templates!B:B = G6001, Templates!C:C = H6001), ""{{}}"", E6001), B6001)"),"Vendre appartement Wil SG: Trouvez le bien immobilier qui correspond idéalement à vos désirs sur ImmoScout24 - La plateforme de l'immobilier en Suisse.")</f>
        <v>Vendre appartement Wil SG: Trouvez le bien immobilier qui correspond idéalement à vos désirs sur ImmoScout24 - La plateforme de l'immobilier en Suisse.</v>
      </c>
    </row>
    <row r="6002" hidden="1">
      <c r="A6002" s="5" t="s">
        <v>15100</v>
      </c>
      <c r="B6002" s="2" t="s">
        <v>15101</v>
      </c>
      <c r="C6002" s="2" t="s">
        <v>15101</v>
      </c>
      <c r="D6002" s="4" t="str">
        <f>vlookup(A6002, Sheet2!D:E, 2, 0)</f>
        <v>control</v>
      </c>
      <c r="E6002" s="4" t="str">
        <f>IFERROR(__xludf.DUMMYFUNCTION("if(H6002=""pays"",vlookup(REGEXEXTRACT(C6002, ""🏘️ \w+ \w+ (.*) ✅""),'Country prepositions'!A:B, 2, 0) &amp; "" "" &amp; REGEXEXTRACT(C6002, ""🏘️ \w+ \w+ (.*) ✅"") ,  if(H6002=""quartier"",vlookup(REGEXEXTRACT(C6002, ""🏘️ \w+ \w+ (.*) ✅""),'Quartier prepositio"&amp;"ns'!A:E, 5, 0) ,  if(H6002=""region"",vlookup(REGEXEXTRACT(C6002, ""🏘️ \w+ \w+ (.*) ✅""),'Region prepositions'!B:F, 5, 0),  REGEXEXTRACT(C6002, ""🏘️ \w+ \w+ (.*) ✅""))))"),"#N/A")</f>
        <v>#N/A</v>
      </c>
      <c r="I6002" s="4" t="str">
        <f>IFERROR(__xludf.DUMMYFUNCTION("if(D6002=""variant"",  substitute(filter(Templates!E:E, Templates!A:A = F6002, Templates!B:B = G6002, Templates!C:C = H6002), ""{{}}"", E6002), B6002)"),"Louer maison Olten: Trouvez le bien immobilier qui correspond idéalement à vos désirs sur ImmoScout24 - La plateforme de l'immobilier en Suisse.")</f>
        <v>Louer maison Olten: Trouvez le bien immobilier qui correspond idéalement à vos désirs sur ImmoScout24 - La plateforme de l'immobilier en Suisse.</v>
      </c>
    </row>
    <row r="6003" hidden="1">
      <c r="A6003" s="5" t="s">
        <v>15102</v>
      </c>
      <c r="B6003" s="2" t="s">
        <v>15103</v>
      </c>
      <c r="C6003" s="2" t="s">
        <v>15103</v>
      </c>
      <c r="D6003" s="4" t="str">
        <f>vlookup(A6003, Sheet2!D:E, 2, 0)</f>
        <v>control</v>
      </c>
      <c r="E6003" s="4" t="str">
        <f>IFERROR(__xludf.DUMMYFUNCTION("if(H6003=""pays"",vlookup(REGEXEXTRACT(C6003, ""🏘️ \w+ \w+ (.*) ✅""),'Country prepositions'!A:B, 2, 0) &amp; "" "" &amp; REGEXEXTRACT(C6003, ""🏘️ \w+ \w+ (.*) ✅"") ,  if(H6003=""quartier"",vlookup(REGEXEXTRACT(C6003, ""🏘️ \w+ \w+ (.*) ✅""),'Quartier prepositio"&amp;"ns'!A:E, 5, 0) ,  if(H6003=""region"",vlookup(REGEXEXTRACT(C6003, ""🏘️ \w+ \w+ (.*) ✅""),'Region prepositions'!B:F, 5, 0),  REGEXEXTRACT(C6003, ""🏘️ \w+ \w+ (.*) ✅""))))"),"#N/A")</f>
        <v>#N/A</v>
      </c>
      <c r="I6003" s="4" t="str">
        <f>IFERROR(__xludf.DUMMYFUNCTION("if(D6003=""variant"",  substitute(filter(Templates!E:E, Templates!A:A = F6003, Templates!B:B = G6003, Templates!C:C = H6003), ""{{}}"", E6003), B6003)"),"Vendre maison Rolle: Trouvez le bien immobilier qui correspond idéalement à vos désirs sur ImmoScout24 - La plateforme de l'immobilier en Suisse.")</f>
        <v>Vendre maison Rolle: Trouvez le bien immobilier qui correspond idéalement à vos désirs sur ImmoScout24 - La plateforme de l'immobilier en Suisse.</v>
      </c>
    </row>
    <row r="6004" hidden="1">
      <c r="A6004" s="5" t="s">
        <v>15104</v>
      </c>
      <c r="B6004" s="2" t="s">
        <v>15105</v>
      </c>
      <c r="C6004" s="2" t="s">
        <v>15105</v>
      </c>
      <c r="D6004" s="4" t="str">
        <f>vlookup(A6004, Sheet2!D:E, 2, 0)</f>
        <v>control</v>
      </c>
      <c r="E6004" s="4" t="str">
        <f>IFERROR(__xludf.DUMMYFUNCTION("if(H6004=""pays"",vlookup(REGEXEXTRACT(C6004, ""🏘️ \w+ \w+ (.*) ✅""),'Country prepositions'!A:B, 2, 0) &amp; "" "" &amp; REGEXEXTRACT(C6004, ""🏘️ \w+ \w+ (.*) ✅"") ,  if(H6004=""quartier"",vlookup(REGEXEXTRACT(C6004, ""🏘️ \w+ \w+ (.*) ✅""),'Quartier prepositio"&amp;"ns'!A:E, 5, 0) ,  if(H6004=""region"",vlookup(REGEXEXTRACT(C6004, ""🏘️ \w+ \w+ (.*) ✅""),'Region prepositions'!B:F, 5, 0),  REGEXEXTRACT(C6004, ""🏘️ \w+ \w+ (.*) ✅""))))"),"#N/A")</f>
        <v>#N/A</v>
      </c>
      <c r="I6004" s="4" t="str">
        <f>IFERROR(__xludf.DUMMYFUNCTION("if(D6004=""variant"",  substitute(filter(Templates!E:E, Templates!A:A = F6004, Templates!B:B = G6004, Templates!C:C = H6004), ""{{}}"", E6004), B6004)"),"Louer appartement Bulle: Trouvez le bien immobilier qui correspond idéalement à vos désirs sur ImmoScout24 - La plateforme de l'immobilier en Suisse.")</f>
        <v>Louer appartement Bulle: Trouvez le bien immobilier qui correspond idéalement à vos désirs sur ImmoScout24 - La plateforme de l'immobilier en Suisse.</v>
      </c>
    </row>
    <row r="6005" hidden="1">
      <c r="A6005" s="5" t="s">
        <v>15106</v>
      </c>
      <c r="B6005" s="2" t="s">
        <v>15107</v>
      </c>
      <c r="C6005" s="2" t="s">
        <v>15107</v>
      </c>
      <c r="D6005" s="4" t="str">
        <f>vlookup(A6005, Sheet2!D:E, 2, 0)</f>
        <v>control</v>
      </c>
      <c r="E6005" s="4" t="str">
        <f>IFERROR(__xludf.DUMMYFUNCTION("if(H6005=""pays"",vlookup(REGEXEXTRACT(C6005, ""🏘️ \w+ \w+ (.*) ✅""),'Country prepositions'!A:B, 2, 0) &amp; "" "" &amp; REGEXEXTRACT(C6005, ""🏘️ \w+ \w+ (.*) ✅"") ,  if(H6005=""quartier"",vlookup(REGEXEXTRACT(C6005, ""🏘️ \w+ \w+ (.*) ✅""),'Quartier prepositio"&amp;"ns'!A:E, 5, 0) ,  if(H6005=""region"",vlookup(REGEXEXTRACT(C6005, ""🏘️ \w+ \w+ (.*) ✅""),'Region prepositions'!B:F, 5, 0),  REGEXEXTRACT(C6005, ""🏘️ \w+ \w+ (.*) ✅""))))"),"#N/A")</f>
        <v>#N/A</v>
      </c>
      <c r="I6005" s="4" t="str">
        <f>IFERROR(__xludf.DUMMYFUNCTION("if(D6005=""variant"",  substitute(filter(Templates!E:E, Templates!A:A = F6005, Templates!B:B = G6005, Templates!C:C = H6005), ""{{}}"", E6005), B6005)"),"Vendre appartement Payerne: Trouvez le bien immobilier qui correspond idéalement à vos désirs sur ImmoScout24 - La plateforme de l'immobilier en Suisse.")</f>
        <v>Vendre appartement Payerne: Trouvez le bien immobilier qui correspond idéalement à vos désirs sur ImmoScout24 - La plateforme de l'immobilier en Suisse.</v>
      </c>
    </row>
    <row r="6006" hidden="1">
      <c r="A6006" s="5" t="s">
        <v>15108</v>
      </c>
      <c r="B6006" s="2" t="s">
        <v>15109</v>
      </c>
      <c r="C6006" s="2" t="s">
        <v>15109</v>
      </c>
      <c r="D6006" s="4" t="str">
        <f>vlookup(A6006, Sheet2!D:E, 2, 0)</f>
        <v>control</v>
      </c>
      <c r="E6006" s="4" t="str">
        <f>IFERROR(__xludf.DUMMYFUNCTION("if(H6006=""pays"",vlookup(REGEXEXTRACT(C6006, ""🏘️ \w+ \w+ (.*) ✅""),'Country prepositions'!A:B, 2, 0) &amp; "" "" &amp; REGEXEXTRACT(C6006, ""🏘️ \w+ \w+ (.*) ✅"") ,  if(H6006=""quartier"",vlookup(REGEXEXTRACT(C6006, ""🏘️ \w+ \w+ (.*) ✅""),'Quartier prepositio"&amp;"ns'!A:E, 5, 0) ,  if(H6006=""region"",vlookup(REGEXEXTRACT(C6006, ""🏘️ \w+ \w+ (.*) ✅""),'Region prepositions'!B:F, 5, 0),  REGEXEXTRACT(C6006, ""🏘️ \w+ \w+ (.*) ✅""))))"),"#N/A")</f>
        <v>#N/A</v>
      </c>
      <c r="I6006" s="4" t="str">
        <f>IFERROR(__xludf.DUMMYFUNCTION("if(D6006=""variant"",  substitute(filter(Templates!E:E, Templates!A:A = F6006, Templates!B:B = G6006, Templates!C:C = H6006), ""{{}}"", E6006), B6006)"),"Vendre maison Breitfeld (Berne): Trouvez le bien immobilier qui correspond idéalement à vos désirs sur ImmoScout24 - La plateforme de l'immobilier en Suisse.")</f>
        <v>Vendre maison Breitfeld (Berne): Trouvez le bien immobilier qui correspond idéalement à vos désirs sur ImmoScout24 - La plateforme de l'immobilier en Suisse.</v>
      </c>
    </row>
    <row r="6007" hidden="1">
      <c r="A6007" s="5" t="s">
        <v>15110</v>
      </c>
      <c r="B6007" s="2" t="s">
        <v>15111</v>
      </c>
      <c r="C6007" s="2" t="s">
        <v>15111</v>
      </c>
      <c r="D6007" s="4" t="str">
        <f>vlookup(A6007, Sheet2!D:E, 2, 0)</f>
        <v>control</v>
      </c>
      <c r="E6007" s="4" t="str">
        <f>IFERROR(__xludf.DUMMYFUNCTION("if(H6007=""pays"",vlookup(REGEXEXTRACT(C6007, ""🏘️ \w+ \w+ (.*) ✅""),'Country prepositions'!A:B, 2, 0) &amp; "" "" &amp; REGEXEXTRACT(C6007, ""🏘️ \w+ \w+ (.*) ✅"") ,  if(H6007=""quartier"",vlookup(REGEXEXTRACT(C6007, ""🏘️ \w+ \w+ (.*) ✅""),'Quartier prepositio"&amp;"ns'!A:E, 5, 0) ,  if(H6007=""region"",vlookup(REGEXEXTRACT(C6007, ""🏘️ \w+ \w+ (.*) ✅""),'Region prepositions'!B:F, 5, 0),  REGEXEXTRACT(C6007, ""🏘️ \w+ \w+ (.*) ✅""))))"),"#N/A")</f>
        <v>#N/A</v>
      </c>
      <c r="I6007" s="4" t="str">
        <f>IFERROR(__xludf.DUMMYFUNCTION("if(D6007=""variant"",  substitute(filter(Templates!E:E, Templates!A:A = F6007, Templates!B:B = G6007, Templates!C:C = H6007), ""{{}}"", E6007), B6007)"),"Vendre appartement Baden - Brugg - Zurzach: Trouvez le bien immobilier qui correspond idéalement à vos désirs sur ImmoScout24 - La plateforme de l'immobilier en Suisse.")</f>
        <v>Vendre appartement Baden - Brugg - Zurzach: Trouvez le bien immobilier qui correspond idéalement à vos désirs sur ImmoScout24 - La plateforme de l'immobilier en Suisse.</v>
      </c>
    </row>
    <row r="6008" hidden="1">
      <c r="A6008" s="5" t="s">
        <v>15112</v>
      </c>
      <c r="B6008" s="2" t="s">
        <v>15113</v>
      </c>
      <c r="C6008" s="2" t="s">
        <v>15113</v>
      </c>
      <c r="D6008" s="4" t="str">
        <f>vlookup(A6008, Sheet2!D:E, 2, 0)</f>
        <v>control</v>
      </c>
      <c r="E6008" s="4" t="str">
        <f>IFERROR(__xludf.DUMMYFUNCTION("if(H6008=""pays"",vlookup(REGEXEXTRACT(C6008, ""🏘️ \w+ \w+ (.*) ✅""),'Country prepositions'!A:B, 2, 0) &amp; "" "" &amp; REGEXEXTRACT(C6008, ""🏘️ \w+ \w+ (.*) ✅"") ,  if(H6008=""quartier"",vlookup(REGEXEXTRACT(C6008, ""🏘️ \w+ \w+ (.*) ✅""),'Quartier prepositio"&amp;"ns'!A:E, 5, 0) ,  if(H6008=""region"",vlookup(REGEXEXTRACT(C6008, ""🏘️ \w+ \w+ (.*) ✅""),'Region prepositions'!B:F, 5, 0),  REGEXEXTRACT(C6008, ""🏘️ \w+ \w+ (.*) ✅""))))"),"#N/A")</f>
        <v>#N/A</v>
      </c>
      <c r="I6008" s="4" t="str">
        <f>IFERROR(__xludf.DUMMYFUNCTION("if(D6008=""variant"",  substitute(filter(Templates!E:E, Templates!A:A = F6008, Templates!B:B = G6008, Templates!C:C = H6008), ""{{}}"", E6008), B6008)"),"Vendre maison Satigny: Trouvez le bien immobilier qui correspond idéalement à vos désirs sur ImmoScout24 - La plateforme de l'immobilier en Suisse.")</f>
        <v>Vendre maison Satigny: Trouvez le bien immobilier qui correspond idéalement à vos désirs sur ImmoScout24 - La plateforme de l'immobilier en Suisse.</v>
      </c>
    </row>
    <row r="6009" hidden="1">
      <c r="A6009" s="5" t="s">
        <v>15114</v>
      </c>
      <c r="B6009" s="2" t="s">
        <v>15115</v>
      </c>
      <c r="C6009" s="2" t="s">
        <v>15115</v>
      </c>
      <c r="D6009" s="4" t="str">
        <f>vlookup(A6009, Sheet2!D:E, 2, 0)</f>
        <v>control</v>
      </c>
      <c r="E6009" s="4" t="str">
        <f>IFERROR(__xludf.DUMMYFUNCTION("if(H6009=""pays"",vlookup(REGEXEXTRACT(C6009, ""🏘️ \w+ \w+ (.*) ✅""),'Country prepositions'!A:B, 2, 0) &amp; "" "" &amp; REGEXEXTRACT(C6009, ""🏘️ \w+ \w+ (.*) ✅"") ,  if(H6009=""quartier"",vlookup(REGEXEXTRACT(C6009, ""🏘️ \w+ \w+ (.*) ✅""),'Quartier prepositio"&amp;"ns'!A:E, 5, 0) ,  if(H6009=""region"",vlookup(REGEXEXTRACT(C6009, ""🏘️ \w+ \w+ (.*) ✅""),'Region prepositions'!B:F, 5, 0),  REGEXEXTRACT(C6009, ""🏘️ \w+ \w+ (.*) ✅""))))"),"#N/A")</f>
        <v>#N/A</v>
      </c>
      <c r="I6009" s="4" t="str">
        <f>IFERROR(__xludf.DUMMYFUNCTION("if(D6009=""variant"",  substitute(filter(Templates!E:E, Templates!A:A = F6009, Templates!B:B = G6009, Templates!C:C = H6009), ""{{}}"", E6009), B6009)"),"Vendre maison Noflen BE: Trouvez le bien immobilier qui correspond idéalement à vos désirs sur ImmoScout24 - La plateforme de l'immobilier en Suisse.")</f>
        <v>Vendre maison Noflen BE: Trouvez le bien immobilier qui correspond idéalement à vos désirs sur ImmoScout24 - La plateforme de l'immobilier en Suisse.</v>
      </c>
    </row>
    <row r="6010" hidden="1">
      <c r="A6010" s="5" t="s">
        <v>15116</v>
      </c>
      <c r="B6010" s="2" t="s">
        <v>15117</v>
      </c>
      <c r="C6010" s="2" t="s">
        <v>15117</v>
      </c>
      <c r="D6010" s="4" t="str">
        <f>vlookup(A6010, Sheet2!D:E, 2, 0)</f>
        <v>control</v>
      </c>
      <c r="E6010" s="4" t="str">
        <f>IFERROR(__xludf.DUMMYFUNCTION("if(H6010=""pays"",vlookup(REGEXEXTRACT(C6010, ""🏘️ \w+ \w+ (.*) ✅""),'Country prepositions'!A:B, 2, 0) &amp; "" "" &amp; REGEXEXTRACT(C6010, ""🏘️ \w+ \w+ (.*) ✅"") ,  if(H6010=""quartier"",vlookup(REGEXEXTRACT(C6010, ""🏘️ \w+ \w+ (.*) ✅""),'Quartier prepositio"&amp;"ns'!A:E, 5, 0) ,  if(H6010=""region"",vlookup(REGEXEXTRACT(C6010, ""🏘️ \w+ \w+ (.*) ✅""),'Region prepositions'!B:F, 5, 0),  REGEXEXTRACT(C6010, ""🏘️ \w+ \w+ (.*) ✅""))))"),"#N/A")</f>
        <v>#N/A</v>
      </c>
      <c r="I6010" s="4" t="str">
        <f>IFERROR(__xludf.DUMMYFUNCTION("if(D6010=""variant"",  substitute(filter(Templates!E:E, Templates!A:A = F6010, Templates!B:B = G6010, Templates!C:C = H6010), ""{{}}"", E6010), B6010)"),"Vendre appartement Murten: Trouvez le bien immobilier qui correspond idéalement à vos désirs sur ImmoScout24 - La plateforme de l'immobilier en Suisse.")</f>
        <v>Vendre appartement Murten: Trouvez le bien immobilier qui correspond idéalement à vos désirs sur ImmoScout24 - La plateforme de l'immobilier en Suisse.</v>
      </c>
    </row>
    <row r="6011" hidden="1">
      <c r="A6011" s="5" t="s">
        <v>15118</v>
      </c>
      <c r="B6011" s="2" t="s">
        <v>15119</v>
      </c>
      <c r="C6011" s="2" t="s">
        <v>15119</v>
      </c>
      <c r="D6011" s="4" t="str">
        <f>vlookup(A6011, Sheet2!D:E, 2, 0)</f>
        <v>control</v>
      </c>
      <c r="E6011" s="4" t="str">
        <f>IFERROR(__xludf.DUMMYFUNCTION("if(H6011=""pays"",vlookup(REGEXEXTRACT(C6011, ""🏘️ \w+ \w+ (.*) ✅""),'Country prepositions'!A:B, 2, 0) &amp; "" "" &amp; REGEXEXTRACT(C6011, ""🏘️ \w+ \w+ (.*) ✅"") ,  if(H6011=""quartier"",vlookup(REGEXEXTRACT(C6011, ""🏘️ \w+ \w+ (.*) ✅""),'Quartier prepositio"&amp;"ns'!A:E, 5, 0) ,  if(H6011=""region"",vlookup(REGEXEXTRACT(C6011, ""🏘️ \w+ \w+ (.*) ✅""),'Region prepositions'!B:F, 5, 0),  REGEXEXTRACT(C6011, ""🏘️ \w+ \w+ (.*) ✅""))))"),"#N/A")</f>
        <v>#N/A</v>
      </c>
      <c r="I6011" s="4" t="str">
        <f>IFERROR(__xludf.DUMMYFUNCTION("if(D6011=""variant"",  substitute(filter(Templates!E:E, Templates!A:A = F6011, Templates!B:B = G6011, Templates!C:C = H6011), ""{{}}"", E6011), B6011)"),"Louer appartement Täsch: Trouvez le bien immobilier qui correspond idéalement à vos désirs sur ImmoScout24 - La plateforme de l'immobilier en Suisse.")</f>
        <v>Louer appartement Täsch: Trouvez le bien immobilier qui correspond idéalement à vos désirs sur ImmoScout24 - La plateforme de l'immobilier en Suisse.</v>
      </c>
    </row>
    <row r="6012" hidden="1">
      <c r="A6012" s="5" t="s">
        <v>15120</v>
      </c>
      <c r="B6012" s="2" t="s">
        <v>15121</v>
      </c>
      <c r="C6012" s="2" t="s">
        <v>15121</v>
      </c>
      <c r="D6012" s="4" t="str">
        <f>vlookup(A6012, Sheet2!D:E, 2, 0)</f>
        <v>control</v>
      </c>
      <c r="E6012" s="4" t="str">
        <f>IFERROR(__xludf.DUMMYFUNCTION("if(H6012=""pays"",vlookup(REGEXEXTRACT(C6012, ""🏘️ \w+ \w+ (.*) ✅""),'Country prepositions'!A:B, 2, 0) &amp; "" "" &amp; REGEXEXTRACT(C6012, ""🏘️ \w+ \w+ (.*) ✅"") ,  if(H6012=""quartier"",vlookup(REGEXEXTRACT(C6012, ""🏘️ \w+ \w+ (.*) ✅""),'Quartier prepositio"&amp;"ns'!A:E, 5, 0) ,  if(H6012=""region"",vlookup(REGEXEXTRACT(C6012, ""🏘️ \w+ \w+ (.*) ✅""),'Region prepositions'!B:F, 5, 0),  REGEXEXTRACT(C6012, ""🏘️ \w+ \w+ (.*) ✅""))))"),"#N/A")</f>
        <v>#N/A</v>
      </c>
      <c r="I6012" s="4" t="str">
        <f>IFERROR(__xludf.DUMMYFUNCTION("if(D6012=""variant"",  substitute(filter(Templates!E:E, Templates!A:A = F6012, Templates!B:B = G6012, Templates!C:C = H6012), ""{{}}"", E6012), B6012)"),"Louer maison Grandevent: Trouvez le bien immobilier qui correspond idéalement à vos désirs sur ImmoScout24 - La plateforme de l'immobilier en Suisse.")</f>
        <v>Louer maison Grandevent: Trouvez le bien immobilier qui correspond idéalement à vos désirs sur ImmoScout24 - La plateforme de l'immobilier en Suisse.</v>
      </c>
    </row>
    <row r="6013" hidden="1">
      <c r="A6013" s="5" t="s">
        <v>15122</v>
      </c>
      <c r="B6013" s="2" t="s">
        <v>15123</v>
      </c>
      <c r="C6013" s="2" t="s">
        <v>15123</v>
      </c>
      <c r="D6013" s="4" t="str">
        <f>vlookup(A6013, Sheet2!D:E, 2, 0)</f>
        <v>control</v>
      </c>
      <c r="E6013" s="4" t="str">
        <f>IFERROR(__xludf.DUMMYFUNCTION("if(H6013=""pays"",vlookup(REGEXEXTRACT(C6013, ""🏘️ \w+ \w+ (.*) ✅""),'Country prepositions'!A:B, 2, 0) &amp; "" "" &amp; REGEXEXTRACT(C6013, ""🏘️ \w+ \w+ (.*) ✅"") ,  if(H6013=""quartier"",vlookup(REGEXEXTRACT(C6013, ""🏘️ \w+ \w+ (.*) ✅""),'Quartier prepositio"&amp;"ns'!A:E, 5, 0) ,  if(H6013=""region"",vlookup(REGEXEXTRACT(C6013, ""🏘️ \w+ \w+ (.*) ✅""),'Region prepositions'!B:F, 5, 0),  REGEXEXTRACT(C6013, ""🏘️ \w+ \w+ (.*) ✅""))))"),"#N/A")</f>
        <v>#N/A</v>
      </c>
      <c r="I6013" s="4" t="str">
        <f>IFERROR(__xludf.DUMMYFUNCTION("if(D6013=""variant"",  substitute(filter(Templates!E:E, Templates!A:A = F6013, Templates!B:B = G6013, Templates!C:C = H6013), ""{{}}"", E6013), B6013)"),"Louer appartement Schinznach Bad: Trouvez le bien immobilier qui correspond idéalement à vos désirs sur ImmoScout24 - La plateforme de l'immobilier en Suisse.")</f>
        <v>Louer appartement Schinznach Bad: Trouvez le bien immobilier qui correspond idéalement à vos désirs sur ImmoScout24 - La plateforme de l'immobilier en Suisse.</v>
      </c>
    </row>
    <row r="6014" hidden="1">
      <c r="A6014" s="5" t="s">
        <v>15124</v>
      </c>
      <c r="B6014" s="2" t="s">
        <v>15125</v>
      </c>
      <c r="C6014" s="2" t="s">
        <v>15125</v>
      </c>
      <c r="D6014" s="4" t="str">
        <f>vlookup(A6014, Sheet2!D:E, 2, 0)</f>
        <v>control</v>
      </c>
      <c r="E6014" s="4" t="str">
        <f>IFERROR(__xludf.DUMMYFUNCTION("if(H6014=""pays"",vlookup(REGEXEXTRACT(C6014, ""🏘️ \w+ \w+ (.*) ✅""),'Country prepositions'!A:B, 2, 0) &amp; "" "" &amp; REGEXEXTRACT(C6014, ""🏘️ \w+ \w+ (.*) ✅"") ,  if(H6014=""quartier"",vlookup(REGEXEXTRACT(C6014, ""🏘️ \w+ \w+ (.*) ✅""),'Quartier prepositio"&amp;"ns'!A:E, 5, 0) ,  if(H6014=""region"",vlookup(REGEXEXTRACT(C6014, ""🏘️ \w+ \w+ (.*) ✅""),'Region prepositions'!B:F, 5, 0),  REGEXEXTRACT(C6014, ""🏘️ \w+ \w+ (.*) ✅""))))"),"#N/A")</f>
        <v>#N/A</v>
      </c>
      <c r="I6014" s="4" t="str">
        <f>IFERROR(__xludf.DUMMYFUNCTION("if(D6014=""variant"",  substitute(filter(Templates!E:E, Templates!A:A = F6014, Templates!B:B = G6014, Templates!C:C = H6014), ""{{}}"", E6014), B6014)"),"Louer appartement Lessoc: Trouvez le bien immobilier qui correspond idéalement à vos désirs sur ImmoScout24 - La plateforme de l'immobilier en Suisse.")</f>
        <v>Louer appartement Lessoc: Trouvez le bien immobilier qui correspond idéalement à vos désirs sur ImmoScout24 - La plateforme de l'immobilier en Suisse.</v>
      </c>
    </row>
    <row r="6015" hidden="1">
      <c r="A6015" s="5" t="s">
        <v>15126</v>
      </c>
      <c r="B6015" s="2" t="s">
        <v>15127</v>
      </c>
      <c r="C6015" s="2" t="s">
        <v>15127</v>
      </c>
      <c r="D6015" s="4" t="str">
        <f>vlookup(A6015, Sheet2!D:E, 2, 0)</f>
        <v>control</v>
      </c>
      <c r="E6015" s="4" t="str">
        <f>IFERROR(__xludf.DUMMYFUNCTION("if(H6015=""pays"",vlookup(REGEXEXTRACT(C6015, ""🏘️ \w+ \w+ (.*) ✅""),'Country prepositions'!A:B, 2, 0) &amp; "" "" &amp; REGEXEXTRACT(C6015, ""🏘️ \w+ \w+ (.*) ✅"") ,  if(H6015=""quartier"",vlookup(REGEXEXTRACT(C6015, ""🏘️ \w+ \w+ (.*) ✅""),'Quartier prepositio"&amp;"ns'!A:E, 5, 0) ,  if(H6015=""region"",vlookup(REGEXEXTRACT(C6015, ""🏘️ \w+ \w+ (.*) ✅""),'Region prepositions'!B:F, 5, 0),  REGEXEXTRACT(C6015, ""🏘️ \w+ \w+ (.*) ✅""))))"),"#N/A")</f>
        <v>#N/A</v>
      </c>
      <c r="I6015" s="4" t="str">
        <f>IFERROR(__xludf.DUMMYFUNCTION("if(D6015=""variant"",  substitute(filter(Templates!E:E, Templates!A:A = F6015, Templates!B:B = G6015, Templates!C:C = H6015), ""{{}}"", E6015), B6015)"),"Louer appartement Winterthour ville: Trouvez le bien immobilier qui correspond idéalement à vos désirs sur ImmoScout24 - La plateforme de l'immobilier en Suisse.")</f>
        <v>Louer appartement Winterthour ville: Trouvez le bien immobilier qui correspond idéalement à vos désirs sur ImmoScout24 - La plateforme de l'immobilier en Suisse.</v>
      </c>
    </row>
    <row r="6016" hidden="1">
      <c r="A6016" s="5" t="s">
        <v>15128</v>
      </c>
      <c r="B6016" s="2" t="s">
        <v>15129</v>
      </c>
      <c r="C6016" s="2" t="s">
        <v>15129</v>
      </c>
      <c r="D6016" s="4" t="str">
        <f>vlookup(A6016, Sheet2!D:E, 2, 0)</f>
        <v>control</v>
      </c>
      <c r="E6016" s="4" t="str">
        <f>IFERROR(__xludf.DUMMYFUNCTION("if(H6016=""pays"",vlookup(REGEXEXTRACT(C6016, ""🏘️ \w+ \w+ (.*) ✅""),'Country prepositions'!A:B, 2, 0) &amp; "" "" &amp; REGEXEXTRACT(C6016, ""🏘️ \w+ \w+ (.*) ✅"") ,  if(H6016=""quartier"",vlookup(REGEXEXTRACT(C6016, ""🏘️ \w+ \w+ (.*) ✅""),'Quartier prepositio"&amp;"ns'!A:E, 5, 0) ,  if(H6016=""region"",vlookup(REGEXEXTRACT(C6016, ""🏘️ \w+ \w+ (.*) ✅""),'Region prepositions'!B:F, 5, 0),  REGEXEXTRACT(C6016, ""🏘️ \w+ \w+ (.*) ✅""))))"),"#N/A")</f>
        <v>#N/A</v>
      </c>
      <c r="I6016" s="4" t="str">
        <f>IFERROR(__xludf.DUMMYFUNCTION("if(D6016=""variant"",  substitute(filter(Templates!E:E, Templates!A:A = F6016, Templates!B:B = G6016, Templates!C:C = H6016), ""{{}}"", E6016), B6016)"),"Louer appartement Konolfingen: Trouvez le bien immobilier qui correspond idéalement à vos désirs sur ImmoScout24 - La plateforme de l'immobilier en Suisse.")</f>
        <v>Louer appartement Konolfingen: Trouvez le bien immobilier qui correspond idéalement à vos désirs sur ImmoScout24 - La plateforme de l'immobilier en Suisse.</v>
      </c>
    </row>
    <row r="6017" hidden="1">
      <c r="A6017" s="5" t="s">
        <v>15130</v>
      </c>
      <c r="B6017" s="2" t="s">
        <v>15131</v>
      </c>
      <c r="C6017" s="2" t="s">
        <v>15131</v>
      </c>
      <c r="D6017" s="4" t="str">
        <f>vlookup(A6017, Sheet2!D:E, 2, 0)</f>
        <v>control</v>
      </c>
      <c r="E6017" s="4" t="str">
        <f>IFERROR(__xludf.DUMMYFUNCTION("if(H6017=""pays"",vlookup(REGEXEXTRACT(C6017, ""🏘️ \w+ \w+ (.*) ✅""),'Country prepositions'!A:B, 2, 0) &amp; "" "" &amp; REGEXEXTRACT(C6017, ""🏘️ \w+ \w+ (.*) ✅"") ,  if(H6017=""quartier"",vlookup(REGEXEXTRACT(C6017, ""🏘️ \w+ \w+ (.*) ✅""),'Quartier prepositio"&amp;"ns'!A:E, 5, 0) ,  if(H6017=""region"",vlookup(REGEXEXTRACT(C6017, ""🏘️ \w+ \w+ (.*) ✅""),'Region prepositions'!B:F, 5, 0),  REGEXEXTRACT(C6017, ""🏘️ \w+ \w+ (.*) ✅""))))"),"#N/A")</f>
        <v>#N/A</v>
      </c>
      <c r="I6017" s="4" t="str">
        <f>IFERROR(__xludf.DUMMYFUNCTION("if(D6017=""variant"",  substitute(filter(Templates!E:E, Templates!A:A = F6017, Templates!B:B = G6017, Templates!C:C = H6017), ""{{}}"", E6017), B6017)"),"Louer appartement Bern et environs: Trouvez le bien immobilier qui correspond idéalement à vos désirs sur ImmoScout24 - La plateforme de l'immobilier en Suisse.")</f>
        <v>Louer appartement Bern et environs: Trouvez le bien immobilier qui correspond idéalement à vos désirs sur ImmoScout24 - La plateforme de l'immobilier en Suisse.</v>
      </c>
    </row>
    <row r="6018" hidden="1">
      <c r="A6018" s="5" t="s">
        <v>15132</v>
      </c>
      <c r="B6018" s="2" t="s">
        <v>15133</v>
      </c>
      <c r="C6018" s="2" t="s">
        <v>15133</v>
      </c>
      <c r="D6018" s="4" t="str">
        <f>vlookup(A6018, Sheet2!D:E, 2, 0)</f>
        <v>control</v>
      </c>
      <c r="E6018" s="4" t="str">
        <f>IFERROR(__xludf.DUMMYFUNCTION("if(H6018=""pays"",vlookup(REGEXEXTRACT(C6018, ""🏘️ \w+ \w+ (.*) ✅""),'Country prepositions'!A:B, 2, 0) &amp; "" "" &amp; REGEXEXTRACT(C6018, ""🏘️ \w+ \w+ (.*) ✅"") ,  if(H6018=""quartier"",vlookup(REGEXEXTRACT(C6018, ""🏘️ \w+ \w+ (.*) ✅""),'Quartier prepositio"&amp;"ns'!A:E, 5, 0) ,  if(H6018=""region"",vlookup(REGEXEXTRACT(C6018, ""🏘️ \w+ \w+ (.*) ✅""),'Region prepositions'!B:F, 5, 0),  REGEXEXTRACT(C6018, ""🏘️ \w+ \w+ (.*) ✅""))))"),"#N/A")</f>
        <v>#N/A</v>
      </c>
      <c r="I6018" s="4" t="str">
        <f>IFERROR(__xludf.DUMMYFUNCTION("if(D6018=""variant"",  substitute(filter(Templates!E:E, Templates!A:A = F6018, Templates!B:B = G6018, Templates!C:C = H6018), ""{{}}"", E6018), B6018)"),"Vendre maison Brésil: Trouvez le bien immobilier qui correspond idéalement à vos désirs sur ImmoScout24 - La plateforme de l'immobilier en Suisse.")</f>
        <v>Vendre maison Brésil: Trouvez le bien immobilier qui correspond idéalement à vos désirs sur ImmoScout24 - La plateforme de l'immobilier en Suisse.</v>
      </c>
    </row>
    <row r="6019" hidden="1">
      <c r="A6019" s="5" t="s">
        <v>15134</v>
      </c>
      <c r="B6019" s="2" t="s">
        <v>15135</v>
      </c>
      <c r="C6019" s="2" t="s">
        <v>15135</v>
      </c>
      <c r="D6019" s="4" t="str">
        <f>vlookup(A6019, Sheet2!D:E, 2, 0)</f>
        <v>control</v>
      </c>
      <c r="E6019" s="4" t="str">
        <f>IFERROR(__xludf.DUMMYFUNCTION("if(H6019=""pays"",vlookup(REGEXEXTRACT(C6019, ""🏘️ \w+ \w+ (.*) ✅""),'Country prepositions'!A:B, 2, 0) &amp; "" "" &amp; REGEXEXTRACT(C6019, ""🏘️ \w+ \w+ (.*) ✅"") ,  if(H6019=""quartier"",vlookup(REGEXEXTRACT(C6019, ""🏘️ \w+ \w+ (.*) ✅""),'Quartier prepositio"&amp;"ns'!A:E, 5, 0) ,  if(H6019=""region"",vlookup(REGEXEXTRACT(C6019, ""🏘️ \w+ \w+ (.*) ✅""),'Region prepositions'!B:F, 5, 0),  REGEXEXTRACT(C6019, ""🏘️ \w+ \w+ (.*) ✅""))))"),"#N/A")</f>
        <v>#N/A</v>
      </c>
      <c r="I6019" s="4" t="str">
        <f>IFERROR(__xludf.DUMMYFUNCTION("if(D6019=""variant"",  substitute(filter(Templates!E:E, Templates!A:A = F6019, Templates!B:B = G6019, Templates!C:C = H6019), ""{{}}"", E6019), B6019)"),"Louer appartement Villars-sur-Ollon: Trouvez le bien immobilier qui correspond idéalement à vos désirs sur ImmoScout24 - La plateforme de l'immobilier en Suisse.")</f>
        <v>Louer appartement Villars-sur-Ollon: Trouvez le bien immobilier qui correspond idéalement à vos désirs sur ImmoScout24 - La plateforme de l'immobilier en Suisse.</v>
      </c>
    </row>
    <row r="6020" hidden="1">
      <c r="A6020" s="5" t="s">
        <v>15136</v>
      </c>
      <c r="B6020" s="2" t="s">
        <v>15137</v>
      </c>
      <c r="C6020" s="2" t="s">
        <v>15137</v>
      </c>
      <c r="D6020" s="4" t="str">
        <f>vlookup(A6020, Sheet2!D:E, 2, 0)</f>
        <v>control</v>
      </c>
      <c r="E6020" s="4" t="str">
        <f>IFERROR(__xludf.DUMMYFUNCTION("if(H6020=""pays"",vlookup(REGEXEXTRACT(C6020, ""🏘️ \w+ \w+ (.*) ✅""),'Country prepositions'!A:B, 2, 0) &amp; "" "" &amp; REGEXEXTRACT(C6020, ""🏘️ \w+ \w+ (.*) ✅"") ,  if(H6020=""quartier"",vlookup(REGEXEXTRACT(C6020, ""🏘️ \w+ \w+ (.*) ✅""),'Quartier prepositio"&amp;"ns'!A:E, 5, 0) ,  if(H6020=""region"",vlookup(REGEXEXTRACT(C6020, ""🏘️ \w+ \w+ (.*) ✅""),'Region prepositions'!B:F, 5, 0),  REGEXEXTRACT(C6020, ""🏘️ \w+ \w+ (.*) ✅""))))"),"#N/A")</f>
        <v>#N/A</v>
      </c>
      <c r="I6020" s="4" t="str">
        <f>IFERROR(__xludf.DUMMYFUNCTION("if(D6020=""variant"",  substitute(filter(Templates!E:E, Templates!A:A = F6020, Templates!B:B = G6020, Templates!C:C = H6020), ""{{}}"", E6020), B6020)"),"Vendre maison Bodio TI: Trouvez le bien immobilier qui correspond idéalement à vos désirs sur ImmoScout24 - La plateforme de l'immobilier en Suisse.")</f>
        <v>Vendre maison Bodio TI: Trouvez le bien immobilier qui correspond idéalement à vos désirs sur ImmoScout24 - La plateforme de l'immobilier en Suisse.</v>
      </c>
    </row>
    <row r="6021" hidden="1">
      <c r="A6021" s="5" t="s">
        <v>15138</v>
      </c>
      <c r="B6021" s="2" t="s">
        <v>15139</v>
      </c>
      <c r="C6021" s="2" t="s">
        <v>15139</v>
      </c>
      <c r="D6021" s="4" t="str">
        <f>vlookup(A6021, Sheet2!D:E, 2, 0)</f>
        <v>control</v>
      </c>
      <c r="E6021" s="4" t="str">
        <f>IFERROR(__xludf.DUMMYFUNCTION("if(H6021=""pays"",vlookup(REGEXEXTRACT(C6021, ""🏘️ \w+ \w+ (.*) ✅""),'Country prepositions'!A:B, 2, 0) &amp; "" "" &amp; REGEXEXTRACT(C6021, ""🏘️ \w+ \w+ (.*) ✅"") ,  if(H6021=""quartier"",vlookup(REGEXEXTRACT(C6021, ""🏘️ \w+ \w+ (.*) ✅""),'Quartier prepositio"&amp;"ns'!A:E, 5, 0) ,  if(H6021=""region"",vlookup(REGEXEXTRACT(C6021, ""🏘️ \w+ \w+ (.*) ✅""),'Region prepositions'!B:F, 5, 0),  REGEXEXTRACT(C6021, ""🏘️ \w+ \w+ (.*) ✅""))))"),"#N/A")</f>
        <v>#N/A</v>
      </c>
      <c r="I6021" s="4" t="str">
        <f>IFERROR(__xludf.DUMMYFUNCTION("if(D6021=""variant"",  substitute(filter(Templates!E:E, Templates!A:A = F6021, Templates!B:B = G6021, Templates!C:C = H6021), ""{{}}"", E6021), B6021)"),"Vendre appartement Neyruz FR: Trouvez le bien immobilier qui correspond idéalement à vos désirs sur ImmoScout24 - La plateforme de l'immobilier en Suisse.")</f>
        <v>Vendre appartement Neyruz FR: Trouvez le bien immobilier qui correspond idéalement à vos désirs sur ImmoScout24 - La plateforme de l'immobilier en Suisse.</v>
      </c>
    </row>
    <row r="6022" hidden="1">
      <c r="A6022" s="5" t="s">
        <v>15140</v>
      </c>
      <c r="B6022" s="2" t="s">
        <v>15141</v>
      </c>
      <c r="C6022" s="2" t="s">
        <v>15141</v>
      </c>
      <c r="D6022" s="4" t="str">
        <f>vlookup(A6022, Sheet2!D:E, 2, 0)</f>
        <v>control</v>
      </c>
      <c r="E6022" s="4" t="str">
        <f>IFERROR(__xludf.DUMMYFUNCTION("if(H6022=""pays"",vlookup(REGEXEXTRACT(C6022, ""🏘️ \w+ \w+ (.*) ✅""),'Country prepositions'!A:B, 2, 0) &amp; "" "" &amp; REGEXEXTRACT(C6022, ""🏘️ \w+ \w+ (.*) ✅"") ,  if(H6022=""quartier"",vlookup(REGEXEXTRACT(C6022, ""🏘️ \w+ \w+ (.*) ✅""),'Quartier prepositio"&amp;"ns'!A:E, 5, 0) ,  if(H6022=""region"",vlookup(REGEXEXTRACT(C6022, ""🏘️ \w+ \w+ (.*) ✅""),'Region prepositions'!B:F, 5, 0),  REGEXEXTRACT(C6022, ""🏘️ \w+ \w+ (.*) ✅""))))"),"#N/A")</f>
        <v>#N/A</v>
      </c>
      <c r="I6022" s="4" t="str">
        <f>IFERROR(__xludf.DUMMYFUNCTION("if(D6022=""variant"",  substitute(filter(Templates!E:E, Templates!A:A = F6022, Templates!B:B = G6022, Templates!C:C = H6022), ""{{}}"", E6022), B6022)"),"Louer appartement Grenchen: Trouvez le bien immobilier qui correspond idéalement à vos désirs sur ImmoScout24 - La plateforme de l'immobilier en Suisse.")</f>
        <v>Louer appartement Grenchen: Trouvez le bien immobilier qui correspond idéalement à vos désirs sur ImmoScout24 - La plateforme de l'immobilier en Suisse.</v>
      </c>
    </row>
    <row r="6023" hidden="1">
      <c r="A6023" s="5" t="s">
        <v>15142</v>
      </c>
      <c r="B6023" s="2" t="s">
        <v>15143</v>
      </c>
      <c r="C6023" s="2" t="s">
        <v>15143</v>
      </c>
      <c r="D6023" s="4" t="str">
        <f>vlookup(A6023, Sheet2!D:E, 2, 0)</f>
        <v>control</v>
      </c>
      <c r="E6023" s="4" t="str">
        <f>IFERROR(__xludf.DUMMYFUNCTION("if(H6023=""pays"",vlookup(REGEXEXTRACT(C6023, ""🏘️ \w+ \w+ (.*) ✅""),'Country prepositions'!A:B, 2, 0) &amp; "" "" &amp; REGEXEXTRACT(C6023, ""🏘️ \w+ \w+ (.*) ✅"") ,  if(H6023=""quartier"",vlookup(REGEXEXTRACT(C6023, ""🏘️ \w+ \w+ (.*) ✅""),'Quartier prepositio"&amp;"ns'!A:E, 5, 0) ,  if(H6023=""region"",vlookup(REGEXEXTRACT(C6023, ""🏘️ \w+ \w+ (.*) ✅""),'Region prepositions'!B:F, 5, 0),  REGEXEXTRACT(C6023, ""🏘️ \w+ \w+ (.*) ✅""))))"),"#N/A")</f>
        <v>#N/A</v>
      </c>
      <c r="I6023" s="4" t="str">
        <f>IFERROR(__xludf.DUMMYFUNCTION("if(D6023=""variant"",  substitute(filter(Templates!E:E, Templates!A:A = F6023, Templates!B:B = G6023, Templates!C:C = H6023), ""{{}}"", E6023), B6023)"),"Vendre maison Bivio: Trouvez le bien immobilier qui correspond idéalement à vos désirs sur ImmoScout24 - La plateforme de l'immobilier en Suisse.")</f>
        <v>Vendre maison Bivio: Trouvez le bien immobilier qui correspond idéalement à vos désirs sur ImmoScout24 - La plateforme de l'immobilier en Suisse.</v>
      </c>
    </row>
    <row r="6024" hidden="1">
      <c r="A6024" s="5" t="s">
        <v>15144</v>
      </c>
      <c r="B6024" s="2" t="s">
        <v>15145</v>
      </c>
      <c r="C6024" s="2" t="s">
        <v>15145</v>
      </c>
      <c r="D6024" s="4" t="str">
        <f>vlookup(A6024, Sheet2!D:E, 2, 0)</f>
        <v>control</v>
      </c>
      <c r="E6024" s="4" t="str">
        <f>IFERROR(__xludf.DUMMYFUNCTION("if(H6024=""pays"",vlookup(REGEXEXTRACT(C6024, ""🏘️ \w+ \w+ (.*) ✅""),'Country prepositions'!A:B, 2, 0) &amp; "" "" &amp; REGEXEXTRACT(C6024, ""🏘️ \w+ \w+ (.*) ✅"") ,  if(H6024=""quartier"",vlookup(REGEXEXTRACT(C6024, ""🏘️ \w+ \w+ (.*) ✅""),'Quartier prepositio"&amp;"ns'!A:E, 5, 0) ,  if(H6024=""region"",vlookup(REGEXEXTRACT(C6024, ""🏘️ \w+ \w+ (.*) ✅""),'Region prepositions'!B:F, 5, 0),  REGEXEXTRACT(C6024, ""🏘️ \w+ \w+ (.*) ✅""))))"),"#N/A")</f>
        <v>#N/A</v>
      </c>
      <c r="I6024" s="4" t="str">
        <f>IFERROR(__xludf.DUMMYFUNCTION("if(D6024=""variant"",  substitute(filter(Templates!E:E, Templates!A:A = F6024, Templates!B:B = G6024, Templates!C:C = H6024), ""{{}}"", E6024), B6024)"),"Louer maison Prilly: Trouvez le bien immobilier qui correspond idéalement à vos désirs sur ImmoScout24 - La plateforme de l'immobilier en Suisse.")</f>
        <v>Louer maison Prilly: Trouvez le bien immobilier qui correspond idéalement à vos désirs sur ImmoScout24 - La plateforme de l'immobilier en Suisse.</v>
      </c>
    </row>
    <row r="6025" hidden="1">
      <c r="A6025" s="5" t="s">
        <v>15146</v>
      </c>
      <c r="B6025" s="2" t="s">
        <v>15147</v>
      </c>
      <c r="C6025" s="2" t="s">
        <v>15147</v>
      </c>
      <c r="D6025" s="4" t="str">
        <f>vlookup(A6025, Sheet2!D:E, 2, 0)</f>
        <v>control</v>
      </c>
      <c r="E6025" s="4" t="str">
        <f>IFERROR(__xludf.DUMMYFUNCTION("if(H6025=""pays"",vlookup(REGEXEXTRACT(C6025, ""🏘️ \w+ \w+ (.*) ✅""),'Country prepositions'!A:B, 2, 0) &amp; "" "" &amp; REGEXEXTRACT(C6025, ""🏘️ \w+ \w+ (.*) ✅"") ,  if(H6025=""quartier"",vlookup(REGEXEXTRACT(C6025, ""🏘️ \w+ \w+ (.*) ✅""),'Quartier prepositio"&amp;"ns'!A:E, 5, 0) ,  if(H6025=""region"",vlookup(REGEXEXTRACT(C6025, ""🏘️ \w+ \w+ (.*) ✅""),'Region prepositions'!B:F, 5, 0),  REGEXEXTRACT(C6025, ""🏘️ \w+ \w+ (.*) ✅""))))"),"#N/A")</f>
        <v>#N/A</v>
      </c>
      <c r="I6025" s="4" t="str">
        <f>IFERROR(__xludf.DUMMYFUNCTION("if(D6025=""variant"",  substitute(filter(Templates!E:E, Templates!A:A = F6025, Templates!B:B = G6025, Templates!C:C = H6025), ""{{}}"", E6025), B6025)"),"Louer appartement Vitznau: Trouvez le bien immobilier qui correspond idéalement à vos désirs sur ImmoScout24 - La plateforme de l'immobilier en Suisse.")</f>
        <v>Louer appartement Vitznau: Trouvez le bien immobilier qui correspond idéalement à vos désirs sur ImmoScout24 - La plateforme de l'immobilier en Suisse.</v>
      </c>
    </row>
    <row r="6026" hidden="1">
      <c r="A6026" s="5" t="s">
        <v>15148</v>
      </c>
      <c r="B6026" s="2" t="s">
        <v>15149</v>
      </c>
      <c r="C6026" s="2" t="s">
        <v>15149</v>
      </c>
      <c r="D6026" s="4" t="str">
        <f>vlookup(A6026, Sheet2!D:E, 2, 0)</f>
        <v>control</v>
      </c>
      <c r="E6026" s="4" t="str">
        <f>IFERROR(__xludf.DUMMYFUNCTION("if(H6026=""pays"",vlookup(REGEXEXTRACT(C6026, ""🏘️ \w+ \w+ (.*) ✅""),'Country prepositions'!A:B, 2, 0) &amp; "" "" &amp; REGEXEXTRACT(C6026, ""🏘️ \w+ \w+ (.*) ✅"") ,  if(H6026=""quartier"",vlookup(REGEXEXTRACT(C6026, ""🏘️ \w+ \w+ (.*) ✅""),'Quartier prepositio"&amp;"ns'!A:E, 5, 0) ,  if(H6026=""region"",vlookup(REGEXEXTRACT(C6026, ""🏘️ \w+ \w+ (.*) ✅""),'Region prepositions'!B:F, 5, 0),  REGEXEXTRACT(C6026, ""🏘️ \w+ \w+ (.*) ✅""))))"),"#N/A")</f>
        <v>#N/A</v>
      </c>
      <c r="I6026" s="4" t="str">
        <f>IFERROR(__xludf.DUMMYFUNCTION("if(D6026=""variant"",  substitute(filter(Templates!E:E, Templates!A:A = F6026, Templates!B:B = G6026, Templates!C:C = H6026), ""{{}}"", E6026), B6026)"),"Louer appartement Binz: Trouvez le bien immobilier qui correspond idéalement à vos désirs sur ImmoScout24 - La plateforme de l'immobilier en Suisse.")</f>
        <v>Louer appartement Binz: Trouvez le bien immobilier qui correspond idéalement à vos désirs sur ImmoScout24 - La plateforme de l'immobilier en Suisse.</v>
      </c>
    </row>
    <row r="6027" hidden="1">
      <c r="A6027" s="5" t="s">
        <v>15150</v>
      </c>
      <c r="B6027" s="2" t="s">
        <v>15151</v>
      </c>
      <c r="C6027" s="2" t="s">
        <v>15151</v>
      </c>
      <c r="D6027" s="4" t="str">
        <f>vlookup(A6027, Sheet2!D:E, 2, 0)</f>
        <v>control</v>
      </c>
      <c r="E6027" s="4" t="str">
        <f>IFERROR(__xludf.DUMMYFUNCTION("if(H6027=""pays"",vlookup(REGEXEXTRACT(C6027, ""🏘️ \w+ \w+ (.*) ✅""),'Country prepositions'!A:B, 2, 0) &amp; "" "" &amp; REGEXEXTRACT(C6027, ""🏘️ \w+ \w+ (.*) ✅"") ,  if(H6027=""quartier"",vlookup(REGEXEXTRACT(C6027, ""🏘️ \w+ \w+ (.*) ✅""),'Quartier prepositio"&amp;"ns'!A:E, 5, 0) ,  if(H6027=""region"",vlookup(REGEXEXTRACT(C6027, ""🏘️ \w+ \w+ (.*) ✅""),'Region prepositions'!B:F, 5, 0),  REGEXEXTRACT(C6027, ""🏘️ \w+ \w+ (.*) ✅""))))"),"#N/A")</f>
        <v>#N/A</v>
      </c>
      <c r="I6027" s="4" t="str">
        <f>IFERROR(__xludf.DUMMYFUNCTION("if(D6027=""variant"",  substitute(filter(Templates!E:E, Templates!A:A = F6027, Templates!B:B = G6027, Templates!C:C = H6027), ""{{}}"", E6027), B6027)"),"Louer maison Epagny: Trouvez le bien immobilier qui correspond idéalement à vos désirs sur ImmoScout24 - La plateforme de l'immobilier en Suisse.")</f>
        <v>Louer maison Epagny: Trouvez le bien immobilier qui correspond idéalement à vos désirs sur ImmoScout24 - La plateforme de l'immobilier en Suisse.</v>
      </c>
    </row>
    <row r="6028" hidden="1">
      <c r="A6028" s="5" t="s">
        <v>15152</v>
      </c>
      <c r="B6028" s="2" t="s">
        <v>15153</v>
      </c>
      <c r="C6028" s="2" t="s">
        <v>15153</v>
      </c>
      <c r="D6028" s="4" t="str">
        <f>vlookup(A6028, Sheet2!D:E, 2, 0)</f>
        <v>control</v>
      </c>
      <c r="E6028" s="4" t="str">
        <f>IFERROR(__xludf.DUMMYFUNCTION("if(H6028=""pays"",vlookup(REGEXEXTRACT(C6028, ""🏘️ \w+ \w+ (.*) ✅""),'Country prepositions'!A:B, 2, 0) &amp; "" "" &amp; REGEXEXTRACT(C6028, ""🏘️ \w+ \w+ (.*) ✅"") ,  if(H6028=""quartier"",vlookup(REGEXEXTRACT(C6028, ""🏘️ \w+ \w+ (.*) ✅""),'Quartier prepositio"&amp;"ns'!A:E, 5, 0) ,  if(H6028=""region"",vlookup(REGEXEXTRACT(C6028, ""🏘️ \w+ \w+ (.*) ✅""),'Region prepositions'!B:F, 5, 0),  REGEXEXTRACT(C6028, ""🏘️ \w+ \w+ (.*) ✅""))))"),"#N/A")</f>
        <v>#N/A</v>
      </c>
      <c r="I6028" s="4" t="str">
        <f>IFERROR(__xludf.DUMMYFUNCTION("if(D6028=""variant"",  substitute(filter(Templates!E:E, Templates!A:A = F6028, Templates!B:B = G6028, Templates!C:C = H6028), ""{{}}"", E6028), B6028)"),"Louer maison Glovelier: Trouvez le bien immobilier qui correspond idéalement à vos désirs sur ImmoScout24 - La plateforme de l'immobilier en Suisse.")</f>
        <v>Louer maison Glovelier: Trouvez le bien immobilier qui correspond idéalement à vos désirs sur ImmoScout24 - La plateforme de l'immobilier en Suisse.</v>
      </c>
    </row>
    <row r="6029" hidden="1">
      <c r="A6029" s="5" t="s">
        <v>15154</v>
      </c>
      <c r="B6029" s="2" t="s">
        <v>15155</v>
      </c>
      <c r="C6029" s="2" t="s">
        <v>15155</v>
      </c>
      <c r="D6029" s="4" t="str">
        <f>vlookup(A6029, Sheet2!D:E, 2, 0)</f>
        <v>control</v>
      </c>
      <c r="E6029" s="4" t="str">
        <f>IFERROR(__xludf.DUMMYFUNCTION("if(H6029=""pays"",vlookup(REGEXEXTRACT(C6029, ""🏘️ \w+ \w+ (.*) ✅""),'Country prepositions'!A:B, 2, 0) &amp; "" "" &amp; REGEXEXTRACT(C6029, ""🏘️ \w+ \w+ (.*) ✅"") ,  if(H6029=""quartier"",vlookup(REGEXEXTRACT(C6029, ""🏘️ \w+ \w+ (.*) ✅""),'Quartier prepositio"&amp;"ns'!A:E, 5, 0) ,  if(H6029=""region"",vlookup(REGEXEXTRACT(C6029, ""🏘️ \w+ \w+ (.*) ✅""),'Region prepositions'!B:F, 5, 0),  REGEXEXTRACT(C6029, ""🏘️ \w+ \w+ (.*) ✅""))))"),"#N/A")</f>
        <v>#N/A</v>
      </c>
      <c r="I6029" s="4" t="str">
        <f>IFERROR(__xludf.DUMMYFUNCTION("if(D6029=""variant"",  substitute(filter(Templates!E:E, Templates!A:A = F6029, Templates!B:B = G6029, Templates!C:C = H6029), ""{{}}"", E6029), B6029)"),"Vendre appartement Vers-chez-les-Blanc (Lausanne): Trouvez le bien immobilier qui correspond idéalement à vos désirs sur ImmoScout24 - La plateforme de l'immobilier en Suisse.")</f>
        <v>Vendre appartement Vers-chez-les-Blanc (Lausanne): Trouvez le bien immobilier qui correspond idéalement à vos désirs sur ImmoScout24 - La plateforme de l'immobilier en Suisse.</v>
      </c>
    </row>
    <row r="6030" hidden="1">
      <c r="A6030" s="5" t="s">
        <v>15156</v>
      </c>
      <c r="B6030" s="2" t="s">
        <v>15157</v>
      </c>
      <c r="C6030" s="2" t="s">
        <v>15157</v>
      </c>
      <c r="D6030" s="4" t="str">
        <f>vlookup(A6030, Sheet2!D:E, 2, 0)</f>
        <v>control</v>
      </c>
      <c r="E6030" s="4" t="str">
        <f>IFERROR(__xludf.DUMMYFUNCTION("if(H6030=""pays"",vlookup(REGEXEXTRACT(C6030, ""🏘️ \w+ \w+ (.*) ✅""),'Country prepositions'!A:B, 2, 0) &amp; "" "" &amp; REGEXEXTRACT(C6030, ""🏘️ \w+ \w+ (.*) ✅"") ,  if(H6030=""quartier"",vlookup(REGEXEXTRACT(C6030, ""🏘️ \w+ \w+ (.*) ✅""),'Quartier prepositio"&amp;"ns'!A:E, 5, 0) ,  if(H6030=""region"",vlookup(REGEXEXTRACT(C6030, ""🏘️ \w+ \w+ (.*) ✅""),'Region prepositions'!B:F, 5, 0),  REGEXEXTRACT(C6030, ""🏘️ \w+ \w+ (.*) ✅""))))"),"#N/A")</f>
        <v>#N/A</v>
      </c>
      <c r="I6030" s="4" t="str">
        <f>IFERROR(__xludf.DUMMYFUNCTION("if(D6030=""variant"",  substitute(filter(Templates!E:E, Templates!A:A = F6030, Templates!B:B = G6030, Templates!C:C = H6030), ""{{}}"", E6030), B6030)"),"Louer appartement Gebenstorf: Trouvez le bien immobilier qui correspond idéalement à vos désirs sur ImmoScout24 - La plateforme de l'immobilier en Suisse.")</f>
        <v>Louer appartement Gebenstorf: Trouvez le bien immobilier qui correspond idéalement à vos désirs sur ImmoScout24 - La plateforme de l'immobilier en Suisse.</v>
      </c>
    </row>
    <row r="6031" hidden="1">
      <c r="A6031" s="5" t="s">
        <v>15158</v>
      </c>
      <c r="B6031" s="2" t="s">
        <v>15159</v>
      </c>
      <c r="C6031" s="2" t="s">
        <v>15159</v>
      </c>
      <c r="D6031" s="4" t="str">
        <f>vlookup(A6031, Sheet2!D:E, 2, 0)</f>
        <v>control</v>
      </c>
      <c r="E6031" s="4" t="str">
        <f>IFERROR(__xludf.DUMMYFUNCTION("if(H6031=""pays"",vlookup(REGEXEXTRACT(C6031, ""🏘️ \w+ \w+ (.*) ✅""),'Country prepositions'!A:B, 2, 0) &amp; "" "" &amp; REGEXEXTRACT(C6031, ""🏘️ \w+ \w+ (.*) ✅"") ,  if(H6031=""quartier"",vlookup(REGEXEXTRACT(C6031, ""🏘️ \w+ \w+ (.*) ✅""),'Quartier prepositio"&amp;"ns'!A:E, 5, 0) ,  if(H6031=""region"",vlookup(REGEXEXTRACT(C6031, ""🏘️ \w+ \w+ (.*) ✅""),'Region prepositions'!B:F, 5, 0),  REGEXEXTRACT(C6031, ""🏘️ \w+ \w+ (.*) ✅""))))"),"#N/A")</f>
        <v>#N/A</v>
      </c>
      <c r="I6031" s="4" t="str">
        <f>IFERROR(__xludf.DUMMYFUNCTION("if(D6031=""variant"",  substitute(filter(Templates!E:E, Templates!A:A = F6031, Templates!B:B = G6031, Templates!C:C = H6031), ""{{}}"", E6031), B6031)"),"Louer appartement Le Fuet: Trouvez le bien immobilier qui correspond idéalement à vos désirs sur ImmoScout24 - La plateforme de l'immobilier en Suisse.")</f>
        <v>Louer appartement Le Fuet: Trouvez le bien immobilier qui correspond idéalement à vos désirs sur ImmoScout24 - La plateforme de l'immobilier en Suisse.</v>
      </c>
    </row>
    <row r="6032" hidden="1">
      <c r="A6032" s="5" t="s">
        <v>15160</v>
      </c>
      <c r="B6032" s="2" t="s">
        <v>15161</v>
      </c>
      <c r="C6032" s="2" t="s">
        <v>15161</v>
      </c>
      <c r="D6032" s="4" t="str">
        <f>vlookup(A6032, Sheet2!D:E, 2, 0)</f>
        <v>control</v>
      </c>
      <c r="E6032" s="4" t="str">
        <f>IFERROR(__xludf.DUMMYFUNCTION("if(H6032=""pays"",vlookup(REGEXEXTRACT(C6032, ""🏘️ \w+ \w+ (.*) ✅""),'Country prepositions'!A:B, 2, 0) &amp; "" "" &amp; REGEXEXTRACT(C6032, ""🏘️ \w+ \w+ (.*) ✅"") ,  if(H6032=""quartier"",vlookup(REGEXEXTRACT(C6032, ""🏘️ \w+ \w+ (.*) ✅""),'Quartier prepositio"&amp;"ns'!A:E, 5, 0) ,  if(H6032=""region"",vlookup(REGEXEXTRACT(C6032, ""🏘️ \w+ \w+ (.*) ✅""),'Region prepositions'!B:F, 5, 0),  REGEXEXTRACT(C6032, ""🏘️ \w+ \w+ (.*) ✅""))))"),"#N/A")</f>
        <v>#N/A</v>
      </c>
      <c r="I6032" s="4" t="str">
        <f>IFERROR(__xludf.DUMMYFUNCTION("if(D6032=""variant"",  substitute(filter(Templates!E:E, Templates!A:A = F6032, Templates!B:B = G6032, Templates!C:C = H6032), ""{{}}"", E6032), B6032)"),"Vendre appartement Muri b. Bern: Trouvez le bien immobilier qui correspond idéalement à vos désirs sur ImmoScout24 - La plateforme de l'immobilier en Suisse.")</f>
        <v>Vendre appartement Muri b. Bern: Trouvez le bien immobilier qui correspond idéalement à vos désirs sur ImmoScout24 - La plateforme de l'immobilier en Suisse.</v>
      </c>
    </row>
    <row r="6033" hidden="1">
      <c r="A6033" s="5" t="s">
        <v>15162</v>
      </c>
      <c r="B6033" s="2" t="s">
        <v>15163</v>
      </c>
      <c r="C6033" s="2" t="s">
        <v>15163</v>
      </c>
      <c r="D6033" s="4" t="str">
        <f>vlookup(A6033, Sheet2!D:E, 2, 0)</f>
        <v>control</v>
      </c>
      <c r="E6033" s="4" t="str">
        <f>IFERROR(__xludf.DUMMYFUNCTION("if(H6033=""pays"",vlookup(REGEXEXTRACT(C6033, ""🏘️ \w+ \w+ (.*) ✅""),'Country prepositions'!A:B, 2, 0) &amp; "" "" &amp; REGEXEXTRACT(C6033, ""🏘️ \w+ \w+ (.*) ✅"") ,  if(H6033=""quartier"",vlookup(REGEXEXTRACT(C6033, ""🏘️ \w+ \w+ (.*) ✅""),'Quartier prepositio"&amp;"ns'!A:E, 5, 0) ,  if(H6033=""region"",vlookup(REGEXEXTRACT(C6033, ""🏘️ \w+ \w+ (.*) ✅""),'Region prepositions'!B:F, 5, 0),  REGEXEXTRACT(C6033, ""🏘️ \w+ \w+ (.*) ✅""))))"),"#N/A")</f>
        <v>#N/A</v>
      </c>
      <c r="I6033" s="4" t="str">
        <f>IFERROR(__xludf.DUMMYFUNCTION("if(D6033=""variant"",  substitute(filter(Templates!E:E, Templates!A:A = F6033, Templates!B:B = G6033, Templates!C:C = H6033), ""{{}}"", E6033), B6033)"),"Louer appartement Icogne: Trouvez le bien immobilier qui correspond idéalement à vos désirs sur ImmoScout24 - La plateforme de l'immobilier en Suisse.")</f>
        <v>Louer appartement Icogne: Trouvez le bien immobilier qui correspond idéalement à vos désirs sur ImmoScout24 - La plateforme de l'immobilier en Suisse.</v>
      </c>
    </row>
    <row r="6034" hidden="1">
      <c r="A6034" s="5" t="s">
        <v>15164</v>
      </c>
      <c r="B6034" s="2" t="s">
        <v>15165</v>
      </c>
      <c r="C6034" s="2" t="s">
        <v>15165</v>
      </c>
      <c r="D6034" s="4" t="str">
        <f>vlookup(A6034, Sheet2!D:E, 2, 0)</f>
        <v>control</v>
      </c>
      <c r="E6034" s="4" t="str">
        <f>IFERROR(__xludf.DUMMYFUNCTION("if(H6034=""pays"",vlookup(REGEXEXTRACT(C6034, ""🏘️ \w+ \w+ (.*) ✅""),'Country prepositions'!A:B, 2, 0) &amp; "" "" &amp; REGEXEXTRACT(C6034, ""🏘️ \w+ \w+ (.*) ✅"") ,  if(H6034=""quartier"",vlookup(REGEXEXTRACT(C6034, ""🏘️ \w+ \w+ (.*) ✅""),'Quartier prepositio"&amp;"ns'!A:E, 5, 0) ,  if(H6034=""region"",vlookup(REGEXEXTRACT(C6034, ""🏘️ \w+ \w+ (.*) ✅""),'Region prepositions'!B:F, 5, 0),  REGEXEXTRACT(C6034, ""🏘️ \w+ \w+ (.*) ✅""))))"),"#N/A")</f>
        <v>#N/A</v>
      </c>
      <c r="I6034" s="4" t="str">
        <f>IFERROR(__xludf.DUMMYFUNCTION("if(D6034=""variant"",  substitute(filter(Templates!E:E, Templates!A:A = F6034, Templates!B:B = G6034, Templates!C:C = H6034), ""{{}}"", E6034), B6034)"),"Louer appartement Bremgarten - Lenzburg - Muri - Kulm: Trouvez le bien immobilier qui correspond idéalement à vos désirs sur ImmoScout24 - La plateforme de l'immobilier en Suisse.")</f>
        <v>Louer appartement Bremgarten - Lenzburg - Muri - Kulm: Trouvez le bien immobilier qui correspond idéalement à vos désirs sur ImmoScout24 - La plateforme de l'immobilier en Suisse.</v>
      </c>
    </row>
    <row r="6035" hidden="1">
      <c r="A6035" s="5" t="s">
        <v>15166</v>
      </c>
      <c r="B6035" s="2" t="s">
        <v>15167</v>
      </c>
      <c r="C6035" s="2" t="s">
        <v>15167</v>
      </c>
      <c r="D6035" s="4" t="str">
        <f>vlookup(A6035, Sheet2!D:E, 2, 0)</f>
        <v>control</v>
      </c>
      <c r="E6035" s="4" t="str">
        <f>IFERROR(__xludf.DUMMYFUNCTION("if(H6035=""pays"",vlookup(REGEXEXTRACT(C6035, ""🏘️ \w+ \w+ (.*) ✅""),'Country prepositions'!A:B, 2, 0) &amp; "" "" &amp; REGEXEXTRACT(C6035, ""🏘️ \w+ \w+ (.*) ✅"") ,  if(H6035=""quartier"",vlookup(REGEXEXTRACT(C6035, ""🏘️ \w+ \w+ (.*) ✅""),'Quartier prepositio"&amp;"ns'!A:E, 5, 0) ,  if(H6035=""region"",vlookup(REGEXEXTRACT(C6035, ""🏘️ \w+ \w+ (.*) ✅""),'Region prepositions'!B:F, 5, 0),  REGEXEXTRACT(C6035, ""🏘️ \w+ \w+ (.*) ✅""))))"),"#N/A")</f>
        <v>#N/A</v>
      </c>
      <c r="I6035" s="4" t="str">
        <f>IFERROR(__xludf.DUMMYFUNCTION("if(D6035=""variant"",  substitute(filter(Templates!E:E, Templates!A:A = F6035, Templates!B:B = G6035, Templates!C:C = H6035), ""{{}}"", E6035), B6035)"),"Louer appartement Dardagny: Trouvez le bien immobilier qui correspond idéalement à vos désirs sur ImmoScout24 - La plateforme de l'immobilier en Suisse.")</f>
        <v>Louer appartement Dardagny: Trouvez le bien immobilier qui correspond idéalement à vos désirs sur ImmoScout24 - La plateforme de l'immobilier en Suisse.</v>
      </c>
    </row>
    <row r="6036" hidden="1">
      <c r="A6036" s="5" t="s">
        <v>15168</v>
      </c>
      <c r="B6036" s="2" t="s">
        <v>15169</v>
      </c>
      <c r="C6036" s="2" t="s">
        <v>15169</v>
      </c>
      <c r="D6036" s="4" t="str">
        <f>vlookup(A6036, Sheet2!D:E, 2, 0)</f>
        <v>control</v>
      </c>
      <c r="E6036" s="4" t="str">
        <f>IFERROR(__xludf.DUMMYFUNCTION("if(H6036=""pays"",vlookup(REGEXEXTRACT(C6036, ""🏘️ \w+ \w+ (.*) ✅""),'Country prepositions'!A:B, 2, 0) &amp; "" "" &amp; REGEXEXTRACT(C6036, ""🏘️ \w+ \w+ (.*) ✅"") ,  if(H6036=""quartier"",vlookup(REGEXEXTRACT(C6036, ""🏘️ \w+ \w+ (.*) ✅""),'Quartier prepositio"&amp;"ns'!A:E, 5, 0) ,  if(H6036=""region"",vlookup(REGEXEXTRACT(C6036, ""🏘️ \w+ \w+ (.*) ✅""),'Region prepositions'!B:F, 5, 0),  REGEXEXTRACT(C6036, ""🏘️ \w+ \w+ (.*) ✅""))))"),"#N/A")</f>
        <v>#N/A</v>
      </c>
      <c r="I6036" s="4" t="str">
        <f>IFERROR(__xludf.DUMMYFUNCTION("if(D6036=""variant"",  substitute(filter(Templates!E:E, Templates!A:A = F6036, Templates!B:B = G6036, Templates!C:C = H6036), ""{{}}"", E6036), B6036)"),"Vendre appartement Montcherand: Trouvez le bien immobilier qui correspond idéalement à vos désirs sur ImmoScout24 - La plateforme de l'immobilier en Suisse.")</f>
        <v>Vendre appartement Montcherand: Trouvez le bien immobilier qui correspond idéalement à vos désirs sur ImmoScout24 - La plateforme de l'immobilier en Suisse.</v>
      </c>
    </row>
    <row r="6037" hidden="1">
      <c r="A6037" s="5" t="s">
        <v>15170</v>
      </c>
      <c r="B6037" s="2" t="s">
        <v>15171</v>
      </c>
      <c r="C6037" s="2" t="s">
        <v>15171</v>
      </c>
      <c r="D6037" s="4" t="str">
        <f>vlookup(A6037, Sheet2!D:E, 2, 0)</f>
        <v>control</v>
      </c>
      <c r="E6037" s="4" t="str">
        <f>IFERROR(__xludf.DUMMYFUNCTION("if(H6037=""pays"",vlookup(REGEXEXTRACT(C6037, ""🏘️ \w+ \w+ (.*) ✅""),'Country prepositions'!A:B, 2, 0) &amp; "" "" &amp; REGEXEXTRACT(C6037, ""🏘️ \w+ \w+ (.*) ✅"") ,  if(H6037=""quartier"",vlookup(REGEXEXTRACT(C6037, ""🏘️ \w+ \w+ (.*) ✅""),'Quartier prepositio"&amp;"ns'!A:E, 5, 0) ,  if(H6037=""region"",vlookup(REGEXEXTRACT(C6037, ""🏘️ \w+ \w+ (.*) ✅""),'Region prepositions'!B:F, 5, 0),  REGEXEXTRACT(C6037, ""🏘️ \w+ \w+ (.*) ✅""))))"),"#N/A")</f>
        <v>#N/A</v>
      </c>
      <c r="I6037" s="4" t="str">
        <f>IFERROR(__xludf.DUMMYFUNCTION("if(D6037=""variant"",  substitute(filter(Templates!E:E, Templates!A:A = F6037, Templates!B:B = G6037, Templates!C:C = H6037), ""{{}}"", E6037), B6037)"),"Louer maison Frick: Trouvez le bien immobilier qui correspond idéalement à vos désirs sur ImmoScout24 - La plateforme de l'immobilier en Suisse.")</f>
        <v>Louer maison Frick: Trouvez le bien immobilier qui correspond idéalement à vos désirs sur ImmoScout24 - La plateforme de l'immobilier en Suisse.</v>
      </c>
    </row>
    <row r="6038" hidden="1">
      <c r="A6038" s="5" t="s">
        <v>15172</v>
      </c>
      <c r="B6038" s="2" t="s">
        <v>15173</v>
      </c>
      <c r="C6038" s="2" t="s">
        <v>15173</v>
      </c>
      <c r="D6038" s="4" t="str">
        <f>vlookup(A6038, Sheet2!D:E, 2, 0)</f>
        <v>control</v>
      </c>
      <c r="E6038" s="4" t="str">
        <f>IFERROR(__xludf.DUMMYFUNCTION("if(H6038=""pays"",vlookup(REGEXEXTRACT(C6038, ""🏘️ \w+ \w+ (.*) ✅""),'Country prepositions'!A:B, 2, 0) &amp; "" "" &amp; REGEXEXTRACT(C6038, ""🏘️ \w+ \w+ (.*) ✅"") ,  if(H6038=""quartier"",vlookup(REGEXEXTRACT(C6038, ""🏘️ \w+ \w+ (.*) ✅""),'Quartier prepositio"&amp;"ns'!A:E, 5, 0) ,  if(H6038=""region"",vlookup(REGEXEXTRACT(C6038, ""🏘️ \w+ \w+ (.*) ✅""),'Region prepositions'!B:F, 5, 0),  REGEXEXTRACT(C6038, ""🏘️ \w+ \w+ (.*) ✅""))))"),"#N/A")</f>
        <v>#N/A</v>
      </c>
      <c r="I6038" s="4" t="str">
        <f>IFERROR(__xludf.DUMMYFUNCTION("if(D6038=""variant"",  substitute(filter(Templates!E:E, Templates!A:A = F6038, Templates!B:B = G6038, Templates!C:C = H6038), ""{{}}"", E6038), B6038)"),"Louer maison Presinge: Trouvez le bien immobilier qui correspond idéalement à vos désirs sur ImmoScout24 - La plateforme de l'immobilier en Suisse.")</f>
        <v>Louer maison Presinge: Trouvez le bien immobilier qui correspond idéalement à vos désirs sur ImmoScout24 - La plateforme de l'immobilier en Suisse.</v>
      </c>
    </row>
    <row r="6039" hidden="1">
      <c r="A6039" s="5" t="s">
        <v>15174</v>
      </c>
      <c r="B6039" s="2" t="s">
        <v>15175</v>
      </c>
      <c r="C6039" s="2" t="s">
        <v>15175</v>
      </c>
      <c r="D6039" s="4" t="str">
        <f>vlookup(A6039, Sheet2!D:E, 2, 0)</f>
        <v>control</v>
      </c>
      <c r="E6039" s="4" t="str">
        <f>IFERROR(__xludf.DUMMYFUNCTION("if(H6039=""pays"",vlookup(REGEXEXTRACT(C6039, ""🏘️ \w+ \w+ (.*) ✅""),'Country prepositions'!A:B, 2, 0) &amp; "" "" &amp; REGEXEXTRACT(C6039, ""🏘️ \w+ \w+ (.*) ✅"") ,  if(H6039=""quartier"",vlookup(REGEXEXTRACT(C6039, ""🏘️ \w+ \w+ (.*) ✅""),'Quartier prepositio"&amp;"ns'!A:E, 5, 0) ,  if(H6039=""region"",vlookup(REGEXEXTRACT(C6039, ""🏘️ \w+ \w+ (.*) ✅""),'Region prepositions'!B:F, 5, 0),  REGEXEXTRACT(C6039, ""🏘️ \w+ \w+ (.*) ✅""))))"),"#N/A")</f>
        <v>#N/A</v>
      </c>
      <c r="I6039" s="4" t="str">
        <f>IFERROR(__xludf.DUMMYFUNCTION("if(D6039=""variant"",  substitute(filter(Templates!E:E, Templates!A:A = F6039, Templates!B:B = G6039, Templates!C:C = H6039), ""{{}}"", E6039), B6039)"),"Louer maison Martigny: Trouvez le bien immobilier qui correspond idéalement à vos désirs sur ImmoScout24 - La plateforme de l'immobilier en Suisse.")</f>
        <v>Louer maison Martigny: Trouvez le bien immobilier qui correspond idéalement à vos désirs sur ImmoScout24 - La plateforme de l'immobilier en Suisse.</v>
      </c>
    </row>
    <row r="6040" hidden="1">
      <c r="A6040" s="5" t="s">
        <v>15176</v>
      </c>
      <c r="B6040" s="2" t="s">
        <v>15177</v>
      </c>
      <c r="C6040" s="2" t="s">
        <v>15177</v>
      </c>
      <c r="D6040" s="4" t="str">
        <f>vlookup(A6040, Sheet2!D:E, 2, 0)</f>
        <v>control</v>
      </c>
      <c r="E6040" s="4" t="str">
        <f>IFERROR(__xludf.DUMMYFUNCTION("if(H6040=""pays"",vlookup(REGEXEXTRACT(C6040, ""🏘️ \w+ \w+ (.*) ✅""),'Country prepositions'!A:B, 2, 0) &amp; "" "" &amp; REGEXEXTRACT(C6040, ""🏘️ \w+ \w+ (.*) ✅"") ,  if(H6040=""quartier"",vlookup(REGEXEXTRACT(C6040, ""🏘️ \w+ \w+ (.*) ✅""),'Quartier prepositio"&amp;"ns'!A:E, 5, 0) ,  if(H6040=""region"",vlookup(REGEXEXTRACT(C6040, ""🏘️ \w+ \w+ (.*) ✅""),'Region prepositions'!B:F, 5, 0),  REGEXEXTRACT(C6040, ""🏘️ \w+ \w+ (.*) ✅""))))"),"#N/A")</f>
        <v>#N/A</v>
      </c>
      <c r="I6040" s="4" t="str">
        <f>IFERROR(__xludf.DUMMYFUNCTION("if(D6040=""variant"",  substitute(filter(Templates!E:E, Templates!A:A = F6040, Templates!B:B = G6040, Templates!C:C = H6040), ""{{}}"", E6040), B6040)"),"Vendre maison Horgen: Trouvez le bien immobilier qui correspond idéalement à vos désirs sur ImmoScout24 - La plateforme de l'immobilier en Suisse.")</f>
        <v>Vendre maison Horgen: Trouvez le bien immobilier qui correspond idéalement à vos désirs sur ImmoScout24 - La plateforme de l'immobilier en Suisse.</v>
      </c>
    </row>
    <row r="6041" hidden="1">
      <c r="A6041" s="5" t="s">
        <v>15178</v>
      </c>
      <c r="B6041" s="2" t="s">
        <v>15179</v>
      </c>
      <c r="C6041" s="2" t="s">
        <v>15179</v>
      </c>
      <c r="D6041" s="4" t="str">
        <f>vlookup(A6041, Sheet2!D:E, 2, 0)</f>
        <v>control</v>
      </c>
      <c r="E6041" s="4" t="str">
        <f>IFERROR(__xludf.DUMMYFUNCTION("if(H6041=""pays"",vlookup(REGEXEXTRACT(C6041, ""🏘️ \w+ \w+ (.*) ✅""),'Country prepositions'!A:B, 2, 0) &amp; "" "" &amp; REGEXEXTRACT(C6041, ""🏘️ \w+ \w+ (.*) ✅"") ,  if(H6041=""quartier"",vlookup(REGEXEXTRACT(C6041, ""🏘️ \w+ \w+ (.*) ✅""),'Quartier prepositio"&amp;"ns'!A:E, 5, 0) ,  if(H6041=""region"",vlookup(REGEXEXTRACT(C6041, ""🏘️ \w+ \w+ (.*) ✅""),'Region prepositions'!B:F, 5, 0),  REGEXEXTRACT(C6041, ""🏘️ \w+ \w+ (.*) ✅""))))"),"#N/A")</f>
        <v>#N/A</v>
      </c>
      <c r="I6041" s="4" t="str">
        <f>IFERROR(__xludf.DUMMYFUNCTION("if(D6041=""variant"",  substitute(filter(Templates!E:E, Templates!A:A = F6041, Templates!B:B = G6041, Templates!C:C = H6041), ""{{}}"", E6041), B6041)"),"Louer appartement Mézières FR: Trouvez le bien immobilier qui correspond idéalement à vos désirs sur ImmoScout24 - La plateforme de l'immobilier en Suisse.")</f>
        <v>Louer appartement Mézières FR: Trouvez le bien immobilier qui correspond idéalement à vos désirs sur ImmoScout24 - La plateforme de l'immobilier en Suisse.</v>
      </c>
    </row>
    <row r="6042" hidden="1">
      <c r="A6042" s="5" t="s">
        <v>15180</v>
      </c>
      <c r="B6042" s="2" t="s">
        <v>15181</v>
      </c>
      <c r="C6042" s="2" t="s">
        <v>15181</v>
      </c>
      <c r="D6042" s="4" t="str">
        <f>vlookup(A6042, Sheet2!D:E, 2, 0)</f>
        <v>control</v>
      </c>
      <c r="E6042" s="4" t="str">
        <f>IFERROR(__xludf.DUMMYFUNCTION("if(H6042=""pays"",vlookup(REGEXEXTRACT(C6042, ""🏘️ \w+ \w+ (.*) ✅""),'Country prepositions'!A:B, 2, 0) &amp; "" "" &amp; REGEXEXTRACT(C6042, ""🏘️ \w+ \w+ (.*) ✅"") ,  if(H6042=""quartier"",vlookup(REGEXEXTRACT(C6042, ""🏘️ \w+ \w+ (.*) ✅""),'Quartier prepositio"&amp;"ns'!A:E, 5, 0) ,  if(H6042=""region"",vlookup(REGEXEXTRACT(C6042, ""🏘️ \w+ \w+ (.*) ✅""),'Region prepositions'!B:F, 5, 0),  REGEXEXTRACT(C6042, ""🏘️ \w+ \w+ (.*) ✅""))))"),"#N/A")</f>
        <v>#N/A</v>
      </c>
      <c r="I6042" s="4" t="str">
        <f>IFERROR(__xludf.DUMMYFUNCTION("if(D6042=""variant"",  substitute(filter(Templates!E:E, Templates!A:A = F6042, Templates!B:B = G6042, Templates!C:C = H6042), ""{{}}"", E6042), B6042)"),"Vendre maison Evilard: Trouvez le bien immobilier qui correspond idéalement à vos désirs sur ImmoScout24 - La plateforme de l'immobilier en Suisse.")</f>
        <v>Vendre maison Evilard: Trouvez le bien immobilier qui correspond idéalement à vos désirs sur ImmoScout24 - La plateforme de l'immobilier en Suisse.</v>
      </c>
    </row>
    <row r="6043" hidden="1">
      <c r="A6043" s="5" t="s">
        <v>15182</v>
      </c>
      <c r="B6043" s="2" t="s">
        <v>15183</v>
      </c>
      <c r="C6043" s="2" t="s">
        <v>15183</v>
      </c>
      <c r="D6043" s="4" t="str">
        <f>vlookup(A6043, Sheet2!D:E, 2, 0)</f>
        <v>control</v>
      </c>
      <c r="E6043" s="4" t="str">
        <f>IFERROR(__xludf.DUMMYFUNCTION("if(H6043=""pays"",vlookup(REGEXEXTRACT(C6043, ""🏘️ \w+ \w+ (.*) ✅""),'Country prepositions'!A:B, 2, 0) &amp; "" "" &amp; REGEXEXTRACT(C6043, ""🏘️ \w+ \w+ (.*) ✅"") ,  if(H6043=""quartier"",vlookup(REGEXEXTRACT(C6043, ""🏘️ \w+ \w+ (.*) ✅""),'Quartier prepositio"&amp;"ns'!A:E, 5, 0) ,  if(H6043=""region"",vlookup(REGEXEXTRACT(C6043, ""🏘️ \w+ \w+ (.*) ✅""),'Region prepositions'!B:F, 5, 0),  REGEXEXTRACT(C6043, ""🏘️ \w+ \w+ (.*) ✅""))))"),"#N/A")</f>
        <v>#N/A</v>
      </c>
      <c r="I6043" s="4" t="str">
        <f>IFERROR(__xludf.DUMMYFUNCTION("if(D6043=""variant"",  substitute(filter(Templates!E:E, Templates!A:A = F6043, Templates!B:B = G6043, Templates!C:C = H6043), ""{{}}"", E6043), B6043)"),"Louer maison Avegno: Trouvez le bien immobilier qui correspond idéalement à vos désirs sur ImmoScout24 - La plateforme de l'immobilier en Suisse.")</f>
        <v>Louer maison Avegno: Trouvez le bien immobilier qui correspond idéalement à vos désirs sur ImmoScout24 - La plateforme de l'immobilier en Suisse.</v>
      </c>
    </row>
    <row r="6044" hidden="1">
      <c r="A6044" s="5" t="s">
        <v>15184</v>
      </c>
      <c r="B6044" s="2" t="s">
        <v>15185</v>
      </c>
      <c r="C6044" s="2" t="s">
        <v>15185</v>
      </c>
      <c r="D6044" s="4" t="str">
        <f>vlookup(A6044, Sheet2!D:E, 2, 0)</f>
        <v>control</v>
      </c>
      <c r="E6044" s="4" t="str">
        <f>IFERROR(__xludf.DUMMYFUNCTION("if(H6044=""pays"",vlookup(REGEXEXTRACT(C6044, ""🏘️ \w+ \w+ (.*) ✅""),'Country prepositions'!A:B, 2, 0) &amp; "" "" &amp; REGEXEXTRACT(C6044, ""🏘️ \w+ \w+ (.*) ✅"") ,  if(H6044=""quartier"",vlookup(REGEXEXTRACT(C6044, ""🏘️ \w+ \w+ (.*) ✅""),'Quartier prepositio"&amp;"ns'!A:E, 5, 0) ,  if(H6044=""region"",vlookup(REGEXEXTRACT(C6044, ""🏘️ \w+ \w+ (.*) ✅""),'Region prepositions'!B:F, 5, 0),  REGEXEXTRACT(C6044, ""🏘️ \w+ \w+ (.*) ✅""))))"),"#N/A")</f>
        <v>#N/A</v>
      </c>
      <c r="I6044" s="4" t="str">
        <f>IFERROR(__xludf.DUMMYFUNCTION("if(D6044=""variant"",  substitute(filter(Templates!E:E, Templates!A:A = F6044, Templates!B:B = G6044, Templates!C:C = H6044), ""{{}}"", E6044), B6044)"),"Vendre maison Aubonne: Trouvez le bien immobilier qui correspond idéalement à vos désirs sur ImmoScout24 - La plateforme de l'immobilier en Suisse.")</f>
        <v>Vendre maison Aubonne: Trouvez le bien immobilier qui correspond idéalement à vos désirs sur ImmoScout24 - La plateforme de l'immobilier en Suisse.</v>
      </c>
    </row>
    <row r="6045" hidden="1">
      <c r="A6045" s="5" t="s">
        <v>15186</v>
      </c>
      <c r="B6045" s="2" t="s">
        <v>15187</v>
      </c>
      <c r="C6045" s="2" t="s">
        <v>15187</v>
      </c>
      <c r="D6045" s="4" t="str">
        <f>vlookup(A6045, Sheet2!D:E, 2, 0)</f>
        <v>control</v>
      </c>
      <c r="E6045" s="4" t="str">
        <f>IFERROR(__xludf.DUMMYFUNCTION("if(H6045=""pays"",vlookup(REGEXEXTRACT(C6045, ""🏘️ \w+ \w+ (.*) ✅""),'Country prepositions'!A:B, 2, 0) &amp; "" "" &amp; REGEXEXTRACT(C6045, ""🏘️ \w+ \w+ (.*) ✅"") ,  if(H6045=""quartier"",vlookup(REGEXEXTRACT(C6045, ""🏘️ \w+ \w+ (.*) ✅""),'Quartier prepositio"&amp;"ns'!A:E, 5, 0) ,  if(H6045=""region"",vlookup(REGEXEXTRACT(C6045, ""🏘️ \w+ \w+ (.*) ✅""),'Region prepositions'!B:F, 5, 0),  REGEXEXTRACT(C6045, ""🏘️ \w+ \w+ (.*) ✅""))))"),"#N/A")</f>
        <v>#N/A</v>
      </c>
      <c r="I6045" s="4" t="str">
        <f>IFERROR(__xludf.DUMMYFUNCTION("if(D6045=""variant"",  substitute(filter(Templates!E:E, Templates!A:A = F6045, Templates!B:B = G6045, Templates!C:C = H6045), ""{{}}"", E6045), B6045)"),"Louer appartement Opfikon: Trouvez le bien immobilier qui correspond idéalement à vos désirs sur ImmoScout24 - La plateforme de l'immobilier en Suisse.")</f>
        <v>Louer appartement Opfikon: Trouvez le bien immobilier qui correspond idéalement à vos désirs sur ImmoScout24 - La plateforme de l'immobilier en Suisse.</v>
      </c>
    </row>
    <row r="6046" hidden="1">
      <c r="A6046" s="5" t="s">
        <v>15188</v>
      </c>
      <c r="B6046" s="2" t="s">
        <v>15189</v>
      </c>
      <c r="C6046" s="2" t="s">
        <v>15189</v>
      </c>
      <c r="D6046" s="4" t="str">
        <f>vlookup(A6046, Sheet2!D:E, 2, 0)</f>
        <v>control</v>
      </c>
      <c r="E6046" s="4" t="str">
        <f>IFERROR(__xludf.DUMMYFUNCTION("if(H6046=""pays"",vlookup(REGEXEXTRACT(C6046, ""🏘️ \w+ \w+ (.*) ✅""),'Country prepositions'!A:B, 2, 0) &amp; "" "" &amp; REGEXEXTRACT(C6046, ""🏘️ \w+ \w+ (.*) ✅"") ,  if(H6046=""quartier"",vlookup(REGEXEXTRACT(C6046, ""🏘️ \w+ \w+ (.*) ✅""),'Quartier prepositio"&amp;"ns'!A:E, 5, 0) ,  if(H6046=""region"",vlookup(REGEXEXTRACT(C6046, ""🏘️ \w+ \w+ (.*) ✅""),'Region prepositions'!B:F, 5, 0),  REGEXEXTRACT(C6046, ""🏘️ \w+ \w+ (.*) ✅""))))"),"#N/A")</f>
        <v>#N/A</v>
      </c>
      <c r="I6046" s="4" t="str">
        <f>IFERROR(__xludf.DUMMYFUNCTION("if(D6046=""variant"",  substitute(filter(Templates!E:E, Templates!A:A = F6046, Templates!B:B = G6046, Templates!C:C = H6046), ""{{}}"", E6046), B6046)"),"Louer appartement Essertines-sur-Rolle: Trouvez le bien immobilier qui correspond idéalement à vos désirs sur ImmoScout24 - La plateforme de l'immobilier en Suisse.")</f>
        <v>Louer appartement Essertines-sur-Rolle: Trouvez le bien immobilier qui correspond idéalement à vos désirs sur ImmoScout24 - La plateforme de l'immobilier en Suisse.</v>
      </c>
    </row>
    <row r="6047" hidden="1">
      <c r="A6047" s="5" t="s">
        <v>15190</v>
      </c>
      <c r="B6047" s="2" t="s">
        <v>15191</v>
      </c>
      <c r="C6047" s="2" t="s">
        <v>15191</v>
      </c>
      <c r="D6047" s="4" t="str">
        <f>vlookup(A6047, Sheet2!D:E, 2, 0)</f>
        <v>control</v>
      </c>
      <c r="E6047" s="4" t="str">
        <f>IFERROR(__xludf.DUMMYFUNCTION("if(H6047=""pays"",vlookup(REGEXEXTRACT(C6047, ""🏘️ \w+ \w+ (.*) ✅""),'Country prepositions'!A:B, 2, 0) &amp; "" "" &amp; REGEXEXTRACT(C6047, ""🏘️ \w+ \w+ (.*) ✅"") ,  if(H6047=""quartier"",vlookup(REGEXEXTRACT(C6047, ""🏘️ \w+ \w+ (.*) ✅""),'Quartier prepositio"&amp;"ns'!A:E, 5, 0) ,  if(H6047=""region"",vlookup(REGEXEXTRACT(C6047, ""🏘️ \w+ \w+ (.*) ✅""),'Region prepositions'!B:F, 5, 0),  REGEXEXTRACT(C6047, ""🏘️ \w+ \w+ (.*) ✅""))))"),"#N/A")</f>
        <v>#N/A</v>
      </c>
      <c r="I6047" s="4" t="str">
        <f>IFERROR(__xludf.DUMMYFUNCTION("if(D6047=""variant"",  substitute(filter(Templates!E:E, Templates!A:A = F6047, Templates!B:B = G6047, Templates!C:C = H6047), ""{{}}"", E6047), B6047)"),"Louer appartement Münsingen: Trouvez le bien immobilier qui correspond idéalement à vos désirs sur ImmoScout24 - La plateforme de l'immobilier en Suisse.")</f>
        <v>Louer appartement Münsingen: Trouvez le bien immobilier qui correspond idéalement à vos désirs sur ImmoScout24 - La plateforme de l'immobilier en Suisse.</v>
      </c>
    </row>
    <row r="6048" hidden="1">
      <c r="A6048" s="5" t="s">
        <v>15192</v>
      </c>
      <c r="B6048" s="2" t="s">
        <v>15193</v>
      </c>
      <c r="C6048" s="2" t="s">
        <v>15193</v>
      </c>
      <c r="D6048" s="4" t="str">
        <f>vlookup(A6048, Sheet2!D:E, 2, 0)</f>
        <v>control</v>
      </c>
      <c r="E6048" s="4" t="str">
        <f>IFERROR(__xludf.DUMMYFUNCTION("if(H6048=""pays"",vlookup(REGEXEXTRACT(C6048, ""🏘️ \w+ \w+ (.*) ✅""),'Country prepositions'!A:B, 2, 0) &amp; "" "" &amp; REGEXEXTRACT(C6048, ""🏘️ \w+ \w+ (.*) ✅"") ,  if(H6048=""quartier"",vlookup(REGEXEXTRACT(C6048, ""🏘️ \w+ \w+ (.*) ✅""),'Quartier prepositio"&amp;"ns'!A:E, 5, 0) ,  if(H6048=""region"",vlookup(REGEXEXTRACT(C6048, ""🏘️ \w+ \w+ (.*) ✅""),'Region prepositions'!B:F, 5, 0),  REGEXEXTRACT(C6048, ""🏘️ \w+ \w+ (.*) ✅""))))"),"#N/A")</f>
        <v>#N/A</v>
      </c>
      <c r="I6048" s="4" t="str">
        <f>IFERROR(__xludf.DUMMYFUNCTION("if(D6048=""variant"",  substitute(filter(Templates!E:E, Templates!A:A = F6048, Templates!B:B = G6048, Templates!C:C = H6048), ""{{}}"", E6048), B6048)"),"Vendre maison Ittigen: Trouvez le bien immobilier qui correspond idéalement à vos désirs sur ImmoScout24 - La plateforme de l'immobilier en Suisse.")</f>
        <v>Vendre maison Ittigen: Trouvez le bien immobilier qui correspond idéalement à vos désirs sur ImmoScout24 - La plateforme de l'immobilier en Suisse.</v>
      </c>
    </row>
    <row r="6049" hidden="1">
      <c r="A6049" s="5" t="s">
        <v>15194</v>
      </c>
      <c r="B6049" s="2" t="s">
        <v>15195</v>
      </c>
      <c r="C6049" s="2" t="s">
        <v>15195</v>
      </c>
      <c r="D6049" s="4" t="str">
        <f>vlookup(A6049, Sheet2!D:E, 2, 0)</f>
        <v>control</v>
      </c>
      <c r="E6049" s="4" t="str">
        <f>IFERROR(__xludf.DUMMYFUNCTION("if(H6049=""pays"",vlookup(REGEXEXTRACT(C6049, ""🏘️ \w+ \w+ (.*) ✅""),'Country prepositions'!A:B, 2, 0) &amp; "" "" &amp; REGEXEXTRACT(C6049, ""🏘️ \w+ \w+ (.*) ✅"") ,  if(H6049=""quartier"",vlookup(REGEXEXTRACT(C6049, ""🏘️ \w+ \w+ (.*) ✅""),'Quartier prepositio"&amp;"ns'!A:E, 5, 0) ,  if(H6049=""region"",vlookup(REGEXEXTRACT(C6049, ""🏘️ \w+ \w+ (.*) ✅""),'Region prepositions'!B:F, 5, 0),  REGEXEXTRACT(C6049, ""🏘️ \w+ \w+ (.*) ✅""))))"),"#N/A")</f>
        <v>#N/A</v>
      </c>
      <c r="I6049" s="4" t="str">
        <f>IFERROR(__xludf.DUMMYFUNCTION("if(D6049=""variant"",  substitute(filter(Templates!E:E, Templates!A:A = F6049, Templates!B:B = G6049, Templates!C:C = H6049), ""{{}}"", E6049), B6049)"),"Louer appartement Villars-sur-Glâne: Trouvez le bien immobilier qui correspond idéalement à vos désirs sur ImmoScout24 - La plateforme de l'immobilier en Suisse.")</f>
        <v>Louer appartement Villars-sur-Glâne: Trouvez le bien immobilier qui correspond idéalement à vos désirs sur ImmoScout24 - La plateforme de l'immobilier en Suisse.</v>
      </c>
    </row>
    <row r="6050" hidden="1">
      <c r="A6050" s="5" t="s">
        <v>15196</v>
      </c>
      <c r="B6050" s="2" t="s">
        <v>15197</v>
      </c>
      <c r="C6050" s="2" t="s">
        <v>15197</v>
      </c>
      <c r="D6050" s="4" t="str">
        <f>vlookup(A6050, Sheet2!D:E, 2, 0)</f>
        <v>control</v>
      </c>
      <c r="E6050" s="4" t="str">
        <f>IFERROR(__xludf.DUMMYFUNCTION("if(H6050=""pays"",vlookup(REGEXEXTRACT(C6050, ""🏘️ \w+ \w+ (.*) ✅""),'Country prepositions'!A:B, 2, 0) &amp; "" "" &amp; REGEXEXTRACT(C6050, ""🏘️ \w+ \w+ (.*) ✅"") ,  if(H6050=""quartier"",vlookup(REGEXEXTRACT(C6050, ""🏘️ \w+ \w+ (.*) ✅""),'Quartier prepositio"&amp;"ns'!A:E, 5, 0) ,  if(H6050=""region"",vlookup(REGEXEXTRACT(C6050, ""🏘️ \w+ \w+ (.*) ✅""),'Region prepositions'!B:F, 5, 0),  REGEXEXTRACT(C6050, ""🏘️ \w+ \w+ (.*) ✅""))))"),"#N/A")</f>
        <v>#N/A</v>
      </c>
      <c r="I6050" s="4" t="str">
        <f>IFERROR(__xludf.DUMMYFUNCTION("if(D6050=""variant"",  substitute(filter(Templates!E:E, Templates!A:A = F6050, Templates!B:B = G6050, Templates!C:C = H6050), ""{{}}"", E6050), B6050)"),"Vendre appartement Beromünster: Trouvez le bien immobilier qui correspond idéalement à vos désirs sur ImmoScout24 - La plateforme de l'immobilier en Suisse.")</f>
        <v>Vendre appartement Beromünster: Trouvez le bien immobilier qui correspond idéalement à vos désirs sur ImmoScout24 - La plateforme de l'immobilier en Suisse.</v>
      </c>
    </row>
    <row r="6051" hidden="1">
      <c r="A6051" s="5" t="s">
        <v>15198</v>
      </c>
      <c r="B6051" s="2" t="s">
        <v>15199</v>
      </c>
      <c r="C6051" s="2" t="s">
        <v>15199</v>
      </c>
      <c r="D6051" s="4" t="str">
        <f>vlookup(A6051, Sheet2!D:E, 2, 0)</f>
        <v>control</v>
      </c>
      <c r="E6051" s="4" t="str">
        <f>IFERROR(__xludf.DUMMYFUNCTION("if(H6051=""pays"",vlookup(REGEXEXTRACT(C6051, ""🏘️ \w+ \w+ (.*) ✅""),'Country prepositions'!A:B, 2, 0) &amp; "" "" &amp; REGEXEXTRACT(C6051, ""🏘️ \w+ \w+ (.*) ✅"") ,  if(H6051=""quartier"",vlookup(REGEXEXTRACT(C6051, ""🏘️ \w+ \w+ (.*) ✅""),'Quartier prepositio"&amp;"ns'!A:E, 5, 0) ,  if(H6051=""region"",vlookup(REGEXEXTRACT(C6051, ""🏘️ \w+ \w+ (.*) ✅""),'Region prepositions'!B:F, 5, 0),  REGEXEXTRACT(C6051, ""🏘️ \w+ \w+ (.*) ✅""))))"),"#N/A")</f>
        <v>#N/A</v>
      </c>
      <c r="I6051" s="4" t="str">
        <f>IFERROR(__xludf.DUMMYFUNCTION("if(D6051=""variant"",  substitute(filter(Templates!E:E, Templates!A:A = F6051, Templates!B:B = G6051, Templates!C:C = H6051), ""{{}}"", E6051), B6051)"),"Vendre appartement Dietikon: Trouvez le bien immobilier qui correspond idéalement à vos désirs sur ImmoScout24 - La plateforme de l'immobilier en Suisse.")</f>
        <v>Vendre appartement Dietikon: Trouvez le bien immobilier qui correspond idéalement à vos désirs sur ImmoScout24 - La plateforme de l'immobilier en Suisse.</v>
      </c>
    </row>
    <row r="6052" hidden="1">
      <c r="A6052" s="5" t="s">
        <v>15200</v>
      </c>
      <c r="B6052" s="2" t="s">
        <v>15201</v>
      </c>
      <c r="C6052" s="2" t="s">
        <v>15201</v>
      </c>
      <c r="D6052" s="4" t="str">
        <f>vlookup(A6052, Sheet2!D:E, 2, 0)</f>
        <v>control</v>
      </c>
      <c r="E6052" s="4" t="str">
        <f>IFERROR(__xludf.DUMMYFUNCTION("if(H6052=""pays"",vlookup(REGEXEXTRACT(C6052, ""🏘️ \w+ \w+ (.*) ✅""),'Country prepositions'!A:B, 2, 0) &amp; "" "" &amp; REGEXEXTRACT(C6052, ""🏘️ \w+ \w+ (.*) ✅"") ,  if(H6052=""quartier"",vlookup(REGEXEXTRACT(C6052, ""🏘️ \w+ \w+ (.*) ✅""),'Quartier prepositio"&amp;"ns'!A:E, 5, 0) ,  if(H6052=""region"",vlookup(REGEXEXTRACT(C6052, ""🏘️ \w+ \w+ (.*) ✅""),'Region prepositions'!B:F, 5, 0),  REGEXEXTRACT(C6052, ""🏘️ \w+ \w+ (.*) ✅""))))"),"#N/A")</f>
        <v>#N/A</v>
      </c>
      <c r="I6052" s="4" t="str">
        <f>IFERROR(__xludf.DUMMYFUNCTION("if(D6052=""variant"",  substitute(filter(Templates!E:E, Templates!A:A = F6052, Templates!B:B = G6052, Templates!C:C = H6052), ""{{}}"", E6052), B6052)"),"Louer appartement Wildhaus: Trouvez le bien immobilier qui correspond idéalement à vos désirs sur ImmoScout24 - La plateforme de l'immobilier en Suisse.")</f>
        <v>Louer appartement Wildhaus: Trouvez le bien immobilier qui correspond idéalement à vos désirs sur ImmoScout24 - La plateforme de l'immobilier en Suisse.</v>
      </c>
    </row>
    <row r="6053" hidden="1">
      <c r="A6053" s="5" t="s">
        <v>15202</v>
      </c>
      <c r="B6053" s="2" t="s">
        <v>15203</v>
      </c>
      <c r="C6053" s="2" t="s">
        <v>15203</v>
      </c>
      <c r="D6053" s="4" t="str">
        <f>vlookup(A6053, Sheet2!D:E, 2, 0)</f>
        <v>control</v>
      </c>
      <c r="E6053" s="4" t="str">
        <f>IFERROR(__xludf.DUMMYFUNCTION("if(H6053=""pays"",vlookup(REGEXEXTRACT(C6053, ""🏘️ \w+ \w+ (.*) ✅""),'Country prepositions'!A:B, 2, 0) &amp; "" "" &amp; REGEXEXTRACT(C6053, ""🏘️ \w+ \w+ (.*) ✅"") ,  if(H6053=""quartier"",vlookup(REGEXEXTRACT(C6053, ""🏘️ \w+ \w+ (.*) ✅""),'Quartier prepositio"&amp;"ns'!A:E, 5, 0) ,  if(H6053=""region"",vlookup(REGEXEXTRACT(C6053, ""🏘️ \w+ \w+ (.*) ✅""),'Region prepositions'!B:F, 5, 0),  REGEXEXTRACT(C6053, ""🏘️ \w+ \w+ (.*) ✅""))))"),"#N/A")</f>
        <v>#N/A</v>
      </c>
      <c r="I6053" s="4" t="str">
        <f>IFERROR(__xludf.DUMMYFUNCTION("if(D6053=""variant"",  substitute(filter(Templates!E:E, Templates!A:A = F6053, Templates!B:B = G6053, Templates!C:C = H6053), ""{{}}"", E6053), B6053)"),"Louer appartement Cazis: Trouvez le bien immobilier qui correspond idéalement à vos désirs sur ImmoScout24 - La plateforme de l'immobilier en Suisse.")</f>
        <v>Louer appartement Cazis: Trouvez le bien immobilier qui correspond idéalement à vos désirs sur ImmoScout24 - La plateforme de l'immobilier en Suisse.</v>
      </c>
    </row>
    <row r="6054" hidden="1">
      <c r="A6054" s="5" t="s">
        <v>15204</v>
      </c>
      <c r="B6054" s="2" t="s">
        <v>15205</v>
      </c>
      <c r="C6054" s="2" t="s">
        <v>15205</v>
      </c>
      <c r="D6054" s="4" t="str">
        <f>vlookup(A6054, Sheet2!D:E, 2, 0)</f>
        <v>control</v>
      </c>
      <c r="E6054" s="4" t="str">
        <f>IFERROR(__xludf.DUMMYFUNCTION("if(H6054=""pays"",vlookup(REGEXEXTRACT(C6054, ""🏘️ \w+ \w+ (.*) ✅""),'Country prepositions'!A:B, 2, 0) &amp; "" "" &amp; REGEXEXTRACT(C6054, ""🏘️ \w+ \w+ (.*) ✅"") ,  if(H6054=""quartier"",vlookup(REGEXEXTRACT(C6054, ""🏘️ \w+ \w+ (.*) ✅""),'Quartier prepositio"&amp;"ns'!A:E, 5, 0) ,  if(H6054=""region"",vlookup(REGEXEXTRACT(C6054, ""🏘️ \w+ \w+ (.*) ✅""),'Region prepositions'!B:F, 5, 0),  REGEXEXTRACT(C6054, ""🏘️ \w+ \w+ (.*) ✅""))))"),"#N/A")</f>
        <v>#N/A</v>
      </c>
      <c r="I6054" s="4" t="str">
        <f>IFERROR(__xludf.DUMMYFUNCTION("if(D6054=""variant"",  substitute(filter(Templates!E:E, Templates!A:A = F6054, Templates!B:B = G6054, Templates!C:C = H6054), ""{{}}"", E6054), B6054)"),"Vendre maison Lovens: Trouvez le bien immobilier qui correspond idéalement à vos désirs sur ImmoScout24 - La plateforme de l'immobilier en Suisse.")</f>
        <v>Vendre maison Lovens: Trouvez le bien immobilier qui correspond idéalement à vos désirs sur ImmoScout24 - La plateforme de l'immobilier en Suisse.</v>
      </c>
    </row>
    <row r="6055" hidden="1">
      <c r="A6055" s="5" t="s">
        <v>15206</v>
      </c>
      <c r="B6055" s="2" t="s">
        <v>15207</v>
      </c>
      <c r="C6055" s="2" t="s">
        <v>15207</v>
      </c>
      <c r="D6055" s="4" t="str">
        <f>vlookup(A6055, Sheet2!D:E, 2, 0)</f>
        <v>control</v>
      </c>
      <c r="E6055" s="4" t="str">
        <f>IFERROR(__xludf.DUMMYFUNCTION("if(H6055=""pays"",vlookup(REGEXEXTRACT(C6055, ""🏘️ \w+ \w+ (.*) ✅""),'Country prepositions'!A:B, 2, 0) &amp; "" "" &amp; REGEXEXTRACT(C6055, ""🏘️ \w+ \w+ (.*) ✅"") ,  if(H6055=""quartier"",vlookup(REGEXEXTRACT(C6055, ""🏘️ \w+ \w+ (.*) ✅""),'Quartier prepositio"&amp;"ns'!A:E, 5, 0) ,  if(H6055=""region"",vlookup(REGEXEXTRACT(C6055, ""🏘️ \w+ \w+ (.*) ✅""),'Region prepositions'!B:F, 5, 0),  REGEXEXTRACT(C6055, ""🏘️ \w+ \w+ (.*) ✅""))))"),"#N/A")</f>
        <v>#N/A</v>
      </c>
      <c r="I6055" s="4" t="str">
        <f>IFERROR(__xludf.DUMMYFUNCTION("if(D6055=""variant"",  substitute(filter(Templates!E:E, Templates!A:A = F6055, Templates!B:B = G6055, Templates!C:C = H6055), ""{{}}"", E6055), B6055)"),"Louer appartement Aranno: Trouvez le bien immobilier qui correspond idéalement à vos désirs sur ImmoScout24 - La plateforme de l'immobilier en Suisse.")</f>
        <v>Louer appartement Aranno: Trouvez le bien immobilier qui correspond idéalement à vos désirs sur ImmoScout24 - La plateforme de l'immobilier en Suisse.</v>
      </c>
    </row>
    <row r="6056" hidden="1">
      <c r="A6056" s="5" t="s">
        <v>15208</v>
      </c>
      <c r="B6056" s="2" t="s">
        <v>15209</v>
      </c>
      <c r="C6056" s="2" t="s">
        <v>15209</v>
      </c>
      <c r="D6056" s="4" t="str">
        <f>vlookup(A6056, Sheet2!D:E, 2, 0)</f>
        <v>control</v>
      </c>
      <c r="E6056" s="4" t="str">
        <f>IFERROR(__xludf.DUMMYFUNCTION("if(H6056=""pays"",vlookup(REGEXEXTRACT(C6056, ""🏘️ \w+ \w+ (.*) ✅""),'Country prepositions'!A:B, 2, 0) &amp; "" "" &amp; REGEXEXTRACT(C6056, ""🏘️ \w+ \w+ (.*) ✅"") ,  if(H6056=""quartier"",vlookup(REGEXEXTRACT(C6056, ""🏘️ \w+ \w+ (.*) ✅""),'Quartier prepositio"&amp;"ns'!A:E, 5, 0) ,  if(H6056=""region"",vlookup(REGEXEXTRACT(C6056, ""🏘️ \w+ \w+ (.*) ✅""),'Region prepositions'!B:F, 5, 0),  REGEXEXTRACT(C6056, ""🏘️ \w+ \w+ (.*) ✅""))))"),"#N/A")</f>
        <v>#N/A</v>
      </c>
      <c r="I6056" s="4" t="str">
        <f>IFERROR(__xludf.DUMMYFUNCTION("if(D6056=""variant"",  substitute(filter(Templates!E:E, Templates!A:A = F6056, Templates!B:B = G6056, Templates!C:C = H6056), ""{{}}"", E6056), B6056)"),"Louer appartement Sutz: Trouvez le bien immobilier qui correspond idéalement à vos désirs sur ImmoScout24 - La plateforme de l'immobilier en Suisse.")</f>
        <v>Louer appartement Sutz: Trouvez le bien immobilier qui correspond idéalement à vos désirs sur ImmoScout24 - La plateforme de l'immobilier en Suisse.</v>
      </c>
    </row>
    <row r="6057" hidden="1">
      <c r="A6057" s="5" t="s">
        <v>15210</v>
      </c>
      <c r="B6057" s="2" t="s">
        <v>15211</v>
      </c>
      <c r="C6057" s="2" t="s">
        <v>15211</v>
      </c>
      <c r="D6057" s="4" t="str">
        <f>vlookup(A6057, Sheet2!D:E, 2, 0)</f>
        <v>control</v>
      </c>
      <c r="E6057" s="4" t="str">
        <f>IFERROR(__xludf.DUMMYFUNCTION("if(H6057=""pays"",vlookup(REGEXEXTRACT(C6057, ""🏘️ \w+ \w+ (.*) ✅""),'Country prepositions'!A:B, 2, 0) &amp; "" "" &amp; REGEXEXTRACT(C6057, ""🏘️ \w+ \w+ (.*) ✅"") ,  if(H6057=""quartier"",vlookup(REGEXEXTRACT(C6057, ""🏘️ \w+ \w+ (.*) ✅""),'Quartier prepositio"&amp;"ns'!A:E, 5, 0) ,  if(H6057=""region"",vlookup(REGEXEXTRACT(C6057, ""🏘️ \w+ \w+ (.*) ✅""),'Region prepositions'!B:F, 5, 0),  REGEXEXTRACT(C6057, ""🏘️ \w+ \w+ (.*) ✅""))))"),"#N/A")</f>
        <v>#N/A</v>
      </c>
      <c r="I6057" s="4" t="str">
        <f>IFERROR(__xludf.DUMMYFUNCTION("if(D6057=""variant"",  substitute(filter(Templates!E:E, Templates!A:A = F6057, Templates!B:B = G6057, Templates!C:C = H6057), ""{{}}"", E6057), B6057)"),"Louer appartement Ausserberg: Trouvez le bien immobilier qui correspond idéalement à vos désirs sur ImmoScout24 - La plateforme de l'immobilier en Suisse.")</f>
        <v>Louer appartement Ausserberg: Trouvez le bien immobilier qui correspond idéalement à vos désirs sur ImmoScout24 - La plateforme de l'immobilier en Suisse.</v>
      </c>
    </row>
    <row r="6058" hidden="1">
      <c r="A6058" s="5" t="s">
        <v>15212</v>
      </c>
      <c r="B6058" s="2" t="s">
        <v>15213</v>
      </c>
      <c r="C6058" s="2" t="s">
        <v>15213</v>
      </c>
      <c r="D6058" s="4" t="str">
        <f>vlookup(A6058, Sheet2!D:E, 2, 0)</f>
        <v>control</v>
      </c>
      <c r="E6058" s="4" t="str">
        <f>IFERROR(__xludf.DUMMYFUNCTION("if(H6058=""pays"",vlookup(REGEXEXTRACT(C6058, ""🏘️ \w+ \w+ (.*) ✅""),'Country prepositions'!A:B, 2, 0) &amp; "" "" &amp; REGEXEXTRACT(C6058, ""🏘️ \w+ \w+ (.*) ✅"") ,  if(H6058=""quartier"",vlookup(REGEXEXTRACT(C6058, ""🏘️ \w+ \w+ (.*) ✅""),'Quartier prepositio"&amp;"ns'!A:E, 5, 0) ,  if(H6058=""region"",vlookup(REGEXEXTRACT(C6058, ""🏘️ \w+ \w+ (.*) ✅""),'Region prepositions'!B:F, 5, 0),  REGEXEXTRACT(C6058, ""🏘️ \w+ \w+ (.*) ✅""))))"),"#N/A")</f>
        <v>#N/A</v>
      </c>
      <c r="I6058" s="4" t="str">
        <f>IFERROR(__xludf.DUMMYFUNCTION("if(D6058=""variant"",  substitute(filter(Templates!E:E, Templates!A:A = F6058, Templates!B:B = G6058, Templates!C:C = H6058), ""{{}}"", E6058), B6058)"),"Vendre maison Môtier (Vully): Trouvez le bien immobilier qui correspond idéalement à vos désirs sur ImmoScout24 - La plateforme de l'immobilier en Suisse.")</f>
        <v>Vendre maison Môtier (Vully): Trouvez le bien immobilier qui correspond idéalement à vos désirs sur ImmoScout24 - La plateforme de l'immobilier en Suisse.</v>
      </c>
    </row>
    <row r="6059" hidden="1">
      <c r="A6059" s="5" t="s">
        <v>15214</v>
      </c>
      <c r="B6059" s="2" t="s">
        <v>15215</v>
      </c>
      <c r="C6059" s="2" t="s">
        <v>15215</v>
      </c>
      <c r="D6059" s="4" t="str">
        <f>vlookup(A6059, Sheet2!D:E, 2, 0)</f>
        <v>control</v>
      </c>
      <c r="E6059" s="4" t="str">
        <f>IFERROR(__xludf.DUMMYFUNCTION("if(H6059=""pays"",vlookup(REGEXEXTRACT(C6059, ""🏘️ \w+ \w+ (.*) ✅""),'Country prepositions'!A:B, 2, 0) &amp; "" "" &amp; REGEXEXTRACT(C6059, ""🏘️ \w+ \w+ (.*) ✅"") ,  if(H6059=""quartier"",vlookup(REGEXEXTRACT(C6059, ""🏘️ \w+ \w+ (.*) ✅""),'Quartier prepositio"&amp;"ns'!A:E, 5, 0) ,  if(H6059=""region"",vlookup(REGEXEXTRACT(C6059, ""🏘️ \w+ \w+ (.*) ✅""),'Region prepositions'!B:F, 5, 0),  REGEXEXTRACT(C6059, ""🏘️ \w+ \w+ (.*) ✅""))))"),"#N/A")</f>
        <v>#N/A</v>
      </c>
      <c r="I6059" s="4" t="str">
        <f>IFERROR(__xludf.DUMMYFUNCTION("if(D6059=""variant"",  substitute(filter(Templates!E:E, Templates!A:A = F6059, Templates!B:B = G6059, Templates!C:C = H6059), ""{{}}"", E6059), B6059)"),"Louer appartement Le Cerneux-Péquignot: Trouvez le bien immobilier qui correspond idéalement à vos désirs sur ImmoScout24 - La plateforme de l'immobilier en Suisse.")</f>
        <v>Louer appartement Le Cerneux-Péquignot: Trouvez le bien immobilier qui correspond idéalement à vos désirs sur ImmoScout24 - La plateforme de l'immobilier en Suisse.</v>
      </c>
    </row>
    <row r="6060" hidden="1">
      <c r="A6060" s="5" t="s">
        <v>15216</v>
      </c>
      <c r="B6060" s="2" t="s">
        <v>15217</v>
      </c>
      <c r="C6060" s="2" t="s">
        <v>15217</v>
      </c>
      <c r="D6060" s="4" t="str">
        <f>vlookup(A6060, Sheet2!D:E, 2, 0)</f>
        <v>control</v>
      </c>
      <c r="E6060" s="4" t="str">
        <f>IFERROR(__xludf.DUMMYFUNCTION("if(H6060=""pays"",vlookup(REGEXEXTRACT(C6060, ""🏘️ \w+ \w+ (.*) ✅""),'Country prepositions'!A:B, 2, 0) &amp; "" "" &amp; REGEXEXTRACT(C6060, ""🏘️ \w+ \w+ (.*) ✅"") ,  if(H6060=""quartier"",vlookup(REGEXEXTRACT(C6060, ""🏘️ \w+ \w+ (.*) ✅""),'Quartier prepositio"&amp;"ns'!A:E, 5, 0) ,  if(H6060=""region"",vlookup(REGEXEXTRACT(C6060, ""🏘️ \w+ \w+ (.*) ✅""),'Region prepositions'!B:F, 5, 0),  REGEXEXTRACT(C6060, ""🏘️ \w+ \w+ (.*) ✅""))))"),"#N/A")</f>
        <v>#N/A</v>
      </c>
      <c r="I6060" s="4" t="str">
        <f>IFERROR(__xludf.DUMMYFUNCTION("if(D6060=""variant"",  substitute(filter(Templates!E:E, Templates!A:A = F6060, Templates!B:B = G6060, Templates!C:C = H6060), ""{{}}"", E6060), B6060)"),"Louer appartement Crissier: Trouvez le bien immobilier qui correspond idéalement à vos désirs sur ImmoScout24 - La plateforme de l'immobilier en Suisse.")</f>
        <v>Louer appartement Crissier: Trouvez le bien immobilier qui correspond idéalement à vos désirs sur ImmoScout24 - La plateforme de l'immobilier en Suisse.</v>
      </c>
    </row>
    <row r="6061" hidden="1">
      <c r="A6061" s="5" t="s">
        <v>15218</v>
      </c>
      <c r="B6061" s="2" t="s">
        <v>15219</v>
      </c>
      <c r="C6061" s="2" t="s">
        <v>15219</v>
      </c>
      <c r="D6061" s="4" t="str">
        <f>vlookup(A6061, Sheet2!D:E, 2, 0)</f>
        <v>control</v>
      </c>
      <c r="E6061" s="4" t="str">
        <f>IFERROR(__xludf.DUMMYFUNCTION("if(H6061=""pays"",vlookup(REGEXEXTRACT(C6061, ""🏘️ \w+ \w+ (.*) ✅""),'Country prepositions'!A:B, 2, 0) &amp; "" "" &amp; REGEXEXTRACT(C6061, ""🏘️ \w+ \w+ (.*) ✅"") ,  if(H6061=""quartier"",vlookup(REGEXEXTRACT(C6061, ""🏘️ \w+ \w+ (.*) ✅""),'Quartier prepositio"&amp;"ns'!A:E, 5, 0) ,  if(H6061=""region"",vlookup(REGEXEXTRACT(C6061, ""🏘️ \w+ \w+ (.*) ✅""),'Region prepositions'!B:F, 5, 0),  REGEXEXTRACT(C6061, ""🏘️ \w+ \w+ (.*) ✅""))))"),"#N/A")</f>
        <v>#N/A</v>
      </c>
      <c r="I6061" s="4" t="str">
        <f>IFERROR(__xludf.DUMMYFUNCTION("if(D6061=""variant"",  substitute(filter(Templates!E:E, Templates!A:A = F6061, Templates!B:B = G6061, Templates!C:C = H6061), ""{{}}"", E6061), B6061)"),"Louer maison Les Mosses: Trouvez le bien immobilier qui correspond idéalement à vos désirs sur ImmoScout24 - La plateforme de l'immobilier en Suisse.")</f>
        <v>Louer maison Les Mosses: Trouvez le bien immobilier qui correspond idéalement à vos désirs sur ImmoScout24 - La plateforme de l'immobilier en Suisse.</v>
      </c>
    </row>
    <row r="6062" hidden="1">
      <c r="A6062" s="5" t="s">
        <v>15220</v>
      </c>
      <c r="B6062" s="2" t="s">
        <v>15221</v>
      </c>
      <c r="C6062" s="2" t="s">
        <v>15221</v>
      </c>
      <c r="D6062" s="4" t="str">
        <f>vlookup(A6062, Sheet2!D:E, 2, 0)</f>
        <v>control</v>
      </c>
      <c r="E6062" s="4" t="str">
        <f>IFERROR(__xludf.DUMMYFUNCTION("if(H6062=""pays"",vlookup(REGEXEXTRACT(C6062, ""🏘️ \w+ \w+ (.*) ✅""),'Country prepositions'!A:B, 2, 0) &amp; "" "" &amp; REGEXEXTRACT(C6062, ""🏘️ \w+ \w+ (.*) ✅"") ,  if(H6062=""quartier"",vlookup(REGEXEXTRACT(C6062, ""🏘️ \w+ \w+ (.*) ✅""),'Quartier prepositio"&amp;"ns'!A:E, 5, 0) ,  if(H6062=""region"",vlookup(REGEXEXTRACT(C6062, ""🏘️ \w+ \w+ (.*) ✅""),'Region prepositions'!B:F, 5, 0),  REGEXEXTRACT(C6062, ""🏘️ \w+ \w+ (.*) ✅""))))"),"#N/A")</f>
        <v>#N/A</v>
      </c>
      <c r="I6062" s="4" t="str">
        <f>IFERROR(__xludf.DUMMYFUNCTION("if(D6062=""variant"",  substitute(filter(Templates!E:E, Templates!A:A = F6062, Templates!B:B = G6062, Templates!C:C = H6062), ""{{}}"", E6062), B6062)"),"Louer appartement Leibstadt: Trouvez le bien immobilier qui correspond idéalement à vos désirs sur ImmoScout24 - La plateforme de l'immobilier en Suisse.")</f>
        <v>Louer appartement Leibstadt: Trouvez le bien immobilier qui correspond idéalement à vos désirs sur ImmoScout24 - La plateforme de l'immobilier en Suisse.</v>
      </c>
    </row>
    <row r="6063" hidden="1">
      <c r="A6063" s="5" t="s">
        <v>15222</v>
      </c>
      <c r="B6063" s="2" t="s">
        <v>15223</v>
      </c>
      <c r="C6063" s="2" t="s">
        <v>15223</v>
      </c>
      <c r="D6063" s="4" t="str">
        <f>vlookup(A6063, Sheet2!D:E, 2, 0)</f>
        <v>control</v>
      </c>
      <c r="E6063" s="4" t="str">
        <f>IFERROR(__xludf.DUMMYFUNCTION("if(H6063=""pays"",vlookup(REGEXEXTRACT(C6063, ""🏘️ \w+ \w+ (.*) ✅""),'Country prepositions'!A:B, 2, 0) &amp; "" "" &amp; REGEXEXTRACT(C6063, ""🏘️ \w+ \w+ (.*) ✅"") ,  if(H6063=""quartier"",vlookup(REGEXEXTRACT(C6063, ""🏘️ \w+ \w+ (.*) ✅""),'Quartier prepositio"&amp;"ns'!A:E, 5, 0) ,  if(H6063=""region"",vlookup(REGEXEXTRACT(C6063, ""🏘️ \w+ \w+ (.*) ✅""),'Region prepositions'!B:F, 5, 0),  REGEXEXTRACT(C6063, ""🏘️ \w+ \w+ (.*) ✅""))))"),"#N/A")</f>
        <v>#N/A</v>
      </c>
      <c r="I6063" s="4" t="str">
        <f>IFERROR(__xludf.DUMMYFUNCTION("if(D6063=""variant"",  substitute(filter(Templates!E:E, Templates!A:A = F6063, Templates!B:B = G6063, Templates!C:C = H6063), ""{{}}"", E6063), B6063)"),"Vendre maison Grellingen: Trouvez le bien immobilier qui correspond idéalement à vos désirs sur ImmoScout24 - La plateforme de l'immobilier en Suisse.")</f>
        <v>Vendre maison Grellingen: Trouvez le bien immobilier qui correspond idéalement à vos désirs sur ImmoScout24 - La plateforme de l'immobilier en Suisse.</v>
      </c>
    </row>
    <row r="6064" hidden="1">
      <c r="A6064" s="5" t="s">
        <v>15224</v>
      </c>
      <c r="B6064" s="2" t="s">
        <v>15225</v>
      </c>
      <c r="C6064" s="2" t="s">
        <v>15225</v>
      </c>
      <c r="D6064" s="4" t="str">
        <f>vlookup(A6064, Sheet2!D:E, 2, 0)</f>
        <v>control</v>
      </c>
      <c r="E6064" s="4" t="str">
        <f>IFERROR(__xludf.DUMMYFUNCTION("if(H6064=""pays"",vlookup(REGEXEXTRACT(C6064, ""🏘️ \w+ \w+ (.*) ✅""),'Country prepositions'!A:B, 2, 0) &amp; "" "" &amp; REGEXEXTRACT(C6064, ""🏘️ \w+ \w+ (.*) ✅"") ,  if(H6064=""quartier"",vlookup(REGEXEXTRACT(C6064, ""🏘️ \w+ \w+ (.*) ✅""),'Quartier prepositio"&amp;"ns'!A:E, 5, 0) ,  if(H6064=""region"",vlookup(REGEXEXTRACT(C6064, ""🏘️ \w+ \w+ (.*) ✅""),'Region prepositions'!B:F, 5, 0),  REGEXEXTRACT(C6064, ""🏘️ \w+ \w+ (.*) ✅""))))"),"#N/A")</f>
        <v>#N/A</v>
      </c>
      <c r="I6064" s="4" t="str">
        <f>IFERROR(__xludf.DUMMYFUNCTION("if(D6064=""variant"",  substitute(filter(Templates!E:E, Templates!A:A = F6064, Templates!B:B = G6064, Templates!C:C = H6064), ""{{}}"", E6064), B6064)"),"Louer maison Canton d'Appenzell RE: Trouvez le bien immobilier qui correspond idéalement à vos désirs sur ImmoScout24 - La plateforme de l'immobilier en Suisse.")</f>
        <v>Louer maison Canton d'Appenzell RE: Trouvez le bien immobilier qui correspond idéalement à vos désirs sur ImmoScout24 - La plateforme de l'immobilier en Suisse.</v>
      </c>
    </row>
    <row r="6065" hidden="1">
      <c r="A6065" s="5" t="s">
        <v>15226</v>
      </c>
      <c r="B6065" s="2" t="s">
        <v>15227</v>
      </c>
      <c r="C6065" s="2" t="s">
        <v>15227</v>
      </c>
      <c r="D6065" s="4" t="str">
        <f>vlookup(A6065, Sheet2!D:E, 2, 0)</f>
        <v>control</v>
      </c>
      <c r="E6065" s="4" t="str">
        <f>IFERROR(__xludf.DUMMYFUNCTION("if(H6065=""pays"",vlookup(REGEXEXTRACT(C6065, ""🏘️ \w+ \w+ (.*) ✅""),'Country prepositions'!A:B, 2, 0) &amp; "" "" &amp; REGEXEXTRACT(C6065, ""🏘️ \w+ \w+ (.*) ✅"") ,  if(H6065=""quartier"",vlookup(REGEXEXTRACT(C6065, ""🏘️ \w+ \w+ (.*) ✅""),'Quartier prepositio"&amp;"ns'!A:E, 5, 0) ,  if(H6065=""region"",vlookup(REGEXEXTRACT(C6065, ""🏘️ \w+ \w+ (.*) ✅""),'Region prepositions'!B:F, 5, 0),  REGEXEXTRACT(C6065, ""🏘️ \w+ \w+ (.*) ✅""))))"),"#N/A")</f>
        <v>#N/A</v>
      </c>
      <c r="I6065" s="4" t="str">
        <f>IFERROR(__xludf.DUMMYFUNCTION("if(D6065=""variant"",  substitute(filter(Templates!E:E, Templates!A:A = F6065, Templates!B:B = G6065, Templates!C:C = H6065), ""{{}}"", E6065), B6065)"),"Vendre appartement Auvernier: Trouvez le bien immobilier qui correspond idéalement à vos désirs sur ImmoScout24 - La plateforme de l'immobilier en Suisse.")</f>
        <v>Vendre appartement Auvernier: Trouvez le bien immobilier qui correspond idéalement à vos désirs sur ImmoScout24 - La plateforme de l'immobilier en Suisse.</v>
      </c>
    </row>
    <row r="6066" hidden="1">
      <c r="A6066" s="5" t="s">
        <v>15228</v>
      </c>
      <c r="B6066" s="2" t="s">
        <v>15229</v>
      </c>
      <c r="C6066" s="2" t="s">
        <v>15229</v>
      </c>
      <c r="D6066" s="4" t="str">
        <f>vlookup(A6066, Sheet2!D:E, 2, 0)</f>
        <v>control</v>
      </c>
      <c r="E6066" s="4" t="str">
        <f>IFERROR(__xludf.DUMMYFUNCTION("if(H6066=""pays"",vlookup(REGEXEXTRACT(C6066, ""🏘️ \w+ \w+ (.*) ✅""),'Country prepositions'!A:B, 2, 0) &amp; "" "" &amp; REGEXEXTRACT(C6066, ""🏘️ \w+ \w+ (.*) ✅"") ,  if(H6066=""quartier"",vlookup(REGEXEXTRACT(C6066, ""🏘️ \w+ \w+ (.*) ✅""),'Quartier prepositio"&amp;"ns'!A:E, 5, 0) ,  if(H6066=""region"",vlookup(REGEXEXTRACT(C6066, ""🏘️ \w+ \w+ (.*) ✅""),'Region prepositions'!B:F, 5, 0),  REGEXEXTRACT(C6066, ""🏘️ \w+ \w+ (.*) ✅""))))"),"#N/A")</f>
        <v>#N/A</v>
      </c>
      <c r="I6066" s="4" t="str">
        <f>IFERROR(__xludf.DUMMYFUNCTION("if(D6066=""variant"",  substitute(filter(Templates!E:E, Templates!A:A = F6066, Templates!B:B = G6066, Templates!C:C = H6066), ""{{}}"", E6066), B6066)"),"Louer appartement Lerchenfeld (Thun): Trouvez le bien immobilier qui correspond idéalement à vos désirs sur ImmoScout24 - La plateforme de l'immobilier en Suisse.")</f>
        <v>Louer appartement Lerchenfeld (Thun): Trouvez le bien immobilier qui correspond idéalement à vos désirs sur ImmoScout24 - La plateforme de l'immobilier en Suisse.</v>
      </c>
    </row>
    <row r="6067" hidden="1">
      <c r="A6067" s="5" t="s">
        <v>15230</v>
      </c>
      <c r="B6067" s="2" t="s">
        <v>15231</v>
      </c>
      <c r="C6067" s="2" t="s">
        <v>15231</v>
      </c>
      <c r="D6067" s="4" t="str">
        <f>vlookup(A6067, Sheet2!D:E, 2, 0)</f>
        <v>control</v>
      </c>
      <c r="E6067" s="4" t="str">
        <f>IFERROR(__xludf.DUMMYFUNCTION("if(H6067=""pays"",vlookup(REGEXEXTRACT(C6067, ""🏘️ \w+ \w+ (.*) ✅""),'Country prepositions'!A:B, 2, 0) &amp; "" "" &amp; REGEXEXTRACT(C6067, ""🏘️ \w+ \w+ (.*) ✅"") ,  if(H6067=""quartier"",vlookup(REGEXEXTRACT(C6067, ""🏘️ \w+ \w+ (.*) ✅""),'Quartier prepositio"&amp;"ns'!A:E, 5, 0) ,  if(H6067=""region"",vlookup(REGEXEXTRACT(C6067, ""🏘️ \w+ \w+ (.*) ✅""),'Region prepositions'!B:F, 5, 0),  REGEXEXTRACT(C6067, ""🏘️ \w+ \w+ (.*) ✅""))))"),"#N/A")</f>
        <v>#N/A</v>
      </c>
      <c r="I6067" s="4" t="str">
        <f>IFERROR(__xludf.DUMMYFUNCTION("if(D6067=""variant"",  substitute(filter(Templates!E:E, Templates!A:A = F6067, Templates!B:B = G6067, Templates!C:C = H6067), ""{{}}"", E6067), B6067)"),"Louer appartement Gerra (Gambarogno): Trouvez le bien immobilier qui correspond idéalement à vos désirs sur ImmoScout24 - La plateforme de l'immobilier en Suisse.")</f>
        <v>Louer appartement Gerra (Gambarogno): Trouvez le bien immobilier qui correspond idéalement à vos désirs sur ImmoScout24 - La plateforme de l'immobilier en Suisse.</v>
      </c>
    </row>
    <row r="6068" hidden="1">
      <c r="A6068" s="5" t="s">
        <v>15232</v>
      </c>
      <c r="B6068" s="2" t="s">
        <v>15233</v>
      </c>
      <c r="C6068" s="2" t="s">
        <v>15233</v>
      </c>
      <c r="D6068" s="4" t="str">
        <f>vlookup(A6068, Sheet2!D:E, 2, 0)</f>
        <v>control</v>
      </c>
      <c r="E6068" s="4" t="str">
        <f>IFERROR(__xludf.DUMMYFUNCTION("if(H6068=""pays"",vlookup(REGEXEXTRACT(C6068, ""🏘️ \w+ \w+ (.*) ✅""),'Country prepositions'!A:B, 2, 0) &amp; "" "" &amp; REGEXEXTRACT(C6068, ""🏘️ \w+ \w+ (.*) ✅"") ,  if(H6068=""quartier"",vlookup(REGEXEXTRACT(C6068, ""🏘️ \w+ \w+ (.*) ✅""),'Quartier prepositio"&amp;"ns'!A:E, 5, 0) ,  if(H6068=""region"",vlookup(REGEXEXTRACT(C6068, ""🏘️ \w+ \w+ (.*) ✅""),'Region prepositions'!B:F, 5, 0),  REGEXEXTRACT(C6068, ""🏘️ \w+ \w+ (.*) ✅""))))"),"#N/A")</f>
        <v>#N/A</v>
      </c>
      <c r="I6068" s="4" t="str">
        <f>IFERROR(__xludf.DUMMYFUNCTION("if(D6068=""variant"",  substitute(filter(Templates!E:E, Templates!A:A = F6068, Templates!B:B = G6068, Templates!C:C = H6068), ""{{}}"", E6068), B6068)"),"Vendre maison La Praz: Trouvez le bien immobilier qui correspond idéalement à vos désirs sur ImmoScout24 - La plateforme de l'immobilier en Suisse.")</f>
        <v>Vendre maison La Praz: Trouvez le bien immobilier qui correspond idéalement à vos désirs sur ImmoScout24 - La plateforme de l'immobilier en Suisse.</v>
      </c>
    </row>
    <row r="6069" hidden="1">
      <c r="A6069" s="5" t="s">
        <v>15234</v>
      </c>
      <c r="B6069" s="2" t="s">
        <v>15235</v>
      </c>
      <c r="C6069" s="2" t="s">
        <v>15235</v>
      </c>
      <c r="D6069" s="4" t="str">
        <f>vlookup(A6069, Sheet2!D:E, 2, 0)</f>
        <v>control</v>
      </c>
      <c r="E6069" s="4" t="str">
        <f>IFERROR(__xludf.DUMMYFUNCTION("if(H6069=""pays"",vlookup(REGEXEXTRACT(C6069, ""🏘️ \w+ \w+ (.*) ✅""),'Country prepositions'!A:B, 2, 0) &amp; "" "" &amp; REGEXEXTRACT(C6069, ""🏘️ \w+ \w+ (.*) ✅"") ,  if(H6069=""quartier"",vlookup(REGEXEXTRACT(C6069, ""🏘️ \w+ \w+ (.*) ✅""),'Quartier prepositio"&amp;"ns'!A:E, 5, 0) ,  if(H6069=""region"",vlookup(REGEXEXTRACT(C6069, ""🏘️ \w+ \w+ (.*) ✅""),'Region prepositions'!B:F, 5, 0),  REGEXEXTRACT(C6069, ""🏘️ \w+ \w+ (.*) ✅""))))"),"#N/A")</f>
        <v>#N/A</v>
      </c>
      <c r="I6069" s="4" t="str">
        <f>IFERROR(__xludf.DUMMYFUNCTION("if(D6069=""variant"",  substitute(filter(Templates!E:E, Templates!A:A = F6069, Templates!B:B = G6069, Templates!C:C = H6069), ""{{}}"", E6069), B6069)"),"Vendre maison Thierrens: Trouvez le bien immobilier qui correspond idéalement à vos désirs sur ImmoScout24 - La plateforme de l'immobilier en Suisse.")</f>
        <v>Vendre maison Thierrens: Trouvez le bien immobilier qui correspond idéalement à vos désirs sur ImmoScout24 - La plateforme de l'immobilier en Suisse.</v>
      </c>
    </row>
    <row r="6070" hidden="1">
      <c r="A6070" s="5" t="s">
        <v>15236</v>
      </c>
      <c r="B6070" s="2" t="s">
        <v>15237</v>
      </c>
      <c r="C6070" s="2" t="s">
        <v>15237</v>
      </c>
      <c r="D6070" s="4" t="str">
        <f>vlookup(A6070, Sheet2!D:E, 2, 0)</f>
        <v>control</v>
      </c>
      <c r="E6070" s="4" t="str">
        <f>IFERROR(__xludf.DUMMYFUNCTION("if(H6070=""pays"",vlookup(REGEXEXTRACT(C6070, ""🏘️ \w+ \w+ (.*) ✅""),'Country prepositions'!A:B, 2, 0) &amp; "" "" &amp; REGEXEXTRACT(C6070, ""🏘️ \w+ \w+ (.*) ✅"") ,  if(H6070=""quartier"",vlookup(REGEXEXTRACT(C6070, ""🏘️ \w+ \w+ (.*) ✅""),'Quartier prepositio"&amp;"ns'!A:E, 5, 0) ,  if(H6070=""region"",vlookup(REGEXEXTRACT(C6070, ""🏘️ \w+ \w+ (.*) ✅""),'Region prepositions'!B:F, 5, 0),  REGEXEXTRACT(C6070, ""🏘️ \w+ \w+ (.*) ✅""))))"),"#N/A")</f>
        <v>#N/A</v>
      </c>
      <c r="I6070" s="4" t="str">
        <f>IFERROR(__xludf.DUMMYFUNCTION("if(D6070=""variant"",  substitute(filter(Templates!E:E, Templates!A:A = F6070, Templates!B:B = G6070, Templates!C:C = H6070), ""{{}}"", E6070), B6070)"),"Vendre appartement Poschiavo: Trouvez le bien immobilier qui correspond idéalement à vos désirs sur ImmoScout24 - La plateforme de l'immobilier en Suisse.")</f>
        <v>Vendre appartement Poschiavo: Trouvez le bien immobilier qui correspond idéalement à vos désirs sur ImmoScout24 - La plateforme de l'immobilier en Suisse.</v>
      </c>
    </row>
    <row r="6071" hidden="1">
      <c r="A6071" s="5" t="s">
        <v>15238</v>
      </c>
      <c r="B6071" s="2" t="s">
        <v>15239</v>
      </c>
      <c r="C6071" s="2" t="s">
        <v>15239</v>
      </c>
      <c r="D6071" s="4" t="str">
        <f>vlookup(A6071, Sheet2!D:E, 2, 0)</f>
        <v>control</v>
      </c>
      <c r="E6071" s="4" t="str">
        <f>IFERROR(__xludf.DUMMYFUNCTION("if(H6071=""pays"",vlookup(REGEXEXTRACT(C6071, ""🏘️ \w+ \w+ (.*) ✅""),'Country prepositions'!A:B, 2, 0) &amp; "" "" &amp; REGEXEXTRACT(C6071, ""🏘️ \w+ \w+ (.*) ✅"") ,  if(H6071=""quartier"",vlookup(REGEXEXTRACT(C6071, ""🏘️ \w+ \w+ (.*) ✅""),'Quartier prepositio"&amp;"ns'!A:E, 5, 0) ,  if(H6071=""region"",vlookup(REGEXEXTRACT(C6071, ""🏘️ \w+ \w+ (.*) ✅""),'Region prepositions'!B:F, 5, 0),  REGEXEXTRACT(C6071, ""🏘️ \w+ \w+ (.*) ✅""))))"),"#N/A")</f>
        <v>#N/A</v>
      </c>
      <c r="I6071" s="4" t="str">
        <f>IFERROR(__xludf.DUMMYFUNCTION("if(D6071=""variant"",  substitute(filter(Templates!E:E, Templates!A:A = F6071, Templates!B:B = G6071, Templates!C:C = H6071), ""{{}}"", E6071), B6071)"),"Louer appartement La Fouly VS: Trouvez le bien immobilier qui correspond idéalement à vos désirs sur ImmoScout24 - La plateforme de l'immobilier en Suisse.")</f>
        <v>Louer appartement La Fouly VS: Trouvez le bien immobilier qui correspond idéalement à vos désirs sur ImmoScout24 - La plateforme de l'immobilier en Suisse.</v>
      </c>
    </row>
    <row r="6072" hidden="1">
      <c r="A6072" s="5" t="s">
        <v>15240</v>
      </c>
      <c r="B6072" s="2" t="s">
        <v>15241</v>
      </c>
      <c r="C6072" s="2" t="s">
        <v>15241</v>
      </c>
      <c r="D6072" s="4" t="str">
        <f>vlookup(A6072, Sheet2!D:E, 2, 0)</f>
        <v>control</v>
      </c>
      <c r="E6072" s="4" t="str">
        <f>IFERROR(__xludf.DUMMYFUNCTION("if(H6072=""pays"",vlookup(REGEXEXTRACT(C6072, ""🏘️ \w+ \w+ (.*) ✅""),'Country prepositions'!A:B, 2, 0) &amp; "" "" &amp; REGEXEXTRACT(C6072, ""🏘️ \w+ \w+ (.*) ✅"") ,  if(H6072=""quartier"",vlookup(REGEXEXTRACT(C6072, ""🏘️ \w+ \w+ (.*) ✅""),'Quartier prepositio"&amp;"ns'!A:E, 5, 0) ,  if(H6072=""region"",vlookup(REGEXEXTRACT(C6072, ""🏘️ \w+ \w+ (.*) ✅""),'Region prepositions'!B:F, 5, 0),  REGEXEXTRACT(C6072, ""🏘️ \w+ \w+ (.*) ✅""))))"),"#N/A")</f>
        <v>#N/A</v>
      </c>
      <c r="I6072" s="4" t="str">
        <f>IFERROR(__xludf.DUMMYFUNCTION("if(D6072=""variant"",  substitute(filter(Templates!E:E, Templates!A:A = F6072, Templates!B:B = G6072, Templates!C:C = H6072), ""{{}}"", E6072), B6072)"),"Vendre maison Rive Droite: Trouvez le bien immobilier qui correspond idéalement à vos désirs sur ImmoScout24 - La plateforme de l'immobilier en Suisse.")</f>
        <v>Vendre maison Rive Droite: Trouvez le bien immobilier qui correspond idéalement à vos désirs sur ImmoScout24 - La plateforme de l'immobilier en Suisse.</v>
      </c>
    </row>
    <row r="6073" hidden="1">
      <c r="A6073" s="5" t="s">
        <v>15242</v>
      </c>
      <c r="B6073" s="2" t="s">
        <v>15243</v>
      </c>
      <c r="C6073" s="2" t="s">
        <v>15243</v>
      </c>
      <c r="D6073" s="4" t="str">
        <f>vlookup(A6073, Sheet2!D:E, 2, 0)</f>
        <v>control</v>
      </c>
      <c r="E6073" s="4" t="str">
        <f>IFERROR(__xludf.DUMMYFUNCTION("if(H6073=""pays"",vlookup(REGEXEXTRACT(C6073, ""🏘️ \w+ \w+ (.*) ✅""),'Country prepositions'!A:B, 2, 0) &amp; "" "" &amp; REGEXEXTRACT(C6073, ""🏘️ \w+ \w+ (.*) ✅"") ,  if(H6073=""quartier"",vlookup(REGEXEXTRACT(C6073, ""🏘️ \w+ \w+ (.*) ✅""),'Quartier prepositio"&amp;"ns'!A:E, 5, 0) ,  if(H6073=""region"",vlookup(REGEXEXTRACT(C6073, ""🏘️ \w+ \w+ (.*) ✅""),'Region prepositions'!B:F, 5, 0),  REGEXEXTRACT(C6073, ""🏘️ \w+ \w+ (.*) ✅""))))"),"#N/A")</f>
        <v>#N/A</v>
      </c>
      <c r="I6073" s="4" t="str">
        <f>IFERROR(__xludf.DUMMYFUNCTION("if(D6073=""variant"",  substitute(filter(Templates!E:E, Templates!A:A = F6073, Templates!B:B = G6073, Templates!C:C = H6073), ""{{}}"", E6073), B6073)"),"Vendre maison Grandvillard: Trouvez le bien immobilier qui correspond idéalement à vos désirs sur ImmoScout24 - La plateforme de l'immobilier en Suisse.")</f>
        <v>Vendre maison Grandvillard: Trouvez le bien immobilier qui correspond idéalement à vos désirs sur ImmoScout24 - La plateforme de l'immobilier en Suisse.</v>
      </c>
    </row>
    <row r="6074" hidden="1">
      <c r="A6074" s="5" t="s">
        <v>15244</v>
      </c>
      <c r="B6074" s="2" t="s">
        <v>15245</v>
      </c>
      <c r="C6074" s="2" t="s">
        <v>15245</v>
      </c>
      <c r="D6074" s="4" t="str">
        <f>vlookup(A6074, Sheet2!D:E, 2, 0)</f>
        <v>control</v>
      </c>
      <c r="E6074" s="4" t="str">
        <f>IFERROR(__xludf.DUMMYFUNCTION("if(H6074=""pays"",vlookup(REGEXEXTRACT(C6074, ""🏘️ \w+ \w+ (.*) ✅""),'Country prepositions'!A:B, 2, 0) &amp; "" "" &amp; REGEXEXTRACT(C6074, ""🏘️ \w+ \w+ (.*) ✅"") ,  if(H6074=""quartier"",vlookup(REGEXEXTRACT(C6074, ""🏘️ \w+ \w+ (.*) ✅""),'Quartier prepositio"&amp;"ns'!A:E, 5, 0) ,  if(H6074=""region"",vlookup(REGEXEXTRACT(C6074, ""🏘️ \w+ \w+ (.*) ✅""),'Region prepositions'!B:F, 5, 0),  REGEXEXTRACT(C6074, ""🏘️ \w+ \w+ (.*) ✅""))))"),"#N/A")</f>
        <v>#N/A</v>
      </c>
      <c r="I6074" s="4" t="str">
        <f>IFERROR(__xludf.DUMMYFUNCTION("if(D6074=""variant"",  substitute(filter(Templates!E:E, Templates!A:A = F6074, Templates!B:B = G6074, Templates!C:C = H6074), ""{{}}"", E6074), B6074)"),"Vendre appartement Schoenberg (Fribourg): Trouvez le bien immobilier qui correspond idéalement à vos désirs sur ImmoScout24 - La plateforme de l'immobilier en Suisse.")</f>
        <v>Vendre appartement Schoenberg (Fribourg): Trouvez le bien immobilier qui correspond idéalement à vos désirs sur ImmoScout24 - La plateforme de l'immobilier en Suisse.</v>
      </c>
    </row>
    <row r="6075" hidden="1">
      <c r="A6075" s="5" t="s">
        <v>15246</v>
      </c>
      <c r="B6075" s="2" t="s">
        <v>15247</v>
      </c>
      <c r="C6075" s="2" t="s">
        <v>15247</v>
      </c>
      <c r="D6075" s="4" t="str">
        <f>vlookup(A6075, Sheet2!D:E, 2, 0)</f>
        <v>control</v>
      </c>
      <c r="E6075" s="4" t="str">
        <f>IFERROR(__xludf.DUMMYFUNCTION("if(H6075=""pays"",vlookup(REGEXEXTRACT(C6075, ""🏘️ \w+ \w+ (.*) ✅""),'Country prepositions'!A:B, 2, 0) &amp; "" "" &amp; REGEXEXTRACT(C6075, ""🏘️ \w+ \w+ (.*) ✅"") ,  if(H6075=""quartier"",vlookup(REGEXEXTRACT(C6075, ""🏘️ \w+ \w+ (.*) ✅""),'Quartier prepositio"&amp;"ns'!A:E, 5, 0) ,  if(H6075=""region"",vlookup(REGEXEXTRACT(C6075, ""🏘️ \w+ \w+ (.*) ✅""),'Region prepositions'!B:F, 5, 0),  REGEXEXTRACT(C6075, ""🏘️ \w+ \w+ (.*) ✅""))))"),"#N/A")</f>
        <v>#N/A</v>
      </c>
      <c r="I6075" s="4" t="str">
        <f>IFERROR(__xludf.DUMMYFUNCTION("if(D6075=""variant"",  substitute(filter(Templates!E:E, Templates!A:A = F6075, Templates!B:B = G6075, Templates!C:C = H6075), ""{{}}"", E6075), B6075)"),"Louer appartement Saas im Prättigau: Trouvez le bien immobilier qui correspond idéalement à vos désirs sur ImmoScout24 - La plateforme de l'immobilier en Suisse.")</f>
        <v>Louer appartement Saas im Prättigau: Trouvez le bien immobilier qui correspond idéalement à vos désirs sur ImmoScout24 - La plateforme de l'immobilier en Suisse.</v>
      </c>
    </row>
    <row r="6076" hidden="1">
      <c r="A6076" s="5" t="s">
        <v>15248</v>
      </c>
      <c r="B6076" s="2" t="s">
        <v>15249</v>
      </c>
      <c r="C6076" s="2" t="s">
        <v>15249</v>
      </c>
      <c r="D6076" s="4" t="str">
        <f>vlookup(A6076, Sheet2!D:E, 2, 0)</f>
        <v>control</v>
      </c>
      <c r="E6076" s="4" t="str">
        <f>IFERROR(__xludf.DUMMYFUNCTION("if(H6076=""pays"",vlookup(REGEXEXTRACT(C6076, ""🏘️ \w+ \w+ (.*) ✅""),'Country prepositions'!A:B, 2, 0) &amp; "" "" &amp; REGEXEXTRACT(C6076, ""🏘️ \w+ \w+ (.*) ✅"") ,  if(H6076=""quartier"",vlookup(REGEXEXTRACT(C6076, ""🏘️ \w+ \w+ (.*) ✅""),'Quartier prepositio"&amp;"ns'!A:E, 5, 0) ,  if(H6076=""region"",vlookup(REGEXEXTRACT(C6076, ""🏘️ \w+ \w+ (.*) ✅""),'Region prepositions'!B:F, 5, 0),  REGEXEXTRACT(C6076, ""🏘️ \w+ \w+ (.*) ✅""))))"),"#N/A")</f>
        <v>#N/A</v>
      </c>
      <c r="I6076" s="4" t="str">
        <f>IFERROR(__xludf.DUMMYFUNCTION("if(D6076=""variant"",  substitute(filter(Templates!E:E, Templates!A:A = F6076, Templates!B:B = G6076, Templates!C:C = H6076), ""{{}}"", E6076), B6076)"),"Vendre maison Sion: Trouvez le bien immobilier qui correspond idéalement à vos désirs sur ImmoScout24 - La plateforme de l'immobilier en Suisse.")</f>
        <v>Vendre maison Sion: Trouvez le bien immobilier qui correspond idéalement à vos désirs sur ImmoScout24 - La plateforme de l'immobilier en Suisse.</v>
      </c>
    </row>
    <row r="6077" hidden="1">
      <c r="A6077" s="5" t="s">
        <v>15250</v>
      </c>
      <c r="B6077" s="2" t="s">
        <v>15251</v>
      </c>
      <c r="C6077" s="2" t="s">
        <v>15251</v>
      </c>
      <c r="D6077" s="4" t="str">
        <f>vlookup(A6077, Sheet2!D:E, 2, 0)</f>
        <v>control</v>
      </c>
      <c r="E6077" s="4" t="str">
        <f>IFERROR(__xludf.DUMMYFUNCTION("if(H6077=""pays"",vlookup(REGEXEXTRACT(C6077, ""🏘️ \w+ \w+ (.*) ✅""),'Country prepositions'!A:B, 2, 0) &amp; "" "" &amp; REGEXEXTRACT(C6077, ""🏘️ \w+ \w+ (.*) ✅"") ,  if(H6077=""quartier"",vlookup(REGEXEXTRACT(C6077, ""🏘️ \w+ \w+ (.*) ✅""),'Quartier prepositio"&amp;"ns'!A:E, 5, 0) ,  if(H6077=""region"",vlookup(REGEXEXTRACT(C6077, ""🏘️ \w+ \w+ (.*) ✅""),'Region prepositions'!B:F, 5, 0),  REGEXEXTRACT(C6077, ""🏘️ \w+ \w+ (.*) ✅""))))"),"#N/A")</f>
        <v>#N/A</v>
      </c>
      <c r="I6077" s="4" t="str">
        <f>IFERROR(__xludf.DUMMYFUNCTION("if(D6077=""variant"",  substitute(filter(Templates!E:E, Templates!A:A = F6077, Templates!B:B = G6077, Templates!C:C = H6077), ""{{}}"", E6077), B6077)"),"Vendre maison Schindellegi: Trouvez le bien immobilier qui correspond idéalement à vos désirs sur ImmoScout24 - La plateforme de l'immobilier en Suisse.")</f>
        <v>Vendre maison Schindellegi: Trouvez le bien immobilier qui correspond idéalement à vos désirs sur ImmoScout24 - La plateforme de l'immobilier en Suisse.</v>
      </c>
    </row>
    <row r="6078" hidden="1">
      <c r="A6078" s="5" t="s">
        <v>15252</v>
      </c>
      <c r="B6078" s="2" t="s">
        <v>15253</v>
      </c>
      <c r="C6078" s="2" t="s">
        <v>15253</v>
      </c>
      <c r="D6078" s="4" t="str">
        <f>vlookup(A6078, Sheet2!D:E, 2, 0)</f>
        <v>control</v>
      </c>
      <c r="E6078" s="4" t="str">
        <f>IFERROR(__xludf.DUMMYFUNCTION("if(H6078=""pays"",vlookup(REGEXEXTRACT(C6078, ""🏘️ \w+ \w+ (.*) ✅""),'Country prepositions'!A:B, 2, 0) &amp; "" "" &amp; REGEXEXTRACT(C6078, ""🏘️ \w+ \w+ (.*) ✅"") ,  if(H6078=""quartier"",vlookup(REGEXEXTRACT(C6078, ""🏘️ \w+ \w+ (.*) ✅""),'Quartier prepositio"&amp;"ns'!A:E, 5, 0) ,  if(H6078=""region"",vlookup(REGEXEXTRACT(C6078, ""🏘️ \w+ \w+ (.*) ✅""),'Region prepositions'!B:F, 5, 0),  REGEXEXTRACT(C6078, ""🏘️ \w+ \w+ (.*) ✅""))))"),"#N/A")</f>
        <v>#N/A</v>
      </c>
      <c r="I6078" s="4" t="str">
        <f>IFERROR(__xludf.DUMMYFUNCTION("if(D6078=""variant"",  substitute(filter(Templates!E:E, Templates!A:A = F6078, Templates!B:B = G6078, Templates!C:C = H6078), ""{{}}"", E6078), B6078)"),"Louer appartement Lachen SZ: Trouvez le bien immobilier qui correspond idéalement à vos désirs sur ImmoScout24 - La plateforme de l'immobilier en Suisse.")</f>
        <v>Louer appartement Lachen SZ: Trouvez le bien immobilier qui correspond idéalement à vos désirs sur ImmoScout24 - La plateforme de l'immobilier en Suisse.</v>
      </c>
    </row>
    <row r="6079" hidden="1">
      <c r="A6079" s="5" t="s">
        <v>15254</v>
      </c>
      <c r="B6079" s="2" t="s">
        <v>15255</v>
      </c>
      <c r="C6079" s="2" t="s">
        <v>15255</v>
      </c>
      <c r="D6079" s="4" t="str">
        <f>vlookup(A6079, Sheet2!D:E, 2, 0)</f>
        <v>control</v>
      </c>
      <c r="E6079" s="4" t="str">
        <f>IFERROR(__xludf.DUMMYFUNCTION("if(H6079=""pays"",vlookup(REGEXEXTRACT(C6079, ""🏘️ \w+ \w+ (.*) ✅""),'Country prepositions'!A:B, 2, 0) &amp; "" "" &amp; REGEXEXTRACT(C6079, ""🏘️ \w+ \w+ (.*) ✅"") ,  if(H6079=""quartier"",vlookup(REGEXEXTRACT(C6079, ""🏘️ \w+ \w+ (.*) ✅""),'Quartier prepositio"&amp;"ns'!A:E, 5, 0) ,  if(H6079=""region"",vlookup(REGEXEXTRACT(C6079, ""🏘️ \w+ \w+ (.*) ✅""),'Region prepositions'!B:F, 5, 0),  REGEXEXTRACT(C6079, ""🏘️ \w+ \w+ (.*) ✅""))))"),"#N/A")</f>
        <v>#N/A</v>
      </c>
      <c r="I6079" s="4" t="str">
        <f>IFERROR(__xludf.DUMMYFUNCTION("if(D6079=""variant"",  substitute(filter(Templates!E:E, Templates!A:A = F6079, Templates!B:B = G6079, Templates!C:C = H6079), ""{{}}"", E6079), B6079)"),"Louer appartement Dietikon: Trouvez le bien immobilier qui correspond idéalement à vos désirs sur ImmoScout24 - La plateforme de l'immobilier en Suisse.")</f>
        <v>Louer appartement Dietikon: Trouvez le bien immobilier qui correspond idéalement à vos désirs sur ImmoScout24 - La plateforme de l'immobilier en Suisse.</v>
      </c>
    </row>
    <row r="6080" hidden="1">
      <c r="A6080" s="5" t="s">
        <v>15256</v>
      </c>
      <c r="B6080" s="2" t="s">
        <v>15257</v>
      </c>
      <c r="C6080" s="2" t="s">
        <v>15257</v>
      </c>
      <c r="D6080" s="4" t="str">
        <f>vlookup(A6080, Sheet2!D:E, 2, 0)</f>
        <v>control</v>
      </c>
      <c r="E6080" s="4" t="str">
        <f>IFERROR(__xludf.DUMMYFUNCTION("if(H6080=""pays"",vlookup(REGEXEXTRACT(C6080, ""🏘️ \w+ \w+ (.*) ✅""),'Country prepositions'!A:B, 2, 0) &amp; "" "" &amp; REGEXEXTRACT(C6080, ""🏘️ \w+ \w+ (.*) ✅"") ,  if(H6080=""quartier"",vlookup(REGEXEXTRACT(C6080, ""🏘️ \w+ \w+ (.*) ✅""),'Quartier prepositio"&amp;"ns'!A:E, 5, 0) ,  if(H6080=""region"",vlookup(REGEXEXTRACT(C6080, ""🏘️ \w+ \w+ (.*) ✅""),'Region prepositions'!B:F, 5, 0),  REGEXEXTRACT(C6080, ""🏘️ \w+ \w+ (.*) ✅""))))"),"#N/A")</f>
        <v>#N/A</v>
      </c>
      <c r="I6080" s="4" t="str">
        <f>IFERROR(__xludf.DUMMYFUNCTION("if(D6080=""variant"",  substitute(filter(Templates!E:E, Templates!A:A = F6080, Templates!B:B = G6080, Templates!C:C = H6080), ""{{}}"", E6080), B6080)"),"Vendre maison Afghanistan: Trouvez le bien immobilier qui correspond idéalement à vos désirs sur ImmoScout24 - La plateforme de l'immobilier en Suisse.")</f>
        <v>Vendre maison Afghanistan: Trouvez le bien immobilier qui correspond idéalement à vos désirs sur ImmoScout24 - La plateforme de l'immobilier en Suisse.</v>
      </c>
    </row>
    <row r="6081" hidden="1">
      <c r="A6081" s="5" t="s">
        <v>15258</v>
      </c>
      <c r="B6081" s="2" t="s">
        <v>15259</v>
      </c>
      <c r="C6081" s="2" t="s">
        <v>15259</v>
      </c>
      <c r="D6081" s="4" t="str">
        <f>vlookup(A6081, Sheet2!D:E, 2, 0)</f>
        <v>control</v>
      </c>
      <c r="E6081" s="4" t="str">
        <f>IFERROR(__xludf.DUMMYFUNCTION("if(H6081=""pays"",vlookup(REGEXEXTRACT(C6081, ""🏘️ \w+ \w+ (.*) ✅""),'Country prepositions'!A:B, 2, 0) &amp; "" "" &amp; REGEXEXTRACT(C6081, ""🏘️ \w+ \w+ (.*) ✅"") ,  if(H6081=""quartier"",vlookup(REGEXEXTRACT(C6081, ""🏘️ \w+ \w+ (.*) ✅""),'Quartier prepositio"&amp;"ns'!A:E, 5, 0) ,  if(H6081=""region"",vlookup(REGEXEXTRACT(C6081, ""🏘️ \w+ \w+ (.*) ✅""),'Region prepositions'!B:F, 5, 0),  REGEXEXTRACT(C6081, ""🏘️ \w+ \w+ (.*) ✅""))))"),"#N/A")</f>
        <v>#N/A</v>
      </c>
      <c r="I6081" s="4" t="str">
        <f>IFERROR(__xludf.DUMMYFUNCTION("if(D6081=""variant"",  substitute(filter(Templates!E:E, Templates!A:A = F6081, Templates!B:B = G6081, Templates!C:C = H6081), ""{{}}"", E6081), B6081)"),"Vendre appartement Pringy: Trouvez le bien immobilier qui correspond idéalement à vos désirs sur ImmoScout24 - La plateforme de l'immobilier en Suisse.")</f>
        <v>Vendre appartement Pringy: Trouvez le bien immobilier qui correspond idéalement à vos désirs sur ImmoScout24 - La plateforme de l'immobilier en Suisse.</v>
      </c>
    </row>
    <row r="6082" hidden="1">
      <c r="A6082" s="5" t="s">
        <v>15260</v>
      </c>
      <c r="B6082" s="2" t="s">
        <v>15261</v>
      </c>
      <c r="C6082" s="2" t="s">
        <v>15261</v>
      </c>
      <c r="D6082" s="4" t="str">
        <f>vlookup(A6082, Sheet2!D:E, 2, 0)</f>
        <v>control</v>
      </c>
      <c r="E6082" s="4" t="str">
        <f>IFERROR(__xludf.DUMMYFUNCTION("if(H6082=""pays"",vlookup(REGEXEXTRACT(C6082, ""🏘️ \w+ \w+ (.*) ✅""),'Country prepositions'!A:B, 2, 0) &amp; "" "" &amp; REGEXEXTRACT(C6082, ""🏘️ \w+ \w+ (.*) ✅"") ,  if(H6082=""quartier"",vlookup(REGEXEXTRACT(C6082, ""🏘️ \w+ \w+ (.*) ✅""),'Quartier prepositio"&amp;"ns'!A:E, 5, 0) ,  if(H6082=""region"",vlookup(REGEXEXTRACT(C6082, ""🏘️ \w+ \w+ (.*) ✅""),'Region prepositions'!B:F, 5, 0),  REGEXEXTRACT(C6082, ""🏘️ \w+ \w+ (.*) ✅""))))"),"#N/A")</f>
        <v>#N/A</v>
      </c>
      <c r="I6082" s="4" t="str">
        <f>IFERROR(__xludf.DUMMYFUNCTION("if(D6082=""variant"",  substitute(filter(Templates!E:E, Templates!A:A = F6082, Templates!B:B = G6082, Templates!C:C = H6082), ""{{}}"", E6082), B6082)"),"Louer appartement Avully: Trouvez le bien immobilier qui correspond idéalement à vos désirs sur ImmoScout24 - La plateforme de l'immobilier en Suisse.")</f>
        <v>Louer appartement Avully: Trouvez le bien immobilier qui correspond idéalement à vos désirs sur ImmoScout24 - La plateforme de l'immobilier en Suisse.</v>
      </c>
    </row>
    <row r="6083" hidden="1">
      <c r="A6083" s="5" t="s">
        <v>15262</v>
      </c>
      <c r="B6083" s="2" t="s">
        <v>15263</v>
      </c>
      <c r="C6083" s="2" t="s">
        <v>15263</v>
      </c>
      <c r="D6083" s="4" t="str">
        <f>vlookup(A6083, Sheet2!D:E, 2, 0)</f>
        <v>control</v>
      </c>
      <c r="E6083" s="4" t="str">
        <f>IFERROR(__xludf.DUMMYFUNCTION("if(H6083=""pays"",vlookup(REGEXEXTRACT(C6083, ""🏘️ \w+ \w+ (.*) ✅""),'Country prepositions'!A:B, 2, 0) &amp; "" "" &amp; REGEXEXTRACT(C6083, ""🏘️ \w+ \w+ (.*) ✅"") ,  if(H6083=""quartier"",vlookup(REGEXEXTRACT(C6083, ""🏘️ \w+ \w+ (.*) ✅""),'Quartier prepositio"&amp;"ns'!A:E, 5, 0) ,  if(H6083=""region"",vlookup(REGEXEXTRACT(C6083, ""🏘️ \w+ \w+ (.*) ✅""),'Region prepositions'!B:F, 5, 0),  REGEXEXTRACT(C6083, ""🏘️ \w+ \w+ (.*) ✅""))))"),"#N/A")</f>
        <v>#N/A</v>
      </c>
      <c r="I6083" s="4" t="str">
        <f>IFERROR(__xludf.DUMMYFUNCTION("if(D6083=""variant"",  substitute(filter(Templates!E:E, Templates!A:A = F6083, Templates!B:B = G6083, Templates!C:C = H6083), ""{{}}"", E6083), B6083)"),"Vendre maison Aesch BL: Trouvez le bien immobilier qui correspond idéalement à vos désirs sur ImmoScout24 - La plateforme de l'immobilier en Suisse.")</f>
        <v>Vendre maison Aesch BL: Trouvez le bien immobilier qui correspond idéalement à vos désirs sur ImmoScout24 - La plateforme de l'immobilier en Suisse.</v>
      </c>
    </row>
    <row r="6084" hidden="1">
      <c r="A6084" s="5" t="s">
        <v>15264</v>
      </c>
      <c r="B6084" s="2" t="s">
        <v>15265</v>
      </c>
      <c r="C6084" s="2" t="s">
        <v>15265</v>
      </c>
      <c r="D6084" s="4" t="str">
        <f>vlookup(A6084, Sheet2!D:E, 2, 0)</f>
        <v>control</v>
      </c>
      <c r="E6084" s="4" t="str">
        <f>IFERROR(__xludf.DUMMYFUNCTION("if(H6084=""pays"",vlookup(REGEXEXTRACT(C6084, ""🏘️ \w+ \w+ (.*) ✅""),'Country prepositions'!A:B, 2, 0) &amp; "" "" &amp; REGEXEXTRACT(C6084, ""🏘️ \w+ \w+ (.*) ✅"") ,  if(H6084=""quartier"",vlookup(REGEXEXTRACT(C6084, ""🏘️ \w+ \w+ (.*) ✅""),'Quartier prepositio"&amp;"ns'!A:E, 5, 0) ,  if(H6084=""region"",vlookup(REGEXEXTRACT(C6084, ""🏘️ \w+ \w+ (.*) ✅""),'Region prepositions'!B:F, 5, 0),  REGEXEXTRACT(C6084, ""🏘️ \w+ \w+ (.*) ✅""))))"),"#N/A")</f>
        <v>#N/A</v>
      </c>
      <c r="I6084" s="4" t="str">
        <f>IFERROR(__xludf.DUMMYFUNCTION("if(D6084=""variant"",  substitute(filter(Templates!E:E, Templates!A:A = F6084, Templates!B:B = G6084, Templates!C:C = H6084), ""{{}}"", E6084), B6084)"),"Vendre appartement Birmensdorf ZH: Trouvez le bien immobilier qui correspond idéalement à vos désirs sur ImmoScout24 - La plateforme de l'immobilier en Suisse.")</f>
        <v>Vendre appartement Birmensdorf ZH: Trouvez le bien immobilier qui correspond idéalement à vos désirs sur ImmoScout24 - La plateforme de l'immobilier en Suisse.</v>
      </c>
    </row>
    <row r="6085" hidden="1">
      <c r="A6085" s="5" t="s">
        <v>15266</v>
      </c>
      <c r="B6085" s="2" t="s">
        <v>15267</v>
      </c>
      <c r="C6085" s="2" t="s">
        <v>15267</v>
      </c>
      <c r="D6085" s="4" t="str">
        <f>vlookup(A6085, Sheet2!D:E, 2, 0)</f>
        <v>control</v>
      </c>
      <c r="E6085" s="4" t="str">
        <f>IFERROR(__xludf.DUMMYFUNCTION("if(H6085=""pays"",vlookup(REGEXEXTRACT(C6085, ""🏘️ \w+ \w+ (.*) ✅""),'Country prepositions'!A:B, 2, 0) &amp; "" "" &amp; REGEXEXTRACT(C6085, ""🏘️ \w+ \w+ (.*) ✅"") ,  if(H6085=""quartier"",vlookup(REGEXEXTRACT(C6085, ""🏘️ \w+ \w+ (.*) ✅""),'Quartier prepositio"&amp;"ns'!A:E, 5, 0) ,  if(H6085=""region"",vlookup(REGEXEXTRACT(C6085, ""🏘️ \w+ \w+ (.*) ✅""),'Region prepositions'!B:F, 5, 0),  REGEXEXTRACT(C6085, ""🏘️ \w+ \w+ (.*) ✅""))))"),"#N/A")</f>
        <v>#N/A</v>
      </c>
      <c r="I6085" s="4" t="str">
        <f>IFERROR(__xludf.DUMMYFUNCTION("if(D6085=""variant"",  substitute(filter(Templates!E:E, Templates!A:A = F6085, Templates!B:B = G6085, Templates!C:C = H6085), ""{{}}"", E6085), B6085)"),"Vendre maison Ligornetto: Trouvez le bien immobilier qui correspond idéalement à vos désirs sur ImmoScout24 - La plateforme de l'immobilier en Suisse.")</f>
        <v>Vendre maison Ligornetto: Trouvez le bien immobilier qui correspond idéalement à vos désirs sur ImmoScout24 - La plateforme de l'immobilier en Suisse.</v>
      </c>
    </row>
    <row r="6086" hidden="1">
      <c r="A6086" s="5" t="s">
        <v>15268</v>
      </c>
      <c r="B6086" s="2" t="s">
        <v>15269</v>
      </c>
      <c r="C6086" s="2" t="s">
        <v>15269</v>
      </c>
      <c r="D6086" s="4" t="str">
        <f>vlookup(A6086, Sheet2!D:E, 2, 0)</f>
        <v>control</v>
      </c>
      <c r="E6086" s="4" t="str">
        <f>IFERROR(__xludf.DUMMYFUNCTION("if(H6086=""pays"",vlookup(REGEXEXTRACT(C6086, ""🏘️ \w+ \w+ (.*) ✅""),'Country prepositions'!A:B, 2, 0) &amp; "" "" &amp; REGEXEXTRACT(C6086, ""🏘️ \w+ \w+ (.*) ✅"") ,  if(H6086=""quartier"",vlookup(REGEXEXTRACT(C6086, ""🏘️ \w+ \w+ (.*) ✅""),'Quartier prepositio"&amp;"ns'!A:E, 5, 0) ,  if(H6086=""region"",vlookup(REGEXEXTRACT(C6086, ""🏘️ \w+ \w+ (.*) ✅""),'Region prepositions'!B:F, 5, 0),  REGEXEXTRACT(C6086, ""🏘️ \w+ \w+ (.*) ✅""))))"),"#N/A")</f>
        <v>#N/A</v>
      </c>
      <c r="I6086" s="4" t="str">
        <f>IFERROR(__xludf.DUMMYFUNCTION("if(D6086=""variant"",  substitute(filter(Templates!E:E, Templates!A:A = F6086, Templates!B:B = G6086, Templates!C:C = H6086), ""{{}}"", E6086), B6086)"),"Vendre maison Filet: Trouvez le bien immobilier qui correspond idéalement à vos désirs sur ImmoScout24 - La plateforme de l'immobilier en Suisse.")</f>
        <v>Vendre maison Filet: Trouvez le bien immobilier qui correspond idéalement à vos désirs sur ImmoScout24 - La plateforme de l'immobilier en Suisse.</v>
      </c>
    </row>
    <row r="6087" hidden="1">
      <c r="A6087" s="5" t="s">
        <v>15270</v>
      </c>
      <c r="B6087" s="2" t="s">
        <v>15271</v>
      </c>
      <c r="C6087" s="2" t="s">
        <v>15271</v>
      </c>
      <c r="D6087" s="4" t="str">
        <f>vlookup(A6087, Sheet2!D:E, 2, 0)</f>
        <v>control</v>
      </c>
      <c r="E6087" s="4" t="str">
        <f>IFERROR(__xludf.DUMMYFUNCTION("if(H6087=""pays"",vlookup(REGEXEXTRACT(C6087, ""🏘️ \w+ \w+ (.*) ✅""),'Country prepositions'!A:B, 2, 0) &amp; "" "" &amp; REGEXEXTRACT(C6087, ""🏘️ \w+ \w+ (.*) ✅"") ,  if(H6087=""quartier"",vlookup(REGEXEXTRACT(C6087, ""🏘️ \w+ \w+ (.*) ✅""),'Quartier prepositio"&amp;"ns'!A:E, 5, 0) ,  if(H6087=""region"",vlookup(REGEXEXTRACT(C6087, ""🏘️ \w+ \w+ (.*) ✅""),'Region prepositions'!B:F, 5, 0),  REGEXEXTRACT(C6087, ""🏘️ \w+ \w+ (.*) ✅""))))"),"#N/A")</f>
        <v>#N/A</v>
      </c>
      <c r="I6087" s="4" t="str">
        <f>IFERROR(__xludf.DUMMYFUNCTION("if(D6087=""variant"",  substitute(filter(Templates!E:E, Templates!A:A = F6087, Templates!B:B = G6087, Templates!C:C = H6087), ""{{}}"", E6087), B6087)"),"Louer appartement Contra: Trouvez le bien immobilier qui correspond idéalement à vos désirs sur ImmoScout24 - La plateforme de l'immobilier en Suisse.")</f>
        <v>Louer appartement Contra: Trouvez le bien immobilier qui correspond idéalement à vos désirs sur ImmoScout24 - La plateforme de l'immobilier en Suisse.</v>
      </c>
    </row>
    <row r="6088" hidden="1">
      <c r="A6088" s="5" t="s">
        <v>15272</v>
      </c>
      <c r="B6088" s="2" t="s">
        <v>15273</v>
      </c>
      <c r="C6088" s="2" t="s">
        <v>15273</v>
      </c>
      <c r="D6088" s="4" t="str">
        <f>vlookup(A6088, Sheet2!D:E, 2, 0)</f>
        <v>control</v>
      </c>
      <c r="E6088" s="4" t="str">
        <f>IFERROR(__xludf.DUMMYFUNCTION("if(H6088=""pays"",vlookup(REGEXEXTRACT(C6088, ""🏘️ \w+ \w+ (.*) ✅""),'Country prepositions'!A:B, 2, 0) &amp; "" "" &amp; REGEXEXTRACT(C6088, ""🏘️ \w+ \w+ (.*) ✅"") ,  if(H6088=""quartier"",vlookup(REGEXEXTRACT(C6088, ""🏘️ \w+ \w+ (.*) ✅""),'Quartier prepositio"&amp;"ns'!A:E, 5, 0) ,  if(H6088=""region"",vlookup(REGEXEXTRACT(C6088, ""🏘️ \w+ \w+ (.*) ✅""),'Region prepositions'!B:F, 5, 0),  REGEXEXTRACT(C6088, ""🏘️ \w+ \w+ (.*) ✅""))))"),"#N/A")</f>
        <v>#N/A</v>
      </c>
      <c r="I6088" s="4" t="str">
        <f>IFERROR(__xludf.DUMMYFUNCTION("if(D6088=""variant"",  substitute(filter(Templates!E:E, Templates!A:A = F6088, Templates!B:B = G6088, Templates!C:C = H6088), ""{{}}"", E6088), B6088)"),"Louer maison Avry-sur-Matran: Trouvez le bien immobilier qui correspond idéalement à vos désirs sur ImmoScout24 - La plateforme de l'immobilier en Suisse.")</f>
        <v>Louer maison Avry-sur-Matran: Trouvez le bien immobilier qui correspond idéalement à vos désirs sur ImmoScout24 - La plateforme de l'immobilier en Suisse.</v>
      </c>
    </row>
    <row r="6089" hidden="1">
      <c r="A6089" s="5" t="s">
        <v>15274</v>
      </c>
      <c r="B6089" s="2" t="s">
        <v>15275</v>
      </c>
      <c r="C6089" s="2" t="s">
        <v>15275</v>
      </c>
      <c r="D6089" s="4" t="str">
        <f>vlookup(A6089, Sheet2!D:E, 2, 0)</f>
        <v>control</v>
      </c>
      <c r="E6089" s="4" t="str">
        <f>IFERROR(__xludf.DUMMYFUNCTION("if(H6089=""pays"",vlookup(REGEXEXTRACT(C6089, ""🏘️ \w+ \w+ (.*) ✅""),'Country prepositions'!A:B, 2, 0) &amp; "" "" &amp; REGEXEXTRACT(C6089, ""🏘️ \w+ \w+ (.*) ✅"") ,  if(H6089=""quartier"",vlookup(REGEXEXTRACT(C6089, ""🏘️ \w+ \w+ (.*) ✅""),'Quartier prepositio"&amp;"ns'!A:E, 5, 0) ,  if(H6089=""region"",vlookup(REGEXEXTRACT(C6089, ""🏘️ \w+ \w+ (.*) ✅""),'Region prepositions'!B:F, 5, 0),  REGEXEXTRACT(C6089, ""🏘️ \w+ \w+ (.*) ✅""))))"),"#N/A")</f>
        <v>#N/A</v>
      </c>
      <c r="I6089" s="4" t="str">
        <f>IFERROR(__xludf.DUMMYFUNCTION("if(D6089=""variant"",  substitute(filter(Templates!E:E, Templates!A:A = F6089, Templates!B:B = G6089, Templates!C:C = H6089), ""{{}}"", E6089), B6089)"),"Louer appartement Eglisau: Trouvez le bien immobilier qui correspond idéalement à vos désirs sur ImmoScout24 - La plateforme de l'immobilier en Suisse.")</f>
        <v>Louer appartement Eglisau: Trouvez le bien immobilier qui correspond idéalement à vos désirs sur ImmoScout24 - La plateforme de l'immobilier en Suisse.</v>
      </c>
    </row>
    <row r="6090" hidden="1">
      <c r="A6090" s="5" t="s">
        <v>15276</v>
      </c>
      <c r="B6090" s="2" t="s">
        <v>15277</v>
      </c>
      <c r="C6090" s="2" t="s">
        <v>15277</v>
      </c>
      <c r="D6090" s="4" t="str">
        <f>vlookup(A6090, Sheet2!D:E, 2, 0)</f>
        <v>control</v>
      </c>
      <c r="E6090" s="4" t="str">
        <f>IFERROR(__xludf.DUMMYFUNCTION("if(H6090=""pays"",vlookup(REGEXEXTRACT(C6090, ""🏘️ \w+ \w+ (.*) ✅""),'Country prepositions'!A:B, 2, 0) &amp; "" "" &amp; REGEXEXTRACT(C6090, ""🏘️ \w+ \w+ (.*) ✅"") ,  if(H6090=""quartier"",vlookup(REGEXEXTRACT(C6090, ""🏘️ \w+ \w+ (.*) ✅""),'Quartier prepositio"&amp;"ns'!A:E, 5, 0) ,  if(H6090=""region"",vlookup(REGEXEXTRACT(C6090, ""🏘️ \w+ \w+ (.*) ✅""),'Region prepositions'!B:F, 5, 0),  REGEXEXTRACT(C6090, ""🏘️ \w+ \w+ (.*) ✅""))))"),"#N/A")</f>
        <v>#N/A</v>
      </c>
      <c r="I6090" s="4" t="str">
        <f>IFERROR(__xludf.DUMMYFUNCTION("if(D6090=""variant"",  substitute(filter(Templates!E:E, Templates!A:A = F6090, Templates!B:B = G6090, Templates!C:C = H6090), ""{{}}"", E6090), B6090)"),"Vendre appartement Saas-Grund: Trouvez le bien immobilier qui correspond idéalement à vos désirs sur ImmoScout24 - La plateforme de l'immobilier en Suisse.")</f>
        <v>Vendre appartement Saas-Grund: Trouvez le bien immobilier qui correspond idéalement à vos désirs sur ImmoScout24 - La plateforme de l'immobilier en Suisse.</v>
      </c>
    </row>
    <row r="6091" hidden="1">
      <c r="A6091" s="5" t="s">
        <v>15278</v>
      </c>
      <c r="B6091" s="2" t="s">
        <v>15279</v>
      </c>
      <c r="C6091" s="2" t="s">
        <v>15279</v>
      </c>
      <c r="D6091" s="4" t="str">
        <f>vlookup(A6091, Sheet2!D:E, 2, 0)</f>
        <v>control</v>
      </c>
      <c r="E6091" s="4" t="str">
        <f>IFERROR(__xludf.DUMMYFUNCTION("if(H6091=""pays"",vlookup(REGEXEXTRACT(C6091, ""🏘️ \w+ \w+ (.*) ✅""),'Country prepositions'!A:B, 2, 0) &amp; "" "" &amp; REGEXEXTRACT(C6091, ""🏘️ \w+ \w+ (.*) ✅"") ,  if(H6091=""quartier"",vlookup(REGEXEXTRACT(C6091, ""🏘️ \w+ \w+ (.*) ✅""),'Quartier prepositio"&amp;"ns'!A:E, 5, 0) ,  if(H6091=""region"",vlookup(REGEXEXTRACT(C6091, ""🏘️ \w+ \w+ (.*) ✅""),'Region prepositions'!B:F, 5, 0),  REGEXEXTRACT(C6091, ""🏘️ \w+ \w+ (.*) ✅""))))"),"#N/A")</f>
        <v>#N/A</v>
      </c>
      <c r="I6091" s="4" t="str">
        <f>IFERROR(__xludf.DUMMYFUNCTION("if(D6091=""variant"",  substitute(filter(Templates!E:E, Templates!A:A = F6091, Templates!B:B = G6091, Templates!C:C = H6091), ""{{}}"", E6091), B6091)"),"Louer maison Rüti b. Büren: Trouvez le bien immobilier qui correspond idéalement à vos désirs sur ImmoScout24 - La plateforme de l'immobilier en Suisse.")</f>
        <v>Louer maison Rüti b. Büren: Trouvez le bien immobilier qui correspond idéalement à vos désirs sur ImmoScout24 - La plateforme de l'immobilier en Suisse.</v>
      </c>
    </row>
    <row r="6092" hidden="1">
      <c r="A6092" s="5" t="s">
        <v>15280</v>
      </c>
      <c r="B6092" s="2" t="s">
        <v>15281</v>
      </c>
      <c r="C6092" s="2" t="s">
        <v>15281</v>
      </c>
      <c r="D6092" s="4" t="str">
        <f>vlookup(A6092, Sheet2!D:E, 2, 0)</f>
        <v>control</v>
      </c>
      <c r="E6092" s="4" t="str">
        <f>IFERROR(__xludf.DUMMYFUNCTION("if(H6092=""pays"",vlookup(REGEXEXTRACT(C6092, ""🏘️ \w+ \w+ (.*) ✅""),'Country prepositions'!A:B, 2, 0) &amp; "" "" &amp; REGEXEXTRACT(C6092, ""🏘️ \w+ \w+ (.*) ✅"") ,  if(H6092=""quartier"",vlookup(REGEXEXTRACT(C6092, ""🏘️ \w+ \w+ (.*) ✅""),'Quartier prepositio"&amp;"ns'!A:E, 5, 0) ,  if(H6092=""region"",vlookup(REGEXEXTRACT(C6092, ""🏘️ \w+ \w+ (.*) ✅""),'Region prepositions'!B:F, 5, 0),  REGEXEXTRACT(C6092, ""🏘️ \w+ \w+ (.*) ✅""))))"),"#N/A")</f>
        <v>#N/A</v>
      </c>
      <c r="I6092" s="4" t="str">
        <f>IFERROR(__xludf.DUMMYFUNCTION("if(D6092=""variant"",  substitute(filter(Templates!E:E, Templates!A:A = F6092, Templates!B:B = G6092, Templates!C:C = H6092), ""{{}}"", E6092), B6092)"),"Vendre maison Lussy FR: Trouvez le bien immobilier qui correspond idéalement à vos désirs sur ImmoScout24 - La plateforme de l'immobilier en Suisse.")</f>
        <v>Vendre maison Lussy FR: Trouvez le bien immobilier qui correspond idéalement à vos désirs sur ImmoScout24 - La plateforme de l'immobilier en Suisse.</v>
      </c>
    </row>
    <row r="6093" hidden="1">
      <c r="A6093" s="5" t="s">
        <v>15282</v>
      </c>
      <c r="B6093" s="2" t="s">
        <v>15283</v>
      </c>
      <c r="C6093" s="2" t="s">
        <v>15283</v>
      </c>
      <c r="D6093" s="4" t="str">
        <f>vlookup(A6093, Sheet2!D:E, 2, 0)</f>
        <v>control</v>
      </c>
      <c r="E6093" s="4" t="str">
        <f>IFERROR(__xludf.DUMMYFUNCTION("if(H6093=""pays"",vlookup(REGEXEXTRACT(C6093, ""🏘️ \w+ \w+ (.*) ✅""),'Country prepositions'!A:B, 2, 0) &amp; "" "" &amp; REGEXEXTRACT(C6093, ""🏘️ \w+ \w+ (.*) ✅"") ,  if(H6093=""quartier"",vlookup(REGEXEXTRACT(C6093, ""🏘️ \w+ \w+ (.*) ✅""),'Quartier prepositio"&amp;"ns'!A:E, 5, 0) ,  if(H6093=""region"",vlookup(REGEXEXTRACT(C6093, ""🏘️ \w+ \w+ (.*) ✅""),'Region prepositions'!B:F, 5, 0),  REGEXEXTRACT(C6093, ""🏘️ \w+ \w+ (.*) ✅""))))"),"#N/A")</f>
        <v>#N/A</v>
      </c>
      <c r="I6093" s="4" t="str">
        <f>IFERROR(__xludf.DUMMYFUNCTION("if(D6093=""variant"",  substitute(filter(Templates!E:E, Templates!A:A = F6093, Templates!B:B = G6093, Templates!C:C = H6093), ""{{}}"", E6093), B6093)"),"Louer appartement Villars-le-Grand: Trouvez le bien immobilier qui correspond idéalement à vos désirs sur ImmoScout24 - La plateforme de l'immobilier en Suisse.")</f>
        <v>Louer appartement Villars-le-Grand: Trouvez le bien immobilier qui correspond idéalement à vos désirs sur ImmoScout24 - La plateforme de l'immobilier en Suisse.</v>
      </c>
    </row>
    <row r="6094" hidden="1">
      <c r="A6094" s="5" t="s">
        <v>15284</v>
      </c>
      <c r="B6094" s="2" t="s">
        <v>15285</v>
      </c>
      <c r="C6094" s="2" t="s">
        <v>15285</v>
      </c>
      <c r="D6094" s="4" t="str">
        <f>vlookup(A6094, Sheet2!D:E, 2, 0)</f>
        <v>control</v>
      </c>
      <c r="E6094" s="4" t="str">
        <f>IFERROR(__xludf.DUMMYFUNCTION("if(H6094=""pays"",vlookup(REGEXEXTRACT(C6094, ""🏘️ \w+ \w+ (.*) ✅""),'Country prepositions'!A:B, 2, 0) &amp; "" "" &amp; REGEXEXTRACT(C6094, ""🏘️ \w+ \w+ (.*) ✅"") ,  if(H6094=""quartier"",vlookup(REGEXEXTRACT(C6094, ""🏘️ \w+ \w+ (.*) ✅""),'Quartier prepositio"&amp;"ns'!A:E, 5, 0) ,  if(H6094=""region"",vlookup(REGEXEXTRACT(C6094, ""🏘️ \w+ \w+ (.*) ✅""),'Region prepositions'!B:F, 5, 0),  REGEXEXTRACT(C6094, ""🏘️ \w+ \w+ (.*) ✅""))))"),"#N/A")</f>
        <v>#N/A</v>
      </c>
      <c r="I6094" s="4" t="str">
        <f>IFERROR(__xludf.DUMMYFUNCTION("if(D6094=""variant"",  substitute(filter(Templates!E:E, Templates!A:A = F6094, Templates!B:B = G6094, Templates!C:C = H6094), ""{{}}"", E6094), B6094)"),"Louer appartement Lenk im Simmental: Trouvez le bien immobilier qui correspond idéalement à vos désirs sur ImmoScout24 - La plateforme de l'immobilier en Suisse.")</f>
        <v>Louer appartement Lenk im Simmental: Trouvez le bien immobilier qui correspond idéalement à vos désirs sur ImmoScout24 - La plateforme de l'immobilier en Suisse.</v>
      </c>
    </row>
    <row r="6095" hidden="1">
      <c r="A6095" s="5" t="s">
        <v>15286</v>
      </c>
      <c r="B6095" s="2" t="s">
        <v>15287</v>
      </c>
      <c r="C6095" s="2" t="s">
        <v>15287</v>
      </c>
      <c r="D6095" s="4" t="str">
        <f>vlookup(A6095, Sheet2!D:E, 2, 0)</f>
        <v>control</v>
      </c>
      <c r="E6095" s="4" t="str">
        <f>IFERROR(__xludf.DUMMYFUNCTION("if(H6095=""pays"",vlookup(REGEXEXTRACT(C6095, ""🏘️ \w+ \w+ (.*) ✅""),'Country prepositions'!A:B, 2, 0) &amp; "" "" &amp; REGEXEXTRACT(C6095, ""🏘️ \w+ \w+ (.*) ✅"") ,  if(H6095=""quartier"",vlookup(REGEXEXTRACT(C6095, ""🏘️ \w+ \w+ (.*) ✅""),'Quartier prepositio"&amp;"ns'!A:E, 5, 0) ,  if(H6095=""region"",vlookup(REGEXEXTRACT(C6095, ""🏘️ \w+ \w+ (.*) ✅""),'Region prepositions'!B:F, 5, 0),  REGEXEXTRACT(C6095, ""🏘️ \w+ \w+ (.*) ✅""))))"),"#N/A")</f>
        <v>#N/A</v>
      </c>
      <c r="I6095" s="4" t="str">
        <f>IFERROR(__xludf.DUMMYFUNCTION("if(D6095=""variant"",  substitute(filter(Templates!E:E, Templates!A:A = F6095, Templates!B:B = G6095, Templates!C:C = H6095), ""{{}}"", E6095), B6095)"),"Louer appartement Valeyres-sous-Ursins: Trouvez le bien immobilier qui correspond idéalement à vos désirs sur ImmoScout24 - La plateforme de l'immobilier en Suisse.")</f>
        <v>Louer appartement Valeyres-sous-Ursins: Trouvez le bien immobilier qui correspond idéalement à vos désirs sur ImmoScout24 - La plateforme de l'immobilier en Suisse.</v>
      </c>
    </row>
    <row r="6096" hidden="1">
      <c r="A6096" s="5" t="s">
        <v>15288</v>
      </c>
      <c r="B6096" s="2" t="s">
        <v>15289</v>
      </c>
      <c r="C6096" s="2" t="s">
        <v>15289</v>
      </c>
      <c r="D6096" s="4" t="str">
        <f>vlookup(A6096, Sheet2!D:E, 2, 0)</f>
        <v>control</v>
      </c>
      <c r="E6096" s="4" t="str">
        <f>IFERROR(__xludf.DUMMYFUNCTION("if(H6096=""pays"",vlookup(REGEXEXTRACT(C6096, ""🏘️ \w+ \w+ (.*) ✅""),'Country prepositions'!A:B, 2, 0) &amp; "" "" &amp; REGEXEXTRACT(C6096, ""🏘️ \w+ \w+ (.*) ✅"") ,  if(H6096=""quartier"",vlookup(REGEXEXTRACT(C6096, ""🏘️ \w+ \w+ (.*) ✅""),'Quartier prepositio"&amp;"ns'!A:E, 5, 0) ,  if(H6096=""region"",vlookup(REGEXEXTRACT(C6096, ""🏘️ \w+ \w+ (.*) ✅""),'Region prepositions'!B:F, 5, 0),  REGEXEXTRACT(C6096, ""🏘️ \w+ \w+ (.*) ✅""))))"),"#N/A")</f>
        <v>#N/A</v>
      </c>
      <c r="I6096" s="4" t="str">
        <f>IFERROR(__xludf.DUMMYFUNCTION("if(D6096=""variant"",  substitute(filter(Templates!E:E, Templates!A:A = F6096, Templates!B:B = G6096, Templates!C:C = H6096), ""{{}}"", E6096), B6096)"),"Louer appartement Brent: Trouvez le bien immobilier qui correspond idéalement à vos désirs sur ImmoScout24 - La plateforme de l'immobilier en Suisse.")</f>
        <v>Louer appartement Brent: Trouvez le bien immobilier qui correspond idéalement à vos désirs sur ImmoScout24 - La plateforme de l'immobilier en Suisse.</v>
      </c>
    </row>
    <row r="6097" hidden="1">
      <c r="A6097" s="5" t="s">
        <v>15290</v>
      </c>
      <c r="B6097" s="2" t="s">
        <v>15291</v>
      </c>
      <c r="C6097" s="2" t="s">
        <v>15291</v>
      </c>
      <c r="D6097" s="4" t="str">
        <f>vlookup(A6097, Sheet2!D:E, 2, 0)</f>
        <v>control</v>
      </c>
      <c r="E6097" s="4" t="str">
        <f>IFERROR(__xludf.DUMMYFUNCTION("if(H6097=""pays"",vlookup(REGEXEXTRACT(C6097, ""🏘️ \w+ \w+ (.*) ✅""),'Country prepositions'!A:B, 2, 0) &amp; "" "" &amp; REGEXEXTRACT(C6097, ""🏘️ \w+ \w+ (.*) ✅"") ,  if(H6097=""quartier"",vlookup(REGEXEXTRACT(C6097, ""🏘️ \w+ \w+ (.*) ✅""),'Quartier prepositio"&amp;"ns'!A:E, 5, 0) ,  if(H6097=""region"",vlookup(REGEXEXTRACT(C6097, ""🏘️ \w+ \w+ (.*) ✅""),'Region prepositions'!B:F, 5, 0),  REGEXEXTRACT(C6097, ""🏘️ \w+ \w+ (.*) ✅""))))"),"#N/A")</f>
        <v>#N/A</v>
      </c>
      <c r="I6097" s="4" t="str">
        <f>IFERROR(__xludf.DUMMYFUNCTION("if(D6097=""variant"",  substitute(filter(Templates!E:E, Templates!A:A = F6097, Templates!B:B = G6097, Templates!C:C = H6097), ""{{}}"", E6097), B6097)"),"Vendre maison Torny-le-Grand: Trouvez le bien immobilier qui correspond idéalement à vos désirs sur ImmoScout24 - La plateforme de l'immobilier en Suisse.")</f>
        <v>Vendre maison Torny-le-Grand: Trouvez le bien immobilier qui correspond idéalement à vos désirs sur ImmoScout24 - La plateforme de l'immobilier en Suisse.</v>
      </c>
    </row>
    <row r="6098" hidden="1">
      <c r="A6098" s="5" t="s">
        <v>15292</v>
      </c>
      <c r="B6098" s="2" t="s">
        <v>15293</v>
      </c>
      <c r="C6098" s="2" t="s">
        <v>15293</v>
      </c>
      <c r="D6098" s="4" t="str">
        <f>vlookup(A6098, Sheet2!D:E, 2, 0)</f>
        <v>control</v>
      </c>
      <c r="E6098" s="4" t="str">
        <f>IFERROR(__xludf.DUMMYFUNCTION("if(H6098=""pays"",vlookup(REGEXEXTRACT(C6098, ""🏘️ \w+ \w+ (.*) ✅""),'Country prepositions'!A:B, 2, 0) &amp; "" "" &amp; REGEXEXTRACT(C6098, ""🏘️ \w+ \w+ (.*) ✅"") ,  if(H6098=""quartier"",vlookup(REGEXEXTRACT(C6098, ""🏘️ \w+ \w+ (.*) ✅""),'Quartier prepositio"&amp;"ns'!A:E, 5, 0) ,  if(H6098=""region"",vlookup(REGEXEXTRACT(C6098, ""🏘️ \w+ \w+ (.*) ✅""),'Region prepositions'!B:F, 5, 0),  REGEXEXTRACT(C6098, ""🏘️ \w+ \w+ (.*) ✅""))))"),"#N/A")</f>
        <v>#N/A</v>
      </c>
      <c r="I6098" s="4" t="str">
        <f>IFERROR(__xludf.DUMMYFUNCTION("if(D6098=""variant"",  substitute(filter(Templates!E:E, Templates!A:A = F6098, Templates!B:B = G6098, Templates!C:C = H6098), ""{{}}"", E6098), B6098)"),"Vendre appartement Gunten: Trouvez le bien immobilier qui correspond idéalement à vos désirs sur ImmoScout24 - La plateforme de l'immobilier en Suisse.")</f>
        <v>Vendre appartement Gunten: Trouvez le bien immobilier qui correspond idéalement à vos désirs sur ImmoScout24 - La plateforme de l'immobilier en Suisse.</v>
      </c>
    </row>
    <row r="6099" hidden="1">
      <c r="A6099" s="5" t="s">
        <v>15294</v>
      </c>
      <c r="B6099" s="2" t="s">
        <v>15295</v>
      </c>
      <c r="C6099" s="2" t="s">
        <v>15295</v>
      </c>
      <c r="D6099" s="4" t="str">
        <f>vlookup(A6099, Sheet2!D:E, 2, 0)</f>
        <v>control</v>
      </c>
      <c r="E6099" s="4" t="str">
        <f>IFERROR(__xludf.DUMMYFUNCTION("if(H6099=""pays"",vlookup(REGEXEXTRACT(C6099, ""🏘️ \w+ \w+ (.*) ✅""),'Country prepositions'!A:B, 2, 0) &amp; "" "" &amp; REGEXEXTRACT(C6099, ""🏘️ \w+ \w+ (.*) ✅"") ,  if(H6099=""quartier"",vlookup(REGEXEXTRACT(C6099, ""🏘️ \w+ \w+ (.*) ✅""),'Quartier prepositio"&amp;"ns'!A:E, 5, 0) ,  if(H6099=""region"",vlookup(REGEXEXTRACT(C6099, ""🏘️ \w+ \w+ (.*) ✅""),'Region prepositions'!B:F, 5, 0),  REGEXEXTRACT(C6099, ""🏘️ \w+ \w+ (.*) ✅""))))"),"#N/A")</f>
        <v>#N/A</v>
      </c>
      <c r="I6099" s="4" t="str">
        <f>IFERROR(__xludf.DUMMYFUNCTION("if(D6099=""variant"",  substitute(filter(Templates!E:E, Templates!A:A = F6099, Templates!B:B = G6099, Templates!C:C = H6099), ""{{}}"", E6099), B6099)"),"Louer appartement Rizenbach: Trouvez le bien immobilier qui correspond idéalement à vos désirs sur ImmoScout24 - La plateforme de l'immobilier en Suisse.")</f>
        <v>Louer appartement Rizenbach: Trouvez le bien immobilier qui correspond idéalement à vos désirs sur ImmoScout24 - La plateforme de l'immobilier en Suisse.</v>
      </c>
    </row>
    <row r="6100" hidden="1">
      <c r="A6100" s="5" t="s">
        <v>15296</v>
      </c>
      <c r="B6100" s="2" t="s">
        <v>15297</v>
      </c>
      <c r="C6100" s="2" t="s">
        <v>15297</v>
      </c>
      <c r="D6100" s="4" t="str">
        <f>vlookup(A6100, Sheet2!D:E, 2, 0)</f>
        <v>control</v>
      </c>
      <c r="E6100" s="4" t="str">
        <f>IFERROR(__xludf.DUMMYFUNCTION("if(H6100=""pays"",vlookup(REGEXEXTRACT(C6100, ""🏘️ \w+ \w+ (.*) ✅""),'Country prepositions'!A:B, 2, 0) &amp; "" "" &amp; REGEXEXTRACT(C6100, ""🏘️ \w+ \w+ (.*) ✅"") ,  if(H6100=""quartier"",vlookup(REGEXEXTRACT(C6100, ""🏘️ \w+ \w+ (.*) ✅""),'Quartier prepositio"&amp;"ns'!A:E, 5, 0) ,  if(H6100=""region"",vlookup(REGEXEXTRACT(C6100, ""🏘️ \w+ \w+ (.*) ✅""),'Region prepositions'!B:F, 5, 0),  REGEXEXTRACT(C6100, ""🏘️ \w+ \w+ (.*) ✅""))))"),"#N/A")</f>
        <v>#N/A</v>
      </c>
      <c r="I6100" s="4" t="str">
        <f>IFERROR(__xludf.DUMMYFUNCTION("if(D6100=""variant"",  substitute(filter(Templates!E:E, Templates!A:A = F6100, Templates!B:B = G6100, Templates!C:C = H6100), ""{{}}"", E6100), B6100)"),"Vendre appartement Stansstad: Trouvez le bien immobilier qui correspond idéalement à vos désirs sur ImmoScout24 - La plateforme de l'immobilier en Suisse.")</f>
        <v>Vendre appartement Stansstad: Trouvez le bien immobilier qui correspond idéalement à vos désirs sur ImmoScout24 - La plateforme de l'immobilier en Suisse.</v>
      </c>
    </row>
    <row r="6101" hidden="1">
      <c r="A6101" s="5" t="s">
        <v>15298</v>
      </c>
      <c r="B6101" s="2" t="s">
        <v>15299</v>
      </c>
      <c r="C6101" s="2" t="s">
        <v>15299</v>
      </c>
      <c r="D6101" s="4" t="str">
        <f>vlookup(A6101, Sheet2!D:E, 2, 0)</f>
        <v>control</v>
      </c>
      <c r="E6101" s="4" t="str">
        <f>IFERROR(__xludf.DUMMYFUNCTION("if(H6101=""pays"",vlookup(REGEXEXTRACT(C6101, ""🏘️ \w+ \w+ (.*) ✅""),'Country prepositions'!A:B, 2, 0) &amp; "" "" &amp; REGEXEXTRACT(C6101, ""🏘️ \w+ \w+ (.*) ✅"") ,  if(H6101=""quartier"",vlookup(REGEXEXTRACT(C6101, ""🏘️ \w+ \w+ (.*) ✅""),'Quartier prepositio"&amp;"ns'!A:E, 5, 0) ,  if(H6101=""region"",vlookup(REGEXEXTRACT(C6101, ""🏘️ \w+ \w+ (.*) ✅""),'Region prepositions'!B:F, 5, 0),  REGEXEXTRACT(C6101, ""🏘️ \w+ \w+ (.*) ✅""))))"),"#N/A")</f>
        <v>#N/A</v>
      </c>
      <c r="I6101" s="4" t="str">
        <f>IFERROR(__xludf.DUMMYFUNCTION("if(D6101=""variant"",  substitute(filter(Templates!E:E, Templates!A:A = F6101, Templates!B:B = G6101, Templates!C:C = H6101), ""{{}}"", E6101), B6101)"),"Louer maison Bière: Trouvez le bien immobilier qui correspond idéalement à vos désirs sur ImmoScout24 - La plateforme de l'immobilier en Suisse.")</f>
        <v>Louer maison Bière: Trouvez le bien immobilier qui correspond idéalement à vos désirs sur ImmoScout24 - La plateforme de l'immobilier en Suisse.</v>
      </c>
    </row>
    <row r="6102" hidden="1">
      <c r="A6102" s="5" t="s">
        <v>15300</v>
      </c>
      <c r="B6102" s="2" t="s">
        <v>15301</v>
      </c>
      <c r="C6102" s="2" t="s">
        <v>15301</v>
      </c>
      <c r="D6102" s="4" t="str">
        <f>vlookup(A6102, Sheet2!D:E, 2, 0)</f>
        <v>control</v>
      </c>
      <c r="E6102" s="4" t="str">
        <f>IFERROR(__xludf.DUMMYFUNCTION("if(H6102=""pays"",vlookup(REGEXEXTRACT(C6102, ""🏘️ \w+ \w+ (.*) ✅""),'Country prepositions'!A:B, 2, 0) &amp; "" "" &amp; REGEXEXTRACT(C6102, ""🏘️ \w+ \w+ (.*) ✅"") ,  if(H6102=""quartier"",vlookup(REGEXEXTRACT(C6102, ""🏘️ \w+ \w+ (.*) ✅""),'Quartier prepositio"&amp;"ns'!A:E, 5, 0) ,  if(H6102=""region"",vlookup(REGEXEXTRACT(C6102, ""🏘️ \w+ \w+ (.*) ✅""),'Region prepositions'!B:F, 5, 0),  REGEXEXTRACT(C6102, ""🏘️ \w+ \w+ (.*) ✅""))))"),"#N/A")</f>
        <v>#N/A</v>
      </c>
      <c r="I6102" s="4" t="str">
        <f>IFERROR(__xludf.DUMMYFUNCTION("if(D6102=""variant"",  substitute(filter(Templates!E:E, Templates!A:A = F6102, Templates!B:B = G6102, Templates!C:C = H6102), ""{{}}"", E6102), B6102)"),"Louer maison Collombey: Trouvez le bien immobilier qui correspond idéalement à vos désirs sur ImmoScout24 - La plateforme de l'immobilier en Suisse.")</f>
        <v>Louer maison Collombey: Trouvez le bien immobilier qui correspond idéalement à vos désirs sur ImmoScout24 - La plateforme de l'immobilier en Suisse.</v>
      </c>
    </row>
    <row r="6103" hidden="1">
      <c r="A6103" s="5" t="s">
        <v>15302</v>
      </c>
      <c r="B6103" s="2" t="s">
        <v>15303</v>
      </c>
      <c r="C6103" s="2" t="s">
        <v>15303</v>
      </c>
      <c r="D6103" s="4" t="str">
        <f>vlookup(A6103, Sheet2!D:E, 2, 0)</f>
        <v>control</v>
      </c>
      <c r="E6103" s="4" t="str">
        <f>IFERROR(__xludf.DUMMYFUNCTION("if(H6103=""pays"",vlookup(REGEXEXTRACT(C6103, ""🏘️ \w+ \w+ (.*) ✅""),'Country prepositions'!A:B, 2, 0) &amp; "" "" &amp; REGEXEXTRACT(C6103, ""🏘️ \w+ \w+ (.*) ✅"") ,  if(H6103=""quartier"",vlookup(REGEXEXTRACT(C6103, ""🏘️ \w+ \w+ (.*) ✅""),'Quartier prepositio"&amp;"ns'!A:E, 5, 0) ,  if(H6103=""region"",vlookup(REGEXEXTRACT(C6103, ""🏘️ \w+ \w+ (.*) ✅""),'Region prepositions'!B:F, 5, 0),  REGEXEXTRACT(C6103, ""🏘️ \w+ \w+ (.*) ✅""))))"),"#N/A")</f>
        <v>#N/A</v>
      </c>
      <c r="I6103" s="4" t="str">
        <f>IFERROR(__xludf.DUMMYFUNCTION("if(D6103=""variant"",  substitute(filter(Templates!E:E, Templates!A:A = F6103, Templates!B:B = G6103, Templates!C:C = H6103), ""{{}}"", E6103), B6103)"),"Louer appartement Suède: Trouvez le bien immobilier qui correspond idéalement à vos désirs sur ImmoScout24 - La plateforme de l'immobilier en Suisse.")</f>
        <v>Louer appartement Suède: Trouvez le bien immobilier qui correspond idéalement à vos désirs sur ImmoScout24 - La plateforme de l'immobilier en Suisse.</v>
      </c>
    </row>
    <row r="6104" hidden="1">
      <c r="A6104" s="5" t="s">
        <v>15304</v>
      </c>
      <c r="B6104" s="2" t="s">
        <v>15305</v>
      </c>
      <c r="C6104" s="2" t="s">
        <v>15305</v>
      </c>
      <c r="D6104" s="4" t="str">
        <f>vlookup(A6104, Sheet2!D:E, 2, 0)</f>
        <v>control</v>
      </c>
      <c r="E6104" s="4" t="str">
        <f>IFERROR(__xludf.DUMMYFUNCTION("if(H6104=""pays"",vlookup(REGEXEXTRACT(C6104, ""🏘️ \w+ \w+ (.*) ✅""),'Country prepositions'!A:B, 2, 0) &amp; "" "" &amp; REGEXEXTRACT(C6104, ""🏘️ \w+ \w+ (.*) ✅"") ,  if(H6104=""quartier"",vlookup(REGEXEXTRACT(C6104, ""🏘️ \w+ \w+ (.*) ✅""),'Quartier prepositio"&amp;"ns'!A:E, 5, 0) ,  if(H6104=""region"",vlookup(REGEXEXTRACT(C6104, ""🏘️ \w+ \w+ (.*) ✅""),'Region prepositions'!B:F, 5, 0),  REGEXEXTRACT(C6104, ""🏘️ \w+ \w+ (.*) ✅""))))"),"#N/A")</f>
        <v>#N/A</v>
      </c>
      <c r="I6104" s="4" t="str">
        <f>IFERROR(__xludf.DUMMYFUNCTION("if(D6104=""variant"",  substitute(filter(Templates!E:E, Templates!A:A = F6104, Templates!B:B = G6104, Templates!C:C = H6104), ""{{}}"", E6104), B6104)"),"Louer maison Tolochenaz: Trouvez le bien immobilier qui correspond idéalement à vos désirs sur ImmoScout24 - La plateforme de l'immobilier en Suisse.")</f>
        <v>Louer maison Tolochenaz: Trouvez le bien immobilier qui correspond idéalement à vos désirs sur ImmoScout24 - La plateforme de l'immobilier en Suisse.</v>
      </c>
    </row>
    <row r="6105" hidden="1">
      <c r="A6105" s="5" t="s">
        <v>15306</v>
      </c>
      <c r="B6105" s="2" t="s">
        <v>15307</v>
      </c>
      <c r="C6105" s="2" t="s">
        <v>15307</v>
      </c>
      <c r="D6105" s="4" t="str">
        <f>vlookup(A6105, Sheet2!D:E, 2, 0)</f>
        <v>control</v>
      </c>
      <c r="E6105" s="4" t="str">
        <f>IFERROR(__xludf.DUMMYFUNCTION("if(H6105=""pays"",vlookup(REGEXEXTRACT(C6105, ""🏘️ \w+ \w+ (.*) ✅""),'Country prepositions'!A:B, 2, 0) &amp; "" "" &amp; REGEXEXTRACT(C6105, ""🏘️ \w+ \w+ (.*) ✅"") ,  if(H6105=""quartier"",vlookup(REGEXEXTRACT(C6105, ""🏘️ \w+ \w+ (.*) ✅""),'Quartier prepositio"&amp;"ns'!A:E, 5, 0) ,  if(H6105=""region"",vlookup(REGEXEXTRACT(C6105, ""🏘️ \w+ \w+ (.*) ✅""),'Region prepositions'!B:F, 5, 0),  REGEXEXTRACT(C6105, ""🏘️ \w+ \w+ (.*) ✅""))))"),"#N/A")</f>
        <v>#N/A</v>
      </c>
      <c r="I6105" s="4" t="str">
        <f>IFERROR(__xludf.DUMMYFUNCTION("if(D6105=""variant"",  substitute(filter(Templates!E:E, Templates!A:A = F6105, Templates!B:B = G6105, Templates!C:C = H6105), ""{{}}"", E6105), B6105)"),"Louer appartement Montricher: Trouvez le bien immobilier qui correspond idéalement à vos désirs sur ImmoScout24 - La plateforme de l'immobilier en Suisse.")</f>
        <v>Louer appartement Montricher: Trouvez le bien immobilier qui correspond idéalement à vos désirs sur ImmoScout24 - La plateforme de l'immobilier en Suisse.</v>
      </c>
    </row>
    <row r="6106" hidden="1">
      <c r="A6106" s="5" t="s">
        <v>15308</v>
      </c>
      <c r="B6106" s="2" t="s">
        <v>15309</v>
      </c>
      <c r="C6106" s="2" t="s">
        <v>15309</v>
      </c>
      <c r="D6106" s="4" t="str">
        <f>vlookup(A6106, Sheet2!D:E, 2, 0)</f>
        <v>control</v>
      </c>
      <c r="E6106" s="4" t="str">
        <f>IFERROR(__xludf.DUMMYFUNCTION("if(H6106=""pays"",vlookup(REGEXEXTRACT(C6106, ""🏘️ \w+ \w+ (.*) ✅""),'Country prepositions'!A:B, 2, 0) &amp; "" "" &amp; REGEXEXTRACT(C6106, ""🏘️ \w+ \w+ (.*) ✅"") ,  if(H6106=""quartier"",vlookup(REGEXEXTRACT(C6106, ""🏘️ \w+ \w+ (.*) ✅""),'Quartier prepositio"&amp;"ns'!A:E, 5, 0) ,  if(H6106=""region"",vlookup(REGEXEXTRACT(C6106, ""🏘️ \w+ \w+ (.*) ✅""),'Region prepositions'!B:F, 5, 0),  REGEXEXTRACT(C6106, ""🏘️ \w+ \w+ (.*) ✅""))))"),"#N/A")</f>
        <v>#N/A</v>
      </c>
      <c r="I6106" s="4" t="str">
        <f>IFERROR(__xludf.DUMMYFUNCTION("if(D6106=""variant"",  substitute(filter(Templates!E:E, Templates!A:A = F6106, Templates!B:B = G6106, Templates!C:C = H6106), ""{{}}"", E6106), B6106)"),"Vendre appartement Satigny: Trouvez le bien immobilier qui correspond idéalement à vos désirs sur ImmoScout24 - La plateforme de l'immobilier en Suisse.")</f>
        <v>Vendre appartement Satigny: Trouvez le bien immobilier qui correspond idéalement à vos désirs sur ImmoScout24 - La plateforme de l'immobilier en Suisse.</v>
      </c>
    </row>
    <row r="6107" hidden="1">
      <c r="A6107" s="5" t="s">
        <v>15310</v>
      </c>
      <c r="B6107" s="2" t="s">
        <v>15311</v>
      </c>
      <c r="C6107" s="2" t="s">
        <v>15311</v>
      </c>
      <c r="D6107" s="4" t="str">
        <f>vlookup(A6107, Sheet2!D:E, 2, 0)</f>
        <v>control</v>
      </c>
      <c r="E6107" s="4" t="str">
        <f>IFERROR(__xludf.DUMMYFUNCTION("if(H6107=""pays"",vlookup(REGEXEXTRACT(C6107, ""🏘️ \w+ \w+ (.*) ✅""),'Country prepositions'!A:B, 2, 0) &amp; "" "" &amp; REGEXEXTRACT(C6107, ""🏘️ \w+ \w+ (.*) ✅"") ,  if(H6107=""quartier"",vlookup(REGEXEXTRACT(C6107, ""🏘️ \w+ \w+ (.*) ✅""),'Quartier prepositio"&amp;"ns'!A:E, 5, 0) ,  if(H6107=""region"",vlookup(REGEXEXTRACT(C6107, ""🏘️ \w+ \w+ (.*) ✅""),'Region prepositions'!B:F, 5, 0),  REGEXEXTRACT(C6107, ""🏘️ \w+ \w+ (.*) ✅""))))"),"#N/A")</f>
        <v>#N/A</v>
      </c>
      <c r="I6107" s="4" t="str">
        <f>IFERROR(__xludf.DUMMYFUNCTION("if(D6107=""variant"",  substitute(filter(Templates!E:E, Templates!A:A = F6107, Templates!B:B = G6107, Templates!C:C = H6107), ""{{}}"", E6107), B6107)"),"Vendre appartement Burgdorf: Trouvez le bien immobilier qui correspond idéalement à vos désirs sur ImmoScout24 - La plateforme de l'immobilier en Suisse.")</f>
        <v>Vendre appartement Burgdorf: Trouvez le bien immobilier qui correspond idéalement à vos désirs sur ImmoScout24 - La plateforme de l'immobilier en Suisse.</v>
      </c>
    </row>
    <row r="6108" hidden="1">
      <c r="A6108" s="5" t="s">
        <v>15312</v>
      </c>
      <c r="B6108" s="2" t="s">
        <v>15313</v>
      </c>
      <c r="C6108" s="2" t="s">
        <v>15313</v>
      </c>
      <c r="D6108" s="4" t="str">
        <f>vlookup(A6108, Sheet2!D:E, 2, 0)</f>
        <v>control</v>
      </c>
      <c r="E6108" s="4" t="str">
        <f>IFERROR(__xludf.DUMMYFUNCTION("if(H6108=""pays"",vlookup(REGEXEXTRACT(C6108, ""🏘️ \w+ \w+ (.*) ✅""),'Country prepositions'!A:B, 2, 0) &amp; "" "" &amp; REGEXEXTRACT(C6108, ""🏘️ \w+ \w+ (.*) ✅"") ,  if(H6108=""quartier"",vlookup(REGEXEXTRACT(C6108, ""🏘️ \w+ \w+ (.*) ✅""),'Quartier prepositio"&amp;"ns'!A:E, 5, 0) ,  if(H6108=""region"",vlookup(REGEXEXTRACT(C6108, ""🏘️ \w+ \w+ (.*) ✅""),'Region prepositions'!B:F, 5, 0),  REGEXEXTRACT(C6108, ""🏘️ \w+ \w+ (.*) ✅""))))"),"#N/A")</f>
        <v>#N/A</v>
      </c>
      <c r="I6108" s="4" t="str">
        <f>IFERROR(__xludf.DUMMYFUNCTION("if(D6108=""variant"",  substitute(filter(Templates!E:E, Templates!A:A = F6108, Templates!B:B = G6108, Templates!C:C = H6108), ""{{}}"", E6108), B6108)"),"Louer appartement Argentine: Trouvez le bien immobilier qui correspond idéalement à vos désirs sur ImmoScout24 - La plateforme de l'immobilier en Suisse.")</f>
        <v>Louer appartement Argentine: Trouvez le bien immobilier qui correspond idéalement à vos désirs sur ImmoScout24 - La plateforme de l'immobilier en Suisse.</v>
      </c>
    </row>
    <row r="6109" hidden="1">
      <c r="A6109" s="5" t="s">
        <v>15314</v>
      </c>
      <c r="B6109" s="2" t="s">
        <v>15315</v>
      </c>
      <c r="C6109" s="2" t="s">
        <v>15315</v>
      </c>
      <c r="D6109" s="4" t="str">
        <f>vlookup(A6109, Sheet2!D:E, 2, 0)</f>
        <v>control</v>
      </c>
      <c r="E6109" s="4" t="str">
        <f>IFERROR(__xludf.DUMMYFUNCTION("if(H6109=""pays"",vlookup(REGEXEXTRACT(C6109, ""🏘️ \w+ \w+ (.*) ✅""),'Country prepositions'!A:B, 2, 0) &amp; "" "" &amp; REGEXEXTRACT(C6109, ""🏘️ \w+ \w+ (.*) ✅"") ,  if(H6109=""quartier"",vlookup(REGEXEXTRACT(C6109, ""🏘️ \w+ \w+ (.*) ✅""),'Quartier prepositio"&amp;"ns'!A:E, 5, 0) ,  if(H6109=""region"",vlookup(REGEXEXTRACT(C6109, ""🏘️ \w+ \w+ (.*) ✅""),'Region prepositions'!B:F, 5, 0),  REGEXEXTRACT(C6109, ""🏘️ \w+ \w+ (.*) ✅""))))"),"#N/A")</f>
        <v>#N/A</v>
      </c>
      <c r="I6109" s="4" t="str">
        <f>IFERROR(__xludf.DUMMYFUNCTION("if(D6109=""variant"",  substitute(filter(Templates!E:E, Templates!A:A = F6109, Templates!B:B = G6109, Templates!C:C = H6109), ""{{}}"", E6109), B6109)"),"Louer appartement Wallisellen: Trouvez le bien immobilier qui correspond idéalement à vos désirs sur ImmoScout24 - La plateforme de l'immobilier en Suisse.")</f>
        <v>Louer appartement Wallisellen: Trouvez le bien immobilier qui correspond idéalement à vos désirs sur ImmoScout24 - La plateforme de l'immobilier en Suisse.</v>
      </c>
    </row>
    <row r="6110" hidden="1">
      <c r="A6110" s="5" t="s">
        <v>15316</v>
      </c>
      <c r="B6110" s="2" t="s">
        <v>15317</v>
      </c>
      <c r="C6110" s="2" t="s">
        <v>15317</v>
      </c>
      <c r="D6110" s="4" t="str">
        <f>vlookup(A6110, Sheet2!D:E, 2, 0)</f>
        <v>control</v>
      </c>
      <c r="E6110" s="4" t="str">
        <f>IFERROR(__xludf.DUMMYFUNCTION("if(H6110=""pays"",vlookup(REGEXEXTRACT(C6110, ""🏘️ \w+ \w+ (.*) ✅""),'Country prepositions'!A:B, 2, 0) &amp; "" "" &amp; REGEXEXTRACT(C6110, ""🏘️ \w+ \w+ (.*) ✅"") ,  if(H6110=""quartier"",vlookup(REGEXEXTRACT(C6110, ""🏘️ \w+ \w+ (.*) ✅""),'Quartier prepositio"&amp;"ns'!A:E, 5, 0) ,  if(H6110=""region"",vlookup(REGEXEXTRACT(C6110, ""🏘️ \w+ \w+ (.*) ✅""),'Region prepositions'!B:F, 5, 0),  REGEXEXTRACT(C6110, ""🏘️ \w+ \w+ (.*) ✅""))))"),"#N/A")</f>
        <v>#N/A</v>
      </c>
      <c r="I6110" s="4" t="str">
        <f>IFERROR(__xludf.DUMMYFUNCTION("if(D6110=""variant"",  substitute(filter(Templates!E:E, Templates!A:A = F6110, Templates!B:B = G6110, Templates!C:C = H6110), ""{{}}"", E6110), B6110)"),"Vendre appartement Meyriez: Trouvez le bien immobilier qui correspond idéalement à vos désirs sur ImmoScout24 - La plateforme de l'immobilier en Suisse.")</f>
        <v>Vendre appartement Meyriez: Trouvez le bien immobilier qui correspond idéalement à vos désirs sur ImmoScout24 - La plateforme de l'immobilier en Suisse.</v>
      </c>
    </row>
    <row r="6111" hidden="1">
      <c r="A6111" s="5" t="s">
        <v>15318</v>
      </c>
      <c r="B6111" s="2" t="s">
        <v>15319</v>
      </c>
      <c r="C6111" s="2" t="s">
        <v>15319</v>
      </c>
      <c r="D6111" s="4" t="str">
        <f>vlookup(A6111, Sheet2!D:E, 2, 0)</f>
        <v>control</v>
      </c>
      <c r="E6111" s="4" t="str">
        <f>IFERROR(__xludf.DUMMYFUNCTION("if(H6111=""pays"",vlookup(REGEXEXTRACT(C6111, ""🏘️ \w+ \w+ (.*) ✅""),'Country prepositions'!A:B, 2, 0) &amp; "" "" &amp; REGEXEXTRACT(C6111, ""🏘️ \w+ \w+ (.*) ✅"") ,  if(H6111=""quartier"",vlookup(REGEXEXTRACT(C6111, ""🏘️ \w+ \w+ (.*) ✅""),'Quartier prepositio"&amp;"ns'!A:E, 5, 0) ,  if(H6111=""region"",vlookup(REGEXEXTRACT(C6111, ""🏘️ \w+ \w+ (.*) ✅""),'Region prepositions'!B:F, 5, 0),  REGEXEXTRACT(C6111, ""🏘️ \w+ \w+ (.*) ✅""))))"),"#N/A")</f>
        <v>#N/A</v>
      </c>
      <c r="I6111" s="4" t="str">
        <f>IFERROR(__xludf.DUMMYFUNCTION("if(D6111=""variant"",  substitute(filter(Templates!E:E, Templates!A:A = F6111, Templates!B:B = G6111, Templates!C:C = H6111), ""{{}}"", E6111), B6111)"),"Vendre appartement Clarmont: Trouvez le bien immobilier qui correspond idéalement à vos désirs sur ImmoScout24 - La plateforme de l'immobilier en Suisse.")</f>
        <v>Vendre appartement Clarmont: Trouvez le bien immobilier qui correspond idéalement à vos désirs sur ImmoScout24 - La plateforme de l'immobilier en Suisse.</v>
      </c>
    </row>
    <row r="6112" hidden="1">
      <c r="A6112" s="5" t="s">
        <v>15320</v>
      </c>
      <c r="B6112" s="2" t="s">
        <v>15321</v>
      </c>
      <c r="C6112" s="2" t="s">
        <v>15321</v>
      </c>
      <c r="D6112" s="4" t="str">
        <f>vlookup(A6112, Sheet2!D:E, 2, 0)</f>
        <v>control</v>
      </c>
      <c r="E6112" s="4" t="str">
        <f>IFERROR(__xludf.DUMMYFUNCTION("if(H6112=""pays"",vlookup(REGEXEXTRACT(C6112, ""🏘️ \w+ \w+ (.*) ✅""),'Country prepositions'!A:B, 2, 0) &amp; "" "" &amp; REGEXEXTRACT(C6112, ""🏘️ \w+ \w+ (.*) ✅"") ,  if(H6112=""quartier"",vlookup(REGEXEXTRACT(C6112, ""🏘️ \w+ \w+ (.*) ✅""),'Quartier prepositio"&amp;"ns'!A:E, 5, 0) ,  if(H6112=""region"",vlookup(REGEXEXTRACT(C6112, ""🏘️ \w+ \w+ (.*) ✅""),'Region prepositions'!B:F, 5, 0),  REGEXEXTRACT(C6112, ""🏘️ \w+ \w+ (.*) ✅""))))"),"#N/A")</f>
        <v>#N/A</v>
      </c>
      <c r="I6112" s="4" t="str">
        <f>IFERROR(__xludf.DUMMYFUNCTION("if(D6112=""variant"",  substitute(filter(Templates!E:E, Templates!A:A = F6112, Templates!B:B = G6112, Templates!C:C = H6112), ""{{}}"", E6112), B6112)"),"Louer appartement Dürrenast (Thun): Trouvez le bien immobilier qui correspond idéalement à vos désirs sur ImmoScout24 - La plateforme de l'immobilier en Suisse.")</f>
        <v>Louer appartement Dürrenast (Thun): Trouvez le bien immobilier qui correspond idéalement à vos désirs sur ImmoScout24 - La plateforme de l'immobilier en Suisse.</v>
      </c>
    </row>
    <row r="6113" hidden="1">
      <c r="A6113" s="5" t="s">
        <v>15322</v>
      </c>
      <c r="B6113" s="2" t="s">
        <v>15323</v>
      </c>
      <c r="C6113" s="2" t="s">
        <v>15323</v>
      </c>
      <c r="D6113" s="4" t="str">
        <f>vlookup(A6113, Sheet2!D:E, 2, 0)</f>
        <v>control</v>
      </c>
      <c r="E6113" s="4" t="str">
        <f>IFERROR(__xludf.DUMMYFUNCTION("if(H6113=""pays"",vlookup(REGEXEXTRACT(C6113, ""🏘️ \w+ \w+ (.*) ✅""),'Country prepositions'!A:B, 2, 0) &amp; "" "" &amp; REGEXEXTRACT(C6113, ""🏘️ \w+ \w+ (.*) ✅"") ,  if(H6113=""quartier"",vlookup(REGEXEXTRACT(C6113, ""🏘️ \w+ \w+ (.*) ✅""),'Quartier prepositio"&amp;"ns'!A:E, 5, 0) ,  if(H6113=""region"",vlookup(REGEXEXTRACT(C6113, ""🏘️ \w+ \w+ (.*) ✅""),'Region prepositions'!B:F, 5, 0),  REGEXEXTRACT(C6113, ""🏘️ \w+ \w+ (.*) ✅""))))"),"#N/A")</f>
        <v>#N/A</v>
      </c>
      <c r="I6113" s="4" t="str">
        <f>IFERROR(__xludf.DUMMYFUNCTION("if(D6113=""variant"",  substitute(filter(Templates!E:E, Templates!A:A = F6113, Templates!B:B = G6113, Templates!C:C = H6113), ""{{}}"", E6113), B6113)"),"Vendre maison Prez-vers-Noréaz: Trouvez le bien immobilier qui correspond idéalement à vos désirs sur ImmoScout24 - La plateforme de l'immobilier en Suisse.")</f>
        <v>Vendre maison Prez-vers-Noréaz: Trouvez le bien immobilier qui correspond idéalement à vos désirs sur ImmoScout24 - La plateforme de l'immobilier en Suisse.</v>
      </c>
    </row>
    <row r="6114" hidden="1">
      <c r="A6114" s="5" t="s">
        <v>15324</v>
      </c>
      <c r="B6114" s="2" t="s">
        <v>15325</v>
      </c>
      <c r="C6114" s="2" t="s">
        <v>15325</v>
      </c>
      <c r="D6114" s="4" t="str">
        <f>vlookup(A6114, Sheet2!D:E, 2, 0)</f>
        <v>control</v>
      </c>
      <c r="E6114" s="4" t="str">
        <f>IFERROR(__xludf.DUMMYFUNCTION("if(H6114=""pays"",vlookup(REGEXEXTRACT(C6114, ""🏘️ \w+ \w+ (.*) ✅""),'Country prepositions'!A:B, 2, 0) &amp; "" "" &amp; REGEXEXTRACT(C6114, ""🏘️ \w+ \w+ (.*) ✅"") ,  if(H6114=""quartier"",vlookup(REGEXEXTRACT(C6114, ""🏘️ \w+ \w+ (.*) ✅""),'Quartier prepositio"&amp;"ns'!A:E, 5, 0) ,  if(H6114=""region"",vlookup(REGEXEXTRACT(C6114, ""🏘️ \w+ \w+ (.*) ✅""),'Region prepositions'!B:F, 5, 0),  REGEXEXTRACT(C6114, ""🏘️ \w+ \w+ (.*) ✅""))))"),"#N/A")</f>
        <v>#N/A</v>
      </c>
      <c r="I6114" s="4" t="str">
        <f>IFERROR(__xludf.DUMMYFUNCTION("if(D6114=""variant"",  substitute(filter(Templates!E:E, Templates!A:A = F6114, Templates!B:B = G6114, Templates!C:C = H6114), ""{{}}"", E6114), B6114)"),"Vendre maison Gimel: Trouvez le bien immobilier qui correspond idéalement à vos désirs sur ImmoScout24 - La plateforme de l'immobilier en Suisse.")</f>
        <v>Vendre maison Gimel: Trouvez le bien immobilier qui correspond idéalement à vos désirs sur ImmoScout24 - La plateforme de l'immobilier en Suisse.</v>
      </c>
    </row>
    <row r="6115" hidden="1">
      <c r="A6115" s="5" t="s">
        <v>15326</v>
      </c>
      <c r="B6115" s="2" t="s">
        <v>15327</v>
      </c>
      <c r="C6115" s="2" t="s">
        <v>15327</v>
      </c>
      <c r="D6115" s="4" t="str">
        <f>vlookup(A6115, Sheet2!D:E, 2, 0)</f>
        <v>control</v>
      </c>
      <c r="E6115" s="4" t="str">
        <f>IFERROR(__xludf.DUMMYFUNCTION("if(H6115=""pays"",vlookup(REGEXEXTRACT(C6115, ""🏘️ \w+ \w+ (.*) ✅""),'Country prepositions'!A:B, 2, 0) &amp; "" "" &amp; REGEXEXTRACT(C6115, ""🏘️ \w+ \w+ (.*) ✅"") ,  if(H6115=""quartier"",vlookup(REGEXEXTRACT(C6115, ""🏘️ \w+ \w+ (.*) ✅""),'Quartier prepositio"&amp;"ns'!A:E, 5, 0) ,  if(H6115=""region"",vlookup(REGEXEXTRACT(C6115, ""🏘️ \w+ \w+ (.*) ✅""),'Region prepositions'!B:F, 5, 0),  REGEXEXTRACT(C6115, ""🏘️ \w+ \w+ (.*) ✅""))))"),"#N/A")</f>
        <v>#N/A</v>
      </c>
      <c r="I6115" s="4" t="str">
        <f>IFERROR(__xludf.DUMMYFUNCTION("if(D6115=""variant"",  substitute(filter(Templates!E:E, Templates!A:A = F6115, Templates!B:B = G6115, Templates!C:C = H6115), ""{{}}"", E6115), B6115)"),"Vendre appartement Fribourg Glane: Trouvez le bien immobilier qui correspond idéalement à vos désirs sur ImmoScout24 - La plateforme de l'immobilier en Suisse.")</f>
        <v>Vendre appartement Fribourg Glane: Trouvez le bien immobilier qui correspond idéalement à vos désirs sur ImmoScout24 - La plateforme de l'immobilier en Suisse.</v>
      </c>
    </row>
    <row r="6116" hidden="1">
      <c r="A6116" s="5" t="s">
        <v>15328</v>
      </c>
      <c r="B6116" s="2" t="s">
        <v>15329</v>
      </c>
      <c r="C6116" s="2" t="s">
        <v>15329</v>
      </c>
      <c r="D6116" s="4" t="str">
        <f>vlookup(A6116, Sheet2!D:E, 2, 0)</f>
        <v>control</v>
      </c>
      <c r="E6116" s="4" t="str">
        <f>IFERROR(__xludf.DUMMYFUNCTION("if(H6116=""pays"",vlookup(REGEXEXTRACT(C6116, ""🏘️ \w+ \w+ (.*) ✅""),'Country prepositions'!A:B, 2, 0) &amp; "" "" &amp; REGEXEXTRACT(C6116, ""🏘️ \w+ \w+ (.*) ✅"") ,  if(H6116=""quartier"",vlookup(REGEXEXTRACT(C6116, ""🏘️ \w+ \w+ (.*) ✅""),'Quartier prepositio"&amp;"ns'!A:E, 5, 0) ,  if(H6116=""region"",vlookup(REGEXEXTRACT(C6116, ""🏘️ \w+ \w+ (.*) ✅""),'Region prepositions'!B:F, 5, 0),  REGEXEXTRACT(C6116, ""🏘️ \w+ \w+ (.*) ✅""))))"),"#N/A")</f>
        <v>#N/A</v>
      </c>
      <c r="I6116" s="4" t="str">
        <f>IFERROR(__xludf.DUMMYFUNCTION("if(D6116=""variant"",  substitute(filter(Templates!E:E, Templates!A:A = F6116, Templates!B:B = G6116, Templates!C:C = H6116), ""{{}}"", E6116), B6116)"),"Louer appartement Worb: Trouvez le bien immobilier qui correspond idéalement à vos désirs sur ImmoScout24 - La plateforme de l'immobilier en Suisse.")</f>
        <v>Louer appartement Worb: Trouvez le bien immobilier qui correspond idéalement à vos désirs sur ImmoScout24 - La plateforme de l'immobilier en Suisse.</v>
      </c>
    </row>
    <row r="6117" hidden="1">
      <c r="A6117" s="5" t="s">
        <v>15330</v>
      </c>
      <c r="B6117" s="2" t="s">
        <v>15331</v>
      </c>
      <c r="C6117" s="2" t="s">
        <v>15331</v>
      </c>
      <c r="D6117" s="4" t="str">
        <f>vlookup(A6117, Sheet2!D:E, 2, 0)</f>
        <v>control</v>
      </c>
      <c r="E6117" s="4" t="str">
        <f>IFERROR(__xludf.DUMMYFUNCTION("if(H6117=""pays"",vlookup(REGEXEXTRACT(C6117, ""🏘️ \w+ \w+ (.*) ✅""),'Country prepositions'!A:B, 2, 0) &amp; "" "" &amp; REGEXEXTRACT(C6117, ""🏘️ \w+ \w+ (.*) ✅"") ,  if(H6117=""quartier"",vlookup(REGEXEXTRACT(C6117, ""🏘️ \w+ \w+ (.*) ✅""),'Quartier prepositio"&amp;"ns'!A:E, 5, 0) ,  if(H6117=""region"",vlookup(REGEXEXTRACT(C6117, ""🏘️ \w+ \w+ (.*) ✅""),'Region prepositions'!B:F, 5, 0),  REGEXEXTRACT(C6117, ""🏘️ \w+ \w+ (.*) ✅""))))"),"#N/A")</f>
        <v>#N/A</v>
      </c>
      <c r="I6117" s="4" t="str">
        <f>IFERROR(__xludf.DUMMYFUNCTION("if(D6117=""variant"",  substitute(filter(Templates!E:E, Templates!A:A = F6117, Templates!B:B = G6117, Templates!C:C = H6117), ""{{}}"", E6117), B6117)"),"Vendre maison Pouillerel-Postiers-Chevreuils (La Chaux-de-Fonds): Trouvez le bien immobilier qui correspond idéalement à vos désirs sur ImmoScout24 - La plateforme de l'immobilier en Suisse.")</f>
        <v>Vendre maison Pouillerel-Postiers-Chevreuils (La Chaux-de-Fonds): Trouvez le bien immobilier qui correspond idéalement à vos désirs sur ImmoScout24 - La plateforme de l'immobilier en Suisse.</v>
      </c>
    </row>
    <row r="6118" hidden="1">
      <c r="A6118" s="5" t="s">
        <v>15332</v>
      </c>
      <c r="B6118" s="2" t="s">
        <v>15333</v>
      </c>
      <c r="C6118" s="2" t="s">
        <v>15333</v>
      </c>
      <c r="D6118" s="4" t="str">
        <f>vlookup(A6118, Sheet2!D:E, 2, 0)</f>
        <v>control</v>
      </c>
      <c r="E6118" s="4" t="str">
        <f>IFERROR(__xludf.DUMMYFUNCTION("if(H6118=""pays"",vlookup(REGEXEXTRACT(C6118, ""🏘️ \w+ \w+ (.*) ✅""),'Country prepositions'!A:B, 2, 0) &amp; "" "" &amp; REGEXEXTRACT(C6118, ""🏘️ \w+ \w+ (.*) ✅"") ,  if(H6118=""quartier"",vlookup(REGEXEXTRACT(C6118, ""🏘️ \w+ \w+ (.*) ✅""),'Quartier prepositio"&amp;"ns'!A:E, 5, 0) ,  if(H6118=""region"",vlookup(REGEXEXTRACT(C6118, ""🏘️ \w+ \w+ (.*) ✅""),'Region prepositions'!B:F, 5, 0),  REGEXEXTRACT(C6118, ""🏘️ \w+ \w+ (.*) ✅""))))"),"#N/A")</f>
        <v>#N/A</v>
      </c>
      <c r="I6118" s="4" t="str">
        <f>IFERROR(__xludf.DUMMYFUNCTION("if(D6118=""variant"",  substitute(filter(Templates!E:E, Templates!A:A = F6118, Templates!B:B = G6118, Templates!C:C = H6118), ""{{}}"", E6118), B6118)"),"Louer appartement Juf: Trouvez le bien immobilier qui correspond idéalement à vos désirs sur ImmoScout24 - La plateforme de l'immobilier en Suisse.")</f>
        <v>Louer appartement Juf: Trouvez le bien immobilier qui correspond idéalement à vos désirs sur ImmoScout24 - La plateforme de l'immobilier en Suisse.</v>
      </c>
    </row>
    <row r="6119" hidden="1">
      <c r="A6119" s="5" t="s">
        <v>15334</v>
      </c>
      <c r="B6119" s="2" t="s">
        <v>15335</v>
      </c>
      <c r="C6119" s="2" t="s">
        <v>15335</v>
      </c>
      <c r="D6119" s="4" t="str">
        <f>vlookup(A6119, Sheet2!D:E, 2, 0)</f>
        <v>control</v>
      </c>
      <c r="E6119" s="4" t="str">
        <f>IFERROR(__xludf.DUMMYFUNCTION("if(H6119=""pays"",vlookup(REGEXEXTRACT(C6119, ""🏘️ \w+ \w+ (.*) ✅""),'Country prepositions'!A:B, 2, 0) &amp; "" "" &amp; REGEXEXTRACT(C6119, ""🏘️ \w+ \w+ (.*) ✅"") ,  if(H6119=""quartier"",vlookup(REGEXEXTRACT(C6119, ""🏘️ \w+ \w+ (.*) ✅""),'Quartier prepositio"&amp;"ns'!A:E, 5, 0) ,  if(H6119=""region"",vlookup(REGEXEXTRACT(C6119, ""🏘️ \w+ \w+ (.*) ✅""),'Region prepositions'!B:F, 5, 0),  REGEXEXTRACT(C6119, ""🏘️ \w+ \w+ (.*) ✅""))))"),"#N/A")</f>
        <v>#N/A</v>
      </c>
      <c r="I6119" s="4" t="str">
        <f>IFERROR(__xludf.DUMMYFUNCTION("if(D6119=""variant"",  substitute(filter(Templates!E:E, Templates!A:A = F6119, Templates!B:B = G6119, Templates!C:C = H6119), ""{{}}"", E6119), B6119)"),"Louer appartement Gränichen: Trouvez le bien immobilier qui correspond idéalement à vos désirs sur ImmoScout24 - La plateforme de l'immobilier en Suisse.")</f>
        <v>Louer appartement Gränichen: Trouvez le bien immobilier qui correspond idéalement à vos désirs sur ImmoScout24 - La plateforme de l'immobilier en Suisse.</v>
      </c>
    </row>
    <row r="6120" hidden="1">
      <c r="A6120" s="5" t="s">
        <v>15336</v>
      </c>
      <c r="B6120" s="2" t="s">
        <v>15337</v>
      </c>
      <c r="C6120" s="2" t="s">
        <v>15337</v>
      </c>
      <c r="D6120" s="4" t="str">
        <f>vlookup(A6120, Sheet2!D:E, 2, 0)</f>
        <v>control</v>
      </c>
      <c r="E6120" s="4" t="str">
        <f>IFERROR(__xludf.DUMMYFUNCTION("if(H6120=""pays"",vlookup(REGEXEXTRACT(C6120, ""🏘️ \w+ \w+ (.*) ✅""),'Country prepositions'!A:B, 2, 0) &amp; "" "" &amp; REGEXEXTRACT(C6120, ""🏘️ \w+ \w+ (.*) ✅"") ,  if(H6120=""quartier"",vlookup(REGEXEXTRACT(C6120, ""🏘️ \w+ \w+ (.*) ✅""),'Quartier prepositio"&amp;"ns'!A:E, 5, 0) ,  if(H6120=""region"",vlookup(REGEXEXTRACT(C6120, ""🏘️ \w+ \w+ (.*) ✅""),'Region prepositions'!B:F, 5, 0),  REGEXEXTRACT(C6120, ""🏘️ \w+ \w+ (.*) ✅""))))"),"#N/A")</f>
        <v>#N/A</v>
      </c>
      <c r="I6120" s="4" t="str">
        <f>IFERROR(__xludf.DUMMYFUNCTION("if(D6120=""variant"",  substitute(filter(Templates!E:E, Templates!A:A = F6120, Templates!B:B = G6120, Templates!C:C = H6120), ""{{}}"", E6120), B6120)"),"Vendre maison Lüsslingen: Trouvez le bien immobilier qui correspond idéalement à vos désirs sur ImmoScout24 - La plateforme de l'immobilier en Suisse.")</f>
        <v>Vendre maison Lüsslingen: Trouvez le bien immobilier qui correspond idéalement à vos désirs sur ImmoScout24 - La plateforme de l'immobilier en Suisse.</v>
      </c>
    </row>
    <row r="6121" hidden="1">
      <c r="A6121" s="5" t="s">
        <v>15338</v>
      </c>
      <c r="B6121" s="2" t="s">
        <v>15339</v>
      </c>
      <c r="C6121" s="2" t="s">
        <v>15339</v>
      </c>
      <c r="D6121" s="4" t="str">
        <f>vlookup(A6121, Sheet2!D:E, 2, 0)</f>
        <v>control</v>
      </c>
      <c r="E6121" s="4" t="str">
        <f>IFERROR(__xludf.DUMMYFUNCTION("if(H6121=""pays"",vlookup(REGEXEXTRACT(C6121, ""🏘️ \w+ \w+ (.*) ✅""),'Country prepositions'!A:B, 2, 0) &amp; "" "" &amp; REGEXEXTRACT(C6121, ""🏘️ \w+ \w+ (.*) ✅"") ,  if(H6121=""quartier"",vlookup(REGEXEXTRACT(C6121, ""🏘️ \w+ \w+ (.*) ✅""),'Quartier prepositio"&amp;"ns'!A:E, 5, 0) ,  if(H6121=""region"",vlookup(REGEXEXTRACT(C6121, ""🏘️ \w+ \w+ (.*) ✅""),'Region prepositions'!B:F, 5, 0),  REGEXEXTRACT(C6121, ""🏘️ \w+ \w+ (.*) ✅""))))"),"#N/A")</f>
        <v>#N/A</v>
      </c>
      <c r="I6121" s="4" t="str">
        <f>IFERROR(__xludf.DUMMYFUNCTION("if(D6121=""variant"",  substitute(filter(Templates!E:E, Templates!A:A = F6121, Templates!B:B = G6121, Templates!C:C = H6121), ""{{}}"", E6121), B6121)"),"Louer appartement Nouvelle ville sud (Biel/Bienne): Trouvez le bien immobilier qui correspond idéalement à vos désirs sur ImmoScout24 - La plateforme de l'immobilier en Suisse.")</f>
        <v>Louer appartement Nouvelle ville sud (Biel/Bienne): Trouvez le bien immobilier qui correspond idéalement à vos désirs sur ImmoScout24 - La plateforme de l'immobilier en Suisse.</v>
      </c>
    </row>
    <row r="6122" hidden="1">
      <c r="A6122" s="5" t="s">
        <v>15340</v>
      </c>
      <c r="B6122" s="2" t="s">
        <v>15341</v>
      </c>
      <c r="C6122" s="2" t="s">
        <v>15341</v>
      </c>
      <c r="D6122" s="4" t="str">
        <f>vlookup(A6122, Sheet2!D:E, 2, 0)</f>
        <v>control</v>
      </c>
      <c r="E6122" s="4" t="str">
        <f>IFERROR(__xludf.DUMMYFUNCTION("if(H6122=""pays"",vlookup(REGEXEXTRACT(C6122, ""🏘️ \w+ \w+ (.*) ✅""),'Country prepositions'!A:B, 2, 0) &amp; "" "" &amp; REGEXEXTRACT(C6122, ""🏘️ \w+ \w+ (.*) ✅"") ,  if(H6122=""quartier"",vlookup(REGEXEXTRACT(C6122, ""🏘️ \w+ \w+ (.*) ✅""),'Quartier prepositio"&amp;"ns'!A:E, 5, 0) ,  if(H6122=""region"",vlookup(REGEXEXTRACT(C6122, ""🏘️ \w+ \w+ (.*) ✅""),'Region prepositions'!B:F, 5, 0),  REGEXEXTRACT(C6122, ""🏘️ \w+ \w+ (.*) ✅""))))"),"#N/A")</f>
        <v>#N/A</v>
      </c>
      <c r="I6122" s="4" t="str">
        <f>IFERROR(__xludf.DUMMYFUNCTION("if(D6122=""variant"",  substitute(filter(Templates!E:E, Templates!A:A = F6122, Templates!B:B = G6122, Templates!C:C = H6122), ""{{}}"", E6122), B6122)"),"Vendre maison La Vraconnaz: Trouvez le bien immobilier qui correspond idéalement à vos désirs sur ImmoScout24 - La plateforme de l'immobilier en Suisse.")</f>
        <v>Vendre maison La Vraconnaz: Trouvez le bien immobilier qui correspond idéalement à vos désirs sur ImmoScout24 - La plateforme de l'immobilier en Suisse.</v>
      </c>
    </row>
    <row r="6123" hidden="1">
      <c r="A6123" s="5" t="s">
        <v>15342</v>
      </c>
      <c r="B6123" s="2" t="s">
        <v>15343</v>
      </c>
      <c r="C6123" s="2" t="s">
        <v>15343</v>
      </c>
      <c r="D6123" s="4" t="str">
        <f>vlookup(A6123, Sheet2!D:E, 2, 0)</f>
        <v>control</v>
      </c>
      <c r="E6123" s="4" t="str">
        <f>IFERROR(__xludf.DUMMYFUNCTION("if(H6123=""pays"",vlookup(REGEXEXTRACT(C6123, ""🏘️ \w+ \w+ (.*) ✅""),'Country prepositions'!A:B, 2, 0) &amp; "" "" &amp; REGEXEXTRACT(C6123, ""🏘️ \w+ \w+ (.*) ✅"") ,  if(H6123=""quartier"",vlookup(REGEXEXTRACT(C6123, ""🏘️ \w+ \w+ (.*) ✅""),'Quartier prepositio"&amp;"ns'!A:E, 5, 0) ,  if(H6123=""region"",vlookup(REGEXEXTRACT(C6123, ""🏘️ \w+ \w+ (.*) ✅""),'Region prepositions'!B:F, 5, 0),  REGEXEXTRACT(C6123, ""🏘️ \w+ \w+ (.*) ✅""))))"),"#N/A")</f>
        <v>#N/A</v>
      </c>
      <c r="I6123" s="4" t="str">
        <f>IFERROR(__xludf.DUMMYFUNCTION("if(D6123=""variant"",  substitute(filter(Templates!E:E, Templates!A:A = F6123, Templates!B:B = G6123, Templates!C:C = H6123), ""{{}}"", E6123), B6123)"),"Vendre appartement Wattenwil: Trouvez le bien immobilier qui correspond idéalement à vos désirs sur ImmoScout24 - La plateforme de l'immobilier en Suisse.")</f>
        <v>Vendre appartement Wattenwil: Trouvez le bien immobilier qui correspond idéalement à vos désirs sur ImmoScout24 - La plateforme de l'immobilier en Suisse.</v>
      </c>
    </row>
    <row r="6124" hidden="1">
      <c r="A6124" s="5" t="s">
        <v>15344</v>
      </c>
      <c r="B6124" s="2" t="s">
        <v>15345</v>
      </c>
      <c r="C6124" s="2" t="s">
        <v>15345</v>
      </c>
      <c r="D6124" s="4" t="str">
        <f>vlookup(A6124, Sheet2!D:E, 2, 0)</f>
        <v>control</v>
      </c>
      <c r="E6124" s="4" t="str">
        <f>IFERROR(__xludf.DUMMYFUNCTION("if(H6124=""pays"",vlookup(REGEXEXTRACT(C6124, ""🏘️ \w+ \w+ (.*) ✅""),'Country prepositions'!A:B, 2, 0) &amp; "" "" &amp; REGEXEXTRACT(C6124, ""🏘️ \w+ \w+ (.*) ✅"") ,  if(H6124=""quartier"",vlookup(REGEXEXTRACT(C6124, ""🏘️ \w+ \w+ (.*) ✅""),'Quartier prepositio"&amp;"ns'!A:E, 5, 0) ,  if(H6124=""region"",vlookup(REGEXEXTRACT(C6124, ""🏘️ \w+ \w+ (.*) ✅""),'Region prepositions'!B:F, 5, 0),  REGEXEXTRACT(C6124, ""🏘️ \w+ \w+ (.*) ✅""))))"),"#N/A")</f>
        <v>#N/A</v>
      </c>
      <c r="I6124" s="4" t="str">
        <f>IFERROR(__xludf.DUMMYFUNCTION("if(D6124=""variant"",  substitute(filter(Templates!E:E, Templates!A:A = F6124, Templates!B:B = G6124, Templates!C:C = H6124), ""{{}}"", E6124), B6124)"),"Vendre maison Pont-de-la-Morge (Sion): Trouvez le bien immobilier qui correspond idéalement à vos désirs sur ImmoScout24 - La plateforme de l'immobilier en Suisse.")</f>
        <v>Vendre maison Pont-de-la-Morge (Sion): Trouvez le bien immobilier qui correspond idéalement à vos désirs sur ImmoScout24 - La plateforme de l'immobilier en Suisse.</v>
      </c>
    </row>
    <row r="6125" hidden="1">
      <c r="A6125" s="5" t="s">
        <v>15346</v>
      </c>
      <c r="B6125" s="2" t="s">
        <v>15347</v>
      </c>
      <c r="C6125" s="2" t="s">
        <v>15347</v>
      </c>
      <c r="D6125" s="4" t="str">
        <f>vlookup(A6125, Sheet2!D:E, 2, 0)</f>
        <v>control</v>
      </c>
      <c r="E6125" s="4" t="str">
        <f>IFERROR(__xludf.DUMMYFUNCTION("if(H6125=""pays"",vlookup(REGEXEXTRACT(C6125, ""🏘️ \w+ \w+ (.*) ✅""),'Country prepositions'!A:B, 2, 0) &amp; "" "" &amp; REGEXEXTRACT(C6125, ""🏘️ \w+ \w+ (.*) ✅"") ,  if(H6125=""quartier"",vlookup(REGEXEXTRACT(C6125, ""🏘️ \w+ \w+ (.*) ✅""),'Quartier prepositio"&amp;"ns'!A:E, 5, 0) ,  if(H6125=""region"",vlookup(REGEXEXTRACT(C6125, ""🏘️ \w+ \w+ (.*) ✅""),'Region prepositions'!B:F, 5, 0),  REGEXEXTRACT(C6125, ""🏘️ \w+ \w+ (.*) ✅""))))"),"#N/A")</f>
        <v>#N/A</v>
      </c>
      <c r="I6125" s="4" t="str">
        <f>IFERROR(__xludf.DUMMYFUNCTION("if(D6125=""variant"",  substitute(filter(Templates!E:E, Templates!A:A = F6125, Templates!B:B = G6125, Templates!C:C = H6125), ""{{}}"", E6125), B6125)"),"Louer appartement Campagne - Gros de Vaud: Trouvez le bien immobilier qui correspond idéalement à vos désirs sur ImmoScout24 - La plateforme de l'immobilier en Suisse.")</f>
        <v>Louer appartement Campagne - Gros de Vaud: Trouvez le bien immobilier qui correspond idéalement à vos désirs sur ImmoScout24 - La plateforme de l'immobilier en Suisse.</v>
      </c>
    </row>
    <row r="6126" hidden="1">
      <c r="A6126" s="5" t="s">
        <v>15348</v>
      </c>
      <c r="B6126" s="2" t="s">
        <v>15349</v>
      </c>
      <c r="C6126" s="2" t="s">
        <v>15349</v>
      </c>
      <c r="D6126" s="4" t="str">
        <f>vlookup(A6126, Sheet2!D:E, 2, 0)</f>
        <v>control</v>
      </c>
      <c r="E6126" s="4" t="str">
        <f>IFERROR(__xludf.DUMMYFUNCTION("if(H6126=""pays"",vlookup(REGEXEXTRACT(C6126, ""🏘️ \w+ \w+ (.*) ✅""),'Country prepositions'!A:B, 2, 0) &amp; "" "" &amp; REGEXEXTRACT(C6126, ""🏘️ \w+ \w+ (.*) ✅"") ,  if(H6126=""quartier"",vlookup(REGEXEXTRACT(C6126, ""🏘️ \w+ \w+ (.*) ✅""),'Quartier prepositio"&amp;"ns'!A:E, 5, 0) ,  if(H6126=""region"",vlookup(REGEXEXTRACT(C6126, ""🏘️ \w+ \w+ (.*) ✅""),'Region prepositions'!B:F, 5, 0),  REGEXEXTRACT(C6126, ""🏘️ \w+ \w+ (.*) ✅""))))"),"#N/A")</f>
        <v>#N/A</v>
      </c>
      <c r="I6126" s="4" t="str">
        <f>IFERROR(__xludf.DUMMYFUNCTION("if(D6126=""variant"",  substitute(filter(Templates!E:E, Templates!A:A = F6126, Templates!B:B = G6126, Templates!C:C = H6126), ""{{}}"", E6126), B6126)"),"Louer appartement Fahy: Trouvez le bien immobilier qui correspond idéalement à vos désirs sur ImmoScout24 - La plateforme de l'immobilier en Suisse.")</f>
        <v>Louer appartement Fahy: Trouvez le bien immobilier qui correspond idéalement à vos désirs sur ImmoScout24 - La plateforme de l'immobilier en Suisse.</v>
      </c>
    </row>
    <row r="6127" hidden="1">
      <c r="A6127" s="5" t="s">
        <v>15350</v>
      </c>
      <c r="B6127" s="2" t="s">
        <v>15351</v>
      </c>
      <c r="C6127" s="2" t="s">
        <v>15351</v>
      </c>
      <c r="D6127" s="4" t="str">
        <f>vlookup(A6127, Sheet2!D:E, 2, 0)</f>
        <v>control</v>
      </c>
      <c r="E6127" s="4" t="str">
        <f>IFERROR(__xludf.DUMMYFUNCTION("if(H6127=""pays"",vlookup(REGEXEXTRACT(C6127, ""🏘️ \w+ \w+ (.*) ✅""),'Country prepositions'!A:B, 2, 0) &amp; "" "" &amp; REGEXEXTRACT(C6127, ""🏘️ \w+ \w+ (.*) ✅"") ,  if(H6127=""quartier"",vlookup(REGEXEXTRACT(C6127, ""🏘️ \w+ \w+ (.*) ✅""),'Quartier prepositio"&amp;"ns'!A:E, 5, 0) ,  if(H6127=""region"",vlookup(REGEXEXTRACT(C6127, ""🏘️ \w+ \w+ (.*) ✅""),'Region prepositions'!B:F, 5, 0),  REGEXEXTRACT(C6127, ""🏘️ \w+ \w+ (.*) ✅""))))"),"#N/A")</f>
        <v>#N/A</v>
      </c>
      <c r="I6127" s="4" t="str">
        <f>IFERROR(__xludf.DUMMYFUNCTION("if(D6127=""variant"",  substitute(filter(Templates!E:E, Templates!A:A = F6127, Templates!B:B = G6127, Templates!C:C = H6127), ""{{}}"", E6127), B6127)"),"Louer maison Uvrier: Trouvez le bien immobilier qui correspond idéalement à vos désirs sur ImmoScout24 - La plateforme de l'immobilier en Suisse.")</f>
        <v>Louer maison Uvrier: Trouvez le bien immobilier qui correspond idéalement à vos désirs sur ImmoScout24 - La plateforme de l'immobilier en Suisse.</v>
      </c>
    </row>
    <row r="6128" hidden="1">
      <c r="A6128" s="5" t="s">
        <v>15352</v>
      </c>
      <c r="B6128" s="2" t="s">
        <v>15353</v>
      </c>
      <c r="C6128" s="2" t="s">
        <v>15353</v>
      </c>
      <c r="D6128" s="4" t="str">
        <f>vlookup(A6128, Sheet2!D:E, 2, 0)</f>
        <v>control</v>
      </c>
      <c r="E6128" s="4" t="str">
        <f>IFERROR(__xludf.DUMMYFUNCTION("if(H6128=""pays"",vlookup(REGEXEXTRACT(C6128, ""🏘️ \w+ \w+ (.*) ✅""),'Country prepositions'!A:B, 2, 0) &amp; "" "" &amp; REGEXEXTRACT(C6128, ""🏘️ \w+ \w+ (.*) ✅"") ,  if(H6128=""quartier"",vlookup(REGEXEXTRACT(C6128, ""🏘️ \w+ \w+ (.*) ✅""),'Quartier prepositio"&amp;"ns'!A:E, 5, 0) ,  if(H6128=""region"",vlookup(REGEXEXTRACT(C6128, ""🏘️ \w+ \w+ (.*) ✅""),'Region prepositions'!B:F, 5, 0),  REGEXEXTRACT(C6128, ""🏘️ \w+ \w+ (.*) ✅""))))"),"#N/A")</f>
        <v>#N/A</v>
      </c>
      <c r="I6128" s="4" t="str">
        <f>IFERROR(__xludf.DUMMYFUNCTION("if(D6128=""variant"",  substitute(filter(Templates!E:E, Templates!A:A = F6128, Templates!B:B = G6128, Templates!C:C = H6128), ""{{}}"", E6128), B6128)"),"Louer appartement Wynigen: Trouvez le bien immobilier qui correspond idéalement à vos désirs sur ImmoScout24 - La plateforme de l'immobilier en Suisse.")</f>
        <v>Louer appartement Wynigen: Trouvez le bien immobilier qui correspond idéalement à vos désirs sur ImmoScout24 - La plateforme de l'immobilier en Suisse.</v>
      </c>
    </row>
    <row r="6129" hidden="1">
      <c r="A6129" s="5" t="s">
        <v>15354</v>
      </c>
      <c r="B6129" s="2" t="s">
        <v>15355</v>
      </c>
      <c r="C6129" s="2" t="s">
        <v>15355</v>
      </c>
      <c r="D6129" s="4" t="str">
        <f>vlookup(A6129, Sheet2!D:E, 2, 0)</f>
        <v>control</v>
      </c>
      <c r="E6129" s="4" t="str">
        <f>IFERROR(__xludf.DUMMYFUNCTION("if(H6129=""pays"",vlookup(REGEXEXTRACT(C6129, ""🏘️ \w+ \w+ (.*) ✅""),'Country prepositions'!A:B, 2, 0) &amp; "" "" &amp; REGEXEXTRACT(C6129, ""🏘️ \w+ \w+ (.*) ✅"") ,  if(H6129=""quartier"",vlookup(REGEXEXTRACT(C6129, ""🏘️ \w+ \w+ (.*) ✅""),'Quartier prepositio"&amp;"ns'!A:E, 5, 0) ,  if(H6129=""region"",vlookup(REGEXEXTRACT(C6129, ""🏘️ \w+ \w+ (.*) ✅""),'Region prepositions'!B:F, 5, 0),  REGEXEXTRACT(C6129, ""🏘️ \w+ \w+ (.*) ✅""))))"),"#N/A")</f>
        <v>#N/A</v>
      </c>
      <c r="I6129" s="4" t="str">
        <f>IFERROR(__xludf.DUMMYFUNCTION("if(D6129=""variant"",  substitute(filter(Templates!E:E, Templates!A:A = F6129, Templates!B:B = G6129, Templates!C:C = H6129), ""{{}}"", E6129), B6129)"),"Vendre maison Crésuz: Trouvez le bien immobilier qui correspond idéalement à vos désirs sur ImmoScout24 - La plateforme de l'immobilier en Suisse.")</f>
        <v>Vendre maison Crésuz: Trouvez le bien immobilier qui correspond idéalement à vos désirs sur ImmoScout24 - La plateforme de l'immobilier en Suisse.</v>
      </c>
    </row>
    <row r="6130" hidden="1">
      <c r="A6130" s="5" t="s">
        <v>15356</v>
      </c>
      <c r="B6130" s="2" t="s">
        <v>15357</v>
      </c>
      <c r="C6130" s="2" t="s">
        <v>15357</v>
      </c>
      <c r="D6130" s="4" t="str">
        <f>vlookup(A6130, Sheet2!D:E, 2, 0)</f>
        <v>control</v>
      </c>
      <c r="E6130" s="4" t="str">
        <f>IFERROR(__xludf.DUMMYFUNCTION("if(H6130=""pays"",vlookup(REGEXEXTRACT(C6130, ""🏘️ \w+ \w+ (.*) ✅""),'Country prepositions'!A:B, 2, 0) &amp; "" "" &amp; REGEXEXTRACT(C6130, ""🏘️ \w+ \w+ (.*) ✅"") ,  if(H6130=""quartier"",vlookup(REGEXEXTRACT(C6130, ""🏘️ \w+ \w+ (.*) ✅""),'Quartier prepositio"&amp;"ns'!A:E, 5, 0) ,  if(H6130=""region"",vlookup(REGEXEXTRACT(C6130, ""🏘️ \w+ \w+ (.*) ✅""),'Region prepositions'!B:F, 5, 0),  REGEXEXTRACT(C6130, ""🏘️ \w+ \w+ (.*) ✅""))))"),"#N/A")</f>
        <v>#N/A</v>
      </c>
      <c r="I6130" s="4" t="str">
        <f>IFERROR(__xludf.DUMMYFUNCTION("if(D6130=""variant"",  substitute(filter(Templates!E:E, Templates!A:A = F6130, Templates!B:B = G6130, Templates!C:C = H6130), ""{{}}"", E6130), B6130)"),"Louer maison Lugano: Trouvez le bien immobilier qui correspond idéalement à vos désirs sur ImmoScout24 - La plateforme de l'immobilier en Suisse.")</f>
        <v>Louer maison Lugano: Trouvez le bien immobilier qui correspond idéalement à vos désirs sur ImmoScout24 - La plateforme de l'immobilier en Suisse.</v>
      </c>
    </row>
    <row r="6131" hidden="1">
      <c r="A6131" s="5" t="s">
        <v>15358</v>
      </c>
      <c r="B6131" s="2" t="s">
        <v>15359</v>
      </c>
      <c r="C6131" s="2" t="s">
        <v>15359</v>
      </c>
      <c r="D6131" s="4" t="str">
        <f>vlookup(A6131, Sheet2!D:E, 2, 0)</f>
        <v>control</v>
      </c>
      <c r="E6131" s="4" t="str">
        <f>IFERROR(__xludf.DUMMYFUNCTION("if(H6131=""pays"",vlookup(REGEXEXTRACT(C6131, ""🏘️ \w+ \w+ (.*) ✅""),'Country prepositions'!A:B, 2, 0) &amp; "" "" &amp; REGEXEXTRACT(C6131, ""🏘️ \w+ \w+ (.*) ✅"") ,  if(H6131=""quartier"",vlookup(REGEXEXTRACT(C6131, ""🏘️ \w+ \w+ (.*) ✅""),'Quartier prepositio"&amp;"ns'!A:E, 5, 0) ,  if(H6131=""region"",vlookup(REGEXEXTRACT(C6131, ""🏘️ \w+ \w+ (.*) ✅""),'Region prepositions'!B:F, 5, 0),  REGEXEXTRACT(C6131, ""🏘️ \w+ \w+ (.*) ✅""))))"),"#N/A")</f>
        <v>#N/A</v>
      </c>
      <c r="I6131" s="4" t="str">
        <f>IFERROR(__xludf.DUMMYFUNCTION("if(D6131=""variant"",  substitute(filter(Templates!E:E, Templates!A:A = F6131, Templates!B:B = G6131, Templates!C:C = H6131), ""{{}}"", E6131), B6131)"),"Louer maison Champlan (Grimisuat): Trouvez le bien immobilier qui correspond idéalement à vos désirs sur ImmoScout24 - La plateforme de l'immobilier en Suisse.")</f>
        <v>Louer maison Champlan (Grimisuat): Trouvez le bien immobilier qui correspond idéalement à vos désirs sur ImmoScout24 - La plateforme de l'immobilier en Suisse.</v>
      </c>
    </row>
    <row r="6132" hidden="1">
      <c r="A6132" s="5" t="s">
        <v>15360</v>
      </c>
      <c r="B6132" s="2" t="s">
        <v>15361</v>
      </c>
      <c r="C6132" s="2" t="s">
        <v>15361</v>
      </c>
      <c r="D6132" s="4" t="str">
        <f>vlookup(A6132, Sheet2!D:E, 2, 0)</f>
        <v>control</v>
      </c>
      <c r="E6132" s="4" t="str">
        <f>IFERROR(__xludf.DUMMYFUNCTION("if(H6132=""pays"",vlookup(REGEXEXTRACT(C6132, ""🏘️ \w+ \w+ (.*) ✅""),'Country prepositions'!A:B, 2, 0) &amp; "" "" &amp; REGEXEXTRACT(C6132, ""🏘️ \w+ \w+ (.*) ✅"") ,  if(H6132=""quartier"",vlookup(REGEXEXTRACT(C6132, ""🏘️ \w+ \w+ (.*) ✅""),'Quartier prepositio"&amp;"ns'!A:E, 5, 0) ,  if(H6132=""region"",vlookup(REGEXEXTRACT(C6132, ""🏘️ \w+ \w+ (.*) ✅""),'Region prepositions'!B:F, 5, 0),  REGEXEXTRACT(C6132, ""🏘️ \w+ \w+ (.*) ✅""))))"),"#N/A")</f>
        <v>#N/A</v>
      </c>
      <c r="I6132" s="4" t="str">
        <f>IFERROR(__xludf.DUMMYFUNCTION("if(D6132=""variant"",  substitute(filter(Templates!E:E, Templates!A:A = F6132, Templates!B:B = G6132, Templates!C:C = H6132), ""{{}}"", E6132), B6132)"),"Vendre maison Granges-près-Marnand: Trouvez le bien immobilier qui correspond idéalement à vos désirs sur ImmoScout24 - La plateforme de l'immobilier en Suisse.")</f>
        <v>Vendre maison Granges-près-Marnand: Trouvez le bien immobilier qui correspond idéalement à vos désirs sur ImmoScout24 - La plateforme de l'immobilier en Suisse.</v>
      </c>
    </row>
    <row r="6133" hidden="1">
      <c r="A6133" s="5" t="s">
        <v>15362</v>
      </c>
      <c r="B6133" s="2" t="s">
        <v>15363</v>
      </c>
      <c r="C6133" s="2" t="s">
        <v>15363</v>
      </c>
      <c r="D6133" s="4" t="str">
        <f>vlookup(A6133, Sheet2!D:E, 2, 0)</f>
        <v>control</v>
      </c>
      <c r="E6133" s="4" t="str">
        <f>IFERROR(__xludf.DUMMYFUNCTION("if(H6133=""pays"",vlookup(REGEXEXTRACT(C6133, ""🏘️ \w+ \w+ (.*) ✅""),'Country prepositions'!A:B, 2, 0) &amp; "" "" &amp; REGEXEXTRACT(C6133, ""🏘️ \w+ \w+ (.*) ✅"") ,  if(H6133=""quartier"",vlookup(REGEXEXTRACT(C6133, ""🏘️ \w+ \w+ (.*) ✅""),'Quartier prepositio"&amp;"ns'!A:E, 5, 0) ,  if(H6133=""region"",vlookup(REGEXEXTRACT(C6133, ""🏘️ \w+ \w+ (.*) ✅""),'Region prepositions'!B:F, 5, 0),  REGEXEXTRACT(C6133, ""🏘️ \w+ \w+ (.*) ✅""))))"),"#N/A")</f>
        <v>#N/A</v>
      </c>
      <c r="I6133" s="4" t="str">
        <f>IFERROR(__xludf.DUMMYFUNCTION("if(D6133=""variant"",  substitute(filter(Templates!E:E, Templates!A:A = F6133, Templates!B:B = G6133, Templates!C:C = H6133), ""{{}}"", E6133), B6133)"),"Louer appartement Zuzwil SG: Trouvez le bien immobilier qui correspond idéalement à vos désirs sur ImmoScout24 - La plateforme de l'immobilier en Suisse.")</f>
        <v>Louer appartement Zuzwil SG: Trouvez le bien immobilier qui correspond idéalement à vos désirs sur ImmoScout24 - La plateforme de l'immobilier en Suisse.</v>
      </c>
    </row>
    <row r="6134" hidden="1">
      <c r="A6134" s="5" t="s">
        <v>15364</v>
      </c>
      <c r="B6134" s="2" t="s">
        <v>15365</v>
      </c>
      <c r="C6134" s="2" t="s">
        <v>15365</v>
      </c>
      <c r="D6134" s="4" t="str">
        <f>vlookup(A6134, Sheet2!D:E, 2, 0)</f>
        <v>control</v>
      </c>
      <c r="E6134" s="4" t="str">
        <f>IFERROR(__xludf.DUMMYFUNCTION("if(H6134=""pays"",vlookup(REGEXEXTRACT(C6134, ""🏘️ \w+ \w+ (.*) ✅""),'Country prepositions'!A:B, 2, 0) &amp; "" "" &amp; REGEXEXTRACT(C6134, ""🏘️ \w+ \w+ (.*) ✅"") ,  if(H6134=""quartier"",vlookup(REGEXEXTRACT(C6134, ""🏘️ \w+ \w+ (.*) ✅""),'Quartier prepositio"&amp;"ns'!A:E, 5, 0) ,  if(H6134=""region"",vlookup(REGEXEXTRACT(C6134, ""🏘️ \w+ \w+ (.*) ✅""),'Region prepositions'!B:F, 5, 0),  REGEXEXTRACT(C6134, ""🏘️ \w+ \w+ (.*) ✅""))))"),"#N/A")</f>
        <v>#N/A</v>
      </c>
      <c r="I6134" s="4" t="str">
        <f>IFERROR(__xludf.DUMMYFUNCTION("if(D6134=""variant"",  substitute(filter(Templates!E:E, Templates!A:A = F6134, Templates!B:B = G6134, Templates!C:C = H6134), ""{{}}"", E6134), B6134)"),"Vendre maison Rorbas: Trouvez le bien immobilier qui correspond idéalement à vos désirs sur ImmoScout24 - La plateforme de l'immobilier en Suisse.")</f>
        <v>Vendre maison Rorbas: Trouvez le bien immobilier qui correspond idéalement à vos désirs sur ImmoScout24 - La plateforme de l'immobilier en Suisse.</v>
      </c>
    </row>
    <row r="6135" hidden="1">
      <c r="A6135" s="5" t="s">
        <v>15366</v>
      </c>
      <c r="B6135" s="2" t="s">
        <v>15367</v>
      </c>
      <c r="C6135" s="2" t="s">
        <v>15367</v>
      </c>
      <c r="D6135" s="4" t="str">
        <f>vlookup(A6135, Sheet2!D:E, 2, 0)</f>
        <v>control</v>
      </c>
      <c r="E6135" s="4" t="str">
        <f>IFERROR(__xludf.DUMMYFUNCTION("if(H6135=""pays"",vlookup(REGEXEXTRACT(C6135, ""🏘️ \w+ \w+ (.*) ✅""),'Country prepositions'!A:B, 2, 0) &amp; "" "" &amp; REGEXEXTRACT(C6135, ""🏘️ \w+ \w+ (.*) ✅"") ,  if(H6135=""quartier"",vlookup(REGEXEXTRACT(C6135, ""🏘️ \w+ \w+ (.*) ✅""),'Quartier prepositio"&amp;"ns'!A:E, 5, 0) ,  if(H6135=""region"",vlookup(REGEXEXTRACT(C6135, ""🏘️ \w+ \w+ (.*) ✅""),'Region prepositions'!B:F, 5, 0),  REGEXEXTRACT(C6135, ""🏘️ \w+ \w+ (.*) ✅""))))"),"#N/A")</f>
        <v>#N/A</v>
      </c>
      <c r="I6135" s="4" t="str">
        <f>IFERROR(__xludf.DUMMYFUNCTION("if(D6135=""variant"",  substitute(filter(Templates!E:E, Templates!A:A = F6135, Templates!B:B = G6135, Templates!C:C = H6135), ""{{}}"", E6135), B6135)"),"Vendre maison Sorvilier: Trouvez le bien immobilier qui correspond idéalement à vos désirs sur ImmoScout24 - La plateforme de l'immobilier en Suisse.")</f>
        <v>Vendre maison Sorvilier: Trouvez le bien immobilier qui correspond idéalement à vos désirs sur ImmoScout24 - La plateforme de l'immobilier en Suisse.</v>
      </c>
    </row>
    <row r="6136" hidden="1">
      <c r="A6136" s="5" t="s">
        <v>15368</v>
      </c>
      <c r="B6136" s="2" t="s">
        <v>15369</v>
      </c>
      <c r="C6136" s="2" t="s">
        <v>15369</v>
      </c>
      <c r="D6136" s="4" t="str">
        <f>vlookup(A6136, Sheet2!D:E, 2, 0)</f>
        <v>control</v>
      </c>
      <c r="E6136" s="4" t="str">
        <f>IFERROR(__xludf.DUMMYFUNCTION("if(H6136=""pays"",vlookup(REGEXEXTRACT(C6136, ""🏘️ \w+ \w+ (.*) ✅""),'Country prepositions'!A:B, 2, 0) &amp; "" "" &amp; REGEXEXTRACT(C6136, ""🏘️ \w+ \w+ (.*) ✅"") ,  if(H6136=""quartier"",vlookup(REGEXEXTRACT(C6136, ""🏘️ \w+ \w+ (.*) ✅""),'Quartier prepositio"&amp;"ns'!A:E, 5, 0) ,  if(H6136=""region"",vlookup(REGEXEXTRACT(C6136, ""🏘️ \w+ \w+ (.*) ✅""),'Region prepositions'!B:F, 5, 0),  REGEXEXTRACT(C6136, ""🏘️ \w+ \w+ (.*) ✅""))))"),"#N/A")</f>
        <v>#N/A</v>
      </c>
      <c r="I6136" s="4" t="str">
        <f>IFERROR(__xludf.DUMMYFUNCTION("if(D6136=""variant"",  substitute(filter(Templates!E:E, Templates!A:A = F6136, Templates!B:B = G6136, Templates!C:C = H6136), ""{{}}"", E6136), B6136)"),"Vendre appartement Vallon: Trouvez le bien immobilier qui correspond idéalement à vos désirs sur ImmoScout24 - La plateforme de l'immobilier en Suisse.")</f>
        <v>Vendre appartement Vallon: Trouvez le bien immobilier qui correspond idéalement à vos désirs sur ImmoScout24 - La plateforme de l'immobilier en Suisse.</v>
      </c>
    </row>
    <row r="6137" hidden="1">
      <c r="A6137" s="5" t="s">
        <v>15370</v>
      </c>
      <c r="B6137" s="2" t="s">
        <v>15371</v>
      </c>
      <c r="C6137" s="2" t="s">
        <v>15371</v>
      </c>
      <c r="D6137" s="4" t="str">
        <f>vlookup(A6137, Sheet2!D:E, 2, 0)</f>
        <v>control</v>
      </c>
      <c r="E6137" s="4" t="str">
        <f>IFERROR(__xludf.DUMMYFUNCTION("if(H6137=""pays"",vlookup(REGEXEXTRACT(C6137, ""🏘️ \w+ \w+ (.*) ✅""),'Country prepositions'!A:B, 2, 0) &amp; "" "" &amp; REGEXEXTRACT(C6137, ""🏘️ \w+ \w+ (.*) ✅"") ,  if(H6137=""quartier"",vlookup(REGEXEXTRACT(C6137, ""🏘️ \w+ \w+ (.*) ✅""),'Quartier prepositio"&amp;"ns'!A:E, 5, 0) ,  if(H6137=""region"",vlookup(REGEXEXTRACT(C6137, ""🏘️ \w+ \w+ (.*) ✅""),'Region prepositions'!B:F, 5, 0),  REGEXEXTRACT(C6137, ""🏘️ \w+ \w+ (.*) ✅""))))"),"#N/A")</f>
        <v>#N/A</v>
      </c>
      <c r="I6137" s="4" t="str">
        <f>IFERROR(__xludf.DUMMYFUNCTION("if(D6137=""variant"",  substitute(filter(Templates!E:E, Templates!A:A = F6137, Templates!B:B = G6137, Templates!C:C = H6137), ""{{}}"", E6137), B6137)"),"Louer appartement Bubendorf: Trouvez le bien immobilier qui correspond idéalement à vos désirs sur ImmoScout24 - La plateforme de l'immobilier en Suisse.")</f>
        <v>Louer appartement Bubendorf: Trouvez le bien immobilier qui correspond idéalement à vos désirs sur ImmoScout24 - La plateforme de l'immobilier en Suisse.</v>
      </c>
    </row>
    <row r="6138" hidden="1">
      <c r="A6138" s="5" t="s">
        <v>15372</v>
      </c>
      <c r="B6138" s="2" t="s">
        <v>15373</v>
      </c>
      <c r="C6138" s="2" t="s">
        <v>15373</v>
      </c>
      <c r="D6138" s="4" t="str">
        <f>vlookup(A6138, Sheet2!D:E, 2, 0)</f>
        <v>control</v>
      </c>
      <c r="E6138" s="4" t="str">
        <f>IFERROR(__xludf.DUMMYFUNCTION("if(H6138=""pays"",vlookup(REGEXEXTRACT(C6138, ""🏘️ \w+ \w+ (.*) ✅""),'Country prepositions'!A:B, 2, 0) &amp; "" "" &amp; REGEXEXTRACT(C6138, ""🏘️ \w+ \w+ (.*) ✅"") ,  if(H6138=""quartier"",vlookup(REGEXEXTRACT(C6138, ""🏘️ \w+ \w+ (.*) ✅""),'Quartier prepositio"&amp;"ns'!A:E, 5, 0) ,  if(H6138=""region"",vlookup(REGEXEXTRACT(C6138, ""🏘️ \w+ \w+ (.*) ✅""),'Region prepositions'!B:F, 5, 0),  REGEXEXTRACT(C6138, ""🏘️ \w+ \w+ (.*) ✅""))))"),"#N/A")</f>
        <v>#N/A</v>
      </c>
      <c r="I6138" s="4" t="str">
        <f>IFERROR(__xludf.DUMMYFUNCTION("if(D6138=""variant"",  substitute(filter(Templates!E:E, Templates!A:A = F6138, Templates!B:B = G6138, Templates!C:C = H6138), ""{{}}"", E6138), B6138)"),"Vendre maison Pierre-à-Bot - Acacias (Neuchâtel): Trouvez le bien immobilier qui correspond idéalement à vos désirs sur ImmoScout24 - La plateforme de l'immobilier en Suisse.")</f>
        <v>Vendre maison Pierre-à-Bot - Acacias (Neuchâtel): Trouvez le bien immobilier qui correspond idéalement à vos désirs sur ImmoScout24 - La plateforme de l'immobilier en Suisse.</v>
      </c>
    </row>
    <row r="6139" hidden="1">
      <c r="A6139" s="5" t="s">
        <v>15374</v>
      </c>
      <c r="B6139" s="2" t="s">
        <v>15375</v>
      </c>
      <c r="C6139" s="2" t="s">
        <v>15375</v>
      </c>
      <c r="D6139" s="4" t="str">
        <f>vlookup(A6139, Sheet2!D:E, 2, 0)</f>
        <v>control</v>
      </c>
      <c r="E6139" s="4" t="str">
        <f>IFERROR(__xludf.DUMMYFUNCTION("if(H6139=""pays"",vlookup(REGEXEXTRACT(C6139, ""🏘️ \w+ \w+ (.*) ✅""),'Country prepositions'!A:B, 2, 0) &amp; "" "" &amp; REGEXEXTRACT(C6139, ""🏘️ \w+ \w+ (.*) ✅"") ,  if(H6139=""quartier"",vlookup(REGEXEXTRACT(C6139, ""🏘️ \w+ \w+ (.*) ✅""),'Quartier prepositio"&amp;"ns'!A:E, 5, 0) ,  if(H6139=""region"",vlookup(REGEXEXTRACT(C6139, ""🏘️ \w+ \w+ (.*) ✅""),'Region prepositions'!B:F, 5, 0),  REGEXEXTRACT(C6139, ""🏘️ \w+ \w+ (.*) ✅""))))"),"#N/A")</f>
        <v>#N/A</v>
      </c>
      <c r="I6139" s="4" t="str">
        <f>IFERROR(__xludf.DUMMYFUNCTION("if(D6139=""variant"",  substitute(filter(Templates!E:E, Templates!A:A = F6139, Templates!B:B = G6139, Templates!C:C = H6139), ""{{}}"", E6139), B6139)"),"Vendre appartement Hochdorf: Trouvez le bien immobilier qui correspond idéalement à vos désirs sur ImmoScout24 - La plateforme de l'immobilier en Suisse.")</f>
        <v>Vendre appartement Hochdorf: Trouvez le bien immobilier qui correspond idéalement à vos désirs sur ImmoScout24 - La plateforme de l'immobilier en Suisse.</v>
      </c>
    </row>
    <row r="6140" hidden="1">
      <c r="A6140" s="5" t="s">
        <v>15376</v>
      </c>
      <c r="B6140" s="2" t="s">
        <v>15377</v>
      </c>
      <c r="C6140" s="2" t="s">
        <v>15377</v>
      </c>
      <c r="D6140" s="4" t="str">
        <f>vlookup(A6140, Sheet2!D:E, 2, 0)</f>
        <v>control</v>
      </c>
      <c r="E6140" s="4" t="str">
        <f>IFERROR(__xludf.DUMMYFUNCTION("if(H6140=""pays"",vlookup(REGEXEXTRACT(C6140, ""🏘️ \w+ \w+ (.*) ✅""),'Country prepositions'!A:B, 2, 0) &amp; "" "" &amp; REGEXEXTRACT(C6140, ""🏘️ \w+ \w+ (.*) ✅"") ,  if(H6140=""quartier"",vlookup(REGEXEXTRACT(C6140, ""🏘️ \w+ \w+ (.*) ✅""),'Quartier prepositio"&amp;"ns'!A:E, 5, 0) ,  if(H6140=""region"",vlookup(REGEXEXTRACT(C6140, ""🏘️ \w+ \w+ (.*) ✅""),'Region prepositions'!B:F, 5, 0),  REGEXEXTRACT(C6140, ""🏘️ \w+ \w+ (.*) ✅""))))"),"#N/A")</f>
        <v>#N/A</v>
      </c>
      <c r="I6140" s="4" t="str">
        <f>IFERROR(__xludf.DUMMYFUNCTION("if(D6140=""variant"",  substitute(filter(Templates!E:E, Templates!A:A = F6140, Templates!B:B = G6140, Templates!C:C = H6140), ""{{}}"", E6140), B6140)"),"Vendre maison Sangernboden: Trouvez le bien immobilier qui correspond idéalement à vos désirs sur ImmoScout24 - La plateforme de l'immobilier en Suisse.")</f>
        <v>Vendre maison Sangernboden: Trouvez le bien immobilier qui correspond idéalement à vos désirs sur ImmoScout24 - La plateforme de l'immobilier en Suisse.</v>
      </c>
    </row>
    <row r="6141" hidden="1">
      <c r="A6141" s="5" t="s">
        <v>15378</v>
      </c>
      <c r="B6141" s="2" t="s">
        <v>15379</v>
      </c>
      <c r="C6141" s="2" t="s">
        <v>15379</v>
      </c>
      <c r="D6141" s="4" t="str">
        <f>vlookup(A6141, Sheet2!D:E, 2, 0)</f>
        <v>control</v>
      </c>
      <c r="E6141" s="4" t="str">
        <f>IFERROR(__xludf.DUMMYFUNCTION("if(H6141=""pays"",vlookup(REGEXEXTRACT(C6141, ""🏘️ \w+ \w+ (.*) ✅""),'Country prepositions'!A:B, 2, 0) &amp; "" "" &amp; REGEXEXTRACT(C6141, ""🏘️ \w+ \w+ (.*) ✅"") ,  if(H6141=""quartier"",vlookup(REGEXEXTRACT(C6141, ""🏘️ \w+ \w+ (.*) ✅""),'Quartier prepositio"&amp;"ns'!A:E, 5, 0) ,  if(H6141=""region"",vlookup(REGEXEXTRACT(C6141, ""🏘️ \w+ \w+ (.*) ✅""),'Region prepositions'!B:F, 5, 0),  REGEXEXTRACT(C6141, ""🏘️ \w+ \w+ (.*) ✅""))))"),"#N/A")</f>
        <v>#N/A</v>
      </c>
      <c r="I6141" s="4" t="str">
        <f>IFERROR(__xludf.DUMMYFUNCTION("if(D6141=""variant"",  substitute(filter(Templates!E:E, Templates!A:A = F6141, Templates!B:B = G6141, Templates!C:C = H6141), ""{{}}"", E6141), B6141)"),"Vendre appartement Port: Trouvez le bien immobilier qui correspond idéalement à vos désirs sur ImmoScout24 - La plateforme de l'immobilier en Suisse.")</f>
        <v>Vendre appartement Port: Trouvez le bien immobilier qui correspond idéalement à vos désirs sur ImmoScout24 - La plateforme de l'immobilier en Suisse.</v>
      </c>
    </row>
    <row r="6142" hidden="1">
      <c r="A6142" s="5" t="s">
        <v>15380</v>
      </c>
      <c r="B6142" s="2" t="s">
        <v>15381</v>
      </c>
      <c r="C6142" s="2" t="s">
        <v>15381</v>
      </c>
      <c r="D6142" s="4" t="str">
        <f>vlookup(A6142, Sheet2!D:E, 2, 0)</f>
        <v>control</v>
      </c>
      <c r="E6142" s="4" t="str">
        <f>IFERROR(__xludf.DUMMYFUNCTION("if(H6142=""pays"",vlookup(REGEXEXTRACT(C6142, ""🏘️ \w+ \w+ (.*) ✅""),'Country prepositions'!A:B, 2, 0) &amp; "" "" &amp; REGEXEXTRACT(C6142, ""🏘️ \w+ \w+ (.*) ✅"") ,  if(H6142=""quartier"",vlookup(REGEXEXTRACT(C6142, ""🏘️ \w+ \w+ (.*) ✅""),'Quartier prepositio"&amp;"ns'!A:E, 5, 0) ,  if(H6142=""region"",vlookup(REGEXEXTRACT(C6142, ""🏘️ \w+ \w+ (.*) ✅""),'Region prepositions'!B:F, 5, 0),  REGEXEXTRACT(C6142, ""🏘️ \w+ \w+ (.*) ✅""))))"),"#N/A")</f>
        <v>#N/A</v>
      </c>
      <c r="I6142" s="4" t="str">
        <f>IFERROR(__xludf.DUMMYFUNCTION("if(D6142=""variant"",  substitute(filter(Templates!E:E, Templates!A:A = F6142, Templates!B:B = G6142, Templates!C:C = H6142), ""{{}}"", E6142), B6142)"),"Vendre maison Puidoux: Trouvez le bien immobilier qui correspond idéalement à vos désirs sur ImmoScout24 - La plateforme de l'immobilier en Suisse.")</f>
        <v>Vendre maison Puidoux: Trouvez le bien immobilier qui correspond idéalement à vos désirs sur ImmoScout24 - La plateforme de l'immobilier en Suisse.</v>
      </c>
    </row>
    <row r="6143" hidden="1">
      <c r="A6143" s="5" t="s">
        <v>15382</v>
      </c>
      <c r="B6143" s="2" t="s">
        <v>15383</v>
      </c>
      <c r="C6143" s="2" t="s">
        <v>15383</v>
      </c>
      <c r="D6143" s="4" t="str">
        <f>vlookup(A6143, Sheet2!D:E, 2, 0)</f>
        <v>control</v>
      </c>
      <c r="E6143" s="4" t="str">
        <f>IFERROR(__xludf.DUMMYFUNCTION("if(H6143=""pays"",vlookup(REGEXEXTRACT(C6143, ""🏘️ \w+ \w+ (.*) ✅""),'Country prepositions'!A:B, 2, 0) &amp; "" "" &amp; REGEXEXTRACT(C6143, ""🏘️ \w+ \w+ (.*) ✅"") ,  if(H6143=""quartier"",vlookup(REGEXEXTRACT(C6143, ""🏘️ \w+ \w+ (.*) ✅""),'Quartier prepositio"&amp;"ns'!A:E, 5, 0) ,  if(H6143=""region"",vlookup(REGEXEXTRACT(C6143, ""🏘️ \w+ \w+ (.*) ✅""),'Region prepositions'!B:F, 5, 0),  REGEXEXTRACT(C6143, ""🏘️ \w+ \w+ (.*) ✅""))))"),"#N/A")</f>
        <v>#N/A</v>
      </c>
      <c r="I6143" s="4" t="str">
        <f>IFERROR(__xludf.DUMMYFUNCTION("if(D6143=""variant"",  substitute(filter(Templates!E:E, Templates!A:A = F6143, Templates!B:B = G6143, Templates!C:C = H6143), ""{{}}"", E6143), B6143)"),"Louer appartement Trélex: Trouvez le bien immobilier qui correspond idéalement à vos désirs sur ImmoScout24 - La plateforme de l'immobilier en Suisse.")</f>
        <v>Louer appartement Trélex: Trouvez le bien immobilier qui correspond idéalement à vos désirs sur ImmoScout24 - La plateforme de l'immobilier en Suisse.</v>
      </c>
    </row>
    <row r="6144" hidden="1">
      <c r="A6144" s="5" t="s">
        <v>15384</v>
      </c>
      <c r="B6144" s="2" t="s">
        <v>15385</v>
      </c>
      <c r="C6144" s="2" t="s">
        <v>15385</v>
      </c>
      <c r="D6144" s="4" t="str">
        <f>vlookup(A6144, Sheet2!D:E, 2, 0)</f>
        <v>control</v>
      </c>
      <c r="E6144" s="4" t="str">
        <f>IFERROR(__xludf.DUMMYFUNCTION("if(H6144=""pays"",vlookup(REGEXEXTRACT(C6144, ""🏘️ \w+ \w+ (.*) ✅""),'Country prepositions'!A:B, 2, 0) &amp; "" "" &amp; REGEXEXTRACT(C6144, ""🏘️ \w+ \w+ (.*) ✅"") ,  if(H6144=""quartier"",vlookup(REGEXEXTRACT(C6144, ""🏘️ \w+ \w+ (.*) ✅""),'Quartier prepositio"&amp;"ns'!A:E, 5, 0) ,  if(H6144=""region"",vlookup(REGEXEXTRACT(C6144, ""🏘️ \w+ \w+ (.*) ✅""),'Region prepositions'!B:F, 5, 0),  REGEXEXTRACT(C6144, ""🏘️ \w+ \w+ (.*) ✅""))))"),"#N/A")</f>
        <v>#N/A</v>
      </c>
      <c r="I6144" s="4" t="str">
        <f>IFERROR(__xludf.DUMMYFUNCTION("if(D6144=""variant"",  substitute(filter(Templates!E:E, Templates!A:A = F6144, Templates!B:B = G6144, Templates!C:C = H6144), ""{{}}"", E6144), B6144)"),"Louer appartement Zumikon: Trouvez le bien immobilier qui correspond idéalement à vos désirs sur ImmoScout24 - La plateforme de l'immobilier en Suisse.")</f>
        <v>Louer appartement Zumikon: Trouvez le bien immobilier qui correspond idéalement à vos désirs sur ImmoScout24 - La plateforme de l'immobilier en Suisse.</v>
      </c>
    </row>
    <row r="6145" hidden="1">
      <c r="A6145" s="5" t="s">
        <v>15386</v>
      </c>
      <c r="B6145" s="2" t="s">
        <v>15387</v>
      </c>
      <c r="C6145" s="2" t="s">
        <v>15387</v>
      </c>
      <c r="D6145" s="4" t="str">
        <f>vlookup(A6145, Sheet2!D:E, 2, 0)</f>
        <v>control</v>
      </c>
      <c r="E6145" s="4" t="str">
        <f>IFERROR(__xludf.DUMMYFUNCTION("if(H6145=""pays"",vlookup(REGEXEXTRACT(C6145, ""🏘️ \w+ \w+ (.*) ✅""),'Country prepositions'!A:B, 2, 0) &amp; "" "" &amp; REGEXEXTRACT(C6145, ""🏘️ \w+ \w+ (.*) ✅"") ,  if(H6145=""quartier"",vlookup(REGEXEXTRACT(C6145, ""🏘️ \w+ \w+ (.*) ✅""),'Quartier prepositio"&amp;"ns'!A:E, 5, 0) ,  if(H6145=""region"",vlookup(REGEXEXTRACT(C6145, ""🏘️ \w+ \w+ (.*) ✅""),'Region prepositions'!B:F, 5, 0),  REGEXEXTRACT(C6145, ""🏘️ \w+ \w+ (.*) ✅""))))"),"#N/A")</f>
        <v>#N/A</v>
      </c>
      <c r="I6145" s="4" t="str">
        <f>IFERROR(__xludf.DUMMYFUNCTION("if(D6145=""variant"",  substitute(filter(Templates!E:E, Templates!A:A = F6145, Templates!B:B = G6145, Templates!C:C = H6145), ""{{}}"", E6145), B6145)"),"Vendre appartement Derendingen: Trouvez le bien immobilier qui correspond idéalement à vos désirs sur ImmoScout24 - La plateforme de l'immobilier en Suisse.")</f>
        <v>Vendre appartement Derendingen: Trouvez le bien immobilier qui correspond idéalement à vos désirs sur ImmoScout24 - La plateforme de l'immobilier en Suisse.</v>
      </c>
    </row>
    <row r="6146" hidden="1">
      <c r="A6146" s="5" t="s">
        <v>15388</v>
      </c>
      <c r="B6146" s="2" t="s">
        <v>15389</v>
      </c>
      <c r="C6146" s="2" t="s">
        <v>15389</v>
      </c>
      <c r="D6146" s="4" t="str">
        <f>vlookup(A6146, Sheet2!D:E, 2, 0)</f>
        <v>control</v>
      </c>
      <c r="E6146" s="4" t="str">
        <f>IFERROR(__xludf.DUMMYFUNCTION("if(H6146=""pays"",vlookup(REGEXEXTRACT(C6146, ""🏘️ \w+ \w+ (.*) ✅""),'Country prepositions'!A:B, 2, 0) &amp; "" "" &amp; REGEXEXTRACT(C6146, ""🏘️ \w+ \w+ (.*) ✅"") ,  if(H6146=""quartier"",vlookup(REGEXEXTRACT(C6146, ""🏘️ \w+ \w+ (.*) ✅""),'Quartier prepositio"&amp;"ns'!A:E, 5, 0) ,  if(H6146=""region"",vlookup(REGEXEXTRACT(C6146, ""🏘️ \w+ \w+ (.*) ✅""),'Region prepositions'!B:F, 5, 0),  REGEXEXTRACT(C6146, ""🏘️ \w+ \w+ (.*) ✅""))))"),"#N/A")</f>
        <v>#N/A</v>
      </c>
      <c r="I6146" s="4" t="str">
        <f>IFERROR(__xludf.DUMMYFUNCTION("if(D6146=""variant"",  substitute(filter(Templates!E:E, Templates!A:A = F6146, Templates!B:B = G6146, Templates!C:C = H6146), ""{{}}"", E6146), B6146)"),"Vendre appartement Martigny: Trouvez le bien immobilier qui correspond idéalement à vos désirs sur ImmoScout24 - La plateforme de l'immobilier en Suisse.")</f>
        <v>Vendre appartement Martigny: Trouvez le bien immobilier qui correspond idéalement à vos désirs sur ImmoScout24 - La plateforme de l'immobilier en Suisse.</v>
      </c>
    </row>
    <row r="6147" hidden="1">
      <c r="A6147" s="5" t="s">
        <v>15390</v>
      </c>
      <c r="B6147" s="2" t="s">
        <v>15391</v>
      </c>
      <c r="C6147" s="2" t="s">
        <v>15391</v>
      </c>
      <c r="D6147" s="4" t="str">
        <f>vlookup(A6147, Sheet2!D:E, 2, 0)</f>
        <v>control</v>
      </c>
      <c r="E6147" s="4" t="str">
        <f>IFERROR(__xludf.DUMMYFUNCTION("if(H6147=""pays"",vlookup(REGEXEXTRACT(C6147, ""🏘️ \w+ \w+ (.*) ✅""),'Country prepositions'!A:B, 2, 0) &amp; "" "" &amp; REGEXEXTRACT(C6147, ""🏘️ \w+ \w+ (.*) ✅"") ,  if(H6147=""quartier"",vlookup(REGEXEXTRACT(C6147, ""🏘️ \w+ \w+ (.*) ✅""),'Quartier prepositio"&amp;"ns'!A:E, 5, 0) ,  if(H6147=""region"",vlookup(REGEXEXTRACT(C6147, ""🏘️ \w+ \w+ (.*) ✅""),'Region prepositions'!B:F, 5, 0),  REGEXEXTRACT(C6147, ""🏘️ \w+ \w+ (.*) ✅""))))"),"#N/A")</f>
        <v>#N/A</v>
      </c>
      <c r="I6147" s="4" t="str">
        <f>IFERROR(__xludf.DUMMYFUNCTION("if(D6147=""variant"",  substitute(filter(Templates!E:E, Templates!A:A = F6147, Templates!B:B = G6147, Templates!C:C = H6147), ""{{}}"", E6147), B6147)"),"Vendre maison Finhaut: Trouvez le bien immobilier qui correspond idéalement à vos désirs sur ImmoScout24 - La plateforme de l'immobilier en Suisse.")</f>
        <v>Vendre maison Finhaut: Trouvez le bien immobilier qui correspond idéalement à vos désirs sur ImmoScout24 - La plateforme de l'immobilier en Suisse.</v>
      </c>
    </row>
    <row r="6148" hidden="1">
      <c r="A6148" s="5" t="s">
        <v>15392</v>
      </c>
      <c r="B6148" s="2" t="s">
        <v>15393</v>
      </c>
      <c r="C6148" s="2" t="s">
        <v>15393</v>
      </c>
      <c r="D6148" s="4" t="str">
        <f>vlookup(A6148, Sheet2!D:E, 2, 0)</f>
        <v>control</v>
      </c>
      <c r="E6148" s="4" t="str">
        <f>IFERROR(__xludf.DUMMYFUNCTION("if(H6148=""pays"",vlookup(REGEXEXTRACT(C6148, ""🏘️ \w+ \w+ (.*) ✅""),'Country prepositions'!A:B, 2, 0) &amp; "" "" &amp; REGEXEXTRACT(C6148, ""🏘️ \w+ \w+ (.*) ✅"") ,  if(H6148=""quartier"",vlookup(REGEXEXTRACT(C6148, ""🏘️ \w+ \w+ (.*) ✅""),'Quartier prepositio"&amp;"ns'!A:E, 5, 0) ,  if(H6148=""region"",vlookup(REGEXEXTRACT(C6148, ""🏘️ \w+ \w+ (.*) ✅""),'Region prepositions'!B:F, 5, 0),  REGEXEXTRACT(C6148, ""🏘️ \w+ \w+ (.*) ✅""))))"),"#N/A")</f>
        <v>#N/A</v>
      </c>
      <c r="I6148" s="4" t="str">
        <f>IFERROR(__xludf.DUMMYFUNCTION("if(D6148=""variant"",  substitute(filter(Templates!E:E, Templates!A:A = F6148, Templates!B:B = G6148, Templates!C:C = H6148), ""{{}}"", E6148), B6148)"),"Louer appartement Flamatt: Trouvez le bien immobilier qui correspond idéalement à vos désirs sur ImmoScout24 - La plateforme de l'immobilier en Suisse.")</f>
        <v>Louer appartement Flamatt: Trouvez le bien immobilier qui correspond idéalement à vos désirs sur ImmoScout24 - La plateforme de l'immobilier en Suisse.</v>
      </c>
    </row>
    <row r="6149" hidden="1">
      <c r="A6149" s="5" t="s">
        <v>15394</v>
      </c>
      <c r="B6149" s="2" t="s">
        <v>15395</v>
      </c>
      <c r="C6149" s="2" t="s">
        <v>15395</v>
      </c>
      <c r="D6149" s="4" t="str">
        <f>vlookup(A6149, Sheet2!D:E, 2, 0)</f>
        <v>control</v>
      </c>
      <c r="E6149" s="4" t="str">
        <f>IFERROR(__xludf.DUMMYFUNCTION("if(H6149=""pays"",vlookup(REGEXEXTRACT(C6149, ""🏘️ \w+ \w+ (.*) ✅""),'Country prepositions'!A:B, 2, 0) &amp; "" "" &amp; REGEXEXTRACT(C6149, ""🏘️ \w+ \w+ (.*) ✅"") ,  if(H6149=""quartier"",vlookup(REGEXEXTRACT(C6149, ""🏘️ \w+ \w+ (.*) ✅""),'Quartier prepositio"&amp;"ns'!A:E, 5, 0) ,  if(H6149=""region"",vlookup(REGEXEXTRACT(C6149, ""🏘️ \w+ \w+ (.*) ✅""),'Region prepositions'!B:F, 5, 0),  REGEXEXTRACT(C6149, ""🏘️ \w+ \w+ (.*) ✅""))))"),"#N/A")</f>
        <v>#N/A</v>
      </c>
      <c r="I6149" s="4" t="str">
        <f>IFERROR(__xludf.DUMMYFUNCTION("if(D6149=""variant"",  substitute(filter(Templates!E:E, Templates!A:A = F6149, Templates!B:B = G6149, Templates!C:C = H6149), ""{{}}"", E6149), B6149)"),"Vendre appartement Chesières: Trouvez le bien immobilier qui correspond idéalement à vos désirs sur ImmoScout24 - La plateforme de l'immobilier en Suisse.")</f>
        <v>Vendre appartement Chesières: Trouvez le bien immobilier qui correspond idéalement à vos désirs sur ImmoScout24 - La plateforme de l'immobilier en Suisse.</v>
      </c>
    </row>
    <row r="6150" hidden="1">
      <c r="A6150" s="5" t="s">
        <v>15396</v>
      </c>
      <c r="B6150" s="2" t="s">
        <v>15397</v>
      </c>
      <c r="C6150" s="2" t="s">
        <v>15397</v>
      </c>
      <c r="D6150" s="4" t="str">
        <f>vlookup(A6150, Sheet2!D:E, 2, 0)</f>
        <v>control</v>
      </c>
      <c r="E6150" s="4" t="str">
        <f>IFERROR(__xludf.DUMMYFUNCTION("if(H6150=""pays"",vlookup(REGEXEXTRACT(C6150, ""🏘️ \w+ \w+ (.*) ✅""),'Country prepositions'!A:B, 2, 0) &amp; "" "" &amp; REGEXEXTRACT(C6150, ""🏘️ \w+ \w+ (.*) ✅"") ,  if(H6150=""quartier"",vlookup(REGEXEXTRACT(C6150, ""🏘️ \w+ \w+ (.*) ✅""),'Quartier prepositio"&amp;"ns'!A:E, 5, 0) ,  if(H6150=""region"",vlookup(REGEXEXTRACT(C6150, ""🏘️ \w+ \w+ (.*) ✅""),'Region prepositions'!B:F, 5, 0),  REGEXEXTRACT(C6150, ""🏘️ \w+ \w+ (.*) ✅""))))"),"#N/A")</f>
        <v>#N/A</v>
      </c>
      <c r="I6150" s="4" t="str">
        <f>IFERROR(__xludf.DUMMYFUNCTION("if(D6150=""variant"",  substitute(filter(Templates!E:E, Templates!A:A = F6150, Templates!B:B = G6150, Templates!C:C = H6150), ""{{}}"", E6150), B6150)"),"Louer appartement Wabern: Trouvez le bien immobilier qui correspond idéalement à vos désirs sur ImmoScout24 - La plateforme de l'immobilier en Suisse.")</f>
        <v>Louer appartement Wabern: Trouvez le bien immobilier qui correspond idéalement à vos désirs sur ImmoScout24 - La plateforme de l'immobilier en Suisse.</v>
      </c>
    </row>
    <row r="6151" hidden="1">
      <c r="A6151" s="5" t="s">
        <v>15398</v>
      </c>
      <c r="B6151" s="2" t="s">
        <v>15399</v>
      </c>
      <c r="C6151" s="2" t="s">
        <v>15399</v>
      </c>
      <c r="D6151" s="4" t="str">
        <f>vlookup(A6151, Sheet2!D:E, 2, 0)</f>
        <v>control</v>
      </c>
      <c r="E6151" s="4" t="str">
        <f>IFERROR(__xludf.DUMMYFUNCTION("if(H6151=""pays"",vlookup(REGEXEXTRACT(C6151, ""🏘️ \w+ \w+ (.*) ✅""),'Country prepositions'!A:B, 2, 0) &amp; "" "" &amp; REGEXEXTRACT(C6151, ""🏘️ \w+ \w+ (.*) ✅"") ,  if(H6151=""quartier"",vlookup(REGEXEXTRACT(C6151, ""🏘️ \w+ \w+ (.*) ✅""),'Quartier prepositio"&amp;"ns'!A:E, 5, 0) ,  if(H6151=""region"",vlookup(REGEXEXTRACT(C6151, ""🏘️ \w+ \w+ (.*) ✅""),'Region prepositions'!B:F, 5, 0),  REGEXEXTRACT(C6151, ""🏘️ \w+ \w+ (.*) ✅""))))"),"#N/A")</f>
        <v>#N/A</v>
      </c>
      <c r="I6151" s="4" t="str">
        <f>IFERROR(__xludf.DUMMYFUNCTION("if(D6151=""variant"",  substitute(filter(Templates!E:E, Templates!A:A = F6151, Templates!B:B = G6151, Templates!C:C = H6151), ""{{}}"", E6151), B6151)"),"Louer appartement Wetzikon ZH: Trouvez le bien immobilier qui correspond idéalement à vos désirs sur ImmoScout24 - La plateforme de l'immobilier en Suisse.")</f>
        <v>Louer appartement Wetzikon ZH: Trouvez le bien immobilier qui correspond idéalement à vos désirs sur ImmoScout24 - La plateforme de l'immobilier en Suisse.</v>
      </c>
    </row>
    <row r="6152" hidden="1">
      <c r="A6152" s="5" t="s">
        <v>15400</v>
      </c>
      <c r="B6152" s="2" t="s">
        <v>15401</v>
      </c>
      <c r="C6152" s="2" t="s">
        <v>15401</v>
      </c>
      <c r="D6152" s="4" t="str">
        <f>vlookup(A6152, Sheet2!D:E, 2, 0)</f>
        <v>control</v>
      </c>
      <c r="E6152" s="4" t="str">
        <f>IFERROR(__xludf.DUMMYFUNCTION("if(H6152=""pays"",vlookup(REGEXEXTRACT(C6152, ""🏘️ \w+ \w+ (.*) ✅""),'Country prepositions'!A:B, 2, 0) &amp; "" "" &amp; REGEXEXTRACT(C6152, ""🏘️ \w+ \w+ (.*) ✅"") ,  if(H6152=""quartier"",vlookup(REGEXEXTRACT(C6152, ""🏘️ \w+ \w+ (.*) ✅""),'Quartier prepositio"&amp;"ns'!A:E, 5, 0) ,  if(H6152=""region"",vlookup(REGEXEXTRACT(C6152, ""🏘️ \w+ \w+ (.*) ✅""),'Region prepositions'!B:F, 5, 0),  REGEXEXTRACT(C6152, ""🏘️ \w+ \w+ (.*) ✅""))))"),"#N/A")</f>
        <v>#N/A</v>
      </c>
      <c r="I6152" s="4" t="str">
        <f>IFERROR(__xludf.DUMMYFUNCTION("if(D6152=""variant"",  substitute(filter(Templates!E:E, Templates!A:A = F6152, Templates!B:B = G6152, Templates!C:C = H6152), ""{{}}"", E6152), B6152)"),"Louer appartement Walzenhausen: Trouvez le bien immobilier qui correspond idéalement à vos désirs sur ImmoScout24 - La plateforme de l'immobilier en Suisse.")</f>
        <v>Louer appartement Walzenhausen: Trouvez le bien immobilier qui correspond idéalement à vos désirs sur ImmoScout24 - La plateforme de l'immobilier en Suisse.</v>
      </c>
    </row>
    <row r="6153" hidden="1">
      <c r="A6153" s="5" t="s">
        <v>15402</v>
      </c>
      <c r="B6153" s="2" t="s">
        <v>15403</v>
      </c>
      <c r="C6153" s="2" t="s">
        <v>15403</v>
      </c>
      <c r="D6153" s="4" t="str">
        <f>vlookup(A6153, Sheet2!D:E, 2, 0)</f>
        <v>control</v>
      </c>
      <c r="E6153" s="4" t="str">
        <f>IFERROR(__xludf.DUMMYFUNCTION("if(H6153=""pays"",vlookup(REGEXEXTRACT(C6153, ""🏘️ \w+ \w+ (.*) ✅""),'Country prepositions'!A:B, 2, 0) &amp; "" "" &amp; REGEXEXTRACT(C6153, ""🏘️ \w+ \w+ (.*) ✅"") ,  if(H6153=""quartier"",vlookup(REGEXEXTRACT(C6153, ""🏘️ \w+ \w+ (.*) ✅""),'Quartier prepositio"&amp;"ns'!A:E, 5, 0) ,  if(H6153=""region"",vlookup(REGEXEXTRACT(C6153, ""🏘️ \w+ \w+ (.*) ✅""),'Region prepositions'!B:F, 5, 0),  REGEXEXTRACT(C6153, ""🏘️ \w+ \w+ (.*) ✅""))))"),"#N/A")</f>
        <v>#N/A</v>
      </c>
      <c r="I6153" s="4" t="str">
        <f>IFERROR(__xludf.DUMMYFUNCTION("if(D6153=""variant"",  substitute(filter(Templates!E:E, Templates!A:A = F6153, Templates!B:B = G6153, Templates!C:C = H6153), ""{{}}"", E6153), B6153)"),"Louer maison Collonges: Trouvez le bien immobilier qui correspond idéalement à vos désirs sur ImmoScout24 - La plateforme de l'immobilier en Suisse.")</f>
        <v>Louer maison Collonges: Trouvez le bien immobilier qui correspond idéalement à vos désirs sur ImmoScout24 - La plateforme de l'immobilier en Suisse.</v>
      </c>
    </row>
    <row r="6154" hidden="1">
      <c r="A6154" s="5" t="s">
        <v>15404</v>
      </c>
      <c r="B6154" s="2" t="s">
        <v>15405</v>
      </c>
      <c r="C6154" s="2" t="s">
        <v>15405</v>
      </c>
      <c r="D6154" s="4" t="str">
        <f>vlookup(A6154, Sheet2!D:E, 2, 0)</f>
        <v>control</v>
      </c>
      <c r="E6154" s="4" t="str">
        <f>IFERROR(__xludf.DUMMYFUNCTION("if(H6154=""pays"",vlookup(REGEXEXTRACT(C6154, ""🏘️ \w+ \w+ (.*) ✅""),'Country prepositions'!A:B, 2, 0) &amp; "" "" &amp; REGEXEXTRACT(C6154, ""🏘️ \w+ \w+ (.*) ✅"") ,  if(H6154=""quartier"",vlookup(REGEXEXTRACT(C6154, ""🏘️ \w+ \w+ (.*) ✅""),'Quartier prepositio"&amp;"ns'!A:E, 5, 0) ,  if(H6154=""region"",vlookup(REGEXEXTRACT(C6154, ""🏘️ \w+ \w+ (.*) ✅""),'Region prepositions'!B:F, 5, 0),  REGEXEXTRACT(C6154, ""🏘️ \w+ \w+ (.*) ✅""))))"),"#N/A")</f>
        <v>#N/A</v>
      </c>
      <c r="I6154" s="4" t="str">
        <f>IFERROR(__xludf.DUMMYFUNCTION("if(D6154=""variant"",  substitute(filter(Templates!E:E, Templates!A:A = F6154, Templates!B:B = G6154, Templates!C:C = H6154), ""{{}}"", E6154), B6154)"),"Louer appartement Châtonnaye: Trouvez le bien immobilier qui correspond idéalement à vos désirs sur ImmoScout24 - La plateforme de l'immobilier en Suisse.")</f>
        <v>Louer appartement Châtonnaye: Trouvez le bien immobilier qui correspond idéalement à vos désirs sur ImmoScout24 - La plateforme de l'immobilier en Suisse.</v>
      </c>
    </row>
    <row r="6155" hidden="1">
      <c r="A6155" s="5" t="s">
        <v>15406</v>
      </c>
      <c r="B6155" s="2" t="s">
        <v>15407</v>
      </c>
      <c r="C6155" s="2" t="s">
        <v>15407</v>
      </c>
      <c r="D6155" s="4" t="str">
        <f>vlookup(A6155, Sheet2!D:E, 2, 0)</f>
        <v>control</v>
      </c>
      <c r="E6155" s="4" t="str">
        <f>IFERROR(__xludf.DUMMYFUNCTION("if(H6155=""pays"",vlookup(REGEXEXTRACT(C6155, ""🏘️ \w+ \w+ (.*) ✅""),'Country prepositions'!A:B, 2, 0) &amp; "" "" &amp; REGEXEXTRACT(C6155, ""🏘️ \w+ \w+ (.*) ✅"") ,  if(H6155=""quartier"",vlookup(REGEXEXTRACT(C6155, ""🏘️ \w+ \w+ (.*) ✅""),'Quartier prepositio"&amp;"ns'!A:E, 5, 0) ,  if(H6155=""region"",vlookup(REGEXEXTRACT(C6155, ""🏘️ \w+ \w+ (.*) ✅""),'Region prepositions'!B:F, 5, 0),  REGEXEXTRACT(C6155, ""🏘️ \w+ \w+ (.*) ✅""))))"),"#N/A")</f>
        <v>#N/A</v>
      </c>
      <c r="I6155" s="4" t="str">
        <f>IFERROR(__xludf.DUMMYFUNCTION("if(D6155=""variant"",  substitute(filter(Templates!E:E, Templates!A:A = F6155, Templates!B:B = G6155, Templates!C:C = H6155), ""{{}}"", E6155), B6155)"),"Louer maison Villars-sur-Glâne: Trouvez le bien immobilier qui correspond idéalement à vos désirs sur ImmoScout24 - La plateforme de l'immobilier en Suisse.")</f>
        <v>Louer maison Villars-sur-Glâne: Trouvez le bien immobilier qui correspond idéalement à vos désirs sur ImmoScout24 - La plateforme de l'immobilier en Suisse.</v>
      </c>
    </row>
    <row r="6156" hidden="1">
      <c r="A6156" s="5" t="s">
        <v>15408</v>
      </c>
      <c r="B6156" s="2" t="s">
        <v>15409</v>
      </c>
      <c r="C6156" s="2" t="s">
        <v>15409</v>
      </c>
      <c r="D6156" s="4" t="str">
        <f>vlookup(A6156, Sheet2!D:E, 2, 0)</f>
        <v>control</v>
      </c>
      <c r="E6156" s="4" t="str">
        <f>IFERROR(__xludf.DUMMYFUNCTION("if(H6156=""pays"",vlookup(REGEXEXTRACT(C6156, ""🏘️ \w+ \w+ (.*) ✅""),'Country prepositions'!A:B, 2, 0) &amp; "" "" &amp; REGEXEXTRACT(C6156, ""🏘️ \w+ \w+ (.*) ✅"") ,  if(H6156=""quartier"",vlookup(REGEXEXTRACT(C6156, ""🏘️ \w+ \w+ (.*) ✅""),'Quartier prepositio"&amp;"ns'!A:E, 5, 0) ,  if(H6156=""region"",vlookup(REGEXEXTRACT(C6156, ""🏘️ \w+ \w+ (.*) ✅""),'Region prepositions'!B:F, 5, 0),  REGEXEXTRACT(C6156, ""🏘️ \w+ \w+ (.*) ✅""))))"),"#N/A")</f>
        <v>#N/A</v>
      </c>
      <c r="I6156" s="4" t="str">
        <f>IFERROR(__xludf.DUMMYFUNCTION("if(D6156=""variant"",  substitute(filter(Templates!E:E, Templates!A:A = F6156, Templates!B:B = G6156, Templates!C:C = H6156), ""{{}}"", E6156), B6156)"),"Vendre maison Grancy: Trouvez le bien immobilier qui correspond idéalement à vos désirs sur ImmoScout24 - La plateforme de l'immobilier en Suisse.")</f>
        <v>Vendre maison Grancy: Trouvez le bien immobilier qui correspond idéalement à vos désirs sur ImmoScout24 - La plateforme de l'immobilier en Suisse.</v>
      </c>
    </row>
    <row r="6157" hidden="1">
      <c r="A6157" s="5" t="s">
        <v>15410</v>
      </c>
      <c r="B6157" s="2" t="s">
        <v>15411</v>
      </c>
      <c r="C6157" s="2" t="s">
        <v>15411</v>
      </c>
      <c r="D6157" s="4" t="str">
        <f>vlookup(A6157, Sheet2!D:E, 2, 0)</f>
        <v>control</v>
      </c>
      <c r="E6157" s="4" t="str">
        <f>IFERROR(__xludf.DUMMYFUNCTION("if(H6157=""pays"",vlookup(REGEXEXTRACT(C6157, ""🏘️ \w+ \w+ (.*) ✅""),'Country prepositions'!A:B, 2, 0) &amp; "" "" &amp; REGEXEXTRACT(C6157, ""🏘️ \w+ \w+ (.*) ✅"") ,  if(H6157=""quartier"",vlookup(REGEXEXTRACT(C6157, ""🏘️ \w+ \w+ (.*) ✅""),'Quartier prepositio"&amp;"ns'!A:E, 5, 0) ,  if(H6157=""region"",vlookup(REGEXEXTRACT(C6157, ""🏘️ \w+ \w+ (.*) ✅""),'Region prepositions'!B:F, 5, 0),  REGEXEXTRACT(C6157, ""🏘️ \w+ \w+ (.*) ✅""))))"),"#N/A")</f>
        <v>#N/A</v>
      </c>
      <c r="I6157" s="4" t="str">
        <f>IFERROR(__xludf.DUMMYFUNCTION("if(D6157=""variant"",  substitute(filter(Templates!E:E, Templates!A:A = F6157, Templates!B:B = G6157, Templates!C:C = H6157), ""{{}}"", E6157), B6157)"),"Vendre appartement Grandson: Trouvez le bien immobilier qui correspond idéalement à vos désirs sur ImmoScout24 - La plateforme de l'immobilier en Suisse.")</f>
        <v>Vendre appartement Grandson: Trouvez le bien immobilier qui correspond idéalement à vos désirs sur ImmoScout24 - La plateforme de l'immobilier en Suisse.</v>
      </c>
    </row>
    <row r="6158" hidden="1">
      <c r="A6158" s="5" t="s">
        <v>15412</v>
      </c>
      <c r="B6158" s="2" t="s">
        <v>15413</v>
      </c>
      <c r="C6158" s="2" t="s">
        <v>15413</v>
      </c>
      <c r="D6158" s="4" t="str">
        <f>vlookup(A6158, Sheet2!D:E, 2, 0)</f>
        <v>control</v>
      </c>
      <c r="E6158" s="4" t="str">
        <f>IFERROR(__xludf.DUMMYFUNCTION("if(H6158=""pays"",vlookup(REGEXEXTRACT(C6158, ""🏘️ \w+ \w+ (.*) ✅""),'Country prepositions'!A:B, 2, 0) &amp; "" "" &amp; REGEXEXTRACT(C6158, ""🏘️ \w+ \w+ (.*) ✅"") ,  if(H6158=""quartier"",vlookup(REGEXEXTRACT(C6158, ""🏘️ \w+ \w+ (.*) ✅""),'Quartier prepositio"&amp;"ns'!A:E, 5, 0) ,  if(H6158=""region"",vlookup(REGEXEXTRACT(C6158, ""🏘️ \w+ \w+ (.*) ✅""),'Region prepositions'!B:F, 5, 0),  REGEXEXTRACT(C6158, ""🏘️ \w+ \w+ (.*) ✅""))))"),"#N/A")</f>
        <v>#N/A</v>
      </c>
      <c r="I6158" s="4" t="str">
        <f>IFERROR(__xludf.DUMMYFUNCTION("if(D6158=""variant"",  substitute(filter(Templates!E:E, Templates!A:A = F6158, Templates!B:B = G6158, Templates!C:C = H6158), ""{{}}"", E6158), B6158)"),"Vendre maison Alterswil FR: Trouvez le bien immobilier qui correspond idéalement à vos désirs sur ImmoScout24 - La plateforme de l'immobilier en Suisse.")</f>
        <v>Vendre maison Alterswil FR: Trouvez le bien immobilier qui correspond idéalement à vos désirs sur ImmoScout24 - La plateforme de l'immobilier en Suisse.</v>
      </c>
    </row>
    <row r="6159" hidden="1">
      <c r="A6159" s="5" t="s">
        <v>15414</v>
      </c>
      <c r="B6159" s="2" t="s">
        <v>15415</v>
      </c>
      <c r="C6159" s="2" t="s">
        <v>15415</v>
      </c>
      <c r="D6159" s="4" t="str">
        <f>vlookup(A6159, Sheet2!D:E, 2, 0)</f>
        <v>control</v>
      </c>
      <c r="E6159" s="4" t="str">
        <f>IFERROR(__xludf.DUMMYFUNCTION("if(H6159=""pays"",vlookup(REGEXEXTRACT(C6159, ""🏘️ \w+ \w+ (.*) ✅""),'Country prepositions'!A:B, 2, 0) &amp; "" "" &amp; REGEXEXTRACT(C6159, ""🏘️ \w+ \w+ (.*) ✅"") ,  if(H6159=""quartier"",vlookup(REGEXEXTRACT(C6159, ""🏘️ \w+ \w+ (.*) ✅""),'Quartier prepositio"&amp;"ns'!A:E, 5, 0) ,  if(H6159=""region"",vlookup(REGEXEXTRACT(C6159, ""🏘️ \w+ \w+ (.*) ✅""),'Region prepositions'!B:F, 5, 0),  REGEXEXTRACT(C6159, ""🏘️ \w+ \w+ (.*) ✅""))))"),"#N/A")</f>
        <v>#N/A</v>
      </c>
      <c r="I6159" s="4" t="str">
        <f>IFERROR(__xludf.DUMMYFUNCTION("if(D6159=""variant"",  substitute(filter(Templates!E:E, Templates!A:A = F6159, Templates!B:B = G6159, Templates!C:C = H6159), ""{{}}"", E6159), B6159)"),"Louer maison Bettmeralp: Trouvez le bien immobilier qui correspond idéalement à vos désirs sur ImmoScout24 - La plateforme de l'immobilier en Suisse.")</f>
        <v>Louer maison Bettmeralp: Trouvez le bien immobilier qui correspond idéalement à vos désirs sur ImmoScout24 - La plateforme de l'immobilier en Suisse.</v>
      </c>
    </row>
    <row r="6160" hidden="1">
      <c r="A6160" s="5" t="s">
        <v>15416</v>
      </c>
      <c r="B6160" s="2" t="s">
        <v>15417</v>
      </c>
      <c r="C6160" s="2" t="s">
        <v>15417</v>
      </c>
      <c r="D6160" s="4" t="str">
        <f>vlookup(A6160, Sheet2!D:E, 2, 0)</f>
        <v>control</v>
      </c>
      <c r="E6160" s="4" t="str">
        <f>IFERROR(__xludf.DUMMYFUNCTION("if(H6160=""pays"",vlookup(REGEXEXTRACT(C6160, ""🏘️ \w+ \w+ (.*) ✅""),'Country prepositions'!A:B, 2, 0) &amp; "" "" &amp; REGEXEXTRACT(C6160, ""🏘️ \w+ \w+ (.*) ✅"") ,  if(H6160=""quartier"",vlookup(REGEXEXTRACT(C6160, ""🏘️ \w+ \w+ (.*) ✅""),'Quartier prepositio"&amp;"ns'!A:E, 5, 0) ,  if(H6160=""region"",vlookup(REGEXEXTRACT(C6160, ""🏘️ \w+ \w+ (.*) ✅""),'Region prepositions'!B:F, 5, 0),  REGEXEXTRACT(C6160, ""🏘️ \w+ \w+ (.*) ✅""))))"),"#N/A")</f>
        <v>#N/A</v>
      </c>
      <c r="I6160" s="4" t="str">
        <f>IFERROR(__xludf.DUMMYFUNCTION("if(D6160=""variant"",  substitute(filter(Templates!E:E, Templates!A:A = F6160, Templates!B:B = G6160, Templates!C:C = H6160), ""{{}}"", E6160), B6160)"),"Louer appartement Céligny: Trouvez le bien immobilier qui correspond idéalement à vos désirs sur ImmoScout24 - La plateforme de l'immobilier en Suisse.")</f>
        <v>Louer appartement Céligny: Trouvez le bien immobilier qui correspond idéalement à vos désirs sur ImmoScout24 - La plateforme de l'immobilier en Suisse.</v>
      </c>
    </row>
    <row r="6161" hidden="1">
      <c r="A6161" s="5" t="s">
        <v>15418</v>
      </c>
      <c r="B6161" s="2" t="s">
        <v>15419</v>
      </c>
      <c r="C6161" s="2" t="s">
        <v>15419</v>
      </c>
      <c r="D6161" s="4" t="str">
        <f>vlookup(A6161, Sheet2!D:E, 2, 0)</f>
        <v>control</v>
      </c>
      <c r="E6161" s="4" t="str">
        <f>IFERROR(__xludf.DUMMYFUNCTION("if(H6161=""pays"",vlookup(REGEXEXTRACT(C6161, ""🏘️ \w+ \w+ (.*) ✅""),'Country prepositions'!A:B, 2, 0) &amp; "" "" &amp; REGEXEXTRACT(C6161, ""🏘️ \w+ \w+ (.*) ✅"") ,  if(H6161=""quartier"",vlookup(REGEXEXTRACT(C6161, ""🏘️ \w+ \w+ (.*) ✅""),'Quartier prepositio"&amp;"ns'!A:E, 5, 0) ,  if(H6161=""region"",vlookup(REGEXEXTRACT(C6161, ""🏘️ \w+ \w+ (.*) ✅""),'Region prepositions'!B:F, 5, 0),  REGEXEXTRACT(C6161, ""🏘️ \w+ \w+ (.*) ✅""))))"),"#N/A")</f>
        <v>#N/A</v>
      </c>
      <c r="I6161" s="4" t="str">
        <f>IFERROR(__xludf.DUMMYFUNCTION("if(D6161=""variant"",  substitute(filter(Templates!E:E, Templates!A:A = F6161, Templates!B:B = G6161, Templates!C:C = H6161), ""{{}}"", E6161), B6161)"),"Louer appartement Füllinsdorf: Trouvez le bien immobilier qui correspond idéalement à vos désirs sur ImmoScout24 - La plateforme de l'immobilier en Suisse.")</f>
        <v>Louer appartement Füllinsdorf: Trouvez le bien immobilier qui correspond idéalement à vos désirs sur ImmoScout24 - La plateforme de l'immobilier en Suisse.</v>
      </c>
    </row>
    <row r="6162" hidden="1">
      <c r="A6162" s="5" t="s">
        <v>15420</v>
      </c>
      <c r="B6162" s="2" t="s">
        <v>15421</v>
      </c>
      <c r="C6162" s="2" t="s">
        <v>15421</v>
      </c>
      <c r="D6162" s="4" t="str">
        <f>vlookup(A6162, Sheet2!D:E, 2, 0)</f>
        <v>control</v>
      </c>
      <c r="E6162" s="4" t="str">
        <f>IFERROR(__xludf.DUMMYFUNCTION("if(H6162=""pays"",vlookup(REGEXEXTRACT(C6162, ""🏘️ \w+ \w+ (.*) ✅""),'Country prepositions'!A:B, 2, 0) &amp; "" "" &amp; REGEXEXTRACT(C6162, ""🏘️ \w+ \w+ (.*) ✅"") ,  if(H6162=""quartier"",vlookup(REGEXEXTRACT(C6162, ""🏘️ \w+ \w+ (.*) ✅""),'Quartier prepositio"&amp;"ns'!A:E, 5, 0) ,  if(H6162=""region"",vlookup(REGEXEXTRACT(C6162, ""🏘️ \w+ \w+ (.*) ✅""),'Region prepositions'!B:F, 5, 0),  REGEXEXTRACT(C6162, ""🏘️ \w+ \w+ (.*) ✅""))))"),"#N/A")</f>
        <v>#N/A</v>
      </c>
      <c r="I6162" s="4" t="str">
        <f>IFERROR(__xludf.DUMMYFUNCTION("if(D6162=""variant"",  substitute(filter(Templates!E:E, Templates!A:A = F6162, Templates!B:B = G6162, Templates!C:C = H6162), ""{{}}"", E6162), B6162)"),"Louer appartement Schmiedrued: Trouvez le bien immobilier qui correspond idéalement à vos désirs sur ImmoScout24 - La plateforme de l'immobilier en Suisse.")</f>
        <v>Louer appartement Schmiedrued: Trouvez le bien immobilier qui correspond idéalement à vos désirs sur ImmoScout24 - La plateforme de l'immobilier en Suisse.</v>
      </c>
    </row>
    <row r="6163" hidden="1">
      <c r="A6163" s="5" t="s">
        <v>15422</v>
      </c>
      <c r="B6163" s="2" t="s">
        <v>15423</v>
      </c>
      <c r="C6163" s="2" t="s">
        <v>15423</v>
      </c>
      <c r="D6163" s="4" t="str">
        <f>vlookup(A6163, Sheet2!D:E, 2, 0)</f>
        <v>control</v>
      </c>
      <c r="E6163" s="4" t="str">
        <f>IFERROR(__xludf.DUMMYFUNCTION("if(H6163=""pays"",vlookup(REGEXEXTRACT(C6163, ""🏘️ \w+ \w+ (.*) ✅""),'Country prepositions'!A:B, 2, 0) &amp; "" "" &amp; REGEXEXTRACT(C6163, ""🏘️ \w+ \w+ (.*) ✅"") ,  if(H6163=""quartier"",vlookup(REGEXEXTRACT(C6163, ""🏘️ \w+ \w+ (.*) ✅""),'Quartier prepositio"&amp;"ns'!A:E, 5, 0) ,  if(H6163=""region"",vlookup(REGEXEXTRACT(C6163, ""🏘️ \w+ \w+ (.*) ✅""),'Region prepositions'!B:F, 5, 0),  REGEXEXTRACT(C6163, ""🏘️ \w+ \w+ (.*) ✅""))))"),"#N/A")</f>
        <v>#N/A</v>
      </c>
      <c r="I6163" s="4" t="str">
        <f>IFERROR(__xludf.DUMMYFUNCTION("if(D6163=""variant"",  substitute(filter(Templates!E:E, Templates!A:A = F6163, Templates!B:B = G6163, Templates!C:C = H6163), ""{{}}"", E6163), B6163)"),"Vendre maison Mollens VS: Trouvez le bien immobilier qui correspond idéalement à vos désirs sur ImmoScout24 - La plateforme de l'immobilier en Suisse.")</f>
        <v>Vendre maison Mollens VS: Trouvez le bien immobilier qui correspond idéalement à vos désirs sur ImmoScout24 - La plateforme de l'immobilier en Suisse.</v>
      </c>
    </row>
    <row r="6164" hidden="1">
      <c r="A6164" s="5" t="s">
        <v>15424</v>
      </c>
      <c r="B6164" s="2" t="s">
        <v>15425</v>
      </c>
      <c r="C6164" s="2" t="s">
        <v>15425</v>
      </c>
      <c r="D6164" s="4" t="str">
        <f>vlookup(A6164, Sheet2!D:E, 2, 0)</f>
        <v>control</v>
      </c>
      <c r="E6164" s="4" t="str">
        <f>IFERROR(__xludf.DUMMYFUNCTION("if(H6164=""pays"",vlookup(REGEXEXTRACT(C6164, ""🏘️ \w+ \w+ (.*) ✅""),'Country prepositions'!A:B, 2, 0) &amp; "" "" &amp; REGEXEXTRACT(C6164, ""🏘️ \w+ \w+ (.*) ✅"") ,  if(H6164=""quartier"",vlookup(REGEXEXTRACT(C6164, ""🏘️ \w+ \w+ (.*) ✅""),'Quartier prepositio"&amp;"ns'!A:E, 5, 0) ,  if(H6164=""region"",vlookup(REGEXEXTRACT(C6164, ""🏘️ \w+ \w+ (.*) ✅""),'Region prepositions'!B:F, 5, 0),  REGEXEXTRACT(C6164, ""🏘️ \w+ \w+ (.*) ✅""))))"),"#N/A")</f>
        <v>#N/A</v>
      </c>
      <c r="I6164" s="4" t="str">
        <f>IFERROR(__xludf.DUMMYFUNCTION("if(D6164=""variant"",  substitute(filter(Templates!E:E, Templates!A:A = F6164, Templates!B:B = G6164, Templates!C:C = H6164), ""{{}}"", E6164), B6164)"),"Louer maison Bôle: Trouvez le bien immobilier qui correspond idéalement à vos désirs sur ImmoScout24 - La plateforme de l'immobilier en Suisse.")</f>
        <v>Louer maison Bôle: Trouvez le bien immobilier qui correspond idéalement à vos désirs sur ImmoScout24 - La plateforme de l'immobilier en Suisse.</v>
      </c>
    </row>
    <row r="6165" hidden="1">
      <c r="A6165" s="5" t="s">
        <v>15426</v>
      </c>
      <c r="B6165" s="2" t="s">
        <v>15427</v>
      </c>
      <c r="C6165" s="2" t="s">
        <v>15427</v>
      </c>
      <c r="D6165" s="4" t="str">
        <f>vlookup(A6165, Sheet2!D:E, 2, 0)</f>
        <v>control</v>
      </c>
      <c r="E6165" s="4" t="str">
        <f>IFERROR(__xludf.DUMMYFUNCTION("if(H6165=""pays"",vlookup(REGEXEXTRACT(C6165, ""🏘️ \w+ \w+ (.*) ✅""),'Country prepositions'!A:B, 2, 0) &amp; "" "" &amp; REGEXEXTRACT(C6165, ""🏘️ \w+ \w+ (.*) ✅"") ,  if(H6165=""quartier"",vlookup(REGEXEXTRACT(C6165, ""🏘️ \w+ \w+ (.*) ✅""),'Quartier prepositio"&amp;"ns'!A:E, 5, 0) ,  if(H6165=""region"",vlookup(REGEXEXTRACT(C6165, ""🏘️ \w+ \w+ (.*) ✅""),'Region prepositions'!B:F, 5, 0),  REGEXEXTRACT(C6165, ""🏘️ \w+ \w+ (.*) ✅""))))"),"#N/A")</f>
        <v>#N/A</v>
      </c>
      <c r="I6165" s="4" t="str">
        <f>IFERROR(__xludf.DUMMYFUNCTION("if(D6165=""variant"",  substitute(filter(Templates!E:E, Templates!A:A = F6165, Templates!B:B = G6165, Templates!C:C = H6165), ""{{}}"", E6165), B6165)"),"Louer appartement Wesemlin - Dreilinden (Lucerne): Trouvez le bien immobilier qui correspond idéalement à vos désirs sur ImmoScout24 - La plateforme de l'immobilier en Suisse.")</f>
        <v>Louer appartement Wesemlin - Dreilinden (Lucerne): Trouvez le bien immobilier qui correspond idéalement à vos désirs sur ImmoScout24 - La plateforme de l'immobilier en Suisse.</v>
      </c>
    </row>
    <row r="6166" hidden="1">
      <c r="A6166" s="5" t="s">
        <v>15428</v>
      </c>
      <c r="B6166" s="2" t="s">
        <v>15429</v>
      </c>
      <c r="C6166" s="2" t="s">
        <v>15429</v>
      </c>
      <c r="D6166" s="4" t="str">
        <f>vlookup(A6166, Sheet2!D:E, 2, 0)</f>
        <v>control</v>
      </c>
      <c r="E6166" s="4" t="str">
        <f>IFERROR(__xludf.DUMMYFUNCTION("if(H6166=""pays"",vlookup(REGEXEXTRACT(C6166, ""🏘️ \w+ \w+ (.*) ✅""),'Country prepositions'!A:B, 2, 0) &amp; "" "" &amp; REGEXEXTRACT(C6166, ""🏘️ \w+ \w+ (.*) ✅"") ,  if(H6166=""quartier"",vlookup(REGEXEXTRACT(C6166, ""🏘️ \w+ \w+ (.*) ✅""),'Quartier prepositio"&amp;"ns'!A:E, 5, 0) ,  if(H6166=""region"",vlookup(REGEXEXTRACT(C6166, ""🏘️ \w+ \w+ (.*) ✅""),'Region prepositions'!B:F, 5, 0),  REGEXEXTRACT(C6166, ""🏘️ \w+ \w+ (.*) ✅""))))"),"#N/A")</f>
        <v>#N/A</v>
      </c>
      <c r="I6166" s="4" t="str">
        <f>IFERROR(__xludf.DUMMYFUNCTION("if(D6166=""variant"",  substitute(filter(Templates!E:E, Templates!A:A = F6166, Templates!B:B = G6166, Templates!C:C = H6166), ""{{}}"", E6166), B6166)"),"Louer appartement Saulcy: Trouvez le bien immobilier qui correspond idéalement à vos désirs sur ImmoScout24 - La plateforme de l'immobilier en Suisse.")</f>
        <v>Louer appartement Saulcy: Trouvez le bien immobilier qui correspond idéalement à vos désirs sur ImmoScout24 - La plateforme de l'immobilier en Suisse.</v>
      </c>
    </row>
    <row r="6167" hidden="1">
      <c r="A6167" s="5" t="s">
        <v>15430</v>
      </c>
      <c r="B6167" s="2" t="s">
        <v>15431</v>
      </c>
      <c r="C6167" s="2" t="s">
        <v>15431</v>
      </c>
      <c r="D6167" s="4" t="str">
        <f>vlookup(A6167, Sheet2!D:E, 2, 0)</f>
        <v>control</v>
      </c>
      <c r="E6167" s="4" t="str">
        <f>IFERROR(__xludf.DUMMYFUNCTION("if(H6167=""pays"",vlookup(REGEXEXTRACT(C6167, ""🏘️ \w+ \w+ (.*) ✅""),'Country prepositions'!A:B, 2, 0) &amp; "" "" &amp; REGEXEXTRACT(C6167, ""🏘️ \w+ \w+ (.*) ✅"") ,  if(H6167=""quartier"",vlookup(REGEXEXTRACT(C6167, ""🏘️ \w+ \w+ (.*) ✅""),'Quartier prepositio"&amp;"ns'!A:E, 5, 0) ,  if(H6167=""region"",vlookup(REGEXEXTRACT(C6167, ""🏘️ \w+ \w+ (.*) ✅""),'Region prepositions'!B:F, 5, 0),  REGEXEXTRACT(C6167, ""🏘️ \w+ \w+ (.*) ✅""))))"),"#N/A")</f>
        <v>#N/A</v>
      </c>
      <c r="I6167" s="4" t="str">
        <f>IFERROR(__xludf.DUMMYFUNCTION("if(D6167=""variant"",  substitute(filter(Templates!E:E, Templates!A:A = F6167, Templates!B:B = G6167, Templates!C:C = H6167), ""{{}}"", E6167), B6167)"),"Louer appartement Magadino: Trouvez le bien immobilier qui correspond idéalement à vos désirs sur ImmoScout24 - La plateforme de l'immobilier en Suisse.")</f>
        <v>Louer appartement Magadino: Trouvez le bien immobilier qui correspond idéalement à vos désirs sur ImmoScout24 - La plateforme de l'immobilier en Suisse.</v>
      </c>
    </row>
    <row r="6168" hidden="1">
      <c r="A6168" s="5" t="s">
        <v>15432</v>
      </c>
      <c r="B6168" s="2" t="s">
        <v>15433</v>
      </c>
      <c r="C6168" s="2" t="s">
        <v>15433</v>
      </c>
      <c r="D6168" s="4" t="str">
        <f>vlookup(A6168, Sheet2!D:E, 2, 0)</f>
        <v>control</v>
      </c>
      <c r="E6168" s="4" t="str">
        <f>IFERROR(__xludf.DUMMYFUNCTION("if(H6168=""pays"",vlookup(REGEXEXTRACT(C6168, ""🏘️ \w+ \w+ (.*) ✅""),'Country prepositions'!A:B, 2, 0) &amp; "" "" &amp; REGEXEXTRACT(C6168, ""🏘️ \w+ \w+ (.*) ✅"") ,  if(H6168=""quartier"",vlookup(REGEXEXTRACT(C6168, ""🏘️ \w+ \w+ (.*) ✅""),'Quartier prepositio"&amp;"ns'!A:E, 5, 0) ,  if(H6168=""region"",vlookup(REGEXEXTRACT(C6168, ""🏘️ \w+ \w+ (.*) ✅""),'Region prepositions'!B:F, 5, 0),  REGEXEXTRACT(C6168, ""🏘️ \w+ \w+ (.*) ✅""))))"),"#N/A")</f>
        <v>#N/A</v>
      </c>
      <c r="I6168" s="4" t="str">
        <f>IFERROR(__xludf.DUMMYFUNCTION("if(D6168=""variant"",  substitute(filter(Templates!E:E, Templates!A:A = F6168, Templates!B:B = G6168, Templates!C:C = H6168), ""{{}}"", E6168), B6168)"),"Vendre appartement Montana: Trouvez le bien immobilier qui correspond idéalement à vos désirs sur ImmoScout24 - La plateforme de l'immobilier en Suisse.")</f>
        <v>Vendre appartement Montana: Trouvez le bien immobilier qui correspond idéalement à vos désirs sur ImmoScout24 - La plateforme de l'immobilier en Suisse.</v>
      </c>
    </row>
    <row r="6169" hidden="1">
      <c r="A6169" s="5" t="s">
        <v>15434</v>
      </c>
      <c r="B6169" s="2" t="s">
        <v>15435</v>
      </c>
      <c r="C6169" s="2" t="s">
        <v>15435</v>
      </c>
      <c r="D6169" s="4" t="str">
        <f>vlookup(A6169, Sheet2!D:E, 2, 0)</f>
        <v>control</v>
      </c>
      <c r="E6169" s="4" t="str">
        <f>IFERROR(__xludf.DUMMYFUNCTION("if(H6169=""pays"",vlookup(REGEXEXTRACT(C6169, ""🏘️ \w+ \w+ (.*) ✅""),'Country prepositions'!A:B, 2, 0) &amp; "" "" &amp; REGEXEXTRACT(C6169, ""🏘️ \w+ \w+ (.*) ✅"") ,  if(H6169=""quartier"",vlookup(REGEXEXTRACT(C6169, ""🏘️ \w+ \w+ (.*) ✅""),'Quartier prepositio"&amp;"ns'!A:E, 5, 0) ,  if(H6169=""region"",vlookup(REGEXEXTRACT(C6169, ""🏘️ \w+ \w+ (.*) ✅""),'Region prepositions'!B:F, 5, 0),  REGEXEXTRACT(C6169, ""🏘️ \w+ \w+ (.*) ✅""))))"),"#N/A")</f>
        <v>#N/A</v>
      </c>
      <c r="I6169" s="4" t="str">
        <f>IFERROR(__xludf.DUMMYFUNCTION("if(D6169=""variant"",  substitute(filter(Templates!E:E, Templates!A:A = F6169, Templates!B:B = G6169, Templates!C:C = H6169), ""{{}}"", E6169), B6169)"),"Louer appartement Binningen: Trouvez le bien immobilier qui correspond idéalement à vos désirs sur ImmoScout24 - La plateforme de l'immobilier en Suisse.")</f>
        <v>Louer appartement Binningen: Trouvez le bien immobilier qui correspond idéalement à vos désirs sur ImmoScout24 - La plateforme de l'immobilier en Suisse.</v>
      </c>
    </row>
    <row r="6170" hidden="1">
      <c r="A6170" s="5" t="s">
        <v>15436</v>
      </c>
      <c r="B6170" s="2" t="s">
        <v>15437</v>
      </c>
      <c r="C6170" s="2" t="s">
        <v>15437</v>
      </c>
      <c r="D6170" s="4" t="str">
        <f>vlookup(A6170, Sheet2!D:E, 2, 0)</f>
        <v>control</v>
      </c>
      <c r="E6170" s="4" t="str">
        <f>IFERROR(__xludf.DUMMYFUNCTION("if(H6170=""pays"",vlookup(REGEXEXTRACT(C6170, ""🏘️ \w+ \w+ (.*) ✅""),'Country prepositions'!A:B, 2, 0) &amp; "" "" &amp; REGEXEXTRACT(C6170, ""🏘️ \w+ \w+ (.*) ✅"") ,  if(H6170=""quartier"",vlookup(REGEXEXTRACT(C6170, ""🏘️ \w+ \w+ (.*) ✅""),'Quartier prepositio"&amp;"ns'!A:E, 5, 0) ,  if(H6170=""region"",vlookup(REGEXEXTRACT(C6170, ""🏘️ \w+ \w+ (.*) ✅""),'Region prepositions'!B:F, 5, 0),  REGEXEXTRACT(C6170, ""🏘️ \w+ \w+ (.*) ✅""))))"),"#N/A")</f>
        <v>#N/A</v>
      </c>
      <c r="I6170" s="4" t="str">
        <f>IFERROR(__xludf.DUMMYFUNCTION("if(D6170=""variant"",  substitute(filter(Templates!E:E, Templates!A:A = F6170, Templates!B:B = G6170, Templates!C:C = H6170), ""{{}}"", E6170), B6170)"),"Vendre maison Ursy: Trouvez le bien immobilier qui correspond idéalement à vos désirs sur ImmoScout24 - La plateforme de l'immobilier en Suisse.")</f>
        <v>Vendre maison Ursy: Trouvez le bien immobilier qui correspond idéalement à vos désirs sur ImmoScout24 - La plateforme de l'immobilier en Suisse.</v>
      </c>
    </row>
  </sheetData>
  <autoFilter ref="$A$1:$J$6170">
    <filterColumn colId="3">
      <filters>
        <filter val="variant"/>
        <filter val="#N/A"/>
      </filters>
    </filterColumn>
  </autoFilter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  <hyperlink r:id="rId2344" ref="A2345"/>
    <hyperlink r:id="rId2345" ref="A2346"/>
    <hyperlink r:id="rId2346" ref="A2347"/>
    <hyperlink r:id="rId2347" ref="A2348"/>
    <hyperlink r:id="rId2348" ref="A2349"/>
    <hyperlink r:id="rId2349" ref="A2350"/>
    <hyperlink r:id="rId2350" ref="A2351"/>
    <hyperlink r:id="rId2351" ref="A2352"/>
    <hyperlink r:id="rId2352" ref="A2353"/>
    <hyperlink r:id="rId2353" ref="A2354"/>
    <hyperlink r:id="rId2354" ref="A2355"/>
    <hyperlink r:id="rId2355" ref="A2356"/>
    <hyperlink r:id="rId2356" ref="A2357"/>
    <hyperlink r:id="rId2357" ref="A2358"/>
    <hyperlink r:id="rId2358" ref="A2359"/>
    <hyperlink r:id="rId2359" ref="A2360"/>
    <hyperlink r:id="rId2360" ref="A2361"/>
    <hyperlink r:id="rId2361" ref="A2362"/>
    <hyperlink r:id="rId2362" ref="A2363"/>
    <hyperlink r:id="rId2363" ref="A2364"/>
    <hyperlink r:id="rId2364" ref="A2365"/>
    <hyperlink r:id="rId2365" ref="A2366"/>
    <hyperlink r:id="rId2366" ref="A2367"/>
    <hyperlink r:id="rId2367" ref="A2368"/>
    <hyperlink r:id="rId2368" ref="A2369"/>
    <hyperlink r:id="rId2369" ref="A2370"/>
    <hyperlink r:id="rId2370" ref="A2371"/>
    <hyperlink r:id="rId2371" ref="A2372"/>
    <hyperlink r:id="rId2372" ref="A2373"/>
    <hyperlink r:id="rId2373" ref="A2374"/>
    <hyperlink r:id="rId2374" ref="A2375"/>
    <hyperlink r:id="rId2375" ref="A2376"/>
    <hyperlink r:id="rId2376" ref="A2377"/>
    <hyperlink r:id="rId2377" ref="A2378"/>
    <hyperlink r:id="rId2378" ref="A2379"/>
    <hyperlink r:id="rId2379" ref="A2380"/>
    <hyperlink r:id="rId2380" ref="A2381"/>
    <hyperlink r:id="rId2381" ref="A2382"/>
    <hyperlink r:id="rId2382" ref="A2383"/>
    <hyperlink r:id="rId2383" ref="A2384"/>
    <hyperlink r:id="rId2384" ref="A2385"/>
    <hyperlink r:id="rId2385" ref="A2386"/>
    <hyperlink r:id="rId2386" ref="A2387"/>
    <hyperlink r:id="rId2387" ref="A2388"/>
    <hyperlink r:id="rId2388" ref="A2389"/>
    <hyperlink r:id="rId2389" ref="A2390"/>
    <hyperlink r:id="rId2390" ref="A2391"/>
    <hyperlink r:id="rId2391" ref="A2392"/>
    <hyperlink r:id="rId2392" ref="A2393"/>
    <hyperlink r:id="rId2393" ref="A2394"/>
    <hyperlink r:id="rId2394" ref="A2395"/>
    <hyperlink r:id="rId2395" ref="A2396"/>
    <hyperlink r:id="rId2396" ref="A2397"/>
    <hyperlink r:id="rId2397" ref="A2398"/>
    <hyperlink r:id="rId2398" ref="A2399"/>
    <hyperlink r:id="rId2399" ref="A2400"/>
    <hyperlink r:id="rId2400" ref="A2401"/>
    <hyperlink r:id="rId2401" ref="A2402"/>
    <hyperlink r:id="rId2402" ref="A2403"/>
    <hyperlink r:id="rId2403" ref="A2404"/>
    <hyperlink r:id="rId2404" ref="A2405"/>
    <hyperlink r:id="rId2405" ref="A2406"/>
    <hyperlink r:id="rId2406" ref="A2407"/>
    <hyperlink r:id="rId2407" ref="A2408"/>
    <hyperlink r:id="rId2408" ref="A2409"/>
    <hyperlink r:id="rId2409" ref="A2410"/>
    <hyperlink r:id="rId2410" ref="A2411"/>
    <hyperlink r:id="rId2411" ref="A2412"/>
    <hyperlink r:id="rId2412" ref="A2413"/>
    <hyperlink r:id="rId2413" ref="A2414"/>
    <hyperlink r:id="rId2414" ref="A2415"/>
    <hyperlink r:id="rId2415" ref="A2416"/>
    <hyperlink r:id="rId2416" ref="A2417"/>
    <hyperlink r:id="rId2417" ref="A2418"/>
    <hyperlink r:id="rId2418" ref="A2419"/>
    <hyperlink r:id="rId2419" ref="A2420"/>
    <hyperlink r:id="rId2420" ref="A2421"/>
    <hyperlink r:id="rId2421" ref="A2422"/>
    <hyperlink r:id="rId2422" ref="A2423"/>
    <hyperlink r:id="rId2423" ref="A2424"/>
    <hyperlink r:id="rId2424" ref="A2425"/>
    <hyperlink r:id="rId2425" ref="A2426"/>
    <hyperlink r:id="rId2426" ref="A2427"/>
    <hyperlink r:id="rId2427" ref="A2428"/>
    <hyperlink r:id="rId2428" ref="A2429"/>
    <hyperlink r:id="rId2429" ref="A2430"/>
    <hyperlink r:id="rId2430" ref="A2431"/>
    <hyperlink r:id="rId2431" ref="A2432"/>
    <hyperlink r:id="rId2432" ref="A2433"/>
    <hyperlink r:id="rId2433" ref="A2434"/>
    <hyperlink r:id="rId2434" ref="A2435"/>
    <hyperlink r:id="rId2435" ref="A2436"/>
    <hyperlink r:id="rId2436" ref="A2437"/>
    <hyperlink r:id="rId2437" ref="A2438"/>
    <hyperlink r:id="rId2438" ref="A2439"/>
    <hyperlink r:id="rId2439" ref="A2440"/>
    <hyperlink r:id="rId2440" ref="A2441"/>
    <hyperlink r:id="rId2441" ref="A2442"/>
    <hyperlink r:id="rId2442" ref="A2443"/>
    <hyperlink r:id="rId2443" ref="A2444"/>
    <hyperlink r:id="rId2444" ref="A2445"/>
    <hyperlink r:id="rId2445" ref="A2446"/>
    <hyperlink r:id="rId2446" ref="A2447"/>
    <hyperlink r:id="rId2447" ref="A2448"/>
    <hyperlink r:id="rId2448" ref="A2449"/>
    <hyperlink r:id="rId2449" ref="A2450"/>
    <hyperlink r:id="rId2450" ref="A2451"/>
    <hyperlink r:id="rId2451" ref="A2452"/>
    <hyperlink r:id="rId2452" ref="A2453"/>
    <hyperlink r:id="rId2453" ref="A2454"/>
    <hyperlink r:id="rId2454" ref="A2455"/>
    <hyperlink r:id="rId2455" ref="A2456"/>
    <hyperlink r:id="rId2456" ref="A2457"/>
    <hyperlink r:id="rId2457" ref="A2458"/>
    <hyperlink r:id="rId2458" ref="A2459"/>
    <hyperlink r:id="rId2459" ref="A2460"/>
    <hyperlink r:id="rId2460" ref="A2461"/>
    <hyperlink r:id="rId2461" ref="A2462"/>
    <hyperlink r:id="rId2462" ref="A2463"/>
    <hyperlink r:id="rId2463" ref="A2464"/>
    <hyperlink r:id="rId2464" ref="A2465"/>
    <hyperlink r:id="rId2465" ref="A2466"/>
    <hyperlink r:id="rId2466" ref="A2467"/>
    <hyperlink r:id="rId2467" ref="A2468"/>
    <hyperlink r:id="rId2468" ref="A2469"/>
    <hyperlink r:id="rId2469" ref="A2470"/>
    <hyperlink r:id="rId2470" ref="A2471"/>
    <hyperlink r:id="rId2471" ref="A2472"/>
    <hyperlink r:id="rId2472" ref="A2473"/>
    <hyperlink r:id="rId2473" ref="A2474"/>
    <hyperlink r:id="rId2474" ref="A2475"/>
    <hyperlink r:id="rId2475" ref="A2476"/>
    <hyperlink r:id="rId2476" ref="A2477"/>
    <hyperlink r:id="rId2477" ref="A2478"/>
    <hyperlink r:id="rId2478" ref="A2479"/>
    <hyperlink r:id="rId2479" ref="A2480"/>
    <hyperlink r:id="rId2480" ref="A2481"/>
    <hyperlink r:id="rId2481" ref="A2482"/>
    <hyperlink r:id="rId2482" ref="A2483"/>
    <hyperlink r:id="rId2483" ref="A2484"/>
    <hyperlink r:id="rId2484" ref="A2485"/>
    <hyperlink r:id="rId2485" ref="A2486"/>
    <hyperlink r:id="rId2486" ref="A2487"/>
    <hyperlink r:id="rId2487" ref="A2488"/>
    <hyperlink r:id="rId2488" ref="A2489"/>
    <hyperlink r:id="rId2489" ref="A2490"/>
    <hyperlink r:id="rId2490" ref="A2491"/>
    <hyperlink r:id="rId2491" ref="A2492"/>
    <hyperlink r:id="rId2492" ref="A2493"/>
    <hyperlink r:id="rId2493" ref="A2494"/>
    <hyperlink r:id="rId2494" ref="A2495"/>
    <hyperlink r:id="rId2495" ref="A2496"/>
    <hyperlink r:id="rId2496" ref="A2497"/>
    <hyperlink r:id="rId2497" ref="A2498"/>
    <hyperlink r:id="rId2498" ref="A2499"/>
    <hyperlink r:id="rId2499" ref="A2500"/>
    <hyperlink r:id="rId2500" ref="A2501"/>
    <hyperlink r:id="rId2501" ref="A2502"/>
    <hyperlink r:id="rId2502" ref="A2503"/>
    <hyperlink r:id="rId2503" ref="A2504"/>
    <hyperlink r:id="rId2504" ref="A2505"/>
    <hyperlink r:id="rId2505" ref="A2506"/>
    <hyperlink r:id="rId2506" ref="A2507"/>
    <hyperlink r:id="rId2507" ref="A2508"/>
    <hyperlink r:id="rId2508" ref="A2509"/>
    <hyperlink r:id="rId2509" ref="A2510"/>
    <hyperlink r:id="rId2510" ref="A2511"/>
    <hyperlink r:id="rId2511" ref="A2512"/>
    <hyperlink r:id="rId2512" ref="A2513"/>
    <hyperlink r:id="rId2513" ref="A2514"/>
    <hyperlink r:id="rId2514" ref="A2515"/>
    <hyperlink r:id="rId2515" ref="A2516"/>
    <hyperlink r:id="rId2516" ref="A2517"/>
    <hyperlink r:id="rId2517" ref="A2518"/>
    <hyperlink r:id="rId2518" ref="A2519"/>
    <hyperlink r:id="rId2519" ref="A2520"/>
    <hyperlink r:id="rId2520" ref="A2521"/>
    <hyperlink r:id="rId2521" ref="A2522"/>
    <hyperlink r:id="rId2522" ref="A2523"/>
    <hyperlink r:id="rId2523" ref="A2524"/>
    <hyperlink r:id="rId2524" ref="A2525"/>
    <hyperlink r:id="rId2525" ref="A2526"/>
    <hyperlink r:id="rId2526" ref="A2527"/>
    <hyperlink r:id="rId2527" ref="A2528"/>
    <hyperlink r:id="rId2528" ref="A2529"/>
    <hyperlink r:id="rId2529" ref="A2530"/>
    <hyperlink r:id="rId2530" ref="A2531"/>
    <hyperlink r:id="rId2531" ref="A2532"/>
    <hyperlink r:id="rId2532" ref="A2533"/>
    <hyperlink r:id="rId2533" ref="A2534"/>
    <hyperlink r:id="rId2534" ref="A2535"/>
    <hyperlink r:id="rId2535" ref="A2536"/>
    <hyperlink r:id="rId2536" ref="A2537"/>
    <hyperlink r:id="rId2537" ref="A2538"/>
    <hyperlink r:id="rId2538" ref="A2539"/>
    <hyperlink r:id="rId2539" ref="A2540"/>
    <hyperlink r:id="rId2540" ref="A2541"/>
    <hyperlink r:id="rId2541" ref="A2542"/>
    <hyperlink r:id="rId2542" ref="A2543"/>
    <hyperlink r:id="rId2543" ref="A2544"/>
    <hyperlink r:id="rId2544" ref="A2545"/>
    <hyperlink r:id="rId2545" ref="A2546"/>
    <hyperlink r:id="rId2546" ref="A2547"/>
    <hyperlink r:id="rId2547" ref="A2548"/>
    <hyperlink r:id="rId2548" ref="A2549"/>
    <hyperlink r:id="rId2549" ref="A2550"/>
    <hyperlink r:id="rId2550" ref="A2551"/>
    <hyperlink r:id="rId2551" ref="A2552"/>
    <hyperlink r:id="rId2552" ref="A2553"/>
    <hyperlink r:id="rId2553" ref="A2554"/>
    <hyperlink r:id="rId2554" ref="A2555"/>
    <hyperlink r:id="rId2555" ref="A2556"/>
    <hyperlink r:id="rId2556" ref="A2557"/>
    <hyperlink r:id="rId2557" ref="A2558"/>
    <hyperlink r:id="rId2558" ref="A2559"/>
    <hyperlink r:id="rId2559" ref="A2560"/>
    <hyperlink r:id="rId2560" ref="A2561"/>
    <hyperlink r:id="rId2561" ref="A2562"/>
    <hyperlink r:id="rId2562" ref="A2563"/>
    <hyperlink r:id="rId2563" ref="A2564"/>
    <hyperlink r:id="rId2564" ref="A2565"/>
    <hyperlink r:id="rId2565" ref="A2566"/>
    <hyperlink r:id="rId2566" ref="A2567"/>
    <hyperlink r:id="rId2567" ref="A2568"/>
    <hyperlink r:id="rId2568" ref="A2569"/>
    <hyperlink r:id="rId2569" ref="A2570"/>
    <hyperlink r:id="rId2570" ref="A2571"/>
    <hyperlink r:id="rId2571" ref="A2572"/>
    <hyperlink r:id="rId2572" ref="A2573"/>
    <hyperlink r:id="rId2573" ref="A2574"/>
    <hyperlink r:id="rId2574" ref="A2575"/>
    <hyperlink r:id="rId2575" ref="A2576"/>
    <hyperlink r:id="rId2576" ref="A2577"/>
    <hyperlink r:id="rId2577" ref="A2578"/>
    <hyperlink r:id="rId2578" ref="A2579"/>
    <hyperlink r:id="rId2579" ref="A2580"/>
    <hyperlink r:id="rId2580" ref="A2581"/>
    <hyperlink r:id="rId2581" ref="A2582"/>
    <hyperlink r:id="rId2582" ref="A2583"/>
    <hyperlink r:id="rId2583" ref="A2584"/>
    <hyperlink r:id="rId2584" ref="A2585"/>
    <hyperlink r:id="rId2585" ref="A2586"/>
    <hyperlink r:id="rId2586" ref="A2587"/>
    <hyperlink r:id="rId2587" ref="A2588"/>
    <hyperlink r:id="rId2588" ref="A2589"/>
    <hyperlink r:id="rId2589" ref="A2590"/>
    <hyperlink r:id="rId2590" ref="A2591"/>
    <hyperlink r:id="rId2591" ref="A2592"/>
    <hyperlink r:id="rId2592" ref="A2593"/>
    <hyperlink r:id="rId2593" ref="A2594"/>
    <hyperlink r:id="rId2594" ref="A2595"/>
    <hyperlink r:id="rId2595" ref="A2596"/>
    <hyperlink r:id="rId2596" ref="A2597"/>
    <hyperlink r:id="rId2597" ref="A2598"/>
    <hyperlink r:id="rId2598" ref="A2599"/>
    <hyperlink r:id="rId2599" ref="A2600"/>
    <hyperlink r:id="rId2600" ref="A2601"/>
    <hyperlink r:id="rId2601" ref="A2602"/>
    <hyperlink r:id="rId2602" ref="A2603"/>
    <hyperlink r:id="rId2603" ref="A2604"/>
    <hyperlink r:id="rId2604" ref="A2605"/>
    <hyperlink r:id="rId2605" ref="A2606"/>
    <hyperlink r:id="rId2606" ref="A2607"/>
    <hyperlink r:id="rId2607" ref="A2608"/>
    <hyperlink r:id="rId2608" ref="A2609"/>
    <hyperlink r:id="rId2609" ref="A2610"/>
    <hyperlink r:id="rId2610" ref="A2611"/>
    <hyperlink r:id="rId2611" ref="A2612"/>
    <hyperlink r:id="rId2612" ref="A2613"/>
    <hyperlink r:id="rId2613" ref="A2614"/>
    <hyperlink r:id="rId2614" ref="A2615"/>
    <hyperlink r:id="rId2615" ref="A2616"/>
    <hyperlink r:id="rId2616" ref="A2617"/>
    <hyperlink r:id="rId2617" ref="A2618"/>
    <hyperlink r:id="rId2618" ref="A2619"/>
    <hyperlink r:id="rId2619" ref="A2620"/>
    <hyperlink r:id="rId2620" ref="A2621"/>
    <hyperlink r:id="rId2621" ref="A2622"/>
    <hyperlink r:id="rId2622" ref="A2623"/>
    <hyperlink r:id="rId2623" ref="A2624"/>
    <hyperlink r:id="rId2624" ref="A2625"/>
    <hyperlink r:id="rId2625" ref="A2626"/>
    <hyperlink r:id="rId2626" ref="A2627"/>
    <hyperlink r:id="rId2627" ref="A2628"/>
    <hyperlink r:id="rId2628" ref="A2629"/>
    <hyperlink r:id="rId2629" ref="A2630"/>
    <hyperlink r:id="rId2630" ref="A2631"/>
    <hyperlink r:id="rId2631" ref="A2632"/>
    <hyperlink r:id="rId2632" ref="A2633"/>
    <hyperlink r:id="rId2633" ref="A2634"/>
    <hyperlink r:id="rId2634" ref="A2635"/>
    <hyperlink r:id="rId2635" ref="A2636"/>
    <hyperlink r:id="rId2636" ref="A2637"/>
    <hyperlink r:id="rId2637" ref="A2638"/>
    <hyperlink r:id="rId2638" ref="A2639"/>
    <hyperlink r:id="rId2639" ref="A2640"/>
    <hyperlink r:id="rId2640" ref="A2641"/>
    <hyperlink r:id="rId2641" ref="A2642"/>
    <hyperlink r:id="rId2642" ref="A2643"/>
    <hyperlink r:id="rId2643" ref="A2644"/>
    <hyperlink r:id="rId2644" ref="A2645"/>
    <hyperlink r:id="rId2645" ref="A2646"/>
    <hyperlink r:id="rId2646" ref="A2647"/>
    <hyperlink r:id="rId2647" ref="A2648"/>
    <hyperlink r:id="rId2648" ref="A2649"/>
    <hyperlink r:id="rId2649" ref="A2650"/>
    <hyperlink r:id="rId2650" ref="A2651"/>
    <hyperlink r:id="rId2651" ref="A2652"/>
    <hyperlink r:id="rId2652" ref="A2653"/>
    <hyperlink r:id="rId2653" ref="A2654"/>
    <hyperlink r:id="rId2654" ref="A2655"/>
    <hyperlink r:id="rId2655" ref="A2656"/>
    <hyperlink r:id="rId2656" ref="A2657"/>
    <hyperlink r:id="rId2657" ref="A2658"/>
    <hyperlink r:id="rId2658" ref="A2659"/>
    <hyperlink r:id="rId2659" ref="A2660"/>
    <hyperlink r:id="rId2660" ref="A2661"/>
    <hyperlink r:id="rId2661" ref="A2662"/>
    <hyperlink r:id="rId2662" ref="A2663"/>
    <hyperlink r:id="rId2663" ref="A2664"/>
    <hyperlink r:id="rId2664" ref="A2665"/>
    <hyperlink r:id="rId2665" ref="A2666"/>
    <hyperlink r:id="rId2666" ref="A2667"/>
    <hyperlink r:id="rId2667" ref="A2668"/>
    <hyperlink r:id="rId2668" ref="A2669"/>
    <hyperlink r:id="rId2669" ref="A2670"/>
    <hyperlink r:id="rId2670" ref="A2671"/>
    <hyperlink r:id="rId2671" ref="A2672"/>
    <hyperlink r:id="rId2672" ref="A2673"/>
    <hyperlink r:id="rId2673" ref="A2674"/>
    <hyperlink r:id="rId2674" ref="A2675"/>
    <hyperlink r:id="rId2675" ref="A2676"/>
    <hyperlink r:id="rId2676" ref="A2677"/>
    <hyperlink r:id="rId2677" ref="A2678"/>
    <hyperlink r:id="rId2678" ref="A2679"/>
    <hyperlink r:id="rId2679" ref="A2680"/>
    <hyperlink r:id="rId2680" ref="A2681"/>
    <hyperlink r:id="rId2681" ref="A2682"/>
    <hyperlink r:id="rId2682" ref="A2683"/>
    <hyperlink r:id="rId2683" ref="A2684"/>
    <hyperlink r:id="rId2684" ref="A2685"/>
    <hyperlink r:id="rId2685" ref="A2686"/>
    <hyperlink r:id="rId2686" ref="A2687"/>
    <hyperlink r:id="rId2687" ref="A2688"/>
    <hyperlink r:id="rId2688" ref="A2689"/>
    <hyperlink r:id="rId2689" ref="A2690"/>
    <hyperlink r:id="rId2690" ref="A2691"/>
    <hyperlink r:id="rId2691" ref="A2692"/>
    <hyperlink r:id="rId2692" ref="A2693"/>
    <hyperlink r:id="rId2693" ref="A2694"/>
    <hyperlink r:id="rId2694" ref="A2695"/>
    <hyperlink r:id="rId2695" ref="A2696"/>
    <hyperlink r:id="rId2696" ref="A2697"/>
    <hyperlink r:id="rId2697" ref="A2698"/>
    <hyperlink r:id="rId2698" ref="A2699"/>
    <hyperlink r:id="rId2699" ref="A2700"/>
    <hyperlink r:id="rId2700" ref="A2701"/>
    <hyperlink r:id="rId2701" ref="A2702"/>
    <hyperlink r:id="rId2702" ref="A2703"/>
    <hyperlink r:id="rId2703" ref="A2704"/>
    <hyperlink r:id="rId2704" ref="A2705"/>
    <hyperlink r:id="rId2705" ref="A2706"/>
    <hyperlink r:id="rId2706" ref="A2707"/>
    <hyperlink r:id="rId2707" ref="A2708"/>
    <hyperlink r:id="rId2708" ref="A2709"/>
    <hyperlink r:id="rId2709" ref="A2710"/>
    <hyperlink r:id="rId2710" ref="A2711"/>
    <hyperlink r:id="rId2711" ref="A2712"/>
    <hyperlink r:id="rId2712" ref="A2713"/>
    <hyperlink r:id="rId2713" ref="A2714"/>
    <hyperlink r:id="rId2714" ref="A2715"/>
    <hyperlink r:id="rId2715" ref="A2716"/>
    <hyperlink r:id="rId2716" ref="A2717"/>
    <hyperlink r:id="rId2717" ref="A2718"/>
    <hyperlink r:id="rId2718" ref="A2719"/>
    <hyperlink r:id="rId2719" ref="A2720"/>
    <hyperlink r:id="rId2720" ref="A2721"/>
    <hyperlink r:id="rId2721" ref="A2722"/>
    <hyperlink r:id="rId2722" ref="A2723"/>
    <hyperlink r:id="rId2723" ref="A2724"/>
    <hyperlink r:id="rId2724" ref="A2725"/>
    <hyperlink r:id="rId2725" ref="A2726"/>
    <hyperlink r:id="rId2726" ref="A2727"/>
    <hyperlink r:id="rId2727" ref="A2728"/>
    <hyperlink r:id="rId2728" ref="A2729"/>
    <hyperlink r:id="rId2729" ref="A2730"/>
    <hyperlink r:id="rId2730" ref="A2731"/>
    <hyperlink r:id="rId2731" ref="A2732"/>
    <hyperlink r:id="rId2732" ref="A2733"/>
    <hyperlink r:id="rId2733" ref="A2734"/>
    <hyperlink r:id="rId2734" ref="A2735"/>
    <hyperlink r:id="rId2735" ref="A2736"/>
    <hyperlink r:id="rId2736" ref="A2737"/>
    <hyperlink r:id="rId2737" ref="A2738"/>
    <hyperlink r:id="rId2738" ref="A2739"/>
    <hyperlink r:id="rId2739" ref="A2740"/>
    <hyperlink r:id="rId2740" ref="A2741"/>
    <hyperlink r:id="rId2741" ref="A2742"/>
    <hyperlink r:id="rId2742" ref="A2743"/>
    <hyperlink r:id="rId2743" ref="A2744"/>
    <hyperlink r:id="rId2744" ref="A2745"/>
    <hyperlink r:id="rId2745" ref="A2746"/>
    <hyperlink r:id="rId2746" ref="A2747"/>
    <hyperlink r:id="rId2747" ref="A2748"/>
    <hyperlink r:id="rId2748" ref="A2749"/>
    <hyperlink r:id="rId2749" ref="A2750"/>
    <hyperlink r:id="rId2750" ref="A2751"/>
    <hyperlink r:id="rId2751" ref="A2752"/>
    <hyperlink r:id="rId2752" ref="A2753"/>
    <hyperlink r:id="rId2753" ref="A2754"/>
    <hyperlink r:id="rId2754" ref="A2755"/>
    <hyperlink r:id="rId2755" ref="A2756"/>
    <hyperlink r:id="rId2756" ref="A2757"/>
    <hyperlink r:id="rId2757" ref="A2758"/>
    <hyperlink r:id="rId2758" ref="A2759"/>
    <hyperlink r:id="rId2759" ref="A2760"/>
    <hyperlink r:id="rId2760" ref="A2761"/>
    <hyperlink r:id="rId2761" ref="A2762"/>
    <hyperlink r:id="rId2762" ref="A2763"/>
    <hyperlink r:id="rId2763" ref="A2764"/>
    <hyperlink r:id="rId2764" ref="A2765"/>
    <hyperlink r:id="rId2765" ref="A2766"/>
    <hyperlink r:id="rId2766" ref="A2767"/>
    <hyperlink r:id="rId2767" ref="A2768"/>
    <hyperlink r:id="rId2768" ref="A2769"/>
    <hyperlink r:id="rId2769" ref="A2770"/>
    <hyperlink r:id="rId2770" ref="A2771"/>
    <hyperlink r:id="rId2771" ref="A2772"/>
    <hyperlink r:id="rId2772" ref="A2773"/>
    <hyperlink r:id="rId2773" ref="A2774"/>
    <hyperlink r:id="rId2774" ref="A2775"/>
    <hyperlink r:id="rId2775" ref="A2776"/>
    <hyperlink r:id="rId2776" ref="A2777"/>
    <hyperlink r:id="rId2777" ref="A2778"/>
    <hyperlink r:id="rId2778" ref="A2779"/>
    <hyperlink r:id="rId2779" ref="A2780"/>
    <hyperlink r:id="rId2780" ref="A2781"/>
    <hyperlink r:id="rId2781" ref="A2782"/>
    <hyperlink r:id="rId2782" ref="A2783"/>
    <hyperlink r:id="rId2783" ref="A2784"/>
    <hyperlink r:id="rId2784" ref="A2785"/>
    <hyperlink r:id="rId2785" ref="A2786"/>
    <hyperlink r:id="rId2786" ref="A2787"/>
    <hyperlink r:id="rId2787" ref="A2788"/>
    <hyperlink r:id="rId2788" ref="A2789"/>
    <hyperlink r:id="rId2789" ref="A2790"/>
    <hyperlink r:id="rId2790" ref="A2791"/>
    <hyperlink r:id="rId2791" ref="A2792"/>
    <hyperlink r:id="rId2792" ref="A2793"/>
    <hyperlink r:id="rId2793" ref="A2794"/>
    <hyperlink r:id="rId2794" ref="A2795"/>
    <hyperlink r:id="rId2795" ref="A2796"/>
    <hyperlink r:id="rId2796" ref="A2797"/>
    <hyperlink r:id="rId2797" ref="A2798"/>
    <hyperlink r:id="rId2798" ref="A2799"/>
    <hyperlink r:id="rId2799" ref="A2800"/>
    <hyperlink r:id="rId2800" ref="A2801"/>
    <hyperlink r:id="rId2801" ref="A2802"/>
    <hyperlink r:id="rId2802" ref="A2803"/>
    <hyperlink r:id="rId2803" ref="A2804"/>
    <hyperlink r:id="rId2804" ref="A2805"/>
    <hyperlink r:id="rId2805" ref="A2806"/>
    <hyperlink r:id="rId2806" ref="A2807"/>
    <hyperlink r:id="rId2807" ref="A2808"/>
    <hyperlink r:id="rId2808" ref="A2809"/>
    <hyperlink r:id="rId2809" ref="A2810"/>
    <hyperlink r:id="rId2810" ref="A2811"/>
    <hyperlink r:id="rId2811" ref="A2812"/>
    <hyperlink r:id="rId2812" ref="A2813"/>
    <hyperlink r:id="rId2813" ref="A2814"/>
    <hyperlink r:id="rId2814" ref="A2815"/>
    <hyperlink r:id="rId2815" ref="A2816"/>
    <hyperlink r:id="rId2816" ref="A2817"/>
    <hyperlink r:id="rId2817" ref="A2818"/>
    <hyperlink r:id="rId2818" ref="A2819"/>
    <hyperlink r:id="rId2819" ref="A2820"/>
    <hyperlink r:id="rId2820" ref="A2821"/>
    <hyperlink r:id="rId2821" ref="A2822"/>
    <hyperlink r:id="rId2822" ref="A2823"/>
    <hyperlink r:id="rId2823" ref="A2824"/>
    <hyperlink r:id="rId2824" ref="A2825"/>
    <hyperlink r:id="rId2825" ref="A2826"/>
    <hyperlink r:id="rId2826" ref="A2827"/>
    <hyperlink r:id="rId2827" ref="A2828"/>
    <hyperlink r:id="rId2828" ref="A2829"/>
    <hyperlink r:id="rId2829" ref="A2830"/>
    <hyperlink r:id="rId2830" ref="A2831"/>
    <hyperlink r:id="rId2831" ref="A2832"/>
    <hyperlink r:id="rId2832" ref="A2833"/>
    <hyperlink r:id="rId2833" ref="A2834"/>
    <hyperlink r:id="rId2834" ref="A2835"/>
    <hyperlink r:id="rId2835" ref="A2836"/>
    <hyperlink r:id="rId2836" ref="A2837"/>
    <hyperlink r:id="rId2837" ref="A2838"/>
    <hyperlink r:id="rId2838" ref="A2839"/>
    <hyperlink r:id="rId2839" ref="A2840"/>
    <hyperlink r:id="rId2840" ref="A2841"/>
    <hyperlink r:id="rId2841" ref="A2842"/>
    <hyperlink r:id="rId2842" ref="A2843"/>
    <hyperlink r:id="rId2843" ref="A2844"/>
    <hyperlink r:id="rId2844" ref="A2845"/>
    <hyperlink r:id="rId2845" ref="A2846"/>
    <hyperlink r:id="rId2846" ref="A2847"/>
    <hyperlink r:id="rId2847" ref="A2848"/>
    <hyperlink r:id="rId2848" ref="A2849"/>
    <hyperlink r:id="rId2849" ref="A2850"/>
    <hyperlink r:id="rId2850" ref="A2851"/>
    <hyperlink r:id="rId2851" ref="A2852"/>
    <hyperlink r:id="rId2852" ref="A2853"/>
    <hyperlink r:id="rId2853" ref="A2854"/>
    <hyperlink r:id="rId2854" ref="A2855"/>
    <hyperlink r:id="rId2855" ref="A2856"/>
    <hyperlink r:id="rId2856" ref="A2857"/>
    <hyperlink r:id="rId2857" ref="A2858"/>
    <hyperlink r:id="rId2858" ref="A2859"/>
    <hyperlink r:id="rId2859" ref="A2860"/>
    <hyperlink r:id="rId2860" ref="A2861"/>
    <hyperlink r:id="rId2861" ref="A2862"/>
    <hyperlink r:id="rId2862" ref="A2863"/>
    <hyperlink r:id="rId2863" ref="A2864"/>
    <hyperlink r:id="rId2864" ref="A2865"/>
    <hyperlink r:id="rId2865" ref="A2866"/>
    <hyperlink r:id="rId2866" ref="A2867"/>
    <hyperlink r:id="rId2867" ref="A2868"/>
    <hyperlink r:id="rId2868" ref="A2869"/>
    <hyperlink r:id="rId2869" ref="A2870"/>
    <hyperlink r:id="rId2870" ref="A2871"/>
    <hyperlink r:id="rId2871" ref="A2872"/>
    <hyperlink r:id="rId2872" ref="A2873"/>
    <hyperlink r:id="rId2873" ref="A2874"/>
    <hyperlink r:id="rId2874" ref="A2875"/>
    <hyperlink r:id="rId2875" ref="A2876"/>
    <hyperlink r:id="rId2876" ref="A2877"/>
    <hyperlink r:id="rId2877" ref="A2878"/>
    <hyperlink r:id="rId2878" ref="A2879"/>
    <hyperlink r:id="rId2879" ref="A2880"/>
    <hyperlink r:id="rId2880" ref="A2881"/>
    <hyperlink r:id="rId2881" ref="A2882"/>
    <hyperlink r:id="rId2882" ref="A2883"/>
    <hyperlink r:id="rId2883" ref="A2884"/>
    <hyperlink r:id="rId2884" ref="A2885"/>
    <hyperlink r:id="rId2885" ref="A2886"/>
    <hyperlink r:id="rId2886" ref="A2887"/>
    <hyperlink r:id="rId2887" ref="A2888"/>
    <hyperlink r:id="rId2888" ref="A2889"/>
    <hyperlink r:id="rId2889" ref="A2890"/>
    <hyperlink r:id="rId2890" ref="A2891"/>
    <hyperlink r:id="rId2891" ref="A2892"/>
    <hyperlink r:id="rId2892" ref="A2893"/>
    <hyperlink r:id="rId2893" ref="A2894"/>
    <hyperlink r:id="rId2894" ref="A2895"/>
    <hyperlink r:id="rId2895" ref="A2896"/>
    <hyperlink r:id="rId2896" ref="A2897"/>
    <hyperlink r:id="rId2897" ref="A2898"/>
    <hyperlink r:id="rId2898" ref="A2899"/>
    <hyperlink r:id="rId2899" ref="A2900"/>
    <hyperlink r:id="rId2900" ref="A2901"/>
    <hyperlink r:id="rId2901" ref="A2902"/>
    <hyperlink r:id="rId2902" ref="A2903"/>
    <hyperlink r:id="rId2903" ref="A2904"/>
    <hyperlink r:id="rId2904" ref="A2905"/>
    <hyperlink r:id="rId2905" ref="A2906"/>
    <hyperlink r:id="rId2906" ref="A2907"/>
    <hyperlink r:id="rId2907" ref="A2908"/>
    <hyperlink r:id="rId2908" ref="A2909"/>
    <hyperlink r:id="rId2909" ref="A2910"/>
    <hyperlink r:id="rId2910" ref="A2911"/>
    <hyperlink r:id="rId2911" ref="A2912"/>
    <hyperlink r:id="rId2912" ref="A2913"/>
    <hyperlink r:id="rId2913" ref="A2914"/>
    <hyperlink r:id="rId2914" ref="A2915"/>
    <hyperlink r:id="rId2915" ref="A2916"/>
    <hyperlink r:id="rId2916" ref="A2917"/>
    <hyperlink r:id="rId2917" ref="A2918"/>
    <hyperlink r:id="rId2918" ref="A2919"/>
    <hyperlink r:id="rId2919" ref="A2920"/>
    <hyperlink r:id="rId2920" ref="A2921"/>
    <hyperlink r:id="rId2921" ref="A2922"/>
    <hyperlink r:id="rId2922" ref="A2923"/>
    <hyperlink r:id="rId2923" ref="A2924"/>
    <hyperlink r:id="rId2924" ref="A2925"/>
    <hyperlink r:id="rId2925" ref="A2926"/>
    <hyperlink r:id="rId2926" ref="A2927"/>
    <hyperlink r:id="rId2927" ref="A2928"/>
    <hyperlink r:id="rId2928" ref="A2929"/>
    <hyperlink r:id="rId2929" ref="A2930"/>
    <hyperlink r:id="rId2930" ref="A2931"/>
    <hyperlink r:id="rId2931" ref="A2932"/>
    <hyperlink r:id="rId2932" ref="A2933"/>
    <hyperlink r:id="rId2933" ref="A2934"/>
    <hyperlink r:id="rId2934" ref="A2935"/>
    <hyperlink r:id="rId2935" ref="A2936"/>
    <hyperlink r:id="rId2936" ref="A2937"/>
    <hyperlink r:id="rId2937" ref="A2938"/>
    <hyperlink r:id="rId2938" ref="A2939"/>
    <hyperlink r:id="rId2939" ref="A2940"/>
    <hyperlink r:id="rId2940" ref="A2941"/>
    <hyperlink r:id="rId2941" ref="A2942"/>
    <hyperlink r:id="rId2942" ref="A2943"/>
    <hyperlink r:id="rId2943" ref="A2944"/>
    <hyperlink r:id="rId2944" ref="A2945"/>
    <hyperlink r:id="rId2945" ref="A2946"/>
    <hyperlink r:id="rId2946" ref="A2947"/>
    <hyperlink r:id="rId2947" ref="A2948"/>
    <hyperlink r:id="rId2948" ref="A2949"/>
    <hyperlink r:id="rId2949" ref="A2950"/>
    <hyperlink r:id="rId2950" ref="A2951"/>
    <hyperlink r:id="rId2951" ref="A2952"/>
    <hyperlink r:id="rId2952" ref="A2953"/>
    <hyperlink r:id="rId2953" ref="A2954"/>
    <hyperlink r:id="rId2954" ref="A2955"/>
    <hyperlink r:id="rId2955" ref="A2956"/>
    <hyperlink r:id="rId2956" ref="A2957"/>
    <hyperlink r:id="rId2957" ref="A2958"/>
    <hyperlink r:id="rId2958" ref="A2959"/>
    <hyperlink r:id="rId2959" ref="A2960"/>
    <hyperlink r:id="rId2960" ref="A2961"/>
    <hyperlink r:id="rId2961" ref="A2962"/>
    <hyperlink r:id="rId2962" ref="A2963"/>
    <hyperlink r:id="rId2963" ref="A2964"/>
    <hyperlink r:id="rId2964" ref="A2965"/>
    <hyperlink r:id="rId2965" ref="A2966"/>
    <hyperlink r:id="rId2966" ref="A2967"/>
    <hyperlink r:id="rId2967" ref="A2968"/>
    <hyperlink r:id="rId2968" ref="A2969"/>
    <hyperlink r:id="rId2969" ref="A2970"/>
    <hyperlink r:id="rId2970" ref="A2971"/>
    <hyperlink r:id="rId2971" ref="A2972"/>
    <hyperlink r:id="rId2972" ref="A2973"/>
    <hyperlink r:id="rId2973" ref="A2974"/>
    <hyperlink r:id="rId2974" ref="A2975"/>
    <hyperlink r:id="rId2975" ref="A2976"/>
    <hyperlink r:id="rId2976" ref="A2977"/>
    <hyperlink r:id="rId2977" ref="A2978"/>
    <hyperlink r:id="rId2978" ref="A2979"/>
    <hyperlink r:id="rId2979" ref="A2980"/>
    <hyperlink r:id="rId2980" ref="A2981"/>
    <hyperlink r:id="rId2981" ref="A2982"/>
    <hyperlink r:id="rId2982" ref="A2983"/>
    <hyperlink r:id="rId2983" ref="A2984"/>
    <hyperlink r:id="rId2984" ref="A2985"/>
    <hyperlink r:id="rId2985" ref="A2986"/>
    <hyperlink r:id="rId2986" ref="A2987"/>
    <hyperlink r:id="rId2987" ref="A2988"/>
    <hyperlink r:id="rId2988" ref="A2989"/>
    <hyperlink r:id="rId2989" ref="A2990"/>
    <hyperlink r:id="rId2990" ref="A2991"/>
    <hyperlink r:id="rId2991" ref="A2992"/>
    <hyperlink r:id="rId2992" ref="A2993"/>
    <hyperlink r:id="rId2993" ref="A2994"/>
    <hyperlink r:id="rId2994" ref="A2995"/>
    <hyperlink r:id="rId2995" ref="A2996"/>
    <hyperlink r:id="rId2996" ref="A2997"/>
    <hyperlink r:id="rId2997" ref="A2998"/>
    <hyperlink r:id="rId2998" ref="A2999"/>
    <hyperlink r:id="rId2999" ref="A3000"/>
    <hyperlink r:id="rId3000" ref="A3001"/>
    <hyperlink r:id="rId3001" ref="A3002"/>
    <hyperlink r:id="rId3002" ref="A3003"/>
    <hyperlink r:id="rId3003" ref="A3004"/>
    <hyperlink r:id="rId3004" ref="A3005"/>
    <hyperlink r:id="rId3005" ref="A3006"/>
    <hyperlink r:id="rId3006" ref="A3007"/>
    <hyperlink r:id="rId3007" ref="A3008"/>
    <hyperlink r:id="rId3008" ref="A3009"/>
    <hyperlink r:id="rId3009" ref="A3010"/>
    <hyperlink r:id="rId3010" ref="A3011"/>
    <hyperlink r:id="rId3011" ref="A3012"/>
    <hyperlink r:id="rId3012" ref="A3013"/>
    <hyperlink r:id="rId3013" ref="A3014"/>
    <hyperlink r:id="rId3014" ref="A3015"/>
    <hyperlink r:id="rId3015" ref="A3016"/>
    <hyperlink r:id="rId3016" ref="A3017"/>
    <hyperlink r:id="rId3017" ref="A3018"/>
    <hyperlink r:id="rId3018" ref="A3019"/>
    <hyperlink r:id="rId3019" ref="A3020"/>
    <hyperlink r:id="rId3020" ref="A3021"/>
    <hyperlink r:id="rId3021" ref="A3022"/>
    <hyperlink r:id="rId3022" ref="A3023"/>
    <hyperlink r:id="rId3023" ref="A3024"/>
    <hyperlink r:id="rId3024" ref="A3025"/>
    <hyperlink r:id="rId3025" ref="A3026"/>
    <hyperlink r:id="rId3026" ref="A3027"/>
    <hyperlink r:id="rId3027" ref="A3028"/>
    <hyperlink r:id="rId3028" ref="A3029"/>
    <hyperlink r:id="rId3029" ref="A3030"/>
    <hyperlink r:id="rId3030" ref="A3031"/>
    <hyperlink r:id="rId3031" ref="A3032"/>
    <hyperlink r:id="rId3032" ref="A3033"/>
    <hyperlink r:id="rId3033" ref="A3034"/>
    <hyperlink r:id="rId3034" ref="A3035"/>
    <hyperlink r:id="rId3035" ref="A3036"/>
    <hyperlink r:id="rId3036" ref="A3037"/>
    <hyperlink r:id="rId3037" ref="A3038"/>
    <hyperlink r:id="rId3038" ref="A3039"/>
    <hyperlink r:id="rId3039" ref="A3040"/>
    <hyperlink r:id="rId3040" ref="A3041"/>
    <hyperlink r:id="rId3041" ref="A3042"/>
    <hyperlink r:id="rId3042" ref="A3043"/>
    <hyperlink r:id="rId3043" ref="A3044"/>
    <hyperlink r:id="rId3044" ref="A3045"/>
    <hyperlink r:id="rId3045" ref="A3046"/>
    <hyperlink r:id="rId3046" ref="A3047"/>
    <hyperlink r:id="rId3047" ref="A3048"/>
    <hyperlink r:id="rId3048" ref="A3049"/>
    <hyperlink r:id="rId3049" ref="A3050"/>
    <hyperlink r:id="rId3050" ref="A3051"/>
    <hyperlink r:id="rId3051" ref="A3052"/>
    <hyperlink r:id="rId3052" ref="A3053"/>
    <hyperlink r:id="rId3053" ref="A3054"/>
    <hyperlink r:id="rId3054" ref="A3055"/>
    <hyperlink r:id="rId3055" ref="A3056"/>
    <hyperlink r:id="rId3056" ref="A3057"/>
    <hyperlink r:id="rId3057" ref="A3058"/>
    <hyperlink r:id="rId3058" ref="A3059"/>
    <hyperlink r:id="rId3059" ref="A3060"/>
    <hyperlink r:id="rId3060" ref="A3061"/>
    <hyperlink r:id="rId3061" ref="A3062"/>
    <hyperlink r:id="rId3062" ref="A3063"/>
    <hyperlink r:id="rId3063" ref="A3064"/>
    <hyperlink r:id="rId3064" ref="A3065"/>
    <hyperlink r:id="rId3065" ref="A3066"/>
    <hyperlink r:id="rId3066" ref="A3067"/>
    <hyperlink r:id="rId3067" ref="A3068"/>
    <hyperlink r:id="rId3068" ref="A3069"/>
    <hyperlink r:id="rId3069" ref="A3070"/>
    <hyperlink r:id="rId3070" ref="A3071"/>
    <hyperlink r:id="rId3071" ref="A3072"/>
    <hyperlink r:id="rId3072" ref="A3073"/>
    <hyperlink r:id="rId3073" ref="A3074"/>
    <hyperlink r:id="rId3074" ref="A3075"/>
    <hyperlink r:id="rId3075" ref="A3076"/>
    <hyperlink r:id="rId3076" ref="A3077"/>
    <hyperlink r:id="rId3077" ref="A3078"/>
    <hyperlink r:id="rId3078" ref="A3079"/>
    <hyperlink r:id="rId3079" ref="A3080"/>
    <hyperlink r:id="rId3080" ref="A3081"/>
    <hyperlink r:id="rId3081" ref="A3082"/>
    <hyperlink r:id="rId3082" ref="A3083"/>
    <hyperlink r:id="rId3083" ref="A3084"/>
    <hyperlink r:id="rId3084" ref="A3085"/>
    <hyperlink r:id="rId3085" ref="A3086"/>
    <hyperlink r:id="rId3086" ref="A3087"/>
    <hyperlink r:id="rId3087" ref="A3088"/>
    <hyperlink r:id="rId3088" ref="A3089"/>
    <hyperlink r:id="rId3089" ref="A3090"/>
    <hyperlink r:id="rId3090" ref="A3091"/>
    <hyperlink r:id="rId3091" ref="A3092"/>
    <hyperlink r:id="rId3092" ref="A3093"/>
    <hyperlink r:id="rId3093" ref="A3094"/>
    <hyperlink r:id="rId3094" ref="A3095"/>
    <hyperlink r:id="rId3095" ref="A3096"/>
    <hyperlink r:id="rId3096" ref="A3097"/>
    <hyperlink r:id="rId3097" ref="A3098"/>
    <hyperlink r:id="rId3098" ref="A3099"/>
    <hyperlink r:id="rId3099" ref="A3100"/>
    <hyperlink r:id="rId3100" ref="A3101"/>
    <hyperlink r:id="rId3101" ref="A3102"/>
    <hyperlink r:id="rId3102" ref="A3103"/>
    <hyperlink r:id="rId3103" ref="A3104"/>
    <hyperlink r:id="rId3104" ref="A3105"/>
    <hyperlink r:id="rId3105" ref="A3106"/>
    <hyperlink r:id="rId3106" ref="A3107"/>
    <hyperlink r:id="rId3107" ref="A3108"/>
    <hyperlink r:id="rId3108" ref="A3109"/>
    <hyperlink r:id="rId3109" ref="A3110"/>
    <hyperlink r:id="rId3110" ref="A3111"/>
    <hyperlink r:id="rId3111" ref="A3112"/>
    <hyperlink r:id="rId3112" ref="A3113"/>
    <hyperlink r:id="rId3113" ref="A3114"/>
    <hyperlink r:id="rId3114" ref="A3115"/>
    <hyperlink r:id="rId3115" ref="A3116"/>
    <hyperlink r:id="rId3116" ref="A3117"/>
    <hyperlink r:id="rId3117" ref="A3118"/>
    <hyperlink r:id="rId3118" ref="A3119"/>
    <hyperlink r:id="rId3119" ref="A3120"/>
    <hyperlink r:id="rId3120" ref="A3121"/>
    <hyperlink r:id="rId3121" ref="A3122"/>
    <hyperlink r:id="rId3122" ref="A3123"/>
    <hyperlink r:id="rId3123" ref="A3124"/>
    <hyperlink r:id="rId3124" ref="A3125"/>
    <hyperlink r:id="rId3125" ref="A3126"/>
    <hyperlink r:id="rId3126" ref="A3127"/>
    <hyperlink r:id="rId3127" ref="A3128"/>
    <hyperlink r:id="rId3128" ref="A3129"/>
    <hyperlink r:id="rId3129" ref="A3130"/>
    <hyperlink r:id="rId3130" ref="A3131"/>
    <hyperlink r:id="rId3131" ref="A3132"/>
    <hyperlink r:id="rId3132" ref="A3133"/>
    <hyperlink r:id="rId3133" ref="A3134"/>
    <hyperlink r:id="rId3134" ref="A3135"/>
    <hyperlink r:id="rId3135" ref="A3136"/>
    <hyperlink r:id="rId3136" ref="A3137"/>
    <hyperlink r:id="rId3137" ref="A3138"/>
    <hyperlink r:id="rId3138" ref="A3139"/>
    <hyperlink r:id="rId3139" ref="A3140"/>
    <hyperlink r:id="rId3140" ref="A3141"/>
    <hyperlink r:id="rId3141" ref="A3142"/>
    <hyperlink r:id="rId3142" ref="A3143"/>
    <hyperlink r:id="rId3143" ref="A3144"/>
    <hyperlink r:id="rId3144" ref="A3145"/>
    <hyperlink r:id="rId3145" ref="A3146"/>
    <hyperlink r:id="rId3146" ref="A3147"/>
    <hyperlink r:id="rId3147" ref="A3148"/>
    <hyperlink r:id="rId3148" ref="A3149"/>
    <hyperlink r:id="rId3149" ref="A3150"/>
    <hyperlink r:id="rId3150" ref="A3151"/>
    <hyperlink r:id="rId3151" ref="A3152"/>
    <hyperlink r:id="rId3152" ref="A3153"/>
    <hyperlink r:id="rId3153" ref="A3154"/>
    <hyperlink r:id="rId3154" ref="A3155"/>
    <hyperlink r:id="rId3155" ref="A3156"/>
    <hyperlink r:id="rId3156" ref="A3157"/>
    <hyperlink r:id="rId3157" ref="A3158"/>
    <hyperlink r:id="rId3158" ref="A3159"/>
    <hyperlink r:id="rId3159" ref="A3160"/>
    <hyperlink r:id="rId3160" ref="A3161"/>
    <hyperlink r:id="rId3161" ref="A3162"/>
    <hyperlink r:id="rId3162" ref="A3163"/>
    <hyperlink r:id="rId3163" ref="A3164"/>
    <hyperlink r:id="rId3164" ref="A3165"/>
    <hyperlink r:id="rId3165" ref="A3166"/>
    <hyperlink r:id="rId3166" ref="A3167"/>
    <hyperlink r:id="rId3167" ref="A3168"/>
    <hyperlink r:id="rId3168" ref="A3169"/>
    <hyperlink r:id="rId3169" ref="A3170"/>
    <hyperlink r:id="rId3170" ref="A3171"/>
    <hyperlink r:id="rId3171" ref="A3172"/>
    <hyperlink r:id="rId3172" ref="A3173"/>
    <hyperlink r:id="rId3173" ref="A3174"/>
    <hyperlink r:id="rId3174" ref="A3175"/>
    <hyperlink r:id="rId3175" ref="A3176"/>
    <hyperlink r:id="rId3176" ref="A3177"/>
    <hyperlink r:id="rId3177" ref="A3178"/>
    <hyperlink r:id="rId3178" ref="A3179"/>
    <hyperlink r:id="rId3179" ref="A3180"/>
    <hyperlink r:id="rId3180" ref="A3181"/>
    <hyperlink r:id="rId3181" ref="A3182"/>
    <hyperlink r:id="rId3182" ref="A3183"/>
    <hyperlink r:id="rId3183" ref="A3184"/>
    <hyperlink r:id="rId3184" ref="A3185"/>
    <hyperlink r:id="rId3185" ref="A3186"/>
    <hyperlink r:id="rId3186" ref="A3187"/>
    <hyperlink r:id="rId3187" ref="A3188"/>
    <hyperlink r:id="rId3188" ref="A3189"/>
    <hyperlink r:id="rId3189" ref="A3190"/>
    <hyperlink r:id="rId3190" ref="A3191"/>
    <hyperlink r:id="rId3191" ref="A3192"/>
    <hyperlink r:id="rId3192" ref="A3193"/>
    <hyperlink r:id="rId3193" ref="A3194"/>
    <hyperlink r:id="rId3194" ref="A3195"/>
    <hyperlink r:id="rId3195" ref="A3196"/>
    <hyperlink r:id="rId3196" ref="A3197"/>
    <hyperlink r:id="rId3197" ref="A3198"/>
    <hyperlink r:id="rId3198" ref="A3199"/>
    <hyperlink r:id="rId3199" ref="A3200"/>
    <hyperlink r:id="rId3200" ref="A3201"/>
    <hyperlink r:id="rId3201" ref="A3202"/>
    <hyperlink r:id="rId3202" ref="A3203"/>
    <hyperlink r:id="rId3203" ref="A3204"/>
    <hyperlink r:id="rId3204" ref="A3205"/>
    <hyperlink r:id="rId3205" ref="A3206"/>
    <hyperlink r:id="rId3206" ref="A3207"/>
    <hyperlink r:id="rId3207" ref="A3208"/>
    <hyperlink r:id="rId3208" ref="A3209"/>
    <hyperlink r:id="rId3209" ref="A3210"/>
    <hyperlink r:id="rId3210" ref="A3211"/>
    <hyperlink r:id="rId3211" ref="A3212"/>
    <hyperlink r:id="rId3212" ref="A3213"/>
    <hyperlink r:id="rId3213" ref="A3214"/>
    <hyperlink r:id="rId3214" ref="A3215"/>
    <hyperlink r:id="rId3215" ref="A3216"/>
    <hyperlink r:id="rId3216" ref="A3217"/>
    <hyperlink r:id="rId3217" ref="A3218"/>
    <hyperlink r:id="rId3218" ref="A3219"/>
    <hyperlink r:id="rId3219" ref="A3220"/>
    <hyperlink r:id="rId3220" ref="A3221"/>
    <hyperlink r:id="rId3221" ref="A3222"/>
    <hyperlink r:id="rId3222" ref="A3223"/>
    <hyperlink r:id="rId3223" ref="A3224"/>
    <hyperlink r:id="rId3224" ref="A3225"/>
    <hyperlink r:id="rId3225" ref="A3226"/>
    <hyperlink r:id="rId3226" ref="A3227"/>
    <hyperlink r:id="rId3227" ref="A3228"/>
    <hyperlink r:id="rId3228" ref="A3229"/>
    <hyperlink r:id="rId3229" ref="A3230"/>
    <hyperlink r:id="rId3230" ref="A3231"/>
    <hyperlink r:id="rId3231" ref="A3232"/>
    <hyperlink r:id="rId3232" ref="A3233"/>
    <hyperlink r:id="rId3233" ref="A3234"/>
    <hyperlink r:id="rId3234" ref="A3235"/>
    <hyperlink r:id="rId3235" ref="A3236"/>
    <hyperlink r:id="rId3236" ref="A3237"/>
    <hyperlink r:id="rId3237" ref="A3238"/>
    <hyperlink r:id="rId3238" ref="A3239"/>
    <hyperlink r:id="rId3239" ref="A3240"/>
    <hyperlink r:id="rId3240" ref="A3241"/>
    <hyperlink r:id="rId3241" ref="A3242"/>
    <hyperlink r:id="rId3242" ref="A3243"/>
    <hyperlink r:id="rId3243" ref="A3244"/>
    <hyperlink r:id="rId3244" ref="A3245"/>
    <hyperlink r:id="rId3245" ref="A3246"/>
    <hyperlink r:id="rId3246" ref="A3247"/>
    <hyperlink r:id="rId3247" ref="A3248"/>
    <hyperlink r:id="rId3248" ref="A3249"/>
    <hyperlink r:id="rId3249" ref="A3250"/>
    <hyperlink r:id="rId3250" ref="A3251"/>
    <hyperlink r:id="rId3251" ref="A3252"/>
    <hyperlink r:id="rId3252" ref="A3253"/>
    <hyperlink r:id="rId3253" ref="A3254"/>
    <hyperlink r:id="rId3254" ref="A3255"/>
    <hyperlink r:id="rId3255" ref="A3256"/>
    <hyperlink r:id="rId3256" ref="A3257"/>
    <hyperlink r:id="rId3257" ref="A3258"/>
    <hyperlink r:id="rId3258" ref="A3259"/>
    <hyperlink r:id="rId3259" ref="A3260"/>
    <hyperlink r:id="rId3260" ref="A3261"/>
    <hyperlink r:id="rId3261" ref="A3262"/>
    <hyperlink r:id="rId3262" ref="A3263"/>
    <hyperlink r:id="rId3263" ref="A3264"/>
    <hyperlink r:id="rId3264" ref="A3265"/>
    <hyperlink r:id="rId3265" ref="A3266"/>
    <hyperlink r:id="rId3266" ref="A3267"/>
    <hyperlink r:id="rId3267" ref="A3268"/>
    <hyperlink r:id="rId3268" ref="A3269"/>
    <hyperlink r:id="rId3269" ref="A3270"/>
    <hyperlink r:id="rId3270" ref="A3271"/>
    <hyperlink r:id="rId3271" ref="A3272"/>
    <hyperlink r:id="rId3272" ref="A3273"/>
    <hyperlink r:id="rId3273" ref="A3274"/>
    <hyperlink r:id="rId3274" ref="A3275"/>
    <hyperlink r:id="rId3275" ref="A3276"/>
    <hyperlink r:id="rId3276" ref="A3277"/>
    <hyperlink r:id="rId3277" ref="A3278"/>
    <hyperlink r:id="rId3278" ref="A3279"/>
    <hyperlink r:id="rId3279" ref="A3280"/>
    <hyperlink r:id="rId3280" ref="A3281"/>
    <hyperlink r:id="rId3281" ref="A3282"/>
    <hyperlink r:id="rId3282" ref="A3283"/>
    <hyperlink r:id="rId3283" ref="A3284"/>
    <hyperlink r:id="rId3284" ref="A3285"/>
    <hyperlink r:id="rId3285" ref="A3286"/>
    <hyperlink r:id="rId3286" ref="A3287"/>
    <hyperlink r:id="rId3287" ref="A3288"/>
    <hyperlink r:id="rId3288" ref="A3289"/>
    <hyperlink r:id="rId3289" ref="A3290"/>
    <hyperlink r:id="rId3290" ref="A3291"/>
    <hyperlink r:id="rId3291" ref="A3292"/>
    <hyperlink r:id="rId3292" ref="A3293"/>
    <hyperlink r:id="rId3293" ref="A3294"/>
    <hyperlink r:id="rId3294" ref="A3295"/>
    <hyperlink r:id="rId3295" ref="A3296"/>
    <hyperlink r:id="rId3296" ref="A3297"/>
    <hyperlink r:id="rId3297" ref="A3298"/>
    <hyperlink r:id="rId3298" ref="A3299"/>
    <hyperlink r:id="rId3299" ref="A3300"/>
    <hyperlink r:id="rId3300" ref="A3301"/>
    <hyperlink r:id="rId3301" ref="A3302"/>
    <hyperlink r:id="rId3302" ref="A3303"/>
    <hyperlink r:id="rId3303" ref="A3304"/>
    <hyperlink r:id="rId3304" ref="A3305"/>
    <hyperlink r:id="rId3305" ref="A3306"/>
    <hyperlink r:id="rId3306" ref="A3307"/>
    <hyperlink r:id="rId3307" ref="A3308"/>
    <hyperlink r:id="rId3308" ref="A3309"/>
    <hyperlink r:id="rId3309" ref="A3310"/>
    <hyperlink r:id="rId3310" ref="A3311"/>
    <hyperlink r:id="rId3311" ref="A3312"/>
    <hyperlink r:id="rId3312" ref="A3313"/>
    <hyperlink r:id="rId3313" ref="A3314"/>
    <hyperlink r:id="rId3314" ref="A3315"/>
    <hyperlink r:id="rId3315" ref="A3316"/>
    <hyperlink r:id="rId3316" ref="A3317"/>
    <hyperlink r:id="rId3317" ref="A3318"/>
    <hyperlink r:id="rId3318" ref="A3319"/>
    <hyperlink r:id="rId3319" ref="A3320"/>
    <hyperlink r:id="rId3320" ref="A3321"/>
    <hyperlink r:id="rId3321" ref="A3322"/>
    <hyperlink r:id="rId3322" ref="A3323"/>
    <hyperlink r:id="rId3323" ref="A3324"/>
    <hyperlink r:id="rId3324" ref="A3325"/>
    <hyperlink r:id="rId3325" ref="A3326"/>
    <hyperlink r:id="rId3326" ref="A3327"/>
    <hyperlink r:id="rId3327" ref="A3328"/>
    <hyperlink r:id="rId3328" ref="A3329"/>
    <hyperlink r:id="rId3329" ref="A3330"/>
    <hyperlink r:id="rId3330" ref="A3331"/>
    <hyperlink r:id="rId3331" ref="A3332"/>
    <hyperlink r:id="rId3332" ref="A3333"/>
    <hyperlink r:id="rId3333" ref="A3334"/>
    <hyperlink r:id="rId3334" ref="A3335"/>
    <hyperlink r:id="rId3335" ref="A3336"/>
    <hyperlink r:id="rId3336" ref="A3337"/>
    <hyperlink r:id="rId3337" ref="A3338"/>
    <hyperlink r:id="rId3338" ref="A3339"/>
    <hyperlink r:id="rId3339" ref="A3340"/>
    <hyperlink r:id="rId3340" ref="A3341"/>
    <hyperlink r:id="rId3341" ref="A3342"/>
    <hyperlink r:id="rId3342" ref="A3343"/>
    <hyperlink r:id="rId3343" ref="A3344"/>
    <hyperlink r:id="rId3344" ref="A3345"/>
    <hyperlink r:id="rId3345" ref="A3346"/>
    <hyperlink r:id="rId3346" ref="A3347"/>
    <hyperlink r:id="rId3347" ref="A3348"/>
    <hyperlink r:id="rId3348" ref="A3349"/>
    <hyperlink r:id="rId3349" ref="A3350"/>
    <hyperlink r:id="rId3350" ref="A3351"/>
    <hyperlink r:id="rId3351" ref="A3352"/>
    <hyperlink r:id="rId3352" ref="A3353"/>
    <hyperlink r:id="rId3353" ref="A3354"/>
    <hyperlink r:id="rId3354" ref="A3355"/>
    <hyperlink r:id="rId3355" ref="A3356"/>
    <hyperlink r:id="rId3356" ref="A3357"/>
    <hyperlink r:id="rId3357" ref="A3358"/>
    <hyperlink r:id="rId3358" ref="A3359"/>
    <hyperlink r:id="rId3359" ref="A3360"/>
    <hyperlink r:id="rId3360" ref="A3361"/>
    <hyperlink r:id="rId3361" ref="A3362"/>
    <hyperlink r:id="rId3362" ref="A3363"/>
    <hyperlink r:id="rId3363" ref="A3364"/>
    <hyperlink r:id="rId3364" ref="A3365"/>
    <hyperlink r:id="rId3365" ref="A3366"/>
    <hyperlink r:id="rId3366" ref="A3367"/>
    <hyperlink r:id="rId3367" ref="A3368"/>
    <hyperlink r:id="rId3368" ref="A3369"/>
    <hyperlink r:id="rId3369" ref="A3370"/>
    <hyperlink r:id="rId3370" ref="A3371"/>
    <hyperlink r:id="rId3371" ref="A3372"/>
    <hyperlink r:id="rId3372" ref="A3373"/>
    <hyperlink r:id="rId3373" ref="A3374"/>
    <hyperlink r:id="rId3374" ref="A3375"/>
    <hyperlink r:id="rId3375" ref="A3376"/>
    <hyperlink r:id="rId3376" ref="A3377"/>
    <hyperlink r:id="rId3377" ref="A3378"/>
    <hyperlink r:id="rId3378" ref="A3379"/>
    <hyperlink r:id="rId3379" ref="A3380"/>
    <hyperlink r:id="rId3380" ref="A3381"/>
    <hyperlink r:id="rId3381" ref="A3382"/>
    <hyperlink r:id="rId3382" ref="A3383"/>
    <hyperlink r:id="rId3383" ref="A3384"/>
    <hyperlink r:id="rId3384" ref="A3385"/>
    <hyperlink r:id="rId3385" ref="A3386"/>
    <hyperlink r:id="rId3386" ref="A3387"/>
    <hyperlink r:id="rId3387" ref="A3388"/>
    <hyperlink r:id="rId3388" ref="A3389"/>
    <hyperlink r:id="rId3389" ref="A3390"/>
    <hyperlink r:id="rId3390" ref="A3391"/>
    <hyperlink r:id="rId3391" ref="A3392"/>
    <hyperlink r:id="rId3392" ref="A3393"/>
    <hyperlink r:id="rId3393" ref="A3394"/>
    <hyperlink r:id="rId3394" ref="A3395"/>
    <hyperlink r:id="rId3395" ref="A3396"/>
    <hyperlink r:id="rId3396" ref="A3397"/>
    <hyperlink r:id="rId3397" ref="A3398"/>
    <hyperlink r:id="rId3398" ref="A3399"/>
    <hyperlink r:id="rId3399" ref="A3400"/>
    <hyperlink r:id="rId3400" ref="A3401"/>
    <hyperlink r:id="rId3401" ref="A3402"/>
    <hyperlink r:id="rId3402" ref="A3403"/>
    <hyperlink r:id="rId3403" ref="A3404"/>
    <hyperlink r:id="rId3404" ref="A3405"/>
    <hyperlink r:id="rId3405" ref="A3406"/>
    <hyperlink r:id="rId3406" ref="A3407"/>
    <hyperlink r:id="rId3407" ref="A3408"/>
    <hyperlink r:id="rId3408" ref="A3409"/>
    <hyperlink r:id="rId3409" ref="A3410"/>
    <hyperlink r:id="rId3410" ref="A3411"/>
    <hyperlink r:id="rId3411" ref="A3412"/>
    <hyperlink r:id="rId3412" ref="A3413"/>
    <hyperlink r:id="rId3413" ref="A3414"/>
    <hyperlink r:id="rId3414" ref="A3415"/>
    <hyperlink r:id="rId3415" ref="A3416"/>
    <hyperlink r:id="rId3416" ref="A3417"/>
    <hyperlink r:id="rId3417" ref="A3418"/>
    <hyperlink r:id="rId3418" ref="A3419"/>
    <hyperlink r:id="rId3419" ref="A3420"/>
    <hyperlink r:id="rId3420" ref="A3421"/>
    <hyperlink r:id="rId3421" ref="A3422"/>
    <hyperlink r:id="rId3422" ref="A3423"/>
    <hyperlink r:id="rId3423" ref="A3424"/>
    <hyperlink r:id="rId3424" ref="A3425"/>
    <hyperlink r:id="rId3425" ref="A3426"/>
    <hyperlink r:id="rId3426" ref="A3427"/>
    <hyperlink r:id="rId3427" ref="A3428"/>
    <hyperlink r:id="rId3428" ref="A3429"/>
    <hyperlink r:id="rId3429" ref="A3430"/>
    <hyperlink r:id="rId3430" ref="A3431"/>
    <hyperlink r:id="rId3431" ref="A3432"/>
    <hyperlink r:id="rId3432" ref="A3433"/>
    <hyperlink r:id="rId3433" ref="A3434"/>
    <hyperlink r:id="rId3434" ref="A3435"/>
    <hyperlink r:id="rId3435" ref="A3436"/>
    <hyperlink r:id="rId3436" ref="A3437"/>
    <hyperlink r:id="rId3437" ref="A3438"/>
    <hyperlink r:id="rId3438" ref="A3439"/>
    <hyperlink r:id="rId3439" ref="A3440"/>
    <hyperlink r:id="rId3440" ref="A3441"/>
    <hyperlink r:id="rId3441" ref="A3442"/>
    <hyperlink r:id="rId3442" ref="A3443"/>
    <hyperlink r:id="rId3443" ref="A3444"/>
    <hyperlink r:id="rId3444" ref="A3445"/>
    <hyperlink r:id="rId3445" ref="A3446"/>
    <hyperlink r:id="rId3446" ref="A3447"/>
    <hyperlink r:id="rId3447" ref="A3448"/>
    <hyperlink r:id="rId3448" ref="A3449"/>
    <hyperlink r:id="rId3449" ref="A3450"/>
    <hyperlink r:id="rId3450" ref="A3451"/>
    <hyperlink r:id="rId3451" ref="A3452"/>
    <hyperlink r:id="rId3452" ref="A3453"/>
    <hyperlink r:id="rId3453" ref="A3454"/>
    <hyperlink r:id="rId3454" ref="A3455"/>
    <hyperlink r:id="rId3455" ref="A3456"/>
    <hyperlink r:id="rId3456" ref="A3457"/>
    <hyperlink r:id="rId3457" ref="A3458"/>
    <hyperlink r:id="rId3458" ref="A3459"/>
    <hyperlink r:id="rId3459" ref="A3460"/>
    <hyperlink r:id="rId3460" ref="A3461"/>
    <hyperlink r:id="rId3461" ref="A3462"/>
    <hyperlink r:id="rId3462" ref="A3463"/>
    <hyperlink r:id="rId3463" ref="A3464"/>
    <hyperlink r:id="rId3464" ref="A3465"/>
    <hyperlink r:id="rId3465" ref="A3466"/>
    <hyperlink r:id="rId3466" ref="A3467"/>
    <hyperlink r:id="rId3467" ref="A3468"/>
    <hyperlink r:id="rId3468" ref="A3469"/>
    <hyperlink r:id="rId3469" ref="A3470"/>
    <hyperlink r:id="rId3470" ref="A3471"/>
    <hyperlink r:id="rId3471" ref="A3472"/>
    <hyperlink r:id="rId3472" ref="A3473"/>
    <hyperlink r:id="rId3473" ref="A3474"/>
    <hyperlink r:id="rId3474" ref="A3475"/>
    <hyperlink r:id="rId3475" ref="A3476"/>
    <hyperlink r:id="rId3476" ref="A3477"/>
    <hyperlink r:id="rId3477" ref="A3478"/>
    <hyperlink r:id="rId3478" ref="A3479"/>
    <hyperlink r:id="rId3479" ref="A3480"/>
    <hyperlink r:id="rId3480" ref="A3481"/>
    <hyperlink r:id="rId3481" ref="A3482"/>
    <hyperlink r:id="rId3482" ref="A3483"/>
    <hyperlink r:id="rId3483" ref="A3484"/>
    <hyperlink r:id="rId3484" ref="A3485"/>
    <hyperlink r:id="rId3485" ref="A3486"/>
    <hyperlink r:id="rId3486" ref="A3487"/>
    <hyperlink r:id="rId3487" ref="A3488"/>
    <hyperlink r:id="rId3488" ref="A3489"/>
    <hyperlink r:id="rId3489" ref="A3490"/>
    <hyperlink r:id="rId3490" ref="A3491"/>
    <hyperlink r:id="rId3491" ref="A3492"/>
    <hyperlink r:id="rId3492" ref="A3493"/>
    <hyperlink r:id="rId3493" ref="A3494"/>
    <hyperlink r:id="rId3494" ref="A3495"/>
    <hyperlink r:id="rId3495" ref="A3496"/>
    <hyperlink r:id="rId3496" ref="A3497"/>
    <hyperlink r:id="rId3497" ref="A3498"/>
    <hyperlink r:id="rId3498" ref="A3499"/>
    <hyperlink r:id="rId3499" ref="A3500"/>
    <hyperlink r:id="rId3500" ref="A3501"/>
    <hyperlink r:id="rId3501" ref="A3502"/>
    <hyperlink r:id="rId3502" ref="A3503"/>
    <hyperlink r:id="rId3503" ref="A3504"/>
    <hyperlink r:id="rId3504" ref="A3505"/>
    <hyperlink r:id="rId3505" ref="A3506"/>
    <hyperlink r:id="rId3506" ref="A3507"/>
    <hyperlink r:id="rId3507" ref="A3508"/>
    <hyperlink r:id="rId3508" ref="A3509"/>
    <hyperlink r:id="rId3509" ref="A3510"/>
    <hyperlink r:id="rId3510" ref="A3511"/>
    <hyperlink r:id="rId3511" ref="A3512"/>
    <hyperlink r:id="rId3512" ref="A3513"/>
    <hyperlink r:id="rId3513" ref="A3514"/>
    <hyperlink r:id="rId3514" ref="A3515"/>
    <hyperlink r:id="rId3515" ref="A3516"/>
    <hyperlink r:id="rId3516" ref="A3517"/>
    <hyperlink r:id="rId3517" ref="A3518"/>
    <hyperlink r:id="rId3518" ref="A3519"/>
    <hyperlink r:id="rId3519" ref="A3520"/>
    <hyperlink r:id="rId3520" ref="A3521"/>
    <hyperlink r:id="rId3521" ref="A3522"/>
    <hyperlink r:id="rId3522" ref="A3523"/>
    <hyperlink r:id="rId3523" ref="A3524"/>
    <hyperlink r:id="rId3524" ref="A3525"/>
    <hyperlink r:id="rId3525" ref="A3526"/>
    <hyperlink r:id="rId3526" ref="A3527"/>
    <hyperlink r:id="rId3527" ref="A3528"/>
    <hyperlink r:id="rId3528" ref="A3529"/>
    <hyperlink r:id="rId3529" ref="A3530"/>
    <hyperlink r:id="rId3530" ref="A3531"/>
    <hyperlink r:id="rId3531" ref="A3532"/>
    <hyperlink r:id="rId3532" ref="A3533"/>
    <hyperlink r:id="rId3533" ref="A3534"/>
    <hyperlink r:id="rId3534" ref="A3535"/>
    <hyperlink r:id="rId3535" ref="A3536"/>
    <hyperlink r:id="rId3536" ref="A3537"/>
    <hyperlink r:id="rId3537" ref="A3538"/>
    <hyperlink r:id="rId3538" ref="A3539"/>
    <hyperlink r:id="rId3539" ref="A3540"/>
    <hyperlink r:id="rId3540" ref="A3541"/>
    <hyperlink r:id="rId3541" ref="A3542"/>
    <hyperlink r:id="rId3542" ref="A3543"/>
    <hyperlink r:id="rId3543" ref="A3544"/>
    <hyperlink r:id="rId3544" ref="A3545"/>
    <hyperlink r:id="rId3545" ref="A3546"/>
    <hyperlink r:id="rId3546" ref="A3547"/>
    <hyperlink r:id="rId3547" ref="A3548"/>
    <hyperlink r:id="rId3548" ref="A3549"/>
    <hyperlink r:id="rId3549" ref="A3550"/>
    <hyperlink r:id="rId3550" ref="A3551"/>
    <hyperlink r:id="rId3551" ref="A3552"/>
    <hyperlink r:id="rId3552" ref="A3553"/>
    <hyperlink r:id="rId3553" ref="A3554"/>
    <hyperlink r:id="rId3554" ref="A3555"/>
    <hyperlink r:id="rId3555" ref="A3556"/>
    <hyperlink r:id="rId3556" ref="A3557"/>
    <hyperlink r:id="rId3557" ref="A3558"/>
    <hyperlink r:id="rId3558" ref="A3559"/>
    <hyperlink r:id="rId3559" ref="A3560"/>
    <hyperlink r:id="rId3560" ref="A3561"/>
    <hyperlink r:id="rId3561" ref="A3562"/>
    <hyperlink r:id="rId3562" ref="A3563"/>
    <hyperlink r:id="rId3563" ref="A3564"/>
    <hyperlink r:id="rId3564" ref="A3565"/>
    <hyperlink r:id="rId3565" ref="A3566"/>
    <hyperlink r:id="rId3566" ref="A3567"/>
    <hyperlink r:id="rId3567" ref="A3568"/>
    <hyperlink r:id="rId3568" ref="A3569"/>
    <hyperlink r:id="rId3569" ref="A3570"/>
    <hyperlink r:id="rId3570" ref="A3571"/>
    <hyperlink r:id="rId3571" ref="A3572"/>
    <hyperlink r:id="rId3572" ref="A3573"/>
    <hyperlink r:id="rId3573" ref="A3574"/>
    <hyperlink r:id="rId3574" ref="A3575"/>
    <hyperlink r:id="rId3575" ref="A3576"/>
    <hyperlink r:id="rId3576" ref="A3577"/>
    <hyperlink r:id="rId3577" ref="A3578"/>
    <hyperlink r:id="rId3578" ref="A3579"/>
    <hyperlink r:id="rId3579" ref="A3580"/>
    <hyperlink r:id="rId3580" ref="A3581"/>
    <hyperlink r:id="rId3581" ref="A3582"/>
    <hyperlink r:id="rId3582" ref="A3583"/>
    <hyperlink r:id="rId3583" ref="A3584"/>
    <hyperlink r:id="rId3584" ref="A3585"/>
    <hyperlink r:id="rId3585" ref="A3586"/>
    <hyperlink r:id="rId3586" ref="A3587"/>
    <hyperlink r:id="rId3587" ref="A3588"/>
    <hyperlink r:id="rId3588" ref="A3589"/>
    <hyperlink r:id="rId3589" ref="A3590"/>
    <hyperlink r:id="rId3590" ref="A3591"/>
    <hyperlink r:id="rId3591" ref="A3592"/>
    <hyperlink r:id="rId3592" ref="A3593"/>
    <hyperlink r:id="rId3593" ref="A3594"/>
    <hyperlink r:id="rId3594" ref="A3595"/>
    <hyperlink r:id="rId3595" ref="A3596"/>
    <hyperlink r:id="rId3596" ref="A3597"/>
    <hyperlink r:id="rId3597" ref="A3598"/>
    <hyperlink r:id="rId3598" ref="A3599"/>
    <hyperlink r:id="rId3599" ref="A3600"/>
    <hyperlink r:id="rId3600" ref="A3601"/>
    <hyperlink r:id="rId3601" ref="A3602"/>
    <hyperlink r:id="rId3602" ref="A3603"/>
    <hyperlink r:id="rId3603" ref="A3604"/>
    <hyperlink r:id="rId3604" ref="A3605"/>
    <hyperlink r:id="rId3605" ref="A3606"/>
    <hyperlink r:id="rId3606" ref="A3607"/>
    <hyperlink r:id="rId3607" ref="A3608"/>
    <hyperlink r:id="rId3608" ref="A3609"/>
    <hyperlink r:id="rId3609" ref="A3610"/>
    <hyperlink r:id="rId3610" ref="A3611"/>
    <hyperlink r:id="rId3611" ref="A3612"/>
    <hyperlink r:id="rId3612" ref="A3613"/>
    <hyperlink r:id="rId3613" ref="A3614"/>
    <hyperlink r:id="rId3614" ref="A3615"/>
    <hyperlink r:id="rId3615" ref="A3616"/>
    <hyperlink r:id="rId3616" ref="A3617"/>
    <hyperlink r:id="rId3617" ref="A3618"/>
    <hyperlink r:id="rId3618" ref="A3619"/>
    <hyperlink r:id="rId3619" ref="A3620"/>
    <hyperlink r:id="rId3620" ref="A3621"/>
    <hyperlink r:id="rId3621" ref="A3622"/>
    <hyperlink r:id="rId3622" ref="A3623"/>
    <hyperlink r:id="rId3623" ref="A3624"/>
    <hyperlink r:id="rId3624" ref="A3625"/>
    <hyperlink r:id="rId3625" ref="A3626"/>
    <hyperlink r:id="rId3626" ref="A3627"/>
    <hyperlink r:id="rId3627" ref="A3628"/>
    <hyperlink r:id="rId3628" ref="A3629"/>
    <hyperlink r:id="rId3629" ref="A3630"/>
    <hyperlink r:id="rId3630" ref="A3631"/>
    <hyperlink r:id="rId3631" ref="A3632"/>
    <hyperlink r:id="rId3632" ref="A3633"/>
    <hyperlink r:id="rId3633" ref="A3634"/>
    <hyperlink r:id="rId3634" ref="A3635"/>
    <hyperlink r:id="rId3635" ref="A3636"/>
    <hyperlink r:id="rId3636" ref="A3637"/>
    <hyperlink r:id="rId3637" ref="A3638"/>
    <hyperlink r:id="rId3638" ref="A3639"/>
    <hyperlink r:id="rId3639" ref="A3640"/>
    <hyperlink r:id="rId3640" ref="A3641"/>
    <hyperlink r:id="rId3641" ref="A3642"/>
    <hyperlink r:id="rId3642" ref="A3643"/>
    <hyperlink r:id="rId3643" ref="A3644"/>
    <hyperlink r:id="rId3644" ref="A3645"/>
    <hyperlink r:id="rId3645" ref="A3646"/>
    <hyperlink r:id="rId3646" ref="A3647"/>
    <hyperlink r:id="rId3647" ref="A3648"/>
    <hyperlink r:id="rId3648" ref="A3649"/>
    <hyperlink r:id="rId3649" ref="A3650"/>
    <hyperlink r:id="rId3650" ref="A3651"/>
    <hyperlink r:id="rId3651" ref="A3652"/>
    <hyperlink r:id="rId3652" ref="A3653"/>
    <hyperlink r:id="rId3653" ref="A3654"/>
    <hyperlink r:id="rId3654" ref="A3655"/>
    <hyperlink r:id="rId3655" ref="A3656"/>
    <hyperlink r:id="rId3656" ref="A3657"/>
    <hyperlink r:id="rId3657" ref="A3658"/>
    <hyperlink r:id="rId3658" ref="A3659"/>
    <hyperlink r:id="rId3659" ref="A3660"/>
    <hyperlink r:id="rId3660" ref="A3661"/>
    <hyperlink r:id="rId3661" ref="A3662"/>
    <hyperlink r:id="rId3662" ref="A3663"/>
    <hyperlink r:id="rId3663" ref="A3664"/>
    <hyperlink r:id="rId3664" ref="A3665"/>
    <hyperlink r:id="rId3665" ref="A3666"/>
    <hyperlink r:id="rId3666" ref="A3667"/>
    <hyperlink r:id="rId3667" ref="A3668"/>
    <hyperlink r:id="rId3668" ref="A3669"/>
    <hyperlink r:id="rId3669" ref="A3670"/>
    <hyperlink r:id="rId3670" ref="A3671"/>
    <hyperlink r:id="rId3671" ref="A3672"/>
    <hyperlink r:id="rId3672" ref="A3673"/>
    <hyperlink r:id="rId3673" ref="A3674"/>
    <hyperlink r:id="rId3674" ref="A3675"/>
    <hyperlink r:id="rId3675" ref="A3676"/>
    <hyperlink r:id="rId3676" ref="A3677"/>
    <hyperlink r:id="rId3677" ref="A3678"/>
    <hyperlink r:id="rId3678" ref="A3679"/>
    <hyperlink r:id="rId3679" ref="A3680"/>
    <hyperlink r:id="rId3680" ref="A3681"/>
    <hyperlink r:id="rId3681" ref="A3682"/>
    <hyperlink r:id="rId3682" ref="A3683"/>
    <hyperlink r:id="rId3683" ref="A3684"/>
    <hyperlink r:id="rId3684" ref="A3685"/>
    <hyperlink r:id="rId3685" ref="A3686"/>
    <hyperlink r:id="rId3686" ref="A3687"/>
    <hyperlink r:id="rId3687" ref="A3688"/>
    <hyperlink r:id="rId3688" ref="A3689"/>
    <hyperlink r:id="rId3689" ref="A3690"/>
    <hyperlink r:id="rId3690" ref="A3691"/>
    <hyperlink r:id="rId3691" ref="A3692"/>
    <hyperlink r:id="rId3692" ref="A3693"/>
    <hyperlink r:id="rId3693" ref="A3694"/>
    <hyperlink r:id="rId3694" ref="A3695"/>
    <hyperlink r:id="rId3695" ref="A3696"/>
    <hyperlink r:id="rId3696" ref="A3697"/>
    <hyperlink r:id="rId3697" ref="A3698"/>
    <hyperlink r:id="rId3698" ref="A3699"/>
    <hyperlink r:id="rId3699" ref="A3700"/>
    <hyperlink r:id="rId3700" ref="A3701"/>
    <hyperlink r:id="rId3701" ref="A3702"/>
    <hyperlink r:id="rId3702" ref="A3703"/>
    <hyperlink r:id="rId3703" ref="A3704"/>
    <hyperlink r:id="rId3704" ref="A3705"/>
    <hyperlink r:id="rId3705" ref="A3706"/>
    <hyperlink r:id="rId3706" ref="A3707"/>
    <hyperlink r:id="rId3707" ref="A3708"/>
    <hyperlink r:id="rId3708" ref="A3709"/>
    <hyperlink r:id="rId3709" ref="A3710"/>
    <hyperlink r:id="rId3710" ref="A3711"/>
    <hyperlink r:id="rId3711" ref="A3712"/>
    <hyperlink r:id="rId3712" ref="A3713"/>
    <hyperlink r:id="rId3713" ref="A3714"/>
    <hyperlink r:id="rId3714" ref="A3715"/>
    <hyperlink r:id="rId3715" ref="A3716"/>
    <hyperlink r:id="rId3716" ref="A3717"/>
    <hyperlink r:id="rId3717" ref="A3718"/>
    <hyperlink r:id="rId3718" ref="A3719"/>
    <hyperlink r:id="rId3719" ref="A3720"/>
    <hyperlink r:id="rId3720" ref="A3721"/>
    <hyperlink r:id="rId3721" ref="A3722"/>
    <hyperlink r:id="rId3722" ref="A3723"/>
    <hyperlink r:id="rId3723" ref="A3724"/>
    <hyperlink r:id="rId3724" ref="A3725"/>
    <hyperlink r:id="rId3725" ref="A3726"/>
    <hyperlink r:id="rId3726" ref="A3727"/>
    <hyperlink r:id="rId3727" ref="A3728"/>
    <hyperlink r:id="rId3728" ref="A3729"/>
    <hyperlink r:id="rId3729" ref="A3730"/>
    <hyperlink r:id="rId3730" ref="A3731"/>
    <hyperlink r:id="rId3731" ref="A3732"/>
    <hyperlink r:id="rId3732" ref="A3733"/>
    <hyperlink r:id="rId3733" ref="A3734"/>
    <hyperlink r:id="rId3734" ref="A3735"/>
    <hyperlink r:id="rId3735" ref="A3736"/>
    <hyperlink r:id="rId3736" ref="A3737"/>
    <hyperlink r:id="rId3737" ref="A3738"/>
    <hyperlink r:id="rId3738" ref="A3739"/>
    <hyperlink r:id="rId3739" ref="A3740"/>
    <hyperlink r:id="rId3740" ref="A3741"/>
    <hyperlink r:id="rId3741" ref="A3742"/>
    <hyperlink r:id="rId3742" ref="A3743"/>
    <hyperlink r:id="rId3743" ref="A3744"/>
    <hyperlink r:id="rId3744" ref="A3745"/>
    <hyperlink r:id="rId3745" ref="A3746"/>
    <hyperlink r:id="rId3746" ref="A3747"/>
    <hyperlink r:id="rId3747" ref="A3748"/>
    <hyperlink r:id="rId3748" ref="A3749"/>
    <hyperlink r:id="rId3749" ref="A3750"/>
    <hyperlink r:id="rId3750" ref="A3751"/>
    <hyperlink r:id="rId3751" ref="A3752"/>
    <hyperlink r:id="rId3752" ref="A3753"/>
    <hyperlink r:id="rId3753" ref="A3754"/>
    <hyperlink r:id="rId3754" ref="A3755"/>
    <hyperlink r:id="rId3755" ref="A3756"/>
    <hyperlink r:id="rId3756" ref="A3757"/>
    <hyperlink r:id="rId3757" ref="A3758"/>
    <hyperlink r:id="rId3758" ref="A3759"/>
    <hyperlink r:id="rId3759" ref="A3760"/>
    <hyperlink r:id="rId3760" ref="A3761"/>
    <hyperlink r:id="rId3761" ref="A3762"/>
    <hyperlink r:id="rId3762" ref="A3763"/>
    <hyperlink r:id="rId3763" ref="A3764"/>
    <hyperlink r:id="rId3764" ref="A3765"/>
    <hyperlink r:id="rId3765" ref="A3766"/>
    <hyperlink r:id="rId3766" ref="A3767"/>
    <hyperlink r:id="rId3767" ref="A3768"/>
    <hyperlink r:id="rId3768" ref="A3769"/>
    <hyperlink r:id="rId3769" ref="A3770"/>
    <hyperlink r:id="rId3770" ref="A3771"/>
    <hyperlink r:id="rId3771" ref="A3772"/>
    <hyperlink r:id="rId3772" ref="A3773"/>
    <hyperlink r:id="rId3773" ref="A3774"/>
    <hyperlink r:id="rId3774" ref="A3775"/>
    <hyperlink r:id="rId3775" ref="A3776"/>
    <hyperlink r:id="rId3776" ref="A3777"/>
    <hyperlink r:id="rId3777" ref="A3778"/>
    <hyperlink r:id="rId3778" ref="A3779"/>
    <hyperlink r:id="rId3779" ref="A3780"/>
    <hyperlink r:id="rId3780" ref="A3781"/>
    <hyperlink r:id="rId3781" ref="A3782"/>
    <hyperlink r:id="rId3782" ref="A3783"/>
    <hyperlink r:id="rId3783" ref="A3784"/>
    <hyperlink r:id="rId3784" ref="A3785"/>
    <hyperlink r:id="rId3785" ref="A3786"/>
    <hyperlink r:id="rId3786" ref="A3787"/>
    <hyperlink r:id="rId3787" ref="A3788"/>
    <hyperlink r:id="rId3788" ref="A3789"/>
    <hyperlink r:id="rId3789" ref="A3790"/>
    <hyperlink r:id="rId3790" ref="A3791"/>
    <hyperlink r:id="rId3791" ref="A3792"/>
    <hyperlink r:id="rId3792" ref="A3793"/>
    <hyperlink r:id="rId3793" ref="A3794"/>
    <hyperlink r:id="rId3794" ref="A3795"/>
    <hyperlink r:id="rId3795" ref="A3796"/>
    <hyperlink r:id="rId3796" ref="A3797"/>
    <hyperlink r:id="rId3797" ref="A3798"/>
    <hyperlink r:id="rId3798" ref="A3799"/>
    <hyperlink r:id="rId3799" ref="A3800"/>
    <hyperlink r:id="rId3800" ref="A3801"/>
    <hyperlink r:id="rId3801" ref="A3802"/>
    <hyperlink r:id="rId3802" ref="A3803"/>
    <hyperlink r:id="rId3803" ref="A3804"/>
    <hyperlink r:id="rId3804" ref="A3805"/>
    <hyperlink r:id="rId3805" ref="A3806"/>
    <hyperlink r:id="rId3806" ref="A3807"/>
    <hyperlink r:id="rId3807" ref="A3808"/>
    <hyperlink r:id="rId3808" ref="A3809"/>
    <hyperlink r:id="rId3809" ref="A3810"/>
    <hyperlink r:id="rId3810" ref="A3811"/>
    <hyperlink r:id="rId3811" ref="A3812"/>
    <hyperlink r:id="rId3812" ref="A3813"/>
    <hyperlink r:id="rId3813" ref="A3814"/>
    <hyperlink r:id="rId3814" ref="A3815"/>
    <hyperlink r:id="rId3815" ref="A3816"/>
    <hyperlink r:id="rId3816" ref="A3817"/>
    <hyperlink r:id="rId3817" ref="A3818"/>
    <hyperlink r:id="rId3818" ref="A3819"/>
    <hyperlink r:id="rId3819" ref="A3820"/>
    <hyperlink r:id="rId3820" ref="A3821"/>
    <hyperlink r:id="rId3821" ref="A3822"/>
    <hyperlink r:id="rId3822" ref="A3823"/>
    <hyperlink r:id="rId3823" ref="A3824"/>
    <hyperlink r:id="rId3824" ref="A3825"/>
    <hyperlink r:id="rId3825" ref="A3826"/>
    <hyperlink r:id="rId3826" ref="A3827"/>
    <hyperlink r:id="rId3827" ref="A3828"/>
    <hyperlink r:id="rId3828" ref="A3829"/>
    <hyperlink r:id="rId3829" ref="A3830"/>
    <hyperlink r:id="rId3830" ref="A3831"/>
    <hyperlink r:id="rId3831" ref="A3832"/>
    <hyperlink r:id="rId3832" ref="A3833"/>
    <hyperlink r:id="rId3833" ref="A3834"/>
    <hyperlink r:id="rId3834" ref="A3835"/>
    <hyperlink r:id="rId3835" ref="A3836"/>
    <hyperlink r:id="rId3836" ref="A3837"/>
    <hyperlink r:id="rId3837" ref="A3838"/>
    <hyperlink r:id="rId3838" ref="A3839"/>
    <hyperlink r:id="rId3839" ref="A3840"/>
    <hyperlink r:id="rId3840" ref="A3841"/>
    <hyperlink r:id="rId3841" ref="A3842"/>
    <hyperlink r:id="rId3842" ref="A3843"/>
    <hyperlink r:id="rId3843" ref="A3844"/>
    <hyperlink r:id="rId3844" ref="A3845"/>
    <hyperlink r:id="rId3845" ref="A3846"/>
    <hyperlink r:id="rId3846" ref="A3847"/>
    <hyperlink r:id="rId3847" ref="A3848"/>
    <hyperlink r:id="rId3848" ref="A3849"/>
    <hyperlink r:id="rId3849" ref="A3850"/>
    <hyperlink r:id="rId3850" ref="A3851"/>
    <hyperlink r:id="rId3851" ref="A3852"/>
    <hyperlink r:id="rId3852" ref="A3853"/>
    <hyperlink r:id="rId3853" ref="A3854"/>
    <hyperlink r:id="rId3854" ref="A3855"/>
    <hyperlink r:id="rId3855" ref="A3856"/>
    <hyperlink r:id="rId3856" ref="A3857"/>
    <hyperlink r:id="rId3857" ref="A3858"/>
    <hyperlink r:id="rId3858" ref="A3859"/>
    <hyperlink r:id="rId3859" ref="A3860"/>
    <hyperlink r:id="rId3860" ref="A3861"/>
    <hyperlink r:id="rId3861" ref="A3862"/>
    <hyperlink r:id="rId3862" ref="A3863"/>
    <hyperlink r:id="rId3863" ref="A3864"/>
    <hyperlink r:id="rId3864" ref="A3865"/>
    <hyperlink r:id="rId3865" ref="A3866"/>
    <hyperlink r:id="rId3866" ref="A3867"/>
    <hyperlink r:id="rId3867" ref="A3868"/>
    <hyperlink r:id="rId3868" ref="A3869"/>
    <hyperlink r:id="rId3869" ref="A3870"/>
    <hyperlink r:id="rId3870" ref="A3871"/>
    <hyperlink r:id="rId3871" ref="A3872"/>
    <hyperlink r:id="rId3872" ref="A3873"/>
    <hyperlink r:id="rId3873" ref="A3874"/>
    <hyperlink r:id="rId3874" ref="A3875"/>
    <hyperlink r:id="rId3875" ref="A3876"/>
    <hyperlink r:id="rId3876" ref="A3877"/>
    <hyperlink r:id="rId3877" ref="A3878"/>
    <hyperlink r:id="rId3878" ref="A3879"/>
    <hyperlink r:id="rId3879" ref="A3880"/>
    <hyperlink r:id="rId3880" ref="A3881"/>
    <hyperlink r:id="rId3881" ref="A3882"/>
    <hyperlink r:id="rId3882" ref="A3883"/>
    <hyperlink r:id="rId3883" ref="A3884"/>
    <hyperlink r:id="rId3884" ref="A3885"/>
    <hyperlink r:id="rId3885" ref="A3886"/>
    <hyperlink r:id="rId3886" ref="A3887"/>
    <hyperlink r:id="rId3887" ref="A3888"/>
    <hyperlink r:id="rId3888" ref="A3889"/>
    <hyperlink r:id="rId3889" ref="A3890"/>
    <hyperlink r:id="rId3890" ref="A3891"/>
    <hyperlink r:id="rId3891" ref="A3892"/>
    <hyperlink r:id="rId3892" ref="A3893"/>
    <hyperlink r:id="rId3893" ref="A3894"/>
    <hyperlink r:id="rId3894" ref="A3895"/>
    <hyperlink r:id="rId3895" ref="A3896"/>
    <hyperlink r:id="rId3896" ref="A3897"/>
    <hyperlink r:id="rId3897" ref="A3898"/>
    <hyperlink r:id="rId3898" ref="A3899"/>
    <hyperlink r:id="rId3899" ref="A3900"/>
    <hyperlink r:id="rId3900" ref="A3901"/>
    <hyperlink r:id="rId3901" ref="A3902"/>
    <hyperlink r:id="rId3902" ref="A3903"/>
    <hyperlink r:id="rId3903" ref="A3904"/>
    <hyperlink r:id="rId3904" ref="A3905"/>
    <hyperlink r:id="rId3905" ref="A3906"/>
    <hyperlink r:id="rId3906" ref="A3907"/>
    <hyperlink r:id="rId3907" ref="A3908"/>
    <hyperlink r:id="rId3908" ref="A3909"/>
    <hyperlink r:id="rId3909" ref="A3910"/>
    <hyperlink r:id="rId3910" ref="A3911"/>
    <hyperlink r:id="rId3911" ref="A3912"/>
    <hyperlink r:id="rId3912" ref="A3913"/>
    <hyperlink r:id="rId3913" ref="A3914"/>
    <hyperlink r:id="rId3914" ref="A3915"/>
    <hyperlink r:id="rId3915" ref="A3916"/>
    <hyperlink r:id="rId3916" ref="A3917"/>
    <hyperlink r:id="rId3917" ref="A3918"/>
    <hyperlink r:id="rId3918" ref="A3919"/>
    <hyperlink r:id="rId3919" ref="A3920"/>
    <hyperlink r:id="rId3920" ref="A3921"/>
    <hyperlink r:id="rId3921" ref="A3922"/>
    <hyperlink r:id="rId3922" ref="A3923"/>
    <hyperlink r:id="rId3923" ref="A3924"/>
    <hyperlink r:id="rId3924" ref="A3925"/>
    <hyperlink r:id="rId3925" ref="A3926"/>
    <hyperlink r:id="rId3926" ref="A3927"/>
    <hyperlink r:id="rId3927" ref="A3928"/>
    <hyperlink r:id="rId3928" ref="A3929"/>
    <hyperlink r:id="rId3929" ref="A3930"/>
    <hyperlink r:id="rId3930" ref="A3931"/>
    <hyperlink r:id="rId3931" ref="A3932"/>
    <hyperlink r:id="rId3932" ref="A3933"/>
    <hyperlink r:id="rId3933" ref="A3934"/>
    <hyperlink r:id="rId3934" ref="A3935"/>
    <hyperlink r:id="rId3935" ref="A3936"/>
    <hyperlink r:id="rId3936" ref="A3937"/>
    <hyperlink r:id="rId3937" ref="A3938"/>
    <hyperlink r:id="rId3938" ref="A3939"/>
    <hyperlink r:id="rId3939" ref="A3940"/>
    <hyperlink r:id="rId3940" ref="A3941"/>
    <hyperlink r:id="rId3941" ref="A3942"/>
    <hyperlink r:id="rId3942" ref="A3943"/>
    <hyperlink r:id="rId3943" ref="A3944"/>
    <hyperlink r:id="rId3944" ref="A3945"/>
    <hyperlink r:id="rId3945" ref="A3946"/>
    <hyperlink r:id="rId3946" ref="A3947"/>
    <hyperlink r:id="rId3947" ref="A3948"/>
    <hyperlink r:id="rId3948" ref="A3949"/>
    <hyperlink r:id="rId3949" ref="A3950"/>
    <hyperlink r:id="rId3950" ref="A3951"/>
    <hyperlink r:id="rId3951" ref="A3952"/>
    <hyperlink r:id="rId3952" ref="A3953"/>
    <hyperlink r:id="rId3953" ref="A3954"/>
    <hyperlink r:id="rId3954" ref="A3955"/>
    <hyperlink r:id="rId3955" ref="A3956"/>
    <hyperlink r:id="rId3956" ref="A3957"/>
    <hyperlink r:id="rId3957" ref="A3958"/>
    <hyperlink r:id="rId3958" ref="A3959"/>
    <hyperlink r:id="rId3959" ref="A3960"/>
    <hyperlink r:id="rId3960" ref="A3961"/>
    <hyperlink r:id="rId3961" ref="A3962"/>
    <hyperlink r:id="rId3962" ref="A3963"/>
    <hyperlink r:id="rId3963" ref="A3964"/>
    <hyperlink r:id="rId3964" ref="A3965"/>
    <hyperlink r:id="rId3965" ref="A3966"/>
    <hyperlink r:id="rId3966" ref="A3967"/>
    <hyperlink r:id="rId3967" ref="A3968"/>
    <hyperlink r:id="rId3968" ref="A3969"/>
    <hyperlink r:id="rId3969" ref="A3970"/>
    <hyperlink r:id="rId3970" ref="A3971"/>
    <hyperlink r:id="rId3971" ref="A3972"/>
    <hyperlink r:id="rId3972" ref="A3973"/>
    <hyperlink r:id="rId3973" ref="A3974"/>
    <hyperlink r:id="rId3974" ref="A3975"/>
    <hyperlink r:id="rId3975" ref="A3976"/>
    <hyperlink r:id="rId3976" ref="A3977"/>
    <hyperlink r:id="rId3977" ref="A3978"/>
    <hyperlink r:id="rId3978" ref="A3979"/>
    <hyperlink r:id="rId3979" ref="A3980"/>
    <hyperlink r:id="rId3980" ref="A3981"/>
    <hyperlink r:id="rId3981" ref="A3982"/>
    <hyperlink r:id="rId3982" ref="A3983"/>
    <hyperlink r:id="rId3983" ref="A3984"/>
    <hyperlink r:id="rId3984" ref="A3985"/>
    <hyperlink r:id="rId3985" ref="A3986"/>
    <hyperlink r:id="rId3986" ref="A3987"/>
    <hyperlink r:id="rId3987" ref="A3988"/>
    <hyperlink r:id="rId3988" ref="A3989"/>
    <hyperlink r:id="rId3989" ref="A3990"/>
    <hyperlink r:id="rId3990" ref="A3991"/>
    <hyperlink r:id="rId3991" ref="A3992"/>
    <hyperlink r:id="rId3992" ref="A3993"/>
    <hyperlink r:id="rId3993" ref="A3994"/>
    <hyperlink r:id="rId3994" ref="A3995"/>
    <hyperlink r:id="rId3995" ref="A3996"/>
    <hyperlink r:id="rId3996" ref="A3997"/>
    <hyperlink r:id="rId3997" ref="A3998"/>
    <hyperlink r:id="rId3998" ref="A3999"/>
    <hyperlink r:id="rId3999" ref="A4000"/>
    <hyperlink r:id="rId4000" ref="A4001"/>
    <hyperlink r:id="rId4001" ref="A4002"/>
    <hyperlink r:id="rId4002" ref="A4003"/>
    <hyperlink r:id="rId4003" ref="A4004"/>
    <hyperlink r:id="rId4004" ref="A4005"/>
    <hyperlink r:id="rId4005" ref="A4006"/>
    <hyperlink r:id="rId4006" ref="A4007"/>
    <hyperlink r:id="rId4007" ref="A4008"/>
    <hyperlink r:id="rId4008" ref="A4009"/>
    <hyperlink r:id="rId4009" ref="A4010"/>
    <hyperlink r:id="rId4010" ref="A4011"/>
    <hyperlink r:id="rId4011" ref="A4012"/>
    <hyperlink r:id="rId4012" ref="A4013"/>
    <hyperlink r:id="rId4013" ref="A4014"/>
    <hyperlink r:id="rId4014" ref="A4015"/>
    <hyperlink r:id="rId4015" ref="A4016"/>
    <hyperlink r:id="rId4016" ref="A4017"/>
    <hyperlink r:id="rId4017" ref="A4018"/>
    <hyperlink r:id="rId4018" ref="A4019"/>
    <hyperlink r:id="rId4019" ref="A4020"/>
    <hyperlink r:id="rId4020" ref="A4021"/>
    <hyperlink r:id="rId4021" ref="A4022"/>
    <hyperlink r:id="rId4022" ref="A4023"/>
    <hyperlink r:id="rId4023" ref="A4024"/>
    <hyperlink r:id="rId4024" ref="A4025"/>
    <hyperlink r:id="rId4025" ref="A4026"/>
    <hyperlink r:id="rId4026" ref="A4027"/>
    <hyperlink r:id="rId4027" ref="A4028"/>
    <hyperlink r:id="rId4028" ref="A4029"/>
    <hyperlink r:id="rId4029" ref="A4030"/>
    <hyperlink r:id="rId4030" ref="A4031"/>
    <hyperlink r:id="rId4031" ref="A4032"/>
    <hyperlink r:id="rId4032" ref="A4033"/>
    <hyperlink r:id="rId4033" ref="A4034"/>
    <hyperlink r:id="rId4034" ref="A4035"/>
    <hyperlink r:id="rId4035" ref="A4036"/>
    <hyperlink r:id="rId4036" ref="A4037"/>
    <hyperlink r:id="rId4037" ref="A4038"/>
    <hyperlink r:id="rId4038" ref="A4039"/>
    <hyperlink r:id="rId4039" ref="A4040"/>
    <hyperlink r:id="rId4040" ref="A4041"/>
    <hyperlink r:id="rId4041" ref="A4042"/>
    <hyperlink r:id="rId4042" ref="A4043"/>
    <hyperlink r:id="rId4043" ref="A4044"/>
    <hyperlink r:id="rId4044" ref="A4045"/>
    <hyperlink r:id="rId4045" ref="A4046"/>
    <hyperlink r:id="rId4046" ref="A4047"/>
    <hyperlink r:id="rId4047" ref="A4048"/>
    <hyperlink r:id="rId4048" ref="A4049"/>
    <hyperlink r:id="rId4049" ref="A4050"/>
    <hyperlink r:id="rId4050" ref="A4051"/>
    <hyperlink r:id="rId4051" ref="A4052"/>
    <hyperlink r:id="rId4052" ref="A4053"/>
    <hyperlink r:id="rId4053" ref="A4054"/>
    <hyperlink r:id="rId4054" ref="A4055"/>
    <hyperlink r:id="rId4055" ref="A4056"/>
    <hyperlink r:id="rId4056" ref="A4057"/>
    <hyperlink r:id="rId4057" ref="A4058"/>
    <hyperlink r:id="rId4058" ref="A4059"/>
    <hyperlink r:id="rId4059" ref="A4060"/>
    <hyperlink r:id="rId4060" ref="A4061"/>
    <hyperlink r:id="rId4061" ref="A4062"/>
    <hyperlink r:id="rId4062" ref="A4063"/>
    <hyperlink r:id="rId4063" ref="A4064"/>
    <hyperlink r:id="rId4064" ref="A4065"/>
    <hyperlink r:id="rId4065" ref="A4066"/>
    <hyperlink r:id="rId4066" ref="A4067"/>
    <hyperlink r:id="rId4067" ref="A4068"/>
    <hyperlink r:id="rId4068" ref="A4069"/>
    <hyperlink r:id="rId4069" ref="A4070"/>
    <hyperlink r:id="rId4070" ref="A4071"/>
    <hyperlink r:id="rId4071" ref="A4072"/>
    <hyperlink r:id="rId4072" ref="A4073"/>
    <hyperlink r:id="rId4073" ref="A4074"/>
    <hyperlink r:id="rId4074" ref="A4075"/>
    <hyperlink r:id="rId4075" ref="A4076"/>
    <hyperlink r:id="rId4076" ref="A4077"/>
    <hyperlink r:id="rId4077" ref="A4078"/>
    <hyperlink r:id="rId4078" ref="A4079"/>
    <hyperlink r:id="rId4079" ref="A4080"/>
    <hyperlink r:id="rId4080" ref="A4081"/>
    <hyperlink r:id="rId4081" ref="A4082"/>
    <hyperlink r:id="rId4082" ref="A4083"/>
    <hyperlink r:id="rId4083" ref="A4084"/>
    <hyperlink r:id="rId4084" ref="A4085"/>
    <hyperlink r:id="rId4085" ref="A4086"/>
    <hyperlink r:id="rId4086" ref="A4087"/>
    <hyperlink r:id="rId4087" ref="A4088"/>
    <hyperlink r:id="rId4088" ref="A4089"/>
    <hyperlink r:id="rId4089" ref="A4090"/>
    <hyperlink r:id="rId4090" ref="A4091"/>
    <hyperlink r:id="rId4091" ref="A4092"/>
    <hyperlink r:id="rId4092" ref="A4093"/>
    <hyperlink r:id="rId4093" ref="A4094"/>
    <hyperlink r:id="rId4094" ref="A4095"/>
    <hyperlink r:id="rId4095" ref="A4096"/>
    <hyperlink r:id="rId4096" ref="A4097"/>
    <hyperlink r:id="rId4097" ref="A4098"/>
    <hyperlink r:id="rId4098" ref="A4099"/>
    <hyperlink r:id="rId4099" ref="A4100"/>
    <hyperlink r:id="rId4100" ref="A4101"/>
    <hyperlink r:id="rId4101" ref="A4102"/>
    <hyperlink r:id="rId4102" ref="A4103"/>
    <hyperlink r:id="rId4103" ref="A4104"/>
    <hyperlink r:id="rId4104" ref="A4105"/>
    <hyperlink r:id="rId4105" ref="A4106"/>
    <hyperlink r:id="rId4106" ref="A4107"/>
    <hyperlink r:id="rId4107" ref="A4108"/>
    <hyperlink r:id="rId4108" ref="A4109"/>
    <hyperlink r:id="rId4109" ref="A4110"/>
    <hyperlink r:id="rId4110" ref="A4111"/>
    <hyperlink r:id="rId4111" ref="A4112"/>
    <hyperlink r:id="rId4112" ref="A4113"/>
    <hyperlink r:id="rId4113" ref="A4114"/>
    <hyperlink r:id="rId4114" ref="A4115"/>
    <hyperlink r:id="rId4115" ref="A4116"/>
    <hyperlink r:id="rId4116" ref="A4117"/>
    <hyperlink r:id="rId4117" ref="A4118"/>
    <hyperlink r:id="rId4118" ref="A4119"/>
    <hyperlink r:id="rId4119" ref="A4120"/>
    <hyperlink r:id="rId4120" ref="A4121"/>
    <hyperlink r:id="rId4121" ref="A4122"/>
    <hyperlink r:id="rId4122" ref="A4123"/>
    <hyperlink r:id="rId4123" ref="A4124"/>
    <hyperlink r:id="rId4124" ref="A4125"/>
    <hyperlink r:id="rId4125" ref="A4126"/>
    <hyperlink r:id="rId4126" ref="A4127"/>
    <hyperlink r:id="rId4127" ref="A4128"/>
    <hyperlink r:id="rId4128" ref="A4129"/>
    <hyperlink r:id="rId4129" ref="A4130"/>
    <hyperlink r:id="rId4130" ref="A4131"/>
    <hyperlink r:id="rId4131" ref="A4132"/>
    <hyperlink r:id="rId4132" ref="A4133"/>
    <hyperlink r:id="rId4133" ref="A4134"/>
    <hyperlink r:id="rId4134" ref="A4135"/>
    <hyperlink r:id="rId4135" ref="A4136"/>
    <hyperlink r:id="rId4136" ref="A4137"/>
    <hyperlink r:id="rId4137" ref="A4138"/>
    <hyperlink r:id="rId4138" ref="A4139"/>
    <hyperlink r:id="rId4139" ref="A4140"/>
    <hyperlink r:id="rId4140" ref="A4141"/>
    <hyperlink r:id="rId4141" ref="A4142"/>
    <hyperlink r:id="rId4142" ref="A4143"/>
    <hyperlink r:id="rId4143" ref="A4144"/>
    <hyperlink r:id="rId4144" ref="A4145"/>
    <hyperlink r:id="rId4145" ref="A4146"/>
    <hyperlink r:id="rId4146" ref="A4147"/>
    <hyperlink r:id="rId4147" ref="A4148"/>
    <hyperlink r:id="rId4148" ref="A4149"/>
    <hyperlink r:id="rId4149" ref="A4150"/>
    <hyperlink r:id="rId4150" ref="A4151"/>
    <hyperlink r:id="rId4151" ref="A4152"/>
    <hyperlink r:id="rId4152" ref="A4153"/>
    <hyperlink r:id="rId4153" ref="A4154"/>
    <hyperlink r:id="rId4154" ref="A4155"/>
    <hyperlink r:id="rId4155" ref="A4156"/>
    <hyperlink r:id="rId4156" ref="A4157"/>
    <hyperlink r:id="rId4157" ref="A4158"/>
    <hyperlink r:id="rId4158" ref="A4159"/>
    <hyperlink r:id="rId4159" ref="A4160"/>
    <hyperlink r:id="rId4160" ref="A4161"/>
    <hyperlink r:id="rId4161" ref="A4162"/>
    <hyperlink r:id="rId4162" ref="A4163"/>
    <hyperlink r:id="rId4163" ref="A4164"/>
    <hyperlink r:id="rId4164" ref="A4165"/>
    <hyperlink r:id="rId4165" ref="A4166"/>
    <hyperlink r:id="rId4166" ref="A4167"/>
    <hyperlink r:id="rId4167" ref="A4168"/>
    <hyperlink r:id="rId4168" ref="A4169"/>
    <hyperlink r:id="rId4169" ref="A4170"/>
    <hyperlink r:id="rId4170" ref="A4171"/>
    <hyperlink r:id="rId4171" ref="A4172"/>
    <hyperlink r:id="rId4172" ref="A4173"/>
    <hyperlink r:id="rId4173" ref="A4174"/>
    <hyperlink r:id="rId4174" ref="A4175"/>
    <hyperlink r:id="rId4175" ref="A4176"/>
    <hyperlink r:id="rId4176" ref="A4177"/>
    <hyperlink r:id="rId4177" ref="A4178"/>
    <hyperlink r:id="rId4178" ref="A4179"/>
    <hyperlink r:id="rId4179" ref="A4180"/>
    <hyperlink r:id="rId4180" ref="A4181"/>
    <hyperlink r:id="rId4181" ref="A4182"/>
    <hyperlink r:id="rId4182" ref="A4183"/>
    <hyperlink r:id="rId4183" ref="A4184"/>
    <hyperlink r:id="rId4184" ref="A4185"/>
    <hyperlink r:id="rId4185" ref="A4186"/>
    <hyperlink r:id="rId4186" ref="A4187"/>
    <hyperlink r:id="rId4187" ref="A4188"/>
    <hyperlink r:id="rId4188" ref="A4189"/>
    <hyperlink r:id="rId4189" ref="A4190"/>
    <hyperlink r:id="rId4190" ref="A4191"/>
    <hyperlink r:id="rId4191" ref="A4192"/>
    <hyperlink r:id="rId4192" ref="A4193"/>
    <hyperlink r:id="rId4193" ref="A4194"/>
    <hyperlink r:id="rId4194" ref="A4195"/>
    <hyperlink r:id="rId4195" ref="A4196"/>
    <hyperlink r:id="rId4196" ref="A4197"/>
    <hyperlink r:id="rId4197" ref="A4198"/>
    <hyperlink r:id="rId4198" ref="A4199"/>
    <hyperlink r:id="rId4199" ref="A4200"/>
    <hyperlink r:id="rId4200" ref="A4201"/>
    <hyperlink r:id="rId4201" ref="A4202"/>
    <hyperlink r:id="rId4202" ref="A4203"/>
    <hyperlink r:id="rId4203" ref="A4204"/>
    <hyperlink r:id="rId4204" ref="A4205"/>
    <hyperlink r:id="rId4205" ref="A4206"/>
    <hyperlink r:id="rId4206" ref="A4207"/>
    <hyperlink r:id="rId4207" ref="A4208"/>
    <hyperlink r:id="rId4208" ref="A4209"/>
    <hyperlink r:id="rId4209" ref="A4210"/>
    <hyperlink r:id="rId4210" ref="A4211"/>
    <hyperlink r:id="rId4211" ref="A4212"/>
    <hyperlink r:id="rId4212" ref="A4213"/>
    <hyperlink r:id="rId4213" ref="A4214"/>
    <hyperlink r:id="rId4214" ref="A4215"/>
    <hyperlink r:id="rId4215" ref="A4216"/>
    <hyperlink r:id="rId4216" ref="A4217"/>
    <hyperlink r:id="rId4217" ref="A4218"/>
    <hyperlink r:id="rId4218" ref="A4219"/>
    <hyperlink r:id="rId4219" ref="A4220"/>
    <hyperlink r:id="rId4220" ref="A4221"/>
    <hyperlink r:id="rId4221" ref="A4222"/>
    <hyperlink r:id="rId4222" ref="A4223"/>
    <hyperlink r:id="rId4223" ref="A4224"/>
    <hyperlink r:id="rId4224" ref="A4225"/>
    <hyperlink r:id="rId4225" ref="A4226"/>
    <hyperlink r:id="rId4226" ref="A4227"/>
    <hyperlink r:id="rId4227" ref="A4228"/>
    <hyperlink r:id="rId4228" ref="A4229"/>
    <hyperlink r:id="rId4229" ref="A4230"/>
    <hyperlink r:id="rId4230" ref="A4231"/>
    <hyperlink r:id="rId4231" ref="A4232"/>
    <hyperlink r:id="rId4232" ref="A4233"/>
    <hyperlink r:id="rId4233" ref="A4234"/>
    <hyperlink r:id="rId4234" ref="A4235"/>
    <hyperlink r:id="rId4235" ref="A4236"/>
    <hyperlink r:id="rId4236" ref="A4237"/>
    <hyperlink r:id="rId4237" ref="A4238"/>
    <hyperlink r:id="rId4238" ref="A4239"/>
    <hyperlink r:id="rId4239" ref="A4240"/>
    <hyperlink r:id="rId4240" ref="A4241"/>
    <hyperlink r:id="rId4241" ref="A4242"/>
    <hyperlink r:id="rId4242" ref="A4243"/>
    <hyperlink r:id="rId4243" ref="A4244"/>
    <hyperlink r:id="rId4244" ref="A4245"/>
    <hyperlink r:id="rId4245" ref="A4246"/>
    <hyperlink r:id="rId4246" ref="A4247"/>
    <hyperlink r:id="rId4247" ref="A4248"/>
    <hyperlink r:id="rId4248" ref="A4249"/>
    <hyperlink r:id="rId4249" ref="A4250"/>
    <hyperlink r:id="rId4250" ref="A4251"/>
    <hyperlink r:id="rId4251" ref="A4252"/>
    <hyperlink r:id="rId4252" ref="A4253"/>
    <hyperlink r:id="rId4253" ref="A4254"/>
    <hyperlink r:id="rId4254" ref="A4255"/>
    <hyperlink r:id="rId4255" ref="A4256"/>
    <hyperlink r:id="rId4256" ref="A4257"/>
    <hyperlink r:id="rId4257" ref="A4258"/>
    <hyperlink r:id="rId4258" ref="A4259"/>
    <hyperlink r:id="rId4259" ref="A4260"/>
    <hyperlink r:id="rId4260" ref="A4261"/>
    <hyperlink r:id="rId4261" ref="A4262"/>
    <hyperlink r:id="rId4262" ref="A4263"/>
    <hyperlink r:id="rId4263" ref="A4264"/>
    <hyperlink r:id="rId4264" ref="A4265"/>
    <hyperlink r:id="rId4265" ref="A4266"/>
    <hyperlink r:id="rId4266" ref="A4267"/>
    <hyperlink r:id="rId4267" ref="A4268"/>
    <hyperlink r:id="rId4268" ref="A4269"/>
    <hyperlink r:id="rId4269" ref="A4270"/>
    <hyperlink r:id="rId4270" ref="A4271"/>
    <hyperlink r:id="rId4271" ref="A4272"/>
    <hyperlink r:id="rId4272" ref="A4273"/>
    <hyperlink r:id="rId4273" ref="A4274"/>
    <hyperlink r:id="rId4274" ref="A4275"/>
    <hyperlink r:id="rId4275" ref="A4276"/>
    <hyperlink r:id="rId4276" ref="A4277"/>
    <hyperlink r:id="rId4277" ref="A4278"/>
    <hyperlink r:id="rId4278" ref="A4279"/>
    <hyperlink r:id="rId4279" ref="A4280"/>
    <hyperlink r:id="rId4280" ref="A4281"/>
    <hyperlink r:id="rId4281" ref="A4282"/>
    <hyperlink r:id="rId4282" ref="A4283"/>
    <hyperlink r:id="rId4283" ref="A4284"/>
    <hyperlink r:id="rId4284" ref="A4285"/>
    <hyperlink r:id="rId4285" ref="A4286"/>
    <hyperlink r:id="rId4286" ref="A4287"/>
    <hyperlink r:id="rId4287" ref="A4288"/>
    <hyperlink r:id="rId4288" ref="A4289"/>
    <hyperlink r:id="rId4289" ref="A4290"/>
    <hyperlink r:id="rId4290" ref="A4291"/>
    <hyperlink r:id="rId4291" ref="A4292"/>
    <hyperlink r:id="rId4292" ref="A4293"/>
    <hyperlink r:id="rId4293" ref="A4294"/>
    <hyperlink r:id="rId4294" ref="A4295"/>
    <hyperlink r:id="rId4295" ref="A4296"/>
    <hyperlink r:id="rId4296" ref="A4297"/>
    <hyperlink r:id="rId4297" ref="A4298"/>
    <hyperlink r:id="rId4298" ref="A4299"/>
    <hyperlink r:id="rId4299" ref="A4300"/>
    <hyperlink r:id="rId4300" ref="A4301"/>
    <hyperlink r:id="rId4301" ref="A4302"/>
    <hyperlink r:id="rId4302" ref="A4303"/>
    <hyperlink r:id="rId4303" ref="A4304"/>
    <hyperlink r:id="rId4304" ref="A4305"/>
    <hyperlink r:id="rId4305" ref="A4306"/>
    <hyperlink r:id="rId4306" ref="A4307"/>
    <hyperlink r:id="rId4307" ref="A4308"/>
    <hyperlink r:id="rId4308" ref="A4309"/>
    <hyperlink r:id="rId4309" ref="A4310"/>
    <hyperlink r:id="rId4310" ref="A4311"/>
    <hyperlink r:id="rId4311" ref="A4312"/>
    <hyperlink r:id="rId4312" ref="A4313"/>
    <hyperlink r:id="rId4313" ref="A4314"/>
    <hyperlink r:id="rId4314" ref="A4315"/>
    <hyperlink r:id="rId4315" ref="A4316"/>
    <hyperlink r:id="rId4316" ref="A4317"/>
    <hyperlink r:id="rId4317" ref="A4318"/>
    <hyperlink r:id="rId4318" ref="A4319"/>
    <hyperlink r:id="rId4319" ref="A4320"/>
    <hyperlink r:id="rId4320" ref="A4321"/>
    <hyperlink r:id="rId4321" ref="A4322"/>
    <hyperlink r:id="rId4322" ref="A4323"/>
    <hyperlink r:id="rId4323" ref="A4324"/>
    <hyperlink r:id="rId4324" ref="A4325"/>
    <hyperlink r:id="rId4325" ref="A4326"/>
    <hyperlink r:id="rId4326" ref="A4327"/>
    <hyperlink r:id="rId4327" ref="A4328"/>
    <hyperlink r:id="rId4328" ref="A4329"/>
    <hyperlink r:id="rId4329" ref="A4330"/>
    <hyperlink r:id="rId4330" ref="A4331"/>
    <hyperlink r:id="rId4331" ref="A4332"/>
    <hyperlink r:id="rId4332" ref="A4333"/>
    <hyperlink r:id="rId4333" ref="A4334"/>
    <hyperlink r:id="rId4334" ref="A4335"/>
    <hyperlink r:id="rId4335" ref="A4336"/>
    <hyperlink r:id="rId4336" ref="A4337"/>
    <hyperlink r:id="rId4337" ref="A4338"/>
    <hyperlink r:id="rId4338" ref="A4339"/>
    <hyperlink r:id="rId4339" ref="A4340"/>
    <hyperlink r:id="rId4340" ref="A4341"/>
    <hyperlink r:id="rId4341" ref="A4342"/>
    <hyperlink r:id="rId4342" ref="A4343"/>
    <hyperlink r:id="rId4343" ref="A4344"/>
    <hyperlink r:id="rId4344" ref="A4345"/>
    <hyperlink r:id="rId4345" ref="A4346"/>
    <hyperlink r:id="rId4346" ref="A4347"/>
    <hyperlink r:id="rId4347" ref="A4348"/>
    <hyperlink r:id="rId4348" ref="A4349"/>
    <hyperlink r:id="rId4349" ref="A4350"/>
    <hyperlink r:id="rId4350" ref="A4351"/>
    <hyperlink r:id="rId4351" ref="A4352"/>
    <hyperlink r:id="rId4352" ref="A4353"/>
    <hyperlink r:id="rId4353" ref="A4354"/>
    <hyperlink r:id="rId4354" ref="A4355"/>
    <hyperlink r:id="rId4355" ref="A4356"/>
    <hyperlink r:id="rId4356" ref="A4357"/>
    <hyperlink r:id="rId4357" ref="A4358"/>
    <hyperlink r:id="rId4358" ref="A4359"/>
    <hyperlink r:id="rId4359" ref="A4360"/>
    <hyperlink r:id="rId4360" ref="A4361"/>
    <hyperlink r:id="rId4361" ref="A4362"/>
    <hyperlink r:id="rId4362" ref="A4363"/>
    <hyperlink r:id="rId4363" ref="A4364"/>
    <hyperlink r:id="rId4364" ref="A4365"/>
    <hyperlink r:id="rId4365" ref="A4366"/>
    <hyperlink r:id="rId4366" ref="A4367"/>
    <hyperlink r:id="rId4367" ref="A4368"/>
    <hyperlink r:id="rId4368" ref="A4369"/>
    <hyperlink r:id="rId4369" ref="A4370"/>
    <hyperlink r:id="rId4370" ref="A4371"/>
    <hyperlink r:id="rId4371" ref="A4372"/>
    <hyperlink r:id="rId4372" ref="A4373"/>
    <hyperlink r:id="rId4373" ref="A4374"/>
    <hyperlink r:id="rId4374" ref="A4375"/>
    <hyperlink r:id="rId4375" ref="A4376"/>
    <hyperlink r:id="rId4376" ref="A4377"/>
    <hyperlink r:id="rId4377" ref="A4378"/>
    <hyperlink r:id="rId4378" ref="A4379"/>
    <hyperlink r:id="rId4379" ref="A4380"/>
    <hyperlink r:id="rId4380" ref="A4381"/>
    <hyperlink r:id="rId4381" ref="A4382"/>
    <hyperlink r:id="rId4382" ref="A4383"/>
    <hyperlink r:id="rId4383" ref="A4384"/>
    <hyperlink r:id="rId4384" ref="A4385"/>
    <hyperlink r:id="rId4385" ref="A4386"/>
    <hyperlink r:id="rId4386" ref="A4387"/>
    <hyperlink r:id="rId4387" ref="A4388"/>
    <hyperlink r:id="rId4388" ref="A4389"/>
    <hyperlink r:id="rId4389" ref="A4390"/>
    <hyperlink r:id="rId4390" ref="A4391"/>
    <hyperlink r:id="rId4391" ref="A4392"/>
    <hyperlink r:id="rId4392" ref="A4393"/>
    <hyperlink r:id="rId4393" ref="A4394"/>
    <hyperlink r:id="rId4394" ref="A4395"/>
    <hyperlink r:id="rId4395" ref="A4396"/>
    <hyperlink r:id="rId4396" ref="A4397"/>
    <hyperlink r:id="rId4397" ref="A4398"/>
    <hyperlink r:id="rId4398" ref="A4399"/>
    <hyperlink r:id="rId4399" ref="A4400"/>
    <hyperlink r:id="rId4400" ref="A4401"/>
    <hyperlink r:id="rId4401" ref="A4402"/>
    <hyperlink r:id="rId4402" ref="A4403"/>
    <hyperlink r:id="rId4403" ref="A4404"/>
    <hyperlink r:id="rId4404" ref="A4405"/>
    <hyperlink r:id="rId4405" ref="A4406"/>
    <hyperlink r:id="rId4406" ref="A4407"/>
    <hyperlink r:id="rId4407" ref="A4408"/>
    <hyperlink r:id="rId4408" ref="A4409"/>
    <hyperlink r:id="rId4409" ref="A4410"/>
    <hyperlink r:id="rId4410" ref="A4411"/>
    <hyperlink r:id="rId4411" ref="A4412"/>
    <hyperlink r:id="rId4412" ref="A4413"/>
    <hyperlink r:id="rId4413" ref="A4414"/>
    <hyperlink r:id="rId4414" ref="A4415"/>
    <hyperlink r:id="rId4415" ref="A4416"/>
    <hyperlink r:id="rId4416" ref="A4417"/>
    <hyperlink r:id="rId4417" ref="A4418"/>
    <hyperlink r:id="rId4418" ref="A4419"/>
    <hyperlink r:id="rId4419" ref="A4420"/>
    <hyperlink r:id="rId4420" ref="A4421"/>
    <hyperlink r:id="rId4421" ref="A4422"/>
    <hyperlink r:id="rId4422" ref="A4423"/>
    <hyperlink r:id="rId4423" ref="A4424"/>
    <hyperlink r:id="rId4424" ref="A4425"/>
    <hyperlink r:id="rId4425" ref="A4426"/>
    <hyperlink r:id="rId4426" ref="A4427"/>
    <hyperlink r:id="rId4427" ref="A4428"/>
    <hyperlink r:id="rId4428" ref="A4429"/>
    <hyperlink r:id="rId4429" ref="A4430"/>
    <hyperlink r:id="rId4430" ref="A4431"/>
    <hyperlink r:id="rId4431" ref="A4432"/>
    <hyperlink r:id="rId4432" ref="A4433"/>
    <hyperlink r:id="rId4433" ref="A4434"/>
    <hyperlink r:id="rId4434" ref="A4435"/>
    <hyperlink r:id="rId4435" ref="A4436"/>
    <hyperlink r:id="rId4436" ref="A4437"/>
    <hyperlink r:id="rId4437" ref="A4438"/>
    <hyperlink r:id="rId4438" ref="A4439"/>
    <hyperlink r:id="rId4439" ref="A4440"/>
    <hyperlink r:id="rId4440" ref="A4441"/>
    <hyperlink r:id="rId4441" ref="A4442"/>
    <hyperlink r:id="rId4442" ref="A4443"/>
    <hyperlink r:id="rId4443" ref="A4444"/>
    <hyperlink r:id="rId4444" ref="A4445"/>
    <hyperlink r:id="rId4445" ref="A4446"/>
    <hyperlink r:id="rId4446" ref="A4447"/>
    <hyperlink r:id="rId4447" ref="A4448"/>
    <hyperlink r:id="rId4448" ref="A4449"/>
    <hyperlink r:id="rId4449" ref="A4450"/>
    <hyperlink r:id="rId4450" ref="A4451"/>
    <hyperlink r:id="rId4451" ref="A4452"/>
    <hyperlink r:id="rId4452" ref="A4453"/>
    <hyperlink r:id="rId4453" ref="A4454"/>
    <hyperlink r:id="rId4454" ref="A4455"/>
    <hyperlink r:id="rId4455" ref="A4456"/>
    <hyperlink r:id="rId4456" ref="A4457"/>
    <hyperlink r:id="rId4457" ref="A4458"/>
    <hyperlink r:id="rId4458" ref="A4459"/>
    <hyperlink r:id="rId4459" ref="A4460"/>
    <hyperlink r:id="rId4460" ref="A4461"/>
    <hyperlink r:id="rId4461" ref="A4462"/>
    <hyperlink r:id="rId4462" ref="A4463"/>
    <hyperlink r:id="rId4463" ref="A4464"/>
    <hyperlink r:id="rId4464" ref="A4465"/>
    <hyperlink r:id="rId4465" ref="A4466"/>
    <hyperlink r:id="rId4466" ref="A4467"/>
    <hyperlink r:id="rId4467" ref="A4468"/>
    <hyperlink r:id="rId4468" ref="A4469"/>
    <hyperlink r:id="rId4469" ref="A4470"/>
    <hyperlink r:id="rId4470" ref="A4471"/>
    <hyperlink r:id="rId4471" ref="A4472"/>
    <hyperlink r:id="rId4472" ref="A4473"/>
    <hyperlink r:id="rId4473" ref="A4474"/>
    <hyperlink r:id="rId4474" ref="A4475"/>
    <hyperlink r:id="rId4475" ref="A4476"/>
    <hyperlink r:id="rId4476" ref="A4477"/>
    <hyperlink r:id="rId4477" ref="A4478"/>
    <hyperlink r:id="rId4478" ref="A4479"/>
    <hyperlink r:id="rId4479" ref="A4480"/>
    <hyperlink r:id="rId4480" ref="A4481"/>
    <hyperlink r:id="rId4481" ref="A4482"/>
    <hyperlink r:id="rId4482" ref="A4483"/>
    <hyperlink r:id="rId4483" ref="A4484"/>
    <hyperlink r:id="rId4484" ref="A4485"/>
    <hyperlink r:id="rId4485" ref="A4486"/>
    <hyperlink r:id="rId4486" ref="A4487"/>
    <hyperlink r:id="rId4487" ref="A4488"/>
    <hyperlink r:id="rId4488" ref="A4489"/>
    <hyperlink r:id="rId4489" ref="A4490"/>
    <hyperlink r:id="rId4490" ref="A4491"/>
    <hyperlink r:id="rId4491" ref="A4492"/>
    <hyperlink r:id="rId4492" ref="A4493"/>
    <hyperlink r:id="rId4493" ref="A4494"/>
    <hyperlink r:id="rId4494" ref="A4495"/>
    <hyperlink r:id="rId4495" ref="A4496"/>
    <hyperlink r:id="rId4496" ref="A4497"/>
    <hyperlink r:id="rId4497" ref="A4498"/>
    <hyperlink r:id="rId4498" ref="A4499"/>
    <hyperlink r:id="rId4499" ref="A4500"/>
    <hyperlink r:id="rId4500" ref="A4501"/>
    <hyperlink r:id="rId4501" ref="A4502"/>
    <hyperlink r:id="rId4502" ref="A4503"/>
    <hyperlink r:id="rId4503" ref="A4504"/>
    <hyperlink r:id="rId4504" ref="A4505"/>
    <hyperlink r:id="rId4505" ref="A4506"/>
    <hyperlink r:id="rId4506" ref="A4507"/>
    <hyperlink r:id="rId4507" ref="A4508"/>
    <hyperlink r:id="rId4508" ref="A4509"/>
    <hyperlink r:id="rId4509" ref="A4510"/>
    <hyperlink r:id="rId4510" ref="A4511"/>
    <hyperlink r:id="rId4511" ref="A4512"/>
    <hyperlink r:id="rId4512" ref="A4513"/>
    <hyperlink r:id="rId4513" ref="A4514"/>
    <hyperlink r:id="rId4514" ref="A4515"/>
    <hyperlink r:id="rId4515" ref="A4516"/>
    <hyperlink r:id="rId4516" ref="A4517"/>
    <hyperlink r:id="rId4517" ref="A4518"/>
    <hyperlink r:id="rId4518" ref="A4519"/>
    <hyperlink r:id="rId4519" ref="A4520"/>
    <hyperlink r:id="rId4520" ref="A4521"/>
    <hyperlink r:id="rId4521" ref="A4522"/>
    <hyperlink r:id="rId4522" ref="A4523"/>
    <hyperlink r:id="rId4523" ref="A4524"/>
    <hyperlink r:id="rId4524" ref="A4525"/>
    <hyperlink r:id="rId4525" ref="A4526"/>
    <hyperlink r:id="rId4526" ref="A4527"/>
    <hyperlink r:id="rId4527" ref="A4528"/>
    <hyperlink r:id="rId4528" ref="A4529"/>
    <hyperlink r:id="rId4529" ref="A4530"/>
    <hyperlink r:id="rId4530" ref="A4531"/>
    <hyperlink r:id="rId4531" ref="A4532"/>
    <hyperlink r:id="rId4532" ref="A4533"/>
    <hyperlink r:id="rId4533" ref="A4534"/>
    <hyperlink r:id="rId4534" ref="A4535"/>
    <hyperlink r:id="rId4535" ref="A4536"/>
    <hyperlink r:id="rId4536" ref="A4537"/>
    <hyperlink r:id="rId4537" ref="A4538"/>
    <hyperlink r:id="rId4538" ref="A4539"/>
    <hyperlink r:id="rId4539" ref="A4540"/>
    <hyperlink r:id="rId4540" ref="A4541"/>
    <hyperlink r:id="rId4541" ref="A4542"/>
    <hyperlink r:id="rId4542" ref="A4543"/>
    <hyperlink r:id="rId4543" ref="A4544"/>
    <hyperlink r:id="rId4544" ref="A4545"/>
    <hyperlink r:id="rId4545" ref="A4546"/>
    <hyperlink r:id="rId4546" ref="A4547"/>
    <hyperlink r:id="rId4547" ref="A4548"/>
    <hyperlink r:id="rId4548" ref="A4549"/>
    <hyperlink r:id="rId4549" ref="A4550"/>
    <hyperlink r:id="rId4550" ref="A4551"/>
    <hyperlink r:id="rId4551" ref="A4552"/>
    <hyperlink r:id="rId4552" ref="A4553"/>
    <hyperlink r:id="rId4553" ref="A4554"/>
    <hyperlink r:id="rId4554" ref="A4555"/>
    <hyperlink r:id="rId4555" ref="A4556"/>
    <hyperlink r:id="rId4556" ref="A4557"/>
    <hyperlink r:id="rId4557" ref="A4558"/>
    <hyperlink r:id="rId4558" ref="A4559"/>
    <hyperlink r:id="rId4559" ref="A4560"/>
    <hyperlink r:id="rId4560" ref="A4561"/>
    <hyperlink r:id="rId4561" ref="A4562"/>
    <hyperlink r:id="rId4562" ref="A4563"/>
    <hyperlink r:id="rId4563" ref="A4564"/>
    <hyperlink r:id="rId4564" ref="A4565"/>
    <hyperlink r:id="rId4565" ref="A4566"/>
    <hyperlink r:id="rId4566" ref="A4567"/>
    <hyperlink r:id="rId4567" ref="A4568"/>
    <hyperlink r:id="rId4568" ref="A4569"/>
    <hyperlink r:id="rId4569" ref="A4570"/>
    <hyperlink r:id="rId4570" ref="A4571"/>
    <hyperlink r:id="rId4571" ref="A4572"/>
    <hyperlink r:id="rId4572" ref="A4573"/>
    <hyperlink r:id="rId4573" ref="A4574"/>
    <hyperlink r:id="rId4574" ref="A4575"/>
    <hyperlink r:id="rId4575" ref="A4576"/>
    <hyperlink r:id="rId4576" ref="A4577"/>
    <hyperlink r:id="rId4577" ref="A4578"/>
    <hyperlink r:id="rId4578" ref="A4579"/>
    <hyperlink r:id="rId4579" ref="A4580"/>
    <hyperlink r:id="rId4580" ref="A4581"/>
    <hyperlink r:id="rId4581" ref="A4582"/>
    <hyperlink r:id="rId4582" ref="A4583"/>
    <hyperlink r:id="rId4583" ref="A4584"/>
    <hyperlink r:id="rId4584" ref="A4585"/>
    <hyperlink r:id="rId4585" ref="A4586"/>
    <hyperlink r:id="rId4586" ref="A4587"/>
    <hyperlink r:id="rId4587" ref="A4588"/>
    <hyperlink r:id="rId4588" ref="A4589"/>
    <hyperlink r:id="rId4589" ref="A4590"/>
    <hyperlink r:id="rId4590" ref="A4591"/>
    <hyperlink r:id="rId4591" ref="A4592"/>
    <hyperlink r:id="rId4592" ref="A4593"/>
    <hyperlink r:id="rId4593" ref="A4594"/>
    <hyperlink r:id="rId4594" ref="A4595"/>
    <hyperlink r:id="rId4595" ref="A4596"/>
    <hyperlink r:id="rId4596" ref="A4597"/>
    <hyperlink r:id="rId4597" ref="A4598"/>
    <hyperlink r:id="rId4598" ref="A4599"/>
    <hyperlink r:id="rId4599" ref="A4600"/>
    <hyperlink r:id="rId4600" ref="A4601"/>
    <hyperlink r:id="rId4601" ref="A4602"/>
    <hyperlink r:id="rId4602" ref="A4603"/>
    <hyperlink r:id="rId4603" ref="A4604"/>
    <hyperlink r:id="rId4604" ref="A4605"/>
    <hyperlink r:id="rId4605" ref="A4606"/>
    <hyperlink r:id="rId4606" ref="A4607"/>
    <hyperlink r:id="rId4607" ref="A4608"/>
    <hyperlink r:id="rId4608" ref="A4609"/>
    <hyperlink r:id="rId4609" ref="A4610"/>
    <hyperlink r:id="rId4610" ref="A4611"/>
    <hyperlink r:id="rId4611" ref="A4612"/>
    <hyperlink r:id="rId4612" ref="A4613"/>
    <hyperlink r:id="rId4613" ref="A4614"/>
    <hyperlink r:id="rId4614" ref="A4615"/>
    <hyperlink r:id="rId4615" ref="A4616"/>
    <hyperlink r:id="rId4616" ref="A4617"/>
    <hyperlink r:id="rId4617" ref="A4618"/>
    <hyperlink r:id="rId4618" ref="A4619"/>
    <hyperlink r:id="rId4619" ref="A4620"/>
    <hyperlink r:id="rId4620" ref="A4621"/>
    <hyperlink r:id="rId4621" ref="A4622"/>
    <hyperlink r:id="rId4622" ref="A4623"/>
    <hyperlink r:id="rId4623" ref="A4624"/>
    <hyperlink r:id="rId4624" ref="A4625"/>
    <hyperlink r:id="rId4625" ref="A4626"/>
    <hyperlink r:id="rId4626" ref="A4627"/>
    <hyperlink r:id="rId4627" ref="A4628"/>
    <hyperlink r:id="rId4628" ref="A4629"/>
    <hyperlink r:id="rId4629" ref="A4630"/>
    <hyperlink r:id="rId4630" ref="A4631"/>
    <hyperlink r:id="rId4631" ref="A4632"/>
    <hyperlink r:id="rId4632" ref="A4633"/>
    <hyperlink r:id="rId4633" ref="A4634"/>
    <hyperlink r:id="rId4634" ref="A4635"/>
    <hyperlink r:id="rId4635" ref="A4636"/>
    <hyperlink r:id="rId4636" ref="A4637"/>
    <hyperlink r:id="rId4637" ref="A4638"/>
    <hyperlink r:id="rId4638" ref="A4639"/>
    <hyperlink r:id="rId4639" ref="A4640"/>
    <hyperlink r:id="rId4640" ref="A4641"/>
    <hyperlink r:id="rId4641" ref="A4642"/>
    <hyperlink r:id="rId4642" ref="A4643"/>
    <hyperlink r:id="rId4643" ref="A4644"/>
    <hyperlink r:id="rId4644" ref="A4645"/>
    <hyperlink r:id="rId4645" ref="A4646"/>
    <hyperlink r:id="rId4646" ref="A4647"/>
    <hyperlink r:id="rId4647" ref="A4648"/>
    <hyperlink r:id="rId4648" ref="A4649"/>
    <hyperlink r:id="rId4649" ref="A4650"/>
    <hyperlink r:id="rId4650" ref="A4651"/>
    <hyperlink r:id="rId4651" ref="A4652"/>
    <hyperlink r:id="rId4652" ref="A4653"/>
    <hyperlink r:id="rId4653" ref="A4654"/>
    <hyperlink r:id="rId4654" ref="A4655"/>
    <hyperlink r:id="rId4655" ref="A4656"/>
    <hyperlink r:id="rId4656" ref="A4657"/>
    <hyperlink r:id="rId4657" ref="A4658"/>
    <hyperlink r:id="rId4658" ref="A4659"/>
    <hyperlink r:id="rId4659" ref="A4660"/>
    <hyperlink r:id="rId4660" ref="A4661"/>
    <hyperlink r:id="rId4661" ref="A4662"/>
    <hyperlink r:id="rId4662" ref="A4663"/>
    <hyperlink r:id="rId4663" ref="A4664"/>
    <hyperlink r:id="rId4664" ref="A4665"/>
    <hyperlink r:id="rId4665" ref="A4666"/>
    <hyperlink r:id="rId4666" ref="A4667"/>
    <hyperlink r:id="rId4667" ref="A4668"/>
    <hyperlink r:id="rId4668" ref="A4669"/>
    <hyperlink r:id="rId4669" ref="A4670"/>
    <hyperlink r:id="rId4670" ref="A4671"/>
    <hyperlink r:id="rId4671" ref="A4672"/>
    <hyperlink r:id="rId4672" ref="A4673"/>
    <hyperlink r:id="rId4673" ref="A4674"/>
    <hyperlink r:id="rId4674" ref="A4675"/>
    <hyperlink r:id="rId4675" ref="A4676"/>
    <hyperlink r:id="rId4676" ref="A4677"/>
    <hyperlink r:id="rId4677" ref="A4678"/>
    <hyperlink r:id="rId4678" ref="A4679"/>
    <hyperlink r:id="rId4679" ref="A4680"/>
    <hyperlink r:id="rId4680" ref="A4681"/>
    <hyperlink r:id="rId4681" ref="A4682"/>
    <hyperlink r:id="rId4682" ref="A4683"/>
    <hyperlink r:id="rId4683" ref="A4684"/>
    <hyperlink r:id="rId4684" ref="A4685"/>
    <hyperlink r:id="rId4685" ref="A4686"/>
    <hyperlink r:id="rId4686" ref="A4687"/>
    <hyperlink r:id="rId4687" ref="A4688"/>
    <hyperlink r:id="rId4688" ref="A4689"/>
    <hyperlink r:id="rId4689" ref="A4690"/>
    <hyperlink r:id="rId4690" ref="A4691"/>
    <hyperlink r:id="rId4691" ref="A4692"/>
    <hyperlink r:id="rId4692" ref="A4693"/>
    <hyperlink r:id="rId4693" ref="A4694"/>
    <hyperlink r:id="rId4694" ref="A4695"/>
    <hyperlink r:id="rId4695" ref="A4696"/>
    <hyperlink r:id="rId4696" ref="A4697"/>
    <hyperlink r:id="rId4697" ref="A4698"/>
    <hyperlink r:id="rId4698" ref="A4699"/>
    <hyperlink r:id="rId4699" ref="A4700"/>
    <hyperlink r:id="rId4700" ref="A4701"/>
    <hyperlink r:id="rId4701" ref="A4702"/>
    <hyperlink r:id="rId4702" ref="A4703"/>
    <hyperlink r:id="rId4703" ref="A4704"/>
    <hyperlink r:id="rId4704" ref="A4705"/>
    <hyperlink r:id="rId4705" ref="A4706"/>
    <hyperlink r:id="rId4706" ref="A4707"/>
    <hyperlink r:id="rId4707" ref="A4708"/>
    <hyperlink r:id="rId4708" ref="A4709"/>
    <hyperlink r:id="rId4709" ref="A4710"/>
    <hyperlink r:id="rId4710" ref="A4711"/>
    <hyperlink r:id="rId4711" ref="A4712"/>
    <hyperlink r:id="rId4712" ref="A4713"/>
    <hyperlink r:id="rId4713" ref="A4714"/>
    <hyperlink r:id="rId4714" ref="A4715"/>
    <hyperlink r:id="rId4715" ref="A4716"/>
    <hyperlink r:id="rId4716" ref="A4717"/>
    <hyperlink r:id="rId4717" ref="A4718"/>
    <hyperlink r:id="rId4718" ref="A4719"/>
    <hyperlink r:id="rId4719" ref="A4720"/>
    <hyperlink r:id="rId4720" ref="A4721"/>
    <hyperlink r:id="rId4721" ref="A4722"/>
    <hyperlink r:id="rId4722" ref="A4723"/>
    <hyperlink r:id="rId4723" ref="A4724"/>
    <hyperlink r:id="rId4724" ref="A4725"/>
    <hyperlink r:id="rId4725" ref="A4726"/>
    <hyperlink r:id="rId4726" ref="A4727"/>
    <hyperlink r:id="rId4727" ref="A4728"/>
    <hyperlink r:id="rId4728" ref="A4729"/>
    <hyperlink r:id="rId4729" ref="A4730"/>
    <hyperlink r:id="rId4730" ref="A4731"/>
    <hyperlink r:id="rId4731" ref="A4732"/>
    <hyperlink r:id="rId4732" ref="A4733"/>
    <hyperlink r:id="rId4733" ref="A4734"/>
    <hyperlink r:id="rId4734" ref="A4735"/>
    <hyperlink r:id="rId4735" ref="A4736"/>
    <hyperlink r:id="rId4736" ref="A4737"/>
    <hyperlink r:id="rId4737" ref="A4738"/>
    <hyperlink r:id="rId4738" ref="A4739"/>
    <hyperlink r:id="rId4739" ref="A4740"/>
    <hyperlink r:id="rId4740" ref="A4741"/>
    <hyperlink r:id="rId4741" ref="A4742"/>
    <hyperlink r:id="rId4742" ref="A4743"/>
    <hyperlink r:id="rId4743" ref="A4744"/>
    <hyperlink r:id="rId4744" ref="A4745"/>
    <hyperlink r:id="rId4745" ref="A4746"/>
    <hyperlink r:id="rId4746" ref="A4747"/>
    <hyperlink r:id="rId4747" ref="A4748"/>
    <hyperlink r:id="rId4748" ref="A4749"/>
    <hyperlink r:id="rId4749" ref="A4750"/>
    <hyperlink r:id="rId4750" ref="A4751"/>
    <hyperlink r:id="rId4751" ref="A4752"/>
    <hyperlink r:id="rId4752" ref="A4753"/>
    <hyperlink r:id="rId4753" ref="A4754"/>
    <hyperlink r:id="rId4754" ref="A4755"/>
    <hyperlink r:id="rId4755" ref="A4756"/>
    <hyperlink r:id="rId4756" ref="A4757"/>
    <hyperlink r:id="rId4757" ref="A4758"/>
    <hyperlink r:id="rId4758" ref="A4759"/>
    <hyperlink r:id="rId4759" ref="A4760"/>
    <hyperlink r:id="rId4760" ref="A4761"/>
    <hyperlink r:id="rId4761" ref="A4762"/>
    <hyperlink r:id="rId4762" ref="A4763"/>
    <hyperlink r:id="rId4763" ref="A4764"/>
    <hyperlink r:id="rId4764" ref="A4765"/>
    <hyperlink r:id="rId4765" ref="A4766"/>
    <hyperlink r:id="rId4766" ref="A4767"/>
    <hyperlink r:id="rId4767" ref="A4768"/>
    <hyperlink r:id="rId4768" ref="A4769"/>
    <hyperlink r:id="rId4769" ref="A4770"/>
    <hyperlink r:id="rId4770" ref="A4771"/>
    <hyperlink r:id="rId4771" ref="A4772"/>
    <hyperlink r:id="rId4772" ref="A4773"/>
    <hyperlink r:id="rId4773" ref="A4774"/>
    <hyperlink r:id="rId4774" ref="A4775"/>
    <hyperlink r:id="rId4775" ref="A4776"/>
    <hyperlink r:id="rId4776" ref="A4777"/>
    <hyperlink r:id="rId4777" ref="A4778"/>
    <hyperlink r:id="rId4778" ref="A4779"/>
    <hyperlink r:id="rId4779" ref="A4780"/>
    <hyperlink r:id="rId4780" ref="A4781"/>
    <hyperlink r:id="rId4781" ref="A4782"/>
    <hyperlink r:id="rId4782" ref="A4783"/>
    <hyperlink r:id="rId4783" ref="A4784"/>
    <hyperlink r:id="rId4784" ref="A4785"/>
    <hyperlink r:id="rId4785" ref="A4786"/>
    <hyperlink r:id="rId4786" ref="A4787"/>
    <hyperlink r:id="rId4787" ref="A4788"/>
    <hyperlink r:id="rId4788" ref="A4789"/>
    <hyperlink r:id="rId4789" ref="A4790"/>
    <hyperlink r:id="rId4790" ref="A4791"/>
    <hyperlink r:id="rId4791" ref="A4792"/>
    <hyperlink r:id="rId4792" ref="A4793"/>
    <hyperlink r:id="rId4793" ref="A4794"/>
    <hyperlink r:id="rId4794" ref="A4795"/>
    <hyperlink r:id="rId4795" ref="A4796"/>
    <hyperlink r:id="rId4796" ref="A4797"/>
    <hyperlink r:id="rId4797" ref="A4798"/>
    <hyperlink r:id="rId4798" ref="A4799"/>
    <hyperlink r:id="rId4799" ref="A4800"/>
    <hyperlink r:id="rId4800" ref="A4801"/>
    <hyperlink r:id="rId4801" ref="A4802"/>
    <hyperlink r:id="rId4802" ref="A4803"/>
    <hyperlink r:id="rId4803" ref="A4804"/>
    <hyperlink r:id="rId4804" ref="A4805"/>
    <hyperlink r:id="rId4805" ref="A4806"/>
    <hyperlink r:id="rId4806" ref="A4807"/>
    <hyperlink r:id="rId4807" ref="A4808"/>
    <hyperlink r:id="rId4808" ref="A4809"/>
    <hyperlink r:id="rId4809" ref="A4810"/>
    <hyperlink r:id="rId4810" ref="A4811"/>
    <hyperlink r:id="rId4811" ref="A4812"/>
    <hyperlink r:id="rId4812" ref="A4813"/>
    <hyperlink r:id="rId4813" ref="A4814"/>
    <hyperlink r:id="rId4814" ref="A4815"/>
    <hyperlink r:id="rId4815" ref="A4816"/>
    <hyperlink r:id="rId4816" ref="A4817"/>
    <hyperlink r:id="rId4817" ref="A4818"/>
    <hyperlink r:id="rId4818" ref="A4819"/>
    <hyperlink r:id="rId4819" ref="A4820"/>
    <hyperlink r:id="rId4820" ref="A4821"/>
    <hyperlink r:id="rId4821" ref="A4822"/>
    <hyperlink r:id="rId4822" ref="A4823"/>
    <hyperlink r:id="rId4823" ref="A4824"/>
    <hyperlink r:id="rId4824" ref="A4825"/>
    <hyperlink r:id="rId4825" ref="A4826"/>
    <hyperlink r:id="rId4826" ref="A4827"/>
    <hyperlink r:id="rId4827" ref="A4828"/>
    <hyperlink r:id="rId4828" ref="A4829"/>
    <hyperlink r:id="rId4829" ref="A4830"/>
    <hyperlink r:id="rId4830" ref="A4831"/>
    <hyperlink r:id="rId4831" ref="A4832"/>
    <hyperlink r:id="rId4832" ref="A4833"/>
    <hyperlink r:id="rId4833" ref="A4834"/>
    <hyperlink r:id="rId4834" ref="A4835"/>
    <hyperlink r:id="rId4835" ref="A4836"/>
    <hyperlink r:id="rId4836" ref="A4837"/>
    <hyperlink r:id="rId4837" ref="A4838"/>
    <hyperlink r:id="rId4838" ref="A4839"/>
    <hyperlink r:id="rId4839" ref="A4840"/>
    <hyperlink r:id="rId4840" ref="A4841"/>
    <hyperlink r:id="rId4841" ref="A4842"/>
    <hyperlink r:id="rId4842" ref="A4843"/>
    <hyperlink r:id="rId4843" ref="A4844"/>
    <hyperlink r:id="rId4844" ref="A4845"/>
    <hyperlink r:id="rId4845" ref="A4846"/>
    <hyperlink r:id="rId4846" ref="A4847"/>
    <hyperlink r:id="rId4847" ref="A4848"/>
    <hyperlink r:id="rId4848" ref="A4849"/>
    <hyperlink r:id="rId4849" ref="A4850"/>
    <hyperlink r:id="rId4850" ref="A4851"/>
    <hyperlink r:id="rId4851" ref="A4852"/>
    <hyperlink r:id="rId4852" ref="A4853"/>
    <hyperlink r:id="rId4853" ref="A4854"/>
    <hyperlink r:id="rId4854" ref="A4855"/>
    <hyperlink r:id="rId4855" ref="A4856"/>
    <hyperlink r:id="rId4856" ref="A4857"/>
    <hyperlink r:id="rId4857" ref="A4858"/>
    <hyperlink r:id="rId4858" ref="A4859"/>
    <hyperlink r:id="rId4859" ref="A4860"/>
    <hyperlink r:id="rId4860" ref="A4861"/>
    <hyperlink r:id="rId4861" ref="A4862"/>
    <hyperlink r:id="rId4862" ref="A4863"/>
    <hyperlink r:id="rId4863" ref="A4864"/>
    <hyperlink r:id="rId4864" ref="A4865"/>
    <hyperlink r:id="rId4865" ref="A4866"/>
    <hyperlink r:id="rId4866" ref="A4867"/>
    <hyperlink r:id="rId4867" ref="A4868"/>
    <hyperlink r:id="rId4868" ref="A4869"/>
    <hyperlink r:id="rId4869" ref="A4870"/>
    <hyperlink r:id="rId4870" ref="A4871"/>
    <hyperlink r:id="rId4871" ref="A4872"/>
    <hyperlink r:id="rId4872" ref="A4873"/>
    <hyperlink r:id="rId4873" ref="A4874"/>
    <hyperlink r:id="rId4874" ref="A4875"/>
    <hyperlink r:id="rId4875" ref="A4876"/>
    <hyperlink r:id="rId4876" ref="A4877"/>
    <hyperlink r:id="rId4877" ref="A4878"/>
    <hyperlink r:id="rId4878" ref="A4879"/>
    <hyperlink r:id="rId4879" ref="A4880"/>
    <hyperlink r:id="rId4880" ref="A4881"/>
    <hyperlink r:id="rId4881" ref="A4882"/>
    <hyperlink r:id="rId4882" ref="A4883"/>
    <hyperlink r:id="rId4883" ref="A4884"/>
    <hyperlink r:id="rId4884" ref="A4885"/>
    <hyperlink r:id="rId4885" ref="A4886"/>
    <hyperlink r:id="rId4886" ref="A4887"/>
    <hyperlink r:id="rId4887" ref="A4888"/>
    <hyperlink r:id="rId4888" ref="A4889"/>
    <hyperlink r:id="rId4889" ref="A4890"/>
    <hyperlink r:id="rId4890" ref="A4891"/>
    <hyperlink r:id="rId4891" ref="A4892"/>
    <hyperlink r:id="rId4892" ref="A4893"/>
    <hyperlink r:id="rId4893" ref="A4894"/>
    <hyperlink r:id="rId4894" ref="A4895"/>
    <hyperlink r:id="rId4895" ref="A4896"/>
    <hyperlink r:id="rId4896" ref="A4897"/>
    <hyperlink r:id="rId4897" ref="A4898"/>
    <hyperlink r:id="rId4898" ref="A4899"/>
    <hyperlink r:id="rId4899" ref="A4900"/>
    <hyperlink r:id="rId4900" ref="A4901"/>
    <hyperlink r:id="rId4901" ref="A4902"/>
    <hyperlink r:id="rId4902" ref="A4903"/>
    <hyperlink r:id="rId4903" ref="A4904"/>
    <hyperlink r:id="rId4904" ref="A4905"/>
    <hyperlink r:id="rId4905" ref="A4906"/>
    <hyperlink r:id="rId4906" ref="A4907"/>
    <hyperlink r:id="rId4907" ref="A4908"/>
    <hyperlink r:id="rId4908" ref="A4909"/>
    <hyperlink r:id="rId4909" ref="A4910"/>
    <hyperlink r:id="rId4910" ref="A4911"/>
    <hyperlink r:id="rId4911" ref="A4912"/>
    <hyperlink r:id="rId4912" ref="A4913"/>
    <hyperlink r:id="rId4913" ref="A4914"/>
    <hyperlink r:id="rId4914" ref="A4915"/>
    <hyperlink r:id="rId4915" ref="A4916"/>
    <hyperlink r:id="rId4916" ref="A4917"/>
    <hyperlink r:id="rId4917" ref="A4918"/>
    <hyperlink r:id="rId4918" ref="A4919"/>
    <hyperlink r:id="rId4919" ref="A4920"/>
    <hyperlink r:id="rId4920" ref="A4921"/>
    <hyperlink r:id="rId4921" ref="A4922"/>
    <hyperlink r:id="rId4922" ref="A4923"/>
    <hyperlink r:id="rId4923" ref="A4924"/>
    <hyperlink r:id="rId4924" ref="A4925"/>
    <hyperlink r:id="rId4925" ref="A4926"/>
    <hyperlink r:id="rId4926" ref="A4927"/>
    <hyperlink r:id="rId4927" ref="A4928"/>
    <hyperlink r:id="rId4928" ref="A4929"/>
    <hyperlink r:id="rId4929" ref="A4930"/>
    <hyperlink r:id="rId4930" ref="A4931"/>
    <hyperlink r:id="rId4931" ref="A4932"/>
    <hyperlink r:id="rId4932" ref="A4933"/>
    <hyperlink r:id="rId4933" ref="A4934"/>
    <hyperlink r:id="rId4934" ref="A4935"/>
    <hyperlink r:id="rId4935" ref="A4936"/>
    <hyperlink r:id="rId4936" ref="A4937"/>
    <hyperlink r:id="rId4937" ref="A4938"/>
    <hyperlink r:id="rId4938" ref="A4939"/>
    <hyperlink r:id="rId4939" ref="A4940"/>
    <hyperlink r:id="rId4940" ref="A4941"/>
    <hyperlink r:id="rId4941" ref="A4942"/>
    <hyperlink r:id="rId4942" ref="A4943"/>
    <hyperlink r:id="rId4943" ref="A4944"/>
    <hyperlink r:id="rId4944" ref="A4945"/>
    <hyperlink r:id="rId4945" ref="A4946"/>
    <hyperlink r:id="rId4946" ref="A4947"/>
    <hyperlink r:id="rId4947" ref="A4948"/>
    <hyperlink r:id="rId4948" ref="A4949"/>
    <hyperlink r:id="rId4949" ref="A4950"/>
    <hyperlink r:id="rId4950" ref="A4951"/>
    <hyperlink r:id="rId4951" ref="A4952"/>
    <hyperlink r:id="rId4952" ref="A4953"/>
    <hyperlink r:id="rId4953" ref="A4954"/>
    <hyperlink r:id="rId4954" ref="A4955"/>
    <hyperlink r:id="rId4955" ref="A4956"/>
    <hyperlink r:id="rId4956" ref="A4957"/>
    <hyperlink r:id="rId4957" ref="A4958"/>
    <hyperlink r:id="rId4958" ref="A4959"/>
    <hyperlink r:id="rId4959" ref="A4960"/>
    <hyperlink r:id="rId4960" ref="A4961"/>
    <hyperlink r:id="rId4961" ref="A4962"/>
    <hyperlink r:id="rId4962" ref="A4963"/>
    <hyperlink r:id="rId4963" ref="A4964"/>
    <hyperlink r:id="rId4964" ref="A4965"/>
    <hyperlink r:id="rId4965" ref="A4966"/>
    <hyperlink r:id="rId4966" ref="A4967"/>
    <hyperlink r:id="rId4967" ref="A4968"/>
    <hyperlink r:id="rId4968" ref="A4969"/>
    <hyperlink r:id="rId4969" ref="A4970"/>
    <hyperlink r:id="rId4970" ref="A4971"/>
    <hyperlink r:id="rId4971" ref="A4972"/>
    <hyperlink r:id="rId4972" ref="A4973"/>
    <hyperlink r:id="rId4973" ref="A4974"/>
    <hyperlink r:id="rId4974" ref="A4975"/>
    <hyperlink r:id="rId4975" ref="A4976"/>
    <hyperlink r:id="rId4976" ref="A4977"/>
    <hyperlink r:id="rId4977" ref="A4978"/>
    <hyperlink r:id="rId4978" ref="A4979"/>
    <hyperlink r:id="rId4979" ref="A4980"/>
    <hyperlink r:id="rId4980" ref="A4981"/>
    <hyperlink r:id="rId4981" ref="A4982"/>
    <hyperlink r:id="rId4982" ref="A4983"/>
    <hyperlink r:id="rId4983" ref="A4984"/>
    <hyperlink r:id="rId4984" ref="A4985"/>
    <hyperlink r:id="rId4985" ref="A4986"/>
    <hyperlink r:id="rId4986" ref="A4987"/>
    <hyperlink r:id="rId4987" ref="A4988"/>
    <hyperlink r:id="rId4988" ref="A4989"/>
    <hyperlink r:id="rId4989" ref="A4990"/>
    <hyperlink r:id="rId4990" ref="A4991"/>
    <hyperlink r:id="rId4991" ref="A4992"/>
    <hyperlink r:id="rId4992" ref="A4993"/>
    <hyperlink r:id="rId4993" ref="A4994"/>
    <hyperlink r:id="rId4994" ref="A4995"/>
    <hyperlink r:id="rId4995" ref="A4996"/>
    <hyperlink r:id="rId4996" ref="A4997"/>
    <hyperlink r:id="rId4997" ref="A4998"/>
    <hyperlink r:id="rId4998" ref="A4999"/>
    <hyperlink r:id="rId4999" ref="A5000"/>
    <hyperlink r:id="rId5000" ref="A5001"/>
    <hyperlink r:id="rId5001" ref="A5002"/>
    <hyperlink r:id="rId5002" ref="A5003"/>
    <hyperlink r:id="rId5003" ref="A5004"/>
    <hyperlink r:id="rId5004" ref="A5005"/>
    <hyperlink r:id="rId5005" ref="A5006"/>
    <hyperlink r:id="rId5006" ref="A5007"/>
    <hyperlink r:id="rId5007" ref="A5008"/>
    <hyperlink r:id="rId5008" ref="A5009"/>
    <hyperlink r:id="rId5009" ref="A5010"/>
    <hyperlink r:id="rId5010" ref="A5011"/>
    <hyperlink r:id="rId5011" ref="A5012"/>
    <hyperlink r:id="rId5012" ref="A5013"/>
    <hyperlink r:id="rId5013" ref="A5014"/>
    <hyperlink r:id="rId5014" ref="A5015"/>
    <hyperlink r:id="rId5015" ref="A5016"/>
    <hyperlink r:id="rId5016" ref="A5017"/>
    <hyperlink r:id="rId5017" ref="A5018"/>
    <hyperlink r:id="rId5018" ref="A5019"/>
    <hyperlink r:id="rId5019" ref="A5020"/>
    <hyperlink r:id="rId5020" ref="A5021"/>
    <hyperlink r:id="rId5021" ref="A5022"/>
    <hyperlink r:id="rId5022" ref="A5023"/>
    <hyperlink r:id="rId5023" ref="A5024"/>
    <hyperlink r:id="rId5024" ref="A5025"/>
    <hyperlink r:id="rId5025" ref="A5026"/>
    <hyperlink r:id="rId5026" ref="A5027"/>
    <hyperlink r:id="rId5027" ref="A5028"/>
    <hyperlink r:id="rId5028" ref="A5029"/>
    <hyperlink r:id="rId5029" ref="A5030"/>
    <hyperlink r:id="rId5030" ref="A5031"/>
    <hyperlink r:id="rId5031" ref="A5032"/>
    <hyperlink r:id="rId5032" ref="A5033"/>
    <hyperlink r:id="rId5033" ref="A5034"/>
    <hyperlink r:id="rId5034" ref="A5035"/>
    <hyperlink r:id="rId5035" ref="A5036"/>
    <hyperlink r:id="rId5036" ref="A5037"/>
    <hyperlink r:id="rId5037" ref="A5038"/>
    <hyperlink r:id="rId5038" ref="A5039"/>
    <hyperlink r:id="rId5039" ref="A5040"/>
    <hyperlink r:id="rId5040" ref="A5041"/>
    <hyperlink r:id="rId5041" ref="A5042"/>
    <hyperlink r:id="rId5042" ref="A5043"/>
    <hyperlink r:id="rId5043" ref="A5044"/>
    <hyperlink r:id="rId5044" ref="A5045"/>
    <hyperlink r:id="rId5045" ref="A5046"/>
    <hyperlink r:id="rId5046" ref="A5047"/>
    <hyperlink r:id="rId5047" ref="A5048"/>
    <hyperlink r:id="rId5048" ref="A5049"/>
    <hyperlink r:id="rId5049" ref="A5050"/>
    <hyperlink r:id="rId5050" ref="A5051"/>
    <hyperlink r:id="rId5051" ref="A5052"/>
    <hyperlink r:id="rId5052" ref="A5053"/>
    <hyperlink r:id="rId5053" ref="A5054"/>
    <hyperlink r:id="rId5054" ref="A5055"/>
    <hyperlink r:id="rId5055" ref="A5056"/>
    <hyperlink r:id="rId5056" ref="A5057"/>
    <hyperlink r:id="rId5057" ref="A5058"/>
    <hyperlink r:id="rId5058" ref="A5059"/>
    <hyperlink r:id="rId5059" ref="A5060"/>
    <hyperlink r:id="rId5060" ref="A5061"/>
    <hyperlink r:id="rId5061" ref="A5062"/>
    <hyperlink r:id="rId5062" ref="A5063"/>
    <hyperlink r:id="rId5063" ref="A5064"/>
    <hyperlink r:id="rId5064" ref="A5065"/>
    <hyperlink r:id="rId5065" ref="A5066"/>
    <hyperlink r:id="rId5066" ref="A5067"/>
    <hyperlink r:id="rId5067" ref="A5068"/>
    <hyperlink r:id="rId5068" ref="A5069"/>
    <hyperlink r:id="rId5069" ref="A5070"/>
    <hyperlink r:id="rId5070" ref="A5071"/>
    <hyperlink r:id="rId5071" ref="A5072"/>
    <hyperlink r:id="rId5072" ref="A5073"/>
    <hyperlink r:id="rId5073" ref="A5074"/>
    <hyperlink r:id="rId5074" ref="A5075"/>
    <hyperlink r:id="rId5075" ref="A5076"/>
    <hyperlink r:id="rId5076" ref="A5077"/>
    <hyperlink r:id="rId5077" ref="A5078"/>
    <hyperlink r:id="rId5078" ref="A5079"/>
    <hyperlink r:id="rId5079" ref="A5080"/>
    <hyperlink r:id="rId5080" ref="A5081"/>
    <hyperlink r:id="rId5081" ref="A5082"/>
    <hyperlink r:id="rId5082" ref="A5083"/>
    <hyperlink r:id="rId5083" ref="A5084"/>
    <hyperlink r:id="rId5084" ref="A5085"/>
    <hyperlink r:id="rId5085" ref="A5086"/>
    <hyperlink r:id="rId5086" ref="A5087"/>
    <hyperlink r:id="rId5087" ref="A5088"/>
    <hyperlink r:id="rId5088" ref="A5089"/>
    <hyperlink r:id="rId5089" ref="A5090"/>
    <hyperlink r:id="rId5090" ref="A5091"/>
    <hyperlink r:id="rId5091" ref="A5092"/>
    <hyperlink r:id="rId5092" ref="A5093"/>
    <hyperlink r:id="rId5093" ref="A5094"/>
    <hyperlink r:id="rId5094" ref="A5095"/>
    <hyperlink r:id="rId5095" ref="A5096"/>
    <hyperlink r:id="rId5096" ref="A5097"/>
    <hyperlink r:id="rId5097" ref="A5098"/>
    <hyperlink r:id="rId5098" ref="A5099"/>
    <hyperlink r:id="rId5099" ref="A5100"/>
    <hyperlink r:id="rId5100" ref="A5101"/>
    <hyperlink r:id="rId5101" ref="A5102"/>
    <hyperlink r:id="rId5102" ref="A5103"/>
    <hyperlink r:id="rId5103" ref="A5104"/>
    <hyperlink r:id="rId5104" ref="A5105"/>
    <hyperlink r:id="rId5105" ref="A5106"/>
    <hyperlink r:id="rId5106" ref="A5107"/>
    <hyperlink r:id="rId5107" ref="A5108"/>
    <hyperlink r:id="rId5108" ref="A5109"/>
    <hyperlink r:id="rId5109" ref="A5110"/>
    <hyperlink r:id="rId5110" ref="A5111"/>
    <hyperlink r:id="rId5111" ref="A5112"/>
    <hyperlink r:id="rId5112" ref="A5113"/>
    <hyperlink r:id="rId5113" ref="A5114"/>
    <hyperlink r:id="rId5114" ref="A5115"/>
    <hyperlink r:id="rId5115" ref="A5116"/>
    <hyperlink r:id="rId5116" ref="A5117"/>
    <hyperlink r:id="rId5117" ref="A5118"/>
    <hyperlink r:id="rId5118" ref="A5119"/>
    <hyperlink r:id="rId5119" ref="A5120"/>
    <hyperlink r:id="rId5120" ref="A5121"/>
    <hyperlink r:id="rId5121" ref="A5122"/>
    <hyperlink r:id="rId5122" ref="A5123"/>
    <hyperlink r:id="rId5123" ref="A5124"/>
    <hyperlink r:id="rId5124" ref="A5125"/>
    <hyperlink r:id="rId5125" ref="A5126"/>
    <hyperlink r:id="rId5126" ref="A5127"/>
    <hyperlink r:id="rId5127" ref="A5128"/>
    <hyperlink r:id="rId5128" ref="A5129"/>
    <hyperlink r:id="rId5129" ref="A5130"/>
    <hyperlink r:id="rId5130" ref="A5131"/>
    <hyperlink r:id="rId5131" ref="A5132"/>
    <hyperlink r:id="rId5132" ref="A5133"/>
    <hyperlink r:id="rId5133" ref="A5134"/>
    <hyperlink r:id="rId5134" ref="A5135"/>
    <hyperlink r:id="rId5135" ref="A5136"/>
    <hyperlink r:id="rId5136" ref="A5137"/>
    <hyperlink r:id="rId5137" ref="A5138"/>
    <hyperlink r:id="rId5138" ref="A5139"/>
    <hyperlink r:id="rId5139" ref="A5140"/>
    <hyperlink r:id="rId5140" ref="A5141"/>
    <hyperlink r:id="rId5141" ref="A5142"/>
    <hyperlink r:id="rId5142" ref="A5143"/>
    <hyperlink r:id="rId5143" ref="A5144"/>
    <hyperlink r:id="rId5144" ref="A5145"/>
    <hyperlink r:id="rId5145" ref="A5146"/>
    <hyperlink r:id="rId5146" ref="A5147"/>
    <hyperlink r:id="rId5147" ref="A5148"/>
    <hyperlink r:id="rId5148" ref="A5149"/>
    <hyperlink r:id="rId5149" ref="A5150"/>
    <hyperlink r:id="rId5150" ref="A5151"/>
    <hyperlink r:id="rId5151" ref="A5152"/>
    <hyperlink r:id="rId5152" ref="A5153"/>
    <hyperlink r:id="rId5153" ref="A5154"/>
    <hyperlink r:id="rId5154" ref="A5155"/>
    <hyperlink r:id="rId5155" ref="A5156"/>
    <hyperlink r:id="rId5156" ref="A5157"/>
    <hyperlink r:id="rId5157" ref="A5158"/>
    <hyperlink r:id="rId5158" ref="A5159"/>
    <hyperlink r:id="rId5159" ref="A5160"/>
    <hyperlink r:id="rId5160" ref="A5161"/>
    <hyperlink r:id="rId5161" ref="A5162"/>
    <hyperlink r:id="rId5162" ref="A5163"/>
    <hyperlink r:id="rId5163" ref="A5164"/>
    <hyperlink r:id="rId5164" ref="A5165"/>
    <hyperlink r:id="rId5165" ref="A5166"/>
    <hyperlink r:id="rId5166" ref="A5167"/>
    <hyperlink r:id="rId5167" ref="A5168"/>
    <hyperlink r:id="rId5168" ref="A5169"/>
    <hyperlink r:id="rId5169" ref="A5170"/>
    <hyperlink r:id="rId5170" ref="A5171"/>
    <hyperlink r:id="rId5171" ref="A5172"/>
    <hyperlink r:id="rId5172" ref="A5173"/>
    <hyperlink r:id="rId5173" ref="A5174"/>
    <hyperlink r:id="rId5174" ref="A5175"/>
    <hyperlink r:id="rId5175" ref="A5176"/>
    <hyperlink r:id="rId5176" ref="A5177"/>
    <hyperlink r:id="rId5177" ref="A5178"/>
    <hyperlink r:id="rId5178" ref="A5179"/>
    <hyperlink r:id="rId5179" ref="A5180"/>
    <hyperlink r:id="rId5180" ref="A5181"/>
    <hyperlink r:id="rId5181" ref="A5182"/>
    <hyperlink r:id="rId5182" ref="A5183"/>
    <hyperlink r:id="rId5183" ref="A5184"/>
    <hyperlink r:id="rId5184" ref="A5185"/>
    <hyperlink r:id="rId5185" ref="A5186"/>
    <hyperlink r:id="rId5186" ref="A5187"/>
    <hyperlink r:id="rId5187" ref="A5188"/>
    <hyperlink r:id="rId5188" ref="A5189"/>
    <hyperlink r:id="rId5189" ref="A5190"/>
    <hyperlink r:id="rId5190" ref="A5191"/>
    <hyperlink r:id="rId5191" ref="A5192"/>
    <hyperlink r:id="rId5192" ref="A5193"/>
    <hyperlink r:id="rId5193" ref="A5194"/>
    <hyperlink r:id="rId5194" ref="A5195"/>
    <hyperlink r:id="rId5195" ref="A5196"/>
    <hyperlink r:id="rId5196" ref="A5197"/>
    <hyperlink r:id="rId5197" ref="A5198"/>
    <hyperlink r:id="rId5198" ref="A5199"/>
    <hyperlink r:id="rId5199" ref="A5200"/>
    <hyperlink r:id="rId5200" ref="A5201"/>
    <hyperlink r:id="rId5201" ref="A5202"/>
    <hyperlink r:id="rId5202" ref="A5203"/>
    <hyperlink r:id="rId5203" ref="A5204"/>
    <hyperlink r:id="rId5204" ref="A5205"/>
    <hyperlink r:id="rId5205" ref="A5206"/>
    <hyperlink r:id="rId5206" ref="A5207"/>
    <hyperlink r:id="rId5207" ref="A5208"/>
    <hyperlink r:id="rId5208" ref="A5209"/>
    <hyperlink r:id="rId5209" ref="A5210"/>
    <hyperlink r:id="rId5210" ref="A5211"/>
    <hyperlink r:id="rId5211" ref="A5212"/>
    <hyperlink r:id="rId5212" ref="A5213"/>
    <hyperlink r:id="rId5213" ref="A5214"/>
    <hyperlink r:id="rId5214" ref="A5215"/>
    <hyperlink r:id="rId5215" ref="A5216"/>
    <hyperlink r:id="rId5216" ref="A5217"/>
    <hyperlink r:id="rId5217" ref="A5218"/>
    <hyperlink r:id="rId5218" ref="A5219"/>
    <hyperlink r:id="rId5219" ref="A5220"/>
    <hyperlink r:id="rId5220" ref="A5221"/>
    <hyperlink r:id="rId5221" ref="A5222"/>
    <hyperlink r:id="rId5222" ref="A5223"/>
    <hyperlink r:id="rId5223" ref="A5224"/>
    <hyperlink r:id="rId5224" ref="A5225"/>
    <hyperlink r:id="rId5225" ref="A5226"/>
    <hyperlink r:id="rId5226" ref="A5227"/>
    <hyperlink r:id="rId5227" ref="A5228"/>
    <hyperlink r:id="rId5228" ref="A5229"/>
    <hyperlink r:id="rId5229" ref="A5230"/>
    <hyperlink r:id="rId5230" ref="A5231"/>
    <hyperlink r:id="rId5231" ref="A5232"/>
    <hyperlink r:id="rId5232" ref="A5233"/>
    <hyperlink r:id="rId5233" ref="A5234"/>
    <hyperlink r:id="rId5234" ref="A5235"/>
    <hyperlink r:id="rId5235" ref="A5236"/>
    <hyperlink r:id="rId5236" ref="A5237"/>
    <hyperlink r:id="rId5237" ref="A5238"/>
    <hyperlink r:id="rId5238" ref="A5239"/>
    <hyperlink r:id="rId5239" ref="A5240"/>
    <hyperlink r:id="rId5240" ref="A5241"/>
    <hyperlink r:id="rId5241" ref="A5242"/>
    <hyperlink r:id="rId5242" ref="A5243"/>
    <hyperlink r:id="rId5243" ref="A5244"/>
    <hyperlink r:id="rId5244" ref="A5245"/>
    <hyperlink r:id="rId5245" ref="A5246"/>
    <hyperlink r:id="rId5246" ref="A5247"/>
    <hyperlink r:id="rId5247" ref="A5248"/>
    <hyperlink r:id="rId5248" ref="A5249"/>
    <hyperlink r:id="rId5249" ref="A5250"/>
    <hyperlink r:id="rId5250" ref="A5251"/>
    <hyperlink r:id="rId5251" ref="A5252"/>
    <hyperlink r:id="rId5252" ref="A5253"/>
    <hyperlink r:id="rId5253" ref="A5254"/>
    <hyperlink r:id="rId5254" ref="A5255"/>
    <hyperlink r:id="rId5255" ref="A5256"/>
    <hyperlink r:id="rId5256" ref="A5257"/>
    <hyperlink r:id="rId5257" ref="A5258"/>
    <hyperlink r:id="rId5258" ref="A5259"/>
    <hyperlink r:id="rId5259" ref="A5260"/>
    <hyperlink r:id="rId5260" ref="A5261"/>
    <hyperlink r:id="rId5261" ref="A5262"/>
    <hyperlink r:id="rId5262" ref="A5263"/>
    <hyperlink r:id="rId5263" ref="A5264"/>
    <hyperlink r:id="rId5264" ref="A5265"/>
    <hyperlink r:id="rId5265" ref="A5266"/>
    <hyperlink r:id="rId5266" ref="A5267"/>
    <hyperlink r:id="rId5267" ref="A5268"/>
    <hyperlink r:id="rId5268" ref="A5269"/>
    <hyperlink r:id="rId5269" ref="A5270"/>
    <hyperlink r:id="rId5270" ref="A5271"/>
    <hyperlink r:id="rId5271" ref="A5272"/>
    <hyperlink r:id="rId5272" ref="A5273"/>
    <hyperlink r:id="rId5273" ref="A5274"/>
    <hyperlink r:id="rId5274" ref="A5275"/>
    <hyperlink r:id="rId5275" ref="A5276"/>
    <hyperlink r:id="rId5276" ref="A5277"/>
    <hyperlink r:id="rId5277" ref="A5278"/>
    <hyperlink r:id="rId5278" ref="A5279"/>
    <hyperlink r:id="rId5279" ref="A5280"/>
    <hyperlink r:id="rId5280" ref="A5281"/>
    <hyperlink r:id="rId5281" ref="A5282"/>
    <hyperlink r:id="rId5282" ref="A5283"/>
    <hyperlink r:id="rId5283" ref="A5284"/>
    <hyperlink r:id="rId5284" ref="A5285"/>
    <hyperlink r:id="rId5285" ref="A5286"/>
    <hyperlink r:id="rId5286" ref="A5287"/>
    <hyperlink r:id="rId5287" ref="A5288"/>
    <hyperlink r:id="rId5288" ref="A5289"/>
    <hyperlink r:id="rId5289" ref="A5290"/>
    <hyperlink r:id="rId5290" ref="A5291"/>
    <hyperlink r:id="rId5291" ref="A5292"/>
    <hyperlink r:id="rId5292" ref="A5293"/>
    <hyperlink r:id="rId5293" ref="A5294"/>
    <hyperlink r:id="rId5294" ref="A5295"/>
    <hyperlink r:id="rId5295" ref="A5296"/>
    <hyperlink r:id="rId5296" ref="A5297"/>
    <hyperlink r:id="rId5297" ref="A5298"/>
    <hyperlink r:id="rId5298" ref="A5299"/>
    <hyperlink r:id="rId5299" ref="A5300"/>
    <hyperlink r:id="rId5300" ref="A5301"/>
    <hyperlink r:id="rId5301" ref="A5302"/>
    <hyperlink r:id="rId5302" ref="A5303"/>
    <hyperlink r:id="rId5303" ref="A5304"/>
    <hyperlink r:id="rId5304" ref="A5305"/>
    <hyperlink r:id="rId5305" ref="A5306"/>
    <hyperlink r:id="rId5306" ref="A5307"/>
    <hyperlink r:id="rId5307" ref="A5308"/>
    <hyperlink r:id="rId5308" ref="A5309"/>
    <hyperlink r:id="rId5309" ref="A5310"/>
    <hyperlink r:id="rId5310" ref="A5311"/>
    <hyperlink r:id="rId5311" ref="A5312"/>
    <hyperlink r:id="rId5312" ref="A5313"/>
    <hyperlink r:id="rId5313" ref="A5314"/>
    <hyperlink r:id="rId5314" ref="A5315"/>
    <hyperlink r:id="rId5315" ref="A5316"/>
    <hyperlink r:id="rId5316" ref="A5317"/>
    <hyperlink r:id="rId5317" ref="A5318"/>
    <hyperlink r:id="rId5318" ref="A5319"/>
    <hyperlink r:id="rId5319" ref="A5320"/>
    <hyperlink r:id="rId5320" ref="A5321"/>
    <hyperlink r:id="rId5321" ref="A5322"/>
    <hyperlink r:id="rId5322" ref="A5323"/>
    <hyperlink r:id="rId5323" ref="A5324"/>
    <hyperlink r:id="rId5324" ref="A5325"/>
    <hyperlink r:id="rId5325" ref="A5326"/>
    <hyperlink r:id="rId5326" ref="A5327"/>
    <hyperlink r:id="rId5327" ref="A5328"/>
    <hyperlink r:id="rId5328" ref="A5329"/>
    <hyperlink r:id="rId5329" ref="A5330"/>
    <hyperlink r:id="rId5330" ref="A5331"/>
    <hyperlink r:id="rId5331" ref="A5332"/>
    <hyperlink r:id="rId5332" ref="A5333"/>
    <hyperlink r:id="rId5333" ref="A5334"/>
    <hyperlink r:id="rId5334" ref="A5335"/>
    <hyperlink r:id="rId5335" ref="A5336"/>
    <hyperlink r:id="rId5336" ref="A5337"/>
    <hyperlink r:id="rId5337" ref="A5338"/>
    <hyperlink r:id="rId5338" ref="A5339"/>
    <hyperlink r:id="rId5339" ref="A5340"/>
    <hyperlink r:id="rId5340" ref="A5341"/>
    <hyperlink r:id="rId5341" ref="A5342"/>
    <hyperlink r:id="rId5342" ref="A5343"/>
    <hyperlink r:id="rId5343" ref="A5344"/>
    <hyperlink r:id="rId5344" ref="A5345"/>
    <hyperlink r:id="rId5345" ref="A5346"/>
    <hyperlink r:id="rId5346" ref="A5347"/>
    <hyperlink r:id="rId5347" ref="A5348"/>
    <hyperlink r:id="rId5348" ref="A5349"/>
    <hyperlink r:id="rId5349" ref="A5350"/>
    <hyperlink r:id="rId5350" ref="A5351"/>
    <hyperlink r:id="rId5351" ref="A5352"/>
    <hyperlink r:id="rId5352" ref="A5353"/>
    <hyperlink r:id="rId5353" ref="A5354"/>
    <hyperlink r:id="rId5354" ref="A5355"/>
    <hyperlink r:id="rId5355" ref="A5356"/>
    <hyperlink r:id="rId5356" ref="A5357"/>
    <hyperlink r:id="rId5357" ref="A5358"/>
    <hyperlink r:id="rId5358" ref="A5359"/>
    <hyperlink r:id="rId5359" ref="A5360"/>
    <hyperlink r:id="rId5360" ref="A5361"/>
    <hyperlink r:id="rId5361" ref="A5362"/>
    <hyperlink r:id="rId5362" ref="A5363"/>
    <hyperlink r:id="rId5363" ref="A5364"/>
    <hyperlink r:id="rId5364" ref="A5365"/>
    <hyperlink r:id="rId5365" ref="A5366"/>
    <hyperlink r:id="rId5366" ref="A5367"/>
    <hyperlink r:id="rId5367" ref="A5368"/>
    <hyperlink r:id="rId5368" ref="A5369"/>
    <hyperlink r:id="rId5369" ref="A5370"/>
    <hyperlink r:id="rId5370" ref="A5371"/>
    <hyperlink r:id="rId5371" ref="A5372"/>
    <hyperlink r:id="rId5372" ref="A5373"/>
    <hyperlink r:id="rId5373" ref="A5374"/>
    <hyperlink r:id="rId5374" ref="A5375"/>
    <hyperlink r:id="rId5375" ref="A5376"/>
    <hyperlink r:id="rId5376" ref="A5377"/>
    <hyperlink r:id="rId5377" ref="A5378"/>
    <hyperlink r:id="rId5378" ref="A5379"/>
    <hyperlink r:id="rId5379" ref="A5380"/>
    <hyperlink r:id="rId5380" ref="A5381"/>
    <hyperlink r:id="rId5381" ref="A5382"/>
    <hyperlink r:id="rId5382" ref="A5383"/>
    <hyperlink r:id="rId5383" ref="A5384"/>
    <hyperlink r:id="rId5384" ref="A5385"/>
    <hyperlink r:id="rId5385" ref="A5386"/>
    <hyperlink r:id="rId5386" ref="A5387"/>
    <hyperlink r:id="rId5387" ref="A5388"/>
    <hyperlink r:id="rId5388" ref="A5389"/>
    <hyperlink r:id="rId5389" ref="A5390"/>
    <hyperlink r:id="rId5390" ref="A5391"/>
    <hyperlink r:id="rId5391" ref="A5392"/>
    <hyperlink r:id="rId5392" ref="A5393"/>
    <hyperlink r:id="rId5393" ref="A5394"/>
    <hyperlink r:id="rId5394" ref="A5395"/>
    <hyperlink r:id="rId5395" ref="A5396"/>
    <hyperlink r:id="rId5396" ref="A5397"/>
    <hyperlink r:id="rId5397" ref="A5398"/>
    <hyperlink r:id="rId5398" ref="A5399"/>
    <hyperlink r:id="rId5399" ref="A5400"/>
    <hyperlink r:id="rId5400" ref="A5401"/>
    <hyperlink r:id="rId5401" ref="A5402"/>
    <hyperlink r:id="rId5402" ref="A5403"/>
    <hyperlink r:id="rId5403" ref="A5404"/>
    <hyperlink r:id="rId5404" ref="A5405"/>
    <hyperlink r:id="rId5405" ref="A5406"/>
    <hyperlink r:id="rId5406" ref="A5407"/>
    <hyperlink r:id="rId5407" ref="A5408"/>
    <hyperlink r:id="rId5408" ref="A5409"/>
    <hyperlink r:id="rId5409" ref="A5410"/>
    <hyperlink r:id="rId5410" ref="A5411"/>
    <hyperlink r:id="rId5411" ref="A5412"/>
    <hyperlink r:id="rId5412" ref="A5413"/>
    <hyperlink r:id="rId5413" ref="A5414"/>
    <hyperlink r:id="rId5414" ref="A5415"/>
    <hyperlink r:id="rId5415" ref="A5416"/>
    <hyperlink r:id="rId5416" ref="A5417"/>
    <hyperlink r:id="rId5417" ref="A5418"/>
    <hyperlink r:id="rId5418" ref="A5419"/>
    <hyperlink r:id="rId5419" ref="A5420"/>
    <hyperlink r:id="rId5420" ref="A5421"/>
    <hyperlink r:id="rId5421" ref="A5422"/>
    <hyperlink r:id="rId5422" ref="A5423"/>
    <hyperlink r:id="rId5423" ref="A5424"/>
    <hyperlink r:id="rId5424" ref="A5425"/>
    <hyperlink r:id="rId5425" ref="A5426"/>
    <hyperlink r:id="rId5426" ref="A5427"/>
    <hyperlink r:id="rId5427" ref="A5428"/>
    <hyperlink r:id="rId5428" ref="A5429"/>
    <hyperlink r:id="rId5429" ref="A5430"/>
    <hyperlink r:id="rId5430" ref="A5431"/>
    <hyperlink r:id="rId5431" ref="A5432"/>
    <hyperlink r:id="rId5432" ref="A5433"/>
    <hyperlink r:id="rId5433" ref="A5434"/>
    <hyperlink r:id="rId5434" ref="A5435"/>
    <hyperlink r:id="rId5435" ref="A5436"/>
    <hyperlink r:id="rId5436" ref="A5437"/>
    <hyperlink r:id="rId5437" ref="A5438"/>
    <hyperlink r:id="rId5438" ref="A5439"/>
    <hyperlink r:id="rId5439" ref="A5440"/>
    <hyperlink r:id="rId5440" ref="A5441"/>
    <hyperlink r:id="rId5441" ref="A5442"/>
    <hyperlink r:id="rId5442" ref="A5443"/>
    <hyperlink r:id="rId5443" ref="A5444"/>
    <hyperlink r:id="rId5444" ref="A5445"/>
    <hyperlink r:id="rId5445" ref="A5446"/>
    <hyperlink r:id="rId5446" ref="A5447"/>
    <hyperlink r:id="rId5447" ref="A5448"/>
    <hyperlink r:id="rId5448" ref="A5449"/>
    <hyperlink r:id="rId5449" ref="A5450"/>
    <hyperlink r:id="rId5450" ref="A5451"/>
    <hyperlink r:id="rId5451" ref="A5452"/>
    <hyperlink r:id="rId5452" ref="A5453"/>
    <hyperlink r:id="rId5453" ref="A5454"/>
    <hyperlink r:id="rId5454" ref="A5455"/>
    <hyperlink r:id="rId5455" ref="A5456"/>
    <hyperlink r:id="rId5456" ref="A5457"/>
    <hyperlink r:id="rId5457" ref="A5458"/>
    <hyperlink r:id="rId5458" ref="A5459"/>
    <hyperlink r:id="rId5459" ref="A5460"/>
    <hyperlink r:id="rId5460" ref="A5461"/>
    <hyperlink r:id="rId5461" ref="A5462"/>
    <hyperlink r:id="rId5462" ref="A5463"/>
    <hyperlink r:id="rId5463" ref="A5464"/>
    <hyperlink r:id="rId5464" ref="A5465"/>
    <hyperlink r:id="rId5465" ref="A5466"/>
    <hyperlink r:id="rId5466" ref="A5467"/>
    <hyperlink r:id="rId5467" ref="A5468"/>
    <hyperlink r:id="rId5468" ref="A5469"/>
    <hyperlink r:id="rId5469" ref="A5470"/>
    <hyperlink r:id="rId5470" ref="A5471"/>
    <hyperlink r:id="rId5471" ref="A5472"/>
    <hyperlink r:id="rId5472" ref="A5473"/>
    <hyperlink r:id="rId5473" ref="A5474"/>
    <hyperlink r:id="rId5474" ref="A5475"/>
    <hyperlink r:id="rId5475" ref="A5476"/>
    <hyperlink r:id="rId5476" ref="A5477"/>
    <hyperlink r:id="rId5477" ref="A5478"/>
    <hyperlink r:id="rId5478" ref="A5479"/>
    <hyperlink r:id="rId5479" ref="A5480"/>
    <hyperlink r:id="rId5480" ref="A5481"/>
    <hyperlink r:id="rId5481" ref="A5482"/>
    <hyperlink r:id="rId5482" ref="A5483"/>
    <hyperlink r:id="rId5483" ref="A5484"/>
    <hyperlink r:id="rId5484" ref="A5485"/>
    <hyperlink r:id="rId5485" ref="A5486"/>
    <hyperlink r:id="rId5486" ref="A5487"/>
    <hyperlink r:id="rId5487" ref="A5488"/>
    <hyperlink r:id="rId5488" ref="A5489"/>
    <hyperlink r:id="rId5489" ref="A5490"/>
    <hyperlink r:id="rId5490" ref="A5491"/>
    <hyperlink r:id="rId5491" ref="A5492"/>
    <hyperlink r:id="rId5492" ref="A5493"/>
    <hyperlink r:id="rId5493" ref="A5494"/>
    <hyperlink r:id="rId5494" ref="A5495"/>
    <hyperlink r:id="rId5495" ref="A5496"/>
    <hyperlink r:id="rId5496" ref="A5497"/>
    <hyperlink r:id="rId5497" ref="A5498"/>
    <hyperlink r:id="rId5498" ref="A5499"/>
    <hyperlink r:id="rId5499" ref="A5500"/>
    <hyperlink r:id="rId5500" ref="A5501"/>
    <hyperlink r:id="rId5501" ref="A5502"/>
    <hyperlink r:id="rId5502" ref="A5503"/>
    <hyperlink r:id="rId5503" ref="A5504"/>
    <hyperlink r:id="rId5504" ref="A5505"/>
    <hyperlink r:id="rId5505" ref="A5506"/>
    <hyperlink r:id="rId5506" ref="A5507"/>
    <hyperlink r:id="rId5507" ref="A5508"/>
    <hyperlink r:id="rId5508" ref="A5509"/>
    <hyperlink r:id="rId5509" ref="A5510"/>
    <hyperlink r:id="rId5510" ref="A5511"/>
    <hyperlink r:id="rId5511" ref="A5512"/>
    <hyperlink r:id="rId5512" ref="A5513"/>
    <hyperlink r:id="rId5513" ref="A5514"/>
    <hyperlink r:id="rId5514" ref="A5515"/>
    <hyperlink r:id="rId5515" ref="A5516"/>
    <hyperlink r:id="rId5516" ref="A5517"/>
    <hyperlink r:id="rId5517" ref="A5518"/>
    <hyperlink r:id="rId5518" ref="A5519"/>
    <hyperlink r:id="rId5519" ref="A5520"/>
    <hyperlink r:id="rId5520" ref="A5521"/>
    <hyperlink r:id="rId5521" ref="A5522"/>
    <hyperlink r:id="rId5522" ref="A5523"/>
    <hyperlink r:id="rId5523" ref="A5524"/>
    <hyperlink r:id="rId5524" ref="A5525"/>
    <hyperlink r:id="rId5525" ref="A5526"/>
    <hyperlink r:id="rId5526" ref="A5527"/>
    <hyperlink r:id="rId5527" ref="A5528"/>
    <hyperlink r:id="rId5528" ref="A5529"/>
    <hyperlink r:id="rId5529" ref="A5530"/>
    <hyperlink r:id="rId5530" ref="A5531"/>
    <hyperlink r:id="rId5531" ref="A5532"/>
    <hyperlink r:id="rId5532" ref="A5533"/>
    <hyperlink r:id="rId5533" ref="A5534"/>
    <hyperlink r:id="rId5534" ref="A5535"/>
    <hyperlink r:id="rId5535" ref="A5536"/>
    <hyperlink r:id="rId5536" ref="A5537"/>
    <hyperlink r:id="rId5537" ref="A5538"/>
    <hyperlink r:id="rId5538" ref="A5539"/>
    <hyperlink r:id="rId5539" ref="A5540"/>
    <hyperlink r:id="rId5540" ref="A5541"/>
    <hyperlink r:id="rId5541" ref="A5542"/>
    <hyperlink r:id="rId5542" ref="A5543"/>
    <hyperlink r:id="rId5543" ref="A5544"/>
    <hyperlink r:id="rId5544" ref="A5545"/>
    <hyperlink r:id="rId5545" ref="A5546"/>
    <hyperlink r:id="rId5546" ref="A5547"/>
    <hyperlink r:id="rId5547" ref="A5548"/>
    <hyperlink r:id="rId5548" ref="A5549"/>
    <hyperlink r:id="rId5549" ref="A5550"/>
    <hyperlink r:id="rId5550" ref="A5551"/>
    <hyperlink r:id="rId5551" ref="A5552"/>
    <hyperlink r:id="rId5552" ref="A5553"/>
    <hyperlink r:id="rId5553" ref="A5554"/>
    <hyperlink r:id="rId5554" ref="A5555"/>
    <hyperlink r:id="rId5555" ref="A5556"/>
    <hyperlink r:id="rId5556" ref="A5557"/>
    <hyperlink r:id="rId5557" ref="A5558"/>
    <hyperlink r:id="rId5558" ref="A5559"/>
    <hyperlink r:id="rId5559" ref="A5560"/>
    <hyperlink r:id="rId5560" ref="A5561"/>
    <hyperlink r:id="rId5561" ref="A5562"/>
    <hyperlink r:id="rId5562" ref="A5563"/>
    <hyperlink r:id="rId5563" ref="A5564"/>
    <hyperlink r:id="rId5564" ref="A5565"/>
    <hyperlink r:id="rId5565" ref="A5566"/>
    <hyperlink r:id="rId5566" ref="A5567"/>
    <hyperlink r:id="rId5567" ref="A5568"/>
    <hyperlink r:id="rId5568" ref="A5569"/>
    <hyperlink r:id="rId5569" ref="A5570"/>
    <hyperlink r:id="rId5570" ref="A5571"/>
    <hyperlink r:id="rId5571" ref="A5572"/>
    <hyperlink r:id="rId5572" ref="A5573"/>
    <hyperlink r:id="rId5573" ref="A5574"/>
    <hyperlink r:id="rId5574" ref="A5575"/>
    <hyperlink r:id="rId5575" ref="A5576"/>
    <hyperlink r:id="rId5576" ref="A5577"/>
    <hyperlink r:id="rId5577" ref="A5578"/>
    <hyperlink r:id="rId5578" ref="A5579"/>
    <hyperlink r:id="rId5579" ref="A5580"/>
    <hyperlink r:id="rId5580" ref="A5581"/>
    <hyperlink r:id="rId5581" ref="A5582"/>
    <hyperlink r:id="rId5582" ref="A5583"/>
    <hyperlink r:id="rId5583" ref="A5584"/>
    <hyperlink r:id="rId5584" ref="A5585"/>
    <hyperlink r:id="rId5585" ref="A5586"/>
    <hyperlink r:id="rId5586" ref="A5587"/>
    <hyperlink r:id="rId5587" ref="A5588"/>
    <hyperlink r:id="rId5588" ref="A5589"/>
    <hyperlink r:id="rId5589" ref="A5590"/>
    <hyperlink r:id="rId5590" ref="A5591"/>
    <hyperlink r:id="rId5591" ref="A5592"/>
    <hyperlink r:id="rId5592" ref="A5593"/>
    <hyperlink r:id="rId5593" ref="A5594"/>
    <hyperlink r:id="rId5594" ref="A5595"/>
    <hyperlink r:id="rId5595" ref="A5596"/>
    <hyperlink r:id="rId5596" ref="A5597"/>
    <hyperlink r:id="rId5597" ref="A5598"/>
    <hyperlink r:id="rId5598" ref="A5599"/>
    <hyperlink r:id="rId5599" ref="A5600"/>
    <hyperlink r:id="rId5600" ref="A5601"/>
    <hyperlink r:id="rId5601" ref="A5602"/>
    <hyperlink r:id="rId5602" ref="A5603"/>
    <hyperlink r:id="rId5603" ref="A5604"/>
    <hyperlink r:id="rId5604" ref="A5605"/>
    <hyperlink r:id="rId5605" ref="A5606"/>
    <hyperlink r:id="rId5606" ref="A5607"/>
    <hyperlink r:id="rId5607" ref="A5608"/>
    <hyperlink r:id="rId5608" ref="A5609"/>
    <hyperlink r:id="rId5609" ref="A5610"/>
    <hyperlink r:id="rId5610" ref="A5611"/>
    <hyperlink r:id="rId5611" ref="A5612"/>
    <hyperlink r:id="rId5612" ref="A5613"/>
    <hyperlink r:id="rId5613" ref="A5614"/>
    <hyperlink r:id="rId5614" ref="A5615"/>
    <hyperlink r:id="rId5615" ref="A5616"/>
    <hyperlink r:id="rId5616" ref="A5617"/>
    <hyperlink r:id="rId5617" ref="A5618"/>
    <hyperlink r:id="rId5618" ref="A5619"/>
    <hyperlink r:id="rId5619" ref="A5620"/>
    <hyperlink r:id="rId5620" ref="A5621"/>
    <hyperlink r:id="rId5621" ref="A5622"/>
    <hyperlink r:id="rId5622" ref="A5623"/>
    <hyperlink r:id="rId5623" ref="A5624"/>
    <hyperlink r:id="rId5624" ref="A5625"/>
    <hyperlink r:id="rId5625" ref="A5626"/>
    <hyperlink r:id="rId5626" ref="A5627"/>
    <hyperlink r:id="rId5627" ref="A5628"/>
    <hyperlink r:id="rId5628" ref="A5629"/>
    <hyperlink r:id="rId5629" ref="A5630"/>
    <hyperlink r:id="rId5630" ref="A5631"/>
    <hyperlink r:id="rId5631" ref="A5632"/>
    <hyperlink r:id="rId5632" ref="A5633"/>
    <hyperlink r:id="rId5633" ref="A5634"/>
    <hyperlink r:id="rId5634" ref="A5635"/>
    <hyperlink r:id="rId5635" ref="A5636"/>
    <hyperlink r:id="rId5636" ref="A5637"/>
    <hyperlink r:id="rId5637" ref="A5638"/>
    <hyperlink r:id="rId5638" ref="A5639"/>
    <hyperlink r:id="rId5639" ref="A5640"/>
    <hyperlink r:id="rId5640" ref="A5641"/>
    <hyperlink r:id="rId5641" ref="A5642"/>
    <hyperlink r:id="rId5642" ref="A5643"/>
    <hyperlink r:id="rId5643" ref="A5644"/>
    <hyperlink r:id="rId5644" ref="A5645"/>
    <hyperlink r:id="rId5645" ref="A5646"/>
    <hyperlink r:id="rId5646" ref="A5647"/>
    <hyperlink r:id="rId5647" ref="A5648"/>
    <hyperlink r:id="rId5648" ref="A5649"/>
    <hyperlink r:id="rId5649" ref="A5650"/>
    <hyperlink r:id="rId5650" ref="A5651"/>
    <hyperlink r:id="rId5651" ref="A5652"/>
    <hyperlink r:id="rId5652" ref="A5653"/>
    <hyperlink r:id="rId5653" ref="A5654"/>
    <hyperlink r:id="rId5654" ref="A5655"/>
    <hyperlink r:id="rId5655" ref="A5656"/>
    <hyperlink r:id="rId5656" ref="A5657"/>
    <hyperlink r:id="rId5657" ref="A5658"/>
    <hyperlink r:id="rId5658" ref="A5659"/>
    <hyperlink r:id="rId5659" ref="A5660"/>
    <hyperlink r:id="rId5660" ref="A5661"/>
    <hyperlink r:id="rId5661" ref="A5662"/>
    <hyperlink r:id="rId5662" ref="A5663"/>
    <hyperlink r:id="rId5663" ref="A5664"/>
    <hyperlink r:id="rId5664" ref="A5665"/>
    <hyperlink r:id="rId5665" ref="A5666"/>
    <hyperlink r:id="rId5666" ref="A5667"/>
    <hyperlink r:id="rId5667" ref="A5668"/>
    <hyperlink r:id="rId5668" ref="A5669"/>
    <hyperlink r:id="rId5669" ref="A5670"/>
    <hyperlink r:id="rId5670" ref="A5671"/>
    <hyperlink r:id="rId5671" ref="A5672"/>
    <hyperlink r:id="rId5672" ref="A5673"/>
    <hyperlink r:id="rId5673" ref="A5674"/>
    <hyperlink r:id="rId5674" ref="A5675"/>
    <hyperlink r:id="rId5675" ref="A5676"/>
    <hyperlink r:id="rId5676" ref="A5677"/>
    <hyperlink r:id="rId5677" ref="A5678"/>
    <hyperlink r:id="rId5678" ref="A5679"/>
    <hyperlink r:id="rId5679" ref="A5680"/>
    <hyperlink r:id="rId5680" ref="A5681"/>
    <hyperlink r:id="rId5681" ref="A5682"/>
    <hyperlink r:id="rId5682" ref="A5683"/>
    <hyperlink r:id="rId5683" ref="A5684"/>
    <hyperlink r:id="rId5684" ref="A5685"/>
    <hyperlink r:id="rId5685" ref="A5686"/>
    <hyperlink r:id="rId5686" ref="A5687"/>
    <hyperlink r:id="rId5687" ref="A5688"/>
    <hyperlink r:id="rId5688" ref="A5689"/>
    <hyperlink r:id="rId5689" ref="A5690"/>
    <hyperlink r:id="rId5690" ref="A5691"/>
    <hyperlink r:id="rId5691" ref="A5692"/>
    <hyperlink r:id="rId5692" ref="A5693"/>
    <hyperlink r:id="rId5693" ref="A5694"/>
    <hyperlink r:id="rId5694" ref="A5695"/>
    <hyperlink r:id="rId5695" ref="A5696"/>
    <hyperlink r:id="rId5696" ref="A5697"/>
    <hyperlink r:id="rId5697" ref="A5698"/>
    <hyperlink r:id="rId5698" ref="A5699"/>
    <hyperlink r:id="rId5699" ref="A5700"/>
    <hyperlink r:id="rId5700" ref="A5701"/>
    <hyperlink r:id="rId5701" ref="A5702"/>
    <hyperlink r:id="rId5702" ref="A5703"/>
    <hyperlink r:id="rId5703" ref="A5704"/>
    <hyperlink r:id="rId5704" ref="A5705"/>
    <hyperlink r:id="rId5705" ref="A5706"/>
    <hyperlink r:id="rId5706" ref="A5707"/>
    <hyperlink r:id="rId5707" ref="A5708"/>
    <hyperlink r:id="rId5708" ref="A5709"/>
    <hyperlink r:id="rId5709" ref="A5710"/>
    <hyperlink r:id="rId5710" ref="A5711"/>
    <hyperlink r:id="rId5711" ref="A5712"/>
    <hyperlink r:id="rId5712" ref="A5713"/>
    <hyperlink r:id="rId5713" ref="A5714"/>
    <hyperlink r:id="rId5714" ref="A5715"/>
    <hyperlink r:id="rId5715" ref="A5716"/>
    <hyperlink r:id="rId5716" ref="A5717"/>
    <hyperlink r:id="rId5717" ref="A5718"/>
    <hyperlink r:id="rId5718" ref="A5719"/>
    <hyperlink r:id="rId5719" ref="A5720"/>
    <hyperlink r:id="rId5720" ref="A5721"/>
    <hyperlink r:id="rId5721" ref="A5722"/>
    <hyperlink r:id="rId5722" ref="A5723"/>
    <hyperlink r:id="rId5723" ref="A5724"/>
    <hyperlink r:id="rId5724" ref="A5725"/>
    <hyperlink r:id="rId5725" ref="A5726"/>
    <hyperlink r:id="rId5726" ref="A5727"/>
    <hyperlink r:id="rId5727" ref="A5728"/>
    <hyperlink r:id="rId5728" ref="A5729"/>
    <hyperlink r:id="rId5729" ref="A5730"/>
    <hyperlink r:id="rId5730" ref="A5731"/>
    <hyperlink r:id="rId5731" ref="A5732"/>
    <hyperlink r:id="rId5732" ref="A5733"/>
    <hyperlink r:id="rId5733" ref="A5734"/>
    <hyperlink r:id="rId5734" ref="A5735"/>
    <hyperlink r:id="rId5735" ref="A5736"/>
    <hyperlink r:id="rId5736" ref="A5737"/>
    <hyperlink r:id="rId5737" ref="A5738"/>
    <hyperlink r:id="rId5738" ref="A5739"/>
    <hyperlink r:id="rId5739" ref="A5740"/>
    <hyperlink r:id="rId5740" ref="A5741"/>
    <hyperlink r:id="rId5741" ref="A5742"/>
    <hyperlink r:id="rId5742" ref="A5743"/>
    <hyperlink r:id="rId5743" ref="A5744"/>
    <hyperlink r:id="rId5744" ref="A5745"/>
    <hyperlink r:id="rId5745" ref="A5746"/>
    <hyperlink r:id="rId5746" ref="A5747"/>
    <hyperlink r:id="rId5747" ref="A5748"/>
    <hyperlink r:id="rId5748" ref="A5749"/>
    <hyperlink r:id="rId5749" ref="A5750"/>
    <hyperlink r:id="rId5750" ref="A5751"/>
    <hyperlink r:id="rId5751" ref="A5752"/>
    <hyperlink r:id="rId5752" ref="A5753"/>
    <hyperlink r:id="rId5753" ref="A5754"/>
    <hyperlink r:id="rId5754" ref="A5755"/>
    <hyperlink r:id="rId5755" ref="A5756"/>
    <hyperlink r:id="rId5756" ref="A5757"/>
    <hyperlink r:id="rId5757" ref="A5758"/>
    <hyperlink r:id="rId5758" ref="A5759"/>
    <hyperlink r:id="rId5759" ref="A5760"/>
    <hyperlink r:id="rId5760" ref="A5761"/>
    <hyperlink r:id="rId5761" ref="A5762"/>
    <hyperlink r:id="rId5762" ref="A5763"/>
    <hyperlink r:id="rId5763" ref="A5764"/>
    <hyperlink r:id="rId5764" ref="A5765"/>
    <hyperlink r:id="rId5765" ref="A5766"/>
    <hyperlink r:id="rId5766" ref="A5767"/>
    <hyperlink r:id="rId5767" ref="A5768"/>
    <hyperlink r:id="rId5768" ref="A5769"/>
    <hyperlink r:id="rId5769" ref="A5770"/>
    <hyperlink r:id="rId5770" ref="A5771"/>
    <hyperlink r:id="rId5771" ref="A5772"/>
    <hyperlink r:id="rId5772" ref="A5773"/>
    <hyperlink r:id="rId5773" ref="A5774"/>
    <hyperlink r:id="rId5774" ref="A5775"/>
    <hyperlink r:id="rId5775" ref="A5776"/>
    <hyperlink r:id="rId5776" ref="A5777"/>
    <hyperlink r:id="rId5777" ref="A5778"/>
    <hyperlink r:id="rId5778" ref="A5779"/>
    <hyperlink r:id="rId5779" ref="A5780"/>
    <hyperlink r:id="rId5780" ref="A5781"/>
    <hyperlink r:id="rId5781" ref="A5782"/>
    <hyperlink r:id="rId5782" ref="A5783"/>
    <hyperlink r:id="rId5783" ref="A5784"/>
    <hyperlink r:id="rId5784" ref="A5785"/>
    <hyperlink r:id="rId5785" ref="A5786"/>
    <hyperlink r:id="rId5786" ref="A5787"/>
    <hyperlink r:id="rId5787" ref="A5788"/>
    <hyperlink r:id="rId5788" ref="A5789"/>
    <hyperlink r:id="rId5789" ref="A5790"/>
    <hyperlink r:id="rId5790" ref="A5791"/>
    <hyperlink r:id="rId5791" ref="A5792"/>
    <hyperlink r:id="rId5792" ref="A5793"/>
    <hyperlink r:id="rId5793" ref="A5794"/>
    <hyperlink r:id="rId5794" ref="A5795"/>
    <hyperlink r:id="rId5795" ref="A5796"/>
    <hyperlink r:id="rId5796" ref="A5797"/>
    <hyperlink r:id="rId5797" ref="A5798"/>
    <hyperlink r:id="rId5798" ref="A5799"/>
    <hyperlink r:id="rId5799" ref="A5800"/>
    <hyperlink r:id="rId5800" ref="A5801"/>
    <hyperlink r:id="rId5801" ref="A5802"/>
    <hyperlink r:id="rId5802" ref="A5803"/>
    <hyperlink r:id="rId5803" ref="A5804"/>
    <hyperlink r:id="rId5804" ref="A5805"/>
    <hyperlink r:id="rId5805" ref="A5806"/>
    <hyperlink r:id="rId5806" ref="A5807"/>
    <hyperlink r:id="rId5807" ref="A5808"/>
    <hyperlink r:id="rId5808" ref="A5809"/>
    <hyperlink r:id="rId5809" ref="A5810"/>
    <hyperlink r:id="rId5810" ref="A5811"/>
    <hyperlink r:id="rId5811" ref="A5812"/>
    <hyperlink r:id="rId5812" ref="A5813"/>
    <hyperlink r:id="rId5813" ref="A5814"/>
    <hyperlink r:id="rId5814" ref="A5815"/>
    <hyperlink r:id="rId5815" ref="A5816"/>
    <hyperlink r:id="rId5816" ref="A5817"/>
    <hyperlink r:id="rId5817" ref="A5818"/>
    <hyperlink r:id="rId5818" ref="A5819"/>
    <hyperlink r:id="rId5819" ref="A5820"/>
    <hyperlink r:id="rId5820" ref="A5821"/>
    <hyperlink r:id="rId5821" ref="A5822"/>
    <hyperlink r:id="rId5822" ref="A5823"/>
    <hyperlink r:id="rId5823" ref="A5824"/>
    <hyperlink r:id="rId5824" ref="A5825"/>
    <hyperlink r:id="rId5825" ref="A5826"/>
    <hyperlink r:id="rId5826" ref="A5827"/>
    <hyperlink r:id="rId5827" ref="A5828"/>
    <hyperlink r:id="rId5828" ref="A5829"/>
    <hyperlink r:id="rId5829" ref="A5830"/>
    <hyperlink r:id="rId5830" ref="A5831"/>
    <hyperlink r:id="rId5831" ref="A5832"/>
    <hyperlink r:id="rId5832" ref="A5833"/>
    <hyperlink r:id="rId5833" ref="A5834"/>
    <hyperlink r:id="rId5834" ref="A5835"/>
    <hyperlink r:id="rId5835" ref="A5836"/>
    <hyperlink r:id="rId5836" ref="A5837"/>
    <hyperlink r:id="rId5837" ref="A5838"/>
    <hyperlink r:id="rId5838" ref="A5839"/>
    <hyperlink r:id="rId5839" ref="A5840"/>
    <hyperlink r:id="rId5840" ref="A5841"/>
    <hyperlink r:id="rId5841" ref="A5842"/>
    <hyperlink r:id="rId5842" ref="A5843"/>
    <hyperlink r:id="rId5843" ref="A5844"/>
    <hyperlink r:id="rId5844" ref="A5845"/>
    <hyperlink r:id="rId5845" ref="A5846"/>
    <hyperlink r:id="rId5846" ref="A5847"/>
    <hyperlink r:id="rId5847" ref="A5848"/>
    <hyperlink r:id="rId5848" ref="A5849"/>
    <hyperlink r:id="rId5849" ref="A5850"/>
    <hyperlink r:id="rId5850" ref="A5851"/>
    <hyperlink r:id="rId5851" ref="A5852"/>
    <hyperlink r:id="rId5852" ref="A5853"/>
    <hyperlink r:id="rId5853" ref="A5854"/>
    <hyperlink r:id="rId5854" ref="A5855"/>
    <hyperlink r:id="rId5855" ref="A5856"/>
    <hyperlink r:id="rId5856" ref="A5857"/>
    <hyperlink r:id="rId5857" ref="A5858"/>
    <hyperlink r:id="rId5858" ref="A5859"/>
    <hyperlink r:id="rId5859" ref="A5860"/>
    <hyperlink r:id="rId5860" ref="A5861"/>
    <hyperlink r:id="rId5861" ref="A5862"/>
    <hyperlink r:id="rId5862" ref="A5863"/>
    <hyperlink r:id="rId5863" ref="A5864"/>
    <hyperlink r:id="rId5864" ref="A5865"/>
    <hyperlink r:id="rId5865" ref="A5866"/>
    <hyperlink r:id="rId5866" ref="A5867"/>
    <hyperlink r:id="rId5867" ref="A5868"/>
    <hyperlink r:id="rId5868" ref="A5869"/>
    <hyperlink r:id="rId5869" ref="A5870"/>
    <hyperlink r:id="rId5870" ref="A5871"/>
    <hyperlink r:id="rId5871" ref="A5872"/>
    <hyperlink r:id="rId5872" ref="A5873"/>
    <hyperlink r:id="rId5873" ref="A5874"/>
    <hyperlink r:id="rId5874" ref="A5875"/>
    <hyperlink r:id="rId5875" ref="A5876"/>
    <hyperlink r:id="rId5876" ref="A5877"/>
    <hyperlink r:id="rId5877" ref="A5878"/>
    <hyperlink r:id="rId5878" ref="A5879"/>
    <hyperlink r:id="rId5879" ref="A5880"/>
    <hyperlink r:id="rId5880" ref="A5881"/>
    <hyperlink r:id="rId5881" ref="A5882"/>
    <hyperlink r:id="rId5882" ref="A5883"/>
    <hyperlink r:id="rId5883" ref="A5884"/>
    <hyperlink r:id="rId5884" ref="A5885"/>
    <hyperlink r:id="rId5885" ref="A5886"/>
    <hyperlink r:id="rId5886" ref="A5887"/>
    <hyperlink r:id="rId5887" ref="A5888"/>
    <hyperlink r:id="rId5888" ref="A5889"/>
    <hyperlink r:id="rId5889" ref="A5890"/>
    <hyperlink r:id="rId5890" ref="A5891"/>
    <hyperlink r:id="rId5891" ref="A5892"/>
    <hyperlink r:id="rId5892" ref="A5893"/>
    <hyperlink r:id="rId5893" ref="A5894"/>
    <hyperlink r:id="rId5894" ref="A5895"/>
    <hyperlink r:id="rId5895" ref="A5896"/>
    <hyperlink r:id="rId5896" ref="A5897"/>
    <hyperlink r:id="rId5897" ref="A5898"/>
    <hyperlink r:id="rId5898" ref="A5899"/>
    <hyperlink r:id="rId5899" ref="A5900"/>
    <hyperlink r:id="rId5900" ref="A5901"/>
    <hyperlink r:id="rId5901" ref="A5902"/>
    <hyperlink r:id="rId5902" ref="A5903"/>
    <hyperlink r:id="rId5903" ref="A5904"/>
    <hyperlink r:id="rId5904" ref="A5905"/>
    <hyperlink r:id="rId5905" ref="A5906"/>
    <hyperlink r:id="rId5906" ref="A5907"/>
    <hyperlink r:id="rId5907" ref="A5908"/>
    <hyperlink r:id="rId5908" ref="A5909"/>
    <hyperlink r:id="rId5909" ref="A5910"/>
    <hyperlink r:id="rId5910" ref="A5911"/>
    <hyperlink r:id="rId5911" ref="A5912"/>
    <hyperlink r:id="rId5912" ref="A5913"/>
    <hyperlink r:id="rId5913" ref="A5914"/>
    <hyperlink r:id="rId5914" ref="A5915"/>
    <hyperlink r:id="rId5915" ref="A5916"/>
    <hyperlink r:id="rId5916" ref="A5917"/>
    <hyperlink r:id="rId5917" ref="A5918"/>
    <hyperlink r:id="rId5918" ref="A5919"/>
    <hyperlink r:id="rId5919" ref="A5920"/>
    <hyperlink r:id="rId5920" ref="A5921"/>
    <hyperlink r:id="rId5921" ref="A5922"/>
    <hyperlink r:id="rId5922" ref="A5923"/>
    <hyperlink r:id="rId5923" ref="A5924"/>
    <hyperlink r:id="rId5924" ref="A5925"/>
    <hyperlink r:id="rId5925" ref="A5926"/>
    <hyperlink r:id="rId5926" ref="A5927"/>
    <hyperlink r:id="rId5927" ref="A5928"/>
    <hyperlink r:id="rId5928" ref="A5929"/>
    <hyperlink r:id="rId5929" ref="A5930"/>
    <hyperlink r:id="rId5930" ref="A5931"/>
    <hyperlink r:id="rId5931" ref="A5932"/>
    <hyperlink r:id="rId5932" ref="A5933"/>
    <hyperlink r:id="rId5933" ref="A5934"/>
    <hyperlink r:id="rId5934" ref="A5935"/>
    <hyperlink r:id="rId5935" ref="A5936"/>
    <hyperlink r:id="rId5936" ref="A5937"/>
    <hyperlink r:id="rId5937" ref="A5938"/>
    <hyperlink r:id="rId5938" ref="A5939"/>
    <hyperlink r:id="rId5939" ref="A5940"/>
    <hyperlink r:id="rId5940" ref="A5941"/>
    <hyperlink r:id="rId5941" ref="A5942"/>
    <hyperlink r:id="rId5942" ref="A5943"/>
    <hyperlink r:id="rId5943" ref="A5944"/>
    <hyperlink r:id="rId5944" ref="A5945"/>
    <hyperlink r:id="rId5945" ref="A5946"/>
    <hyperlink r:id="rId5946" ref="A5947"/>
    <hyperlink r:id="rId5947" ref="A5948"/>
    <hyperlink r:id="rId5948" ref="A5949"/>
    <hyperlink r:id="rId5949" ref="A5950"/>
    <hyperlink r:id="rId5950" ref="A5951"/>
    <hyperlink r:id="rId5951" ref="A5952"/>
    <hyperlink r:id="rId5952" ref="A5953"/>
    <hyperlink r:id="rId5953" ref="A5954"/>
    <hyperlink r:id="rId5954" ref="A5955"/>
    <hyperlink r:id="rId5955" ref="A5956"/>
    <hyperlink r:id="rId5956" ref="A5957"/>
    <hyperlink r:id="rId5957" ref="A5958"/>
    <hyperlink r:id="rId5958" ref="A5959"/>
    <hyperlink r:id="rId5959" ref="A5960"/>
    <hyperlink r:id="rId5960" ref="A5961"/>
    <hyperlink r:id="rId5961" ref="A5962"/>
    <hyperlink r:id="rId5962" ref="A5963"/>
    <hyperlink r:id="rId5963" ref="A5964"/>
    <hyperlink r:id="rId5964" ref="A5965"/>
    <hyperlink r:id="rId5965" ref="A5966"/>
    <hyperlink r:id="rId5966" ref="A5967"/>
    <hyperlink r:id="rId5967" ref="A5968"/>
    <hyperlink r:id="rId5968" ref="A5969"/>
    <hyperlink r:id="rId5969" ref="A5970"/>
    <hyperlink r:id="rId5970" ref="A5971"/>
    <hyperlink r:id="rId5971" ref="A5972"/>
    <hyperlink r:id="rId5972" ref="A5973"/>
    <hyperlink r:id="rId5973" ref="A5974"/>
    <hyperlink r:id="rId5974" ref="A5975"/>
    <hyperlink r:id="rId5975" ref="A5976"/>
    <hyperlink r:id="rId5976" ref="A5977"/>
    <hyperlink r:id="rId5977" ref="A5978"/>
    <hyperlink r:id="rId5978" ref="A5979"/>
    <hyperlink r:id="rId5979" ref="A5980"/>
    <hyperlink r:id="rId5980" ref="A5981"/>
    <hyperlink r:id="rId5981" ref="A5982"/>
    <hyperlink r:id="rId5982" ref="A5983"/>
    <hyperlink r:id="rId5983" ref="A5984"/>
    <hyperlink r:id="rId5984" ref="A5985"/>
    <hyperlink r:id="rId5985" ref="A5986"/>
    <hyperlink r:id="rId5986" ref="A5987"/>
    <hyperlink r:id="rId5987" ref="A5988"/>
    <hyperlink r:id="rId5988" ref="A5989"/>
    <hyperlink r:id="rId5989" ref="A5990"/>
    <hyperlink r:id="rId5990" ref="A5991"/>
    <hyperlink r:id="rId5991" ref="A5992"/>
    <hyperlink r:id="rId5992" ref="A5993"/>
    <hyperlink r:id="rId5993" ref="A5994"/>
    <hyperlink r:id="rId5994" ref="A5995"/>
    <hyperlink r:id="rId5995" ref="A5996"/>
    <hyperlink r:id="rId5996" ref="A5997"/>
    <hyperlink r:id="rId5997" ref="A5998"/>
    <hyperlink r:id="rId5998" ref="A5999"/>
    <hyperlink r:id="rId5999" ref="A6000"/>
    <hyperlink r:id="rId6000" ref="A6001"/>
    <hyperlink r:id="rId6001" ref="A6002"/>
    <hyperlink r:id="rId6002" ref="A6003"/>
    <hyperlink r:id="rId6003" ref="A6004"/>
    <hyperlink r:id="rId6004" ref="A6005"/>
    <hyperlink r:id="rId6005" ref="A6006"/>
    <hyperlink r:id="rId6006" ref="A6007"/>
    <hyperlink r:id="rId6007" ref="A6008"/>
    <hyperlink r:id="rId6008" ref="A6009"/>
    <hyperlink r:id="rId6009" ref="A6010"/>
    <hyperlink r:id="rId6010" ref="A6011"/>
    <hyperlink r:id="rId6011" ref="A6012"/>
    <hyperlink r:id="rId6012" ref="A6013"/>
    <hyperlink r:id="rId6013" ref="A6014"/>
    <hyperlink r:id="rId6014" ref="A6015"/>
    <hyperlink r:id="rId6015" ref="A6016"/>
    <hyperlink r:id="rId6016" ref="A6017"/>
    <hyperlink r:id="rId6017" ref="A6018"/>
    <hyperlink r:id="rId6018" ref="A6019"/>
    <hyperlink r:id="rId6019" ref="A6020"/>
    <hyperlink r:id="rId6020" ref="A6021"/>
    <hyperlink r:id="rId6021" ref="A6022"/>
    <hyperlink r:id="rId6022" ref="A6023"/>
    <hyperlink r:id="rId6023" ref="A6024"/>
    <hyperlink r:id="rId6024" ref="A6025"/>
    <hyperlink r:id="rId6025" ref="A6026"/>
    <hyperlink r:id="rId6026" ref="A6027"/>
    <hyperlink r:id="rId6027" ref="A6028"/>
    <hyperlink r:id="rId6028" ref="A6029"/>
    <hyperlink r:id="rId6029" ref="A6030"/>
    <hyperlink r:id="rId6030" ref="A6031"/>
    <hyperlink r:id="rId6031" ref="A6032"/>
    <hyperlink r:id="rId6032" ref="A6033"/>
    <hyperlink r:id="rId6033" ref="A6034"/>
    <hyperlink r:id="rId6034" ref="A6035"/>
    <hyperlink r:id="rId6035" ref="A6036"/>
    <hyperlink r:id="rId6036" ref="A6037"/>
    <hyperlink r:id="rId6037" ref="A6038"/>
    <hyperlink r:id="rId6038" ref="A6039"/>
    <hyperlink r:id="rId6039" ref="A6040"/>
    <hyperlink r:id="rId6040" ref="A6041"/>
    <hyperlink r:id="rId6041" ref="A6042"/>
    <hyperlink r:id="rId6042" ref="A6043"/>
    <hyperlink r:id="rId6043" ref="A6044"/>
    <hyperlink r:id="rId6044" ref="A6045"/>
    <hyperlink r:id="rId6045" ref="A6046"/>
    <hyperlink r:id="rId6046" ref="A6047"/>
    <hyperlink r:id="rId6047" ref="A6048"/>
    <hyperlink r:id="rId6048" ref="A6049"/>
    <hyperlink r:id="rId6049" ref="A6050"/>
    <hyperlink r:id="rId6050" ref="A6051"/>
    <hyperlink r:id="rId6051" ref="A6052"/>
    <hyperlink r:id="rId6052" ref="A6053"/>
    <hyperlink r:id="rId6053" ref="A6054"/>
    <hyperlink r:id="rId6054" ref="A6055"/>
    <hyperlink r:id="rId6055" ref="A6056"/>
    <hyperlink r:id="rId6056" ref="A6057"/>
    <hyperlink r:id="rId6057" ref="A6058"/>
    <hyperlink r:id="rId6058" ref="A6059"/>
    <hyperlink r:id="rId6059" ref="A6060"/>
    <hyperlink r:id="rId6060" ref="A6061"/>
    <hyperlink r:id="rId6061" ref="A6062"/>
    <hyperlink r:id="rId6062" ref="A6063"/>
    <hyperlink r:id="rId6063" ref="A6064"/>
    <hyperlink r:id="rId6064" ref="A6065"/>
    <hyperlink r:id="rId6065" ref="A6066"/>
    <hyperlink r:id="rId6066" ref="A6067"/>
    <hyperlink r:id="rId6067" ref="A6068"/>
    <hyperlink r:id="rId6068" ref="A6069"/>
    <hyperlink r:id="rId6069" ref="A6070"/>
    <hyperlink r:id="rId6070" ref="A6071"/>
    <hyperlink r:id="rId6071" ref="A6072"/>
    <hyperlink r:id="rId6072" ref="A6073"/>
    <hyperlink r:id="rId6073" ref="A6074"/>
    <hyperlink r:id="rId6074" ref="A6075"/>
    <hyperlink r:id="rId6075" ref="A6076"/>
    <hyperlink r:id="rId6076" ref="A6077"/>
    <hyperlink r:id="rId6077" ref="A6078"/>
    <hyperlink r:id="rId6078" ref="A6079"/>
    <hyperlink r:id="rId6079" ref="A6080"/>
    <hyperlink r:id="rId6080" ref="A6081"/>
    <hyperlink r:id="rId6081" ref="A6082"/>
    <hyperlink r:id="rId6082" ref="A6083"/>
    <hyperlink r:id="rId6083" ref="A6084"/>
    <hyperlink r:id="rId6084" ref="A6085"/>
    <hyperlink r:id="rId6085" ref="A6086"/>
    <hyperlink r:id="rId6086" ref="A6087"/>
    <hyperlink r:id="rId6087" ref="A6088"/>
    <hyperlink r:id="rId6088" ref="A6089"/>
    <hyperlink r:id="rId6089" ref="A6090"/>
    <hyperlink r:id="rId6090" ref="A6091"/>
    <hyperlink r:id="rId6091" ref="A6092"/>
    <hyperlink r:id="rId6092" ref="A6093"/>
    <hyperlink r:id="rId6093" ref="A6094"/>
    <hyperlink r:id="rId6094" ref="A6095"/>
    <hyperlink r:id="rId6095" ref="A6096"/>
    <hyperlink r:id="rId6096" ref="A6097"/>
    <hyperlink r:id="rId6097" ref="A6098"/>
    <hyperlink r:id="rId6098" ref="A6099"/>
    <hyperlink r:id="rId6099" ref="A6100"/>
    <hyperlink r:id="rId6100" ref="A6101"/>
    <hyperlink r:id="rId6101" ref="A6102"/>
    <hyperlink r:id="rId6102" ref="A6103"/>
    <hyperlink r:id="rId6103" ref="A6104"/>
    <hyperlink r:id="rId6104" ref="A6105"/>
    <hyperlink r:id="rId6105" ref="A6106"/>
    <hyperlink r:id="rId6106" ref="A6107"/>
    <hyperlink r:id="rId6107" ref="A6108"/>
    <hyperlink r:id="rId6108" ref="A6109"/>
    <hyperlink r:id="rId6109" ref="A6110"/>
    <hyperlink r:id="rId6110" ref="A6111"/>
    <hyperlink r:id="rId6111" ref="A6112"/>
    <hyperlink r:id="rId6112" ref="A6113"/>
    <hyperlink r:id="rId6113" ref="A6114"/>
    <hyperlink r:id="rId6114" ref="A6115"/>
    <hyperlink r:id="rId6115" ref="A6116"/>
    <hyperlink r:id="rId6116" ref="A6117"/>
    <hyperlink r:id="rId6117" ref="A6118"/>
    <hyperlink r:id="rId6118" ref="A6119"/>
    <hyperlink r:id="rId6119" ref="A6120"/>
    <hyperlink r:id="rId6120" ref="A6121"/>
    <hyperlink r:id="rId6121" ref="A6122"/>
    <hyperlink r:id="rId6122" ref="A6123"/>
    <hyperlink r:id="rId6123" ref="A6124"/>
    <hyperlink r:id="rId6124" ref="A6125"/>
    <hyperlink r:id="rId6125" ref="A6126"/>
    <hyperlink r:id="rId6126" ref="A6127"/>
    <hyperlink r:id="rId6127" ref="A6128"/>
    <hyperlink r:id="rId6128" ref="A6129"/>
    <hyperlink r:id="rId6129" ref="A6130"/>
    <hyperlink r:id="rId6130" ref="A6131"/>
    <hyperlink r:id="rId6131" ref="A6132"/>
    <hyperlink r:id="rId6132" ref="A6133"/>
    <hyperlink r:id="rId6133" ref="A6134"/>
    <hyperlink r:id="rId6134" ref="A6135"/>
    <hyperlink r:id="rId6135" ref="A6136"/>
    <hyperlink r:id="rId6136" ref="A6137"/>
    <hyperlink r:id="rId6137" ref="A6138"/>
    <hyperlink r:id="rId6138" ref="A6139"/>
    <hyperlink r:id="rId6139" ref="A6140"/>
    <hyperlink r:id="rId6140" ref="A6141"/>
    <hyperlink r:id="rId6141" ref="A6142"/>
    <hyperlink r:id="rId6142" ref="A6143"/>
    <hyperlink r:id="rId6143" ref="A6144"/>
    <hyperlink r:id="rId6144" ref="A6145"/>
    <hyperlink r:id="rId6145" ref="A6146"/>
    <hyperlink r:id="rId6146" ref="A6147"/>
    <hyperlink r:id="rId6147" ref="A6148"/>
    <hyperlink r:id="rId6148" ref="A6149"/>
    <hyperlink r:id="rId6149" ref="A6150"/>
    <hyperlink r:id="rId6150" ref="A6151"/>
    <hyperlink r:id="rId6151" ref="A6152"/>
    <hyperlink r:id="rId6152" ref="A6153"/>
    <hyperlink r:id="rId6153" ref="A6154"/>
    <hyperlink r:id="rId6154" ref="A6155"/>
    <hyperlink r:id="rId6155" ref="A6156"/>
    <hyperlink r:id="rId6156" ref="A6157"/>
    <hyperlink r:id="rId6157" ref="A6158"/>
    <hyperlink r:id="rId6158" ref="A6159"/>
    <hyperlink r:id="rId6159" ref="A6160"/>
    <hyperlink r:id="rId6160" ref="A6161"/>
    <hyperlink r:id="rId6161" ref="A6162"/>
    <hyperlink r:id="rId6162" ref="A6163"/>
    <hyperlink r:id="rId6163" ref="A6164"/>
    <hyperlink r:id="rId6164" ref="A6165"/>
    <hyperlink r:id="rId6165" ref="A6166"/>
    <hyperlink r:id="rId6166" ref="A6167"/>
    <hyperlink r:id="rId6167" ref="A6168"/>
    <hyperlink r:id="rId6168" ref="A6169"/>
    <hyperlink r:id="rId6169" ref="A6170"/>
  </hyperlinks>
  <drawing r:id="rId6170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3.86"/>
    <col customWidth="1" min="4" max="4" width="66.86"/>
  </cols>
  <sheetData>
    <row r="1">
      <c r="B1" s="2" t="s">
        <v>15438</v>
      </c>
      <c r="C1" s="2" t="s">
        <v>15439</v>
      </c>
      <c r="D1" s="2" t="s">
        <v>15440</v>
      </c>
      <c r="E1" s="2" t="s">
        <v>3</v>
      </c>
      <c r="F1" s="2">
        <v>0.0</v>
      </c>
      <c r="G1" s="2">
        <v>1.0</v>
      </c>
      <c r="H1" s="2">
        <v>2.0</v>
      </c>
    </row>
    <row r="2">
      <c r="A2" s="2">
        <v>0.0</v>
      </c>
      <c r="B2" s="5" t="s">
        <v>9327</v>
      </c>
      <c r="C2" s="2" t="s">
        <v>9328</v>
      </c>
      <c r="D2" s="5" t="s">
        <v>9327</v>
      </c>
      <c r="E2" s="2" t="s">
        <v>15441</v>
      </c>
      <c r="F2" s="2" t="s">
        <v>15442</v>
      </c>
      <c r="G2" s="2" t="s">
        <v>15443</v>
      </c>
      <c r="H2" s="2" t="s">
        <v>15444</v>
      </c>
    </row>
    <row r="3">
      <c r="A3" s="2">
        <v>1.0</v>
      </c>
      <c r="B3" s="5" t="s">
        <v>10</v>
      </c>
      <c r="C3" s="2" t="s">
        <v>11</v>
      </c>
      <c r="D3" s="5" t="s">
        <v>10</v>
      </c>
      <c r="E3" s="2" t="s">
        <v>15445</v>
      </c>
      <c r="F3" s="2" t="s">
        <v>15446</v>
      </c>
      <c r="G3" s="2" t="s">
        <v>15443</v>
      </c>
      <c r="H3" s="2" t="s">
        <v>15444</v>
      </c>
      <c r="I3" s="2" t="s">
        <v>15447</v>
      </c>
      <c r="J3" s="2" t="s">
        <v>15448</v>
      </c>
    </row>
    <row r="4">
      <c r="A4" s="2">
        <v>2.0</v>
      </c>
      <c r="B4" s="5" t="s">
        <v>9329</v>
      </c>
      <c r="C4" s="2" t="s">
        <v>9330</v>
      </c>
      <c r="D4" s="5" t="s">
        <v>9329</v>
      </c>
      <c r="E4" s="2" t="s">
        <v>15441</v>
      </c>
      <c r="F4" s="2" t="s">
        <v>15442</v>
      </c>
      <c r="G4" s="2" t="s">
        <v>15443</v>
      </c>
      <c r="H4" s="2" t="s">
        <v>15444</v>
      </c>
      <c r="I4" s="2" t="s">
        <v>15449</v>
      </c>
      <c r="J4" s="2" t="s">
        <v>15450</v>
      </c>
    </row>
    <row r="5">
      <c r="A5" s="2">
        <v>3.0</v>
      </c>
      <c r="B5" s="5" t="s">
        <v>13</v>
      </c>
      <c r="C5" s="2" t="s">
        <v>14</v>
      </c>
      <c r="D5" s="5" t="s">
        <v>13</v>
      </c>
      <c r="E5" s="2" t="s">
        <v>15445</v>
      </c>
      <c r="F5" s="2" t="s">
        <v>15446</v>
      </c>
      <c r="G5" s="2" t="s">
        <v>15443</v>
      </c>
      <c r="H5" s="2" t="s">
        <v>15444</v>
      </c>
      <c r="I5" s="2" t="s">
        <v>15451</v>
      </c>
      <c r="J5" s="2" t="s">
        <v>15452</v>
      </c>
    </row>
    <row r="6">
      <c r="A6" s="2">
        <v>4.0</v>
      </c>
      <c r="B6" s="5" t="s">
        <v>9331</v>
      </c>
      <c r="C6" s="2" t="s">
        <v>9332</v>
      </c>
      <c r="D6" s="5" t="s">
        <v>9331</v>
      </c>
      <c r="E6" s="2" t="s">
        <v>15441</v>
      </c>
      <c r="F6" s="2" t="s">
        <v>15446</v>
      </c>
      <c r="G6" s="2" t="s">
        <v>15443</v>
      </c>
      <c r="H6" s="2" t="s">
        <v>15444</v>
      </c>
      <c r="I6" s="2" t="s">
        <v>15453</v>
      </c>
      <c r="J6" s="2" t="s">
        <v>15454</v>
      </c>
    </row>
    <row r="7">
      <c r="A7" s="2">
        <v>5.0</v>
      </c>
      <c r="B7" s="5" t="s">
        <v>16</v>
      </c>
      <c r="C7" s="2" t="s">
        <v>17</v>
      </c>
      <c r="D7" s="5" t="s">
        <v>16</v>
      </c>
      <c r="E7" s="2" t="s">
        <v>15445</v>
      </c>
      <c r="F7" s="2" t="s">
        <v>15446</v>
      </c>
      <c r="G7" s="2" t="s">
        <v>15443</v>
      </c>
      <c r="H7" s="2" t="s">
        <v>15455</v>
      </c>
    </row>
    <row r="8">
      <c r="A8" s="2">
        <v>6.0</v>
      </c>
      <c r="B8" s="5" t="s">
        <v>9333</v>
      </c>
      <c r="C8" s="2" t="s">
        <v>9334</v>
      </c>
      <c r="D8" s="5" t="s">
        <v>9333</v>
      </c>
      <c r="E8" s="2" t="s">
        <v>15441</v>
      </c>
      <c r="F8" s="2" t="s">
        <v>15446</v>
      </c>
      <c r="G8" s="2" t="s">
        <v>15456</v>
      </c>
      <c r="H8" s="2" t="s">
        <v>15457</v>
      </c>
    </row>
    <row r="9">
      <c r="A9" s="2">
        <v>7.0</v>
      </c>
      <c r="B9" s="5" t="s">
        <v>19</v>
      </c>
      <c r="C9" s="2" t="s">
        <v>20</v>
      </c>
      <c r="D9" s="5" t="s">
        <v>19</v>
      </c>
      <c r="E9" s="2" t="s">
        <v>15445</v>
      </c>
      <c r="F9" s="2" t="s">
        <v>15446</v>
      </c>
      <c r="G9" s="2" t="s">
        <v>15443</v>
      </c>
      <c r="H9" s="2" t="s">
        <v>15444</v>
      </c>
    </row>
    <row r="10">
      <c r="A10" s="2">
        <v>8.0</v>
      </c>
      <c r="B10" s="5" t="s">
        <v>22</v>
      </c>
      <c r="C10" s="2" t="s">
        <v>23</v>
      </c>
      <c r="D10" s="5" t="s">
        <v>22</v>
      </c>
      <c r="E10" s="2" t="s">
        <v>15445</v>
      </c>
      <c r="F10" s="2" t="s">
        <v>15446</v>
      </c>
      <c r="G10" s="2" t="s">
        <v>15456</v>
      </c>
      <c r="H10" s="2" t="s">
        <v>15444</v>
      </c>
    </row>
    <row r="11">
      <c r="A11" s="2">
        <v>9.0</v>
      </c>
      <c r="B11" s="5" t="s">
        <v>25</v>
      </c>
      <c r="C11" s="2" t="s">
        <v>26</v>
      </c>
      <c r="D11" s="5" t="s">
        <v>25</v>
      </c>
      <c r="E11" s="2" t="s">
        <v>15445</v>
      </c>
      <c r="F11" s="2" t="s">
        <v>15446</v>
      </c>
      <c r="G11" s="2" t="s">
        <v>15456</v>
      </c>
      <c r="H11" s="2" t="s">
        <v>15444</v>
      </c>
      <c r="J11" s="4" t="str">
        <f>IFERROR(__xludf.DUMMYFUNCTION("unique(Descriptions!F:H)"),"V/L")</f>
        <v>V/L</v>
      </c>
      <c r="K11" s="4" t="str">
        <f>IFERROR(__xludf.DUMMYFUNCTION("""COMPUTED_VALUE"""),"M/A")</f>
        <v>M/A</v>
      </c>
      <c r="L11" s="4" t="str">
        <f>IFERROR(__xludf.DUMMYFUNCTION("""COMPUTED_VALUE"""),"Location type")</f>
        <v>Location type</v>
      </c>
    </row>
    <row r="12">
      <c r="A12" s="2">
        <v>10.0</v>
      </c>
      <c r="B12" s="5" t="s">
        <v>9335</v>
      </c>
      <c r="C12" s="2" t="s">
        <v>9336</v>
      </c>
      <c r="D12" s="5" t="s">
        <v>9335</v>
      </c>
      <c r="E12" s="2" t="s">
        <v>15441</v>
      </c>
      <c r="F12" s="2" t="s">
        <v>15442</v>
      </c>
      <c r="G12" s="2" t="s">
        <v>15443</v>
      </c>
      <c r="H12" s="2" t="s">
        <v>15444</v>
      </c>
      <c r="J12" s="4" t="str">
        <f>IFERROR(__xludf.DUMMYFUNCTION("""COMPUTED_VALUE"""),"Vendre")</f>
        <v>Vendre</v>
      </c>
      <c r="K12" s="4" t="str">
        <f>IFERROR(__xludf.DUMMYFUNCTION("""COMPUTED_VALUE"""),"appartement")</f>
        <v>appartement</v>
      </c>
      <c r="L12" s="4" t="str">
        <f>IFERROR(__xludf.DUMMYFUNCTION("""COMPUTED_VALUE"""),"lieu")</f>
        <v>lieu</v>
      </c>
    </row>
    <row r="13">
      <c r="A13" s="2">
        <v>11.0</v>
      </c>
      <c r="B13" s="5" t="s">
        <v>9337</v>
      </c>
      <c r="C13" s="2" t="s">
        <v>9338</v>
      </c>
      <c r="D13" s="5" t="s">
        <v>9337</v>
      </c>
      <c r="E13" s="2" t="s">
        <v>15441</v>
      </c>
      <c r="F13" s="2" t="s">
        <v>15446</v>
      </c>
      <c r="G13" s="2" t="s">
        <v>15456</v>
      </c>
      <c r="H13" s="2" t="s">
        <v>15457</v>
      </c>
      <c r="J13" s="4" t="str">
        <f>IFERROR(__xludf.DUMMYFUNCTION("""COMPUTED_VALUE"""),"Vendre")</f>
        <v>Vendre</v>
      </c>
      <c r="K13" s="4" t="str">
        <f>IFERROR(__xludf.DUMMYFUNCTION("""COMPUTED_VALUE"""),"appartement")</f>
        <v>appartement</v>
      </c>
      <c r="L13" s="4" t="str">
        <f>IFERROR(__xludf.DUMMYFUNCTION("""COMPUTED_VALUE"""),"region")</f>
        <v>region</v>
      </c>
    </row>
    <row r="14">
      <c r="A14" s="2">
        <v>12.0</v>
      </c>
      <c r="B14" s="5" t="s">
        <v>9339</v>
      </c>
      <c r="C14" s="2" t="s">
        <v>9340</v>
      </c>
      <c r="D14" s="5" t="s">
        <v>9339</v>
      </c>
      <c r="E14" s="2" t="s">
        <v>15441</v>
      </c>
      <c r="F14" s="2" t="s">
        <v>15442</v>
      </c>
      <c r="G14" s="2" t="s">
        <v>15443</v>
      </c>
      <c r="H14" s="2" t="s">
        <v>15444</v>
      </c>
      <c r="J14" s="4" t="str">
        <f>IFERROR(__xludf.DUMMYFUNCTION("""COMPUTED_VALUE"""),"Louer")</f>
        <v>Louer</v>
      </c>
      <c r="K14" s="4" t="str">
        <f>IFERROR(__xludf.DUMMYFUNCTION("""COMPUTED_VALUE"""),"appartement")</f>
        <v>appartement</v>
      </c>
      <c r="L14" s="4" t="str">
        <f>IFERROR(__xludf.DUMMYFUNCTION("""COMPUTED_VALUE"""),"lieu")</f>
        <v>lieu</v>
      </c>
    </row>
    <row r="15">
      <c r="A15" s="2">
        <v>13.0</v>
      </c>
      <c r="B15" s="5" t="s">
        <v>28</v>
      </c>
      <c r="C15" s="2" t="s">
        <v>29</v>
      </c>
      <c r="D15" s="5" t="s">
        <v>28</v>
      </c>
      <c r="E15" s="2" t="s">
        <v>15445</v>
      </c>
      <c r="F15" s="2" t="s">
        <v>15446</v>
      </c>
      <c r="G15" s="2" t="s">
        <v>15456</v>
      </c>
      <c r="H15" s="2" t="s">
        <v>15444</v>
      </c>
      <c r="J15" s="4" t="str">
        <f>IFERROR(__xludf.DUMMYFUNCTION("""COMPUTED_VALUE"""),"Vendre")</f>
        <v>Vendre</v>
      </c>
      <c r="K15" s="4" t="str">
        <f>IFERROR(__xludf.DUMMYFUNCTION("""COMPUTED_VALUE"""),"maison")</f>
        <v>maison</v>
      </c>
      <c r="L15" s="4" t="str">
        <f>IFERROR(__xludf.DUMMYFUNCTION("""COMPUTED_VALUE"""),"lieu")</f>
        <v>lieu</v>
      </c>
    </row>
    <row r="16">
      <c r="A16" s="2">
        <v>14.0</v>
      </c>
      <c r="B16" s="5" t="s">
        <v>9341</v>
      </c>
      <c r="C16" s="2" t="s">
        <v>9342</v>
      </c>
      <c r="D16" s="5" t="s">
        <v>9341</v>
      </c>
      <c r="E16" s="2" t="s">
        <v>15441</v>
      </c>
      <c r="F16" s="2" t="s">
        <v>15446</v>
      </c>
      <c r="G16" s="2" t="s">
        <v>15456</v>
      </c>
      <c r="H16" s="2" t="s">
        <v>15444</v>
      </c>
      <c r="J16" s="4" t="str">
        <f>IFERROR(__xludf.DUMMYFUNCTION("""COMPUTED_VALUE"""),"Louer")</f>
        <v>Louer</v>
      </c>
      <c r="K16" s="4" t="str">
        <f>IFERROR(__xludf.DUMMYFUNCTION("""COMPUTED_VALUE"""),"maison")</f>
        <v>maison</v>
      </c>
      <c r="L16" s="4" t="str">
        <f>IFERROR(__xludf.DUMMYFUNCTION("""COMPUTED_VALUE"""),"region")</f>
        <v>region</v>
      </c>
    </row>
    <row r="17">
      <c r="A17" s="2">
        <v>15.0</v>
      </c>
      <c r="B17" s="5" t="s">
        <v>9343</v>
      </c>
      <c r="C17" s="2" t="s">
        <v>9344</v>
      </c>
      <c r="D17" s="5" t="s">
        <v>9343</v>
      </c>
      <c r="E17" s="2" t="s">
        <v>15441</v>
      </c>
      <c r="F17" s="2" t="s">
        <v>15446</v>
      </c>
      <c r="G17" s="2" t="s">
        <v>15456</v>
      </c>
      <c r="H17" s="2" t="s">
        <v>15444</v>
      </c>
      <c r="J17" s="4" t="str">
        <f>IFERROR(__xludf.DUMMYFUNCTION("""COMPUTED_VALUE"""),"Louer")</f>
        <v>Louer</v>
      </c>
      <c r="K17" s="4" t="str">
        <f>IFERROR(__xludf.DUMMYFUNCTION("""COMPUTED_VALUE"""),"maison")</f>
        <v>maison</v>
      </c>
      <c r="L17" s="4" t="str">
        <f>IFERROR(__xludf.DUMMYFUNCTION("""COMPUTED_VALUE"""),"quartier")</f>
        <v>quartier</v>
      </c>
    </row>
    <row r="18">
      <c r="A18" s="2">
        <v>16.0</v>
      </c>
      <c r="B18" s="5" t="s">
        <v>9345</v>
      </c>
      <c r="C18" s="2" t="s">
        <v>9346</v>
      </c>
      <c r="D18" s="5" t="s">
        <v>9345</v>
      </c>
      <c r="E18" s="2" t="s">
        <v>15441</v>
      </c>
      <c r="F18" s="2" t="s">
        <v>15446</v>
      </c>
      <c r="G18" s="2" t="s">
        <v>15456</v>
      </c>
      <c r="H18" s="2" t="s">
        <v>15444</v>
      </c>
      <c r="J18" s="4" t="str">
        <f>IFERROR(__xludf.DUMMYFUNCTION("""COMPUTED_VALUE"""),"Louer")</f>
        <v>Louer</v>
      </c>
      <c r="K18" s="4" t="str">
        <f>IFERROR(__xludf.DUMMYFUNCTION("""COMPUTED_VALUE"""),"maison")</f>
        <v>maison</v>
      </c>
      <c r="L18" s="4" t="str">
        <f>IFERROR(__xludf.DUMMYFUNCTION("""COMPUTED_VALUE"""),"lieu")</f>
        <v>lieu</v>
      </c>
    </row>
    <row r="19">
      <c r="A19" s="2">
        <v>17.0</v>
      </c>
      <c r="B19" s="5" t="s">
        <v>31</v>
      </c>
      <c r="C19" s="2" t="s">
        <v>32</v>
      </c>
      <c r="D19" s="5" t="s">
        <v>31</v>
      </c>
      <c r="E19" s="2" t="s">
        <v>15445</v>
      </c>
      <c r="F19" s="2" t="s">
        <v>15446</v>
      </c>
      <c r="G19" s="2" t="s">
        <v>15456</v>
      </c>
      <c r="H19" s="2" t="s">
        <v>15444</v>
      </c>
      <c r="J19" s="4" t="str">
        <f>IFERROR(__xludf.DUMMYFUNCTION("""COMPUTED_VALUE"""),"Louer")</f>
        <v>Louer</v>
      </c>
      <c r="K19" s="4" t="str">
        <f>IFERROR(__xludf.DUMMYFUNCTION("""COMPUTED_VALUE"""),"appartement")</f>
        <v>appartement</v>
      </c>
      <c r="L19" s="4" t="str">
        <f>IFERROR(__xludf.DUMMYFUNCTION("""COMPUTED_VALUE"""),"quartier")</f>
        <v>quartier</v>
      </c>
    </row>
    <row r="20">
      <c r="A20" s="2">
        <v>18.0</v>
      </c>
      <c r="B20" s="5" t="s">
        <v>9347</v>
      </c>
      <c r="C20" s="2" t="s">
        <v>9348</v>
      </c>
      <c r="D20" s="5" t="s">
        <v>9347</v>
      </c>
      <c r="E20" s="2" t="s">
        <v>15441</v>
      </c>
      <c r="F20" s="2" t="s">
        <v>15446</v>
      </c>
      <c r="G20" s="2" t="s">
        <v>15443</v>
      </c>
      <c r="H20" s="2" t="s">
        <v>15444</v>
      </c>
      <c r="J20" s="4" t="str">
        <f>IFERROR(__xludf.DUMMYFUNCTION("""COMPUTED_VALUE"""),"Vendre")</f>
        <v>Vendre</v>
      </c>
      <c r="K20" s="4" t="str">
        <f>IFERROR(__xludf.DUMMYFUNCTION("""COMPUTED_VALUE"""),"appartement")</f>
        <v>appartement</v>
      </c>
      <c r="L20" s="4" t="str">
        <f>IFERROR(__xludf.DUMMYFUNCTION("""COMPUTED_VALUE"""),"quartier")</f>
        <v>quartier</v>
      </c>
    </row>
    <row r="21">
      <c r="A21" s="2">
        <v>19.0</v>
      </c>
      <c r="B21" s="5" t="s">
        <v>34</v>
      </c>
      <c r="C21" s="2" t="s">
        <v>35</v>
      </c>
      <c r="D21" s="5" t="s">
        <v>34</v>
      </c>
      <c r="E21" s="2" t="s">
        <v>15445</v>
      </c>
      <c r="F21" s="2" t="s">
        <v>15442</v>
      </c>
      <c r="G21" s="2" t="s">
        <v>15443</v>
      </c>
      <c r="H21" s="2" t="s">
        <v>15444</v>
      </c>
      <c r="J21" s="4" t="str">
        <f>IFERROR(__xludf.DUMMYFUNCTION("""COMPUTED_VALUE"""),"Vendre")</f>
        <v>Vendre</v>
      </c>
      <c r="K21" s="4" t="str">
        <f>IFERROR(__xludf.DUMMYFUNCTION("""COMPUTED_VALUE"""),"appartement")</f>
        <v>appartement</v>
      </c>
      <c r="L21" s="4" t="str">
        <f>IFERROR(__xludf.DUMMYFUNCTION("""COMPUTED_VALUE"""),"pays")</f>
        <v>pays</v>
      </c>
    </row>
    <row r="22">
      <c r="A22" s="2">
        <v>20.0</v>
      </c>
      <c r="B22" s="5" t="s">
        <v>9349</v>
      </c>
      <c r="C22" s="2" t="s">
        <v>9350</v>
      </c>
      <c r="D22" s="5" t="s">
        <v>9349</v>
      </c>
      <c r="E22" s="2" t="s">
        <v>15441</v>
      </c>
      <c r="F22" s="2" t="s">
        <v>15442</v>
      </c>
      <c r="G22" s="2" t="s">
        <v>15443</v>
      </c>
      <c r="H22" s="2" t="s">
        <v>15444</v>
      </c>
      <c r="J22" s="4" t="str">
        <f>IFERROR(__xludf.DUMMYFUNCTION("""COMPUTED_VALUE"""),"Louer")</f>
        <v>Louer</v>
      </c>
      <c r="K22" s="4" t="str">
        <f>IFERROR(__xludf.DUMMYFUNCTION("""COMPUTED_VALUE"""),"appartement")</f>
        <v>appartement</v>
      </c>
      <c r="L22" s="4" t="str">
        <f>IFERROR(__xludf.DUMMYFUNCTION("""COMPUTED_VALUE"""),"region")</f>
        <v>region</v>
      </c>
    </row>
    <row r="23">
      <c r="A23" s="2">
        <v>21.0</v>
      </c>
      <c r="B23" s="5" t="s">
        <v>37</v>
      </c>
      <c r="C23" s="2" t="s">
        <v>38</v>
      </c>
      <c r="D23" s="5" t="s">
        <v>37</v>
      </c>
      <c r="E23" s="2" t="s">
        <v>15445</v>
      </c>
      <c r="F23" s="2" t="s">
        <v>15446</v>
      </c>
      <c r="G23" s="2" t="s">
        <v>15456</v>
      </c>
      <c r="H23" s="2" t="s">
        <v>15444</v>
      </c>
      <c r="J23" s="4" t="str">
        <f>IFERROR(__xludf.DUMMYFUNCTION("""COMPUTED_VALUE"""),"Vendre")</f>
        <v>Vendre</v>
      </c>
      <c r="K23" s="4" t="str">
        <f>IFERROR(__xludf.DUMMYFUNCTION("""COMPUTED_VALUE"""),"maison")</f>
        <v>maison</v>
      </c>
      <c r="L23" s="4" t="str">
        <f>IFERROR(__xludf.DUMMYFUNCTION("""COMPUTED_VALUE"""),"quartier")</f>
        <v>quartier</v>
      </c>
    </row>
    <row r="24">
      <c r="A24" s="2">
        <v>22.0</v>
      </c>
      <c r="B24" s="5" t="s">
        <v>40</v>
      </c>
      <c r="C24" s="2" t="s">
        <v>41</v>
      </c>
      <c r="D24" s="5" t="s">
        <v>40</v>
      </c>
      <c r="E24" s="2" t="s">
        <v>15445</v>
      </c>
      <c r="F24" s="2" t="s">
        <v>15446</v>
      </c>
      <c r="G24" s="2" t="s">
        <v>15456</v>
      </c>
      <c r="H24" s="2" t="s">
        <v>15444</v>
      </c>
      <c r="J24" s="4" t="str">
        <f>IFERROR(__xludf.DUMMYFUNCTION("""COMPUTED_VALUE"""),"Vendre")</f>
        <v>Vendre</v>
      </c>
      <c r="K24" s="4" t="str">
        <f>IFERROR(__xludf.DUMMYFUNCTION("""COMPUTED_VALUE"""),"maison")</f>
        <v>maison</v>
      </c>
      <c r="L24" s="4" t="str">
        <f>IFERROR(__xludf.DUMMYFUNCTION("""COMPUTED_VALUE"""),"region")</f>
        <v>region</v>
      </c>
    </row>
    <row r="25">
      <c r="A25" s="2">
        <v>23.0</v>
      </c>
      <c r="B25" s="5" t="s">
        <v>43</v>
      </c>
      <c r="C25" s="2" t="s">
        <v>44</v>
      </c>
      <c r="D25" s="5" t="s">
        <v>43</v>
      </c>
      <c r="E25" s="2" t="s">
        <v>15445</v>
      </c>
      <c r="F25" s="2" t="s">
        <v>15446</v>
      </c>
      <c r="G25" s="2" t="s">
        <v>15456</v>
      </c>
      <c r="H25" s="2" t="s">
        <v>15444</v>
      </c>
      <c r="J25" s="4" t="str">
        <f>IFERROR(__xludf.DUMMYFUNCTION("""COMPUTED_VALUE"""),"Louer")</f>
        <v>Louer</v>
      </c>
      <c r="K25" s="4" t="str">
        <f>IFERROR(__xludf.DUMMYFUNCTION("""COMPUTED_VALUE"""),"maison")</f>
        <v>maison</v>
      </c>
      <c r="L25" s="4" t="str">
        <f>IFERROR(__xludf.DUMMYFUNCTION("""COMPUTED_VALUE"""),"canton")</f>
        <v>canton</v>
      </c>
    </row>
    <row r="26">
      <c r="A26" s="2">
        <v>24.0</v>
      </c>
      <c r="B26" s="5" t="s">
        <v>46</v>
      </c>
      <c r="C26" s="2" t="s">
        <v>47</v>
      </c>
      <c r="D26" s="5" t="s">
        <v>46</v>
      </c>
      <c r="E26" s="2" t="s">
        <v>15445</v>
      </c>
      <c r="F26" s="2" t="s">
        <v>15442</v>
      </c>
      <c r="G26" s="2" t="s">
        <v>15443</v>
      </c>
      <c r="H26" s="2" t="s">
        <v>15444</v>
      </c>
      <c r="J26" s="4" t="str">
        <f>IFERROR(__xludf.DUMMYFUNCTION("""COMPUTED_VALUE"""),"Vendre")</f>
        <v>Vendre</v>
      </c>
      <c r="K26" s="4" t="str">
        <f>IFERROR(__xludf.DUMMYFUNCTION("""COMPUTED_VALUE"""),"appartement")</f>
        <v>appartement</v>
      </c>
      <c r="L26" s="4" t="str">
        <f>IFERROR(__xludf.DUMMYFUNCTION("""COMPUTED_VALUE"""),"canton")</f>
        <v>canton</v>
      </c>
    </row>
    <row r="27">
      <c r="A27" s="2">
        <v>25.0</v>
      </c>
      <c r="B27" s="5" t="s">
        <v>49</v>
      </c>
      <c r="C27" s="2" t="s">
        <v>50</v>
      </c>
      <c r="D27" s="5" t="s">
        <v>49</v>
      </c>
      <c r="E27" s="2" t="s">
        <v>15445</v>
      </c>
      <c r="F27" s="2" t="s">
        <v>15442</v>
      </c>
      <c r="G27" s="2" t="s">
        <v>15456</v>
      </c>
      <c r="H27" s="2" t="s">
        <v>15455</v>
      </c>
      <c r="J27" s="4" t="str">
        <f>IFERROR(__xludf.DUMMYFUNCTION("""COMPUTED_VALUE"""),"Louer")</f>
        <v>Louer</v>
      </c>
      <c r="K27" s="4" t="str">
        <f>IFERROR(__xludf.DUMMYFUNCTION("""COMPUTED_VALUE"""),"maison")</f>
        <v>maison</v>
      </c>
      <c r="L27" s="4" t="str">
        <f>IFERROR(__xludf.DUMMYFUNCTION("""COMPUTED_VALUE"""),"pays")</f>
        <v>pays</v>
      </c>
    </row>
    <row r="28">
      <c r="A28" s="2">
        <v>26.0</v>
      </c>
      <c r="B28" s="5" t="s">
        <v>9351</v>
      </c>
      <c r="C28" s="2" t="s">
        <v>9352</v>
      </c>
      <c r="D28" s="5" t="s">
        <v>9351</v>
      </c>
      <c r="E28" s="2" t="s">
        <v>15441</v>
      </c>
      <c r="F28" s="2" t="s">
        <v>15446</v>
      </c>
      <c r="G28" s="2" t="s">
        <v>15456</v>
      </c>
      <c r="H28" s="2" t="s">
        <v>15457</v>
      </c>
      <c r="J28" s="4" t="str">
        <f>IFERROR(__xludf.DUMMYFUNCTION("""COMPUTED_VALUE"""),"Vendre")</f>
        <v>Vendre</v>
      </c>
      <c r="K28" s="4" t="str">
        <f>IFERROR(__xludf.DUMMYFUNCTION("""COMPUTED_VALUE"""),"maison")</f>
        <v>maison</v>
      </c>
      <c r="L28" s="4" t="str">
        <f>IFERROR(__xludf.DUMMYFUNCTION("""COMPUTED_VALUE"""),"pays")</f>
        <v>pays</v>
      </c>
    </row>
    <row r="29">
      <c r="A29" s="2">
        <v>27.0</v>
      </c>
      <c r="B29" s="5" t="s">
        <v>9353</v>
      </c>
      <c r="C29" s="2" t="s">
        <v>9354</v>
      </c>
      <c r="D29" s="5" t="s">
        <v>9353</v>
      </c>
      <c r="E29" s="2" t="s">
        <v>15441</v>
      </c>
      <c r="F29" s="2" t="s">
        <v>15442</v>
      </c>
      <c r="G29" s="2" t="s">
        <v>15443</v>
      </c>
      <c r="H29" s="2" t="s">
        <v>15444</v>
      </c>
      <c r="J29" s="4" t="str">
        <f>IFERROR(__xludf.DUMMYFUNCTION("""COMPUTED_VALUE"""),"Vendre")</f>
        <v>Vendre</v>
      </c>
      <c r="K29" s="4" t="str">
        <f>IFERROR(__xludf.DUMMYFUNCTION("""COMPUTED_VALUE"""),"maison")</f>
        <v>maison</v>
      </c>
      <c r="L29" s="4" t="str">
        <f>IFERROR(__xludf.DUMMYFUNCTION("""COMPUTED_VALUE"""),"canton")</f>
        <v>canton</v>
      </c>
    </row>
    <row r="30">
      <c r="A30" s="2">
        <v>28.0</v>
      </c>
      <c r="B30" s="5" t="s">
        <v>52</v>
      </c>
      <c r="C30" s="2" t="s">
        <v>53</v>
      </c>
      <c r="D30" s="5" t="s">
        <v>52</v>
      </c>
      <c r="E30" s="2" t="s">
        <v>15445</v>
      </c>
      <c r="F30" s="2" t="s">
        <v>15446</v>
      </c>
      <c r="G30" s="2" t="s">
        <v>15443</v>
      </c>
      <c r="H30" s="2" t="s">
        <v>15444</v>
      </c>
      <c r="J30" s="4" t="str">
        <f>IFERROR(__xludf.DUMMYFUNCTION("""COMPUTED_VALUE"""),"Louer")</f>
        <v>Louer</v>
      </c>
      <c r="K30" s="4" t="str">
        <f>IFERROR(__xludf.DUMMYFUNCTION("""COMPUTED_VALUE"""),"appartement")</f>
        <v>appartement</v>
      </c>
      <c r="L30" s="4" t="str">
        <f>IFERROR(__xludf.DUMMYFUNCTION("""COMPUTED_VALUE"""),"pays")</f>
        <v>pays</v>
      </c>
    </row>
    <row r="31">
      <c r="A31" s="2">
        <v>29.0</v>
      </c>
      <c r="B31" s="5" t="s">
        <v>9355</v>
      </c>
      <c r="C31" s="2" t="s">
        <v>9356</v>
      </c>
      <c r="D31" s="5" t="s">
        <v>9355</v>
      </c>
      <c r="E31" s="2" t="s">
        <v>15441</v>
      </c>
      <c r="F31" s="2" t="s">
        <v>15446</v>
      </c>
      <c r="G31" s="2" t="s">
        <v>15443</v>
      </c>
      <c r="H31" s="2" t="s">
        <v>15444</v>
      </c>
      <c r="J31" s="4" t="str">
        <f>IFERROR(__xludf.DUMMYFUNCTION("""COMPUTED_VALUE"""),"Louer")</f>
        <v>Louer</v>
      </c>
      <c r="K31" s="4" t="str">
        <f>IFERROR(__xludf.DUMMYFUNCTION("""COMPUTED_VALUE"""),"appartement")</f>
        <v>appartement</v>
      </c>
      <c r="L31" s="4" t="str">
        <f>IFERROR(__xludf.DUMMYFUNCTION("""COMPUTED_VALUE"""),"canton")</f>
        <v>canton</v>
      </c>
    </row>
    <row r="32">
      <c r="A32" s="2">
        <v>30.0</v>
      </c>
      <c r="B32" s="5" t="s">
        <v>55</v>
      </c>
      <c r="C32" s="2" t="s">
        <v>56</v>
      </c>
      <c r="D32" s="5" t="s">
        <v>55</v>
      </c>
      <c r="E32" s="2" t="s">
        <v>15445</v>
      </c>
      <c r="F32" s="2" t="s">
        <v>15442</v>
      </c>
      <c r="G32" s="2" t="s">
        <v>15443</v>
      </c>
      <c r="H32" s="2" t="s">
        <v>15444</v>
      </c>
      <c r="J32" s="4"/>
      <c r="K32" s="4"/>
      <c r="L32" s="4"/>
    </row>
    <row r="33">
      <c r="A33" s="2">
        <v>31.0</v>
      </c>
      <c r="B33" s="5" t="s">
        <v>9357</v>
      </c>
      <c r="C33" s="2" t="s">
        <v>9358</v>
      </c>
      <c r="D33" s="5" t="s">
        <v>9357</v>
      </c>
      <c r="E33" s="2" t="s">
        <v>15441</v>
      </c>
      <c r="F33" s="2" t="s">
        <v>15446</v>
      </c>
      <c r="G33" s="2" t="s">
        <v>15456</v>
      </c>
      <c r="H33" s="2" t="s">
        <v>15444</v>
      </c>
    </row>
    <row r="34">
      <c r="A34" s="2">
        <v>32.0</v>
      </c>
      <c r="B34" s="5" t="s">
        <v>58</v>
      </c>
      <c r="C34" s="2" t="s">
        <v>59</v>
      </c>
      <c r="D34" s="5" t="s">
        <v>58</v>
      </c>
      <c r="E34" s="2" t="s">
        <v>15445</v>
      </c>
      <c r="F34" s="2" t="s">
        <v>15446</v>
      </c>
      <c r="G34" s="2" t="s">
        <v>15443</v>
      </c>
      <c r="H34" s="2" t="s">
        <v>15444</v>
      </c>
    </row>
    <row r="35">
      <c r="A35" s="2">
        <v>33.0</v>
      </c>
      <c r="B35" s="5" t="s">
        <v>61</v>
      </c>
      <c r="C35" s="2" t="s">
        <v>62</v>
      </c>
      <c r="D35" s="5" t="s">
        <v>61</v>
      </c>
      <c r="E35" s="2" t="s">
        <v>15445</v>
      </c>
      <c r="F35" s="2" t="s">
        <v>15442</v>
      </c>
      <c r="G35" s="2" t="s">
        <v>15456</v>
      </c>
      <c r="H35" s="2" t="s">
        <v>15457</v>
      </c>
    </row>
    <row r="36">
      <c r="A36" s="2">
        <v>34.0</v>
      </c>
      <c r="B36" s="5" t="s">
        <v>64</v>
      </c>
      <c r="C36" s="2" t="s">
        <v>65</v>
      </c>
      <c r="D36" s="5" t="s">
        <v>64</v>
      </c>
      <c r="E36" s="2" t="s">
        <v>15445</v>
      </c>
      <c r="F36" s="2" t="s">
        <v>15446</v>
      </c>
      <c r="G36" s="2" t="s">
        <v>15456</v>
      </c>
      <c r="H36" s="2" t="s">
        <v>15444</v>
      </c>
    </row>
    <row r="37">
      <c r="A37" s="2">
        <v>35.0</v>
      </c>
      <c r="B37" s="5" t="s">
        <v>9359</v>
      </c>
      <c r="C37" s="2" t="s">
        <v>9360</v>
      </c>
      <c r="D37" s="5" t="s">
        <v>9359</v>
      </c>
      <c r="E37" s="2" t="s">
        <v>15441</v>
      </c>
      <c r="F37" s="2" t="s">
        <v>15442</v>
      </c>
      <c r="G37" s="2" t="s">
        <v>15443</v>
      </c>
      <c r="H37" s="2" t="s">
        <v>15444</v>
      </c>
    </row>
    <row r="38">
      <c r="A38" s="2">
        <v>36.0</v>
      </c>
      <c r="B38" s="5" t="s">
        <v>9361</v>
      </c>
      <c r="C38" s="2" t="s">
        <v>9362</v>
      </c>
      <c r="D38" s="5" t="s">
        <v>9361</v>
      </c>
      <c r="E38" s="2" t="s">
        <v>15441</v>
      </c>
      <c r="F38" s="2" t="s">
        <v>15442</v>
      </c>
      <c r="G38" s="2" t="s">
        <v>15443</v>
      </c>
      <c r="H38" s="2" t="s">
        <v>15444</v>
      </c>
    </row>
    <row r="39">
      <c r="A39" s="2">
        <v>37.0</v>
      </c>
      <c r="B39" s="5" t="s">
        <v>67</v>
      </c>
      <c r="C39" s="2" t="s">
        <v>68</v>
      </c>
      <c r="D39" s="5" t="s">
        <v>67</v>
      </c>
      <c r="E39" s="2" t="s">
        <v>15445</v>
      </c>
      <c r="F39" s="2" t="s">
        <v>15442</v>
      </c>
      <c r="G39" s="2" t="s">
        <v>15443</v>
      </c>
      <c r="H39" s="2" t="s">
        <v>15444</v>
      </c>
    </row>
    <row r="40">
      <c r="A40" s="2">
        <v>38.0</v>
      </c>
      <c r="B40" s="5" t="s">
        <v>9363</v>
      </c>
      <c r="C40" s="2" t="s">
        <v>9364</v>
      </c>
      <c r="D40" s="5" t="s">
        <v>9363</v>
      </c>
      <c r="E40" s="2" t="s">
        <v>15441</v>
      </c>
      <c r="F40" s="2" t="s">
        <v>15446</v>
      </c>
      <c r="G40" s="2" t="s">
        <v>15456</v>
      </c>
      <c r="H40" s="2" t="s">
        <v>15444</v>
      </c>
    </row>
    <row r="41">
      <c r="A41" s="2">
        <v>39.0</v>
      </c>
      <c r="B41" s="5" t="s">
        <v>70</v>
      </c>
      <c r="C41" s="2" t="s">
        <v>71</v>
      </c>
      <c r="D41" s="5" t="s">
        <v>70</v>
      </c>
      <c r="E41" s="2" t="s">
        <v>15445</v>
      </c>
      <c r="F41" s="2" t="s">
        <v>15446</v>
      </c>
      <c r="G41" s="2" t="s">
        <v>15443</v>
      </c>
      <c r="H41" s="2" t="s">
        <v>15444</v>
      </c>
    </row>
    <row r="42">
      <c r="A42" s="2">
        <v>40.0</v>
      </c>
      <c r="B42" s="5" t="s">
        <v>9365</v>
      </c>
      <c r="C42" s="2" t="s">
        <v>9366</v>
      </c>
      <c r="D42" s="5" t="s">
        <v>9365</v>
      </c>
      <c r="E42" s="2" t="s">
        <v>15441</v>
      </c>
      <c r="F42" s="2" t="s">
        <v>15446</v>
      </c>
      <c r="G42" s="2" t="s">
        <v>15443</v>
      </c>
      <c r="H42" s="2" t="s">
        <v>15444</v>
      </c>
    </row>
    <row r="43">
      <c r="A43" s="2">
        <v>41.0</v>
      </c>
      <c r="B43" s="5" t="s">
        <v>73</v>
      </c>
      <c r="C43" s="2" t="s">
        <v>74</v>
      </c>
      <c r="D43" s="5" t="s">
        <v>73</v>
      </c>
      <c r="E43" s="2" t="s">
        <v>15445</v>
      </c>
      <c r="F43" s="2" t="s">
        <v>15442</v>
      </c>
      <c r="G43" s="2" t="s">
        <v>15443</v>
      </c>
      <c r="H43" s="2" t="s">
        <v>15444</v>
      </c>
    </row>
    <row r="44">
      <c r="A44" s="2">
        <v>42.0</v>
      </c>
      <c r="B44" s="5" t="s">
        <v>76</v>
      </c>
      <c r="C44" s="2" t="s">
        <v>77</v>
      </c>
      <c r="D44" s="5" t="s">
        <v>76</v>
      </c>
      <c r="E44" s="2" t="s">
        <v>15445</v>
      </c>
      <c r="F44" s="2" t="s">
        <v>15446</v>
      </c>
      <c r="G44" s="2" t="s">
        <v>15443</v>
      </c>
      <c r="H44" s="2" t="s">
        <v>15444</v>
      </c>
    </row>
    <row r="45">
      <c r="A45" s="2">
        <v>43.0</v>
      </c>
      <c r="B45" s="5" t="s">
        <v>79</v>
      </c>
      <c r="C45" s="2" t="s">
        <v>80</v>
      </c>
      <c r="D45" s="5" t="s">
        <v>79</v>
      </c>
      <c r="E45" s="2" t="s">
        <v>15445</v>
      </c>
      <c r="F45" s="2" t="s">
        <v>15442</v>
      </c>
      <c r="G45" s="2" t="s">
        <v>15443</v>
      </c>
      <c r="H45" s="2" t="s">
        <v>15444</v>
      </c>
    </row>
    <row r="46">
      <c r="A46" s="2">
        <v>44.0</v>
      </c>
      <c r="B46" s="5" t="s">
        <v>82</v>
      </c>
      <c r="C46" s="2" t="s">
        <v>83</v>
      </c>
      <c r="D46" s="5" t="s">
        <v>82</v>
      </c>
      <c r="E46" s="2" t="s">
        <v>15445</v>
      </c>
      <c r="F46" s="2" t="s">
        <v>15442</v>
      </c>
      <c r="G46" s="2" t="s">
        <v>15443</v>
      </c>
      <c r="H46" s="2" t="s">
        <v>15444</v>
      </c>
    </row>
    <row r="47">
      <c r="A47" s="2">
        <v>45.0</v>
      </c>
      <c r="B47" s="5" t="s">
        <v>85</v>
      </c>
      <c r="C47" s="2" t="s">
        <v>86</v>
      </c>
      <c r="D47" s="5" t="s">
        <v>85</v>
      </c>
      <c r="E47" s="2" t="s">
        <v>15445</v>
      </c>
      <c r="F47" s="2" t="s">
        <v>15446</v>
      </c>
      <c r="G47" s="2" t="s">
        <v>15443</v>
      </c>
      <c r="H47" s="2" t="s">
        <v>15444</v>
      </c>
    </row>
    <row r="48">
      <c r="A48" s="2">
        <v>46.0</v>
      </c>
      <c r="B48" s="5" t="s">
        <v>88</v>
      </c>
      <c r="C48" s="2" t="s">
        <v>89</v>
      </c>
      <c r="D48" s="5" t="s">
        <v>88</v>
      </c>
      <c r="E48" s="2" t="s">
        <v>15445</v>
      </c>
      <c r="F48" s="2" t="s">
        <v>15446</v>
      </c>
      <c r="G48" s="2" t="s">
        <v>15443</v>
      </c>
      <c r="H48" s="2" t="s">
        <v>15444</v>
      </c>
    </row>
    <row r="49">
      <c r="A49" s="2">
        <v>47.0</v>
      </c>
      <c r="B49" s="5" t="s">
        <v>91</v>
      </c>
      <c r="C49" s="2" t="s">
        <v>92</v>
      </c>
      <c r="D49" s="5" t="s">
        <v>91</v>
      </c>
      <c r="E49" s="2" t="s">
        <v>15445</v>
      </c>
      <c r="F49" s="2" t="s">
        <v>15446</v>
      </c>
      <c r="G49" s="2" t="s">
        <v>15456</v>
      </c>
      <c r="H49" s="2" t="s">
        <v>15444</v>
      </c>
    </row>
    <row r="50">
      <c r="A50" s="2">
        <v>48.0</v>
      </c>
      <c r="B50" s="5" t="s">
        <v>9367</v>
      </c>
      <c r="C50" s="2" t="s">
        <v>9368</v>
      </c>
      <c r="D50" s="5" t="s">
        <v>9367</v>
      </c>
      <c r="E50" s="2" t="s">
        <v>15441</v>
      </c>
      <c r="F50" s="2" t="s">
        <v>15442</v>
      </c>
      <c r="G50" s="2" t="s">
        <v>15443</v>
      </c>
      <c r="H50" s="2" t="s">
        <v>15444</v>
      </c>
    </row>
    <row r="51">
      <c r="A51" s="2">
        <v>49.0</v>
      </c>
      <c r="B51" s="5" t="s">
        <v>94</v>
      </c>
      <c r="C51" s="2" t="s">
        <v>95</v>
      </c>
      <c r="D51" s="5" t="s">
        <v>94</v>
      </c>
      <c r="E51" s="2" t="s">
        <v>15445</v>
      </c>
      <c r="F51" s="2" t="s">
        <v>15446</v>
      </c>
      <c r="G51" s="2" t="s">
        <v>15456</v>
      </c>
      <c r="H51" s="2" t="s">
        <v>15444</v>
      </c>
    </row>
    <row r="52">
      <c r="A52" s="2">
        <v>50.0</v>
      </c>
      <c r="B52" s="5" t="s">
        <v>97</v>
      </c>
      <c r="C52" s="2" t="s">
        <v>98</v>
      </c>
      <c r="D52" s="5" t="s">
        <v>97</v>
      </c>
      <c r="E52" s="2" t="s">
        <v>15445</v>
      </c>
      <c r="F52" s="2" t="s">
        <v>15442</v>
      </c>
      <c r="G52" s="2" t="s">
        <v>15443</v>
      </c>
      <c r="H52" s="2" t="s">
        <v>15444</v>
      </c>
    </row>
    <row r="53">
      <c r="A53" s="2">
        <v>51.0</v>
      </c>
      <c r="B53" s="5" t="s">
        <v>9369</v>
      </c>
      <c r="C53" s="2" t="s">
        <v>9370</v>
      </c>
      <c r="D53" s="5" t="s">
        <v>9369</v>
      </c>
      <c r="E53" s="2" t="s">
        <v>15441</v>
      </c>
      <c r="F53" s="2" t="s">
        <v>15446</v>
      </c>
      <c r="G53" s="2" t="s">
        <v>15456</v>
      </c>
      <c r="H53" s="2" t="s">
        <v>15444</v>
      </c>
    </row>
    <row r="54">
      <c r="A54" s="2">
        <v>52.0</v>
      </c>
      <c r="B54" s="5" t="s">
        <v>9371</v>
      </c>
      <c r="C54" s="2" t="s">
        <v>9372</v>
      </c>
      <c r="D54" s="5" t="s">
        <v>9371</v>
      </c>
      <c r="E54" s="2" t="s">
        <v>15441</v>
      </c>
      <c r="F54" s="2" t="s">
        <v>15446</v>
      </c>
      <c r="G54" s="2" t="s">
        <v>15456</v>
      </c>
      <c r="H54" s="2" t="s">
        <v>15444</v>
      </c>
    </row>
    <row r="55">
      <c r="A55" s="2">
        <v>53.0</v>
      </c>
      <c r="B55" s="5" t="s">
        <v>100</v>
      </c>
      <c r="C55" s="2" t="s">
        <v>101</v>
      </c>
      <c r="D55" s="5" t="s">
        <v>100</v>
      </c>
      <c r="E55" s="2" t="s">
        <v>15445</v>
      </c>
      <c r="F55" s="2" t="s">
        <v>15442</v>
      </c>
      <c r="G55" s="2" t="s">
        <v>15456</v>
      </c>
      <c r="H55" s="2" t="s">
        <v>15444</v>
      </c>
    </row>
    <row r="56">
      <c r="A56" s="2">
        <v>54.0</v>
      </c>
      <c r="B56" s="5" t="s">
        <v>103</v>
      </c>
      <c r="C56" s="2" t="s">
        <v>104</v>
      </c>
      <c r="D56" s="5" t="s">
        <v>103</v>
      </c>
      <c r="E56" s="2" t="s">
        <v>15445</v>
      </c>
      <c r="F56" s="2" t="s">
        <v>15442</v>
      </c>
      <c r="G56" s="2" t="s">
        <v>15443</v>
      </c>
      <c r="H56" s="2" t="s">
        <v>15444</v>
      </c>
    </row>
    <row r="57">
      <c r="A57" s="2">
        <v>55.0</v>
      </c>
      <c r="B57" s="5" t="s">
        <v>9373</v>
      </c>
      <c r="C57" s="2" t="s">
        <v>9374</v>
      </c>
      <c r="D57" s="5" t="s">
        <v>9373</v>
      </c>
      <c r="E57" s="2" t="s">
        <v>15441</v>
      </c>
      <c r="F57" s="2" t="s">
        <v>15446</v>
      </c>
      <c r="G57" s="2" t="s">
        <v>15443</v>
      </c>
      <c r="H57" s="2" t="s">
        <v>15444</v>
      </c>
    </row>
    <row r="58">
      <c r="A58" s="2">
        <v>56.0</v>
      </c>
      <c r="B58" s="5" t="s">
        <v>106</v>
      </c>
      <c r="C58" s="2" t="s">
        <v>107</v>
      </c>
      <c r="D58" s="5" t="s">
        <v>106</v>
      </c>
      <c r="E58" s="2" t="s">
        <v>15445</v>
      </c>
      <c r="F58" s="2" t="s">
        <v>15442</v>
      </c>
      <c r="G58" s="2" t="s">
        <v>15443</v>
      </c>
      <c r="H58" s="2" t="s">
        <v>15444</v>
      </c>
    </row>
    <row r="59">
      <c r="A59" s="2">
        <v>57.0</v>
      </c>
      <c r="B59" s="5" t="s">
        <v>9375</v>
      </c>
      <c r="C59" s="2" t="s">
        <v>9376</v>
      </c>
      <c r="D59" s="5" t="s">
        <v>9375</v>
      </c>
      <c r="E59" s="2" t="s">
        <v>15441</v>
      </c>
      <c r="F59" s="2" t="s">
        <v>15446</v>
      </c>
      <c r="G59" s="2" t="s">
        <v>15456</v>
      </c>
      <c r="H59" s="2" t="s">
        <v>15444</v>
      </c>
    </row>
    <row r="60">
      <c r="A60" s="2">
        <v>58.0</v>
      </c>
      <c r="B60" s="5" t="s">
        <v>9377</v>
      </c>
      <c r="C60" s="2" t="s">
        <v>9378</v>
      </c>
      <c r="D60" s="5" t="s">
        <v>9377</v>
      </c>
      <c r="E60" s="2" t="s">
        <v>15441</v>
      </c>
      <c r="F60" s="2" t="s">
        <v>15442</v>
      </c>
      <c r="G60" s="2" t="s">
        <v>15443</v>
      </c>
      <c r="H60" s="2" t="s">
        <v>15444</v>
      </c>
    </row>
    <row r="61">
      <c r="A61" s="2">
        <v>59.0</v>
      </c>
      <c r="B61" s="5" t="s">
        <v>109</v>
      </c>
      <c r="C61" s="2" t="s">
        <v>110</v>
      </c>
      <c r="D61" s="5" t="s">
        <v>109</v>
      </c>
      <c r="E61" s="2" t="s">
        <v>15445</v>
      </c>
      <c r="F61" s="2" t="s">
        <v>15446</v>
      </c>
      <c r="G61" s="2" t="s">
        <v>15456</v>
      </c>
      <c r="H61" s="2" t="s">
        <v>15444</v>
      </c>
    </row>
    <row r="62">
      <c r="A62" s="2">
        <v>60.0</v>
      </c>
      <c r="B62" s="5" t="s">
        <v>112</v>
      </c>
      <c r="C62" s="2" t="s">
        <v>113</v>
      </c>
      <c r="D62" s="5" t="s">
        <v>112</v>
      </c>
      <c r="E62" s="2" t="s">
        <v>15445</v>
      </c>
      <c r="F62" s="2" t="s">
        <v>15442</v>
      </c>
      <c r="G62" s="2" t="s">
        <v>15443</v>
      </c>
      <c r="H62" s="2" t="s">
        <v>15444</v>
      </c>
    </row>
    <row r="63">
      <c r="A63" s="2">
        <v>61.0</v>
      </c>
      <c r="B63" s="5" t="s">
        <v>9379</v>
      </c>
      <c r="C63" s="2" t="s">
        <v>9380</v>
      </c>
      <c r="D63" s="5" t="s">
        <v>9379</v>
      </c>
      <c r="E63" s="2" t="s">
        <v>15441</v>
      </c>
      <c r="F63" s="2" t="s">
        <v>15442</v>
      </c>
      <c r="G63" s="2" t="s">
        <v>15456</v>
      </c>
      <c r="H63" s="2" t="s">
        <v>15444</v>
      </c>
    </row>
    <row r="64">
      <c r="A64" s="2">
        <v>62.0</v>
      </c>
      <c r="B64" s="5" t="s">
        <v>9381</v>
      </c>
      <c r="C64" s="2" t="s">
        <v>9382</v>
      </c>
      <c r="D64" s="5" t="s">
        <v>9381</v>
      </c>
      <c r="E64" s="2" t="s">
        <v>15441</v>
      </c>
      <c r="F64" s="2" t="s">
        <v>15446</v>
      </c>
      <c r="G64" s="2" t="s">
        <v>15456</v>
      </c>
      <c r="H64" s="2" t="s">
        <v>15444</v>
      </c>
    </row>
    <row r="65">
      <c r="A65" s="2">
        <v>63.0</v>
      </c>
      <c r="B65" s="5" t="s">
        <v>9383</v>
      </c>
      <c r="C65" s="2" t="s">
        <v>9384</v>
      </c>
      <c r="D65" s="5" t="s">
        <v>9383</v>
      </c>
      <c r="E65" s="2" t="s">
        <v>15441</v>
      </c>
      <c r="F65" s="2" t="s">
        <v>15442</v>
      </c>
      <c r="G65" s="2" t="s">
        <v>15443</v>
      </c>
      <c r="H65" s="2" t="s">
        <v>15444</v>
      </c>
    </row>
    <row r="66">
      <c r="A66" s="2">
        <v>64.0</v>
      </c>
      <c r="B66" s="5" t="s">
        <v>9385</v>
      </c>
      <c r="C66" s="2" t="s">
        <v>9386</v>
      </c>
      <c r="D66" s="5" t="s">
        <v>9385</v>
      </c>
      <c r="E66" s="2" t="s">
        <v>15441</v>
      </c>
      <c r="F66" s="2" t="s">
        <v>15446</v>
      </c>
      <c r="G66" s="2" t="s">
        <v>15443</v>
      </c>
      <c r="H66" s="2" t="s">
        <v>15444</v>
      </c>
    </row>
    <row r="67">
      <c r="A67" s="2">
        <v>65.0</v>
      </c>
      <c r="B67" s="5" t="s">
        <v>9387</v>
      </c>
      <c r="C67" s="2" t="s">
        <v>9388</v>
      </c>
      <c r="D67" s="5" t="s">
        <v>9387</v>
      </c>
      <c r="E67" s="2" t="s">
        <v>15441</v>
      </c>
      <c r="F67" s="2" t="s">
        <v>15442</v>
      </c>
      <c r="G67" s="2" t="s">
        <v>15456</v>
      </c>
      <c r="H67" s="2" t="s">
        <v>15444</v>
      </c>
    </row>
    <row r="68">
      <c r="A68" s="2">
        <v>66.0</v>
      </c>
      <c r="B68" s="5" t="s">
        <v>9389</v>
      </c>
      <c r="C68" s="2" t="s">
        <v>9390</v>
      </c>
      <c r="D68" s="5" t="s">
        <v>9389</v>
      </c>
      <c r="E68" s="2" t="s">
        <v>15441</v>
      </c>
      <c r="F68" s="2" t="s">
        <v>15442</v>
      </c>
      <c r="G68" s="2" t="s">
        <v>15443</v>
      </c>
      <c r="H68" s="2" t="s">
        <v>15444</v>
      </c>
    </row>
    <row r="69">
      <c r="A69" s="2">
        <v>67.0</v>
      </c>
      <c r="B69" s="5" t="s">
        <v>115</v>
      </c>
      <c r="C69" s="2" t="s">
        <v>116</v>
      </c>
      <c r="D69" s="5" t="s">
        <v>115</v>
      </c>
      <c r="E69" s="2" t="s">
        <v>15445</v>
      </c>
      <c r="F69" s="2" t="s">
        <v>15446</v>
      </c>
      <c r="G69" s="2" t="s">
        <v>15456</v>
      </c>
      <c r="H69" s="2" t="s">
        <v>15457</v>
      </c>
    </row>
    <row r="70">
      <c r="A70" s="2">
        <v>68.0</v>
      </c>
      <c r="B70" s="5" t="s">
        <v>9391</v>
      </c>
      <c r="C70" s="2" t="s">
        <v>9392</v>
      </c>
      <c r="D70" s="5" t="s">
        <v>9391</v>
      </c>
      <c r="E70" s="2" t="s">
        <v>15441</v>
      </c>
      <c r="F70" s="2" t="s">
        <v>15446</v>
      </c>
      <c r="G70" s="2" t="s">
        <v>15456</v>
      </c>
      <c r="H70" s="2" t="s">
        <v>15444</v>
      </c>
    </row>
    <row r="71">
      <c r="A71" s="2">
        <v>69.0</v>
      </c>
      <c r="B71" s="5" t="s">
        <v>118</v>
      </c>
      <c r="C71" s="2" t="s">
        <v>119</v>
      </c>
      <c r="D71" s="5" t="s">
        <v>118</v>
      </c>
      <c r="E71" s="2" t="s">
        <v>15445</v>
      </c>
      <c r="F71" s="2" t="s">
        <v>15446</v>
      </c>
      <c r="G71" s="2" t="s">
        <v>15456</v>
      </c>
      <c r="H71" s="2" t="s">
        <v>15444</v>
      </c>
    </row>
    <row r="72">
      <c r="A72" s="2">
        <v>70.0</v>
      </c>
      <c r="B72" s="5" t="s">
        <v>9393</v>
      </c>
      <c r="C72" s="2" t="s">
        <v>9394</v>
      </c>
      <c r="D72" s="5" t="s">
        <v>9393</v>
      </c>
      <c r="E72" s="2" t="s">
        <v>15441</v>
      </c>
      <c r="F72" s="2" t="s">
        <v>15442</v>
      </c>
      <c r="G72" s="2" t="s">
        <v>15443</v>
      </c>
      <c r="H72" s="2" t="s">
        <v>15444</v>
      </c>
    </row>
    <row r="73">
      <c r="A73" s="2">
        <v>71.0</v>
      </c>
      <c r="B73" s="5" t="s">
        <v>121</v>
      </c>
      <c r="C73" s="2" t="s">
        <v>122</v>
      </c>
      <c r="D73" s="5" t="s">
        <v>121</v>
      </c>
      <c r="E73" s="2" t="s">
        <v>15445</v>
      </c>
      <c r="F73" s="2" t="s">
        <v>15446</v>
      </c>
      <c r="G73" s="2" t="s">
        <v>15443</v>
      </c>
      <c r="H73" s="2" t="s">
        <v>15444</v>
      </c>
    </row>
    <row r="74">
      <c r="A74" s="2">
        <v>72.0</v>
      </c>
      <c r="B74" s="5" t="s">
        <v>124</v>
      </c>
      <c r="C74" s="2" t="s">
        <v>125</v>
      </c>
      <c r="D74" s="5" t="s">
        <v>124</v>
      </c>
      <c r="E74" s="2" t="s">
        <v>15445</v>
      </c>
      <c r="F74" s="2" t="s">
        <v>15442</v>
      </c>
      <c r="G74" s="2" t="s">
        <v>15456</v>
      </c>
      <c r="H74" s="2" t="s">
        <v>15444</v>
      </c>
    </row>
    <row r="75">
      <c r="A75" s="2">
        <v>73.0</v>
      </c>
      <c r="B75" s="5" t="s">
        <v>9395</v>
      </c>
      <c r="C75" s="2" t="s">
        <v>9396</v>
      </c>
      <c r="D75" s="5" t="s">
        <v>9395</v>
      </c>
      <c r="E75" s="2" t="s">
        <v>15441</v>
      </c>
      <c r="F75" s="2" t="s">
        <v>15442</v>
      </c>
      <c r="G75" s="2" t="s">
        <v>15443</v>
      </c>
      <c r="H75" s="2" t="s">
        <v>15457</v>
      </c>
    </row>
    <row r="76">
      <c r="A76" s="2">
        <v>74.0</v>
      </c>
      <c r="B76" s="5" t="s">
        <v>9397</v>
      </c>
      <c r="C76" s="2" t="s">
        <v>9398</v>
      </c>
      <c r="D76" s="5" t="s">
        <v>9397</v>
      </c>
      <c r="E76" s="2" t="s">
        <v>15441</v>
      </c>
      <c r="F76" s="2" t="s">
        <v>15442</v>
      </c>
      <c r="G76" s="2" t="s">
        <v>15456</v>
      </c>
      <c r="H76" s="2" t="s">
        <v>15444</v>
      </c>
    </row>
    <row r="77">
      <c r="A77" s="2">
        <v>75.0</v>
      </c>
      <c r="B77" s="5" t="s">
        <v>9399</v>
      </c>
      <c r="C77" s="2" t="s">
        <v>9400</v>
      </c>
      <c r="D77" s="5" t="s">
        <v>9399</v>
      </c>
      <c r="E77" s="2" t="s">
        <v>15441</v>
      </c>
      <c r="F77" s="2" t="s">
        <v>15442</v>
      </c>
      <c r="G77" s="2" t="s">
        <v>15456</v>
      </c>
      <c r="H77" s="2" t="s">
        <v>15444</v>
      </c>
    </row>
    <row r="78">
      <c r="A78" s="2">
        <v>76.0</v>
      </c>
      <c r="B78" s="5" t="s">
        <v>127</v>
      </c>
      <c r="C78" s="2" t="s">
        <v>128</v>
      </c>
      <c r="D78" s="5" t="s">
        <v>127</v>
      </c>
      <c r="E78" s="2" t="s">
        <v>15445</v>
      </c>
      <c r="F78" s="2" t="s">
        <v>15442</v>
      </c>
      <c r="G78" s="2" t="s">
        <v>15456</v>
      </c>
      <c r="H78" s="2" t="s">
        <v>15444</v>
      </c>
    </row>
    <row r="79">
      <c r="A79" s="2">
        <v>77.0</v>
      </c>
      <c r="B79" s="5" t="s">
        <v>9401</v>
      </c>
      <c r="C79" s="2" t="s">
        <v>9402</v>
      </c>
      <c r="D79" s="5" t="s">
        <v>9401</v>
      </c>
      <c r="E79" s="2" t="s">
        <v>15441</v>
      </c>
      <c r="F79" s="2" t="s">
        <v>15446</v>
      </c>
      <c r="G79" s="2" t="s">
        <v>15456</v>
      </c>
      <c r="H79" s="2" t="s">
        <v>15457</v>
      </c>
    </row>
    <row r="80">
      <c r="A80" s="2">
        <v>78.0</v>
      </c>
      <c r="B80" s="5" t="s">
        <v>9403</v>
      </c>
      <c r="C80" s="2" t="s">
        <v>9404</v>
      </c>
      <c r="D80" s="5" t="s">
        <v>9403</v>
      </c>
      <c r="E80" s="2" t="s">
        <v>15441</v>
      </c>
      <c r="F80" s="2" t="s">
        <v>15446</v>
      </c>
      <c r="G80" s="2" t="s">
        <v>15456</v>
      </c>
      <c r="H80" s="2" t="s">
        <v>15444</v>
      </c>
    </row>
    <row r="81">
      <c r="A81" s="2">
        <v>79.0</v>
      </c>
      <c r="B81" s="5" t="s">
        <v>9405</v>
      </c>
      <c r="C81" s="2" t="s">
        <v>9406</v>
      </c>
      <c r="D81" s="5" t="s">
        <v>9405</v>
      </c>
      <c r="E81" s="2" t="s">
        <v>15441</v>
      </c>
      <c r="F81" s="2" t="s">
        <v>15442</v>
      </c>
      <c r="G81" s="2" t="s">
        <v>15443</v>
      </c>
      <c r="H81" s="2" t="s">
        <v>15444</v>
      </c>
    </row>
    <row r="82">
      <c r="A82" s="2">
        <v>80.0</v>
      </c>
      <c r="B82" s="5" t="s">
        <v>9407</v>
      </c>
      <c r="C82" s="2" t="s">
        <v>9408</v>
      </c>
      <c r="D82" s="5" t="s">
        <v>9407</v>
      </c>
      <c r="E82" s="2" t="s">
        <v>15441</v>
      </c>
      <c r="F82" s="2" t="s">
        <v>15442</v>
      </c>
      <c r="G82" s="2" t="s">
        <v>15443</v>
      </c>
      <c r="H82" s="2" t="s">
        <v>15444</v>
      </c>
    </row>
    <row r="83">
      <c r="A83" s="2">
        <v>81.0</v>
      </c>
      <c r="B83" s="5" t="s">
        <v>9409</v>
      </c>
      <c r="C83" s="2" t="s">
        <v>9410</v>
      </c>
      <c r="D83" s="5" t="s">
        <v>9409</v>
      </c>
      <c r="E83" s="2" t="s">
        <v>15441</v>
      </c>
      <c r="F83" s="2" t="s">
        <v>15446</v>
      </c>
      <c r="G83" s="2" t="s">
        <v>15456</v>
      </c>
      <c r="H83" s="2" t="s">
        <v>15444</v>
      </c>
    </row>
    <row r="84">
      <c r="A84" s="2">
        <v>82.0</v>
      </c>
      <c r="B84" s="5" t="s">
        <v>9411</v>
      </c>
      <c r="C84" s="2" t="s">
        <v>9412</v>
      </c>
      <c r="D84" s="5" t="s">
        <v>9411</v>
      </c>
      <c r="E84" s="2" t="s">
        <v>15441</v>
      </c>
      <c r="F84" s="2" t="s">
        <v>15442</v>
      </c>
      <c r="G84" s="2" t="s">
        <v>15443</v>
      </c>
      <c r="H84" s="2" t="s">
        <v>15444</v>
      </c>
    </row>
    <row r="85">
      <c r="A85" s="2">
        <v>83.0</v>
      </c>
      <c r="B85" s="5" t="s">
        <v>9413</v>
      </c>
      <c r="C85" s="2" t="s">
        <v>9414</v>
      </c>
      <c r="D85" s="5" t="s">
        <v>9413</v>
      </c>
      <c r="E85" s="2" t="s">
        <v>15441</v>
      </c>
      <c r="F85" s="2" t="s">
        <v>15446</v>
      </c>
      <c r="G85" s="2" t="s">
        <v>15456</v>
      </c>
      <c r="H85" s="2" t="s">
        <v>15444</v>
      </c>
    </row>
    <row r="86">
      <c r="A86" s="2">
        <v>84.0</v>
      </c>
      <c r="B86" s="5" t="s">
        <v>9415</v>
      </c>
      <c r="C86" s="2" t="s">
        <v>9416</v>
      </c>
      <c r="D86" s="5" t="s">
        <v>9415</v>
      </c>
      <c r="E86" s="2" t="s">
        <v>15441</v>
      </c>
      <c r="F86" s="2" t="s">
        <v>15446</v>
      </c>
      <c r="G86" s="2" t="s">
        <v>15443</v>
      </c>
      <c r="H86" s="2" t="s">
        <v>15444</v>
      </c>
    </row>
    <row r="87">
      <c r="A87" s="2">
        <v>85.0</v>
      </c>
      <c r="B87" s="5" t="s">
        <v>15458</v>
      </c>
      <c r="C87" s="2" t="s">
        <v>15459</v>
      </c>
      <c r="D87" s="5" t="s">
        <v>15458</v>
      </c>
      <c r="E87" s="2" t="s">
        <v>15441</v>
      </c>
      <c r="F87" s="2" t="s">
        <v>15446</v>
      </c>
      <c r="G87" s="2" t="s">
        <v>15456</v>
      </c>
      <c r="H87" s="2" t="s">
        <v>15457</v>
      </c>
    </row>
    <row r="88">
      <c r="A88" s="2">
        <v>86.0</v>
      </c>
      <c r="B88" s="5" t="s">
        <v>130</v>
      </c>
      <c r="C88" s="2" t="s">
        <v>131</v>
      </c>
      <c r="D88" s="5" t="s">
        <v>130</v>
      </c>
      <c r="E88" s="2" t="s">
        <v>15445</v>
      </c>
      <c r="F88" s="2" t="s">
        <v>15442</v>
      </c>
      <c r="G88" s="2" t="s">
        <v>15443</v>
      </c>
      <c r="H88" s="2" t="s">
        <v>15444</v>
      </c>
    </row>
    <row r="89">
      <c r="A89" s="2">
        <v>87.0</v>
      </c>
      <c r="B89" s="5" t="s">
        <v>133</v>
      </c>
      <c r="C89" s="2" t="s">
        <v>134</v>
      </c>
      <c r="D89" s="5" t="s">
        <v>133</v>
      </c>
      <c r="E89" s="2" t="s">
        <v>15445</v>
      </c>
      <c r="F89" s="2" t="s">
        <v>15442</v>
      </c>
      <c r="G89" s="2" t="s">
        <v>15443</v>
      </c>
      <c r="H89" s="2" t="s">
        <v>15444</v>
      </c>
    </row>
    <row r="90">
      <c r="A90" s="2">
        <v>88.0</v>
      </c>
      <c r="B90" s="5" t="s">
        <v>136</v>
      </c>
      <c r="C90" s="2" t="s">
        <v>137</v>
      </c>
      <c r="D90" s="5" t="s">
        <v>136</v>
      </c>
      <c r="E90" s="2" t="s">
        <v>15445</v>
      </c>
      <c r="F90" s="2" t="s">
        <v>15446</v>
      </c>
      <c r="G90" s="2" t="s">
        <v>15443</v>
      </c>
      <c r="H90" s="2" t="s">
        <v>15444</v>
      </c>
    </row>
    <row r="91">
      <c r="A91" s="2">
        <v>89.0</v>
      </c>
      <c r="B91" s="5" t="s">
        <v>139</v>
      </c>
      <c r="C91" s="2" t="s">
        <v>140</v>
      </c>
      <c r="D91" s="5" t="s">
        <v>139</v>
      </c>
      <c r="E91" s="2" t="s">
        <v>15445</v>
      </c>
      <c r="F91" s="2" t="s">
        <v>15446</v>
      </c>
      <c r="G91" s="2" t="s">
        <v>15443</v>
      </c>
      <c r="H91" s="2" t="s">
        <v>15457</v>
      </c>
    </row>
    <row r="92">
      <c r="A92" s="2">
        <v>90.0</v>
      </c>
      <c r="B92" s="5" t="s">
        <v>142</v>
      </c>
      <c r="C92" s="2" t="s">
        <v>143</v>
      </c>
      <c r="D92" s="5" t="s">
        <v>142</v>
      </c>
      <c r="E92" s="2" t="s">
        <v>15445</v>
      </c>
      <c r="F92" s="2" t="s">
        <v>15442</v>
      </c>
      <c r="G92" s="2" t="s">
        <v>15443</v>
      </c>
      <c r="H92" s="2" t="s">
        <v>15444</v>
      </c>
    </row>
    <row r="93">
      <c r="A93" s="2">
        <v>91.0</v>
      </c>
      <c r="B93" s="5" t="s">
        <v>145</v>
      </c>
      <c r="C93" s="2" t="s">
        <v>146</v>
      </c>
      <c r="D93" s="5" t="s">
        <v>145</v>
      </c>
      <c r="E93" s="2" t="s">
        <v>15445</v>
      </c>
      <c r="F93" s="2" t="s">
        <v>15446</v>
      </c>
      <c r="G93" s="2" t="s">
        <v>15456</v>
      </c>
      <c r="H93" s="2" t="s">
        <v>15444</v>
      </c>
    </row>
    <row r="94">
      <c r="A94" s="2">
        <v>92.0</v>
      </c>
      <c r="B94" s="5" t="s">
        <v>148</v>
      </c>
      <c r="C94" s="2" t="s">
        <v>149</v>
      </c>
      <c r="D94" s="5" t="s">
        <v>148</v>
      </c>
      <c r="E94" s="2" t="s">
        <v>15445</v>
      </c>
      <c r="F94" s="2" t="s">
        <v>15442</v>
      </c>
      <c r="G94" s="2" t="s">
        <v>15443</v>
      </c>
      <c r="H94" s="2" t="s">
        <v>15444</v>
      </c>
    </row>
    <row r="95">
      <c r="A95" s="2">
        <v>93.0</v>
      </c>
      <c r="B95" s="5" t="s">
        <v>9417</v>
      </c>
      <c r="C95" s="2" t="s">
        <v>9418</v>
      </c>
      <c r="D95" s="5" t="s">
        <v>9417</v>
      </c>
      <c r="E95" s="2" t="s">
        <v>15441</v>
      </c>
      <c r="F95" s="2" t="s">
        <v>15446</v>
      </c>
      <c r="G95" s="2" t="s">
        <v>15456</v>
      </c>
      <c r="H95" s="2" t="s">
        <v>15444</v>
      </c>
    </row>
    <row r="96">
      <c r="A96" s="2">
        <v>94.0</v>
      </c>
      <c r="B96" s="5" t="s">
        <v>9419</v>
      </c>
      <c r="C96" s="2" t="s">
        <v>9420</v>
      </c>
      <c r="D96" s="5" t="s">
        <v>9419</v>
      </c>
      <c r="E96" s="2" t="s">
        <v>15441</v>
      </c>
      <c r="F96" s="2" t="s">
        <v>15442</v>
      </c>
      <c r="G96" s="2" t="s">
        <v>15443</v>
      </c>
      <c r="H96" s="2" t="s">
        <v>15444</v>
      </c>
    </row>
    <row r="97">
      <c r="A97" s="2">
        <v>95.0</v>
      </c>
      <c r="B97" s="5" t="s">
        <v>151</v>
      </c>
      <c r="C97" s="2" t="s">
        <v>152</v>
      </c>
      <c r="D97" s="5" t="s">
        <v>151</v>
      </c>
      <c r="E97" s="2" t="s">
        <v>15445</v>
      </c>
      <c r="F97" s="2" t="s">
        <v>15442</v>
      </c>
      <c r="G97" s="2" t="s">
        <v>15456</v>
      </c>
      <c r="H97" s="2" t="s">
        <v>15444</v>
      </c>
    </row>
    <row r="98">
      <c r="A98" s="2">
        <v>96.0</v>
      </c>
      <c r="B98" s="5" t="s">
        <v>15460</v>
      </c>
      <c r="C98" s="2" t="s">
        <v>155</v>
      </c>
      <c r="D98" s="5" t="s">
        <v>15460</v>
      </c>
      <c r="E98" s="2" t="s">
        <v>15445</v>
      </c>
      <c r="F98" s="2" t="s">
        <v>15446</v>
      </c>
      <c r="G98" s="2" t="s">
        <v>15443</v>
      </c>
      <c r="H98" s="2" t="s">
        <v>15461</v>
      </c>
    </row>
    <row r="99">
      <c r="A99" s="2">
        <v>97.0</v>
      </c>
      <c r="B99" s="5" t="s">
        <v>9421</v>
      </c>
      <c r="C99" s="2" t="s">
        <v>9422</v>
      </c>
      <c r="D99" s="3" t="s">
        <v>9421</v>
      </c>
      <c r="E99" s="2" t="s">
        <v>15441</v>
      </c>
      <c r="F99" s="2" t="s">
        <v>15442</v>
      </c>
      <c r="G99" s="2" t="s">
        <v>15456</v>
      </c>
      <c r="H99" s="2" t="s">
        <v>15455</v>
      </c>
    </row>
    <row r="100">
      <c r="A100" s="2">
        <v>98.0</v>
      </c>
      <c r="B100" s="5" t="s">
        <v>9423</v>
      </c>
      <c r="C100" s="2" t="s">
        <v>9424</v>
      </c>
      <c r="D100" s="5" t="s">
        <v>9423</v>
      </c>
      <c r="E100" s="2" t="s">
        <v>15441</v>
      </c>
      <c r="F100" s="2" t="s">
        <v>15442</v>
      </c>
      <c r="G100" s="2" t="s">
        <v>15443</v>
      </c>
      <c r="H100" s="2" t="s">
        <v>15444</v>
      </c>
    </row>
    <row r="101">
      <c r="A101" s="2">
        <v>99.0</v>
      </c>
      <c r="B101" s="5" t="s">
        <v>9425</v>
      </c>
      <c r="C101" s="2" t="s">
        <v>9426</v>
      </c>
      <c r="D101" s="5" t="s">
        <v>9425</v>
      </c>
      <c r="E101" s="2" t="s">
        <v>15441</v>
      </c>
      <c r="F101" s="2" t="s">
        <v>15442</v>
      </c>
      <c r="G101" s="2" t="s">
        <v>15443</v>
      </c>
      <c r="H101" s="2" t="s">
        <v>15444</v>
      </c>
    </row>
    <row r="102">
      <c r="A102" s="2">
        <v>100.0</v>
      </c>
      <c r="B102" s="5" t="s">
        <v>157</v>
      </c>
      <c r="C102" s="2" t="s">
        <v>158</v>
      </c>
      <c r="D102" s="5" t="s">
        <v>157</v>
      </c>
      <c r="E102" s="2" t="s">
        <v>15445</v>
      </c>
      <c r="F102" s="2" t="s">
        <v>15446</v>
      </c>
      <c r="G102" s="2" t="s">
        <v>15456</v>
      </c>
      <c r="H102" s="2" t="s">
        <v>15444</v>
      </c>
    </row>
    <row r="103">
      <c r="A103" s="2">
        <v>101.0</v>
      </c>
      <c r="B103" s="5" t="s">
        <v>9427</v>
      </c>
      <c r="C103" s="2" t="s">
        <v>9428</v>
      </c>
      <c r="D103" s="5" t="s">
        <v>9427</v>
      </c>
      <c r="E103" s="2" t="s">
        <v>15441</v>
      </c>
      <c r="F103" s="2" t="s">
        <v>15446</v>
      </c>
      <c r="G103" s="2" t="s">
        <v>15443</v>
      </c>
      <c r="H103" s="2" t="s">
        <v>15444</v>
      </c>
    </row>
    <row r="104">
      <c r="A104" s="2">
        <v>102.0</v>
      </c>
      <c r="B104" s="5" t="s">
        <v>160</v>
      </c>
      <c r="C104" s="2" t="s">
        <v>161</v>
      </c>
      <c r="D104" s="5" t="s">
        <v>160</v>
      </c>
      <c r="E104" s="2" t="s">
        <v>15445</v>
      </c>
      <c r="F104" s="2" t="s">
        <v>15442</v>
      </c>
      <c r="G104" s="2" t="s">
        <v>15456</v>
      </c>
      <c r="H104" s="2" t="s">
        <v>15444</v>
      </c>
    </row>
    <row r="105">
      <c r="A105" s="2">
        <v>103.0</v>
      </c>
      <c r="B105" s="5" t="s">
        <v>9429</v>
      </c>
      <c r="C105" s="2" t="s">
        <v>9430</v>
      </c>
      <c r="D105" s="5" t="s">
        <v>9429</v>
      </c>
      <c r="E105" s="2" t="s">
        <v>15441</v>
      </c>
      <c r="F105" s="2" t="s">
        <v>15442</v>
      </c>
      <c r="G105" s="2" t="s">
        <v>15456</v>
      </c>
      <c r="H105" s="2" t="s">
        <v>15455</v>
      </c>
    </row>
    <row r="106">
      <c r="A106" s="2">
        <v>104.0</v>
      </c>
      <c r="B106" s="5" t="s">
        <v>9431</v>
      </c>
      <c r="C106" s="2" t="s">
        <v>9432</v>
      </c>
      <c r="D106" s="5" t="s">
        <v>9431</v>
      </c>
      <c r="E106" s="2" t="s">
        <v>15441</v>
      </c>
      <c r="F106" s="2" t="s">
        <v>15446</v>
      </c>
      <c r="G106" s="2" t="s">
        <v>15456</v>
      </c>
      <c r="H106" s="2" t="s">
        <v>15444</v>
      </c>
    </row>
    <row r="107">
      <c r="A107" s="2">
        <v>105.0</v>
      </c>
      <c r="B107" s="5" t="s">
        <v>9433</v>
      </c>
      <c r="C107" s="2" t="s">
        <v>9434</v>
      </c>
      <c r="D107" s="5" t="s">
        <v>9433</v>
      </c>
      <c r="E107" s="2" t="s">
        <v>15441</v>
      </c>
      <c r="F107" s="2" t="s">
        <v>15446</v>
      </c>
      <c r="G107" s="2" t="s">
        <v>15443</v>
      </c>
      <c r="H107" s="2" t="s">
        <v>15444</v>
      </c>
    </row>
    <row r="108">
      <c r="A108" s="2">
        <v>106.0</v>
      </c>
      <c r="B108" s="5" t="s">
        <v>9435</v>
      </c>
      <c r="C108" s="2" t="s">
        <v>9436</v>
      </c>
      <c r="D108" s="5" t="s">
        <v>9435</v>
      </c>
      <c r="E108" s="2" t="s">
        <v>15441</v>
      </c>
      <c r="F108" s="2" t="s">
        <v>15446</v>
      </c>
      <c r="G108" s="2" t="s">
        <v>15443</v>
      </c>
      <c r="H108" s="2" t="s">
        <v>15444</v>
      </c>
    </row>
    <row r="109">
      <c r="A109" s="2">
        <v>107.0</v>
      </c>
      <c r="B109" s="5" t="s">
        <v>9437</v>
      </c>
      <c r="C109" s="2" t="s">
        <v>9438</v>
      </c>
      <c r="D109" s="5" t="s">
        <v>9437</v>
      </c>
      <c r="E109" s="2" t="s">
        <v>15441</v>
      </c>
      <c r="F109" s="2" t="s">
        <v>15446</v>
      </c>
      <c r="G109" s="2" t="s">
        <v>15456</v>
      </c>
      <c r="H109" s="2" t="s">
        <v>15444</v>
      </c>
    </row>
    <row r="110">
      <c r="A110" s="2">
        <v>108.0</v>
      </c>
      <c r="B110" s="5" t="s">
        <v>9439</v>
      </c>
      <c r="C110" s="2" t="s">
        <v>9440</v>
      </c>
      <c r="D110" s="5" t="s">
        <v>9439</v>
      </c>
      <c r="E110" s="2" t="s">
        <v>15441</v>
      </c>
      <c r="F110" s="2" t="s">
        <v>15442</v>
      </c>
      <c r="G110" s="2" t="s">
        <v>15443</v>
      </c>
      <c r="H110" s="2" t="s">
        <v>15444</v>
      </c>
    </row>
    <row r="111">
      <c r="A111" s="2">
        <v>109.0</v>
      </c>
      <c r="B111" s="5" t="s">
        <v>163</v>
      </c>
      <c r="C111" s="2" t="s">
        <v>164</v>
      </c>
      <c r="D111" s="5" t="s">
        <v>163</v>
      </c>
      <c r="E111" s="2" t="s">
        <v>15445</v>
      </c>
      <c r="F111" s="2" t="s">
        <v>15446</v>
      </c>
      <c r="G111" s="2" t="s">
        <v>15443</v>
      </c>
      <c r="H111" s="2" t="s">
        <v>15444</v>
      </c>
    </row>
    <row r="112">
      <c r="A112" s="2">
        <v>110.0</v>
      </c>
      <c r="B112" s="5" t="s">
        <v>9441</v>
      </c>
      <c r="C112" s="2" t="s">
        <v>9442</v>
      </c>
      <c r="D112" s="5" t="s">
        <v>9441</v>
      </c>
      <c r="E112" s="2" t="s">
        <v>15441</v>
      </c>
      <c r="F112" s="2" t="s">
        <v>15442</v>
      </c>
      <c r="G112" s="2" t="s">
        <v>15443</v>
      </c>
      <c r="H112" s="2" t="s">
        <v>15444</v>
      </c>
    </row>
    <row r="113">
      <c r="A113" s="2">
        <v>111.0</v>
      </c>
      <c r="B113" s="5" t="s">
        <v>9443</v>
      </c>
      <c r="C113" s="2" t="s">
        <v>9444</v>
      </c>
      <c r="D113" s="5" t="s">
        <v>9443</v>
      </c>
      <c r="E113" s="2" t="s">
        <v>15441</v>
      </c>
      <c r="F113" s="2" t="s">
        <v>15446</v>
      </c>
      <c r="G113" s="2" t="s">
        <v>15443</v>
      </c>
      <c r="H113" s="2" t="s">
        <v>15444</v>
      </c>
    </row>
    <row r="114">
      <c r="A114" s="2">
        <v>112.0</v>
      </c>
      <c r="B114" s="5" t="s">
        <v>9445</v>
      </c>
      <c r="C114" s="2" t="s">
        <v>9446</v>
      </c>
      <c r="D114" s="5" t="s">
        <v>9445</v>
      </c>
      <c r="E114" s="2" t="s">
        <v>15441</v>
      </c>
      <c r="F114" s="2" t="s">
        <v>15442</v>
      </c>
      <c r="G114" s="2" t="s">
        <v>15443</v>
      </c>
      <c r="H114" s="2" t="s">
        <v>15457</v>
      </c>
    </row>
    <row r="115">
      <c r="A115" s="2">
        <v>113.0</v>
      </c>
      <c r="B115" s="5" t="s">
        <v>166</v>
      </c>
      <c r="C115" s="2" t="s">
        <v>167</v>
      </c>
      <c r="D115" s="5" t="s">
        <v>166</v>
      </c>
      <c r="E115" s="2" t="s">
        <v>15445</v>
      </c>
      <c r="F115" s="2" t="s">
        <v>15446</v>
      </c>
      <c r="G115" s="2" t="s">
        <v>15443</v>
      </c>
      <c r="H115" s="2" t="s">
        <v>15444</v>
      </c>
    </row>
    <row r="116">
      <c r="A116" s="2">
        <v>114.0</v>
      </c>
      <c r="B116" s="5" t="s">
        <v>169</v>
      </c>
      <c r="C116" s="2" t="s">
        <v>170</v>
      </c>
      <c r="D116" s="5" t="s">
        <v>169</v>
      </c>
      <c r="E116" s="2" t="s">
        <v>15445</v>
      </c>
      <c r="F116" s="2" t="s">
        <v>15442</v>
      </c>
      <c r="G116" s="2" t="s">
        <v>15443</v>
      </c>
      <c r="H116" s="2" t="s">
        <v>15444</v>
      </c>
    </row>
    <row r="117">
      <c r="A117" s="2">
        <v>115.0</v>
      </c>
      <c r="B117" s="5" t="s">
        <v>172</v>
      </c>
      <c r="C117" s="2" t="s">
        <v>173</v>
      </c>
      <c r="D117" s="5" t="s">
        <v>172</v>
      </c>
      <c r="E117" s="2" t="s">
        <v>15445</v>
      </c>
      <c r="F117" s="2" t="s">
        <v>15446</v>
      </c>
      <c r="G117" s="2" t="s">
        <v>15456</v>
      </c>
      <c r="H117" s="2" t="s">
        <v>15444</v>
      </c>
    </row>
    <row r="118">
      <c r="A118" s="2">
        <v>116.0</v>
      </c>
      <c r="B118" s="5" t="s">
        <v>9447</v>
      </c>
      <c r="C118" s="2" t="s">
        <v>9448</v>
      </c>
      <c r="D118" s="5" t="s">
        <v>9447</v>
      </c>
      <c r="E118" s="2" t="s">
        <v>15441</v>
      </c>
      <c r="F118" s="2" t="s">
        <v>15446</v>
      </c>
      <c r="G118" s="2" t="s">
        <v>15443</v>
      </c>
      <c r="H118" s="2" t="s">
        <v>15444</v>
      </c>
    </row>
    <row r="119">
      <c r="A119" s="2">
        <v>117.0</v>
      </c>
      <c r="B119" s="5" t="s">
        <v>9449</v>
      </c>
      <c r="C119" s="2" t="s">
        <v>9450</v>
      </c>
      <c r="D119" s="5" t="s">
        <v>9449</v>
      </c>
      <c r="E119" s="2" t="s">
        <v>15441</v>
      </c>
      <c r="F119" s="2" t="s">
        <v>15446</v>
      </c>
      <c r="G119" s="2" t="s">
        <v>15456</v>
      </c>
      <c r="H119" s="2" t="s">
        <v>15444</v>
      </c>
    </row>
    <row r="120">
      <c r="A120" s="2">
        <v>118.0</v>
      </c>
      <c r="B120" s="5" t="s">
        <v>175</v>
      </c>
      <c r="C120" s="2" t="s">
        <v>176</v>
      </c>
      <c r="D120" s="5" t="s">
        <v>175</v>
      </c>
      <c r="E120" s="2" t="s">
        <v>15445</v>
      </c>
      <c r="F120" s="2" t="s">
        <v>15442</v>
      </c>
      <c r="G120" s="2" t="s">
        <v>15456</v>
      </c>
      <c r="H120" s="2" t="s">
        <v>15444</v>
      </c>
    </row>
    <row r="121">
      <c r="A121" s="2">
        <v>119.0</v>
      </c>
      <c r="B121" s="5" t="s">
        <v>178</v>
      </c>
      <c r="C121" s="2" t="s">
        <v>179</v>
      </c>
      <c r="D121" s="5" t="s">
        <v>178</v>
      </c>
      <c r="E121" s="2" t="s">
        <v>15445</v>
      </c>
      <c r="F121" s="2" t="s">
        <v>15446</v>
      </c>
      <c r="G121" s="2" t="s">
        <v>15456</v>
      </c>
      <c r="H121" s="2" t="s">
        <v>15444</v>
      </c>
    </row>
    <row r="122">
      <c r="A122" s="2">
        <v>120.0</v>
      </c>
      <c r="B122" s="5" t="s">
        <v>9451</v>
      </c>
      <c r="C122" s="2" t="s">
        <v>9452</v>
      </c>
      <c r="D122" s="5" t="s">
        <v>9451</v>
      </c>
      <c r="E122" s="2" t="s">
        <v>15441</v>
      </c>
      <c r="F122" s="2" t="s">
        <v>15446</v>
      </c>
      <c r="G122" s="2" t="s">
        <v>15456</v>
      </c>
      <c r="H122" s="2" t="s">
        <v>15444</v>
      </c>
    </row>
    <row r="123">
      <c r="A123" s="2">
        <v>121.0</v>
      </c>
      <c r="B123" s="5" t="s">
        <v>181</v>
      </c>
      <c r="C123" s="2" t="s">
        <v>182</v>
      </c>
      <c r="D123" s="5" t="s">
        <v>181</v>
      </c>
      <c r="E123" s="2" t="s">
        <v>15445</v>
      </c>
      <c r="F123" s="2" t="s">
        <v>15442</v>
      </c>
      <c r="G123" s="2" t="s">
        <v>15443</v>
      </c>
      <c r="H123" s="2" t="s">
        <v>15444</v>
      </c>
    </row>
    <row r="124">
      <c r="A124" s="2">
        <v>122.0</v>
      </c>
      <c r="B124" s="5" t="s">
        <v>9453</v>
      </c>
      <c r="C124" s="2" t="s">
        <v>9454</v>
      </c>
      <c r="D124" s="5" t="s">
        <v>9453</v>
      </c>
      <c r="E124" s="2" t="s">
        <v>15441</v>
      </c>
      <c r="F124" s="2" t="s">
        <v>15442</v>
      </c>
      <c r="G124" s="2" t="s">
        <v>15443</v>
      </c>
      <c r="H124" s="2" t="s">
        <v>15444</v>
      </c>
    </row>
    <row r="125">
      <c r="A125" s="2">
        <v>123.0</v>
      </c>
      <c r="B125" s="5" t="s">
        <v>9455</v>
      </c>
      <c r="C125" s="2" t="s">
        <v>9456</v>
      </c>
      <c r="D125" s="5" t="s">
        <v>9455</v>
      </c>
      <c r="E125" s="2" t="s">
        <v>15441</v>
      </c>
      <c r="F125" s="2" t="s">
        <v>15442</v>
      </c>
      <c r="G125" s="2" t="s">
        <v>15456</v>
      </c>
      <c r="H125" s="2" t="s">
        <v>15444</v>
      </c>
    </row>
    <row r="126">
      <c r="A126" s="2">
        <v>124.0</v>
      </c>
      <c r="B126" s="5" t="s">
        <v>184</v>
      </c>
      <c r="C126" s="2" t="s">
        <v>185</v>
      </c>
      <c r="D126" s="5" t="s">
        <v>184</v>
      </c>
      <c r="E126" s="2" t="s">
        <v>15445</v>
      </c>
      <c r="F126" s="2" t="s">
        <v>15446</v>
      </c>
      <c r="G126" s="2" t="s">
        <v>15443</v>
      </c>
      <c r="H126" s="2" t="s">
        <v>15444</v>
      </c>
    </row>
    <row r="127">
      <c r="A127" s="2">
        <v>125.0</v>
      </c>
      <c r="B127" s="5" t="s">
        <v>187</v>
      </c>
      <c r="C127" s="2" t="s">
        <v>188</v>
      </c>
      <c r="D127" s="5" t="s">
        <v>187</v>
      </c>
      <c r="E127" s="2" t="s">
        <v>15445</v>
      </c>
      <c r="F127" s="2" t="s">
        <v>15442</v>
      </c>
      <c r="G127" s="2" t="s">
        <v>15443</v>
      </c>
      <c r="H127" s="2" t="s">
        <v>15444</v>
      </c>
    </row>
    <row r="128">
      <c r="A128" s="2">
        <v>126.0</v>
      </c>
      <c r="B128" s="5" t="s">
        <v>190</v>
      </c>
      <c r="C128" s="2" t="s">
        <v>191</v>
      </c>
      <c r="D128" s="5" t="s">
        <v>190</v>
      </c>
      <c r="E128" s="2" t="s">
        <v>15445</v>
      </c>
      <c r="F128" s="2" t="s">
        <v>15446</v>
      </c>
      <c r="G128" s="2" t="s">
        <v>15456</v>
      </c>
      <c r="H128" s="2" t="s">
        <v>15455</v>
      </c>
    </row>
    <row r="129">
      <c r="A129" s="2">
        <v>127.0</v>
      </c>
      <c r="B129" s="5" t="s">
        <v>9457</v>
      </c>
      <c r="C129" s="2" t="s">
        <v>9458</v>
      </c>
      <c r="D129" s="5" t="s">
        <v>9457</v>
      </c>
      <c r="E129" s="2" t="s">
        <v>15441</v>
      </c>
      <c r="F129" s="2" t="s">
        <v>15446</v>
      </c>
      <c r="G129" s="2" t="s">
        <v>15456</v>
      </c>
      <c r="H129" s="2" t="s">
        <v>15444</v>
      </c>
    </row>
    <row r="130">
      <c r="A130" s="2">
        <v>128.0</v>
      </c>
      <c r="B130" s="5" t="s">
        <v>9459</v>
      </c>
      <c r="C130" s="2" t="s">
        <v>9460</v>
      </c>
      <c r="D130" s="5" t="s">
        <v>9459</v>
      </c>
      <c r="E130" s="2" t="s">
        <v>15441</v>
      </c>
      <c r="F130" s="2" t="s">
        <v>15442</v>
      </c>
      <c r="G130" s="2" t="s">
        <v>15443</v>
      </c>
      <c r="H130" s="2" t="s">
        <v>15444</v>
      </c>
    </row>
    <row r="131">
      <c r="A131" s="2">
        <v>129.0</v>
      </c>
      <c r="B131" s="5" t="s">
        <v>193</v>
      </c>
      <c r="C131" s="2" t="s">
        <v>194</v>
      </c>
      <c r="D131" s="5" t="s">
        <v>193</v>
      </c>
      <c r="E131" s="2" t="s">
        <v>15445</v>
      </c>
      <c r="F131" s="2" t="s">
        <v>15446</v>
      </c>
      <c r="G131" s="2" t="s">
        <v>15456</v>
      </c>
      <c r="H131" s="2" t="s">
        <v>15444</v>
      </c>
    </row>
    <row r="132">
      <c r="A132" s="2">
        <v>130.0</v>
      </c>
      <c r="B132" s="5" t="s">
        <v>196</v>
      </c>
      <c r="C132" s="2" t="s">
        <v>197</v>
      </c>
      <c r="D132" s="5" t="s">
        <v>196</v>
      </c>
      <c r="E132" s="2" t="s">
        <v>15445</v>
      </c>
      <c r="F132" s="2" t="s">
        <v>15442</v>
      </c>
      <c r="G132" s="2" t="s">
        <v>15443</v>
      </c>
      <c r="H132" s="2" t="s">
        <v>15444</v>
      </c>
    </row>
    <row r="133">
      <c r="A133" s="2">
        <v>131.0</v>
      </c>
      <c r="B133" s="5" t="s">
        <v>9461</v>
      </c>
      <c r="C133" s="2" t="s">
        <v>9462</v>
      </c>
      <c r="D133" s="5" t="s">
        <v>9461</v>
      </c>
      <c r="E133" s="2" t="s">
        <v>15441</v>
      </c>
      <c r="F133" s="2" t="s">
        <v>15442</v>
      </c>
      <c r="G133" s="2" t="s">
        <v>15456</v>
      </c>
      <c r="H133" s="2" t="s">
        <v>15455</v>
      </c>
    </row>
    <row r="134">
      <c r="A134" s="2">
        <v>132.0</v>
      </c>
      <c r="B134" s="5" t="s">
        <v>199</v>
      </c>
      <c r="C134" s="2" t="s">
        <v>200</v>
      </c>
      <c r="D134" s="5" t="s">
        <v>199</v>
      </c>
      <c r="E134" s="2" t="s">
        <v>15445</v>
      </c>
      <c r="F134" s="2" t="s">
        <v>15442</v>
      </c>
      <c r="G134" s="2" t="s">
        <v>15443</v>
      </c>
      <c r="H134" s="2" t="s">
        <v>15457</v>
      </c>
    </row>
    <row r="135">
      <c r="A135" s="2">
        <v>133.0</v>
      </c>
      <c r="B135" s="5" t="s">
        <v>9463</v>
      </c>
      <c r="C135" s="2" t="s">
        <v>9464</v>
      </c>
      <c r="D135" s="5" t="s">
        <v>9463</v>
      </c>
      <c r="E135" s="2" t="s">
        <v>15441</v>
      </c>
      <c r="F135" s="2" t="s">
        <v>15446</v>
      </c>
      <c r="G135" s="2" t="s">
        <v>15456</v>
      </c>
      <c r="H135" s="2" t="s">
        <v>15444</v>
      </c>
    </row>
    <row r="136">
      <c r="A136" s="2">
        <v>134.0</v>
      </c>
      <c r="B136" s="5" t="s">
        <v>202</v>
      </c>
      <c r="C136" s="2" t="s">
        <v>203</v>
      </c>
      <c r="D136" s="5" t="s">
        <v>202</v>
      </c>
      <c r="E136" s="2" t="s">
        <v>15445</v>
      </c>
      <c r="F136" s="2" t="s">
        <v>15446</v>
      </c>
      <c r="G136" s="2" t="s">
        <v>15456</v>
      </c>
      <c r="H136" s="2" t="s">
        <v>15444</v>
      </c>
    </row>
    <row r="137">
      <c r="A137" s="2">
        <v>135.0</v>
      </c>
      <c r="B137" s="5" t="s">
        <v>9465</v>
      </c>
      <c r="C137" s="2" t="s">
        <v>9466</v>
      </c>
      <c r="D137" s="5" t="s">
        <v>9465</v>
      </c>
      <c r="E137" s="2" t="s">
        <v>15441</v>
      </c>
      <c r="F137" s="2" t="s">
        <v>15446</v>
      </c>
      <c r="G137" s="2" t="s">
        <v>15456</v>
      </c>
      <c r="H137" s="2" t="s">
        <v>15444</v>
      </c>
    </row>
    <row r="138">
      <c r="A138" s="2">
        <v>136.0</v>
      </c>
      <c r="B138" s="5" t="s">
        <v>9467</v>
      </c>
      <c r="C138" s="2" t="s">
        <v>9468</v>
      </c>
      <c r="D138" s="5" t="s">
        <v>9467</v>
      </c>
      <c r="E138" s="2" t="s">
        <v>15441</v>
      </c>
      <c r="F138" s="2" t="s">
        <v>15442</v>
      </c>
      <c r="G138" s="2" t="s">
        <v>15443</v>
      </c>
      <c r="H138" s="2" t="s">
        <v>15444</v>
      </c>
    </row>
    <row r="139">
      <c r="A139" s="2">
        <v>137.0</v>
      </c>
      <c r="B139" s="5" t="s">
        <v>205</v>
      </c>
      <c r="C139" s="2" t="s">
        <v>206</v>
      </c>
      <c r="D139" s="5" t="s">
        <v>205</v>
      </c>
      <c r="E139" s="2" t="s">
        <v>15445</v>
      </c>
      <c r="F139" s="2" t="s">
        <v>15446</v>
      </c>
      <c r="G139" s="2" t="s">
        <v>15456</v>
      </c>
      <c r="H139" s="2" t="s">
        <v>15457</v>
      </c>
    </row>
    <row r="140">
      <c r="A140" s="2">
        <v>138.0</v>
      </c>
      <c r="B140" s="5" t="s">
        <v>208</v>
      </c>
      <c r="C140" s="2" t="s">
        <v>209</v>
      </c>
      <c r="D140" s="5" t="s">
        <v>208</v>
      </c>
      <c r="E140" s="2" t="s">
        <v>15445</v>
      </c>
      <c r="F140" s="2" t="s">
        <v>15446</v>
      </c>
      <c r="G140" s="2" t="s">
        <v>15443</v>
      </c>
      <c r="H140" s="2" t="s">
        <v>15444</v>
      </c>
    </row>
    <row r="141">
      <c r="A141" s="2">
        <v>139.0</v>
      </c>
      <c r="B141" s="5" t="s">
        <v>211</v>
      </c>
      <c r="C141" s="2" t="s">
        <v>212</v>
      </c>
      <c r="D141" s="5" t="s">
        <v>211</v>
      </c>
      <c r="E141" s="2" t="s">
        <v>15445</v>
      </c>
      <c r="F141" s="2" t="s">
        <v>15446</v>
      </c>
      <c r="G141" s="2" t="s">
        <v>15456</v>
      </c>
      <c r="H141" s="2" t="s">
        <v>15455</v>
      </c>
    </row>
    <row r="142">
      <c r="A142" s="2">
        <v>140.0</v>
      </c>
      <c r="B142" s="5" t="s">
        <v>214</v>
      </c>
      <c r="C142" s="2" t="s">
        <v>215</v>
      </c>
      <c r="D142" s="5" t="s">
        <v>214</v>
      </c>
      <c r="E142" s="2" t="s">
        <v>15445</v>
      </c>
      <c r="F142" s="2" t="s">
        <v>15446</v>
      </c>
      <c r="G142" s="2" t="s">
        <v>15456</v>
      </c>
      <c r="H142" s="2" t="s">
        <v>15444</v>
      </c>
    </row>
    <row r="143">
      <c r="A143" s="2">
        <v>141.0</v>
      </c>
      <c r="B143" s="5" t="s">
        <v>9469</v>
      </c>
      <c r="C143" s="2" t="s">
        <v>9470</v>
      </c>
      <c r="D143" s="5" t="s">
        <v>9469</v>
      </c>
      <c r="E143" s="2" t="s">
        <v>15441</v>
      </c>
      <c r="F143" s="2" t="s">
        <v>15446</v>
      </c>
      <c r="G143" s="2" t="s">
        <v>15456</v>
      </c>
      <c r="H143" s="2" t="s">
        <v>15444</v>
      </c>
    </row>
    <row r="144">
      <c r="A144" s="2">
        <v>142.0</v>
      </c>
      <c r="B144" s="5" t="s">
        <v>9471</v>
      </c>
      <c r="C144" s="2" t="s">
        <v>9472</v>
      </c>
      <c r="D144" s="5" t="s">
        <v>9471</v>
      </c>
      <c r="E144" s="2" t="s">
        <v>15441</v>
      </c>
      <c r="F144" s="2" t="s">
        <v>15446</v>
      </c>
      <c r="G144" s="2" t="s">
        <v>15456</v>
      </c>
      <c r="H144" s="2" t="s">
        <v>15444</v>
      </c>
    </row>
    <row r="145">
      <c r="A145" s="2">
        <v>143.0</v>
      </c>
      <c r="B145" s="5" t="s">
        <v>9473</v>
      </c>
      <c r="C145" s="2" t="s">
        <v>9474</v>
      </c>
      <c r="D145" s="5" t="s">
        <v>9473</v>
      </c>
      <c r="E145" s="2" t="s">
        <v>15441</v>
      </c>
      <c r="F145" s="2" t="s">
        <v>15442</v>
      </c>
      <c r="G145" s="2" t="s">
        <v>15456</v>
      </c>
      <c r="H145" s="2" t="s">
        <v>15444</v>
      </c>
    </row>
    <row r="146">
      <c r="A146" s="2">
        <v>144.0</v>
      </c>
      <c r="B146" s="5" t="s">
        <v>9475</v>
      </c>
      <c r="C146" s="2" t="s">
        <v>9476</v>
      </c>
      <c r="D146" s="5" t="s">
        <v>9475</v>
      </c>
      <c r="E146" s="2" t="s">
        <v>15441</v>
      </c>
      <c r="F146" s="2" t="s">
        <v>15442</v>
      </c>
      <c r="G146" s="2" t="s">
        <v>15443</v>
      </c>
      <c r="H146" s="2" t="s">
        <v>15444</v>
      </c>
    </row>
    <row r="147">
      <c r="A147" s="2">
        <v>145.0</v>
      </c>
      <c r="B147" s="5" t="s">
        <v>9477</v>
      </c>
      <c r="C147" s="2" t="s">
        <v>9478</v>
      </c>
      <c r="D147" s="5" t="s">
        <v>9477</v>
      </c>
      <c r="E147" s="2" t="s">
        <v>15441</v>
      </c>
      <c r="F147" s="2" t="s">
        <v>15442</v>
      </c>
      <c r="G147" s="2" t="s">
        <v>15443</v>
      </c>
      <c r="H147" s="2" t="s">
        <v>15444</v>
      </c>
    </row>
    <row r="148">
      <c r="A148" s="2">
        <v>146.0</v>
      </c>
      <c r="B148" s="5" t="s">
        <v>9479</v>
      </c>
      <c r="C148" s="2" t="s">
        <v>9480</v>
      </c>
      <c r="D148" s="5" t="s">
        <v>9479</v>
      </c>
      <c r="E148" s="2" t="s">
        <v>15441</v>
      </c>
      <c r="F148" s="2" t="s">
        <v>15446</v>
      </c>
      <c r="G148" s="2" t="s">
        <v>15443</v>
      </c>
      <c r="H148" s="2" t="s">
        <v>15444</v>
      </c>
    </row>
    <row r="149">
      <c r="A149" s="2">
        <v>147.0</v>
      </c>
      <c r="B149" s="5" t="s">
        <v>9481</v>
      </c>
      <c r="C149" s="2" t="s">
        <v>9482</v>
      </c>
      <c r="D149" s="5" t="s">
        <v>9481</v>
      </c>
      <c r="E149" s="2" t="s">
        <v>15441</v>
      </c>
      <c r="F149" s="2" t="s">
        <v>15446</v>
      </c>
      <c r="G149" s="2" t="s">
        <v>15456</v>
      </c>
      <c r="H149" s="2" t="s">
        <v>15444</v>
      </c>
    </row>
    <row r="150">
      <c r="A150" s="2">
        <v>148.0</v>
      </c>
      <c r="B150" s="5" t="s">
        <v>217</v>
      </c>
      <c r="C150" s="2" t="s">
        <v>218</v>
      </c>
      <c r="D150" s="5" t="s">
        <v>217</v>
      </c>
      <c r="E150" s="2" t="s">
        <v>15445</v>
      </c>
      <c r="F150" s="2" t="s">
        <v>15446</v>
      </c>
      <c r="G150" s="2" t="s">
        <v>15456</v>
      </c>
      <c r="H150" s="2" t="s">
        <v>15444</v>
      </c>
    </row>
    <row r="151">
      <c r="A151" s="2">
        <v>149.0</v>
      </c>
      <c r="B151" s="5" t="s">
        <v>220</v>
      </c>
      <c r="C151" s="2" t="s">
        <v>221</v>
      </c>
      <c r="D151" s="5" t="s">
        <v>220</v>
      </c>
      <c r="E151" s="2" t="s">
        <v>15445</v>
      </c>
      <c r="F151" s="2" t="s">
        <v>15446</v>
      </c>
      <c r="G151" s="2" t="s">
        <v>15443</v>
      </c>
      <c r="H151" s="2" t="s">
        <v>15444</v>
      </c>
    </row>
    <row r="152">
      <c r="A152" s="2">
        <v>150.0</v>
      </c>
      <c r="B152" s="5" t="s">
        <v>9483</v>
      </c>
      <c r="C152" s="2" t="s">
        <v>9484</v>
      </c>
      <c r="D152" s="5" t="s">
        <v>9483</v>
      </c>
      <c r="E152" s="2" t="s">
        <v>15441</v>
      </c>
      <c r="F152" s="2" t="s">
        <v>15446</v>
      </c>
      <c r="G152" s="2" t="s">
        <v>15443</v>
      </c>
      <c r="H152" s="2" t="s">
        <v>15444</v>
      </c>
    </row>
    <row r="153">
      <c r="A153" s="2">
        <v>151.0</v>
      </c>
      <c r="B153" s="5" t="s">
        <v>223</v>
      </c>
      <c r="C153" s="2" t="s">
        <v>224</v>
      </c>
      <c r="D153" s="5" t="s">
        <v>223</v>
      </c>
      <c r="E153" s="2" t="s">
        <v>15445</v>
      </c>
      <c r="F153" s="2" t="s">
        <v>15446</v>
      </c>
      <c r="G153" s="2" t="s">
        <v>15456</v>
      </c>
      <c r="H153" s="2" t="s">
        <v>15444</v>
      </c>
    </row>
    <row r="154">
      <c r="A154" s="2">
        <v>152.0</v>
      </c>
      <c r="B154" s="5" t="s">
        <v>9485</v>
      </c>
      <c r="C154" s="2" t="s">
        <v>9486</v>
      </c>
      <c r="D154" s="5" t="s">
        <v>9485</v>
      </c>
      <c r="E154" s="2" t="s">
        <v>15441</v>
      </c>
      <c r="F154" s="2" t="s">
        <v>15442</v>
      </c>
      <c r="G154" s="2" t="s">
        <v>15443</v>
      </c>
      <c r="H154" s="2" t="s">
        <v>15444</v>
      </c>
    </row>
    <row r="155">
      <c r="A155" s="2">
        <v>153.0</v>
      </c>
      <c r="B155" s="5" t="s">
        <v>9487</v>
      </c>
      <c r="C155" s="2" t="s">
        <v>9488</v>
      </c>
      <c r="D155" s="5" t="s">
        <v>9487</v>
      </c>
      <c r="E155" s="2" t="s">
        <v>15441</v>
      </c>
      <c r="F155" s="2" t="s">
        <v>15442</v>
      </c>
      <c r="G155" s="2" t="s">
        <v>15456</v>
      </c>
      <c r="H155" s="2" t="s">
        <v>15444</v>
      </c>
    </row>
    <row r="156">
      <c r="A156" s="2">
        <v>154.0</v>
      </c>
      <c r="B156" s="5" t="s">
        <v>226</v>
      </c>
      <c r="C156" s="2" t="s">
        <v>227</v>
      </c>
      <c r="D156" s="5" t="s">
        <v>226</v>
      </c>
      <c r="E156" s="2" t="s">
        <v>15445</v>
      </c>
      <c r="F156" s="2" t="s">
        <v>15442</v>
      </c>
      <c r="G156" s="2" t="s">
        <v>15443</v>
      </c>
      <c r="H156" s="2" t="s">
        <v>15455</v>
      </c>
    </row>
    <row r="157">
      <c r="A157" s="2">
        <v>155.0</v>
      </c>
      <c r="B157" s="5" t="s">
        <v>229</v>
      </c>
      <c r="C157" s="2" t="s">
        <v>230</v>
      </c>
      <c r="D157" s="5" t="s">
        <v>229</v>
      </c>
      <c r="E157" s="2" t="s">
        <v>15445</v>
      </c>
      <c r="F157" s="2" t="s">
        <v>15442</v>
      </c>
      <c r="G157" s="2" t="s">
        <v>15456</v>
      </c>
      <c r="H157" s="2" t="s">
        <v>15462</v>
      </c>
    </row>
    <row r="158">
      <c r="A158" s="2">
        <v>156.0</v>
      </c>
      <c r="B158" s="5" t="s">
        <v>232</v>
      </c>
      <c r="C158" s="2" t="s">
        <v>233</v>
      </c>
      <c r="D158" s="5" t="s">
        <v>232</v>
      </c>
      <c r="E158" s="2" t="s">
        <v>15445</v>
      </c>
      <c r="F158" s="2" t="s">
        <v>15442</v>
      </c>
      <c r="G158" s="2" t="s">
        <v>15456</v>
      </c>
      <c r="H158" s="2" t="s">
        <v>15444</v>
      </c>
    </row>
    <row r="159">
      <c r="A159" s="2">
        <v>157.0</v>
      </c>
      <c r="B159" s="5" t="s">
        <v>9489</v>
      </c>
      <c r="C159" s="2" t="s">
        <v>9490</v>
      </c>
      <c r="D159" s="5" t="s">
        <v>9489</v>
      </c>
      <c r="E159" s="2" t="s">
        <v>15441</v>
      </c>
      <c r="F159" s="2" t="s">
        <v>15446</v>
      </c>
      <c r="G159" s="2" t="s">
        <v>15456</v>
      </c>
      <c r="H159" s="2" t="s">
        <v>15444</v>
      </c>
    </row>
    <row r="160">
      <c r="A160" s="2">
        <v>158.0</v>
      </c>
      <c r="B160" s="5" t="s">
        <v>9491</v>
      </c>
      <c r="C160" s="2" t="s">
        <v>9492</v>
      </c>
      <c r="D160" s="5" t="s">
        <v>9491</v>
      </c>
      <c r="E160" s="2" t="s">
        <v>15441</v>
      </c>
      <c r="F160" s="2" t="s">
        <v>15446</v>
      </c>
      <c r="G160" s="2" t="s">
        <v>15456</v>
      </c>
      <c r="H160" s="2" t="s">
        <v>15444</v>
      </c>
    </row>
    <row r="161">
      <c r="A161" s="2">
        <v>159.0</v>
      </c>
      <c r="B161" s="5" t="s">
        <v>9493</v>
      </c>
      <c r="C161" s="2" t="s">
        <v>9494</v>
      </c>
      <c r="D161" s="5" t="s">
        <v>9493</v>
      </c>
      <c r="E161" s="2" t="s">
        <v>15441</v>
      </c>
      <c r="F161" s="2" t="s">
        <v>15446</v>
      </c>
      <c r="G161" s="2" t="s">
        <v>15456</v>
      </c>
      <c r="H161" s="2" t="s">
        <v>15457</v>
      </c>
    </row>
    <row r="162">
      <c r="A162" s="2">
        <v>160.0</v>
      </c>
      <c r="B162" s="5" t="s">
        <v>235</v>
      </c>
      <c r="C162" s="2" t="s">
        <v>236</v>
      </c>
      <c r="D162" s="5" t="s">
        <v>235</v>
      </c>
      <c r="E162" s="2" t="s">
        <v>15445</v>
      </c>
      <c r="F162" s="2" t="s">
        <v>15446</v>
      </c>
      <c r="G162" s="2" t="s">
        <v>15443</v>
      </c>
      <c r="H162" s="2" t="s">
        <v>15461</v>
      </c>
    </row>
    <row r="163">
      <c r="A163" s="2">
        <v>161.0</v>
      </c>
      <c r="B163" s="5" t="s">
        <v>238</v>
      </c>
      <c r="C163" s="2" t="s">
        <v>239</v>
      </c>
      <c r="D163" s="5" t="s">
        <v>238</v>
      </c>
      <c r="E163" s="2" t="s">
        <v>15445</v>
      </c>
      <c r="F163" s="2" t="s">
        <v>15446</v>
      </c>
      <c r="G163" s="2" t="s">
        <v>15443</v>
      </c>
      <c r="H163" s="2" t="s">
        <v>15444</v>
      </c>
    </row>
    <row r="164">
      <c r="A164" s="2">
        <v>162.0</v>
      </c>
      <c r="B164" s="5" t="s">
        <v>9495</v>
      </c>
      <c r="C164" s="2" t="s">
        <v>9496</v>
      </c>
      <c r="D164" s="5" t="s">
        <v>9495</v>
      </c>
      <c r="E164" s="2" t="s">
        <v>15441</v>
      </c>
      <c r="F164" s="2" t="s">
        <v>15446</v>
      </c>
      <c r="G164" s="2" t="s">
        <v>15456</v>
      </c>
      <c r="H164" s="2" t="s">
        <v>15444</v>
      </c>
    </row>
    <row r="165">
      <c r="A165" s="2">
        <v>163.0</v>
      </c>
      <c r="B165" s="5" t="s">
        <v>241</v>
      </c>
      <c r="C165" s="2" t="s">
        <v>242</v>
      </c>
      <c r="D165" s="5" t="s">
        <v>241</v>
      </c>
      <c r="E165" s="2" t="s">
        <v>15445</v>
      </c>
      <c r="F165" s="2" t="s">
        <v>15442</v>
      </c>
      <c r="G165" s="2" t="s">
        <v>15443</v>
      </c>
      <c r="H165" s="2" t="s">
        <v>15444</v>
      </c>
    </row>
    <row r="166">
      <c r="A166" s="2">
        <v>164.0</v>
      </c>
      <c r="B166" s="5" t="s">
        <v>9497</v>
      </c>
      <c r="C166" s="2" t="s">
        <v>9498</v>
      </c>
      <c r="D166" s="5" t="s">
        <v>9497</v>
      </c>
      <c r="E166" s="2" t="s">
        <v>15441</v>
      </c>
      <c r="F166" s="2" t="s">
        <v>15442</v>
      </c>
      <c r="G166" s="2" t="s">
        <v>15456</v>
      </c>
      <c r="H166" s="2" t="s">
        <v>15444</v>
      </c>
    </row>
    <row r="167">
      <c r="A167" s="2">
        <v>165.0</v>
      </c>
      <c r="B167" s="5" t="s">
        <v>244</v>
      </c>
      <c r="C167" s="2" t="s">
        <v>245</v>
      </c>
      <c r="D167" s="5" t="s">
        <v>244</v>
      </c>
      <c r="E167" s="2" t="s">
        <v>15445</v>
      </c>
      <c r="F167" s="2" t="s">
        <v>15446</v>
      </c>
      <c r="G167" s="2" t="s">
        <v>15443</v>
      </c>
      <c r="H167" s="2" t="s">
        <v>15444</v>
      </c>
    </row>
    <row r="168">
      <c r="A168" s="2">
        <v>166.0</v>
      </c>
      <c r="B168" s="5" t="s">
        <v>9499</v>
      </c>
      <c r="C168" s="2" t="s">
        <v>9500</v>
      </c>
      <c r="D168" s="5" t="s">
        <v>9499</v>
      </c>
      <c r="E168" s="2" t="s">
        <v>15441</v>
      </c>
      <c r="F168" s="2" t="s">
        <v>15446</v>
      </c>
      <c r="G168" s="2" t="s">
        <v>15443</v>
      </c>
      <c r="H168" s="2" t="s">
        <v>15444</v>
      </c>
    </row>
    <row r="169">
      <c r="A169" s="2">
        <v>167.0</v>
      </c>
      <c r="B169" s="5" t="s">
        <v>9501</v>
      </c>
      <c r="C169" s="2" t="s">
        <v>9502</v>
      </c>
      <c r="D169" s="5" t="s">
        <v>9501</v>
      </c>
      <c r="E169" s="2" t="s">
        <v>15441</v>
      </c>
      <c r="F169" s="2" t="s">
        <v>15442</v>
      </c>
      <c r="G169" s="2" t="s">
        <v>15443</v>
      </c>
      <c r="H169" s="2" t="s">
        <v>15444</v>
      </c>
    </row>
    <row r="170">
      <c r="A170" s="2">
        <v>168.0</v>
      </c>
      <c r="B170" s="5" t="s">
        <v>247</v>
      </c>
      <c r="C170" s="2" t="s">
        <v>248</v>
      </c>
      <c r="D170" s="5" t="s">
        <v>247</v>
      </c>
      <c r="E170" s="2" t="s">
        <v>15445</v>
      </c>
      <c r="F170" s="2" t="s">
        <v>15446</v>
      </c>
      <c r="G170" s="2" t="s">
        <v>15456</v>
      </c>
      <c r="H170" s="2" t="s">
        <v>15444</v>
      </c>
    </row>
    <row r="171">
      <c r="A171" s="2">
        <v>169.0</v>
      </c>
      <c r="B171" s="5" t="s">
        <v>9503</v>
      </c>
      <c r="C171" s="2" t="s">
        <v>9504</v>
      </c>
      <c r="D171" s="5" t="s">
        <v>9503</v>
      </c>
      <c r="E171" s="2" t="s">
        <v>15441</v>
      </c>
      <c r="F171" s="2" t="s">
        <v>15442</v>
      </c>
      <c r="G171" s="2" t="s">
        <v>15443</v>
      </c>
      <c r="H171" s="2" t="s">
        <v>15461</v>
      </c>
    </row>
    <row r="172">
      <c r="A172" s="2">
        <v>170.0</v>
      </c>
      <c r="B172" s="5" t="s">
        <v>250</v>
      </c>
      <c r="C172" s="2" t="s">
        <v>251</v>
      </c>
      <c r="D172" s="5" t="s">
        <v>250</v>
      </c>
      <c r="E172" s="2" t="s">
        <v>15445</v>
      </c>
      <c r="F172" s="2" t="s">
        <v>15446</v>
      </c>
      <c r="G172" s="2" t="s">
        <v>15456</v>
      </c>
      <c r="H172" s="2" t="s">
        <v>15444</v>
      </c>
    </row>
    <row r="173">
      <c r="A173" s="2">
        <v>171.0</v>
      </c>
      <c r="B173" s="5" t="s">
        <v>253</v>
      </c>
      <c r="C173" s="2" t="s">
        <v>254</v>
      </c>
      <c r="D173" s="5" t="s">
        <v>253</v>
      </c>
      <c r="E173" s="2" t="s">
        <v>15445</v>
      </c>
      <c r="F173" s="2" t="s">
        <v>15442</v>
      </c>
      <c r="G173" s="2" t="s">
        <v>15456</v>
      </c>
      <c r="H173" s="2" t="s">
        <v>15444</v>
      </c>
    </row>
    <row r="174">
      <c r="A174" s="2">
        <v>172.0</v>
      </c>
      <c r="B174" s="5" t="s">
        <v>9505</v>
      </c>
      <c r="C174" s="2" t="s">
        <v>9506</v>
      </c>
      <c r="D174" s="5" t="s">
        <v>9505</v>
      </c>
      <c r="E174" s="2" t="s">
        <v>15441</v>
      </c>
      <c r="F174" s="2" t="s">
        <v>15442</v>
      </c>
      <c r="G174" s="2" t="s">
        <v>15443</v>
      </c>
      <c r="H174" s="2" t="s">
        <v>15444</v>
      </c>
    </row>
    <row r="175">
      <c r="A175" s="2">
        <v>173.0</v>
      </c>
      <c r="B175" s="5" t="s">
        <v>9507</v>
      </c>
      <c r="C175" s="2" t="s">
        <v>9508</v>
      </c>
      <c r="D175" s="5" t="s">
        <v>9507</v>
      </c>
      <c r="E175" s="2" t="s">
        <v>15441</v>
      </c>
      <c r="F175" s="2" t="s">
        <v>15442</v>
      </c>
      <c r="G175" s="2" t="s">
        <v>15443</v>
      </c>
      <c r="H175" s="2" t="s">
        <v>15444</v>
      </c>
    </row>
    <row r="176">
      <c r="A176" s="2">
        <v>174.0</v>
      </c>
      <c r="B176" s="5" t="s">
        <v>256</v>
      </c>
      <c r="C176" s="2" t="s">
        <v>257</v>
      </c>
      <c r="D176" s="5" t="s">
        <v>256</v>
      </c>
      <c r="E176" s="2" t="s">
        <v>15445</v>
      </c>
      <c r="F176" s="2" t="s">
        <v>15446</v>
      </c>
      <c r="G176" s="2" t="s">
        <v>15443</v>
      </c>
      <c r="H176" s="2" t="s">
        <v>15444</v>
      </c>
    </row>
    <row r="177">
      <c r="A177" s="2">
        <v>175.0</v>
      </c>
      <c r="B177" s="5" t="s">
        <v>259</v>
      </c>
      <c r="C177" s="2" t="s">
        <v>260</v>
      </c>
      <c r="D177" s="5" t="s">
        <v>259</v>
      </c>
      <c r="E177" s="2" t="s">
        <v>15445</v>
      </c>
      <c r="F177" s="2" t="s">
        <v>15442</v>
      </c>
      <c r="G177" s="2" t="s">
        <v>15456</v>
      </c>
      <c r="H177" s="2" t="s">
        <v>15444</v>
      </c>
    </row>
    <row r="178">
      <c r="A178" s="2">
        <v>176.0</v>
      </c>
      <c r="B178" s="5" t="s">
        <v>262</v>
      </c>
      <c r="C178" s="2" t="s">
        <v>263</v>
      </c>
      <c r="D178" s="5" t="s">
        <v>262</v>
      </c>
      <c r="E178" s="2" t="s">
        <v>15445</v>
      </c>
      <c r="F178" s="2" t="s">
        <v>15446</v>
      </c>
      <c r="G178" s="2" t="s">
        <v>15456</v>
      </c>
      <c r="H178" s="2" t="s">
        <v>15444</v>
      </c>
    </row>
    <row r="179">
      <c r="A179" s="2">
        <v>177.0</v>
      </c>
      <c r="B179" s="5" t="s">
        <v>265</v>
      </c>
      <c r="C179" s="2" t="s">
        <v>266</v>
      </c>
      <c r="D179" s="5" t="s">
        <v>265</v>
      </c>
      <c r="E179" s="2" t="s">
        <v>15445</v>
      </c>
      <c r="F179" s="2" t="s">
        <v>15442</v>
      </c>
      <c r="G179" s="2" t="s">
        <v>15443</v>
      </c>
      <c r="H179" s="2" t="s">
        <v>15444</v>
      </c>
    </row>
    <row r="180">
      <c r="A180" s="2">
        <v>178.0</v>
      </c>
      <c r="B180" s="5" t="s">
        <v>9509</v>
      </c>
      <c r="C180" s="2" t="s">
        <v>9510</v>
      </c>
      <c r="D180" s="5" t="s">
        <v>9509</v>
      </c>
      <c r="E180" s="2" t="s">
        <v>15441</v>
      </c>
      <c r="F180" s="2" t="s">
        <v>15446</v>
      </c>
      <c r="G180" s="2" t="s">
        <v>15456</v>
      </c>
      <c r="H180" s="2" t="s">
        <v>15444</v>
      </c>
    </row>
    <row r="181">
      <c r="A181" s="2">
        <v>179.0</v>
      </c>
      <c r="B181" s="5" t="s">
        <v>9511</v>
      </c>
      <c r="C181" s="2" t="s">
        <v>9512</v>
      </c>
      <c r="D181" s="5" t="s">
        <v>9511</v>
      </c>
      <c r="E181" s="2" t="s">
        <v>15441</v>
      </c>
      <c r="F181" s="2" t="s">
        <v>15442</v>
      </c>
      <c r="G181" s="2" t="s">
        <v>15456</v>
      </c>
      <c r="H181" s="2" t="s">
        <v>15444</v>
      </c>
    </row>
    <row r="182">
      <c r="A182" s="2">
        <v>180.0</v>
      </c>
      <c r="B182" s="5" t="s">
        <v>268</v>
      </c>
      <c r="C182" s="2" t="s">
        <v>269</v>
      </c>
      <c r="D182" s="5" t="s">
        <v>268</v>
      </c>
      <c r="E182" s="2" t="s">
        <v>15445</v>
      </c>
      <c r="F182" s="2" t="s">
        <v>15446</v>
      </c>
      <c r="G182" s="2" t="s">
        <v>15456</v>
      </c>
      <c r="H182" s="2" t="s">
        <v>15455</v>
      </c>
    </row>
    <row r="183">
      <c r="A183" s="2">
        <v>181.0</v>
      </c>
      <c r="B183" s="5" t="s">
        <v>271</v>
      </c>
      <c r="C183" s="2" t="s">
        <v>272</v>
      </c>
      <c r="D183" s="5" t="s">
        <v>271</v>
      </c>
      <c r="E183" s="2" t="s">
        <v>15445</v>
      </c>
      <c r="F183" s="2" t="s">
        <v>15446</v>
      </c>
      <c r="G183" s="2" t="s">
        <v>15456</v>
      </c>
      <c r="H183" s="2" t="s">
        <v>15444</v>
      </c>
    </row>
    <row r="184">
      <c r="A184" s="2">
        <v>182.0</v>
      </c>
      <c r="B184" s="5" t="s">
        <v>9513</v>
      </c>
      <c r="C184" s="2" t="s">
        <v>9514</v>
      </c>
      <c r="D184" s="5" t="s">
        <v>9513</v>
      </c>
      <c r="E184" s="2" t="s">
        <v>15441</v>
      </c>
      <c r="F184" s="2" t="s">
        <v>15442</v>
      </c>
      <c r="G184" s="2" t="s">
        <v>15443</v>
      </c>
      <c r="H184" s="2" t="s">
        <v>15444</v>
      </c>
    </row>
    <row r="185">
      <c r="A185" s="2">
        <v>183.0</v>
      </c>
      <c r="B185" s="5" t="s">
        <v>9515</v>
      </c>
      <c r="C185" s="2" t="s">
        <v>9516</v>
      </c>
      <c r="D185" s="5" t="s">
        <v>9515</v>
      </c>
      <c r="E185" s="2" t="s">
        <v>15441</v>
      </c>
      <c r="F185" s="2" t="s">
        <v>15446</v>
      </c>
      <c r="G185" s="2" t="s">
        <v>15456</v>
      </c>
      <c r="H185" s="2" t="s">
        <v>15444</v>
      </c>
    </row>
    <row r="186">
      <c r="A186" s="2">
        <v>184.0</v>
      </c>
      <c r="B186" s="5" t="s">
        <v>9517</v>
      </c>
      <c r="C186" s="2" t="s">
        <v>9518</v>
      </c>
      <c r="D186" s="5" t="s">
        <v>9517</v>
      </c>
      <c r="E186" s="2" t="s">
        <v>15441</v>
      </c>
      <c r="F186" s="2" t="s">
        <v>15446</v>
      </c>
      <c r="G186" s="2" t="s">
        <v>15456</v>
      </c>
      <c r="H186" s="2" t="s">
        <v>15444</v>
      </c>
    </row>
    <row r="187">
      <c r="A187" s="2">
        <v>185.0</v>
      </c>
      <c r="B187" s="5" t="s">
        <v>9519</v>
      </c>
      <c r="C187" s="2" t="s">
        <v>9520</v>
      </c>
      <c r="D187" s="5" t="s">
        <v>9519</v>
      </c>
      <c r="E187" s="2" t="s">
        <v>15441</v>
      </c>
      <c r="F187" s="2" t="s">
        <v>15442</v>
      </c>
      <c r="G187" s="2" t="s">
        <v>15443</v>
      </c>
      <c r="H187" s="2" t="s">
        <v>15444</v>
      </c>
    </row>
    <row r="188">
      <c r="A188" s="2">
        <v>186.0</v>
      </c>
      <c r="B188" s="5" t="s">
        <v>274</v>
      </c>
      <c r="C188" s="2" t="s">
        <v>275</v>
      </c>
      <c r="D188" s="5" t="s">
        <v>274</v>
      </c>
      <c r="E188" s="2" t="s">
        <v>15445</v>
      </c>
      <c r="F188" s="2" t="s">
        <v>15442</v>
      </c>
      <c r="G188" s="2" t="s">
        <v>15443</v>
      </c>
      <c r="H188" s="2" t="s">
        <v>15444</v>
      </c>
    </row>
    <row r="189">
      <c r="A189" s="2">
        <v>187.0</v>
      </c>
      <c r="B189" s="5" t="s">
        <v>9521</v>
      </c>
      <c r="C189" s="2" t="s">
        <v>9522</v>
      </c>
      <c r="D189" s="5" t="s">
        <v>9521</v>
      </c>
      <c r="E189" s="2" t="s">
        <v>15441</v>
      </c>
      <c r="F189" s="2" t="s">
        <v>15446</v>
      </c>
      <c r="G189" s="2" t="s">
        <v>15443</v>
      </c>
      <c r="H189" s="2" t="s">
        <v>15444</v>
      </c>
    </row>
    <row r="190">
      <c r="A190" s="2">
        <v>188.0</v>
      </c>
      <c r="B190" s="5" t="s">
        <v>277</v>
      </c>
      <c r="C190" s="2" t="s">
        <v>278</v>
      </c>
      <c r="D190" s="5" t="s">
        <v>277</v>
      </c>
      <c r="E190" s="2" t="s">
        <v>15445</v>
      </c>
      <c r="F190" s="2" t="s">
        <v>15446</v>
      </c>
      <c r="G190" s="2" t="s">
        <v>15456</v>
      </c>
      <c r="H190" s="2" t="s">
        <v>15444</v>
      </c>
    </row>
    <row r="191">
      <c r="A191" s="2">
        <v>189.0</v>
      </c>
      <c r="B191" s="5" t="s">
        <v>9523</v>
      </c>
      <c r="C191" s="2" t="s">
        <v>9524</v>
      </c>
      <c r="D191" s="5" t="s">
        <v>9523</v>
      </c>
      <c r="E191" s="2" t="s">
        <v>15441</v>
      </c>
      <c r="F191" s="2" t="s">
        <v>15442</v>
      </c>
      <c r="G191" s="2" t="s">
        <v>15456</v>
      </c>
      <c r="H191" s="2" t="s">
        <v>15444</v>
      </c>
    </row>
    <row r="192">
      <c r="A192" s="2">
        <v>190.0</v>
      </c>
      <c r="B192" s="5" t="s">
        <v>9525</v>
      </c>
      <c r="C192" s="2" t="s">
        <v>9526</v>
      </c>
      <c r="D192" s="5" t="s">
        <v>9525</v>
      </c>
      <c r="E192" s="2" t="s">
        <v>15441</v>
      </c>
      <c r="F192" s="2" t="s">
        <v>15446</v>
      </c>
      <c r="G192" s="2" t="s">
        <v>15443</v>
      </c>
      <c r="H192" s="2" t="s">
        <v>15444</v>
      </c>
    </row>
    <row r="193">
      <c r="A193" s="2">
        <v>191.0</v>
      </c>
      <c r="B193" s="5" t="s">
        <v>9527</v>
      </c>
      <c r="C193" s="2" t="s">
        <v>9528</v>
      </c>
      <c r="D193" s="5" t="s">
        <v>9527</v>
      </c>
      <c r="E193" s="2" t="s">
        <v>15441</v>
      </c>
      <c r="F193" s="2" t="s">
        <v>15442</v>
      </c>
      <c r="G193" s="2" t="s">
        <v>15443</v>
      </c>
      <c r="H193" s="2" t="s">
        <v>15444</v>
      </c>
    </row>
    <row r="194">
      <c r="A194" s="2">
        <v>192.0</v>
      </c>
      <c r="B194" s="5" t="s">
        <v>280</v>
      </c>
      <c r="C194" s="2" t="s">
        <v>281</v>
      </c>
      <c r="D194" s="5" t="s">
        <v>280</v>
      </c>
      <c r="E194" s="2" t="s">
        <v>15445</v>
      </c>
      <c r="F194" s="2" t="s">
        <v>15442</v>
      </c>
      <c r="G194" s="2" t="s">
        <v>15456</v>
      </c>
      <c r="H194" s="2" t="s">
        <v>15444</v>
      </c>
    </row>
    <row r="195">
      <c r="A195" s="2">
        <v>193.0</v>
      </c>
      <c r="B195" s="5" t="s">
        <v>9529</v>
      </c>
      <c r="C195" s="2" t="s">
        <v>9530</v>
      </c>
      <c r="D195" s="5" t="s">
        <v>9529</v>
      </c>
      <c r="E195" s="2" t="s">
        <v>15441</v>
      </c>
      <c r="F195" s="2" t="s">
        <v>15446</v>
      </c>
      <c r="G195" s="2" t="s">
        <v>15456</v>
      </c>
      <c r="H195" s="2" t="s">
        <v>15455</v>
      </c>
    </row>
    <row r="196">
      <c r="A196" s="2">
        <v>194.0</v>
      </c>
      <c r="B196" s="5" t="s">
        <v>9531</v>
      </c>
      <c r="C196" s="2" t="s">
        <v>9532</v>
      </c>
      <c r="D196" s="5" t="s">
        <v>9531</v>
      </c>
      <c r="E196" s="2" t="s">
        <v>15441</v>
      </c>
      <c r="F196" s="2" t="s">
        <v>15442</v>
      </c>
      <c r="G196" s="2" t="s">
        <v>15443</v>
      </c>
      <c r="H196" s="2" t="s">
        <v>15461</v>
      </c>
    </row>
    <row r="197">
      <c r="A197" s="2">
        <v>195.0</v>
      </c>
      <c r="B197" s="5" t="s">
        <v>283</v>
      </c>
      <c r="C197" s="2" t="s">
        <v>284</v>
      </c>
      <c r="D197" s="5" t="s">
        <v>283</v>
      </c>
      <c r="E197" s="2" t="s">
        <v>15445</v>
      </c>
      <c r="F197" s="2" t="s">
        <v>15446</v>
      </c>
      <c r="G197" s="2" t="s">
        <v>15456</v>
      </c>
      <c r="H197" s="2" t="s">
        <v>15457</v>
      </c>
    </row>
    <row r="198">
      <c r="A198" s="2">
        <v>196.0</v>
      </c>
      <c r="B198" s="5" t="s">
        <v>9533</v>
      </c>
      <c r="C198" s="2" t="s">
        <v>9534</v>
      </c>
      <c r="D198" s="5" t="s">
        <v>9533</v>
      </c>
      <c r="E198" s="2" t="s">
        <v>15441</v>
      </c>
      <c r="F198" s="2" t="s">
        <v>15446</v>
      </c>
      <c r="G198" s="2" t="s">
        <v>15456</v>
      </c>
      <c r="H198" s="2" t="s">
        <v>15444</v>
      </c>
    </row>
    <row r="199">
      <c r="A199" s="2">
        <v>197.0</v>
      </c>
      <c r="B199" s="5" t="s">
        <v>9535</v>
      </c>
      <c r="C199" s="2" t="s">
        <v>9536</v>
      </c>
      <c r="D199" s="5" t="s">
        <v>9535</v>
      </c>
      <c r="E199" s="2" t="s">
        <v>15441</v>
      </c>
      <c r="F199" s="2" t="s">
        <v>15446</v>
      </c>
      <c r="G199" s="2" t="s">
        <v>15456</v>
      </c>
      <c r="H199" s="2" t="s">
        <v>15444</v>
      </c>
    </row>
    <row r="200">
      <c r="A200" s="2">
        <v>198.0</v>
      </c>
      <c r="B200" s="5" t="s">
        <v>286</v>
      </c>
      <c r="C200" s="2" t="s">
        <v>287</v>
      </c>
      <c r="D200" s="5" t="s">
        <v>286</v>
      </c>
      <c r="E200" s="2" t="s">
        <v>15445</v>
      </c>
      <c r="F200" s="2" t="s">
        <v>15446</v>
      </c>
      <c r="G200" s="2" t="s">
        <v>15456</v>
      </c>
      <c r="H200" s="2" t="s">
        <v>15444</v>
      </c>
    </row>
    <row r="201">
      <c r="A201" s="2">
        <v>199.0</v>
      </c>
      <c r="B201" s="5" t="s">
        <v>15463</v>
      </c>
      <c r="D201" s="5" t="s">
        <v>15463</v>
      </c>
      <c r="E201" s="2" t="s">
        <v>15441</v>
      </c>
      <c r="F201" s="2" t="s">
        <v>15446</v>
      </c>
      <c r="G201" s="2" t="s">
        <v>15456</v>
      </c>
      <c r="H201" s="2" t="s">
        <v>15444</v>
      </c>
    </row>
    <row r="202">
      <c r="A202" s="2">
        <v>200.0</v>
      </c>
      <c r="B202" s="5" t="s">
        <v>289</v>
      </c>
      <c r="C202" s="2" t="s">
        <v>290</v>
      </c>
      <c r="D202" s="5" t="s">
        <v>289</v>
      </c>
      <c r="E202" s="2" t="s">
        <v>15445</v>
      </c>
      <c r="F202" s="2" t="s">
        <v>15446</v>
      </c>
      <c r="G202" s="2" t="s">
        <v>15456</v>
      </c>
      <c r="H202" s="2" t="s">
        <v>15444</v>
      </c>
    </row>
    <row r="203">
      <c r="A203" s="2">
        <v>201.0</v>
      </c>
      <c r="B203" s="5" t="s">
        <v>9537</v>
      </c>
      <c r="C203" s="2" t="s">
        <v>9538</v>
      </c>
      <c r="D203" s="5" t="s">
        <v>9537</v>
      </c>
      <c r="E203" s="2" t="s">
        <v>15441</v>
      </c>
      <c r="F203" s="2" t="s">
        <v>15442</v>
      </c>
      <c r="G203" s="2" t="s">
        <v>15443</v>
      </c>
      <c r="H203" s="2" t="s">
        <v>15444</v>
      </c>
    </row>
    <row r="204">
      <c r="A204" s="2">
        <v>202.0</v>
      </c>
      <c r="B204" s="5" t="s">
        <v>292</v>
      </c>
      <c r="C204" s="2" t="s">
        <v>293</v>
      </c>
      <c r="D204" s="5" t="s">
        <v>292</v>
      </c>
      <c r="E204" s="2" t="s">
        <v>15445</v>
      </c>
      <c r="F204" s="2" t="s">
        <v>15446</v>
      </c>
      <c r="G204" s="2" t="s">
        <v>15456</v>
      </c>
      <c r="H204" s="2" t="s">
        <v>15444</v>
      </c>
    </row>
    <row r="205">
      <c r="A205" s="2">
        <v>203.0</v>
      </c>
      <c r="B205" s="5" t="s">
        <v>295</v>
      </c>
      <c r="C205" s="2" t="s">
        <v>296</v>
      </c>
      <c r="D205" s="5" t="s">
        <v>295</v>
      </c>
      <c r="E205" s="2" t="s">
        <v>15445</v>
      </c>
      <c r="F205" s="2" t="s">
        <v>15446</v>
      </c>
      <c r="G205" s="2" t="s">
        <v>15456</v>
      </c>
      <c r="H205" s="2" t="s">
        <v>15444</v>
      </c>
    </row>
    <row r="206">
      <c r="A206" s="2">
        <v>204.0</v>
      </c>
      <c r="B206" s="5" t="s">
        <v>9539</v>
      </c>
      <c r="C206" s="2" t="s">
        <v>9540</v>
      </c>
      <c r="D206" s="5" t="s">
        <v>9539</v>
      </c>
      <c r="E206" s="2" t="s">
        <v>15441</v>
      </c>
      <c r="F206" s="2" t="s">
        <v>15446</v>
      </c>
      <c r="G206" s="2" t="s">
        <v>15443</v>
      </c>
      <c r="H206" s="2" t="s">
        <v>15444</v>
      </c>
    </row>
    <row r="207">
      <c r="A207" s="2">
        <v>205.0</v>
      </c>
      <c r="B207" s="5" t="s">
        <v>298</v>
      </c>
      <c r="C207" s="2" t="s">
        <v>299</v>
      </c>
      <c r="D207" s="5" t="s">
        <v>298</v>
      </c>
      <c r="E207" s="2" t="s">
        <v>15445</v>
      </c>
      <c r="F207" s="2" t="s">
        <v>15442</v>
      </c>
      <c r="G207" s="2" t="s">
        <v>15456</v>
      </c>
      <c r="H207" s="2" t="s">
        <v>15444</v>
      </c>
    </row>
    <row r="208">
      <c r="A208" s="2">
        <v>206.0</v>
      </c>
      <c r="B208" s="5" t="s">
        <v>9541</v>
      </c>
      <c r="C208" s="2" t="s">
        <v>9542</v>
      </c>
      <c r="D208" s="5" t="s">
        <v>9541</v>
      </c>
      <c r="E208" s="2" t="s">
        <v>15441</v>
      </c>
      <c r="F208" s="2" t="s">
        <v>15442</v>
      </c>
      <c r="G208" s="2" t="s">
        <v>15443</v>
      </c>
      <c r="H208" s="2" t="s">
        <v>15444</v>
      </c>
    </row>
    <row r="209">
      <c r="A209" s="2">
        <v>207.0</v>
      </c>
      <c r="B209" s="5" t="s">
        <v>301</v>
      </c>
      <c r="C209" s="2" t="s">
        <v>302</v>
      </c>
      <c r="D209" s="5" t="s">
        <v>301</v>
      </c>
      <c r="E209" s="2" t="s">
        <v>15445</v>
      </c>
      <c r="F209" s="2" t="s">
        <v>15442</v>
      </c>
      <c r="G209" s="2" t="s">
        <v>15456</v>
      </c>
      <c r="H209" s="2" t="s">
        <v>15444</v>
      </c>
    </row>
    <row r="210">
      <c r="A210" s="2">
        <v>208.0</v>
      </c>
      <c r="B210" s="5" t="s">
        <v>9543</v>
      </c>
      <c r="C210" s="2" t="s">
        <v>9544</v>
      </c>
      <c r="D210" s="5" t="s">
        <v>9543</v>
      </c>
      <c r="E210" s="2" t="s">
        <v>15441</v>
      </c>
      <c r="F210" s="2" t="s">
        <v>15442</v>
      </c>
      <c r="G210" s="2" t="s">
        <v>15443</v>
      </c>
      <c r="H210" s="2" t="s">
        <v>15444</v>
      </c>
    </row>
    <row r="211">
      <c r="A211" s="2">
        <v>209.0</v>
      </c>
      <c r="B211" s="5" t="s">
        <v>304</v>
      </c>
      <c r="C211" s="2" t="s">
        <v>305</v>
      </c>
      <c r="D211" s="5" t="s">
        <v>304</v>
      </c>
      <c r="E211" s="2" t="s">
        <v>15445</v>
      </c>
      <c r="F211" s="2" t="s">
        <v>15446</v>
      </c>
      <c r="G211" s="2" t="s">
        <v>15456</v>
      </c>
      <c r="H211" s="2" t="s">
        <v>15444</v>
      </c>
    </row>
    <row r="212">
      <c r="A212" s="2">
        <v>210.0</v>
      </c>
      <c r="B212" s="5" t="s">
        <v>307</v>
      </c>
      <c r="C212" s="2" t="s">
        <v>308</v>
      </c>
      <c r="D212" s="5" t="s">
        <v>307</v>
      </c>
      <c r="E212" s="2" t="s">
        <v>15445</v>
      </c>
      <c r="F212" s="2" t="s">
        <v>15442</v>
      </c>
      <c r="G212" s="2" t="s">
        <v>15456</v>
      </c>
      <c r="H212" s="2" t="s">
        <v>15444</v>
      </c>
    </row>
    <row r="213">
      <c r="A213" s="2">
        <v>211.0</v>
      </c>
      <c r="B213" s="5" t="s">
        <v>9545</v>
      </c>
      <c r="C213" s="2" t="s">
        <v>9546</v>
      </c>
      <c r="D213" s="5" t="s">
        <v>9545</v>
      </c>
      <c r="E213" s="2" t="s">
        <v>15441</v>
      </c>
      <c r="F213" s="2" t="s">
        <v>15446</v>
      </c>
      <c r="G213" s="2" t="s">
        <v>15456</v>
      </c>
      <c r="H213" s="2" t="s">
        <v>15444</v>
      </c>
    </row>
    <row r="214">
      <c r="A214" s="2">
        <v>212.0</v>
      </c>
      <c r="B214" s="5" t="s">
        <v>9547</v>
      </c>
      <c r="C214" s="2" t="s">
        <v>9548</v>
      </c>
      <c r="D214" s="5" t="s">
        <v>9547</v>
      </c>
      <c r="E214" s="2" t="s">
        <v>15441</v>
      </c>
      <c r="F214" s="2" t="s">
        <v>15446</v>
      </c>
      <c r="G214" s="2" t="s">
        <v>15443</v>
      </c>
      <c r="H214" s="2" t="s">
        <v>15444</v>
      </c>
    </row>
    <row r="215">
      <c r="A215" s="2">
        <v>213.0</v>
      </c>
      <c r="B215" s="5" t="s">
        <v>9549</v>
      </c>
      <c r="C215" s="2" t="s">
        <v>9550</v>
      </c>
      <c r="D215" s="5" t="s">
        <v>9549</v>
      </c>
      <c r="E215" s="2" t="s">
        <v>15441</v>
      </c>
      <c r="F215" s="2" t="s">
        <v>15442</v>
      </c>
      <c r="G215" s="2" t="s">
        <v>15456</v>
      </c>
      <c r="H215" s="2" t="s">
        <v>15444</v>
      </c>
    </row>
    <row r="216">
      <c r="A216" s="2">
        <v>214.0</v>
      </c>
      <c r="B216" s="5" t="s">
        <v>9551</v>
      </c>
      <c r="C216" s="2" t="s">
        <v>9552</v>
      </c>
      <c r="D216" s="5" t="s">
        <v>9551</v>
      </c>
      <c r="E216" s="2" t="s">
        <v>15441</v>
      </c>
      <c r="F216" s="2" t="s">
        <v>15446</v>
      </c>
      <c r="G216" s="2" t="s">
        <v>15456</v>
      </c>
      <c r="H216" s="2" t="s">
        <v>15444</v>
      </c>
    </row>
    <row r="217">
      <c r="A217" s="2">
        <v>215.0</v>
      </c>
      <c r="B217" s="5" t="s">
        <v>310</v>
      </c>
      <c r="C217" s="2" t="s">
        <v>311</v>
      </c>
      <c r="D217" s="5" t="s">
        <v>310</v>
      </c>
      <c r="E217" s="2" t="s">
        <v>15445</v>
      </c>
      <c r="F217" s="2" t="s">
        <v>15446</v>
      </c>
      <c r="G217" s="2" t="s">
        <v>15456</v>
      </c>
      <c r="H217" s="2" t="s">
        <v>15444</v>
      </c>
    </row>
    <row r="218">
      <c r="A218" s="2">
        <v>216.0</v>
      </c>
      <c r="B218" s="5" t="s">
        <v>313</v>
      </c>
      <c r="C218" s="2" t="s">
        <v>314</v>
      </c>
      <c r="D218" s="5" t="s">
        <v>313</v>
      </c>
      <c r="E218" s="2" t="s">
        <v>15445</v>
      </c>
      <c r="F218" s="2" t="s">
        <v>15442</v>
      </c>
      <c r="G218" s="2" t="s">
        <v>15443</v>
      </c>
      <c r="H218" s="2" t="s">
        <v>15444</v>
      </c>
    </row>
    <row r="219">
      <c r="A219" s="2">
        <v>217.0</v>
      </c>
      <c r="B219" s="5" t="s">
        <v>9553</v>
      </c>
      <c r="C219" s="2" t="s">
        <v>9554</v>
      </c>
      <c r="D219" s="5" t="s">
        <v>9553</v>
      </c>
      <c r="E219" s="2" t="s">
        <v>15441</v>
      </c>
      <c r="F219" s="2" t="s">
        <v>15446</v>
      </c>
      <c r="G219" s="2" t="s">
        <v>15456</v>
      </c>
      <c r="H219" s="2" t="s">
        <v>15444</v>
      </c>
    </row>
    <row r="220">
      <c r="A220" s="2">
        <v>218.0</v>
      </c>
      <c r="B220" s="5" t="s">
        <v>316</v>
      </c>
      <c r="C220" s="2" t="s">
        <v>317</v>
      </c>
      <c r="D220" s="5" t="s">
        <v>316</v>
      </c>
      <c r="E220" s="2" t="s">
        <v>15445</v>
      </c>
      <c r="F220" s="2" t="s">
        <v>15446</v>
      </c>
      <c r="G220" s="2" t="s">
        <v>15443</v>
      </c>
      <c r="H220" s="2" t="s">
        <v>15444</v>
      </c>
    </row>
    <row r="221">
      <c r="A221" s="2">
        <v>219.0</v>
      </c>
      <c r="B221" s="5" t="s">
        <v>9555</v>
      </c>
      <c r="C221" s="2" t="s">
        <v>9556</v>
      </c>
      <c r="D221" s="5" t="s">
        <v>9555</v>
      </c>
      <c r="E221" s="2" t="s">
        <v>15441</v>
      </c>
      <c r="F221" s="2" t="s">
        <v>15442</v>
      </c>
      <c r="G221" s="2" t="s">
        <v>15443</v>
      </c>
      <c r="H221" s="2" t="s">
        <v>15444</v>
      </c>
    </row>
    <row r="222">
      <c r="A222" s="2">
        <v>220.0</v>
      </c>
      <c r="B222" s="5" t="s">
        <v>319</v>
      </c>
      <c r="C222" s="2" t="s">
        <v>320</v>
      </c>
      <c r="D222" s="5" t="s">
        <v>319</v>
      </c>
      <c r="E222" s="2" t="s">
        <v>15445</v>
      </c>
      <c r="F222" s="2" t="s">
        <v>15442</v>
      </c>
      <c r="G222" s="2" t="s">
        <v>15443</v>
      </c>
      <c r="H222" s="2" t="s">
        <v>15444</v>
      </c>
    </row>
    <row r="223">
      <c r="A223" s="2">
        <v>221.0</v>
      </c>
      <c r="B223" s="5" t="s">
        <v>322</v>
      </c>
      <c r="C223" s="2" t="s">
        <v>323</v>
      </c>
      <c r="D223" s="5" t="s">
        <v>322</v>
      </c>
      <c r="E223" s="2" t="s">
        <v>15445</v>
      </c>
      <c r="F223" s="2" t="s">
        <v>15446</v>
      </c>
      <c r="G223" s="2" t="s">
        <v>15443</v>
      </c>
      <c r="H223" s="2" t="s">
        <v>15444</v>
      </c>
    </row>
    <row r="224">
      <c r="A224" s="2">
        <v>222.0</v>
      </c>
      <c r="B224" s="5" t="s">
        <v>325</v>
      </c>
      <c r="C224" s="2" t="s">
        <v>326</v>
      </c>
      <c r="D224" s="5" t="s">
        <v>325</v>
      </c>
      <c r="E224" s="2" t="s">
        <v>15445</v>
      </c>
      <c r="F224" s="2" t="s">
        <v>15446</v>
      </c>
      <c r="G224" s="2" t="s">
        <v>15443</v>
      </c>
      <c r="H224" s="2" t="s">
        <v>15444</v>
      </c>
    </row>
    <row r="225">
      <c r="A225" s="2">
        <v>223.0</v>
      </c>
      <c r="B225" s="5" t="s">
        <v>328</v>
      </c>
      <c r="C225" s="2" t="s">
        <v>329</v>
      </c>
      <c r="D225" s="5" t="s">
        <v>328</v>
      </c>
      <c r="E225" s="2" t="s">
        <v>15445</v>
      </c>
      <c r="F225" s="2" t="s">
        <v>15446</v>
      </c>
      <c r="G225" s="2" t="s">
        <v>15456</v>
      </c>
      <c r="H225" s="2" t="s">
        <v>15457</v>
      </c>
    </row>
    <row r="226">
      <c r="A226" s="2">
        <v>224.0</v>
      </c>
      <c r="B226" s="5" t="s">
        <v>9557</v>
      </c>
      <c r="C226" s="2" t="s">
        <v>9558</v>
      </c>
      <c r="D226" s="5" t="s">
        <v>9557</v>
      </c>
      <c r="E226" s="2" t="s">
        <v>15441</v>
      </c>
      <c r="F226" s="2" t="s">
        <v>15446</v>
      </c>
      <c r="G226" s="2" t="s">
        <v>15456</v>
      </c>
      <c r="H226" s="2" t="s">
        <v>15444</v>
      </c>
    </row>
    <row r="227">
      <c r="A227" s="2">
        <v>225.0</v>
      </c>
      <c r="B227" s="5" t="s">
        <v>331</v>
      </c>
      <c r="C227" s="2" t="s">
        <v>332</v>
      </c>
      <c r="D227" s="5" t="s">
        <v>331</v>
      </c>
      <c r="E227" s="2" t="s">
        <v>15445</v>
      </c>
      <c r="F227" s="2" t="s">
        <v>15446</v>
      </c>
      <c r="G227" s="2" t="s">
        <v>15456</v>
      </c>
      <c r="H227" s="2" t="s">
        <v>15444</v>
      </c>
    </row>
    <row r="228">
      <c r="A228" s="2">
        <v>226.0</v>
      </c>
      <c r="B228" s="5" t="s">
        <v>334</v>
      </c>
      <c r="C228" s="2" t="s">
        <v>335</v>
      </c>
      <c r="D228" s="5" t="s">
        <v>334</v>
      </c>
      <c r="E228" s="2" t="s">
        <v>15445</v>
      </c>
      <c r="F228" s="2" t="s">
        <v>15442</v>
      </c>
      <c r="G228" s="2" t="s">
        <v>15456</v>
      </c>
      <c r="H228" s="2" t="s">
        <v>15444</v>
      </c>
    </row>
    <row r="229">
      <c r="A229" s="2">
        <v>227.0</v>
      </c>
      <c r="B229" s="5" t="s">
        <v>337</v>
      </c>
      <c r="C229" s="2" t="s">
        <v>338</v>
      </c>
      <c r="D229" s="5" t="s">
        <v>337</v>
      </c>
      <c r="E229" s="2" t="s">
        <v>15445</v>
      </c>
      <c r="F229" s="2" t="s">
        <v>15446</v>
      </c>
      <c r="G229" s="2" t="s">
        <v>15443</v>
      </c>
      <c r="H229" s="2" t="s">
        <v>15444</v>
      </c>
    </row>
    <row r="230">
      <c r="A230" s="2">
        <v>228.0</v>
      </c>
      <c r="B230" s="5" t="s">
        <v>9559</v>
      </c>
      <c r="C230" s="2" t="s">
        <v>9560</v>
      </c>
      <c r="D230" s="5" t="s">
        <v>9559</v>
      </c>
      <c r="E230" s="2" t="s">
        <v>15441</v>
      </c>
      <c r="F230" s="2" t="s">
        <v>15442</v>
      </c>
      <c r="G230" s="2" t="s">
        <v>15443</v>
      </c>
      <c r="H230" s="2" t="s">
        <v>15444</v>
      </c>
    </row>
    <row r="231">
      <c r="A231" s="2">
        <v>229.0</v>
      </c>
      <c r="B231" s="5" t="s">
        <v>9561</v>
      </c>
      <c r="C231" s="2" t="s">
        <v>9562</v>
      </c>
      <c r="D231" s="5" t="s">
        <v>9561</v>
      </c>
      <c r="E231" s="2" t="s">
        <v>15441</v>
      </c>
      <c r="F231" s="2" t="s">
        <v>15446</v>
      </c>
      <c r="G231" s="2" t="s">
        <v>15456</v>
      </c>
      <c r="H231" s="2" t="s">
        <v>15444</v>
      </c>
    </row>
    <row r="232">
      <c r="A232" s="2">
        <v>230.0</v>
      </c>
      <c r="B232" s="5" t="s">
        <v>9563</v>
      </c>
      <c r="C232" s="2" t="s">
        <v>9564</v>
      </c>
      <c r="D232" s="5" t="s">
        <v>9563</v>
      </c>
      <c r="E232" s="2" t="s">
        <v>15441</v>
      </c>
      <c r="F232" s="2" t="s">
        <v>15446</v>
      </c>
      <c r="G232" s="2" t="s">
        <v>15456</v>
      </c>
      <c r="H232" s="2" t="s">
        <v>15457</v>
      </c>
    </row>
    <row r="233">
      <c r="A233" s="2">
        <v>231.0</v>
      </c>
      <c r="B233" s="5" t="s">
        <v>9565</v>
      </c>
      <c r="C233" s="2" t="s">
        <v>9566</v>
      </c>
      <c r="D233" s="5" t="s">
        <v>9565</v>
      </c>
      <c r="E233" s="2" t="s">
        <v>15441</v>
      </c>
      <c r="F233" s="2" t="s">
        <v>15442</v>
      </c>
      <c r="G233" s="2" t="s">
        <v>15443</v>
      </c>
      <c r="H233" s="2" t="s">
        <v>15444</v>
      </c>
    </row>
    <row r="234">
      <c r="A234" s="2">
        <v>232.0</v>
      </c>
      <c r="B234" s="5" t="s">
        <v>9567</v>
      </c>
      <c r="C234" s="2" t="s">
        <v>9568</v>
      </c>
      <c r="D234" s="5" t="s">
        <v>9567</v>
      </c>
      <c r="E234" s="2" t="s">
        <v>15441</v>
      </c>
      <c r="F234" s="2" t="s">
        <v>15446</v>
      </c>
      <c r="G234" s="2" t="s">
        <v>15443</v>
      </c>
      <c r="H234" s="2" t="s">
        <v>15444</v>
      </c>
    </row>
    <row r="235">
      <c r="A235" s="2">
        <v>233.0</v>
      </c>
      <c r="B235" s="5" t="s">
        <v>9569</v>
      </c>
      <c r="C235" s="2" t="s">
        <v>9570</v>
      </c>
      <c r="D235" s="5" t="s">
        <v>9569</v>
      </c>
      <c r="E235" s="2" t="s">
        <v>15441</v>
      </c>
      <c r="F235" s="2" t="s">
        <v>15446</v>
      </c>
      <c r="G235" s="2" t="s">
        <v>15456</v>
      </c>
      <c r="H235" s="2" t="s">
        <v>15444</v>
      </c>
    </row>
    <row r="236">
      <c r="A236" s="2">
        <v>234.0</v>
      </c>
      <c r="B236" s="5" t="s">
        <v>9571</v>
      </c>
      <c r="C236" s="2" t="s">
        <v>9572</v>
      </c>
      <c r="D236" s="5" t="s">
        <v>9571</v>
      </c>
      <c r="E236" s="2" t="s">
        <v>15441</v>
      </c>
      <c r="F236" s="2" t="s">
        <v>15442</v>
      </c>
      <c r="G236" s="2" t="s">
        <v>15443</v>
      </c>
      <c r="H236" s="2" t="s">
        <v>15444</v>
      </c>
    </row>
    <row r="237">
      <c r="A237" s="2">
        <v>235.0</v>
      </c>
      <c r="B237" s="5" t="s">
        <v>9573</v>
      </c>
      <c r="C237" s="2" t="s">
        <v>9574</v>
      </c>
      <c r="D237" s="5" t="s">
        <v>9573</v>
      </c>
      <c r="E237" s="2" t="s">
        <v>15441</v>
      </c>
      <c r="F237" s="2" t="s">
        <v>15446</v>
      </c>
      <c r="G237" s="2" t="s">
        <v>15443</v>
      </c>
      <c r="H237" s="2" t="s">
        <v>15444</v>
      </c>
    </row>
    <row r="238">
      <c r="A238" s="2">
        <v>236.0</v>
      </c>
      <c r="B238" s="5" t="s">
        <v>340</v>
      </c>
      <c r="C238" s="2" t="s">
        <v>341</v>
      </c>
      <c r="D238" s="5" t="s">
        <v>340</v>
      </c>
      <c r="E238" s="2" t="s">
        <v>15445</v>
      </c>
      <c r="F238" s="2" t="s">
        <v>15446</v>
      </c>
      <c r="G238" s="2" t="s">
        <v>15443</v>
      </c>
      <c r="H238" s="2" t="s">
        <v>15462</v>
      </c>
    </row>
    <row r="239">
      <c r="A239" s="2">
        <v>237.0</v>
      </c>
      <c r="B239" s="5" t="s">
        <v>343</v>
      </c>
      <c r="C239" s="2" t="s">
        <v>344</v>
      </c>
      <c r="D239" s="5" t="s">
        <v>343</v>
      </c>
      <c r="E239" s="2" t="s">
        <v>15445</v>
      </c>
      <c r="F239" s="2" t="s">
        <v>15442</v>
      </c>
      <c r="G239" s="2" t="s">
        <v>15443</v>
      </c>
      <c r="H239" s="2" t="s">
        <v>15444</v>
      </c>
    </row>
    <row r="240">
      <c r="A240" s="2">
        <v>238.0</v>
      </c>
      <c r="B240" s="5" t="s">
        <v>9575</v>
      </c>
      <c r="C240" s="2" t="s">
        <v>9576</v>
      </c>
      <c r="D240" s="5" t="s">
        <v>9575</v>
      </c>
      <c r="E240" s="2" t="s">
        <v>15441</v>
      </c>
      <c r="F240" s="2" t="s">
        <v>15442</v>
      </c>
      <c r="G240" s="2" t="s">
        <v>15456</v>
      </c>
      <c r="H240" s="2" t="s">
        <v>15444</v>
      </c>
    </row>
    <row r="241">
      <c r="A241" s="2">
        <v>239.0</v>
      </c>
      <c r="B241" s="5" t="s">
        <v>346</v>
      </c>
      <c r="C241" s="2" t="s">
        <v>347</v>
      </c>
      <c r="D241" s="5" t="s">
        <v>346</v>
      </c>
      <c r="E241" s="2" t="s">
        <v>15445</v>
      </c>
      <c r="F241" s="2" t="s">
        <v>15442</v>
      </c>
      <c r="G241" s="2" t="s">
        <v>15456</v>
      </c>
      <c r="H241" s="2" t="s">
        <v>15457</v>
      </c>
    </row>
    <row r="242">
      <c r="A242" s="2">
        <v>240.0</v>
      </c>
      <c r="B242" s="5" t="s">
        <v>349</v>
      </c>
      <c r="C242" s="2" t="s">
        <v>350</v>
      </c>
      <c r="D242" s="5" t="s">
        <v>349</v>
      </c>
      <c r="E242" s="2" t="s">
        <v>15445</v>
      </c>
      <c r="F242" s="2" t="s">
        <v>15442</v>
      </c>
      <c r="G242" s="2" t="s">
        <v>15443</v>
      </c>
      <c r="H242" s="2" t="s">
        <v>15444</v>
      </c>
    </row>
    <row r="243">
      <c r="A243" s="2">
        <v>241.0</v>
      </c>
      <c r="B243" s="5" t="s">
        <v>9577</v>
      </c>
      <c r="C243" s="2" t="s">
        <v>9578</v>
      </c>
      <c r="D243" s="5" t="s">
        <v>9577</v>
      </c>
      <c r="E243" s="2" t="s">
        <v>15441</v>
      </c>
      <c r="F243" s="2" t="s">
        <v>15446</v>
      </c>
      <c r="G243" s="2" t="s">
        <v>15443</v>
      </c>
      <c r="H243" s="2" t="s">
        <v>15444</v>
      </c>
    </row>
    <row r="244">
      <c r="A244" s="2">
        <v>242.0</v>
      </c>
      <c r="B244" s="5" t="s">
        <v>352</v>
      </c>
      <c r="C244" s="2" t="s">
        <v>353</v>
      </c>
      <c r="D244" s="5" t="s">
        <v>352</v>
      </c>
      <c r="E244" s="2" t="s">
        <v>15445</v>
      </c>
      <c r="F244" s="2" t="s">
        <v>15442</v>
      </c>
      <c r="G244" s="2" t="s">
        <v>15443</v>
      </c>
      <c r="H244" s="2" t="s">
        <v>15444</v>
      </c>
    </row>
    <row r="245">
      <c r="A245" s="2">
        <v>243.0</v>
      </c>
      <c r="B245" s="5" t="s">
        <v>355</v>
      </c>
      <c r="C245" s="2" t="s">
        <v>356</v>
      </c>
      <c r="D245" s="5" t="s">
        <v>355</v>
      </c>
      <c r="E245" s="2" t="s">
        <v>15445</v>
      </c>
      <c r="F245" s="2" t="s">
        <v>15446</v>
      </c>
      <c r="G245" s="2" t="s">
        <v>15443</v>
      </c>
      <c r="H245" s="2" t="s">
        <v>15444</v>
      </c>
    </row>
    <row r="246">
      <c r="A246" s="2">
        <v>244.0</v>
      </c>
      <c r="B246" s="5" t="s">
        <v>9579</v>
      </c>
      <c r="C246" s="2" t="s">
        <v>9580</v>
      </c>
      <c r="D246" s="5" t="s">
        <v>9579</v>
      </c>
      <c r="E246" s="2" t="s">
        <v>15441</v>
      </c>
      <c r="F246" s="2" t="s">
        <v>15442</v>
      </c>
      <c r="G246" s="2" t="s">
        <v>15443</v>
      </c>
      <c r="H246" s="2" t="s">
        <v>15444</v>
      </c>
    </row>
    <row r="247">
      <c r="A247" s="2">
        <v>245.0</v>
      </c>
      <c r="B247" s="5" t="s">
        <v>9581</v>
      </c>
      <c r="C247" s="2" t="s">
        <v>9582</v>
      </c>
      <c r="D247" s="5" t="s">
        <v>9581</v>
      </c>
      <c r="E247" s="2" t="s">
        <v>15441</v>
      </c>
      <c r="F247" s="2" t="s">
        <v>15446</v>
      </c>
      <c r="G247" s="2" t="s">
        <v>15443</v>
      </c>
      <c r="H247" s="2" t="s">
        <v>15444</v>
      </c>
    </row>
    <row r="248">
      <c r="A248" s="2">
        <v>246.0</v>
      </c>
      <c r="B248" s="5" t="s">
        <v>358</v>
      </c>
      <c r="C248" s="2" t="s">
        <v>359</v>
      </c>
      <c r="D248" s="5" t="s">
        <v>358</v>
      </c>
      <c r="E248" s="2" t="s">
        <v>15445</v>
      </c>
      <c r="F248" s="2" t="s">
        <v>15446</v>
      </c>
      <c r="G248" s="2" t="s">
        <v>15456</v>
      </c>
      <c r="H248" s="2" t="s">
        <v>15444</v>
      </c>
    </row>
    <row r="249">
      <c r="A249" s="2">
        <v>247.0</v>
      </c>
      <c r="B249" s="5" t="s">
        <v>9583</v>
      </c>
      <c r="C249" s="2" t="s">
        <v>9584</v>
      </c>
      <c r="D249" s="5" t="s">
        <v>9583</v>
      </c>
      <c r="E249" s="2" t="s">
        <v>15441</v>
      </c>
      <c r="F249" s="2" t="s">
        <v>15442</v>
      </c>
      <c r="G249" s="2" t="s">
        <v>15456</v>
      </c>
      <c r="H249" s="2" t="s">
        <v>15444</v>
      </c>
    </row>
    <row r="250">
      <c r="A250" s="2">
        <v>248.0</v>
      </c>
      <c r="B250" s="5" t="s">
        <v>9585</v>
      </c>
      <c r="C250" s="2" t="s">
        <v>9586</v>
      </c>
      <c r="D250" s="5" t="s">
        <v>9585</v>
      </c>
      <c r="E250" s="2" t="s">
        <v>15441</v>
      </c>
      <c r="F250" s="2" t="s">
        <v>15442</v>
      </c>
      <c r="G250" s="2" t="s">
        <v>15443</v>
      </c>
      <c r="H250" s="2" t="s">
        <v>15457</v>
      </c>
    </row>
    <row r="251">
      <c r="A251" s="2">
        <v>249.0</v>
      </c>
      <c r="B251" s="5" t="s">
        <v>9587</v>
      </c>
      <c r="C251" s="2" t="s">
        <v>9588</v>
      </c>
      <c r="D251" s="5" t="s">
        <v>9587</v>
      </c>
      <c r="E251" s="2" t="s">
        <v>15441</v>
      </c>
      <c r="F251" s="2" t="s">
        <v>15446</v>
      </c>
      <c r="G251" s="2" t="s">
        <v>15443</v>
      </c>
      <c r="H251" s="2" t="s">
        <v>15444</v>
      </c>
    </row>
    <row r="252">
      <c r="A252" s="2">
        <v>250.0</v>
      </c>
      <c r="B252" s="5" t="s">
        <v>9589</v>
      </c>
      <c r="C252" s="2" t="s">
        <v>9590</v>
      </c>
      <c r="D252" s="5" t="s">
        <v>9589</v>
      </c>
      <c r="E252" s="2" t="s">
        <v>15441</v>
      </c>
      <c r="F252" s="2" t="s">
        <v>15446</v>
      </c>
      <c r="G252" s="2" t="s">
        <v>15443</v>
      </c>
      <c r="H252" s="2" t="s">
        <v>15444</v>
      </c>
    </row>
    <row r="253">
      <c r="A253" s="2">
        <v>251.0</v>
      </c>
      <c r="B253" s="5" t="s">
        <v>9591</v>
      </c>
      <c r="C253" s="2" t="s">
        <v>9592</v>
      </c>
      <c r="D253" s="5" t="s">
        <v>9591</v>
      </c>
      <c r="E253" s="2" t="s">
        <v>15441</v>
      </c>
      <c r="F253" s="2" t="s">
        <v>15446</v>
      </c>
      <c r="G253" s="2" t="s">
        <v>15456</v>
      </c>
      <c r="H253" s="2" t="s">
        <v>15444</v>
      </c>
    </row>
    <row r="254">
      <c r="A254" s="2">
        <v>252.0</v>
      </c>
      <c r="B254" s="5" t="s">
        <v>361</v>
      </c>
      <c r="C254" s="2" t="s">
        <v>362</v>
      </c>
      <c r="D254" s="5" t="s">
        <v>361</v>
      </c>
      <c r="E254" s="2" t="s">
        <v>15445</v>
      </c>
      <c r="F254" s="2" t="s">
        <v>15446</v>
      </c>
      <c r="G254" s="2" t="s">
        <v>15456</v>
      </c>
      <c r="H254" s="2" t="s">
        <v>15444</v>
      </c>
    </row>
    <row r="255">
      <c r="A255" s="2">
        <v>253.0</v>
      </c>
      <c r="B255" s="5" t="s">
        <v>364</v>
      </c>
      <c r="C255" s="2" t="s">
        <v>365</v>
      </c>
      <c r="D255" s="5" t="s">
        <v>364</v>
      </c>
      <c r="E255" s="2" t="s">
        <v>15445</v>
      </c>
      <c r="F255" s="2" t="s">
        <v>15446</v>
      </c>
      <c r="G255" s="2" t="s">
        <v>15456</v>
      </c>
      <c r="H255" s="2" t="s">
        <v>15444</v>
      </c>
    </row>
    <row r="256">
      <c r="A256" s="2">
        <v>254.0</v>
      </c>
      <c r="B256" s="5" t="s">
        <v>9593</v>
      </c>
      <c r="C256" s="2" t="s">
        <v>9594</v>
      </c>
      <c r="D256" s="5" t="s">
        <v>9593</v>
      </c>
      <c r="E256" s="2" t="s">
        <v>15441</v>
      </c>
      <c r="F256" s="2" t="s">
        <v>15442</v>
      </c>
      <c r="G256" s="2" t="s">
        <v>15443</v>
      </c>
      <c r="H256" s="2" t="s">
        <v>15444</v>
      </c>
    </row>
    <row r="257">
      <c r="A257" s="2">
        <v>255.0</v>
      </c>
      <c r="B257" s="5" t="s">
        <v>9595</v>
      </c>
      <c r="C257" s="2" t="s">
        <v>9596</v>
      </c>
      <c r="D257" s="5" t="s">
        <v>9595</v>
      </c>
      <c r="E257" s="2" t="s">
        <v>15441</v>
      </c>
      <c r="F257" s="2" t="s">
        <v>15446</v>
      </c>
      <c r="G257" s="2" t="s">
        <v>15443</v>
      </c>
      <c r="H257" s="2" t="s">
        <v>15444</v>
      </c>
    </row>
    <row r="258">
      <c r="A258" s="2">
        <v>256.0</v>
      </c>
      <c r="B258" s="5" t="s">
        <v>9597</v>
      </c>
      <c r="C258" s="2" t="s">
        <v>9598</v>
      </c>
      <c r="D258" s="5" t="s">
        <v>9597</v>
      </c>
      <c r="E258" s="2" t="s">
        <v>15441</v>
      </c>
      <c r="F258" s="2" t="s">
        <v>15442</v>
      </c>
      <c r="G258" s="2" t="s">
        <v>15456</v>
      </c>
      <c r="H258" s="2" t="s">
        <v>15457</v>
      </c>
    </row>
    <row r="259">
      <c r="A259" s="2">
        <v>257.0</v>
      </c>
      <c r="B259" s="5" t="s">
        <v>367</v>
      </c>
      <c r="C259" s="2" t="s">
        <v>368</v>
      </c>
      <c r="D259" s="5" t="s">
        <v>367</v>
      </c>
      <c r="E259" s="2" t="s">
        <v>15445</v>
      </c>
      <c r="F259" s="2" t="s">
        <v>15442</v>
      </c>
      <c r="G259" s="2" t="s">
        <v>15456</v>
      </c>
      <c r="H259" s="2" t="s">
        <v>15444</v>
      </c>
    </row>
    <row r="260">
      <c r="A260" s="2">
        <v>258.0</v>
      </c>
      <c r="B260" s="5" t="s">
        <v>9599</v>
      </c>
      <c r="C260" s="2" t="s">
        <v>9600</v>
      </c>
      <c r="D260" s="5" t="s">
        <v>9599</v>
      </c>
      <c r="E260" s="2" t="s">
        <v>15441</v>
      </c>
      <c r="F260" s="2" t="s">
        <v>15442</v>
      </c>
      <c r="G260" s="2" t="s">
        <v>15443</v>
      </c>
      <c r="H260" s="2" t="s">
        <v>15444</v>
      </c>
    </row>
    <row r="261">
      <c r="A261" s="2">
        <v>259.0</v>
      </c>
      <c r="B261" s="5" t="s">
        <v>370</v>
      </c>
      <c r="C261" s="2" t="s">
        <v>371</v>
      </c>
      <c r="D261" s="5" t="s">
        <v>370</v>
      </c>
      <c r="E261" s="2" t="s">
        <v>15445</v>
      </c>
      <c r="F261" s="2" t="s">
        <v>15446</v>
      </c>
      <c r="G261" s="2" t="s">
        <v>15456</v>
      </c>
      <c r="H261" s="2" t="s">
        <v>15444</v>
      </c>
    </row>
    <row r="262">
      <c r="A262" s="2">
        <v>260.0</v>
      </c>
      <c r="B262" s="5" t="s">
        <v>373</v>
      </c>
      <c r="C262" s="2" t="s">
        <v>374</v>
      </c>
      <c r="D262" s="5" t="s">
        <v>373</v>
      </c>
      <c r="E262" s="2" t="s">
        <v>15445</v>
      </c>
      <c r="F262" s="2" t="s">
        <v>15442</v>
      </c>
      <c r="G262" s="2" t="s">
        <v>15443</v>
      </c>
      <c r="H262" s="2" t="s">
        <v>15444</v>
      </c>
    </row>
    <row r="263">
      <c r="A263" s="2">
        <v>261.0</v>
      </c>
      <c r="B263" s="5" t="s">
        <v>9601</v>
      </c>
      <c r="C263" s="2" t="s">
        <v>9602</v>
      </c>
      <c r="D263" s="5" t="s">
        <v>9601</v>
      </c>
      <c r="E263" s="2" t="s">
        <v>15441</v>
      </c>
      <c r="F263" s="2" t="s">
        <v>15446</v>
      </c>
      <c r="G263" s="2" t="s">
        <v>15456</v>
      </c>
      <c r="H263" s="2" t="s">
        <v>15444</v>
      </c>
    </row>
    <row r="264">
      <c r="A264" s="2">
        <v>262.0</v>
      </c>
      <c r="B264" s="5" t="s">
        <v>376</v>
      </c>
      <c r="C264" s="2" t="s">
        <v>377</v>
      </c>
      <c r="D264" s="5" t="s">
        <v>376</v>
      </c>
      <c r="E264" s="2" t="s">
        <v>15445</v>
      </c>
      <c r="F264" s="2" t="s">
        <v>15442</v>
      </c>
      <c r="G264" s="2" t="s">
        <v>15456</v>
      </c>
      <c r="H264" s="2" t="s">
        <v>15444</v>
      </c>
    </row>
    <row r="265">
      <c r="A265" s="2">
        <v>263.0</v>
      </c>
      <c r="B265" s="5" t="s">
        <v>9603</v>
      </c>
      <c r="C265" s="2" t="s">
        <v>9604</v>
      </c>
      <c r="D265" s="5" t="s">
        <v>9603</v>
      </c>
      <c r="E265" s="2" t="s">
        <v>15441</v>
      </c>
      <c r="F265" s="2" t="s">
        <v>15446</v>
      </c>
      <c r="G265" s="2" t="s">
        <v>15443</v>
      </c>
      <c r="H265" s="2" t="s">
        <v>15444</v>
      </c>
    </row>
    <row r="266">
      <c r="A266" s="2">
        <v>264.0</v>
      </c>
      <c r="B266" s="5" t="s">
        <v>379</v>
      </c>
      <c r="C266" s="2" t="s">
        <v>380</v>
      </c>
      <c r="D266" s="5" t="s">
        <v>379</v>
      </c>
      <c r="E266" s="2" t="s">
        <v>15445</v>
      </c>
      <c r="F266" s="2" t="s">
        <v>15442</v>
      </c>
      <c r="G266" s="2" t="s">
        <v>15443</v>
      </c>
      <c r="H266" s="2" t="s">
        <v>15444</v>
      </c>
    </row>
    <row r="267">
      <c r="A267" s="2">
        <v>265.0</v>
      </c>
      <c r="B267" s="5" t="s">
        <v>9605</v>
      </c>
      <c r="C267" s="2" t="s">
        <v>9606</v>
      </c>
      <c r="D267" s="5" t="s">
        <v>9605</v>
      </c>
      <c r="E267" s="2" t="s">
        <v>15441</v>
      </c>
      <c r="F267" s="2" t="s">
        <v>15442</v>
      </c>
      <c r="G267" s="2" t="s">
        <v>15443</v>
      </c>
      <c r="H267" s="2" t="s">
        <v>15444</v>
      </c>
    </row>
    <row r="268">
      <c r="A268" s="2">
        <v>266.0</v>
      </c>
      <c r="B268" s="5" t="s">
        <v>9607</v>
      </c>
      <c r="C268" s="2" t="s">
        <v>9608</v>
      </c>
      <c r="D268" s="5" t="s">
        <v>9607</v>
      </c>
      <c r="E268" s="2" t="s">
        <v>15441</v>
      </c>
      <c r="F268" s="2" t="s">
        <v>15446</v>
      </c>
      <c r="G268" s="2" t="s">
        <v>15456</v>
      </c>
      <c r="H268" s="2" t="s">
        <v>15444</v>
      </c>
    </row>
    <row r="269">
      <c r="A269" s="2">
        <v>267.0</v>
      </c>
      <c r="B269" s="5" t="s">
        <v>9609</v>
      </c>
      <c r="C269" s="2" t="s">
        <v>9610</v>
      </c>
      <c r="D269" s="5" t="s">
        <v>9609</v>
      </c>
      <c r="E269" s="2" t="s">
        <v>15441</v>
      </c>
      <c r="F269" s="2" t="s">
        <v>15442</v>
      </c>
      <c r="G269" s="2" t="s">
        <v>15456</v>
      </c>
      <c r="H269" s="2" t="s">
        <v>15444</v>
      </c>
    </row>
    <row r="270">
      <c r="A270" s="2">
        <v>268.0</v>
      </c>
      <c r="B270" s="5" t="s">
        <v>9611</v>
      </c>
      <c r="C270" s="2" t="s">
        <v>9612</v>
      </c>
      <c r="D270" s="5" t="s">
        <v>9611</v>
      </c>
      <c r="E270" s="2" t="s">
        <v>15441</v>
      </c>
      <c r="F270" s="2" t="s">
        <v>15442</v>
      </c>
      <c r="G270" s="2" t="s">
        <v>15456</v>
      </c>
      <c r="H270" s="2" t="s">
        <v>15444</v>
      </c>
    </row>
    <row r="271">
      <c r="A271" s="2">
        <v>269.0</v>
      </c>
      <c r="B271" s="5" t="s">
        <v>9613</v>
      </c>
      <c r="C271" s="2" t="s">
        <v>9614</v>
      </c>
      <c r="D271" s="5" t="s">
        <v>9613</v>
      </c>
      <c r="E271" s="2" t="s">
        <v>15441</v>
      </c>
      <c r="F271" s="2" t="s">
        <v>15442</v>
      </c>
      <c r="G271" s="2" t="s">
        <v>15443</v>
      </c>
      <c r="H271" s="2" t="s">
        <v>15444</v>
      </c>
    </row>
    <row r="272">
      <c r="A272" s="2">
        <v>270.0</v>
      </c>
      <c r="B272" s="5" t="s">
        <v>382</v>
      </c>
      <c r="C272" s="2" t="s">
        <v>383</v>
      </c>
      <c r="D272" s="5" t="s">
        <v>382</v>
      </c>
      <c r="E272" s="2" t="s">
        <v>15445</v>
      </c>
      <c r="F272" s="2" t="s">
        <v>15446</v>
      </c>
      <c r="G272" s="2" t="s">
        <v>15456</v>
      </c>
      <c r="H272" s="2" t="s">
        <v>15444</v>
      </c>
    </row>
    <row r="273">
      <c r="A273" s="2">
        <v>271.0</v>
      </c>
      <c r="B273" s="5" t="s">
        <v>385</v>
      </c>
      <c r="C273" s="2" t="s">
        <v>386</v>
      </c>
      <c r="D273" s="5" t="s">
        <v>385</v>
      </c>
      <c r="E273" s="2" t="s">
        <v>15445</v>
      </c>
      <c r="F273" s="2" t="s">
        <v>15442</v>
      </c>
      <c r="G273" s="2" t="s">
        <v>15443</v>
      </c>
      <c r="H273" s="2" t="s">
        <v>15444</v>
      </c>
    </row>
    <row r="274">
      <c r="A274" s="2">
        <v>272.0</v>
      </c>
      <c r="B274" s="5" t="s">
        <v>388</v>
      </c>
      <c r="C274" s="2" t="s">
        <v>389</v>
      </c>
      <c r="D274" s="5" t="s">
        <v>388</v>
      </c>
      <c r="E274" s="2" t="s">
        <v>15445</v>
      </c>
      <c r="F274" s="2" t="s">
        <v>15446</v>
      </c>
      <c r="G274" s="2" t="s">
        <v>15456</v>
      </c>
      <c r="H274" s="2" t="s">
        <v>15444</v>
      </c>
    </row>
    <row r="275">
      <c r="A275" s="2">
        <v>273.0</v>
      </c>
      <c r="B275" s="5" t="s">
        <v>391</v>
      </c>
      <c r="C275" s="2" t="s">
        <v>392</v>
      </c>
      <c r="D275" s="5" t="s">
        <v>391</v>
      </c>
      <c r="E275" s="2" t="s">
        <v>15445</v>
      </c>
      <c r="F275" s="2" t="s">
        <v>15446</v>
      </c>
      <c r="G275" s="2" t="s">
        <v>15456</v>
      </c>
      <c r="H275" s="2" t="s">
        <v>15444</v>
      </c>
    </row>
    <row r="276">
      <c r="A276" s="2">
        <v>274.0</v>
      </c>
      <c r="B276" s="5" t="s">
        <v>9615</v>
      </c>
      <c r="C276" s="2" t="s">
        <v>9616</v>
      </c>
      <c r="D276" s="5" t="s">
        <v>9615</v>
      </c>
      <c r="E276" s="2" t="s">
        <v>15441</v>
      </c>
      <c r="F276" s="2" t="s">
        <v>15446</v>
      </c>
      <c r="G276" s="2" t="s">
        <v>15456</v>
      </c>
      <c r="H276" s="2" t="s">
        <v>15444</v>
      </c>
    </row>
    <row r="277">
      <c r="A277" s="2">
        <v>275.0</v>
      </c>
      <c r="B277" s="5" t="s">
        <v>394</v>
      </c>
      <c r="C277" s="2" t="s">
        <v>395</v>
      </c>
      <c r="D277" s="5" t="s">
        <v>394</v>
      </c>
      <c r="E277" s="2" t="s">
        <v>15445</v>
      </c>
      <c r="F277" s="2" t="s">
        <v>15442</v>
      </c>
      <c r="G277" s="2" t="s">
        <v>15443</v>
      </c>
      <c r="H277" s="2" t="s">
        <v>15444</v>
      </c>
    </row>
    <row r="278">
      <c r="A278" s="2">
        <v>276.0</v>
      </c>
      <c r="B278" s="5" t="s">
        <v>9617</v>
      </c>
      <c r="C278" s="2" t="s">
        <v>9618</v>
      </c>
      <c r="D278" s="5" t="s">
        <v>9617</v>
      </c>
      <c r="E278" s="2" t="s">
        <v>15441</v>
      </c>
      <c r="F278" s="2" t="s">
        <v>15446</v>
      </c>
      <c r="G278" s="2" t="s">
        <v>15443</v>
      </c>
      <c r="H278" s="2" t="s">
        <v>15444</v>
      </c>
    </row>
    <row r="279">
      <c r="A279" s="2">
        <v>277.0</v>
      </c>
      <c r="B279" s="5" t="s">
        <v>397</v>
      </c>
      <c r="C279" s="2" t="s">
        <v>398</v>
      </c>
      <c r="D279" s="5" t="s">
        <v>397</v>
      </c>
      <c r="E279" s="2" t="s">
        <v>15445</v>
      </c>
      <c r="F279" s="2" t="s">
        <v>15442</v>
      </c>
      <c r="G279" s="2" t="s">
        <v>15443</v>
      </c>
      <c r="H279" s="2" t="s">
        <v>15444</v>
      </c>
    </row>
    <row r="280">
      <c r="A280" s="2">
        <v>278.0</v>
      </c>
      <c r="B280" s="5" t="s">
        <v>400</v>
      </c>
      <c r="C280" s="2" t="s">
        <v>401</v>
      </c>
      <c r="D280" s="5" t="s">
        <v>400</v>
      </c>
      <c r="E280" s="2" t="s">
        <v>15445</v>
      </c>
      <c r="F280" s="2" t="s">
        <v>15442</v>
      </c>
      <c r="G280" s="2" t="s">
        <v>15456</v>
      </c>
      <c r="H280" s="2" t="s">
        <v>15444</v>
      </c>
    </row>
    <row r="281">
      <c r="A281" s="2">
        <v>279.0</v>
      </c>
      <c r="B281" s="5" t="s">
        <v>403</v>
      </c>
      <c r="C281" s="2" t="s">
        <v>404</v>
      </c>
      <c r="D281" s="5" t="s">
        <v>403</v>
      </c>
      <c r="E281" s="2" t="s">
        <v>15445</v>
      </c>
      <c r="F281" s="2" t="s">
        <v>15442</v>
      </c>
      <c r="G281" s="2" t="s">
        <v>15443</v>
      </c>
      <c r="H281" s="2" t="s">
        <v>15444</v>
      </c>
    </row>
    <row r="282">
      <c r="A282" s="2">
        <v>280.0</v>
      </c>
      <c r="B282" s="5" t="s">
        <v>9619</v>
      </c>
      <c r="C282" s="2" t="s">
        <v>9620</v>
      </c>
      <c r="D282" s="5" t="s">
        <v>9619</v>
      </c>
      <c r="E282" s="2" t="s">
        <v>15441</v>
      </c>
      <c r="F282" s="2" t="s">
        <v>15446</v>
      </c>
      <c r="G282" s="2" t="s">
        <v>15456</v>
      </c>
      <c r="H282" s="2" t="s">
        <v>15457</v>
      </c>
    </row>
    <row r="283">
      <c r="A283" s="2">
        <v>281.0</v>
      </c>
      <c r="B283" s="5" t="s">
        <v>406</v>
      </c>
      <c r="C283" s="2" t="s">
        <v>407</v>
      </c>
      <c r="D283" s="5" t="s">
        <v>406</v>
      </c>
      <c r="E283" s="2" t="s">
        <v>15445</v>
      </c>
      <c r="F283" s="2" t="s">
        <v>15442</v>
      </c>
      <c r="G283" s="2" t="s">
        <v>15456</v>
      </c>
      <c r="H283" s="2" t="s">
        <v>15444</v>
      </c>
    </row>
    <row r="284">
      <c r="A284" s="2">
        <v>282.0</v>
      </c>
      <c r="B284" s="5" t="s">
        <v>9621</v>
      </c>
      <c r="C284" s="2" t="s">
        <v>9622</v>
      </c>
      <c r="D284" s="5" t="s">
        <v>9621</v>
      </c>
      <c r="E284" s="2" t="s">
        <v>15441</v>
      </c>
      <c r="F284" s="2" t="s">
        <v>15442</v>
      </c>
      <c r="G284" s="2" t="s">
        <v>15443</v>
      </c>
      <c r="H284" s="2" t="s">
        <v>15444</v>
      </c>
    </row>
    <row r="285">
      <c r="A285" s="2">
        <v>283.0</v>
      </c>
      <c r="B285" s="5" t="s">
        <v>409</v>
      </c>
      <c r="C285" s="2" t="s">
        <v>410</v>
      </c>
      <c r="D285" s="5" t="s">
        <v>409</v>
      </c>
      <c r="E285" s="2" t="s">
        <v>15445</v>
      </c>
      <c r="F285" s="2" t="s">
        <v>15446</v>
      </c>
      <c r="G285" s="2" t="s">
        <v>15456</v>
      </c>
      <c r="H285" s="2" t="s">
        <v>15444</v>
      </c>
    </row>
    <row r="286">
      <c r="A286" s="2">
        <v>284.0</v>
      </c>
      <c r="B286" s="5" t="s">
        <v>412</v>
      </c>
      <c r="C286" s="2" t="s">
        <v>413</v>
      </c>
      <c r="D286" s="5" t="s">
        <v>412</v>
      </c>
      <c r="E286" s="2" t="s">
        <v>15445</v>
      </c>
      <c r="F286" s="2" t="s">
        <v>15446</v>
      </c>
      <c r="G286" s="2" t="s">
        <v>15443</v>
      </c>
      <c r="H286" s="2" t="s">
        <v>15444</v>
      </c>
    </row>
    <row r="287">
      <c r="A287" s="2">
        <v>285.0</v>
      </c>
      <c r="B287" s="5" t="s">
        <v>415</v>
      </c>
      <c r="C287" s="2" t="s">
        <v>416</v>
      </c>
      <c r="D287" s="5" t="s">
        <v>415</v>
      </c>
      <c r="E287" s="2" t="s">
        <v>15445</v>
      </c>
      <c r="F287" s="2" t="s">
        <v>15446</v>
      </c>
      <c r="G287" s="2" t="s">
        <v>15443</v>
      </c>
      <c r="H287" s="2" t="s">
        <v>15444</v>
      </c>
    </row>
    <row r="288">
      <c r="A288" s="2">
        <v>286.0</v>
      </c>
      <c r="B288" s="5" t="s">
        <v>418</v>
      </c>
      <c r="C288" s="2" t="s">
        <v>419</v>
      </c>
      <c r="D288" s="5" t="s">
        <v>418</v>
      </c>
      <c r="E288" s="2" t="s">
        <v>15445</v>
      </c>
      <c r="F288" s="2" t="s">
        <v>15446</v>
      </c>
      <c r="G288" s="2" t="s">
        <v>15456</v>
      </c>
      <c r="H288" s="2" t="s">
        <v>15457</v>
      </c>
    </row>
    <row r="289">
      <c r="A289" s="2">
        <v>287.0</v>
      </c>
      <c r="B289" s="5" t="s">
        <v>421</v>
      </c>
      <c r="C289" s="2" t="s">
        <v>422</v>
      </c>
      <c r="D289" s="5" t="s">
        <v>421</v>
      </c>
      <c r="E289" s="2" t="s">
        <v>15445</v>
      </c>
      <c r="F289" s="2" t="s">
        <v>15442</v>
      </c>
      <c r="G289" s="2" t="s">
        <v>15443</v>
      </c>
      <c r="H289" s="2" t="s">
        <v>15444</v>
      </c>
    </row>
    <row r="290">
      <c r="A290" s="2">
        <v>288.0</v>
      </c>
      <c r="B290" s="5" t="s">
        <v>424</v>
      </c>
      <c r="C290" s="2" t="s">
        <v>425</v>
      </c>
      <c r="D290" s="5" t="s">
        <v>424</v>
      </c>
      <c r="E290" s="2" t="s">
        <v>15445</v>
      </c>
      <c r="F290" s="2" t="s">
        <v>15446</v>
      </c>
      <c r="G290" s="2" t="s">
        <v>15456</v>
      </c>
      <c r="H290" s="2" t="s">
        <v>15444</v>
      </c>
    </row>
    <row r="291">
      <c r="A291" s="2">
        <v>289.0</v>
      </c>
      <c r="B291" s="5" t="s">
        <v>9623</v>
      </c>
      <c r="C291" s="2" t="s">
        <v>9624</v>
      </c>
      <c r="D291" s="5" t="s">
        <v>9623</v>
      </c>
      <c r="E291" s="2" t="s">
        <v>15441</v>
      </c>
      <c r="F291" s="2" t="s">
        <v>15442</v>
      </c>
      <c r="G291" s="2" t="s">
        <v>15443</v>
      </c>
      <c r="H291" s="2" t="s">
        <v>15444</v>
      </c>
    </row>
    <row r="292">
      <c r="A292" s="2">
        <v>290.0</v>
      </c>
      <c r="B292" s="5" t="s">
        <v>9625</v>
      </c>
      <c r="C292" s="2" t="s">
        <v>9626</v>
      </c>
      <c r="D292" s="5" t="s">
        <v>9625</v>
      </c>
      <c r="E292" s="2" t="s">
        <v>15441</v>
      </c>
      <c r="F292" s="2" t="s">
        <v>15446</v>
      </c>
      <c r="G292" s="2" t="s">
        <v>15456</v>
      </c>
      <c r="H292" s="2" t="s">
        <v>15444</v>
      </c>
    </row>
    <row r="293">
      <c r="A293" s="2">
        <v>291.0</v>
      </c>
      <c r="B293" s="5" t="s">
        <v>427</v>
      </c>
      <c r="C293" s="2" t="s">
        <v>428</v>
      </c>
      <c r="D293" s="5" t="s">
        <v>427</v>
      </c>
      <c r="E293" s="2" t="s">
        <v>15445</v>
      </c>
      <c r="F293" s="2" t="s">
        <v>15446</v>
      </c>
      <c r="G293" s="2" t="s">
        <v>15443</v>
      </c>
      <c r="H293" s="2" t="s">
        <v>15444</v>
      </c>
    </row>
    <row r="294">
      <c r="A294" s="2">
        <v>292.0</v>
      </c>
      <c r="B294" s="5" t="s">
        <v>9627</v>
      </c>
      <c r="C294" s="2" t="s">
        <v>9628</v>
      </c>
      <c r="D294" s="5" t="s">
        <v>9627</v>
      </c>
      <c r="E294" s="2" t="s">
        <v>15441</v>
      </c>
      <c r="F294" s="2" t="s">
        <v>15446</v>
      </c>
      <c r="G294" s="2" t="s">
        <v>15456</v>
      </c>
      <c r="H294" s="2" t="s">
        <v>15444</v>
      </c>
    </row>
    <row r="295">
      <c r="A295" s="2">
        <v>293.0</v>
      </c>
      <c r="B295" s="5" t="s">
        <v>430</v>
      </c>
      <c r="C295" s="2" t="s">
        <v>431</v>
      </c>
      <c r="D295" s="5" t="s">
        <v>430</v>
      </c>
      <c r="E295" s="2" t="s">
        <v>15445</v>
      </c>
      <c r="F295" s="2" t="s">
        <v>15446</v>
      </c>
      <c r="G295" s="2" t="s">
        <v>15456</v>
      </c>
      <c r="H295" s="2" t="s">
        <v>15444</v>
      </c>
    </row>
    <row r="296">
      <c r="A296" s="2">
        <v>294.0</v>
      </c>
      <c r="B296" s="5" t="s">
        <v>9629</v>
      </c>
      <c r="C296" s="2" t="s">
        <v>9630</v>
      </c>
      <c r="D296" s="5" t="s">
        <v>9629</v>
      </c>
      <c r="E296" s="2" t="s">
        <v>15441</v>
      </c>
      <c r="F296" s="2" t="s">
        <v>15446</v>
      </c>
      <c r="G296" s="2" t="s">
        <v>15456</v>
      </c>
      <c r="H296" s="2" t="s">
        <v>15444</v>
      </c>
    </row>
    <row r="297">
      <c r="A297" s="2">
        <v>295.0</v>
      </c>
      <c r="B297" s="5" t="s">
        <v>433</v>
      </c>
      <c r="C297" s="2" t="s">
        <v>434</v>
      </c>
      <c r="D297" s="5" t="s">
        <v>433</v>
      </c>
      <c r="E297" s="2" t="s">
        <v>15445</v>
      </c>
      <c r="F297" s="2" t="s">
        <v>15442</v>
      </c>
      <c r="G297" s="2" t="s">
        <v>15443</v>
      </c>
      <c r="H297" s="2" t="s">
        <v>15444</v>
      </c>
    </row>
    <row r="298">
      <c r="A298" s="2">
        <v>296.0</v>
      </c>
      <c r="B298" s="5" t="s">
        <v>9631</v>
      </c>
      <c r="C298" s="2" t="s">
        <v>9632</v>
      </c>
      <c r="D298" s="5" t="s">
        <v>9631</v>
      </c>
      <c r="E298" s="2" t="s">
        <v>15441</v>
      </c>
      <c r="F298" s="2" t="s">
        <v>15442</v>
      </c>
      <c r="G298" s="2" t="s">
        <v>15456</v>
      </c>
      <c r="H298" s="2" t="s">
        <v>15444</v>
      </c>
    </row>
    <row r="299">
      <c r="A299" s="2">
        <v>297.0</v>
      </c>
      <c r="B299" s="5" t="s">
        <v>9633</v>
      </c>
      <c r="C299" s="2" t="s">
        <v>9634</v>
      </c>
      <c r="D299" s="5" t="s">
        <v>9633</v>
      </c>
      <c r="E299" s="2" t="s">
        <v>15441</v>
      </c>
      <c r="F299" s="2" t="s">
        <v>15442</v>
      </c>
      <c r="G299" s="2" t="s">
        <v>15456</v>
      </c>
      <c r="H299" s="2" t="s">
        <v>15455</v>
      </c>
    </row>
    <row r="300">
      <c r="A300" s="2">
        <v>298.0</v>
      </c>
      <c r="B300" s="5" t="s">
        <v>436</v>
      </c>
      <c r="C300" s="2" t="s">
        <v>437</v>
      </c>
      <c r="D300" s="5" t="s">
        <v>436</v>
      </c>
      <c r="E300" s="2" t="s">
        <v>15445</v>
      </c>
      <c r="F300" s="2" t="s">
        <v>15446</v>
      </c>
      <c r="G300" s="2" t="s">
        <v>15456</v>
      </c>
      <c r="H300" s="2" t="s">
        <v>15457</v>
      </c>
    </row>
    <row r="301">
      <c r="A301" s="2">
        <v>299.0</v>
      </c>
      <c r="B301" s="5" t="s">
        <v>439</v>
      </c>
      <c r="C301" s="2" t="s">
        <v>440</v>
      </c>
      <c r="D301" s="5" t="s">
        <v>439</v>
      </c>
      <c r="E301" s="2" t="s">
        <v>15445</v>
      </c>
      <c r="F301" s="2" t="s">
        <v>15446</v>
      </c>
      <c r="G301" s="2" t="s">
        <v>15443</v>
      </c>
      <c r="H301" s="2" t="s">
        <v>15444</v>
      </c>
    </row>
    <row r="302">
      <c r="A302" s="2">
        <v>300.0</v>
      </c>
      <c r="B302" s="5" t="s">
        <v>442</v>
      </c>
      <c r="C302" s="2" t="s">
        <v>443</v>
      </c>
      <c r="D302" s="5" t="s">
        <v>442</v>
      </c>
      <c r="E302" s="2" t="s">
        <v>15445</v>
      </c>
      <c r="F302" s="2" t="s">
        <v>15446</v>
      </c>
      <c r="G302" s="2" t="s">
        <v>15456</v>
      </c>
      <c r="H302" s="2" t="s">
        <v>15444</v>
      </c>
    </row>
    <row r="303">
      <c r="A303" s="2">
        <v>301.0</v>
      </c>
      <c r="B303" s="5" t="s">
        <v>445</v>
      </c>
      <c r="C303" s="2" t="s">
        <v>446</v>
      </c>
      <c r="D303" s="5" t="s">
        <v>445</v>
      </c>
      <c r="E303" s="2" t="s">
        <v>15445</v>
      </c>
      <c r="F303" s="2" t="s">
        <v>15446</v>
      </c>
      <c r="G303" s="2" t="s">
        <v>15456</v>
      </c>
      <c r="H303" s="2" t="s">
        <v>15444</v>
      </c>
    </row>
    <row r="304">
      <c r="A304" s="2">
        <v>302.0</v>
      </c>
      <c r="B304" s="5" t="s">
        <v>9635</v>
      </c>
      <c r="C304" s="2" t="s">
        <v>9636</v>
      </c>
      <c r="D304" s="5" t="s">
        <v>9635</v>
      </c>
      <c r="E304" s="2" t="s">
        <v>15441</v>
      </c>
      <c r="F304" s="2" t="s">
        <v>15442</v>
      </c>
      <c r="G304" s="2" t="s">
        <v>15456</v>
      </c>
      <c r="H304" s="2" t="s">
        <v>15444</v>
      </c>
    </row>
    <row r="305">
      <c r="A305" s="2">
        <v>303.0</v>
      </c>
      <c r="B305" s="5" t="s">
        <v>448</v>
      </c>
      <c r="C305" s="2" t="s">
        <v>449</v>
      </c>
      <c r="D305" s="5" t="s">
        <v>448</v>
      </c>
      <c r="E305" s="2" t="s">
        <v>15445</v>
      </c>
      <c r="F305" s="2" t="s">
        <v>15446</v>
      </c>
      <c r="G305" s="2" t="s">
        <v>15456</v>
      </c>
      <c r="H305" s="2" t="s">
        <v>15444</v>
      </c>
    </row>
    <row r="306">
      <c r="A306" s="2">
        <v>304.0</v>
      </c>
      <c r="B306" s="5" t="s">
        <v>451</v>
      </c>
      <c r="C306" s="2" t="s">
        <v>452</v>
      </c>
      <c r="D306" s="5" t="s">
        <v>451</v>
      </c>
      <c r="E306" s="2" t="s">
        <v>15445</v>
      </c>
      <c r="F306" s="2" t="s">
        <v>15446</v>
      </c>
      <c r="G306" s="2" t="s">
        <v>15456</v>
      </c>
      <c r="H306" s="2" t="s">
        <v>15444</v>
      </c>
    </row>
    <row r="307">
      <c r="A307" s="2">
        <v>305.0</v>
      </c>
      <c r="B307" s="5" t="s">
        <v>9637</v>
      </c>
      <c r="C307" s="2" t="s">
        <v>9638</v>
      </c>
      <c r="D307" s="5" t="s">
        <v>9637</v>
      </c>
      <c r="E307" s="2" t="s">
        <v>15441</v>
      </c>
      <c r="F307" s="2" t="s">
        <v>15446</v>
      </c>
      <c r="G307" s="2" t="s">
        <v>15456</v>
      </c>
      <c r="H307" s="2" t="s">
        <v>15444</v>
      </c>
    </row>
    <row r="308">
      <c r="A308" s="2">
        <v>306.0</v>
      </c>
      <c r="B308" s="5" t="s">
        <v>9639</v>
      </c>
      <c r="C308" s="2" t="s">
        <v>9640</v>
      </c>
      <c r="D308" s="5" t="s">
        <v>9639</v>
      </c>
      <c r="E308" s="2" t="s">
        <v>15441</v>
      </c>
      <c r="F308" s="2" t="s">
        <v>15446</v>
      </c>
      <c r="G308" s="2" t="s">
        <v>15456</v>
      </c>
      <c r="H308" s="2" t="s">
        <v>15444</v>
      </c>
    </row>
    <row r="309">
      <c r="A309" s="2">
        <v>307.0</v>
      </c>
      <c r="B309" s="5" t="s">
        <v>454</v>
      </c>
      <c r="C309" s="2" t="s">
        <v>455</v>
      </c>
      <c r="D309" s="5" t="s">
        <v>454</v>
      </c>
      <c r="E309" s="2" t="s">
        <v>15445</v>
      </c>
      <c r="F309" s="2" t="s">
        <v>15446</v>
      </c>
      <c r="G309" s="2" t="s">
        <v>15443</v>
      </c>
      <c r="H309" s="2" t="s">
        <v>15457</v>
      </c>
    </row>
    <row r="310">
      <c r="A310" s="2">
        <v>308.0</v>
      </c>
      <c r="B310" s="5" t="s">
        <v>457</v>
      </c>
      <c r="C310" s="2" t="s">
        <v>458</v>
      </c>
      <c r="D310" s="5" t="s">
        <v>457</v>
      </c>
      <c r="E310" s="2" t="s">
        <v>15445</v>
      </c>
      <c r="F310" s="2" t="s">
        <v>15446</v>
      </c>
      <c r="G310" s="2" t="s">
        <v>15443</v>
      </c>
      <c r="H310" s="2" t="s">
        <v>15444</v>
      </c>
    </row>
    <row r="311">
      <c r="A311" s="2">
        <v>309.0</v>
      </c>
      <c r="B311" s="5" t="s">
        <v>9641</v>
      </c>
      <c r="C311" s="2" t="s">
        <v>9642</v>
      </c>
      <c r="D311" s="5" t="s">
        <v>9641</v>
      </c>
      <c r="E311" s="2" t="s">
        <v>15441</v>
      </c>
      <c r="F311" s="2" t="s">
        <v>15442</v>
      </c>
      <c r="G311" s="2" t="s">
        <v>15443</v>
      </c>
      <c r="H311" s="2" t="s">
        <v>15444</v>
      </c>
    </row>
    <row r="312">
      <c r="A312" s="2">
        <v>310.0</v>
      </c>
      <c r="B312" s="5" t="s">
        <v>460</v>
      </c>
      <c r="C312" s="2" t="s">
        <v>461</v>
      </c>
      <c r="D312" s="5" t="s">
        <v>460</v>
      </c>
      <c r="E312" s="2" t="s">
        <v>15445</v>
      </c>
      <c r="F312" s="2" t="s">
        <v>15446</v>
      </c>
      <c r="G312" s="2" t="s">
        <v>15456</v>
      </c>
      <c r="H312" s="2" t="s">
        <v>15444</v>
      </c>
    </row>
    <row r="313">
      <c r="A313" s="2">
        <v>311.0</v>
      </c>
      <c r="B313" s="5" t="s">
        <v>463</v>
      </c>
      <c r="C313" s="2" t="s">
        <v>464</v>
      </c>
      <c r="D313" s="5" t="s">
        <v>463</v>
      </c>
      <c r="E313" s="2" t="s">
        <v>15445</v>
      </c>
      <c r="F313" s="2" t="s">
        <v>15446</v>
      </c>
      <c r="G313" s="2" t="s">
        <v>15443</v>
      </c>
      <c r="H313" s="2" t="s">
        <v>15444</v>
      </c>
    </row>
    <row r="314">
      <c r="A314" s="2">
        <v>312.0</v>
      </c>
      <c r="B314" s="5" t="s">
        <v>466</v>
      </c>
      <c r="C314" s="2" t="s">
        <v>467</v>
      </c>
      <c r="D314" s="5" t="s">
        <v>466</v>
      </c>
      <c r="E314" s="2" t="s">
        <v>15445</v>
      </c>
      <c r="F314" s="2" t="s">
        <v>15446</v>
      </c>
      <c r="G314" s="2" t="s">
        <v>15456</v>
      </c>
      <c r="H314" s="2" t="s">
        <v>15444</v>
      </c>
    </row>
    <row r="315">
      <c r="A315" s="2">
        <v>313.0</v>
      </c>
      <c r="B315" s="5" t="s">
        <v>469</v>
      </c>
      <c r="C315" s="2" t="s">
        <v>470</v>
      </c>
      <c r="D315" s="5" t="s">
        <v>469</v>
      </c>
      <c r="E315" s="2" t="s">
        <v>15445</v>
      </c>
      <c r="F315" s="2" t="s">
        <v>15442</v>
      </c>
      <c r="G315" s="2" t="s">
        <v>15443</v>
      </c>
      <c r="H315" s="2" t="s">
        <v>15444</v>
      </c>
    </row>
    <row r="316">
      <c r="A316" s="2">
        <v>314.0</v>
      </c>
      <c r="B316" s="5" t="s">
        <v>9643</v>
      </c>
      <c r="C316" s="2" t="s">
        <v>9644</v>
      </c>
      <c r="D316" s="5" t="s">
        <v>9643</v>
      </c>
      <c r="E316" s="2" t="s">
        <v>15441</v>
      </c>
      <c r="F316" s="2" t="s">
        <v>15442</v>
      </c>
      <c r="G316" s="2" t="s">
        <v>15443</v>
      </c>
      <c r="H316" s="2" t="s">
        <v>15444</v>
      </c>
    </row>
    <row r="317">
      <c r="A317" s="2">
        <v>315.0</v>
      </c>
      <c r="B317" s="5" t="s">
        <v>9645</v>
      </c>
      <c r="C317" s="2" t="s">
        <v>9646</v>
      </c>
      <c r="D317" s="5" t="s">
        <v>9645</v>
      </c>
      <c r="E317" s="2" t="s">
        <v>15441</v>
      </c>
      <c r="F317" s="2" t="s">
        <v>15446</v>
      </c>
      <c r="G317" s="2" t="s">
        <v>15443</v>
      </c>
      <c r="H317" s="2" t="s">
        <v>15444</v>
      </c>
    </row>
    <row r="318">
      <c r="A318" s="2">
        <v>316.0</v>
      </c>
      <c r="B318" s="5" t="s">
        <v>9647</v>
      </c>
      <c r="C318" s="2" t="s">
        <v>9648</v>
      </c>
      <c r="D318" s="5" t="s">
        <v>9647</v>
      </c>
      <c r="E318" s="2" t="s">
        <v>15441</v>
      </c>
      <c r="F318" s="2" t="s">
        <v>15446</v>
      </c>
      <c r="G318" s="2" t="s">
        <v>15456</v>
      </c>
      <c r="H318" s="2" t="s">
        <v>15444</v>
      </c>
    </row>
    <row r="319">
      <c r="A319" s="2">
        <v>317.0</v>
      </c>
      <c r="B319" s="5" t="s">
        <v>9649</v>
      </c>
      <c r="C319" s="2" t="s">
        <v>9650</v>
      </c>
      <c r="D319" s="5" t="s">
        <v>9649</v>
      </c>
      <c r="E319" s="2" t="s">
        <v>15441</v>
      </c>
      <c r="F319" s="2" t="s">
        <v>15446</v>
      </c>
      <c r="G319" s="2" t="s">
        <v>15443</v>
      </c>
      <c r="H319" s="2" t="s">
        <v>15461</v>
      </c>
    </row>
    <row r="320">
      <c r="A320" s="2">
        <v>318.0</v>
      </c>
      <c r="B320" s="5" t="s">
        <v>9651</v>
      </c>
      <c r="C320" s="2" t="s">
        <v>9652</v>
      </c>
      <c r="D320" s="5" t="s">
        <v>9651</v>
      </c>
      <c r="E320" s="2" t="s">
        <v>15441</v>
      </c>
      <c r="F320" s="2" t="s">
        <v>15442</v>
      </c>
      <c r="G320" s="2" t="s">
        <v>15443</v>
      </c>
      <c r="H320" s="2" t="s">
        <v>15444</v>
      </c>
    </row>
    <row r="321">
      <c r="A321" s="2">
        <v>319.0</v>
      </c>
      <c r="B321" s="5" t="s">
        <v>472</v>
      </c>
      <c r="C321" s="2" t="s">
        <v>473</v>
      </c>
      <c r="D321" s="5" t="s">
        <v>472</v>
      </c>
      <c r="E321" s="2" t="s">
        <v>15445</v>
      </c>
      <c r="F321" s="2" t="s">
        <v>15442</v>
      </c>
      <c r="G321" s="2" t="s">
        <v>15443</v>
      </c>
      <c r="H321" s="2" t="s">
        <v>15444</v>
      </c>
    </row>
    <row r="322">
      <c r="A322" s="2">
        <v>320.0</v>
      </c>
      <c r="B322" s="5" t="s">
        <v>475</v>
      </c>
      <c r="C322" s="2" t="s">
        <v>476</v>
      </c>
      <c r="D322" s="5" t="s">
        <v>475</v>
      </c>
      <c r="E322" s="2" t="s">
        <v>15445</v>
      </c>
      <c r="F322" s="2" t="s">
        <v>15446</v>
      </c>
      <c r="G322" s="2" t="s">
        <v>15456</v>
      </c>
      <c r="H322" s="2" t="s">
        <v>15444</v>
      </c>
    </row>
    <row r="323">
      <c r="A323" s="2">
        <v>321.0</v>
      </c>
      <c r="B323" s="5" t="s">
        <v>478</v>
      </c>
      <c r="C323" s="2" t="s">
        <v>479</v>
      </c>
      <c r="D323" s="5" t="s">
        <v>478</v>
      </c>
      <c r="E323" s="2" t="s">
        <v>15445</v>
      </c>
      <c r="F323" s="2" t="s">
        <v>15446</v>
      </c>
      <c r="G323" s="2" t="s">
        <v>15456</v>
      </c>
      <c r="H323" s="2" t="s">
        <v>15457</v>
      </c>
    </row>
    <row r="324">
      <c r="A324" s="2">
        <v>322.0</v>
      </c>
      <c r="B324" s="5" t="s">
        <v>481</v>
      </c>
      <c r="C324" s="2" t="s">
        <v>482</v>
      </c>
      <c r="D324" s="5" t="s">
        <v>481</v>
      </c>
      <c r="E324" s="2" t="s">
        <v>15445</v>
      </c>
      <c r="F324" s="2" t="s">
        <v>15442</v>
      </c>
      <c r="G324" s="2" t="s">
        <v>15456</v>
      </c>
      <c r="H324" s="2" t="s">
        <v>15444</v>
      </c>
    </row>
    <row r="325">
      <c r="A325" s="2">
        <v>323.0</v>
      </c>
      <c r="B325" s="5" t="s">
        <v>484</v>
      </c>
      <c r="C325" s="2" t="s">
        <v>485</v>
      </c>
      <c r="D325" s="5" t="s">
        <v>484</v>
      </c>
      <c r="E325" s="2" t="s">
        <v>15445</v>
      </c>
      <c r="F325" s="2" t="s">
        <v>15446</v>
      </c>
      <c r="G325" s="2" t="s">
        <v>15456</v>
      </c>
      <c r="H325" s="2" t="s">
        <v>15455</v>
      </c>
    </row>
    <row r="326">
      <c r="A326" s="2">
        <v>324.0</v>
      </c>
      <c r="B326" s="5" t="s">
        <v>487</v>
      </c>
      <c r="C326" s="2" t="s">
        <v>488</v>
      </c>
      <c r="D326" s="5" t="s">
        <v>487</v>
      </c>
      <c r="E326" s="2" t="s">
        <v>15445</v>
      </c>
      <c r="F326" s="2" t="s">
        <v>15446</v>
      </c>
      <c r="G326" s="2" t="s">
        <v>15456</v>
      </c>
      <c r="H326" s="2" t="s">
        <v>15444</v>
      </c>
    </row>
    <row r="327">
      <c r="A327" s="2">
        <v>325.0</v>
      </c>
      <c r="B327" s="5" t="s">
        <v>490</v>
      </c>
      <c r="C327" s="2" t="s">
        <v>491</v>
      </c>
      <c r="D327" s="5" t="s">
        <v>490</v>
      </c>
      <c r="E327" s="2" t="s">
        <v>15445</v>
      </c>
      <c r="F327" s="2" t="s">
        <v>15442</v>
      </c>
      <c r="G327" s="2" t="s">
        <v>15456</v>
      </c>
      <c r="H327" s="2" t="s">
        <v>15444</v>
      </c>
    </row>
    <row r="328">
      <c r="A328" s="2">
        <v>326.0</v>
      </c>
      <c r="B328" s="5" t="s">
        <v>493</v>
      </c>
      <c r="C328" s="2" t="s">
        <v>494</v>
      </c>
      <c r="D328" s="5" t="s">
        <v>493</v>
      </c>
      <c r="E328" s="2" t="s">
        <v>15445</v>
      </c>
      <c r="F328" s="2" t="s">
        <v>15446</v>
      </c>
      <c r="G328" s="2" t="s">
        <v>15456</v>
      </c>
      <c r="H328" s="2" t="s">
        <v>15444</v>
      </c>
    </row>
    <row r="329">
      <c r="A329" s="2">
        <v>327.0</v>
      </c>
      <c r="B329" s="5" t="s">
        <v>9653</v>
      </c>
      <c r="C329" s="2" t="s">
        <v>9654</v>
      </c>
      <c r="D329" s="5" t="s">
        <v>9653</v>
      </c>
      <c r="E329" s="2" t="s">
        <v>15441</v>
      </c>
      <c r="F329" s="2" t="s">
        <v>15442</v>
      </c>
      <c r="G329" s="2" t="s">
        <v>15456</v>
      </c>
      <c r="H329" s="2" t="s">
        <v>15444</v>
      </c>
    </row>
    <row r="330">
      <c r="A330" s="2">
        <v>328.0</v>
      </c>
      <c r="B330" s="5" t="s">
        <v>496</v>
      </c>
      <c r="C330" s="2" t="s">
        <v>497</v>
      </c>
      <c r="D330" s="5" t="s">
        <v>496</v>
      </c>
      <c r="E330" s="2" t="s">
        <v>15445</v>
      </c>
      <c r="F330" s="2" t="s">
        <v>15446</v>
      </c>
      <c r="G330" s="2" t="s">
        <v>15456</v>
      </c>
      <c r="H330" s="2" t="s">
        <v>15444</v>
      </c>
    </row>
    <row r="331">
      <c r="A331" s="2">
        <v>329.0</v>
      </c>
      <c r="B331" s="5" t="s">
        <v>499</v>
      </c>
      <c r="C331" s="2" t="s">
        <v>500</v>
      </c>
      <c r="D331" s="5" t="s">
        <v>499</v>
      </c>
      <c r="E331" s="2" t="s">
        <v>15445</v>
      </c>
      <c r="F331" s="2" t="s">
        <v>15446</v>
      </c>
      <c r="G331" s="2" t="s">
        <v>15456</v>
      </c>
      <c r="H331" s="2" t="s">
        <v>15444</v>
      </c>
    </row>
    <row r="332">
      <c r="A332" s="2">
        <v>330.0</v>
      </c>
      <c r="B332" s="5" t="s">
        <v>502</v>
      </c>
      <c r="C332" s="2" t="s">
        <v>503</v>
      </c>
      <c r="D332" s="5" t="s">
        <v>502</v>
      </c>
      <c r="E332" s="2" t="s">
        <v>15445</v>
      </c>
      <c r="F332" s="2" t="s">
        <v>15442</v>
      </c>
      <c r="G332" s="2" t="s">
        <v>15443</v>
      </c>
      <c r="H332" s="2" t="s">
        <v>15444</v>
      </c>
    </row>
    <row r="333">
      <c r="A333" s="2">
        <v>331.0</v>
      </c>
      <c r="B333" s="5" t="s">
        <v>505</v>
      </c>
      <c r="C333" s="2" t="s">
        <v>506</v>
      </c>
      <c r="D333" s="5" t="s">
        <v>505</v>
      </c>
      <c r="E333" s="2" t="s">
        <v>15445</v>
      </c>
      <c r="F333" s="2" t="s">
        <v>15442</v>
      </c>
      <c r="G333" s="2" t="s">
        <v>15443</v>
      </c>
      <c r="H333" s="2" t="s">
        <v>15444</v>
      </c>
    </row>
    <row r="334">
      <c r="A334" s="2">
        <v>332.0</v>
      </c>
      <c r="B334" s="5" t="s">
        <v>9655</v>
      </c>
      <c r="C334" s="2" t="s">
        <v>9656</v>
      </c>
      <c r="D334" s="5" t="s">
        <v>9655</v>
      </c>
      <c r="E334" s="2" t="s">
        <v>15441</v>
      </c>
      <c r="F334" s="2" t="s">
        <v>15446</v>
      </c>
      <c r="G334" s="2" t="s">
        <v>15443</v>
      </c>
      <c r="H334" s="2" t="s">
        <v>15444</v>
      </c>
    </row>
    <row r="335">
      <c r="A335" s="2">
        <v>333.0</v>
      </c>
      <c r="B335" s="5" t="s">
        <v>9657</v>
      </c>
      <c r="C335" s="2" t="s">
        <v>9658</v>
      </c>
      <c r="D335" s="5" t="s">
        <v>9657</v>
      </c>
      <c r="E335" s="2" t="s">
        <v>15441</v>
      </c>
      <c r="F335" s="2" t="s">
        <v>15442</v>
      </c>
      <c r="G335" s="2" t="s">
        <v>15443</v>
      </c>
      <c r="H335" s="2" t="s">
        <v>15444</v>
      </c>
    </row>
    <row r="336">
      <c r="A336" s="2">
        <v>334.0</v>
      </c>
      <c r="B336" s="5" t="s">
        <v>508</v>
      </c>
      <c r="C336" s="2" t="s">
        <v>509</v>
      </c>
      <c r="D336" s="5" t="s">
        <v>508</v>
      </c>
      <c r="E336" s="2" t="s">
        <v>15445</v>
      </c>
      <c r="F336" s="2" t="s">
        <v>15446</v>
      </c>
      <c r="G336" s="2" t="s">
        <v>15443</v>
      </c>
      <c r="H336" s="2" t="s">
        <v>15444</v>
      </c>
    </row>
    <row r="337">
      <c r="A337" s="2">
        <v>335.0</v>
      </c>
      <c r="B337" s="5" t="s">
        <v>9659</v>
      </c>
      <c r="C337" s="2" t="s">
        <v>9660</v>
      </c>
      <c r="D337" s="5" t="s">
        <v>9659</v>
      </c>
      <c r="E337" s="2" t="s">
        <v>15441</v>
      </c>
      <c r="F337" s="2" t="s">
        <v>15442</v>
      </c>
      <c r="G337" s="2" t="s">
        <v>15443</v>
      </c>
      <c r="H337" s="2" t="s">
        <v>15444</v>
      </c>
    </row>
    <row r="338">
      <c r="A338" s="2">
        <v>336.0</v>
      </c>
      <c r="B338" s="5" t="s">
        <v>511</v>
      </c>
      <c r="C338" s="2" t="s">
        <v>512</v>
      </c>
      <c r="D338" s="5" t="s">
        <v>511</v>
      </c>
      <c r="E338" s="2" t="s">
        <v>15445</v>
      </c>
      <c r="F338" s="2" t="s">
        <v>15442</v>
      </c>
      <c r="G338" s="2" t="s">
        <v>15443</v>
      </c>
      <c r="H338" s="2" t="s">
        <v>15444</v>
      </c>
    </row>
    <row r="339">
      <c r="A339" s="2">
        <v>337.0</v>
      </c>
      <c r="B339" s="5" t="s">
        <v>514</v>
      </c>
      <c r="C339" s="2" t="s">
        <v>515</v>
      </c>
      <c r="D339" s="5" t="s">
        <v>514</v>
      </c>
      <c r="E339" s="2" t="s">
        <v>15445</v>
      </c>
      <c r="F339" s="2" t="s">
        <v>15442</v>
      </c>
      <c r="G339" s="2" t="s">
        <v>15443</v>
      </c>
      <c r="H339" s="2" t="s">
        <v>15444</v>
      </c>
    </row>
    <row r="340">
      <c r="A340" s="2">
        <v>338.0</v>
      </c>
      <c r="B340" s="5" t="s">
        <v>9661</v>
      </c>
      <c r="C340" s="2" t="s">
        <v>9662</v>
      </c>
      <c r="D340" s="5" t="s">
        <v>9661</v>
      </c>
      <c r="E340" s="2" t="s">
        <v>15441</v>
      </c>
      <c r="F340" s="2" t="s">
        <v>15442</v>
      </c>
      <c r="G340" s="2" t="s">
        <v>15443</v>
      </c>
      <c r="H340" s="2" t="s">
        <v>15444</v>
      </c>
    </row>
    <row r="341">
      <c r="A341" s="2">
        <v>339.0</v>
      </c>
      <c r="B341" s="5" t="s">
        <v>517</v>
      </c>
      <c r="C341" s="2" t="s">
        <v>518</v>
      </c>
      <c r="D341" s="5" t="s">
        <v>517</v>
      </c>
      <c r="E341" s="2" t="s">
        <v>15445</v>
      </c>
      <c r="F341" s="2" t="s">
        <v>15446</v>
      </c>
      <c r="G341" s="2" t="s">
        <v>15443</v>
      </c>
      <c r="H341" s="2" t="s">
        <v>15444</v>
      </c>
    </row>
    <row r="342">
      <c r="A342" s="2">
        <v>340.0</v>
      </c>
      <c r="B342" s="5" t="s">
        <v>520</v>
      </c>
      <c r="C342" s="2" t="s">
        <v>521</v>
      </c>
      <c r="D342" s="5" t="s">
        <v>520</v>
      </c>
      <c r="E342" s="2" t="s">
        <v>15445</v>
      </c>
      <c r="F342" s="2" t="s">
        <v>15446</v>
      </c>
      <c r="G342" s="2" t="s">
        <v>15443</v>
      </c>
      <c r="H342" s="2" t="s">
        <v>15444</v>
      </c>
    </row>
    <row r="343">
      <c r="A343" s="2">
        <v>341.0</v>
      </c>
      <c r="B343" s="5" t="s">
        <v>523</v>
      </c>
      <c r="C343" s="2" t="s">
        <v>524</v>
      </c>
      <c r="D343" s="5" t="s">
        <v>523</v>
      </c>
      <c r="E343" s="2" t="s">
        <v>15445</v>
      </c>
      <c r="F343" s="2" t="s">
        <v>15446</v>
      </c>
      <c r="G343" s="2" t="s">
        <v>15456</v>
      </c>
      <c r="H343" s="2" t="s">
        <v>15444</v>
      </c>
    </row>
    <row r="344">
      <c r="A344" s="2">
        <v>342.0</v>
      </c>
      <c r="B344" s="5" t="s">
        <v>9663</v>
      </c>
      <c r="C344" s="2" t="s">
        <v>9664</v>
      </c>
      <c r="D344" s="5" t="s">
        <v>9663</v>
      </c>
      <c r="E344" s="2" t="s">
        <v>15441</v>
      </c>
      <c r="F344" s="2" t="s">
        <v>15446</v>
      </c>
      <c r="G344" s="2" t="s">
        <v>15456</v>
      </c>
      <c r="H344" s="2" t="s">
        <v>15444</v>
      </c>
    </row>
    <row r="345">
      <c r="A345" s="2">
        <v>343.0</v>
      </c>
      <c r="B345" s="5" t="s">
        <v>9665</v>
      </c>
      <c r="C345" s="2" t="s">
        <v>9666</v>
      </c>
      <c r="D345" s="5" t="s">
        <v>9665</v>
      </c>
      <c r="E345" s="2" t="s">
        <v>15441</v>
      </c>
      <c r="F345" s="2" t="s">
        <v>15446</v>
      </c>
      <c r="G345" s="2" t="s">
        <v>15456</v>
      </c>
      <c r="H345" s="2" t="s">
        <v>15444</v>
      </c>
    </row>
    <row r="346">
      <c r="A346" s="2">
        <v>344.0</v>
      </c>
      <c r="B346" s="5" t="s">
        <v>526</v>
      </c>
      <c r="C346" s="2" t="s">
        <v>527</v>
      </c>
      <c r="D346" s="5" t="s">
        <v>526</v>
      </c>
      <c r="E346" s="2" t="s">
        <v>15445</v>
      </c>
      <c r="F346" s="2" t="s">
        <v>15446</v>
      </c>
      <c r="G346" s="2" t="s">
        <v>15456</v>
      </c>
      <c r="H346" s="2" t="s">
        <v>15444</v>
      </c>
    </row>
    <row r="347">
      <c r="A347" s="2">
        <v>345.0</v>
      </c>
      <c r="B347" s="5" t="s">
        <v>9667</v>
      </c>
      <c r="C347" s="2" t="s">
        <v>9668</v>
      </c>
      <c r="D347" s="5" t="s">
        <v>9667</v>
      </c>
      <c r="E347" s="2" t="s">
        <v>15441</v>
      </c>
      <c r="F347" s="2" t="s">
        <v>15446</v>
      </c>
      <c r="G347" s="2" t="s">
        <v>15443</v>
      </c>
      <c r="H347" s="2" t="s">
        <v>15444</v>
      </c>
    </row>
    <row r="348">
      <c r="A348" s="2">
        <v>346.0</v>
      </c>
      <c r="B348" s="5" t="s">
        <v>9669</v>
      </c>
      <c r="C348" s="2" t="s">
        <v>9670</v>
      </c>
      <c r="D348" s="5" t="s">
        <v>9669</v>
      </c>
      <c r="E348" s="2" t="s">
        <v>15441</v>
      </c>
      <c r="F348" s="2" t="s">
        <v>15442</v>
      </c>
      <c r="G348" s="2" t="s">
        <v>15443</v>
      </c>
      <c r="H348" s="2" t="s">
        <v>15444</v>
      </c>
    </row>
    <row r="349">
      <c r="A349" s="2">
        <v>347.0</v>
      </c>
      <c r="B349" s="5" t="s">
        <v>9671</v>
      </c>
      <c r="C349" s="2" t="s">
        <v>9672</v>
      </c>
      <c r="D349" s="5" t="s">
        <v>9671</v>
      </c>
      <c r="E349" s="2" t="s">
        <v>15441</v>
      </c>
      <c r="F349" s="2" t="s">
        <v>15442</v>
      </c>
      <c r="G349" s="2" t="s">
        <v>15456</v>
      </c>
      <c r="H349" s="2" t="s">
        <v>15444</v>
      </c>
    </row>
    <row r="350">
      <c r="A350" s="2">
        <v>348.0</v>
      </c>
      <c r="B350" s="5" t="s">
        <v>529</v>
      </c>
      <c r="C350" s="2" t="s">
        <v>530</v>
      </c>
      <c r="D350" s="5" t="s">
        <v>529</v>
      </c>
      <c r="E350" s="2" t="s">
        <v>15445</v>
      </c>
      <c r="F350" s="2" t="s">
        <v>15446</v>
      </c>
      <c r="G350" s="2" t="s">
        <v>15456</v>
      </c>
      <c r="H350" s="2" t="s">
        <v>15444</v>
      </c>
    </row>
    <row r="351">
      <c r="A351" s="2">
        <v>349.0</v>
      </c>
      <c r="B351" s="5" t="s">
        <v>532</v>
      </c>
      <c r="C351" s="2" t="s">
        <v>533</v>
      </c>
      <c r="D351" s="5" t="s">
        <v>532</v>
      </c>
      <c r="E351" s="2" t="s">
        <v>15445</v>
      </c>
      <c r="F351" s="2" t="s">
        <v>15446</v>
      </c>
      <c r="G351" s="2" t="s">
        <v>15456</v>
      </c>
      <c r="H351" s="2" t="s">
        <v>15444</v>
      </c>
    </row>
    <row r="352">
      <c r="A352" s="2">
        <v>350.0</v>
      </c>
      <c r="B352" s="5" t="s">
        <v>535</v>
      </c>
      <c r="C352" s="2" t="s">
        <v>536</v>
      </c>
      <c r="D352" s="5" t="s">
        <v>535</v>
      </c>
      <c r="E352" s="2" t="s">
        <v>15445</v>
      </c>
      <c r="F352" s="2" t="s">
        <v>15446</v>
      </c>
      <c r="G352" s="2" t="s">
        <v>15443</v>
      </c>
      <c r="H352" s="2" t="s">
        <v>15444</v>
      </c>
    </row>
    <row r="353">
      <c r="A353" s="2">
        <v>351.0</v>
      </c>
      <c r="B353" s="5" t="s">
        <v>538</v>
      </c>
      <c r="C353" s="2" t="s">
        <v>539</v>
      </c>
      <c r="D353" s="5" t="s">
        <v>538</v>
      </c>
      <c r="E353" s="2" t="s">
        <v>15445</v>
      </c>
      <c r="F353" s="2" t="s">
        <v>15446</v>
      </c>
      <c r="G353" s="2" t="s">
        <v>15456</v>
      </c>
      <c r="H353" s="2" t="s">
        <v>15444</v>
      </c>
    </row>
    <row r="354">
      <c r="A354" s="2">
        <v>352.0</v>
      </c>
      <c r="B354" s="5" t="s">
        <v>9673</v>
      </c>
      <c r="C354" s="2" t="s">
        <v>9674</v>
      </c>
      <c r="D354" s="5" t="s">
        <v>9673</v>
      </c>
      <c r="E354" s="2" t="s">
        <v>15441</v>
      </c>
      <c r="F354" s="2" t="s">
        <v>15442</v>
      </c>
      <c r="G354" s="2" t="s">
        <v>15443</v>
      </c>
      <c r="H354" s="2" t="s">
        <v>15444</v>
      </c>
    </row>
    <row r="355">
      <c r="A355" s="2">
        <v>353.0</v>
      </c>
      <c r="B355" s="5" t="s">
        <v>9675</v>
      </c>
      <c r="C355" s="2" t="s">
        <v>9676</v>
      </c>
      <c r="D355" s="5" t="s">
        <v>9675</v>
      </c>
      <c r="E355" s="2" t="s">
        <v>15441</v>
      </c>
      <c r="F355" s="2" t="s">
        <v>15446</v>
      </c>
      <c r="G355" s="2" t="s">
        <v>15456</v>
      </c>
      <c r="H355" s="2" t="s">
        <v>15444</v>
      </c>
    </row>
    <row r="356">
      <c r="A356" s="2">
        <v>354.0</v>
      </c>
      <c r="B356" s="5" t="s">
        <v>9677</v>
      </c>
      <c r="C356" s="2" t="s">
        <v>9678</v>
      </c>
      <c r="D356" s="5" t="s">
        <v>9677</v>
      </c>
      <c r="E356" s="2" t="s">
        <v>15441</v>
      </c>
      <c r="F356" s="2" t="s">
        <v>15442</v>
      </c>
      <c r="G356" s="2" t="s">
        <v>15456</v>
      </c>
      <c r="H356" s="2" t="s">
        <v>15444</v>
      </c>
    </row>
    <row r="357">
      <c r="A357" s="2">
        <v>355.0</v>
      </c>
      <c r="B357" s="5" t="s">
        <v>9679</v>
      </c>
      <c r="C357" s="2" t="s">
        <v>9680</v>
      </c>
      <c r="D357" s="5" t="s">
        <v>9679</v>
      </c>
      <c r="E357" s="2" t="s">
        <v>15441</v>
      </c>
      <c r="F357" s="2" t="s">
        <v>15446</v>
      </c>
      <c r="G357" s="2" t="s">
        <v>15443</v>
      </c>
      <c r="H357" s="2" t="s">
        <v>15444</v>
      </c>
    </row>
    <row r="358">
      <c r="A358" s="2">
        <v>356.0</v>
      </c>
      <c r="B358" s="5" t="s">
        <v>9681</v>
      </c>
      <c r="C358" s="2" t="s">
        <v>9682</v>
      </c>
      <c r="D358" s="5" t="s">
        <v>9681</v>
      </c>
      <c r="E358" s="2" t="s">
        <v>15441</v>
      </c>
      <c r="F358" s="2" t="s">
        <v>15442</v>
      </c>
      <c r="G358" s="2" t="s">
        <v>15443</v>
      </c>
      <c r="H358" s="2" t="s">
        <v>15444</v>
      </c>
    </row>
    <row r="359">
      <c r="A359" s="2">
        <v>357.0</v>
      </c>
      <c r="B359" s="5" t="s">
        <v>9683</v>
      </c>
      <c r="C359" s="2" t="s">
        <v>9684</v>
      </c>
      <c r="D359" s="5" t="s">
        <v>9683</v>
      </c>
      <c r="E359" s="2" t="s">
        <v>15441</v>
      </c>
      <c r="F359" s="2" t="s">
        <v>15442</v>
      </c>
      <c r="G359" s="2" t="s">
        <v>15443</v>
      </c>
      <c r="H359" s="2" t="s">
        <v>15444</v>
      </c>
    </row>
    <row r="360">
      <c r="A360" s="2">
        <v>358.0</v>
      </c>
      <c r="B360" s="5" t="s">
        <v>541</v>
      </c>
      <c r="C360" s="2" t="s">
        <v>542</v>
      </c>
      <c r="D360" s="5" t="s">
        <v>541</v>
      </c>
      <c r="E360" s="2" t="s">
        <v>15445</v>
      </c>
      <c r="F360" s="2" t="s">
        <v>15442</v>
      </c>
      <c r="G360" s="2" t="s">
        <v>15443</v>
      </c>
      <c r="H360" s="2" t="s">
        <v>15444</v>
      </c>
    </row>
    <row r="361">
      <c r="A361" s="2">
        <v>359.0</v>
      </c>
      <c r="B361" s="5" t="s">
        <v>544</v>
      </c>
      <c r="C361" s="2" t="s">
        <v>545</v>
      </c>
      <c r="D361" s="5" t="s">
        <v>544</v>
      </c>
      <c r="E361" s="2" t="s">
        <v>15445</v>
      </c>
      <c r="F361" s="2" t="s">
        <v>15442</v>
      </c>
      <c r="G361" s="2" t="s">
        <v>15443</v>
      </c>
      <c r="H361" s="2" t="s">
        <v>15457</v>
      </c>
    </row>
    <row r="362">
      <c r="A362" s="2">
        <v>360.0</v>
      </c>
      <c r="B362" s="5" t="s">
        <v>547</v>
      </c>
      <c r="C362" s="2" t="s">
        <v>548</v>
      </c>
      <c r="D362" s="5" t="s">
        <v>547</v>
      </c>
      <c r="E362" s="2" t="s">
        <v>15445</v>
      </c>
      <c r="F362" s="2" t="s">
        <v>15442</v>
      </c>
      <c r="G362" s="2" t="s">
        <v>15443</v>
      </c>
      <c r="H362" s="2" t="s">
        <v>15444</v>
      </c>
    </row>
    <row r="363">
      <c r="A363" s="2">
        <v>361.0</v>
      </c>
      <c r="B363" s="5" t="s">
        <v>550</v>
      </c>
      <c r="C363" s="2" t="s">
        <v>551</v>
      </c>
      <c r="D363" s="5" t="s">
        <v>550</v>
      </c>
      <c r="E363" s="2" t="s">
        <v>15445</v>
      </c>
      <c r="F363" s="2" t="s">
        <v>15442</v>
      </c>
      <c r="G363" s="2" t="s">
        <v>15456</v>
      </c>
      <c r="H363" s="2" t="s">
        <v>15461</v>
      </c>
    </row>
    <row r="364">
      <c r="A364" s="2">
        <v>362.0</v>
      </c>
      <c r="B364" s="5" t="s">
        <v>9685</v>
      </c>
      <c r="C364" s="2" t="s">
        <v>9686</v>
      </c>
      <c r="D364" s="5" t="s">
        <v>9685</v>
      </c>
      <c r="E364" s="2" t="s">
        <v>15441</v>
      </c>
      <c r="F364" s="2" t="s">
        <v>15446</v>
      </c>
      <c r="G364" s="2" t="s">
        <v>15456</v>
      </c>
      <c r="H364" s="2" t="s">
        <v>15444</v>
      </c>
    </row>
    <row r="365">
      <c r="A365" s="2">
        <v>363.0</v>
      </c>
      <c r="B365" s="5" t="s">
        <v>553</v>
      </c>
      <c r="C365" s="2" t="s">
        <v>554</v>
      </c>
      <c r="D365" s="5" t="s">
        <v>553</v>
      </c>
      <c r="E365" s="2" t="s">
        <v>15445</v>
      </c>
      <c r="F365" s="2" t="s">
        <v>15446</v>
      </c>
      <c r="G365" s="2" t="s">
        <v>15456</v>
      </c>
      <c r="H365" s="2" t="s">
        <v>15457</v>
      </c>
    </row>
    <row r="366">
      <c r="A366" s="2">
        <v>364.0</v>
      </c>
      <c r="B366" s="5" t="s">
        <v>556</v>
      </c>
      <c r="C366" s="2" t="s">
        <v>557</v>
      </c>
      <c r="D366" s="5" t="s">
        <v>556</v>
      </c>
      <c r="E366" s="2" t="s">
        <v>15445</v>
      </c>
      <c r="F366" s="2" t="s">
        <v>15442</v>
      </c>
      <c r="G366" s="2" t="s">
        <v>15443</v>
      </c>
      <c r="H366" s="2" t="s">
        <v>15444</v>
      </c>
    </row>
    <row r="367">
      <c r="A367" s="2">
        <v>365.0</v>
      </c>
      <c r="B367" s="5" t="s">
        <v>559</v>
      </c>
      <c r="C367" s="2" t="s">
        <v>560</v>
      </c>
      <c r="D367" s="5" t="s">
        <v>559</v>
      </c>
      <c r="E367" s="2" t="s">
        <v>15445</v>
      </c>
      <c r="F367" s="2" t="s">
        <v>15446</v>
      </c>
      <c r="G367" s="2" t="s">
        <v>15443</v>
      </c>
      <c r="H367" s="2" t="s">
        <v>15444</v>
      </c>
    </row>
    <row r="368">
      <c r="A368" s="2">
        <v>366.0</v>
      </c>
      <c r="B368" s="5" t="s">
        <v>9687</v>
      </c>
      <c r="C368" s="2" t="s">
        <v>9688</v>
      </c>
      <c r="D368" s="5" t="s">
        <v>9687</v>
      </c>
      <c r="E368" s="2" t="s">
        <v>15441</v>
      </c>
      <c r="F368" s="2" t="s">
        <v>15446</v>
      </c>
      <c r="G368" s="2" t="s">
        <v>15456</v>
      </c>
      <c r="H368" s="2" t="s">
        <v>15444</v>
      </c>
    </row>
    <row r="369">
      <c r="A369" s="2">
        <v>367.0</v>
      </c>
      <c r="B369" s="5" t="s">
        <v>9689</v>
      </c>
      <c r="C369" s="2" t="s">
        <v>9690</v>
      </c>
      <c r="D369" s="5" t="s">
        <v>9689</v>
      </c>
      <c r="E369" s="2" t="s">
        <v>15441</v>
      </c>
      <c r="F369" s="2" t="s">
        <v>15446</v>
      </c>
      <c r="G369" s="2" t="s">
        <v>15456</v>
      </c>
      <c r="H369" s="2" t="s">
        <v>15444</v>
      </c>
    </row>
    <row r="370">
      <c r="A370" s="2">
        <v>368.0</v>
      </c>
      <c r="B370" s="5" t="s">
        <v>562</v>
      </c>
      <c r="C370" s="2" t="s">
        <v>563</v>
      </c>
      <c r="D370" s="5" t="s">
        <v>562</v>
      </c>
      <c r="E370" s="2" t="s">
        <v>15445</v>
      </c>
      <c r="F370" s="2" t="s">
        <v>15442</v>
      </c>
      <c r="G370" s="2" t="s">
        <v>15443</v>
      </c>
      <c r="H370" s="2" t="s">
        <v>15444</v>
      </c>
    </row>
    <row r="371">
      <c r="A371" s="2">
        <v>369.0</v>
      </c>
      <c r="B371" s="5" t="s">
        <v>9691</v>
      </c>
      <c r="C371" s="2" t="s">
        <v>9692</v>
      </c>
      <c r="D371" s="5" t="s">
        <v>9691</v>
      </c>
      <c r="E371" s="2" t="s">
        <v>15441</v>
      </c>
      <c r="F371" s="2" t="s">
        <v>15446</v>
      </c>
      <c r="G371" s="2" t="s">
        <v>15443</v>
      </c>
      <c r="H371" s="2" t="s">
        <v>15444</v>
      </c>
    </row>
    <row r="372">
      <c r="A372" s="2">
        <v>370.0</v>
      </c>
      <c r="B372" s="5" t="s">
        <v>565</v>
      </c>
      <c r="C372" s="2" t="s">
        <v>566</v>
      </c>
      <c r="D372" s="5" t="s">
        <v>565</v>
      </c>
      <c r="E372" s="2" t="s">
        <v>15445</v>
      </c>
      <c r="F372" s="2" t="s">
        <v>15442</v>
      </c>
      <c r="G372" s="2" t="s">
        <v>15443</v>
      </c>
      <c r="H372" s="2" t="s">
        <v>15444</v>
      </c>
    </row>
    <row r="373">
      <c r="A373" s="2">
        <v>371.0</v>
      </c>
      <c r="B373" s="5" t="s">
        <v>568</v>
      </c>
      <c r="C373" s="2" t="s">
        <v>569</v>
      </c>
      <c r="D373" s="5" t="s">
        <v>568</v>
      </c>
      <c r="E373" s="2" t="s">
        <v>15445</v>
      </c>
      <c r="F373" s="2" t="s">
        <v>15442</v>
      </c>
      <c r="G373" s="2" t="s">
        <v>15443</v>
      </c>
      <c r="H373" s="2" t="s">
        <v>15444</v>
      </c>
    </row>
    <row r="374">
      <c r="A374" s="2">
        <v>372.0</v>
      </c>
      <c r="B374" s="5" t="s">
        <v>9693</v>
      </c>
      <c r="C374" s="2" t="s">
        <v>9694</v>
      </c>
      <c r="D374" s="5" t="s">
        <v>9693</v>
      </c>
      <c r="E374" s="2" t="s">
        <v>15441</v>
      </c>
      <c r="F374" s="2" t="s">
        <v>15442</v>
      </c>
      <c r="G374" s="2" t="s">
        <v>15443</v>
      </c>
      <c r="H374" s="2" t="s">
        <v>15444</v>
      </c>
    </row>
    <row r="375">
      <c r="A375" s="2">
        <v>373.0</v>
      </c>
      <c r="B375" s="5" t="s">
        <v>571</v>
      </c>
      <c r="C375" s="2" t="s">
        <v>572</v>
      </c>
      <c r="D375" s="5" t="s">
        <v>571</v>
      </c>
      <c r="E375" s="2" t="s">
        <v>15445</v>
      </c>
      <c r="F375" s="2" t="s">
        <v>15446</v>
      </c>
      <c r="G375" s="2" t="s">
        <v>15456</v>
      </c>
      <c r="H375" s="2" t="s">
        <v>15444</v>
      </c>
    </row>
    <row r="376">
      <c r="A376" s="2">
        <v>374.0</v>
      </c>
      <c r="B376" s="5" t="s">
        <v>574</v>
      </c>
      <c r="C376" s="2" t="s">
        <v>575</v>
      </c>
      <c r="D376" s="5" t="s">
        <v>574</v>
      </c>
      <c r="E376" s="2" t="s">
        <v>15445</v>
      </c>
      <c r="F376" s="2" t="s">
        <v>15446</v>
      </c>
      <c r="G376" s="2" t="s">
        <v>15443</v>
      </c>
      <c r="H376" s="2" t="s">
        <v>15444</v>
      </c>
    </row>
    <row r="377">
      <c r="A377" s="2">
        <v>375.0</v>
      </c>
      <c r="B377" s="5" t="s">
        <v>577</v>
      </c>
      <c r="C377" s="2" t="s">
        <v>578</v>
      </c>
      <c r="D377" s="5" t="s">
        <v>577</v>
      </c>
      <c r="E377" s="2" t="s">
        <v>15445</v>
      </c>
      <c r="F377" s="2" t="s">
        <v>15442</v>
      </c>
      <c r="G377" s="2" t="s">
        <v>15443</v>
      </c>
      <c r="H377" s="2" t="s">
        <v>15444</v>
      </c>
    </row>
    <row r="378">
      <c r="A378" s="2">
        <v>376.0</v>
      </c>
      <c r="B378" s="5" t="s">
        <v>9695</v>
      </c>
      <c r="C378" s="2" t="s">
        <v>9696</v>
      </c>
      <c r="D378" s="5" t="s">
        <v>9695</v>
      </c>
      <c r="E378" s="2" t="s">
        <v>15441</v>
      </c>
      <c r="F378" s="2" t="s">
        <v>15442</v>
      </c>
      <c r="G378" s="2" t="s">
        <v>15456</v>
      </c>
      <c r="H378" s="2" t="s">
        <v>15444</v>
      </c>
    </row>
    <row r="379">
      <c r="A379" s="2">
        <v>377.0</v>
      </c>
      <c r="B379" s="5" t="s">
        <v>9697</v>
      </c>
      <c r="C379" s="2" t="s">
        <v>9698</v>
      </c>
      <c r="D379" s="5" t="s">
        <v>9697</v>
      </c>
      <c r="E379" s="2" t="s">
        <v>15441</v>
      </c>
      <c r="F379" s="2" t="s">
        <v>15446</v>
      </c>
      <c r="G379" s="2" t="s">
        <v>15443</v>
      </c>
      <c r="H379" s="2" t="s">
        <v>15444</v>
      </c>
    </row>
    <row r="380">
      <c r="A380" s="2">
        <v>378.0</v>
      </c>
      <c r="B380" s="5" t="s">
        <v>9699</v>
      </c>
      <c r="C380" s="2" t="s">
        <v>9700</v>
      </c>
      <c r="D380" s="5" t="s">
        <v>9699</v>
      </c>
      <c r="E380" s="2" t="s">
        <v>15441</v>
      </c>
      <c r="F380" s="2" t="s">
        <v>15442</v>
      </c>
      <c r="G380" s="2" t="s">
        <v>15443</v>
      </c>
      <c r="H380" s="2" t="s">
        <v>15457</v>
      </c>
    </row>
    <row r="381">
      <c r="A381" s="2">
        <v>379.0</v>
      </c>
      <c r="B381" s="5" t="s">
        <v>9701</v>
      </c>
      <c r="C381" s="2" t="s">
        <v>9702</v>
      </c>
      <c r="D381" s="5" t="s">
        <v>9701</v>
      </c>
      <c r="E381" s="2" t="s">
        <v>15441</v>
      </c>
      <c r="F381" s="2" t="s">
        <v>15446</v>
      </c>
      <c r="G381" s="2" t="s">
        <v>15443</v>
      </c>
      <c r="H381" s="2" t="s">
        <v>15455</v>
      </c>
    </row>
    <row r="382">
      <c r="A382" s="2">
        <v>380.0</v>
      </c>
      <c r="B382" s="5" t="s">
        <v>9703</v>
      </c>
      <c r="C382" s="2" t="s">
        <v>9704</v>
      </c>
      <c r="D382" s="5" t="s">
        <v>9703</v>
      </c>
      <c r="E382" s="2" t="s">
        <v>15441</v>
      </c>
      <c r="F382" s="2" t="s">
        <v>15442</v>
      </c>
      <c r="G382" s="2" t="s">
        <v>15456</v>
      </c>
      <c r="H382" s="2" t="s">
        <v>15444</v>
      </c>
    </row>
    <row r="383">
      <c r="A383" s="2">
        <v>381.0</v>
      </c>
      <c r="B383" s="5" t="s">
        <v>580</v>
      </c>
      <c r="C383" s="2" t="s">
        <v>581</v>
      </c>
      <c r="D383" s="5" t="s">
        <v>580</v>
      </c>
      <c r="E383" s="2" t="s">
        <v>15445</v>
      </c>
      <c r="F383" s="2" t="s">
        <v>15446</v>
      </c>
      <c r="G383" s="2" t="s">
        <v>15456</v>
      </c>
      <c r="H383" s="2" t="s">
        <v>15444</v>
      </c>
    </row>
    <row r="384">
      <c r="A384" s="2">
        <v>382.0</v>
      </c>
      <c r="B384" s="5" t="s">
        <v>583</v>
      </c>
      <c r="C384" s="2" t="s">
        <v>584</v>
      </c>
      <c r="D384" s="5" t="s">
        <v>583</v>
      </c>
      <c r="E384" s="2" t="s">
        <v>15445</v>
      </c>
      <c r="F384" s="2" t="s">
        <v>15442</v>
      </c>
      <c r="G384" s="2" t="s">
        <v>15443</v>
      </c>
      <c r="H384" s="2" t="s">
        <v>15444</v>
      </c>
    </row>
    <row r="385">
      <c r="A385" s="2">
        <v>383.0</v>
      </c>
      <c r="B385" s="5" t="s">
        <v>586</v>
      </c>
      <c r="C385" s="2" t="s">
        <v>587</v>
      </c>
      <c r="D385" s="5" t="s">
        <v>586</v>
      </c>
      <c r="E385" s="2" t="s">
        <v>15445</v>
      </c>
      <c r="F385" s="2" t="s">
        <v>15442</v>
      </c>
      <c r="G385" s="2" t="s">
        <v>15456</v>
      </c>
      <c r="H385" s="2" t="s">
        <v>15444</v>
      </c>
    </row>
    <row r="386">
      <c r="A386" s="2">
        <v>384.0</v>
      </c>
      <c r="B386" s="5" t="s">
        <v>589</v>
      </c>
      <c r="C386" s="2" t="s">
        <v>590</v>
      </c>
      <c r="D386" s="5" t="s">
        <v>589</v>
      </c>
      <c r="E386" s="2" t="s">
        <v>15445</v>
      </c>
      <c r="F386" s="2" t="s">
        <v>15446</v>
      </c>
      <c r="G386" s="2" t="s">
        <v>15443</v>
      </c>
      <c r="H386" s="2" t="s">
        <v>15444</v>
      </c>
    </row>
    <row r="387">
      <c r="A387" s="2">
        <v>385.0</v>
      </c>
      <c r="B387" s="5" t="s">
        <v>592</v>
      </c>
      <c r="C387" s="2" t="s">
        <v>593</v>
      </c>
      <c r="D387" s="5" t="s">
        <v>592</v>
      </c>
      <c r="E387" s="2" t="s">
        <v>15445</v>
      </c>
      <c r="F387" s="2" t="s">
        <v>15446</v>
      </c>
      <c r="G387" s="2" t="s">
        <v>15443</v>
      </c>
      <c r="H387" s="2" t="s">
        <v>15455</v>
      </c>
    </row>
    <row r="388">
      <c r="A388" s="2">
        <v>386.0</v>
      </c>
      <c r="B388" s="5" t="s">
        <v>15464</v>
      </c>
      <c r="C388" s="2" t="s">
        <v>15465</v>
      </c>
      <c r="D388" s="5" t="s">
        <v>15464</v>
      </c>
      <c r="E388" s="2" t="s">
        <v>15441</v>
      </c>
      <c r="F388" s="2" t="s">
        <v>15446</v>
      </c>
      <c r="G388" s="2" t="s">
        <v>15456</v>
      </c>
      <c r="H388" s="2" t="s">
        <v>15457</v>
      </c>
    </row>
    <row r="389">
      <c r="A389" s="2">
        <v>387.0</v>
      </c>
      <c r="B389" s="5" t="s">
        <v>595</v>
      </c>
      <c r="C389" s="2" t="s">
        <v>596</v>
      </c>
      <c r="D389" s="5" t="s">
        <v>595</v>
      </c>
      <c r="E389" s="2" t="s">
        <v>15445</v>
      </c>
      <c r="F389" s="2" t="s">
        <v>15446</v>
      </c>
      <c r="G389" s="2" t="s">
        <v>15456</v>
      </c>
      <c r="H389" s="2" t="s">
        <v>15444</v>
      </c>
    </row>
    <row r="390">
      <c r="A390" s="2">
        <v>388.0</v>
      </c>
      <c r="B390" s="5" t="s">
        <v>598</v>
      </c>
      <c r="C390" s="2" t="s">
        <v>599</v>
      </c>
      <c r="D390" s="5" t="s">
        <v>598</v>
      </c>
      <c r="E390" s="2" t="s">
        <v>15445</v>
      </c>
      <c r="F390" s="2" t="s">
        <v>15442</v>
      </c>
      <c r="G390" s="2" t="s">
        <v>15456</v>
      </c>
      <c r="H390" s="2" t="s">
        <v>15444</v>
      </c>
    </row>
    <row r="391">
      <c r="A391" s="2">
        <v>389.0</v>
      </c>
      <c r="B391" s="5" t="s">
        <v>601</v>
      </c>
      <c r="C391" s="2" t="s">
        <v>602</v>
      </c>
      <c r="D391" s="5" t="s">
        <v>601</v>
      </c>
      <c r="E391" s="2" t="s">
        <v>15445</v>
      </c>
      <c r="F391" s="2" t="s">
        <v>15442</v>
      </c>
      <c r="G391" s="2" t="s">
        <v>15456</v>
      </c>
      <c r="H391" s="2" t="s">
        <v>15444</v>
      </c>
    </row>
    <row r="392">
      <c r="A392" s="2">
        <v>390.0</v>
      </c>
      <c r="B392" s="5" t="s">
        <v>9705</v>
      </c>
      <c r="C392" s="2" t="s">
        <v>9706</v>
      </c>
      <c r="D392" s="5" t="s">
        <v>9705</v>
      </c>
      <c r="E392" s="2" t="s">
        <v>15441</v>
      </c>
      <c r="F392" s="2" t="s">
        <v>15446</v>
      </c>
      <c r="G392" s="2" t="s">
        <v>15456</v>
      </c>
      <c r="H392" s="2" t="s">
        <v>15457</v>
      </c>
    </row>
    <row r="393">
      <c r="A393" s="2">
        <v>391.0</v>
      </c>
      <c r="B393" s="5" t="s">
        <v>9707</v>
      </c>
      <c r="C393" s="2" t="s">
        <v>9708</v>
      </c>
      <c r="D393" s="5" t="s">
        <v>9707</v>
      </c>
      <c r="E393" s="2" t="s">
        <v>15441</v>
      </c>
      <c r="F393" s="2" t="s">
        <v>15442</v>
      </c>
      <c r="G393" s="2" t="s">
        <v>15456</v>
      </c>
      <c r="H393" s="2" t="s">
        <v>15462</v>
      </c>
    </row>
    <row r="394">
      <c r="A394" s="2">
        <v>392.0</v>
      </c>
      <c r="B394" s="5" t="s">
        <v>604</v>
      </c>
      <c r="C394" s="2" t="s">
        <v>605</v>
      </c>
      <c r="D394" s="5" t="s">
        <v>604</v>
      </c>
      <c r="E394" s="2" t="s">
        <v>15445</v>
      </c>
      <c r="F394" s="2" t="s">
        <v>15442</v>
      </c>
      <c r="G394" s="2" t="s">
        <v>15443</v>
      </c>
      <c r="H394" s="2" t="s">
        <v>15444</v>
      </c>
    </row>
    <row r="395">
      <c r="A395" s="2">
        <v>393.0</v>
      </c>
      <c r="B395" s="5" t="s">
        <v>9709</v>
      </c>
      <c r="C395" s="2" t="s">
        <v>9710</v>
      </c>
      <c r="D395" s="5" t="s">
        <v>9709</v>
      </c>
      <c r="E395" s="2" t="s">
        <v>15441</v>
      </c>
      <c r="F395" s="2" t="s">
        <v>15442</v>
      </c>
      <c r="G395" s="2" t="s">
        <v>15443</v>
      </c>
      <c r="H395" s="2" t="s">
        <v>15444</v>
      </c>
    </row>
    <row r="396">
      <c r="A396" s="2">
        <v>394.0</v>
      </c>
      <c r="B396" s="5" t="s">
        <v>9711</v>
      </c>
      <c r="C396" s="2" t="s">
        <v>9712</v>
      </c>
      <c r="D396" s="5" t="s">
        <v>9711</v>
      </c>
      <c r="E396" s="2" t="s">
        <v>15441</v>
      </c>
      <c r="F396" s="2" t="s">
        <v>15446</v>
      </c>
      <c r="G396" s="2" t="s">
        <v>15456</v>
      </c>
      <c r="H396" s="2" t="s">
        <v>15444</v>
      </c>
    </row>
    <row r="397">
      <c r="A397" s="2">
        <v>395.0</v>
      </c>
      <c r="B397" s="5" t="s">
        <v>9713</v>
      </c>
      <c r="C397" s="2" t="s">
        <v>9714</v>
      </c>
      <c r="D397" s="5" t="s">
        <v>9713</v>
      </c>
      <c r="E397" s="2" t="s">
        <v>15441</v>
      </c>
      <c r="F397" s="2" t="s">
        <v>15442</v>
      </c>
      <c r="G397" s="2" t="s">
        <v>15456</v>
      </c>
      <c r="H397" s="2" t="s">
        <v>15444</v>
      </c>
    </row>
    <row r="398">
      <c r="A398" s="2">
        <v>396.0</v>
      </c>
      <c r="B398" s="5" t="s">
        <v>607</v>
      </c>
      <c r="C398" s="2" t="s">
        <v>608</v>
      </c>
      <c r="D398" s="5" t="s">
        <v>607</v>
      </c>
      <c r="E398" s="2" t="s">
        <v>15445</v>
      </c>
      <c r="F398" s="2" t="s">
        <v>15442</v>
      </c>
      <c r="G398" s="2" t="s">
        <v>15443</v>
      </c>
      <c r="H398" s="2" t="s">
        <v>15444</v>
      </c>
    </row>
    <row r="399">
      <c r="A399" s="2">
        <v>397.0</v>
      </c>
      <c r="B399" s="5" t="s">
        <v>610</v>
      </c>
      <c r="C399" s="2" t="s">
        <v>611</v>
      </c>
      <c r="D399" s="5" t="s">
        <v>610</v>
      </c>
      <c r="E399" s="2" t="s">
        <v>15445</v>
      </c>
      <c r="F399" s="2" t="s">
        <v>15442</v>
      </c>
      <c r="G399" s="2" t="s">
        <v>15443</v>
      </c>
      <c r="H399" s="2" t="s">
        <v>15444</v>
      </c>
    </row>
    <row r="400">
      <c r="A400" s="2">
        <v>398.0</v>
      </c>
      <c r="B400" s="5" t="s">
        <v>9715</v>
      </c>
      <c r="C400" s="2" t="s">
        <v>9716</v>
      </c>
      <c r="D400" s="5" t="s">
        <v>9715</v>
      </c>
      <c r="E400" s="2" t="s">
        <v>15441</v>
      </c>
      <c r="F400" s="2" t="s">
        <v>15442</v>
      </c>
      <c r="G400" s="2" t="s">
        <v>15443</v>
      </c>
      <c r="H400" s="2" t="s">
        <v>15444</v>
      </c>
    </row>
    <row r="401">
      <c r="A401" s="2">
        <v>399.0</v>
      </c>
      <c r="B401" s="5" t="s">
        <v>613</v>
      </c>
      <c r="C401" s="2" t="s">
        <v>614</v>
      </c>
      <c r="D401" s="5" t="s">
        <v>613</v>
      </c>
      <c r="E401" s="2" t="s">
        <v>15445</v>
      </c>
      <c r="F401" s="2" t="s">
        <v>15442</v>
      </c>
      <c r="G401" s="2" t="s">
        <v>15443</v>
      </c>
      <c r="H401" s="2" t="s">
        <v>15444</v>
      </c>
    </row>
    <row r="402">
      <c r="A402" s="2">
        <v>400.0</v>
      </c>
      <c r="B402" s="5" t="s">
        <v>616</v>
      </c>
      <c r="C402" s="2" t="s">
        <v>617</v>
      </c>
      <c r="D402" s="5" t="s">
        <v>616</v>
      </c>
      <c r="E402" s="2" t="s">
        <v>15445</v>
      </c>
      <c r="F402" s="2" t="s">
        <v>15446</v>
      </c>
      <c r="G402" s="2" t="s">
        <v>15456</v>
      </c>
      <c r="H402" s="2" t="s">
        <v>15444</v>
      </c>
    </row>
    <row r="403">
      <c r="A403" s="2">
        <v>401.0</v>
      </c>
      <c r="B403" s="5" t="s">
        <v>619</v>
      </c>
      <c r="C403" s="2" t="s">
        <v>620</v>
      </c>
      <c r="D403" s="5" t="s">
        <v>619</v>
      </c>
      <c r="E403" s="2" t="s">
        <v>15445</v>
      </c>
      <c r="F403" s="2" t="s">
        <v>15442</v>
      </c>
      <c r="G403" s="2" t="s">
        <v>15456</v>
      </c>
      <c r="H403" s="2" t="s">
        <v>15444</v>
      </c>
    </row>
    <row r="404">
      <c r="A404" s="2">
        <v>402.0</v>
      </c>
      <c r="B404" s="5" t="s">
        <v>622</v>
      </c>
      <c r="C404" s="2" t="s">
        <v>623</v>
      </c>
      <c r="D404" s="5" t="s">
        <v>622</v>
      </c>
      <c r="E404" s="2" t="s">
        <v>15445</v>
      </c>
      <c r="F404" s="2" t="s">
        <v>15442</v>
      </c>
      <c r="G404" s="2" t="s">
        <v>15443</v>
      </c>
      <c r="H404" s="2" t="s">
        <v>15444</v>
      </c>
    </row>
    <row r="405">
      <c r="A405" s="2">
        <v>403.0</v>
      </c>
      <c r="B405" s="5" t="s">
        <v>9717</v>
      </c>
      <c r="C405" s="2" t="s">
        <v>9718</v>
      </c>
      <c r="D405" s="5" t="s">
        <v>9717</v>
      </c>
      <c r="E405" s="2" t="s">
        <v>15441</v>
      </c>
      <c r="F405" s="2" t="s">
        <v>15442</v>
      </c>
      <c r="G405" s="2" t="s">
        <v>15443</v>
      </c>
      <c r="H405" s="2" t="s">
        <v>15444</v>
      </c>
    </row>
    <row r="406">
      <c r="A406" s="2">
        <v>404.0</v>
      </c>
      <c r="B406" s="5" t="s">
        <v>9719</v>
      </c>
      <c r="C406" s="2" t="s">
        <v>9720</v>
      </c>
      <c r="D406" s="5" t="s">
        <v>9719</v>
      </c>
      <c r="E406" s="2" t="s">
        <v>15441</v>
      </c>
      <c r="F406" s="2" t="s">
        <v>15442</v>
      </c>
      <c r="G406" s="2" t="s">
        <v>15443</v>
      </c>
      <c r="H406" s="2" t="s">
        <v>15444</v>
      </c>
    </row>
    <row r="407">
      <c r="A407" s="2">
        <v>405.0</v>
      </c>
      <c r="B407" s="5" t="s">
        <v>625</v>
      </c>
      <c r="C407" s="2" t="s">
        <v>626</v>
      </c>
      <c r="D407" s="5" t="s">
        <v>625</v>
      </c>
      <c r="E407" s="2" t="s">
        <v>15445</v>
      </c>
      <c r="F407" s="2" t="s">
        <v>15446</v>
      </c>
      <c r="G407" s="2" t="s">
        <v>15443</v>
      </c>
      <c r="H407" s="2" t="s">
        <v>15444</v>
      </c>
    </row>
    <row r="408">
      <c r="A408" s="2">
        <v>406.0</v>
      </c>
      <c r="B408" s="5" t="s">
        <v>628</v>
      </c>
      <c r="C408" s="2" t="s">
        <v>629</v>
      </c>
      <c r="D408" s="5" t="s">
        <v>628</v>
      </c>
      <c r="E408" s="2" t="s">
        <v>15445</v>
      </c>
      <c r="F408" s="2" t="s">
        <v>15442</v>
      </c>
      <c r="G408" s="2" t="s">
        <v>15456</v>
      </c>
      <c r="H408" s="2" t="s">
        <v>15444</v>
      </c>
    </row>
    <row r="409">
      <c r="A409" s="2">
        <v>407.0</v>
      </c>
      <c r="B409" s="5" t="s">
        <v>9721</v>
      </c>
      <c r="C409" s="2" t="s">
        <v>9722</v>
      </c>
      <c r="D409" s="5" t="s">
        <v>9721</v>
      </c>
      <c r="E409" s="2" t="s">
        <v>15441</v>
      </c>
      <c r="F409" s="2" t="s">
        <v>15446</v>
      </c>
      <c r="G409" s="2" t="s">
        <v>15456</v>
      </c>
      <c r="H409" s="2" t="s">
        <v>15444</v>
      </c>
    </row>
    <row r="410">
      <c r="A410" s="2">
        <v>408.0</v>
      </c>
      <c r="B410" s="5" t="s">
        <v>631</v>
      </c>
      <c r="C410" s="2" t="s">
        <v>632</v>
      </c>
      <c r="D410" s="5" t="s">
        <v>631</v>
      </c>
      <c r="E410" s="2" t="s">
        <v>15445</v>
      </c>
      <c r="F410" s="2" t="s">
        <v>15442</v>
      </c>
      <c r="G410" s="2" t="s">
        <v>15443</v>
      </c>
      <c r="H410" s="2" t="s">
        <v>15444</v>
      </c>
    </row>
    <row r="411">
      <c r="A411" s="2">
        <v>409.0</v>
      </c>
      <c r="B411" s="5" t="s">
        <v>9723</v>
      </c>
      <c r="C411" s="2" t="s">
        <v>9724</v>
      </c>
      <c r="D411" s="5" t="s">
        <v>9723</v>
      </c>
      <c r="E411" s="2" t="s">
        <v>15441</v>
      </c>
      <c r="F411" s="2" t="s">
        <v>15442</v>
      </c>
      <c r="G411" s="2" t="s">
        <v>15443</v>
      </c>
      <c r="H411" s="2" t="s">
        <v>15444</v>
      </c>
    </row>
    <row r="412">
      <c r="A412" s="2">
        <v>410.0</v>
      </c>
      <c r="B412" s="5" t="s">
        <v>634</v>
      </c>
      <c r="C412" s="2" t="s">
        <v>635</v>
      </c>
      <c r="D412" s="5" t="s">
        <v>634</v>
      </c>
      <c r="E412" s="2" t="s">
        <v>15445</v>
      </c>
      <c r="F412" s="2" t="s">
        <v>15442</v>
      </c>
      <c r="G412" s="2" t="s">
        <v>15443</v>
      </c>
      <c r="H412" s="2" t="s">
        <v>15444</v>
      </c>
    </row>
    <row r="413">
      <c r="A413" s="2">
        <v>411.0</v>
      </c>
      <c r="B413" s="5" t="s">
        <v>9725</v>
      </c>
      <c r="C413" s="2" t="s">
        <v>9726</v>
      </c>
      <c r="D413" s="5" t="s">
        <v>9725</v>
      </c>
      <c r="E413" s="2" t="s">
        <v>15441</v>
      </c>
      <c r="F413" s="2" t="s">
        <v>15442</v>
      </c>
      <c r="G413" s="2" t="s">
        <v>15443</v>
      </c>
      <c r="H413" s="2" t="s">
        <v>15444</v>
      </c>
    </row>
    <row r="414">
      <c r="A414" s="2">
        <v>412.0</v>
      </c>
      <c r="B414" s="5" t="s">
        <v>9727</v>
      </c>
      <c r="C414" s="2" t="s">
        <v>9728</v>
      </c>
      <c r="D414" s="5" t="s">
        <v>9727</v>
      </c>
      <c r="E414" s="2" t="s">
        <v>15441</v>
      </c>
      <c r="F414" s="2" t="s">
        <v>15442</v>
      </c>
      <c r="G414" s="2" t="s">
        <v>15443</v>
      </c>
      <c r="H414" s="2" t="s">
        <v>15444</v>
      </c>
    </row>
    <row r="415">
      <c r="A415" s="2">
        <v>413.0</v>
      </c>
      <c r="B415" s="5" t="s">
        <v>637</v>
      </c>
      <c r="C415" s="2" t="s">
        <v>638</v>
      </c>
      <c r="D415" s="5" t="s">
        <v>637</v>
      </c>
      <c r="E415" s="2" t="s">
        <v>15445</v>
      </c>
      <c r="F415" s="2" t="s">
        <v>15446</v>
      </c>
      <c r="G415" s="2" t="s">
        <v>15456</v>
      </c>
      <c r="H415" s="2" t="s">
        <v>15444</v>
      </c>
    </row>
    <row r="416">
      <c r="A416" s="2">
        <v>414.0</v>
      </c>
      <c r="B416" s="5" t="s">
        <v>640</v>
      </c>
      <c r="C416" s="2" t="s">
        <v>641</v>
      </c>
      <c r="D416" s="5" t="s">
        <v>640</v>
      </c>
      <c r="E416" s="2" t="s">
        <v>15445</v>
      </c>
      <c r="F416" s="2" t="s">
        <v>15446</v>
      </c>
      <c r="G416" s="2" t="s">
        <v>15443</v>
      </c>
      <c r="H416" s="2" t="s">
        <v>15444</v>
      </c>
    </row>
    <row r="417">
      <c r="A417" s="2">
        <v>415.0</v>
      </c>
      <c r="B417" s="5" t="s">
        <v>9729</v>
      </c>
      <c r="C417" s="2" t="s">
        <v>9730</v>
      </c>
      <c r="D417" s="5" t="s">
        <v>9729</v>
      </c>
      <c r="E417" s="2" t="s">
        <v>15441</v>
      </c>
      <c r="F417" s="2" t="s">
        <v>15446</v>
      </c>
      <c r="G417" s="2" t="s">
        <v>15456</v>
      </c>
      <c r="H417" s="2" t="s">
        <v>15444</v>
      </c>
    </row>
    <row r="418">
      <c r="A418" s="2">
        <v>416.0</v>
      </c>
      <c r="B418" s="5" t="s">
        <v>643</v>
      </c>
      <c r="C418" s="2" t="s">
        <v>644</v>
      </c>
      <c r="D418" s="5" t="s">
        <v>643</v>
      </c>
      <c r="E418" s="2" t="s">
        <v>15445</v>
      </c>
      <c r="F418" s="2" t="s">
        <v>15446</v>
      </c>
      <c r="G418" s="2" t="s">
        <v>15443</v>
      </c>
      <c r="H418" s="2" t="s">
        <v>15444</v>
      </c>
    </row>
    <row r="419">
      <c r="A419" s="2">
        <v>417.0</v>
      </c>
      <c r="B419" s="5" t="s">
        <v>646</v>
      </c>
      <c r="C419" s="2" t="s">
        <v>647</v>
      </c>
      <c r="D419" s="5" t="s">
        <v>646</v>
      </c>
      <c r="E419" s="2" t="s">
        <v>15445</v>
      </c>
      <c r="F419" s="2" t="s">
        <v>15442</v>
      </c>
      <c r="G419" s="2" t="s">
        <v>15443</v>
      </c>
      <c r="H419" s="2" t="s">
        <v>15444</v>
      </c>
    </row>
    <row r="420">
      <c r="A420" s="2">
        <v>418.0</v>
      </c>
      <c r="B420" s="5" t="s">
        <v>9731</v>
      </c>
      <c r="C420" s="2" t="s">
        <v>9732</v>
      </c>
      <c r="D420" s="5" t="s">
        <v>9731</v>
      </c>
      <c r="E420" s="2" t="s">
        <v>15441</v>
      </c>
      <c r="F420" s="2" t="s">
        <v>15446</v>
      </c>
      <c r="G420" s="2" t="s">
        <v>15443</v>
      </c>
      <c r="H420" s="2" t="s">
        <v>15444</v>
      </c>
    </row>
    <row r="421">
      <c r="A421" s="2">
        <v>419.0</v>
      </c>
      <c r="B421" s="5" t="s">
        <v>649</v>
      </c>
      <c r="C421" s="2" t="s">
        <v>650</v>
      </c>
      <c r="D421" s="5" t="s">
        <v>649</v>
      </c>
      <c r="E421" s="2" t="s">
        <v>15445</v>
      </c>
      <c r="F421" s="2" t="s">
        <v>15442</v>
      </c>
      <c r="G421" s="2" t="s">
        <v>15456</v>
      </c>
      <c r="H421" s="2" t="s">
        <v>15444</v>
      </c>
    </row>
    <row r="422">
      <c r="A422" s="2">
        <v>420.0</v>
      </c>
      <c r="B422" s="5" t="s">
        <v>9733</v>
      </c>
      <c r="C422" s="2" t="s">
        <v>9734</v>
      </c>
      <c r="D422" s="5" t="s">
        <v>9733</v>
      </c>
      <c r="E422" s="2" t="s">
        <v>15441</v>
      </c>
      <c r="F422" s="2" t="s">
        <v>15442</v>
      </c>
      <c r="G422" s="2" t="s">
        <v>15456</v>
      </c>
      <c r="H422" s="2" t="s">
        <v>15444</v>
      </c>
    </row>
    <row r="423">
      <c r="A423" s="2">
        <v>421.0</v>
      </c>
      <c r="B423" s="5" t="s">
        <v>652</v>
      </c>
      <c r="C423" s="2" t="s">
        <v>653</v>
      </c>
      <c r="D423" s="5" t="s">
        <v>652</v>
      </c>
      <c r="E423" s="2" t="s">
        <v>15445</v>
      </c>
      <c r="F423" s="2" t="s">
        <v>15446</v>
      </c>
      <c r="G423" s="2" t="s">
        <v>15456</v>
      </c>
      <c r="H423" s="2" t="s">
        <v>15444</v>
      </c>
    </row>
    <row r="424">
      <c r="A424" s="2">
        <v>422.0</v>
      </c>
      <c r="B424" s="5" t="s">
        <v>9735</v>
      </c>
      <c r="C424" s="2" t="s">
        <v>9736</v>
      </c>
      <c r="D424" s="5" t="s">
        <v>9735</v>
      </c>
      <c r="E424" s="2" t="s">
        <v>15441</v>
      </c>
      <c r="F424" s="2" t="s">
        <v>15446</v>
      </c>
      <c r="G424" s="2" t="s">
        <v>15456</v>
      </c>
      <c r="H424" s="2" t="s">
        <v>15444</v>
      </c>
    </row>
    <row r="425">
      <c r="A425" s="2">
        <v>423.0</v>
      </c>
      <c r="B425" s="5" t="s">
        <v>655</v>
      </c>
      <c r="C425" s="2" t="s">
        <v>656</v>
      </c>
      <c r="D425" s="5" t="s">
        <v>655</v>
      </c>
      <c r="E425" s="2" t="s">
        <v>15445</v>
      </c>
      <c r="F425" s="2" t="s">
        <v>15442</v>
      </c>
      <c r="G425" s="2" t="s">
        <v>15456</v>
      </c>
      <c r="H425" s="2" t="s">
        <v>15455</v>
      </c>
    </row>
    <row r="426">
      <c r="A426" s="2">
        <v>424.0</v>
      </c>
      <c r="B426" s="5" t="s">
        <v>658</v>
      </c>
      <c r="C426" s="2" t="s">
        <v>659</v>
      </c>
      <c r="D426" s="5" t="s">
        <v>658</v>
      </c>
      <c r="E426" s="2" t="s">
        <v>15445</v>
      </c>
      <c r="F426" s="2" t="s">
        <v>15446</v>
      </c>
      <c r="G426" s="2" t="s">
        <v>15443</v>
      </c>
      <c r="H426" s="2" t="s">
        <v>15444</v>
      </c>
    </row>
    <row r="427">
      <c r="A427" s="2">
        <v>425.0</v>
      </c>
      <c r="B427" s="5" t="s">
        <v>9737</v>
      </c>
      <c r="C427" s="2" t="s">
        <v>9738</v>
      </c>
      <c r="D427" s="5" t="s">
        <v>9737</v>
      </c>
      <c r="E427" s="2" t="s">
        <v>15441</v>
      </c>
      <c r="F427" s="2" t="s">
        <v>15442</v>
      </c>
      <c r="G427" s="2" t="s">
        <v>15443</v>
      </c>
      <c r="H427" s="2" t="s">
        <v>15444</v>
      </c>
    </row>
    <row r="428">
      <c r="A428" s="2">
        <v>426.0</v>
      </c>
      <c r="B428" s="5" t="s">
        <v>9739</v>
      </c>
      <c r="C428" s="2" t="s">
        <v>9740</v>
      </c>
      <c r="D428" s="5" t="s">
        <v>9739</v>
      </c>
      <c r="E428" s="2" t="s">
        <v>15441</v>
      </c>
      <c r="F428" s="2" t="s">
        <v>15446</v>
      </c>
      <c r="G428" s="2" t="s">
        <v>15443</v>
      </c>
      <c r="H428" s="2" t="s">
        <v>15444</v>
      </c>
    </row>
    <row r="429">
      <c r="A429" s="2">
        <v>427.0</v>
      </c>
      <c r="B429" s="5" t="s">
        <v>9741</v>
      </c>
      <c r="C429" s="2" t="s">
        <v>9742</v>
      </c>
      <c r="D429" s="5" t="s">
        <v>9741</v>
      </c>
      <c r="E429" s="2" t="s">
        <v>15441</v>
      </c>
      <c r="F429" s="2" t="s">
        <v>15446</v>
      </c>
      <c r="G429" s="2" t="s">
        <v>15443</v>
      </c>
      <c r="H429" s="2" t="s">
        <v>15444</v>
      </c>
    </row>
    <row r="430">
      <c r="A430" s="2">
        <v>428.0</v>
      </c>
      <c r="B430" s="5" t="s">
        <v>661</v>
      </c>
      <c r="C430" s="2" t="s">
        <v>662</v>
      </c>
      <c r="D430" s="5" t="s">
        <v>661</v>
      </c>
      <c r="E430" s="2" t="s">
        <v>15445</v>
      </c>
      <c r="F430" s="2" t="s">
        <v>15446</v>
      </c>
      <c r="G430" s="2" t="s">
        <v>15456</v>
      </c>
      <c r="H430" s="2" t="s">
        <v>15444</v>
      </c>
    </row>
    <row r="431">
      <c r="A431" s="2">
        <v>429.0</v>
      </c>
      <c r="B431" s="5" t="s">
        <v>664</v>
      </c>
      <c r="C431" s="2" t="s">
        <v>665</v>
      </c>
      <c r="D431" s="5" t="s">
        <v>664</v>
      </c>
      <c r="E431" s="2" t="s">
        <v>15445</v>
      </c>
      <c r="F431" s="2" t="s">
        <v>15442</v>
      </c>
      <c r="G431" s="2" t="s">
        <v>15443</v>
      </c>
      <c r="H431" s="2" t="s">
        <v>15444</v>
      </c>
    </row>
    <row r="432">
      <c r="A432" s="2">
        <v>430.0</v>
      </c>
      <c r="B432" s="5" t="s">
        <v>667</v>
      </c>
      <c r="C432" s="2" t="s">
        <v>668</v>
      </c>
      <c r="D432" s="5" t="s">
        <v>667</v>
      </c>
      <c r="E432" s="2" t="s">
        <v>15445</v>
      </c>
      <c r="F432" s="2" t="s">
        <v>15442</v>
      </c>
      <c r="G432" s="2" t="s">
        <v>15456</v>
      </c>
      <c r="H432" s="2" t="s">
        <v>15444</v>
      </c>
    </row>
    <row r="433">
      <c r="A433" s="2">
        <v>431.0</v>
      </c>
      <c r="B433" s="5" t="s">
        <v>9743</v>
      </c>
      <c r="C433" s="2" t="s">
        <v>9744</v>
      </c>
      <c r="D433" s="5" t="s">
        <v>9743</v>
      </c>
      <c r="E433" s="2" t="s">
        <v>15441</v>
      </c>
      <c r="F433" s="2" t="s">
        <v>15446</v>
      </c>
      <c r="G433" s="2" t="s">
        <v>15456</v>
      </c>
      <c r="H433" s="2" t="s">
        <v>15444</v>
      </c>
    </row>
    <row r="434">
      <c r="A434" s="2">
        <v>432.0</v>
      </c>
      <c r="B434" s="5" t="s">
        <v>670</v>
      </c>
      <c r="C434" s="2" t="s">
        <v>671</v>
      </c>
      <c r="D434" s="5" t="s">
        <v>670</v>
      </c>
      <c r="E434" s="2" t="s">
        <v>15445</v>
      </c>
      <c r="F434" s="2" t="s">
        <v>15442</v>
      </c>
      <c r="G434" s="2" t="s">
        <v>15443</v>
      </c>
      <c r="H434" s="2" t="s">
        <v>15444</v>
      </c>
    </row>
    <row r="435">
      <c r="A435" s="2">
        <v>433.0</v>
      </c>
      <c r="B435" s="5" t="s">
        <v>9745</v>
      </c>
      <c r="C435" s="2" t="s">
        <v>9746</v>
      </c>
      <c r="D435" s="5" t="s">
        <v>9745</v>
      </c>
      <c r="E435" s="2" t="s">
        <v>15441</v>
      </c>
      <c r="F435" s="2" t="s">
        <v>15446</v>
      </c>
      <c r="G435" s="2" t="s">
        <v>15443</v>
      </c>
      <c r="H435" s="2" t="s">
        <v>15457</v>
      </c>
    </row>
    <row r="436">
      <c r="A436" s="2">
        <v>434.0</v>
      </c>
      <c r="B436" s="5" t="s">
        <v>9747</v>
      </c>
      <c r="C436" s="2" t="s">
        <v>9748</v>
      </c>
      <c r="D436" s="5" t="s">
        <v>9747</v>
      </c>
      <c r="E436" s="2" t="s">
        <v>15441</v>
      </c>
      <c r="F436" s="2" t="s">
        <v>15446</v>
      </c>
      <c r="G436" s="2" t="s">
        <v>15456</v>
      </c>
      <c r="H436" s="2" t="s">
        <v>15444</v>
      </c>
    </row>
    <row r="437">
      <c r="A437" s="2">
        <v>435.0</v>
      </c>
      <c r="B437" s="5" t="s">
        <v>9749</v>
      </c>
      <c r="C437" s="2" t="s">
        <v>9750</v>
      </c>
      <c r="D437" s="5" t="s">
        <v>9749</v>
      </c>
      <c r="E437" s="2" t="s">
        <v>15441</v>
      </c>
      <c r="F437" s="2" t="s">
        <v>15446</v>
      </c>
      <c r="G437" s="2" t="s">
        <v>15456</v>
      </c>
      <c r="H437" s="2" t="s">
        <v>15444</v>
      </c>
    </row>
    <row r="438">
      <c r="A438" s="2">
        <v>436.0</v>
      </c>
      <c r="B438" s="5" t="s">
        <v>673</v>
      </c>
      <c r="C438" s="2" t="s">
        <v>674</v>
      </c>
      <c r="D438" s="5" t="s">
        <v>673</v>
      </c>
      <c r="E438" s="2" t="s">
        <v>15445</v>
      </c>
      <c r="F438" s="2" t="s">
        <v>15446</v>
      </c>
      <c r="G438" s="2" t="s">
        <v>15456</v>
      </c>
      <c r="H438" s="2" t="s">
        <v>15444</v>
      </c>
    </row>
    <row r="439">
      <c r="A439" s="2">
        <v>437.0</v>
      </c>
      <c r="B439" s="5" t="s">
        <v>9751</v>
      </c>
      <c r="C439" s="2" t="s">
        <v>9752</v>
      </c>
      <c r="D439" s="5" t="s">
        <v>9751</v>
      </c>
      <c r="E439" s="2" t="s">
        <v>15441</v>
      </c>
      <c r="F439" s="2" t="s">
        <v>15446</v>
      </c>
      <c r="G439" s="2" t="s">
        <v>15443</v>
      </c>
      <c r="H439" s="2" t="s">
        <v>15444</v>
      </c>
    </row>
    <row r="440">
      <c r="A440" s="2">
        <v>438.0</v>
      </c>
      <c r="B440" s="5" t="s">
        <v>9753</v>
      </c>
      <c r="C440" s="2" t="s">
        <v>9754</v>
      </c>
      <c r="D440" s="5" t="s">
        <v>9753</v>
      </c>
      <c r="E440" s="2" t="s">
        <v>15441</v>
      </c>
      <c r="F440" s="2" t="s">
        <v>15442</v>
      </c>
      <c r="G440" s="2" t="s">
        <v>15443</v>
      </c>
      <c r="H440" s="2" t="s">
        <v>15444</v>
      </c>
    </row>
    <row r="441">
      <c r="A441" s="2">
        <v>439.0</v>
      </c>
      <c r="B441" s="5" t="s">
        <v>676</v>
      </c>
      <c r="C441" s="2" t="s">
        <v>677</v>
      </c>
      <c r="D441" s="5" t="s">
        <v>676</v>
      </c>
      <c r="E441" s="2" t="s">
        <v>15445</v>
      </c>
      <c r="F441" s="2" t="s">
        <v>15442</v>
      </c>
      <c r="G441" s="2" t="s">
        <v>15456</v>
      </c>
      <c r="H441" s="2" t="s">
        <v>15444</v>
      </c>
    </row>
    <row r="442">
      <c r="A442" s="2">
        <v>440.0</v>
      </c>
      <c r="B442" s="5" t="s">
        <v>679</v>
      </c>
      <c r="C442" s="2" t="s">
        <v>680</v>
      </c>
      <c r="D442" s="5" t="s">
        <v>679</v>
      </c>
      <c r="E442" s="2" t="s">
        <v>15445</v>
      </c>
      <c r="F442" s="2" t="s">
        <v>15442</v>
      </c>
      <c r="G442" s="2" t="s">
        <v>15443</v>
      </c>
      <c r="H442" s="2" t="s">
        <v>15444</v>
      </c>
    </row>
    <row r="443">
      <c r="A443" s="2">
        <v>441.0</v>
      </c>
      <c r="B443" s="5" t="s">
        <v>9755</v>
      </c>
      <c r="C443" s="2" t="s">
        <v>9756</v>
      </c>
      <c r="D443" s="5" t="s">
        <v>9755</v>
      </c>
      <c r="E443" s="2" t="s">
        <v>15441</v>
      </c>
      <c r="F443" s="2" t="s">
        <v>15442</v>
      </c>
      <c r="G443" s="2" t="s">
        <v>15443</v>
      </c>
      <c r="H443" s="2" t="s">
        <v>15455</v>
      </c>
    </row>
    <row r="444">
      <c r="A444" s="2">
        <v>442.0</v>
      </c>
      <c r="B444" s="5" t="s">
        <v>9757</v>
      </c>
      <c r="C444" s="2" t="s">
        <v>9758</v>
      </c>
      <c r="D444" s="5" t="s">
        <v>9757</v>
      </c>
      <c r="E444" s="2" t="s">
        <v>15441</v>
      </c>
      <c r="F444" s="2" t="s">
        <v>15446</v>
      </c>
      <c r="G444" s="2" t="s">
        <v>15456</v>
      </c>
      <c r="H444" s="2" t="s">
        <v>15444</v>
      </c>
    </row>
    <row r="445">
      <c r="A445" s="2">
        <v>443.0</v>
      </c>
      <c r="B445" s="5" t="s">
        <v>682</v>
      </c>
      <c r="C445" s="2" t="s">
        <v>683</v>
      </c>
      <c r="D445" s="5" t="s">
        <v>682</v>
      </c>
      <c r="E445" s="2" t="s">
        <v>15445</v>
      </c>
      <c r="F445" s="2" t="s">
        <v>15446</v>
      </c>
      <c r="G445" s="2" t="s">
        <v>15456</v>
      </c>
      <c r="H445" s="2" t="s">
        <v>15444</v>
      </c>
    </row>
    <row r="446">
      <c r="A446" s="2">
        <v>444.0</v>
      </c>
      <c r="B446" s="5" t="s">
        <v>685</v>
      </c>
      <c r="C446" s="2" t="s">
        <v>686</v>
      </c>
      <c r="D446" s="5" t="s">
        <v>685</v>
      </c>
      <c r="E446" s="2" t="s">
        <v>15445</v>
      </c>
      <c r="F446" s="2" t="s">
        <v>15446</v>
      </c>
      <c r="G446" s="2" t="s">
        <v>15456</v>
      </c>
      <c r="H446" s="2" t="s">
        <v>15444</v>
      </c>
    </row>
    <row r="447">
      <c r="A447" s="2">
        <v>445.0</v>
      </c>
      <c r="B447" s="5" t="s">
        <v>688</v>
      </c>
      <c r="C447" s="2" t="s">
        <v>689</v>
      </c>
      <c r="D447" s="5" t="s">
        <v>688</v>
      </c>
      <c r="E447" s="2" t="s">
        <v>15445</v>
      </c>
      <c r="F447" s="2" t="s">
        <v>15446</v>
      </c>
      <c r="G447" s="2" t="s">
        <v>15456</v>
      </c>
      <c r="H447" s="2" t="s">
        <v>15444</v>
      </c>
    </row>
    <row r="448">
      <c r="A448" s="2">
        <v>446.0</v>
      </c>
      <c r="B448" s="5" t="s">
        <v>9759</v>
      </c>
      <c r="C448" s="2" t="s">
        <v>9760</v>
      </c>
      <c r="D448" s="5" t="s">
        <v>9759</v>
      </c>
      <c r="E448" s="2" t="s">
        <v>15441</v>
      </c>
      <c r="F448" s="2" t="s">
        <v>15446</v>
      </c>
      <c r="G448" s="2" t="s">
        <v>15443</v>
      </c>
      <c r="H448" s="2" t="s">
        <v>15444</v>
      </c>
    </row>
    <row r="449">
      <c r="A449" s="2">
        <v>447.0</v>
      </c>
      <c r="B449" s="5" t="s">
        <v>691</v>
      </c>
      <c r="C449" s="2" t="s">
        <v>692</v>
      </c>
      <c r="D449" s="5" t="s">
        <v>691</v>
      </c>
      <c r="E449" s="2" t="s">
        <v>15445</v>
      </c>
      <c r="F449" s="2" t="s">
        <v>15446</v>
      </c>
      <c r="G449" s="2" t="s">
        <v>15456</v>
      </c>
      <c r="H449" s="2" t="s">
        <v>15444</v>
      </c>
    </row>
    <row r="450">
      <c r="A450" s="2">
        <v>448.0</v>
      </c>
      <c r="B450" s="5" t="s">
        <v>694</v>
      </c>
      <c r="C450" s="2" t="s">
        <v>695</v>
      </c>
      <c r="D450" s="5" t="s">
        <v>694</v>
      </c>
      <c r="E450" s="2" t="s">
        <v>15445</v>
      </c>
      <c r="F450" s="2" t="s">
        <v>15442</v>
      </c>
      <c r="G450" s="2" t="s">
        <v>15456</v>
      </c>
      <c r="H450" s="2" t="s">
        <v>15444</v>
      </c>
    </row>
    <row r="451">
      <c r="A451" s="2">
        <v>449.0</v>
      </c>
      <c r="B451" s="5" t="s">
        <v>697</v>
      </c>
      <c r="C451" s="2" t="s">
        <v>698</v>
      </c>
      <c r="D451" s="5" t="s">
        <v>697</v>
      </c>
      <c r="E451" s="2" t="s">
        <v>15445</v>
      </c>
      <c r="F451" s="2" t="s">
        <v>15442</v>
      </c>
      <c r="G451" s="2" t="s">
        <v>15443</v>
      </c>
      <c r="H451" s="2" t="s">
        <v>15444</v>
      </c>
    </row>
    <row r="452">
      <c r="A452" s="2">
        <v>450.0</v>
      </c>
      <c r="B452" s="5" t="s">
        <v>700</v>
      </c>
      <c r="C452" s="2" t="s">
        <v>701</v>
      </c>
      <c r="D452" s="5" t="s">
        <v>700</v>
      </c>
      <c r="E452" s="2" t="s">
        <v>15445</v>
      </c>
      <c r="F452" s="2" t="s">
        <v>15442</v>
      </c>
      <c r="G452" s="2" t="s">
        <v>15443</v>
      </c>
      <c r="H452" s="2" t="s">
        <v>15444</v>
      </c>
    </row>
    <row r="453">
      <c r="A453" s="2">
        <v>451.0</v>
      </c>
      <c r="B453" s="5" t="s">
        <v>703</v>
      </c>
      <c r="C453" s="2" t="s">
        <v>704</v>
      </c>
      <c r="D453" s="5" t="s">
        <v>703</v>
      </c>
      <c r="E453" s="2" t="s">
        <v>15445</v>
      </c>
      <c r="F453" s="2" t="s">
        <v>15446</v>
      </c>
      <c r="G453" s="2" t="s">
        <v>15443</v>
      </c>
      <c r="H453" s="2" t="s">
        <v>15444</v>
      </c>
    </row>
    <row r="454">
      <c r="A454" s="2">
        <v>452.0</v>
      </c>
      <c r="B454" s="5" t="s">
        <v>9761</v>
      </c>
      <c r="C454" s="2" t="s">
        <v>9762</v>
      </c>
      <c r="D454" s="5" t="s">
        <v>9761</v>
      </c>
      <c r="E454" s="2" t="s">
        <v>15441</v>
      </c>
      <c r="F454" s="2" t="s">
        <v>15442</v>
      </c>
      <c r="G454" s="2" t="s">
        <v>15456</v>
      </c>
      <c r="H454" s="2" t="s">
        <v>15455</v>
      </c>
    </row>
    <row r="455">
      <c r="A455" s="2">
        <v>453.0</v>
      </c>
      <c r="B455" s="5" t="s">
        <v>9763</v>
      </c>
      <c r="C455" s="2" t="s">
        <v>9764</v>
      </c>
      <c r="D455" s="5" t="s">
        <v>9763</v>
      </c>
      <c r="E455" s="2" t="s">
        <v>15441</v>
      </c>
      <c r="F455" s="2" t="s">
        <v>15442</v>
      </c>
      <c r="G455" s="2" t="s">
        <v>15443</v>
      </c>
      <c r="H455" s="2" t="s">
        <v>15444</v>
      </c>
    </row>
    <row r="456">
      <c r="A456" s="2">
        <v>454.0</v>
      </c>
      <c r="B456" s="5" t="s">
        <v>9765</v>
      </c>
      <c r="C456" s="2" t="s">
        <v>9766</v>
      </c>
      <c r="D456" s="5" t="s">
        <v>9765</v>
      </c>
      <c r="E456" s="2" t="s">
        <v>15441</v>
      </c>
      <c r="F456" s="2" t="s">
        <v>15446</v>
      </c>
      <c r="G456" s="2" t="s">
        <v>15456</v>
      </c>
      <c r="H456" s="2" t="s">
        <v>15444</v>
      </c>
    </row>
    <row r="457">
      <c r="A457" s="2">
        <v>455.0</v>
      </c>
      <c r="B457" s="5" t="s">
        <v>706</v>
      </c>
      <c r="C457" s="2" t="s">
        <v>707</v>
      </c>
      <c r="D457" s="5" t="s">
        <v>706</v>
      </c>
      <c r="E457" s="2" t="s">
        <v>15445</v>
      </c>
      <c r="F457" s="2" t="s">
        <v>15442</v>
      </c>
      <c r="G457" s="2" t="s">
        <v>15456</v>
      </c>
      <c r="H457" s="2" t="s">
        <v>15444</v>
      </c>
    </row>
    <row r="458">
      <c r="A458" s="2">
        <v>456.0</v>
      </c>
      <c r="B458" s="5" t="s">
        <v>709</v>
      </c>
      <c r="C458" s="2" t="s">
        <v>710</v>
      </c>
      <c r="D458" s="5" t="s">
        <v>709</v>
      </c>
      <c r="E458" s="2" t="s">
        <v>15445</v>
      </c>
      <c r="F458" s="2" t="s">
        <v>15442</v>
      </c>
      <c r="G458" s="2" t="s">
        <v>15443</v>
      </c>
      <c r="H458" s="2" t="s">
        <v>15444</v>
      </c>
    </row>
    <row r="459">
      <c r="A459" s="2">
        <v>457.0</v>
      </c>
      <c r="B459" s="5" t="s">
        <v>712</v>
      </c>
      <c r="C459" s="2" t="s">
        <v>713</v>
      </c>
      <c r="D459" s="5" t="s">
        <v>712</v>
      </c>
      <c r="E459" s="2" t="s">
        <v>15445</v>
      </c>
      <c r="F459" s="2" t="s">
        <v>15442</v>
      </c>
      <c r="G459" s="2" t="s">
        <v>15456</v>
      </c>
      <c r="H459" s="2" t="s">
        <v>15444</v>
      </c>
    </row>
    <row r="460">
      <c r="A460" s="2">
        <v>458.0</v>
      </c>
      <c r="B460" s="5" t="s">
        <v>9767</v>
      </c>
      <c r="C460" s="2" t="s">
        <v>9768</v>
      </c>
      <c r="D460" s="5" t="s">
        <v>9767</v>
      </c>
      <c r="E460" s="2" t="s">
        <v>15441</v>
      </c>
      <c r="F460" s="2" t="s">
        <v>15442</v>
      </c>
      <c r="G460" s="2" t="s">
        <v>15443</v>
      </c>
      <c r="H460" s="2" t="s">
        <v>15444</v>
      </c>
    </row>
    <row r="461">
      <c r="A461" s="2">
        <v>459.0</v>
      </c>
      <c r="B461" s="5" t="s">
        <v>9769</v>
      </c>
      <c r="C461" s="2" t="s">
        <v>9770</v>
      </c>
      <c r="D461" s="5" t="s">
        <v>9769</v>
      </c>
      <c r="E461" s="2" t="s">
        <v>15441</v>
      </c>
      <c r="F461" s="2" t="s">
        <v>15446</v>
      </c>
      <c r="G461" s="2" t="s">
        <v>15443</v>
      </c>
      <c r="H461" s="2" t="s">
        <v>15455</v>
      </c>
    </row>
    <row r="462">
      <c r="A462" s="2">
        <v>460.0</v>
      </c>
      <c r="B462" s="5" t="s">
        <v>715</v>
      </c>
      <c r="C462" s="2" t="s">
        <v>716</v>
      </c>
      <c r="D462" s="5" t="s">
        <v>715</v>
      </c>
      <c r="E462" s="2" t="s">
        <v>15445</v>
      </c>
      <c r="F462" s="2" t="s">
        <v>15442</v>
      </c>
      <c r="G462" s="2" t="s">
        <v>15456</v>
      </c>
      <c r="H462" s="2" t="s">
        <v>15444</v>
      </c>
    </row>
    <row r="463">
      <c r="A463" s="2">
        <v>461.0</v>
      </c>
      <c r="B463" s="5" t="s">
        <v>718</v>
      </c>
      <c r="C463" s="2" t="s">
        <v>719</v>
      </c>
      <c r="D463" s="5" t="s">
        <v>718</v>
      </c>
      <c r="E463" s="2" t="s">
        <v>15445</v>
      </c>
      <c r="F463" s="2" t="s">
        <v>15446</v>
      </c>
      <c r="G463" s="2" t="s">
        <v>15443</v>
      </c>
      <c r="H463" s="2" t="s">
        <v>15444</v>
      </c>
    </row>
    <row r="464">
      <c r="A464" s="2">
        <v>462.0</v>
      </c>
      <c r="B464" s="5" t="s">
        <v>9771</v>
      </c>
      <c r="C464" s="2" t="s">
        <v>9772</v>
      </c>
      <c r="D464" s="5" t="s">
        <v>9771</v>
      </c>
      <c r="E464" s="2" t="s">
        <v>15441</v>
      </c>
      <c r="F464" s="2" t="s">
        <v>15442</v>
      </c>
      <c r="G464" s="2" t="s">
        <v>15456</v>
      </c>
      <c r="H464" s="2" t="s">
        <v>15444</v>
      </c>
    </row>
    <row r="465">
      <c r="A465" s="2">
        <v>463.0</v>
      </c>
      <c r="B465" s="5" t="s">
        <v>9773</v>
      </c>
      <c r="C465" s="2" t="s">
        <v>9774</v>
      </c>
      <c r="D465" s="5" t="s">
        <v>9773</v>
      </c>
      <c r="E465" s="2" t="s">
        <v>15441</v>
      </c>
      <c r="F465" s="2" t="s">
        <v>15446</v>
      </c>
      <c r="G465" s="2" t="s">
        <v>15456</v>
      </c>
      <c r="H465" s="2" t="s">
        <v>15461</v>
      </c>
    </row>
    <row r="466">
      <c r="A466" s="2">
        <v>464.0</v>
      </c>
      <c r="B466" s="5" t="s">
        <v>9775</v>
      </c>
      <c r="C466" s="2" t="s">
        <v>9776</v>
      </c>
      <c r="D466" s="5" t="s">
        <v>9775</v>
      </c>
      <c r="E466" s="2" t="s">
        <v>15441</v>
      </c>
      <c r="F466" s="2" t="s">
        <v>15446</v>
      </c>
      <c r="G466" s="2" t="s">
        <v>15456</v>
      </c>
      <c r="H466" s="2" t="s">
        <v>15444</v>
      </c>
    </row>
    <row r="467">
      <c r="A467" s="2">
        <v>465.0</v>
      </c>
      <c r="B467" s="5" t="s">
        <v>9777</v>
      </c>
      <c r="C467" s="2" t="s">
        <v>9778</v>
      </c>
      <c r="D467" s="5" t="s">
        <v>9777</v>
      </c>
      <c r="E467" s="2" t="s">
        <v>15441</v>
      </c>
      <c r="F467" s="2" t="s">
        <v>15442</v>
      </c>
      <c r="G467" s="2" t="s">
        <v>15443</v>
      </c>
      <c r="H467" s="2" t="s">
        <v>15444</v>
      </c>
    </row>
    <row r="468">
      <c r="A468" s="2">
        <v>466.0</v>
      </c>
      <c r="B468" s="5" t="s">
        <v>721</v>
      </c>
      <c r="C468" s="2" t="s">
        <v>722</v>
      </c>
      <c r="D468" s="5" t="s">
        <v>721</v>
      </c>
      <c r="E468" s="2" t="s">
        <v>15445</v>
      </c>
      <c r="F468" s="2" t="s">
        <v>15442</v>
      </c>
      <c r="G468" s="2" t="s">
        <v>15443</v>
      </c>
      <c r="H468" s="2" t="s">
        <v>15444</v>
      </c>
    </row>
    <row r="469">
      <c r="A469" s="2">
        <v>467.0</v>
      </c>
      <c r="B469" s="5" t="s">
        <v>9779</v>
      </c>
      <c r="C469" s="2" t="s">
        <v>9780</v>
      </c>
      <c r="D469" s="5" t="s">
        <v>9779</v>
      </c>
      <c r="E469" s="2" t="s">
        <v>15441</v>
      </c>
      <c r="F469" s="2" t="s">
        <v>15442</v>
      </c>
      <c r="G469" s="2" t="s">
        <v>15443</v>
      </c>
      <c r="H469" s="2" t="s">
        <v>15444</v>
      </c>
    </row>
    <row r="470">
      <c r="A470" s="2">
        <v>468.0</v>
      </c>
      <c r="B470" s="5" t="s">
        <v>724</v>
      </c>
      <c r="C470" s="2" t="s">
        <v>725</v>
      </c>
      <c r="D470" s="5" t="s">
        <v>724</v>
      </c>
      <c r="E470" s="2" t="s">
        <v>15445</v>
      </c>
      <c r="F470" s="2" t="s">
        <v>15442</v>
      </c>
      <c r="G470" s="2" t="s">
        <v>15456</v>
      </c>
      <c r="H470" s="2" t="s">
        <v>15455</v>
      </c>
    </row>
    <row r="471">
      <c r="A471" s="2">
        <v>469.0</v>
      </c>
      <c r="B471" s="5" t="s">
        <v>9781</v>
      </c>
      <c r="C471" s="2" t="s">
        <v>9782</v>
      </c>
      <c r="D471" s="5" t="s">
        <v>9781</v>
      </c>
      <c r="E471" s="2" t="s">
        <v>15441</v>
      </c>
      <c r="F471" s="2" t="s">
        <v>15446</v>
      </c>
      <c r="G471" s="2" t="s">
        <v>15443</v>
      </c>
      <c r="H471" s="2" t="s">
        <v>15444</v>
      </c>
    </row>
    <row r="472">
      <c r="A472" s="2">
        <v>470.0</v>
      </c>
      <c r="B472" s="5" t="s">
        <v>9783</v>
      </c>
      <c r="C472" s="2" t="s">
        <v>9784</v>
      </c>
      <c r="D472" s="5" t="s">
        <v>9783</v>
      </c>
      <c r="E472" s="2" t="s">
        <v>15441</v>
      </c>
      <c r="F472" s="2" t="s">
        <v>15446</v>
      </c>
      <c r="G472" s="2" t="s">
        <v>15456</v>
      </c>
      <c r="H472" s="2" t="s">
        <v>15444</v>
      </c>
    </row>
    <row r="473">
      <c r="A473" s="2">
        <v>471.0</v>
      </c>
      <c r="B473" s="5" t="s">
        <v>727</v>
      </c>
      <c r="C473" s="2" t="s">
        <v>728</v>
      </c>
      <c r="D473" s="5" t="s">
        <v>727</v>
      </c>
      <c r="E473" s="2" t="s">
        <v>15445</v>
      </c>
      <c r="F473" s="2" t="s">
        <v>15442</v>
      </c>
      <c r="G473" s="2" t="s">
        <v>15456</v>
      </c>
      <c r="H473" s="2" t="s">
        <v>15444</v>
      </c>
    </row>
    <row r="474">
      <c r="A474" s="2">
        <v>472.0</v>
      </c>
      <c r="B474" s="5" t="s">
        <v>9785</v>
      </c>
      <c r="C474" s="2" t="s">
        <v>9786</v>
      </c>
      <c r="D474" s="5" t="s">
        <v>9785</v>
      </c>
      <c r="E474" s="2" t="s">
        <v>15441</v>
      </c>
      <c r="F474" s="2" t="s">
        <v>15442</v>
      </c>
      <c r="G474" s="2" t="s">
        <v>15443</v>
      </c>
      <c r="H474" s="2" t="s">
        <v>15444</v>
      </c>
    </row>
    <row r="475">
      <c r="A475" s="2">
        <v>473.0</v>
      </c>
      <c r="B475" s="5" t="s">
        <v>9787</v>
      </c>
      <c r="C475" s="2" t="s">
        <v>9788</v>
      </c>
      <c r="D475" s="5" t="s">
        <v>9787</v>
      </c>
      <c r="E475" s="2" t="s">
        <v>15441</v>
      </c>
      <c r="F475" s="2" t="s">
        <v>15446</v>
      </c>
      <c r="G475" s="2" t="s">
        <v>15456</v>
      </c>
      <c r="H475" s="2" t="s">
        <v>15444</v>
      </c>
    </row>
    <row r="476">
      <c r="A476" s="2">
        <v>474.0</v>
      </c>
      <c r="B476" s="5" t="s">
        <v>730</v>
      </c>
      <c r="C476" s="2" t="s">
        <v>731</v>
      </c>
      <c r="D476" s="5" t="s">
        <v>730</v>
      </c>
      <c r="E476" s="2" t="s">
        <v>15445</v>
      </c>
      <c r="F476" s="2" t="s">
        <v>15446</v>
      </c>
      <c r="G476" s="2" t="s">
        <v>15456</v>
      </c>
      <c r="H476" s="2" t="s">
        <v>15444</v>
      </c>
    </row>
    <row r="477">
      <c r="A477" s="2">
        <v>475.0</v>
      </c>
      <c r="B477" s="5" t="s">
        <v>733</v>
      </c>
      <c r="C477" s="2" t="s">
        <v>734</v>
      </c>
      <c r="D477" s="5" t="s">
        <v>733</v>
      </c>
      <c r="E477" s="2" t="s">
        <v>15445</v>
      </c>
      <c r="F477" s="2" t="s">
        <v>15446</v>
      </c>
      <c r="G477" s="2" t="s">
        <v>15456</v>
      </c>
      <c r="H477" s="2" t="s">
        <v>15444</v>
      </c>
    </row>
    <row r="478">
      <c r="A478" s="2">
        <v>476.0</v>
      </c>
      <c r="B478" s="5" t="s">
        <v>736</v>
      </c>
      <c r="C478" s="2" t="s">
        <v>737</v>
      </c>
      <c r="D478" s="5" t="s">
        <v>736</v>
      </c>
      <c r="E478" s="2" t="s">
        <v>15445</v>
      </c>
      <c r="F478" s="2" t="s">
        <v>15442</v>
      </c>
      <c r="G478" s="2" t="s">
        <v>15443</v>
      </c>
      <c r="H478" s="2" t="s">
        <v>15444</v>
      </c>
    </row>
    <row r="479">
      <c r="A479" s="2">
        <v>477.0</v>
      </c>
      <c r="B479" s="5" t="s">
        <v>739</v>
      </c>
      <c r="C479" s="2" t="s">
        <v>740</v>
      </c>
      <c r="D479" s="5" t="s">
        <v>739</v>
      </c>
      <c r="E479" s="2" t="s">
        <v>15445</v>
      </c>
      <c r="F479" s="2" t="s">
        <v>15446</v>
      </c>
      <c r="G479" s="2" t="s">
        <v>15443</v>
      </c>
      <c r="H479" s="2" t="s">
        <v>15444</v>
      </c>
    </row>
    <row r="480">
      <c r="A480" s="2">
        <v>478.0</v>
      </c>
      <c r="B480" s="5" t="s">
        <v>9789</v>
      </c>
      <c r="C480" s="2" t="s">
        <v>9790</v>
      </c>
      <c r="D480" s="5" t="s">
        <v>9789</v>
      </c>
      <c r="E480" s="2" t="s">
        <v>15441</v>
      </c>
      <c r="F480" s="2" t="s">
        <v>15442</v>
      </c>
      <c r="G480" s="2" t="s">
        <v>15443</v>
      </c>
      <c r="H480" s="2" t="s">
        <v>15444</v>
      </c>
    </row>
    <row r="481">
      <c r="A481" s="2">
        <v>479.0</v>
      </c>
      <c r="B481" s="5" t="s">
        <v>742</v>
      </c>
      <c r="C481" s="2" t="s">
        <v>743</v>
      </c>
      <c r="D481" s="5" t="s">
        <v>742</v>
      </c>
      <c r="E481" s="2" t="s">
        <v>15445</v>
      </c>
      <c r="F481" s="2" t="s">
        <v>15446</v>
      </c>
      <c r="G481" s="2" t="s">
        <v>15456</v>
      </c>
      <c r="H481" s="2" t="s">
        <v>15457</v>
      </c>
    </row>
    <row r="482">
      <c r="A482" s="2">
        <v>480.0</v>
      </c>
      <c r="B482" s="5" t="s">
        <v>745</v>
      </c>
      <c r="C482" s="2" t="s">
        <v>746</v>
      </c>
      <c r="D482" s="5" t="s">
        <v>745</v>
      </c>
      <c r="E482" s="2" t="s">
        <v>15445</v>
      </c>
      <c r="F482" s="2" t="s">
        <v>15442</v>
      </c>
      <c r="G482" s="2" t="s">
        <v>15443</v>
      </c>
      <c r="H482" s="2" t="s">
        <v>15444</v>
      </c>
    </row>
    <row r="483">
      <c r="A483" s="2">
        <v>481.0</v>
      </c>
      <c r="B483" s="5" t="s">
        <v>9791</v>
      </c>
      <c r="C483" s="2" t="s">
        <v>9792</v>
      </c>
      <c r="D483" s="5" t="s">
        <v>9791</v>
      </c>
      <c r="E483" s="2" t="s">
        <v>15441</v>
      </c>
      <c r="F483" s="2" t="s">
        <v>15442</v>
      </c>
      <c r="G483" s="2" t="s">
        <v>15443</v>
      </c>
      <c r="H483" s="2" t="s">
        <v>15444</v>
      </c>
    </row>
    <row r="484">
      <c r="A484" s="2">
        <v>482.0</v>
      </c>
      <c r="B484" s="5" t="s">
        <v>748</v>
      </c>
      <c r="C484" s="2" t="s">
        <v>749</v>
      </c>
      <c r="D484" s="5" t="s">
        <v>748</v>
      </c>
      <c r="E484" s="2" t="s">
        <v>15445</v>
      </c>
      <c r="F484" s="2" t="s">
        <v>15442</v>
      </c>
      <c r="G484" s="2" t="s">
        <v>15443</v>
      </c>
      <c r="H484" s="2" t="s">
        <v>15444</v>
      </c>
    </row>
    <row r="485">
      <c r="A485" s="2">
        <v>483.0</v>
      </c>
      <c r="B485" s="5" t="s">
        <v>751</v>
      </c>
      <c r="C485" s="2" t="s">
        <v>752</v>
      </c>
      <c r="D485" s="5" t="s">
        <v>751</v>
      </c>
      <c r="E485" s="2" t="s">
        <v>15445</v>
      </c>
      <c r="F485" s="2" t="s">
        <v>15442</v>
      </c>
      <c r="G485" s="2" t="s">
        <v>15443</v>
      </c>
      <c r="H485" s="2" t="s">
        <v>15444</v>
      </c>
    </row>
    <row r="486">
      <c r="A486" s="2">
        <v>484.0</v>
      </c>
      <c r="B486" s="5" t="s">
        <v>9793</v>
      </c>
      <c r="C486" s="2" t="s">
        <v>9794</v>
      </c>
      <c r="D486" s="5" t="s">
        <v>9793</v>
      </c>
      <c r="E486" s="2" t="s">
        <v>15441</v>
      </c>
      <c r="F486" s="2" t="s">
        <v>15442</v>
      </c>
      <c r="G486" s="2" t="s">
        <v>15443</v>
      </c>
      <c r="H486" s="2" t="s">
        <v>15457</v>
      </c>
    </row>
    <row r="487">
      <c r="A487" s="2">
        <v>485.0</v>
      </c>
      <c r="B487" s="5" t="s">
        <v>9795</v>
      </c>
      <c r="C487" s="2" t="s">
        <v>9796</v>
      </c>
      <c r="D487" s="5" t="s">
        <v>9795</v>
      </c>
      <c r="E487" s="2" t="s">
        <v>15441</v>
      </c>
      <c r="F487" s="2" t="s">
        <v>15446</v>
      </c>
      <c r="G487" s="2" t="s">
        <v>15443</v>
      </c>
      <c r="H487" s="2" t="s">
        <v>15444</v>
      </c>
    </row>
    <row r="488">
      <c r="A488" s="2">
        <v>486.0</v>
      </c>
      <c r="B488" s="5" t="s">
        <v>9797</v>
      </c>
      <c r="C488" s="2" t="s">
        <v>9798</v>
      </c>
      <c r="D488" s="5" t="s">
        <v>9797</v>
      </c>
      <c r="E488" s="2" t="s">
        <v>15441</v>
      </c>
      <c r="F488" s="2" t="s">
        <v>15446</v>
      </c>
      <c r="G488" s="2" t="s">
        <v>15456</v>
      </c>
      <c r="H488" s="2" t="s">
        <v>15444</v>
      </c>
    </row>
    <row r="489">
      <c r="A489" s="2">
        <v>487.0</v>
      </c>
      <c r="B489" s="5" t="s">
        <v>754</v>
      </c>
      <c r="C489" s="2" t="s">
        <v>755</v>
      </c>
      <c r="D489" s="5" t="s">
        <v>754</v>
      </c>
      <c r="E489" s="2" t="s">
        <v>15445</v>
      </c>
      <c r="F489" s="2" t="s">
        <v>15442</v>
      </c>
      <c r="G489" s="2" t="s">
        <v>15456</v>
      </c>
      <c r="H489" s="2" t="s">
        <v>15444</v>
      </c>
    </row>
    <row r="490">
      <c r="A490" s="2">
        <v>488.0</v>
      </c>
      <c r="B490" s="5" t="s">
        <v>757</v>
      </c>
      <c r="C490" s="2" t="s">
        <v>758</v>
      </c>
      <c r="D490" s="5" t="s">
        <v>757</v>
      </c>
      <c r="E490" s="2" t="s">
        <v>15445</v>
      </c>
      <c r="F490" s="2" t="s">
        <v>15442</v>
      </c>
      <c r="G490" s="2" t="s">
        <v>15443</v>
      </c>
      <c r="H490" s="2" t="s">
        <v>15444</v>
      </c>
    </row>
    <row r="491">
      <c r="A491" s="2">
        <v>489.0</v>
      </c>
      <c r="B491" s="5" t="s">
        <v>9799</v>
      </c>
      <c r="C491" s="2" t="s">
        <v>9800</v>
      </c>
      <c r="D491" s="5" t="s">
        <v>9799</v>
      </c>
      <c r="E491" s="2" t="s">
        <v>15441</v>
      </c>
      <c r="F491" s="2" t="s">
        <v>15442</v>
      </c>
      <c r="G491" s="2" t="s">
        <v>15443</v>
      </c>
      <c r="H491" s="2" t="s">
        <v>15461</v>
      </c>
    </row>
    <row r="492">
      <c r="A492" s="2">
        <v>490.0</v>
      </c>
      <c r="B492" s="5" t="s">
        <v>760</v>
      </c>
      <c r="C492" s="2" t="s">
        <v>761</v>
      </c>
      <c r="D492" s="5" t="s">
        <v>760</v>
      </c>
      <c r="E492" s="2" t="s">
        <v>15445</v>
      </c>
      <c r="F492" s="2" t="s">
        <v>15446</v>
      </c>
      <c r="G492" s="2" t="s">
        <v>15443</v>
      </c>
      <c r="H492" s="2" t="s">
        <v>15457</v>
      </c>
    </row>
    <row r="493">
      <c r="A493" s="2">
        <v>491.0</v>
      </c>
      <c r="B493" s="5" t="s">
        <v>763</v>
      </c>
      <c r="C493" s="2" t="s">
        <v>764</v>
      </c>
      <c r="D493" s="5" t="s">
        <v>763</v>
      </c>
      <c r="E493" s="2" t="s">
        <v>15445</v>
      </c>
      <c r="F493" s="2" t="s">
        <v>15446</v>
      </c>
      <c r="G493" s="2" t="s">
        <v>15456</v>
      </c>
      <c r="H493" s="2" t="s">
        <v>15444</v>
      </c>
    </row>
    <row r="494">
      <c r="A494" s="2">
        <v>492.0</v>
      </c>
      <c r="B494" s="5" t="s">
        <v>9801</v>
      </c>
      <c r="C494" s="2" t="s">
        <v>9802</v>
      </c>
      <c r="D494" s="5" t="s">
        <v>9801</v>
      </c>
      <c r="E494" s="2" t="s">
        <v>15441</v>
      </c>
      <c r="F494" s="2" t="s">
        <v>15446</v>
      </c>
      <c r="G494" s="2" t="s">
        <v>15456</v>
      </c>
      <c r="H494" s="2" t="s">
        <v>15444</v>
      </c>
    </row>
    <row r="495">
      <c r="A495" s="2">
        <v>493.0</v>
      </c>
      <c r="B495" s="5" t="s">
        <v>766</v>
      </c>
      <c r="C495" s="2" t="s">
        <v>767</v>
      </c>
      <c r="D495" s="5" t="s">
        <v>766</v>
      </c>
      <c r="E495" s="2" t="s">
        <v>15445</v>
      </c>
      <c r="F495" s="2" t="s">
        <v>15446</v>
      </c>
      <c r="G495" s="2" t="s">
        <v>15456</v>
      </c>
      <c r="H495" s="2" t="s">
        <v>15444</v>
      </c>
    </row>
    <row r="496">
      <c r="A496" s="2">
        <v>494.0</v>
      </c>
      <c r="B496" s="5" t="s">
        <v>769</v>
      </c>
      <c r="C496" s="2" t="s">
        <v>770</v>
      </c>
      <c r="D496" s="5" t="s">
        <v>769</v>
      </c>
      <c r="E496" s="2" t="s">
        <v>15445</v>
      </c>
      <c r="F496" s="2" t="s">
        <v>15442</v>
      </c>
      <c r="G496" s="2" t="s">
        <v>15443</v>
      </c>
      <c r="H496" s="2" t="s">
        <v>15444</v>
      </c>
    </row>
    <row r="497">
      <c r="A497" s="2">
        <v>495.0</v>
      </c>
      <c r="B497" s="5" t="s">
        <v>9803</v>
      </c>
      <c r="C497" s="2" t="s">
        <v>9804</v>
      </c>
      <c r="D497" s="5" t="s">
        <v>9803</v>
      </c>
      <c r="E497" s="2" t="s">
        <v>15441</v>
      </c>
      <c r="F497" s="2" t="s">
        <v>15442</v>
      </c>
      <c r="G497" s="2" t="s">
        <v>15443</v>
      </c>
      <c r="H497" s="2" t="s">
        <v>15444</v>
      </c>
    </row>
    <row r="498">
      <c r="A498" s="2">
        <v>496.0</v>
      </c>
      <c r="B498" s="5" t="s">
        <v>772</v>
      </c>
      <c r="C498" s="2" t="s">
        <v>773</v>
      </c>
      <c r="D498" s="5" t="s">
        <v>772</v>
      </c>
      <c r="E498" s="2" t="s">
        <v>15445</v>
      </c>
      <c r="F498" s="2" t="s">
        <v>15446</v>
      </c>
      <c r="G498" s="2" t="s">
        <v>15443</v>
      </c>
      <c r="H498" s="2" t="s">
        <v>15461</v>
      </c>
    </row>
    <row r="499">
      <c r="A499" s="2">
        <v>497.0</v>
      </c>
      <c r="B499" s="5" t="s">
        <v>9805</v>
      </c>
      <c r="C499" s="2" t="s">
        <v>9806</v>
      </c>
      <c r="D499" s="5" t="s">
        <v>9805</v>
      </c>
      <c r="E499" s="2" t="s">
        <v>15441</v>
      </c>
      <c r="F499" s="2" t="s">
        <v>15442</v>
      </c>
      <c r="G499" s="2" t="s">
        <v>15443</v>
      </c>
      <c r="H499" s="2" t="s">
        <v>15444</v>
      </c>
    </row>
    <row r="500">
      <c r="A500" s="2">
        <v>498.0</v>
      </c>
      <c r="B500" s="5" t="s">
        <v>775</v>
      </c>
      <c r="C500" s="2" t="s">
        <v>776</v>
      </c>
      <c r="D500" s="5" t="s">
        <v>775</v>
      </c>
      <c r="E500" s="2" t="s">
        <v>15445</v>
      </c>
      <c r="F500" s="2" t="s">
        <v>15442</v>
      </c>
      <c r="G500" s="2" t="s">
        <v>15456</v>
      </c>
      <c r="H500" s="2" t="s">
        <v>15444</v>
      </c>
    </row>
    <row r="501">
      <c r="A501" s="2">
        <v>499.0</v>
      </c>
      <c r="B501" s="5" t="s">
        <v>778</v>
      </c>
      <c r="C501" s="2" t="s">
        <v>779</v>
      </c>
      <c r="D501" s="5" t="s">
        <v>778</v>
      </c>
      <c r="E501" s="2" t="s">
        <v>15445</v>
      </c>
      <c r="F501" s="2" t="s">
        <v>15442</v>
      </c>
      <c r="G501" s="2" t="s">
        <v>15443</v>
      </c>
      <c r="H501" s="2" t="s">
        <v>15444</v>
      </c>
    </row>
    <row r="502">
      <c r="A502" s="2">
        <v>500.0</v>
      </c>
      <c r="B502" s="5" t="s">
        <v>9807</v>
      </c>
      <c r="C502" s="2" t="s">
        <v>9808</v>
      </c>
      <c r="D502" s="5" t="s">
        <v>9807</v>
      </c>
      <c r="E502" s="2" t="s">
        <v>15441</v>
      </c>
      <c r="F502" s="2" t="s">
        <v>15442</v>
      </c>
      <c r="G502" s="2" t="s">
        <v>15456</v>
      </c>
      <c r="H502" s="2" t="s">
        <v>15457</v>
      </c>
    </row>
    <row r="503">
      <c r="A503" s="2">
        <v>501.0</v>
      </c>
      <c r="B503" s="5" t="s">
        <v>9809</v>
      </c>
      <c r="C503" s="2" t="s">
        <v>9810</v>
      </c>
      <c r="D503" s="5" t="s">
        <v>9809</v>
      </c>
      <c r="E503" s="2" t="s">
        <v>15441</v>
      </c>
      <c r="F503" s="2" t="s">
        <v>15446</v>
      </c>
      <c r="G503" s="2" t="s">
        <v>15456</v>
      </c>
      <c r="H503" s="2" t="s">
        <v>15444</v>
      </c>
    </row>
    <row r="504">
      <c r="A504" s="2">
        <v>502.0</v>
      </c>
      <c r="B504" s="5" t="s">
        <v>9811</v>
      </c>
      <c r="C504" s="2" t="s">
        <v>9812</v>
      </c>
      <c r="D504" s="5" t="s">
        <v>9811</v>
      </c>
      <c r="E504" s="2" t="s">
        <v>15441</v>
      </c>
      <c r="F504" s="2" t="s">
        <v>15446</v>
      </c>
      <c r="G504" s="2" t="s">
        <v>15443</v>
      </c>
      <c r="H504" s="2" t="s">
        <v>15444</v>
      </c>
    </row>
    <row r="505">
      <c r="A505" s="2">
        <v>503.0</v>
      </c>
      <c r="B505" s="5" t="s">
        <v>9813</v>
      </c>
      <c r="C505" s="2" t="s">
        <v>9814</v>
      </c>
      <c r="D505" s="5" t="s">
        <v>9813</v>
      </c>
      <c r="E505" s="2" t="s">
        <v>15441</v>
      </c>
      <c r="F505" s="2" t="s">
        <v>15446</v>
      </c>
      <c r="G505" s="2" t="s">
        <v>15443</v>
      </c>
      <c r="H505" s="2" t="s">
        <v>15444</v>
      </c>
    </row>
    <row r="506">
      <c r="A506" s="2">
        <v>504.0</v>
      </c>
      <c r="B506" s="5" t="s">
        <v>9815</v>
      </c>
      <c r="C506" s="2" t="s">
        <v>9816</v>
      </c>
      <c r="D506" s="5" t="s">
        <v>9815</v>
      </c>
      <c r="E506" s="2" t="s">
        <v>15441</v>
      </c>
      <c r="F506" s="2" t="s">
        <v>15442</v>
      </c>
      <c r="G506" s="2" t="s">
        <v>15456</v>
      </c>
      <c r="H506" s="2" t="s">
        <v>15444</v>
      </c>
    </row>
    <row r="507">
      <c r="A507" s="2">
        <v>505.0</v>
      </c>
      <c r="B507" s="5" t="s">
        <v>781</v>
      </c>
      <c r="C507" s="2" t="s">
        <v>782</v>
      </c>
      <c r="D507" s="5" t="s">
        <v>781</v>
      </c>
      <c r="E507" s="2" t="s">
        <v>15445</v>
      </c>
      <c r="F507" s="2" t="s">
        <v>15446</v>
      </c>
      <c r="G507" s="2" t="s">
        <v>15456</v>
      </c>
      <c r="H507" s="2" t="s">
        <v>15444</v>
      </c>
    </row>
    <row r="508">
      <c r="A508" s="2">
        <v>506.0</v>
      </c>
      <c r="B508" s="5" t="s">
        <v>784</v>
      </c>
      <c r="C508" s="2" t="s">
        <v>785</v>
      </c>
      <c r="D508" s="5" t="s">
        <v>784</v>
      </c>
      <c r="E508" s="2" t="s">
        <v>15445</v>
      </c>
      <c r="F508" s="2" t="s">
        <v>15442</v>
      </c>
      <c r="G508" s="2" t="s">
        <v>15443</v>
      </c>
      <c r="H508" s="2" t="s">
        <v>15444</v>
      </c>
    </row>
    <row r="509">
      <c r="A509" s="2">
        <v>507.0</v>
      </c>
      <c r="B509" s="5" t="s">
        <v>9817</v>
      </c>
      <c r="C509" s="2" t="s">
        <v>9818</v>
      </c>
      <c r="D509" s="5" t="s">
        <v>9817</v>
      </c>
      <c r="E509" s="2" t="s">
        <v>15441</v>
      </c>
      <c r="F509" s="2" t="s">
        <v>15446</v>
      </c>
      <c r="G509" s="2" t="s">
        <v>15456</v>
      </c>
      <c r="H509" s="2" t="s">
        <v>15444</v>
      </c>
    </row>
    <row r="510">
      <c r="A510" s="2">
        <v>508.0</v>
      </c>
      <c r="B510" s="5" t="s">
        <v>15466</v>
      </c>
      <c r="D510" s="5" t="s">
        <v>15466</v>
      </c>
      <c r="E510" s="2" t="s">
        <v>15441</v>
      </c>
      <c r="F510" s="2" t="s">
        <v>15446</v>
      </c>
      <c r="G510" s="2" t="s">
        <v>15456</v>
      </c>
      <c r="H510" s="2" t="s">
        <v>15444</v>
      </c>
    </row>
    <row r="511">
      <c r="A511" s="2">
        <v>509.0</v>
      </c>
      <c r="B511" s="5" t="s">
        <v>787</v>
      </c>
      <c r="C511" s="2" t="s">
        <v>788</v>
      </c>
      <c r="D511" s="5" t="s">
        <v>787</v>
      </c>
      <c r="E511" s="2" t="s">
        <v>15445</v>
      </c>
      <c r="F511" s="2" t="s">
        <v>15442</v>
      </c>
      <c r="G511" s="2" t="s">
        <v>15443</v>
      </c>
      <c r="H511" s="2" t="s">
        <v>15444</v>
      </c>
    </row>
    <row r="512">
      <c r="A512" s="2">
        <v>510.0</v>
      </c>
      <c r="B512" s="5" t="s">
        <v>9819</v>
      </c>
      <c r="C512" s="2" t="s">
        <v>9820</v>
      </c>
      <c r="D512" s="5" t="s">
        <v>9819</v>
      </c>
      <c r="E512" s="2" t="s">
        <v>15441</v>
      </c>
      <c r="F512" s="2" t="s">
        <v>15442</v>
      </c>
      <c r="G512" s="2" t="s">
        <v>15443</v>
      </c>
      <c r="H512" s="2" t="s">
        <v>15444</v>
      </c>
    </row>
    <row r="513">
      <c r="A513" s="2">
        <v>511.0</v>
      </c>
      <c r="B513" s="5" t="s">
        <v>790</v>
      </c>
      <c r="C513" s="2" t="s">
        <v>791</v>
      </c>
      <c r="D513" s="5" t="s">
        <v>790</v>
      </c>
      <c r="E513" s="2" t="s">
        <v>15445</v>
      </c>
      <c r="F513" s="2" t="s">
        <v>15446</v>
      </c>
      <c r="G513" s="2" t="s">
        <v>15456</v>
      </c>
      <c r="H513" s="2" t="s">
        <v>15444</v>
      </c>
    </row>
    <row r="514">
      <c r="A514" s="2">
        <v>512.0</v>
      </c>
      <c r="B514" s="5" t="s">
        <v>9821</v>
      </c>
      <c r="C514" s="2" t="s">
        <v>9822</v>
      </c>
      <c r="D514" s="5" t="s">
        <v>9821</v>
      </c>
      <c r="E514" s="2" t="s">
        <v>15441</v>
      </c>
      <c r="F514" s="2" t="s">
        <v>15446</v>
      </c>
      <c r="G514" s="2" t="s">
        <v>15443</v>
      </c>
      <c r="H514" s="2" t="s">
        <v>15444</v>
      </c>
    </row>
    <row r="515">
      <c r="A515" s="2">
        <v>513.0</v>
      </c>
      <c r="B515" s="5" t="s">
        <v>793</v>
      </c>
      <c r="C515" s="2" t="s">
        <v>794</v>
      </c>
      <c r="D515" s="5" t="s">
        <v>793</v>
      </c>
      <c r="E515" s="2" t="s">
        <v>15445</v>
      </c>
      <c r="F515" s="2" t="s">
        <v>15442</v>
      </c>
      <c r="G515" s="2" t="s">
        <v>15443</v>
      </c>
      <c r="H515" s="2" t="s">
        <v>15461</v>
      </c>
    </row>
    <row r="516">
      <c r="A516" s="2">
        <v>514.0</v>
      </c>
      <c r="B516" s="5" t="s">
        <v>9823</v>
      </c>
      <c r="C516" s="2" t="s">
        <v>9824</v>
      </c>
      <c r="D516" s="5" t="s">
        <v>9823</v>
      </c>
      <c r="E516" s="2" t="s">
        <v>15441</v>
      </c>
      <c r="F516" s="2" t="s">
        <v>15442</v>
      </c>
      <c r="G516" s="2" t="s">
        <v>15456</v>
      </c>
      <c r="H516" s="2" t="s">
        <v>15444</v>
      </c>
    </row>
    <row r="517">
      <c r="A517" s="2">
        <v>515.0</v>
      </c>
      <c r="B517" s="5" t="s">
        <v>796</v>
      </c>
      <c r="C517" s="2" t="s">
        <v>797</v>
      </c>
      <c r="D517" s="5" t="s">
        <v>796</v>
      </c>
      <c r="E517" s="2" t="s">
        <v>15445</v>
      </c>
      <c r="F517" s="2" t="s">
        <v>15446</v>
      </c>
      <c r="G517" s="2" t="s">
        <v>15443</v>
      </c>
      <c r="H517" s="2" t="s">
        <v>15444</v>
      </c>
    </row>
    <row r="518">
      <c r="A518" s="2">
        <v>516.0</v>
      </c>
      <c r="B518" s="5" t="s">
        <v>799</v>
      </c>
      <c r="C518" s="2" t="s">
        <v>800</v>
      </c>
      <c r="D518" s="5" t="s">
        <v>799</v>
      </c>
      <c r="E518" s="2" t="s">
        <v>15445</v>
      </c>
      <c r="F518" s="2" t="s">
        <v>15446</v>
      </c>
      <c r="G518" s="2" t="s">
        <v>15443</v>
      </c>
      <c r="H518" s="2" t="s">
        <v>15444</v>
      </c>
    </row>
    <row r="519">
      <c r="A519" s="2">
        <v>517.0</v>
      </c>
      <c r="B519" s="5" t="s">
        <v>9825</v>
      </c>
      <c r="C519" s="2" t="s">
        <v>9826</v>
      </c>
      <c r="D519" s="5" t="s">
        <v>9825</v>
      </c>
      <c r="E519" s="2" t="s">
        <v>15441</v>
      </c>
      <c r="F519" s="2" t="s">
        <v>15446</v>
      </c>
      <c r="G519" s="2" t="s">
        <v>15456</v>
      </c>
      <c r="H519" s="2" t="s">
        <v>15444</v>
      </c>
    </row>
    <row r="520">
      <c r="A520" s="2">
        <v>518.0</v>
      </c>
      <c r="B520" s="5" t="s">
        <v>802</v>
      </c>
      <c r="C520" s="2" t="s">
        <v>803</v>
      </c>
      <c r="D520" s="5" t="s">
        <v>802</v>
      </c>
      <c r="E520" s="2" t="s">
        <v>15445</v>
      </c>
      <c r="F520" s="2" t="s">
        <v>15442</v>
      </c>
      <c r="G520" s="2" t="s">
        <v>15443</v>
      </c>
      <c r="H520" s="2" t="s">
        <v>15444</v>
      </c>
    </row>
    <row r="521">
      <c r="A521" s="2">
        <v>519.0</v>
      </c>
      <c r="B521" s="5" t="s">
        <v>805</v>
      </c>
      <c r="C521" s="2" t="s">
        <v>806</v>
      </c>
      <c r="D521" s="5" t="s">
        <v>805</v>
      </c>
      <c r="E521" s="2" t="s">
        <v>15445</v>
      </c>
      <c r="F521" s="2" t="s">
        <v>15446</v>
      </c>
      <c r="G521" s="2" t="s">
        <v>15456</v>
      </c>
      <c r="H521" s="2" t="s">
        <v>15455</v>
      </c>
    </row>
    <row r="522">
      <c r="A522" s="2">
        <v>520.0</v>
      </c>
      <c r="B522" s="5" t="s">
        <v>808</v>
      </c>
      <c r="C522" s="2" t="s">
        <v>809</v>
      </c>
      <c r="D522" s="5" t="s">
        <v>808</v>
      </c>
      <c r="E522" s="2" t="s">
        <v>15445</v>
      </c>
      <c r="F522" s="2" t="s">
        <v>15442</v>
      </c>
      <c r="G522" s="2" t="s">
        <v>15443</v>
      </c>
      <c r="H522" s="2" t="s">
        <v>15444</v>
      </c>
    </row>
    <row r="523">
      <c r="A523" s="2">
        <v>521.0</v>
      </c>
      <c r="B523" s="5" t="s">
        <v>9827</v>
      </c>
      <c r="C523" s="2" t="s">
        <v>9828</v>
      </c>
      <c r="D523" s="5" t="s">
        <v>9827</v>
      </c>
      <c r="E523" s="2" t="s">
        <v>15441</v>
      </c>
      <c r="F523" s="2" t="s">
        <v>15442</v>
      </c>
      <c r="G523" s="2" t="s">
        <v>15443</v>
      </c>
      <c r="H523" s="2" t="s">
        <v>15444</v>
      </c>
    </row>
    <row r="524">
      <c r="A524" s="2">
        <v>522.0</v>
      </c>
      <c r="B524" s="5" t="s">
        <v>811</v>
      </c>
      <c r="C524" s="2" t="s">
        <v>812</v>
      </c>
      <c r="D524" s="5" t="s">
        <v>811</v>
      </c>
      <c r="E524" s="2" t="s">
        <v>15445</v>
      </c>
      <c r="F524" s="2" t="s">
        <v>15446</v>
      </c>
      <c r="G524" s="2" t="s">
        <v>15443</v>
      </c>
      <c r="H524" s="2" t="s">
        <v>15457</v>
      </c>
    </row>
    <row r="525">
      <c r="A525" s="2">
        <v>523.0</v>
      </c>
      <c r="B525" s="5" t="s">
        <v>9829</v>
      </c>
      <c r="C525" s="2" t="s">
        <v>9830</v>
      </c>
      <c r="D525" s="5" t="s">
        <v>9829</v>
      </c>
      <c r="E525" s="2" t="s">
        <v>15441</v>
      </c>
      <c r="F525" s="2" t="s">
        <v>15446</v>
      </c>
      <c r="G525" s="2" t="s">
        <v>15443</v>
      </c>
      <c r="H525" s="2" t="s">
        <v>15444</v>
      </c>
    </row>
    <row r="526">
      <c r="A526" s="2">
        <v>524.0</v>
      </c>
      <c r="B526" s="5" t="s">
        <v>814</v>
      </c>
      <c r="C526" s="2" t="s">
        <v>815</v>
      </c>
      <c r="D526" s="5" t="s">
        <v>814</v>
      </c>
      <c r="E526" s="2" t="s">
        <v>15445</v>
      </c>
      <c r="F526" s="2" t="s">
        <v>15446</v>
      </c>
      <c r="G526" s="2" t="s">
        <v>15456</v>
      </c>
      <c r="H526" s="2" t="s">
        <v>15444</v>
      </c>
    </row>
    <row r="527">
      <c r="A527" s="2">
        <v>525.0</v>
      </c>
      <c r="B527" s="5" t="s">
        <v>9831</v>
      </c>
      <c r="C527" s="2" t="s">
        <v>9832</v>
      </c>
      <c r="D527" s="5" t="s">
        <v>9831</v>
      </c>
      <c r="E527" s="2" t="s">
        <v>15441</v>
      </c>
      <c r="F527" s="2" t="s">
        <v>15446</v>
      </c>
      <c r="G527" s="2" t="s">
        <v>15443</v>
      </c>
      <c r="H527" s="2" t="s">
        <v>15444</v>
      </c>
    </row>
    <row r="528">
      <c r="A528" s="2">
        <v>526.0</v>
      </c>
      <c r="B528" s="5" t="s">
        <v>9833</v>
      </c>
      <c r="C528" s="2" t="s">
        <v>9834</v>
      </c>
      <c r="D528" s="5" t="s">
        <v>9833</v>
      </c>
      <c r="E528" s="2" t="s">
        <v>15441</v>
      </c>
      <c r="F528" s="2" t="s">
        <v>15442</v>
      </c>
      <c r="G528" s="2" t="s">
        <v>15443</v>
      </c>
      <c r="H528" s="2" t="s">
        <v>15444</v>
      </c>
    </row>
    <row r="529">
      <c r="A529" s="2">
        <v>527.0</v>
      </c>
      <c r="B529" s="5" t="s">
        <v>817</v>
      </c>
      <c r="C529" s="2" t="s">
        <v>818</v>
      </c>
      <c r="D529" s="5" t="s">
        <v>817</v>
      </c>
      <c r="E529" s="2" t="s">
        <v>15445</v>
      </c>
      <c r="F529" s="2" t="s">
        <v>15446</v>
      </c>
      <c r="G529" s="2" t="s">
        <v>15443</v>
      </c>
      <c r="H529" s="2" t="s">
        <v>15444</v>
      </c>
    </row>
    <row r="530">
      <c r="A530" s="2">
        <v>528.0</v>
      </c>
      <c r="B530" s="5" t="s">
        <v>9835</v>
      </c>
      <c r="C530" s="2" t="s">
        <v>9836</v>
      </c>
      <c r="D530" s="5" t="s">
        <v>9835</v>
      </c>
      <c r="E530" s="2" t="s">
        <v>15441</v>
      </c>
      <c r="F530" s="2" t="s">
        <v>15446</v>
      </c>
      <c r="G530" s="2" t="s">
        <v>15443</v>
      </c>
      <c r="H530" s="2" t="s">
        <v>15444</v>
      </c>
    </row>
    <row r="531">
      <c r="A531" s="2">
        <v>529.0</v>
      </c>
      <c r="B531" s="5" t="s">
        <v>820</v>
      </c>
      <c r="C531" s="2" t="s">
        <v>821</v>
      </c>
      <c r="D531" s="5" t="s">
        <v>820</v>
      </c>
      <c r="E531" s="2" t="s">
        <v>15445</v>
      </c>
      <c r="F531" s="2" t="s">
        <v>15442</v>
      </c>
      <c r="G531" s="2" t="s">
        <v>15443</v>
      </c>
      <c r="H531" s="2" t="s">
        <v>15444</v>
      </c>
    </row>
    <row r="532">
      <c r="A532" s="2">
        <v>530.0</v>
      </c>
      <c r="B532" s="5" t="s">
        <v>823</v>
      </c>
      <c r="C532" s="2" t="s">
        <v>824</v>
      </c>
      <c r="D532" s="5" t="s">
        <v>823</v>
      </c>
      <c r="E532" s="2" t="s">
        <v>15445</v>
      </c>
      <c r="F532" s="2" t="s">
        <v>15442</v>
      </c>
      <c r="G532" s="2" t="s">
        <v>15443</v>
      </c>
      <c r="H532" s="2" t="s">
        <v>15444</v>
      </c>
    </row>
    <row r="533">
      <c r="A533" s="2">
        <v>531.0</v>
      </c>
      <c r="B533" s="5" t="s">
        <v>826</v>
      </c>
      <c r="C533" s="2" t="s">
        <v>827</v>
      </c>
      <c r="D533" s="5" t="s">
        <v>826</v>
      </c>
      <c r="E533" s="2" t="s">
        <v>15445</v>
      </c>
      <c r="F533" s="2" t="s">
        <v>15442</v>
      </c>
      <c r="G533" s="2" t="s">
        <v>15443</v>
      </c>
      <c r="H533" s="2" t="s">
        <v>15462</v>
      </c>
    </row>
    <row r="534">
      <c r="A534" s="2">
        <v>532.0</v>
      </c>
      <c r="B534" s="5" t="s">
        <v>829</v>
      </c>
      <c r="C534" s="2" t="s">
        <v>830</v>
      </c>
      <c r="D534" s="5" t="s">
        <v>829</v>
      </c>
      <c r="E534" s="2" t="s">
        <v>15445</v>
      </c>
      <c r="F534" s="2" t="s">
        <v>15442</v>
      </c>
      <c r="G534" s="2" t="s">
        <v>15456</v>
      </c>
      <c r="H534" s="2" t="s">
        <v>15444</v>
      </c>
    </row>
    <row r="535">
      <c r="A535" s="2">
        <v>533.0</v>
      </c>
      <c r="B535" s="5" t="s">
        <v>832</v>
      </c>
      <c r="C535" s="2" t="s">
        <v>833</v>
      </c>
      <c r="D535" s="5" t="s">
        <v>832</v>
      </c>
      <c r="E535" s="2" t="s">
        <v>15445</v>
      </c>
      <c r="F535" s="2" t="s">
        <v>15446</v>
      </c>
      <c r="G535" s="2" t="s">
        <v>15456</v>
      </c>
      <c r="H535" s="2" t="s">
        <v>15444</v>
      </c>
    </row>
    <row r="536">
      <c r="A536" s="2">
        <v>534.0</v>
      </c>
      <c r="B536" s="5" t="s">
        <v>9837</v>
      </c>
      <c r="C536" s="2" t="s">
        <v>9838</v>
      </c>
      <c r="D536" s="5" t="s">
        <v>9837</v>
      </c>
      <c r="E536" s="2" t="s">
        <v>15441</v>
      </c>
      <c r="F536" s="2" t="s">
        <v>15442</v>
      </c>
      <c r="G536" s="2" t="s">
        <v>15443</v>
      </c>
      <c r="H536" s="2" t="s">
        <v>15444</v>
      </c>
    </row>
    <row r="537">
      <c r="A537" s="2">
        <v>535.0</v>
      </c>
      <c r="B537" s="5" t="s">
        <v>9839</v>
      </c>
      <c r="C537" s="2" t="s">
        <v>9840</v>
      </c>
      <c r="D537" s="5" t="s">
        <v>9839</v>
      </c>
      <c r="E537" s="2" t="s">
        <v>15441</v>
      </c>
      <c r="F537" s="2" t="s">
        <v>15446</v>
      </c>
      <c r="G537" s="2" t="s">
        <v>15443</v>
      </c>
      <c r="H537" s="2" t="s">
        <v>15455</v>
      </c>
    </row>
    <row r="538">
      <c r="A538" s="2">
        <v>536.0</v>
      </c>
      <c r="B538" s="5" t="s">
        <v>835</v>
      </c>
      <c r="C538" s="2" t="s">
        <v>836</v>
      </c>
      <c r="D538" s="5" t="s">
        <v>835</v>
      </c>
      <c r="E538" s="2" t="s">
        <v>15445</v>
      </c>
      <c r="F538" s="2" t="s">
        <v>15446</v>
      </c>
      <c r="G538" s="2" t="s">
        <v>15456</v>
      </c>
      <c r="H538" s="2" t="s">
        <v>15444</v>
      </c>
    </row>
    <row r="539">
      <c r="A539" s="2">
        <v>537.0</v>
      </c>
      <c r="B539" s="5" t="s">
        <v>9841</v>
      </c>
      <c r="C539" s="2" t="s">
        <v>9842</v>
      </c>
      <c r="D539" s="5" t="s">
        <v>9841</v>
      </c>
      <c r="E539" s="2" t="s">
        <v>15441</v>
      </c>
      <c r="F539" s="2" t="s">
        <v>15446</v>
      </c>
      <c r="G539" s="2" t="s">
        <v>15456</v>
      </c>
      <c r="H539" s="2" t="s">
        <v>15444</v>
      </c>
    </row>
    <row r="540">
      <c r="A540" s="2">
        <v>538.0</v>
      </c>
      <c r="B540" s="5" t="s">
        <v>838</v>
      </c>
      <c r="C540" s="2" t="s">
        <v>839</v>
      </c>
      <c r="D540" s="5" t="s">
        <v>838</v>
      </c>
      <c r="E540" s="2" t="s">
        <v>15445</v>
      </c>
      <c r="F540" s="2" t="s">
        <v>15442</v>
      </c>
      <c r="G540" s="2" t="s">
        <v>15456</v>
      </c>
      <c r="H540" s="2" t="s">
        <v>15444</v>
      </c>
    </row>
    <row r="541">
      <c r="A541" s="2">
        <v>539.0</v>
      </c>
      <c r="B541" s="5" t="s">
        <v>841</v>
      </c>
      <c r="C541" s="2" t="s">
        <v>842</v>
      </c>
      <c r="D541" s="5" t="s">
        <v>841</v>
      </c>
      <c r="E541" s="2" t="s">
        <v>15445</v>
      </c>
      <c r="F541" s="2" t="s">
        <v>15442</v>
      </c>
      <c r="G541" s="2" t="s">
        <v>15456</v>
      </c>
      <c r="H541" s="2" t="s">
        <v>15444</v>
      </c>
    </row>
    <row r="542">
      <c r="A542" s="2">
        <v>540.0</v>
      </c>
      <c r="B542" s="5" t="s">
        <v>844</v>
      </c>
      <c r="C542" s="2" t="s">
        <v>845</v>
      </c>
      <c r="D542" s="5" t="s">
        <v>844</v>
      </c>
      <c r="E542" s="2" t="s">
        <v>15445</v>
      </c>
      <c r="F542" s="2" t="s">
        <v>15446</v>
      </c>
      <c r="G542" s="2" t="s">
        <v>15456</v>
      </c>
      <c r="H542" s="2" t="s">
        <v>15444</v>
      </c>
    </row>
    <row r="543">
      <c r="A543" s="2">
        <v>541.0</v>
      </c>
      <c r="B543" s="5" t="s">
        <v>9843</v>
      </c>
      <c r="C543" s="2" t="s">
        <v>9844</v>
      </c>
      <c r="D543" s="5" t="s">
        <v>9843</v>
      </c>
      <c r="E543" s="2" t="s">
        <v>15441</v>
      </c>
      <c r="F543" s="2" t="s">
        <v>15442</v>
      </c>
      <c r="G543" s="2" t="s">
        <v>15456</v>
      </c>
      <c r="H543" s="2" t="s">
        <v>15444</v>
      </c>
    </row>
    <row r="544">
      <c r="A544" s="2">
        <v>542.0</v>
      </c>
      <c r="B544" s="5" t="s">
        <v>9845</v>
      </c>
      <c r="C544" s="2" t="s">
        <v>9846</v>
      </c>
      <c r="D544" s="5" t="s">
        <v>9845</v>
      </c>
      <c r="E544" s="2" t="s">
        <v>15441</v>
      </c>
      <c r="F544" s="2" t="s">
        <v>15442</v>
      </c>
      <c r="G544" s="2" t="s">
        <v>15443</v>
      </c>
      <c r="H544" s="2" t="s">
        <v>15444</v>
      </c>
    </row>
    <row r="545">
      <c r="A545" s="2">
        <v>543.0</v>
      </c>
      <c r="B545" s="5" t="s">
        <v>847</v>
      </c>
      <c r="C545" s="2" t="s">
        <v>848</v>
      </c>
      <c r="D545" s="5" t="s">
        <v>847</v>
      </c>
      <c r="E545" s="2" t="s">
        <v>15445</v>
      </c>
      <c r="F545" s="2" t="s">
        <v>15442</v>
      </c>
      <c r="G545" s="2" t="s">
        <v>15443</v>
      </c>
      <c r="H545" s="2" t="s">
        <v>15444</v>
      </c>
    </row>
    <row r="546">
      <c r="A546" s="2">
        <v>544.0</v>
      </c>
      <c r="B546" s="5" t="s">
        <v>850</v>
      </c>
      <c r="C546" s="2" t="s">
        <v>851</v>
      </c>
      <c r="D546" s="5" t="s">
        <v>850</v>
      </c>
      <c r="E546" s="2" t="s">
        <v>15445</v>
      </c>
      <c r="F546" s="2" t="s">
        <v>15446</v>
      </c>
      <c r="G546" s="2" t="s">
        <v>15456</v>
      </c>
      <c r="H546" s="2" t="s">
        <v>15444</v>
      </c>
    </row>
    <row r="547">
      <c r="A547" s="2">
        <v>545.0</v>
      </c>
      <c r="B547" s="5" t="s">
        <v>853</v>
      </c>
      <c r="C547" s="2" t="s">
        <v>854</v>
      </c>
      <c r="D547" s="5" t="s">
        <v>853</v>
      </c>
      <c r="E547" s="2" t="s">
        <v>15445</v>
      </c>
      <c r="F547" s="2" t="s">
        <v>15446</v>
      </c>
      <c r="G547" s="2" t="s">
        <v>15456</v>
      </c>
      <c r="H547" s="2" t="s">
        <v>15444</v>
      </c>
    </row>
    <row r="548">
      <c r="A548" s="2">
        <v>546.0</v>
      </c>
      <c r="B548" s="5" t="s">
        <v>856</v>
      </c>
      <c r="C548" s="2" t="s">
        <v>857</v>
      </c>
      <c r="D548" s="5" t="s">
        <v>856</v>
      </c>
      <c r="E548" s="2" t="s">
        <v>15445</v>
      </c>
      <c r="F548" s="2" t="s">
        <v>15446</v>
      </c>
      <c r="G548" s="2" t="s">
        <v>15456</v>
      </c>
      <c r="H548" s="2" t="s">
        <v>15457</v>
      </c>
    </row>
    <row r="549">
      <c r="A549" s="2">
        <v>547.0</v>
      </c>
      <c r="B549" s="5" t="s">
        <v>859</v>
      </c>
      <c r="C549" s="2" t="s">
        <v>860</v>
      </c>
      <c r="D549" s="5" t="s">
        <v>859</v>
      </c>
      <c r="E549" s="2" t="s">
        <v>15445</v>
      </c>
      <c r="F549" s="2" t="s">
        <v>15446</v>
      </c>
      <c r="G549" s="2" t="s">
        <v>15456</v>
      </c>
      <c r="H549" s="2" t="s">
        <v>15444</v>
      </c>
    </row>
    <row r="550">
      <c r="A550" s="2">
        <v>548.0</v>
      </c>
      <c r="B550" s="5" t="s">
        <v>862</v>
      </c>
      <c r="C550" s="2" t="s">
        <v>863</v>
      </c>
      <c r="D550" s="5" t="s">
        <v>862</v>
      </c>
      <c r="E550" s="2" t="s">
        <v>15445</v>
      </c>
      <c r="F550" s="2" t="s">
        <v>15442</v>
      </c>
      <c r="G550" s="2" t="s">
        <v>15443</v>
      </c>
      <c r="H550" s="2" t="s">
        <v>15444</v>
      </c>
    </row>
    <row r="551">
      <c r="A551" s="2">
        <v>549.0</v>
      </c>
      <c r="B551" s="5" t="s">
        <v>9847</v>
      </c>
      <c r="C551" s="2" t="s">
        <v>9848</v>
      </c>
      <c r="D551" s="5" t="s">
        <v>9847</v>
      </c>
      <c r="E551" s="2" t="s">
        <v>15441</v>
      </c>
      <c r="F551" s="2" t="s">
        <v>15446</v>
      </c>
      <c r="G551" s="2" t="s">
        <v>15456</v>
      </c>
      <c r="H551" s="2" t="s">
        <v>15455</v>
      </c>
    </row>
    <row r="552">
      <c r="A552" s="2">
        <v>550.0</v>
      </c>
      <c r="B552" s="5" t="s">
        <v>9849</v>
      </c>
      <c r="C552" s="2" t="s">
        <v>9850</v>
      </c>
      <c r="D552" s="5" t="s">
        <v>9849</v>
      </c>
      <c r="E552" s="2" t="s">
        <v>15441</v>
      </c>
      <c r="F552" s="2" t="s">
        <v>15446</v>
      </c>
      <c r="G552" s="2" t="s">
        <v>15456</v>
      </c>
      <c r="H552" s="2" t="s">
        <v>15444</v>
      </c>
    </row>
    <row r="553">
      <c r="A553" s="2">
        <v>551.0</v>
      </c>
      <c r="B553" s="5" t="s">
        <v>865</v>
      </c>
      <c r="C553" s="2" t="s">
        <v>866</v>
      </c>
      <c r="D553" s="5" t="s">
        <v>865</v>
      </c>
      <c r="E553" s="2" t="s">
        <v>15445</v>
      </c>
      <c r="F553" s="2" t="s">
        <v>15442</v>
      </c>
      <c r="G553" s="2" t="s">
        <v>15443</v>
      </c>
      <c r="H553" s="2" t="s">
        <v>15444</v>
      </c>
    </row>
    <row r="554">
      <c r="A554" s="2">
        <v>552.0</v>
      </c>
      <c r="B554" s="5" t="s">
        <v>868</v>
      </c>
      <c r="C554" s="2" t="s">
        <v>869</v>
      </c>
      <c r="D554" s="5" t="s">
        <v>868</v>
      </c>
      <c r="E554" s="2" t="s">
        <v>15445</v>
      </c>
      <c r="F554" s="2" t="s">
        <v>15446</v>
      </c>
      <c r="G554" s="2" t="s">
        <v>15443</v>
      </c>
      <c r="H554" s="2" t="s">
        <v>15444</v>
      </c>
    </row>
    <row r="555">
      <c r="A555" s="2">
        <v>553.0</v>
      </c>
      <c r="B555" s="5" t="s">
        <v>9851</v>
      </c>
      <c r="C555" s="2" t="s">
        <v>9852</v>
      </c>
      <c r="D555" s="5" t="s">
        <v>9851</v>
      </c>
      <c r="E555" s="2" t="s">
        <v>15441</v>
      </c>
      <c r="F555" s="2" t="s">
        <v>15446</v>
      </c>
      <c r="G555" s="2" t="s">
        <v>15443</v>
      </c>
      <c r="H555" s="2" t="s">
        <v>15444</v>
      </c>
    </row>
    <row r="556">
      <c r="A556" s="2">
        <v>554.0</v>
      </c>
      <c r="B556" s="5" t="s">
        <v>871</v>
      </c>
      <c r="C556" s="2" t="s">
        <v>872</v>
      </c>
      <c r="D556" s="5" t="s">
        <v>871</v>
      </c>
      <c r="E556" s="2" t="s">
        <v>15445</v>
      </c>
      <c r="F556" s="2" t="s">
        <v>15442</v>
      </c>
      <c r="G556" s="2" t="s">
        <v>15443</v>
      </c>
      <c r="H556" s="2" t="s">
        <v>15444</v>
      </c>
    </row>
    <row r="557">
      <c r="A557" s="2">
        <v>555.0</v>
      </c>
      <c r="B557" s="5" t="s">
        <v>874</v>
      </c>
      <c r="C557" s="2" t="s">
        <v>875</v>
      </c>
      <c r="D557" s="5" t="s">
        <v>874</v>
      </c>
      <c r="E557" s="2" t="s">
        <v>15445</v>
      </c>
      <c r="F557" s="2" t="s">
        <v>15442</v>
      </c>
      <c r="G557" s="2" t="s">
        <v>15443</v>
      </c>
      <c r="H557" s="2" t="s">
        <v>15444</v>
      </c>
    </row>
    <row r="558">
      <c r="A558" s="2">
        <v>556.0</v>
      </c>
      <c r="B558" s="5" t="s">
        <v>877</v>
      </c>
      <c r="C558" s="2" t="s">
        <v>878</v>
      </c>
      <c r="D558" s="5" t="s">
        <v>877</v>
      </c>
      <c r="E558" s="2" t="s">
        <v>15445</v>
      </c>
      <c r="F558" s="2" t="s">
        <v>15442</v>
      </c>
      <c r="G558" s="2" t="s">
        <v>15456</v>
      </c>
      <c r="H558" s="2" t="s">
        <v>15444</v>
      </c>
    </row>
    <row r="559">
      <c r="A559" s="2">
        <v>557.0</v>
      </c>
      <c r="B559" s="5" t="s">
        <v>9853</v>
      </c>
      <c r="C559" s="2" t="s">
        <v>9854</v>
      </c>
      <c r="D559" s="5" t="s">
        <v>9853</v>
      </c>
      <c r="E559" s="2" t="s">
        <v>15441</v>
      </c>
      <c r="F559" s="2" t="s">
        <v>15446</v>
      </c>
      <c r="G559" s="2" t="s">
        <v>15443</v>
      </c>
      <c r="H559" s="2" t="s">
        <v>15444</v>
      </c>
    </row>
    <row r="560">
      <c r="A560" s="2">
        <v>558.0</v>
      </c>
      <c r="B560" s="5" t="s">
        <v>880</v>
      </c>
      <c r="C560" s="2" t="s">
        <v>881</v>
      </c>
      <c r="D560" s="5" t="s">
        <v>880</v>
      </c>
      <c r="E560" s="2" t="s">
        <v>15445</v>
      </c>
      <c r="F560" s="2" t="s">
        <v>15446</v>
      </c>
      <c r="G560" s="2" t="s">
        <v>15456</v>
      </c>
      <c r="H560" s="2" t="s">
        <v>15457</v>
      </c>
    </row>
    <row r="561">
      <c r="A561" s="2">
        <v>559.0</v>
      </c>
      <c r="B561" s="5" t="s">
        <v>9855</v>
      </c>
      <c r="C561" s="2" t="s">
        <v>9856</v>
      </c>
      <c r="D561" s="5" t="s">
        <v>9855</v>
      </c>
      <c r="E561" s="2" t="s">
        <v>15441</v>
      </c>
      <c r="F561" s="2" t="s">
        <v>15442</v>
      </c>
      <c r="G561" s="2" t="s">
        <v>15443</v>
      </c>
      <c r="H561" s="2" t="s">
        <v>15444</v>
      </c>
    </row>
    <row r="562">
      <c r="A562" s="2">
        <v>560.0</v>
      </c>
      <c r="B562" s="5" t="s">
        <v>883</v>
      </c>
      <c r="C562" s="2" t="s">
        <v>884</v>
      </c>
      <c r="D562" s="5" t="s">
        <v>883</v>
      </c>
      <c r="E562" s="2" t="s">
        <v>15445</v>
      </c>
      <c r="F562" s="2" t="s">
        <v>15442</v>
      </c>
      <c r="G562" s="2" t="s">
        <v>15443</v>
      </c>
      <c r="H562" s="2" t="s">
        <v>15444</v>
      </c>
    </row>
    <row r="563">
      <c r="A563" s="2">
        <v>561.0</v>
      </c>
      <c r="B563" s="5" t="s">
        <v>886</v>
      </c>
      <c r="C563" s="2" t="s">
        <v>887</v>
      </c>
      <c r="D563" s="5" t="s">
        <v>886</v>
      </c>
      <c r="E563" s="2" t="s">
        <v>15445</v>
      </c>
      <c r="F563" s="2" t="s">
        <v>15442</v>
      </c>
      <c r="G563" s="2" t="s">
        <v>15443</v>
      </c>
      <c r="H563" s="2" t="s">
        <v>15444</v>
      </c>
    </row>
    <row r="564">
      <c r="A564" s="2">
        <v>562.0</v>
      </c>
      <c r="B564" s="5" t="s">
        <v>9857</v>
      </c>
      <c r="C564" s="2" t="s">
        <v>9858</v>
      </c>
      <c r="D564" s="5" t="s">
        <v>9857</v>
      </c>
      <c r="E564" s="2" t="s">
        <v>15441</v>
      </c>
      <c r="F564" s="2" t="s">
        <v>15446</v>
      </c>
      <c r="G564" s="2" t="s">
        <v>15443</v>
      </c>
      <c r="H564" s="2" t="s">
        <v>15444</v>
      </c>
    </row>
    <row r="565">
      <c r="A565" s="2">
        <v>563.0</v>
      </c>
      <c r="B565" s="5" t="s">
        <v>889</v>
      </c>
      <c r="C565" s="2" t="s">
        <v>890</v>
      </c>
      <c r="D565" s="5" t="s">
        <v>889</v>
      </c>
      <c r="E565" s="2" t="s">
        <v>15445</v>
      </c>
      <c r="F565" s="2" t="s">
        <v>15442</v>
      </c>
      <c r="G565" s="2" t="s">
        <v>15443</v>
      </c>
      <c r="H565" s="2" t="s">
        <v>15444</v>
      </c>
    </row>
    <row r="566">
      <c r="A566" s="2">
        <v>564.0</v>
      </c>
      <c r="B566" s="5" t="s">
        <v>9859</v>
      </c>
      <c r="C566" s="2" t="s">
        <v>9860</v>
      </c>
      <c r="D566" s="5" t="s">
        <v>9859</v>
      </c>
      <c r="E566" s="2" t="s">
        <v>15441</v>
      </c>
      <c r="F566" s="2" t="s">
        <v>15446</v>
      </c>
      <c r="G566" s="2" t="s">
        <v>15456</v>
      </c>
      <c r="H566" s="2" t="s">
        <v>15444</v>
      </c>
    </row>
    <row r="567">
      <c r="A567" s="2">
        <v>565.0</v>
      </c>
      <c r="B567" s="5" t="s">
        <v>892</v>
      </c>
      <c r="C567" s="2" t="s">
        <v>893</v>
      </c>
      <c r="D567" s="5" t="s">
        <v>892</v>
      </c>
      <c r="E567" s="2" t="s">
        <v>15445</v>
      </c>
      <c r="F567" s="2" t="s">
        <v>15442</v>
      </c>
      <c r="G567" s="2" t="s">
        <v>15443</v>
      </c>
      <c r="H567" s="2" t="s">
        <v>15444</v>
      </c>
    </row>
    <row r="568">
      <c r="A568" s="2">
        <v>566.0</v>
      </c>
      <c r="B568" s="5" t="s">
        <v>895</v>
      </c>
      <c r="C568" s="2" t="s">
        <v>896</v>
      </c>
      <c r="D568" s="5" t="s">
        <v>895</v>
      </c>
      <c r="E568" s="2" t="s">
        <v>15445</v>
      </c>
      <c r="F568" s="2" t="s">
        <v>15442</v>
      </c>
      <c r="G568" s="2" t="s">
        <v>15456</v>
      </c>
      <c r="H568" s="2" t="s">
        <v>15444</v>
      </c>
    </row>
    <row r="569">
      <c r="A569" s="2">
        <v>567.0</v>
      </c>
      <c r="B569" s="5" t="s">
        <v>9861</v>
      </c>
      <c r="C569" s="2" t="s">
        <v>9862</v>
      </c>
      <c r="D569" s="5" t="s">
        <v>9861</v>
      </c>
      <c r="E569" s="2" t="s">
        <v>15441</v>
      </c>
      <c r="F569" s="2" t="s">
        <v>15446</v>
      </c>
      <c r="G569" s="2" t="s">
        <v>15456</v>
      </c>
      <c r="H569" s="2" t="s">
        <v>15444</v>
      </c>
    </row>
    <row r="570">
      <c r="A570" s="2">
        <v>568.0</v>
      </c>
      <c r="B570" s="5" t="s">
        <v>898</v>
      </c>
      <c r="C570" s="2" t="s">
        <v>899</v>
      </c>
      <c r="D570" s="5" t="s">
        <v>898</v>
      </c>
      <c r="E570" s="2" t="s">
        <v>15445</v>
      </c>
      <c r="F570" s="2" t="s">
        <v>15446</v>
      </c>
      <c r="G570" s="2" t="s">
        <v>15443</v>
      </c>
      <c r="H570" s="2" t="s">
        <v>15444</v>
      </c>
    </row>
    <row r="571">
      <c r="A571" s="2">
        <v>569.0</v>
      </c>
      <c r="B571" s="5" t="s">
        <v>9863</v>
      </c>
      <c r="C571" s="2" t="s">
        <v>9864</v>
      </c>
      <c r="D571" s="5" t="s">
        <v>9863</v>
      </c>
      <c r="E571" s="2" t="s">
        <v>15441</v>
      </c>
      <c r="F571" s="2" t="s">
        <v>15446</v>
      </c>
      <c r="G571" s="2" t="s">
        <v>15443</v>
      </c>
      <c r="H571" s="2" t="s">
        <v>15444</v>
      </c>
    </row>
    <row r="572">
      <c r="A572" s="2">
        <v>570.0</v>
      </c>
      <c r="B572" s="5" t="s">
        <v>901</v>
      </c>
      <c r="C572" s="2" t="s">
        <v>902</v>
      </c>
      <c r="D572" s="5" t="s">
        <v>901</v>
      </c>
      <c r="E572" s="2" t="s">
        <v>15445</v>
      </c>
      <c r="F572" s="2" t="s">
        <v>15442</v>
      </c>
      <c r="G572" s="2" t="s">
        <v>15456</v>
      </c>
      <c r="H572" s="2" t="s">
        <v>15457</v>
      </c>
    </row>
    <row r="573">
      <c r="A573" s="2">
        <v>571.0</v>
      </c>
      <c r="B573" s="5" t="s">
        <v>904</v>
      </c>
      <c r="C573" s="2" t="s">
        <v>905</v>
      </c>
      <c r="D573" s="5" t="s">
        <v>904</v>
      </c>
      <c r="E573" s="2" t="s">
        <v>15445</v>
      </c>
      <c r="F573" s="2" t="s">
        <v>15442</v>
      </c>
      <c r="G573" s="2" t="s">
        <v>15456</v>
      </c>
      <c r="H573" s="2" t="s">
        <v>15444</v>
      </c>
    </row>
    <row r="574">
      <c r="A574" s="2">
        <v>572.0</v>
      </c>
      <c r="B574" s="5" t="s">
        <v>9865</v>
      </c>
      <c r="C574" s="2" t="s">
        <v>9866</v>
      </c>
      <c r="D574" s="5" t="s">
        <v>9865</v>
      </c>
      <c r="E574" s="2" t="s">
        <v>15441</v>
      </c>
      <c r="F574" s="2" t="s">
        <v>15442</v>
      </c>
      <c r="G574" s="2" t="s">
        <v>15456</v>
      </c>
      <c r="H574" s="2" t="s">
        <v>15461</v>
      </c>
    </row>
    <row r="575">
      <c r="A575" s="2">
        <v>573.0</v>
      </c>
      <c r="B575" s="5" t="s">
        <v>907</v>
      </c>
      <c r="C575" s="2" t="s">
        <v>908</v>
      </c>
      <c r="D575" s="5" t="s">
        <v>907</v>
      </c>
      <c r="E575" s="2" t="s">
        <v>15445</v>
      </c>
      <c r="F575" s="2" t="s">
        <v>15446</v>
      </c>
      <c r="G575" s="2" t="s">
        <v>15443</v>
      </c>
      <c r="H575" s="2" t="s">
        <v>15462</v>
      </c>
    </row>
    <row r="576">
      <c r="A576" s="2">
        <v>574.0</v>
      </c>
      <c r="B576" s="5" t="s">
        <v>9867</v>
      </c>
      <c r="C576" s="2" t="s">
        <v>9868</v>
      </c>
      <c r="D576" s="5" t="s">
        <v>9867</v>
      </c>
      <c r="E576" s="2" t="s">
        <v>15441</v>
      </c>
      <c r="F576" s="2" t="s">
        <v>15442</v>
      </c>
      <c r="G576" s="2" t="s">
        <v>15456</v>
      </c>
      <c r="H576" s="2" t="s">
        <v>15457</v>
      </c>
    </row>
    <row r="577">
      <c r="A577" s="2">
        <v>575.0</v>
      </c>
      <c r="B577" s="5" t="s">
        <v>9869</v>
      </c>
      <c r="C577" s="2" t="s">
        <v>9870</v>
      </c>
      <c r="D577" s="5" t="s">
        <v>9869</v>
      </c>
      <c r="E577" s="2" t="s">
        <v>15441</v>
      </c>
      <c r="F577" s="2" t="s">
        <v>15446</v>
      </c>
      <c r="G577" s="2" t="s">
        <v>15443</v>
      </c>
      <c r="H577" s="2" t="s">
        <v>15444</v>
      </c>
    </row>
    <row r="578">
      <c r="A578" s="2">
        <v>576.0</v>
      </c>
      <c r="B578" s="5" t="s">
        <v>910</v>
      </c>
      <c r="C578" s="2" t="s">
        <v>911</v>
      </c>
      <c r="D578" s="5" t="s">
        <v>910</v>
      </c>
      <c r="E578" s="2" t="s">
        <v>15445</v>
      </c>
      <c r="F578" s="2" t="s">
        <v>15446</v>
      </c>
      <c r="G578" s="2" t="s">
        <v>15456</v>
      </c>
      <c r="H578" s="2" t="s">
        <v>15444</v>
      </c>
    </row>
    <row r="579">
      <c r="A579" s="2">
        <v>577.0</v>
      </c>
      <c r="B579" s="5" t="s">
        <v>913</v>
      </c>
      <c r="C579" s="2" t="s">
        <v>914</v>
      </c>
      <c r="D579" s="5" t="s">
        <v>913</v>
      </c>
      <c r="E579" s="2" t="s">
        <v>15445</v>
      </c>
      <c r="F579" s="2" t="s">
        <v>15446</v>
      </c>
      <c r="G579" s="2" t="s">
        <v>15456</v>
      </c>
      <c r="H579" s="2" t="s">
        <v>15444</v>
      </c>
    </row>
    <row r="580">
      <c r="A580" s="2">
        <v>578.0</v>
      </c>
      <c r="B580" s="5" t="s">
        <v>916</v>
      </c>
      <c r="C580" s="2" t="s">
        <v>917</v>
      </c>
      <c r="D580" s="5" t="s">
        <v>916</v>
      </c>
      <c r="E580" s="2" t="s">
        <v>15445</v>
      </c>
      <c r="F580" s="2" t="s">
        <v>15442</v>
      </c>
      <c r="G580" s="2" t="s">
        <v>15443</v>
      </c>
      <c r="H580" s="2" t="s">
        <v>15444</v>
      </c>
    </row>
    <row r="581">
      <c r="A581" s="2">
        <v>579.0</v>
      </c>
      <c r="B581" s="5" t="s">
        <v>919</v>
      </c>
      <c r="C581" s="2" t="s">
        <v>920</v>
      </c>
      <c r="D581" s="5" t="s">
        <v>919</v>
      </c>
      <c r="E581" s="2" t="s">
        <v>15445</v>
      </c>
      <c r="F581" s="2" t="s">
        <v>15442</v>
      </c>
      <c r="G581" s="2" t="s">
        <v>15456</v>
      </c>
      <c r="H581" s="2" t="s">
        <v>15444</v>
      </c>
    </row>
    <row r="582">
      <c r="A582" s="2">
        <v>580.0</v>
      </c>
      <c r="B582" s="5" t="s">
        <v>922</v>
      </c>
      <c r="C582" s="2" t="s">
        <v>923</v>
      </c>
      <c r="D582" s="5" t="s">
        <v>922</v>
      </c>
      <c r="E582" s="2" t="s">
        <v>15445</v>
      </c>
      <c r="F582" s="2" t="s">
        <v>15446</v>
      </c>
      <c r="G582" s="2" t="s">
        <v>15456</v>
      </c>
      <c r="H582" s="2" t="s">
        <v>15444</v>
      </c>
    </row>
    <row r="583">
      <c r="A583" s="2">
        <v>581.0</v>
      </c>
      <c r="B583" s="5" t="s">
        <v>9871</v>
      </c>
      <c r="C583" s="2" t="s">
        <v>9872</v>
      </c>
      <c r="D583" s="5" t="s">
        <v>9871</v>
      </c>
      <c r="E583" s="2" t="s">
        <v>15441</v>
      </c>
      <c r="F583" s="2" t="s">
        <v>15446</v>
      </c>
      <c r="G583" s="2" t="s">
        <v>15456</v>
      </c>
      <c r="H583" s="2" t="s">
        <v>15444</v>
      </c>
    </row>
    <row r="584">
      <c r="A584" s="2">
        <v>582.0</v>
      </c>
      <c r="B584" s="5" t="s">
        <v>9873</v>
      </c>
      <c r="C584" s="2" t="s">
        <v>9874</v>
      </c>
      <c r="D584" s="5" t="s">
        <v>9873</v>
      </c>
      <c r="E584" s="2" t="s">
        <v>15441</v>
      </c>
      <c r="F584" s="2" t="s">
        <v>15442</v>
      </c>
      <c r="G584" s="2" t="s">
        <v>15456</v>
      </c>
      <c r="H584" s="2" t="s">
        <v>15444</v>
      </c>
    </row>
    <row r="585">
      <c r="A585" s="2">
        <v>583.0</v>
      </c>
      <c r="B585" s="5" t="s">
        <v>925</v>
      </c>
      <c r="C585" s="2" t="s">
        <v>926</v>
      </c>
      <c r="D585" s="5" t="s">
        <v>925</v>
      </c>
      <c r="E585" s="2" t="s">
        <v>15445</v>
      </c>
      <c r="F585" s="2" t="s">
        <v>15446</v>
      </c>
      <c r="G585" s="2" t="s">
        <v>15456</v>
      </c>
      <c r="H585" s="2" t="s">
        <v>15444</v>
      </c>
    </row>
    <row r="586">
      <c r="A586" s="2">
        <v>584.0</v>
      </c>
      <c r="B586" s="5" t="s">
        <v>928</v>
      </c>
      <c r="C586" s="2" t="s">
        <v>929</v>
      </c>
      <c r="D586" s="5" t="s">
        <v>928</v>
      </c>
      <c r="E586" s="2" t="s">
        <v>15445</v>
      </c>
      <c r="F586" s="2" t="s">
        <v>15446</v>
      </c>
      <c r="G586" s="2" t="s">
        <v>15443</v>
      </c>
      <c r="H586" s="2" t="s">
        <v>15444</v>
      </c>
    </row>
    <row r="587">
      <c r="A587" s="2">
        <v>585.0</v>
      </c>
      <c r="B587" s="5" t="s">
        <v>9875</v>
      </c>
      <c r="C587" s="2" t="s">
        <v>9876</v>
      </c>
      <c r="D587" s="5" t="s">
        <v>9875</v>
      </c>
      <c r="E587" s="2" t="s">
        <v>15441</v>
      </c>
      <c r="F587" s="2" t="s">
        <v>15442</v>
      </c>
      <c r="G587" s="2" t="s">
        <v>15456</v>
      </c>
      <c r="H587" s="2" t="s">
        <v>15444</v>
      </c>
    </row>
    <row r="588">
      <c r="A588" s="2">
        <v>586.0</v>
      </c>
      <c r="B588" s="5" t="s">
        <v>9877</v>
      </c>
      <c r="C588" s="2" t="s">
        <v>9878</v>
      </c>
      <c r="D588" s="5" t="s">
        <v>9877</v>
      </c>
      <c r="E588" s="2" t="s">
        <v>15441</v>
      </c>
      <c r="F588" s="2" t="s">
        <v>15446</v>
      </c>
      <c r="G588" s="2" t="s">
        <v>15456</v>
      </c>
      <c r="H588" s="2" t="s">
        <v>15444</v>
      </c>
    </row>
    <row r="589">
      <c r="A589" s="2">
        <v>587.0</v>
      </c>
      <c r="B589" s="5" t="s">
        <v>931</v>
      </c>
      <c r="C589" s="2" t="s">
        <v>932</v>
      </c>
      <c r="D589" s="5" t="s">
        <v>931</v>
      </c>
      <c r="E589" s="2" t="s">
        <v>15445</v>
      </c>
      <c r="F589" s="2" t="s">
        <v>15442</v>
      </c>
      <c r="G589" s="2" t="s">
        <v>15443</v>
      </c>
      <c r="H589" s="2" t="s">
        <v>15461</v>
      </c>
    </row>
    <row r="590">
      <c r="A590" s="2">
        <v>588.0</v>
      </c>
      <c r="B590" s="5" t="s">
        <v>933</v>
      </c>
      <c r="C590" s="2" t="s">
        <v>934</v>
      </c>
      <c r="D590" s="5" t="s">
        <v>933</v>
      </c>
      <c r="E590" s="2" t="s">
        <v>15445</v>
      </c>
      <c r="F590" s="2" t="s">
        <v>15446</v>
      </c>
      <c r="G590" s="2" t="s">
        <v>15443</v>
      </c>
      <c r="H590" s="2" t="s">
        <v>15444</v>
      </c>
    </row>
    <row r="591">
      <c r="A591" s="2">
        <v>589.0</v>
      </c>
      <c r="B591" s="5" t="s">
        <v>9879</v>
      </c>
      <c r="C591" s="2" t="s">
        <v>9880</v>
      </c>
      <c r="D591" s="5" t="s">
        <v>9879</v>
      </c>
      <c r="E591" s="2" t="s">
        <v>15441</v>
      </c>
      <c r="F591" s="2" t="s">
        <v>15446</v>
      </c>
      <c r="G591" s="2" t="s">
        <v>15456</v>
      </c>
      <c r="H591" s="2" t="s">
        <v>15444</v>
      </c>
    </row>
    <row r="592">
      <c r="A592" s="2">
        <v>590.0</v>
      </c>
      <c r="B592" s="5" t="s">
        <v>936</v>
      </c>
      <c r="C592" s="2" t="s">
        <v>937</v>
      </c>
      <c r="D592" s="5" t="s">
        <v>936</v>
      </c>
      <c r="E592" s="2" t="s">
        <v>15445</v>
      </c>
      <c r="F592" s="2" t="s">
        <v>15442</v>
      </c>
      <c r="G592" s="2" t="s">
        <v>15456</v>
      </c>
      <c r="H592" s="2" t="s">
        <v>15444</v>
      </c>
    </row>
    <row r="593">
      <c r="A593" s="2">
        <v>591.0</v>
      </c>
      <c r="B593" s="5" t="s">
        <v>9881</v>
      </c>
      <c r="C593" s="2" t="s">
        <v>9882</v>
      </c>
      <c r="D593" s="5" t="s">
        <v>9881</v>
      </c>
      <c r="E593" s="2" t="s">
        <v>15441</v>
      </c>
      <c r="F593" s="2" t="s">
        <v>15446</v>
      </c>
      <c r="G593" s="2" t="s">
        <v>15456</v>
      </c>
      <c r="H593" s="2" t="s">
        <v>15444</v>
      </c>
    </row>
    <row r="594">
      <c r="A594" s="2">
        <v>592.0</v>
      </c>
      <c r="B594" s="5" t="s">
        <v>939</v>
      </c>
      <c r="C594" s="2" t="s">
        <v>940</v>
      </c>
      <c r="D594" s="5" t="s">
        <v>939</v>
      </c>
      <c r="E594" s="2" t="s">
        <v>15445</v>
      </c>
      <c r="F594" s="2" t="s">
        <v>15446</v>
      </c>
      <c r="G594" s="2" t="s">
        <v>15443</v>
      </c>
      <c r="H594" s="2" t="s">
        <v>15444</v>
      </c>
    </row>
    <row r="595">
      <c r="A595" s="2">
        <v>593.0</v>
      </c>
      <c r="B595" s="5" t="s">
        <v>942</v>
      </c>
      <c r="C595" s="2" t="s">
        <v>943</v>
      </c>
      <c r="D595" s="5" t="s">
        <v>942</v>
      </c>
      <c r="E595" s="2" t="s">
        <v>15445</v>
      </c>
      <c r="F595" s="2" t="s">
        <v>15442</v>
      </c>
      <c r="G595" s="2" t="s">
        <v>15443</v>
      </c>
      <c r="H595" s="2" t="s">
        <v>15444</v>
      </c>
    </row>
    <row r="596">
      <c r="A596" s="2">
        <v>594.0</v>
      </c>
      <c r="B596" s="5" t="s">
        <v>9883</v>
      </c>
      <c r="C596" s="2" t="s">
        <v>9884</v>
      </c>
      <c r="D596" s="5" t="s">
        <v>9883</v>
      </c>
      <c r="E596" s="2" t="s">
        <v>15441</v>
      </c>
      <c r="F596" s="2" t="s">
        <v>15446</v>
      </c>
      <c r="G596" s="2" t="s">
        <v>15443</v>
      </c>
      <c r="H596" s="2" t="s">
        <v>15444</v>
      </c>
    </row>
    <row r="597">
      <c r="A597" s="2">
        <v>595.0</v>
      </c>
      <c r="B597" s="5" t="s">
        <v>9885</v>
      </c>
      <c r="C597" s="2" t="s">
        <v>9886</v>
      </c>
      <c r="D597" s="5" t="s">
        <v>9885</v>
      </c>
      <c r="E597" s="2" t="s">
        <v>15441</v>
      </c>
      <c r="F597" s="2" t="s">
        <v>15442</v>
      </c>
      <c r="G597" s="2" t="s">
        <v>15443</v>
      </c>
      <c r="H597" s="2" t="s">
        <v>15444</v>
      </c>
    </row>
    <row r="598">
      <c r="A598" s="2">
        <v>596.0</v>
      </c>
      <c r="B598" s="5" t="s">
        <v>945</v>
      </c>
      <c r="C598" s="2" t="s">
        <v>946</v>
      </c>
      <c r="D598" s="5" t="s">
        <v>945</v>
      </c>
      <c r="E598" s="2" t="s">
        <v>15445</v>
      </c>
      <c r="F598" s="2" t="s">
        <v>15442</v>
      </c>
      <c r="G598" s="2" t="s">
        <v>15443</v>
      </c>
      <c r="H598" s="2" t="s">
        <v>15444</v>
      </c>
    </row>
    <row r="599">
      <c r="A599" s="2">
        <v>597.0</v>
      </c>
      <c r="B599" s="5" t="s">
        <v>948</v>
      </c>
      <c r="C599" s="2" t="s">
        <v>949</v>
      </c>
      <c r="D599" s="5" t="s">
        <v>948</v>
      </c>
      <c r="E599" s="2" t="s">
        <v>15445</v>
      </c>
      <c r="F599" s="2" t="s">
        <v>15446</v>
      </c>
      <c r="G599" s="2" t="s">
        <v>15456</v>
      </c>
      <c r="H599" s="2" t="s">
        <v>15444</v>
      </c>
    </row>
    <row r="600">
      <c r="A600" s="2">
        <v>598.0</v>
      </c>
      <c r="B600" s="5" t="s">
        <v>951</v>
      </c>
      <c r="C600" s="2" t="s">
        <v>952</v>
      </c>
      <c r="D600" s="5" t="s">
        <v>951</v>
      </c>
      <c r="E600" s="2" t="s">
        <v>15445</v>
      </c>
      <c r="F600" s="2" t="s">
        <v>15446</v>
      </c>
      <c r="G600" s="2" t="s">
        <v>15443</v>
      </c>
      <c r="H600" s="2" t="s">
        <v>15444</v>
      </c>
    </row>
    <row r="601">
      <c r="A601" s="2">
        <v>599.0</v>
      </c>
      <c r="B601" s="5" t="s">
        <v>954</v>
      </c>
      <c r="C601" s="2" t="s">
        <v>955</v>
      </c>
      <c r="D601" s="5" t="s">
        <v>954</v>
      </c>
      <c r="E601" s="2" t="s">
        <v>15445</v>
      </c>
      <c r="F601" s="2" t="s">
        <v>15442</v>
      </c>
      <c r="G601" s="2" t="s">
        <v>15443</v>
      </c>
      <c r="H601" s="2" t="s">
        <v>15444</v>
      </c>
    </row>
    <row r="602">
      <c r="A602" s="2">
        <v>600.0</v>
      </c>
      <c r="B602" s="5" t="s">
        <v>957</v>
      </c>
      <c r="C602" s="2" t="s">
        <v>958</v>
      </c>
      <c r="D602" s="5" t="s">
        <v>957</v>
      </c>
      <c r="E602" s="2" t="s">
        <v>15445</v>
      </c>
      <c r="F602" s="2" t="s">
        <v>15442</v>
      </c>
      <c r="G602" s="2" t="s">
        <v>15456</v>
      </c>
      <c r="H602" s="2" t="s">
        <v>15444</v>
      </c>
    </row>
    <row r="603">
      <c r="A603" s="2">
        <v>601.0</v>
      </c>
      <c r="B603" s="5" t="s">
        <v>9887</v>
      </c>
      <c r="C603" s="2" t="s">
        <v>9888</v>
      </c>
      <c r="D603" s="5" t="s">
        <v>9887</v>
      </c>
      <c r="E603" s="2" t="s">
        <v>15441</v>
      </c>
      <c r="F603" s="2" t="s">
        <v>15442</v>
      </c>
      <c r="G603" s="2" t="s">
        <v>15443</v>
      </c>
      <c r="H603" s="2" t="s">
        <v>15444</v>
      </c>
    </row>
    <row r="604">
      <c r="A604" s="2">
        <v>602.0</v>
      </c>
      <c r="B604" s="5" t="s">
        <v>9889</v>
      </c>
      <c r="C604" s="2" t="s">
        <v>9890</v>
      </c>
      <c r="D604" s="5" t="s">
        <v>9889</v>
      </c>
      <c r="E604" s="2" t="s">
        <v>15441</v>
      </c>
      <c r="F604" s="2" t="s">
        <v>15442</v>
      </c>
      <c r="G604" s="2" t="s">
        <v>15456</v>
      </c>
      <c r="H604" s="2" t="s">
        <v>15444</v>
      </c>
    </row>
    <row r="605">
      <c r="A605" s="2">
        <v>603.0</v>
      </c>
      <c r="B605" s="5" t="s">
        <v>960</v>
      </c>
      <c r="C605" s="2" t="s">
        <v>961</v>
      </c>
      <c r="D605" s="5" t="s">
        <v>960</v>
      </c>
      <c r="E605" s="2" t="s">
        <v>15445</v>
      </c>
      <c r="F605" s="2" t="s">
        <v>15446</v>
      </c>
      <c r="G605" s="2" t="s">
        <v>15443</v>
      </c>
      <c r="H605" s="2" t="s">
        <v>15444</v>
      </c>
    </row>
    <row r="606">
      <c r="A606" s="2">
        <v>604.0</v>
      </c>
      <c r="B606" s="5" t="s">
        <v>9891</v>
      </c>
      <c r="C606" s="2" t="s">
        <v>9892</v>
      </c>
      <c r="D606" s="5" t="s">
        <v>9891</v>
      </c>
      <c r="E606" s="2" t="s">
        <v>15441</v>
      </c>
      <c r="F606" s="2" t="s">
        <v>15442</v>
      </c>
      <c r="G606" s="2" t="s">
        <v>15443</v>
      </c>
      <c r="H606" s="2" t="s">
        <v>15444</v>
      </c>
    </row>
    <row r="607">
      <c r="A607" s="2">
        <v>605.0</v>
      </c>
      <c r="B607" s="5" t="s">
        <v>9893</v>
      </c>
      <c r="C607" s="2" t="s">
        <v>9894</v>
      </c>
      <c r="D607" s="5" t="s">
        <v>9893</v>
      </c>
      <c r="E607" s="2" t="s">
        <v>15441</v>
      </c>
      <c r="F607" s="2" t="s">
        <v>15442</v>
      </c>
      <c r="G607" s="2" t="s">
        <v>15443</v>
      </c>
      <c r="H607" s="2" t="s">
        <v>15444</v>
      </c>
    </row>
    <row r="608">
      <c r="A608" s="2">
        <v>606.0</v>
      </c>
      <c r="B608" s="5" t="s">
        <v>9895</v>
      </c>
      <c r="C608" s="2" t="s">
        <v>9896</v>
      </c>
      <c r="D608" s="5" t="s">
        <v>9895</v>
      </c>
      <c r="E608" s="2" t="s">
        <v>15441</v>
      </c>
      <c r="F608" s="2" t="s">
        <v>15442</v>
      </c>
      <c r="G608" s="2" t="s">
        <v>15443</v>
      </c>
      <c r="H608" s="2" t="s">
        <v>15444</v>
      </c>
    </row>
    <row r="609">
      <c r="A609" s="2">
        <v>607.0</v>
      </c>
      <c r="B609" s="5" t="s">
        <v>9897</v>
      </c>
      <c r="C609" s="2" t="s">
        <v>9898</v>
      </c>
      <c r="D609" s="5" t="s">
        <v>9897</v>
      </c>
      <c r="E609" s="2" t="s">
        <v>15441</v>
      </c>
      <c r="F609" s="2" t="s">
        <v>15446</v>
      </c>
      <c r="G609" s="2" t="s">
        <v>15443</v>
      </c>
      <c r="H609" s="2" t="s">
        <v>15444</v>
      </c>
    </row>
    <row r="610">
      <c r="A610" s="2">
        <v>608.0</v>
      </c>
      <c r="B610" s="5" t="s">
        <v>963</v>
      </c>
      <c r="C610" s="2" t="s">
        <v>964</v>
      </c>
      <c r="D610" s="5" t="s">
        <v>963</v>
      </c>
      <c r="E610" s="2" t="s">
        <v>15445</v>
      </c>
      <c r="F610" s="2" t="s">
        <v>15442</v>
      </c>
      <c r="G610" s="2" t="s">
        <v>15443</v>
      </c>
      <c r="H610" s="2" t="s">
        <v>15444</v>
      </c>
    </row>
    <row r="611">
      <c r="A611" s="2">
        <v>609.0</v>
      </c>
      <c r="B611" s="5" t="s">
        <v>966</v>
      </c>
      <c r="C611" s="2" t="s">
        <v>967</v>
      </c>
      <c r="D611" s="5" t="s">
        <v>966</v>
      </c>
      <c r="E611" s="2" t="s">
        <v>15445</v>
      </c>
      <c r="F611" s="2" t="s">
        <v>15442</v>
      </c>
      <c r="G611" s="2" t="s">
        <v>15443</v>
      </c>
      <c r="H611" s="2" t="s">
        <v>15457</v>
      </c>
    </row>
    <row r="612">
      <c r="A612" s="2">
        <v>610.0</v>
      </c>
      <c r="B612" s="5" t="s">
        <v>9899</v>
      </c>
      <c r="C612" s="2" t="s">
        <v>9900</v>
      </c>
      <c r="D612" s="5" t="s">
        <v>9899</v>
      </c>
      <c r="E612" s="2" t="s">
        <v>15441</v>
      </c>
      <c r="F612" s="2" t="s">
        <v>15446</v>
      </c>
      <c r="G612" s="2" t="s">
        <v>15456</v>
      </c>
      <c r="H612" s="2" t="s">
        <v>15444</v>
      </c>
    </row>
    <row r="613">
      <c r="A613" s="2">
        <v>611.0</v>
      </c>
      <c r="B613" s="5" t="s">
        <v>9901</v>
      </c>
      <c r="C613" s="2" t="s">
        <v>9902</v>
      </c>
      <c r="D613" s="5" t="s">
        <v>9901</v>
      </c>
      <c r="E613" s="2" t="s">
        <v>15441</v>
      </c>
      <c r="F613" s="2" t="s">
        <v>15442</v>
      </c>
      <c r="G613" s="2" t="s">
        <v>15456</v>
      </c>
      <c r="H613" s="2" t="s">
        <v>15444</v>
      </c>
    </row>
    <row r="614">
      <c r="A614" s="2">
        <v>612.0</v>
      </c>
      <c r="B614" s="5" t="s">
        <v>969</v>
      </c>
      <c r="C614" s="2" t="s">
        <v>970</v>
      </c>
      <c r="D614" s="5" t="s">
        <v>969</v>
      </c>
      <c r="E614" s="2" t="s">
        <v>15445</v>
      </c>
      <c r="F614" s="2" t="s">
        <v>15446</v>
      </c>
      <c r="G614" s="2" t="s">
        <v>15456</v>
      </c>
      <c r="H614" s="2" t="s">
        <v>15444</v>
      </c>
    </row>
    <row r="615">
      <c r="A615" s="2">
        <v>613.0</v>
      </c>
      <c r="B615" s="5" t="s">
        <v>972</v>
      </c>
      <c r="C615" s="2" t="s">
        <v>973</v>
      </c>
      <c r="D615" s="5" t="s">
        <v>972</v>
      </c>
      <c r="E615" s="2" t="s">
        <v>15445</v>
      </c>
      <c r="F615" s="2" t="s">
        <v>15446</v>
      </c>
      <c r="G615" s="2" t="s">
        <v>15443</v>
      </c>
      <c r="H615" s="2" t="s">
        <v>15455</v>
      </c>
    </row>
    <row r="616">
      <c r="A616" s="2">
        <v>614.0</v>
      </c>
      <c r="B616" s="5" t="s">
        <v>975</v>
      </c>
      <c r="C616" s="2" t="s">
        <v>976</v>
      </c>
      <c r="D616" s="5" t="s">
        <v>975</v>
      </c>
      <c r="E616" s="2" t="s">
        <v>15445</v>
      </c>
      <c r="F616" s="2" t="s">
        <v>15446</v>
      </c>
      <c r="G616" s="2" t="s">
        <v>15456</v>
      </c>
      <c r="H616" s="2" t="s">
        <v>15444</v>
      </c>
    </row>
    <row r="617">
      <c r="A617" s="2">
        <v>615.0</v>
      </c>
      <c r="B617" s="5" t="s">
        <v>9903</v>
      </c>
      <c r="C617" s="2" t="s">
        <v>9904</v>
      </c>
      <c r="D617" s="5" t="s">
        <v>9903</v>
      </c>
      <c r="E617" s="2" t="s">
        <v>15441</v>
      </c>
      <c r="F617" s="2" t="s">
        <v>15442</v>
      </c>
      <c r="G617" s="2" t="s">
        <v>15456</v>
      </c>
      <c r="H617" s="2" t="s">
        <v>15444</v>
      </c>
    </row>
    <row r="618">
      <c r="A618" s="2">
        <v>616.0</v>
      </c>
      <c r="B618" s="5" t="s">
        <v>978</v>
      </c>
      <c r="C618" s="2" t="s">
        <v>979</v>
      </c>
      <c r="D618" s="5" t="s">
        <v>978</v>
      </c>
      <c r="E618" s="2" t="s">
        <v>15445</v>
      </c>
      <c r="F618" s="2" t="s">
        <v>15446</v>
      </c>
      <c r="G618" s="2" t="s">
        <v>15456</v>
      </c>
      <c r="H618" s="2" t="s">
        <v>15444</v>
      </c>
    </row>
    <row r="619">
      <c r="A619" s="2">
        <v>617.0</v>
      </c>
      <c r="B619" s="5" t="s">
        <v>981</v>
      </c>
      <c r="C619" s="2" t="s">
        <v>982</v>
      </c>
      <c r="D619" s="5" t="s">
        <v>981</v>
      </c>
      <c r="E619" s="2" t="s">
        <v>15445</v>
      </c>
      <c r="F619" s="2" t="s">
        <v>15446</v>
      </c>
      <c r="G619" s="2" t="s">
        <v>15456</v>
      </c>
      <c r="H619" s="2" t="s">
        <v>15444</v>
      </c>
    </row>
    <row r="620">
      <c r="A620" s="2">
        <v>618.0</v>
      </c>
      <c r="B620" s="5" t="s">
        <v>9905</v>
      </c>
      <c r="C620" s="2" t="s">
        <v>9906</v>
      </c>
      <c r="D620" s="5" t="s">
        <v>9905</v>
      </c>
      <c r="E620" s="2" t="s">
        <v>15441</v>
      </c>
      <c r="F620" s="2" t="s">
        <v>15442</v>
      </c>
      <c r="G620" s="2" t="s">
        <v>15443</v>
      </c>
      <c r="H620" s="2" t="s">
        <v>15444</v>
      </c>
    </row>
    <row r="621">
      <c r="A621" s="2">
        <v>619.0</v>
      </c>
      <c r="B621" s="5" t="s">
        <v>984</v>
      </c>
      <c r="C621" s="2" t="s">
        <v>985</v>
      </c>
      <c r="D621" s="5" t="s">
        <v>984</v>
      </c>
      <c r="E621" s="2" t="s">
        <v>15445</v>
      </c>
      <c r="F621" s="2" t="s">
        <v>15446</v>
      </c>
      <c r="G621" s="2" t="s">
        <v>15443</v>
      </c>
      <c r="H621" s="2" t="s">
        <v>15444</v>
      </c>
    </row>
    <row r="622">
      <c r="A622" s="2">
        <v>620.0</v>
      </c>
      <c r="B622" s="5" t="s">
        <v>987</v>
      </c>
      <c r="C622" s="2" t="s">
        <v>988</v>
      </c>
      <c r="D622" s="5" t="s">
        <v>987</v>
      </c>
      <c r="E622" s="2" t="s">
        <v>15445</v>
      </c>
      <c r="F622" s="2" t="s">
        <v>15446</v>
      </c>
      <c r="G622" s="2" t="s">
        <v>15456</v>
      </c>
      <c r="H622" s="2" t="s">
        <v>15457</v>
      </c>
    </row>
    <row r="623">
      <c r="A623" s="2">
        <v>621.0</v>
      </c>
      <c r="B623" s="5" t="s">
        <v>9907</v>
      </c>
      <c r="C623" s="2" t="s">
        <v>9908</v>
      </c>
      <c r="D623" s="5" t="s">
        <v>9907</v>
      </c>
      <c r="E623" s="2" t="s">
        <v>15441</v>
      </c>
      <c r="F623" s="2" t="s">
        <v>15446</v>
      </c>
      <c r="G623" s="2" t="s">
        <v>15456</v>
      </c>
      <c r="H623" s="2" t="s">
        <v>15444</v>
      </c>
    </row>
    <row r="624">
      <c r="A624" s="2">
        <v>622.0</v>
      </c>
      <c r="B624" s="5" t="s">
        <v>9909</v>
      </c>
      <c r="C624" s="2" t="s">
        <v>9910</v>
      </c>
      <c r="D624" s="5" t="s">
        <v>9909</v>
      </c>
      <c r="E624" s="2" t="s">
        <v>15441</v>
      </c>
      <c r="F624" s="2" t="s">
        <v>15446</v>
      </c>
      <c r="G624" s="2" t="s">
        <v>15456</v>
      </c>
      <c r="H624" s="2" t="s">
        <v>15444</v>
      </c>
    </row>
    <row r="625">
      <c r="A625" s="2">
        <v>623.0</v>
      </c>
      <c r="B625" s="5" t="s">
        <v>9911</v>
      </c>
      <c r="C625" s="2" t="s">
        <v>9912</v>
      </c>
      <c r="D625" s="5" t="s">
        <v>9911</v>
      </c>
      <c r="E625" s="2" t="s">
        <v>15441</v>
      </c>
      <c r="F625" s="2" t="s">
        <v>15446</v>
      </c>
      <c r="G625" s="2" t="s">
        <v>15456</v>
      </c>
      <c r="H625" s="2" t="s">
        <v>15444</v>
      </c>
    </row>
    <row r="626">
      <c r="A626" s="2">
        <v>624.0</v>
      </c>
      <c r="B626" s="5" t="s">
        <v>9913</v>
      </c>
      <c r="C626" s="2" t="s">
        <v>9914</v>
      </c>
      <c r="D626" s="5" t="s">
        <v>9913</v>
      </c>
      <c r="E626" s="2" t="s">
        <v>15441</v>
      </c>
      <c r="F626" s="2" t="s">
        <v>15446</v>
      </c>
      <c r="G626" s="2" t="s">
        <v>15443</v>
      </c>
      <c r="H626" s="2" t="s">
        <v>15444</v>
      </c>
    </row>
    <row r="627">
      <c r="A627" s="2">
        <v>625.0</v>
      </c>
      <c r="B627" s="5" t="s">
        <v>990</v>
      </c>
      <c r="C627" s="2" t="s">
        <v>991</v>
      </c>
      <c r="D627" s="5" t="s">
        <v>990</v>
      </c>
      <c r="E627" s="2" t="s">
        <v>15445</v>
      </c>
      <c r="F627" s="2" t="s">
        <v>15446</v>
      </c>
      <c r="G627" s="2" t="s">
        <v>15456</v>
      </c>
      <c r="H627" s="2" t="s">
        <v>15444</v>
      </c>
    </row>
    <row r="628">
      <c r="A628" s="2">
        <v>626.0</v>
      </c>
      <c r="B628" s="5" t="s">
        <v>993</v>
      </c>
      <c r="C628" s="2" t="s">
        <v>994</v>
      </c>
      <c r="D628" s="5" t="s">
        <v>993</v>
      </c>
      <c r="E628" s="2" t="s">
        <v>15445</v>
      </c>
      <c r="F628" s="2" t="s">
        <v>15442</v>
      </c>
      <c r="G628" s="2" t="s">
        <v>15443</v>
      </c>
      <c r="H628" s="2" t="s">
        <v>15444</v>
      </c>
    </row>
    <row r="629">
      <c r="A629" s="2">
        <v>627.0</v>
      </c>
      <c r="B629" s="5" t="s">
        <v>996</v>
      </c>
      <c r="C629" s="2" t="s">
        <v>997</v>
      </c>
      <c r="D629" s="5" t="s">
        <v>996</v>
      </c>
      <c r="E629" s="2" t="s">
        <v>15445</v>
      </c>
      <c r="F629" s="2" t="s">
        <v>15446</v>
      </c>
      <c r="G629" s="2" t="s">
        <v>15456</v>
      </c>
      <c r="H629" s="2" t="s">
        <v>15455</v>
      </c>
    </row>
    <row r="630">
      <c r="A630" s="2">
        <v>628.0</v>
      </c>
      <c r="B630" s="5" t="s">
        <v>9915</v>
      </c>
      <c r="C630" s="2" t="s">
        <v>9916</v>
      </c>
      <c r="D630" s="5" t="s">
        <v>9915</v>
      </c>
      <c r="E630" s="2" t="s">
        <v>15441</v>
      </c>
      <c r="F630" s="2" t="s">
        <v>15446</v>
      </c>
      <c r="G630" s="2" t="s">
        <v>15443</v>
      </c>
      <c r="H630" s="2" t="s">
        <v>15457</v>
      </c>
    </row>
    <row r="631">
      <c r="A631" s="2">
        <v>629.0</v>
      </c>
      <c r="B631" s="5" t="s">
        <v>15467</v>
      </c>
      <c r="C631" s="2" t="s">
        <v>15468</v>
      </c>
      <c r="D631" s="5" t="s">
        <v>15467</v>
      </c>
      <c r="E631" s="2" t="s">
        <v>15445</v>
      </c>
      <c r="F631" s="2" t="s">
        <v>15446</v>
      </c>
      <c r="G631" s="2" t="s">
        <v>15456</v>
      </c>
      <c r="H631" s="2" t="s">
        <v>15457</v>
      </c>
    </row>
    <row r="632">
      <c r="A632" s="2">
        <v>630.0</v>
      </c>
      <c r="B632" s="5" t="s">
        <v>999</v>
      </c>
      <c r="C632" s="2" t="s">
        <v>1000</v>
      </c>
      <c r="D632" s="5" t="s">
        <v>999</v>
      </c>
      <c r="E632" s="2" t="s">
        <v>15445</v>
      </c>
      <c r="F632" s="2" t="s">
        <v>15442</v>
      </c>
      <c r="G632" s="2" t="s">
        <v>15443</v>
      </c>
      <c r="H632" s="2" t="s">
        <v>15444</v>
      </c>
    </row>
    <row r="633">
      <c r="A633" s="2">
        <v>631.0</v>
      </c>
      <c r="B633" s="5" t="s">
        <v>1002</v>
      </c>
      <c r="C633" s="2" t="s">
        <v>1003</v>
      </c>
      <c r="D633" s="5" t="s">
        <v>1002</v>
      </c>
      <c r="E633" s="2" t="s">
        <v>15445</v>
      </c>
      <c r="F633" s="2" t="s">
        <v>15442</v>
      </c>
      <c r="G633" s="2" t="s">
        <v>15443</v>
      </c>
      <c r="H633" s="2" t="s">
        <v>15444</v>
      </c>
    </row>
    <row r="634">
      <c r="A634" s="2">
        <v>632.0</v>
      </c>
      <c r="B634" s="5" t="s">
        <v>1005</v>
      </c>
      <c r="C634" s="2" t="s">
        <v>1006</v>
      </c>
      <c r="D634" s="5" t="s">
        <v>1005</v>
      </c>
      <c r="E634" s="2" t="s">
        <v>15445</v>
      </c>
      <c r="F634" s="2" t="s">
        <v>15446</v>
      </c>
      <c r="G634" s="2" t="s">
        <v>15443</v>
      </c>
      <c r="H634" s="2" t="s">
        <v>15444</v>
      </c>
    </row>
    <row r="635">
      <c r="A635" s="2">
        <v>633.0</v>
      </c>
      <c r="B635" s="5" t="s">
        <v>9917</v>
      </c>
      <c r="C635" s="2" t="s">
        <v>9918</v>
      </c>
      <c r="D635" s="5" t="s">
        <v>9917</v>
      </c>
      <c r="E635" s="2" t="s">
        <v>15441</v>
      </c>
      <c r="F635" s="2" t="s">
        <v>15446</v>
      </c>
      <c r="G635" s="2" t="s">
        <v>15456</v>
      </c>
      <c r="H635" s="2" t="s">
        <v>15444</v>
      </c>
    </row>
    <row r="636">
      <c r="A636" s="2">
        <v>634.0</v>
      </c>
      <c r="B636" s="5" t="s">
        <v>9919</v>
      </c>
      <c r="C636" s="2" t="s">
        <v>9920</v>
      </c>
      <c r="D636" s="5" t="s">
        <v>9919</v>
      </c>
      <c r="E636" s="2" t="s">
        <v>15441</v>
      </c>
      <c r="F636" s="2" t="s">
        <v>15446</v>
      </c>
      <c r="G636" s="2" t="s">
        <v>15456</v>
      </c>
      <c r="H636" s="2" t="s">
        <v>15444</v>
      </c>
    </row>
    <row r="637">
      <c r="A637" s="2">
        <v>635.0</v>
      </c>
      <c r="B637" s="5" t="s">
        <v>9921</v>
      </c>
      <c r="C637" s="2" t="s">
        <v>9922</v>
      </c>
      <c r="D637" s="5" t="s">
        <v>9921</v>
      </c>
      <c r="E637" s="2" t="s">
        <v>15441</v>
      </c>
      <c r="F637" s="2" t="s">
        <v>15442</v>
      </c>
      <c r="G637" s="2" t="s">
        <v>15443</v>
      </c>
      <c r="H637" s="2" t="s">
        <v>15444</v>
      </c>
    </row>
    <row r="638">
      <c r="A638" s="2">
        <v>636.0</v>
      </c>
      <c r="B638" s="5" t="s">
        <v>9923</v>
      </c>
      <c r="C638" s="2" t="s">
        <v>9924</v>
      </c>
      <c r="D638" s="5" t="s">
        <v>9923</v>
      </c>
      <c r="E638" s="2" t="s">
        <v>15441</v>
      </c>
      <c r="F638" s="2" t="s">
        <v>15442</v>
      </c>
      <c r="G638" s="2" t="s">
        <v>15443</v>
      </c>
      <c r="H638" s="2" t="s">
        <v>15444</v>
      </c>
    </row>
    <row r="639">
      <c r="A639" s="2">
        <v>637.0</v>
      </c>
      <c r="B639" s="5" t="s">
        <v>9925</v>
      </c>
      <c r="C639" s="2" t="s">
        <v>9926</v>
      </c>
      <c r="D639" s="5" t="s">
        <v>9925</v>
      </c>
      <c r="E639" s="2" t="s">
        <v>15441</v>
      </c>
      <c r="F639" s="2" t="s">
        <v>15442</v>
      </c>
      <c r="G639" s="2" t="s">
        <v>15443</v>
      </c>
      <c r="H639" s="2" t="s">
        <v>15444</v>
      </c>
    </row>
    <row r="640">
      <c r="A640" s="2">
        <v>638.0</v>
      </c>
      <c r="B640" s="5" t="s">
        <v>9927</v>
      </c>
      <c r="C640" s="2" t="s">
        <v>9928</v>
      </c>
      <c r="D640" s="5" t="s">
        <v>9927</v>
      </c>
      <c r="E640" s="2" t="s">
        <v>15441</v>
      </c>
      <c r="F640" s="2" t="s">
        <v>15442</v>
      </c>
      <c r="G640" s="2" t="s">
        <v>15443</v>
      </c>
      <c r="H640" s="2" t="s">
        <v>15455</v>
      </c>
    </row>
    <row r="641">
      <c r="A641" s="2">
        <v>639.0</v>
      </c>
      <c r="B641" s="5" t="s">
        <v>9929</v>
      </c>
      <c r="C641" s="2" t="s">
        <v>9930</v>
      </c>
      <c r="D641" s="5" t="s">
        <v>9929</v>
      </c>
      <c r="E641" s="2" t="s">
        <v>15441</v>
      </c>
      <c r="F641" s="2" t="s">
        <v>15442</v>
      </c>
      <c r="G641" s="2" t="s">
        <v>15443</v>
      </c>
      <c r="H641" s="2" t="s">
        <v>15455</v>
      </c>
    </row>
    <row r="642">
      <c r="A642" s="2">
        <v>640.0</v>
      </c>
      <c r="B642" s="5" t="s">
        <v>9931</v>
      </c>
      <c r="C642" s="2" t="s">
        <v>9932</v>
      </c>
      <c r="D642" s="5" t="s">
        <v>9931</v>
      </c>
      <c r="E642" s="2" t="s">
        <v>15441</v>
      </c>
      <c r="F642" s="2" t="s">
        <v>15446</v>
      </c>
      <c r="G642" s="2" t="s">
        <v>15443</v>
      </c>
      <c r="H642" s="2" t="s">
        <v>15457</v>
      </c>
    </row>
    <row r="643">
      <c r="A643" s="2">
        <v>641.0</v>
      </c>
      <c r="B643" s="5" t="s">
        <v>1008</v>
      </c>
      <c r="C643" s="2" t="s">
        <v>1009</v>
      </c>
      <c r="D643" s="5" t="s">
        <v>1008</v>
      </c>
      <c r="E643" s="2" t="s">
        <v>15445</v>
      </c>
      <c r="F643" s="2" t="s">
        <v>15442</v>
      </c>
      <c r="G643" s="2" t="s">
        <v>15443</v>
      </c>
      <c r="H643" s="2" t="s">
        <v>15457</v>
      </c>
    </row>
    <row r="644">
      <c r="A644" s="2">
        <v>642.0</v>
      </c>
      <c r="B644" s="5" t="s">
        <v>1011</v>
      </c>
      <c r="C644" s="2" t="s">
        <v>1012</v>
      </c>
      <c r="D644" s="5" t="s">
        <v>1011</v>
      </c>
      <c r="E644" s="2" t="s">
        <v>15445</v>
      </c>
      <c r="F644" s="2" t="s">
        <v>15446</v>
      </c>
      <c r="G644" s="2" t="s">
        <v>15456</v>
      </c>
      <c r="H644" s="2" t="s">
        <v>15444</v>
      </c>
    </row>
    <row r="645">
      <c r="A645" s="2">
        <v>643.0</v>
      </c>
      <c r="B645" s="5" t="s">
        <v>9933</v>
      </c>
      <c r="C645" s="2" t="s">
        <v>9934</v>
      </c>
      <c r="D645" s="5" t="s">
        <v>9933</v>
      </c>
      <c r="E645" s="2" t="s">
        <v>15441</v>
      </c>
      <c r="F645" s="2" t="s">
        <v>15446</v>
      </c>
      <c r="G645" s="2" t="s">
        <v>15456</v>
      </c>
      <c r="H645" s="2" t="s">
        <v>15444</v>
      </c>
    </row>
    <row r="646">
      <c r="A646" s="2">
        <v>644.0</v>
      </c>
      <c r="B646" s="5" t="s">
        <v>1014</v>
      </c>
      <c r="C646" s="2" t="s">
        <v>1015</v>
      </c>
      <c r="D646" s="5" t="s">
        <v>1014</v>
      </c>
      <c r="E646" s="2" t="s">
        <v>15445</v>
      </c>
      <c r="F646" s="2" t="s">
        <v>15446</v>
      </c>
      <c r="G646" s="2" t="s">
        <v>15456</v>
      </c>
      <c r="H646" s="2" t="s">
        <v>15444</v>
      </c>
    </row>
    <row r="647">
      <c r="A647" s="2">
        <v>645.0</v>
      </c>
      <c r="B647" s="5" t="s">
        <v>1017</v>
      </c>
      <c r="C647" s="2" t="s">
        <v>1018</v>
      </c>
      <c r="D647" s="5" t="s">
        <v>1017</v>
      </c>
      <c r="E647" s="2" t="s">
        <v>15445</v>
      </c>
      <c r="F647" s="2" t="s">
        <v>15446</v>
      </c>
      <c r="G647" s="2" t="s">
        <v>15443</v>
      </c>
      <c r="H647" s="2" t="s">
        <v>15444</v>
      </c>
    </row>
    <row r="648">
      <c r="A648" s="2">
        <v>646.0</v>
      </c>
      <c r="B648" s="5" t="s">
        <v>9935</v>
      </c>
      <c r="C648" s="2" t="s">
        <v>9936</v>
      </c>
      <c r="D648" s="5" t="s">
        <v>9935</v>
      </c>
      <c r="E648" s="2" t="s">
        <v>15441</v>
      </c>
      <c r="F648" s="2" t="s">
        <v>15446</v>
      </c>
      <c r="G648" s="2" t="s">
        <v>15443</v>
      </c>
      <c r="H648" s="2" t="s">
        <v>15444</v>
      </c>
    </row>
    <row r="649">
      <c r="A649" s="2">
        <v>647.0</v>
      </c>
      <c r="B649" s="5" t="s">
        <v>1020</v>
      </c>
      <c r="C649" s="2" t="s">
        <v>1021</v>
      </c>
      <c r="D649" s="5" t="s">
        <v>1020</v>
      </c>
      <c r="E649" s="2" t="s">
        <v>15445</v>
      </c>
      <c r="F649" s="2" t="s">
        <v>15446</v>
      </c>
      <c r="G649" s="2" t="s">
        <v>15456</v>
      </c>
      <c r="H649" s="2" t="s">
        <v>15444</v>
      </c>
    </row>
    <row r="650">
      <c r="A650" s="2">
        <v>648.0</v>
      </c>
      <c r="B650" s="5" t="s">
        <v>1023</v>
      </c>
      <c r="C650" s="2" t="s">
        <v>1024</v>
      </c>
      <c r="D650" s="5" t="s">
        <v>1023</v>
      </c>
      <c r="E650" s="2" t="s">
        <v>15445</v>
      </c>
      <c r="F650" s="2" t="s">
        <v>15446</v>
      </c>
      <c r="G650" s="2" t="s">
        <v>15456</v>
      </c>
      <c r="H650" s="2" t="s">
        <v>15444</v>
      </c>
    </row>
    <row r="651">
      <c r="A651" s="2">
        <v>649.0</v>
      </c>
      <c r="B651" s="5" t="s">
        <v>1026</v>
      </c>
      <c r="C651" s="2" t="s">
        <v>1027</v>
      </c>
      <c r="D651" s="5" t="s">
        <v>1026</v>
      </c>
      <c r="E651" s="2" t="s">
        <v>15445</v>
      </c>
      <c r="F651" s="2" t="s">
        <v>15442</v>
      </c>
      <c r="G651" s="2" t="s">
        <v>15443</v>
      </c>
      <c r="H651" s="2" t="s">
        <v>15444</v>
      </c>
    </row>
    <row r="652">
      <c r="A652" s="2">
        <v>650.0</v>
      </c>
      <c r="B652" s="5" t="s">
        <v>9937</v>
      </c>
      <c r="C652" s="2" t="s">
        <v>9938</v>
      </c>
      <c r="D652" s="5" t="s">
        <v>9937</v>
      </c>
      <c r="E652" s="2" t="s">
        <v>15441</v>
      </c>
      <c r="F652" s="2" t="s">
        <v>15442</v>
      </c>
      <c r="G652" s="2" t="s">
        <v>15456</v>
      </c>
      <c r="H652" s="2" t="s">
        <v>15457</v>
      </c>
    </row>
    <row r="653">
      <c r="A653" s="2">
        <v>651.0</v>
      </c>
      <c r="B653" s="5" t="s">
        <v>9939</v>
      </c>
      <c r="C653" s="2" t="s">
        <v>9940</v>
      </c>
      <c r="D653" s="5" t="s">
        <v>9939</v>
      </c>
      <c r="E653" s="2" t="s">
        <v>15441</v>
      </c>
      <c r="F653" s="2" t="s">
        <v>15446</v>
      </c>
      <c r="G653" s="2" t="s">
        <v>15456</v>
      </c>
      <c r="H653" s="2" t="s">
        <v>15444</v>
      </c>
    </row>
    <row r="654">
      <c r="A654" s="2">
        <v>652.0</v>
      </c>
      <c r="B654" s="5" t="s">
        <v>9941</v>
      </c>
      <c r="C654" s="2" t="s">
        <v>9942</v>
      </c>
      <c r="D654" s="5" t="s">
        <v>9941</v>
      </c>
      <c r="E654" s="2" t="s">
        <v>15441</v>
      </c>
      <c r="F654" s="2" t="s">
        <v>15446</v>
      </c>
      <c r="G654" s="2" t="s">
        <v>15456</v>
      </c>
      <c r="H654" s="2" t="s">
        <v>15444</v>
      </c>
    </row>
    <row r="655">
      <c r="A655" s="2">
        <v>653.0</v>
      </c>
      <c r="B655" s="5" t="s">
        <v>1029</v>
      </c>
      <c r="C655" s="2" t="s">
        <v>1030</v>
      </c>
      <c r="D655" s="5" t="s">
        <v>1029</v>
      </c>
      <c r="E655" s="2" t="s">
        <v>15445</v>
      </c>
      <c r="F655" s="2" t="s">
        <v>15446</v>
      </c>
      <c r="G655" s="2" t="s">
        <v>15456</v>
      </c>
      <c r="H655" s="2" t="s">
        <v>15444</v>
      </c>
    </row>
    <row r="656">
      <c r="A656" s="2">
        <v>654.0</v>
      </c>
      <c r="B656" s="5" t="s">
        <v>1032</v>
      </c>
      <c r="C656" s="2" t="s">
        <v>1033</v>
      </c>
      <c r="D656" s="5" t="s">
        <v>1032</v>
      </c>
      <c r="E656" s="2" t="s">
        <v>15445</v>
      </c>
      <c r="F656" s="2" t="s">
        <v>15442</v>
      </c>
      <c r="G656" s="2" t="s">
        <v>15443</v>
      </c>
      <c r="H656" s="2" t="s">
        <v>15444</v>
      </c>
    </row>
    <row r="657">
      <c r="A657" s="2">
        <v>655.0</v>
      </c>
      <c r="B657" s="5" t="s">
        <v>1035</v>
      </c>
      <c r="C657" s="2" t="s">
        <v>1036</v>
      </c>
      <c r="D657" s="5" t="s">
        <v>1035</v>
      </c>
      <c r="E657" s="2" t="s">
        <v>15445</v>
      </c>
      <c r="F657" s="2" t="s">
        <v>15442</v>
      </c>
      <c r="G657" s="2" t="s">
        <v>15456</v>
      </c>
      <c r="H657" s="2" t="s">
        <v>15462</v>
      </c>
    </row>
    <row r="658">
      <c r="A658" s="2">
        <v>656.0</v>
      </c>
      <c r="B658" s="5" t="s">
        <v>9943</v>
      </c>
      <c r="C658" s="2" t="s">
        <v>9944</v>
      </c>
      <c r="D658" s="5" t="s">
        <v>9943</v>
      </c>
      <c r="E658" s="2" t="s">
        <v>15441</v>
      </c>
      <c r="F658" s="2" t="s">
        <v>15446</v>
      </c>
      <c r="G658" s="2" t="s">
        <v>15456</v>
      </c>
      <c r="H658" s="2" t="s">
        <v>15444</v>
      </c>
    </row>
    <row r="659">
      <c r="A659" s="2">
        <v>657.0</v>
      </c>
      <c r="B659" s="5" t="s">
        <v>9945</v>
      </c>
      <c r="C659" s="2" t="s">
        <v>9946</v>
      </c>
      <c r="D659" s="5" t="s">
        <v>9945</v>
      </c>
      <c r="E659" s="2" t="s">
        <v>15441</v>
      </c>
      <c r="F659" s="2" t="s">
        <v>15446</v>
      </c>
      <c r="G659" s="2" t="s">
        <v>15456</v>
      </c>
      <c r="H659" s="2" t="s">
        <v>15457</v>
      </c>
    </row>
    <row r="660">
      <c r="A660" s="2">
        <v>658.0</v>
      </c>
      <c r="B660" s="5" t="s">
        <v>9947</v>
      </c>
      <c r="C660" s="2" t="s">
        <v>9948</v>
      </c>
      <c r="D660" s="5" t="s">
        <v>9947</v>
      </c>
      <c r="E660" s="2" t="s">
        <v>15441</v>
      </c>
      <c r="F660" s="2" t="s">
        <v>15442</v>
      </c>
      <c r="G660" s="2" t="s">
        <v>15443</v>
      </c>
      <c r="H660" s="2" t="s">
        <v>15444</v>
      </c>
    </row>
    <row r="661">
      <c r="A661" s="2">
        <v>659.0</v>
      </c>
      <c r="B661" s="5" t="s">
        <v>1038</v>
      </c>
      <c r="C661" s="2" t="s">
        <v>1039</v>
      </c>
      <c r="D661" s="5" t="s">
        <v>1038</v>
      </c>
      <c r="E661" s="2" t="s">
        <v>15445</v>
      </c>
      <c r="F661" s="2" t="s">
        <v>15446</v>
      </c>
      <c r="G661" s="2" t="s">
        <v>15456</v>
      </c>
      <c r="H661" s="2" t="s">
        <v>15444</v>
      </c>
    </row>
    <row r="662">
      <c r="A662" s="2">
        <v>660.0</v>
      </c>
      <c r="B662" s="5" t="s">
        <v>9949</v>
      </c>
      <c r="C662" s="2" t="s">
        <v>9950</v>
      </c>
      <c r="D662" s="5" t="s">
        <v>9949</v>
      </c>
      <c r="E662" s="2" t="s">
        <v>15441</v>
      </c>
      <c r="F662" s="2" t="s">
        <v>15446</v>
      </c>
      <c r="G662" s="2" t="s">
        <v>15456</v>
      </c>
      <c r="H662" s="2" t="s">
        <v>15444</v>
      </c>
    </row>
    <row r="663">
      <c r="A663" s="2">
        <v>661.0</v>
      </c>
      <c r="B663" s="5" t="s">
        <v>9951</v>
      </c>
      <c r="C663" s="2" t="s">
        <v>9952</v>
      </c>
      <c r="D663" s="5" t="s">
        <v>9951</v>
      </c>
      <c r="E663" s="2" t="s">
        <v>15441</v>
      </c>
      <c r="F663" s="2" t="s">
        <v>15446</v>
      </c>
      <c r="G663" s="2" t="s">
        <v>15456</v>
      </c>
      <c r="H663" s="2" t="s">
        <v>15444</v>
      </c>
    </row>
    <row r="664">
      <c r="A664" s="2">
        <v>662.0</v>
      </c>
      <c r="B664" s="5" t="s">
        <v>1041</v>
      </c>
      <c r="C664" s="2" t="s">
        <v>1042</v>
      </c>
      <c r="D664" s="5" t="s">
        <v>1041</v>
      </c>
      <c r="E664" s="2" t="s">
        <v>15445</v>
      </c>
      <c r="F664" s="2" t="s">
        <v>15446</v>
      </c>
      <c r="G664" s="2" t="s">
        <v>15456</v>
      </c>
      <c r="H664" s="2" t="s">
        <v>15444</v>
      </c>
    </row>
    <row r="665">
      <c r="A665" s="2">
        <v>663.0</v>
      </c>
      <c r="B665" s="5" t="s">
        <v>9953</v>
      </c>
      <c r="C665" s="2" t="s">
        <v>9954</v>
      </c>
      <c r="D665" s="5" t="s">
        <v>9953</v>
      </c>
      <c r="E665" s="2" t="s">
        <v>15441</v>
      </c>
      <c r="F665" s="2" t="s">
        <v>15446</v>
      </c>
      <c r="G665" s="2" t="s">
        <v>15456</v>
      </c>
      <c r="H665" s="2" t="s">
        <v>15444</v>
      </c>
    </row>
    <row r="666">
      <c r="A666" s="2">
        <v>664.0</v>
      </c>
      <c r="B666" s="5" t="s">
        <v>9955</v>
      </c>
      <c r="C666" s="2" t="s">
        <v>9956</v>
      </c>
      <c r="D666" s="5" t="s">
        <v>9955</v>
      </c>
      <c r="E666" s="2" t="s">
        <v>15441</v>
      </c>
      <c r="F666" s="2" t="s">
        <v>15442</v>
      </c>
      <c r="G666" s="2" t="s">
        <v>15456</v>
      </c>
      <c r="H666" s="2" t="s">
        <v>15444</v>
      </c>
    </row>
    <row r="667">
      <c r="A667" s="2">
        <v>665.0</v>
      </c>
      <c r="B667" s="5" t="s">
        <v>9957</v>
      </c>
      <c r="C667" s="2" t="s">
        <v>9958</v>
      </c>
      <c r="D667" s="5" t="s">
        <v>9957</v>
      </c>
      <c r="E667" s="2" t="s">
        <v>15441</v>
      </c>
      <c r="F667" s="2" t="s">
        <v>15442</v>
      </c>
      <c r="G667" s="2" t="s">
        <v>15456</v>
      </c>
      <c r="H667" s="2" t="s">
        <v>15444</v>
      </c>
    </row>
    <row r="668">
      <c r="A668" s="2">
        <v>666.0</v>
      </c>
      <c r="B668" s="5" t="s">
        <v>1044</v>
      </c>
      <c r="C668" s="2" t="s">
        <v>1045</v>
      </c>
      <c r="D668" s="5" t="s">
        <v>1044</v>
      </c>
      <c r="E668" s="2" t="s">
        <v>15445</v>
      </c>
      <c r="F668" s="2" t="s">
        <v>15442</v>
      </c>
      <c r="G668" s="2" t="s">
        <v>15443</v>
      </c>
      <c r="H668" s="2" t="s">
        <v>15444</v>
      </c>
    </row>
    <row r="669">
      <c r="A669" s="2">
        <v>667.0</v>
      </c>
      <c r="B669" s="5" t="s">
        <v>9959</v>
      </c>
      <c r="C669" s="2" t="s">
        <v>9960</v>
      </c>
      <c r="D669" s="5" t="s">
        <v>9959</v>
      </c>
      <c r="E669" s="2" t="s">
        <v>15441</v>
      </c>
      <c r="F669" s="2" t="s">
        <v>15442</v>
      </c>
      <c r="G669" s="2" t="s">
        <v>15456</v>
      </c>
      <c r="H669" s="2" t="s">
        <v>15444</v>
      </c>
    </row>
    <row r="670">
      <c r="A670" s="2">
        <v>668.0</v>
      </c>
      <c r="B670" s="5" t="s">
        <v>9961</v>
      </c>
      <c r="C670" s="2" t="s">
        <v>9962</v>
      </c>
      <c r="D670" s="5" t="s">
        <v>9961</v>
      </c>
      <c r="E670" s="2" t="s">
        <v>15441</v>
      </c>
      <c r="F670" s="2" t="s">
        <v>15446</v>
      </c>
      <c r="G670" s="2" t="s">
        <v>15456</v>
      </c>
      <c r="H670" s="2" t="s">
        <v>15444</v>
      </c>
    </row>
    <row r="671">
      <c r="A671" s="2">
        <v>669.0</v>
      </c>
      <c r="B671" s="5" t="s">
        <v>9963</v>
      </c>
      <c r="C671" s="2" t="s">
        <v>9964</v>
      </c>
      <c r="D671" s="5" t="s">
        <v>9963</v>
      </c>
      <c r="E671" s="2" t="s">
        <v>15441</v>
      </c>
      <c r="F671" s="2" t="s">
        <v>15442</v>
      </c>
      <c r="G671" s="2" t="s">
        <v>15443</v>
      </c>
      <c r="H671" s="2" t="s">
        <v>15455</v>
      </c>
    </row>
    <row r="672">
      <c r="A672" s="2">
        <v>670.0</v>
      </c>
      <c r="B672" s="5" t="s">
        <v>9965</v>
      </c>
      <c r="C672" s="2" t="s">
        <v>9966</v>
      </c>
      <c r="D672" s="5" t="s">
        <v>9965</v>
      </c>
      <c r="E672" s="2" t="s">
        <v>15441</v>
      </c>
      <c r="F672" s="2" t="s">
        <v>15442</v>
      </c>
      <c r="G672" s="2" t="s">
        <v>15456</v>
      </c>
      <c r="H672" s="2" t="s">
        <v>15444</v>
      </c>
    </row>
    <row r="673">
      <c r="A673" s="2">
        <v>671.0</v>
      </c>
      <c r="B673" s="5" t="s">
        <v>1047</v>
      </c>
      <c r="C673" s="2" t="s">
        <v>1048</v>
      </c>
      <c r="D673" s="5" t="s">
        <v>1047</v>
      </c>
      <c r="E673" s="2" t="s">
        <v>15445</v>
      </c>
      <c r="F673" s="2" t="s">
        <v>15446</v>
      </c>
      <c r="G673" s="2" t="s">
        <v>15456</v>
      </c>
      <c r="H673" s="2" t="s">
        <v>15444</v>
      </c>
    </row>
    <row r="674">
      <c r="A674" s="2">
        <v>672.0</v>
      </c>
      <c r="B674" s="5" t="s">
        <v>15469</v>
      </c>
      <c r="D674" s="5" t="s">
        <v>15469</v>
      </c>
      <c r="E674" s="2" t="s">
        <v>15445</v>
      </c>
      <c r="F674" s="2" t="s">
        <v>15446</v>
      </c>
      <c r="G674" s="2" t="s">
        <v>15456</v>
      </c>
      <c r="H674" s="2" t="s">
        <v>15444</v>
      </c>
    </row>
    <row r="675">
      <c r="A675" s="2">
        <v>673.0</v>
      </c>
      <c r="B675" s="5" t="s">
        <v>1050</v>
      </c>
      <c r="C675" s="2" t="s">
        <v>1051</v>
      </c>
      <c r="D675" s="5" t="s">
        <v>1050</v>
      </c>
      <c r="E675" s="2" t="s">
        <v>15445</v>
      </c>
      <c r="F675" s="2" t="s">
        <v>15446</v>
      </c>
      <c r="G675" s="2" t="s">
        <v>15456</v>
      </c>
      <c r="H675" s="2" t="s">
        <v>15444</v>
      </c>
    </row>
    <row r="676">
      <c r="A676" s="2">
        <v>674.0</v>
      </c>
      <c r="B676" s="5" t="s">
        <v>1053</v>
      </c>
      <c r="C676" s="2" t="s">
        <v>1054</v>
      </c>
      <c r="D676" s="5" t="s">
        <v>1053</v>
      </c>
      <c r="E676" s="2" t="s">
        <v>15445</v>
      </c>
      <c r="F676" s="2" t="s">
        <v>15446</v>
      </c>
      <c r="G676" s="2" t="s">
        <v>15443</v>
      </c>
      <c r="H676" s="2" t="s">
        <v>15444</v>
      </c>
    </row>
    <row r="677">
      <c r="A677" s="2">
        <v>675.0</v>
      </c>
      <c r="B677" s="5" t="s">
        <v>9967</v>
      </c>
      <c r="C677" s="2" t="s">
        <v>9968</v>
      </c>
      <c r="D677" s="5" t="s">
        <v>9967</v>
      </c>
      <c r="E677" s="2" t="s">
        <v>15441</v>
      </c>
      <c r="F677" s="2" t="s">
        <v>15442</v>
      </c>
      <c r="G677" s="2" t="s">
        <v>15443</v>
      </c>
      <c r="H677" s="2" t="s">
        <v>15444</v>
      </c>
    </row>
    <row r="678">
      <c r="A678" s="2">
        <v>676.0</v>
      </c>
      <c r="B678" s="5" t="s">
        <v>9969</v>
      </c>
      <c r="C678" s="2" t="s">
        <v>9970</v>
      </c>
      <c r="D678" s="5" t="s">
        <v>9969</v>
      </c>
      <c r="E678" s="2" t="s">
        <v>15441</v>
      </c>
      <c r="F678" s="2" t="s">
        <v>15446</v>
      </c>
      <c r="G678" s="2" t="s">
        <v>15456</v>
      </c>
      <c r="H678" s="2" t="s">
        <v>15444</v>
      </c>
    </row>
    <row r="679">
      <c r="A679" s="2">
        <v>677.0</v>
      </c>
      <c r="B679" s="5" t="s">
        <v>1056</v>
      </c>
      <c r="C679" s="2" t="s">
        <v>1057</v>
      </c>
      <c r="D679" s="5" t="s">
        <v>1056</v>
      </c>
      <c r="E679" s="2" t="s">
        <v>15445</v>
      </c>
      <c r="F679" s="2" t="s">
        <v>15446</v>
      </c>
      <c r="G679" s="2" t="s">
        <v>15443</v>
      </c>
      <c r="H679" s="2" t="s">
        <v>15444</v>
      </c>
    </row>
    <row r="680">
      <c r="A680" s="2">
        <v>678.0</v>
      </c>
      <c r="B680" s="5" t="s">
        <v>1059</v>
      </c>
      <c r="C680" s="2" t="s">
        <v>1060</v>
      </c>
      <c r="D680" s="5" t="s">
        <v>1059</v>
      </c>
      <c r="E680" s="2" t="s">
        <v>15445</v>
      </c>
      <c r="F680" s="2" t="s">
        <v>15446</v>
      </c>
      <c r="G680" s="2" t="s">
        <v>15443</v>
      </c>
      <c r="H680" s="2" t="s">
        <v>15444</v>
      </c>
    </row>
    <row r="681">
      <c r="A681" s="2">
        <v>679.0</v>
      </c>
      <c r="B681" s="5" t="s">
        <v>1062</v>
      </c>
      <c r="C681" s="2" t="s">
        <v>1063</v>
      </c>
      <c r="D681" s="5" t="s">
        <v>1062</v>
      </c>
      <c r="E681" s="2" t="s">
        <v>15445</v>
      </c>
      <c r="F681" s="2" t="s">
        <v>15446</v>
      </c>
      <c r="G681" s="2" t="s">
        <v>15456</v>
      </c>
      <c r="H681" s="2" t="s">
        <v>15461</v>
      </c>
    </row>
    <row r="682">
      <c r="A682" s="2">
        <v>680.0</v>
      </c>
      <c r="B682" s="5" t="s">
        <v>1065</v>
      </c>
      <c r="C682" s="2" t="s">
        <v>1066</v>
      </c>
      <c r="D682" s="5" t="s">
        <v>1065</v>
      </c>
      <c r="E682" s="2" t="s">
        <v>15445</v>
      </c>
      <c r="F682" s="2" t="s">
        <v>15442</v>
      </c>
      <c r="G682" s="2" t="s">
        <v>15443</v>
      </c>
      <c r="H682" s="2" t="s">
        <v>15455</v>
      </c>
    </row>
    <row r="683">
      <c r="A683" s="2">
        <v>681.0</v>
      </c>
      <c r="B683" s="5" t="s">
        <v>1068</v>
      </c>
      <c r="C683" s="2" t="s">
        <v>1069</v>
      </c>
      <c r="D683" s="5" t="s">
        <v>1068</v>
      </c>
      <c r="E683" s="2" t="s">
        <v>15445</v>
      </c>
      <c r="F683" s="2" t="s">
        <v>15442</v>
      </c>
      <c r="G683" s="2" t="s">
        <v>15443</v>
      </c>
      <c r="H683" s="2" t="s">
        <v>15444</v>
      </c>
    </row>
    <row r="684">
      <c r="A684" s="2">
        <v>682.0</v>
      </c>
      <c r="B684" s="5" t="s">
        <v>9971</v>
      </c>
      <c r="C684" s="2" t="s">
        <v>9972</v>
      </c>
      <c r="D684" s="5" t="s">
        <v>9971</v>
      </c>
      <c r="E684" s="2" t="s">
        <v>15441</v>
      </c>
      <c r="F684" s="2" t="s">
        <v>15446</v>
      </c>
      <c r="G684" s="2" t="s">
        <v>15456</v>
      </c>
      <c r="H684" s="2" t="s">
        <v>15444</v>
      </c>
    </row>
    <row r="685">
      <c r="A685" s="2">
        <v>683.0</v>
      </c>
      <c r="B685" s="5" t="s">
        <v>9973</v>
      </c>
      <c r="C685" s="2" t="s">
        <v>9974</v>
      </c>
      <c r="D685" s="5" t="s">
        <v>9973</v>
      </c>
      <c r="E685" s="2" t="s">
        <v>15441</v>
      </c>
      <c r="F685" s="2" t="s">
        <v>15446</v>
      </c>
      <c r="G685" s="2" t="s">
        <v>15456</v>
      </c>
      <c r="H685" s="2" t="s">
        <v>15444</v>
      </c>
    </row>
    <row r="686">
      <c r="A686" s="2">
        <v>684.0</v>
      </c>
      <c r="B686" s="5" t="s">
        <v>9975</v>
      </c>
      <c r="C686" s="2" t="s">
        <v>9976</v>
      </c>
      <c r="D686" s="5" t="s">
        <v>9975</v>
      </c>
      <c r="E686" s="2" t="s">
        <v>15441</v>
      </c>
      <c r="F686" s="2" t="s">
        <v>15442</v>
      </c>
      <c r="G686" s="2" t="s">
        <v>15443</v>
      </c>
      <c r="H686" s="2" t="s">
        <v>15444</v>
      </c>
    </row>
    <row r="687">
      <c r="A687" s="2">
        <v>685.0</v>
      </c>
      <c r="B687" s="5" t="s">
        <v>1071</v>
      </c>
      <c r="C687" s="2" t="s">
        <v>1072</v>
      </c>
      <c r="D687" s="5" t="s">
        <v>1071</v>
      </c>
      <c r="E687" s="2" t="s">
        <v>15445</v>
      </c>
      <c r="F687" s="2" t="s">
        <v>15442</v>
      </c>
      <c r="G687" s="2" t="s">
        <v>15456</v>
      </c>
      <c r="H687" s="2" t="s">
        <v>15444</v>
      </c>
    </row>
    <row r="688">
      <c r="A688" s="2">
        <v>686.0</v>
      </c>
      <c r="B688" s="5" t="s">
        <v>9977</v>
      </c>
      <c r="C688" s="2" t="s">
        <v>9978</v>
      </c>
      <c r="D688" s="5" t="s">
        <v>9977</v>
      </c>
      <c r="E688" s="2" t="s">
        <v>15441</v>
      </c>
      <c r="F688" s="2" t="s">
        <v>15442</v>
      </c>
      <c r="G688" s="2" t="s">
        <v>15443</v>
      </c>
      <c r="H688" s="2" t="s">
        <v>15444</v>
      </c>
    </row>
    <row r="689">
      <c r="A689" s="2">
        <v>687.0</v>
      </c>
      <c r="B689" s="5" t="s">
        <v>9979</v>
      </c>
      <c r="C689" s="2" t="s">
        <v>9980</v>
      </c>
      <c r="D689" s="5" t="s">
        <v>9979</v>
      </c>
      <c r="E689" s="2" t="s">
        <v>15441</v>
      </c>
      <c r="F689" s="2" t="s">
        <v>15446</v>
      </c>
      <c r="G689" s="2" t="s">
        <v>15456</v>
      </c>
      <c r="H689" s="2" t="s">
        <v>15444</v>
      </c>
    </row>
    <row r="690">
      <c r="A690" s="2">
        <v>688.0</v>
      </c>
      <c r="B690" s="5" t="s">
        <v>1074</v>
      </c>
      <c r="C690" s="2" t="s">
        <v>1075</v>
      </c>
      <c r="D690" s="5" t="s">
        <v>1074</v>
      </c>
      <c r="E690" s="2" t="s">
        <v>15445</v>
      </c>
      <c r="F690" s="2" t="s">
        <v>15442</v>
      </c>
      <c r="G690" s="2" t="s">
        <v>15443</v>
      </c>
      <c r="H690" s="2" t="s">
        <v>15444</v>
      </c>
    </row>
    <row r="691">
      <c r="A691" s="2">
        <v>689.0</v>
      </c>
      <c r="B691" s="5" t="s">
        <v>9981</v>
      </c>
      <c r="C691" s="2" t="s">
        <v>9982</v>
      </c>
      <c r="D691" s="5" t="s">
        <v>9981</v>
      </c>
      <c r="E691" s="2" t="s">
        <v>15441</v>
      </c>
      <c r="F691" s="2" t="s">
        <v>15442</v>
      </c>
      <c r="G691" s="2" t="s">
        <v>15443</v>
      </c>
      <c r="H691" s="2" t="s">
        <v>15444</v>
      </c>
    </row>
    <row r="692">
      <c r="A692" s="2">
        <v>690.0</v>
      </c>
      <c r="B692" s="5" t="s">
        <v>1077</v>
      </c>
      <c r="C692" s="2" t="s">
        <v>1078</v>
      </c>
      <c r="D692" s="5" t="s">
        <v>1077</v>
      </c>
      <c r="E692" s="2" t="s">
        <v>15445</v>
      </c>
      <c r="F692" s="2" t="s">
        <v>15446</v>
      </c>
      <c r="G692" s="2" t="s">
        <v>15443</v>
      </c>
      <c r="H692" s="2" t="s">
        <v>15444</v>
      </c>
    </row>
    <row r="693">
      <c r="A693" s="2">
        <v>691.0</v>
      </c>
      <c r="B693" s="5" t="s">
        <v>1080</v>
      </c>
      <c r="C693" s="2" t="s">
        <v>1081</v>
      </c>
      <c r="D693" s="5" t="s">
        <v>1080</v>
      </c>
      <c r="E693" s="2" t="s">
        <v>15445</v>
      </c>
      <c r="F693" s="2" t="s">
        <v>15446</v>
      </c>
      <c r="G693" s="2" t="s">
        <v>15443</v>
      </c>
      <c r="H693" s="2" t="s">
        <v>15444</v>
      </c>
    </row>
    <row r="694">
      <c r="A694" s="2">
        <v>692.0</v>
      </c>
      <c r="B694" s="5" t="s">
        <v>9983</v>
      </c>
      <c r="C694" s="2" t="s">
        <v>9984</v>
      </c>
      <c r="D694" s="5" t="s">
        <v>9983</v>
      </c>
      <c r="E694" s="2" t="s">
        <v>15441</v>
      </c>
      <c r="F694" s="2" t="s">
        <v>15446</v>
      </c>
      <c r="G694" s="2" t="s">
        <v>15456</v>
      </c>
      <c r="H694" s="2" t="s">
        <v>15444</v>
      </c>
    </row>
    <row r="695">
      <c r="A695" s="2">
        <v>693.0</v>
      </c>
      <c r="B695" s="5" t="s">
        <v>9985</v>
      </c>
      <c r="C695" s="2" t="s">
        <v>9986</v>
      </c>
      <c r="D695" s="5" t="s">
        <v>9985</v>
      </c>
      <c r="E695" s="2" t="s">
        <v>15441</v>
      </c>
      <c r="F695" s="2" t="s">
        <v>15446</v>
      </c>
      <c r="G695" s="2" t="s">
        <v>15456</v>
      </c>
      <c r="H695" s="2" t="s">
        <v>15444</v>
      </c>
    </row>
    <row r="696">
      <c r="A696" s="2">
        <v>694.0</v>
      </c>
      <c r="B696" s="5" t="s">
        <v>1083</v>
      </c>
      <c r="C696" s="2" t="s">
        <v>1084</v>
      </c>
      <c r="D696" s="5" t="s">
        <v>1083</v>
      </c>
      <c r="E696" s="2" t="s">
        <v>15445</v>
      </c>
      <c r="F696" s="2" t="s">
        <v>15442</v>
      </c>
      <c r="G696" s="2" t="s">
        <v>15443</v>
      </c>
      <c r="H696" s="2" t="s">
        <v>15444</v>
      </c>
    </row>
    <row r="697">
      <c r="A697" s="2">
        <v>695.0</v>
      </c>
      <c r="B697" s="5" t="s">
        <v>1086</v>
      </c>
      <c r="C697" s="2" t="s">
        <v>1087</v>
      </c>
      <c r="D697" s="5" t="s">
        <v>1086</v>
      </c>
      <c r="E697" s="2" t="s">
        <v>15445</v>
      </c>
      <c r="F697" s="2" t="s">
        <v>15446</v>
      </c>
      <c r="G697" s="2" t="s">
        <v>15456</v>
      </c>
      <c r="H697" s="2" t="s">
        <v>15444</v>
      </c>
    </row>
    <row r="698">
      <c r="A698" s="2">
        <v>696.0</v>
      </c>
      <c r="B698" s="5" t="s">
        <v>1089</v>
      </c>
      <c r="C698" s="2" t="s">
        <v>1090</v>
      </c>
      <c r="D698" s="5" t="s">
        <v>1089</v>
      </c>
      <c r="E698" s="2" t="s">
        <v>15445</v>
      </c>
      <c r="F698" s="2" t="s">
        <v>15446</v>
      </c>
      <c r="G698" s="2" t="s">
        <v>15443</v>
      </c>
      <c r="H698" s="2" t="s">
        <v>15444</v>
      </c>
    </row>
    <row r="699">
      <c r="A699" s="2">
        <v>697.0</v>
      </c>
      <c r="B699" s="5" t="s">
        <v>9987</v>
      </c>
      <c r="C699" s="2" t="s">
        <v>9988</v>
      </c>
      <c r="D699" s="5" t="s">
        <v>9987</v>
      </c>
      <c r="E699" s="2" t="s">
        <v>15441</v>
      </c>
      <c r="F699" s="2" t="s">
        <v>15442</v>
      </c>
      <c r="G699" s="2" t="s">
        <v>15443</v>
      </c>
      <c r="H699" s="2" t="s">
        <v>15444</v>
      </c>
    </row>
    <row r="700">
      <c r="A700" s="2">
        <v>698.0</v>
      </c>
      <c r="B700" s="5" t="s">
        <v>15470</v>
      </c>
      <c r="C700" s="2" t="s">
        <v>15471</v>
      </c>
      <c r="D700" s="5" t="s">
        <v>15470</v>
      </c>
      <c r="E700" s="2" t="s">
        <v>15445</v>
      </c>
      <c r="F700" s="2" t="s">
        <v>15446</v>
      </c>
      <c r="G700" s="2" t="s">
        <v>15456</v>
      </c>
      <c r="H700" s="2" t="s">
        <v>15457</v>
      </c>
    </row>
    <row r="701">
      <c r="A701" s="2">
        <v>699.0</v>
      </c>
      <c r="B701" s="5" t="s">
        <v>9989</v>
      </c>
      <c r="C701" s="2" t="s">
        <v>9990</v>
      </c>
      <c r="D701" s="5" t="s">
        <v>9989</v>
      </c>
      <c r="E701" s="2" t="s">
        <v>15441</v>
      </c>
      <c r="F701" s="2" t="s">
        <v>15446</v>
      </c>
      <c r="G701" s="2" t="s">
        <v>15456</v>
      </c>
      <c r="H701" s="2" t="s">
        <v>15444</v>
      </c>
    </row>
    <row r="702">
      <c r="A702" s="2">
        <v>700.0</v>
      </c>
      <c r="B702" s="5" t="s">
        <v>9991</v>
      </c>
      <c r="C702" s="2" t="s">
        <v>9992</v>
      </c>
      <c r="D702" s="5" t="s">
        <v>9991</v>
      </c>
      <c r="E702" s="2" t="s">
        <v>15441</v>
      </c>
      <c r="F702" s="2" t="s">
        <v>15442</v>
      </c>
      <c r="G702" s="2" t="s">
        <v>15443</v>
      </c>
      <c r="H702" s="2" t="s">
        <v>15444</v>
      </c>
    </row>
    <row r="703">
      <c r="A703" s="2">
        <v>701.0</v>
      </c>
      <c r="B703" s="5" t="s">
        <v>1092</v>
      </c>
      <c r="C703" s="2" t="s">
        <v>1093</v>
      </c>
      <c r="D703" s="5" t="s">
        <v>1092</v>
      </c>
      <c r="E703" s="2" t="s">
        <v>15445</v>
      </c>
      <c r="F703" s="2" t="s">
        <v>15446</v>
      </c>
      <c r="G703" s="2" t="s">
        <v>15443</v>
      </c>
      <c r="H703" s="2" t="s">
        <v>15444</v>
      </c>
    </row>
    <row r="704">
      <c r="A704" s="2">
        <v>702.0</v>
      </c>
      <c r="B704" s="5" t="s">
        <v>9993</v>
      </c>
      <c r="C704" s="2" t="s">
        <v>9994</v>
      </c>
      <c r="D704" s="5" t="s">
        <v>9993</v>
      </c>
      <c r="E704" s="2" t="s">
        <v>15441</v>
      </c>
      <c r="F704" s="2" t="s">
        <v>15442</v>
      </c>
      <c r="G704" s="2" t="s">
        <v>15456</v>
      </c>
      <c r="H704" s="2" t="s">
        <v>15444</v>
      </c>
    </row>
    <row r="705">
      <c r="A705" s="2">
        <v>703.0</v>
      </c>
      <c r="B705" s="5" t="s">
        <v>1095</v>
      </c>
      <c r="C705" s="2" t="s">
        <v>1096</v>
      </c>
      <c r="D705" s="5" t="s">
        <v>1095</v>
      </c>
      <c r="E705" s="2" t="s">
        <v>15445</v>
      </c>
      <c r="F705" s="2" t="s">
        <v>15442</v>
      </c>
      <c r="G705" s="2" t="s">
        <v>15456</v>
      </c>
      <c r="H705" s="2" t="s">
        <v>15444</v>
      </c>
    </row>
    <row r="706">
      <c r="A706" s="2">
        <v>704.0</v>
      </c>
      <c r="B706" s="5" t="s">
        <v>9995</v>
      </c>
      <c r="C706" s="2" t="s">
        <v>9996</v>
      </c>
      <c r="D706" s="5" t="s">
        <v>9995</v>
      </c>
      <c r="E706" s="2" t="s">
        <v>15441</v>
      </c>
      <c r="F706" s="2" t="s">
        <v>15446</v>
      </c>
      <c r="G706" s="2" t="s">
        <v>15456</v>
      </c>
      <c r="H706" s="2" t="s">
        <v>15444</v>
      </c>
    </row>
    <row r="707">
      <c r="A707" s="2">
        <v>705.0</v>
      </c>
      <c r="B707" s="5" t="s">
        <v>1098</v>
      </c>
      <c r="C707" s="2" t="s">
        <v>1099</v>
      </c>
      <c r="D707" s="5" t="s">
        <v>1098</v>
      </c>
      <c r="E707" s="2" t="s">
        <v>15445</v>
      </c>
      <c r="F707" s="2" t="s">
        <v>15442</v>
      </c>
      <c r="G707" s="2" t="s">
        <v>15443</v>
      </c>
      <c r="H707" s="2" t="s">
        <v>15444</v>
      </c>
    </row>
    <row r="708">
      <c r="A708" s="2">
        <v>706.0</v>
      </c>
      <c r="B708" s="5" t="s">
        <v>9997</v>
      </c>
      <c r="C708" s="2" t="s">
        <v>9998</v>
      </c>
      <c r="D708" s="5" t="s">
        <v>9997</v>
      </c>
      <c r="E708" s="2" t="s">
        <v>15441</v>
      </c>
      <c r="F708" s="2" t="s">
        <v>15446</v>
      </c>
      <c r="G708" s="2" t="s">
        <v>15456</v>
      </c>
      <c r="H708" s="2" t="s">
        <v>15444</v>
      </c>
    </row>
    <row r="709">
      <c r="A709" s="2">
        <v>707.0</v>
      </c>
      <c r="B709" s="5" t="s">
        <v>1101</v>
      </c>
      <c r="C709" s="2" t="s">
        <v>1102</v>
      </c>
      <c r="D709" s="5" t="s">
        <v>1101</v>
      </c>
      <c r="E709" s="2" t="s">
        <v>15445</v>
      </c>
      <c r="F709" s="2" t="s">
        <v>15446</v>
      </c>
      <c r="G709" s="2" t="s">
        <v>15456</v>
      </c>
      <c r="H709" s="2" t="s">
        <v>15444</v>
      </c>
    </row>
    <row r="710">
      <c r="A710" s="2">
        <v>708.0</v>
      </c>
      <c r="B710" s="5" t="s">
        <v>1104</v>
      </c>
      <c r="C710" s="2" t="s">
        <v>1105</v>
      </c>
      <c r="D710" s="5" t="s">
        <v>1104</v>
      </c>
      <c r="E710" s="2" t="s">
        <v>15445</v>
      </c>
      <c r="F710" s="2" t="s">
        <v>15446</v>
      </c>
      <c r="G710" s="2" t="s">
        <v>15456</v>
      </c>
      <c r="H710" s="2" t="s">
        <v>15455</v>
      </c>
    </row>
    <row r="711">
      <c r="A711" s="2">
        <v>709.0</v>
      </c>
      <c r="B711" s="5" t="s">
        <v>1107</v>
      </c>
      <c r="C711" s="2" t="s">
        <v>1108</v>
      </c>
      <c r="D711" s="5" t="s">
        <v>1107</v>
      </c>
      <c r="E711" s="2" t="s">
        <v>15445</v>
      </c>
      <c r="F711" s="2" t="s">
        <v>15442</v>
      </c>
      <c r="G711" s="2" t="s">
        <v>15443</v>
      </c>
      <c r="H711" s="2" t="s">
        <v>15444</v>
      </c>
    </row>
    <row r="712">
      <c r="A712" s="2">
        <v>710.0</v>
      </c>
      <c r="B712" s="5" t="s">
        <v>1110</v>
      </c>
      <c r="C712" s="2" t="s">
        <v>1111</v>
      </c>
      <c r="D712" s="5" t="s">
        <v>1110</v>
      </c>
      <c r="E712" s="2" t="s">
        <v>15445</v>
      </c>
      <c r="F712" s="2" t="s">
        <v>15446</v>
      </c>
      <c r="G712" s="2" t="s">
        <v>15443</v>
      </c>
      <c r="H712" s="2" t="s">
        <v>15444</v>
      </c>
    </row>
    <row r="713">
      <c r="A713" s="2">
        <v>711.0</v>
      </c>
      <c r="B713" s="5" t="s">
        <v>9999</v>
      </c>
      <c r="C713" s="2" t="s">
        <v>10000</v>
      </c>
      <c r="D713" s="5" t="s">
        <v>9999</v>
      </c>
      <c r="E713" s="2" t="s">
        <v>15441</v>
      </c>
      <c r="F713" s="2" t="s">
        <v>15446</v>
      </c>
      <c r="G713" s="2" t="s">
        <v>15456</v>
      </c>
      <c r="H713" s="2" t="s">
        <v>15444</v>
      </c>
    </row>
    <row r="714">
      <c r="A714" s="2">
        <v>712.0</v>
      </c>
      <c r="B714" s="5" t="s">
        <v>10001</v>
      </c>
      <c r="C714" s="2" t="s">
        <v>10002</v>
      </c>
      <c r="D714" s="5" t="s">
        <v>10001</v>
      </c>
      <c r="E714" s="2" t="s">
        <v>15441</v>
      </c>
      <c r="F714" s="2" t="s">
        <v>15446</v>
      </c>
      <c r="G714" s="2" t="s">
        <v>15443</v>
      </c>
      <c r="H714" s="2" t="s">
        <v>15444</v>
      </c>
    </row>
    <row r="715">
      <c r="A715" s="2">
        <v>713.0</v>
      </c>
      <c r="B715" s="5" t="s">
        <v>1113</v>
      </c>
      <c r="C715" s="2" t="s">
        <v>1114</v>
      </c>
      <c r="D715" s="5" t="s">
        <v>1113</v>
      </c>
      <c r="E715" s="2" t="s">
        <v>15445</v>
      </c>
      <c r="F715" s="2" t="s">
        <v>15446</v>
      </c>
      <c r="G715" s="2" t="s">
        <v>15443</v>
      </c>
      <c r="H715" s="2" t="s">
        <v>15444</v>
      </c>
    </row>
    <row r="716">
      <c r="A716" s="2">
        <v>714.0</v>
      </c>
      <c r="B716" s="5" t="s">
        <v>1116</v>
      </c>
      <c r="C716" s="2" t="s">
        <v>1117</v>
      </c>
      <c r="D716" s="5" t="s">
        <v>1116</v>
      </c>
      <c r="E716" s="2" t="s">
        <v>15445</v>
      </c>
      <c r="F716" s="2" t="s">
        <v>15446</v>
      </c>
      <c r="G716" s="2" t="s">
        <v>15456</v>
      </c>
      <c r="H716" s="2" t="s">
        <v>15444</v>
      </c>
    </row>
    <row r="717">
      <c r="A717" s="2">
        <v>715.0</v>
      </c>
      <c r="B717" s="5" t="s">
        <v>1119</v>
      </c>
      <c r="C717" s="2" t="s">
        <v>1120</v>
      </c>
      <c r="D717" s="5" t="s">
        <v>1119</v>
      </c>
      <c r="E717" s="2" t="s">
        <v>15445</v>
      </c>
      <c r="F717" s="2" t="s">
        <v>15446</v>
      </c>
      <c r="G717" s="2" t="s">
        <v>15456</v>
      </c>
      <c r="H717" s="2" t="s">
        <v>15444</v>
      </c>
    </row>
    <row r="718">
      <c r="A718" s="2">
        <v>716.0</v>
      </c>
      <c r="B718" s="5" t="s">
        <v>1122</v>
      </c>
      <c r="C718" s="2" t="s">
        <v>1123</v>
      </c>
      <c r="D718" s="5" t="s">
        <v>1122</v>
      </c>
      <c r="E718" s="2" t="s">
        <v>15445</v>
      </c>
      <c r="F718" s="2" t="s">
        <v>15442</v>
      </c>
      <c r="G718" s="2" t="s">
        <v>15443</v>
      </c>
      <c r="H718" s="2" t="s">
        <v>15444</v>
      </c>
    </row>
    <row r="719">
      <c r="A719" s="2">
        <v>717.0</v>
      </c>
      <c r="B719" s="5" t="s">
        <v>10003</v>
      </c>
      <c r="C719" s="2" t="s">
        <v>10004</v>
      </c>
      <c r="D719" s="5" t="s">
        <v>10003</v>
      </c>
      <c r="E719" s="2" t="s">
        <v>15441</v>
      </c>
      <c r="F719" s="2" t="s">
        <v>15442</v>
      </c>
      <c r="G719" s="2" t="s">
        <v>15443</v>
      </c>
      <c r="H719" s="2" t="s">
        <v>15444</v>
      </c>
    </row>
    <row r="720">
      <c r="A720" s="2">
        <v>718.0</v>
      </c>
      <c r="B720" s="5" t="s">
        <v>10005</v>
      </c>
      <c r="C720" s="2" t="s">
        <v>10006</v>
      </c>
      <c r="D720" s="5" t="s">
        <v>10005</v>
      </c>
      <c r="E720" s="2" t="s">
        <v>15441</v>
      </c>
      <c r="F720" s="2" t="s">
        <v>15442</v>
      </c>
      <c r="G720" s="2" t="s">
        <v>15456</v>
      </c>
      <c r="H720" s="2" t="s">
        <v>15444</v>
      </c>
    </row>
    <row r="721">
      <c r="A721" s="2">
        <v>719.0</v>
      </c>
      <c r="B721" s="5" t="s">
        <v>1125</v>
      </c>
      <c r="C721" s="2" t="s">
        <v>1126</v>
      </c>
      <c r="D721" s="5" t="s">
        <v>1125</v>
      </c>
      <c r="E721" s="2" t="s">
        <v>15445</v>
      </c>
      <c r="F721" s="2" t="s">
        <v>15446</v>
      </c>
      <c r="G721" s="2" t="s">
        <v>15456</v>
      </c>
      <c r="H721" s="2" t="s">
        <v>15462</v>
      </c>
    </row>
    <row r="722">
      <c r="A722" s="2">
        <v>720.0</v>
      </c>
      <c r="B722" s="5" t="s">
        <v>1128</v>
      </c>
      <c r="C722" s="2" t="s">
        <v>1129</v>
      </c>
      <c r="D722" s="5" t="s">
        <v>1128</v>
      </c>
      <c r="E722" s="2" t="s">
        <v>15445</v>
      </c>
      <c r="F722" s="2" t="s">
        <v>15446</v>
      </c>
      <c r="G722" s="2" t="s">
        <v>15443</v>
      </c>
      <c r="H722" s="2" t="s">
        <v>15444</v>
      </c>
    </row>
    <row r="723">
      <c r="A723" s="2">
        <v>721.0</v>
      </c>
      <c r="B723" s="5" t="s">
        <v>1131</v>
      </c>
      <c r="C723" s="2" t="s">
        <v>1132</v>
      </c>
      <c r="D723" s="5" t="s">
        <v>1131</v>
      </c>
      <c r="E723" s="2" t="s">
        <v>15445</v>
      </c>
      <c r="F723" s="2" t="s">
        <v>15442</v>
      </c>
      <c r="G723" s="2" t="s">
        <v>15443</v>
      </c>
      <c r="H723" s="2" t="s">
        <v>15444</v>
      </c>
    </row>
    <row r="724">
      <c r="A724" s="2">
        <v>722.0</v>
      </c>
      <c r="B724" s="5" t="s">
        <v>1134</v>
      </c>
      <c r="C724" s="2" t="s">
        <v>1135</v>
      </c>
      <c r="D724" s="5" t="s">
        <v>1134</v>
      </c>
      <c r="E724" s="2" t="s">
        <v>15445</v>
      </c>
      <c r="F724" s="2" t="s">
        <v>15442</v>
      </c>
      <c r="G724" s="2" t="s">
        <v>15443</v>
      </c>
      <c r="H724" s="2" t="s">
        <v>15457</v>
      </c>
    </row>
    <row r="725">
      <c r="A725" s="2">
        <v>723.0</v>
      </c>
      <c r="B725" s="5" t="s">
        <v>1137</v>
      </c>
      <c r="C725" s="2" t="s">
        <v>1138</v>
      </c>
      <c r="D725" s="5" t="s">
        <v>1137</v>
      </c>
      <c r="E725" s="2" t="s">
        <v>15445</v>
      </c>
      <c r="F725" s="2" t="s">
        <v>15446</v>
      </c>
      <c r="G725" s="2" t="s">
        <v>15443</v>
      </c>
      <c r="H725" s="2" t="s">
        <v>15444</v>
      </c>
    </row>
    <row r="726">
      <c r="A726" s="2">
        <v>724.0</v>
      </c>
      <c r="B726" s="5" t="s">
        <v>1140</v>
      </c>
      <c r="C726" s="2" t="s">
        <v>1141</v>
      </c>
      <c r="D726" s="5" t="s">
        <v>1140</v>
      </c>
      <c r="E726" s="2" t="s">
        <v>15445</v>
      </c>
      <c r="F726" s="2" t="s">
        <v>15442</v>
      </c>
      <c r="G726" s="2" t="s">
        <v>15443</v>
      </c>
      <c r="H726" s="2" t="s">
        <v>15461</v>
      </c>
    </row>
    <row r="727">
      <c r="A727" s="2">
        <v>725.0</v>
      </c>
      <c r="B727" s="5" t="s">
        <v>1143</v>
      </c>
      <c r="C727" s="2" t="s">
        <v>1144</v>
      </c>
      <c r="D727" s="5" t="s">
        <v>1143</v>
      </c>
      <c r="E727" s="2" t="s">
        <v>15445</v>
      </c>
      <c r="F727" s="2" t="s">
        <v>15446</v>
      </c>
      <c r="G727" s="2" t="s">
        <v>15443</v>
      </c>
      <c r="H727" s="2" t="s">
        <v>15444</v>
      </c>
    </row>
    <row r="728">
      <c r="A728" s="2">
        <v>726.0</v>
      </c>
      <c r="B728" s="5" t="s">
        <v>10007</v>
      </c>
      <c r="C728" s="2" t="s">
        <v>10008</v>
      </c>
      <c r="D728" s="5" t="s">
        <v>10007</v>
      </c>
      <c r="E728" s="2" t="s">
        <v>15441</v>
      </c>
      <c r="F728" s="2" t="s">
        <v>15442</v>
      </c>
      <c r="G728" s="2" t="s">
        <v>15443</v>
      </c>
      <c r="H728" s="2" t="s">
        <v>15462</v>
      </c>
    </row>
    <row r="729">
      <c r="A729" s="2">
        <v>727.0</v>
      </c>
      <c r="B729" s="5" t="s">
        <v>1146</v>
      </c>
      <c r="C729" s="2" t="s">
        <v>1147</v>
      </c>
      <c r="D729" s="5" t="s">
        <v>1146</v>
      </c>
      <c r="E729" s="2" t="s">
        <v>15445</v>
      </c>
      <c r="F729" s="2" t="s">
        <v>15442</v>
      </c>
      <c r="G729" s="2" t="s">
        <v>15443</v>
      </c>
      <c r="H729" s="2" t="s">
        <v>15455</v>
      </c>
    </row>
    <row r="730">
      <c r="A730" s="2">
        <v>728.0</v>
      </c>
      <c r="B730" s="5" t="s">
        <v>1149</v>
      </c>
      <c r="C730" s="2" t="s">
        <v>1150</v>
      </c>
      <c r="D730" s="5" t="s">
        <v>1149</v>
      </c>
      <c r="E730" s="2" t="s">
        <v>15445</v>
      </c>
      <c r="F730" s="2" t="s">
        <v>15446</v>
      </c>
      <c r="G730" s="2" t="s">
        <v>15456</v>
      </c>
      <c r="H730" s="2" t="s">
        <v>15444</v>
      </c>
    </row>
    <row r="731">
      <c r="A731" s="2">
        <v>729.0</v>
      </c>
      <c r="B731" s="5" t="s">
        <v>10009</v>
      </c>
      <c r="C731" s="2" t="s">
        <v>10010</v>
      </c>
      <c r="D731" s="5" t="s">
        <v>10009</v>
      </c>
      <c r="E731" s="2" t="s">
        <v>15441</v>
      </c>
      <c r="F731" s="2" t="s">
        <v>15446</v>
      </c>
      <c r="G731" s="2" t="s">
        <v>15456</v>
      </c>
      <c r="H731" s="2" t="s">
        <v>15444</v>
      </c>
    </row>
    <row r="732">
      <c r="A732" s="2">
        <v>730.0</v>
      </c>
      <c r="B732" s="5" t="s">
        <v>1152</v>
      </c>
      <c r="C732" s="2" t="s">
        <v>1153</v>
      </c>
      <c r="D732" s="5" t="s">
        <v>1152</v>
      </c>
      <c r="E732" s="2" t="s">
        <v>15445</v>
      </c>
      <c r="F732" s="2" t="s">
        <v>15446</v>
      </c>
      <c r="G732" s="2" t="s">
        <v>15456</v>
      </c>
      <c r="H732" s="2" t="s">
        <v>15444</v>
      </c>
    </row>
    <row r="733">
      <c r="A733" s="2">
        <v>731.0</v>
      </c>
      <c r="B733" s="5" t="s">
        <v>10011</v>
      </c>
      <c r="C733" s="2" t="s">
        <v>10012</v>
      </c>
      <c r="D733" s="5" t="s">
        <v>10011</v>
      </c>
      <c r="E733" s="2" t="s">
        <v>15441</v>
      </c>
      <c r="F733" s="2" t="s">
        <v>15446</v>
      </c>
      <c r="G733" s="2" t="s">
        <v>15456</v>
      </c>
      <c r="H733" s="2" t="s">
        <v>15444</v>
      </c>
    </row>
    <row r="734">
      <c r="A734" s="2">
        <v>732.0</v>
      </c>
      <c r="B734" s="5" t="s">
        <v>10013</v>
      </c>
      <c r="C734" s="2" t="s">
        <v>10014</v>
      </c>
      <c r="D734" s="5" t="s">
        <v>10013</v>
      </c>
      <c r="E734" s="2" t="s">
        <v>15441</v>
      </c>
      <c r="F734" s="2" t="s">
        <v>15446</v>
      </c>
      <c r="G734" s="2" t="s">
        <v>15456</v>
      </c>
      <c r="H734" s="2" t="s">
        <v>15444</v>
      </c>
    </row>
    <row r="735">
      <c r="A735" s="2">
        <v>733.0</v>
      </c>
      <c r="B735" s="5" t="s">
        <v>10015</v>
      </c>
      <c r="C735" s="2" t="s">
        <v>10016</v>
      </c>
      <c r="D735" s="5" t="s">
        <v>10015</v>
      </c>
      <c r="E735" s="2" t="s">
        <v>15441</v>
      </c>
      <c r="F735" s="2" t="s">
        <v>15442</v>
      </c>
      <c r="G735" s="2" t="s">
        <v>15443</v>
      </c>
      <c r="H735" s="2" t="s">
        <v>15444</v>
      </c>
    </row>
    <row r="736">
      <c r="A736" s="2">
        <v>734.0</v>
      </c>
      <c r="B736" s="5" t="s">
        <v>1155</v>
      </c>
      <c r="C736" s="2" t="s">
        <v>1156</v>
      </c>
      <c r="D736" s="5" t="s">
        <v>1155</v>
      </c>
      <c r="E736" s="2" t="s">
        <v>15445</v>
      </c>
      <c r="F736" s="2" t="s">
        <v>15446</v>
      </c>
      <c r="G736" s="2" t="s">
        <v>15456</v>
      </c>
      <c r="H736" s="2" t="s">
        <v>15455</v>
      </c>
    </row>
    <row r="737">
      <c r="A737" s="2">
        <v>735.0</v>
      </c>
      <c r="B737" s="5" t="s">
        <v>10017</v>
      </c>
      <c r="C737" s="2" t="s">
        <v>10018</v>
      </c>
      <c r="D737" s="5" t="s">
        <v>10017</v>
      </c>
      <c r="E737" s="2" t="s">
        <v>15441</v>
      </c>
      <c r="F737" s="2" t="s">
        <v>15442</v>
      </c>
      <c r="G737" s="2" t="s">
        <v>15443</v>
      </c>
      <c r="H737" s="2" t="s">
        <v>15461</v>
      </c>
    </row>
    <row r="738">
      <c r="A738" s="2">
        <v>736.0</v>
      </c>
      <c r="B738" s="5" t="s">
        <v>10019</v>
      </c>
      <c r="C738" s="2" t="s">
        <v>10020</v>
      </c>
      <c r="D738" s="5" t="s">
        <v>10019</v>
      </c>
      <c r="E738" s="2" t="s">
        <v>15441</v>
      </c>
      <c r="F738" s="2" t="s">
        <v>15442</v>
      </c>
      <c r="G738" s="2" t="s">
        <v>15443</v>
      </c>
      <c r="H738" s="2" t="s">
        <v>15444</v>
      </c>
    </row>
    <row r="739">
      <c r="A739" s="2">
        <v>737.0</v>
      </c>
      <c r="B739" s="5" t="s">
        <v>10021</v>
      </c>
      <c r="C739" s="2" t="s">
        <v>10022</v>
      </c>
      <c r="D739" s="5" t="s">
        <v>10021</v>
      </c>
      <c r="E739" s="2" t="s">
        <v>15441</v>
      </c>
      <c r="F739" s="2" t="s">
        <v>15442</v>
      </c>
      <c r="G739" s="2" t="s">
        <v>15456</v>
      </c>
      <c r="H739" s="2" t="s">
        <v>15444</v>
      </c>
    </row>
    <row r="740">
      <c r="A740" s="2">
        <v>738.0</v>
      </c>
      <c r="B740" s="5" t="s">
        <v>10023</v>
      </c>
      <c r="C740" s="2" t="s">
        <v>10024</v>
      </c>
      <c r="D740" s="5" t="s">
        <v>10023</v>
      </c>
      <c r="E740" s="2" t="s">
        <v>15441</v>
      </c>
      <c r="F740" s="2" t="s">
        <v>15446</v>
      </c>
      <c r="G740" s="2" t="s">
        <v>15456</v>
      </c>
      <c r="H740" s="2" t="s">
        <v>15444</v>
      </c>
    </row>
    <row r="741">
      <c r="A741" s="2">
        <v>739.0</v>
      </c>
      <c r="B741" s="5" t="s">
        <v>10025</v>
      </c>
      <c r="C741" s="2" t="s">
        <v>10026</v>
      </c>
      <c r="D741" s="5" t="s">
        <v>10025</v>
      </c>
      <c r="E741" s="2" t="s">
        <v>15441</v>
      </c>
      <c r="F741" s="2" t="s">
        <v>15446</v>
      </c>
      <c r="G741" s="2" t="s">
        <v>15443</v>
      </c>
      <c r="H741" s="2" t="s">
        <v>15444</v>
      </c>
    </row>
    <row r="742">
      <c r="A742" s="2">
        <v>740.0</v>
      </c>
      <c r="B742" s="5" t="s">
        <v>10027</v>
      </c>
      <c r="C742" s="2" t="s">
        <v>10028</v>
      </c>
      <c r="D742" s="5" t="s">
        <v>10027</v>
      </c>
      <c r="E742" s="2" t="s">
        <v>15441</v>
      </c>
      <c r="F742" s="2" t="s">
        <v>15446</v>
      </c>
      <c r="G742" s="2" t="s">
        <v>15456</v>
      </c>
      <c r="H742" s="2" t="s">
        <v>15444</v>
      </c>
    </row>
    <row r="743">
      <c r="A743" s="2">
        <v>741.0</v>
      </c>
      <c r="B743" s="5" t="s">
        <v>1158</v>
      </c>
      <c r="C743" s="2" t="s">
        <v>1159</v>
      </c>
      <c r="D743" s="5" t="s">
        <v>1158</v>
      </c>
      <c r="E743" s="2" t="s">
        <v>15445</v>
      </c>
      <c r="F743" s="2" t="s">
        <v>15446</v>
      </c>
      <c r="G743" s="2" t="s">
        <v>15456</v>
      </c>
      <c r="H743" s="2" t="s">
        <v>15444</v>
      </c>
    </row>
    <row r="744">
      <c r="A744" s="2">
        <v>742.0</v>
      </c>
      <c r="B744" s="5" t="s">
        <v>10029</v>
      </c>
      <c r="C744" s="2" t="s">
        <v>10030</v>
      </c>
      <c r="D744" s="5" t="s">
        <v>10029</v>
      </c>
      <c r="E744" s="2" t="s">
        <v>15441</v>
      </c>
      <c r="F744" s="2" t="s">
        <v>15442</v>
      </c>
      <c r="G744" s="2" t="s">
        <v>15443</v>
      </c>
      <c r="H744" s="2" t="s">
        <v>15444</v>
      </c>
    </row>
    <row r="745">
      <c r="A745" s="2">
        <v>743.0</v>
      </c>
      <c r="B745" s="5" t="s">
        <v>10031</v>
      </c>
      <c r="C745" s="2" t="s">
        <v>10032</v>
      </c>
      <c r="D745" s="5" t="s">
        <v>10031</v>
      </c>
      <c r="E745" s="2" t="s">
        <v>15441</v>
      </c>
      <c r="F745" s="2" t="s">
        <v>15446</v>
      </c>
      <c r="G745" s="2" t="s">
        <v>15456</v>
      </c>
      <c r="H745" s="2" t="s">
        <v>15444</v>
      </c>
    </row>
    <row r="746">
      <c r="A746" s="2">
        <v>744.0</v>
      </c>
      <c r="B746" s="5" t="s">
        <v>1161</v>
      </c>
      <c r="C746" s="2" t="s">
        <v>1162</v>
      </c>
      <c r="D746" s="5" t="s">
        <v>1161</v>
      </c>
      <c r="E746" s="2" t="s">
        <v>15445</v>
      </c>
      <c r="F746" s="2" t="s">
        <v>15446</v>
      </c>
      <c r="G746" s="2" t="s">
        <v>15456</v>
      </c>
      <c r="H746" s="2" t="s">
        <v>15455</v>
      </c>
    </row>
    <row r="747">
      <c r="A747" s="2">
        <v>745.0</v>
      </c>
      <c r="B747" s="5" t="s">
        <v>10033</v>
      </c>
      <c r="C747" s="2" t="s">
        <v>10034</v>
      </c>
      <c r="D747" s="5" t="s">
        <v>10033</v>
      </c>
      <c r="E747" s="2" t="s">
        <v>15441</v>
      </c>
      <c r="F747" s="2" t="s">
        <v>15446</v>
      </c>
      <c r="G747" s="2" t="s">
        <v>15456</v>
      </c>
      <c r="H747" s="2" t="s">
        <v>15462</v>
      </c>
    </row>
    <row r="748">
      <c r="A748" s="2">
        <v>746.0</v>
      </c>
      <c r="B748" s="5" t="s">
        <v>1164</v>
      </c>
      <c r="C748" s="2" t="s">
        <v>1165</v>
      </c>
      <c r="D748" s="5" t="s">
        <v>1164</v>
      </c>
      <c r="E748" s="2" t="s">
        <v>15445</v>
      </c>
      <c r="F748" s="2" t="s">
        <v>15442</v>
      </c>
      <c r="G748" s="2" t="s">
        <v>15443</v>
      </c>
      <c r="H748" s="2" t="s">
        <v>15444</v>
      </c>
    </row>
    <row r="749">
      <c r="A749" s="2">
        <v>747.0</v>
      </c>
      <c r="B749" s="5" t="s">
        <v>10035</v>
      </c>
      <c r="C749" s="2" t="s">
        <v>10036</v>
      </c>
      <c r="D749" s="5" t="s">
        <v>10035</v>
      </c>
      <c r="E749" s="2" t="s">
        <v>15441</v>
      </c>
      <c r="F749" s="2" t="s">
        <v>15442</v>
      </c>
      <c r="G749" s="2" t="s">
        <v>15443</v>
      </c>
      <c r="H749" s="2" t="s">
        <v>15444</v>
      </c>
    </row>
    <row r="750">
      <c r="A750" s="2">
        <v>748.0</v>
      </c>
      <c r="B750" s="5" t="s">
        <v>10037</v>
      </c>
      <c r="C750" s="2" t="s">
        <v>10038</v>
      </c>
      <c r="D750" s="5" t="s">
        <v>10037</v>
      </c>
      <c r="E750" s="2" t="s">
        <v>15441</v>
      </c>
      <c r="F750" s="2" t="s">
        <v>15446</v>
      </c>
      <c r="G750" s="2" t="s">
        <v>15443</v>
      </c>
      <c r="H750" s="2" t="s">
        <v>15444</v>
      </c>
    </row>
    <row r="751">
      <c r="A751" s="2">
        <v>749.0</v>
      </c>
      <c r="B751" s="5" t="s">
        <v>10039</v>
      </c>
      <c r="C751" s="2" t="s">
        <v>10040</v>
      </c>
      <c r="D751" s="5" t="s">
        <v>10039</v>
      </c>
      <c r="E751" s="2" t="s">
        <v>15441</v>
      </c>
      <c r="F751" s="2" t="s">
        <v>15446</v>
      </c>
      <c r="G751" s="2" t="s">
        <v>15456</v>
      </c>
      <c r="H751" s="2" t="s">
        <v>15444</v>
      </c>
    </row>
    <row r="752">
      <c r="A752" s="2">
        <v>750.0</v>
      </c>
      <c r="B752" s="5" t="s">
        <v>1167</v>
      </c>
      <c r="C752" s="2" t="s">
        <v>1168</v>
      </c>
      <c r="D752" s="5" t="s">
        <v>1167</v>
      </c>
      <c r="E752" s="2" t="s">
        <v>15445</v>
      </c>
      <c r="F752" s="2" t="s">
        <v>15446</v>
      </c>
      <c r="G752" s="2" t="s">
        <v>15443</v>
      </c>
      <c r="H752" s="2" t="s">
        <v>15444</v>
      </c>
    </row>
    <row r="753">
      <c r="A753" s="2">
        <v>751.0</v>
      </c>
      <c r="B753" s="5" t="s">
        <v>1170</v>
      </c>
      <c r="C753" s="2" t="s">
        <v>1171</v>
      </c>
      <c r="D753" s="5" t="s">
        <v>1170</v>
      </c>
      <c r="E753" s="2" t="s">
        <v>15445</v>
      </c>
      <c r="F753" s="2" t="s">
        <v>15442</v>
      </c>
      <c r="G753" s="2" t="s">
        <v>15456</v>
      </c>
      <c r="H753" s="2" t="s">
        <v>15444</v>
      </c>
    </row>
    <row r="754">
      <c r="A754" s="2">
        <v>752.0</v>
      </c>
      <c r="B754" s="5" t="s">
        <v>10041</v>
      </c>
      <c r="C754" s="2" t="s">
        <v>10042</v>
      </c>
      <c r="D754" s="5" t="s">
        <v>10041</v>
      </c>
      <c r="E754" s="2" t="s">
        <v>15441</v>
      </c>
      <c r="F754" s="2" t="s">
        <v>15442</v>
      </c>
      <c r="G754" s="2" t="s">
        <v>15443</v>
      </c>
      <c r="H754" s="2" t="s">
        <v>15457</v>
      </c>
    </row>
    <row r="755">
      <c r="A755" s="2">
        <v>753.0</v>
      </c>
      <c r="B755" s="5" t="s">
        <v>10043</v>
      </c>
      <c r="C755" s="2" t="s">
        <v>10044</v>
      </c>
      <c r="D755" s="5" t="s">
        <v>10043</v>
      </c>
      <c r="E755" s="2" t="s">
        <v>15441</v>
      </c>
      <c r="F755" s="2" t="s">
        <v>15446</v>
      </c>
      <c r="G755" s="2" t="s">
        <v>15456</v>
      </c>
      <c r="H755" s="2" t="s">
        <v>15457</v>
      </c>
    </row>
    <row r="756">
      <c r="A756" s="2">
        <v>754.0</v>
      </c>
      <c r="B756" s="5" t="s">
        <v>10045</v>
      </c>
      <c r="C756" s="2" t="s">
        <v>10046</v>
      </c>
      <c r="D756" s="5" t="s">
        <v>10045</v>
      </c>
      <c r="E756" s="2" t="s">
        <v>15441</v>
      </c>
      <c r="F756" s="2" t="s">
        <v>15442</v>
      </c>
      <c r="G756" s="2" t="s">
        <v>15443</v>
      </c>
      <c r="H756" s="2" t="s">
        <v>15444</v>
      </c>
    </row>
    <row r="757">
      <c r="A757" s="2">
        <v>755.0</v>
      </c>
      <c r="B757" s="5" t="s">
        <v>10047</v>
      </c>
      <c r="C757" s="2" t="s">
        <v>10048</v>
      </c>
      <c r="D757" s="5" t="s">
        <v>10047</v>
      </c>
      <c r="E757" s="2" t="s">
        <v>15441</v>
      </c>
      <c r="F757" s="2" t="s">
        <v>15442</v>
      </c>
      <c r="G757" s="2" t="s">
        <v>15443</v>
      </c>
      <c r="H757" s="2" t="s">
        <v>15455</v>
      </c>
    </row>
    <row r="758">
      <c r="A758" s="2">
        <v>756.0</v>
      </c>
      <c r="B758" s="5" t="s">
        <v>1173</v>
      </c>
      <c r="C758" s="2" t="s">
        <v>1174</v>
      </c>
      <c r="D758" s="5" t="s">
        <v>1173</v>
      </c>
      <c r="E758" s="2" t="s">
        <v>15445</v>
      </c>
      <c r="F758" s="2" t="s">
        <v>15442</v>
      </c>
      <c r="G758" s="2" t="s">
        <v>15443</v>
      </c>
      <c r="H758" s="2" t="s">
        <v>15444</v>
      </c>
    </row>
    <row r="759">
      <c r="A759" s="2">
        <v>757.0</v>
      </c>
      <c r="B759" s="5" t="s">
        <v>10049</v>
      </c>
      <c r="C759" s="2" t="s">
        <v>10050</v>
      </c>
      <c r="D759" s="5" t="s">
        <v>10049</v>
      </c>
      <c r="E759" s="2" t="s">
        <v>15441</v>
      </c>
      <c r="F759" s="2" t="s">
        <v>15442</v>
      </c>
      <c r="G759" s="2" t="s">
        <v>15443</v>
      </c>
      <c r="H759" s="2" t="s">
        <v>15444</v>
      </c>
    </row>
    <row r="760">
      <c r="A760" s="2">
        <v>758.0</v>
      </c>
      <c r="B760" s="5" t="s">
        <v>1176</v>
      </c>
      <c r="C760" s="2" t="s">
        <v>1177</v>
      </c>
      <c r="D760" s="5" t="s">
        <v>1176</v>
      </c>
      <c r="E760" s="2" t="s">
        <v>15445</v>
      </c>
      <c r="F760" s="2" t="s">
        <v>15442</v>
      </c>
      <c r="G760" s="2" t="s">
        <v>15443</v>
      </c>
      <c r="H760" s="2" t="s">
        <v>15444</v>
      </c>
    </row>
    <row r="761">
      <c r="A761" s="2">
        <v>759.0</v>
      </c>
      <c r="B761" s="5" t="s">
        <v>1179</v>
      </c>
      <c r="C761" s="2" t="s">
        <v>1180</v>
      </c>
      <c r="D761" s="5" t="s">
        <v>1179</v>
      </c>
      <c r="E761" s="2" t="s">
        <v>15445</v>
      </c>
      <c r="F761" s="2" t="s">
        <v>15446</v>
      </c>
      <c r="G761" s="2" t="s">
        <v>15456</v>
      </c>
      <c r="H761" s="2" t="s">
        <v>15444</v>
      </c>
    </row>
    <row r="762">
      <c r="A762" s="2">
        <v>760.0</v>
      </c>
      <c r="B762" s="5" t="s">
        <v>1182</v>
      </c>
      <c r="C762" s="2" t="s">
        <v>1183</v>
      </c>
      <c r="D762" s="5" t="s">
        <v>1182</v>
      </c>
      <c r="E762" s="2" t="s">
        <v>15445</v>
      </c>
      <c r="F762" s="2" t="s">
        <v>15446</v>
      </c>
      <c r="G762" s="2" t="s">
        <v>15456</v>
      </c>
      <c r="H762" s="2" t="s">
        <v>15444</v>
      </c>
    </row>
    <row r="763">
      <c r="A763" s="2">
        <v>761.0</v>
      </c>
      <c r="B763" s="5" t="s">
        <v>10051</v>
      </c>
      <c r="C763" s="2" t="s">
        <v>10052</v>
      </c>
      <c r="D763" s="5" t="s">
        <v>10051</v>
      </c>
      <c r="E763" s="2" t="s">
        <v>15441</v>
      </c>
      <c r="F763" s="2" t="s">
        <v>15446</v>
      </c>
      <c r="G763" s="2" t="s">
        <v>15443</v>
      </c>
      <c r="H763" s="2" t="s">
        <v>15444</v>
      </c>
    </row>
    <row r="764">
      <c r="A764" s="2">
        <v>762.0</v>
      </c>
      <c r="B764" s="5" t="s">
        <v>10053</v>
      </c>
      <c r="C764" s="2" t="s">
        <v>10054</v>
      </c>
      <c r="D764" s="5" t="s">
        <v>10053</v>
      </c>
      <c r="E764" s="2" t="s">
        <v>15441</v>
      </c>
      <c r="F764" s="2" t="s">
        <v>15446</v>
      </c>
      <c r="G764" s="2" t="s">
        <v>15456</v>
      </c>
      <c r="H764" s="2" t="s">
        <v>15444</v>
      </c>
    </row>
    <row r="765">
      <c r="A765" s="2">
        <v>763.0</v>
      </c>
      <c r="B765" s="5" t="s">
        <v>10055</v>
      </c>
      <c r="C765" s="2" t="s">
        <v>10056</v>
      </c>
      <c r="D765" s="5" t="s">
        <v>10055</v>
      </c>
      <c r="E765" s="2" t="s">
        <v>15441</v>
      </c>
      <c r="F765" s="2" t="s">
        <v>15446</v>
      </c>
      <c r="G765" s="2" t="s">
        <v>15456</v>
      </c>
      <c r="H765" s="2" t="s">
        <v>15444</v>
      </c>
    </row>
    <row r="766">
      <c r="A766" s="2">
        <v>764.0</v>
      </c>
      <c r="B766" s="5" t="s">
        <v>1185</v>
      </c>
      <c r="C766" s="2" t="s">
        <v>1186</v>
      </c>
      <c r="D766" s="5" t="s">
        <v>1185</v>
      </c>
      <c r="E766" s="2" t="s">
        <v>15445</v>
      </c>
      <c r="F766" s="2" t="s">
        <v>15442</v>
      </c>
      <c r="G766" s="2" t="s">
        <v>15443</v>
      </c>
      <c r="H766" s="2" t="s">
        <v>15444</v>
      </c>
    </row>
    <row r="767">
      <c r="A767" s="2">
        <v>765.0</v>
      </c>
      <c r="B767" s="5" t="s">
        <v>1188</v>
      </c>
      <c r="C767" s="2" t="s">
        <v>1189</v>
      </c>
      <c r="D767" s="5" t="s">
        <v>1188</v>
      </c>
      <c r="E767" s="2" t="s">
        <v>15445</v>
      </c>
      <c r="F767" s="2" t="s">
        <v>15446</v>
      </c>
      <c r="G767" s="2" t="s">
        <v>15443</v>
      </c>
      <c r="H767" s="2" t="s">
        <v>15444</v>
      </c>
    </row>
    <row r="768">
      <c r="A768" s="2">
        <v>766.0</v>
      </c>
      <c r="B768" s="5" t="s">
        <v>1191</v>
      </c>
      <c r="C768" s="2" t="s">
        <v>1192</v>
      </c>
      <c r="D768" s="5" t="s">
        <v>1191</v>
      </c>
      <c r="E768" s="2" t="s">
        <v>15445</v>
      </c>
      <c r="F768" s="2" t="s">
        <v>15446</v>
      </c>
      <c r="G768" s="2" t="s">
        <v>15443</v>
      </c>
      <c r="H768" s="2" t="s">
        <v>15444</v>
      </c>
    </row>
    <row r="769">
      <c r="A769" s="2">
        <v>767.0</v>
      </c>
      <c r="B769" s="5" t="s">
        <v>1194</v>
      </c>
      <c r="C769" s="2" t="s">
        <v>1195</v>
      </c>
      <c r="D769" s="5" t="s">
        <v>1194</v>
      </c>
      <c r="E769" s="2" t="s">
        <v>15445</v>
      </c>
      <c r="F769" s="2" t="s">
        <v>15446</v>
      </c>
      <c r="G769" s="2" t="s">
        <v>15456</v>
      </c>
      <c r="H769" s="2" t="s">
        <v>15444</v>
      </c>
    </row>
    <row r="770">
      <c r="A770" s="2">
        <v>768.0</v>
      </c>
      <c r="B770" s="5" t="s">
        <v>1197</v>
      </c>
      <c r="C770" s="2" t="s">
        <v>1198</v>
      </c>
      <c r="D770" s="5" t="s">
        <v>1197</v>
      </c>
      <c r="E770" s="2" t="s">
        <v>15445</v>
      </c>
      <c r="F770" s="2" t="s">
        <v>15446</v>
      </c>
      <c r="G770" s="2" t="s">
        <v>15443</v>
      </c>
      <c r="H770" s="2" t="s">
        <v>15444</v>
      </c>
    </row>
    <row r="771">
      <c r="A771" s="2">
        <v>769.0</v>
      </c>
      <c r="B771" s="5" t="s">
        <v>10057</v>
      </c>
      <c r="C771" s="2" t="s">
        <v>10058</v>
      </c>
      <c r="D771" s="5" t="s">
        <v>10057</v>
      </c>
      <c r="E771" s="2" t="s">
        <v>15441</v>
      </c>
      <c r="F771" s="2" t="s">
        <v>15446</v>
      </c>
      <c r="G771" s="2" t="s">
        <v>15456</v>
      </c>
      <c r="H771" s="2" t="s">
        <v>15444</v>
      </c>
    </row>
    <row r="772">
      <c r="A772" s="2">
        <v>770.0</v>
      </c>
      <c r="B772" s="5" t="s">
        <v>10059</v>
      </c>
      <c r="C772" s="2" t="s">
        <v>10060</v>
      </c>
      <c r="D772" s="5" t="s">
        <v>10059</v>
      </c>
      <c r="E772" s="2" t="s">
        <v>15441</v>
      </c>
      <c r="F772" s="2" t="s">
        <v>15442</v>
      </c>
      <c r="G772" s="2" t="s">
        <v>15443</v>
      </c>
      <c r="H772" s="2" t="s">
        <v>15444</v>
      </c>
    </row>
    <row r="773">
      <c r="A773" s="2">
        <v>771.0</v>
      </c>
      <c r="B773" s="5" t="s">
        <v>10061</v>
      </c>
      <c r="C773" s="2" t="s">
        <v>10062</v>
      </c>
      <c r="D773" s="5" t="s">
        <v>10061</v>
      </c>
      <c r="E773" s="2" t="s">
        <v>15441</v>
      </c>
      <c r="F773" s="2" t="s">
        <v>15446</v>
      </c>
      <c r="G773" s="2" t="s">
        <v>15443</v>
      </c>
      <c r="H773" s="2" t="s">
        <v>15457</v>
      </c>
    </row>
    <row r="774">
      <c r="A774" s="2">
        <v>772.0</v>
      </c>
      <c r="B774" s="5" t="s">
        <v>10063</v>
      </c>
      <c r="C774" s="2" t="s">
        <v>10064</v>
      </c>
      <c r="D774" s="5" t="s">
        <v>10063</v>
      </c>
      <c r="E774" s="2" t="s">
        <v>15441</v>
      </c>
      <c r="F774" s="2" t="s">
        <v>15446</v>
      </c>
      <c r="G774" s="2" t="s">
        <v>15456</v>
      </c>
      <c r="H774" s="2" t="s">
        <v>15444</v>
      </c>
    </row>
    <row r="775">
      <c r="A775" s="2">
        <v>773.0</v>
      </c>
      <c r="B775" s="5" t="s">
        <v>10065</v>
      </c>
      <c r="C775" s="2" t="s">
        <v>10066</v>
      </c>
      <c r="D775" s="5" t="s">
        <v>10065</v>
      </c>
      <c r="E775" s="2" t="s">
        <v>15441</v>
      </c>
      <c r="F775" s="2" t="s">
        <v>15442</v>
      </c>
      <c r="G775" s="2" t="s">
        <v>15456</v>
      </c>
      <c r="H775" s="2" t="s">
        <v>15444</v>
      </c>
    </row>
    <row r="776">
      <c r="A776" s="2">
        <v>774.0</v>
      </c>
      <c r="B776" s="5" t="s">
        <v>1200</v>
      </c>
      <c r="C776" s="2" t="s">
        <v>1201</v>
      </c>
      <c r="D776" s="5" t="s">
        <v>1200</v>
      </c>
      <c r="E776" s="2" t="s">
        <v>15445</v>
      </c>
      <c r="F776" s="2" t="s">
        <v>15446</v>
      </c>
      <c r="G776" s="2" t="s">
        <v>15456</v>
      </c>
      <c r="H776" s="2" t="s">
        <v>15444</v>
      </c>
    </row>
    <row r="777">
      <c r="A777" s="2">
        <v>775.0</v>
      </c>
      <c r="B777" s="5" t="s">
        <v>10067</v>
      </c>
      <c r="C777" s="2" t="s">
        <v>10068</v>
      </c>
      <c r="D777" s="5" t="s">
        <v>10067</v>
      </c>
      <c r="E777" s="2" t="s">
        <v>15441</v>
      </c>
      <c r="F777" s="2" t="s">
        <v>15442</v>
      </c>
      <c r="G777" s="2" t="s">
        <v>15443</v>
      </c>
      <c r="H777" s="2" t="s">
        <v>15444</v>
      </c>
    </row>
    <row r="778">
      <c r="A778" s="2">
        <v>776.0</v>
      </c>
      <c r="B778" s="5" t="s">
        <v>1203</v>
      </c>
      <c r="C778" s="2" t="s">
        <v>1204</v>
      </c>
      <c r="D778" s="5" t="s">
        <v>1203</v>
      </c>
      <c r="E778" s="2" t="s">
        <v>15445</v>
      </c>
      <c r="F778" s="2" t="s">
        <v>15446</v>
      </c>
      <c r="G778" s="2" t="s">
        <v>15456</v>
      </c>
      <c r="H778" s="2" t="s">
        <v>15444</v>
      </c>
    </row>
    <row r="779">
      <c r="A779" s="2">
        <v>777.0</v>
      </c>
      <c r="B779" s="5" t="s">
        <v>1206</v>
      </c>
      <c r="C779" s="2" t="s">
        <v>1207</v>
      </c>
      <c r="D779" s="5" t="s">
        <v>1206</v>
      </c>
      <c r="E779" s="2" t="s">
        <v>15445</v>
      </c>
      <c r="F779" s="2" t="s">
        <v>15442</v>
      </c>
      <c r="G779" s="2" t="s">
        <v>15443</v>
      </c>
      <c r="H779" s="2" t="s">
        <v>15444</v>
      </c>
    </row>
    <row r="780">
      <c r="A780" s="2">
        <v>778.0</v>
      </c>
      <c r="B780" s="5" t="s">
        <v>10069</v>
      </c>
      <c r="C780" s="2" t="s">
        <v>10070</v>
      </c>
      <c r="D780" s="5" t="s">
        <v>10069</v>
      </c>
      <c r="E780" s="2" t="s">
        <v>15441</v>
      </c>
      <c r="F780" s="2" t="s">
        <v>15446</v>
      </c>
      <c r="G780" s="2" t="s">
        <v>15456</v>
      </c>
      <c r="H780" s="2" t="s">
        <v>15455</v>
      </c>
    </row>
    <row r="781">
      <c r="A781" s="2">
        <v>779.0</v>
      </c>
      <c r="B781" s="5" t="s">
        <v>10071</v>
      </c>
      <c r="C781" s="2" t="s">
        <v>10072</v>
      </c>
      <c r="D781" s="5" t="s">
        <v>10071</v>
      </c>
      <c r="E781" s="2" t="s">
        <v>15441</v>
      </c>
      <c r="F781" s="2" t="s">
        <v>15446</v>
      </c>
      <c r="G781" s="2" t="s">
        <v>15456</v>
      </c>
      <c r="H781" s="2" t="s">
        <v>15444</v>
      </c>
    </row>
    <row r="782">
      <c r="A782" s="2">
        <v>780.0</v>
      </c>
      <c r="B782" s="5" t="s">
        <v>1209</v>
      </c>
      <c r="C782" s="2" t="s">
        <v>1210</v>
      </c>
      <c r="D782" s="5" t="s">
        <v>1209</v>
      </c>
      <c r="E782" s="2" t="s">
        <v>15445</v>
      </c>
      <c r="F782" s="2" t="s">
        <v>15446</v>
      </c>
      <c r="G782" s="2" t="s">
        <v>15443</v>
      </c>
      <c r="H782" s="2" t="s">
        <v>15444</v>
      </c>
    </row>
    <row r="783">
      <c r="A783" s="2">
        <v>781.0</v>
      </c>
      <c r="B783" s="5" t="s">
        <v>1212</v>
      </c>
      <c r="C783" s="2" t="s">
        <v>1213</v>
      </c>
      <c r="D783" s="5" t="s">
        <v>1212</v>
      </c>
      <c r="E783" s="2" t="s">
        <v>15445</v>
      </c>
      <c r="F783" s="2" t="s">
        <v>15446</v>
      </c>
      <c r="G783" s="2" t="s">
        <v>15443</v>
      </c>
      <c r="H783" s="2" t="s">
        <v>15444</v>
      </c>
    </row>
    <row r="784">
      <c r="A784" s="2">
        <v>782.0</v>
      </c>
      <c r="B784" s="5" t="s">
        <v>1215</v>
      </c>
      <c r="C784" s="2" t="s">
        <v>1216</v>
      </c>
      <c r="D784" s="5" t="s">
        <v>1215</v>
      </c>
      <c r="E784" s="2" t="s">
        <v>15445</v>
      </c>
      <c r="F784" s="2" t="s">
        <v>15442</v>
      </c>
      <c r="G784" s="2" t="s">
        <v>15443</v>
      </c>
      <c r="H784" s="2" t="s">
        <v>15444</v>
      </c>
    </row>
    <row r="785">
      <c r="A785" s="2">
        <v>783.0</v>
      </c>
      <c r="B785" s="5" t="s">
        <v>10073</v>
      </c>
      <c r="C785" s="2" t="s">
        <v>10074</v>
      </c>
      <c r="D785" s="5" t="s">
        <v>10073</v>
      </c>
      <c r="E785" s="2" t="s">
        <v>15441</v>
      </c>
      <c r="F785" s="2" t="s">
        <v>15446</v>
      </c>
      <c r="G785" s="2" t="s">
        <v>15456</v>
      </c>
      <c r="H785" s="2" t="s">
        <v>15444</v>
      </c>
    </row>
    <row r="786">
      <c r="A786" s="2">
        <v>784.0</v>
      </c>
      <c r="B786" s="5" t="s">
        <v>10075</v>
      </c>
      <c r="C786" s="2" t="s">
        <v>10076</v>
      </c>
      <c r="D786" s="5" t="s">
        <v>10075</v>
      </c>
      <c r="E786" s="2" t="s">
        <v>15441</v>
      </c>
      <c r="F786" s="2" t="s">
        <v>15446</v>
      </c>
      <c r="G786" s="2" t="s">
        <v>15456</v>
      </c>
      <c r="H786" s="2" t="s">
        <v>15444</v>
      </c>
    </row>
    <row r="787">
      <c r="A787" s="2">
        <v>785.0</v>
      </c>
      <c r="B787" s="5" t="s">
        <v>10077</v>
      </c>
      <c r="C787" s="2" t="s">
        <v>10078</v>
      </c>
      <c r="D787" s="5" t="s">
        <v>10077</v>
      </c>
      <c r="E787" s="2" t="s">
        <v>15441</v>
      </c>
      <c r="F787" s="2" t="s">
        <v>15442</v>
      </c>
      <c r="G787" s="2" t="s">
        <v>15443</v>
      </c>
      <c r="H787" s="2" t="s">
        <v>15444</v>
      </c>
    </row>
    <row r="788">
      <c r="A788" s="2">
        <v>786.0</v>
      </c>
      <c r="B788" s="5" t="s">
        <v>1218</v>
      </c>
      <c r="C788" s="2" t="s">
        <v>1219</v>
      </c>
      <c r="D788" s="5" t="s">
        <v>1218</v>
      </c>
      <c r="E788" s="2" t="s">
        <v>15445</v>
      </c>
      <c r="F788" s="2" t="s">
        <v>15442</v>
      </c>
      <c r="G788" s="2" t="s">
        <v>15443</v>
      </c>
      <c r="H788" s="2" t="s">
        <v>15444</v>
      </c>
    </row>
    <row r="789">
      <c r="A789" s="2">
        <v>787.0</v>
      </c>
      <c r="B789" s="5" t="s">
        <v>1221</v>
      </c>
      <c r="C789" s="2" t="s">
        <v>1222</v>
      </c>
      <c r="D789" s="5" t="s">
        <v>1221</v>
      </c>
      <c r="E789" s="2" t="s">
        <v>15445</v>
      </c>
      <c r="F789" s="2" t="s">
        <v>15442</v>
      </c>
      <c r="G789" s="2" t="s">
        <v>15456</v>
      </c>
      <c r="H789" s="2" t="s">
        <v>15444</v>
      </c>
    </row>
    <row r="790">
      <c r="A790" s="2">
        <v>788.0</v>
      </c>
      <c r="B790" s="5" t="s">
        <v>1224</v>
      </c>
      <c r="C790" s="2" t="s">
        <v>1225</v>
      </c>
      <c r="D790" s="5" t="s">
        <v>1224</v>
      </c>
      <c r="E790" s="2" t="s">
        <v>15445</v>
      </c>
      <c r="F790" s="2" t="s">
        <v>15442</v>
      </c>
      <c r="G790" s="2" t="s">
        <v>15443</v>
      </c>
      <c r="H790" s="2" t="s">
        <v>15444</v>
      </c>
    </row>
    <row r="791">
      <c r="A791" s="2">
        <v>789.0</v>
      </c>
      <c r="B791" s="5" t="s">
        <v>10079</v>
      </c>
      <c r="C791" s="2" t="s">
        <v>10080</v>
      </c>
      <c r="D791" s="5" t="s">
        <v>10079</v>
      </c>
      <c r="E791" s="2" t="s">
        <v>15441</v>
      </c>
      <c r="F791" s="2" t="s">
        <v>15442</v>
      </c>
      <c r="G791" s="2" t="s">
        <v>15456</v>
      </c>
      <c r="H791" s="2" t="s">
        <v>15444</v>
      </c>
    </row>
    <row r="792">
      <c r="A792" s="2">
        <v>790.0</v>
      </c>
      <c r="B792" s="5" t="s">
        <v>10081</v>
      </c>
      <c r="C792" s="2" t="s">
        <v>10082</v>
      </c>
      <c r="D792" s="5" t="s">
        <v>10081</v>
      </c>
      <c r="E792" s="2" t="s">
        <v>15441</v>
      </c>
      <c r="F792" s="2" t="s">
        <v>15442</v>
      </c>
      <c r="G792" s="2" t="s">
        <v>15456</v>
      </c>
      <c r="H792" s="2" t="s">
        <v>15444</v>
      </c>
    </row>
    <row r="793">
      <c r="A793" s="2">
        <v>791.0</v>
      </c>
      <c r="B793" s="5" t="s">
        <v>10083</v>
      </c>
      <c r="C793" s="2" t="s">
        <v>10084</v>
      </c>
      <c r="D793" s="5" t="s">
        <v>10083</v>
      </c>
      <c r="E793" s="2" t="s">
        <v>15441</v>
      </c>
      <c r="F793" s="2" t="s">
        <v>15446</v>
      </c>
      <c r="G793" s="2" t="s">
        <v>15456</v>
      </c>
      <c r="H793" s="2" t="s">
        <v>15457</v>
      </c>
    </row>
    <row r="794">
      <c r="A794" s="2">
        <v>792.0</v>
      </c>
      <c r="B794" s="5" t="s">
        <v>10085</v>
      </c>
      <c r="C794" s="2" t="s">
        <v>10086</v>
      </c>
      <c r="D794" s="5" t="s">
        <v>10085</v>
      </c>
      <c r="E794" s="2" t="s">
        <v>15441</v>
      </c>
      <c r="F794" s="2" t="s">
        <v>15446</v>
      </c>
      <c r="G794" s="2" t="s">
        <v>15456</v>
      </c>
      <c r="H794" s="2" t="s">
        <v>15444</v>
      </c>
    </row>
    <row r="795">
      <c r="A795" s="2">
        <v>793.0</v>
      </c>
      <c r="B795" s="5" t="s">
        <v>1227</v>
      </c>
      <c r="C795" s="2" t="s">
        <v>1228</v>
      </c>
      <c r="D795" s="5" t="s">
        <v>1227</v>
      </c>
      <c r="E795" s="2" t="s">
        <v>15445</v>
      </c>
      <c r="F795" s="2" t="s">
        <v>15446</v>
      </c>
      <c r="G795" s="2" t="s">
        <v>15456</v>
      </c>
      <c r="H795" s="2" t="s">
        <v>15444</v>
      </c>
    </row>
    <row r="796">
      <c r="A796" s="2">
        <v>794.0</v>
      </c>
      <c r="B796" s="5" t="s">
        <v>1230</v>
      </c>
      <c r="C796" s="2" t="s">
        <v>1231</v>
      </c>
      <c r="D796" s="5" t="s">
        <v>1230</v>
      </c>
      <c r="E796" s="2" t="s">
        <v>15445</v>
      </c>
      <c r="F796" s="2" t="s">
        <v>15446</v>
      </c>
      <c r="G796" s="2" t="s">
        <v>15456</v>
      </c>
      <c r="H796" s="2" t="s">
        <v>15444</v>
      </c>
    </row>
    <row r="797">
      <c r="A797" s="2">
        <v>795.0</v>
      </c>
      <c r="B797" s="5" t="s">
        <v>1233</v>
      </c>
      <c r="C797" s="2" t="s">
        <v>1234</v>
      </c>
      <c r="D797" s="5" t="s">
        <v>1233</v>
      </c>
      <c r="E797" s="2" t="s">
        <v>15445</v>
      </c>
      <c r="F797" s="2" t="s">
        <v>15446</v>
      </c>
      <c r="G797" s="2" t="s">
        <v>15443</v>
      </c>
      <c r="H797" s="2" t="s">
        <v>15444</v>
      </c>
    </row>
    <row r="798">
      <c r="A798" s="2">
        <v>796.0</v>
      </c>
      <c r="B798" s="5" t="s">
        <v>1236</v>
      </c>
      <c r="C798" s="2" t="s">
        <v>1237</v>
      </c>
      <c r="D798" s="5" t="s">
        <v>1236</v>
      </c>
      <c r="E798" s="2" t="s">
        <v>15445</v>
      </c>
      <c r="F798" s="2" t="s">
        <v>15446</v>
      </c>
      <c r="G798" s="2" t="s">
        <v>15456</v>
      </c>
      <c r="H798" s="2" t="s">
        <v>15444</v>
      </c>
    </row>
    <row r="799">
      <c r="A799" s="2">
        <v>797.0</v>
      </c>
      <c r="B799" s="5" t="s">
        <v>1239</v>
      </c>
      <c r="C799" s="2" t="s">
        <v>1240</v>
      </c>
      <c r="D799" s="5" t="s">
        <v>1239</v>
      </c>
      <c r="E799" s="2" t="s">
        <v>15445</v>
      </c>
      <c r="F799" s="2" t="s">
        <v>15446</v>
      </c>
      <c r="G799" s="2" t="s">
        <v>15443</v>
      </c>
      <c r="H799" s="2" t="s">
        <v>15444</v>
      </c>
    </row>
    <row r="800">
      <c r="A800" s="2">
        <v>798.0</v>
      </c>
      <c r="B800" s="5" t="s">
        <v>1242</v>
      </c>
      <c r="C800" s="2" t="s">
        <v>1243</v>
      </c>
      <c r="D800" s="5" t="s">
        <v>1242</v>
      </c>
      <c r="E800" s="2" t="s">
        <v>15445</v>
      </c>
      <c r="F800" s="2" t="s">
        <v>15442</v>
      </c>
      <c r="G800" s="2" t="s">
        <v>15456</v>
      </c>
      <c r="H800" s="2" t="s">
        <v>15444</v>
      </c>
    </row>
    <row r="801">
      <c r="A801" s="2">
        <v>799.0</v>
      </c>
      <c r="B801" s="5" t="s">
        <v>1245</v>
      </c>
      <c r="C801" s="2" t="s">
        <v>1246</v>
      </c>
      <c r="D801" s="5" t="s">
        <v>1245</v>
      </c>
      <c r="E801" s="2" t="s">
        <v>15445</v>
      </c>
      <c r="F801" s="2" t="s">
        <v>15446</v>
      </c>
      <c r="G801" s="2" t="s">
        <v>15443</v>
      </c>
      <c r="H801" s="2" t="s">
        <v>15444</v>
      </c>
    </row>
    <row r="802">
      <c r="A802" s="2">
        <v>800.0</v>
      </c>
      <c r="B802" s="5" t="s">
        <v>15472</v>
      </c>
      <c r="D802" s="5" t="s">
        <v>15472</v>
      </c>
      <c r="E802" s="2" t="s">
        <v>15441</v>
      </c>
      <c r="F802" s="2" t="s">
        <v>15446</v>
      </c>
      <c r="G802" s="2" t="s">
        <v>15456</v>
      </c>
      <c r="H802" s="2" t="s">
        <v>15444</v>
      </c>
    </row>
    <row r="803">
      <c r="A803" s="2">
        <v>801.0</v>
      </c>
      <c r="B803" s="5" t="s">
        <v>10087</v>
      </c>
      <c r="C803" s="2" t="s">
        <v>10088</v>
      </c>
      <c r="D803" s="5" t="s">
        <v>10087</v>
      </c>
      <c r="E803" s="2" t="s">
        <v>15441</v>
      </c>
      <c r="F803" s="2" t="s">
        <v>15446</v>
      </c>
      <c r="G803" s="2" t="s">
        <v>15456</v>
      </c>
      <c r="H803" s="2" t="s">
        <v>15444</v>
      </c>
    </row>
    <row r="804">
      <c r="A804" s="2">
        <v>802.0</v>
      </c>
      <c r="B804" s="5" t="s">
        <v>1248</v>
      </c>
      <c r="C804" s="2" t="s">
        <v>1249</v>
      </c>
      <c r="D804" s="5" t="s">
        <v>1248</v>
      </c>
      <c r="E804" s="2" t="s">
        <v>15445</v>
      </c>
      <c r="F804" s="2" t="s">
        <v>15442</v>
      </c>
      <c r="G804" s="2" t="s">
        <v>15443</v>
      </c>
      <c r="H804" s="2" t="s">
        <v>15444</v>
      </c>
    </row>
    <row r="805">
      <c r="A805" s="2">
        <v>803.0</v>
      </c>
      <c r="B805" s="5" t="s">
        <v>1251</v>
      </c>
      <c r="C805" s="2" t="s">
        <v>1252</v>
      </c>
      <c r="D805" s="5" t="s">
        <v>1251</v>
      </c>
      <c r="E805" s="2" t="s">
        <v>15445</v>
      </c>
      <c r="F805" s="2" t="s">
        <v>15446</v>
      </c>
      <c r="G805" s="2" t="s">
        <v>15443</v>
      </c>
      <c r="H805" s="2" t="s">
        <v>15444</v>
      </c>
    </row>
    <row r="806">
      <c r="A806" s="2">
        <v>804.0</v>
      </c>
      <c r="B806" s="5" t="s">
        <v>1254</v>
      </c>
      <c r="C806" s="2" t="s">
        <v>1255</v>
      </c>
      <c r="D806" s="5" t="s">
        <v>1254</v>
      </c>
      <c r="E806" s="2" t="s">
        <v>15445</v>
      </c>
      <c r="F806" s="2" t="s">
        <v>15442</v>
      </c>
      <c r="G806" s="2" t="s">
        <v>15443</v>
      </c>
      <c r="H806" s="2" t="s">
        <v>15444</v>
      </c>
    </row>
    <row r="807">
      <c r="A807" s="2">
        <v>805.0</v>
      </c>
      <c r="B807" s="5" t="s">
        <v>1257</v>
      </c>
      <c r="C807" s="2" t="s">
        <v>1258</v>
      </c>
      <c r="D807" s="5" t="s">
        <v>1257</v>
      </c>
      <c r="E807" s="2" t="s">
        <v>15445</v>
      </c>
      <c r="F807" s="2" t="s">
        <v>15442</v>
      </c>
      <c r="G807" s="2" t="s">
        <v>15456</v>
      </c>
      <c r="H807" s="2" t="s">
        <v>15444</v>
      </c>
    </row>
    <row r="808">
      <c r="A808" s="2">
        <v>806.0</v>
      </c>
      <c r="B808" s="5" t="s">
        <v>10089</v>
      </c>
      <c r="C808" s="2" t="s">
        <v>10090</v>
      </c>
      <c r="D808" s="5" t="s">
        <v>10089</v>
      </c>
      <c r="E808" s="2" t="s">
        <v>15441</v>
      </c>
      <c r="F808" s="2" t="s">
        <v>15442</v>
      </c>
      <c r="G808" s="2" t="s">
        <v>15456</v>
      </c>
      <c r="H808" s="2" t="s">
        <v>15444</v>
      </c>
    </row>
    <row r="809">
      <c r="A809" s="2">
        <v>807.0</v>
      </c>
      <c r="B809" s="5" t="s">
        <v>10091</v>
      </c>
      <c r="C809" s="2" t="s">
        <v>10092</v>
      </c>
      <c r="D809" s="5" t="s">
        <v>10091</v>
      </c>
      <c r="E809" s="2" t="s">
        <v>15441</v>
      </c>
      <c r="F809" s="2" t="s">
        <v>15442</v>
      </c>
      <c r="G809" s="2" t="s">
        <v>15443</v>
      </c>
      <c r="H809" s="2" t="s">
        <v>15444</v>
      </c>
    </row>
    <row r="810">
      <c r="A810" s="2">
        <v>808.0</v>
      </c>
      <c r="B810" s="5" t="s">
        <v>1260</v>
      </c>
      <c r="C810" s="2" t="s">
        <v>1261</v>
      </c>
      <c r="D810" s="5" t="s">
        <v>1260</v>
      </c>
      <c r="E810" s="2" t="s">
        <v>15445</v>
      </c>
      <c r="F810" s="2" t="s">
        <v>15446</v>
      </c>
      <c r="G810" s="2" t="s">
        <v>15443</v>
      </c>
      <c r="H810" s="2" t="s">
        <v>15444</v>
      </c>
    </row>
    <row r="811">
      <c r="A811" s="2">
        <v>809.0</v>
      </c>
      <c r="B811" s="5" t="s">
        <v>10093</v>
      </c>
      <c r="C811" s="2" t="s">
        <v>10094</v>
      </c>
      <c r="D811" s="5" t="s">
        <v>10093</v>
      </c>
      <c r="E811" s="2" t="s">
        <v>15441</v>
      </c>
      <c r="F811" s="2" t="s">
        <v>15442</v>
      </c>
      <c r="G811" s="2" t="s">
        <v>15456</v>
      </c>
      <c r="H811" s="2" t="s">
        <v>15444</v>
      </c>
    </row>
    <row r="812">
      <c r="A812" s="2">
        <v>810.0</v>
      </c>
      <c r="B812" s="5" t="s">
        <v>1263</v>
      </c>
      <c r="C812" s="2" t="s">
        <v>1264</v>
      </c>
      <c r="D812" s="5" t="s">
        <v>1263</v>
      </c>
      <c r="E812" s="2" t="s">
        <v>15445</v>
      </c>
      <c r="F812" s="2" t="s">
        <v>15446</v>
      </c>
      <c r="G812" s="2" t="s">
        <v>15456</v>
      </c>
      <c r="H812" s="2" t="s">
        <v>15444</v>
      </c>
    </row>
    <row r="813">
      <c r="A813" s="2">
        <v>811.0</v>
      </c>
      <c r="B813" s="5" t="s">
        <v>10095</v>
      </c>
      <c r="C813" s="2" t="s">
        <v>10096</v>
      </c>
      <c r="D813" s="5" t="s">
        <v>10095</v>
      </c>
      <c r="E813" s="2" t="s">
        <v>15441</v>
      </c>
      <c r="F813" s="2" t="s">
        <v>15446</v>
      </c>
      <c r="G813" s="2" t="s">
        <v>15456</v>
      </c>
      <c r="H813" s="2" t="s">
        <v>15461</v>
      </c>
    </row>
    <row r="814">
      <c r="A814" s="2">
        <v>812.0</v>
      </c>
      <c r="B814" s="5" t="s">
        <v>1266</v>
      </c>
      <c r="C814" s="2" t="s">
        <v>1267</v>
      </c>
      <c r="D814" s="5" t="s">
        <v>1266</v>
      </c>
      <c r="E814" s="2" t="s">
        <v>15445</v>
      </c>
      <c r="F814" s="2" t="s">
        <v>15442</v>
      </c>
      <c r="G814" s="2" t="s">
        <v>15443</v>
      </c>
      <c r="H814" s="2" t="s">
        <v>15444</v>
      </c>
    </row>
    <row r="815">
      <c r="A815" s="2">
        <v>813.0</v>
      </c>
      <c r="B815" s="5" t="s">
        <v>1269</v>
      </c>
      <c r="C815" s="2" t="s">
        <v>1270</v>
      </c>
      <c r="D815" s="5" t="s">
        <v>1269</v>
      </c>
      <c r="E815" s="2" t="s">
        <v>15445</v>
      </c>
      <c r="F815" s="2" t="s">
        <v>15442</v>
      </c>
      <c r="G815" s="2" t="s">
        <v>15443</v>
      </c>
      <c r="H815" s="2" t="s">
        <v>15444</v>
      </c>
    </row>
    <row r="816">
      <c r="A816" s="2">
        <v>814.0</v>
      </c>
      <c r="B816" s="5" t="s">
        <v>10097</v>
      </c>
      <c r="C816" s="2" t="s">
        <v>10098</v>
      </c>
      <c r="D816" s="5" t="s">
        <v>10097</v>
      </c>
      <c r="E816" s="2" t="s">
        <v>15441</v>
      </c>
      <c r="F816" s="2" t="s">
        <v>15446</v>
      </c>
      <c r="G816" s="2" t="s">
        <v>15443</v>
      </c>
      <c r="H816" s="2" t="s">
        <v>15444</v>
      </c>
    </row>
    <row r="817">
      <c r="A817" s="2">
        <v>815.0</v>
      </c>
      <c r="B817" s="5" t="s">
        <v>1272</v>
      </c>
      <c r="C817" s="2" t="s">
        <v>1273</v>
      </c>
      <c r="D817" s="5" t="s">
        <v>1272</v>
      </c>
      <c r="E817" s="2" t="s">
        <v>15445</v>
      </c>
      <c r="F817" s="2" t="s">
        <v>15446</v>
      </c>
      <c r="G817" s="2" t="s">
        <v>15456</v>
      </c>
      <c r="H817" s="2" t="s">
        <v>15444</v>
      </c>
    </row>
    <row r="818">
      <c r="A818" s="2">
        <v>816.0</v>
      </c>
      <c r="B818" s="5" t="s">
        <v>10099</v>
      </c>
      <c r="C818" s="2" t="s">
        <v>10100</v>
      </c>
      <c r="D818" s="5" t="s">
        <v>10099</v>
      </c>
      <c r="E818" s="2" t="s">
        <v>15441</v>
      </c>
      <c r="F818" s="2" t="s">
        <v>15446</v>
      </c>
      <c r="G818" s="2" t="s">
        <v>15456</v>
      </c>
      <c r="H818" s="2" t="s">
        <v>15444</v>
      </c>
    </row>
    <row r="819">
      <c r="A819" s="2">
        <v>817.0</v>
      </c>
      <c r="B819" s="5" t="s">
        <v>10101</v>
      </c>
      <c r="C819" s="2" t="s">
        <v>10102</v>
      </c>
      <c r="D819" s="5" t="s">
        <v>10101</v>
      </c>
      <c r="E819" s="2" t="s">
        <v>15441</v>
      </c>
      <c r="F819" s="2" t="s">
        <v>15442</v>
      </c>
      <c r="G819" s="2" t="s">
        <v>15456</v>
      </c>
      <c r="H819" s="2" t="s">
        <v>15444</v>
      </c>
    </row>
    <row r="820">
      <c r="A820" s="2">
        <v>818.0</v>
      </c>
      <c r="B820" s="5" t="s">
        <v>10103</v>
      </c>
      <c r="C820" s="2" t="s">
        <v>10104</v>
      </c>
      <c r="D820" s="5" t="s">
        <v>10103</v>
      </c>
      <c r="E820" s="2" t="s">
        <v>15441</v>
      </c>
      <c r="F820" s="2" t="s">
        <v>15442</v>
      </c>
      <c r="G820" s="2" t="s">
        <v>15443</v>
      </c>
      <c r="H820" s="2" t="s">
        <v>15444</v>
      </c>
    </row>
    <row r="821">
      <c r="A821" s="2">
        <v>819.0</v>
      </c>
      <c r="B821" s="5" t="s">
        <v>10105</v>
      </c>
      <c r="C821" s="2" t="s">
        <v>10106</v>
      </c>
      <c r="D821" s="5" t="s">
        <v>10105</v>
      </c>
      <c r="E821" s="2" t="s">
        <v>15441</v>
      </c>
      <c r="F821" s="2" t="s">
        <v>15442</v>
      </c>
      <c r="G821" s="2" t="s">
        <v>15443</v>
      </c>
      <c r="H821" s="2" t="s">
        <v>15444</v>
      </c>
    </row>
    <row r="822">
      <c r="A822" s="2">
        <v>820.0</v>
      </c>
      <c r="B822" s="5" t="s">
        <v>10107</v>
      </c>
      <c r="C822" s="2" t="s">
        <v>10108</v>
      </c>
      <c r="D822" s="5" t="s">
        <v>10107</v>
      </c>
      <c r="E822" s="2" t="s">
        <v>15441</v>
      </c>
      <c r="F822" s="2" t="s">
        <v>15442</v>
      </c>
      <c r="G822" s="2" t="s">
        <v>15456</v>
      </c>
      <c r="H822" s="2" t="s">
        <v>15455</v>
      </c>
    </row>
    <row r="823">
      <c r="A823" s="2">
        <v>821.0</v>
      </c>
      <c r="B823" s="5" t="s">
        <v>1275</v>
      </c>
      <c r="C823" s="2" t="s">
        <v>1276</v>
      </c>
      <c r="D823" s="5" t="s">
        <v>1275</v>
      </c>
      <c r="E823" s="2" t="s">
        <v>15445</v>
      </c>
      <c r="F823" s="2" t="s">
        <v>15442</v>
      </c>
      <c r="G823" s="2" t="s">
        <v>15443</v>
      </c>
      <c r="H823" s="2" t="s">
        <v>15444</v>
      </c>
    </row>
    <row r="824">
      <c r="A824" s="2">
        <v>822.0</v>
      </c>
      <c r="B824" s="5" t="s">
        <v>1278</v>
      </c>
      <c r="C824" s="2" t="s">
        <v>1279</v>
      </c>
      <c r="D824" s="5" t="s">
        <v>1278</v>
      </c>
      <c r="E824" s="2" t="s">
        <v>15445</v>
      </c>
      <c r="F824" s="2" t="s">
        <v>15442</v>
      </c>
      <c r="G824" s="2" t="s">
        <v>15456</v>
      </c>
      <c r="H824" s="2" t="s">
        <v>15444</v>
      </c>
    </row>
    <row r="825">
      <c r="A825" s="2">
        <v>823.0</v>
      </c>
      <c r="B825" s="5" t="s">
        <v>10109</v>
      </c>
      <c r="C825" s="2" t="s">
        <v>10110</v>
      </c>
      <c r="D825" s="5" t="s">
        <v>10109</v>
      </c>
      <c r="E825" s="2" t="s">
        <v>15441</v>
      </c>
      <c r="F825" s="2" t="s">
        <v>15442</v>
      </c>
      <c r="G825" s="2" t="s">
        <v>15456</v>
      </c>
      <c r="H825" s="2" t="s">
        <v>15444</v>
      </c>
    </row>
    <row r="826">
      <c r="A826" s="2">
        <v>824.0</v>
      </c>
      <c r="B826" s="5" t="s">
        <v>1281</v>
      </c>
      <c r="C826" s="2" t="s">
        <v>1282</v>
      </c>
      <c r="D826" s="5" t="s">
        <v>1281</v>
      </c>
      <c r="E826" s="2" t="s">
        <v>15445</v>
      </c>
      <c r="F826" s="2" t="s">
        <v>15446</v>
      </c>
      <c r="G826" s="2" t="s">
        <v>15456</v>
      </c>
      <c r="H826" s="2" t="s">
        <v>15444</v>
      </c>
    </row>
    <row r="827">
      <c r="A827" s="2">
        <v>825.0</v>
      </c>
      <c r="B827" s="5" t="s">
        <v>10111</v>
      </c>
      <c r="C827" s="2" t="s">
        <v>10112</v>
      </c>
      <c r="D827" s="5" t="s">
        <v>10111</v>
      </c>
      <c r="E827" s="2" t="s">
        <v>15441</v>
      </c>
      <c r="F827" s="2" t="s">
        <v>15442</v>
      </c>
      <c r="G827" s="2" t="s">
        <v>15443</v>
      </c>
      <c r="H827" s="2" t="s">
        <v>15444</v>
      </c>
    </row>
    <row r="828">
      <c r="A828" s="2">
        <v>826.0</v>
      </c>
      <c r="B828" s="5" t="s">
        <v>1284</v>
      </c>
      <c r="C828" s="2" t="s">
        <v>1285</v>
      </c>
      <c r="D828" s="5" t="s">
        <v>1284</v>
      </c>
      <c r="E828" s="2" t="s">
        <v>15445</v>
      </c>
      <c r="F828" s="2" t="s">
        <v>15446</v>
      </c>
      <c r="G828" s="2" t="s">
        <v>15456</v>
      </c>
      <c r="H828" s="2" t="s">
        <v>15444</v>
      </c>
    </row>
    <row r="829">
      <c r="A829" s="2">
        <v>827.0</v>
      </c>
      <c r="B829" s="5" t="s">
        <v>10113</v>
      </c>
      <c r="C829" s="2" t="s">
        <v>10114</v>
      </c>
      <c r="D829" s="5" t="s">
        <v>10113</v>
      </c>
      <c r="E829" s="2" t="s">
        <v>15441</v>
      </c>
      <c r="F829" s="2" t="s">
        <v>15442</v>
      </c>
      <c r="G829" s="2" t="s">
        <v>15456</v>
      </c>
      <c r="H829" s="2" t="s">
        <v>15444</v>
      </c>
    </row>
    <row r="830">
      <c r="A830" s="2">
        <v>828.0</v>
      </c>
      <c r="B830" s="5" t="s">
        <v>1287</v>
      </c>
      <c r="C830" s="2" t="s">
        <v>1288</v>
      </c>
      <c r="D830" s="5" t="s">
        <v>1287</v>
      </c>
      <c r="E830" s="2" t="s">
        <v>15445</v>
      </c>
      <c r="F830" s="2" t="s">
        <v>15442</v>
      </c>
      <c r="G830" s="2" t="s">
        <v>15443</v>
      </c>
      <c r="H830" s="2" t="s">
        <v>15444</v>
      </c>
    </row>
    <row r="831">
      <c r="A831" s="2">
        <v>829.0</v>
      </c>
      <c r="B831" s="5" t="s">
        <v>10115</v>
      </c>
      <c r="C831" s="2" t="s">
        <v>10116</v>
      </c>
      <c r="D831" s="5" t="s">
        <v>10115</v>
      </c>
      <c r="E831" s="2" t="s">
        <v>15441</v>
      </c>
      <c r="F831" s="2" t="s">
        <v>15442</v>
      </c>
      <c r="G831" s="2" t="s">
        <v>15443</v>
      </c>
      <c r="H831" s="2" t="s">
        <v>15444</v>
      </c>
    </row>
    <row r="832">
      <c r="A832" s="2">
        <v>830.0</v>
      </c>
      <c r="B832" s="5" t="s">
        <v>1290</v>
      </c>
      <c r="C832" s="2" t="s">
        <v>1291</v>
      </c>
      <c r="D832" s="5" t="s">
        <v>1290</v>
      </c>
      <c r="E832" s="2" t="s">
        <v>15445</v>
      </c>
      <c r="F832" s="2" t="s">
        <v>15446</v>
      </c>
      <c r="G832" s="2" t="s">
        <v>15456</v>
      </c>
      <c r="H832" s="2" t="s">
        <v>15444</v>
      </c>
    </row>
    <row r="833">
      <c r="A833" s="2">
        <v>831.0</v>
      </c>
      <c r="B833" s="5" t="s">
        <v>10117</v>
      </c>
      <c r="C833" s="2" t="s">
        <v>10118</v>
      </c>
      <c r="D833" s="5" t="s">
        <v>10117</v>
      </c>
      <c r="E833" s="2" t="s">
        <v>15441</v>
      </c>
      <c r="F833" s="2" t="s">
        <v>15442</v>
      </c>
      <c r="G833" s="2" t="s">
        <v>15443</v>
      </c>
      <c r="H833" s="2" t="s">
        <v>15444</v>
      </c>
    </row>
    <row r="834">
      <c r="A834" s="2">
        <v>832.0</v>
      </c>
      <c r="B834" s="5" t="s">
        <v>10119</v>
      </c>
      <c r="C834" s="2" t="s">
        <v>10120</v>
      </c>
      <c r="D834" s="5" t="s">
        <v>10119</v>
      </c>
      <c r="E834" s="2" t="s">
        <v>15441</v>
      </c>
      <c r="F834" s="2" t="s">
        <v>15442</v>
      </c>
      <c r="G834" s="2" t="s">
        <v>15443</v>
      </c>
      <c r="H834" s="2" t="s">
        <v>15444</v>
      </c>
    </row>
    <row r="835">
      <c r="A835" s="2">
        <v>833.0</v>
      </c>
      <c r="B835" s="5" t="s">
        <v>1293</v>
      </c>
      <c r="C835" s="2" t="s">
        <v>1294</v>
      </c>
      <c r="D835" s="5" t="s">
        <v>1293</v>
      </c>
      <c r="E835" s="2" t="s">
        <v>15445</v>
      </c>
      <c r="F835" s="2" t="s">
        <v>15442</v>
      </c>
      <c r="G835" s="2" t="s">
        <v>15443</v>
      </c>
      <c r="H835" s="2" t="s">
        <v>15444</v>
      </c>
    </row>
    <row r="836">
      <c r="A836" s="2">
        <v>834.0</v>
      </c>
      <c r="B836" s="5" t="s">
        <v>10121</v>
      </c>
      <c r="C836" s="2" t="s">
        <v>10122</v>
      </c>
      <c r="D836" s="5" t="s">
        <v>10121</v>
      </c>
      <c r="E836" s="2" t="s">
        <v>15441</v>
      </c>
      <c r="F836" s="2" t="s">
        <v>15446</v>
      </c>
      <c r="G836" s="2" t="s">
        <v>15443</v>
      </c>
      <c r="H836" s="2" t="s">
        <v>15444</v>
      </c>
    </row>
    <row r="837">
      <c r="A837" s="2">
        <v>835.0</v>
      </c>
      <c r="B837" s="5" t="s">
        <v>1296</v>
      </c>
      <c r="C837" s="2" t="s">
        <v>1297</v>
      </c>
      <c r="D837" s="5" t="s">
        <v>1296</v>
      </c>
      <c r="E837" s="2" t="s">
        <v>15445</v>
      </c>
      <c r="F837" s="2" t="s">
        <v>15446</v>
      </c>
      <c r="G837" s="2" t="s">
        <v>15456</v>
      </c>
      <c r="H837" s="2" t="s">
        <v>15444</v>
      </c>
    </row>
    <row r="838">
      <c r="A838" s="2">
        <v>836.0</v>
      </c>
      <c r="B838" s="5" t="s">
        <v>10123</v>
      </c>
      <c r="C838" s="2" t="s">
        <v>10124</v>
      </c>
      <c r="D838" s="5" t="s">
        <v>10123</v>
      </c>
      <c r="E838" s="2" t="s">
        <v>15441</v>
      </c>
      <c r="F838" s="2" t="s">
        <v>15446</v>
      </c>
      <c r="G838" s="2" t="s">
        <v>15443</v>
      </c>
      <c r="H838" s="2" t="s">
        <v>15462</v>
      </c>
    </row>
    <row r="839">
      <c r="A839" s="2">
        <v>837.0</v>
      </c>
      <c r="B839" s="5" t="s">
        <v>1299</v>
      </c>
      <c r="C839" s="2" t="s">
        <v>1300</v>
      </c>
      <c r="D839" s="5" t="s">
        <v>1299</v>
      </c>
      <c r="E839" s="2" t="s">
        <v>15445</v>
      </c>
      <c r="F839" s="2" t="s">
        <v>15446</v>
      </c>
      <c r="G839" s="2" t="s">
        <v>15456</v>
      </c>
      <c r="H839" s="2" t="s">
        <v>15444</v>
      </c>
    </row>
    <row r="840">
      <c r="A840" s="2">
        <v>838.0</v>
      </c>
      <c r="B840" s="5" t="s">
        <v>1302</v>
      </c>
      <c r="C840" s="2" t="s">
        <v>1303</v>
      </c>
      <c r="D840" s="5" t="s">
        <v>1302</v>
      </c>
      <c r="E840" s="2" t="s">
        <v>15445</v>
      </c>
      <c r="F840" s="2" t="s">
        <v>15446</v>
      </c>
      <c r="G840" s="2" t="s">
        <v>15456</v>
      </c>
      <c r="H840" s="2" t="s">
        <v>15444</v>
      </c>
    </row>
    <row r="841">
      <c r="A841" s="2">
        <v>839.0</v>
      </c>
      <c r="B841" s="5" t="s">
        <v>10125</v>
      </c>
      <c r="C841" s="2" t="s">
        <v>10126</v>
      </c>
      <c r="D841" s="5" t="s">
        <v>10125</v>
      </c>
      <c r="E841" s="2" t="s">
        <v>15441</v>
      </c>
      <c r="F841" s="2" t="s">
        <v>15446</v>
      </c>
      <c r="G841" s="2" t="s">
        <v>15443</v>
      </c>
      <c r="H841" s="2" t="s">
        <v>15444</v>
      </c>
    </row>
    <row r="842">
      <c r="A842" s="2">
        <v>840.0</v>
      </c>
      <c r="B842" s="5" t="s">
        <v>1305</v>
      </c>
      <c r="C842" s="2" t="s">
        <v>1306</v>
      </c>
      <c r="D842" s="5" t="s">
        <v>1305</v>
      </c>
      <c r="E842" s="2" t="s">
        <v>15445</v>
      </c>
      <c r="F842" s="2" t="s">
        <v>15442</v>
      </c>
      <c r="G842" s="2" t="s">
        <v>15443</v>
      </c>
      <c r="H842" s="2" t="s">
        <v>15455</v>
      </c>
    </row>
    <row r="843">
      <c r="A843" s="2">
        <v>841.0</v>
      </c>
      <c r="B843" s="5" t="s">
        <v>10127</v>
      </c>
      <c r="C843" s="2" t="s">
        <v>10128</v>
      </c>
      <c r="D843" s="5" t="s">
        <v>10127</v>
      </c>
      <c r="E843" s="2" t="s">
        <v>15441</v>
      </c>
      <c r="F843" s="2" t="s">
        <v>15446</v>
      </c>
      <c r="G843" s="2" t="s">
        <v>15456</v>
      </c>
      <c r="H843" s="2" t="s">
        <v>15444</v>
      </c>
    </row>
    <row r="844">
      <c r="A844" s="2">
        <v>842.0</v>
      </c>
      <c r="B844" s="5" t="s">
        <v>1308</v>
      </c>
      <c r="C844" s="2" t="s">
        <v>1309</v>
      </c>
      <c r="D844" s="5" t="s">
        <v>1308</v>
      </c>
      <c r="E844" s="2" t="s">
        <v>15445</v>
      </c>
      <c r="F844" s="2" t="s">
        <v>15442</v>
      </c>
      <c r="G844" s="2" t="s">
        <v>15443</v>
      </c>
      <c r="H844" s="2" t="s">
        <v>15444</v>
      </c>
    </row>
    <row r="845">
      <c r="A845" s="2">
        <v>843.0</v>
      </c>
      <c r="B845" s="5" t="s">
        <v>1311</v>
      </c>
      <c r="C845" s="2" t="s">
        <v>1312</v>
      </c>
      <c r="D845" s="5" t="s">
        <v>1311</v>
      </c>
      <c r="E845" s="2" t="s">
        <v>15445</v>
      </c>
      <c r="F845" s="2" t="s">
        <v>15446</v>
      </c>
      <c r="G845" s="2" t="s">
        <v>15456</v>
      </c>
      <c r="H845" s="2" t="s">
        <v>15444</v>
      </c>
    </row>
    <row r="846">
      <c r="A846" s="2">
        <v>844.0</v>
      </c>
      <c r="B846" s="5" t="s">
        <v>1314</v>
      </c>
      <c r="C846" s="2" t="s">
        <v>1315</v>
      </c>
      <c r="D846" s="5" t="s">
        <v>1314</v>
      </c>
      <c r="E846" s="2" t="s">
        <v>15445</v>
      </c>
      <c r="F846" s="2" t="s">
        <v>15446</v>
      </c>
      <c r="G846" s="2" t="s">
        <v>15456</v>
      </c>
      <c r="H846" s="2" t="s">
        <v>15444</v>
      </c>
    </row>
    <row r="847">
      <c r="A847" s="2">
        <v>845.0</v>
      </c>
      <c r="B847" s="5" t="s">
        <v>10129</v>
      </c>
      <c r="C847" s="2" t="s">
        <v>10130</v>
      </c>
      <c r="D847" s="5" t="s">
        <v>10129</v>
      </c>
      <c r="E847" s="2" t="s">
        <v>15441</v>
      </c>
      <c r="F847" s="2" t="s">
        <v>15442</v>
      </c>
      <c r="G847" s="2" t="s">
        <v>15443</v>
      </c>
      <c r="H847" s="2" t="s">
        <v>15444</v>
      </c>
    </row>
    <row r="848">
      <c r="A848" s="2">
        <v>846.0</v>
      </c>
      <c r="B848" s="5" t="s">
        <v>1317</v>
      </c>
      <c r="C848" s="2" t="s">
        <v>1318</v>
      </c>
      <c r="D848" s="5" t="s">
        <v>1317</v>
      </c>
      <c r="E848" s="2" t="s">
        <v>15445</v>
      </c>
      <c r="F848" s="2" t="s">
        <v>15446</v>
      </c>
      <c r="G848" s="2" t="s">
        <v>15456</v>
      </c>
      <c r="H848" s="2" t="s">
        <v>15444</v>
      </c>
    </row>
    <row r="849">
      <c r="A849" s="2">
        <v>847.0</v>
      </c>
      <c r="B849" s="5" t="s">
        <v>1320</v>
      </c>
      <c r="C849" s="2" t="s">
        <v>1321</v>
      </c>
      <c r="D849" s="5" t="s">
        <v>1320</v>
      </c>
      <c r="E849" s="2" t="s">
        <v>15445</v>
      </c>
      <c r="F849" s="2" t="s">
        <v>15442</v>
      </c>
      <c r="G849" s="2" t="s">
        <v>15443</v>
      </c>
      <c r="H849" s="2" t="s">
        <v>15444</v>
      </c>
    </row>
    <row r="850">
      <c r="A850" s="2">
        <v>848.0</v>
      </c>
      <c r="B850" s="5" t="s">
        <v>1323</v>
      </c>
      <c r="C850" s="2" t="s">
        <v>1324</v>
      </c>
      <c r="D850" s="5" t="s">
        <v>1323</v>
      </c>
      <c r="E850" s="2" t="s">
        <v>15445</v>
      </c>
      <c r="F850" s="2" t="s">
        <v>15446</v>
      </c>
      <c r="G850" s="2" t="s">
        <v>15443</v>
      </c>
      <c r="H850" s="2" t="s">
        <v>15455</v>
      </c>
    </row>
    <row r="851">
      <c r="A851" s="2">
        <v>849.0</v>
      </c>
      <c r="B851" s="5" t="s">
        <v>10131</v>
      </c>
      <c r="C851" s="2" t="s">
        <v>10132</v>
      </c>
      <c r="D851" s="5" t="s">
        <v>10131</v>
      </c>
      <c r="E851" s="2" t="s">
        <v>15441</v>
      </c>
      <c r="F851" s="2" t="s">
        <v>15442</v>
      </c>
      <c r="G851" s="2" t="s">
        <v>15443</v>
      </c>
      <c r="H851" s="2" t="s">
        <v>15444</v>
      </c>
    </row>
    <row r="852">
      <c r="A852" s="2">
        <v>850.0</v>
      </c>
      <c r="B852" s="5" t="s">
        <v>1326</v>
      </c>
      <c r="C852" s="2" t="s">
        <v>1327</v>
      </c>
      <c r="D852" s="5" t="s">
        <v>1326</v>
      </c>
      <c r="E852" s="2" t="s">
        <v>15445</v>
      </c>
      <c r="F852" s="2" t="s">
        <v>15446</v>
      </c>
      <c r="G852" s="2" t="s">
        <v>15456</v>
      </c>
      <c r="H852" s="2" t="s">
        <v>15444</v>
      </c>
    </row>
    <row r="853">
      <c r="A853" s="2">
        <v>851.0</v>
      </c>
      <c r="B853" s="5" t="s">
        <v>1329</v>
      </c>
      <c r="C853" s="2" t="s">
        <v>1330</v>
      </c>
      <c r="D853" s="5" t="s">
        <v>1329</v>
      </c>
      <c r="E853" s="2" t="s">
        <v>15445</v>
      </c>
      <c r="F853" s="2" t="s">
        <v>15446</v>
      </c>
      <c r="G853" s="2" t="s">
        <v>15443</v>
      </c>
      <c r="H853" s="2" t="s">
        <v>15444</v>
      </c>
    </row>
    <row r="854">
      <c r="A854" s="2">
        <v>852.0</v>
      </c>
      <c r="B854" s="5" t="s">
        <v>1332</v>
      </c>
      <c r="C854" s="2" t="s">
        <v>1333</v>
      </c>
      <c r="D854" s="5" t="s">
        <v>1332</v>
      </c>
      <c r="E854" s="2" t="s">
        <v>15445</v>
      </c>
      <c r="F854" s="2" t="s">
        <v>15446</v>
      </c>
      <c r="G854" s="2" t="s">
        <v>15443</v>
      </c>
      <c r="H854" s="2" t="s">
        <v>15444</v>
      </c>
    </row>
    <row r="855">
      <c r="A855" s="2">
        <v>853.0</v>
      </c>
      <c r="B855" s="5" t="s">
        <v>10133</v>
      </c>
      <c r="C855" s="2" t="s">
        <v>10134</v>
      </c>
      <c r="D855" s="5" t="s">
        <v>10133</v>
      </c>
      <c r="E855" s="2" t="s">
        <v>15441</v>
      </c>
      <c r="F855" s="2" t="s">
        <v>15442</v>
      </c>
      <c r="G855" s="2" t="s">
        <v>15443</v>
      </c>
      <c r="H855" s="2" t="s">
        <v>15455</v>
      </c>
    </row>
    <row r="856">
      <c r="A856" s="2">
        <v>854.0</v>
      </c>
      <c r="B856" s="5" t="s">
        <v>10135</v>
      </c>
      <c r="C856" s="2" t="s">
        <v>10136</v>
      </c>
      <c r="D856" s="5" t="s">
        <v>10135</v>
      </c>
      <c r="E856" s="2" t="s">
        <v>15441</v>
      </c>
      <c r="F856" s="2" t="s">
        <v>15442</v>
      </c>
      <c r="G856" s="2" t="s">
        <v>15456</v>
      </c>
      <c r="H856" s="2" t="s">
        <v>15444</v>
      </c>
    </row>
    <row r="857">
      <c r="A857" s="2">
        <v>855.0</v>
      </c>
      <c r="B857" s="5" t="s">
        <v>10137</v>
      </c>
      <c r="C857" s="2" t="s">
        <v>10138</v>
      </c>
      <c r="D857" s="5" t="s">
        <v>10137</v>
      </c>
      <c r="E857" s="2" t="s">
        <v>15441</v>
      </c>
      <c r="F857" s="2" t="s">
        <v>15442</v>
      </c>
      <c r="G857" s="2" t="s">
        <v>15456</v>
      </c>
      <c r="H857" s="2" t="s">
        <v>15444</v>
      </c>
    </row>
    <row r="858">
      <c r="A858" s="2">
        <v>856.0</v>
      </c>
      <c r="B858" s="5" t="s">
        <v>10139</v>
      </c>
      <c r="C858" s="2" t="s">
        <v>10140</v>
      </c>
      <c r="D858" s="5" t="s">
        <v>10139</v>
      </c>
      <c r="E858" s="2" t="s">
        <v>15441</v>
      </c>
      <c r="F858" s="2" t="s">
        <v>15442</v>
      </c>
      <c r="G858" s="2" t="s">
        <v>15443</v>
      </c>
      <c r="H858" s="2" t="s">
        <v>15444</v>
      </c>
    </row>
    <row r="859">
      <c r="A859" s="2">
        <v>857.0</v>
      </c>
      <c r="B859" s="5" t="s">
        <v>10141</v>
      </c>
      <c r="C859" s="2" t="s">
        <v>10142</v>
      </c>
      <c r="D859" s="5" t="s">
        <v>10141</v>
      </c>
      <c r="E859" s="2" t="s">
        <v>15441</v>
      </c>
      <c r="F859" s="2" t="s">
        <v>15446</v>
      </c>
      <c r="G859" s="2" t="s">
        <v>15456</v>
      </c>
      <c r="H859" s="2" t="s">
        <v>15444</v>
      </c>
    </row>
    <row r="860">
      <c r="A860" s="2">
        <v>858.0</v>
      </c>
      <c r="B860" s="5" t="s">
        <v>10143</v>
      </c>
      <c r="C860" s="2" t="s">
        <v>10144</v>
      </c>
      <c r="D860" s="5" t="s">
        <v>10143</v>
      </c>
      <c r="E860" s="2" t="s">
        <v>15441</v>
      </c>
      <c r="F860" s="2" t="s">
        <v>15446</v>
      </c>
      <c r="G860" s="2" t="s">
        <v>15456</v>
      </c>
      <c r="H860" s="2" t="s">
        <v>15444</v>
      </c>
    </row>
    <row r="861">
      <c r="A861" s="2">
        <v>859.0</v>
      </c>
      <c r="B861" s="5" t="s">
        <v>1335</v>
      </c>
      <c r="C861" s="2" t="s">
        <v>1336</v>
      </c>
      <c r="D861" s="5" t="s">
        <v>1335</v>
      </c>
      <c r="E861" s="2" t="s">
        <v>15445</v>
      </c>
      <c r="F861" s="2" t="s">
        <v>15442</v>
      </c>
      <c r="G861" s="2" t="s">
        <v>15443</v>
      </c>
      <c r="H861" s="2" t="s">
        <v>15444</v>
      </c>
    </row>
    <row r="862">
      <c r="A862" s="2">
        <v>860.0</v>
      </c>
      <c r="B862" s="5" t="s">
        <v>1338</v>
      </c>
      <c r="C862" s="2" t="s">
        <v>1339</v>
      </c>
      <c r="D862" s="5" t="s">
        <v>1338</v>
      </c>
      <c r="E862" s="2" t="s">
        <v>15445</v>
      </c>
      <c r="F862" s="2" t="s">
        <v>15442</v>
      </c>
      <c r="G862" s="2" t="s">
        <v>15456</v>
      </c>
      <c r="H862" s="2" t="s">
        <v>15444</v>
      </c>
    </row>
    <row r="863">
      <c r="A863" s="2">
        <v>861.0</v>
      </c>
      <c r="B863" s="5" t="s">
        <v>10145</v>
      </c>
      <c r="C863" s="2" t="s">
        <v>10146</v>
      </c>
      <c r="D863" s="5" t="s">
        <v>10145</v>
      </c>
      <c r="E863" s="2" t="s">
        <v>15441</v>
      </c>
      <c r="F863" s="2" t="s">
        <v>15446</v>
      </c>
      <c r="G863" s="2" t="s">
        <v>15443</v>
      </c>
      <c r="H863" s="2" t="s">
        <v>15444</v>
      </c>
    </row>
    <row r="864">
      <c r="A864" s="2">
        <v>862.0</v>
      </c>
      <c r="B864" s="5" t="s">
        <v>1341</v>
      </c>
      <c r="C864" s="2" t="s">
        <v>1342</v>
      </c>
      <c r="D864" s="5" t="s">
        <v>1341</v>
      </c>
      <c r="E864" s="2" t="s">
        <v>15445</v>
      </c>
      <c r="F864" s="2" t="s">
        <v>15442</v>
      </c>
      <c r="G864" s="2" t="s">
        <v>15443</v>
      </c>
      <c r="H864" s="2" t="s">
        <v>15444</v>
      </c>
    </row>
    <row r="865">
      <c r="A865" s="2">
        <v>863.0</v>
      </c>
      <c r="B865" s="5" t="s">
        <v>10147</v>
      </c>
      <c r="C865" s="2" t="s">
        <v>10148</v>
      </c>
      <c r="D865" s="5" t="s">
        <v>10147</v>
      </c>
      <c r="E865" s="2" t="s">
        <v>15441</v>
      </c>
      <c r="F865" s="2" t="s">
        <v>15442</v>
      </c>
      <c r="G865" s="2" t="s">
        <v>15443</v>
      </c>
      <c r="H865" s="2" t="s">
        <v>15455</v>
      </c>
    </row>
    <row r="866">
      <c r="A866" s="2">
        <v>864.0</v>
      </c>
      <c r="B866" s="5" t="s">
        <v>1344</v>
      </c>
      <c r="C866" s="2" t="s">
        <v>1345</v>
      </c>
      <c r="D866" s="5" t="s">
        <v>1344</v>
      </c>
      <c r="E866" s="2" t="s">
        <v>15445</v>
      </c>
      <c r="F866" s="2" t="s">
        <v>15446</v>
      </c>
      <c r="G866" s="2" t="s">
        <v>15443</v>
      </c>
      <c r="H866" s="2" t="s">
        <v>15444</v>
      </c>
    </row>
    <row r="867">
      <c r="A867" s="2">
        <v>865.0</v>
      </c>
      <c r="B867" s="5" t="s">
        <v>10149</v>
      </c>
      <c r="C867" s="2" t="s">
        <v>10150</v>
      </c>
      <c r="D867" s="5" t="s">
        <v>10149</v>
      </c>
      <c r="E867" s="2" t="s">
        <v>15441</v>
      </c>
      <c r="F867" s="2" t="s">
        <v>15442</v>
      </c>
      <c r="G867" s="2" t="s">
        <v>15443</v>
      </c>
      <c r="H867" s="2" t="s">
        <v>15444</v>
      </c>
    </row>
    <row r="868">
      <c r="A868" s="2">
        <v>866.0</v>
      </c>
      <c r="B868" s="5" t="s">
        <v>10151</v>
      </c>
      <c r="C868" s="2" t="s">
        <v>10152</v>
      </c>
      <c r="D868" s="5" t="s">
        <v>10151</v>
      </c>
      <c r="E868" s="2" t="s">
        <v>15441</v>
      </c>
      <c r="F868" s="2" t="s">
        <v>15442</v>
      </c>
      <c r="G868" s="2" t="s">
        <v>15443</v>
      </c>
      <c r="H868" s="2" t="s">
        <v>15455</v>
      </c>
    </row>
    <row r="869">
      <c r="A869" s="2">
        <v>867.0</v>
      </c>
      <c r="B869" s="5" t="s">
        <v>10153</v>
      </c>
      <c r="C869" s="2" t="s">
        <v>10154</v>
      </c>
      <c r="D869" s="5" t="s">
        <v>10153</v>
      </c>
      <c r="E869" s="2" t="s">
        <v>15441</v>
      </c>
      <c r="F869" s="2" t="s">
        <v>15446</v>
      </c>
      <c r="G869" s="2" t="s">
        <v>15456</v>
      </c>
      <c r="H869" s="2" t="s">
        <v>15444</v>
      </c>
    </row>
    <row r="870">
      <c r="A870" s="2">
        <v>868.0</v>
      </c>
      <c r="B870" s="5" t="s">
        <v>1347</v>
      </c>
      <c r="C870" s="2" t="s">
        <v>1348</v>
      </c>
      <c r="D870" s="5" t="s">
        <v>1347</v>
      </c>
      <c r="E870" s="2" t="s">
        <v>15445</v>
      </c>
      <c r="F870" s="2" t="s">
        <v>15442</v>
      </c>
      <c r="G870" s="2" t="s">
        <v>15443</v>
      </c>
      <c r="H870" s="2" t="s">
        <v>15444</v>
      </c>
    </row>
    <row r="871">
      <c r="A871" s="2">
        <v>869.0</v>
      </c>
      <c r="B871" s="5" t="s">
        <v>10155</v>
      </c>
      <c r="C871" s="2" t="s">
        <v>10156</v>
      </c>
      <c r="D871" s="5" t="s">
        <v>10155</v>
      </c>
      <c r="E871" s="2" t="s">
        <v>15441</v>
      </c>
      <c r="F871" s="2" t="s">
        <v>15442</v>
      </c>
      <c r="G871" s="2" t="s">
        <v>15443</v>
      </c>
      <c r="H871" s="2" t="s">
        <v>15444</v>
      </c>
    </row>
    <row r="872">
      <c r="A872" s="2">
        <v>870.0</v>
      </c>
      <c r="B872" s="5" t="s">
        <v>1350</v>
      </c>
      <c r="C872" s="2" t="s">
        <v>1351</v>
      </c>
      <c r="D872" s="5" t="s">
        <v>1350</v>
      </c>
      <c r="E872" s="2" t="s">
        <v>15445</v>
      </c>
      <c r="F872" s="2" t="s">
        <v>15446</v>
      </c>
      <c r="G872" s="2" t="s">
        <v>15456</v>
      </c>
      <c r="H872" s="2" t="s">
        <v>15444</v>
      </c>
    </row>
    <row r="873">
      <c r="A873" s="2">
        <v>871.0</v>
      </c>
      <c r="B873" s="5" t="s">
        <v>10157</v>
      </c>
      <c r="C873" s="2" t="s">
        <v>10158</v>
      </c>
      <c r="D873" s="5" t="s">
        <v>10157</v>
      </c>
      <c r="E873" s="2" t="s">
        <v>15441</v>
      </c>
      <c r="F873" s="2" t="s">
        <v>15442</v>
      </c>
      <c r="G873" s="2" t="s">
        <v>15456</v>
      </c>
      <c r="H873" s="2" t="s">
        <v>15444</v>
      </c>
    </row>
    <row r="874">
      <c r="A874" s="2">
        <v>872.0</v>
      </c>
      <c r="B874" s="5" t="s">
        <v>10159</v>
      </c>
      <c r="C874" s="2" t="s">
        <v>10160</v>
      </c>
      <c r="D874" s="5" t="s">
        <v>10159</v>
      </c>
      <c r="E874" s="2" t="s">
        <v>15441</v>
      </c>
      <c r="F874" s="2" t="s">
        <v>15442</v>
      </c>
      <c r="G874" s="2" t="s">
        <v>15443</v>
      </c>
      <c r="H874" s="2" t="s">
        <v>15444</v>
      </c>
    </row>
    <row r="875">
      <c r="A875" s="2">
        <v>873.0</v>
      </c>
      <c r="B875" s="5" t="s">
        <v>1353</v>
      </c>
      <c r="C875" s="2" t="s">
        <v>1354</v>
      </c>
      <c r="D875" s="5" t="s">
        <v>1353</v>
      </c>
      <c r="E875" s="2" t="s">
        <v>15445</v>
      </c>
      <c r="F875" s="2" t="s">
        <v>15446</v>
      </c>
      <c r="G875" s="2" t="s">
        <v>15443</v>
      </c>
      <c r="H875" s="2" t="s">
        <v>15444</v>
      </c>
    </row>
    <row r="876">
      <c r="A876" s="2">
        <v>874.0</v>
      </c>
      <c r="B876" s="5" t="s">
        <v>1356</v>
      </c>
      <c r="C876" s="2" t="s">
        <v>1357</v>
      </c>
      <c r="D876" s="5" t="s">
        <v>1356</v>
      </c>
      <c r="E876" s="2" t="s">
        <v>15445</v>
      </c>
      <c r="F876" s="2" t="s">
        <v>15442</v>
      </c>
      <c r="G876" s="2" t="s">
        <v>15443</v>
      </c>
      <c r="H876" s="2" t="s">
        <v>15444</v>
      </c>
    </row>
    <row r="877">
      <c r="A877" s="2">
        <v>875.0</v>
      </c>
      <c r="B877" s="5" t="s">
        <v>10161</v>
      </c>
      <c r="C877" s="2" t="s">
        <v>10162</v>
      </c>
      <c r="D877" s="5" t="s">
        <v>10161</v>
      </c>
      <c r="E877" s="2" t="s">
        <v>15441</v>
      </c>
      <c r="F877" s="2" t="s">
        <v>15446</v>
      </c>
      <c r="G877" s="2" t="s">
        <v>15443</v>
      </c>
      <c r="H877" s="2" t="s">
        <v>15444</v>
      </c>
    </row>
    <row r="878">
      <c r="A878" s="2">
        <v>876.0</v>
      </c>
      <c r="B878" s="5" t="s">
        <v>1359</v>
      </c>
      <c r="C878" s="2" t="s">
        <v>1360</v>
      </c>
      <c r="D878" s="5" t="s">
        <v>1359</v>
      </c>
      <c r="E878" s="2" t="s">
        <v>15445</v>
      </c>
      <c r="F878" s="2" t="s">
        <v>15446</v>
      </c>
      <c r="G878" s="2" t="s">
        <v>15456</v>
      </c>
      <c r="H878" s="2" t="s">
        <v>15457</v>
      </c>
    </row>
    <row r="879">
      <c r="A879" s="2">
        <v>877.0</v>
      </c>
      <c r="B879" s="5" t="s">
        <v>1362</v>
      </c>
      <c r="C879" s="2" t="s">
        <v>1363</v>
      </c>
      <c r="D879" s="5" t="s">
        <v>1362</v>
      </c>
      <c r="E879" s="2" t="s">
        <v>15445</v>
      </c>
      <c r="F879" s="2" t="s">
        <v>15442</v>
      </c>
      <c r="G879" s="2" t="s">
        <v>15443</v>
      </c>
      <c r="H879" s="2" t="s">
        <v>15444</v>
      </c>
    </row>
    <row r="880">
      <c r="A880" s="2">
        <v>878.0</v>
      </c>
      <c r="B880" s="5" t="s">
        <v>1365</v>
      </c>
      <c r="C880" s="2" t="s">
        <v>1366</v>
      </c>
      <c r="D880" s="5" t="s">
        <v>1365</v>
      </c>
      <c r="E880" s="2" t="s">
        <v>15445</v>
      </c>
      <c r="F880" s="2" t="s">
        <v>15442</v>
      </c>
      <c r="G880" s="2" t="s">
        <v>15443</v>
      </c>
      <c r="H880" s="2" t="s">
        <v>15444</v>
      </c>
    </row>
    <row r="881">
      <c r="A881" s="2">
        <v>879.0</v>
      </c>
      <c r="B881" s="5" t="s">
        <v>15473</v>
      </c>
      <c r="C881" s="2" t="s">
        <v>15474</v>
      </c>
      <c r="D881" s="5" t="s">
        <v>15473</v>
      </c>
      <c r="E881" s="2" t="s">
        <v>15441</v>
      </c>
      <c r="F881" s="2" t="s">
        <v>15446</v>
      </c>
      <c r="G881" s="2" t="s">
        <v>15456</v>
      </c>
      <c r="H881" s="2" t="s">
        <v>15457</v>
      </c>
    </row>
    <row r="882">
      <c r="A882" s="2">
        <v>880.0</v>
      </c>
      <c r="B882" s="5" t="s">
        <v>10163</v>
      </c>
      <c r="C882" s="2" t="s">
        <v>10164</v>
      </c>
      <c r="D882" s="5" t="s">
        <v>10163</v>
      </c>
      <c r="E882" s="2" t="s">
        <v>15441</v>
      </c>
      <c r="F882" s="2" t="s">
        <v>15446</v>
      </c>
      <c r="G882" s="2" t="s">
        <v>15443</v>
      </c>
      <c r="H882" s="2" t="s">
        <v>15444</v>
      </c>
    </row>
    <row r="883">
      <c r="A883" s="2">
        <v>881.0</v>
      </c>
      <c r="B883" s="5" t="s">
        <v>10165</v>
      </c>
      <c r="C883" s="2" t="s">
        <v>10166</v>
      </c>
      <c r="D883" s="5" t="s">
        <v>10165</v>
      </c>
      <c r="E883" s="2" t="s">
        <v>15441</v>
      </c>
      <c r="F883" s="2" t="s">
        <v>15446</v>
      </c>
      <c r="G883" s="2" t="s">
        <v>15456</v>
      </c>
      <c r="H883" s="2" t="s">
        <v>15457</v>
      </c>
    </row>
    <row r="884">
      <c r="A884" s="2">
        <v>882.0</v>
      </c>
      <c r="B884" s="5" t="s">
        <v>10167</v>
      </c>
      <c r="C884" s="2" t="s">
        <v>10168</v>
      </c>
      <c r="D884" s="5" t="s">
        <v>10167</v>
      </c>
      <c r="E884" s="2" t="s">
        <v>15441</v>
      </c>
      <c r="F884" s="2" t="s">
        <v>15446</v>
      </c>
      <c r="G884" s="2" t="s">
        <v>15456</v>
      </c>
      <c r="H884" s="2" t="s">
        <v>15444</v>
      </c>
    </row>
    <row r="885">
      <c r="A885" s="2">
        <v>883.0</v>
      </c>
      <c r="B885" s="5" t="s">
        <v>10169</v>
      </c>
      <c r="C885" s="2" t="s">
        <v>10170</v>
      </c>
      <c r="D885" s="5" t="s">
        <v>10169</v>
      </c>
      <c r="E885" s="2" t="s">
        <v>15441</v>
      </c>
      <c r="F885" s="2" t="s">
        <v>15442</v>
      </c>
      <c r="G885" s="2" t="s">
        <v>15443</v>
      </c>
      <c r="H885" s="2" t="s">
        <v>15444</v>
      </c>
    </row>
    <row r="886">
      <c r="A886" s="2">
        <v>884.0</v>
      </c>
      <c r="B886" s="5" t="s">
        <v>1368</v>
      </c>
      <c r="C886" s="2" t="s">
        <v>1369</v>
      </c>
      <c r="D886" s="5" t="s">
        <v>1368</v>
      </c>
      <c r="E886" s="2" t="s">
        <v>15445</v>
      </c>
      <c r="F886" s="2" t="s">
        <v>15442</v>
      </c>
      <c r="G886" s="2" t="s">
        <v>15456</v>
      </c>
      <c r="H886" s="2" t="s">
        <v>15444</v>
      </c>
    </row>
    <row r="887">
      <c r="A887" s="2">
        <v>885.0</v>
      </c>
      <c r="B887" s="5" t="s">
        <v>10171</v>
      </c>
      <c r="C887" s="2" t="s">
        <v>10172</v>
      </c>
      <c r="D887" s="5" t="s">
        <v>10171</v>
      </c>
      <c r="E887" s="2" t="s">
        <v>15441</v>
      </c>
      <c r="F887" s="2" t="s">
        <v>15446</v>
      </c>
      <c r="G887" s="2" t="s">
        <v>15456</v>
      </c>
      <c r="H887" s="2" t="s">
        <v>15444</v>
      </c>
    </row>
    <row r="888">
      <c r="A888" s="2">
        <v>886.0</v>
      </c>
      <c r="B888" s="5" t="s">
        <v>1371</v>
      </c>
      <c r="C888" s="2" t="s">
        <v>1372</v>
      </c>
      <c r="D888" s="5" t="s">
        <v>1371</v>
      </c>
      <c r="E888" s="2" t="s">
        <v>15445</v>
      </c>
      <c r="F888" s="2" t="s">
        <v>15442</v>
      </c>
      <c r="G888" s="2" t="s">
        <v>15443</v>
      </c>
      <c r="H888" s="2" t="s">
        <v>15444</v>
      </c>
    </row>
    <row r="889">
      <c r="A889" s="2">
        <v>887.0</v>
      </c>
      <c r="B889" s="5" t="s">
        <v>10173</v>
      </c>
      <c r="C889" s="2" t="s">
        <v>10174</v>
      </c>
      <c r="D889" s="5" t="s">
        <v>10173</v>
      </c>
      <c r="E889" s="2" t="s">
        <v>15441</v>
      </c>
      <c r="F889" s="2" t="s">
        <v>15442</v>
      </c>
      <c r="G889" s="2" t="s">
        <v>15456</v>
      </c>
      <c r="H889" s="2" t="s">
        <v>15444</v>
      </c>
    </row>
    <row r="890">
      <c r="A890" s="2">
        <v>888.0</v>
      </c>
      <c r="B890" s="5" t="s">
        <v>1374</v>
      </c>
      <c r="C890" s="2" t="s">
        <v>1375</v>
      </c>
      <c r="D890" s="5" t="s">
        <v>1374</v>
      </c>
      <c r="E890" s="2" t="s">
        <v>15445</v>
      </c>
      <c r="F890" s="2" t="s">
        <v>15446</v>
      </c>
      <c r="G890" s="2" t="s">
        <v>15456</v>
      </c>
      <c r="H890" s="2" t="s">
        <v>15444</v>
      </c>
    </row>
    <row r="891">
      <c r="A891" s="2">
        <v>889.0</v>
      </c>
      <c r="B891" s="5" t="s">
        <v>10175</v>
      </c>
      <c r="C891" s="2" t="s">
        <v>10176</v>
      </c>
      <c r="D891" s="5" t="s">
        <v>10175</v>
      </c>
      <c r="E891" s="2" t="s">
        <v>15441</v>
      </c>
      <c r="F891" s="2" t="s">
        <v>15442</v>
      </c>
      <c r="G891" s="2" t="s">
        <v>15443</v>
      </c>
      <c r="H891" s="2" t="s">
        <v>15444</v>
      </c>
    </row>
    <row r="892">
      <c r="A892" s="2">
        <v>890.0</v>
      </c>
      <c r="B892" s="5" t="s">
        <v>10177</v>
      </c>
      <c r="C892" s="2" t="s">
        <v>10178</v>
      </c>
      <c r="D892" s="5" t="s">
        <v>10177</v>
      </c>
      <c r="E892" s="2" t="s">
        <v>15441</v>
      </c>
      <c r="F892" s="2" t="s">
        <v>15446</v>
      </c>
      <c r="G892" s="2" t="s">
        <v>15443</v>
      </c>
      <c r="H892" s="2" t="s">
        <v>15444</v>
      </c>
    </row>
    <row r="893">
      <c r="A893" s="2">
        <v>891.0</v>
      </c>
      <c r="B893" s="5" t="s">
        <v>10179</v>
      </c>
      <c r="C893" s="2" t="s">
        <v>10180</v>
      </c>
      <c r="D893" s="5" t="s">
        <v>10179</v>
      </c>
      <c r="E893" s="2" t="s">
        <v>15441</v>
      </c>
      <c r="F893" s="2" t="s">
        <v>15446</v>
      </c>
      <c r="G893" s="2" t="s">
        <v>15456</v>
      </c>
      <c r="H893" s="2" t="s">
        <v>15444</v>
      </c>
    </row>
    <row r="894">
      <c r="A894" s="2">
        <v>892.0</v>
      </c>
      <c r="B894" s="5" t="s">
        <v>10181</v>
      </c>
      <c r="C894" s="2" t="s">
        <v>10182</v>
      </c>
      <c r="D894" s="5" t="s">
        <v>10181</v>
      </c>
      <c r="E894" s="2" t="s">
        <v>15441</v>
      </c>
      <c r="F894" s="2" t="s">
        <v>15446</v>
      </c>
      <c r="G894" s="2" t="s">
        <v>15456</v>
      </c>
      <c r="H894" s="2" t="s">
        <v>15444</v>
      </c>
    </row>
    <row r="895">
      <c r="A895" s="2">
        <v>893.0</v>
      </c>
      <c r="B895" s="5" t="s">
        <v>10183</v>
      </c>
      <c r="C895" s="2" t="s">
        <v>10184</v>
      </c>
      <c r="D895" s="5" t="s">
        <v>10183</v>
      </c>
      <c r="E895" s="2" t="s">
        <v>15441</v>
      </c>
      <c r="F895" s="2" t="s">
        <v>15446</v>
      </c>
      <c r="G895" s="2" t="s">
        <v>15456</v>
      </c>
      <c r="H895" s="2" t="s">
        <v>15444</v>
      </c>
    </row>
    <row r="896">
      <c r="A896" s="2">
        <v>894.0</v>
      </c>
      <c r="B896" s="5" t="s">
        <v>1377</v>
      </c>
      <c r="C896" s="2" t="s">
        <v>1378</v>
      </c>
      <c r="D896" s="5" t="s">
        <v>1377</v>
      </c>
      <c r="E896" s="2" t="s">
        <v>15445</v>
      </c>
      <c r="F896" s="2" t="s">
        <v>15442</v>
      </c>
      <c r="G896" s="2" t="s">
        <v>15456</v>
      </c>
      <c r="H896" s="2" t="s">
        <v>15444</v>
      </c>
    </row>
    <row r="897">
      <c r="A897" s="2">
        <v>895.0</v>
      </c>
      <c r="B897" s="5" t="s">
        <v>1380</v>
      </c>
      <c r="C897" s="2" t="s">
        <v>1381</v>
      </c>
      <c r="D897" s="5" t="s">
        <v>1380</v>
      </c>
      <c r="E897" s="2" t="s">
        <v>15445</v>
      </c>
      <c r="F897" s="2" t="s">
        <v>15446</v>
      </c>
      <c r="G897" s="2" t="s">
        <v>15456</v>
      </c>
      <c r="H897" s="2" t="s">
        <v>15444</v>
      </c>
    </row>
    <row r="898">
      <c r="A898" s="2">
        <v>896.0</v>
      </c>
      <c r="B898" s="5" t="s">
        <v>1383</v>
      </c>
      <c r="C898" s="2" t="s">
        <v>1384</v>
      </c>
      <c r="D898" s="5" t="s">
        <v>1383</v>
      </c>
      <c r="E898" s="2" t="s">
        <v>15445</v>
      </c>
      <c r="F898" s="2" t="s">
        <v>15442</v>
      </c>
      <c r="G898" s="2" t="s">
        <v>15456</v>
      </c>
      <c r="H898" s="2" t="s">
        <v>15444</v>
      </c>
    </row>
    <row r="899">
      <c r="A899" s="2">
        <v>897.0</v>
      </c>
      <c r="B899" s="5" t="s">
        <v>10185</v>
      </c>
      <c r="C899" s="2" t="s">
        <v>10186</v>
      </c>
      <c r="D899" s="5" t="s">
        <v>10185</v>
      </c>
      <c r="E899" s="2" t="s">
        <v>15441</v>
      </c>
      <c r="F899" s="2" t="s">
        <v>15442</v>
      </c>
      <c r="G899" s="2" t="s">
        <v>15443</v>
      </c>
      <c r="H899" s="2" t="s">
        <v>15444</v>
      </c>
    </row>
    <row r="900">
      <c r="A900" s="2">
        <v>898.0</v>
      </c>
      <c r="B900" s="5" t="s">
        <v>10187</v>
      </c>
      <c r="C900" s="2" t="s">
        <v>10188</v>
      </c>
      <c r="D900" s="5" t="s">
        <v>10187</v>
      </c>
      <c r="E900" s="2" t="s">
        <v>15441</v>
      </c>
      <c r="F900" s="2" t="s">
        <v>15446</v>
      </c>
      <c r="G900" s="2" t="s">
        <v>15456</v>
      </c>
      <c r="H900" s="2" t="s">
        <v>15444</v>
      </c>
    </row>
    <row r="901">
      <c r="A901" s="2">
        <v>899.0</v>
      </c>
      <c r="B901" s="5" t="s">
        <v>10189</v>
      </c>
      <c r="C901" s="2" t="s">
        <v>10190</v>
      </c>
      <c r="D901" s="5" t="s">
        <v>10189</v>
      </c>
      <c r="E901" s="2" t="s">
        <v>15441</v>
      </c>
      <c r="F901" s="2" t="s">
        <v>15446</v>
      </c>
      <c r="G901" s="2" t="s">
        <v>15456</v>
      </c>
      <c r="H901" s="2" t="s">
        <v>15444</v>
      </c>
    </row>
    <row r="902">
      <c r="A902" s="2">
        <v>900.0</v>
      </c>
      <c r="B902" s="5" t="s">
        <v>10191</v>
      </c>
      <c r="C902" s="2" t="s">
        <v>10192</v>
      </c>
      <c r="D902" s="5" t="s">
        <v>10191</v>
      </c>
      <c r="E902" s="2" t="s">
        <v>15441</v>
      </c>
      <c r="F902" s="2" t="s">
        <v>15442</v>
      </c>
      <c r="G902" s="2" t="s">
        <v>15456</v>
      </c>
      <c r="H902" s="2" t="s">
        <v>15444</v>
      </c>
    </row>
    <row r="903">
      <c r="A903" s="2">
        <v>901.0</v>
      </c>
      <c r="B903" s="5" t="s">
        <v>1386</v>
      </c>
      <c r="C903" s="2" t="s">
        <v>1387</v>
      </c>
      <c r="D903" s="5" t="s">
        <v>1386</v>
      </c>
      <c r="E903" s="2" t="s">
        <v>15445</v>
      </c>
      <c r="F903" s="2" t="s">
        <v>15446</v>
      </c>
      <c r="G903" s="2" t="s">
        <v>15456</v>
      </c>
      <c r="H903" s="2" t="s">
        <v>15444</v>
      </c>
    </row>
    <row r="904">
      <c r="A904" s="2">
        <v>902.0</v>
      </c>
      <c r="B904" s="5" t="s">
        <v>10193</v>
      </c>
      <c r="C904" s="2" t="s">
        <v>10194</v>
      </c>
      <c r="D904" s="5" t="s">
        <v>10193</v>
      </c>
      <c r="E904" s="2" t="s">
        <v>15441</v>
      </c>
      <c r="F904" s="2" t="s">
        <v>15446</v>
      </c>
      <c r="G904" s="2" t="s">
        <v>15456</v>
      </c>
      <c r="H904" s="2" t="s">
        <v>15457</v>
      </c>
    </row>
    <row r="905">
      <c r="A905" s="2">
        <v>903.0</v>
      </c>
      <c r="B905" s="5" t="s">
        <v>1389</v>
      </c>
      <c r="C905" s="2" t="s">
        <v>1390</v>
      </c>
      <c r="D905" s="5" t="s">
        <v>1389</v>
      </c>
      <c r="E905" s="2" t="s">
        <v>15445</v>
      </c>
      <c r="F905" s="2" t="s">
        <v>15446</v>
      </c>
      <c r="G905" s="2" t="s">
        <v>15456</v>
      </c>
      <c r="H905" s="2" t="s">
        <v>15455</v>
      </c>
    </row>
    <row r="906">
      <c r="A906" s="2">
        <v>904.0</v>
      </c>
      <c r="B906" s="5" t="s">
        <v>10195</v>
      </c>
      <c r="C906" s="2" t="s">
        <v>10196</v>
      </c>
      <c r="D906" s="5" t="s">
        <v>10195</v>
      </c>
      <c r="E906" s="2" t="s">
        <v>15441</v>
      </c>
      <c r="F906" s="2" t="s">
        <v>15446</v>
      </c>
      <c r="G906" s="2" t="s">
        <v>15456</v>
      </c>
      <c r="H906" s="2" t="s">
        <v>15444</v>
      </c>
    </row>
    <row r="907">
      <c r="A907" s="2">
        <v>905.0</v>
      </c>
      <c r="B907" s="5" t="s">
        <v>1392</v>
      </c>
      <c r="C907" s="2" t="s">
        <v>1393</v>
      </c>
      <c r="D907" s="5" t="s">
        <v>1392</v>
      </c>
      <c r="E907" s="2" t="s">
        <v>15445</v>
      </c>
      <c r="F907" s="2" t="s">
        <v>15442</v>
      </c>
      <c r="G907" s="2" t="s">
        <v>15443</v>
      </c>
      <c r="H907" s="2" t="s">
        <v>15444</v>
      </c>
    </row>
    <row r="908">
      <c r="A908" s="2">
        <v>906.0</v>
      </c>
      <c r="B908" s="5" t="s">
        <v>10197</v>
      </c>
      <c r="C908" s="2" t="s">
        <v>10198</v>
      </c>
      <c r="D908" s="5" t="s">
        <v>10197</v>
      </c>
      <c r="E908" s="2" t="s">
        <v>15441</v>
      </c>
      <c r="F908" s="2" t="s">
        <v>15442</v>
      </c>
      <c r="G908" s="2" t="s">
        <v>15456</v>
      </c>
      <c r="H908" s="2" t="s">
        <v>15455</v>
      </c>
    </row>
    <row r="909">
      <c r="A909" s="2">
        <v>907.0</v>
      </c>
      <c r="B909" s="5" t="s">
        <v>1395</v>
      </c>
      <c r="C909" s="2" t="s">
        <v>1396</v>
      </c>
      <c r="D909" s="5" t="s">
        <v>1395</v>
      </c>
      <c r="E909" s="2" t="s">
        <v>15445</v>
      </c>
      <c r="F909" s="2" t="s">
        <v>15446</v>
      </c>
      <c r="G909" s="2" t="s">
        <v>15443</v>
      </c>
      <c r="H909" s="2" t="s">
        <v>15444</v>
      </c>
    </row>
    <row r="910">
      <c r="A910" s="2">
        <v>908.0</v>
      </c>
      <c r="B910" s="5" t="s">
        <v>10199</v>
      </c>
      <c r="C910" s="2" t="s">
        <v>10200</v>
      </c>
      <c r="D910" s="5" t="s">
        <v>10199</v>
      </c>
      <c r="E910" s="2" t="s">
        <v>15441</v>
      </c>
      <c r="F910" s="2" t="s">
        <v>15442</v>
      </c>
      <c r="G910" s="2" t="s">
        <v>15443</v>
      </c>
      <c r="H910" s="2" t="s">
        <v>15444</v>
      </c>
    </row>
    <row r="911">
      <c r="A911" s="2">
        <v>909.0</v>
      </c>
      <c r="B911" s="5" t="s">
        <v>1398</v>
      </c>
      <c r="C911" s="2" t="s">
        <v>1399</v>
      </c>
      <c r="D911" s="5" t="s">
        <v>1398</v>
      </c>
      <c r="E911" s="2" t="s">
        <v>15445</v>
      </c>
      <c r="F911" s="2" t="s">
        <v>15446</v>
      </c>
      <c r="G911" s="2" t="s">
        <v>15456</v>
      </c>
      <c r="H911" s="2" t="s">
        <v>15444</v>
      </c>
    </row>
    <row r="912">
      <c r="A912" s="2">
        <v>910.0</v>
      </c>
      <c r="B912" s="5" t="s">
        <v>1401</v>
      </c>
      <c r="C912" s="2" t="s">
        <v>1402</v>
      </c>
      <c r="D912" s="5" t="s">
        <v>1401</v>
      </c>
      <c r="E912" s="2" t="s">
        <v>15445</v>
      </c>
      <c r="F912" s="2" t="s">
        <v>15442</v>
      </c>
      <c r="G912" s="2" t="s">
        <v>15456</v>
      </c>
      <c r="H912" s="2" t="s">
        <v>15444</v>
      </c>
    </row>
    <row r="913">
      <c r="A913" s="2">
        <v>911.0</v>
      </c>
      <c r="B913" s="5" t="s">
        <v>1404</v>
      </c>
      <c r="C913" s="2" t="s">
        <v>1405</v>
      </c>
      <c r="D913" s="5" t="s">
        <v>1404</v>
      </c>
      <c r="E913" s="2" t="s">
        <v>15445</v>
      </c>
      <c r="F913" s="2" t="s">
        <v>15442</v>
      </c>
      <c r="G913" s="2" t="s">
        <v>15443</v>
      </c>
      <c r="H913" s="2" t="s">
        <v>15444</v>
      </c>
    </row>
    <row r="914">
      <c r="A914" s="2">
        <v>912.0</v>
      </c>
      <c r="B914" s="5" t="s">
        <v>10201</v>
      </c>
      <c r="C914" s="2" t="s">
        <v>10202</v>
      </c>
      <c r="D914" s="5" t="s">
        <v>10201</v>
      </c>
      <c r="E914" s="2" t="s">
        <v>15441</v>
      </c>
      <c r="F914" s="2" t="s">
        <v>15446</v>
      </c>
      <c r="G914" s="2" t="s">
        <v>15443</v>
      </c>
      <c r="H914" s="2" t="s">
        <v>15444</v>
      </c>
    </row>
    <row r="915">
      <c r="A915" s="2">
        <v>913.0</v>
      </c>
      <c r="B915" s="5" t="s">
        <v>10203</v>
      </c>
      <c r="C915" s="2" t="s">
        <v>10204</v>
      </c>
      <c r="D915" s="5" t="s">
        <v>10203</v>
      </c>
      <c r="E915" s="2" t="s">
        <v>15441</v>
      </c>
      <c r="F915" s="2" t="s">
        <v>15442</v>
      </c>
      <c r="G915" s="2" t="s">
        <v>15456</v>
      </c>
      <c r="H915" s="2" t="s">
        <v>15444</v>
      </c>
    </row>
    <row r="916">
      <c r="A916" s="2">
        <v>914.0</v>
      </c>
      <c r="B916" s="5" t="s">
        <v>10205</v>
      </c>
      <c r="C916" s="2" t="s">
        <v>10206</v>
      </c>
      <c r="D916" s="5" t="s">
        <v>10205</v>
      </c>
      <c r="E916" s="2" t="s">
        <v>15441</v>
      </c>
      <c r="F916" s="2" t="s">
        <v>15446</v>
      </c>
      <c r="G916" s="2" t="s">
        <v>15456</v>
      </c>
      <c r="H916" s="2" t="s">
        <v>15444</v>
      </c>
    </row>
    <row r="917">
      <c r="A917" s="2">
        <v>915.0</v>
      </c>
      <c r="B917" s="5" t="s">
        <v>10207</v>
      </c>
      <c r="C917" s="2" t="s">
        <v>10208</v>
      </c>
      <c r="D917" s="5" t="s">
        <v>10207</v>
      </c>
      <c r="E917" s="2" t="s">
        <v>15441</v>
      </c>
      <c r="F917" s="2" t="s">
        <v>15446</v>
      </c>
      <c r="G917" s="2" t="s">
        <v>15456</v>
      </c>
      <c r="H917" s="2" t="s">
        <v>15444</v>
      </c>
    </row>
    <row r="918">
      <c r="A918" s="2">
        <v>916.0</v>
      </c>
      <c r="B918" s="5" t="s">
        <v>1407</v>
      </c>
      <c r="C918" s="2" t="s">
        <v>1408</v>
      </c>
      <c r="D918" s="5" t="s">
        <v>1407</v>
      </c>
      <c r="E918" s="2" t="s">
        <v>15445</v>
      </c>
      <c r="F918" s="2" t="s">
        <v>15446</v>
      </c>
      <c r="G918" s="2" t="s">
        <v>15456</v>
      </c>
      <c r="H918" s="2" t="s">
        <v>15444</v>
      </c>
    </row>
    <row r="919">
      <c r="A919" s="2">
        <v>917.0</v>
      </c>
      <c r="B919" s="5" t="s">
        <v>10209</v>
      </c>
      <c r="C919" s="2" t="s">
        <v>10210</v>
      </c>
      <c r="D919" s="5" t="s">
        <v>10209</v>
      </c>
      <c r="E919" s="2" t="s">
        <v>15441</v>
      </c>
      <c r="F919" s="2" t="s">
        <v>15446</v>
      </c>
      <c r="G919" s="2" t="s">
        <v>15456</v>
      </c>
      <c r="H919" s="2" t="s">
        <v>15457</v>
      </c>
    </row>
    <row r="920">
      <c r="A920" s="2">
        <v>918.0</v>
      </c>
      <c r="B920" s="5" t="s">
        <v>1410</v>
      </c>
      <c r="C920" s="2" t="s">
        <v>1411</v>
      </c>
      <c r="D920" s="5" t="s">
        <v>1410</v>
      </c>
      <c r="E920" s="2" t="s">
        <v>15445</v>
      </c>
      <c r="F920" s="2" t="s">
        <v>15446</v>
      </c>
      <c r="G920" s="2" t="s">
        <v>15443</v>
      </c>
      <c r="H920" s="2" t="s">
        <v>15444</v>
      </c>
    </row>
    <row r="921">
      <c r="A921" s="2">
        <v>919.0</v>
      </c>
      <c r="B921" s="5" t="s">
        <v>1413</v>
      </c>
      <c r="C921" s="2" t="s">
        <v>1414</v>
      </c>
      <c r="D921" s="5" t="s">
        <v>1413</v>
      </c>
      <c r="E921" s="2" t="s">
        <v>15445</v>
      </c>
      <c r="F921" s="2" t="s">
        <v>15446</v>
      </c>
      <c r="G921" s="2" t="s">
        <v>15456</v>
      </c>
      <c r="H921" s="2" t="s">
        <v>15444</v>
      </c>
    </row>
    <row r="922">
      <c r="A922" s="2">
        <v>920.0</v>
      </c>
      <c r="B922" s="5" t="s">
        <v>1416</v>
      </c>
      <c r="C922" s="2" t="s">
        <v>1417</v>
      </c>
      <c r="D922" s="5" t="s">
        <v>1416</v>
      </c>
      <c r="E922" s="2" t="s">
        <v>15445</v>
      </c>
      <c r="F922" s="2" t="s">
        <v>15442</v>
      </c>
      <c r="G922" s="2" t="s">
        <v>15456</v>
      </c>
      <c r="H922" s="2" t="s">
        <v>15444</v>
      </c>
    </row>
    <row r="923">
      <c r="A923" s="2">
        <v>921.0</v>
      </c>
      <c r="B923" s="5" t="s">
        <v>10211</v>
      </c>
      <c r="C923" s="2" t="s">
        <v>10212</v>
      </c>
      <c r="D923" s="5" t="s">
        <v>10211</v>
      </c>
      <c r="E923" s="2" t="s">
        <v>15441</v>
      </c>
      <c r="F923" s="2" t="s">
        <v>15446</v>
      </c>
      <c r="G923" s="2" t="s">
        <v>15456</v>
      </c>
      <c r="H923" s="2" t="s">
        <v>15444</v>
      </c>
    </row>
    <row r="924">
      <c r="A924" s="2">
        <v>922.0</v>
      </c>
      <c r="B924" s="5" t="s">
        <v>10213</v>
      </c>
      <c r="C924" s="2" t="s">
        <v>10214</v>
      </c>
      <c r="D924" s="5" t="s">
        <v>10213</v>
      </c>
      <c r="E924" s="2" t="s">
        <v>15441</v>
      </c>
      <c r="F924" s="2" t="s">
        <v>15442</v>
      </c>
      <c r="G924" s="2" t="s">
        <v>15443</v>
      </c>
      <c r="H924" s="2" t="s">
        <v>15444</v>
      </c>
    </row>
    <row r="925">
      <c r="A925" s="2">
        <v>923.0</v>
      </c>
      <c r="B925" s="5" t="s">
        <v>1419</v>
      </c>
      <c r="C925" s="2" t="s">
        <v>1420</v>
      </c>
      <c r="D925" s="5" t="s">
        <v>1419</v>
      </c>
      <c r="E925" s="2" t="s">
        <v>15445</v>
      </c>
      <c r="F925" s="2" t="s">
        <v>15446</v>
      </c>
      <c r="G925" s="2" t="s">
        <v>15443</v>
      </c>
      <c r="H925" s="2" t="s">
        <v>15455</v>
      </c>
    </row>
    <row r="926">
      <c r="A926" s="2">
        <v>924.0</v>
      </c>
      <c r="B926" s="5" t="s">
        <v>10215</v>
      </c>
      <c r="C926" s="2" t="s">
        <v>10216</v>
      </c>
      <c r="D926" s="5" t="s">
        <v>10215</v>
      </c>
      <c r="E926" s="2" t="s">
        <v>15441</v>
      </c>
      <c r="F926" s="2" t="s">
        <v>15446</v>
      </c>
      <c r="G926" s="2" t="s">
        <v>15456</v>
      </c>
      <c r="H926" s="2" t="s">
        <v>15444</v>
      </c>
    </row>
    <row r="927">
      <c r="A927" s="2">
        <v>925.0</v>
      </c>
      <c r="B927" s="5" t="s">
        <v>1422</v>
      </c>
      <c r="C927" s="2" t="s">
        <v>1423</v>
      </c>
      <c r="D927" s="5" t="s">
        <v>1422</v>
      </c>
      <c r="E927" s="2" t="s">
        <v>15445</v>
      </c>
      <c r="F927" s="2" t="s">
        <v>15446</v>
      </c>
      <c r="G927" s="2" t="s">
        <v>15456</v>
      </c>
      <c r="H927" s="2" t="s">
        <v>15444</v>
      </c>
    </row>
    <row r="928">
      <c r="A928" s="2">
        <v>926.0</v>
      </c>
      <c r="B928" s="5" t="s">
        <v>10217</v>
      </c>
      <c r="C928" s="2" t="s">
        <v>10218</v>
      </c>
      <c r="D928" s="5" t="s">
        <v>10217</v>
      </c>
      <c r="E928" s="2" t="s">
        <v>15441</v>
      </c>
      <c r="F928" s="2" t="s">
        <v>15442</v>
      </c>
      <c r="G928" s="2" t="s">
        <v>15443</v>
      </c>
      <c r="H928" s="2" t="s">
        <v>15444</v>
      </c>
    </row>
    <row r="929">
      <c r="A929" s="2">
        <v>927.0</v>
      </c>
      <c r="B929" s="5" t="s">
        <v>1425</v>
      </c>
      <c r="C929" s="2" t="s">
        <v>1426</v>
      </c>
      <c r="D929" s="5" t="s">
        <v>1425</v>
      </c>
      <c r="E929" s="2" t="s">
        <v>15445</v>
      </c>
      <c r="F929" s="2" t="s">
        <v>15446</v>
      </c>
      <c r="G929" s="2" t="s">
        <v>15456</v>
      </c>
      <c r="H929" s="2" t="s">
        <v>15461</v>
      </c>
    </row>
    <row r="930">
      <c r="A930" s="2">
        <v>928.0</v>
      </c>
      <c r="B930" s="5" t="s">
        <v>10219</v>
      </c>
      <c r="C930" s="2" t="s">
        <v>10220</v>
      </c>
      <c r="D930" s="5" t="s">
        <v>10219</v>
      </c>
      <c r="E930" s="2" t="s">
        <v>15441</v>
      </c>
      <c r="F930" s="2" t="s">
        <v>15442</v>
      </c>
      <c r="G930" s="2" t="s">
        <v>15443</v>
      </c>
      <c r="H930" s="2" t="s">
        <v>15455</v>
      </c>
    </row>
    <row r="931">
      <c r="A931" s="2">
        <v>929.0</v>
      </c>
      <c r="B931" s="5" t="s">
        <v>10221</v>
      </c>
      <c r="C931" s="2" t="s">
        <v>10222</v>
      </c>
      <c r="D931" s="5" t="s">
        <v>10221</v>
      </c>
      <c r="E931" s="2" t="s">
        <v>15441</v>
      </c>
      <c r="F931" s="2" t="s">
        <v>15446</v>
      </c>
      <c r="G931" s="2" t="s">
        <v>15443</v>
      </c>
      <c r="H931" s="2" t="s">
        <v>15444</v>
      </c>
    </row>
    <row r="932">
      <c r="A932" s="2">
        <v>930.0</v>
      </c>
      <c r="B932" s="5" t="s">
        <v>1428</v>
      </c>
      <c r="C932" s="2" t="s">
        <v>1429</v>
      </c>
      <c r="D932" s="5" t="s">
        <v>1428</v>
      </c>
      <c r="E932" s="2" t="s">
        <v>15445</v>
      </c>
      <c r="F932" s="2" t="s">
        <v>15442</v>
      </c>
      <c r="G932" s="2" t="s">
        <v>15443</v>
      </c>
      <c r="H932" s="2" t="s">
        <v>15444</v>
      </c>
    </row>
    <row r="933">
      <c r="A933" s="2">
        <v>931.0</v>
      </c>
      <c r="B933" s="5" t="s">
        <v>10223</v>
      </c>
      <c r="C933" s="2" t="s">
        <v>10224</v>
      </c>
      <c r="D933" s="5" t="s">
        <v>10223</v>
      </c>
      <c r="E933" s="2" t="s">
        <v>15441</v>
      </c>
      <c r="F933" s="2" t="s">
        <v>15446</v>
      </c>
      <c r="G933" s="2" t="s">
        <v>15443</v>
      </c>
      <c r="H933" s="2" t="s">
        <v>15444</v>
      </c>
    </row>
    <row r="934">
      <c r="A934" s="2">
        <v>932.0</v>
      </c>
      <c r="B934" s="5" t="s">
        <v>1431</v>
      </c>
      <c r="C934" s="2" t="s">
        <v>1432</v>
      </c>
      <c r="D934" s="5" t="s">
        <v>1431</v>
      </c>
      <c r="E934" s="2" t="s">
        <v>15445</v>
      </c>
      <c r="F934" s="2" t="s">
        <v>15446</v>
      </c>
      <c r="G934" s="2" t="s">
        <v>15456</v>
      </c>
      <c r="H934" s="2" t="s">
        <v>15444</v>
      </c>
    </row>
    <row r="935">
      <c r="A935" s="2">
        <v>933.0</v>
      </c>
      <c r="B935" s="5" t="s">
        <v>10225</v>
      </c>
      <c r="C935" s="2" t="s">
        <v>10226</v>
      </c>
      <c r="D935" s="5" t="s">
        <v>10225</v>
      </c>
      <c r="E935" s="2" t="s">
        <v>15441</v>
      </c>
      <c r="F935" s="2" t="s">
        <v>15442</v>
      </c>
      <c r="G935" s="2" t="s">
        <v>15443</v>
      </c>
      <c r="H935" s="2" t="s">
        <v>15444</v>
      </c>
    </row>
    <row r="936">
      <c r="A936" s="2">
        <v>934.0</v>
      </c>
      <c r="B936" s="5" t="s">
        <v>1434</v>
      </c>
      <c r="C936" s="2" t="s">
        <v>1435</v>
      </c>
      <c r="D936" s="5" t="s">
        <v>1434</v>
      </c>
      <c r="E936" s="2" t="s">
        <v>15445</v>
      </c>
      <c r="F936" s="2" t="s">
        <v>15446</v>
      </c>
      <c r="G936" s="2" t="s">
        <v>15443</v>
      </c>
      <c r="H936" s="2" t="s">
        <v>15457</v>
      </c>
    </row>
    <row r="937">
      <c r="A937" s="2">
        <v>935.0</v>
      </c>
      <c r="B937" s="5" t="s">
        <v>1437</v>
      </c>
      <c r="C937" s="2" t="s">
        <v>1438</v>
      </c>
      <c r="D937" s="5" t="s">
        <v>1437</v>
      </c>
      <c r="E937" s="2" t="s">
        <v>15445</v>
      </c>
      <c r="F937" s="2" t="s">
        <v>15446</v>
      </c>
      <c r="G937" s="2" t="s">
        <v>15456</v>
      </c>
      <c r="H937" s="2" t="s">
        <v>15444</v>
      </c>
    </row>
    <row r="938">
      <c r="A938" s="2">
        <v>936.0</v>
      </c>
      <c r="B938" s="5" t="s">
        <v>10227</v>
      </c>
      <c r="C938" s="2" t="s">
        <v>10228</v>
      </c>
      <c r="D938" s="5" t="s">
        <v>10227</v>
      </c>
      <c r="E938" s="2" t="s">
        <v>15441</v>
      </c>
      <c r="F938" s="2" t="s">
        <v>15446</v>
      </c>
      <c r="G938" s="2" t="s">
        <v>15456</v>
      </c>
      <c r="H938" s="2" t="s">
        <v>15444</v>
      </c>
    </row>
    <row r="939">
      <c r="A939" s="2">
        <v>937.0</v>
      </c>
      <c r="B939" s="5" t="s">
        <v>1440</v>
      </c>
      <c r="C939" s="2" t="s">
        <v>1441</v>
      </c>
      <c r="D939" s="5" t="s">
        <v>1440</v>
      </c>
      <c r="E939" s="2" t="s">
        <v>15445</v>
      </c>
      <c r="F939" s="2" t="s">
        <v>15446</v>
      </c>
      <c r="G939" s="2" t="s">
        <v>15456</v>
      </c>
      <c r="H939" s="2" t="s">
        <v>15444</v>
      </c>
    </row>
    <row r="940">
      <c r="A940" s="2">
        <v>938.0</v>
      </c>
      <c r="B940" s="5" t="s">
        <v>10229</v>
      </c>
      <c r="C940" s="2" t="s">
        <v>10230</v>
      </c>
      <c r="D940" s="5" t="s">
        <v>10229</v>
      </c>
      <c r="E940" s="2" t="s">
        <v>15441</v>
      </c>
      <c r="F940" s="2" t="s">
        <v>15446</v>
      </c>
      <c r="G940" s="2" t="s">
        <v>15456</v>
      </c>
      <c r="H940" s="2" t="s">
        <v>15444</v>
      </c>
    </row>
    <row r="941">
      <c r="A941" s="2">
        <v>939.0</v>
      </c>
      <c r="B941" s="5" t="s">
        <v>10231</v>
      </c>
      <c r="C941" s="2" t="s">
        <v>10232</v>
      </c>
      <c r="D941" s="5" t="s">
        <v>10231</v>
      </c>
      <c r="E941" s="2" t="s">
        <v>15441</v>
      </c>
      <c r="F941" s="2" t="s">
        <v>15442</v>
      </c>
      <c r="G941" s="2" t="s">
        <v>15456</v>
      </c>
      <c r="H941" s="2" t="s">
        <v>15444</v>
      </c>
    </row>
    <row r="942">
      <c r="A942" s="2">
        <v>940.0</v>
      </c>
      <c r="B942" s="5" t="s">
        <v>10233</v>
      </c>
      <c r="C942" s="2" t="s">
        <v>10234</v>
      </c>
      <c r="D942" s="5" t="s">
        <v>10233</v>
      </c>
      <c r="E942" s="2" t="s">
        <v>15441</v>
      </c>
      <c r="F942" s="2" t="s">
        <v>15442</v>
      </c>
      <c r="G942" s="2" t="s">
        <v>15443</v>
      </c>
      <c r="H942" s="2" t="s">
        <v>15444</v>
      </c>
    </row>
    <row r="943">
      <c r="A943" s="2">
        <v>941.0</v>
      </c>
      <c r="B943" s="5" t="s">
        <v>10235</v>
      </c>
      <c r="C943" s="2" t="s">
        <v>10236</v>
      </c>
      <c r="D943" s="5" t="s">
        <v>10235</v>
      </c>
      <c r="E943" s="2" t="s">
        <v>15441</v>
      </c>
      <c r="F943" s="2" t="s">
        <v>15446</v>
      </c>
      <c r="G943" s="2" t="s">
        <v>15456</v>
      </c>
      <c r="H943" s="2" t="s">
        <v>15444</v>
      </c>
    </row>
    <row r="944">
      <c r="A944" s="2">
        <v>942.0</v>
      </c>
      <c r="B944" s="5" t="s">
        <v>1444</v>
      </c>
      <c r="C944" s="2" t="s">
        <v>1445</v>
      </c>
      <c r="D944" s="5" t="s">
        <v>1444</v>
      </c>
      <c r="E944" s="2" t="s">
        <v>15445</v>
      </c>
      <c r="F944" s="2" t="s">
        <v>15446</v>
      </c>
      <c r="G944" s="2" t="s">
        <v>15456</v>
      </c>
      <c r="H944" s="2" t="s">
        <v>15444</v>
      </c>
    </row>
    <row r="945">
      <c r="A945" s="2">
        <v>943.0</v>
      </c>
      <c r="B945" s="5" t="s">
        <v>1448</v>
      </c>
      <c r="C945" s="2" t="s">
        <v>1449</v>
      </c>
      <c r="D945" s="5" t="s">
        <v>1448</v>
      </c>
      <c r="E945" s="2" t="s">
        <v>15445</v>
      </c>
      <c r="F945" s="2" t="s">
        <v>15442</v>
      </c>
      <c r="G945" s="2" t="s">
        <v>15456</v>
      </c>
      <c r="H945" s="2" t="s">
        <v>15444</v>
      </c>
    </row>
    <row r="946">
      <c r="A946" s="2">
        <v>944.0</v>
      </c>
      <c r="B946" s="5" t="s">
        <v>1451</v>
      </c>
      <c r="C946" s="2" t="s">
        <v>1452</v>
      </c>
      <c r="D946" s="5" t="s">
        <v>1451</v>
      </c>
      <c r="E946" s="2" t="s">
        <v>15445</v>
      </c>
      <c r="F946" s="2" t="s">
        <v>15442</v>
      </c>
      <c r="G946" s="2" t="s">
        <v>15443</v>
      </c>
      <c r="H946" s="2" t="s">
        <v>15444</v>
      </c>
    </row>
    <row r="947">
      <c r="A947" s="2">
        <v>945.0</v>
      </c>
      <c r="B947" s="5" t="s">
        <v>10237</v>
      </c>
      <c r="C947" s="2" t="s">
        <v>10238</v>
      </c>
      <c r="D947" s="5" t="s">
        <v>10237</v>
      </c>
      <c r="E947" s="2" t="s">
        <v>15441</v>
      </c>
      <c r="F947" s="2" t="s">
        <v>15442</v>
      </c>
      <c r="G947" s="2" t="s">
        <v>15443</v>
      </c>
      <c r="H947" s="2" t="s">
        <v>15444</v>
      </c>
    </row>
    <row r="948">
      <c r="A948" s="2">
        <v>946.0</v>
      </c>
      <c r="B948" s="5" t="s">
        <v>1454</v>
      </c>
      <c r="C948" s="2" t="s">
        <v>1455</v>
      </c>
      <c r="D948" s="5" t="s">
        <v>1454</v>
      </c>
      <c r="E948" s="2" t="s">
        <v>15445</v>
      </c>
      <c r="F948" s="2" t="s">
        <v>15442</v>
      </c>
      <c r="G948" s="2" t="s">
        <v>15443</v>
      </c>
      <c r="H948" s="2" t="s">
        <v>15444</v>
      </c>
    </row>
    <row r="949">
      <c r="A949" s="2">
        <v>947.0</v>
      </c>
      <c r="B949" s="5" t="s">
        <v>10239</v>
      </c>
      <c r="C949" s="2" t="s">
        <v>10240</v>
      </c>
      <c r="D949" s="5" t="s">
        <v>10239</v>
      </c>
      <c r="E949" s="2" t="s">
        <v>15441</v>
      </c>
      <c r="F949" s="2" t="s">
        <v>15446</v>
      </c>
      <c r="G949" s="2" t="s">
        <v>15443</v>
      </c>
      <c r="H949" s="2" t="s">
        <v>15444</v>
      </c>
    </row>
    <row r="950">
      <c r="A950" s="2">
        <v>948.0</v>
      </c>
      <c r="B950" s="5" t="s">
        <v>1457</v>
      </c>
      <c r="C950" s="2" t="s">
        <v>1458</v>
      </c>
      <c r="D950" s="5" t="s">
        <v>1457</v>
      </c>
      <c r="E950" s="2" t="s">
        <v>15445</v>
      </c>
      <c r="F950" s="2" t="s">
        <v>15442</v>
      </c>
      <c r="G950" s="2" t="s">
        <v>15456</v>
      </c>
      <c r="H950" s="2" t="s">
        <v>15444</v>
      </c>
    </row>
    <row r="951">
      <c r="A951" s="2">
        <v>949.0</v>
      </c>
      <c r="B951" s="5" t="s">
        <v>10241</v>
      </c>
      <c r="C951" s="2" t="s">
        <v>10242</v>
      </c>
      <c r="D951" s="5" t="s">
        <v>10241</v>
      </c>
      <c r="E951" s="2" t="s">
        <v>15441</v>
      </c>
      <c r="F951" s="2" t="s">
        <v>15446</v>
      </c>
      <c r="G951" s="2" t="s">
        <v>15456</v>
      </c>
      <c r="H951" s="2" t="s">
        <v>15444</v>
      </c>
    </row>
    <row r="952">
      <c r="A952" s="2">
        <v>950.0</v>
      </c>
      <c r="B952" s="5" t="s">
        <v>1460</v>
      </c>
      <c r="C952" s="2" t="s">
        <v>1461</v>
      </c>
      <c r="D952" s="5" t="s">
        <v>1460</v>
      </c>
      <c r="E952" s="2" t="s">
        <v>15445</v>
      </c>
      <c r="F952" s="2" t="s">
        <v>15442</v>
      </c>
      <c r="G952" s="2" t="s">
        <v>15443</v>
      </c>
      <c r="H952" s="2" t="s">
        <v>15444</v>
      </c>
    </row>
    <row r="953">
      <c r="A953" s="2">
        <v>951.0</v>
      </c>
      <c r="B953" s="5" t="s">
        <v>1463</v>
      </c>
      <c r="C953" s="2" t="s">
        <v>1464</v>
      </c>
      <c r="D953" s="5" t="s">
        <v>1463</v>
      </c>
      <c r="E953" s="2" t="s">
        <v>15445</v>
      </c>
      <c r="F953" s="2" t="s">
        <v>15446</v>
      </c>
      <c r="G953" s="2" t="s">
        <v>15456</v>
      </c>
      <c r="H953" s="2" t="s">
        <v>15444</v>
      </c>
    </row>
    <row r="954">
      <c r="A954" s="2">
        <v>952.0</v>
      </c>
      <c r="B954" s="5" t="s">
        <v>10243</v>
      </c>
      <c r="C954" s="2" t="s">
        <v>10244</v>
      </c>
      <c r="D954" s="5" t="s">
        <v>10243</v>
      </c>
      <c r="E954" s="2" t="s">
        <v>15441</v>
      </c>
      <c r="F954" s="2" t="s">
        <v>15442</v>
      </c>
      <c r="G954" s="2" t="s">
        <v>15443</v>
      </c>
      <c r="H954" s="2" t="s">
        <v>15444</v>
      </c>
    </row>
    <row r="955">
      <c r="A955" s="2">
        <v>953.0</v>
      </c>
      <c r="B955" s="5" t="s">
        <v>1466</v>
      </c>
      <c r="C955" s="2" t="s">
        <v>1467</v>
      </c>
      <c r="D955" s="5" t="s">
        <v>1466</v>
      </c>
      <c r="E955" s="2" t="s">
        <v>15445</v>
      </c>
      <c r="F955" s="2" t="s">
        <v>15446</v>
      </c>
      <c r="G955" s="2" t="s">
        <v>15456</v>
      </c>
      <c r="H955" s="2" t="s">
        <v>15444</v>
      </c>
    </row>
    <row r="956">
      <c r="A956" s="2">
        <v>954.0</v>
      </c>
      <c r="B956" s="5" t="s">
        <v>10245</v>
      </c>
      <c r="C956" s="2" t="s">
        <v>10246</v>
      </c>
      <c r="D956" s="5" t="s">
        <v>10245</v>
      </c>
      <c r="E956" s="2" t="s">
        <v>15441</v>
      </c>
      <c r="F956" s="2" t="s">
        <v>15446</v>
      </c>
      <c r="G956" s="2" t="s">
        <v>15443</v>
      </c>
      <c r="H956" s="2" t="s">
        <v>15444</v>
      </c>
    </row>
    <row r="957">
      <c r="A957" s="2">
        <v>955.0</v>
      </c>
      <c r="B957" s="5" t="s">
        <v>10247</v>
      </c>
      <c r="C957" s="2" t="s">
        <v>10248</v>
      </c>
      <c r="D957" s="5" t="s">
        <v>10247</v>
      </c>
      <c r="E957" s="2" t="s">
        <v>15441</v>
      </c>
      <c r="F957" s="2" t="s">
        <v>15442</v>
      </c>
      <c r="G957" s="2" t="s">
        <v>15443</v>
      </c>
      <c r="H957" s="2" t="s">
        <v>15444</v>
      </c>
    </row>
    <row r="958">
      <c r="A958" s="2">
        <v>956.0</v>
      </c>
      <c r="B958" s="5" t="s">
        <v>10249</v>
      </c>
      <c r="C958" s="2" t="s">
        <v>10250</v>
      </c>
      <c r="D958" s="5" t="s">
        <v>10249</v>
      </c>
      <c r="E958" s="2" t="s">
        <v>15441</v>
      </c>
      <c r="F958" s="2" t="s">
        <v>15442</v>
      </c>
      <c r="G958" s="2" t="s">
        <v>15456</v>
      </c>
      <c r="H958" s="2" t="s">
        <v>15444</v>
      </c>
    </row>
    <row r="959">
      <c r="A959" s="2">
        <v>957.0</v>
      </c>
      <c r="B959" s="5" t="s">
        <v>1469</v>
      </c>
      <c r="C959" s="2" t="s">
        <v>1470</v>
      </c>
      <c r="D959" s="5" t="s">
        <v>1469</v>
      </c>
      <c r="E959" s="2" t="s">
        <v>15445</v>
      </c>
      <c r="F959" s="2" t="s">
        <v>15442</v>
      </c>
      <c r="G959" s="2" t="s">
        <v>15443</v>
      </c>
      <c r="H959" s="2" t="s">
        <v>15444</v>
      </c>
    </row>
    <row r="960">
      <c r="A960" s="2">
        <v>958.0</v>
      </c>
      <c r="B960" s="5" t="s">
        <v>1472</v>
      </c>
      <c r="C960" s="2" t="s">
        <v>1473</v>
      </c>
      <c r="D960" s="5" t="s">
        <v>1472</v>
      </c>
      <c r="E960" s="2" t="s">
        <v>15445</v>
      </c>
      <c r="F960" s="2" t="s">
        <v>15446</v>
      </c>
      <c r="G960" s="2" t="s">
        <v>15443</v>
      </c>
      <c r="H960" s="2" t="s">
        <v>15457</v>
      </c>
    </row>
    <row r="961">
      <c r="A961" s="2">
        <v>959.0</v>
      </c>
      <c r="B961" s="5" t="s">
        <v>1475</v>
      </c>
      <c r="C961" s="2" t="s">
        <v>1476</v>
      </c>
      <c r="D961" s="5" t="s">
        <v>1475</v>
      </c>
      <c r="E961" s="2" t="s">
        <v>15445</v>
      </c>
      <c r="F961" s="2" t="s">
        <v>15446</v>
      </c>
      <c r="G961" s="2" t="s">
        <v>15443</v>
      </c>
      <c r="H961" s="2" t="s">
        <v>15444</v>
      </c>
    </row>
    <row r="962">
      <c r="A962" s="2">
        <v>960.0</v>
      </c>
      <c r="B962" s="5" t="s">
        <v>10251</v>
      </c>
      <c r="C962" s="2" t="s">
        <v>10252</v>
      </c>
      <c r="D962" s="5" t="s">
        <v>10251</v>
      </c>
      <c r="E962" s="2" t="s">
        <v>15441</v>
      </c>
      <c r="F962" s="2" t="s">
        <v>15442</v>
      </c>
      <c r="G962" s="2" t="s">
        <v>15443</v>
      </c>
      <c r="H962" s="2" t="s">
        <v>15444</v>
      </c>
    </row>
    <row r="963">
      <c r="A963" s="2">
        <v>961.0</v>
      </c>
      <c r="B963" s="5" t="s">
        <v>10253</v>
      </c>
      <c r="C963" s="2" t="s">
        <v>10254</v>
      </c>
      <c r="D963" s="5" t="s">
        <v>10253</v>
      </c>
      <c r="E963" s="2" t="s">
        <v>15441</v>
      </c>
      <c r="F963" s="2" t="s">
        <v>15446</v>
      </c>
      <c r="G963" s="2" t="s">
        <v>15443</v>
      </c>
      <c r="H963" s="2" t="s">
        <v>15444</v>
      </c>
    </row>
    <row r="964">
      <c r="A964" s="2">
        <v>962.0</v>
      </c>
      <c r="B964" s="5" t="s">
        <v>1478</v>
      </c>
      <c r="C964" s="2" t="s">
        <v>1479</v>
      </c>
      <c r="D964" s="5" t="s">
        <v>1478</v>
      </c>
      <c r="E964" s="2" t="s">
        <v>15445</v>
      </c>
      <c r="F964" s="2" t="s">
        <v>15446</v>
      </c>
      <c r="G964" s="2" t="s">
        <v>15443</v>
      </c>
      <c r="H964" s="2" t="s">
        <v>15444</v>
      </c>
    </row>
    <row r="965">
      <c r="A965" s="2">
        <v>963.0</v>
      </c>
      <c r="B965" s="5" t="s">
        <v>1481</v>
      </c>
      <c r="C965" s="2" t="s">
        <v>1482</v>
      </c>
      <c r="D965" s="5" t="s">
        <v>1481</v>
      </c>
      <c r="E965" s="2" t="s">
        <v>15445</v>
      </c>
      <c r="F965" s="2" t="s">
        <v>15442</v>
      </c>
      <c r="G965" s="2" t="s">
        <v>15443</v>
      </c>
      <c r="H965" s="2" t="s">
        <v>15444</v>
      </c>
    </row>
    <row r="966">
      <c r="A966" s="2">
        <v>964.0</v>
      </c>
      <c r="B966" s="5" t="s">
        <v>10255</v>
      </c>
      <c r="C966" s="2" t="s">
        <v>10256</v>
      </c>
      <c r="D966" s="5" t="s">
        <v>10255</v>
      </c>
      <c r="E966" s="2" t="s">
        <v>15441</v>
      </c>
      <c r="F966" s="2" t="s">
        <v>15442</v>
      </c>
      <c r="G966" s="2" t="s">
        <v>15456</v>
      </c>
      <c r="H966" s="2" t="s">
        <v>15444</v>
      </c>
    </row>
    <row r="967">
      <c r="A967" s="2">
        <v>965.0</v>
      </c>
      <c r="B967" s="5" t="s">
        <v>10257</v>
      </c>
      <c r="C967" s="2" t="s">
        <v>10258</v>
      </c>
      <c r="D967" s="5" t="s">
        <v>10257</v>
      </c>
      <c r="E967" s="2" t="s">
        <v>15441</v>
      </c>
      <c r="F967" s="2" t="s">
        <v>15442</v>
      </c>
      <c r="G967" s="2" t="s">
        <v>15443</v>
      </c>
      <c r="H967" s="2" t="s">
        <v>15461</v>
      </c>
    </row>
    <row r="968">
      <c r="A968" s="2">
        <v>966.0</v>
      </c>
      <c r="B968" s="5" t="s">
        <v>1484</v>
      </c>
      <c r="C968" s="2" t="s">
        <v>1485</v>
      </c>
      <c r="D968" s="5" t="s">
        <v>1484</v>
      </c>
      <c r="E968" s="2" t="s">
        <v>15445</v>
      </c>
      <c r="F968" s="2" t="s">
        <v>15446</v>
      </c>
      <c r="G968" s="2" t="s">
        <v>15456</v>
      </c>
      <c r="H968" s="2" t="s">
        <v>15444</v>
      </c>
    </row>
    <row r="969">
      <c r="A969" s="2">
        <v>967.0</v>
      </c>
      <c r="B969" s="5" t="s">
        <v>10259</v>
      </c>
      <c r="C969" s="2" t="s">
        <v>10260</v>
      </c>
      <c r="D969" s="5" t="s">
        <v>10259</v>
      </c>
      <c r="E969" s="2" t="s">
        <v>15441</v>
      </c>
      <c r="F969" s="2" t="s">
        <v>15446</v>
      </c>
      <c r="G969" s="2" t="s">
        <v>15443</v>
      </c>
      <c r="H969" s="2" t="s">
        <v>15444</v>
      </c>
    </row>
    <row r="970">
      <c r="A970" s="2">
        <v>968.0</v>
      </c>
      <c r="B970" s="5" t="s">
        <v>1487</v>
      </c>
      <c r="C970" s="2" t="s">
        <v>1488</v>
      </c>
      <c r="D970" s="5" t="s">
        <v>1487</v>
      </c>
      <c r="E970" s="2" t="s">
        <v>15445</v>
      </c>
      <c r="F970" s="2" t="s">
        <v>15442</v>
      </c>
      <c r="G970" s="2" t="s">
        <v>15456</v>
      </c>
      <c r="H970" s="2" t="s">
        <v>15444</v>
      </c>
    </row>
    <row r="971">
      <c r="A971" s="2">
        <v>969.0</v>
      </c>
      <c r="B971" s="5" t="s">
        <v>1490</v>
      </c>
      <c r="C971" s="2" t="s">
        <v>1491</v>
      </c>
      <c r="D971" s="5" t="s">
        <v>1490</v>
      </c>
      <c r="E971" s="2" t="s">
        <v>15445</v>
      </c>
      <c r="F971" s="2" t="s">
        <v>15446</v>
      </c>
      <c r="G971" s="2" t="s">
        <v>15456</v>
      </c>
      <c r="H971" s="2" t="s">
        <v>15444</v>
      </c>
    </row>
    <row r="972">
      <c r="A972" s="2">
        <v>970.0</v>
      </c>
      <c r="B972" s="5" t="s">
        <v>1493</v>
      </c>
      <c r="C972" s="2" t="s">
        <v>1494</v>
      </c>
      <c r="D972" s="5" t="s">
        <v>1493</v>
      </c>
      <c r="E972" s="2" t="s">
        <v>15445</v>
      </c>
      <c r="F972" s="2" t="s">
        <v>15442</v>
      </c>
      <c r="G972" s="2" t="s">
        <v>15443</v>
      </c>
      <c r="H972" s="2" t="s">
        <v>15444</v>
      </c>
    </row>
    <row r="973">
      <c r="A973" s="2">
        <v>971.0</v>
      </c>
      <c r="B973" s="5" t="s">
        <v>1496</v>
      </c>
      <c r="C973" s="2" t="s">
        <v>1497</v>
      </c>
      <c r="D973" s="5" t="s">
        <v>1496</v>
      </c>
      <c r="E973" s="2" t="s">
        <v>15445</v>
      </c>
      <c r="F973" s="2" t="s">
        <v>15446</v>
      </c>
      <c r="G973" s="2" t="s">
        <v>15456</v>
      </c>
      <c r="H973" s="2" t="s">
        <v>15444</v>
      </c>
    </row>
    <row r="974">
      <c r="A974" s="2">
        <v>972.0</v>
      </c>
      <c r="B974" s="5" t="s">
        <v>1499</v>
      </c>
      <c r="C974" s="2" t="s">
        <v>1500</v>
      </c>
      <c r="D974" s="5" t="s">
        <v>1499</v>
      </c>
      <c r="E974" s="2" t="s">
        <v>15445</v>
      </c>
      <c r="F974" s="2" t="s">
        <v>15442</v>
      </c>
      <c r="G974" s="2" t="s">
        <v>15456</v>
      </c>
      <c r="H974" s="2" t="s">
        <v>15455</v>
      </c>
    </row>
    <row r="975">
      <c r="A975" s="2">
        <v>973.0</v>
      </c>
      <c r="B975" s="5" t="s">
        <v>1502</v>
      </c>
      <c r="C975" s="2" t="s">
        <v>1503</v>
      </c>
      <c r="D975" s="5" t="s">
        <v>1502</v>
      </c>
      <c r="E975" s="2" t="s">
        <v>15445</v>
      </c>
      <c r="F975" s="2" t="s">
        <v>15446</v>
      </c>
      <c r="G975" s="2" t="s">
        <v>15456</v>
      </c>
      <c r="H975" s="2" t="s">
        <v>15455</v>
      </c>
    </row>
    <row r="976">
      <c r="A976" s="2">
        <v>974.0</v>
      </c>
      <c r="B976" s="5" t="s">
        <v>1505</v>
      </c>
      <c r="C976" s="2" t="s">
        <v>1506</v>
      </c>
      <c r="D976" s="5" t="s">
        <v>1505</v>
      </c>
      <c r="E976" s="2" t="s">
        <v>15445</v>
      </c>
      <c r="F976" s="2" t="s">
        <v>15446</v>
      </c>
      <c r="G976" s="2" t="s">
        <v>15456</v>
      </c>
      <c r="H976" s="2" t="s">
        <v>15444</v>
      </c>
    </row>
    <row r="977">
      <c r="A977" s="2">
        <v>975.0</v>
      </c>
      <c r="B977" s="5" t="s">
        <v>10261</v>
      </c>
      <c r="C977" s="2" t="s">
        <v>10262</v>
      </c>
      <c r="D977" s="5" t="s">
        <v>10261</v>
      </c>
      <c r="E977" s="2" t="s">
        <v>15441</v>
      </c>
      <c r="F977" s="2" t="s">
        <v>15446</v>
      </c>
      <c r="G977" s="2" t="s">
        <v>15456</v>
      </c>
      <c r="H977" s="2" t="s">
        <v>15444</v>
      </c>
    </row>
    <row r="978">
      <c r="A978" s="2">
        <v>976.0</v>
      </c>
      <c r="B978" s="5" t="s">
        <v>1508</v>
      </c>
      <c r="C978" s="2" t="s">
        <v>1509</v>
      </c>
      <c r="D978" s="5" t="s">
        <v>1508</v>
      </c>
      <c r="E978" s="2" t="s">
        <v>15445</v>
      </c>
      <c r="F978" s="2" t="s">
        <v>15446</v>
      </c>
      <c r="G978" s="2" t="s">
        <v>15443</v>
      </c>
      <c r="H978" s="2" t="s">
        <v>15444</v>
      </c>
    </row>
    <row r="979">
      <c r="A979" s="2">
        <v>977.0</v>
      </c>
      <c r="B979" s="5" t="s">
        <v>1511</v>
      </c>
      <c r="C979" s="2" t="s">
        <v>1512</v>
      </c>
      <c r="D979" s="5" t="s">
        <v>1511</v>
      </c>
      <c r="E979" s="2" t="s">
        <v>15445</v>
      </c>
      <c r="F979" s="2" t="s">
        <v>15446</v>
      </c>
      <c r="G979" s="2" t="s">
        <v>15443</v>
      </c>
      <c r="H979" s="2" t="s">
        <v>15444</v>
      </c>
    </row>
    <row r="980">
      <c r="A980" s="2">
        <v>978.0</v>
      </c>
      <c r="B980" s="5" t="s">
        <v>1514</v>
      </c>
      <c r="C980" s="2" t="s">
        <v>1515</v>
      </c>
      <c r="D980" s="5" t="s">
        <v>1514</v>
      </c>
      <c r="E980" s="2" t="s">
        <v>15445</v>
      </c>
      <c r="F980" s="2" t="s">
        <v>15446</v>
      </c>
      <c r="G980" s="2" t="s">
        <v>15443</v>
      </c>
      <c r="H980" s="2" t="s">
        <v>15444</v>
      </c>
    </row>
    <row r="981">
      <c r="A981" s="2">
        <v>979.0</v>
      </c>
      <c r="B981" s="5" t="s">
        <v>1517</v>
      </c>
      <c r="C981" s="2" t="s">
        <v>1518</v>
      </c>
      <c r="D981" s="5" t="s">
        <v>1517</v>
      </c>
      <c r="E981" s="2" t="s">
        <v>15445</v>
      </c>
      <c r="F981" s="2" t="s">
        <v>15442</v>
      </c>
      <c r="G981" s="2" t="s">
        <v>15443</v>
      </c>
      <c r="H981" s="2" t="s">
        <v>15444</v>
      </c>
    </row>
    <row r="982">
      <c r="A982" s="2">
        <v>980.0</v>
      </c>
      <c r="B982" s="5" t="s">
        <v>1520</v>
      </c>
      <c r="C982" s="2" t="s">
        <v>1521</v>
      </c>
      <c r="D982" s="5" t="s">
        <v>1520</v>
      </c>
      <c r="E982" s="2" t="s">
        <v>15445</v>
      </c>
      <c r="F982" s="2" t="s">
        <v>15442</v>
      </c>
      <c r="G982" s="2" t="s">
        <v>15443</v>
      </c>
      <c r="H982" s="2" t="s">
        <v>15444</v>
      </c>
    </row>
    <row r="983">
      <c r="A983" s="2">
        <v>981.0</v>
      </c>
      <c r="B983" s="5" t="s">
        <v>1523</v>
      </c>
      <c r="C983" s="2" t="s">
        <v>1524</v>
      </c>
      <c r="D983" s="5" t="s">
        <v>1523</v>
      </c>
      <c r="E983" s="2" t="s">
        <v>15445</v>
      </c>
      <c r="F983" s="2" t="s">
        <v>15446</v>
      </c>
      <c r="G983" s="2" t="s">
        <v>15456</v>
      </c>
      <c r="H983" s="2" t="s">
        <v>15444</v>
      </c>
    </row>
    <row r="984">
      <c r="A984" s="2">
        <v>982.0</v>
      </c>
      <c r="B984" s="5" t="s">
        <v>1526</v>
      </c>
      <c r="C984" s="2" t="s">
        <v>1527</v>
      </c>
      <c r="D984" s="5" t="s">
        <v>1526</v>
      </c>
      <c r="E984" s="2" t="s">
        <v>15445</v>
      </c>
      <c r="F984" s="2" t="s">
        <v>15446</v>
      </c>
      <c r="G984" s="2" t="s">
        <v>15443</v>
      </c>
      <c r="H984" s="2" t="s">
        <v>15444</v>
      </c>
    </row>
    <row r="985">
      <c r="A985" s="2">
        <v>983.0</v>
      </c>
      <c r="B985" s="5" t="s">
        <v>1529</v>
      </c>
      <c r="C985" s="2" t="s">
        <v>1530</v>
      </c>
      <c r="D985" s="5" t="s">
        <v>1529</v>
      </c>
      <c r="E985" s="2" t="s">
        <v>15445</v>
      </c>
      <c r="F985" s="2" t="s">
        <v>15442</v>
      </c>
      <c r="G985" s="2" t="s">
        <v>15443</v>
      </c>
      <c r="H985" s="2" t="s">
        <v>15444</v>
      </c>
    </row>
    <row r="986">
      <c r="A986" s="2">
        <v>984.0</v>
      </c>
      <c r="B986" s="5" t="s">
        <v>10263</v>
      </c>
      <c r="C986" s="2" t="s">
        <v>10264</v>
      </c>
      <c r="D986" s="5" t="s">
        <v>10263</v>
      </c>
      <c r="E986" s="2" t="s">
        <v>15441</v>
      </c>
      <c r="F986" s="2" t="s">
        <v>15446</v>
      </c>
      <c r="G986" s="2" t="s">
        <v>15456</v>
      </c>
      <c r="H986" s="2" t="s">
        <v>15444</v>
      </c>
    </row>
    <row r="987">
      <c r="A987" s="2">
        <v>985.0</v>
      </c>
      <c r="B987" s="5" t="s">
        <v>1532</v>
      </c>
      <c r="C987" s="2" t="s">
        <v>1533</v>
      </c>
      <c r="D987" s="5" t="s">
        <v>1532</v>
      </c>
      <c r="E987" s="2" t="s">
        <v>15445</v>
      </c>
      <c r="F987" s="2" t="s">
        <v>15446</v>
      </c>
      <c r="G987" s="2" t="s">
        <v>15456</v>
      </c>
      <c r="H987" s="2" t="s">
        <v>15444</v>
      </c>
    </row>
    <row r="988">
      <c r="A988" s="2">
        <v>986.0</v>
      </c>
      <c r="B988" s="5" t="s">
        <v>1535</v>
      </c>
      <c r="C988" s="2" t="s">
        <v>1536</v>
      </c>
      <c r="D988" s="5" t="s">
        <v>1535</v>
      </c>
      <c r="E988" s="2" t="s">
        <v>15445</v>
      </c>
      <c r="F988" s="2" t="s">
        <v>15442</v>
      </c>
      <c r="G988" s="2" t="s">
        <v>15456</v>
      </c>
      <c r="H988" s="2" t="s">
        <v>15455</v>
      </c>
    </row>
    <row r="989">
      <c r="A989" s="2">
        <v>987.0</v>
      </c>
      <c r="B989" s="5" t="s">
        <v>10265</v>
      </c>
      <c r="C989" s="2" t="s">
        <v>10266</v>
      </c>
      <c r="D989" s="5" t="s">
        <v>10265</v>
      </c>
      <c r="E989" s="2" t="s">
        <v>15441</v>
      </c>
      <c r="F989" s="2" t="s">
        <v>15442</v>
      </c>
      <c r="G989" s="2" t="s">
        <v>15443</v>
      </c>
      <c r="H989" s="2" t="s">
        <v>15444</v>
      </c>
    </row>
    <row r="990">
      <c r="A990" s="2">
        <v>988.0</v>
      </c>
      <c r="B990" s="5" t="s">
        <v>10267</v>
      </c>
      <c r="C990" s="2" t="s">
        <v>10268</v>
      </c>
      <c r="D990" s="5" t="s">
        <v>10267</v>
      </c>
      <c r="E990" s="2" t="s">
        <v>15441</v>
      </c>
      <c r="F990" s="2" t="s">
        <v>15446</v>
      </c>
      <c r="G990" s="2" t="s">
        <v>15443</v>
      </c>
      <c r="H990" s="2" t="s">
        <v>15444</v>
      </c>
    </row>
    <row r="991">
      <c r="A991" s="2">
        <v>989.0</v>
      </c>
      <c r="B991" s="5" t="s">
        <v>10269</v>
      </c>
      <c r="C991" s="2" t="s">
        <v>10270</v>
      </c>
      <c r="D991" s="5" t="s">
        <v>10269</v>
      </c>
      <c r="E991" s="2" t="s">
        <v>15441</v>
      </c>
      <c r="F991" s="2" t="s">
        <v>15446</v>
      </c>
      <c r="G991" s="2" t="s">
        <v>15443</v>
      </c>
      <c r="H991" s="2" t="s">
        <v>15462</v>
      </c>
    </row>
    <row r="992">
      <c r="A992" s="2">
        <v>990.0</v>
      </c>
      <c r="B992" s="5" t="s">
        <v>15475</v>
      </c>
      <c r="D992" s="5" t="s">
        <v>15475</v>
      </c>
      <c r="E992" s="2" t="s">
        <v>15441</v>
      </c>
      <c r="F992" s="2" t="s">
        <v>15446</v>
      </c>
      <c r="G992" s="2" t="s">
        <v>15456</v>
      </c>
      <c r="H992" s="2" t="s">
        <v>15444</v>
      </c>
    </row>
    <row r="993">
      <c r="A993" s="2">
        <v>991.0</v>
      </c>
      <c r="B993" s="5" t="s">
        <v>10271</v>
      </c>
      <c r="C993" s="2" t="s">
        <v>10272</v>
      </c>
      <c r="D993" s="5" t="s">
        <v>10271</v>
      </c>
      <c r="E993" s="2" t="s">
        <v>15441</v>
      </c>
      <c r="F993" s="2" t="s">
        <v>15442</v>
      </c>
      <c r="G993" s="2" t="s">
        <v>15443</v>
      </c>
      <c r="H993" s="2" t="s">
        <v>15444</v>
      </c>
    </row>
    <row r="994">
      <c r="A994" s="2">
        <v>992.0</v>
      </c>
      <c r="B994" s="5" t="s">
        <v>10273</v>
      </c>
      <c r="C994" s="2" t="s">
        <v>10274</v>
      </c>
      <c r="D994" s="5" t="s">
        <v>10273</v>
      </c>
      <c r="E994" s="2" t="s">
        <v>15441</v>
      </c>
      <c r="F994" s="2" t="s">
        <v>15442</v>
      </c>
      <c r="G994" s="2" t="s">
        <v>15443</v>
      </c>
      <c r="H994" s="2" t="s">
        <v>15444</v>
      </c>
    </row>
    <row r="995">
      <c r="A995" s="2">
        <v>993.0</v>
      </c>
      <c r="B995" s="5" t="s">
        <v>10275</v>
      </c>
      <c r="C995" s="2" t="s">
        <v>10276</v>
      </c>
      <c r="D995" s="5" t="s">
        <v>10275</v>
      </c>
      <c r="E995" s="2" t="s">
        <v>15441</v>
      </c>
      <c r="F995" s="2" t="s">
        <v>15446</v>
      </c>
      <c r="G995" s="2" t="s">
        <v>15443</v>
      </c>
      <c r="H995" s="2" t="s">
        <v>15444</v>
      </c>
    </row>
    <row r="996">
      <c r="A996" s="2">
        <v>994.0</v>
      </c>
      <c r="B996" s="5" t="s">
        <v>10277</v>
      </c>
      <c r="C996" s="2" t="s">
        <v>10278</v>
      </c>
      <c r="D996" s="5" t="s">
        <v>10277</v>
      </c>
      <c r="E996" s="2" t="s">
        <v>15441</v>
      </c>
      <c r="F996" s="2" t="s">
        <v>15446</v>
      </c>
      <c r="G996" s="2" t="s">
        <v>15456</v>
      </c>
      <c r="H996" s="2" t="s">
        <v>15444</v>
      </c>
    </row>
    <row r="997">
      <c r="A997" s="2">
        <v>995.0</v>
      </c>
      <c r="B997" s="5" t="s">
        <v>10279</v>
      </c>
      <c r="C997" s="2" t="s">
        <v>10280</v>
      </c>
      <c r="D997" s="5" t="s">
        <v>10279</v>
      </c>
      <c r="E997" s="2" t="s">
        <v>15441</v>
      </c>
      <c r="F997" s="2" t="s">
        <v>15446</v>
      </c>
      <c r="G997" s="2" t="s">
        <v>15456</v>
      </c>
      <c r="H997" s="2" t="s">
        <v>15444</v>
      </c>
    </row>
    <row r="998">
      <c r="A998" s="2">
        <v>996.0</v>
      </c>
      <c r="B998" s="5" t="s">
        <v>10281</v>
      </c>
      <c r="C998" s="2" t="s">
        <v>10282</v>
      </c>
      <c r="D998" s="5" t="s">
        <v>10281</v>
      </c>
      <c r="E998" s="2" t="s">
        <v>15441</v>
      </c>
      <c r="F998" s="2" t="s">
        <v>15446</v>
      </c>
      <c r="G998" s="2" t="s">
        <v>15456</v>
      </c>
      <c r="H998" s="2" t="s">
        <v>15444</v>
      </c>
    </row>
    <row r="999">
      <c r="A999" s="2">
        <v>997.0</v>
      </c>
      <c r="B999" s="5" t="s">
        <v>10283</v>
      </c>
      <c r="C999" s="2" t="s">
        <v>10284</v>
      </c>
      <c r="D999" s="5" t="s">
        <v>10283</v>
      </c>
      <c r="E999" s="2" t="s">
        <v>15441</v>
      </c>
      <c r="F999" s="2" t="s">
        <v>15446</v>
      </c>
      <c r="G999" s="2" t="s">
        <v>15456</v>
      </c>
      <c r="H999" s="2" t="s">
        <v>15444</v>
      </c>
    </row>
    <row r="1000">
      <c r="A1000" s="2">
        <v>998.0</v>
      </c>
      <c r="B1000" s="5" t="s">
        <v>10285</v>
      </c>
      <c r="C1000" s="2" t="s">
        <v>10286</v>
      </c>
      <c r="D1000" s="5" t="s">
        <v>10285</v>
      </c>
      <c r="E1000" s="2" t="s">
        <v>15441</v>
      </c>
      <c r="F1000" s="2" t="s">
        <v>15442</v>
      </c>
      <c r="G1000" s="2" t="s">
        <v>15443</v>
      </c>
      <c r="H1000" s="2" t="s">
        <v>15455</v>
      </c>
    </row>
    <row r="1001">
      <c r="A1001" s="2">
        <v>999.0</v>
      </c>
      <c r="B1001" s="5" t="s">
        <v>1538</v>
      </c>
      <c r="C1001" s="2" t="s">
        <v>1539</v>
      </c>
      <c r="D1001" s="5" t="s">
        <v>1538</v>
      </c>
      <c r="E1001" s="2" t="s">
        <v>15445</v>
      </c>
      <c r="F1001" s="2" t="s">
        <v>15446</v>
      </c>
      <c r="G1001" s="2" t="s">
        <v>15456</v>
      </c>
      <c r="H1001" s="2" t="s">
        <v>15444</v>
      </c>
    </row>
    <row r="1002">
      <c r="A1002" s="2">
        <v>1000.0</v>
      </c>
      <c r="B1002" s="5" t="s">
        <v>1541</v>
      </c>
      <c r="C1002" s="2" t="s">
        <v>1542</v>
      </c>
      <c r="D1002" s="5" t="s">
        <v>1541</v>
      </c>
      <c r="E1002" s="2" t="s">
        <v>15445</v>
      </c>
      <c r="F1002" s="2" t="s">
        <v>15446</v>
      </c>
      <c r="G1002" s="2" t="s">
        <v>15456</v>
      </c>
      <c r="H1002" s="2" t="s">
        <v>15457</v>
      </c>
    </row>
    <row r="1003">
      <c r="A1003" s="2">
        <v>1001.0</v>
      </c>
      <c r="B1003" s="5" t="s">
        <v>1544</v>
      </c>
      <c r="C1003" s="2" t="s">
        <v>1545</v>
      </c>
      <c r="D1003" s="5" t="s">
        <v>1544</v>
      </c>
      <c r="E1003" s="2" t="s">
        <v>15445</v>
      </c>
      <c r="F1003" s="2" t="s">
        <v>15446</v>
      </c>
      <c r="G1003" s="2" t="s">
        <v>15443</v>
      </c>
      <c r="H1003" s="2" t="s">
        <v>15444</v>
      </c>
    </row>
    <row r="1004">
      <c r="A1004" s="2">
        <v>1002.0</v>
      </c>
      <c r="B1004" s="5" t="s">
        <v>10287</v>
      </c>
      <c r="C1004" s="2" t="s">
        <v>10288</v>
      </c>
      <c r="D1004" s="5" t="s">
        <v>10287</v>
      </c>
      <c r="E1004" s="2" t="s">
        <v>15441</v>
      </c>
      <c r="F1004" s="2" t="s">
        <v>15446</v>
      </c>
      <c r="G1004" s="2" t="s">
        <v>15443</v>
      </c>
      <c r="H1004" s="2" t="s">
        <v>15444</v>
      </c>
    </row>
    <row r="1005">
      <c r="A1005" s="2">
        <v>1003.0</v>
      </c>
      <c r="B1005" s="5" t="s">
        <v>1547</v>
      </c>
      <c r="C1005" s="2" t="s">
        <v>1548</v>
      </c>
      <c r="D1005" s="5" t="s">
        <v>1547</v>
      </c>
      <c r="E1005" s="2" t="s">
        <v>15445</v>
      </c>
      <c r="F1005" s="2" t="s">
        <v>15446</v>
      </c>
      <c r="G1005" s="2" t="s">
        <v>15456</v>
      </c>
      <c r="H1005" s="2" t="s">
        <v>15444</v>
      </c>
    </row>
    <row r="1006">
      <c r="A1006" s="2">
        <v>1004.0</v>
      </c>
      <c r="B1006" s="5" t="s">
        <v>10289</v>
      </c>
      <c r="C1006" s="2" t="s">
        <v>10290</v>
      </c>
      <c r="D1006" s="5" t="s">
        <v>10289</v>
      </c>
      <c r="E1006" s="2" t="s">
        <v>15441</v>
      </c>
      <c r="F1006" s="2" t="s">
        <v>15442</v>
      </c>
      <c r="G1006" s="2" t="s">
        <v>15443</v>
      </c>
      <c r="H1006" s="2" t="s">
        <v>15444</v>
      </c>
    </row>
    <row r="1007">
      <c r="A1007" s="2">
        <v>1005.0</v>
      </c>
      <c r="B1007" s="5" t="s">
        <v>1550</v>
      </c>
      <c r="C1007" s="2" t="s">
        <v>1551</v>
      </c>
      <c r="D1007" s="5" t="s">
        <v>1550</v>
      </c>
      <c r="E1007" s="2" t="s">
        <v>15445</v>
      </c>
      <c r="F1007" s="2" t="s">
        <v>15442</v>
      </c>
      <c r="G1007" s="2" t="s">
        <v>15443</v>
      </c>
      <c r="H1007" s="2" t="s">
        <v>15444</v>
      </c>
    </row>
    <row r="1008">
      <c r="A1008" s="2">
        <v>1006.0</v>
      </c>
      <c r="B1008" s="5" t="s">
        <v>1553</v>
      </c>
      <c r="C1008" s="2" t="s">
        <v>1554</v>
      </c>
      <c r="D1008" s="5" t="s">
        <v>1553</v>
      </c>
      <c r="E1008" s="2" t="s">
        <v>15445</v>
      </c>
      <c r="F1008" s="2" t="s">
        <v>15446</v>
      </c>
      <c r="G1008" s="2" t="s">
        <v>15443</v>
      </c>
      <c r="H1008" s="2" t="s">
        <v>15461</v>
      </c>
    </row>
    <row r="1009">
      <c r="A1009" s="2">
        <v>1007.0</v>
      </c>
      <c r="B1009" s="5" t="s">
        <v>1556</v>
      </c>
      <c r="C1009" s="2" t="s">
        <v>1557</v>
      </c>
      <c r="D1009" s="5" t="s">
        <v>1556</v>
      </c>
      <c r="E1009" s="2" t="s">
        <v>15445</v>
      </c>
      <c r="F1009" s="2" t="s">
        <v>15442</v>
      </c>
      <c r="G1009" s="2" t="s">
        <v>15443</v>
      </c>
      <c r="H1009" s="2" t="s">
        <v>15444</v>
      </c>
    </row>
    <row r="1010">
      <c r="A1010" s="2">
        <v>1008.0</v>
      </c>
      <c r="B1010" s="5" t="s">
        <v>1559</v>
      </c>
      <c r="C1010" s="2" t="s">
        <v>1560</v>
      </c>
      <c r="D1010" s="5" t="s">
        <v>1559</v>
      </c>
      <c r="E1010" s="2" t="s">
        <v>15445</v>
      </c>
      <c r="F1010" s="2" t="s">
        <v>15442</v>
      </c>
      <c r="G1010" s="2" t="s">
        <v>15443</v>
      </c>
      <c r="H1010" s="2" t="s">
        <v>15457</v>
      </c>
    </row>
    <row r="1011">
      <c r="A1011" s="2">
        <v>1009.0</v>
      </c>
      <c r="B1011" s="5" t="s">
        <v>10291</v>
      </c>
      <c r="C1011" s="2" t="s">
        <v>10292</v>
      </c>
      <c r="D1011" s="5" t="s">
        <v>10291</v>
      </c>
      <c r="E1011" s="2" t="s">
        <v>15441</v>
      </c>
      <c r="F1011" s="2" t="s">
        <v>15446</v>
      </c>
      <c r="G1011" s="2" t="s">
        <v>15456</v>
      </c>
      <c r="H1011" s="2" t="s">
        <v>15455</v>
      </c>
    </row>
    <row r="1012">
      <c r="A1012" s="2">
        <v>1010.0</v>
      </c>
      <c r="B1012" s="5" t="s">
        <v>10293</v>
      </c>
      <c r="C1012" s="2" t="s">
        <v>10294</v>
      </c>
      <c r="D1012" s="5" t="s">
        <v>10293</v>
      </c>
      <c r="E1012" s="2" t="s">
        <v>15441</v>
      </c>
      <c r="F1012" s="2" t="s">
        <v>15446</v>
      </c>
      <c r="G1012" s="2" t="s">
        <v>15456</v>
      </c>
      <c r="H1012" s="2" t="s">
        <v>15444</v>
      </c>
    </row>
    <row r="1013">
      <c r="A1013" s="2">
        <v>1011.0</v>
      </c>
      <c r="B1013" s="5" t="s">
        <v>10295</v>
      </c>
      <c r="C1013" s="2" t="s">
        <v>10296</v>
      </c>
      <c r="D1013" s="5" t="s">
        <v>10295</v>
      </c>
      <c r="E1013" s="2" t="s">
        <v>15441</v>
      </c>
      <c r="F1013" s="2" t="s">
        <v>15446</v>
      </c>
      <c r="G1013" s="2" t="s">
        <v>15456</v>
      </c>
      <c r="H1013" s="2" t="s">
        <v>15444</v>
      </c>
    </row>
    <row r="1014">
      <c r="A1014" s="2">
        <v>1012.0</v>
      </c>
      <c r="B1014" s="5" t="s">
        <v>1562</v>
      </c>
      <c r="C1014" s="2" t="s">
        <v>1563</v>
      </c>
      <c r="D1014" s="5" t="s">
        <v>1562</v>
      </c>
      <c r="E1014" s="2" t="s">
        <v>15445</v>
      </c>
      <c r="F1014" s="2" t="s">
        <v>15442</v>
      </c>
      <c r="G1014" s="2" t="s">
        <v>15456</v>
      </c>
      <c r="H1014" s="2" t="s">
        <v>15444</v>
      </c>
    </row>
    <row r="1015">
      <c r="A1015" s="2">
        <v>1013.0</v>
      </c>
      <c r="B1015" s="5" t="s">
        <v>1565</v>
      </c>
      <c r="C1015" s="2" t="s">
        <v>1566</v>
      </c>
      <c r="D1015" s="5" t="s">
        <v>1565</v>
      </c>
      <c r="E1015" s="2" t="s">
        <v>15445</v>
      </c>
      <c r="F1015" s="2" t="s">
        <v>15446</v>
      </c>
      <c r="G1015" s="2" t="s">
        <v>15456</v>
      </c>
      <c r="H1015" s="2" t="s">
        <v>15444</v>
      </c>
    </row>
    <row r="1016">
      <c r="A1016" s="2">
        <v>1014.0</v>
      </c>
      <c r="B1016" s="5" t="s">
        <v>10297</v>
      </c>
      <c r="C1016" s="2" t="s">
        <v>10298</v>
      </c>
      <c r="D1016" s="5" t="s">
        <v>10297</v>
      </c>
      <c r="E1016" s="2" t="s">
        <v>15441</v>
      </c>
      <c r="F1016" s="2" t="s">
        <v>15442</v>
      </c>
      <c r="G1016" s="2" t="s">
        <v>15443</v>
      </c>
      <c r="H1016" s="2" t="s">
        <v>15444</v>
      </c>
    </row>
    <row r="1017">
      <c r="A1017" s="2">
        <v>1015.0</v>
      </c>
      <c r="B1017" s="5" t="s">
        <v>1568</v>
      </c>
      <c r="C1017" s="2" t="s">
        <v>1569</v>
      </c>
      <c r="D1017" s="5" t="s">
        <v>1568</v>
      </c>
      <c r="E1017" s="2" t="s">
        <v>15445</v>
      </c>
      <c r="F1017" s="2" t="s">
        <v>15442</v>
      </c>
      <c r="G1017" s="2" t="s">
        <v>15456</v>
      </c>
      <c r="H1017" s="2" t="s">
        <v>15444</v>
      </c>
    </row>
    <row r="1018">
      <c r="A1018" s="2">
        <v>1016.0</v>
      </c>
      <c r="B1018" s="5" t="s">
        <v>10299</v>
      </c>
      <c r="C1018" s="2" t="s">
        <v>10300</v>
      </c>
      <c r="D1018" s="5" t="s">
        <v>10299</v>
      </c>
      <c r="E1018" s="2" t="s">
        <v>15441</v>
      </c>
      <c r="F1018" s="2" t="s">
        <v>15446</v>
      </c>
      <c r="G1018" s="2" t="s">
        <v>15456</v>
      </c>
      <c r="H1018" s="2" t="s">
        <v>15444</v>
      </c>
    </row>
    <row r="1019">
      <c r="A1019" s="2">
        <v>1017.0</v>
      </c>
      <c r="B1019" s="5" t="s">
        <v>10301</v>
      </c>
      <c r="C1019" s="2" t="s">
        <v>10302</v>
      </c>
      <c r="D1019" s="5" t="s">
        <v>10301</v>
      </c>
      <c r="E1019" s="2" t="s">
        <v>15441</v>
      </c>
      <c r="F1019" s="2" t="s">
        <v>15446</v>
      </c>
      <c r="G1019" s="2" t="s">
        <v>15443</v>
      </c>
      <c r="H1019" s="2" t="s">
        <v>15444</v>
      </c>
    </row>
    <row r="1020">
      <c r="A1020" s="2">
        <v>1018.0</v>
      </c>
      <c r="B1020" s="5" t="s">
        <v>10303</v>
      </c>
      <c r="C1020" s="2" t="s">
        <v>10304</v>
      </c>
      <c r="D1020" s="5" t="s">
        <v>10303</v>
      </c>
      <c r="E1020" s="2" t="s">
        <v>15441</v>
      </c>
      <c r="F1020" s="2" t="s">
        <v>15442</v>
      </c>
      <c r="G1020" s="2" t="s">
        <v>15443</v>
      </c>
      <c r="H1020" s="2" t="s">
        <v>15444</v>
      </c>
    </row>
    <row r="1021">
      <c r="A1021" s="2">
        <v>1019.0</v>
      </c>
      <c r="B1021" s="5" t="s">
        <v>10305</v>
      </c>
      <c r="C1021" s="2" t="s">
        <v>10306</v>
      </c>
      <c r="D1021" s="5" t="s">
        <v>10305</v>
      </c>
      <c r="E1021" s="2" t="s">
        <v>15441</v>
      </c>
      <c r="F1021" s="2" t="s">
        <v>15442</v>
      </c>
      <c r="G1021" s="2" t="s">
        <v>15443</v>
      </c>
      <c r="H1021" s="2" t="s">
        <v>15444</v>
      </c>
    </row>
    <row r="1022">
      <c r="A1022" s="2">
        <v>1020.0</v>
      </c>
      <c r="B1022" s="5" t="s">
        <v>1571</v>
      </c>
      <c r="C1022" s="2" t="s">
        <v>1572</v>
      </c>
      <c r="D1022" s="5" t="s">
        <v>1571</v>
      </c>
      <c r="E1022" s="2" t="s">
        <v>15445</v>
      </c>
      <c r="F1022" s="2" t="s">
        <v>15442</v>
      </c>
      <c r="G1022" s="2" t="s">
        <v>15443</v>
      </c>
      <c r="H1022" s="2" t="s">
        <v>15444</v>
      </c>
    </row>
    <row r="1023">
      <c r="A1023" s="2">
        <v>1021.0</v>
      </c>
      <c r="B1023" s="5" t="s">
        <v>10307</v>
      </c>
      <c r="C1023" s="2" t="s">
        <v>10308</v>
      </c>
      <c r="D1023" s="5" t="s">
        <v>10307</v>
      </c>
      <c r="E1023" s="2" t="s">
        <v>15441</v>
      </c>
      <c r="F1023" s="2" t="s">
        <v>15442</v>
      </c>
      <c r="G1023" s="2" t="s">
        <v>15456</v>
      </c>
      <c r="H1023" s="2" t="s">
        <v>15444</v>
      </c>
    </row>
    <row r="1024">
      <c r="A1024" s="2">
        <v>1022.0</v>
      </c>
      <c r="B1024" s="5" t="s">
        <v>10309</v>
      </c>
      <c r="C1024" s="2" t="s">
        <v>10310</v>
      </c>
      <c r="D1024" s="5" t="s">
        <v>10309</v>
      </c>
      <c r="E1024" s="2" t="s">
        <v>15441</v>
      </c>
      <c r="F1024" s="2" t="s">
        <v>15442</v>
      </c>
      <c r="G1024" s="2" t="s">
        <v>15443</v>
      </c>
      <c r="H1024" s="2" t="s">
        <v>15444</v>
      </c>
    </row>
    <row r="1025">
      <c r="A1025" s="2">
        <v>1023.0</v>
      </c>
      <c r="B1025" s="5" t="s">
        <v>10311</v>
      </c>
      <c r="C1025" s="2" t="s">
        <v>10312</v>
      </c>
      <c r="D1025" s="5" t="s">
        <v>10311</v>
      </c>
      <c r="E1025" s="2" t="s">
        <v>15441</v>
      </c>
      <c r="F1025" s="2" t="s">
        <v>15446</v>
      </c>
      <c r="G1025" s="2" t="s">
        <v>15443</v>
      </c>
      <c r="H1025" s="2" t="s">
        <v>15444</v>
      </c>
    </row>
    <row r="1026">
      <c r="A1026" s="2">
        <v>1024.0</v>
      </c>
      <c r="B1026" s="5" t="s">
        <v>15476</v>
      </c>
      <c r="C1026" s="2" t="s">
        <v>15477</v>
      </c>
      <c r="D1026" s="5" t="s">
        <v>15476</v>
      </c>
      <c r="E1026" s="2" t="s">
        <v>15441</v>
      </c>
      <c r="F1026" s="2" t="s">
        <v>15446</v>
      </c>
      <c r="G1026" s="2" t="s">
        <v>15456</v>
      </c>
      <c r="H1026" s="2" t="s">
        <v>15457</v>
      </c>
    </row>
    <row r="1027">
      <c r="A1027" s="2">
        <v>1025.0</v>
      </c>
      <c r="B1027" s="5" t="s">
        <v>10313</v>
      </c>
      <c r="C1027" s="2" t="s">
        <v>10314</v>
      </c>
      <c r="D1027" s="5" t="s">
        <v>10313</v>
      </c>
      <c r="E1027" s="2" t="s">
        <v>15441</v>
      </c>
      <c r="F1027" s="2" t="s">
        <v>15442</v>
      </c>
      <c r="G1027" s="2" t="s">
        <v>15456</v>
      </c>
      <c r="H1027" s="2" t="s">
        <v>15444</v>
      </c>
    </row>
    <row r="1028">
      <c r="A1028" s="2">
        <v>1026.0</v>
      </c>
      <c r="B1028" s="5" t="s">
        <v>10315</v>
      </c>
      <c r="C1028" s="2" t="s">
        <v>10316</v>
      </c>
      <c r="D1028" s="5" t="s">
        <v>10315</v>
      </c>
      <c r="E1028" s="2" t="s">
        <v>15441</v>
      </c>
      <c r="F1028" s="2" t="s">
        <v>15446</v>
      </c>
      <c r="G1028" s="2" t="s">
        <v>15456</v>
      </c>
      <c r="H1028" s="2" t="s">
        <v>15444</v>
      </c>
    </row>
    <row r="1029">
      <c r="A1029" s="2">
        <v>1027.0</v>
      </c>
      <c r="B1029" s="5" t="s">
        <v>1574</v>
      </c>
      <c r="C1029" s="2" t="s">
        <v>1575</v>
      </c>
      <c r="D1029" s="5" t="s">
        <v>1574</v>
      </c>
      <c r="E1029" s="2" t="s">
        <v>15445</v>
      </c>
      <c r="F1029" s="2" t="s">
        <v>15446</v>
      </c>
      <c r="G1029" s="2" t="s">
        <v>15456</v>
      </c>
      <c r="H1029" s="2" t="s">
        <v>15444</v>
      </c>
    </row>
    <row r="1030">
      <c r="A1030" s="2">
        <v>1028.0</v>
      </c>
      <c r="B1030" s="5" t="s">
        <v>10317</v>
      </c>
      <c r="C1030" s="2" t="s">
        <v>10318</v>
      </c>
      <c r="D1030" s="5" t="s">
        <v>10317</v>
      </c>
      <c r="E1030" s="2" t="s">
        <v>15441</v>
      </c>
      <c r="F1030" s="2" t="s">
        <v>15446</v>
      </c>
      <c r="G1030" s="2" t="s">
        <v>15456</v>
      </c>
      <c r="H1030" s="2" t="s">
        <v>15444</v>
      </c>
    </row>
    <row r="1031">
      <c r="A1031" s="2">
        <v>1029.0</v>
      </c>
      <c r="B1031" s="5" t="s">
        <v>1577</v>
      </c>
      <c r="C1031" s="2" t="s">
        <v>1578</v>
      </c>
      <c r="D1031" s="5" t="s">
        <v>1577</v>
      </c>
      <c r="E1031" s="2" t="s">
        <v>15445</v>
      </c>
      <c r="F1031" s="2" t="s">
        <v>15442</v>
      </c>
      <c r="G1031" s="2" t="s">
        <v>15443</v>
      </c>
      <c r="H1031" s="2" t="s">
        <v>15444</v>
      </c>
    </row>
    <row r="1032">
      <c r="A1032" s="2">
        <v>1030.0</v>
      </c>
      <c r="B1032" s="5" t="s">
        <v>10319</v>
      </c>
      <c r="C1032" s="2" t="s">
        <v>10320</v>
      </c>
      <c r="D1032" s="5" t="s">
        <v>10319</v>
      </c>
      <c r="E1032" s="2" t="s">
        <v>15441</v>
      </c>
      <c r="F1032" s="2" t="s">
        <v>15446</v>
      </c>
      <c r="G1032" s="2" t="s">
        <v>15456</v>
      </c>
      <c r="H1032" s="2" t="s">
        <v>15444</v>
      </c>
    </row>
    <row r="1033">
      <c r="A1033" s="2">
        <v>1031.0</v>
      </c>
      <c r="B1033" s="5" t="s">
        <v>1580</v>
      </c>
      <c r="C1033" s="2" t="s">
        <v>1581</v>
      </c>
      <c r="D1033" s="5" t="s">
        <v>1580</v>
      </c>
      <c r="E1033" s="2" t="s">
        <v>15445</v>
      </c>
      <c r="F1033" s="2" t="s">
        <v>15446</v>
      </c>
      <c r="G1033" s="2" t="s">
        <v>15456</v>
      </c>
      <c r="H1033" s="2" t="s">
        <v>15457</v>
      </c>
    </row>
    <row r="1034">
      <c r="A1034" s="2">
        <v>1032.0</v>
      </c>
      <c r="B1034" s="5" t="s">
        <v>1583</v>
      </c>
      <c r="C1034" s="2" t="s">
        <v>1584</v>
      </c>
      <c r="D1034" s="5" t="s">
        <v>1583</v>
      </c>
      <c r="E1034" s="2" t="s">
        <v>15445</v>
      </c>
      <c r="F1034" s="2" t="s">
        <v>15446</v>
      </c>
      <c r="G1034" s="2" t="s">
        <v>15456</v>
      </c>
      <c r="H1034" s="2" t="s">
        <v>15444</v>
      </c>
    </row>
    <row r="1035">
      <c r="A1035" s="2">
        <v>1033.0</v>
      </c>
      <c r="B1035" s="5" t="s">
        <v>10321</v>
      </c>
      <c r="C1035" s="2" t="s">
        <v>10322</v>
      </c>
      <c r="D1035" s="5" t="s">
        <v>10321</v>
      </c>
      <c r="E1035" s="2" t="s">
        <v>15441</v>
      </c>
      <c r="F1035" s="2" t="s">
        <v>15446</v>
      </c>
      <c r="G1035" s="2" t="s">
        <v>15443</v>
      </c>
      <c r="H1035" s="2" t="s">
        <v>15444</v>
      </c>
    </row>
    <row r="1036">
      <c r="A1036" s="2">
        <v>1034.0</v>
      </c>
      <c r="B1036" s="5" t="s">
        <v>10323</v>
      </c>
      <c r="C1036" s="2" t="s">
        <v>10324</v>
      </c>
      <c r="D1036" s="5" t="s">
        <v>10323</v>
      </c>
      <c r="E1036" s="2" t="s">
        <v>15441</v>
      </c>
      <c r="F1036" s="2" t="s">
        <v>15446</v>
      </c>
      <c r="G1036" s="2" t="s">
        <v>15443</v>
      </c>
      <c r="H1036" s="2" t="s">
        <v>15444</v>
      </c>
    </row>
    <row r="1037">
      <c r="A1037" s="2">
        <v>1035.0</v>
      </c>
      <c r="B1037" s="5" t="s">
        <v>10325</v>
      </c>
      <c r="C1037" s="2" t="s">
        <v>10326</v>
      </c>
      <c r="D1037" s="5" t="s">
        <v>10325</v>
      </c>
      <c r="E1037" s="2" t="s">
        <v>15441</v>
      </c>
      <c r="F1037" s="2" t="s">
        <v>15446</v>
      </c>
      <c r="G1037" s="2" t="s">
        <v>15443</v>
      </c>
      <c r="H1037" s="2" t="s">
        <v>15444</v>
      </c>
    </row>
    <row r="1038">
      <c r="A1038" s="2">
        <v>1036.0</v>
      </c>
      <c r="B1038" s="5" t="s">
        <v>10327</v>
      </c>
      <c r="C1038" s="2" t="s">
        <v>10328</v>
      </c>
      <c r="D1038" s="5" t="s">
        <v>10327</v>
      </c>
      <c r="E1038" s="2" t="s">
        <v>15441</v>
      </c>
      <c r="F1038" s="2" t="s">
        <v>15446</v>
      </c>
      <c r="G1038" s="2" t="s">
        <v>15456</v>
      </c>
      <c r="H1038" s="2" t="s">
        <v>15455</v>
      </c>
    </row>
    <row r="1039">
      <c r="A1039" s="2">
        <v>1037.0</v>
      </c>
      <c r="B1039" s="5" t="s">
        <v>1586</v>
      </c>
      <c r="C1039" s="2" t="s">
        <v>1587</v>
      </c>
      <c r="D1039" s="5" t="s">
        <v>1586</v>
      </c>
      <c r="E1039" s="2" t="s">
        <v>15445</v>
      </c>
      <c r="F1039" s="2" t="s">
        <v>15442</v>
      </c>
      <c r="G1039" s="2" t="s">
        <v>15443</v>
      </c>
      <c r="H1039" s="2" t="s">
        <v>15444</v>
      </c>
    </row>
    <row r="1040">
      <c r="A1040" s="2">
        <v>1038.0</v>
      </c>
      <c r="B1040" s="5" t="s">
        <v>10329</v>
      </c>
      <c r="C1040" s="2" t="s">
        <v>10330</v>
      </c>
      <c r="D1040" s="5" t="s">
        <v>10329</v>
      </c>
      <c r="E1040" s="2" t="s">
        <v>15441</v>
      </c>
      <c r="F1040" s="2" t="s">
        <v>15446</v>
      </c>
      <c r="G1040" s="2" t="s">
        <v>15443</v>
      </c>
      <c r="H1040" s="2" t="s">
        <v>15455</v>
      </c>
    </row>
    <row r="1041">
      <c r="A1041" s="2">
        <v>1039.0</v>
      </c>
      <c r="B1041" s="5" t="s">
        <v>1589</v>
      </c>
      <c r="C1041" s="2" t="s">
        <v>1590</v>
      </c>
      <c r="D1041" s="5" t="s">
        <v>1589</v>
      </c>
      <c r="E1041" s="2" t="s">
        <v>15445</v>
      </c>
      <c r="F1041" s="2" t="s">
        <v>15446</v>
      </c>
      <c r="G1041" s="2" t="s">
        <v>15456</v>
      </c>
      <c r="H1041" s="2" t="s">
        <v>15457</v>
      </c>
    </row>
    <row r="1042">
      <c r="A1042" s="2">
        <v>1040.0</v>
      </c>
      <c r="B1042" s="5" t="s">
        <v>1592</v>
      </c>
      <c r="C1042" s="2" t="s">
        <v>1593</v>
      </c>
      <c r="D1042" s="5" t="s">
        <v>1592</v>
      </c>
      <c r="E1042" s="2" t="s">
        <v>15445</v>
      </c>
      <c r="F1042" s="2" t="s">
        <v>15442</v>
      </c>
      <c r="G1042" s="2" t="s">
        <v>15443</v>
      </c>
      <c r="H1042" s="2" t="s">
        <v>15444</v>
      </c>
    </row>
    <row r="1043">
      <c r="A1043" s="2">
        <v>1041.0</v>
      </c>
      <c r="B1043" s="5" t="s">
        <v>10331</v>
      </c>
      <c r="C1043" s="2" t="s">
        <v>10332</v>
      </c>
      <c r="D1043" s="5" t="s">
        <v>10331</v>
      </c>
      <c r="E1043" s="2" t="s">
        <v>15441</v>
      </c>
      <c r="F1043" s="2" t="s">
        <v>15446</v>
      </c>
      <c r="G1043" s="2" t="s">
        <v>15443</v>
      </c>
      <c r="H1043" s="2" t="s">
        <v>15444</v>
      </c>
    </row>
    <row r="1044">
      <c r="A1044" s="2">
        <v>1042.0</v>
      </c>
      <c r="B1044" s="5" t="s">
        <v>1595</v>
      </c>
      <c r="C1044" s="2" t="s">
        <v>1596</v>
      </c>
      <c r="D1044" s="5" t="s">
        <v>1595</v>
      </c>
      <c r="E1044" s="2" t="s">
        <v>15445</v>
      </c>
      <c r="F1044" s="2" t="s">
        <v>15442</v>
      </c>
      <c r="G1044" s="2" t="s">
        <v>15443</v>
      </c>
      <c r="H1044" s="2" t="s">
        <v>15455</v>
      </c>
    </row>
    <row r="1045">
      <c r="A1045" s="2">
        <v>1043.0</v>
      </c>
      <c r="B1045" s="5" t="s">
        <v>10333</v>
      </c>
      <c r="C1045" s="2" t="s">
        <v>10334</v>
      </c>
      <c r="D1045" s="5" t="s">
        <v>10333</v>
      </c>
      <c r="E1045" s="2" t="s">
        <v>15441</v>
      </c>
      <c r="F1045" s="2" t="s">
        <v>15442</v>
      </c>
      <c r="G1045" s="2" t="s">
        <v>15456</v>
      </c>
      <c r="H1045" s="2" t="s">
        <v>15444</v>
      </c>
    </row>
    <row r="1046">
      <c r="A1046" s="2">
        <v>1044.0</v>
      </c>
      <c r="B1046" s="5" t="s">
        <v>10335</v>
      </c>
      <c r="C1046" s="2" t="s">
        <v>10336</v>
      </c>
      <c r="D1046" s="5" t="s">
        <v>10335</v>
      </c>
      <c r="E1046" s="2" t="s">
        <v>15441</v>
      </c>
      <c r="F1046" s="2" t="s">
        <v>15442</v>
      </c>
      <c r="G1046" s="2" t="s">
        <v>15443</v>
      </c>
      <c r="H1046" s="2" t="s">
        <v>15444</v>
      </c>
    </row>
    <row r="1047">
      <c r="A1047" s="2">
        <v>1045.0</v>
      </c>
      <c r="B1047" s="5" t="s">
        <v>10337</v>
      </c>
      <c r="C1047" s="2" t="s">
        <v>10338</v>
      </c>
      <c r="D1047" s="5" t="s">
        <v>10337</v>
      </c>
      <c r="E1047" s="2" t="s">
        <v>15441</v>
      </c>
      <c r="F1047" s="2" t="s">
        <v>15442</v>
      </c>
      <c r="G1047" s="2" t="s">
        <v>15456</v>
      </c>
      <c r="H1047" s="2" t="s">
        <v>15461</v>
      </c>
    </row>
    <row r="1048">
      <c r="A1048" s="2">
        <v>1046.0</v>
      </c>
      <c r="B1048" s="5" t="s">
        <v>10339</v>
      </c>
      <c r="C1048" s="2" t="s">
        <v>10340</v>
      </c>
      <c r="D1048" s="5" t="s">
        <v>10339</v>
      </c>
      <c r="E1048" s="2" t="s">
        <v>15441</v>
      </c>
      <c r="F1048" s="2" t="s">
        <v>15446</v>
      </c>
      <c r="G1048" s="2" t="s">
        <v>15456</v>
      </c>
      <c r="H1048" s="2" t="s">
        <v>15444</v>
      </c>
    </row>
    <row r="1049">
      <c r="A1049" s="2">
        <v>1047.0</v>
      </c>
      <c r="B1049" s="5" t="s">
        <v>1598</v>
      </c>
      <c r="C1049" s="2" t="s">
        <v>1599</v>
      </c>
      <c r="D1049" s="5" t="s">
        <v>1598</v>
      </c>
      <c r="E1049" s="2" t="s">
        <v>15445</v>
      </c>
      <c r="F1049" s="2" t="s">
        <v>15446</v>
      </c>
      <c r="G1049" s="2" t="s">
        <v>15456</v>
      </c>
      <c r="H1049" s="2" t="s">
        <v>15444</v>
      </c>
    </row>
    <row r="1050">
      <c r="A1050" s="2">
        <v>1048.0</v>
      </c>
      <c r="B1050" s="5" t="s">
        <v>10341</v>
      </c>
      <c r="C1050" s="2" t="s">
        <v>10342</v>
      </c>
      <c r="D1050" s="5" t="s">
        <v>10341</v>
      </c>
      <c r="E1050" s="2" t="s">
        <v>15441</v>
      </c>
      <c r="F1050" s="2" t="s">
        <v>15442</v>
      </c>
      <c r="G1050" s="2" t="s">
        <v>15443</v>
      </c>
      <c r="H1050" s="2" t="s">
        <v>15444</v>
      </c>
    </row>
    <row r="1051">
      <c r="A1051" s="2">
        <v>1049.0</v>
      </c>
      <c r="B1051" s="5" t="s">
        <v>1601</v>
      </c>
      <c r="C1051" s="2" t="s">
        <v>1602</v>
      </c>
      <c r="D1051" s="5" t="s">
        <v>1601</v>
      </c>
      <c r="E1051" s="2" t="s">
        <v>15445</v>
      </c>
      <c r="F1051" s="2" t="s">
        <v>15446</v>
      </c>
      <c r="G1051" s="2" t="s">
        <v>15456</v>
      </c>
      <c r="H1051" s="2" t="s">
        <v>15444</v>
      </c>
    </row>
    <row r="1052">
      <c r="A1052" s="2">
        <v>1050.0</v>
      </c>
      <c r="B1052" s="5" t="s">
        <v>10343</v>
      </c>
      <c r="C1052" s="2" t="s">
        <v>10344</v>
      </c>
      <c r="D1052" s="5" t="s">
        <v>10343</v>
      </c>
      <c r="E1052" s="2" t="s">
        <v>15441</v>
      </c>
      <c r="F1052" s="2" t="s">
        <v>15446</v>
      </c>
      <c r="G1052" s="2" t="s">
        <v>15456</v>
      </c>
      <c r="H1052" s="2" t="s">
        <v>15444</v>
      </c>
    </row>
    <row r="1053">
      <c r="A1053" s="2">
        <v>1051.0</v>
      </c>
      <c r="B1053" s="5" t="s">
        <v>10345</v>
      </c>
      <c r="C1053" s="2" t="s">
        <v>10346</v>
      </c>
      <c r="D1053" s="5" t="s">
        <v>10345</v>
      </c>
      <c r="E1053" s="2" t="s">
        <v>15441</v>
      </c>
      <c r="F1053" s="2" t="s">
        <v>15446</v>
      </c>
      <c r="G1053" s="2" t="s">
        <v>15456</v>
      </c>
      <c r="H1053" s="2" t="s">
        <v>15455</v>
      </c>
    </row>
    <row r="1054">
      <c r="A1054" s="2">
        <v>1052.0</v>
      </c>
      <c r="B1054" s="5" t="s">
        <v>10347</v>
      </c>
      <c r="C1054" s="2" t="s">
        <v>10348</v>
      </c>
      <c r="D1054" s="5" t="s">
        <v>10347</v>
      </c>
      <c r="E1054" s="2" t="s">
        <v>15441</v>
      </c>
      <c r="F1054" s="2" t="s">
        <v>15446</v>
      </c>
      <c r="G1054" s="2" t="s">
        <v>15456</v>
      </c>
      <c r="H1054" s="2" t="s">
        <v>15444</v>
      </c>
    </row>
    <row r="1055">
      <c r="A1055" s="2">
        <v>1053.0</v>
      </c>
      <c r="B1055" s="5" t="s">
        <v>10349</v>
      </c>
      <c r="C1055" s="2" t="s">
        <v>10350</v>
      </c>
      <c r="D1055" s="5" t="s">
        <v>10349</v>
      </c>
      <c r="E1055" s="2" t="s">
        <v>15441</v>
      </c>
      <c r="F1055" s="2" t="s">
        <v>15446</v>
      </c>
      <c r="G1055" s="2" t="s">
        <v>15456</v>
      </c>
      <c r="H1055" s="2" t="s">
        <v>15444</v>
      </c>
    </row>
    <row r="1056">
      <c r="A1056" s="2">
        <v>1054.0</v>
      </c>
      <c r="B1056" s="5" t="s">
        <v>10351</v>
      </c>
      <c r="C1056" s="2" t="s">
        <v>10352</v>
      </c>
      <c r="D1056" s="5" t="s">
        <v>10351</v>
      </c>
      <c r="E1056" s="2" t="s">
        <v>15441</v>
      </c>
      <c r="F1056" s="2" t="s">
        <v>15446</v>
      </c>
      <c r="G1056" s="2" t="s">
        <v>15443</v>
      </c>
      <c r="H1056" s="2" t="s">
        <v>15444</v>
      </c>
    </row>
    <row r="1057">
      <c r="A1057" s="2">
        <v>1055.0</v>
      </c>
      <c r="B1057" s="5" t="s">
        <v>10353</v>
      </c>
      <c r="C1057" s="2" t="s">
        <v>10354</v>
      </c>
      <c r="D1057" s="5" t="s">
        <v>10353</v>
      </c>
      <c r="E1057" s="2" t="s">
        <v>15441</v>
      </c>
      <c r="F1057" s="2" t="s">
        <v>15442</v>
      </c>
      <c r="G1057" s="2" t="s">
        <v>15443</v>
      </c>
      <c r="H1057" s="2" t="s">
        <v>15455</v>
      </c>
    </row>
    <row r="1058">
      <c r="A1058" s="2">
        <v>1056.0</v>
      </c>
      <c r="B1058" s="5" t="s">
        <v>1604</v>
      </c>
      <c r="C1058" s="2" t="s">
        <v>1605</v>
      </c>
      <c r="D1058" s="5" t="s">
        <v>1604</v>
      </c>
      <c r="E1058" s="2" t="s">
        <v>15445</v>
      </c>
      <c r="F1058" s="2" t="s">
        <v>15446</v>
      </c>
      <c r="G1058" s="2" t="s">
        <v>15456</v>
      </c>
      <c r="H1058" s="2" t="s">
        <v>15444</v>
      </c>
    </row>
    <row r="1059">
      <c r="A1059" s="2">
        <v>1057.0</v>
      </c>
      <c r="B1059" s="5" t="s">
        <v>1607</v>
      </c>
      <c r="C1059" s="2" t="s">
        <v>1608</v>
      </c>
      <c r="D1059" s="5" t="s">
        <v>1607</v>
      </c>
      <c r="E1059" s="2" t="s">
        <v>15445</v>
      </c>
      <c r="F1059" s="2" t="s">
        <v>15446</v>
      </c>
      <c r="G1059" s="2" t="s">
        <v>15456</v>
      </c>
      <c r="H1059" s="2" t="s">
        <v>15444</v>
      </c>
    </row>
    <row r="1060">
      <c r="A1060" s="2">
        <v>1058.0</v>
      </c>
      <c r="B1060" s="5" t="s">
        <v>10355</v>
      </c>
      <c r="C1060" s="2" t="s">
        <v>10356</v>
      </c>
      <c r="D1060" s="5" t="s">
        <v>10355</v>
      </c>
      <c r="E1060" s="2" t="s">
        <v>15441</v>
      </c>
      <c r="F1060" s="2" t="s">
        <v>15442</v>
      </c>
      <c r="G1060" s="2" t="s">
        <v>15443</v>
      </c>
      <c r="H1060" s="2" t="s">
        <v>15444</v>
      </c>
    </row>
    <row r="1061">
      <c r="A1061" s="2">
        <v>1059.0</v>
      </c>
      <c r="B1061" s="5" t="s">
        <v>1610</v>
      </c>
      <c r="C1061" s="2" t="s">
        <v>1611</v>
      </c>
      <c r="D1061" s="5" t="s">
        <v>1610</v>
      </c>
      <c r="E1061" s="2" t="s">
        <v>15445</v>
      </c>
      <c r="F1061" s="2" t="s">
        <v>15446</v>
      </c>
      <c r="G1061" s="2" t="s">
        <v>15456</v>
      </c>
      <c r="H1061" s="2" t="s">
        <v>15444</v>
      </c>
    </row>
    <row r="1062">
      <c r="A1062" s="2">
        <v>1060.0</v>
      </c>
      <c r="B1062" s="5" t="s">
        <v>1613</v>
      </c>
      <c r="C1062" s="2" t="s">
        <v>1614</v>
      </c>
      <c r="D1062" s="5" t="s">
        <v>1613</v>
      </c>
      <c r="E1062" s="2" t="s">
        <v>15445</v>
      </c>
      <c r="F1062" s="2" t="s">
        <v>15446</v>
      </c>
      <c r="G1062" s="2" t="s">
        <v>15456</v>
      </c>
      <c r="H1062" s="2" t="s">
        <v>15444</v>
      </c>
    </row>
    <row r="1063">
      <c r="A1063" s="2">
        <v>1061.0</v>
      </c>
      <c r="B1063" s="5" t="s">
        <v>10357</v>
      </c>
      <c r="C1063" s="2" t="s">
        <v>10358</v>
      </c>
      <c r="D1063" s="5" t="s">
        <v>10357</v>
      </c>
      <c r="E1063" s="2" t="s">
        <v>15441</v>
      </c>
      <c r="F1063" s="2" t="s">
        <v>15442</v>
      </c>
      <c r="G1063" s="2" t="s">
        <v>15456</v>
      </c>
      <c r="H1063" s="2" t="s">
        <v>15444</v>
      </c>
    </row>
    <row r="1064">
      <c r="A1064" s="2">
        <v>1062.0</v>
      </c>
      <c r="B1064" s="5" t="s">
        <v>1616</v>
      </c>
      <c r="C1064" s="2" t="s">
        <v>1617</v>
      </c>
      <c r="D1064" s="5" t="s">
        <v>1616</v>
      </c>
      <c r="E1064" s="2" t="s">
        <v>15445</v>
      </c>
      <c r="F1064" s="2" t="s">
        <v>15446</v>
      </c>
      <c r="G1064" s="2" t="s">
        <v>15456</v>
      </c>
      <c r="H1064" s="2" t="s">
        <v>15444</v>
      </c>
    </row>
    <row r="1065">
      <c r="A1065" s="2">
        <v>1063.0</v>
      </c>
      <c r="B1065" s="5" t="s">
        <v>10359</v>
      </c>
      <c r="C1065" s="2" t="s">
        <v>10360</v>
      </c>
      <c r="D1065" s="5" t="s">
        <v>10359</v>
      </c>
      <c r="E1065" s="2" t="s">
        <v>15441</v>
      </c>
      <c r="F1065" s="2" t="s">
        <v>15442</v>
      </c>
      <c r="G1065" s="2" t="s">
        <v>15456</v>
      </c>
      <c r="H1065" s="2" t="s">
        <v>15444</v>
      </c>
    </row>
    <row r="1066">
      <c r="A1066" s="2">
        <v>1064.0</v>
      </c>
      <c r="B1066" s="5" t="s">
        <v>1619</v>
      </c>
      <c r="C1066" s="2" t="s">
        <v>1620</v>
      </c>
      <c r="D1066" s="5" t="s">
        <v>1619</v>
      </c>
      <c r="E1066" s="2" t="s">
        <v>15445</v>
      </c>
      <c r="F1066" s="2" t="s">
        <v>15446</v>
      </c>
      <c r="G1066" s="2" t="s">
        <v>15456</v>
      </c>
      <c r="H1066" s="2" t="s">
        <v>15444</v>
      </c>
    </row>
    <row r="1067">
      <c r="A1067" s="2">
        <v>1065.0</v>
      </c>
      <c r="B1067" s="5" t="s">
        <v>10361</v>
      </c>
      <c r="C1067" s="2" t="s">
        <v>10362</v>
      </c>
      <c r="D1067" s="5" t="s">
        <v>10361</v>
      </c>
      <c r="E1067" s="2" t="s">
        <v>15441</v>
      </c>
      <c r="F1067" s="2" t="s">
        <v>15442</v>
      </c>
      <c r="G1067" s="2" t="s">
        <v>15456</v>
      </c>
      <c r="H1067" s="2" t="s">
        <v>15444</v>
      </c>
    </row>
    <row r="1068">
      <c r="A1068" s="2">
        <v>1066.0</v>
      </c>
      <c r="B1068" s="5" t="s">
        <v>1622</v>
      </c>
      <c r="C1068" s="2" t="s">
        <v>1623</v>
      </c>
      <c r="D1068" s="5" t="s">
        <v>1622</v>
      </c>
      <c r="E1068" s="2" t="s">
        <v>15445</v>
      </c>
      <c r="F1068" s="2" t="s">
        <v>15446</v>
      </c>
      <c r="G1068" s="2" t="s">
        <v>15456</v>
      </c>
      <c r="H1068" s="2" t="s">
        <v>15444</v>
      </c>
    </row>
    <row r="1069">
      <c r="A1069" s="2">
        <v>1067.0</v>
      </c>
      <c r="B1069" s="5" t="s">
        <v>1625</v>
      </c>
      <c r="C1069" s="2" t="s">
        <v>1626</v>
      </c>
      <c r="D1069" s="5" t="s">
        <v>1625</v>
      </c>
      <c r="E1069" s="2" t="s">
        <v>15445</v>
      </c>
      <c r="F1069" s="2" t="s">
        <v>15446</v>
      </c>
      <c r="G1069" s="2" t="s">
        <v>15456</v>
      </c>
      <c r="H1069" s="2" t="s">
        <v>15444</v>
      </c>
    </row>
    <row r="1070">
      <c r="A1070" s="2">
        <v>1068.0</v>
      </c>
      <c r="B1070" s="5" t="s">
        <v>10363</v>
      </c>
      <c r="C1070" s="2" t="s">
        <v>10364</v>
      </c>
      <c r="D1070" s="5" t="s">
        <v>10363</v>
      </c>
      <c r="E1070" s="2" t="s">
        <v>15441</v>
      </c>
      <c r="F1070" s="2" t="s">
        <v>15442</v>
      </c>
      <c r="G1070" s="2" t="s">
        <v>15456</v>
      </c>
      <c r="H1070" s="2" t="s">
        <v>15462</v>
      </c>
    </row>
    <row r="1071">
      <c r="A1071" s="2">
        <v>1069.0</v>
      </c>
      <c r="B1071" s="5" t="s">
        <v>1628</v>
      </c>
      <c r="C1071" s="2" t="s">
        <v>1629</v>
      </c>
      <c r="D1071" s="5" t="s">
        <v>1628</v>
      </c>
      <c r="E1071" s="2" t="s">
        <v>15445</v>
      </c>
      <c r="F1071" s="2" t="s">
        <v>15442</v>
      </c>
      <c r="G1071" s="2" t="s">
        <v>15456</v>
      </c>
      <c r="H1071" s="2" t="s">
        <v>15444</v>
      </c>
    </row>
    <row r="1072">
      <c r="A1072" s="2">
        <v>1070.0</v>
      </c>
      <c r="B1072" s="5" t="s">
        <v>10365</v>
      </c>
      <c r="C1072" s="2" t="s">
        <v>10366</v>
      </c>
      <c r="D1072" s="5" t="s">
        <v>10365</v>
      </c>
      <c r="E1072" s="2" t="s">
        <v>15441</v>
      </c>
      <c r="F1072" s="2" t="s">
        <v>15446</v>
      </c>
      <c r="G1072" s="2" t="s">
        <v>15456</v>
      </c>
      <c r="H1072" s="2" t="s">
        <v>15444</v>
      </c>
    </row>
    <row r="1073">
      <c r="A1073" s="2">
        <v>1071.0</v>
      </c>
      <c r="B1073" s="5" t="s">
        <v>1631</v>
      </c>
      <c r="C1073" s="2" t="s">
        <v>1632</v>
      </c>
      <c r="D1073" s="5" t="s">
        <v>1631</v>
      </c>
      <c r="E1073" s="2" t="s">
        <v>15445</v>
      </c>
      <c r="F1073" s="2" t="s">
        <v>15442</v>
      </c>
      <c r="G1073" s="2" t="s">
        <v>15443</v>
      </c>
      <c r="H1073" s="2" t="s">
        <v>15444</v>
      </c>
    </row>
    <row r="1074">
      <c r="A1074" s="2">
        <v>1072.0</v>
      </c>
      <c r="B1074" s="5" t="s">
        <v>10367</v>
      </c>
      <c r="C1074" s="2" t="s">
        <v>10368</v>
      </c>
      <c r="D1074" s="5" t="s">
        <v>10367</v>
      </c>
      <c r="E1074" s="2" t="s">
        <v>15441</v>
      </c>
      <c r="F1074" s="2" t="s">
        <v>15442</v>
      </c>
      <c r="G1074" s="2" t="s">
        <v>15443</v>
      </c>
      <c r="H1074" s="2" t="s">
        <v>15444</v>
      </c>
    </row>
    <row r="1075">
      <c r="A1075" s="2">
        <v>1073.0</v>
      </c>
      <c r="B1075" s="5" t="s">
        <v>10369</v>
      </c>
      <c r="C1075" s="2" t="s">
        <v>10370</v>
      </c>
      <c r="D1075" s="5" t="s">
        <v>10369</v>
      </c>
      <c r="E1075" s="2" t="s">
        <v>15441</v>
      </c>
      <c r="F1075" s="2" t="s">
        <v>15446</v>
      </c>
      <c r="G1075" s="2" t="s">
        <v>15456</v>
      </c>
      <c r="H1075" s="2" t="s">
        <v>15444</v>
      </c>
    </row>
    <row r="1076">
      <c r="A1076" s="2">
        <v>1074.0</v>
      </c>
      <c r="B1076" s="5" t="s">
        <v>10371</v>
      </c>
      <c r="C1076" s="2" t="s">
        <v>10372</v>
      </c>
      <c r="D1076" s="5" t="s">
        <v>10371</v>
      </c>
      <c r="E1076" s="2" t="s">
        <v>15441</v>
      </c>
      <c r="F1076" s="2" t="s">
        <v>15442</v>
      </c>
      <c r="G1076" s="2" t="s">
        <v>15456</v>
      </c>
      <c r="H1076" s="2" t="s">
        <v>15444</v>
      </c>
    </row>
    <row r="1077">
      <c r="A1077" s="2">
        <v>1075.0</v>
      </c>
      <c r="B1077" s="5" t="s">
        <v>1634</v>
      </c>
      <c r="C1077" s="2" t="s">
        <v>1635</v>
      </c>
      <c r="D1077" s="5" t="s">
        <v>1634</v>
      </c>
      <c r="E1077" s="2" t="s">
        <v>15445</v>
      </c>
      <c r="F1077" s="2" t="s">
        <v>15446</v>
      </c>
      <c r="G1077" s="2" t="s">
        <v>15456</v>
      </c>
      <c r="H1077" s="2" t="s">
        <v>15444</v>
      </c>
    </row>
    <row r="1078">
      <c r="A1078" s="2">
        <v>1076.0</v>
      </c>
      <c r="B1078" s="5" t="s">
        <v>10373</v>
      </c>
      <c r="C1078" s="2" t="s">
        <v>10374</v>
      </c>
      <c r="D1078" s="5" t="s">
        <v>10373</v>
      </c>
      <c r="E1078" s="2" t="s">
        <v>15441</v>
      </c>
      <c r="F1078" s="2" t="s">
        <v>15442</v>
      </c>
      <c r="G1078" s="2" t="s">
        <v>15456</v>
      </c>
      <c r="H1078" s="2" t="s">
        <v>15444</v>
      </c>
    </row>
    <row r="1079">
      <c r="A1079" s="2">
        <v>1077.0</v>
      </c>
      <c r="B1079" s="5" t="s">
        <v>1637</v>
      </c>
      <c r="C1079" s="2" t="s">
        <v>1638</v>
      </c>
      <c r="D1079" s="5" t="s">
        <v>1637</v>
      </c>
      <c r="E1079" s="2" t="s">
        <v>15445</v>
      </c>
      <c r="F1079" s="2" t="s">
        <v>15446</v>
      </c>
      <c r="G1079" s="2" t="s">
        <v>15456</v>
      </c>
      <c r="H1079" s="2" t="s">
        <v>15444</v>
      </c>
    </row>
    <row r="1080">
      <c r="A1080" s="2">
        <v>1078.0</v>
      </c>
      <c r="B1080" s="5" t="s">
        <v>10375</v>
      </c>
      <c r="C1080" s="2" t="s">
        <v>10376</v>
      </c>
      <c r="D1080" s="5" t="s">
        <v>10375</v>
      </c>
      <c r="E1080" s="2" t="s">
        <v>15441</v>
      </c>
      <c r="F1080" s="2" t="s">
        <v>15442</v>
      </c>
      <c r="G1080" s="2" t="s">
        <v>15443</v>
      </c>
      <c r="H1080" s="2" t="s">
        <v>15444</v>
      </c>
    </row>
    <row r="1081">
      <c r="A1081" s="2">
        <v>1079.0</v>
      </c>
      <c r="B1081" s="5" t="s">
        <v>1640</v>
      </c>
      <c r="C1081" s="2" t="s">
        <v>1641</v>
      </c>
      <c r="D1081" s="5" t="s">
        <v>1640</v>
      </c>
      <c r="E1081" s="2" t="s">
        <v>15445</v>
      </c>
      <c r="F1081" s="2" t="s">
        <v>15442</v>
      </c>
      <c r="G1081" s="2" t="s">
        <v>15443</v>
      </c>
      <c r="H1081" s="2" t="s">
        <v>15444</v>
      </c>
    </row>
    <row r="1082">
      <c r="A1082" s="2">
        <v>1080.0</v>
      </c>
      <c r="B1082" s="5" t="s">
        <v>10377</v>
      </c>
      <c r="C1082" s="2" t="s">
        <v>10378</v>
      </c>
      <c r="D1082" s="5" t="s">
        <v>10377</v>
      </c>
      <c r="E1082" s="2" t="s">
        <v>15441</v>
      </c>
      <c r="F1082" s="2" t="s">
        <v>15442</v>
      </c>
      <c r="G1082" s="2" t="s">
        <v>15456</v>
      </c>
      <c r="H1082" s="2" t="s">
        <v>15444</v>
      </c>
    </row>
    <row r="1083">
      <c r="A1083" s="2">
        <v>1081.0</v>
      </c>
      <c r="B1083" s="5" t="s">
        <v>10379</v>
      </c>
      <c r="C1083" s="2" t="s">
        <v>10380</v>
      </c>
      <c r="D1083" s="5" t="s">
        <v>10379</v>
      </c>
      <c r="E1083" s="2" t="s">
        <v>15441</v>
      </c>
      <c r="F1083" s="2" t="s">
        <v>15446</v>
      </c>
      <c r="G1083" s="2" t="s">
        <v>15456</v>
      </c>
      <c r="H1083" s="2" t="s">
        <v>15444</v>
      </c>
    </row>
    <row r="1084">
      <c r="A1084" s="2">
        <v>1082.0</v>
      </c>
      <c r="B1084" s="5" t="s">
        <v>15478</v>
      </c>
      <c r="C1084" s="2" t="s">
        <v>15479</v>
      </c>
      <c r="D1084" s="5" t="s">
        <v>15478</v>
      </c>
      <c r="E1084" s="2" t="s">
        <v>15445</v>
      </c>
      <c r="F1084" s="2" t="s">
        <v>15446</v>
      </c>
      <c r="G1084" s="2" t="s">
        <v>15456</v>
      </c>
      <c r="H1084" s="2" t="s">
        <v>15457</v>
      </c>
    </row>
    <row r="1085">
      <c r="A1085" s="2">
        <v>1083.0</v>
      </c>
      <c r="B1085" s="5" t="s">
        <v>1643</v>
      </c>
      <c r="C1085" s="2" t="s">
        <v>1644</v>
      </c>
      <c r="D1085" s="5" t="s">
        <v>1643</v>
      </c>
      <c r="E1085" s="2" t="s">
        <v>15445</v>
      </c>
      <c r="F1085" s="2" t="s">
        <v>15442</v>
      </c>
      <c r="G1085" s="2" t="s">
        <v>15443</v>
      </c>
      <c r="H1085" s="2" t="s">
        <v>15444</v>
      </c>
    </row>
    <row r="1086">
      <c r="A1086" s="2">
        <v>1084.0</v>
      </c>
      <c r="B1086" s="5" t="s">
        <v>1646</v>
      </c>
      <c r="C1086" s="2" t="s">
        <v>1647</v>
      </c>
      <c r="D1086" s="5" t="s">
        <v>1646</v>
      </c>
      <c r="E1086" s="2" t="s">
        <v>15445</v>
      </c>
      <c r="F1086" s="2" t="s">
        <v>15442</v>
      </c>
      <c r="G1086" s="2" t="s">
        <v>15443</v>
      </c>
      <c r="H1086" s="2" t="s">
        <v>15444</v>
      </c>
    </row>
    <row r="1087">
      <c r="A1087" s="2">
        <v>1085.0</v>
      </c>
      <c r="B1087" s="5" t="s">
        <v>1649</v>
      </c>
      <c r="C1087" s="2" t="s">
        <v>1650</v>
      </c>
      <c r="D1087" s="5" t="s">
        <v>1649</v>
      </c>
      <c r="E1087" s="2" t="s">
        <v>15445</v>
      </c>
      <c r="F1087" s="2" t="s">
        <v>15442</v>
      </c>
      <c r="G1087" s="2" t="s">
        <v>15443</v>
      </c>
      <c r="H1087" s="2" t="s">
        <v>15444</v>
      </c>
    </row>
    <row r="1088">
      <c r="A1088" s="2">
        <v>1086.0</v>
      </c>
      <c r="B1088" s="5" t="s">
        <v>10381</v>
      </c>
      <c r="C1088" s="2" t="s">
        <v>10382</v>
      </c>
      <c r="D1088" s="5" t="s">
        <v>10381</v>
      </c>
      <c r="E1088" s="2" t="s">
        <v>15441</v>
      </c>
      <c r="F1088" s="2" t="s">
        <v>15446</v>
      </c>
      <c r="G1088" s="2" t="s">
        <v>15456</v>
      </c>
      <c r="H1088" s="2" t="s">
        <v>15444</v>
      </c>
    </row>
    <row r="1089">
      <c r="A1089" s="2">
        <v>1087.0</v>
      </c>
      <c r="B1089" s="5" t="s">
        <v>10383</v>
      </c>
      <c r="C1089" s="2" t="s">
        <v>10384</v>
      </c>
      <c r="D1089" s="5" t="s">
        <v>10383</v>
      </c>
      <c r="E1089" s="2" t="s">
        <v>15441</v>
      </c>
      <c r="F1089" s="2" t="s">
        <v>15446</v>
      </c>
      <c r="G1089" s="2" t="s">
        <v>15456</v>
      </c>
      <c r="H1089" s="2" t="s">
        <v>15444</v>
      </c>
    </row>
    <row r="1090">
      <c r="A1090" s="2">
        <v>1088.0</v>
      </c>
      <c r="B1090" s="5" t="s">
        <v>1652</v>
      </c>
      <c r="C1090" s="2" t="s">
        <v>1653</v>
      </c>
      <c r="D1090" s="5" t="s">
        <v>1652</v>
      </c>
      <c r="E1090" s="2" t="s">
        <v>15445</v>
      </c>
      <c r="F1090" s="2" t="s">
        <v>15446</v>
      </c>
      <c r="G1090" s="2" t="s">
        <v>15443</v>
      </c>
      <c r="H1090" s="2" t="s">
        <v>15444</v>
      </c>
    </row>
    <row r="1091">
      <c r="A1091" s="2">
        <v>1089.0</v>
      </c>
      <c r="B1091" s="5" t="s">
        <v>1655</v>
      </c>
      <c r="C1091" s="2" t="s">
        <v>1656</v>
      </c>
      <c r="D1091" s="5" t="s">
        <v>1655</v>
      </c>
      <c r="E1091" s="2" t="s">
        <v>15445</v>
      </c>
      <c r="F1091" s="2" t="s">
        <v>15446</v>
      </c>
      <c r="G1091" s="2" t="s">
        <v>15443</v>
      </c>
      <c r="H1091" s="2" t="s">
        <v>15455</v>
      </c>
    </row>
    <row r="1092">
      <c r="A1092" s="2">
        <v>1090.0</v>
      </c>
      <c r="B1092" s="5" t="s">
        <v>10385</v>
      </c>
      <c r="C1092" s="2" t="s">
        <v>10386</v>
      </c>
      <c r="D1092" s="5" t="s">
        <v>10385</v>
      </c>
      <c r="E1092" s="2" t="s">
        <v>15441</v>
      </c>
      <c r="F1092" s="2" t="s">
        <v>15446</v>
      </c>
      <c r="G1092" s="2" t="s">
        <v>15456</v>
      </c>
      <c r="H1092" s="2" t="s">
        <v>15444</v>
      </c>
    </row>
    <row r="1093">
      <c r="A1093" s="2">
        <v>1091.0</v>
      </c>
      <c r="B1093" s="5" t="s">
        <v>1658</v>
      </c>
      <c r="C1093" s="2" t="s">
        <v>1659</v>
      </c>
      <c r="D1093" s="5" t="s">
        <v>1658</v>
      </c>
      <c r="E1093" s="2" t="s">
        <v>15445</v>
      </c>
      <c r="F1093" s="2" t="s">
        <v>15442</v>
      </c>
      <c r="G1093" s="2" t="s">
        <v>15456</v>
      </c>
      <c r="H1093" s="2" t="s">
        <v>15444</v>
      </c>
    </row>
    <row r="1094">
      <c r="A1094" s="2">
        <v>1092.0</v>
      </c>
      <c r="B1094" s="5" t="s">
        <v>10387</v>
      </c>
      <c r="C1094" s="2" t="s">
        <v>10388</v>
      </c>
      <c r="D1094" s="5" t="s">
        <v>10387</v>
      </c>
      <c r="E1094" s="2" t="s">
        <v>15441</v>
      </c>
      <c r="F1094" s="2" t="s">
        <v>15446</v>
      </c>
      <c r="G1094" s="2" t="s">
        <v>15456</v>
      </c>
      <c r="H1094" s="2" t="s">
        <v>15444</v>
      </c>
    </row>
    <row r="1095">
      <c r="A1095" s="2">
        <v>1093.0</v>
      </c>
      <c r="B1095" s="5" t="s">
        <v>1661</v>
      </c>
      <c r="C1095" s="2" t="s">
        <v>1662</v>
      </c>
      <c r="D1095" s="5" t="s">
        <v>1661</v>
      </c>
      <c r="E1095" s="2" t="s">
        <v>15445</v>
      </c>
      <c r="F1095" s="2" t="s">
        <v>15442</v>
      </c>
      <c r="G1095" s="2" t="s">
        <v>15456</v>
      </c>
      <c r="H1095" s="2" t="s">
        <v>15444</v>
      </c>
    </row>
    <row r="1096">
      <c r="A1096" s="2">
        <v>1094.0</v>
      </c>
      <c r="B1096" s="5" t="s">
        <v>1664</v>
      </c>
      <c r="C1096" s="2" t="s">
        <v>1665</v>
      </c>
      <c r="D1096" s="5" t="s">
        <v>1664</v>
      </c>
      <c r="E1096" s="2" t="s">
        <v>15445</v>
      </c>
      <c r="F1096" s="2" t="s">
        <v>15442</v>
      </c>
      <c r="G1096" s="2" t="s">
        <v>15443</v>
      </c>
      <c r="H1096" s="2" t="s">
        <v>15455</v>
      </c>
    </row>
    <row r="1097">
      <c r="A1097" s="2">
        <v>1095.0</v>
      </c>
      <c r="B1097" s="5" t="s">
        <v>10389</v>
      </c>
      <c r="C1097" s="2" t="s">
        <v>10390</v>
      </c>
      <c r="D1097" s="5" t="s">
        <v>10389</v>
      </c>
      <c r="E1097" s="2" t="s">
        <v>15441</v>
      </c>
      <c r="F1097" s="2" t="s">
        <v>15446</v>
      </c>
      <c r="G1097" s="2" t="s">
        <v>15456</v>
      </c>
      <c r="H1097" s="2" t="s">
        <v>15444</v>
      </c>
    </row>
    <row r="1098">
      <c r="A1098" s="2">
        <v>1096.0</v>
      </c>
      <c r="B1098" s="5" t="s">
        <v>1667</v>
      </c>
      <c r="C1098" s="2" t="s">
        <v>1668</v>
      </c>
      <c r="D1098" s="5" t="s">
        <v>1667</v>
      </c>
      <c r="E1098" s="2" t="s">
        <v>15445</v>
      </c>
      <c r="F1098" s="2" t="s">
        <v>15442</v>
      </c>
      <c r="G1098" s="2" t="s">
        <v>15443</v>
      </c>
      <c r="H1098" s="2" t="s">
        <v>15444</v>
      </c>
    </row>
    <row r="1099">
      <c r="A1099" s="2">
        <v>1097.0</v>
      </c>
      <c r="B1099" s="5" t="s">
        <v>10391</v>
      </c>
      <c r="C1099" s="2" t="s">
        <v>10392</v>
      </c>
      <c r="D1099" s="5" t="s">
        <v>10391</v>
      </c>
      <c r="E1099" s="2" t="s">
        <v>15441</v>
      </c>
      <c r="F1099" s="2" t="s">
        <v>15442</v>
      </c>
      <c r="G1099" s="2" t="s">
        <v>15456</v>
      </c>
      <c r="H1099" s="2" t="s">
        <v>15455</v>
      </c>
    </row>
    <row r="1100">
      <c r="A1100" s="2">
        <v>1098.0</v>
      </c>
      <c r="B1100" s="5" t="s">
        <v>10393</v>
      </c>
      <c r="C1100" s="2" t="s">
        <v>10394</v>
      </c>
      <c r="D1100" s="5" t="s">
        <v>10393</v>
      </c>
      <c r="E1100" s="2" t="s">
        <v>15441</v>
      </c>
      <c r="F1100" s="2" t="s">
        <v>15442</v>
      </c>
      <c r="G1100" s="2" t="s">
        <v>15443</v>
      </c>
      <c r="H1100" s="2" t="s">
        <v>15444</v>
      </c>
    </row>
    <row r="1101">
      <c r="A1101" s="2">
        <v>1099.0</v>
      </c>
      <c r="B1101" s="5" t="s">
        <v>1670</v>
      </c>
      <c r="C1101" s="2" t="s">
        <v>1671</v>
      </c>
      <c r="D1101" s="5" t="s">
        <v>1670</v>
      </c>
      <c r="E1101" s="2" t="s">
        <v>15445</v>
      </c>
      <c r="F1101" s="2" t="s">
        <v>15446</v>
      </c>
      <c r="G1101" s="2" t="s">
        <v>15456</v>
      </c>
      <c r="H1101" s="2" t="s">
        <v>15444</v>
      </c>
    </row>
    <row r="1102">
      <c r="A1102" s="2">
        <v>1100.0</v>
      </c>
      <c r="B1102" s="5" t="s">
        <v>10395</v>
      </c>
      <c r="C1102" s="2" t="s">
        <v>10396</v>
      </c>
      <c r="D1102" s="5" t="s">
        <v>10395</v>
      </c>
      <c r="E1102" s="2" t="s">
        <v>15441</v>
      </c>
      <c r="F1102" s="2" t="s">
        <v>15442</v>
      </c>
      <c r="G1102" s="2" t="s">
        <v>15443</v>
      </c>
      <c r="H1102" s="2" t="s">
        <v>15444</v>
      </c>
    </row>
    <row r="1103">
      <c r="A1103" s="2">
        <v>1101.0</v>
      </c>
      <c r="B1103" s="5" t="s">
        <v>1673</v>
      </c>
      <c r="C1103" s="2" t="s">
        <v>1674</v>
      </c>
      <c r="D1103" s="5" t="s">
        <v>1673</v>
      </c>
      <c r="E1103" s="2" t="s">
        <v>15445</v>
      </c>
      <c r="F1103" s="2" t="s">
        <v>15446</v>
      </c>
      <c r="G1103" s="2" t="s">
        <v>15443</v>
      </c>
      <c r="H1103" s="2" t="s">
        <v>15444</v>
      </c>
    </row>
    <row r="1104">
      <c r="A1104" s="2">
        <v>1102.0</v>
      </c>
      <c r="B1104" s="5" t="s">
        <v>1676</v>
      </c>
      <c r="C1104" s="2" t="s">
        <v>1677</v>
      </c>
      <c r="D1104" s="5" t="s">
        <v>1676</v>
      </c>
      <c r="E1104" s="2" t="s">
        <v>15445</v>
      </c>
      <c r="F1104" s="2" t="s">
        <v>15442</v>
      </c>
      <c r="G1104" s="2" t="s">
        <v>15443</v>
      </c>
      <c r="H1104" s="2" t="s">
        <v>15444</v>
      </c>
    </row>
    <row r="1105">
      <c r="A1105" s="2">
        <v>1103.0</v>
      </c>
      <c r="B1105" s="5" t="s">
        <v>10397</v>
      </c>
      <c r="C1105" s="2" t="s">
        <v>10398</v>
      </c>
      <c r="D1105" s="5" t="s">
        <v>10397</v>
      </c>
      <c r="E1105" s="2" t="s">
        <v>15441</v>
      </c>
      <c r="F1105" s="2" t="s">
        <v>15442</v>
      </c>
      <c r="G1105" s="2" t="s">
        <v>15443</v>
      </c>
      <c r="H1105" s="2" t="s">
        <v>15444</v>
      </c>
    </row>
    <row r="1106">
      <c r="A1106" s="2">
        <v>1104.0</v>
      </c>
      <c r="B1106" s="5" t="s">
        <v>10399</v>
      </c>
      <c r="C1106" s="2" t="s">
        <v>10400</v>
      </c>
      <c r="D1106" s="5" t="s">
        <v>10399</v>
      </c>
      <c r="E1106" s="2" t="s">
        <v>15441</v>
      </c>
      <c r="F1106" s="2" t="s">
        <v>15446</v>
      </c>
      <c r="G1106" s="2" t="s">
        <v>15456</v>
      </c>
      <c r="H1106" s="2" t="s">
        <v>15444</v>
      </c>
    </row>
    <row r="1107">
      <c r="A1107" s="2">
        <v>1105.0</v>
      </c>
      <c r="B1107" s="5" t="s">
        <v>1679</v>
      </c>
      <c r="C1107" s="2" t="s">
        <v>1680</v>
      </c>
      <c r="D1107" s="5" t="s">
        <v>1679</v>
      </c>
      <c r="E1107" s="2" t="s">
        <v>15445</v>
      </c>
      <c r="F1107" s="2" t="s">
        <v>15446</v>
      </c>
      <c r="G1107" s="2" t="s">
        <v>15443</v>
      </c>
      <c r="H1107" s="2" t="s">
        <v>15455</v>
      </c>
    </row>
    <row r="1108">
      <c r="A1108" s="2">
        <v>1106.0</v>
      </c>
      <c r="B1108" s="5" t="s">
        <v>1682</v>
      </c>
      <c r="C1108" s="2" t="s">
        <v>1683</v>
      </c>
      <c r="D1108" s="5" t="s">
        <v>1682</v>
      </c>
      <c r="E1108" s="2" t="s">
        <v>15445</v>
      </c>
      <c r="F1108" s="2" t="s">
        <v>15446</v>
      </c>
      <c r="G1108" s="2" t="s">
        <v>15443</v>
      </c>
      <c r="H1108" s="2" t="s">
        <v>15444</v>
      </c>
    </row>
    <row r="1109">
      <c r="A1109" s="2">
        <v>1107.0</v>
      </c>
      <c r="B1109" s="5" t="s">
        <v>10401</v>
      </c>
      <c r="C1109" s="2" t="s">
        <v>10402</v>
      </c>
      <c r="D1109" s="5" t="s">
        <v>10401</v>
      </c>
      <c r="E1109" s="2" t="s">
        <v>15441</v>
      </c>
      <c r="F1109" s="2" t="s">
        <v>15446</v>
      </c>
      <c r="G1109" s="2" t="s">
        <v>15456</v>
      </c>
      <c r="H1109" s="2" t="s">
        <v>15444</v>
      </c>
    </row>
    <row r="1110">
      <c r="A1110" s="2">
        <v>1108.0</v>
      </c>
      <c r="B1110" s="5" t="s">
        <v>1685</v>
      </c>
      <c r="C1110" s="2" t="s">
        <v>1686</v>
      </c>
      <c r="D1110" s="5" t="s">
        <v>1685</v>
      </c>
      <c r="E1110" s="2" t="s">
        <v>15445</v>
      </c>
      <c r="F1110" s="2" t="s">
        <v>15442</v>
      </c>
      <c r="G1110" s="2" t="s">
        <v>15456</v>
      </c>
      <c r="H1110" s="2" t="s">
        <v>15457</v>
      </c>
    </row>
    <row r="1111">
      <c r="A1111" s="2">
        <v>1109.0</v>
      </c>
      <c r="B1111" s="5" t="s">
        <v>1688</v>
      </c>
      <c r="C1111" s="2" t="s">
        <v>1689</v>
      </c>
      <c r="D1111" s="5" t="s">
        <v>1688</v>
      </c>
      <c r="E1111" s="2" t="s">
        <v>15445</v>
      </c>
      <c r="F1111" s="2" t="s">
        <v>15442</v>
      </c>
      <c r="G1111" s="2" t="s">
        <v>15443</v>
      </c>
      <c r="H1111" s="2" t="s">
        <v>15444</v>
      </c>
    </row>
    <row r="1112">
      <c r="A1112" s="2">
        <v>1110.0</v>
      </c>
      <c r="B1112" s="5" t="s">
        <v>1691</v>
      </c>
      <c r="C1112" s="2" t="s">
        <v>1692</v>
      </c>
      <c r="D1112" s="5" t="s">
        <v>1691</v>
      </c>
      <c r="E1112" s="2" t="s">
        <v>15445</v>
      </c>
      <c r="F1112" s="2" t="s">
        <v>15446</v>
      </c>
      <c r="G1112" s="2" t="s">
        <v>15443</v>
      </c>
      <c r="H1112" s="2" t="s">
        <v>15444</v>
      </c>
    </row>
    <row r="1113">
      <c r="A1113" s="2">
        <v>1111.0</v>
      </c>
      <c r="B1113" s="5" t="s">
        <v>10403</v>
      </c>
      <c r="C1113" s="2" t="s">
        <v>10404</v>
      </c>
      <c r="D1113" s="5" t="s">
        <v>10403</v>
      </c>
      <c r="E1113" s="2" t="s">
        <v>15441</v>
      </c>
      <c r="F1113" s="2" t="s">
        <v>15446</v>
      </c>
      <c r="G1113" s="2" t="s">
        <v>15443</v>
      </c>
      <c r="H1113" s="2" t="s">
        <v>15444</v>
      </c>
    </row>
    <row r="1114">
      <c r="A1114" s="2">
        <v>1112.0</v>
      </c>
      <c r="B1114" s="5" t="s">
        <v>10405</v>
      </c>
      <c r="C1114" s="2" t="s">
        <v>10406</v>
      </c>
      <c r="D1114" s="5" t="s">
        <v>10405</v>
      </c>
      <c r="E1114" s="2" t="s">
        <v>15441</v>
      </c>
      <c r="F1114" s="2" t="s">
        <v>15442</v>
      </c>
      <c r="G1114" s="2" t="s">
        <v>15456</v>
      </c>
      <c r="H1114" s="2" t="s">
        <v>15444</v>
      </c>
    </row>
    <row r="1115">
      <c r="A1115" s="2">
        <v>1113.0</v>
      </c>
      <c r="B1115" s="5" t="s">
        <v>1694</v>
      </c>
      <c r="C1115" s="2" t="s">
        <v>1695</v>
      </c>
      <c r="D1115" s="5" t="s">
        <v>1694</v>
      </c>
      <c r="E1115" s="2" t="s">
        <v>15445</v>
      </c>
      <c r="F1115" s="2" t="s">
        <v>15442</v>
      </c>
      <c r="G1115" s="2" t="s">
        <v>15443</v>
      </c>
      <c r="H1115" s="2" t="s">
        <v>15444</v>
      </c>
    </row>
    <row r="1116">
      <c r="A1116" s="2">
        <v>1114.0</v>
      </c>
      <c r="B1116" s="5" t="s">
        <v>1697</v>
      </c>
      <c r="C1116" s="2" t="s">
        <v>1698</v>
      </c>
      <c r="D1116" s="5" t="s">
        <v>1697</v>
      </c>
      <c r="E1116" s="2" t="s">
        <v>15445</v>
      </c>
      <c r="F1116" s="2" t="s">
        <v>15442</v>
      </c>
      <c r="G1116" s="2" t="s">
        <v>15443</v>
      </c>
      <c r="H1116" s="2" t="s">
        <v>15444</v>
      </c>
    </row>
    <row r="1117">
      <c r="A1117" s="2">
        <v>1115.0</v>
      </c>
      <c r="B1117" s="5" t="s">
        <v>10407</v>
      </c>
      <c r="C1117" s="2" t="s">
        <v>10408</v>
      </c>
      <c r="D1117" s="5" t="s">
        <v>10407</v>
      </c>
      <c r="E1117" s="2" t="s">
        <v>15441</v>
      </c>
      <c r="F1117" s="2" t="s">
        <v>15442</v>
      </c>
      <c r="G1117" s="2" t="s">
        <v>15443</v>
      </c>
      <c r="H1117" s="2" t="s">
        <v>15444</v>
      </c>
    </row>
    <row r="1118">
      <c r="A1118" s="2">
        <v>1116.0</v>
      </c>
      <c r="B1118" s="5" t="s">
        <v>1700</v>
      </c>
      <c r="C1118" s="2" t="s">
        <v>1701</v>
      </c>
      <c r="D1118" s="5" t="s">
        <v>1700</v>
      </c>
      <c r="E1118" s="2" t="s">
        <v>15445</v>
      </c>
      <c r="F1118" s="2" t="s">
        <v>15446</v>
      </c>
      <c r="G1118" s="2" t="s">
        <v>15456</v>
      </c>
      <c r="H1118" s="2" t="s">
        <v>15444</v>
      </c>
    </row>
    <row r="1119">
      <c r="A1119" s="2">
        <v>1117.0</v>
      </c>
      <c r="B1119" s="5" t="s">
        <v>1703</v>
      </c>
      <c r="C1119" s="2" t="s">
        <v>1704</v>
      </c>
      <c r="D1119" s="5" t="s">
        <v>1703</v>
      </c>
      <c r="E1119" s="2" t="s">
        <v>15445</v>
      </c>
      <c r="F1119" s="2" t="s">
        <v>15446</v>
      </c>
      <c r="G1119" s="2" t="s">
        <v>15456</v>
      </c>
      <c r="H1119" s="2" t="s">
        <v>15444</v>
      </c>
    </row>
    <row r="1120">
      <c r="A1120" s="2">
        <v>1118.0</v>
      </c>
      <c r="B1120" s="5" t="s">
        <v>1706</v>
      </c>
      <c r="C1120" s="2" t="s">
        <v>1707</v>
      </c>
      <c r="D1120" s="5" t="s">
        <v>1706</v>
      </c>
      <c r="E1120" s="2" t="s">
        <v>15445</v>
      </c>
      <c r="F1120" s="2" t="s">
        <v>15442</v>
      </c>
      <c r="G1120" s="2" t="s">
        <v>15443</v>
      </c>
      <c r="H1120" s="2" t="s">
        <v>15444</v>
      </c>
    </row>
    <row r="1121">
      <c r="A1121" s="2">
        <v>1119.0</v>
      </c>
      <c r="B1121" s="5" t="s">
        <v>10409</v>
      </c>
      <c r="C1121" s="2" t="s">
        <v>10410</v>
      </c>
      <c r="D1121" s="5" t="s">
        <v>10409</v>
      </c>
      <c r="E1121" s="2" t="s">
        <v>15441</v>
      </c>
      <c r="F1121" s="2" t="s">
        <v>15446</v>
      </c>
      <c r="G1121" s="2" t="s">
        <v>15443</v>
      </c>
      <c r="H1121" s="2" t="s">
        <v>15444</v>
      </c>
    </row>
    <row r="1122">
      <c r="A1122" s="2">
        <v>1120.0</v>
      </c>
      <c r="B1122" s="5" t="s">
        <v>10411</v>
      </c>
      <c r="C1122" s="2" t="s">
        <v>10412</v>
      </c>
      <c r="D1122" s="5" t="s">
        <v>10411</v>
      </c>
      <c r="E1122" s="2" t="s">
        <v>15441</v>
      </c>
      <c r="F1122" s="2" t="s">
        <v>15446</v>
      </c>
      <c r="G1122" s="2" t="s">
        <v>15456</v>
      </c>
      <c r="H1122" s="2" t="s">
        <v>15444</v>
      </c>
    </row>
    <row r="1123">
      <c r="A1123" s="2">
        <v>1121.0</v>
      </c>
      <c r="B1123" s="5" t="s">
        <v>10413</v>
      </c>
      <c r="C1123" s="2" t="s">
        <v>10414</v>
      </c>
      <c r="D1123" s="5" t="s">
        <v>10413</v>
      </c>
      <c r="E1123" s="2" t="s">
        <v>15441</v>
      </c>
      <c r="F1123" s="2" t="s">
        <v>15446</v>
      </c>
      <c r="G1123" s="2" t="s">
        <v>15456</v>
      </c>
      <c r="H1123" s="2" t="s">
        <v>15444</v>
      </c>
    </row>
    <row r="1124">
      <c r="A1124" s="2">
        <v>1122.0</v>
      </c>
      <c r="B1124" s="5" t="s">
        <v>1709</v>
      </c>
      <c r="C1124" s="2" t="s">
        <v>1710</v>
      </c>
      <c r="D1124" s="5" t="s">
        <v>1709</v>
      </c>
      <c r="E1124" s="2" t="s">
        <v>15445</v>
      </c>
      <c r="F1124" s="2" t="s">
        <v>15446</v>
      </c>
      <c r="G1124" s="2" t="s">
        <v>15456</v>
      </c>
      <c r="H1124" s="2" t="s">
        <v>15444</v>
      </c>
    </row>
    <row r="1125">
      <c r="A1125" s="2">
        <v>1123.0</v>
      </c>
      <c r="B1125" s="5" t="s">
        <v>10415</v>
      </c>
      <c r="C1125" s="2" t="s">
        <v>10416</v>
      </c>
      <c r="D1125" s="5" t="s">
        <v>10415</v>
      </c>
      <c r="E1125" s="2" t="s">
        <v>15441</v>
      </c>
      <c r="F1125" s="2" t="s">
        <v>15442</v>
      </c>
      <c r="G1125" s="2" t="s">
        <v>15443</v>
      </c>
      <c r="H1125" s="2" t="s">
        <v>15444</v>
      </c>
    </row>
    <row r="1126">
      <c r="A1126" s="2">
        <v>1124.0</v>
      </c>
      <c r="B1126" s="5" t="s">
        <v>1712</v>
      </c>
      <c r="C1126" s="2" t="s">
        <v>1713</v>
      </c>
      <c r="D1126" s="5" t="s">
        <v>1712</v>
      </c>
      <c r="E1126" s="2" t="s">
        <v>15445</v>
      </c>
      <c r="F1126" s="2" t="s">
        <v>15446</v>
      </c>
      <c r="G1126" s="2" t="s">
        <v>15456</v>
      </c>
      <c r="H1126" s="2" t="s">
        <v>15444</v>
      </c>
    </row>
    <row r="1127">
      <c r="A1127" s="2">
        <v>1125.0</v>
      </c>
      <c r="B1127" s="5" t="s">
        <v>10417</v>
      </c>
      <c r="C1127" s="2" t="s">
        <v>10418</v>
      </c>
      <c r="D1127" s="5" t="s">
        <v>10417</v>
      </c>
      <c r="E1127" s="2" t="s">
        <v>15441</v>
      </c>
      <c r="F1127" s="2" t="s">
        <v>15446</v>
      </c>
      <c r="G1127" s="2" t="s">
        <v>15456</v>
      </c>
      <c r="H1127" s="2" t="s">
        <v>15444</v>
      </c>
    </row>
    <row r="1128">
      <c r="A1128" s="2">
        <v>1126.0</v>
      </c>
      <c r="B1128" s="5" t="s">
        <v>1715</v>
      </c>
      <c r="C1128" s="2" t="s">
        <v>1716</v>
      </c>
      <c r="D1128" s="5" t="s">
        <v>1715</v>
      </c>
      <c r="E1128" s="2" t="s">
        <v>15445</v>
      </c>
      <c r="F1128" s="2" t="s">
        <v>15442</v>
      </c>
      <c r="G1128" s="2" t="s">
        <v>15443</v>
      </c>
      <c r="H1128" s="2" t="s">
        <v>15444</v>
      </c>
    </row>
    <row r="1129">
      <c r="A1129" s="2">
        <v>1127.0</v>
      </c>
      <c r="B1129" s="5" t="s">
        <v>1718</v>
      </c>
      <c r="C1129" s="2" t="s">
        <v>1719</v>
      </c>
      <c r="D1129" s="5" t="s">
        <v>1718</v>
      </c>
      <c r="E1129" s="2" t="s">
        <v>15445</v>
      </c>
      <c r="F1129" s="2" t="s">
        <v>15446</v>
      </c>
      <c r="G1129" s="2" t="s">
        <v>15456</v>
      </c>
      <c r="H1129" s="2" t="s">
        <v>15444</v>
      </c>
    </row>
    <row r="1130">
      <c r="A1130" s="2">
        <v>1128.0</v>
      </c>
      <c r="B1130" s="5" t="s">
        <v>1721</v>
      </c>
      <c r="C1130" s="2" t="s">
        <v>1722</v>
      </c>
      <c r="D1130" s="5" t="s">
        <v>1721</v>
      </c>
      <c r="E1130" s="2" t="s">
        <v>15445</v>
      </c>
      <c r="F1130" s="2" t="s">
        <v>15446</v>
      </c>
      <c r="G1130" s="2" t="s">
        <v>15456</v>
      </c>
      <c r="H1130" s="2" t="s">
        <v>15444</v>
      </c>
    </row>
    <row r="1131">
      <c r="A1131" s="2">
        <v>1129.0</v>
      </c>
      <c r="B1131" s="5" t="s">
        <v>1724</v>
      </c>
      <c r="C1131" s="2" t="s">
        <v>1725</v>
      </c>
      <c r="D1131" s="5" t="s">
        <v>1724</v>
      </c>
      <c r="E1131" s="2" t="s">
        <v>15445</v>
      </c>
      <c r="F1131" s="2" t="s">
        <v>15442</v>
      </c>
      <c r="G1131" s="2" t="s">
        <v>15456</v>
      </c>
      <c r="H1131" s="2" t="s">
        <v>15444</v>
      </c>
    </row>
    <row r="1132">
      <c r="A1132" s="2">
        <v>1130.0</v>
      </c>
      <c r="B1132" s="5" t="s">
        <v>10419</v>
      </c>
      <c r="C1132" s="2" t="s">
        <v>10420</v>
      </c>
      <c r="D1132" s="5" t="s">
        <v>10419</v>
      </c>
      <c r="E1132" s="2" t="s">
        <v>15441</v>
      </c>
      <c r="F1132" s="2" t="s">
        <v>15442</v>
      </c>
      <c r="G1132" s="2" t="s">
        <v>15456</v>
      </c>
      <c r="H1132" s="2" t="s">
        <v>15444</v>
      </c>
    </row>
    <row r="1133">
      <c r="A1133" s="2">
        <v>1131.0</v>
      </c>
      <c r="B1133" s="5" t="s">
        <v>10421</v>
      </c>
      <c r="C1133" s="2" t="s">
        <v>10422</v>
      </c>
      <c r="D1133" s="5" t="s">
        <v>10421</v>
      </c>
      <c r="E1133" s="2" t="s">
        <v>15441</v>
      </c>
      <c r="F1133" s="2" t="s">
        <v>15446</v>
      </c>
      <c r="G1133" s="2" t="s">
        <v>15443</v>
      </c>
      <c r="H1133" s="2" t="s">
        <v>15444</v>
      </c>
    </row>
    <row r="1134">
      <c r="A1134" s="2">
        <v>1132.0</v>
      </c>
      <c r="B1134" s="5" t="s">
        <v>1727</v>
      </c>
      <c r="C1134" s="2" t="s">
        <v>1728</v>
      </c>
      <c r="D1134" s="5" t="s">
        <v>1727</v>
      </c>
      <c r="E1134" s="2" t="s">
        <v>15445</v>
      </c>
      <c r="F1134" s="2" t="s">
        <v>15446</v>
      </c>
      <c r="G1134" s="2" t="s">
        <v>15456</v>
      </c>
      <c r="H1134" s="2" t="s">
        <v>15444</v>
      </c>
    </row>
    <row r="1135">
      <c r="A1135" s="2">
        <v>1133.0</v>
      </c>
      <c r="B1135" s="5" t="s">
        <v>10423</v>
      </c>
      <c r="C1135" s="2" t="s">
        <v>10424</v>
      </c>
      <c r="D1135" s="5" t="s">
        <v>10423</v>
      </c>
      <c r="E1135" s="2" t="s">
        <v>15441</v>
      </c>
      <c r="F1135" s="2" t="s">
        <v>15442</v>
      </c>
      <c r="G1135" s="2" t="s">
        <v>15456</v>
      </c>
      <c r="H1135" s="2" t="s">
        <v>15444</v>
      </c>
    </row>
    <row r="1136">
      <c r="A1136" s="2">
        <v>1134.0</v>
      </c>
      <c r="B1136" s="5" t="s">
        <v>1730</v>
      </c>
      <c r="C1136" s="2" t="s">
        <v>1731</v>
      </c>
      <c r="D1136" s="5" t="s">
        <v>1730</v>
      </c>
      <c r="E1136" s="2" t="s">
        <v>15445</v>
      </c>
      <c r="F1136" s="2" t="s">
        <v>15442</v>
      </c>
      <c r="G1136" s="2" t="s">
        <v>15456</v>
      </c>
      <c r="H1136" s="2" t="s">
        <v>15457</v>
      </c>
    </row>
    <row r="1137">
      <c r="A1137" s="2">
        <v>1135.0</v>
      </c>
      <c r="B1137" s="5" t="s">
        <v>1733</v>
      </c>
      <c r="C1137" s="2" t="s">
        <v>1734</v>
      </c>
      <c r="D1137" s="5" t="s">
        <v>1733</v>
      </c>
      <c r="E1137" s="2" t="s">
        <v>15445</v>
      </c>
      <c r="F1137" s="2" t="s">
        <v>15446</v>
      </c>
      <c r="G1137" s="2" t="s">
        <v>15456</v>
      </c>
      <c r="H1137" s="2" t="s">
        <v>15444</v>
      </c>
    </row>
    <row r="1138">
      <c r="A1138" s="2">
        <v>1136.0</v>
      </c>
      <c r="B1138" s="5" t="s">
        <v>10425</v>
      </c>
      <c r="C1138" s="2" t="s">
        <v>10426</v>
      </c>
      <c r="D1138" s="5" t="s">
        <v>10425</v>
      </c>
      <c r="E1138" s="2" t="s">
        <v>15441</v>
      </c>
      <c r="F1138" s="2" t="s">
        <v>15442</v>
      </c>
      <c r="G1138" s="2" t="s">
        <v>15443</v>
      </c>
      <c r="H1138" s="2" t="s">
        <v>15444</v>
      </c>
    </row>
    <row r="1139">
      <c r="A1139" s="2">
        <v>1137.0</v>
      </c>
      <c r="B1139" s="5" t="s">
        <v>10427</v>
      </c>
      <c r="C1139" s="2" t="s">
        <v>10428</v>
      </c>
      <c r="D1139" s="5" t="s">
        <v>10427</v>
      </c>
      <c r="E1139" s="2" t="s">
        <v>15441</v>
      </c>
      <c r="F1139" s="2" t="s">
        <v>15446</v>
      </c>
      <c r="G1139" s="2" t="s">
        <v>15443</v>
      </c>
      <c r="H1139" s="2" t="s">
        <v>15444</v>
      </c>
    </row>
    <row r="1140">
      <c r="A1140" s="2">
        <v>1138.0</v>
      </c>
      <c r="B1140" s="5" t="s">
        <v>1736</v>
      </c>
      <c r="C1140" s="2" t="s">
        <v>1737</v>
      </c>
      <c r="D1140" s="5" t="s">
        <v>1736</v>
      </c>
      <c r="E1140" s="2" t="s">
        <v>15445</v>
      </c>
      <c r="F1140" s="2" t="s">
        <v>15446</v>
      </c>
      <c r="G1140" s="2" t="s">
        <v>15456</v>
      </c>
      <c r="H1140" s="2" t="s">
        <v>15444</v>
      </c>
    </row>
    <row r="1141">
      <c r="A1141" s="2">
        <v>1139.0</v>
      </c>
      <c r="B1141" s="5" t="s">
        <v>10429</v>
      </c>
      <c r="C1141" s="2" t="s">
        <v>10430</v>
      </c>
      <c r="D1141" s="5" t="s">
        <v>10429</v>
      </c>
      <c r="E1141" s="2" t="s">
        <v>15441</v>
      </c>
      <c r="F1141" s="2" t="s">
        <v>15446</v>
      </c>
      <c r="G1141" s="2" t="s">
        <v>15456</v>
      </c>
      <c r="H1141" s="2" t="s">
        <v>15444</v>
      </c>
    </row>
    <row r="1142">
      <c r="A1142" s="2">
        <v>1140.0</v>
      </c>
      <c r="B1142" s="5" t="s">
        <v>10431</v>
      </c>
      <c r="C1142" s="2" t="s">
        <v>10432</v>
      </c>
      <c r="D1142" s="5" t="s">
        <v>10431</v>
      </c>
      <c r="E1142" s="2" t="s">
        <v>15441</v>
      </c>
      <c r="F1142" s="2" t="s">
        <v>15442</v>
      </c>
      <c r="G1142" s="2" t="s">
        <v>15443</v>
      </c>
      <c r="H1142" s="2" t="s">
        <v>15461</v>
      </c>
    </row>
    <row r="1143">
      <c r="A1143" s="2">
        <v>1141.0</v>
      </c>
      <c r="B1143" s="5" t="s">
        <v>10433</v>
      </c>
      <c r="C1143" s="2" t="s">
        <v>10434</v>
      </c>
      <c r="D1143" s="5" t="s">
        <v>10433</v>
      </c>
      <c r="E1143" s="2" t="s">
        <v>15441</v>
      </c>
      <c r="F1143" s="2" t="s">
        <v>15442</v>
      </c>
      <c r="G1143" s="2" t="s">
        <v>15443</v>
      </c>
      <c r="H1143" s="2" t="s">
        <v>15444</v>
      </c>
    </row>
    <row r="1144">
      <c r="A1144" s="2">
        <v>1142.0</v>
      </c>
      <c r="B1144" s="5" t="s">
        <v>1739</v>
      </c>
      <c r="C1144" s="2" t="s">
        <v>1740</v>
      </c>
      <c r="D1144" s="5" t="s">
        <v>1739</v>
      </c>
      <c r="E1144" s="2" t="s">
        <v>15445</v>
      </c>
      <c r="F1144" s="2" t="s">
        <v>15446</v>
      </c>
      <c r="G1144" s="2" t="s">
        <v>15456</v>
      </c>
      <c r="H1144" s="2" t="s">
        <v>15444</v>
      </c>
    </row>
    <row r="1145">
      <c r="A1145" s="2">
        <v>1143.0</v>
      </c>
      <c r="B1145" s="5" t="s">
        <v>1742</v>
      </c>
      <c r="C1145" s="2" t="s">
        <v>1743</v>
      </c>
      <c r="D1145" s="5" t="s">
        <v>1742</v>
      </c>
      <c r="E1145" s="2" t="s">
        <v>15445</v>
      </c>
      <c r="F1145" s="2" t="s">
        <v>15446</v>
      </c>
      <c r="G1145" s="2" t="s">
        <v>15456</v>
      </c>
      <c r="H1145" s="2" t="s">
        <v>15444</v>
      </c>
    </row>
    <row r="1146">
      <c r="A1146" s="2">
        <v>1144.0</v>
      </c>
      <c r="B1146" s="5" t="s">
        <v>1745</v>
      </c>
      <c r="C1146" s="2" t="s">
        <v>1746</v>
      </c>
      <c r="D1146" s="5" t="s">
        <v>1745</v>
      </c>
      <c r="E1146" s="2" t="s">
        <v>15445</v>
      </c>
      <c r="F1146" s="2" t="s">
        <v>15446</v>
      </c>
      <c r="G1146" s="2" t="s">
        <v>15456</v>
      </c>
      <c r="H1146" s="2" t="s">
        <v>15444</v>
      </c>
    </row>
    <row r="1147">
      <c r="A1147" s="2">
        <v>1145.0</v>
      </c>
      <c r="B1147" s="5" t="s">
        <v>10435</v>
      </c>
      <c r="C1147" s="2" t="s">
        <v>10436</v>
      </c>
      <c r="D1147" s="5" t="s">
        <v>10435</v>
      </c>
      <c r="E1147" s="2" t="s">
        <v>15441</v>
      </c>
      <c r="F1147" s="2" t="s">
        <v>15442</v>
      </c>
      <c r="G1147" s="2" t="s">
        <v>15443</v>
      </c>
      <c r="H1147" s="2" t="s">
        <v>15444</v>
      </c>
    </row>
    <row r="1148">
      <c r="A1148" s="2">
        <v>1146.0</v>
      </c>
      <c r="B1148" s="5" t="s">
        <v>10437</v>
      </c>
      <c r="C1148" s="2" t="s">
        <v>10438</v>
      </c>
      <c r="D1148" s="5" t="s">
        <v>10437</v>
      </c>
      <c r="E1148" s="2" t="s">
        <v>15441</v>
      </c>
      <c r="F1148" s="2" t="s">
        <v>15446</v>
      </c>
      <c r="G1148" s="2" t="s">
        <v>15456</v>
      </c>
      <c r="H1148" s="2" t="s">
        <v>15444</v>
      </c>
    </row>
    <row r="1149">
      <c r="A1149" s="2">
        <v>1147.0</v>
      </c>
      <c r="B1149" s="5" t="s">
        <v>1748</v>
      </c>
      <c r="C1149" s="2" t="s">
        <v>1749</v>
      </c>
      <c r="D1149" s="5" t="s">
        <v>1748</v>
      </c>
      <c r="E1149" s="2" t="s">
        <v>15445</v>
      </c>
      <c r="F1149" s="2" t="s">
        <v>15446</v>
      </c>
      <c r="G1149" s="2" t="s">
        <v>15456</v>
      </c>
      <c r="H1149" s="2" t="s">
        <v>15444</v>
      </c>
    </row>
    <row r="1150">
      <c r="A1150" s="2">
        <v>1148.0</v>
      </c>
      <c r="B1150" s="5" t="s">
        <v>1751</v>
      </c>
      <c r="C1150" s="2" t="s">
        <v>1752</v>
      </c>
      <c r="D1150" s="5" t="s">
        <v>1751</v>
      </c>
      <c r="E1150" s="2" t="s">
        <v>15445</v>
      </c>
      <c r="F1150" s="2" t="s">
        <v>15442</v>
      </c>
      <c r="G1150" s="2" t="s">
        <v>15443</v>
      </c>
      <c r="H1150" s="2" t="s">
        <v>15444</v>
      </c>
    </row>
    <row r="1151">
      <c r="A1151" s="2">
        <v>1149.0</v>
      </c>
      <c r="B1151" s="5" t="s">
        <v>1754</v>
      </c>
      <c r="C1151" s="2" t="s">
        <v>1755</v>
      </c>
      <c r="D1151" s="5" t="s">
        <v>1754</v>
      </c>
      <c r="E1151" s="2" t="s">
        <v>15445</v>
      </c>
      <c r="F1151" s="2" t="s">
        <v>15442</v>
      </c>
      <c r="G1151" s="2" t="s">
        <v>15443</v>
      </c>
      <c r="H1151" s="2" t="s">
        <v>15444</v>
      </c>
    </row>
    <row r="1152">
      <c r="A1152" s="2">
        <v>1150.0</v>
      </c>
      <c r="B1152" s="5" t="s">
        <v>10439</v>
      </c>
      <c r="C1152" s="2" t="s">
        <v>10440</v>
      </c>
      <c r="D1152" s="5" t="s">
        <v>10439</v>
      </c>
      <c r="E1152" s="2" t="s">
        <v>15441</v>
      </c>
      <c r="F1152" s="2" t="s">
        <v>15442</v>
      </c>
      <c r="G1152" s="2" t="s">
        <v>15443</v>
      </c>
      <c r="H1152" s="2" t="s">
        <v>15444</v>
      </c>
    </row>
    <row r="1153">
      <c r="A1153" s="2">
        <v>1151.0</v>
      </c>
      <c r="B1153" s="5" t="s">
        <v>1757</v>
      </c>
      <c r="C1153" s="2" t="s">
        <v>1758</v>
      </c>
      <c r="D1153" s="5" t="s">
        <v>1757</v>
      </c>
      <c r="E1153" s="2" t="s">
        <v>15445</v>
      </c>
      <c r="F1153" s="2" t="s">
        <v>15446</v>
      </c>
      <c r="G1153" s="2" t="s">
        <v>15443</v>
      </c>
      <c r="H1153" s="2" t="s">
        <v>15444</v>
      </c>
    </row>
    <row r="1154">
      <c r="A1154" s="2">
        <v>1152.0</v>
      </c>
      <c r="B1154" s="5" t="s">
        <v>10441</v>
      </c>
      <c r="C1154" s="2" t="s">
        <v>10442</v>
      </c>
      <c r="D1154" s="5" t="s">
        <v>10441</v>
      </c>
      <c r="E1154" s="2" t="s">
        <v>15441</v>
      </c>
      <c r="F1154" s="2" t="s">
        <v>15442</v>
      </c>
      <c r="G1154" s="2" t="s">
        <v>15443</v>
      </c>
      <c r="H1154" s="2" t="s">
        <v>15444</v>
      </c>
    </row>
    <row r="1155">
      <c r="A1155" s="2">
        <v>1153.0</v>
      </c>
      <c r="B1155" s="5" t="s">
        <v>1760</v>
      </c>
      <c r="C1155" s="2" t="s">
        <v>1761</v>
      </c>
      <c r="D1155" s="5" t="s">
        <v>1760</v>
      </c>
      <c r="E1155" s="2" t="s">
        <v>15445</v>
      </c>
      <c r="F1155" s="2" t="s">
        <v>15442</v>
      </c>
      <c r="G1155" s="2" t="s">
        <v>15443</v>
      </c>
      <c r="H1155" s="2" t="s">
        <v>15444</v>
      </c>
    </row>
    <row r="1156">
      <c r="A1156" s="2">
        <v>1154.0</v>
      </c>
      <c r="B1156" s="5" t="s">
        <v>10443</v>
      </c>
      <c r="C1156" s="2" t="s">
        <v>10444</v>
      </c>
      <c r="D1156" s="5" t="s">
        <v>10443</v>
      </c>
      <c r="E1156" s="2" t="s">
        <v>15441</v>
      </c>
      <c r="F1156" s="2" t="s">
        <v>15446</v>
      </c>
      <c r="G1156" s="2" t="s">
        <v>15456</v>
      </c>
      <c r="H1156" s="2" t="s">
        <v>15444</v>
      </c>
    </row>
    <row r="1157">
      <c r="A1157" s="2">
        <v>1155.0</v>
      </c>
      <c r="B1157" s="5" t="s">
        <v>10445</v>
      </c>
      <c r="C1157" s="2" t="s">
        <v>10446</v>
      </c>
      <c r="D1157" s="5" t="s">
        <v>10445</v>
      </c>
      <c r="E1157" s="2" t="s">
        <v>15441</v>
      </c>
      <c r="F1157" s="2" t="s">
        <v>15446</v>
      </c>
      <c r="G1157" s="2" t="s">
        <v>15443</v>
      </c>
      <c r="H1157" s="2" t="s">
        <v>15444</v>
      </c>
    </row>
    <row r="1158">
      <c r="A1158" s="2">
        <v>1156.0</v>
      </c>
      <c r="B1158" s="5" t="s">
        <v>1763</v>
      </c>
      <c r="C1158" s="2" t="s">
        <v>1764</v>
      </c>
      <c r="D1158" s="5" t="s">
        <v>1763</v>
      </c>
      <c r="E1158" s="2" t="s">
        <v>15445</v>
      </c>
      <c r="F1158" s="2" t="s">
        <v>15446</v>
      </c>
      <c r="G1158" s="2" t="s">
        <v>15456</v>
      </c>
      <c r="H1158" s="2" t="s">
        <v>15462</v>
      </c>
    </row>
    <row r="1159">
      <c r="A1159" s="2">
        <v>1157.0</v>
      </c>
      <c r="B1159" s="5" t="s">
        <v>1766</v>
      </c>
      <c r="C1159" s="2" t="s">
        <v>1767</v>
      </c>
      <c r="D1159" s="5" t="s">
        <v>1766</v>
      </c>
      <c r="E1159" s="2" t="s">
        <v>15445</v>
      </c>
      <c r="F1159" s="2" t="s">
        <v>15442</v>
      </c>
      <c r="G1159" s="2" t="s">
        <v>15443</v>
      </c>
      <c r="H1159" s="2" t="s">
        <v>15444</v>
      </c>
    </row>
    <row r="1160">
      <c r="A1160" s="2">
        <v>1158.0</v>
      </c>
      <c r="B1160" s="5" t="s">
        <v>10447</v>
      </c>
      <c r="C1160" s="2" t="s">
        <v>10448</v>
      </c>
      <c r="D1160" s="5" t="s">
        <v>10447</v>
      </c>
      <c r="E1160" s="2" t="s">
        <v>15441</v>
      </c>
      <c r="F1160" s="2" t="s">
        <v>15446</v>
      </c>
      <c r="G1160" s="2" t="s">
        <v>15456</v>
      </c>
      <c r="H1160" s="2" t="s">
        <v>15444</v>
      </c>
    </row>
    <row r="1161">
      <c r="A1161" s="2">
        <v>1159.0</v>
      </c>
      <c r="B1161" s="5" t="s">
        <v>10449</v>
      </c>
      <c r="C1161" s="2" t="s">
        <v>10450</v>
      </c>
      <c r="D1161" s="5" t="s">
        <v>10449</v>
      </c>
      <c r="E1161" s="2" t="s">
        <v>15441</v>
      </c>
      <c r="F1161" s="2" t="s">
        <v>15446</v>
      </c>
      <c r="G1161" s="2" t="s">
        <v>15456</v>
      </c>
      <c r="H1161" s="2" t="s">
        <v>15444</v>
      </c>
    </row>
    <row r="1162">
      <c r="A1162" s="2">
        <v>1160.0</v>
      </c>
      <c r="B1162" s="5" t="s">
        <v>1769</v>
      </c>
      <c r="C1162" s="2" t="s">
        <v>1770</v>
      </c>
      <c r="D1162" s="5" t="s">
        <v>1769</v>
      </c>
      <c r="E1162" s="2" t="s">
        <v>15445</v>
      </c>
      <c r="F1162" s="2" t="s">
        <v>15446</v>
      </c>
      <c r="G1162" s="2" t="s">
        <v>15456</v>
      </c>
      <c r="H1162" s="2" t="s">
        <v>15457</v>
      </c>
    </row>
    <row r="1163">
      <c r="A1163" s="2">
        <v>1161.0</v>
      </c>
      <c r="B1163" s="5" t="s">
        <v>10451</v>
      </c>
      <c r="C1163" s="2" t="s">
        <v>3441</v>
      </c>
      <c r="D1163" s="5" t="s">
        <v>10451</v>
      </c>
      <c r="E1163" s="2" t="s">
        <v>15441</v>
      </c>
      <c r="F1163" s="2" t="s">
        <v>15446</v>
      </c>
      <c r="G1163" s="2" t="s">
        <v>15456</v>
      </c>
      <c r="H1163" s="2" t="s">
        <v>15455</v>
      </c>
    </row>
    <row r="1164">
      <c r="A1164" s="2">
        <v>1162.0</v>
      </c>
      <c r="B1164" s="5" t="s">
        <v>1772</v>
      </c>
      <c r="C1164" s="2" t="s">
        <v>1773</v>
      </c>
      <c r="D1164" s="5" t="s">
        <v>1772</v>
      </c>
      <c r="E1164" s="2" t="s">
        <v>15445</v>
      </c>
      <c r="F1164" s="2" t="s">
        <v>15446</v>
      </c>
      <c r="G1164" s="2" t="s">
        <v>15443</v>
      </c>
      <c r="H1164" s="2" t="s">
        <v>15444</v>
      </c>
    </row>
    <row r="1165">
      <c r="A1165" s="2">
        <v>1163.0</v>
      </c>
      <c r="B1165" s="5" t="s">
        <v>10452</v>
      </c>
      <c r="C1165" s="2" t="s">
        <v>10453</v>
      </c>
      <c r="D1165" s="5" t="s">
        <v>10452</v>
      </c>
      <c r="E1165" s="2" t="s">
        <v>15441</v>
      </c>
      <c r="F1165" s="2" t="s">
        <v>15446</v>
      </c>
      <c r="G1165" s="2" t="s">
        <v>15443</v>
      </c>
      <c r="H1165" s="2" t="s">
        <v>15455</v>
      </c>
    </row>
    <row r="1166">
      <c r="A1166" s="2">
        <v>1164.0</v>
      </c>
      <c r="B1166" s="5" t="s">
        <v>1775</v>
      </c>
      <c r="C1166" s="2" t="s">
        <v>1776</v>
      </c>
      <c r="D1166" s="5" t="s">
        <v>1775</v>
      </c>
      <c r="E1166" s="2" t="s">
        <v>15445</v>
      </c>
      <c r="F1166" s="2" t="s">
        <v>15446</v>
      </c>
      <c r="G1166" s="2" t="s">
        <v>15456</v>
      </c>
      <c r="H1166" s="2" t="s">
        <v>15444</v>
      </c>
    </row>
    <row r="1167">
      <c r="A1167" s="2">
        <v>1165.0</v>
      </c>
      <c r="B1167" s="5" t="s">
        <v>10454</v>
      </c>
      <c r="C1167" s="2" t="s">
        <v>10455</v>
      </c>
      <c r="D1167" s="5" t="s">
        <v>10454</v>
      </c>
      <c r="E1167" s="2" t="s">
        <v>15441</v>
      </c>
      <c r="F1167" s="2" t="s">
        <v>15442</v>
      </c>
      <c r="G1167" s="2" t="s">
        <v>15443</v>
      </c>
      <c r="H1167" s="2" t="s">
        <v>15444</v>
      </c>
    </row>
    <row r="1168">
      <c r="A1168" s="2">
        <v>1166.0</v>
      </c>
      <c r="B1168" s="5" t="s">
        <v>10456</v>
      </c>
      <c r="C1168" s="2" t="s">
        <v>10457</v>
      </c>
      <c r="D1168" s="5" t="s">
        <v>10456</v>
      </c>
      <c r="E1168" s="2" t="s">
        <v>15441</v>
      </c>
      <c r="F1168" s="2" t="s">
        <v>15446</v>
      </c>
      <c r="G1168" s="2" t="s">
        <v>15443</v>
      </c>
      <c r="H1168" s="2" t="s">
        <v>15444</v>
      </c>
    </row>
    <row r="1169">
      <c r="A1169" s="2">
        <v>1167.0</v>
      </c>
      <c r="B1169" s="5" t="s">
        <v>1778</v>
      </c>
      <c r="C1169" s="2" t="s">
        <v>1779</v>
      </c>
      <c r="D1169" s="5" t="s">
        <v>1778</v>
      </c>
      <c r="E1169" s="2" t="s">
        <v>15445</v>
      </c>
      <c r="F1169" s="2" t="s">
        <v>15442</v>
      </c>
      <c r="G1169" s="2" t="s">
        <v>15443</v>
      </c>
      <c r="H1169" s="2" t="s">
        <v>15444</v>
      </c>
    </row>
    <row r="1170">
      <c r="A1170" s="2">
        <v>1168.0</v>
      </c>
      <c r="B1170" s="5" t="s">
        <v>1781</v>
      </c>
      <c r="C1170" s="2" t="s">
        <v>1782</v>
      </c>
      <c r="D1170" s="5" t="s">
        <v>1781</v>
      </c>
      <c r="E1170" s="2" t="s">
        <v>15445</v>
      </c>
      <c r="F1170" s="2" t="s">
        <v>15446</v>
      </c>
      <c r="G1170" s="2" t="s">
        <v>15443</v>
      </c>
      <c r="H1170" s="2" t="s">
        <v>15444</v>
      </c>
    </row>
    <row r="1171">
      <c r="A1171" s="2">
        <v>1169.0</v>
      </c>
      <c r="B1171" s="5" t="s">
        <v>10458</v>
      </c>
      <c r="C1171" s="2" t="s">
        <v>10459</v>
      </c>
      <c r="D1171" s="5" t="s">
        <v>10458</v>
      </c>
      <c r="E1171" s="2" t="s">
        <v>15441</v>
      </c>
      <c r="F1171" s="2" t="s">
        <v>15442</v>
      </c>
      <c r="G1171" s="2" t="s">
        <v>15443</v>
      </c>
      <c r="H1171" s="2" t="s">
        <v>15444</v>
      </c>
    </row>
    <row r="1172">
      <c r="A1172" s="2">
        <v>1170.0</v>
      </c>
      <c r="B1172" s="5" t="s">
        <v>1784</v>
      </c>
      <c r="C1172" s="2" t="s">
        <v>1785</v>
      </c>
      <c r="D1172" s="5" t="s">
        <v>1784</v>
      </c>
      <c r="E1172" s="2" t="s">
        <v>15445</v>
      </c>
      <c r="F1172" s="2" t="s">
        <v>15442</v>
      </c>
      <c r="G1172" s="2" t="s">
        <v>15443</v>
      </c>
      <c r="H1172" s="2" t="s">
        <v>15444</v>
      </c>
    </row>
    <row r="1173">
      <c r="A1173" s="2">
        <v>1171.0</v>
      </c>
      <c r="B1173" s="5" t="s">
        <v>1787</v>
      </c>
      <c r="C1173" s="2" t="s">
        <v>1788</v>
      </c>
      <c r="D1173" s="5" t="s">
        <v>1787</v>
      </c>
      <c r="E1173" s="2" t="s">
        <v>15445</v>
      </c>
      <c r="F1173" s="2" t="s">
        <v>15446</v>
      </c>
      <c r="G1173" s="2" t="s">
        <v>15443</v>
      </c>
      <c r="H1173" s="2" t="s">
        <v>15444</v>
      </c>
    </row>
    <row r="1174">
      <c r="A1174" s="2">
        <v>1172.0</v>
      </c>
      <c r="B1174" s="5" t="s">
        <v>1790</v>
      </c>
      <c r="C1174" s="2" t="s">
        <v>1791</v>
      </c>
      <c r="D1174" s="5" t="s">
        <v>1790</v>
      </c>
      <c r="E1174" s="2" t="s">
        <v>15445</v>
      </c>
      <c r="F1174" s="2" t="s">
        <v>15446</v>
      </c>
      <c r="G1174" s="2" t="s">
        <v>15443</v>
      </c>
      <c r="H1174" s="2" t="s">
        <v>15444</v>
      </c>
    </row>
    <row r="1175">
      <c r="A1175" s="2">
        <v>1173.0</v>
      </c>
      <c r="B1175" s="5" t="s">
        <v>1793</v>
      </c>
      <c r="C1175" s="2" t="s">
        <v>1794</v>
      </c>
      <c r="D1175" s="5" t="s">
        <v>1793</v>
      </c>
      <c r="E1175" s="2" t="s">
        <v>15445</v>
      </c>
      <c r="F1175" s="2" t="s">
        <v>15446</v>
      </c>
      <c r="G1175" s="2" t="s">
        <v>15443</v>
      </c>
      <c r="H1175" s="2" t="s">
        <v>15462</v>
      </c>
    </row>
    <row r="1176">
      <c r="A1176" s="2">
        <v>1174.0</v>
      </c>
      <c r="B1176" s="5" t="s">
        <v>1796</v>
      </c>
      <c r="C1176" s="2" t="s">
        <v>1797</v>
      </c>
      <c r="D1176" s="5" t="s">
        <v>1796</v>
      </c>
      <c r="E1176" s="2" t="s">
        <v>15445</v>
      </c>
      <c r="F1176" s="2" t="s">
        <v>15442</v>
      </c>
      <c r="G1176" s="2" t="s">
        <v>15443</v>
      </c>
      <c r="H1176" s="2" t="s">
        <v>15444</v>
      </c>
    </row>
    <row r="1177">
      <c r="A1177" s="2">
        <v>1175.0</v>
      </c>
      <c r="B1177" s="5" t="s">
        <v>10460</v>
      </c>
      <c r="C1177" s="2" t="s">
        <v>10461</v>
      </c>
      <c r="D1177" s="5" t="s">
        <v>10460</v>
      </c>
      <c r="E1177" s="2" t="s">
        <v>15441</v>
      </c>
      <c r="F1177" s="2" t="s">
        <v>15446</v>
      </c>
      <c r="G1177" s="2" t="s">
        <v>15456</v>
      </c>
      <c r="H1177" s="2" t="s">
        <v>15444</v>
      </c>
    </row>
    <row r="1178">
      <c r="A1178" s="2">
        <v>1176.0</v>
      </c>
      <c r="B1178" s="5" t="s">
        <v>10462</v>
      </c>
      <c r="C1178" s="2" t="s">
        <v>10463</v>
      </c>
      <c r="D1178" s="5" t="s">
        <v>10462</v>
      </c>
      <c r="E1178" s="2" t="s">
        <v>15441</v>
      </c>
      <c r="F1178" s="2" t="s">
        <v>15446</v>
      </c>
      <c r="G1178" s="2" t="s">
        <v>15456</v>
      </c>
      <c r="H1178" s="2" t="s">
        <v>15444</v>
      </c>
    </row>
    <row r="1179">
      <c r="A1179" s="2">
        <v>1177.0</v>
      </c>
      <c r="B1179" s="5" t="s">
        <v>10464</v>
      </c>
      <c r="C1179" s="2" t="s">
        <v>10465</v>
      </c>
      <c r="D1179" s="5" t="s">
        <v>10464</v>
      </c>
      <c r="E1179" s="2" t="s">
        <v>15441</v>
      </c>
      <c r="F1179" s="2" t="s">
        <v>15442</v>
      </c>
      <c r="G1179" s="2" t="s">
        <v>15443</v>
      </c>
      <c r="H1179" s="2" t="s">
        <v>15444</v>
      </c>
    </row>
    <row r="1180">
      <c r="A1180" s="2">
        <v>1178.0</v>
      </c>
      <c r="B1180" s="5" t="s">
        <v>1799</v>
      </c>
      <c r="C1180" s="2" t="s">
        <v>1800</v>
      </c>
      <c r="D1180" s="5" t="s">
        <v>1799</v>
      </c>
      <c r="E1180" s="2" t="s">
        <v>15445</v>
      </c>
      <c r="F1180" s="2" t="s">
        <v>15446</v>
      </c>
      <c r="G1180" s="2" t="s">
        <v>15456</v>
      </c>
      <c r="H1180" s="2" t="s">
        <v>15444</v>
      </c>
    </row>
    <row r="1181">
      <c r="A1181" s="2">
        <v>1179.0</v>
      </c>
      <c r="B1181" s="5" t="s">
        <v>10466</v>
      </c>
      <c r="C1181" s="2" t="s">
        <v>10467</v>
      </c>
      <c r="D1181" s="5" t="s">
        <v>10466</v>
      </c>
      <c r="E1181" s="2" t="s">
        <v>15441</v>
      </c>
      <c r="F1181" s="2" t="s">
        <v>15442</v>
      </c>
      <c r="G1181" s="2" t="s">
        <v>15443</v>
      </c>
      <c r="H1181" s="2" t="s">
        <v>15444</v>
      </c>
    </row>
    <row r="1182">
      <c r="A1182" s="2">
        <v>1180.0</v>
      </c>
      <c r="B1182" s="5" t="s">
        <v>1802</v>
      </c>
      <c r="C1182" s="2" t="s">
        <v>1803</v>
      </c>
      <c r="D1182" s="5" t="s">
        <v>1802</v>
      </c>
      <c r="E1182" s="2" t="s">
        <v>15445</v>
      </c>
      <c r="F1182" s="2" t="s">
        <v>15446</v>
      </c>
      <c r="G1182" s="2" t="s">
        <v>15456</v>
      </c>
      <c r="H1182" s="2" t="s">
        <v>15444</v>
      </c>
    </row>
    <row r="1183">
      <c r="A1183" s="2">
        <v>1181.0</v>
      </c>
      <c r="B1183" s="5" t="s">
        <v>1805</v>
      </c>
      <c r="C1183" s="2" t="s">
        <v>1806</v>
      </c>
      <c r="D1183" s="5" t="s">
        <v>1805</v>
      </c>
      <c r="E1183" s="2" t="s">
        <v>15445</v>
      </c>
      <c r="F1183" s="2" t="s">
        <v>15446</v>
      </c>
      <c r="G1183" s="2" t="s">
        <v>15456</v>
      </c>
      <c r="H1183" s="2" t="s">
        <v>15444</v>
      </c>
    </row>
    <row r="1184">
      <c r="A1184" s="2">
        <v>1182.0</v>
      </c>
      <c r="B1184" s="5" t="s">
        <v>10468</v>
      </c>
      <c r="C1184" s="2" t="s">
        <v>10469</v>
      </c>
      <c r="D1184" s="5" t="s">
        <v>10468</v>
      </c>
      <c r="E1184" s="2" t="s">
        <v>15441</v>
      </c>
      <c r="F1184" s="2" t="s">
        <v>15446</v>
      </c>
      <c r="G1184" s="2" t="s">
        <v>15456</v>
      </c>
      <c r="H1184" s="2" t="s">
        <v>15444</v>
      </c>
    </row>
    <row r="1185">
      <c r="A1185" s="2">
        <v>1183.0</v>
      </c>
      <c r="B1185" s="5" t="s">
        <v>10470</v>
      </c>
      <c r="C1185" s="2" t="s">
        <v>10471</v>
      </c>
      <c r="D1185" s="5" t="s">
        <v>10470</v>
      </c>
      <c r="E1185" s="2" t="s">
        <v>15441</v>
      </c>
      <c r="F1185" s="2" t="s">
        <v>15442</v>
      </c>
      <c r="G1185" s="2" t="s">
        <v>15443</v>
      </c>
      <c r="H1185" s="2" t="s">
        <v>15444</v>
      </c>
    </row>
    <row r="1186">
      <c r="A1186" s="2">
        <v>1184.0</v>
      </c>
      <c r="B1186" s="5" t="s">
        <v>1808</v>
      </c>
      <c r="C1186" s="2" t="s">
        <v>1809</v>
      </c>
      <c r="D1186" s="5" t="s">
        <v>1808</v>
      </c>
      <c r="E1186" s="2" t="s">
        <v>15445</v>
      </c>
      <c r="F1186" s="2" t="s">
        <v>15442</v>
      </c>
      <c r="G1186" s="2" t="s">
        <v>15443</v>
      </c>
      <c r="H1186" s="2" t="s">
        <v>15444</v>
      </c>
    </row>
    <row r="1187">
      <c r="A1187" s="2">
        <v>1185.0</v>
      </c>
      <c r="B1187" s="5" t="s">
        <v>1811</v>
      </c>
      <c r="C1187" s="2" t="s">
        <v>1812</v>
      </c>
      <c r="D1187" s="5" t="s">
        <v>1811</v>
      </c>
      <c r="E1187" s="2" t="s">
        <v>15445</v>
      </c>
      <c r="F1187" s="2" t="s">
        <v>15442</v>
      </c>
      <c r="G1187" s="2" t="s">
        <v>15443</v>
      </c>
      <c r="H1187" s="2" t="s">
        <v>15444</v>
      </c>
    </row>
    <row r="1188">
      <c r="A1188" s="2">
        <v>1186.0</v>
      </c>
      <c r="B1188" s="5" t="s">
        <v>10472</v>
      </c>
      <c r="C1188" s="2" t="s">
        <v>10473</v>
      </c>
      <c r="D1188" s="5" t="s">
        <v>10472</v>
      </c>
      <c r="E1188" s="2" t="s">
        <v>15441</v>
      </c>
      <c r="F1188" s="2" t="s">
        <v>15442</v>
      </c>
      <c r="G1188" s="2" t="s">
        <v>15456</v>
      </c>
      <c r="H1188" s="2" t="s">
        <v>15444</v>
      </c>
    </row>
    <row r="1189">
      <c r="A1189" s="2">
        <v>1187.0</v>
      </c>
      <c r="B1189" s="5" t="s">
        <v>10474</v>
      </c>
      <c r="C1189" s="2" t="s">
        <v>10475</v>
      </c>
      <c r="D1189" s="5" t="s">
        <v>10474</v>
      </c>
      <c r="E1189" s="2" t="s">
        <v>15441</v>
      </c>
      <c r="F1189" s="2" t="s">
        <v>15442</v>
      </c>
      <c r="G1189" s="2" t="s">
        <v>15443</v>
      </c>
      <c r="H1189" s="2" t="s">
        <v>15444</v>
      </c>
    </row>
    <row r="1190">
      <c r="A1190" s="2">
        <v>1188.0</v>
      </c>
      <c r="B1190" s="5" t="s">
        <v>1814</v>
      </c>
      <c r="C1190" s="2" t="s">
        <v>1815</v>
      </c>
      <c r="D1190" s="5" t="s">
        <v>1814</v>
      </c>
      <c r="E1190" s="2" t="s">
        <v>15445</v>
      </c>
      <c r="F1190" s="2" t="s">
        <v>15446</v>
      </c>
      <c r="G1190" s="2" t="s">
        <v>15443</v>
      </c>
      <c r="H1190" s="2" t="s">
        <v>15444</v>
      </c>
    </row>
    <row r="1191">
      <c r="A1191" s="2">
        <v>1189.0</v>
      </c>
      <c r="B1191" s="5" t="s">
        <v>10476</v>
      </c>
      <c r="C1191" s="2" t="s">
        <v>10477</v>
      </c>
      <c r="D1191" s="5" t="s">
        <v>10476</v>
      </c>
      <c r="E1191" s="2" t="s">
        <v>15441</v>
      </c>
      <c r="F1191" s="2" t="s">
        <v>15446</v>
      </c>
      <c r="G1191" s="2" t="s">
        <v>15456</v>
      </c>
      <c r="H1191" s="2" t="s">
        <v>15444</v>
      </c>
    </row>
    <row r="1192">
      <c r="A1192" s="2">
        <v>1190.0</v>
      </c>
      <c r="B1192" s="5" t="s">
        <v>1817</v>
      </c>
      <c r="C1192" s="2" t="s">
        <v>1818</v>
      </c>
      <c r="D1192" s="5" t="s">
        <v>1817</v>
      </c>
      <c r="E1192" s="2" t="s">
        <v>15445</v>
      </c>
      <c r="F1192" s="2" t="s">
        <v>15442</v>
      </c>
      <c r="G1192" s="2" t="s">
        <v>15443</v>
      </c>
      <c r="H1192" s="2" t="s">
        <v>15444</v>
      </c>
    </row>
    <row r="1193">
      <c r="A1193" s="2">
        <v>1191.0</v>
      </c>
      <c r="B1193" s="5" t="s">
        <v>10478</v>
      </c>
      <c r="C1193" s="2" t="s">
        <v>10479</v>
      </c>
      <c r="D1193" s="5" t="s">
        <v>10478</v>
      </c>
      <c r="E1193" s="2" t="s">
        <v>15441</v>
      </c>
      <c r="F1193" s="2" t="s">
        <v>15442</v>
      </c>
      <c r="G1193" s="2" t="s">
        <v>15456</v>
      </c>
      <c r="H1193" s="2" t="s">
        <v>15444</v>
      </c>
    </row>
    <row r="1194">
      <c r="A1194" s="2">
        <v>1192.0</v>
      </c>
      <c r="B1194" s="5" t="s">
        <v>10480</v>
      </c>
      <c r="C1194" s="2" t="s">
        <v>10481</v>
      </c>
      <c r="D1194" s="5" t="s">
        <v>10480</v>
      </c>
      <c r="E1194" s="2" t="s">
        <v>15441</v>
      </c>
      <c r="F1194" s="2" t="s">
        <v>15446</v>
      </c>
      <c r="G1194" s="2" t="s">
        <v>15443</v>
      </c>
      <c r="H1194" s="2" t="s">
        <v>15444</v>
      </c>
    </row>
    <row r="1195">
      <c r="A1195" s="2">
        <v>1193.0</v>
      </c>
      <c r="B1195" s="5" t="s">
        <v>10482</v>
      </c>
      <c r="C1195" s="2" t="s">
        <v>10483</v>
      </c>
      <c r="D1195" s="5" t="s">
        <v>10482</v>
      </c>
      <c r="E1195" s="2" t="s">
        <v>15441</v>
      </c>
      <c r="F1195" s="2" t="s">
        <v>15442</v>
      </c>
      <c r="G1195" s="2" t="s">
        <v>15443</v>
      </c>
      <c r="H1195" s="2" t="s">
        <v>15444</v>
      </c>
    </row>
    <row r="1196">
      <c r="A1196" s="2">
        <v>1194.0</v>
      </c>
      <c r="B1196" s="5" t="s">
        <v>1820</v>
      </c>
      <c r="C1196" s="2" t="s">
        <v>1821</v>
      </c>
      <c r="D1196" s="5" t="s">
        <v>1820</v>
      </c>
      <c r="E1196" s="2" t="s">
        <v>15445</v>
      </c>
      <c r="F1196" s="2" t="s">
        <v>15446</v>
      </c>
      <c r="G1196" s="2" t="s">
        <v>15443</v>
      </c>
      <c r="H1196" s="2" t="s">
        <v>15444</v>
      </c>
    </row>
    <row r="1197">
      <c r="A1197" s="2">
        <v>1195.0</v>
      </c>
      <c r="B1197" s="5" t="s">
        <v>15480</v>
      </c>
      <c r="C1197" s="2" t="s">
        <v>15481</v>
      </c>
      <c r="D1197" s="5" t="s">
        <v>15480</v>
      </c>
      <c r="E1197" s="2" t="s">
        <v>15445</v>
      </c>
      <c r="F1197" s="2" t="s">
        <v>15446</v>
      </c>
      <c r="G1197" s="2" t="s">
        <v>15456</v>
      </c>
      <c r="H1197" s="2" t="s">
        <v>15457</v>
      </c>
    </row>
    <row r="1198">
      <c r="A1198" s="2">
        <v>1196.0</v>
      </c>
      <c r="B1198" s="5" t="s">
        <v>1823</v>
      </c>
      <c r="C1198" s="2" t="s">
        <v>1824</v>
      </c>
      <c r="D1198" s="5" t="s">
        <v>1823</v>
      </c>
      <c r="E1198" s="2" t="s">
        <v>15445</v>
      </c>
      <c r="F1198" s="2" t="s">
        <v>15442</v>
      </c>
      <c r="G1198" s="2" t="s">
        <v>15443</v>
      </c>
      <c r="H1198" s="2" t="s">
        <v>15444</v>
      </c>
    </row>
    <row r="1199">
      <c r="A1199" s="2">
        <v>1197.0</v>
      </c>
      <c r="B1199" s="5" t="s">
        <v>1826</v>
      </c>
      <c r="C1199" s="2" t="s">
        <v>1827</v>
      </c>
      <c r="D1199" s="5" t="s">
        <v>1826</v>
      </c>
      <c r="E1199" s="2" t="s">
        <v>15445</v>
      </c>
      <c r="F1199" s="2" t="s">
        <v>15446</v>
      </c>
      <c r="G1199" s="2" t="s">
        <v>15456</v>
      </c>
      <c r="H1199" s="2" t="s">
        <v>15444</v>
      </c>
    </row>
    <row r="1200">
      <c r="A1200" s="2">
        <v>1198.0</v>
      </c>
      <c r="B1200" s="5" t="s">
        <v>10484</v>
      </c>
      <c r="C1200" s="2" t="s">
        <v>10485</v>
      </c>
      <c r="D1200" s="5" t="s">
        <v>10484</v>
      </c>
      <c r="E1200" s="2" t="s">
        <v>15441</v>
      </c>
      <c r="F1200" s="2" t="s">
        <v>15442</v>
      </c>
      <c r="G1200" s="2" t="s">
        <v>15443</v>
      </c>
      <c r="H1200" s="2" t="s">
        <v>15444</v>
      </c>
    </row>
    <row r="1201">
      <c r="A1201" s="2">
        <v>1199.0</v>
      </c>
      <c r="B1201" s="5" t="s">
        <v>1829</v>
      </c>
      <c r="C1201" s="2" t="s">
        <v>1830</v>
      </c>
      <c r="D1201" s="5" t="s">
        <v>1829</v>
      </c>
      <c r="E1201" s="2" t="s">
        <v>15445</v>
      </c>
      <c r="F1201" s="2" t="s">
        <v>15446</v>
      </c>
      <c r="G1201" s="2" t="s">
        <v>15456</v>
      </c>
      <c r="H1201" s="2" t="s">
        <v>15444</v>
      </c>
    </row>
    <row r="1202">
      <c r="A1202" s="2">
        <v>1200.0</v>
      </c>
      <c r="B1202" s="5" t="s">
        <v>10486</v>
      </c>
      <c r="C1202" s="2" t="s">
        <v>10487</v>
      </c>
      <c r="D1202" s="5" t="s">
        <v>10486</v>
      </c>
      <c r="E1202" s="2" t="s">
        <v>15441</v>
      </c>
      <c r="F1202" s="2" t="s">
        <v>15442</v>
      </c>
      <c r="G1202" s="2" t="s">
        <v>15443</v>
      </c>
      <c r="H1202" s="2" t="s">
        <v>15444</v>
      </c>
    </row>
    <row r="1203">
      <c r="A1203" s="2">
        <v>1201.0</v>
      </c>
      <c r="B1203" s="5" t="s">
        <v>10488</v>
      </c>
      <c r="C1203" s="2" t="s">
        <v>10489</v>
      </c>
      <c r="D1203" s="5" t="s">
        <v>10488</v>
      </c>
      <c r="E1203" s="2" t="s">
        <v>15441</v>
      </c>
      <c r="F1203" s="2" t="s">
        <v>15442</v>
      </c>
      <c r="G1203" s="2" t="s">
        <v>15456</v>
      </c>
      <c r="H1203" s="2" t="s">
        <v>15444</v>
      </c>
    </row>
    <row r="1204">
      <c r="A1204" s="2">
        <v>1202.0</v>
      </c>
      <c r="B1204" s="5" t="s">
        <v>1832</v>
      </c>
      <c r="C1204" s="2" t="s">
        <v>1833</v>
      </c>
      <c r="D1204" s="5" t="s">
        <v>1832</v>
      </c>
      <c r="E1204" s="2" t="s">
        <v>15445</v>
      </c>
      <c r="F1204" s="2" t="s">
        <v>15446</v>
      </c>
      <c r="G1204" s="2" t="s">
        <v>15456</v>
      </c>
      <c r="H1204" s="2" t="s">
        <v>15444</v>
      </c>
    </row>
    <row r="1205">
      <c r="A1205" s="2">
        <v>1203.0</v>
      </c>
      <c r="B1205" s="5" t="s">
        <v>10490</v>
      </c>
      <c r="C1205" s="2" t="s">
        <v>10491</v>
      </c>
      <c r="D1205" s="5" t="s">
        <v>10490</v>
      </c>
      <c r="E1205" s="2" t="s">
        <v>15441</v>
      </c>
      <c r="F1205" s="2" t="s">
        <v>15442</v>
      </c>
      <c r="G1205" s="2" t="s">
        <v>15443</v>
      </c>
      <c r="H1205" s="2" t="s">
        <v>15444</v>
      </c>
    </row>
    <row r="1206">
      <c r="A1206" s="2">
        <v>1204.0</v>
      </c>
      <c r="B1206" s="5" t="s">
        <v>1835</v>
      </c>
      <c r="C1206" s="2" t="s">
        <v>1836</v>
      </c>
      <c r="D1206" s="5" t="s">
        <v>1835</v>
      </c>
      <c r="E1206" s="2" t="s">
        <v>15445</v>
      </c>
      <c r="F1206" s="2" t="s">
        <v>15446</v>
      </c>
      <c r="G1206" s="2" t="s">
        <v>15456</v>
      </c>
      <c r="H1206" s="2" t="s">
        <v>15444</v>
      </c>
    </row>
    <row r="1207">
      <c r="A1207" s="2">
        <v>1205.0</v>
      </c>
      <c r="B1207" s="5" t="s">
        <v>10492</v>
      </c>
      <c r="C1207" s="2" t="s">
        <v>10493</v>
      </c>
      <c r="D1207" s="5" t="s">
        <v>10492</v>
      </c>
      <c r="E1207" s="2" t="s">
        <v>15441</v>
      </c>
      <c r="F1207" s="2" t="s">
        <v>15442</v>
      </c>
      <c r="G1207" s="2" t="s">
        <v>15443</v>
      </c>
      <c r="H1207" s="2" t="s">
        <v>15444</v>
      </c>
    </row>
    <row r="1208">
      <c r="A1208" s="2">
        <v>1206.0</v>
      </c>
      <c r="B1208" s="5" t="s">
        <v>1838</v>
      </c>
      <c r="C1208" s="2" t="s">
        <v>1839</v>
      </c>
      <c r="D1208" s="5" t="s">
        <v>1838</v>
      </c>
      <c r="E1208" s="2" t="s">
        <v>15445</v>
      </c>
      <c r="F1208" s="2" t="s">
        <v>15446</v>
      </c>
      <c r="G1208" s="2" t="s">
        <v>15443</v>
      </c>
      <c r="H1208" s="2" t="s">
        <v>15444</v>
      </c>
    </row>
    <row r="1209">
      <c r="A1209" s="2">
        <v>1207.0</v>
      </c>
      <c r="B1209" s="5" t="s">
        <v>1841</v>
      </c>
      <c r="C1209" s="2" t="s">
        <v>1842</v>
      </c>
      <c r="D1209" s="5" t="s">
        <v>1841</v>
      </c>
      <c r="E1209" s="2" t="s">
        <v>15445</v>
      </c>
      <c r="F1209" s="2" t="s">
        <v>15442</v>
      </c>
      <c r="G1209" s="2" t="s">
        <v>15443</v>
      </c>
      <c r="H1209" s="2" t="s">
        <v>15444</v>
      </c>
    </row>
    <row r="1210">
      <c r="A1210" s="2">
        <v>1208.0</v>
      </c>
      <c r="B1210" s="5" t="s">
        <v>1844</v>
      </c>
      <c r="C1210" s="2" t="s">
        <v>1845</v>
      </c>
      <c r="D1210" s="5" t="s">
        <v>1844</v>
      </c>
      <c r="E1210" s="2" t="s">
        <v>15445</v>
      </c>
      <c r="F1210" s="2" t="s">
        <v>15446</v>
      </c>
      <c r="G1210" s="2" t="s">
        <v>15443</v>
      </c>
      <c r="H1210" s="2" t="s">
        <v>15444</v>
      </c>
    </row>
    <row r="1211">
      <c r="A1211" s="2">
        <v>1209.0</v>
      </c>
      <c r="B1211" s="5" t="s">
        <v>1847</v>
      </c>
      <c r="C1211" s="2" t="s">
        <v>1848</v>
      </c>
      <c r="D1211" s="5" t="s">
        <v>1847</v>
      </c>
      <c r="E1211" s="2" t="s">
        <v>15445</v>
      </c>
      <c r="F1211" s="2" t="s">
        <v>15446</v>
      </c>
      <c r="G1211" s="2" t="s">
        <v>15456</v>
      </c>
      <c r="H1211" s="2" t="s">
        <v>15444</v>
      </c>
    </row>
    <row r="1212">
      <c r="A1212" s="2">
        <v>1210.0</v>
      </c>
      <c r="B1212" s="5" t="s">
        <v>10494</v>
      </c>
      <c r="C1212" s="2" t="s">
        <v>10495</v>
      </c>
      <c r="D1212" s="5" t="s">
        <v>10494</v>
      </c>
      <c r="E1212" s="2" t="s">
        <v>15441</v>
      </c>
      <c r="F1212" s="2" t="s">
        <v>15446</v>
      </c>
      <c r="G1212" s="2" t="s">
        <v>15456</v>
      </c>
      <c r="H1212" s="2" t="s">
        <v>15444</v>
      </c>
    </row>
    <row r="1213">
      <c r="A1213" s="2">
        <v>1211.0</v>
      </c>
      <c r="B1213" s="5" t="s">
        <v>10496</v>
      </c>
      <c r="C1213" s="2" t="s">
        <v>10497</v>
      </c>
      <c r="D1213" s="5" t="s">
        <v>10496</v>
      </c>
      <c r="E1213" s="2" t="s">
        <v>15441</v>
      </c>
      <c r="F1213" s="2" t="s">
        <v>15446</v>
      </c>
      <c r="G1213" s="2" t="s">
        <v>15456</v>
      </c>
      <c r="H1213" s="2" t="s">
        <v>15444</v>
      </c>
    </row>
    <row r="1214">
      <c r="A1214" s="2">
        <v>1212.0</v>
      </c>
      <c r="B1214" s="5" t="s">
        <v>10498</v>
      </c>
      <c r="C1214" s="2" t="s">
        <v>10499</v>
      </c>
      <c r="D1214" s="5" t="s">
        <v>10498</v>
      </c>
      <c r="E1214" s="2" t="s">
        <v>15441</v>
      </c>
      <c r="F1214" s="2" t="s">
        <v>15442</v>
      </c>
      <c r="G1214" s="2" t="s">
        <v>15443</v>
      </c>
      <c r="H1214" s="2" t="s">
        <v>15461</v>
      </c>
    </row>
    <row r="1215">
      <c r="A1215" s="2">
        <v>1213.0</v>
      </c>
      <c r="B1215" s="5" t="s">
        <v>10500</v>
      </c>
      <c r="C1215" s="2" t="s">
        <v>10501</v>
      </c>
      <c r="D1215" s="5" t="s">
        <v>10500</v>
      </c>
      <c r="E1215" s="2" t="s">
        <v>15441</v>
      </c>
      <c r="F1215" s="2" t="s">
        <v>15446</v>
      </c>
      <c r="G1215" s="2" t="s">
        <v>15456</v>
      </c>
      <c r="H1215" s="2" t="s">
        <v>15444</v>
      </c>
    </row>
    <row r="1216">
      <c r="A1216" s="2">
        <v>1214.0</v>
      </c>
      <c r="B1216" s="5" t="s">
        <v>10502</v>
      </c>
      <c r="C1216" s="2" t="s">
        <v>10503</v>
      </c>
      <c r="D1216" s="5" t="s">
        <v>10502</v>
      </c>
      <c r="E1216" s="2" t="s">
        <v>15441</v>
      </c>
      <c r="F1216" s="2" t="s">
        <v>15446</v>
      </c>
      <c r="G1216" s="2" t="s">
        <v>15443</v>
      </c>
      <c r="H1216" s="2" t="s">
        <v>15444</v>
      </c>
    </row>
    <row r="1217">
      <c r="A1217" s="2">
        <v>1215.0</v>
      </c>
      <c r="B1217" s="5" t="s">
        <v>1850</v>
      </c>
      <c r="C1217" s="2" t="s">
        <v>1851</v>
      </c>
      <c r="D1217" s="5" t="s">
        <v>1850</v>
      </c>
      <c r="E1217" s="2" t="s">
        <v>15445</v>
      </c>
      <c r="F1217" s="2" t="s">
        <v>15442</v>
      </c>
      <c r="G1217" s="2" t="s">
        <v>15443</v>
      </c>
      <c r="H1217" s="2" t="s">
        <v>15444</v>
      </c>
    </row>
    <row r="1218">
      <c r="A1218" s="2">
        <v>1216.0</v>
      </c>
      <c r="B1218" s="5" t="s">
        <v>10504</v>
      </c>
      <c r="C1218" s="2" t="s">
        <v>10505</v>
      </c>
      <c r="D1218" s="5" t="s">
        <v>10504</v>
      </c>
      <c r="E1218" s="2" t="s">
        <v>15441</v>
      </c>
      <c r="F1218" s="2" t="s">
        <v>15446</v>
      </c>
      <c r="G1218" s="2" t="s">
        <v>15443</v>
      </c>
      <c r="H1218" s="2" t="s">
        <v>15444</v>
      </c>
    </row>
    <row r="1219">
      <c r="A1219" s="2">
        <v>1217.0</v>
      </c>
      <c r="B1219" s="5" t="s">
        <v>10506</v>
      </c>
      <c r="C1219" s="2" t="s">
        <v>10507</v>
      </c>
      <c r="D1219" s="5" t="s">
        <v>10506</v>
      </c>
      <c r="E1219" s="2" t="s">
        <v>15441</v>
      </c>
      <c r="F1219" s="2" t="s">
        <v>15446</v>
      </c>
      <c r="G1219" s="2" t="s">
        <v>15443</v>
      </c>
      <c r="H1219" s="2" t="s">
        <v>15455</v>
      </c>
    </row>
    <row r="1220">
      <c r="A1220" s="2">
        <v>1218.0</v>
      </c>
      <c r="B1220" s="5" t="s">
        <v>10508</v>
      </c>
      <c r="C1220" s="2" t="s">
        <v>10509</v>
      </c>
      <c r="D1220" s="5" t="s">
        <v>10508</v>
      </c>
      <c r="E1220" s="2" t="s">
        <v>15441</v>
      </c>
      <c r="F1220" s="2" t="s">
        <v>15442</v>
      </c>
      <c r="G1220" s="2" t="s">
        <v>15443</v>
      </c>
      <c r="H1220" s="2" t="s">
        <v>15444</v>
      </c>
    </row>
    <row r="1221">
      <c r="A1221" s="2">
        <v>1219.0</v>
      </c>
      <c r="B1221" s="5" t="s">
        <v>10510</v>
      </c>
      <c r="C1221" s="2" t="s">
        <v>10511</v>
      </c>
      <c r="D1221" s="5" t="s">
        <v>10510</v>
      </c>
      <c r="E1221" s="2" t="s">
        <v>15441</v>
      </c>
      <c r="F1221" s="2" t="s">
        <v>15442</v>
      </c>
      <c r="G1221" s="2" t="s">
        <v>15443</v>
      </c>
      <c r="H1221" s="2" t="s">
        <v>15444</v>
      </c>
    </row>
    <row r="1222">
      <c r="A1222" s="2">
        <v>1220.0</v>
      </c>
      <c r="B1222" s="5" t="s">
        <v>1853</v>
      </c>
      <c r="C1222" s="2" t="s">
        <v>1854</v>
      </c>
      <c r="D1222" s="5" t="s">
        <v>1853</v>
      </c>
      <c r="E1222" s="2" t="s">
        <v>15445</v>
      </c>
      <c r="F1222" s="2" t="s">
        <v>15442</v>
      </c>
      <c r="G1222" s="2" t="s">
        <v>15443</v>
      </c>
      <c r="H1222" s="2" t="s">
        <v>15444</v>
      </c>
    </row>
    <row r="1223">
      <c r="A1223" s="2">
        <v>1221.0</v>
      </c>
      <c r="B1223" s="5" t="s">
        <v>1856</v>
      </c>
      <c r="C1223" s="2" t="s">
        <v>1857</v>
      </c>
      <c r="D1223" s="5" t="s">
        <v>1856</v>
      </c>
      <c r="E1223" s="2" t="s">
        <v>15445</v>
      </c>
      <c r="F1223" s="2" t="s">
        <v>15442</v>
      </c>
      <c r="G1223" s="2" t="s">
        <v>15443</v>
      </c>
      <c r="H1223" s="2" t="s">
        <v>15444</v>
      </c>
    </row>
    <row r="1224">
      <c r="A1224" s="2">
        <v>1222.0</v>
      </c>
      <c r="B1224" s="5" t="s">
        <v>10512</v>
      </c>
      <c r="C1224" s="2" t="s">
        <v>10513</v>
      </c>
      <c r="D1224" s="5" t="s">
        <v>10512</v>
      </c>
      <c r="E1224" s="2" t="s">
        <v>15441</v>
      </c>
      <c r="F1224" s="2" t="s">
        <v>15442</v>
      </c>
      <c r="G1224" s="2" t="s">
        <v>15443</v>
      </c>
      <c r="H1224" s="2" t="s">
        <v>15444</v>
      </c>
    </row>
    <row r="1225">
      <c r="A1225" s="2">
        <v>1223.0</v>
      </c>
      <c r="B1225" s="5" t="s">
        <v>10514</v>
      </c>
      <c r="C1225" s="2" t="s">
        <v>10515</v>
      </c>
      <c r="D1225" s="5" t="s">
        <v>10514</v>
      </c>
      <c r="E1225" s="2" t="s">
        <v>15441</v>
      </c>
      <c r="F1225" s="2" t="s">
        <v>15442</v>
      </c>
      <c r="G1225" s="2" t="s">
        <v>15456</v>
      </c>
      <c r="H1225" s="2" t="s">
        <v>15444</v>
      </c>
    </row>
    <row r="1226">
      <c r="A1226" s="2">
        <v>1224.0</v>
      </c>
      <c r="B1226" s="5" t="s">
        <v>1859</v>
      </c>
      <c r="C1226" s="2" t="s">
        <v>1860</v>
      </c>
      <c r="D1226" s="5" t="s">
        <v>1859</v>
      </c>
      <c r="E1226" s="2" t="s">
        <v>15445</v>
      </c>
      <c r="F1226" s="2" t="s">
        <v>15446</v>
      </c>
      <c r="G1226" s="2" t="s">
        <v>15443</v>
      </c>
      <c r="H1226" s="2" t="s">
        <v>15457</v>
      </c>
    </row>
    <row r="1227">
      <c r="A1227" s="2">
        <v>1225.0</v>
      </c>
      <c r="B1227" s="5" t="s">
        <v>1862</v>
      </c>
      <c r="C1227" s="2" t="s">
        <v>1863</v>
      </c>
      <c r="D1227" s="5" t="s">
        <v>1862</v>
      </c>
      <c r="E1227" s="2" t="s">
        <v>15445</v>
      </c>
      <c r="F1227" s="2" t="s">
        <v>15446</v>
      </c>
      <c r="G1227" s="2" t="s">
        <v>15456</v>
      </c>
      <c r="H1227" s="2" t="s">
        <v>15444</v>
      </c>
    </row>
    <row r="1228">
      <c r="A1228" s="2">
        <v>1226.0</v>
      </c>
      <c r="B1228" s="5" t="s">
        <v>10516</v>
      </c>
      <c r="C1228" s="2" t="s">
        <v>10517</v>
      </c>
      <c r="D1228" s="5" t="s">
        <v>10516</v>
      </c>
      <c r="E1228" s="2" t="s">
        <v>15441</v>
      </c>
      <c r="F1228" s="2" t="s">
        <v>15442</v>
      </c>
      <c r="G1228" s="2" t="s">
        <v>15443</v>
      </c>
      <c r="H1228" s="2" t="s">
        <v>15444</v>
      </c>
    </row>
    <row r="1229">
      <c r="A1229" s="2">
        <v>1227.0</v>
      </c>
      <c r="B1229" s="5" t="s">
        <v>1865</v>
      </c>
      <c r="C1229" s="2" t="s">
        <v>1866</v>
      </c>
      <c r="D1229" s="5" t="s">
        <v>1865</v>
      </c>
      <c r="E1229" s="2" t="s">
        <v>15445</v>
      </c>
      <c r="F1229" s="2" t="s">
        <v>15442</v>
      </c>
      <c r="G1229" s="2" t="s">
        <v>15443</v>
      </c>
      <c r="H1229" s="2" t="s">
        <v>15444</v>
      </c>
    </row>
    <row r="1230">
      <c r="A1230" s="2">
        <v>1228.0</v>
      </c>
      <c r="B1230" s="5" t="s">
        <v>10518</v>
      </c>
      <c r="C1230" s="2" t="s">
        <v>10519</v>
      </c>
      <c r="D1230" s="5" t="s">
        <v>10518</v>
      </c>
      <c r="E1230" s="2" t="s">
        <v>15441</v>
      </c>
      <c r="F1230" s="2" t="s">
        <v>15442</v>
      </c>
      <c r="G1230" s="2" t="s">
        <v>15456</v>
      </c>
      <c r="H1230" s="2" t="s">
        <v>15457</v>
      </c>
    </row>
    <row r="1231">
      <c r="A1231" s="2">
        <v>1229.0</v>
      </c>
      <c r="B1231" s="5" t="s">
        <v>10520</v>
      </c>
      <c r="C1231" s="2" t="s">
        <v>10521</v>
      </c>
      <c r="D1231" s="5" t="s">
        <v>10520</v>
      </c>
      <c r="E1231" s="2" t="s">
        <v>15441</v>
      </c>
      <c r="F1231" s="2" t="s">
        <v>15446</v>
      </c>
      <c r="G1231" s="2" t="s">
        <v>15443</v>
      </c>
      <c r="H1231" s="2" t="s">
        <v>15444</v>
      </c>
    </row>
    <row r="1232">
      <c r="A1232" s="2">
        <v>1230.0</v>
      </c>
      <c r="B1232" s="5" t="s">
        <v>10522</v>
      </c>
      <c r="C1232" s="2" t="s">
        <v>10523</v>
      </c>
      <c r="D1232" s="5" t="s">
        <v>10522</v>
      </c>
      <c r="E1232" s="2" t="s">
        <v>15441</v>
      </c>
      <c r="F1232" s="2" t="s">
        <v>15442</v>
      </c>
      <c r="G1232" s="2" t="s">
        <v>15443</v>
      </c>
      <c r="H1232" s="2" t="s">
        <v>15444</v>
      </c>
    </row>
    <row r="1233">
      <c r="A1233" s="2">
        <v>1231.0</v>
      </c>
      <c r="B1233" s="5" t="s">
        <v>1868</v>
      </c>
      <c r="C1233" s="2" t="s">
        <v>1869</v>
      </c>
      <c r="D1233" s="5" t="s">
        <v>1868</v>
      </c>
      <c r="E1233" s="2" t="s">
        <v>15445</v>
      </c>
      <c r="F1233" s="2" t="s">
        <v>15442</v>
      </c>
      <c r="G1233" s="2" t="s">
        <v>15456</v>
      </c>
      <c r="H1233" s="2" t="s">
        <v>15444</v>
      </c>
    </row>
    <row r="1234">
      <c r="A1234" s="2">
        <v>1232.0</v>
      </c>
      <c r="B1234" s="5" t="s">
        <v>10524</v>
      </c>
      <c r="C1234" s="2" t="s">
        <v>10525</v>
      </c>
      <c r="D1234" s="5" t="s">
        <v>10524</v>
      </c>
      <c r="E1234" s="2" t="s">
        <v>15441</v>
      </c>
      <c r="F1234" s="2" t="s">
        <v>15446</v>
      </c>
      <c r="G1234" s="2" t="s">
        <v>15456</v>
      </c>
      <c r="H1234" s="2" t="s">
        <v>15444</v>
      </c>
    </row>
    <row r="1235">
      <c r="A1235" s="2">
        <v>1233.0</v>
      </c>
      <c r="B1235" s="5" t="s">
        <v>10526</v>
      </c>
      <c r="C1235" s="2" t="s">
        <v>10527</v>
      </c>
      <c r="D1235" s="5" t="s">
        <v>10526</v>
      </c>
      <c r="E1235" s="2" t="s">
        <v>15441</v>
      </c>
      <c r="F1235" s="2" t="s">
        <v>15446</v>
      </c>
      <c r="G1235" s="2" t="s">
        <v>15443</v>
      </c>
      <c r="H1235" s="2" t="s">
        <v>15457</v>
      </c>
    </row>
    <row r="1236">
      <c r="A1236" s="2">
        <v>1234.0</v>
      </c>
      <c r="B1236" s="5" t="s">
        <v>1871</v>
      </c>
      <c r="C1236" s="2" t="s">
        <v>1872</v>
      </c>
      <c r="D1236" s="5" t="s">
        <v>1871</v>
      </c>
      <c r="E1236" s="2" t="s">
        <v>15445</v>
      </c>
      <c r="F1236" s="2" t="s">
        <v>15446</v>
      </c>
      <c r="G1236" s="2" t="s">
        <v>15456</v>
      </c>
      <c r="H1236" s="2" t="s">
        <v>15444</v>
      </c>
    </row>
    <row r="1237">
      <c r="A1237" s="2">
        <v>1235.0</v>
      </c>
      <c r="B1237" s="5" t="s">
        <v>1874</v>
      </c>
      <c r="C1237" s="2" t="s">
        <v>1875</v>
      </c>
      <c r="D1237" s="5" t="s">
        <v>1874</v>
      </c>
      <c r="E1237" s="2" t="s">
        <v>15445</v>
      </c>
      <c r="F1237" s="2" t="s">
        <v>15446</v>
      </c>
      <c r="G1237" s="2" t="s">
        <v>15443</v>
      </c>
      <c r="H1237" s="2" t="s">
        <v>15444</v>
      </c>
    </row>
    <row r="1238">
      <c r="A1238" s="2">
        <v>1236.0</v>
      </c>
      <c r="B1238" s="5" t="s">
        <v>15482</v>
      </c>
      <c r="C1238" s="2" t="s">
        <v>15483</v>
      </c>
      <c r="D1238" s="5" t="s">
        <v>15482</v>
      </c>
      <c r="E1238" s="2" t="s">
        <v>15441</v>
      </c>
      <c r="F1238" s="2" t="s">
        <v>15446</v>
      </c>
      <c r="G1238" s="2" t="s">
        <v>15456</v>
      </c>
      <c r="H1238" s="2" t="s">
        <v>15457</v>
      </c>
    </row>
    <row r="1239">
      <c r="A1239" s="2">
        <v>1237.0</v>
      </c>
      <c r="B1239" s="5" t="s">
        <v>10528</v>
      </c>
      <c r="C1239" s="2" t="s">
        <v>10529</v>
      </c>
      <c r="D1239" s="5" t="s">
        <v>10528</v>
      </c>
      <c r="E1239" s="2" t="s">
        <v>15441</v>
      </c>
      <c r="F1239" s="2" t="s">
        <v>15446</v>
      </c>
      <c r="G1239" s="2" t="s">
        <v>15443</v>
      </c>
      <c r="H1239" s="2" t="s">
        <v>15444</v>
      </c>
    </row>
    <row r="1240">
      <c r="A1240" s="2">
        <v>1238.0</v>
      </c>
      <c r="B1240" s="5" t="s">
        <v>10530</v>
      </c>
      <c r="C1240" s="2" t="s">
        <v>10531</v>
      </c>
      <c r="D1240" s="5" t="s">
        <v>10530</v>
      </c>
      <c r="E1240" s="2" t="s">
        <v>15441</v>
      </c>
      <c r="F1240" s="2" t="s">
        <v>15446</v>
      </c>
      <c r="G1240" s="2" t="s">
        <v>15456</v>
      </c>
      <c r="H1240" s="2" t="s">
        <v>15444</v>
      </c>
    </row>
    <row r="1241">
      <c r="A1241" s="2">
        <v>1239.0</v>
      </c>
      <c r="B1241" s="5" t="s">
        <v>10532</v>
      </c>
      <c r="C1241" s="2" t="s">
        <v>10533</v>
      </c>
      <c r="D1241" s="5" t="s">
        <v>10532</v>
      </c>
      <c r="E1241" s="2" t="s">
        <v>15441</v>
      </c>
      <c r="F1241" s="2" t="s">
        <v>15446</v>
      </c>
      <c r="G1241" s="2" t="s">
        <v>15456</v>
      </c>
      <c r="H1241" s="2" t="s">
        <v>15444</v>
      </c>
    </row>
    <row r="1242">
      <c r="A1242" s="2">
        <v>1240.0</v>
      </c>
      <c r="B1242" s="5" t="s">
        <v>1877</v>
      </c>
      <c r="C1242" s="2" t="s">
        <v>1878</v>
      </c>
      <c r="D1242" s="5" t="s">
        <v>1877</v>
      </c>
      <c r="E1242" s="2" t="s">
        <v>15445</v>
      </c>
      <c r="F1242" s="2" t="s">
        <v>15442</v>
      </c>
      <c r="G1242" s="2" t="s">
        <v>15443</v>
      </c>
      <c r="H1242" s="2" t="s">
        <v>15444</v>
      </c>
    </row>
    <row r="1243">
      <c r="A1243" s="2">
        <v>1241.0</v>
      </c>
      <c r="B1243" s="5" t="s">
        <v>10534</v>
      </c>
      <c r="C1243" s="2" t="s">
        <v>10535</v>
      </c>
      <c r="D1243" s="5" t="s">
        <v>10534</v>
      </c>
      <c r="E1243" s="2" t="s">
        <v>15441</v>
      </c>
      <c r="F1243" s="2" t="s">
        <v>15442</v>
      </c>
      <c r="G1243" s="2" t="s">
        <v>15443</v>
      </c>
      <c r="H1243" s="2" t="s">
        <v>15444</v>
      </c>
    </row>
    <row r="1244">
      <c r="A1244" s="2">
        <v>1242.0</v>
      </c>
      <c r="B1244" s="5" t="s">
        <v>10536</v>
      </c>
      <c r="C1244" s="2" t="s">
        <v>10537</v>
      </c>
      <c r="D1244" s="5" t="s">
        <v>10536</v>
      </c>
      <c r="E1244" s="2" t="s">
        <v>15441</v>
      </c>
      <c r="F1244" s="2" t="s">
        <v>15442</v>
      </c>
      <c r="G1244" s="2" t="s">
        <v>15443</v>
      </c>
      <c r="H1244" s="2" t="s">
        <v>15444</v>
      </c>
    </row>
    <row r="1245">
      <c r="A1245" s="2">
        <v>1243.0</v>
      </c>
      <c r="B1245" s="5" t="s">
        <v>1880</v>
      </c>
      <c r="C1245" s="2" t="s">
        <v>1881</v>
      </c>
      <c r="D1245" s="5" t="s">
        <v>1880</v>
      </c>
      <c r="E1245" s="2" t="s">
        <v>15445</v>
      </c>
      <c r="F1245" s="2" t="s">
        <v>15446</v>
      </c>
      <c r="G1245" s="2" t="s">
        <v>15443</v>
      </c>
      <c r="H1245" s="2" t="s">
        <v>15444</v>
      </c>
    </row>
    <row r="1246">
      <c r="A1246" s="2">
        <v>1244.0</v>
      </c>
      <c r="B1246" s="5" t="s">
        <v>1883</v>
      </c>
      <c r="C1246" s="2" t="s">
        <v>1884</v>
      </c>
      <c r="D1246" s="5" t="s">
        <v>1883</v>
      </c>
      <c r="E1246" s="2" t="s">
        <v>15445</v>
      </c>
      <c r="F1246" s="2" t="s">
        <v>15442</v>
      </c>
      <c r="G1246" s="2" t="s">
        <v>15443</v>
      </c>
      <c r="H1246" s="2" t="s">
        <v>15444</v>
      </c>
    </row>
    <row r="1247">
      <c r="A1247" s="2">
        <v>1245.0</v>
      </c>
      <c r="B1247" s="5" t="s">
        <v>1886</v>
      </c>
      <c r="C1247" s="2" t="s">
        <v>1887</v>
      </c>
      <c r="D1247" s="5" t="s">
        <v>1886</v>
      </c>
      <c r="E1247" s="2" t="s">
        <v>15445</v>
      </c>
      <c r="F1247" s="2" t="s">
        <v>15446</v>
      </c>
      <c r="G1247" s="2" t="s">
        <v>15443</v>
      </c>
      <c r="H1247" s="2" t="s">
        <v>15444</v>
      </c>
    </row>
    <row r="1248">
      <c r="A1248" s="2">
        <v>1246.0</v>
      </c>
      <c r="B1248" s="5" t="s">
        <v>1889</v>
      </c>
      <c r="C1248" s="2" t="s">
        <v>1890</v>
      </c>
      <c r="D1248" s="5" t="s">
        <v>1889</v>
      </c>
      <c r="E1248" s="2" t="s">
        <v>15445</v>
      </c>
      <c r="F1248" s="2" t="s">
        <v>15442</v>
      </c>
      <c r="G1248" s="2" t="s">
        <v>15443</v>
      </c>
      <c r="H1248" s="2" t="s">
        <v>15444</v>
      </c>
    </row>
    <row r="1249">
      <c r="A1249" s="2">
        <v>1247.0</v>
      </c>
      <c r="B1249" s="5" t="s">
        <v>1892</v>
      </c>
      <c r="C1249" s="2" t="s">
        <v>1893</v>
      </c>
      <c r="D1249" s="5" t="s">
        <v>1892</v>
      </c>
      <c r="E1249" s="2" t="s">
        <v>15445</v>
      </c>
      <c r="F1249" s="2" t="s">
        <v>15442</v>
      </c>
      <c r="G1249" s="2" t="s">
        <v>15443</v>
      </c>
      <c r="H1249" s="2" t="s">
        <v>15444</v>
      </c>
    </row>
    <row r="1250">
      <c r="A1250" s="2">
        <v>1248.0</v>
      </c>
      <c r="B1250" s="5" t="s">
        <v>1895</v>
      </c>
      <c r="C1250" s="2" t="s">
        <v>1896</v>
      </c>
      <c r="D1250" s="5" t="s">
        <v>1895</v>
      </c>
      <c r="E1250" s="2" t="s">
        <v>15445</v>
      </c>
      <c r="F1250" s="2" t="s">
        <v>15442</v>
      </c>
      <c r="G1250" s="2" t="s">
        <v>15443</v>
      </c>
      <c r="H1250" s="2" t="s">
        <v>15444</v>
      </c>
    </row>
    <row r="1251">
      <c r="A1251" s="2">
        <v>1249.0</v>
      </c>
      <c r="B1251" s="5" t="s">
        <v>10538</v>
      </c>
      <c r="C1251" s="2" t="s">
        <v>10539</v>
      </c>
      <c r="D1251" s="5" t="s">
        <v>10538</v>
      </c>
      <c r="E1251" s="2" t="s">
        <v>15441</v>
      </c>
      <c r="F1251" s="2" t="s">
        <v>15442</v>
      </c>
      <c r="G1251" s="2" t="s">
        <v>15443</v>
      </c>
      <c r="H1251" s="2" t="s">
        <v>15444</v>
      </c>
    </row>
    <row r="1252">
      <c r="A1252" s="2">
        <v>1250.0</v>
      </c>
      <c r="B1252" s="5" t="s">
        <v>10540</v>
      </c>
      <c r="C1252" s="2" t="s">
        <v>10541</v>
      </c>
      <c r="D1252" s="5" t="s">
        <v>10540</v>
      </c>
      <c r="E1252" s="2" t="s">
        <v>15441</v>
      </c>
      <c r="F1252" s="2" t="s">
        <v>15442</v>
      </c>
      <c r="G1252" s="2" t="s">
        <v>15443</v>
      </c>
      <c r="H1252" s="2" t="s">
        <v>15444</v>
      </c>
    </row>
    <row r="1253">
      <c r="A1253" s="2">
        <v>1251.0</v>
      </c>
      <c r="B1253" s="5" t="s">
        <v>10542</v>
      </c>
      <c r="C1253" s="2" t="s">
        <v>10543</v>
      </c>
      <c r="D1253" s="5" t="s">
        <v>10542</v>
      </c>
      <c r="E1253" s="2" t="s">
        <v>15441</v>
      </c>
      <c r="F1253" s="2" t="s">
        <v>15442</v>
      </c>
      <c r="G1253" s="2" t="s">
        <v>15443</v>
      </c>
      <c r="H1253" s="2" t="s">
        <v>15444</v>
      </c>
    </row>
    <row r="1254">
      <c r="A1254" s="2">
        <v>1252.0</v>
      </c>
      <c r="B1254" s="5" t="s">
        <v>10544</v>
      </c>
      <c r="C1254" s="2" t="s">
        <v>10545</v>
      </c>
      <c r="D1254" s="5" t="s">
        <v>10544</v>
      </c>
      <c r="E1254" s="2" t="s">
        <v>15441</v>
      </c>
      <c r="F1254" s="2" t="s">
        <v>15446</v>
      </c>
      <c r="G1254" s="2" t="s">
        <v>15456</v>
      </c>
      <c r="H1254" s="2" t="s">
        <v>15444</v>
      </c>
    </row>
    <row r="1255">
      <c r="A1255" s="2">
        <v>1253.0</v>
      </c>
      <c r="B1255" s="5" t="s">
        <v>10546</v>
      </c>
      <c r="C1255" s="2" t="s">
        <v>10547</v>
      </c>
      <c r="D1255" s="5" t="s">
        <v>10546</v>
      </c>
      <c r="E1255" s="2" t="s">
        <v>15441</v>
      </c>
      <c r="F1255" s="2" t="s">
        <v>15446</v>
      </c>
      <c r="G1255" s="2" t="s">
        <v>15456</v>
      </c>
      <c r="H1255" s="2" t="s">
        <v>15457</v>
      </c>
    </row>
    <row r="1256">
      <c r="A1256" s="2">
        <v>1254.0</v>
      </c>
      <c r="B1256" s="5" t="s">
        <v>1898</v>
      </c>
      <c r="C1256" s="2" t="s">
        <v>1899</v>
      </c>
      <c r="D1256" s="5" t="s">
        <v>1898</v>
      </c>
      <c r="E1256" s="2" t="s">
        <v>15445</v>
      </c>
      <c r="F1256" s="2" t="s">
        <v>15446</v>
      </c>
      <c r="G1256" s="2" t="s">
        <v>15456</v>
      </c>
      <c r="H1256" s="2" t="s">
        <v>15444</v>
      </c>
    </row>
    <row r="1257">
      <c r="A1257" s="2">
        <v>1255.0</v>
      </c>
      <c r="B1257" s="5" t="s">
        <v>10548</v>
      </c>
      <c r="C1257" s="2" t="s">
        <v>10549</v>
      </c>
      <c r="D1257" s="5" t="s">
        <v>10548</v>
      </c>
      <c r="E1257" s="2" t="s">
        <v>15441</v>
      </c>
      <c r="F1257" s="2" t="s">
        <v>15442</v>
      </c>
      <c r="G1257" s="2" t="s">
        <v>15443</v>
      </c>
      <c r="H1257" s="2" t="s">
        <v>15444</v>
      </c>
    </row>
    <row r="1258">
      <c r="A1258" s="2">
        <v>1256.0</v>
      </c>
      <c r="B1258" s="5" t="s">
        <v>1901</v>
      </c>
      <c r="C1258" s="2" t="s">
        <v>1902</v>
      </c>
      <c r="D1258" s="5" t="s">
        <v>1901</v>
      </c>
      <c r="E1258" s="2" t="s">
        <v>15445</v>
      </c>
      <c r="F1258" s="2" t="s">
        <v>15442</v>
      </c>
      <c r="G1258" s="2" t="s">
        <v>15456</v>
      </c>
      <c r="H1258" s="2" t="s">
        <v>15444</v>
      </c>
    </row>
    <row r="1259">
      <c r="A1259" s="2">
        <v>1257.0</v>
      </c>
      <c r="B1259" s="5" t="s">
        <v>1904</v>
      </c>
      <c r="C1259" s="2" t="s">
        <v>1905</v>
      </c>
      <c r="D1259" s="5" t="s">
        <v>1904</v>
      </c>
      <c r="E1259" s="2" t="s">
        <v>15445</v>
      </c>
      <c r="F1259" s="2" t="s">
        <v>15446</v>
      </c>
      <c r="G1259" s="2" t="s">
        <v>15456</v>
      </c>
      <c r="H1259" s="2" t="s">
        <v>15444</v>
      </c>
    </row>
    <row r="1260">
      <c r="A1260" s="2">
        <v>1258.0</v>
      </c>
      <c r="B1260" s="5" t="s">
        <v>1907</v>
      </c>
      <c r="C1260" s="2" t="s">
        <v>1908</v>
      </c>
      <c r="D1260" s="5" t="s">
        <v>1907</v>
      </c>
      <c r="E1260" s="2" t="s">
        <v>15445</v>
      </c>
      <c r="F1260" s="2" t="s">
        <v>15446</v>
      </c>
      <c r="G1260" s="2" t="s">
        <v>15443</v>
      </c>
      <c r="H1260" s="2" t="s">
        <v>15444</v>
      </c>
    </row>
    <row r="1261">
      <c r="A1261" s="2">
        <v>1259.0</v>
      </c>
      <c r="B1261" s="5" t="s">
        <v>10550</v>
      </c>
      <c r="C1261" s="2" t="s">
        <v>10551</v>
      </c>
      <c r="D1261" s="5" t="s">
        <v>10550</v>
      </c>
      <c r="E1261" s="2" t="s">
        <v>15441</v>
      </c>
      <c r="F1261" s="2" t="s">
        <v>15446</v>
      </c>
      <c r="G1261" s="2" t="s">
        <v>15443</v>
      </c>
      <c r="H1261" s="2" t="s">
        <v>15444</v>
      </c>
    </row>
    <row r="1262">
      <c r="A1262" s="2">
        <v>1260.0</v>
      </c>
      <c r="B1262" s="5" t="s">
        <v>1910</v>
      </c>
      <c r="C1262" s="2" t="s">
        <v>1911</v>
      </c>
      <c r="D1262" s="5" t="s">
        <v>1910</v>
      </c>
      <c r="E1262" s="2" t="s">
        <v>15445</v>
      </c>
      <c r="F1262" s="2" t="s">
        <v>15446</v>
      </c>
      <c r="G1262" s="2" t="s">
        <v>15443</v>
      </c>
      <c r="H1262" s="2" t="s">
        <v>15444</v>
      </c>
    </row>
    <row r="1263">
      <c r="A1263" s="2">
        <v>1261.0</v>
      </c>
      <c r="B1263" s="5" t="s">
        <v>10552</v>
      </c>
      <c r="C1263" s="2" t="s">
        <v>10553</v>
      </c>
      <c r="D1263" s="5" t="s">
        <v>10552</v>
      </c>
      <c r="E1263" s="2" t="s">
        <v>15441</v>
      </c>
      <c r="F1263" s="2" t="s">
        <v>15446</v>
      </c>
      <c r="G1263" s="2" t="s">
        <v>15456</v>
      </c>
      <c r="H1263" s="2" t="s">
        <v>15444</v>
      </c>
    </row>
    <row r="1264">
      <c r="A1264" s="2">
        <v>1262.0</v>
      </c>
      <c r="B1264" s="5" t="s">
        <v>1913</v>
      </c>
      <c r="C1264" s="2" t="s">
        <v>1914</v>
      </c>
      <c r="D1264" s="5" t="s">
        <v>1913</v>
      </c>
      <c r="E1264" s="2" t="s">
        <v>15445</v>
      </c>
      <c r="F1264" s="2" t="s">
        <v>15446</v>
      </c>
      <c r="G1264" s="2" t="s">
        <v>15456</v>
      </c>
      <c r="H1264" s="2" t="s">
        <v>15444</v>
      </c>
    </row>
    <row r="1265">
      <c r="A1265" s="2">
        <v>1263.0</v>
      </c>
      <c r="B1265" s="5" t="s">
        <v>1916</v>
      </c>
      <c r="C1265" s="2" t="s">
        <v>1917</v>
      </c>
      <c r="D1265" s="5" t="s">
        <v>1916</v>
      </c>
      <c r="E1265" s="2" t="s">
        <v>15445</v>
      </c>
      <c r="F1265" s="2" t="s">
        <v>15446</v>
      </c>
      <c r="G1265" s="2" t="s">
        <v>15456</v>
      </c>
      <c r="H1265" s="2" t="s">
        <v>15444</v>
      </c>
    </row>
    <row r="1266">
      <c r="A1266" s="2">
        <v>1264.0</v>
      </c>
      <c r="B1266" s="5" t="s">
        <v>10554</v>
      </c>
      <c r="C1266" s="2" t="s">
        <v>10555</v>
      </c>
      <c r="D1266" s="5" t="s">
        <v>10554</v>
      </c>
      <c r="E1266" s="2" t="s">
        <v>15441</v>
      </c>
      <c r="F1266" s="2" t="s">
        <v>15446</v>
      </c>
      <c r="G1266" s="2" t="s">
        <v>15456</v>
      </c>
      <c r="H1266" s="2" t="s">
        <v>15455</v>
      </c>
    </row>
    <row r="1267">
      <c r="A1267" s="2">
        <v>1265.0</v>
      </c>
      <c r="B1267" s="5" t="s">
        <v>1919</v>
      </c>
      <c r="C1267" s="2" t="s">
        <v>1920</v>
      </c>
      <c r="D1267" s="5" t="s">
        <v>1919</v>
      </c>
      <c r="E1267" s="2" t="s">
        <v>15445</v>
      </c>
      <c r="F1267" s="2" t="s">
        <v>15442</v>
      </c>
      <c r="G1267" s="2" t="s">
        <v>15443</v>
      </c>
      <c r="H1267" s="2" t="s">
        <v>15444</v>
      </c>
    </row>
    <row r="1268">
      <c r="A1268" s="2">
        <v>1266.0</v>
      </c>
      <c r="B1268" s="5" t="s">
        <v>1922</v>
      </c>
      <c r="C1268" s="2" t="s">
        <v>1923</v>
      </c>
      <c r="D1268" s="5" t="s">
        <v>1922</v>
      </c>
      <c r="E1268" s="2" t="s">
        <v>15445</v>
      </c>
      <c r="F1268" s="2" t="s">
        <v>15442</v>
      </c>
      <c r="G1268" s="2" t="s">
        <v>15443</v>
      </c>
      <c r="H1268" s="2" t="s">
        <v>15444</v>
      </c>
    </row>
    <row r="1269">
      <c r="A1269" s="2">
        <v>1267.0</v>
      </c>
      <c r="B1269" s="5" t="s">
        <v>10556</v>
      </c>
      <c r="C1269" s="2" t="s">
        <v>10557</v>
      </c>
      <c r="D1269" s="5" t="s">
        <v>10556</v>
      </c>
      <c r="E1269" s="2" t="s">
        <v>15441</v>
      </c>
      <c r="F1269" s="2" t="s">
        <v>15446</v>
      </c>
      <c r="G1269" s="2" t="s">
        <v>15456</v>
      </c>
      <c r="H1269" s="2" t="s">
        <v>15444</v>
      </c>
    </row>
    <row r="1270">
      <c r="A1270" s="2">
        <v>1268.0</v>
      </c>
      <c r="B1270" s="5" t="s">
        <v>1925</v>
      </c>
      <c r="C1270" s="2" t="s">
        <v>1926</v>
      </c>
      <c r="D1270" s="5" t="s">
        <v>1925</v>
      </c>
      <c r="E1270" s="2" t="s">
        <v>15445</v>
      </c>
      <c r="F1270" s="2" t="s">
        <v>15446</v>
      </c>
      <c r="G1270" s="2" t="s">
        <v>15456</v>
      </c>
      <c r="H1270" s="2" t="s">
        <v>15444</v>
      </c>
    </row>
    <row r="1271">
      <c r="A1271" s="2">
        <v>1269.0</v>
      </c>
      <c r="B1271" s="5" t="s">
        <v>10558</v>
      </c>
      <c r="C1271" s="2" t="s">
        <v>10559</v>
      </c>
      <c r="D1271" s="5" t="s">
        <v>10558</v>
      </c>
      <c r="E1271" s="2" t="s">
        <v>15441</v>
      </c>
      <c r="F1271" s="2" t="s">
        <v>15446</v>
      </c>
      <c r="G1271" s="2" t="s">
        <v>15456</v>
      </c>
      <c r="H1271" s="2" t="s">
        <v>15457</v>
      </c>
    </row>
    <row r="1272">
      <c r="A1272" s="2">
        <v>1270.0</v>
      </c>
      <c r="B1272" s="5" t="s">
        <v>10560</v>
      </c>
      <c r="C1272" s="2" t="s">
        <v>10561</v>
      </c>
      <c r="D1272" s="5" t="s">
        <v>10560</v>
      </c>
      <c r="E1272" s="2" t="s">
        <v>15441</v>
      </c>
      <c r="F1272" s="2" t="s">
        <v>15442</v>
      </c>
      <c r="G1272" s="2" t="s">
        <v>15443</v>
      </c>
      <c r="H1272" s="2" t="s">
        <v>15457</v>
      </c>
    </row>
    <row r="1273">
      <c r="A1273" s="2">
        <v>1271.0</v>
      </c>
      <c r="B1273" s="5" t="s">
        <v>10562</v>
      </c>
      <c r="C1273" s="2" t="s">
        <v>10563</v>
      </c>
      <c r="D1273" s="5" t="s">
        <v>10562</v>
      </c>
      <c r="E1273" s="2" t="s">
        <v>15441</v>
      </c>
      <c r="F1273" s="2" t="s">
        <v>15446</v>
      </c>
      <c r="G1273" s="2" t="s">
        <v>15456</v>
      </c>
      <c r="H1273" s="2" t="s">
        <v>15457</v>
      </c>
    </row>
    <row r="1274">
      <c r="A1274" s="2">
        <v>1272.0</v>
      </c>
      <c r="B1274" s="5" t="s">
        <v>1928</v>
      </c>
      <c r="C1274" s="2" t="s">
        <v>1929</v>
      </c>
      <c r="D1274" s="5" t="s">
        <v>1928</v>
      </c>
      <c r="E1274" s="2" t="s">
        <v>15445</v>
      </c>
      <c r="F1274" s="2" t="s">
        <v>15446</v>
      </c>
      <c r="G1274" s="2" t="s">
        <v>15456</v>
      </c>
      <c r="H1274" s="2" t="s">
        <v>15444</v>
      </c>
    </row>
    <row r="1275">
      <c r="A1275" s="2">
        <v>1273.0</v>
      </c>
      <c r="B1275" s="5" t="s">
        <v>10564</v>
      </c>
      <c r="C1275" s="2" t="s">
        <v>10565</v>
      </c>
      <c r="D1275" s="5" t="s">
        <v>10564</v>
      </c>
      <c r="E1275" s="2" t="s">
        <v>15441</v>
      </c>
      <c r="F1275" s="2" t="s">
        <v>15446</v>
      </c>
      <c r="G1275" s="2" t="s">
        <v>15456</v>
      </c>
      <c r="H1275" s="2" t="s">
        <v>15444</v>
      </c>
    </row>
    <row r="1276">
      <c r="A1276" s="2">
        <v>1274.0</v>
      </c>
      <c r="B1276" s="5" t="s">
        <v>1931</v>
      </c>
      <c r="C1276" s="2" t="s">
        <v>1932</v>
      </c>
      <c r="D1276" s="5" t="s">
        <v>1931</v>
      </c>
      <c r="E1276" s="2" t="s">
        <v>15445</v>
      </c>
      <c r="F1276" s="2" t="s">
        <v>15442</v>
      </c>
      <c r="G1276" s="2" t="s">
        <v>15443</v>
      </c>
      <c r="H1276" s="2" t="s">
        <v>15444</v>
      </c>
    </row>
    <row r="1277">
      <c r="A1277" s="2">
        <v>1275.0</v>
      </c>
      <c r="B1277" s="5" t="s">
        <v>1934</v>
      </c>
      <c r="C1277" s="2" t="s">
        <v>1935</v>
      </c>
      <c r="D1277" s="5" t="s">
        <v>1934</v>
      </c>
      <c r="E1277" s="2" t="s">
        <v>15445</v>
      </c>
      <c r="F1277" s="2" t="s">
        <v>15446</v>
      </c>
      <c r="G1277" s="2" t="s">
        <v>15443</v>
      </c>
      <c r="H1277" s="2" t="s">
        <v>15444</v>
      </c>
    </row>
    <row r="1278">
      <c r="A1278" s="2">
        <v>1276.0</v>
      </c>
      <c r="B1278" s="5" t="s">
        <v>10566</v>
      </c>
      <c r="C1278" s="2" t="s">
        <v>10567</v>
      </c>
      <c r="D1278" s="5" t="s">
        <v>10566</v>
      </c>
      <c r="E1278" s="2" t="s">
        <v>15441</v>
      </c>
      <c r="F1278" s="2" t="s">
        <v>15446</v>
      </c>
      <c r="G1278" s="2" t="s">
        <v>15456</v>
      </c>
      <c r="H1278" s="2" t="s">
        <v>15444</v>
      </c>
    </row>
    <row r="1279">
      <c r="A1279" s="2">
        <v>1277.0</v>
      </c>
      <c r="B1279" s="5" t="s">
        <v>1937</v>
      </c>
      <c r="C1279" s="2" t="s">
        <v>1938</v>
      </c>
      <c r="D1279" s="5" t="s">
        <v>1937</v>
      </c>
      <c r="E1279" s="2" t="s">
        <v>15445</v>
      </c>
      <c r="F1279" s="2" t="s">
        <v>15442</v>
      </c>
      <c r="G1279" s="2" t="s">
        <v>15443</v>
      </c>
      <c r="H1279" s="2" t="s">
        <v>15444</v>
      </c>
    </row>
    <row r="1280">
      <c r="A1280" s="2">
        <v>1278.0</v>
      </c>
      <c r="B1280" s="5" t="s">
        <v>10568</v>
      </c>
      <c r="C1280" s="2" t="s">
        <v>10569</v>
      </c>
      <c r="D1280" s="5" t="s">
        <v>10568</v>
      </c>
      <c r="E1280" s="2" t="s">
        <v>15441</v>
      </c>
      <c r="F1280" s="2" t="s">
        <v>15442</v>
      </c>
      <c r="G1280" s="2" t="s">
        <v>15443</v>
      </c>
      <c r="H1280" s="2" t="s">
        <v>15457</v>
      </c>
    </row>
    <row r="1281">
      <c r="A1281" s="2">
        <v>1279.0</v>
      </c>
      <c r="B1281" s="5" t="s">
        <v>10570</v>
      </c>
      <c r="C1281" s="2" t="s">
        <v>10571</v>
      </c>
      <c r="D1281" s="5" t="s">
        <v>10570</v>
      </c>
      <c r="E1281" s="2" t="s">
        <v>15441</v>
      </c>
      <c r="F1281" s="2" t="s">
        <v>15446</v>
      </c>
      <c r="G1281" s="2" t="s">
        <v>15456</v>
      </c>
      <c r="H1281" s="2" t="s">
        <v>15444</v>
      </c>
    </row>
    <row r="1282">
      <c r="A1282" s="2">
        <v>1280.0</v>
      </c>
      <c r="B1282" s="5" t="s">
        <v>10572</v>
      </c>
      <c r="C1282" s="2" t="s">
        <v>10573</v>
      </c>
      <c r="D1282" s="5" t="s">
        <v>10572</v>
      </c>
      <c r="E1282" s="2" t="s">
        <v>15441</v>
      </c>
      <c r="F1282" s="2" t="s">
        <v>15446</v>
      </c>
      <c r="G1282" s="2" t="s">
        <v>15456</v>
      </c>
      <c r="H1282" s="2" t="s">
        <v>15444</v>
      </c>
    </row>
    <row r="1283">
      <c r="A1283" s="2">
        <v>1281.0</v>
      </c>
      <c r="B1283" s="5" t="s">
        <v>1940</v>
      </c>
      <c r="C1283" s="2" t="s">
        <v>1941</v>
      </c>
      <c r="D1283" s="5" t="s">
        <v>1940</v>
      </c>
      <c r="E1283" s="2" t="s">
        <v>15445</v>
      </c>
      <c r="F1283" s="2" t="s">
        <v>15442</v>
      </c>
      <c r="G1283" s="2" t="s">
        <v>15456</v>
      </c>
      <c r="H1283" s="2" t="s">
        <v>15444</v>
      </c>
    </row>
    <row r="1284">
      <c r="A1284" s="2">
        <v>1282.0</v>
      </c>
      <c r="B1284" s="5" t="s">
        <v>10574</v>
      </c>
      <c r="C1284" s="2" t="s">
        <v>10575</v>
      </c>
      <c r="D1284" s="5" t="s">
        <v>10574</v>
      </c>
      <c r="E1284" s="2" t="s">
        <v>15441</v>
      </c>
      <c r="F1284" s="2" t="s">
        <v>15446</v>
      </c>
      <c r="G1284" s="2" t="s">
        <v>15456</v>
      </c>
      <c r="H1284" s="2" t="s">
        <v>15444</v>
      </c>
    </row>
    <row r="1285">
      <c r="A1285" s="2">
        <v>1283.0</v>
      </c>
      <c r="B1285" s="5" t="s">
        <v>1943</v>
      </c>
      <c r="C1285" s="2" t="s">
        <v>1944</v>
      </c>
      <c r="D1285" s="5" t="s">
        <v>1943</v>
      </c>
      <c r="E1285" s="2" t="s">
        <v>15445</v>
      </c>
      <c r="F1285" s="2" t="s">
        <v>15446</v>
      </c>
      <c r="G1285" s="2" t="s">
        <v>15456</v>
      </c>
      <c r="H1285" s="2" t="s">
        <v>15444</v>
      </c>
    </row>
    <row r="1286">
      <c r="A1286" s="2">
        <v>1284.0</v>
      </c>
      <c r="B1286" s="5" t="s">
        <v>10576</v>
      </c>
      <c r="C1286" s="2" t="s">
        <v>10577</v>
      </c>
      <c r="D1286" s="5" t="s">
        <v>10576</v>
      </c>
      <c r="E1286" s="2" t="s">
        <v>15441</v>
      </c>
      <c r="F1286" s="2" t="s">
        <v>15446</v>
      </c>
      <c r="G1286" s="2" t="s">
        <v>15443</v>
      </c>
      <c r="H1286" s="2" t="s">
        <v>15444</v>
      </c>
    </row>
    <row r="1287">
      <c r="A1287" s="2">
        <v>1285.0</v>
      </c>
      <c r="B1287" s="5" t="s">
        <v>10578</v>
      </c>
      <c r="C1287" s="2" t="s">
        <v>10579</v>
      </c>
      <c r="D1287" s="5" t="s">
        <v>10578</v>
      </c>
      <c r="E1287" s="2" t="s">
        <v>15441</v>
      </c>
      <c r="F1287" s="2" t="s">
        <v>15442</v>
      </c>
      <c r="G1287" s="2" t="s">
        <v>15443</v>
      </c>
      <c r="H1287" s="2" t="s">
        <v>15444</v>
      </c>
    </row>
    <row r="1288">
      <c r="A1288" s="2">
        <v>1286.0</v>
      </c>
      <c r="B1288" s="5" t="s">
        <v>1946</v>
      </c>
      <c r="C1288" s="2" t="s">
        <v>1947</v>
      </c>
      <c r="D1288" s="5" t="s">
        <v>1946</v>
      </c>
      <c r="E1288" s="2" t="s">
        <v>15445</v>
      </c>
      <c r="F1288" s="2" t="s">
        <v>15442</v>
      </c>
      <c r="G1288" s="2" t="s">
        <v>15456</v>
      </c>
      <c r="H1288" s="2" t="s">
        <v>15444</v>
      </c>
    </row>
    <row r="1289">
      <c r="A1289" s="2">
        <v>1287.0</v>
      </c>
      <c r="B1289" s="5" t="s">
        <v>1949</v>
      </c>
      <c r="C1289" s="2" t="s">
        <v>1950</v>
      </c>
      <c r="D1289" s="5" t="s">
        <v>1949</v>
      </c>
      <c r="E1289" s="2" t="s">
        <v>15445</v>
      </c>
      <c r="F1289" s="2" t="s">
        <v>15446</v>
      </c>
      <c r="G1289" s="2" t="s">
        <v>15443</v>
      </c>
      <c r="H1289" s="2" t="s">
        <v>15444</v>
      </c>
    </row>
    <row r="1290">
      <c r="A1290" s="2">
        <v>1288.0</v>
      </c>
      <c r="B1290" s="5" t="s">
        <v>1952</v>
      </c>
      <c r="C1290" s="2" t="s">
        <v>1953</v>
      </c>
      <c r="D1290" s="5" t="s">
        <v>1952</v>
      </c>
      <c r="E1290" s="2" t="s">
        <v>15445</v>
      </c>
      <c r="F1290" s="2" t="s">
        <v>15446</v>
      </c>
      <c r="G1290" s="2" t="s">
        <v>15456</v>
      </c>
      <c r="H1290" s="2" t="s">
        <v>15444</v>
      </c>
    </row>
    <row r="1291">
      <c r="A1291" s="2">
        <v>1289.0</v>
      </c>
      <c r="B1291" s="5" t="s">
        <v>1955</v>
      </c>
      <c r="C1291" s="2" t="s">
        <v>1956</v>
      </c>
      <c r="D1291" s="5" t="s">
        <v>1955</v>
      </c>
      <c r="E1291" s="2" t="s">
        <v>15445</v>
      </c>
      <c r="F1291" s="2" t="s">
        <v>15442</v>
      </c>
      <c r="G1291" s="2" t="s">
        <v>15456</v>
      </c>
      <c r="H1291" s="2" t="s">
        <v>15444</v>
      </c>
    </row>
    <row r="1292">
      <c r="A1292" s="2">
        <v>1290.0</v>
      </c>
      <c r="B1292" s="5" t="s">
        <v>10580</v>
      </c>
      <c r="C1292" s="2" t="s">
        <v>10581</v>
      </c>
      <c r="D1292" s="5" t="s">
        <v>10580</v>
      </c>
      <c r="E1292" s="2" t="s">
        <v>15441</v>
      </c>
      <c r="F1292" s="2" t="s">
        <v>15442</v>
      </c>
      <c r="G1292" s="2" t="s">
        <v>15456</v>
      </c>
      <c r="H1292" s="2" t="s">
        <v>15444</v>
      </c>
    </row>
    <row r="1293">
      <c r="A1293" s="2">
        <v>1291.0</v>
      </c>
      <c r="B1293" s="5" t="s">
        <v>10582</v>
      </c>
      <c r="C1293" s="2" t="s">
        <v>10583</v>
      </c>
      <c r="D1293" s="5" t="s">
        <v>10582</v>
      </c>
      <c r="E1293" s="2" t="s">
        <v>15441</v>
      </c>
      <c r="F1293" s="2" t="s">
        <v>15442</v>
      </c>
      <c r="G1293" s="2" t="s">
        <v>15443</v>
      </c>
      <c r="H1293" s="2" t="s">
        <v>15444</v>
      </c>
    </row>
    <row r="1294">
      <c r="A1294" s="2">
        <v>1292.0</v>
      </c>
      <c r="B1294" s="5" t="s">
        <v>10584</v>
      </c>
      <c r="C1294" s="2" t="s">
        <v>10585</v>
      </c>
      <c r="D1294" s="5" t="s">
        <v>10584</v>
      </c>
      <c r="E1294" s="2" t="s">
        <v>15441</v>
      </c>
      <c r="F1294" s="2" t="s">
        <v>15446</v>
      </c>
      <c r="G1294" s="2" t="s">
        <v>15456</v>
      </c>
      <c r="H1294" s="2" t="s">
        <v>15444</v>
      </c>
    </row>
    <row r="1295">
      <c r="A1295" s="2">
        <v>1293.0</v>
      </c>
      <c r="B1295" s="5" t="s">
        <v>1958</v>
      </c>
      <c r="C1295" s="2" t="s">
        <v>1959</v>
      </c>
      <c r="D1295" s="5" t="s">
        <v>1958</v>
      </c>
      <c r="E1295" s="2" t="s">
        <v>15445</v>
      </c>
      <c r="F1295" s="2" t="s">
        <v>15446</v>
      </c>
      <c r="G1295" s="2" t="s">
        <v>15443</v>
      </c>
      <c r="H1295" s="2" t="s">
        <v>15444</v>
      </c>
    </row>
    <row r="1296">
      <c r="A1296" s="2">
        <v>1294.0</v>
      </c>
      <c r="B1296" s="5" t="s">
        <v>1961</v>
      </c>
      <c r="C1296" s="2" t="s">
        <v>1962</v>
      </c>
      <c r="D1296" s="5" t="s">
        <v>1961</v>
      </c>
      <c r="E1296" s="2" t="s">
        <v>15445</v>
      </c>
      <c r="F1296" s="2" t="s">
        <v>15446</v>
      </c>
      <c r="G1296" s="2" t="s">
        <v>15443</v>
      </c>
      <c r="H1296" s="2" t="s">
        <v>15444</v>
      </c>
    </row>
    <row r="1297">
      <c r="A1297" s="2">
        <v>1295.0</v>
      </c>
      <c r="B1297" s="5" t="s">
        <v>15484</v>
      </c>
      <c r="C1297" s="2" t="s">
        <v>15485</v>
      </c>
      <c r="D1297" s="5" t="s">
        <v>15484</v>
      </c>
      <c r="E1297" s="2" t="s">
        <v>15445</v>
      </c>
      <c r="F1297" s="2" t="s">
        <v>15446</v>
      </c>
      <c r="G1297" s="2" t="s">
        <v>15456</v>
      </c>
      <c r="H1297" s="2" t="s">
        <v>15486</v>
      </c>
    </row>
    <row r="1298">
      <c r="A1298" s="2">
        <v>1296.0</v>
      </c>
      <c r="B1298" s="5" t="s">
        <v>10586</v>
      </c>
      <c r="C1298" s="2" t="s">
        <v>10587</v>
      </c>
      <c r="D1298" s="5" t="s">
        <v>10586</v>
      </c>
      <c r="E1298" s="2" t="s">
        <v>15441</v>
      </c>
      <c r="F1298" s="2" t="s">
        <v>15446</v>
      </c>
      <c r="G1298" s="2" t="s">
        <v>15456</v>
      </c>
      <c r="H1298" s="2" t="s">
        <v>15444</v>
      </c>
    </row>
    <row r="1299">
      <c r="A1299" s="2">
        <v>1297.0</v>
      </c>
      <c r="B1299" s="5" t="s">
        <v>1964</v>
      </c>
      <c r="C1299" s="2" t="s">
        <v>1965</v>
      </c>
      <c r="D1299" s="5" t="s">
        <v>1964</v>
      </c>
      <c r="E1299" s="2" t="s">
        <v>15445</v>
      </c>
      <c r="F1299" s="2" t="s">
        <v>15442</v>
      </c>
      <c r="G1299" s="2" t="s">
        <v>15456</v>
      </c>
      <c r="H1299" s="2" t="s">
        <v>15444</v>
      </c>
    </row>
    <row r="1300">
      <c r="A1300" s="2">
        <v>1298.0</v>
      </c>
      <c r="B1300" s="5" t="s">
        <v>10588</v>
      </c>
      <c r="C1300" s="2" t="s">
        <v>10589</v>
      </c>
      <c r="D1300" s="5" t="s">
        <v>10588</v>
      </c>
      <c r="E1300" s="2" t="s">
        <v>15441</v>
      </c>
      <c r="F1300" s="2" t="s">
        <v>15442</v>
      </c>
      <c r="G1300" s="2" t="s">
        <v>15443</v>
      </c>
      <c r="H1300" s="2" t="s">
        <v>15444</v>
      </c>
    </row>
    <row r="1301">
      <c r="A1301" s="2">
        <v>1299.0</v>
      </c>
      <c r="B1301" s="5" t="s">
        <v>1967</v>
      </c>
      <c r="C1301" s="2" t="s">
        <v>1968</v>
      </c>
      <c r="D1301" s="5" t="s">
        <v>1967</v>
      </c>
      <c r="E1301" s="2" t="s">
        <v>15445</v>
      </c>
      <c r="F1301" s="2" t="s">
        <v>15446</v>
      </c>
      <c r="G1301" s="2" t="s">
        <v>15456</v>
      </c>
      <c r="H1301" s="2" t="s">
        <v>15444</v>
      </c>
    </row>
    <row r="1302">
      <c r="A1302" s="2">
        <v>1300.0</v>
      </c>
      <c r="B1302" s="5" t="s">
        <v>10590</v>
      </c>
      <c r="C1302" s="2" t="s">
        <v>10591</v>
      </c>
      <c r="D1302" s="5" t="s">
        <v>10590</v>
      </c>
      <c r="E1302" s="2" t="s">
        <v>15441</v>
      </c>
      <c r="F1302" s="2" t="s">
        <v>15442</v>
      </c>
      <c r="G1302" s="2" t="s">
        <v>15443</v>
      </c>
      <c r="H1302" s="2" t="s">
        <v>15444</v>
      </c>
    </row>
    <row r="1303">
      <c r="A1303" s="2">
        <v>1301.0</v>
      </c>
      <c r="B1303" s="5" t="s">
        <v>10592</v>
      </c>
      <c r="C1303" s="2" t="s">
        <v>10593</v>
      </c>
      <c r="D1303" s="5" t="s">
        <v>10592</v>
      </c>
      <c r="E1303" s="2" t="s">
        <v>15441</v>
      </c>
      <c r="F1303" s="2" t="s">
        <v>15442</v>
      </c>
      <c r="G1303" s="2" t="s">
        <v>15443</v>
      </c>
      <c r="H1303" s="2" t="s">
        <v>15444</v>
      </c>
    </row>
    <row r="1304">
      <c r="A1304" s="2">
        <v>1302.0</v>
      </c>
      <c r="B1304" s="5" t="s">
        <v>1970</v>
      </c>
      <c r="C1304" s="2" t="s">
        <v>1971</v>
      </c>
      <c r="D1304" s="5" t="s">
        <v>1970</v>
      </c>
      <c r="E1304" s="2" t="s">
        <v>15445</v>
      </c>
      <c r="F1304" s="2" t="s">
        <v>15442</v>
      </c>
      <c r="G1304" s="2" t="s">
        <v>15443</v>
      </c>
      <c r="H1304" s="2" t="s">
        <v>15444</v>
      </c>
    </row>
    <row r="1305">
      <c r="A1305" s="2">
        <v>1303.0</v>
      </c>
      <c r="B1305" s="5" t="s">
        <v>1973</v>
      </c>
      <c r="C1305" s="2" t="s">
        <v>1974</v>
      </c>
      <c r="D1305" s="5" t="s">
        <v>1973</v>
      </c>
      <c r="E1305" s="2" t="s">
        <v>15445</v>
      </c>
      <c r="F1305" s="2" t="s">
        <v>15442</v>
      </c>
      <c r="G1305" s="2" t="s">
        <v>15443</v>
      </c>
      <c r="H1305" s="2" t="s">
        <v>15444</v>
      </c>
    </row>
    <row r="1306">
      <c r="A1306" s="2">
        <v>1304.0</v>
      </c>
      <c r="B1306" s="5" t="s">
        <v>1976</v>
      </c>
      <c r="C1306" s="2" t="s">
        <v>1977</v>
      </c>
      <c r="D1306" s="5" t="s">
        <v>1976</v>
      </c>
      <c r="E1306" s="2" t="s">
        <v>15445</v>
      </c>
      <c r="F1306" s="2" t="s">
        <v>15446</v>
      </c>
      <c r="G1306" s="2" t="s">
        <v>15456</v>
      </c>
      <c r="H1306" s="2" t="s">
        <v>15444</v>
      </c>
    </row>
    <row r="1307">
      <c r="A1307" s="2">
        <v>1305.0</v>
      </c>
      <c r="B1307" s="5" t="s">
        <v>1979</v>
      </c>
      <c r="C1307" s="2" t="s">
        <v>1980</v>
      </c>
      <c r="D1307" s="5" t="s">
        <v>1979</v>
      </c>
      <c r="E1307" s="2" t="s">
        <v>15445</v>
      </c>
      <c r="F1307" s="2" t="s">
        <v>15446</v>
      </c>
      <c r="G1307" s="2" t="s">
        <v>15456</v>
      </c>
      <c r="H1307" s="2" t="s">
        <v>15444</v>
      </c>
    </row>
    <row r="1308">
      <c r="A1308" s="2">
        <v>1306.0</v>
      </c>
      <c r="B1308" s="5" t="s">
        <v>10594</v>
      </c>
      <c r="C1308" s="2" t="s">
        <v>10595</v>
      </c>
      <c r="D1308" s="5" t="s">
        <v>10594</v>
      </c>
      <c r="E1308" s="2" t="s">
        <v>15441</v>
      </c>
      <c r="F1308" s="2" t="s">
        <v>15442</v>
      </c>
      <c r="G1308" s="2" t="s">
        <v>15443</v>
      </c>
      <c r="H1308" s="2" t="s">
        <v>15444</v>
      </c>
    </row>
    <row r="1309">
      <c r="A1309" s="2">
        <v>1307.0</v>
      </c>
      <c r="B1309" s="5" t="s">
        <v>1982</v>
      </c>
      <c r="C1309" s="2" t="s">
        <v>1983</v>
      </c>
      <c r="D1309" s="5" t="s">
        <v>1982</v>
      </c>
      <c r="E1309" s="2" t="s">
        <v>15445</v>
      </c>
      <c r="F1309" s="2" t="s">
        <v>15442</v>
      </c>
      <c r="G1309" s="2" t="s">
        <v>15456</v>
      </c>
      <c r="H1309" s="2" t="s">
        <v>15444</v>
      </c>
    </row>
    <row r="1310">
      <c r="A1310" s="2">
        <v>1308.0</v>
      </c>
      <c r="B1310" s="5" t="s">
        <v>10596</v>
      </c>
      <c r="C1310" s="2" t="s">
        <v>10597</v>
      </c>
      <c r="D1310" s="5" t="s">
        <v>10596</v>
      </c>
      <c r="E1310" s="2" t="s">
        <v>15441</v>
      </c>
      <c r="F1310" s="2" t="s">
        <v>15446</v>
      </c>
      <c r="G1310" s="2" t="s">
        <v>15443</v>
      </c>
      <c r="H1310" s="2" t="s">
        <v>15444</v>
      </c>
    </row>
    <row r="1311">
      <c r="A1311" s="2">
        <v>1309.0</v>
      </c>
      <c r="B1311" s="5" t="s">
        <v>1985</v>
      </c>
      <c r="C1311" s="2" t="s">
        <v>1986</v>
      </c>
      <c r="D1311" s="5" t="s">
        <v>1985</v>
      </c>
      <c r="E1311" s="2" t="s">
        <v>15445</v>
      </c>
      <c r="F1311" s="2" t="s">
        <v>15446</v>
      </c>
      <c r="G1311" s="2" t="s">
        <v>15443</v>
      </c>
      <c r="H1311" s="2" t="s">
        <v>15444</v>
      </c>
    </row>
    <row r="1312">
      <c r="A1312" s="2">
        <v>1310.0</v>
      </c>
      <c r="B1312" s="5" t="s">
        <v>1988</v>
      </c>
      <c r="C1312" s="2" t="s">
        <v>1989</v>
      </c>
      <c r="D1312" s="5" t="s">
        <v>1988</v>
      </c>
      <c r="E1312" s="2" t="s">
        <v>15445</v>
      </c>
      <c r="F1312" s="2" t="s">
        <v>15442</v>
      </c>
      <c r="G1312" s="2" t="s">
        <v>15443</v>
      </c>
      <c r="H1312" s="2" t="s">
        <v>15444</v>
      </c>
    </row>
    <row r="1313">
      <c r="A1313" s="2">
        <v>1311.0</v>
      </c>
      <c r="B1313" s="5" t="s">
        <v>10598</v>
      </c>
      <c r="C1313" s="2" t="s">
        <v>10599</v>
      </c>
      <c r="D1313" s="5" t="s">
        <v>10598</v>
      </c>
      <c r="E1313" s="2" t="s">
        <v>15441</v>
      </c>
      <c r="F1313" s="2" t="s">
        <v>15442</v>
      </c>
      <c r="G1313" s="2" t="s">
        <v>15443</v>
      </c>
      <c r="H1313" s="2" t="s">
        <v>15444</v>
      </c>
    </row>
    <row r="1314">
      <c r="A1314" s="2">
        <v>1312.0</v>
      </c>
      <c r="B1314" s="5" t="s">
        <v>10600</v>
      </c>
      <c r="C1314" s="2" t="s">
        <v>10601</v>
      </c>
      <c r="D1314" s="5" t="s">
        <v>10600</v>
      </c>
      <c r="E1314" s="2" t="s">
        <v>15441</v>
      </c>
      <c r="F1314" s="2" t="s">
        <v>15442</v>
      </c>
      <c r="G1314" s="2" t="s">
        <v>15456</v>
      </c>
      <c r="H1314" s="2" t="s">
        <v>15444</v>
      </c>
    </row>
    <row r="1315">
      <c r="A1315" s="2">
        <v>1313.0</v>
      </c>
      <c r="B1315" s="5" t="s">
        <v>10602</v>
      </c>
      <c r="C1315" s="2" t="s">
        <v>10603</v>
      </c>
      <c r="D1315" s="5" t="s">
        <v>10602</v>
      </c>
      <c r="E1315" s="2" t="s">
        <v>15441</v>
      </c>
      <c r="F1315" s="2" t="s">
        <v>15446</v>
      </c>
      <c r="G1315" s="2" t="s">
        <v>15443</v>
      </c>
      <c r="H1315" s="2" t="s">
        <v>15462</v>
      </c>
    </row>
    <row r="1316">
      <c r="A1316" s="2">
        <v>1314.0</v>
      </c>
      <c r="B1316" s="5" t="s">
        <v>10604</v>
      </c>
      <c r="C1316" s="2" t="s">
        <v>10605</v>
      </c>
      <c r="D1316" s="5" t="s">
        <v>10604</v>
      </c>
      <c r="E1316" s="2" t="s">
        <v>15441</v>
      </c>
      <c r="F1316" s="2" t="s">
        <v>15446</v>
      </c>
      <c r="G1316" s="2" t="s">
        <v>15456</v>
      </c>
      <c r="H1316" s="2" t="s">
        <v>15444</v>
      </c>
    </row>
    <row r="1317">
      <c r="A1317" s="2">
        <v>1315.0</v>
      </c>
      <c r="B1317" s="5" t="s">
        <v>1991</v>
      </c>
      <c r="C1317" s="2" t="s">
        <v>1992</v>
      </c>
      <c r="D1317" s="5" t="s">
        <v>1991</v>
      </c>
      <c r="E1317" s="2" t="s">
        <v>15445</v>
      </c>
      <c r="F1317" s="2" t="s">
        <v>15446</v>
      </c>
      <c r="G1317" s="2" t="s">
        <v>15443</v>
      </c>
      <c r="H1317" s="2" t="s">
        <v>15444</v>
      </c>
    </row>
    <row r="1318">
      <c r="A1318" s="2">
        <v>1316.0</v>
      </c>
      <c r="B1318" s="5" t="s">
        <v>1994</v>
      </c>
      <c r="C1318" s="2" t="s">
        <v>1995</v>
      </c>
      <c r="D1318" s="5" t="s">
        <v>1994</v>
      </c>
      <c r="E1318" s="2" t="s">
        <v>15445</v>
      </c>
      <c r="F1318" s="2" t="s">
        <v>15442</v>
      </c>
      <c r="G1318" s="2" t="s">
        <v>15456</v>
      </c>
      <c r="H1318" s="2" t="s">
        <v>15444</v>
      </c>
    </row>
    <row r="1319">
      <c r="A1319" s="2">
        <v>1317.0</v>
      </c>
      <c r="B1319" s="5" t="s">
        <v>1997</v>
      </c>
      <c r="C1319" s="2" t="s">
        <v>1998</v>
      </c>
      <c r="D1319" s="5" t="s">
        <v>1997</v>
      </c>
      <c r="E1319" s="2" t="s">
        <v>15445</v>
      </c>
      <c r="F1319" s="2" t="s">
        <v>15446</v>
      </c>
      <c r="G1319" s="2" t="s">
        <v>15456</v>
      </c>
      <c r="H1319" s="2" t="s">
        <v>15457</v>
      </c>
    </row>
    <row r="1320">
      <c r="A1320" s="2">
        <v>1318.0</v>
      </c>
      <c r="B1320" s="5" t="s">
        <v>2000</v>
      </c>
      <c r="C1320" s="2" t="s">
        <v>2001</v>
      </c>
      <c r="D1320" s="5" t="s">
        <v>2000</v>
      </c>
      <c r="E1320" s="2" t="s">
        <v>15445</v>
      </c>
      <c r="F1320" s="2" t="s">
        <v>15446</v>
      </c>
      <c r="G1320" s="2" t="s">
        <v>15456</v>
      </c>
      <c r="H1320" s="2" t="s">
        <v>15444</v>
      </c>
    </row>
    <row r="1321">
      <c r="A1321" s="2">
        <v>1319.0</v>
      </c>
      <c r="B1321" s="5" t="s">
        <v>2003</v>
      </c>
      <c r="C1321" s="2" t="s">
        <v>2004</v>
      </c>
      <c r="D1321" s="5" t="s">
        <v>2003</v>
      </c>
      <c r="E1321" s="2" t="s">
        <v>15445</v>
      </c>
      <c r="F1321" s="2" t="s">
        <v>15446</v>
      </c>
      <c r="G1321" s="2" t="s">
        <v>15456</v>
      </c>
      <c r="H1321" s="2" t="s">
        <v>15444</v>
      </c>
    </row>
    <row r="1322">
      <c r="A1322" s="2">
        <v>1320.0</v>
      </c>
      <c r="B1322" s="5" t="s">
        <v>2006</v>
      </c>
      <c r="C1322" s="2" t="s">
        <v>2007</v>
      </c>
      <c r="D1322" s="5" t="s">
        <v>2006</v>
      </c>
      <c r="E1322" s="2" t="s">
        <v>15445</v>
      </c>
      <c r="F1322" s="2" t="s">
        <v>15446</v>
      </c>
      <c r="G1322" s="2" t="s">
        <v>15443</v>
      </c>
      <c r="H1322" s="2" t="s">
        <v>15455</v>
      </c>
    </row>
    <row r="1323">
      <c r="A1323" s="2">
        <v>1321.0</v>
      </c>
      <c r="B1323" s="5" t="s">
        <v>10606</v>
      </c>
      <c r="C1323" s="2" t="s">
        <v>10607</v>
      </c>
      <c r="D1323" s="5" t="s">
        <v>10606</v>
      </c>
      <c r="E1323" s="2" t="s">
        <v>15441</v>
      </c>
      <c r="F1323" s="2" t="s">
        <v>15446</v>
      </c>
      <c r="G1323" s="2" t="s">
        <v>15443</v>
      </c>
      <c r="H1323" s="2" t="s">
        <v>15444</v>
      </c>
    </row>
    <row r="1324">
      <c r="A1324" s="2">
        <v>1322.0</v>
      </c>
      <c r="B1324" s="5" t="s">
        <v>2009</v>
      </c>
      <c r="C1324" s="2" t="s">
        <v>2010</v>
      </c>
      <c r="D1324" s="5" t="s">
        <v>2009</v>
      </c>
      <c r="E1324" s="2" t="s">
        <v>15445</v>
      </c>
      <c r="F1324" s="2" t="s">
        <v>15446</v>
      </c>
      <c r="G1324" s="2" t="s">
        <v>15456</v>
      </c>
      <c r="H1324" s="2" t="s">
        <v>15455</v>
      </c>
    </row>
    <row r="1325">
      <c r="A1325" s="2">
        <v>1323.0</v>
      </c>
      <c r="B1325" s="5" t="s">
        <v>10608</v>
      </c>
      <c r="C1325" s="2" t="s">
        <v>10609</v>
      </c>
      <c r="D1325" s="5" t="s">
        <v>10608</v>
      </c>
      <c r="E1325" s="2" t="s">
        <v>15441</v>
      </c>
      <c r="F1325" s="2" t="s">
        <v>15446</v>
      </c>
      <c r="G1325" s="2" t="s">
        <v>15456</v>
      </c>
      <c r="H1325" s="2" t="s">
        <v>15444</v>
      </c>
    </row>
    <row r="1326">
      <c r="A1326" s="2">
        <v>1324.0</v>
      </c>
      <c r="B1326" s="5" t="s">
        <v>2012</v>
      </c>
      <c r="C1326" s="2" t="s">
        <v>2013</v>
      </c>
      <c r="D1326" s="5" t="s">
        <v>2012</v>
      </c>
      <c r="E1326" s="2" t="s">
        <v>15445</v>
      </c>
      <c r="F1326" s="2" t="s">
        <v>15442</v>
      </c>
      <c r="G1326" s="2" t="s">
        <v>15443</v>
      </c>
      <c r="H1326" s="2" t="s">
        <v>15444</v>
      </c>
    </row>
    <row r="1327">
      <c r="A1327" s="2">
        <v>1325.0</v>
      </c>
      <c r="B1327" s="5" t="s">
        <v>10610</v>
      </c>
      <c r="C1327" s="2" t="s">
        <v>10611</v>
      </c>
      <c r="D1327" s="5" t="s">
        <v>10610</v>
      </c>
      <c r="E1327" s="2" t="s">
        <v>15441</v>
      </c>
      <c r="F1327" s="2" t="s">
        <v>15446</v>
      </c>
      <c r="G1327" s="2" t="s">
        <v>15456</v>
      </c>
      <c r="H1327" s="2" t="s">
        <v>15444</v>
      </c>
    </row>
    <row r="1328">
      <c r="A1328" s="2">
        <v>1326.0</v>
      </c>
      <c r="B1328" s="5" t="s">
        <v>10612</v>
      </c>
      <c r="C1328" s="2" t="s">
        <v>10613</v>
      </c>
      <c r="D1328" s="5" t="s">
        <v>10612</v>
      </c>
      <c r="E1328" s="2" t="s">
        <v>15441</v>
      </c>
      <c r="F1328" s="2" t="s">
        <v>15442</v>
      </c>
      <c r="G1328" s="2" t="s">
        <v>15443</v>
      </c>
      <c r="H1328" s="2" t="s">
        <v>15444</v>
      </c>
    </row>
    <row r="1329">
      <c r="A1329" s="2">
        <v>1327.0</v>
      </c>
      <c r="B1329" s="5" t="s">
        <v>2015</v>
      </c>
      <c r="C1329" s="2" t="s">
        <v>2016</v>
      </c>
      <c r="D1329" s="5" t="s">
        <v>2015</v>
      </c>
      <c r="E1329" s="2" t="s">
        <v>15445</v>
      </c>
      <c r="F1329" s="2" t="s">
        <v>15442</v>
      </c>
      <c r="G1329" s="2" t="s">
        <v>15443</v>
      </c>
      <c r="H1329" s="2" t="s">
        <v>15455</v>
      </c>
    </row>
    <row r="1330">
      <c r="A1330" s="2">
        <v>1328.0</v>
      </c>
      <c r="B1330" s="5" t="s">
        <v>2018</v>
      </c>
      <c r="C1330" s="2" t="s">
        <v>2019</v>
      </c>
      <c r="D1330" s="5" t="s">
        <v>2018</v>
      </c>
      <c r="E1330" s="2" t="s">
        <v>15445</v>
      </c>
      <c r="F1330" s="2" t="s">
        <v>15446</v>
      </c>
      <c r="G1330" s="2" t="s">
        <v>15443</v>
      </c>
      <c r="H1330" s="2" t="s">
        <v>15444</v>
      </c>
    </row>
    <row r="1331">
      <c r="A1331" s="2">
        <v>1329.0</v>
      </c>
      <c r="B1331" s="5" t="s">
        <v>2021</v>
      </c>
      <c r="C1331" s="2" t="s">
        <v>2022</v>
      </c>
      <c r="D1331" s="5" t="s">
        <v>2021</v>
      </c>
      <c r="E1331" s="2" t="s">
        <v>15445</v>
      </c>
      <c r="F1331" s="2" t="s">
        <v>15442</v>
      </c>
      <c r="G1331" s="2" t="s">
        <v>15443</v>
      </c>
      <c r="H1331" s="2" t="s">
        <v>15444</v>
      </c>
    </row>
    <row r="1332">
      <c r="A1332" s="2">
        <v>1330.0</v>
      </c>
      <c r="B1332" s="5" t="s">
        <v>10614</v>
      </c>
      <c r="C1332" s="2" t="s">
        <v>10615</v>
      </c>
      <c r="D1332" s="5" t="s">
        <v>10614</v>
      </c>
      <c r="E1332" s="2" t="s">
        <v>15441</v>
      </c>
      <c r="F1332" s="2" t="s">
        <v>15446</v>
      </c>
      <c r="G1332" s="2" t="s">
        <v>15456</v>
      </c>
      <c r="H1332" s="2" t="s">
        <v>15444</v>
      </c>
    </row>
    <row r="1333">
      <c r="A1333" s="2">
        <v>1331.0</v>
      </c>
      <c r="B1333" s="5" t="s">
        <v>2024</v>
      </c>
      <c r="C1333" s="2" t="s">
        <v>2025</v>
      </c>
      <c r="D1333" s="5" t="s">
        <v>2024</v>
      </c>
      <c r="E1333" s="2" t="s">
        <v>15445</v>
      </c>
      <c r="F1333" s="2" t="s">
        <v>15442</v>
      </c>
      <c r="G1333" s="2" t="s">
        <v>15456</v>
      </c>
      <c r="H1333" s="2" t="s">
        <v>15457</v>
      </c>
    </row>
    <row r="1334">
      <c r="A1334" s="2">
        <v>1332.0</v>
      </c>
      <c r="B1334" s="5" t="s">
        <v>10616</v>
      </c>
      <c r="C1334" s="2" t="s">
        <v>10617</v>
      </c>
      <c r="D1334" s="5" t="s">
        <v>10616</v>
      </c>
      <c r="E1334" s="2" t="s">
        <v>15441</v>
      </c>
      <c r="F1334" s="2" t="s">
        <v>15446</v>
      </c>
      <c r="G1334" s="2" t="s">
        <v>15456</v>
      </c>
      <c r="H1334" s="2" t="s">
        <v>15444</v>
      </c>
    </row>
    <row r="1335">
      <c r="A1335" s="2">
        <v>1333.0</v>
      </c>
      <c r="B1335" s="5" t="s">
        <v>2027</v>
      </c>
      <c r="C1335" s="2" t="s">
        <v>2028</v>
      </c>
      <c r="D1335" s="5" t="s">
        <v>2027</v>
      </c>
      <c r="E1335" s="2" t="s">
        <v>15445</v>
      </c>
      <c r="F1335" s="2" t="s">
        <v>15446</v>
      </c>
      <c r="G1335" s="2" t="s">
        <v>15456</v>
      </c>
      <c r="H1335" s="2" t="s">
        <v>15444</v>
      </c>
    </row>
    <row r="1336">
      <c r="A1336" s="2">
        <v>1334.0</v>
      </c>
      <c r="B1336" s="5" t="s">
        <v>10618</v>
      </c>
      <c r="C1336" s="2" t="s">
        <v>10619</v>
      </c>
      <c r="D1336" s="5" t="s">
        <v>10618</v>
      </c>
      <c r="E1336" s="2" t="s">
        <v>15441</v>
      </c>
      <c r="F1336" s="2" t="s">
        <v>15442</v>
      </c>
      <c r="G1336" s="2" t="s">
        <v>15456</v>
      </c>
      <c r="H1336" s="2" t="s">
        <v>15455</v>
      </c>
    </row>
    <row r="1337">
      <c r="A1337" s="2">
        <v>1335.0</v>
      </c>
      <c r="B1337" s="5" t="s">
        <v>2030</v>
      </c>
      <c r="C1337" s="2" t="s">
        <v>2031</v>
      </c>
      <c r="D1337" s="5" t="s">
        <v>2030</v>
      </c>
      <c r="E1337" s="2" t="s">
        <v>15445</v>
      </c>
      <c r="F1337" s="2" t="s">
        <v>15442</v>
      </c>
      <c r="G1337" s="2" t="s">
        <v>15443</v>
      </c>
      <c r="H1337" s="2" t="s">
        <v>15444</v>
      </c>
    </row>
    <row r="1338">
      <c r="A1338" s="2">
        <v>1336.0</v>
      </c>
      <c r="B1338" s="5" t="s">
        <v>10620</v>
      </c>
      <c r="C1338" s="2" t="s">
        <v>10621</v>
      </c>
      <c r="D1338" s="5" t="s">
        <v>10620</v>
      </c>
      <c r="E1338" s="2" t="s">
        <v>15441</v>
      </c>
      <c r="F1338" s="2" t="s">
        <v>15446</v>
      </c>
      <c r="G1338" s="2" t="s">
        <v>15456</v>
      </c>
      <c r="H1338" s="2" t="s">
        <v>15444</v>
      </c>
    </row>
    <row r="1339">
      <c r="A1339" s="2">
        <v>1337.0</v>
      </c>
      <c r="B1339" s="5" t="s">
        <v>10622</v>
      </c>
      <c r="C1339" s="2" t="s">
        <v>10623</v>
      </c>
      <c r="D1339" s="5" t="s">
        <v>10622</v>
      </c>
      <c r="E1339" s="2" t="s">
        <v>15441</v>
      </c>
      <c r="F1339" s="2" t="s">
        <v>15446</v>
      </c>
      <c r="G1339" s="2" t="s">
        <v>15456</v>
      </c>
      <c r="H1339" s="2" t="s">
        <v>15457</v>
      </c>
    </row>
    <row r="1340">
      <c r="A1340" s="2">
        <v>1338.0</v>
      </c>
      <c r="B1340" s="5" t="s">
        <v>10624</v>
      </c>
      <c r="C1340" s="2" t="s">
        <v>10625</v>
      </c>
      <c r="D1340" s="5" t="s">
        <v>10624</v>
      </c>
      <c r="E1340" s="2" t="s">
        <v>15441</v>
      </c>
      <c r="F1340" s="2" t="s">
        <v>15446</v>
      </c>
      <c r="G1340" s="2" t="s">
        <v>15456</v>
      </c>
      <c r="H1340" s="2" t="s">
        <v>15444</v>
      </c>
    </row>
    <row r="1341">
      <c r="A1341" s="2">
        <v>1339.0</v>
      </c>
      <c r="B1341" s="5" t="s">
        <v>10626</v>
      </c>
      <c r="C1341" s="2" t="s">
        <v>10627</v>
      </c>
      <c r="D1341" s="5" t="s">
        <v>10626</v>
      </c>
      <c r="E1341" s="2" t="s">
        <v>15441</v>
      </c>
      <c r="F1341" s="2" t="s">
        <v>15446</v>
      </c>
      <c r="G1341" s="2" t="s">
        <v>15443</v>
      </c>
      <c r="H1341" s="2" t="s">
        <v>15461</v>
      </c>
    </row>
    <row r="1342">
      <c r="A1342" s="2">
        <v>1340.0</v>
      </c>
      <c r="B1342" s="5" t="s">
        <v>10628</v>
      </c>
      <c r="C1342" s="2" t="s">
        <v>10629</v>
      </c>
      <c r="D1342" s="5" t="s">
        <v>10628</v>
      </c>
      <c r="E1342" s="2" t="s">
        <v>15441</v>
      </c>
      <c r="F1342" s="2" t="s">
        <v>15446</v>
      </c>
      <c r="G1342" s="2" t="s">
        <v>15456</v>
      </c>
      <c r="H1342" s="2" t="s">
        <v>15444</v>
      </c>
    </row>
    <row r="1343">
      <c r="A1343" s="2">
        <v>1341.0</v>
      </c>
      <c r="B1343" s="5" t="s">
        <v>10630</v>
      </c>
      <c r="C1343" s="2" t="s">
        <v>10631</v>
      </c>
      <c r="D1343" s="5" t="s">
        <v>10630</v>
      </c>
      <c r="E1343" s="2" t="s">
        <v>15441</v>
      </c>
      <c r="F1343" s="2" t="s">
        <v>15446</v>
      </c>
      <c r="G1343" s="2" t="s">
        <v>15456</v>
      </c>
      <c r="H1343" s="2" t="s">
        <v>15457</v>
      </c>
    </row>
    <row r="1344">
      <c r="A1344" s="2">
        <v>1342.0</v>
      </c>
      <c r="B1344" s="5" t="s">
        <v>10632</v>
      </c>
      <c r="C1344" s="2" t="s">
        <v>10633</v>
      </c>
      <c r="D1344" s="5" t="s">
        <v>10632</v>
      </c>
      <c r="E1344" s="2" t="s">
        <v>15441</v>
      </c>
      <c r="F1344" s="2" t="s">
        <v>15446</v>
      </c>
      <c r="G1344" s="2" t="s">
        <v>15443</v>
      </c>
      <c r="H1344" s="2" t="s">
        <v>15444</v>
      </c>
    </row>
    <row r="1345">
      <c r="A1345" s="2">
        <v>1343.0</v>
      </c>
      <c r="B1345" s="5" t="s">
        <v>2033</v>
      </c>
      <c r="C1345" s="2" t="s">
        <v>2034</v>
      </c>
      <c r="D1345" s="5" t="s">
        <v>2033</v>
      </c>
      <c r="E1345" s="2" t="s">
        <v>15445</v>
      </c>
      <c r="F1345" s="2" t="s">
        <v>15442</v>
      </c>
      <c r="G1345" s="2" t="s">
        <v>15443</v>
      </c>
      <c r="H1345" s="2" t="s">
        <v>15444</v>
      </c>
    </row>
    <row r="1346">
      <c r="A1346" s="2">
        <v>1344.0</v>
      </c>
      <c r="B1346" s="5" t="s">
        <v>10634</v>
      </c>
      <c r="C1346" s="2" t="s">
        <v>10635</v>
      </c>
      <c r="D1346" s="5" t="s">
        <v>10634</v>
      </c>
      <c r="E1346" s="2" t="s">
        <v>15441</v>
      </c>
      <c r="F1346" s="2" t="s">
        <v>15446</v>
      </c>
      <c r="G1346" s="2" t="s">
        <v>15456</v>
      </c>
      <c r="H1346" s="2" t="s">
        <v>15444</v>
      </c>
    </row>
    <row r="1347">
      <c r="A1347" s="2">
        <v>1345.0</v>
      </c>
      <c r="B1347" s="5" t="s">
        <v>2036</v>
      </c>
      <c r="C1347" s="2" t="s">
        <v>2037</v>
      </c>
      <c r="D1347" s="5" t="s">
        <v>2036</v>
      </c>
      <c r="E1347" s="2" t="s">
        <v>15445</v>
      </c>
      <c r="F1347" s="2" t="s">
        <v>15442</v>
      </c>
      <c r="G1347" s="2" t="s">
        <v>15443</v>
      </c>
      <c r="H1347" s="2" t="s">
        <v>15444</v>
      </c>
    </row>
    <row r="1348">
      <c r="A1348" s="2">
        <v>1346.0</v>
      </c>
      <c r="B1348" s="5" t="s">
        <v>10636</v>
      </c>
      <c r="C1348" s="2" t="s">
        <v>10637</v>
      </c>
      <c r="D1348" s="5" t="s">
        <v>10636</v>
      </c>
      <c r="E1348" s="2" t="s">
        <v>15441</v>
      </c>
      <c r="F1348" s="2" t="s">
        <v>15446</v>
      </c>
      <c r="G1348" s="2" t="s">
        <v>15456</v>
      </c>
      <c r="H1348" s="2" t="s">
        <v>15444</v>
      </c>
    </row>
    <row r="1349">
      <c r="A1349" s="2">
        <v>1347.0</v>
      </c>
      <c r="B1349" s="5" t="s">
        <v>15487</v>
      </c>
      <c r="C1349" s="2" t="s">
        <v>15488</v>
      </c>
      <c r="D1349" s="5" t="s">
        <v>15487</v>
      </c>
      <c r="E1349" s="2" t="s">
        <v>15445</v>
      </c>
      <c r="F1349" s="2" t="s">
        <v>15446</v>
      </c>
      <c r="G1349" s="2" t="s">
        <v>15456</v>
      </c>
      <c r="H1349" s="2" t="s">
        <v>15455</v>
      </c>
    </row>
    <row r="1350">
      <c r="A1350" s="2">
        <v>1348.0</v>
      </c>
      <c r="B1350" s="5" t="s">
        <v>2039</v>
      </c>
      <c r="C1350" s="2" t="s">
        <v>2040</v>
      </c>
      <c r="D1350" s="5" t="s">
        <v>2039</v>
      </c>
      <c r="E1350" s="2" t="s">
        <v>15445</v>
      </c>
      <c r="F1350" s="2" t="s">
        <v>15446</v>
      </c>
      <c r="G1350" s="2" t="s">
        <v>15443</v>
      </c>
      <c r="H1350" s="2" t="s">
        <v>15444</v>
      </c>
    </row>
    <row r="1351">
      <c r="A1351" s="2">
        <v>1349.0</v>
      </c>
      <c r="B1351" s="5" t="s">
        <v>2042</v>
      </c>
      <c r="C1351" s="2" t="s">
        <v>2043</v>
      </c>
      <c r="D1351" s="5" t="s">
        <v>2042</v>
      </c>
      <c r="E1351" s="2" t="s">
        <v>15445</v>
      </c>
      <c r="F1351" s="2" t="s">
        <v>15442</v>
      </c>
      <c r="G1351" s="2" t="s">
        <v>15456</v>
      </c>
      <c r="H1351" s="2" t="s">
        <v>15444</v>
      </c>
    </row>
    <row r="1352">
      <c r="A1352" s="2">
        <v>1350.0</v>
      </c>
      <c r="B1352" s="5" t="s">
        <v>10638</v>
      </c>
      <c r="C1352" s="2" t="s">
        <v>10639</v>
      </c>
      <c r="D1352" s="5" t="s">
        <v>10638</v>
      </c>
      <c r="E1352" s="2" t="s">
        <v>15441</v>
      </c>
      <c r="F1352" s="2" t="s">
        <v>15446</v>
      </c>
      <c r="G1352" s="2" t="s">
        <v>15456</v>
      </c>
      <c r="H1352" s="2" t="s">
        <v>15444</v>
      </c>
    </row>
    <row r="1353">
      <c r="A1353" s="2">
        <v>1351.0</v>
      </c>
      <c r="B1353" s="5" t="s">
        <v>2045</v>
      </c>
      <c r="C1353" s="2" t="s">
        <v>2046</v>
      </c>
      <c r="D1353" s="5" t="s">
        <v>2045</v>
      </c>
      <c r="E1353" s="2" t="s">
        <v>15445</v>
      </c>
      <c r="F1353" s="2" t="s">
        <v>15446</v>
      </c>
      <c r="G1353" s="2" t="s">
        <v>15443</v>
      </c>
      <c r="H1353" s="2" t="s">
        <v>15444</v>
      </c>
    </row>
    <row r="1354">
      <c r="A1354" s="2">
        <v>1352.0</v>
      </c>
      <c r="B1354" s="5" t="s">
        <v>10640</v>
      </c>
      <c r="C1354" s="2" t="s">
        <v>10641</v>
      </c>
      <c r="D1354" s="5" t="s">
        <v>10640</v>
      </c>
      <c r="E1354" s="2" t="s">
        <v>15441</v>
      </c>
      <c r="F1354" s="2" t="s">
        <v>15446</v>
      </c>
      <c r="G1354" s="2" t="s">
        <v>15456</v>
      </c>
      <c r="H1354" s="2" t="s">
        <v>15457</v>
      </c>
    </row>
    <row r="1355">
      <c r="A1355" s="2">
        <v>1353.0</v>
      </c>
      <c r="B1355" s="5" t="s">
        <v>10642</v>
      </c>
      <c r="C1355" s="2" t="s">
        <v>10643</v>
      </c>
      <c r="D1355" s="5" t="s">
        <v>10642</v>
      </c>
      <c r="E1355" s="2" t="s">
        <v>15441</v>
      </c>
      <c r="F1355" s="2" t="s">
        <v>15442</v>
      </c>
      <c r="G1355" s="2" t="s">
        <v>15443</v>
      </c>
      <c r="H1355" s="2" t="s">
        <v>15444</v>
      </c>
    </row>
    <row r="1356">
      <c r="A1356" s="2">
        <v>1354.0</v>
      </c>
      <c r="B1356" s="5" t="s">
        <v>2048</v>
      </c>
      <c r="C1356" s="2" t="s">
        <v>2049</v>
      </c>
      <c r="D1356" s="5" t="s">
        <v>2048</v>
      </c>
      <c r="E1356" s="2" t="s">
        <v>15445</v>
      </c>
      <c r="F1356" s="2" t="s">
        <v>15442</v>
      </c>
      <c r="G1356" s="2" t="s">
        <v>15443</v>
      </c>
      <c r="H1356" s="2" t="s">
        <v>15444</v>
      </c>
    </row>
    <row r="1357">
      <c r="A1357" s="2">
        <v>1355.0</v>
      </c>
      <c r="B1357" s="5" t="s">
        <v>2051</v>
      </c>
      <c r="C1357" s="2" t="s">
        <v>2052</v>
      </c>
      <c r="D1357" s="5" t="s">
        <v>2051</v>
      </c>
      <c r="E1357" s="2" t="s">
        <v>15445</v>
      </c>
      <c r="F1357" s="2" t="s">
        <v>15442</v>
      </c>
      <c r="G1357" s="2" t="s">
        <v>15456</v>
      </c>
      <c r="H1357" s="2" t="s">
        <v>15444</v>
      </c>
    </row>
    <row r="1358">
      <c r="A1358" s="2">
        <v>1356.0</v>
      </c>
      <c r="B1358" s="5" t="s">
        <v>2054</v>
      </c>
      <c r="C1358" s="2" t="s">
        <v>2055</v>
      </c>
      <c r="D1358" s="5" t="s">
        <v>2054</v>
      </c>
      <c r="E1358" s="2" t="s">
        <v>15445</v>
      </c>
      <c r="F1358" s="2" t="s">
        <v>15446</v>
      </c>
      <c r="G1358" s="2" t="s">
        <v>15443</v>
      </c>
      <c r="H1358" s="2" t="s">
        <v>15457</v>
      </c>
    </row>
    <row r="1359">
      <c r="A1359" s="2">
        <v>1357.0</v>
      </c>
      <c r="B1359" s="5" t="s">
        <v>2057</v>
      </c>
      <c r="C1359" s="2" t="s">
        <v>2058</v>
      </c>
      <c r="D1359" s="5" t="s">
        <v>2057</v>
      </c>
      <c r="E1359" s="2" t="s">
        <v>15445</v>
      </c>
      <c r="F1359" s="2" t="s">
        <v>15442</v>
      </c>
      <c r="G1359" s="2" t="s">
        <v>15443</v>
      </c>
      <c r="H1359" s="2" t="s">
        <v>15444</v>
      </c>
    </row>
    <row r="1360">
      <c r="A1360" s="2">
        <v>1358.0</v>
      </c>
      <c r="B1360" s="5" t="s">
        <v>10644</v>
      </c>
      <c r="C1360" s="2" t="s">
        <v>10645</v>
      </c>
      <c r="D1360" s="5" t="s">
        <v>10644</v>
      </c>
      <c r="E1360" s="2" t="s">
        <v>15441</v>
      </c>
      <c r="F1360" s="2" t="s">
        <v>15446</v>
      </c>
      <c r="G1360" s="2" t="s">
        <v>15456</v>
      </c>
      <c r="H1360" s="2" t="s">
        <v>15444</v>
      </c>
    </row>
    <row r="1361">
      <c r="A1361" s="2">
        <v>1359.0</v>
      </c>
      <c r="B1361" s="5" t="s">
        <v>2060</v>
      </c>
      <c r="C1361" s="2" t="s">
        <v>2061</v>
      </c>
      <c r="D1361" s="5" t="s">
        <v>2060</v>
      </c>
      <c r="E1361" s="2" t="s">
        <v>15445</v>
      </c>
      <c r="F1361" s="2" t="s">
        <v>15446</v>
      </c>
      <c r="G1361" s="2" t="s">
        <v>15443</v>
      </c>
      <c r="H1361" s="2" t="s">
        <v>15444</v>
      </c>
    </row>
    <row r="1362">
      <c r="A1362" s="2">
        <v>1360.0</v>
      </c>
      <c r="B1362" s="5" t="s">
        <v>2063</v>
      </c>
      <c r="C1362" s="2" t="s">
        <v>2064</v>
      </c>
      <c r="D1362" s="5" t="s">
        <v>2063</v>
      </c>
      <c r="E1362" s="2" t="s">
        <v>15445</v>
      </c>
      <c r="F1362" s="2" t="s">
        <v>15442</v>
      </c>
      <c r="G1362" s="2" t="s">
        <v>15443</v>
      </c>
      <c r="H1362" s="2" t="s">
        <v>15457</v>
      </c>
    </row>
    <row r="1363">
      <c r="A1363" s="2">
        <v>1361.0</v>
      </c>
      <c r="B1363" s="5" t="s">
        <v>10646</v>
      </c>
      <c r="C1363" s="2" t="s">
        <v>10647</v>
      </c>
      <c r="D1363" s="5" t="s">
        <v>10646</v>
      </c>
      <c r="E1363" s="2" t="s">
        <v>15441</v>
      </c>
      <c r="F1363" s="2" t="s">
        <v>15446</v>
      </c>
      <c r="G1363" s="2" t="s">
        <v>15456</v>
      </c>
      <c r="H1363" s="2" t="s">
        <v>15444</v>
      </c>
    </row>
    <row r="1364">
      <c r="A1364" s="2">
        <v>1362.0</v>
      </c>
      <c r="B1364" s="5" t="s">
        <v>2066</v>
      </c>
      <c r="C1364" s="2" t="s">
        <v>2067</v>
      </c>
      <c r="D1364" s="5" t="s">
        <v>2066</v>
      </c>
      <c r="E1364" s="2" t="s">
        <v>15445</v>
      </c>
      <c r="F1364" s="2" t="s">
        <v>15446</v>
      </c>
      <c r="G1364" s="2" t="s">
        <v>15456</v>
      </c>
      <c r="H1364" s="2" t="s">
        <v>15444</v>
      </c>
    </row>
    <row r="1365">
      <c r="A1365" s="2">
        <v>1363.0</v>
      </c>
      <c r="B1365" s="5" t="s">
        <v>10648</v>
      </c>
      <c r="C1365" s="2" t="s">
        <v>10649</v>
      </c>
      <c r="D1365" s="5" t="s">
        <v>10648</v>
      </c>
      <c r="E1365" s="2" t="s">
        <v>15441</v>
      </c>
      <c r="F1365" s="2" t="s">
        <v>15442</v>
      </c>
      <c r="G1365" s="2" t="s">
        <v>15443</v>
      </c>
      <c r="H1365" s="2" t="s">
        <v>15444</v>
      </c>
    </row>
    <row r="1366">
      <c r="A1366" s="2">
        <v>1364.0</v>
      </c>
      <c r="B1366" s="5" t="s">
        <v>10650</v>
      </c>
      <c r="C1366" s="2" t="s">
        <v>10651</v>
      </c>
      <c r="D1366" s="5" t="s">
        <v>10650</v>
      </c>
      <c r="E1366" s="2" t="s">
        <v>15441</v>
      </c>
      <c r="F1366" s="2" t="s">
        <v>15446</v>
      </c>
      <c r="G1366" s="2" t="s">
        <v>15456</v>
      </c>
      <c r="H1366" s="2" t="s">
        <v>15444</v>
      </c>
    </row>
    <row r="1367">
      <c r="A1367" s="2">
        <v>1365.0</v>
      </c>
      <c r="B1367" s="5" t="s">
        <v>10652</v>
      </c>
      <c r="C1367" s="2" t="s">
        <v>10653</v>
      </c>
      <c r="D1367" s="5" t="s">
        <v>10652</v>
      </c>
      <c r="E1367" s="2" t="s">
        <v>15441</v>
      </c>
      <c r="F1367" s="2" t="s">
        <v>15442</v>
      </c>
      <c r="G1367" s="2" t="s">
        <v>15443</v>
      </c>
      <c r="H1367" s="2" t="s">
        <v>15444</v>
      </c>
    </row>
    <row r="1368">
      <c r="A1368" s="2">
        <v>1366.0</v>
      </c>
      <c r="B1368" s="5" t="s">
        <v>2069</v>
      </c>
      <c r="C1368" s="2" t="s">
        <v>2070</v>
      </c>
      <c r="D1368" s="5" t="s">
        <v>2069</v>
      </c>
      <c r="E1368" s="2" t="s">
        <v>15445</v>
      </c>
      <c r="F1368" s="2" t="s">
        <v>15442</v>
      </c>
      <c r="G1368" s="2" t="s">
        <v>15443</v>
      </c>
      <c r="H1368" s="2" t="s">
        <v>15444</v>
      </c>
    </row>
    <row r="1369">
      <c r="A1369" s="2">
        <v>1367.0</v>
      </c>
      <c r="B1369" s="5" t="s">
        <v>2072</v>
      </c>
      <c r="C1369" s="2" t="s">
        <v>2073</v>
      </c>
      <c r="D1369" s="5" t="s">
        <v>2072</v>
      </c>
      <c r="E1369" s="2" t="s">
        <v>15445</v>
      </c>
      <c r="F1369" s="2" t="s">
        <v>15446</v>
      </c>
      <c r="G1369" s="2" t="s">
        <v>15456</v>
      </c>
      <c r="H1369" s="2" t="s">
        <v>15444</v>
      </c>
    </row>
    <row r="1370">
      <c r="A1370" s="2">
        <v>1368.0</v>
      </c>
      <c r="B1370" s="5" t="s">
        <v>10654</v>
      </c>
      <c r="C1370" s="2" t="s">
        <v>10655</v>
      </c>
      <c r="D1370" s="5" t="s">
        <v>10654</v>
      </c>
      <c r="E1370" s="2" t="s">
        <v>15441</v>
      </c>
      <c r="F1370" s="2" t="s">
        <v>15442</v>
      </c>
      <c r="G1370" s="2" t="s">
        <v>15456</v>
      </c>
      <c r="H1370" s="2" t="s">
        <v>15444</v>
      </c>
    </row>
    <row r="1371">
      <c r="A1371" s="2">
        <v>1369.0</v>
      </c>
      <c r="B1371" s="5" t="s">
        <v>2075</v>
      </c>
      <c r="C1371" s="2" t="s">
        <v>2076</v>
      </c>
      <c r="D1371" s="5" t="s">
        <v>2075</v>
      </c>
      <c r="E1371" s="2" t="s">
        <v>15445</v>
      </c>
      <c r="F1371" s="2" t="s">
        <v>15446</v>
      </c>
      <c r="G1371" s="2" t="s">
        <v>15443</v>
      </c>
      <c r="H1371" s="2" t="s">
        <v>15444</v>
      </c>
    </row>
    <row r="1372">
      <c r="A1372" s="2">
        <v>1370.0</v>
      </c>
      <c r="B1372" s="5" t="s">
        <v>10656</v>
      </c>
      <c r="C1372" s="2" t="s">
        <v>10657</v>
      </c>
      <c r="D1372" s="5" t="s">
        <v>10656</v>
      </c>
      <c r="E1372" s="2" t="s">
        <v>15441</v>
      </c>
      <c r="F1372" s="2" t="s">
        <v>15446</v>
      </c>
      <c r="G1372" s="2" t="s">
        <v>15443</v>
      </c>
      <c r="H1372" s="2" t="s">
        <v>15444</v>
      </c>
    </row>
    <row r="1373">
      <c r="A1373" s="2">
        <v>1371.0</v>
      </c>
      <c r="B1373" s="5" t="s">
        <v>10658</v>
      </c>
      <c r="C1373" s="2" t="s">
        <v>10659</v>
      </c>
      <c r="D1373" s="5" t="s">
        <v>10658</v>
      </c>
      <c r="E1373" s="2" t="s">
        <v>15441</v>
      </c>
      <c r="F1373" s="2" t="s">
        <v>15446</v>
      </c>
      <c r="G1373" s="2" t="s">
        <v>15456</v>
      </c>
      <c r="H1373" s="2" t="s">
        <v>15444</v>
      </c>
    </row>
    <row r="1374">
      <c r="A1374" s="2">
        <v>1372.0</v>
      </c>
      <c r="B1374" s="5" t="s">
        <v>10660</v>
      </c>
      <c r="C1374" s="2" t="s">
        <v>10661</v>
      </c>
      <c r="D1374" s="5" t="s">
        <v>10660</v>
      </c>
      <c r="E1374" s="2" t="s">
        <v>15441</v>
      </c>
      <c r="F1374" s="2" t="s">
        <v>15442</v>
      </c>
      <c r="G1374" s="2" t="s">
        <v>15443</v>
      </c>
      <c r="H1374" s="2" t="s">
        <v>15444</v>
      </c>
    </row>
    <row r="1375">
      <c r="A1375" s="2">
        <v>1373.0</v>
      </c>
      <c r="B1375" s="5" t="s">
        <v>10662</v>
      </c>
      <c r="C1375" s="2" t="s">
        <v>10663</v>
      </c>
      <c r="D1375" s="5" t="s">
        <v>10662</v>
      </c>
      <c r="E1375" s="2" t="s">
        <v>15441</v>
      </c>
      <c r="F1375" s="2" t="s">
        <v>15446</v>
      </c>
      <c r="G1375" s="2" t="s">
        <v>15456</v>
      </c>
      <c r="H1375" s="2" t="s">
        <v>15444</v>
      </c>
    </row>
    <row r="1376">
      <c r="A1376" s="2">
        <v>1374.0</v>
      </c>
      <c r="B1376" s="5" t="s">
        <v>15489</v>
      </c>
      <c r="C1376" s="2" t="s">
        <v>15490</v>
      </c>
      <c r="D1376" s="5" t="s">
        <v>15489</v>
      </c>
      <c r="E1376" s="2" t="s">
        <v>15441</v>
      </c>
      <c r="F1376" s="2" t="s">
        <v>15446</v>
      </c>
      <c r="G1376" s="2" t="s">
        <v>15456</v>
      </c>
      <c r="H1376" s="2" t="s">
        <v>15486</v>
      </c>
    </row>
    <row r="1377">
      <c r="A1377" s="2">
        <v>1375.0</v>
      </c>
      <c r="B1377" s="5" t="s">
        <v>2078</v>
      </c>
      <c r="C1377" s="2" t="s">
        <v>2079</v>
      </c>
      <c r="D1377" s="5" t="s">
        <v>2078</v>
      </c>
      <c r="E1377" s="2" t="s">
        <v>15445</v>
      </c>
      <c r="F1377" s="2" t="s">
        <v>15446</v>
      </c>
      <c r="G1377" s="2" t="s">
        <v>15456</v>
      </c>
      <c r="H1377" s="2" t="s">
        <v>15444</v>
      </c>
    </row>
    <row r="1378">
      <c r="A1378" s="2">
        <v>1376.0</v>
      </c>
      <c r="B1378" s="5" t="s">
        <v>10664</v>
      </c>
      <c r="C1378" s="2" t="s">
        <v>10665</v>
      </c>
      <c r="D1378" s="5" t="s">
        <v>10664</v>
      </c>
      <c r="E1378" s="2" t="s">
        <v>15441</v>
      </c>
      <c r="F1378" s="2" t="s">
        <v>15446</v>
      </c>
      <c r="G1378" s="2" t="s">
        <v>15443</v>
      </c>
      <c r="H1378" s="2" t="s">
        <v>15444</v>
      </c>
    </row>
    <row r="1379">
      <c r="A1379" s="2">
        <v>1377.0</v>
      </c>
      <c r="B1379" s="5" t="s">
        <v>10666</v>
      </c>
      <c r="C1379" s="2" t="s">
        <v>10667</v>
      </c>
      <c r="D1379" s="5" t="s">
        <v>10666</v>
      </c>
      <c r="E1379" s="2" t="s">
        <v>15441</v>
      </c>
      <c r="F1379" s="2" t="s">
        <v>15446</v>
      </c>
      <c r="G1379" s="2" t="s">
        <v>15443</v>
      </c>
      <c r="H1379" s="2" t="s">
        <v>15444</v>
      </c>
    </row>
    <row r="1380">
      <c r="A1380" s="2">
        <v>1378.0</v>
      </c>
      <c r="B1380" s="5" t="s">
        <v>10668</v>
      </c>
      <c r="C1380" s="2" t="s">
        <v>10669</v>
      </c>
      <c r="D1380" s="5" t="s">
        <v>10668</v>
      </c>
      <c r="E1380" s="2" t="s">
        <v>15441</v>
      </c>
      <c r="F1380" s="2" t="s">
        <v>15442</v>
      </c>
      <c r="G1380" s="2" t="s">
        <v>15443</v>
      </c>
      <c r="H1380" s="2" t="s">
        <v>15444</v>
      </c>
    </row>
    <row r="1381">
      <c r="A1381" s="2">
        <v>1379.0</v>
      </c>
      <c r="B1381" s="5" t="s">
        <v>2081</v>
      </c>
      <c r="C1381" s="2" t="s">
        <v>2082</v>
      </c>
      <c r="D1381" s="5" t="s">
        <v>2081</v>
      </c>
      <c r="E1381" s="2" t="s">
        <v>15445</v>
      </c>
      <c r="F1381" s="2" t="s">
        <v>15446</v>
      </c>
      <c r="G1381" s="2" t="s">
        <v>15456</v>
      </c>
      <c r="H1381" s="2" t="s">
        <v>15444</v>
      </c>
    </row>
    <row r="1382">
      <c r="A1382" s="2">
        <v>1380.0</v>
      </c>
      <c r="B1382" s="5" t="s">
        <v>2084</v>
      </c>
      <c r="C1382" s="2" t="s">
        <v>2085</v>
      </c>
      <c r="D1382" s="5" t="s">
        <v>2084</v>
      </c>
      <c r="E1382" s="2" t="s">
        <v>15445</v>
      </c>
      <c r="F1382" s="2" t="s">
        <v>15446</v>
      </c>
      <c r="G1382" s="2" t="s">
        <v>15456</v>
      </c>
      <c r="H1382" s="2" t="s">
        <v>15444</v>
      </c>
    </row>
    <row r="1383">
      <c r="A1383" s="2">
        <v>1381.0</v>
      </c>
      <c r="B1383" s="5" t="s">
        <v>10670</v>
      </c>
      <c r="C1383" s="2" t="s">
        <v>10671</v>
      </c>
      <c r="D1383" s="5" t="s">
        <v>10670</v>
      </c>
      <c r="E1383" s="2" t="s">
        <v>15441</v>
      </c>
      <c r="F1383" s="2" t="s">
        <v>15446</v>
      </c>
      <c r="G1383" s="2" t="s">
        <v>15443</v>
      </c>
      <c r="H1383" s="2" t="s">
        <v>15444</v>
      </c>
    </row>
    <row r="1384">
      <c r="A1384" s="2">
        <v>1382.0</v>
      </c>
      <c r="B1384" s="5" t="s">
        <v>10672</v>
      </c>
      <c r="C1384" s="2" t="s">
        <v>10673</v>
      </c>
      <c r="D1384" s="5" t="s">
        <v>10672</v>
      </c>
      <c r="E1384" s="2" t="s">
        <v>15441</v>
      </c>
      <c r="F1384" s="2" t="s">
        <v>15442</v>
      </c>
      <c r="G1384" s="2" t="s">
        <v>15443</v>
      </c>
      <c r="H1384" s="2" t="s">
        <v>15444</v>
      </c>
    </row>
    <row r="1385">
      <c r="A1385" s="2">
        <v>1383.0</v>
      </c>
      <c r="B1385" s="5" t="s">
        <v>10674</v>
      </c>
      <c r="C1385" s="2" t="s">
        <v>10675</v>
      </c>
      <c r="D1385" s="5" t="s">
        <v>10674</v>
      </c>
      <c r="E1385" s="2" t="s">
        <v>15441</v>
      </c>
      <c r="F1385" s="2" t="s">
        <v>15442</v>
      </c>
      <c r="G1385" s="2" t="s">
        <v>15456</v>
      </c>
      <c r="H1385" s="2" t="s">
        <v>15444</v>
      </c>
    </row>
    <row r="1386">
      <c r="A1386" s="2">
        <v>1384.0</v>
      </c>
      <c r="B1386" s="5" t="s">
        <v>2087</v>
      </c>
      <c r="C1386" s="2" t="s">
        <v>2088</v>
      </c>
      <c r="D1386" s="5" t="s">
        <v>2087</v>
      </c>
      <c r="E1386" s="2" t="s">
        <v>15445</v>
      </c>
      <c r="F1386" s="2" t="s">
        <v>15442</v>
      </c>
      <c r="G1386" s="2" t="s">
        <v>15456</v>
      </c>
      <c r="H1386" s="2" t="s">
        <v>15444</v>
      </c>
    </row>
    <row r="1387">
      <c r="A1387" s="2">
        <v>1385.0</v>
      </c>
      <c r="B1387" s="5" t="s">
        <v>10676</v>
      </c>
      <c r="C1387" s="2" t="s">
        <v>10677</v>
      </c>
      <c r="D1387" s="5" t="s">
        <v>10676</v>
      </c>
      <c r="E1387" s="2" t="s">
        <v>15441</v>
      </c>
      <c r="F1387" s="2" t="s">
        <v>15446</v>
      </c>
      <c r="G1387" s="2" t="s">
        <v>15456</v>
      </c>
      <c r="H1387" s="2" t="s">
        <v>15444</v>
      </c>
    </row>
    <row r="1388">
      <c r="A1388" s="2">
        <v>1386.0</v>
      </c>
      <c r="B1388" s="5" t="s">
        <v>2090</v>
      </c>
      <c r="C1388" s="2" t="s">
        <v>2091</v>
      </c>
      <c r="D1388" s="5" t="s">
        <v>2090</v>
      </c>
      <c r="E1388" s="2" t="s">
        <v>15445</v>
      </c>
      <c r="F1388" s="2" t="s">
        <v>15442</v>
      </c>
      <c r="G1388" s="2" t="s">
        <v>15456</v>
      </c>
      <c r="H1388" s="2" t="s">
        <v>15444</v>
      </c>
    </row>
    <row r="1389">
      <c r="A1389" s="2">
        <v>1387.0</v>
      </c>
      <c r="B1389" s="5" t="s">
        <v>15491</v>
      </c>
      <c r="C1389" s="2" t="s">
        <v>15492</v>
      </c>
      <c r="D1389" s="5" t="s">
        <v>15491</v>
      </c>
      <c r="E1389" s="2" t="s">
        <v>15445</v>
      </c>
      <c r="F1389" s="2" t="s">
        <v>15446</v>
      </c>
      <c r="G1389" s="2" t="s">
        <v>15456</v>
      </c>
      <c r="H1389" s="2" t="s">
        <v>15455</v>
      </c>
    </row>
    <row r="1390">
      <c r="A1390" s="2">
        <v>1388.0</v>
      </c>
      <c r="B1390" s="5" t="s">
        <v>2093</v>
      </c>
      <c r="C1390" s="2" t="s">
        <v>2094</v>
      </c>
      <c r="D1390" s="5" t="s">
        <v>2093</v>
      </c>
      <c r="E1390" s="2" t="s">
        <v>15445</v>
      </c>
      <c r="F1390" s="2" t="s">
        <v>15442</v>
      </c>
      <c r="G1390" s="2" t="s">
        <v>15443</v>
      </c>
      <c r="H1390" s="2" t="s">
        <v>15444</v>
      </c>
    </row>
    <row r="1391">
      <c r="A1391" s="2">
        <v>1389.0</v>
      </c>
      <c r="B1391" s="5" t="s">
        <v>10678</v>
      </c>
      <c r="C1391" s="2" t="s">
        <v>10679</v>
      </c>
      <c r="D1391" s="5" t="s">
        <v>10678</v>
      </c>
      <c r="E1391" s="2" t="s">
        <v>15441</v>
      </c>
      <c r="F1391" s="2" t="s">
        <v>15442</v>
      </c>
      <c r="G1391" s="2" t="s">
        <v>15456</v>
      </c>
      <c r="H1391" s="2" t="s">
        <v>15457</v>
      </c>
    </row>
    <row r="1392">
      <c r="A1392" s="2">
        <v>1390.0</v>
      </c>
      <c r="B1392" s="5" t="s">
        <v>10680</v>
      </c>
      <c r="C1392" s="2" t="s">
        <v>10681</v>
      </c>
      <c r="D1392" s="5" t="s">
        <v>10680</v>
      </c>
      <c r="E1392" s="2" t="s">
        <v>15441</v>
      </c>
      <c r="F1392" s="2" t="s">
        <v>15446</v>
      </c>
      <c r="G1392" s="2" t="s">
        <v>15443</v>
      </c>
      <c r="H1392" s="2" t="s">
        <v>15457</v>
      </c>
    </row>
    <row r="1393">
      <c r="A1393" s="2">
        <v>1391.0</v>
      </c>
      <c r="B1393" s="5" t="s">
        <v>2096</v>
      </c>
      <c r="C1393" s="2" t="s">
        <v>2097</v>
      </c>
      <c r="D1393" s="5" t="s">
        <v>2096</v>
      </c>
      <c r="E1393" s="2" t="s">
        <v>15445</v>
      </c>
      <c r="F1393" s="2" t="s">
        <v>15446</v>
      </c>
      <c r="G1393" s="2" t="s">
        <v>15456</v>
      </c>
      <c r="H1393" s="2" t="s">
        <v>15444</v>
      </c>
    </row>
    <row r="1394">
      <c r="A1394" s="2">
        <v>1392.0</v>
      </c>
      <c r="B1394" s="5" t="s">
        <v>10682</v>
      </c>
      <c r="C1394" s="2" t="s">
        <v>10683</v>
      </c>
      <c r="D1394" s="5" t="s">
        <v>10682</v>
      </c>
      <c r="E1394" s="2" t="s">
        <v>15441</v>
      </c>
      <c r="F1394" s="2" t="s">
        <v>15442</v>
      </c>
      <c r="G1394" s="2" t="s">
        <v>15443</v>
      </c>
      <c r="H1394" s="2" t="s">
        <v>15444</v>
      </c>
    </row>
    <row r="1395">
      <c r="A1395" s="2">
        <v>1393.0</v>
      </c>
      <c r="B1395" s="5" t="s">
        <v>10684</v>
      </c>
      <c r="C1395" s="2" t="s">
        <v>10685</v>
      </c>
      <c r="D1395" s="5" t="s">
        <v>10684</v>
      </c>
      <c r="E1395" s="2" t="s">
        <v>15441</v>
      </c>
      <c r="F1395" s="2" t="s">
        <v>15446</v>
      </c>
      <c r="G1395" s="2" t="s">
        <v>15443</v>
      </c>
      <c r="H1395" s="2" t="s">
        <v>15444</v>
      </c>
    </row>
    <row r="1396">
      <c r="A1396" s="2">
        <v>1394.0</v>
      </c>
      <c r="B1396" s="5" t="s">
        <v>10686</v>
      </c>
      <c r="C1396" s="2" t="s">
        <v>10687</v>
      </c>
      <c r="D1396" s="5" t="s">
        <v>10686</v>
      </c>
      <c r="E1396" s="2" t="s">
        <v>15441</v>
      </c>
      <c r="F1396" s="2" t="s">
        <v>15442</v>
      </c>
      <c r="G1396" s="2" t="s">
        <v>15456</v>
      </c>
      <c r="H1396" s="2" t="s">
        <v>15444</v>
      </c>
    </row>
    <row r="1397">
      <c r="A1397" s="2">
        <v>1395.0</v>
      </c>
      <c r="B1397" s="5" t="s">
        <v>10688</v>
      </c>
      <c r="C1397" s="2" t="s">
        <v>10689</v>
      </c>
      <c r="D1397" s="5" t="s">
        <v>10688</v>
      </c>
      <c r="E1397" s="2" t="s">
        <v>15441</v>
      </c>
      <c r="F1397" s="2" t="s">
        <v>15446</v>
      </c>
      <c r="G1397" s="2" t="s">
        <v>15456</v>
      </c>
      <c r="H1397" s="2" t="s">
        <v>15444</v>
      </c>
    </row>
    <row r="1398">
      <c r="A1398" s="2">
        <v>1396.0</v>
      </c>
      <c r="B1398" s="5" t="s">
        <v>10690</v>
      </c>
      <c r="C1398" s="2" t="s">
        <v>10691</v>
      </c>
      <c r="D1398" s="5" t="s">
        <v>10690</v>
      </c>
      <c r="E1398" s="2" t="s">
        <v>15441</v>
      </c>
      <c r="F1398" s="2" t="s">
        <v>15442</v>
      </c>
      <c r="G1398" s="2" t="s">
        <v>15443</v>
      </c>
      <c r="H1398" s="2" t="s">
        <v>15444</v>
      </c>
    </row>
    <row r="1399">
      <c r="A1399" s="2">
        <v>1397.0</v>
      </c>
      <c r="B1399" s="5" t="s">
        <v>10692</v>
      </c>
      <c r="C1399" s="2" t="s">
        <v>10693</v>
      </c>
      <c r="D1399" s="5" t="s">
        <v>10692</v>
      </c>
      <c r="E1399" s="2" t="s">
        <v>15441</v>
      </c>
      <c r="F1399" s="2" t="s">
        <v>15442</v>
      </c>
      <c r="G1399" s="2" t="s">
        <v>15443</v>
      </c>
      <c r="H1399" s="2" t="s">
        <v>15444</v>
      </c>
    </row>
    <row r="1400">
      <c r="A1400" s="2">
        <v>1398.0</v>
      </c>
      <c r="B1400" s="5" t="s">
        <v>2099</v>
      </c>
      <c r="C1400" s="2" t="s">
        <v>2100</v>
      </c>
      <c r="D1400" s="5" t="s">
        <v>2099</v>
      </c>
      <c r="E1400" s="2" t="s">
        <v>15445</v>
      </c>
      <c r="F1400" s="2" t="s">
        <v>15442</v>
      </c>
      <c r="G1400" s="2" t="s">
        <v>15443</v>
      </c>
      <c r="H1400" s="2" t="s">
        <v>15455</v>
      </c>
    </row>
    <row r="1401">
      <c r="A1401" s="2">
        <v>1399.0</v>
      </c>
      <c r="B1401" s="5" t="s">
        <v>10694</v>
      </c>
      <c r="C1401" s="2" t="s">
        <v>10695</v>
      </c>
      <c r="D1401" s="5" t="s">
        <v>10694</v>
      </c>
      <c r="E1401" s="2" t="s">
        <v>15441</v>
      </c>
      <c r="F1401" s="2" t="s">
        <v>15446</v>
      </c>
      <c r="G1401" s="2" t="s">
        <v>15443</v>
      </c>
      <c r="H1401" s="2" t="s">
        <v>15444</v>
      </c>
    </row>
    <row r="1402">
      <c r="A1402" s="2">
        <v>1400.0</v>
      </c>
      <c r="B1402" s="5" t="s">
        <v>2102</v>
      </c>
      <c r="C1402" s="2" t="s">
        <v>2103</v>
      </c>
      <c r="D1402" s="5" t="s">
        <v>2102</v>
      </c>
      <c r="E1402" s="2" t="s">
        <v>15445</v>
      </c>
      <c r="F1402" s="2" t="s">
        <v>15446</v>
      </c>
      <c r="G1402" s="2" t="s">
        <v>15443</v>
      </c>
      <c r="H1402" s="2" t="s">
        <v>15461</v>
      </c>
    </row>
    <row r="1403">
      <c r="A1403" s="2">
        <v>1401.0</v>
      </c>
      <c r="B1403" s="5" t="s">
        <v>10696</v>
      </c>
      <c r="C1403" s="2" t="s">
        <v>10697</v>
      </c>
      <c r="D1403" s="5" t="s">
        <v>10696</v>
      </c>
      <c r="E1403" s="2" t="s">
        <v>15441</v>
      </c>
      <c r="F1403" s="2" t="s">
        <v>15446</v>
      </c>
      <c r="G1403" s="2" t="s">
        <v>15456</v>
      </c>
      <c r="H1403" s="2" t="s">
        <v>15444</v>
      </c>
    </row>
    <row r="1404">
      <c r="A1404" s="2">
        <v>1402.0</v>
      </c>
      <c r="B1404" s="5" t="s">
        <v>2105</v>
      </c>
      <c r="C1404" s="2" t="s">
        <v>2106</v>
      </c>
      <c r="D1404" s="5" t="s">
        <v>2105</v>
      </c>
      <c r="E1404" s="2" t="s">
        <v>15445</v>
      </c>
      <c r="F1404" s="2" t="s">
        <v>15446</v>
      </c>
      <c r="G1404" s="2" t="s">
        <v>15443</v>
      </c>
      <c r="H1404" s="2" t="s">
        <v>15444</v>
      </c>
    </row>
    <row r="1405">
      <c r="A1405" s="2">
        <v>1403.0</v>
      </c>
      <c r="B1405" s="5" t="s">
        <v>10698</v>
      </c>
      <c r="C1405" s="2" t="s">
        <v>10699</v>
      </c>
      <c r="D1405" s="5" t="s">
        <v>10698</v>
      </c>
      <c r="E1405" s="2" t="s">
        <v>15441</v>
      </c>
      <c r="F1405" s="2" t="s">
        <v>15446</v>
      </c>
      <c r="G1405" s="2" t="s">
        <v>15456</v>
      </c>
      <c r="H1405" s="2" t="s">
        <v>15444</v>
      </c>
    </row>
    <row r="1406">
      <c r="A1406" s="2">
        <v>1404.0</v>
      </c>
      <c r="B1406" s="5" t="s">
        <v>10700</v>
      </c>
      <c r="C1406" s="2" t="s">
        <v>10701</v>
      </c>
      <c r="D1406" s="5" t="s">
        <v>10700</v>
      </c>
      <c r="E1406" s="2" t="s">
        <v>15441</v>
      </c>
      <c r="F1406" s="2" t="s">
        <v>15446</v>
      </c>
      <c r="G1406" s="2" t="s">
        <v>15456</v>
      </c>
      <c r="H1406" s="2" t="s">
        <v>15444</v>
      </c>
    </row>
    <row r="1407">
      <c r="A1407" s="2">
        <v>1405.0</v>
      </c>
      <c r="B1407" s="5" t="s">
        <v>2108</v>
      </c>
      <c r="C1407" s="2" t="s">
        <v>2109</v>
      </c>
      <c r="D1407" s="5" t="s">
        <v>2108</v>
      </c>
      <c r="E1407" s="2" t="s">
        <v>15445</v>
      </c>
      <c r="F1407" s="2" t="s">
        <v>15442</v>
      </c>
      <c r="G1407" s="2" t="s">
        <v>15443</v>
      </c>
      <c r="H1407" s="2" t="s">
        <v>15444</v>
      </c>
    </row>
    <row r="1408">
      <c r="A1408" s="2">
        <v>1406.0</v>
      </c>
      <c r="B1408" s="5" t="s">
        <v>10702</v>
      </c>
      <c r="C1408" s="2" t="s">
        <v>10703</v>
      </c>
      <c r="D1408" s="5" t="s">
        <v>10702</v>
      </c>
      <c r="E1408" s="2" t="s">
        <v>15441</v>
      </c>
      <c r="F1408" s="2" t="s">
        <v>15446</v>
      </c>
      <c r="G1408" s="2" t="s">
        <v>15456</v>
      </c>
      <c r="H1408" s="2" t="s">
        <v>15444</v>
      </c>
    </row>
    <row r="1409">
      <c r="A1409" s="2">
        <v>1407.0</v>
      </c>
      <c r="B1409" s="5" t="s">
        <v>10704</v>
      </c>
      <c r="C1409" s="2" t="s">
        <v>10705</v>
      </c>
      <c r="D1409" s="5" t="s">
        <v>10704</v>
      </c>
      <c r="E1409" s="2" t="s">
        <v>15441</v>
      </c>
      <c r="F1409" s="2" t="s">
        <v>15442</v>
      </c>
      <c r="G1409" s="2" t="s">
        <v>15443</v>
      </c>
      <c r="H1409" s="2" t="s">
        <v>15444</v>
      </c>
    </row>
    <row r="1410">
      <c r="A1410" s="2">
        <v>1408.0</v>
      </c>
      <c r="B1410" s="5" t="s">
        <v>10706</v>
      </c>
      <c r="C1410" s="2" t="s">
        <v>10707</v>
      </c>
      <c r="D1410" s="5" t="s">
        <v>10706</v>
      </c>
      <c r="E1410" s="2" t="s">
        <v>15441</v>
      </c>
      <c r="F1410" s="2" t="s">
        <v>15446</v>
      </c>
      <c r="G1410" s="2" t="s">
        <v>15443</v>
      </c>
      <c r="H1410" s="2" t="s">
        <v>15444</v>
      </c>
    </row>
    <row r="1411">
      <c r="A1411" s="2">
        <v>1409.0</v>
      </c>
      <c r="B1411" s="5" t="s">
        <v>2111</v>
      </c>
      <c r="C1411" s="2" t="s">
        <v>2112</v>
      </c>
      <c r="D1411" s="5" t="s">
        <v>2111</v>
      </c>
      <c r="E1411" s="2" t="s">
        <v>15445</v>
      </c>
      <c r="F1411" s="2" t="s">
        <v>15442</v>
      </c>
      <c r="G1411" s="2" t="s">
        <v>15456</v>
      </c>
      <c r="H1411" s="2" t="s">
        <v>15444</v>
      </c>
    </row>
    <row r="1412">
      <c r="A1412" s="2">
        <v>1410.0</v>
      </c>
      <c r="B1412" s="5" t="s">
        <v>10708</v>
      </c>
      <c r="C1412" s="2" t="s">
        <v>10709</v>
      </c>
      <c r="D1412" s="5" t="s">
        <v>10708</v>
      </c>
      <c r="E1412" s="2" t="s">
        <v>15441</v>
      </c>
      <c r="F1412" s="2" t="s">
        <v>15446</v>
      </c>
      <c r="G1412" s="2" t="s">
        <v>15456</v>
      </c>
      <c r="H1412" s="2" t="s">
        <v>15457</v>
      </c>
    </row>
    <row r="1413">
      <c r="A1413" s="2">
        <v>1411.0</v>
      </c>
      <c r="B1413" s="5" t="s">
        <v>10710</v>
      </c>
      <c r="C1413" s="2" t="s">
        <v>10711</v>
      </c>
      <c r="D1413" s="5" t="s">
        <v>10710</v>
      </c>
      <c r="E1413" s="2" t="s">
        <v>15441</v>
      </c>
      <c r="F1413" s="2" t="s">
        <v>15442</v>
      </c>
      <c r="G1413" s="2" t="s">
        <v>15443</v>
      </c>
      <c r="H1413" s="2" t="s">
        <v>15444</v>
      </c>
    </row>
    <row r="1414">
      <c r="A1414" s="2">
        <v>1412.0</v>
      </c>
      <c r="B1414" s="5" t="s">
        <v>10712</v>
      </c>
      <c r="C1414" s="2" t="s">
        <v>10713</v>
      </c>
      <c r="D1414" s="5" t="s">
        <v>10712</v>
      </c>
      <c r="E1414" s="2" t="s">
        <v>15441</v>
      </c>
      <c r="F1414" s="2" t="s">
        <v>15446</v>
      </c>
      <c r="G1414" s="2" t="s">
        <v>15443</v>
      </c>
      <c r="H1414" s="2" t="s">
        <v>15444</v>
      </c>
    </row>
    <row r="1415">
      <c r="A1415" s="2">
        <v>1413.0</v>
      </c>
      <c r="B1415" s="5" t="s">
        <v>2114</v>
      </c>
      <c r="C1415" s="2" t="s">
        <v>2115</v>
      </c>
      <c r="D1415" s="5" t="s">
        <v>2114</v>
      </c>
      <c r="E1415" s="2" t="s">
        <v>15445</v>
      </c>
      <c r="F1415" s="2" t="s">
        <v>15446</v>
      </c>
      <c r="G1415" s="2" t="s">
        <v>15443</v>
      </c>
      <c r="H1415" s="2" t="s">
        <v>15444</v>
      </c>
    </row>
    <row r="1416">
      <c r="A1416" s="2">
        <v>1414.0</v>
      </c>
      <c r="B1416" s="5" t="s">
        <v>10714</v>
      </c>
      <c r="C1416" s="2" t="s">
        <v>10715</v>
      </c>
      <c r="D1416" s="5" t="s">
        <v>10714</v>
      </c>
      <c r="E1416" s="2" t="s">
        <v>15441</v>
      </c>
      <c r="F1416" s="2" t="s">
        <v>15446</v>
      </c>
      <c r="G1416" s="2" t="s">
        <v>15456</v>
      </c>
      <c r="H1416" s="2" t="s">
        <v>15444</v>
      </c>
    </row>
    <row r="1417">
      <c r="A1417" s="2">
        <v>1415.0</v>
      </c>
      <c r="B1417" s="5" t="s">
        <v>10716</v>
      </c>
      <c r="C1417" s="2" t="s">
        <v>10717</v>
      </c>
      <c r="D1417" s="5" t="s">
        <v>10716</v>
      </c>
      <c r="E1417" s="2" t="s">
        <v>15441</v>
      </c>
      <c r="F1417" s="2" t="s">
        <v>15442</v>
      </c>
      <c r="G1417" s="2" t="s">
        <v>15443</v>
      </c>
      <c r="H1417" s="2" t="s">
        <v>15444</v>
      </c>
    </row>
    <row r="1418">
      <c r="A1418" s="2">
        <v>1416.0</v>
      </c>
      <c r="B1418" s="5" t="s">
        <v>10718</v>
      </c>
      <c r="C1418" s="2" t="s">
        <v>10719</v>
      </c>
      <c r="D1418" s="5" t="s">
        <v>10718</v>
      </c>
      <c r="E1418" s="2" t="s">
        <v>15441</v>
      </c>
      <c r="F1418" s="2" t="s">
        <v>15442</v>
      </c>
      <c r="G1418" s="2" t="s">
        <v>15443</v>
      </c>
      <c r="H1418" s="2" t="s">
        <v>15444</v>
      </c>
    </row>
    <row r="1419">
      <c r="A1419" s="2">
        <v>1417.0</v>
      </c>
      <c r="B1419" s="5" t="s">
        <v>10720</v>
      </c>
      <c r="C1419" s="2" t="s">
        <v>10721</v>
      </c>
      <c r="D1419" s="5" t="s">
        <v>10720</v>
      </c>
      <c r="E1419" s="2" t="s">
        <v>15441</v>
      </c>
      <c r="F1419" s="2" t="s">
        <v>15442</v>
      </c>
      <c r="G1419" s="2" t="s">
        <v>15456</v>
      </c>
      <c r="H1419" s="2" t="s">
        <v>15444</v>
      </c>
    </row>
    <row r="1420">
      <c r="A1420" s="2">
        <v>1418.0</v>
      </c>
      <c r="B1420" s="5" t="s">
        <v>2117</v>
      </c>
      <c r="C1420" s="2" t="s">
        <v>2118</v>
      </c>
      <c r="D1420" s="5" t="s">
        <v>2117</v>
      </c>
      <c r="E1420" s="2" t="s">
        <v>15445</v>
      </c>
      <c r="F1420" s="2" t="s">
        <v>15442</v>
      </c>
      <c r="G1420" s="2" t="s">
        <v>15443</v>
      </c>
      <c r="H1420" s="2" t="s">
        <v>15444</v>
      </c>
    </row>
    <row r="1421">
      <c r="A1421" s="2">
        <v>1419.0</v>
      </c>
      <c r="B1421" s="5" t="s">
        <v>2120</v>
      </c>
      <c r="C1421" s="2" t="s">
        <v>2121</v>
      </c>
      <c r="D1421" s="5" t="s">
        <v>2120</v>
      </c>
      <c r="E1421" s="2" t="s">
        <v>15445</v>
      </c>
      <c r="F1421" s="2" t="s">
        <v>15446</v>
      </c>
      <c r="G1421" s="2" t="s">
        <v>15443</v>
      </c>
      <c r="H1421" s="2" t="s">
        <v>15444</v>
      </c>
    </row>
    <row r="1422">
      <c r="A1422" s="2">
        <v>1420.0</v>
      </c>
      <c r="B1422" s="5" t="s">
        <v>10722</v>
      </c>
      <c r="C1422" s="2" t="s">
        <v>10723</v>
      </c>
      <c r="D1422" s="5" t="s">
        <v>10722</v>
      </c>
      <c r="E1422" s="2" t="s">
        <v>15441</v>
      </c>
      <c r="F1422" s="2" t="s">
        <v>15446</v>
      </c>
      <c r="G1422" s="2" t="s">
        <v>15456</v>
      </c>
      <c r="H1422" s="2" t="s">
        <v>15444</v>
      </c>
    </row>
    <row r="1423">
      <c r="A1423" s="2">
        <v>1421.0</v>
      </c>
      <c r="B1423" s="5" t="s">
        <v>10724</v>
      </c>
      <c r="C1423" s="2" t="s">
        <v>10725</v>
      </c>
      <c r="D1423" s="5" t="s">
        <v>10724</v>
      </c>
      <c r="E1423" s="2" t="s">
        <v>15441</v>
      </c>
      <c r="F1423" s="2" t="s">
        <v>15446</v>
      </c>
      <c r="G1423" s="2" t="s">
        <v>15456</v>
      </c>
      <c r="H1423" s="2" t="s">
        <v>15444</v>
      </c>
    </row>
    <row r="1424">
      <c r="A1424" s="2">
        <v>1422.0</v>
      </c>
      <c r="B1424" s="5" t="s">
        <v>10726</v>
      </c>
      <c r="C1424" s="2" t="s">
        <v>10727</v>
      </c>
      <c r="D1424" s="5" t="s">
        <v>10726</v>
      </c>
      <c r="E1424" s="2" t="s">
        <v>15441</v>
      </c>
      <c r="F1424" s="2" t="s">
        <v>15446</v>
      </c>
      <c r="G1424" s="2" t="s">
        <v>15456</v>
      </c>
      <c r="H1424" s="2" t="s">
        <v>15444</v>
      </c>
    </row>
    <row r="1425">
      <c r="A1425" s="2">
        <v>1423.0</v>
      </c>
      <c r="B1425" s="5" t="s">
        <v>10728</v>
      </c>
      <c r="C1425" s="2" t="s">
        <v>10729</v>
      </c>
      <c r="D1425" s="5" t="s">
        <v>10728</v>
      </c>
      <c r="E1425" s="2" t="s">
        <v>15441</v>
      </c>
      <c r="F1425" s="2" t="s">
        <v>15442</v>
      </c>
      <c r="G1425" s="2" t="s">
        <v>15443</v>
      </c>
      <c r="H1425" s="2" t="s">
        <v>15444</v>
      </c>
    </row>
    <row r="1426">
      <c r="A1426" s="2">
        <v>1424.0</v>
      </c>
      <c r="B1426" s="5" t="s">
        <v>10730</v>
      </c>
      <c r="C1426" s="2" t="s">
        <v>10731</v>
      </c>
      <c r="D1426" s="5" t="s">
        <v>10730</v>
      </c>
      <c r="E1426" s="2" t="s">
        <v>15441</v>
      </c>
      <c r="F1426" s="2" t="s">
        <v>15446</v>
      </c>
      <c r="G1426" s="2" t="s">
        <v>15456</v>
      </c>
      <c r="H1426" s="2" t="s">
        <v>15444</v>
      </c>
    </row>
    <row r="1427">
      <c r="A1427" s="2">
        <v>1425.0</v>
      </c>
      <c r="B1427" s="5" t="s">
        <v>2123</v>
      </c>
      <c r="C1427" s="2" t="s">
        <v>2124</v>
      </c>
      <c r="D1427" s="5" t="s">
        <v>2123</v>
      </c>
      <c r="E1427" s="2" t="s">
        <v>15445</v>
      </c>
      <c r="F1427" s="2" t="s">
        <v>15442</v>
      </c>
      <c r="G1427" s="2" t="s">
        <v>15443</v>
      </c>
      <c r="H1427" s="2" t="s">
        <v>15444</v>
      </c>
    </row>
    <row r="1428">
      <c r="A1428" s="2">
        <v>1426.0</v>
      </c>
      <c r="B1428" s="5" t="s">
        <v>10732</v>
      </c>
      <c r="C1428" s="2" t="s">
        <v>10733</v>
      </c>
      <c r="D1428" s="5" t="s">
        <v>10732</v>
      </c>
      <c r="E1428" s="2" t="s">
        <v>15441</v>
      </c>
      <c r="F1428" s="2" t="s">
        <v>15446</v>
      </c>
      <c r="G1428" s="2" t="s">
        <v>15456</v>
      </c>
      <c r="H1428" s="2" t="s">
        <v>15444</v>
      </c>
    </row>
    <row r="1429">
      <c r="A1429" s="2">
        <v>1427.0</v>
      </c>
      <c r="B1429" s="5" t="s">
        <v>2126</v>
      </c>
      <c r="C1429" s="2" t="s">
        <v>2127</v>
      </c>
      <c r="D1429" s="5" t="s">
        <v>2126</v>
      </c>
      <c r="E1429" s="2" t="s">
        <v>15445</v>
      </c>
      <c r="F1429" s="2" t="s">
        <v>15442</v>
      </c>
      <c r="G1429" s="2" t="s">
        <v>15456</v>
      </c>
      <c r="H1429" s="2" t="s">
        <v>15444</v>
      </c>
    </row>
    <row r="1430">
      <c r="A1430" s="2">
        <v>1428.0</v>
      </c>
      <c r="B1430" s="5" t="s">
        <v>2129</v>
      </c>
      <c r="C1430" s="2" t="s">
        <v>2130</v>
      </c>
      <c r="D1430" s="5" t="s">
        <v>2129</v>
      </c>
      <c r="E1430" s="2" t="s">
        <v>15445</v>
      </c>
      <c r="F1430" s="2" t="s">
        <v>15446</v>
      </c>
      <c r="G1430" s="2" t="s">
        <v>15456</v>
      </c>
      <c r="H1430" s="2" t="s">
        <v>15457</v>
      </c>
    </row>
    <row r="1431">
      <c r="A1431" s="2">
        <v>1429.0</v>
      </c>
      <c r="B1431" s="5" t="s">
        <v>10734</v>
      </c>
      <c r="C1431" s="2" t="s">
        <v>10735</v>
      </c>
      <c r="D1431" s="5" t="s">
        <v>10734</v>
      </c>
      <c r="E1431" s="2" t="s">
        <v>15441</v>
      </c>
      <c r="F1431" s="2" t="s">
        <v>15446</v>
      </c>
      <c r="G1431" s="2" t="s">
        <v>15456</v>
      </c>
      <c r="H1431" s="2" t="s">
        <v>15444</v>
      </c>
    </row>
    <row r="1432">
      <c r="A1432" s="2">
        <v>1430.0</v>
      </c>
      <c r="B1432" s="5" t="s">
        <v>2132</v>
      </c>
      <c r="C1432" s="2" t="s">
        <v>2133</v>
      </c>
      <c r="D1432" s="5" t="s">
        <v>2132</v>
      </c>
      <c r="E1432" s="2" t="s">
        <v>15445</v>
      </c>
      <c r="F1432" s="2" t="s">
        <v>15446</v>
      </c>
      <c r="G1432" s="2" t="s">
        <v>15456</v>
      </c>
      <c r="H1432" s="2" t="s">
        <v>15444</v>
      </c>
    </row>
    <row r="1433">
      <c r="A1433" s="2">
        <v>1431.0</v>
      </c>
      <c r="B1433" s="5" t="s">
        <v>2135</v>
      </c>
      <c r="C1433" s="2" t="s">
        <v>2136</v>
      </c>
      <c r="D1433" s="5" t="s">
        <v>2135</v>
      </c>
      <c r="E1433" s="2" t="s">
        <v>15445</v>
      </c>
      <c r="F1433" s="2" t="s">
        <v>15446</v>
      </c>
      <c r="G1433" s="2" t="s">
        <v>15443</v>
      </c>
      <c r="H1433" s="2" t="s">
        <v>15444</v>
      </c>
    </row>
    <row r="1434">
      <c r="A1434" s="2">
        <v>1432.0</v>
      </c>
      <c r="B1434" s="5" t="s">
        <v>2138</v>
      </c>
      <c r="C1434" s="2" t="s">
        <v>2139</v>
      </c>
      <c r="D1434" s="5" t="s">
        <v>2138</v>
      </c>
      <c r="E1434" s="2" t="s">
        <v>15445</v>
      </c>
      <c r="F1434" s="2" t="s">
        <v>15446</v>
      </c>
      <c r="G1434" s="2" t="s">
        <v>15443</v>
      </c>
      <c r="H1434" s="2" t="s">
        <v>15444</v>
      </c>
    </row>
    <row r="1435">
      <c r="A1435" s="2">
        <v>1433.0</v>
      </c>
      <c r="B1435" s="5" t="s">
        <v>10736</v>
      </c>
      <c r="C1435" s="2" t="s">
        <v>10737</v>
      </c>
      <c r="D1435" s="5" t="s">
        <v>10736</v>
      </c>
      <c r="E1435" s="2" t="s">
        <v>15441</v>
      </c>
      <c r="F1435" s="2" t="s">
        <v>15446</v>
      </c>
      <c r="G1435" s="2" t="s">
        <v>15443</v>
      </c>
      <c r="H1435" s="2" t="s">
        <v>15444</v>
      </c>
    </row>
    <row r="1436">
      <c r="A1436" s="2">
        <v>1434.0</v>
      </c>
      <c r="B1436" s="5" t="s">
        <v>2141</v>
      </c>
      <c r="C1436" s="2" t="s">
        <v>2142</v>
      </c>
      <c r="D1436" s="5" t="s">
        <v>2141</v>
      </c>
      <c r="E1436" s="2" t="s">
        <v>15445</v>
      </c>
      <c r="F1436" s="2" t="s">
        <v>15446</v>
      </c>
      <c r="G1436" s="2" t="s">
        <v>15456</v>
      </c>
      <c r="H1436" s="2" t="s">
        <v>15444</v>
      </c>
    </row>
    <row r="1437">
      <c r="A1437" s="2">
        <v>1435.0</v>
      </c>
      <c r="B1437" s="5" t="s">
        <v>10738</v>
      </c>
      <c r="C1437" s="2" t="s">
        <v>10739</v>
      </c>
      <c r="D1437" s="5" t="s">
        <v>10738</v>
      </c>
      <c r="E1437" s="2" t="s">
        <v>15441</v>
      </c>
      <c r="F1437" s="2" t="s">
        <v>15446</v>
      </c>
      <c r="G1437" s="2" t="s">
        <v>15456</v>
      </c>
      <c r="H1437" s="2" t="s">
        <v>15444</v>
      </c>
    </row>
    <row r="1438">
      <c r="A1438" s="2">
        <v>1436.0</v>
      </c>
      <c r="B1438" s="5" t="s">
        <v>10740</v>
      </c>
      <c r="C1438" s="2" t="s">
        <v>10741</v>
      </c>
      <c r="D1438" s="5" t="s">
        <v>10740</v>
      </c>
      <c r="E1438" s="2" t="s">
        <v>15441</v>
      </c>
      <c r="F1438" s="2" t="s">
        <v>15442</v>
      </c>
      <c r="G1438" s="2" t="s">
        <v>15443</v>
      </c>
      <c r="H1438" s="2" t="s">
        <v>15444</v>
      </c>
    </row>
    <row r="1439">
      <c r="A1439" s="2">
        <v>1437.0</v>
      </c>
      <c r="B1439" s="5" t="s">
        <v>10742</v>
      </c>
      <c r="C1439" s="2" t="s">
        <v>10743</v>
      </c>
      <c r="D1439" s="5" t="s">
        <v>10742</v>
      </c>
      <c r="E1439" s="2" t="s">
        <v>15441</v>
      </c>
      <c r="F1439" s="2" t="s">
        <v>15442</v>
      </c>
      <c r="G1439" s="2" t="s">
        <v>15443</v>
      </c>
      <c r="H1439" s="2" t="s">
        <v>15457</v>
      </c>
    </row>
    <row r="1440">
      <c r="A1440" s="2">
        <v>1438.0</v>
      </c>
      <c r="B1440" s="5" t="s">
        <v>2144</v>
      </c>
      <c r="C1440" s="2" t="s">
        <v>2145</v>
      </c>
      <c r="D1440" s="5" t="s">
        <v>2144</v>
      </c>
      <c r="E1440" s="2" t="s">
        <v>15445</v>
      </c>
      <c r="F1440" s="2" t="s">
        <v>15446</v>
      </c>
      <c r="G1440" s="2" t="s">
        <v>15456</v>
      </c>
      <c r="H1440" s="2" t="s">
        <v>15457</v>
      </c>
    </row>
    <row r="1441">
      <c r="A1441" s="2">
        <v>1439.0</v>
      </c>
      <c r="B1441" s="5" t="s">
        <v>10744</v>
      </c>
      <c r="C1441" s="2" t="s">
        <v>10745</v>
      </c>
      <c r="D1441" s="5" t="s">
        <v>10744</v>
      </c>
      <c r="E1441" s="2" t="s">
        <v>15441</v>
      </c>
      <c r="F1441" s="2" t="s">
        <v>15442</v>
      </c>
      <c r="G1441" s="2" t="s">
        <v>15443</v>
      </c>
      <c r="H1441" s="2" t="s">
        <v>15444</v>
      </c>
    </row>
    <row r="1442">
      <c r="A1442" s="2">
        <v>1440.0</v>
      </c>
      <c r="B1442" s="5" t="s">
        <v>2147</v>
      </c>
      <c r="C1442" s="2" t="s">
        <v>2148</v>
      </c>
      <c r="D1442" s="5" t="s">
        <v>2147</v>
      </c>
      <c r="E1442" s="2" t="s">
        <v>15445</v>
      </c>
      <c r="F1442" s="2" t="s">
        <v>15442</v>
      </c>
      <c r="G1442" s="2" t="s">
        <v>15443</v>
      </c>
      <c r="H1442" s="2" t="s">
        <v>15455</v>
      </c>
    </row>
    <row r="1443">
      <c r="A1443" s="2">
        <v>1441.0</v>
      </c>
      <c r="B1443" s="5" t="s">
        <v>2150</v>
      </c>
      <c r="C1443" s="2" t="s">
        <v>2151</v>
      </c>
      <c r="D1443" s="5" t="s">
        <v>2150</v>
      </c>
      <c r="E1443" s="2" t="s">
        <v>15445</v>
      </c>
      <c r="F1443" s="2" t="s">
        <v>15442</v>
      </c>
      <c r="G1443" s="2" t="s">
        <v>15443</v>
      </c>
      <c r="H1443" s="2" t="s">
        <v>15444</v>
      </c>
    </row>
    <row r="1444">
      <c r="A1444" s="2">
        <v>1442.0</v>
      </c>
      <c r="B1444" s="5" t="s">
        <v>10746</v>
      </c>
      <c r="C1444" s="2" t="s">
        <v>10747</v>
      </c>
      <c r="D1444" s="5" t="s">
        <v>10746</v>
      </c>
      <c r="E1444" s="2" t="s">
        <v>15441</v>
      </c>
      <c r="F1444" s="2" t="s">
        <v>15442</v>
      </c>
      <c r="G1444" s="2" t="s">
        <v>15443</v>
      </c>
      <c r="H1444" s="2" t="s">
        <v>15444</v>
      </c>
    </row>
    <row r="1445">
      <c r="A1445" s="2">
        <v>1443.0</v>
      </c>
      <c r="B1445" s="5" t="s">
        <v>10748</v>
      </c>
      <c r="C1445" s="2" t="s">
        <v>10749</v>
      </c>
      <c r="D1445" s="5" t="s">
        <v>10748</v>
      </c>
      <c r="E1445" s="2" t="s">
        <v>15441</v>
      </c>
      <c r="F1445" s="2" t="s">
        <v>15442</v>
      </c>
      <c r="G1445" s="2" t="s">
        <v>15443</v>
      </c>
      <c r="H1445" s="2" t="s">
        <v>15444</v>
      </c>
    </row>
    <row r="1446">
      <c r="A1446" s="2">
        <v>1444.0</v>
      </c>
      <c r="B1446" s="5" t="s">
        <v>10750</v>
      </c>
      <c r="C1446" s="2" t="s">
        <v>10751</v>
      </c>
      <c r="D1446" s="5" t="s">
        <v>10750</v>
      </c>
      <c r="E1446" s="2" t="s">
        <v>15441</v>
      </c>
      <c r="F1446" s="2" t="s">
        <v>15446</v>
      </c>
      <c r="G1446" s="2" t="s">
        <v>15456</v>
      </c>
      <c r="H1446" s="2" t="s">
        <v>15444</v>
      </c>
    </row>
    <row r="1447">
      <c r="A1447" s="2">
        <v>1445.0</v>
      </c>
      <c r="B1447" s="5" t="s">
        <v>15493</v>
      </c>
      <c r="C1447" s="2" t="s">
        <v>15494</v>
      </c>
      <c r="D1447" s="5" t="s">
        <v>15493</v>
      </c>
      <c r="E1447" s="2" t="s">
        <v>15445</v>
      </c>
      <c r="F1447" s="2" t="s">
        <v>15446</v>
      </c>
      <c r="G1447" s="2" t="s">
        <v>15456</v>
      </c>
      <c r="H1447" s="2" t="s">
        <v>15457</v>
      </c>
    </row>
    <row r="1448">
      <c r="A1448" s="2">
        <v>1446.0</v>
      </c>
      <c r="B1448" s="5" t="s">
        <v>2153</v>
      </c>
      <c r="C1448" s="2" t="s">
        <v>2154</v>
      </c>
      <c r="D1448" s="5" t="s">
        <v>2153</v>
      </c>
      <c r="E1448" s="2" t="s">
        <v>15445</v>
      </c>
      <c r="F1448" s="2" t="s">
        <v>15446</v>
      </c>
      <c r="G1448" s="2" t="s">
        <v>15443</v>
      </c>
      <c r="H1448" s="2" t="s">
        <v>15444</v>
      </c>
    </row>
    <row r="1449">
      <c r="A1449" s="2">
        <v>1447.0</v>
      </c>
      <c r="B1449" s="5" t="s">
        <v>2156</v>
      </c>
      <c r="C1449" s="2" t="s">
        <v>2157</v>
      </c>
      <c r="D1449" s="5" t="s">
        <v>2156</v>
      </c>
      <c r="E1449" s="2" t="s">
        <v>15445</v>
      </c>
      <c r="F1449" s="2" t="s">
        <v>15442</v>
      </c>
      <c r="G1449" s="2" t="s">
        <v>15456</v>
      </c>
      <c r="H1449" s="2" t="s">
        <v>15455</v>
      </c>
    </row>
    <row r="1450">
      <c r="A1450" s="2">
        <v>1448.0</v>
      </c>
      <c r="B1450" s="5" t="s">
        <v>2159</v>
      </c>
      <c r="C1450" s="2" t="s">
        <v>2160</v>
      </c>
      <c r="D1450" s="5" t="s">
        <v>2159</v>
      </c>
      <c r="E1450" s="2" t="s">
        <v>15445</v>
      </c>
      <c r="F1450" s="2" t="s">
        <v>15446</v>
      </c>
      <c r="G1450" s="2" t="s">
        <v>15443</v>
      </c>
      <c r="H1450" s="2" t="s">
        <v>15444</v>
      </c>
    </row>
    <row r="1451">
      <c r="A1451" s="2">
        <v>1449.0</v>
      </c>
      <c r="B1451" s="5" t="s">
        <v>10752</v>
      </c>
      <c r="C1451" s="2" t="s">
        <v>10753</v>
      </c>
      <c r="D1451" s="5" t="s">
        <v>10752</v>
      </c>
      <c r="E1451" s="2" t="s">
        <v>15441</v>
      </c>
      <c r="F1451" s="2" t="s">
        <v>15442</v>
      </c>
      <c r="G1451" s="2" t="s">
        <v>15443</v>
      </c>
      <c r="H1451" s="2" t="s">
        <v>15461</v>
      </c>
    </row>
    <row r="1452">
      <c r="A1452" s="2">
        <v>1450.0</v>
      </c>
      <c r="B1452" s="5" t="s">
        <v>10754</v>
      </c>
      <c r="C1452" s="2" t="s">
        <v>10755</v>
      </c>
      <c r="D1452" s="5" t="s">
        <v>10754</v>
      </c>
      <c r="E1452" s="2" t="s">
        <v>15441</v>
      </c>
      <c r="F1452" s="2" t="s">
        <v>15446</v>
      </c>
      <c r="G1452" s="2" t="s">
        <v>15456</v>
      </c>
      <c r="H1452" s="2" t="s">
        <v>15444</v>
      </c>
    </row>
    <row r="1453">
      <c r="A1453" s="2">
        <v>1451.0</v>
      </c>
      <c r="B1453" s="5" t="s">
        <v>15495</v>
      </c>
      <c r="C1453" s="2" t="s">
        <v>15496</v>
      </c>
      <c r="D1453" s="5" t="s">
        <v>15495</v>
      </c>
      <c r="E1453" s="2" t="s">
        <v>15445</v>
      </c>
      <c r="F1453" s="2" t="s">
        <v>15446</v>
      </c>
      <c r="G1453" s="2" t="s">
        <v>15456</v>
      </c>
      <c r="H1453" s="2" t="s">
        <v>15461</v>
      </c>
    </row>
    <row r="1454">
      <c r="A1454" s="2">
        <v>1452.0</v>
      </c>
      <c r="B1454" s="5" t="s">
        <v>2162</v>
      </c>
      <c r="C1454" s="2" t="s">
        <v>2163</v>
      </c>
      <c r="D1454" s="5" t="s">
        <v>2162</v>
      </c>
      <c r="E1454" s="2" t="s">
        <v>15445</v>
      </c>
      <c r="F1454" s="2" t="s">
        <v>15442</v>
      </c>
      <c r="G1454" s="2" t="s">
        <v>15443</v>
      </c>
      <c r="H1454" s="2" t="s">
        <v>15444</v>
      </c>
    </row>
    <row r="1455">
      <c r="A1455" s="2">
        <v>1453.0</v>
      </c>
      <c r="B1455" s="5" t="s">
        <v>10756</v>
      </c>
      <c r="C1455" s="2" t="s">
        <v>10757</v>
      </c>
      <c r="D1455" s="5" t="s">
        <v>10756</v>
      </c>
      <c r="E1455" s="2" t="s">
        <v>15441</v>
      </c>
      <c r="F1455" s="2" t="s">
        <v>15442</v>
      </c>
      <c r="G1455" s="2" t="s">
        <v>15443</v>
      </c>
      <c r="H1455" s="2" t="s">
        <v>15444</v>
      </c>
    </row>
    <row r="1456">
      <c r="A1456" s="2">
        <v>1454.0</v>
      </c>
      <c r="B1456" s="5" t="s">
        <v>2165</v>
      </c>
      <c r="C1456" s="2" t="s">
        <v>2166</v>
      </c>
      <c r="D1456" s="5" t="s">
        <v>2165</v>
      </c>
      <c r="E1456" s="2" t="s">
        <v>15445</v>
      </c>
      <c r="F1456" s="2" t="s">
        <v>15446</v>
      </c>
      <c r="G1456" s="2" t="s">
        <v>15443</v>
      </c>
      <c r="H1456" s="2" t="s">
        <v>15444</v>
      </c>
    </row>
    <row r="1457">
      <c r="A1457" s="2">
        <v>1455.0</v>
      </c>
      <c r="B1457" s="5" t="s">
        <v>2168</v>
      </c>
      <c r="C1457" s="2" t="s">
        <v>2169</v>
      </c>
      <c r="D1457" s="5" t="s">
        <v>2168</v>
      </c>
      <c r="E1457" s="2" t="s">
        <v>15445</v>
      </c>
      <c r="F1457" s="2" t="s">
        <v>15446</v>
      </c>
      <c r="G1457" s="2" t="s">
        <v>15456</v>
      </c>
      <c r="H1457" s="2" t="s">
        <v>15444</v>
      </c>
    </row>
    <row r="1458">
      <c r="A1458" s="2">
        <v>1456.0</v>
      </c>
      <c r="B1458" s="5" t="s">
        <v>10758</v>
      </c>
      <c r="C1458" s="2" t="s">
        <v>10759</v>
      </c>
      <c r="D1458" s="5" t="s">
        <v>10758</v>
      </c>
      <c r="E1458" s="2" t="s">
        <v>15441</v>
      </c>
      <c r="F1458" s="2" t="s">
        <v>15446</v>
      </c>
      <c r="G1458" s="2" t="s">
        <v>15443</v>
      </c>
      <c r="H1458" s="2" t="s">
        <v>15444</v>
      </c>
    </row>
    <row r="1459">
      <c r="A1459" s="2">
        <v>1457.0</v>
      </c>
      <c r="B1459" s="5" t="s">
        <v>10760</v>
      </c>
      <c r="C1459" s="2" t="s">
        <v>10761</v>
      </c>
      <c r="D1459" s="5" t="s">
        <v>10760</v>
      </c>
      <c r="E1459" s="2" t="s">
        <v>15441</v>
      </c>
      <c r="F1459" s="2" t="s">
        <v>15446</v>
      </c>
      <c r="G1459" s="2" t="s">
        <v>15443</v>
      </c>
      <c r="H1459" s="2" t="s">
        <v>15461</v>
      </c>
    </row>
    <row r="1460">
      <c r="A1460" s="2">
        <v>1458.0</v>
      </c>
      <c r="B1460" s="5" t="s">
        <v>10762</v>
      </c>
      <c r="C1460" s="2" t="s">
        <v>10763</v>
      </c>
      <c r="D1460" s="5" t="s">
        <v>10762</v>
      </c>
      <c r="E1460" s="2" t="s">
        <v>15441</v>
      </c>
      <c r="F1460" s="2" t="s">
        <v>15442</v>
      </c>
      <c r="G1460" s="2" t="s">
        <v>15443</v>
      </c>
      <c r="H1460" s="2" t="s">
        <v>15444</v>
      </c>
    </row>
    <row r="1461">
      <c r="A1461" s="2">
        <v>1459.0</v>
      </c>
      <c r="B1461" s="5" t="s">
        <v>2171</v>
      </c>
      <c r="C1461" s="2" t="s">
        <v>2172</v>
      </c>
      <c r="D1461" s="5" t="s">
        <v>2171</v>
      </c>
      <c r="E1461" s="2" t="s">
        <v>15445</v>
      </c>
      <c r="F1461" s="2" t="s">
        <v>15446</v>
      </c>
      <c r="G1461" s="2" t="s">
        <v>15456</v>
      </c>
      <c r="H1461" s="2" t="s">
        <v>15444</v>
      </c>
    </row>
    <row r="1462">
      <c r="A1462" s="2">
        <v>1460.0</v>
      </c>
      <c r="B1462" s="5" t="s">
        <v>2174</v>
      </c>
      <c r="C1462" s="2" t="s">
        <v>2175</v>
      </c>
      <c r="D1462" s="5" t="s">
        <v>2174</v>
      </c>
      <c r="E1462" s="2" t="s">
        <v>15445</v>
      </c>
      <c r="F1462" s="2" t="s">
        <v>15442</v>
      </c>
      <c r="G1462" s="2" t="s">
        <v>15443</v>
      </c>
      <c r="H1462" s="2" t="s">
        <v>15444</v>
      </c>
    </row>
    <row r="1463">
      <c r="A1463" s="2">
        <v>1461.0</v>
      </c>
      <c r="B1463" s="5" t="s">
        <v>2177</v>
      </c>
      <c r="C1463" s="2" t="s">
        <v>2178</v>
      </c>
      <c r="D1463" s="5" t="s">
        <v>2177</v>
      </c>
      <c r="E1463" s="2" t="s">
        <v>15445</v>
      </c>
      <c r="F1463" s="2" t="s">
        <v>15446</v>
      </c>
      <c r="G1463" s="2" t="s">
        <v>15456</v>
      </c>
      <c r="H1463" s="2" t="s">
        <v>15444</v>
      </c>
    </row>
    <row r="1464">
      <c r="A1464" s="2">
        <v>1462.0</v>
      </c>
      <c r="B1464" s="5" t="s">
        <v>10764</v>
      </c>
      <c r="C1464" s="2" t="s">
        <v>10765</v>
      </c>
      <c r="D1464" s="5" t="s">
        <v>10764</v>
      </c>
      <c r="E1464" s="2" t="s">
        <v>15441</v>
      </c>
      <c r="F1464" s="2" t="s">
        <v>15446</v>
      </c>
      <c r="G1464" s="2" t="s">
        <v>15443</v>
      </c>
      <c r="H1464" s="2" t="s">
        <v>15444</v>
      </c>
    </row>
    <row r="1465">
      <c r="A1465" s="2">
        <v>1463.0</v>
      </c>
      <c r="B1465" s="5" t="s">
        <v>2180</v>
      </c>
      <c r="C1465" s="2" t="s">
        <v>2181</v>
      </c>
      <c r="D1465" s="5" t="s">
        <v>2180</v>
      </c>
      <c r="E1465" s="2" t="s">
        <v>15445</v>
      </c>
      <c r="F1465" s="2" t="s">
        <v>15446</v>
      </c>
      <c r="G1465" s="2" t="s">
        <v>15456</v>
      </c>
      <c r="H1465" s="2" t="s">
        <v>15455</v>
      </c>
    </row>
    <row r="1466">
      <c r="A1466" s="2">
        <v>1464.0</v>
      </c>
      <c r="B1466" s="5" t="s">
        <v>2183</v>
      </c>
      <c r="C1466" s="2" t="s">
        <v>2184</v>
      </c>
      <c r="D1466" s="5" t="s">
        <v>2183</v>
      </c>
      <c r="E1466" s="2" t="s">
        <v>15445</v>
      </c>
      <c r="F1466" s="2" t="s">
        <v>15446</v>
      </c>
      <c r="G1466" s="2" t="s">
        <v>15456</v>
      </c>
      <c r="H1466" s="2" t="s">
        <v>15444</v>
      </c>
    </row>
    <row r="1467">
      <c r="A1467" s="2">
        <v>1465.0</v>
      </c>
      <c r="B1467" s="5" t="s">
        <v>2186</v>
      </c>
      <c r="C1467" s="2" t="s">
        <v>2187</v>
      </c>
      <c r="D1467" s="5" t="s">
        <v>2186</v>
      </c>
      <c r="E1467" s="2" t="s">
        <v>15445</v>
      </c>
      <c r="F1467" s="2" t="s">
        <v>15446</v>
      </c>
      <c r="G1467" s="2" t="s">
        <v>15456</v>
      </c>
      <c r="H1467" s="2" t="s">
        <v>15444</v>
      </c>
    </row>
    <row r="1468">
      <c r="A1468" s="2">
        <v>1466.0</v>
      </c>
      <c r="B1468" s="5" t="s">
        <v>2189</v>
      </c>
      <c r="C1468" s="2" t="s">
        <v>2190</v>
      </c>
      <c r="D1468" s="5" t="s">
        <v>2189</v>
      </c>
      <c r="E1468" s="2" t="s">
        <v>15445</v>
      </c>
      <c r="F1468" s="2" t="s">
        <v>15442</v>
      </c>
      <c r="G1468" s="2" t="s">
        <v>15456</v>
      </c>
      <c r="H1468" s="2" t="s">
        <v>15444</v>
      </c>
    </row>
    <row r="1469">
      <c r="A1469" s="2">
        <v>1467.0</v>
      </c>
      <c r="B1469" s="5" t="s">
        <v>2192</v>
      </c>
      <c r="C1469" s="2" t="s">
        <v>2193</v>
      </c>
      <c r="D1469" s="5" t="s">
        <v>2192</v>
      </c>
      <c r="E1469" s="2" t="s">
        <v>15445</v>
      </c>
      <c r="F1469" s="2" t="s">
        <v>15446</v>
      </c>
      <c r="G1469" s="2" t="s">
        <v>15456</v>
      </c>
      <c r="H1469" s="2" t="s">
        <v>15444</v>
      </c>
    </row>
    <row r="1470">
      <c r="A1470" s="2">
        <v>1468.0</v>
      </c>
      <c r="B1470" s="5" t="s">
        <v>10766</v>
      </c>
      <c r="C1470" s="2" t="s">
        <v>10767</v>
      </c>
      <c r="D1470" s="5" t="s">
        <v>10766</v>
      </c>
      <c r="E1470" s="2" t="s">
        <v>15441</v>
      </c>
      <c r="F1470" s="2" t="s">
        <v>15446</v>
      </c>
      <c r="G1470" s="2" t="s">
        <v>15443</v>
      </c>
      <c r="H1470" s="2" t="s">
        <v>15444</v>
      </c>
    </row>
    <row r="1471">
      <c r="A1471" s="2">
        <v>1469.0</v>
      </c>
      <c r="B1471" s="5" t="s">
        <v>2195</v>
      </c>
      <c r="C1471" s="2" t="s">
        <v>2196</v>
      </c>
      <c r="D1471" s="5" t="s">
        <v>2195</v>
      </c>
      <c r="E1471" s="2" t="s">
        <v>15445</v>
      </c>
      <c r="F1471" s="2" t="s">
        <v>15446</v>
      </c>
      <c r="G1471" s="2" t="s">
        <v>15456</v>
      </c>
      <c r="H1471" s="2" t="s">
        <v>15444</v>
      </c>
    </row>
    <row r="1472">
      <c r="A1472" s="2">
        <v>1470.0</v>
      </c>
      <c r="B1472" s="5" t="s">
        <v>2198</v>
      </c>
      <c r="C1472" s="2" t="s">
        <v>2199</v>
      </c>
      <c r="D1472" s="5" t="s">
        <v>2198</v>
      </c>
      <c r="E1472" s="2" t="s">
        <v>15445</v>
      </c>
      <c r="F1472" s="2" t="s">
        <v>15442</v>
      </c>
      <c r="G1472" s="2" t="s">
        <v>15443</v>
      </c>
      <c r="H1472" s="2" t="s">
        <v>15444</v>
      </c>
    </row>
    <row r="1473">
      <c r="A1473" s="2">
        <v>1471.0</v>
      </c>
      <c r="B1473" s="5" t="s">
        <v>2201</v>
      </c>
      <c r="C1473" s="2" t="s">
        <v>2202</v>
      </c>
      <c r="D1473" s="5" t="s">
        <v>2201</v>
      </c>
      <c r="E1473" s="2" t="s">
        <v>15445</v>
      </c>
      <c r="F1473" s="2" t="s">
        <v>15442</v>
      </c>
      <c r="G1473" s="2" t="s">
        <v>15456</v>
      </c>
      <c r="H1473" s="2" t="s">
        <v>15444</v>
      </c>
    </row>
    <row r="1474">
      <c r="A1474" s="2">
        <v>1472.0</v>
      </c>
      <c r="B1474" s="5" t="s">
        <v>2204</v>
      </c>
      <c r="C1474" s="2" t="s">
        <v>2205</v>
      </c>
      <c r="D1474" s="5" t="s">
        <v>2204</v>
      </c>
      <c r="E1474" s="2" t="s">
        <v>15445</v>
      </c>
      <c r="F1474" s="2" t="s">
        <v>15446</v>
      </c>
      <c r="G1474" s="2" t="s">
        <v>15443</v>
      </c>
      <c r="H1474" s="2" t="s">
        <v>15444</v>
      </c>
    </row>
    <row r="1475">
      <c r="A1475" s="2">
        <v>1473.0</v>
      </c>
      <c r="B1475" s="5" t="s">
        <v>2207</v>
      </c>
      <c r="C1475" s="2" t="s">
        <v>2208</v>
      </c>
      <c r="D1475" s="5" t="s">
        <v>2207</v>
      </c>
      <c r="E1475" s="2" t="s">
        <v>15445</v>
      </c>
      <c r="F1475" s="2" t="s">
        <v>15446</v>
      </c>
      <c r="G1475" s="2" t="s">
        <v>15443</v>
      </c>
      <c r="H1475" s="2" t="s">
        <v>15444</v>
      </c>
    </row>
    <row r="1476">
      <c r="A1476" s="2">
        <v>1474.0</v>
      </c>
      <c r="B1476" s="5" t="s">
        <v>2210</v>
      </c>
      <c r="C1476" s="2" t="s">
        <v>2211</v>
      </c>
      <c r="D1476" s="5" t="s">
        <v>2210</v>
      </c>
      <c r="E1476" s="2" t="s">
        <v>15445</v>
      </c>
      <c r="F1476" s="2" t="s">
        <v>15446</v>
      </c>
      <c r="G1476" s="2" t="s">
        <v>15443</v>
      </c>
      <c r="H1476" s="2" t="s">
        <v>15457</v>
      </c>
    </row>
    <row r="1477">
      <c r="A1477" s="2">
        <v>1475.0</v>
      </c>
      <c r="B1477" s="5" t="s">
        <v>10768</v>
      </c>
      <c r="C1477" s="2" t="s">
        <v>10769</v>
      </c>
      <c r="D1477" s="5" t="s">
        <v>10768</v>
      </c>
      <c r="E1477" s="2" t="s">
        <v>15441</v>
      </c>
      <c r="F1477" s="2" t="s">
        <v>15446</v>
      </c>
      <c r="G1477" s="2" t="s">
        <v>15456</v>
      </c>
      <c r="H1477" s="2" t="s">
        <v>15444</v>
      </c>
    </row>
    <row r="1478">
      <c r="A1478" s="2">
        <v>1476.0</v>
      </c>
      <c r="B1478" s="5" t="s">
        <v>10770</v>
      </c>
      <c r="C1478" s="2" t="s">
        <v>10771</v>
      </c>
      <c r="D1478" s="5" t="s">
        <v>10770</v>
      </c>
      <c r="E1478" s="2" t="s">
        <v>15441</v>
      </c>
      <c r="F1478" s="2" t="s">
        <v>15446</v>
      </c>
      <c r="G1478" s="2" t="s">
        <v>15456</v>
      </c>
      <c r="H1478" s="2" t="s">
        <v>15444</v>
      </c>
    </row>
    <row r="1479">
      <c r="A1479" s="2">
        <v>1477.0</v>
      </c>
      <c r="B1479" s="5" t="s">
        <v>2213</v>
      </c>
      <c r="C1479" s="2" t="s">
        <v>2214</v>
      </c>
      <c r="D1479" s="5" t="s">
        <v>2213</v>
      </c>
      <c r="E1479" s="2" t="s">
        <v>15445</v>
      </c>
      <c r="F1479" s="2" t="s">
        <v>15442</v>
      </c>
      <c r="G1479" s="2" t="s">
        <v>15443</v>
      </c>
      <c r="H1479" s="2" t="s">
        <v>15444</v>
      </c>
    </row>
    <row r="1480">
      <c r="A1480" s="2">
        <v>1478.0</v>
      </c>
      <c r="B1480" s="5" t="s">
        <v>2216</v>
      </c>
      <c r="C1480" s="2" t="s">
        <v>2217</v>
      </c>
      <c r="D1480" s="5" t="s">
        <v>2216</v>
      </c>
      <c r="E1480" s="2" t="s">
        <v>15445</v>
      </c>
      <c r="F1480" s="2" t="s">
        <v>15442</v>
      </c>
      <c r="G1480" s="2" t="s">
        <v>15456</v>
      </c>
      <c r="H1480" s="2" t="s">
        <v>15444</v>
      </c>
    </row>
    <row r="1481">
      <c r="A1481" s="2">
        <v>1479.0</v>
      </c>
      <c r="B1481" s="5" t="s">
        <v>10772</v>
      </c>
      <c r="C1481" s="2" t="s">
        <v>10773</v>
      </c>
      <c r="D1481" s="5" t="s">
        <v>10772</v>
      </c>
      <c r="E1481" s="2" t="s">
        <v>15441</v>
      </c>
      <c r="F1481" s="2" t="s">
        <v>15446</v>
      </c>
      <c r="G1481" s="2" t="s">
        <v>15456</v>
      </c>
      <c r="H1481" s="2" t="s">
        <v>15444</v>
      </c>
    </row>
    <row r="1482">
      <c r="A1482" s="2">
        <v>1480.0</v>
      </c>
      <c r="B1482" s="5" t="s">
        <v>10774</v>
      </c>
      <c r="C1482" s="2" t="s">
        <v>10775</v>
      </c>
      <c r="D1482" s="5" t="s">
        <v>10774</v>
      </c>
      <c r="E1482" s="2" t="s">
        <v>15441</v>
      </c>
      <c r="F1482" s="2" t="s">
        <v>15442</v>
      </c>
      <c r="G1482" s="2" t="s">
        <v>15443</v>
      </c>
      <c r="H1482" s="2" t="s">
        <v>15444</v>
      </c>
    </row>
    <row r="1483">
      <c r="A1483" s="2">
        <v>1481.0</v>
      </c>
      <c r="B1483" s="5" t="s">
        <v>10776</v>
      </c>
      <c r="C1483" s="2" t="s">
        <v>10777</v>
      </c>
      <c r="D1483" s="5" t="s">
        <v>10776</v>
      </c>
      <c r="E1483" s="2" t="s">
        <v>15441</v>
      </c>
      <c r="F1483" s="2" t="s">
        <v>15446</v>
      </c>
      <c r="G1483" s="2" t="s">
        <v>15456</v>
      </c>
      <c r="H1483" s="2" t="s">
        <v>15444</v>
      </c>
    </row>
    <row r="1484">
      <c r="A1484" s="2">
        <v>1482.0</v>
      </c>
      <c r="B1484" s="5" t="s">
        <v>2219</v>
      </c>
      <c r="C1484" s="2" t="s">
        <v>2220</v>
      </c>
      <c r="D1484" s="5" t="s">
        <v>2219</v>
      </c>
      <c r="E1484" s="2" t="s">
        <v>15445</v>
      </c>
      <c r="F1484" s="2" t="s">
        <v>15442</v>
      </c>
      <c r="G1484" s="2" t="s">
        <v>15443</v>
      </c>
      <c r="H1484" s="2" t="s">
        <v>15444</v>
      </c>
    </row>
    <row r="1485">
      <c r="A1485" s="2">
        <v>1483.0</v>
      </c>
      <c r="B1485" s="5" t="s">
        <v>10778</v>
      </c>
      <c r="C1485" s="2" t="s">
        <v>10779</v>
      </c>
      <c r="D1485" s="5" t="s">
        <v>10778</v>
      </c>
      <c r="E1485" s="2" t="s">
        <v>15441</v>
      </c>
      <c r="F1485" s="2" t="s">
        <v>15442</v>
      </c>
      <c r="G1485" s="2" t="s">
        <v>15443</v>
      </c>
      <c r="H1485" s="2" t="s">
        <v>15444</v>
      </c>
    </row>
    <row r="1486">
      <c r="A1486" s="2">
        <v>1484.0</v>
      </c>
      <c r="B1486" s="5" t="s">
        <v>10780</v>
      </c>
      <c r="C1486" s="2" t="s">
        <v>10781</v>
      </c>
      <c r="D1486" s="5" t="s">
        <v>10780</v>
      </c>
      <c r="E1486" s="2" t="s">
        <v>15441</v>
      </c>
      <c r="F1486" s="2" t="s">
        <v>15446</v>
      </c>
      <c r="G1486" s="2" t="s">
        <v>15456</v>
      </c>
      <c r="H1486" s="2" t="s">
        <v>15444</v>
      </c>
    </row>
    <row r="1487">
      <c r="A1487" s="2">
        <v>1485.0</v>
      </c>
      <c r="B1487" s="5" t="s">
        <v>10782</v>
      </c>
      <c r="C1487" s="2" t="s">
        <v>10783</v>
      </c>
      <c r="D1487" s="5" t="s">
        <v>10782</v>
      </c>
      <c r="E1487" s="2" t="s">
        <v>15441</v>
      </c>
      <c r="F1487" s="2" t="s">
        <v>15442</v>
      </c>
      <c r="G1487" s="2" t="s">
        <v>15456</v>
      </c>
      <c r="H1487" s="2" t="s">
        <v>15457</v>
      </c>
    </row>
    <row r="1488">
      <c r="A1488" s="2">
        <v>1486.0</v>
      </c>
      <c r="B1488" s="5" t="s">
        <v>10784</v>
      </c>
      <c r="C1488" s="2" t="s">
        <v>10785</v>
      </c>
      <c r="D1488" s="5" t="s">
        <v>10784</v>
      </c>
      <c r="E1488" s="2" t="s">
        <v>15441</v>
      </c>
      <c r="F1488" s="2" t="s">
        <v>15442</v>
      </c>
      <c r="G1488" s="2" t="s">
        <v>15443</v>
      </c>
      <c r="H1488" s="2" t="s">
        <v>15444</v>
      </c>
    </row>
    <row r="1489">
      <c r="A1489" s="2">
        <v>1487.0</v>
      </c>
      <c r="B1489" s="5" t="s">
        <v>10786</v>
      </c>
      <c r="C1489" s="2" t="s">
        <v>10787</v>
      </c>
      <c r="D1489" s="5" t="s">
        <v>10786</v>
      </c>
      <c r="E1489" s="2" t="s">
        <v>15441</v>
      </c>
      <c r="F1489" s="2" t="s">
        <v>15446</v>
      </c>
      <c r="G1489" s="2" t="s">
        <v>15456</v>
      </c>
      <c r="H1489" s="2" t="s">
        <v>15444</v>
      </c>
    </row>
    <row r="1490">
      <c r="A1490" s="2">
        <v>1488.0</v>
      </c>
      <c r="B1490" s="5" t="s">
        <v>10788</v>
      </c>
      <c r="C1490" s="2" t="s">
        <v>10789</v>
      </c>
      <c r="D1490" s="5" t="s">
        <v>10788</v>
      </c>
      <c r="E1490" s="2" t="s">
        <v>15441</v>
      </c>
      <c r="F1490" s="2" t="s">
        <v>15446</v>
      </c>
      <c r="G1490" s="2" t="s">
        <v>15443</v>
      </c>
      <c r="H1490" s="2" t="s">
        <v>15444</v>
      </c>
    </row>
    <row r="1491">
      <c r="A1491" s="2">
        <v>1489.0</v>
      </c>
      <c r="B1491" s="5" t="s">
        <v>10790</v>
      </c>
      <c r="C1491" s="2" t="s">
        <v>10791</v>
      </c>
      <c r="D1491" s="5" t="s">
        <v>10790</v>
      </c>
      <c r="E1491" s="2" t="s">
        <v>15441</v>
      </c>
      <c r="F1491" s="2" t="s">
        <v>15442</v>
      </c>
      <c r="G1491" s="2" t="s">
        <v>15443</v>
      </c>
      <c r="H1491" s="2" t="s">
        <v>15444</v>
      </c>
    </row>
    <row r="1492">
      <c r="A1492" s="2">
        <v>1490.0</v>
      </c>
      <c r="B1492" s="5" t="s">
        <v>2222</v>
      </c>
      <c r="C1492" s="2" t="s">
        <v>2223</v>
      </c>
      <c r="D1492" s="5" t="s">
        <v>2222</v>
      </c>
      <c r="E1492" s="2" t="s">
        <v>15445</v>
      </c>
      <c r="F1492" s="2" t="s">
        <v>15442</v>
      </c>
      <c r="G1492" s="2" t="s">
        <v>15443</v>
      </c>
      <c r="H1492" s="2" t="s">
        <v>15444</v>
      </c>
    </row>
    <row r="1493">
      <c r="A1493" s="2">
        <v>1491.0</v>
      </c>
      <c r="B1493" s="5" t="s">
        <v>2225</v>
      </c>
      <c r="C1493" s="2" t="s">
        <v>2226</v>
      </c>
      <c r="D1493" s="5" t="s">
        <v>2225</v>
      </c>
      <c r="E1493" s="2" t="s">
        <v>15445</v>
      </c>
      <c r="F1493" s="2" t="s">
        <v>15442</v>
      </c>
      <c r="G1493" s="2" t="s">
        <v>15456</v>
      </c>
      <c r="H1493" s="2" t="s">
        <v>15444</v>
      </c>
    </row>
    <row r="1494">
      <c r="A1494" s="2">
        <v>1492.0</v>
      </c>
      <c r="B1494" s="5" t="s">
        <v>10792</v>
      </c>
      <c r="C1494" s="2" t="s">
        <v>10793</v>
      </c>
      <c r="D1494" s="5" t="s">
        <v>10792</v>
      </c>
      <c r="E1494" s="2" t="s">
        <v>15441</v>
      </c>
      <c r="F1494" s="2" t="s">
        <v>15442</v>
      </c>
      <c r="G1494" s="2" t="s">
        <v>15443</v>
      </c>
      <c r="H1494" s="2" t="s">
        <v>15455</v>
      </c>
    </row>
    <row r="1495">
      <c r="A1495" s="2">
        <v>1493.0</v>
      </c>
      <c r="B1495" s="5" t="s">
        <v>2228</v>
      </c>
      <c r="C1495" s="2" t="s">
        <v>2229</v>
      </c>
      <c r="D1495" s="5" t="s">
        <v>2228</v>
      </c>
      <c r="E1495" s="2" t="s">
        <v>15445</v>
      </c>
      <c r="F1495" s="2" t="s">
        <v>15446</v>
      </c>
      <c r="G1495" s="2" t="s">
        <v>15456</v>
      </c>
      <c r="H1495" s="2" t="s">
        <v>15444</v>
      </c>
    </row>
    <row r="1496">
      <c r="A1496" s="2">
        <v>1494.0</v>
      </c>
      <c r="B1496" s="5" t="s">
        <v>10794</v>
      </c>
      <c r="C1496" s="2" t="s">
        <v>10795</v>
      </c>
      <c r="D1496" s="5" t="s">
        <v>10794</v>
      </c>
      <c r="E1496" s="2" t="s">
        <v>15441</v>
      </c>
      <c r="F1496" s="2" t="s">
        <v>15442</v>
      </c>
      <c r="G1496" s="2" t="s">
        <v>15456</v>
      </c>
      <c r="H1496" s="2" t="s">
        <v>15455</v>
      </c>
    </row>
    <row r="1497">
      <c r="A1497" s="2">
        <v>1495.0</v>
      </c>
      <c r="B1497" s="5" t="s">
        <v>2231</v>
      </c>
      <c r="C1497" s="2" t="s">
        <v>2232</v>
      </c>
      <c r="D1497" s="5" t="s">
        <v>2231</v>
      </c>
      <c r="E1497" s="2" t="s">
        <v>15445</v>
      </c>
      <c r="F1497" s="2" t="s">
        <v>15446</v>
      </c>
      <c r="G1497" s="2" t="s">
        <v>15456</v>
      </c>
      <c r="H1497" s="2" t="s">
        <v>15444</v>
      </c>
    </row>
    <row r="1498">
      <c r="A1498" s="2">
        <v>1496.0</v>
      </c>
      <c r="B1498" s="5" t="s">
        <v>10796</v>
      </c>
      <c r="C1498" s="2" t="s">
        <v>10797</v>
      </c>
      <c r="D1498" s="5" t="s">
        <v>10796</v>
      </c>
      <c r="E1498" s="2" t="s">
        <v>15441</v>
      </c>
      <c r="F1498" s="2" t="s">
        <v>15446</v>
      </c>
      <c r="G1498" s="2" t="s">
        <v>15456</v>
      </c>
      <c r="H1498" s="2" t="s">
        <v>15444</v>
      </c>
    </row>
    <row r="1499">
      <c r="A1499" s="2">
        <v>1497.0</v>
      </c>
      <c r="B1499" s="5" t="s">
        <v>2234</v>
      </c>
      <c r="C1499" s="2" t="s">
        <v>2235</v>
      </c>
      <c r="D1499" s="5" t="s">
        <v>2234</v>
      </c>
      <c r="E1499" s="2" t="s">
        <v>15445</v>
      </c>
      <c r="F1499" s="2" t="s">
        <v>15446</v>
      </c>
      <c r="G1499" s="2" t="s">
        <v>15456</v>
      </c>
      <c r="H1499" s="2" t="s">
        <v>15444</v>
      </c>
    </row>
    <row r="1500">
      <c r="A1500" s="2">
        <v>1498.0</v>
      </c>
      <c r="B1500" s="5" t="s">
        <v>2237</v>
      </c>
      <c r="C1500" s="2" t="s">
        <v>2238</v>
      </c>
      <c r="D1500" s="5" t="s">
        <v>2237</v>
      </c>
      <c r="E1500" s="2" t="s">
        <v>15445</v>
      </c>
      <c r="F1500" s="2" t="s">
        <v>15446</v>
      </c>
      <c r="G1500" s="2" t="s">
        <v>15456</v>
      </c>
      <c r="H1500" s="2" t="s">
        <v>15444</v>
      </c>
    </row>
    <row r="1501">
      <c r="A1501" s="2">
        <v>1499.0</v>
      </c>
      <c r="B1501" s="5" t="s">
        <v>10798</v>
      </c>
      <c r="C1501" s="2" t="s">
        <v>10799</v>
      </c>
      <c r="D1501" s="5" t="s">
        <v>10798</v>
      </c>
      <c r="E1501" s="2" t="s">
        <v>15441</v>
      </c>
      <c r="F1501" s="2" t="s">
        <v>15446</v>
      </c>
      <c r="G1501" s="2" t="s">
        <v>15456</v>
      </c>
      <c r="H1501" s="2" t="s">
        <v>15444</v>
      </c>
    </row>
    <row r="1502">
      <c r="A1502" s="2">
        <v>1500.0</v>
      </c>
      <c r="B1502" s="5" t="s">
        <v>10800</v>
      </c>
      <c r="C1502" s="2" t="s">
        <v>10801</v>
      </c>
      <c r="D1502" s="5" t="s">
        <v>10800</v>
      </c>
      <c r="E1502" s="2" t="s">
        <v>15441</v>
      </c>
      <c r="F1502" s="2" t="s">
        <v>15446</v>
      </c>
      <c r="G1502" s="2" t="s">
        <v>15456</v>
      </c>
      <c r="H1502" s="2" t="s">
        <v>15444</v>
      </c>
    </row>
    <row r="1503">
      <c r="A1503" s="2">
        <v>1501.0</v>
      </c>
      <c r="B1503" s="5" t="s">
        <v>2240</v>
      </c>
      <c r="C1503" s="2" t="s">
        <v>2241</v>
      </c>
      <c r="D1503" s="5" t="s">
        <v>2240</v>
      </c>
      <c r="E1503" s="2" t="s">
        <v>15445</v>
      </c>
      <c r="F1503" s="2" t="s">
        <v>15446</v>
      </c>
      <c r="G1503" s="2" t="s">
        <v>15443</v>
      </c>
      <c r="H1503" s="2" t="s">
        <v>15444</v>
      </c>
    </row>
    <row r="1504">
      <c r="A1504" s="2">
        <v>1502.0</v>
      </c>
      <c r="B1504" s="5" t="s">
        <v>2243</v>
      </c>
      <c r="C1504" s="2" t="s">
        <v>2244</v>
      </c>
      <c r="D1504" s="5" t="s">
        <v>2243</v>
      </c>
      <c r="E1504" s="2" t="s">
        <v>15445</v>
      </c>
      <c r="F1504" s="2" t="s">
        <v>15442</v>
      </c>
      <c r="G1504" s="2" t="s">
        <v>15443</v>
      </c>
      <c r="H1504" s="2" t="s">
        <v>15444</v>
      </c>
    </row>
    <row r="1505">
      <c r="A1505" s="2">
        <v>1503.0</v>
      </c>
      <c r="B1505" s="5" t="s">
        <v>10802</v>
      </c>
      <c r="C1505" s="2" t="s">
        <v>10803</v>
      </c>
      <c r="D1505" s="5" t="s">
        <v>10802</v>
      </c>
      <c r="E1505" s="2" t="s">
        <v>15441</v>
      </c>
      <c r="F1505" s="2" t="s">
        <v>15442</v>
      </c>
      <c r="G1505" s="2" t="s">
        <v>15456</v>
      </c>
      <c r="H1505" s="2" t="s">
        <v>15444</v>
      </c>
    </row>
    <row r="1506">
      <c r="A1506" s="2">
        <v>1504.0</v>
      </c>
      <c r="B1506" s="5" t="s">
        <v>2246</v>
      </c>
      <c r="C1506" s="2" t="s">
        <v>2247</v>
      </c>
      <c r="D1506" s="5" t="s">
        <v>2246</v>
      </c>
      <c r="E1506" s="2" t="s">
        <v>15445</v>
      </c>
      <c r="F1506" s="2" t="s">
        <v>15446</v>
      </c>
      <c r="G1506" s="2" t="s">
        <v>15456</v>
      </c>
      <c r="H1506" s="2" t="s">
        <v>15444</v>
      </c>
    </row>
    <row r="1507">
      <c r="A1507" s="2">
        <v>1505.0</v>
      </c>
      <c r="B1507" s="5" t="s">
        <v>2249</v>
      </c>
      <c r="C1507" s="2" t="s">
        <v>2250</v>
      </c>
      <c r="D1507" s="5" t="s">
        <v>2249</v>
      </c>
      <c r="E1507" s="2" t="s">
        <v>15445</v>
      </c>
      <c r="F1507" s="2" t="s">
        <v>15442</v>
      </c>
      <c r="G1507" s="2" t="s">
        <v>15456</v>
      </c>
      <c r="H1507" s="2" t="s">
        <v>15444</v>
      </c>
    </row>
    <row r="1508">
      <c r="A1508" s="2">
        <v>1506.0</v>
      </c>
      <c r="B1508" s="5" t="s">
        <v>2252</v>
      </c>
      <c r="C1508" s="2" t="s">
        <v>2253</v>
      </c>
      <c r="D1508" s="5" t="s">
        <v>2252</v>
      </c>
      <c r="E1508" s="2" t="s">
        <v>15445</v>
      </c>
      <c r="F1508" s="2" t="s">
        <v>15442</v>
      </c>
      <c r="G1508" s="2" t="s">
        <v>15443</v>
      </c>
      <c r="H1508" s="2" t="s">
        <v>15444</v>
      </c>
    </row>
    <row r="1509">
      <c r="A1509" s="2">
        <v>1507.0</v>
      </c>
      <c r="B1509" s="5" t="s">
        <v>2255</v>
      </c>
      <c r="C1509" s="2" t="s">
        <v>2256</v>
      </c>
      <c r="D1509" s="5" t="s">
        <v>2255</v>
      </c>
      <c r="E1509" s="2" t="s">
        <v>15445</v>
      </c>
      <c r="F1509" s="2" t="s">
        <v>15446</v>
      </c>
      <c r="G1509" s="2" t="s">
        <v>15456</v>
      </c>
      <c r="H1509" s="2" t="s">
        <v>15444</v>
      </c>
    </row>
    <row r="1510">
      <c r="A1510" s="2">
        <v>1508.0</v>
      </c>
      <c r="B1510" s="5" t="s">
        <v>2258</v>
      </c>
      <c r="C1510" s="2" t="s">
        <v>2259</v>
      </c>
      <c r="D1510" s="5" t="s">
        <v>2258</v>
      </c>
      <c r="E1510" s="2" t="s">
        <v>15445</v>
      </c>
      <c r="F1510" s="2" t="s">
        <v>15442</v>
      </c>
      <c r="G1510" s="2" t="s">
        <v>15443</v>
      </c>
      <c r="H1510" s="2" t="s">
        <v>15444</v>
      </c>
    </row>
    <row r="1511">
      <c r="A1511" s="2">
        <v>1509.0</v>
      </c>
      <c r="B1511" s="5" t="s">
        <v>10804</v>
      </c>
      <c r="C1511" s="2" t="s">
        <v>10805</v>
      </c>
      <c r="D1511" s="5" t="s">
        <v>10804</v>
      </c>
      <c r="E1511" s="2" t="s">
        <v>15441</v>
      </c>
      <c r="F1511" s="2" t="s">
        <v>15446</v>
      </c>
      <c r="G1511" s="2" t="s">
        <v>15456</v>
      </c>
      <c r="H1511" s="2" t="s">
        <v>15444</v>
      </c>
    </row>
    <row r="1512">
      <c r="A1512" s="2">
        <v>1510.0</v>
      </c>
      <c r="B1512" s="5" t="s">
        <v>2261</v>
      </c>
      <c r="C1512" s="2" t="s">
        <v>2262</v>
      </c>
      <c r="D1512" s="5" t="s">
        <v>2261</v>
      </c>
      <c r="E1512" s="2" t="s">
        <v>15445</v>
      </c>
      <c r="F1512" s="2" t="s">
        <v>15446</v>
      </c>
      <c r="G1512" s="2" t="s">
        <v>15456</v>
      </c>
      <c r="H1512" s="2" t="s">
        <v>15444</v>
      </c>
    </row>
    <row r="1513">
      <c r="A1513" s="2">
        <v>1511.0</v>
      </c>
      <c r="B1513" s="5" t="s">
        <v>10806</v>
      </c>
      <c r="C1513" s="2" t="s">
        <v>10807</v>
      </c>
      <c r="D1513" s="5" t="s">
        <v>10806</v>
      </c>
      <c r="E1513" s="2" t="s">
        <v>15441</v>
      </c>
      <c r="F1513" s="2" t="s">
        <v>15446</v>
      </c>
      <c r="G1513" s="2" t="s">
        <v>15443</v>
      </c>
      <c r="H1513" s="2" t="s">
        <v>15444</v>
      </c>
    </row>
    <row r="1514">
      <c r="A1514" s="2">
        <v>1512.0</v>
      </c>
      <c r="B1514" s="5" t="s">
        <v>2264</v>
      </c>
      <c r="C1514" s="2" t="s">
        <v>2265</v>
      </c>
      <c r="D1514" s="5" t="s">
        <v>2264</v>
      </c>
      <c r="E1514" s="2" t="s">
        <v>15445</v>
      </c>
      <c r="F1514" s="2" t="s">
        <v>15446</v>
      </c>
      <c r="G1514" s="2" t="s">
        <v>15443</v>
      </c>
      <c r="H1514" s="2" t="s">
        <v>15444</v>
      </c>
    </row>
    <row r="1515">
      <c r="A1515" s="2">
        <v>1513.0</v>
      </c>
      <c r="B1515" s="5" t="s">
        <v>2267</v>
      </c>
      <c r="C1515" s="2" t="s">
        <v>2268</v>
      </c>
      <c r="D1515" s="5" t="s">
        <v>2267</v>
      </c>
      <c r="E1515" s="2" t="s">
        <v>15445</v>
      </c>
      <c r="F1515" s="2" t="s">
        <v>15446</v>
      </c>
      <c r="G1515" s="2" t="s">
        <v>15456</v>
      </c>
      <c r="H1515" s="2" t="s">
        <v>15444</v>
      </c>
    </row>
    <row r="1516">
      <c r="A1516" s="2">
        <v>1514.0</v>
      </c>
      <c r="B1516" s="5" t="s">
        <v>10808</v>
      </c>
      <c r="C1516" s="2" t="s">
        <v>10809</v>
      </c>
      <c r="D1516" s="5" t="s">
        <v>10808</v>
      </c>
      <c r="E1516" s="2" t="s">
        <v>15441</v>
      </c>
      <c r="F1516" s="2" t="s">
        <v>15446</v>
      </c>
      <c r="G1516" s="2" t="s">
        <v>15456</v>
      </c>
      <c r="H1516" s="2" t="s">
        <v>15444</v>
      </c>
    </row>
    <row r="1517">
      <c r="A1517" s="2">
        <v>1515.0</v>
      </c>
      <c r="B1517" s="5" t="s">
        <v>2270</v>
      </c>
      <c r="C1517" s="2" t="s">
        <v>2271</v>
      </c>
      <c r="D1517" s="5" t="s">
        <v>2270</v>
      </c>
      <c r="E1517" s="2" t="s">
        <v>15445</v>
      </c>
      <c r="F1517" s="2" t="s">
        <v>15442</v>
      </c>
      <c r="G1517" s="2" t="s">
        <v>15456</v>
      </c>
      <c r="H1517" s="2" t="s">
        <v>15444</v>
      </c>
    </row>
    <row r="1518">
      <c r="A1518" s="2">
        <v>1516.0</v>
      </c>
      <c r="B1518" s="5" t="s">
        <v>2273</v>
      </c>
      <c r="C1518" s="2" t="s">
        <v>2274</v>
      </c>
      <c r="D1518" s="5" t="s">
        <v>2273</v>
      </c>
      <c r="E1518" s="2" t="s">
        <v>15445</v>
      </c>
      <c r="F1518" s="2" t="s">
        <v>15446</v>
      </c>
      <c r="G1518" s="2" t="s">
        <v>15456</v>
      </c>
      <c r="H1518" s="2" t="s">
        <v>15444</v>
      </c>
    </row>
    <row r="1519">
      <c r="A1519" s="2">
        <v>1517.0</v>
      </c>
      <c r="B1519" s="5" t="s">
        <v>2276</v>
      </c>
      <c r="C1519" s="2" t="s">
        <v>2277</v>
      </c>
      <c r="D1519" s="5" t="s">
        <v>2276</v>
      </c>
      <c r="E1519" s="2" t="s">
        <v>15445</v>
      </c>
      <c r="F1519" s="2" t="s">
        <v>15446</v>
      </c>
      <c r="G1519" s="2" t="s">
        <v>15443</v>
      </c>
      <c r="H1519" s="2" t="s">
        <v>15457</v>
      </c>
    </row>
    <row r="1520">
      <c r="A1520" s="2">
        <v>1518.0</v>
      </c>
      <c r="B1520" s="5" t="s">
        <v>10810</v>
      </c>
      <c r="C1520" s="2" t="s">
        <v>10811</v>
      </c>
      <c r="D1520" s="5" t="s">
        <v>10810</v>
      </c>
      <c r="E1520" s="2" t="s">
        <v>15441</v>
      </c>
      <c r="F1520" s="2" t="s">
        <v>15442</v>
      </c>
      <c r="G1520" s="2" t="s">
        <v>15443</v>
      </c>
      <c r="H1520" s="2" t="s">
        <v>15444</v>
      </c>
    </row>
    <row r="1521">
      <c r="A1521" s="2">
        <v>1519.0</v>
      </c>
      <c r="B1521" s="5" t="s">
        <v>10812</v>
      </c>
      <c r="C1521" s="2" t="s">
        <v>10813</v>
      </c>
      <c r="D1521" s="5" t="s">
        <v>10812</v>
      </c>
      <c r="E1521" s="2" t="s">
        <v>15441</v>
      </c>
      <c r="F1521" s="2" t="s">
        <v>15442</v>
      </c>
      <c r="G1521" s="2" t="s">
        <v>15443</v>
      </c>
      <c r="H1521" s="2" t="s">
        <v>15444</v>
      </c>
    </row>
    <row r="1522">
      <c r="A1522" s="2">
        <v>1520.0</v>
      </c>
      <c r="B1522" s="5" t="s">
        <v>10814</v>
      </c>
      <c r="C1522" s="2" t="s">
        <v>10815</v>
      </c>
      <c r="D1522" s="5" t="s">
        <v>10814</v>
      </c>
      <c r="E1522" s="2" t="s">
        <v>15441</v>
      </c>
      <c r="F1522" s="2" t="s">
        <v>15442</v>
      </c>
      <c r="G1522" s="2" t="s">
        <v>15443</v>
      </c>
      <c r="H1522" s="2" t="s">
        <v>15444</v>
      </c>
    </row>
    <row r="1523">
      <c r="A1523" s="2">
        <v>1521.0</v>
      </c>
      <c r="B1523" s="5" t="s">
        <v>10816</v>
      </c>
      <c r="C1523" s="2" t="s">
        <v>10817</v>
      </c>
      <c r="D1523" s="5" t="s">
        <v>10816</v>
      </c>
      <c r="E1523" s="2" t="s">
        <v>15441</v>
      </c>
      <c r="F1523" s="2" t="s">
        <v>15442</v>
      </c>
      <c r="G1523" s="2" t="s">
        <v>15443</v>
      </c>
      <c r="H1523" s="2" t="s">
        <v>15444</v>
      </c>
    </row>
    <row r="1524">
      <c r="A1524" s="2">
        <v>1522.0</v>
      </c>
      <c r="B1524" s="5" t="s">
        <v>2279</v>
      </c>
      <c r="C1524" s="2" t="s">
        <v>2280</v>
      </c>
      <c r="D1524" s="5" t="s">
        <v>2279</v>
      </c>
      <c r="E1524" s="2" t="s">
        <v>15445</v>
      </c>
      <c r="F1524" s="2" t="s">
        <v>15446</v>
      </c>
      <c r="G1524" s="2" t="s">
        <v>15456</v>
      </c>
      <c r="H1524" s="2" t="s">
        <v>15444</v>
      </c>
    </row>
    <row r="1525">
      <c r="A1525" s="2">
        <v>1523.0</v>
      </c>
      <c r="B1525" s="5" t="s">
        <v>2282</v>
      </c>
      <c r="C1525" s="2" t="s">
        <v>2283</v>
      </c>
      <c r="D1525" s="5" t="s">
        <v>2282</v>
      </c>
      <c r="E1525" s="2" t="s">
        <v>15445</v>
      </c>
      <c r="F1525" s="2" t="s">
        <v>15446</v>
      </c>
      <c r="G1525" s="2" t="s">
        <v>15443</v>
      </c>
      <c r="H1525" s="2" t="s">
        <v>15444</v>
      </c>
    </row>
    <row r="1526">
      <c r="A1526" s="2">
        <v>1524.0</v>
      </c>
      <c r="B1526" s="5" t="s">
        <v>2285</v>
      </c>
      <c r="C1526" s="2" t="s">
        <v>2286</v>
      </c>
      <c r="D1526" s="5" t="s">
        <v>2285</v>
      </c>
      <c r="E1526" s="2" t="s">
        <v>15445</v>
      </c>
      <c r="F1526" s="2" t="s">
        <v>15446</v>
      </c>
      <c r="G1526" s="2" t="s">
        <v>15443</v>
      </c>
      <c r="H1526" s="2" t="s">
        <v>15444</v>
      </c>
    </row>
    <row r="1527">
      <c r="A1527" s="2">
        <v>1525.0</v>
      </c>
      <c r="B1527" s="5" t="s">
        <v>10818</v>
      </c>
      <c r="C1527" s="2" t="s">
        <v>10819</v>
      </c>
      <c r="D1527" s="5" t="s">
        <v>10818</v>
      </c>
      <c r="E1527" s="2" t="s">
        <v>15441</v>
      </c>
      <c r="F1527" s="2" t="s">
        <v>15446</v>
      </c>
      <c r="G1527" s="2" t="s">
        <v>15443</v>
      </c>
      <c r="H1527" s="2" t="s">
        <v>15444</v>
      </c>
    </row>
    <row r="1528">
      <c r="A1528" s="2">
        <v>1526.0</v>
      </c>
      <c r="B1528" s="5" t="s">
        <v>2288</v>
      </c>
      <c r="C1528" s="2" t="s">
        <v>2289</v>
      </c>
      <c r="D1528" s="5" t="s">
        <v>2288</v>
      </c>
      <c r="E1528" s="2" t="s">
        <v>15445</v>
      </c>
      <c r="F1528" s="2" t="s">
        <v>15446</v>
      </c>
      <c r="G1528" s="2" t="s">
        <v>15443</v>
      </c>
      <c r="H1528" s="2" t="s">
        <v>15462</v>
      </c>
    </row>
    <row r="1529">
      <c r="A1529" s="2">
        <v>1527.0</v>
      </c>
      <c r="B1529" s="5" t="s">
        <v>10820</v>
      </c>
      <c r="C1529" s="2" t="s">
        <v>10821</v>
      </c>
      <c r="D1529" s="5" t="s">
        <v>10820</v>
      </c>
      <c r="E1529" s="2" t="s">
        <v>15441</v>
      </c>
      <c r="F1529" s="2" t="s">
        <v>15446</v>
      </c>
      <c r="G1529" s="2" t="s">
        <v>15456</v>
      </c>
      <c r="H1529" s="2" t="s">
        <v>15444</v>
      </c>
    </row>
    <row r="1530">
      <c r="A1530" s="2">
        <v>1528.0</v>
      </c>
      <c r="B1530" s="5" t="s">
        <v>10822</v>
      </c>
      <c r="C1530" s="2" t="s">
        <v>10823</v>
      </c>
      <c r="D1530" s="5" t="s">
        <v>10822</v>
      </c>
      <c r="E1530" s="2" t="s">
        <v>15441</v>
      </c>
      <c r="F1530" s="2" t="s">
        <v>15442</v>
      </c>
      <c r="G1530" s="2" t="s">
        <v>15443</v>
      </c>
      <c r="H1530" s="2" t="s">
        <v>15444</v>
      </c>
    </row>
    <row r="1531">
      <c r="A1531" s="2">
        <v>1529.0</v>
      </c>
      <c r="B1531" s="5" t="s">
        <v>2291</v>
      </c>
      <c r="C1531" s="2" t="s">
        <v>2292</v>
      </c>
      <c r="D1531" s="5" t="s">
        <v>2291</v>
      </c>
      <c r="E1531" s="2" t="s">
        <v>15445</v>
      </c>
      <c r="F1531" s="2" t="s">
        <v>15446</v>
      </c>
      <c r="G1531" s="2" t="s">
        <v>15456</v>
      </c>
      <c r="H1531" s="2" t="s">
        <v>15444</v>
      </c>
    </row>
    <row r="1532">
      <c r="A1532" s="2">
        <v>1530.0</v>
      </c>
      <c r="B1532" s="5" t="s">
        <v>10824</v>
      </c>
      <c r="C1532" s="2" t="s">
        <v>10825</v>
      </c>
      <c r="D1532" s="5" t="s">
        <v>10824</v>
      </c>
      <c r="E1532" s="2" t="s">
        <v>15441</v>
      </c>
      <c r="F1532" s="2" t="s">
        <v>15442</v>
      </c>
      <c r="G1532" s="2" t="s">
        <v>15443</v>
      </c>
      <c r="H1532" s="2" t="s">
        <v>15444</v>
      </c>
    </row>
    <row r="1533">
      <c r="A1533" s="2">
        <v>1531.0</v>
      </c>
      <c r="B1533" s="5" t="s">
        <v>10826</v>
      </c>
      <c r="C1533" s="2" t="s">
        <v>10827</v>
      </c>
      <c r="D1533" s="5" t="s">
        <v>10826</v>
      </c>
      <c r="E1533" s="2" t="s">
        <v>15441</v>
      </c>
      <c r="F1533" s="2" t="s">
        <v>15446</v>
      </c>
      <c r="G1533" s="2" t="s">
        <v>15443</v>
      </c>
      <c r="H1533" s="2" t="s">
        <v>15444</v>
      </c>
    </row>
    <row r="1534">
      <c r="A1534" s="2">
        <v>1532.0</v>
      </c>
      <c r="B1534" s="5" t="s">
        <v>10828</v>
      </c>
      <c r="C1534" s="2" t="s">
        <v>10829</v>
      </c>
      <c r="D1534" s="5" t="s">
        <v>10828</v>
      </c>
      <c r="E1534" s="2" t="s">
        <v>15441</v>
      </c>
      <c r="F1534" s="2" t="s">
        <v>15442</v>
      </c>
      <c r="G1534" s="2" t="s">
        <v>15443</v>
      </c>
      <c r="H1534" s="2" t="s">
        <v>15444</v>
      </c>
    </row>
    <row r="1535">
      <c r="A1535" s="2">
        <v>1533.0</v>
      </c>
      <c r="B1535" s="5" t="s">
        <v>10830</v>
      </c>
      <c r="C1535" s="2" t="s">
        <v>10831</v>
      </c>
      <c r="D1535" s="5" t="s">
        <v>10830</v>
      </c>
      <c r="E1535" s="2" t="s">
        <v>15441</v>
      </c>
      <c r="F1535" s="2" t="s">
        <v>15442</v>
      </c>
      <c r="G1535" s="2" t="s">
        <v>15456</v>
      </c>
      <c r="H1535" s="2" t="s">
        <v>15444</v>
      </c>
    </row>
    <row r="1536">
      <c r="A1536" s="2">
        <v>1534.0</v>
      </c>
      <c r="B1536" s="5" t="s">
        <v>2294</v>
      </c>
      <c r="C1536" s="2" t="s">
        <v>2295</v>
      </c>
      <c r="D1536" s="5" t="s">
        <v>2294</v>
      </c>
      <c r="E1536" s="2" t="s">
        <v>15445</v>
      </c>
      <c r="F1536" s="2" t="s">
        <v>15446</v>
      </c>
      <c r="G1536" s="2" t="s">
        <v>15456</v>
      </c>
      <c r="H1536" s="2" t="s">
        <v>15444</v>
      </c>
    </row>
    <row r="1537">
      <c r="A1537" s="2">
        <v>1535.0</v>
      </c>
      <c r="B1537" s="5" t="s">
        <v>10832</v>
      </c>
      <c r="C1537" s="2" t="s">
        <v>10833</v>
      </c>
      <c r="D1537" s="5" t="s">
        <v>10832</v>
      </c>
      <c r="E1537" s="2" t="s">
        <v>15441</v>
      </c>
      <c r="F1537" s="2" t="s">
        <v>15446</v>
      </c>
      <c r="G1537" s="2" t="s">
        <v>15456</v>
      </c>
      <c r="H1537" s="2" t="s">
        <v>15444</v>
      </c>
    </row>
    <row r="1538">
      <c r="A1538" s="2">
        <v>1536.0</v>
      </c>
      <c r="B1538" s="5" t="s">
        <v>10834</v>
      </c>
      <c r="C1538" s="2" t="s">
        <v>10835</v>
      </c>
      <c r="D1538" s="5" t="s">
        <v>10834</v>
      </c>
      <c r="E1538" s="2" t="s">
        <v>15441</v>
      </c>
      <c r="F1538" s="2" t="s">
        <v>15442</v>
      </c>
      <c r="G1538" s="2" t="s">
        <v>15443</v>
      </c>
      <c r="H1538" s="2" t="s">
        <v>15444</v>
      </c>
    </row>
    <row r="1539">
      <c r="A1539" s="2">
        <v>1537.0</v>
      </c>
      <c r="B1539" s="5" t="s">
        <v>2297</v>
      </c>
      <c r="C1539" s="2" t="s">
        <v>2298</v>
      </c>
      <c r="D1539" s="5" t="s">
        <v>2297</v>
      </c>
      <c r="E1539" s="2" t="s">
        <v>15445</v>
      </c>
      <c r="F1539" s="2" t="s">
        <v>15442</v>
      </c>
      <c r="G1539" s="2" t="s">
        <v>15456</v>
      </c>
      <c r="H1539" s="2" t="s">
        <v>15444</v>
      </c>
    </row>
    <row r="1540">
      <c r="A1540" s="2">
        <v>1538.0</v>
      </c>
      <c r="B1540" s="5" t="s">
        <v>10836</v>
      </c>
      <c r="C1540" s="2" t="s">
        <v>10837</v>
      </c>
      <c r="D1540" s="5" t="s">
        <v>10836</v>
      </c>
      <c r="E1540" s="2" t="s">
        <v>15441</v>
      </c>
      <c r="F1540" s="2" t="s">
        <v>15442</v>
      </c>
      <c r="G1540" s="2" t="s">
        <v>15443</v>
      </c>
      <c r="H1540" s="2" t="s">
        <v>15444</v>
      </c>
    </row>
    <row r="1541">
      <c r="A1541" s="2">
        <v>1539.0</v>
      </c>
      <c r="B1541" s="5" t="s">
        <v>10838</v>
      </c>
      <c r="C1541" s="2" t="s">
        <v>10839</v>
      </c>
      <c r="D1541" s="5" t="s">
        <v>10838</v>
      </c>
      <c r="E1541" s="2" t="s">
        <v>15441</v>
      </c>
      <c r="F1541" s="2" t="s">
        <v>15442</v>
      </c>
      <c r="G1541" s="2" t="s">
        <v>15443</v>
      </c>
      <c r="H1541" s="2" t="s">
        <v>15444</v>
      </c>
    </row>
    <row r="1542">
      <c r="A1542" s="2">
        <v>1540.0</v>
      </c>
      <c r="B1542" s="5" t="s">
        <v>15497</v>
      </c>
      <c r="C1542" s="2" t="s">
        <v>15498</v>
      </c>
      <c r="D1542" s="5" t="s">
        <v>15497</v>
      </c>
      <c r="E1542" s="2" t="s">
        <v>15445</v>
      </c>
      <c r="F1542" s="2" t="s">
        <v>15446</v>
      </c>
      <c r="G1542" s="2" t="s">
        <v>15456</v>
      </c>
      <c r="H1542" s="2" t="s">
        <v>15457</v>
      </c>
    </row>
    <row r="1543">
      <c r="A1543" s="2">
        <v>1541.0</v>
      </c>
      <c r="B1543" s="5" t="s">
        <v>2300</v>
      </c>
      <c r="C1543" s="2" t="s">
        <v>2301</v>
      </c>
      <c r="D1543" s="5" t="s">
        <v>2300</v>
      </c>
      <c r="E1543" s="2" t="s">
        <v>15445</v>
      </c>
      <c r="F1543" s="2" t="s">
        <v>15442</v>
      </c>
      <c r="G1543" s="2" t="s">
        <v>15443</v>
      </c>
      <c r="H1543" s="2" t="s">
        <v>15444</v>
      </c>
    </row>
    <row r="1544">
      <c r="A1544" s="2">
        <v>1542.0</v>
      </c>
      <c r="B1544" s="5" t="s">
        <v>2303</v>
      </c>
      <c r="C1544" s="2" t="s">
        <v>2304</v>
      </c>
      <c r="D1544" s="5" t="s">
        <v>2303</v>
      </c>
      <c r="E1544" s="2" t="s">
        <v>15445</v>
      </c>
      <c r="F1544" s="2" t="s">
        <v>15446</v>
      </c>
      <c r="G1544" s="2" t="s">
        <v>15443</v>
      </c>
      <c r="H1544" s="2" t="s">
        <v>15444</v>
      </c>
    </row>
    <row r="1545">
      <c r="A1545" s="2">
        <v>1543.0</v>
      </c>
      <c r="B1545" s="5" t="s">
        <v>2306</v>
      </c>
      <c r="C1545" s="2" t="s">
        <v>2307</v>
      </c>
      <c r="D1545" s="5" t="s">
        <v>2306</v>
      </c>
      <c r="E1545" s="2" t="s">
        <v>15445</v>
      </c>
      <c r="F1545" s="2" t="s">
        <v>15442</v>
      </c>
      <c r="G1545" s="2" t="s">
        <v>15443</v>
      </c>
      <c r="H1545" s="2" t="s">
        <v>15444</v>
      </c>
    </row>
    <row r="1546">
      <c r="A1546" s="2">
        <v>1544.0</v>
      </c>
      <c r="B1546" s="5" t="s">
        <v>10840</v>
      </c>
      <c r="C1546" s="2" t="s">
        <v>10841</v>
      </c>
      <c r="D1546" s="5" t="s">
        <v>10840</v>
      </c>
      <c r="E1546" s="2" t="s">
        <v>15441</v>
      </c>
      <c r="F1546" s="2" t="s">
        <v>15446</v>
      </c>
      <c r="G1546" s="2" t="s">
        <v>15456</v>
      </c>
      <c r="H1546" s="2" t="s">
        <v>15444</v>
      </c>
    </row>
    <row r="1547">
      <c r="A1547" s="2">
        <v>1545.0</v>
      </c>
      <c r="B1547" s="5" t="s">
        <v>2309</v>
      </c>
      <c r="C1547" s="2" t="s">
        <v>2310</v>
      </c>
      <c r="D1547" s="5" t="s">
        <v>2309</v>
      </c>
      <c r="E1547" s="2" t="s">
        <v>15445</v>
      </c>
      <c r="F1547" s="2" t="s">
        <v>15446</v>
      </c>
      <c r="G1547" s="2" t="s">
        <v>15456</v>
      </c>
      <c r="H1547" s="2" t="s">
        <v>15444</v>
      </c>
    </row>
    <row r="1548">
      <c r="A1548" s="2">
        <v>1546.0</v>
      </c>
      <c r="B1548" s="5" t="s">
        <v>10842</v>
      </c>
      <c r="C1548" s="2" t="s">
        <v>10843</v>
      </c>
      <c r="D1548" s="5" t="s">
        <v>10842</v>
      </c>
      <c r="E1548" s="2" t="s">
        <v>15441</v>
      </c>
      <c r="F1548" s="2" t="s">
        <v>15446</v>
      </c>
      <c r="G1548" s="2" t="s">
        <v>15456</v>
      </c>
      <c r="H1548" s="2" t="s">
        <v>15444</v>
      </c>
    </row>
    <row r="1549">
      <c r="A1549" s="2">
        <v>1547.0</v>
      </c>
      <c r="B1549" s="5" t="s">
        <v>2312</v>
      </c>
      <c r="C1549" s="2" t="s">
        <v>2313</v>
      </c>
      <c r="D1549" s="5" t="s">
        <v>2312</v>
      </c>
      <c r="E1549" s="2" t="s">
        <v>15445</v>
      </c>
      <c r="F1549" s="2" t="s">
        <v>15446</v>
      </c>
      <c r="G1549" s="2" t="s">
        <v>15456</v>
      </c>
      <c r="H1549" s="2" t="s">
        <v>15444</v>
      </c>
    </row>
    <row r="1550">
      <c r="A1550" s="2">
        <v>1548.0</v>
      </c>
      <c r="B1550" s="5" t="s">
        <v>2315</v>
      </c>
      <c r="C1550" s="2" t="s">
        <v>2316</v>
      </c>
      <c r="D1550" s="5" t="s">
        <v>2315</v>
      </c>
      <c r="E1550" s="2" t="s">
        <v>15445</v>
      </c>
      <c r="F1550" s="2" t="s">
        <v>15446</v>
      </c>
      <c r="G1550" s="2" t="s">
        <v>15456</v>
      </c>
      <c r="H1550" s="2" t="s">
        <v>15444</v>
      </c>
    </row>
    <row r="1551">
      <c r="A1551" s="2">
        <v>1549.0</v>
      </c>
      <c r="B1551" s="5" t="s">
        <v>2318</v>
      </c>
      <c r="C1551" s="2" t="s">
        <v>2319</v>
      </c>
      <c r="D1551" s="5" t="s">
        <v>2318</v>
      </c>
      <c r="E1551" s="2" t="s">
        <v>15445</v>
      </c>
      <c r="F1551" s="2" t="s">
        <v>15442</v>
      </c>
      <c r="G1551" s="2" t="s">
        <v>15443</v>
      </c>
      <c r="H1551" s="2" t="s">
        <v>15444</v>
      </c>
    </row>
    <row r="1552">
      <c r="A1552" s="2">
        <v>1550.0</v>
      </c>
      <c r="B1552" s="5" t="s">
        <v>15499</v>
      </c>
      <c r="D1552" s="5" t="s">
        <v>15499</v>
      </c>
      <c r="E1552" s="2" t="s">
        <v>15445</v>
      </c>
      <c r="F1552" s="2" t="s">
        <v>15442</v>
      </c>
      <c r="G1552" s="2" t="s">
        <v>15443</v>
      </c>
      <c r="H1552" s="2" t="s">
        <v>15444</v>
      </c>
    </row>
    <row r="1553">
      <c r="A1553" s="2">
        <v>1551.0</v>
      </c>
      <c r="B1553" s="5" t="s">
        <v>2321</v>
      </c>
      <c r="C1553" s="2" t="s">
        <v>2322</v>
      </c>
      <c r="D1553" s="5" t="s">
        <v>2321</v>
      </c>
      <c r="E1553" s="2" t="s">
        <v>15445</v>
      </c>
      <c r="F1553" s="2" t="s">
        <v>15446</v>
      </c>
      <c r="G1553" s="2" t="s">
        <v>15456</v>
      </c>
      <c r="H1553" s="2" t="s">
        <v>15457</v>
      </c>
    </row>
    <row r="1554">
      <c r="A1554" s="2">
        <v>1552.0</v>
      </c>
      <c r="B1554" s="5" t="s">
        <v>2324</v>
      </c>
      <c r="C1554" s="2" t="s">
        <v>2325</v>
      </c>
      <c r="D1554" s="5" t="s">
        <v>2324</v>
      </c>
      <c r="E1554" s="2" t="s">
        <v>15445</v>
      </c>
      <c r="F1554" s="2" t="s">
        <v>15446</v>
      </c>
      <c r="G1554" s="2" t="s">
        <v>15456</v>
      </c>
      <c r="H1554" s="2" t="s">
        <v>15444</v>
      </c>
    </row>
    <row r="1555">
      <c r="A1555" s="2">
        <v>1553.0</v>
      </c>
      <c r="B1555" s="5" t="s">
        <v>2327</v>
      </c>
      <c r="C1555" s="2" t="s">
        <v>2328</v>
      </c>
      <c r="D1555" s="5" t="s">
        <v>2327</v>
      </c>
      <c r="E1555" s="2" t="s">
        <v>15445</v>
      </c>
      <c r="F1555" s="2" t="s">
        <v>15446</v>
      </c>
      <c r="G1555" s="2" t="s">
        <v>15456</v>
      </c>
      <c r="H1555" s="2" t="s">
        <v>15444</v>
      </c>
    </row>
    <row r="1556">
      <c r="A1556" s="2">
        <v>1554.0</v>
      </c>
      <c r="B1556" s="5" t="s">
        <v>10844</v>
      </c>
      <c r="C1556" s="2" t="s">
        <v>10845</v>
      </c>
      <c r="D1556" s="5" t="s">
        <v>10844</v>
      </c>
      <c r="E1556" s="2" t="s">
        <v>15441</v>
      </c>
      <c r="F1556" s="2" t="s">
        <v>15442</v>
      </c>
      <c r="G1556" s="2" t="s">
        <v>15456</v>
      </c>
      <c r="H1556" s="2" t="s">
        <v>15444</v>
      </c>
    </row>
    <row r="1557">
      <c r="A1557" s="2">
        <v>1555.0</v>
      </c>
      <c r="B1557" s="5" t="s">
        <v>2330</v>
      </c>
      <c r="C1557" s="2" t="s">
        <v>2331</v>
      </c>
      <c r="D1557" s="5" t="s">
        <v>2330</v>
      </c>
      <c r="E1557" s="2" t="s">
        <v>15445</v>
      </c>
      <c r="F1557" s="2" t="s">
        <v>15446</v>
      </c>
      <c r="G1557" s="2" t="s">
        <v>15456</v>
      </c>
      <c r="H1557" s="2" t="s">
        <v>15444</v>
      </c>
    </row>
    <row r="1558">
      <c r="A1558" s="2">
        <v>1556.0</v>
      </c>
      <c r="B1558" s="5" t="s">
        <v>10846</v>
      </c>
      <c r="C1558" s="2" t="s">
        <v>10847</v>
      </c>
      <c r="D1558" s="5" t="s">
        <v>10846</v>
      </c>
      <c r="E1558" s="2" t="s">
        <v>15441</v>
      </c>
      <c r="F1558" s="2" t="s">
        <v>15446</v>
      </c>
      <c r="G1558" s="2" t="s">
        <v>15443</v>
      </c>
      <c r="H1558" s="2" t="s">
        <v>15444</v>
      </c>
    </row>
    <row r="1559">
      <c r="A1559" s="2">
        <v>1557.0</v>
      </c>
      <c r="B1559" s="5" t="s">
        <v>2333</v>
      </c>
      <c r="C1559" s="2" t="s">
        <v>2334</v>
      </c>
      <c r="D1559" s="5" t="s">
        <v>2333</v>
      </c>
      <c r="E1559" s="2" t="s">
        <v>15445</v>
      </c>
      <c r="F1559" s="2" t="s">
        <v>15442</v>
      </c>
      <c r="G1559" s="2" t="s">
        <v>15443</v>
      </c>
      <c r="H1559" s="2" t="s">
        <v>15457</v>
      </c>
    </row>
    <row r="1560">
      <c r="A1560" s="2">
        <v>1558.0</v>
      </c>
      <c r="B1560" s="5" t="s">
        <v>2336</v>
      </c>
      <c r="C1560" s="2" t="s">
        <v>2337</v>
      </c>
      <c r="D1560" s="5" t="s">
        <v>2336</v>
      </c>
      <c r="E1560" s="2" t="s">
        <v>15445</v>
      </c>
      <c r="F1560" s="2" t="s">
        <v>15442</v>
      </c>
      <c r="G1560" s="2" t="s">
        <v>15456</v>
      </c>
      <c r="H1560" s="2" t="s">
        <v>15444</v>
      </c>
    </row>
    <row r="1561">
      <c r="A1561" s="2">
        <v>1559.0</v>
      </c>
      <c r="B1561" s="5" t="s">
        <v>2339</v>
      </c>
      <c r="C1561" s="2" t="s">
        <v>2340</v>
      </c>
      <c r="D1561" s="5" t="s">
        <v>2339</v>
      </c>
      <c r="E1561" s="2" t="s">
        <v>15445</v>
      </c>
      <c r="F1561" s="2" t="s">
        <v>15442</v>
      </c>
      <c r="G1561" s="2" t="s">
        <v>15443</v>
      </c>
      <c r="H1561" s="2" t="s">
        <v>15444</v>
      </c>
    </row>
    <row r="1562">
      <c r="A1562" s="2">
        <v>1560.0</v>
      </c>
      <c r="B1562" s="5" t="s">
        <v>10848</v>
      </c>
      <c r="C1562" s="2" t="s">
        <v>10849</v>
      </c>
      <c r="D1562" s="5" t="s">
        <v>10848</v>
      </c>
      <c r="E1562" s="2" t="s">
        <v>15441</v>
      </c>
      <c r="F1562" s="2" t="s">
        <v>15442</v>
      </c>
      <c r="G1562" s="2" t="s">
        <v>15443</v>
      </c>
      <c r="H1562" s="2" t="s">
        <v>15444</v>
      </c>
    </row>
    <row r="1563">
      <c r="A1563" s="2">
        <v>1561.0</v>
      </c>
      <c r="B1563" s="5" t="s">
        <v>10850</v>
      </c>
      <c r="C1563" s="2" t="s">
        <v>10851</v>
      </c>
      <c r="D1563" s="5" t="s">
        <v>10850</v>
      </c>
      <c r="E1563" s="2" t="s">
        <v>15441</v>
      </c>
      <c r="F1563" s="2" t="s">
        <v>15446</v>
      </c>
      <c r="G1563" s="2" t="s">
        <v>15456</v>
      </c>
      <c r="H1563" s="2" t="s">
        <v>15444</v>
      </c>
    </row>
    <row r="1564">
      <c r="A1564" s="2">
        <v>1562.0</v>
      </c>
      <c r="B1564" s="5" t="s">
        <v>10852</v>
      </c>
      <c r="C1564" s="2" t="s">
        <v>10853</v>
      </c>
      <c r="D1564" s="5" t="s">
        <v>10852</v>
      </c>
      <c r="E1564" s="2" t="s">
        <v>15441</v>
      </c>
      <c r="F1564" s="2" t="s">
        <v>15442</v>
      </c>
      <c r="G1564" s="2" t="s">
        <v>15443</v>
      </c>
      <c r="H1564" s="2" t="s">
        <v>15444</v>
      </c>
    </row>
    <row r="1565">
      <c r="A1565" s="2">
        <v>1563.0</v>
      </c>
      <c r="B1565" s="5" t="s">
        <v>2342</v>
      </c>
      <c r="C1565" s="2" t="s">
        <v>2343</v>
      </c>
      <c r="D1565" s="5" t="s">
        <v>2342</v>
      </c>
      <c r="E1565" s="2" t="s">
        <v>15445</v>
      </c>
      <c r="F1565" s="2" t="s">
        <v>15446</v>
      </c>
      <c r="G1565" s="2" t="s">
        <v>15456</v>
      </c>
      <c r="H1565" s="2" t="s">
        <v>15444</v>
      </c>
    </row>
    <row r="1566">
      <c r="A1566" s="2">
        <v>1564.0</v>
      </c>
      <c r="B1566" s="5" t="s">
        <v>10854</v>
      </c>
      <c r="C1566" s="2" t="s">
        <v>10855</v>
      </c>
      <c r="D1566" s="5" t="s">
        <v>10854</v>
      </c>
      <c r="E1566" s="2" t="s">
        <v>15441</v>
      </c>
      <c r="F1566" s="2" t="s">
        <v>15442</v>
      </c>
      <c r="G1566" s="2" t="s">
        <v>15443</v>
      </c>
      <c r="H1566" s="2" t="s">
        <v>15444</v>
      </c>
    </row>
    <row r="1567">
      <c r="A1567" s="2">
        <v>1565.0</v>
      </c>
      <c r="B1567" s="5" t="s">
        <v>10856</v>
      </c>
      <c r="C1567" s="2" t="s">
        <v>10857</v>
      </c>
      <c r="D1567" s="5" t="s">
        <v>10856</v>
      </c>
      <c r="E1567" s="2" t="s">
        <v>15441</v>
      </c>
      <c r="F1567" s="2" t="s">
        <v>15446</v>
      </c>
      <c r="G1567" s="2" t="s">
        <v>15456</v>
      </c>
      <c r="H1567" s="2" t="s">
        <v>15457</v>
      </c>
    </row>
    <row r="1568">
      <c r="A1568" s="2">
        <v>1566.0</v>
      </c>
      <c r="B1568" s="5" t="s">
        <v>10858</v>
      </c>
      <c r="C1568" s="2" t="s">
        <v>10859</v>
      </c>
      <c r="D1568" s="5" t="s">
        <v>10858</v>
      </c>
      <c r="E1568" s="2" t="s">
        <v>15441</v>
      </c>
      <c r="F1568" s="2" t="s">
        <v>15442</v>
      </c>
      <c r="G1568" s="2" t="s">
        <v>15443</v>
      </c>
      <c r="H1568" s="2" t="s">
        <v>15444</v>
      </c>
    </row>
    <row r="1569">
      <c r="A1569" s="2">
        <v>1567.0</v>
      </c>
      <c r="B1569" s="5" t="s">
        <v>10860</v>
      </c>
      <c r="C1569" s="2" t="s">
        <v>10861</v>
      </c>
      <c r="D1569" s="5" t="s">
        <v>10860</v>
      </c>
      <c r="E1569" s="2" t="s">
        <v>15441</v>
      </c>
      <c r="F1569" s="2" t="s">
        <v>15442</v>
      </c>
      <c r="G1569" s="2" t="s">
        <v>15456</v>
      </c>
      <c r="H1569" s="2" t="s">
        <v>15444</v>
      </c>
    </row>
    <row r="1570">
      <c r="A1570" s="2">
        <v>1568.0</v>
      </c>
      <c r="B1570" s="5" t="s">
        <v>2345</v>
      </c>
      <c r="C1570" s="2" t="s">
        <v>2346</v>
      </c>
      <c r="D1570" s="5" t="s">
        <v>2345</v>
      </c>
      <c r="E1570" s="2" t="s">
        <v>15445</v>
      </c>
      <c r="F1570" s="2" t="s">
        <v>15446</v>
      </c>
      <c r="G1570" s="2" t="s">
        <v>15456</v>
      </c>
      <c r="H1570" s="2" t="s">
        <v>15444</v>
      </c>
    </row>
    <row r="1571">
      <c r="A1571" s="2">
        <v>1569.0</v>
      </c>
      <c r="B1571" s="5" t="s">
        <v>2348</v>
      </c>
      <c r="C1571" s="2" t="s">
        <v>2349</v>
      </c>
      <c r="D1571" s="5" t="s">
        <v>2348</v>
      </c>
      <c r="E1571" s="2" t="s">
        <v>15445</v>
      </c>
      <c r="F1571" s="2" t="s">
        <v>15446</v>
      </c>
      <c r="G1571" s="2" t="s">
        <v>15443</v>
      </c>
      <c r="H1571" s="2" t="s">
        <v>15444</v>
      </c>
    </row>
    <row r="1572">
      <c r="A1572" s="2">
        <v>1570.0</v>
      </c>
      <c r="B1572" s="5" t="s">
        <v>10862</v>
      </c>
      <c r="C1572" s="2" t="s">
        <v>10863</v>
      </c>
      <c r="D1572" s="5" t="s">
        <v>10862</v>
      </c>
      <c r="E1572" s="2" t="s">
        <v>15441</v>
      </c>
      <c r="F1572" s="2" t="s">
        <v>15442</v>
      </c>
      <c r="G1572" s="2" t="s">
        <v>15443</v>
      </c>
      <c r="H1572" s="2" t="s">
        <v>15457</v>
      </c>
    </row>
    <row r="1573">
      <c r="A1573" s="2">
        <v>1571.0</v>
      </c>
      <c r="B1573" s="5" t="s">
        <v>2351</v>
      </c>
      <c r="C1573" s="2" t="s">
        <v>2352</v>
      </c>
      <c r="D1573" s="5" t="s">
        <v>2351</v>
      </c>
      <c r="E1573" s="2" t="s">
        <v>15445</v>
      </c>
      <c r="F1573" s="2" t="s">
        <v>15442</v>
      </c>
      <c r="G1573" s="2" t="s">
        <v>15443</v>
      </c>
      <c r="H1573" s="2" t="s">
        <v>15462</v>
      </c>
    </row>
    <row r="1574">
      <c r="A1574" s="2">
        <v>1572.0</v>
      </c>
      <c r="B1574" s="5" t="s">
        <v>2354</v>
      </c>
      <c r="C1574" s="2" t="s">
        <v>2355</v>
      </c>
      <c r="D1574" s="5" t="s">
        <v>2354</v>
      </c>
      <c r="E1574" s="2" t="s">
        <v>15445</v>
      </c>
      <c r="F1574" s="2" t="s">
        <v>15442</v>
      </c>
      <c r="G1574" s="2" t="s">
        <v>15443</v>
      </c>
      <c r="H1574" s="2" t="s">
        <v>15444</v>
      </c>
    </row>
    <row r="1575">
      <c r="A1575" s="2">
        <v>1573.0</v>
      </c>
      <c r="B1575" s="5" t="s">
        <v>2357</v>
      </c>
      <c r="C1575" s="2" t="s">
        <v>2358</v>
      </c>
      <c r="D1575" s="5" t="s">
        <v>2357</v>
      </c>
      <c r="E1575" s="2" t="s">
        <v>15445</v>
      </c>
      <c r="F1575" s="2" t="s">
        <v>15446</v>
      </c>
      <c r="G1575" s="2" t="s">
        <v>15443</v>
      </c>
      <c r="H1575" s="2" t="s">
        <v>15444</v>
      </c>
    </row>
    <row r="1576">
      <c r="A1576" s="2">
        <v>1574.0</v>
      </c>
      <c r="B1576" s="5" t="s">
        <v>2360</v>
      </c>
      <c r="C1576" s="2" t="s">
        <v>2361</v>
      </c>
      <c r="D1576" s="5" t="s">
        <v>2360</v>
      </c>
      <c r="E1576" s="2" t="s">
        <v>15445</v>
      </c>
      <c r="F1576" s="2" t="s">
        <v>15442</v>
      </c>
      <c r="G1576" s="2" t="s">
        <v>15443</v>
      </c>
      <c r="H1576" s="2" t="s">
        <v>15444</v>
      </c>
    </row>
    <row r="1577">
      <c r="A1577" s="2">
        <v>1575.0</v>
      </c>
      <c r="B1577" s="5" t="s">
        <v>2363</v>
      </c>
      <c r="C1577" s="2" t="s">
        <v>2364</v>
      </c>
      <c r="D1577" s="5" t="s">
        <v>2363</v>
      </c>
      <c r="E1577" s="2" t="s">
        <v>15445</v>
      </c>
      <c r="F1577" s="2" t="s">
        <v>15446</v>
      </c>
      <c r="G1577" s="2" t="s">
        <v>15456</v>
      </c>
      <c r="H1577" s="2" t="s">
        <v>15444</v>
      </c>
    </row>
    <row r="1578">
      <c r="A1578" s="2">
        <v>1576.0</v>
      </c>
      <c r="B1578" s="5" t="s">
        <v>2366</v>
      </c>
      <c r="C1578" s="2" t="s">
        <v>2367</v>
      </c>
      <c r="D1578" s="5" t="s">
        <v>2366</v>
      </c>
      <c r="E1578" s="2" t="s">
        <v>15445</v>
      </c>
      <c r="F1578" s="2" t="s">
        <v>15446</v>
      </c>
      <c r="G1578" s="2" t="s">
        <v>15456</v>
      </c>
      <c r="H1578" s="2" t="s">
        <v>15444</v>
      </c>
    </row>
    <row r="1579">
      <c r="A1579" s="2">
        <v>1577.0</v>
      </c>
      <c r="B1579" s="5" t="s">
        <v>10864</v>
      </c>
      <c r="C1579" s="2" t="s">
        <v>10865</v>
      </c>
      <c r="D1579" s="5" t="s">
        <v>10864</v>
      </c>
      <c r="E1579" s="2" t="s">
        <v>15441</v>
      </c>
      <c r="F1579" s="2" t="s">
        <v>15442</v>
      </c>
      <c r="G1579" s="2" t="s">
        <v>15456</v>
      </c>
      <c r="H1579" s="2" t="s">
        <v>15444</v>
      </c>
    </row>
    <row r="1580">
      <c r="A1580" s="2">
        <v>1578.0</v>
      </c>
      <c r="B1580" s="5" t="s">
        <v>2369</v>
      </c>
      <c r="C1580" s="2" t="s">
        <v>2370</v>
      </c>
      <c r="D1580" s="5" t="s">
        <v>2369</v>
      </c>
      <c r="E1580" s="2" t="s">
        <v>15445</v>
      </c>
      <c r="F1580" s="2" t="s">
        <v>15442</v>
      </c>
      <c r="G1580" s="2" t="s">
        <v>15443</v>
      </c>
      <c r="H1580" s="2" t="s">
        <v>15444</v>
      </c>
    </row>
    <row r="1581">
      <c r="A1581" s="2">
        <v>1579.0</v>
      </c>
      <c r="B1581" s="5" t="s">
        <v>15500</v>
      </c>
      <c r="C1581" s="2" t="s">
        <v>15501</v>
      </c>
      <c r="D1581" s="5" t="s">
        <v>15500</v>
      </c>
      <c r="E1581" s="2" t="s">
        <v>15441</v>
      </c>
      <c r="F1581" s="2" t="s">
        <v>15446</v>
      </c>
      <c r="G1581" s="2" t="s">
        <v>15456</v>
      </c>
      <c r="H1581" s="2" t="s">
        <v>15457</v>
      </c>
    </row>
    <row r="1582">
      <c r="A1582" s="2">
        <v>1580.0</v>
      </c>
      <c r="B1582" s="5" t="s">
        <v>2372</v>
      </c>
      <c r="C1582" s="2" t="s">
        <v>2373</v>
      </c>
      <c r="D1582" s="5" t="s">
        <v>2372</v>
      </c>
      <c r="E1582" s="2" t="s">
        <v>15445</v>
      </c>
      <c r="F1582" s="2" t="s">
        <v>15446</v>
      </c>
      <c r="G1582" s="2" t="s">
        <v>15443</v>
      </c>
      <c r="H1582" s="2" t="s">
        <v>15444</v>
      </c>
    </row>
    <row r="1583">
      <c r="A1583" s="2">
        <v>1581.0</v>
      </c>
      <c r="B1583" s="5" t="s">
        <v>2375</v>
      </c>
      <c r="C1583" s="2" t="s">
        <v>2376</v>
      </c>
      <c r="D1583" s="5" t="s">
        <v>2375</v>
      </c>
      <c r="E1583" s="2" t="s">
        <v>15445</v>
      </c>
      <c r="F1583" s="2" t="s">
        <v>15446</v>
      </c>
      <c r="G1583" s="2" t="s">
        <v>15443</v>
      </c>
      <c r="H1583" s="2" t="s">
        <v>15444</v>
      </c>
    </row>
    <row r="1584">
      <c r="A1584" s="2">
        <v>1582.0</v>
      </c>
      <c r="B1584" s="5" t="s">
        <v>10866</v>
      </c>
      <c r="C1584" s="2" t="s">
        <v>10867</v>
      </c>
      <c r="D1584" s="5" t="s">
        <v>10866</v>
      </c>
      <c r="E1584" s="2" t="s">
        <v>15441</v>
      </c>
      <c r="F1584" s="2" t="s">
        <v>15446</v>
      </c>
      <c r="G1584" s="2" t="s">
        <v>15443</v>
      </c>
      <c r="H1584" s="2" t="s">
        <v>15444</v>
      </c>
    </row>
    <row r="1585">
      <c r="A1585" s="2">
        <v>1583.0</v>
      </c>
      <c r="B1585" s="5" t="s">
        <v>2378</v>
      </c>
      <c r="C1585" s="2" t="s">
        <v>2379</v>
      </c>
      <c r="D1585" s="5" t="s">
        <v>2378</v>
      </c>
      <c r="E1585" s="2" t="s">
        <v>15445</v>
      </c>
      <c r="F1585" s="2" t="s">
        <v>15442</v>
      </c>
      <c r="G1585" s="2" t="s">
        <v>15443</v>
      </c>
      <c r="H1585" s="2" t="s">
        <v>15444</v>
      </c>
    </row>
    <row r="1586">
      <c r="A1586" s="2">
        <v>1584.0</v>
      </c>
      <c r="B1586" s="5" t="s">
        <v>10868</v>
      </c>
      <c r="C1586" s="2" t="s">
        <v>10869</v>
      </c>
      <c r="D1586" s="5" t="s">
        <v>10868</v>
      </c>
      <c r="E1586" s="2" t="s">
        <v>15441</v>
      </c>
      <c r="F1586" s="2" t="s">
        <v>15442</v>
      </c>
      <c r="G1586" s="2" t="s">
        <v>15443</v>
      </c>
      <c r="H1586" s="2" t="s">
        <v>15444</v>
      </c>
    </row>
    <row r="1587">
      <c r="A1587" s="2">
        <v>1585.0</v>
      </c>
      <c r="B1587" s="5" t="s">
        <v>10870</v>
      </c>
      <c r="C1587" s="2" t="s">
        <v>10871</v>
      </c>
      <c r="D1587" s="5" t="s">
        <v>10870</v>
      </c>
      <c r="E1587" s="2" t="s">
        <v>15441</v>
      </c>
      <c r="F1587" s="2" t="s">
        <v>15446</v>
      </c>
      <c r="G1587" s="2" t="s">
        <v>15456</v>
      </c>
      <c r="H1587" s="2" t="s">
        <v>15457</v>
      </c>
    </row>
    <row r="1588">
      <c r="A1588" s="2">
        <v>1586.0</v>
      </c>
      <c r="B1588" s="5" t="s">
        <v>2381</v>
      </c>
      <c r="C1588" s="2" t="s">
        <v>2382</v>
      </c>
      <c r="D1588" s="5" t="s">
        <v>2381</v>
      </c>
      <c r="E1588" s="2" t="s">
        <v>15445</v>
      </c>
      <c r="F1588" s="2" t="s">
        <v>15446</v>
      </c>
      <c r="G1588" s="2" t="s">
        <v>15443</v>
      </c>
      <c r="H1588" s="2" t="s">
        <v>15444</v>
      </c>
    </row>
    <row r="1589">
      <c r="A1589" s="2">
        <v>1587.0</v>
      </c>
      <c r="B1589" s="5" t="s">
        <v>2384</v>
      </c>
      <c r="C1589" s="2" t="s">
        <v>2385</v>
      </c>
      <c r="D1589" s="5" t="s">
        <v>2384</v>
      </c>
      <c r="E1589" s="2" t="s">
        <v>15445</v>
      </c>
      <c r="F1589" s="2" t="s">
        <v>15446</v>
      </c>
      <c r="G1589" s="2" t="s">
        <v>15456</v>
      </c>
      <c r="H1589" s="2" t="s">
        <v>15444</v>
      </c>
    </row>
    <row r="1590">
      <c r="A1590" s="2">
        <v>1588.0</v>
      </c>
      <c r="B1590" s="5" t="s">
        <v>2387</v>
      </c>
      <c r="C1590" s="2" t="s">
        <v>2388</v>
      </c>
      <c r="D1590" s="5" t="s">
        <v>2387</v>
      </c>
      <c r="E1590" s="2" t="s">
        <v>15445</v>
      </c>
      <c r="F1590" s="2" t="s">
        <v>15446</v>
      </c>
      <c r="G1590" s="2" t="s">
        <v>15443</v>
      </c>
      <c r="H1590" s="2" t="s">
        <v>15444</v>
      </c>
    </row>
    <row r="1591">
      <c r="A1591" s="2">
        <v>1589.0</v>
      </c>
      <c r="B1591" s="5" t="s">
        <v>2390</v>
      </c>
      <c r="C1591" s="2" t="s">
        <v>2391</v>
      </c>
      <c r="D1591" s="5" t="s">
        <v>2390</v>
      </c>
      <c r="E1591" s="2" t="s">
        <v>15445</v>
      </c>
      <c r="F1591" s="2" t="s">
        <v>15446</v>
      </c>
      <c r="G1591" s="2" t="s">
        <v>15456</v>
      </c>
      <c r="H1591" s="2" t="s">
        <v>15444</v>
      </c>
    </row>
    <row r="1592">
      <c r="A1592" s="2">
        <v>1590.0</v>
      </c>
      <c r="B1592" s="5" t="s">
        <v>2393</v>
      </c>
      <c r="C1592" s="2" t="s">
        <v>2394</v>
      </c>
      <c r="D1592" s="5" t="s">
        <v>2393</v>
      </c>
      <c r="E1592" s="2" t="s">
        <v>15445</v>
      </c>
      <c r="F1592" s="2" t="s">
        <v>15446</v>
      </c>
      <c r="G1592" s="2" t="s">
        <v>15456</v>
      </c>
      <c r="H1592" s="2" t="s">
        <v>15444</v>
      </c>
    </row>
    <row r="1593">
      <c r="A1593" s="2">
        <v>1591.0</v>
      </c>
      <c r="B1593" s="5" t="s">
        <v>10872</v>
      </c>
      <c r="C1593" s="2" t="s">
        <v>10873</v>
      </c>
      <c r="D1593" s="5" t="s">
        <v>10872</v>
      </c>
      <c r="E1593" s="2" t="s">
        <v>15441</v>
      </c>
      <c r="F1593" s="2" t="s">
        <v>15446</v>
      </c>
      <c r="G1593" s="2" t="s">
        <v>15443</v>
      </c>
      <c r="H1593" s="2" t="s">
        <v>15444</v>
      </c>
    </row>
    <row r="1594">
      <c r="A1594" s="2">
        <v>1592.0</v>
      </c>
      <c r="B1594" s="5" t="s">
        <v>2396</v>
      </c>
      <c r="C1594" s="2" t="s">
        <v>2397</v>
      </c>
      <c r="D1594" s="5" t="s">
        <v>2396</v>
      </c>
      <c r="E1594" s="2" t="s">
        <v>15445</v>
      </c>
      <c r="F1594" s="2" t="s">
        <v>15446</v>
      </c>
      <c r="G1594" s="2" t="s">
        <v>15456</v>
      </c>
      <c r="H1594" s="2" t="s">
        <v>15444</v>
      </c>
    </row>
    <row r="1595">
      <c r="A1595" s="2">
        <v>1593.0</v>
      </c>
      <c r="B1595" s="5" t="s">
        <v>10874</v>
      </c>
      <c r="C1595" s="2" t="s">
        <v>10875</v>
      </c>
      <c r="D1595" s="5" t="s">
        <v>10874</v>
      </c>
      <c r="E1595" s="2" t="s">
        <v>15441</v>
      </c>
      <c r="F1595" s="2" t="s">
        <v>15442</v>
      </c>
      <c r="G1595" s="2" t="s">
        <v>15456</v>
      </c>
      <c r="H1595" s="2" t="s">
        <v>15444</v>
      </c>
    </row>
    <row r="1596">
      <c r="A1596" s="2">
        <v>1594.0</v>
      </c>
      <c r="B1596" s="5" t="s">
        <v>10876</v>
      </c>
      <c r="C1596" s="2" t="s">
        <v>10877</v>
      </c>
      <c r="D1596" s="5" t="s">
        <v>10876</v>
      </c>
      <c r="E1596" s="2" t="s">
        <v>15441</v>
      </c>
      <c r="F1596" s="2" t="s">
        <v>15442</v>
      </c>
      <c r="G1596" s="2" t="s">
        <v>15456</v>
      </c>
      <c r="H1596" s="2" t="s">
        <v>15457</v>
      </c>
    </row>
    <row r="1597">
      <c r="A1597" s="2">
        <v>1595.0</v>
      </c>
      <c r="B1597" s="5" t="s">
        <v>10878</v>
      </c>
      <c r="C1597" s="2" t="s">
        <v>10879</v>
      </c>
      <c r="D1597" s="5" t="s">
        <v>10878</v>
      </c>
      <c r="E1597" s="2" t="s">
        <v>15441</v>
      </c>
      <c r="F1597" s="2" t="s">
        <v>15442</v>
      </c>
      <c r="G1597" s="2" t="s">
        <v>15456</v>
      </c>
      <c r="H1597" s="2" t="s">
        <v>15444</v>
      </c>
    </row>
    <row r="1598">
      <c r="A1598" s="2">
        <v>1596.0</v>
      </c>
      <c r="B1598" s="5" t="s">
        <v>2399</v>
      </c>
      <c r="C1598" s="2" t="s">
        <v>2400</v>
      </c>
      <c r="D1598" s="5" t="s">
        <v>2399</v>
      </c>
      <c r="E1598" s="2" t="s">
        <v>15445</v>
      </c>
      <c r="F1598" s="2" t="s">
        <v>15446</v>
      </c>
      <c r="G1598" s="2" t="s">
        <v>15456</v>
      </c>
      <c r="H1598" s="2" t="s">
        <v>15444</v>
      </c>
    </row>
    <row r="1599">
      <c r="A1599" s="2">
        <v>1597.0</v>
      </c>
      <c r="B1599" s="5" t="s">
        <v>15502</v>
      </c>
      <c r="C1599" s="2" t="s">
        <v>15503</v>
      </c>
      <c r="D1599" s="5" t="s">
        <v>15502</v>
      </c>
      <c r="E1599" s="2" t="s">
        <v>15445</v>
      </c>
      <c r="F1599" s="2" t="s">
        <v>15442</v>
      </c>
      <c r="G1599" s="2" t="s">
        <v>15456</v>
      </c>
      <c r="H1599" s="2" t="s">
        <v>15455</v>
      </c>
    </row>
    <row r="1600">
      <c r="A1600" s="2">
        <v>1598.0</v>
      </c>
      <c r="B1600" s="5" t="s">
        <v>2402</v>
      </c>
      <c r="C1600" s="2" t="s">
        <v>2403</v>
      </c>
      <c r="D1600" s="5" t="s">
        <v>2402</v>
      </c>
      <c r="E1600" s="2" t="s">
        <v>15445</v>
      </c>
      <c r="F1600" s="2" t="s">
        <v>15446</v>
      </c>
      <c r="G1600" s="2" t="s">
        <v>15456</v>
      </c>
      <c r="H1600" s="2" t="s">
        <v>15444</v>
      </c>
    </row>
    <row r="1601">
      <c r="A1601" s="2">
        <v>1599.0</v>
      </c>
      <c r="B1601" s="5" t="s">
        <v>10880</v>
      </c>
      <c r="C1601" s="2" t="s">
        <v>10881</v>
      </c>
      <c r="D1601" s="5" t="s">
        <v>10880</v>
      </c>
      <c r="E1601" s="2" t="s">
        <v>15441</v>
      </c>
      <c r="F1601" s="2" t="s">
        <v>15442</v>
      </c>
      <c r="G1601" s="2" t="s">
        <v>15443</v>
      </c>
      <c r="H1601" s="2" t="s">
        <v>15444</v>
      </c>
    </row>
    <row r="1602">
      <c r="A1602" s="2">
        <v>1600.0</v>
      </c>
      <c r="B1602" s="5" t="s">
        <v>10882</v>
      </c>
      <c r="C1602" s="2" t="s">
        <v>10883</v>
      </c>
      <c r="D1602" s="5" t="s">
        <v>10882</v>
      </c>
      <c r="E1602" s="2" t="s">
        <v>15441</v>
      </c>
      <c r="F1602" s="2" t="s">
        <v>15446</v>
      </c>
      <c r="G1602" s="2" t="s">
        <v>15456</v>
      </c>
      <c r="H1602" s="2" t="s">
        <v>15444</v>
      </c>
    </row>
    <row r="1603">
      <c r="A1603" s="2">
        <v>1601.0</v>
      </c>
      <c r="B1603" s="5" t="s">
        <v>10884</v>
      </c>
      <c r="C1603" s="2" t="s">
        <v>10885</v>
      </c>
      <c r="D1603" s="5" t="s">
        <v>10884</v>
      </c>
      <c r="E1603" s="2" t="s">
        <v>15441</v>
      </c>
      <c r="F1603" s="2" t="s">
        <v>15446</v>
      </c>
      <c r="G1603" s="2" t="s">
        <v>15443</v>
      </c>
      <c r="H1603" s="2" t="s">
        <v>15444</v>
      </c>
    </row>
    <row r="1604">
      <c r="A1604" s="2">
        <v>1602.0</v>
      </c>
      <c r="B1604" s="5" t="s">
        <v>2405</v>
      </c>
      <c r="C1604" s="2" t="s">
        <v>2406</v>
      </c>
      <c r="D1604" s="5" t="s">
        <v>2405</v>
      </c>
      <c r="E1604" s="2" t="s">
        <v>15445</v>
      </c>
      <c r="F1604" s="2" t="s">
        <v>15446</v>
      </c>
      <c r="G1604" s="2" t="s">
        <v>15443</v>
      </c>
      <c r="H1604" s="2" t="s">
        <v>15444</v>
      </c>
    </row>
    <row r="1605">
      <c r="A1605" s="2">
        <v>1603.0</v>
      </c>
      <c r="B1605" s="5" t="s">
        <v>10886</v>
      </c>
      <c r="C1605" s="2" t="s">
        <v>10887</v>
      </c>
      <c r="D1605" s="5" t="s">
        <v>10886</v>
      </c>
      <c r="E1605" s="2" t="s">
        <v>15441</v>
      </c>
      <c r="F1605" s="2" t="s">
        <v>15442</v>
      </c>
      <c r="G1605" s="2" t="s">
        <v>15443</v>
      </c>
      <c r="H1605" s="2" t="s">
        <v>15444</v>
      </c>
    </row>
    <row r="1606">
      <c r="A1606" s="2">
        <v>1604.0</v>
      </c>
      <c r="B1606" s="5" t="s">
        <v>10888</v>
      </c>
      <c r="C1606" s="2" t="s">
        <v>10889</v>
      </c>
      <c r="D1606" s="5" t="s">
        <v>10888</v>
      </c>
      <c r="E1606" s="2" t="s">
        <v>15441</v>
      </c>
      <c r="F1606" s="2" t="s">
        <v>15446</v>
      </c>
      <c r="G1606" s="2" t="s">
        <v>15456</v>
      </c>
      <c r="H1606" s="2" t="s">
        <v>15444</v>
      </c>
    </row>
    <row r="1607">
      <c r="A1607" s="2">
        <v>1605.0</v>
      </c>
      <c r="B1607" s="5" t="s">
        <v>2408</v>
      </c>
      <c r="C1607" s="2" t="s">
        <v>2409</v>
      </c>
      <c r="D1607" s="5" t="s">
        <v>2408</v>
      </c>
      <c r="E1607" s="2" t="s">
        <v>15445</v>
      </c>
      <c r="F1607" s="2" t="s">
        <v>15446</v>
      </c>
      <c r="G1607" s="2" t="s">
        <v>15456</v>
      </c>
      <c r="H1607" s="2" t="s">
        <v>15444</v>
      </c>
    </row>
    <row r="1608">
      <c r="A1608" s="2">
        <v>1606.0</v>
      </c>
      <c r="B1608" s="5" t="s">
        <v>2411</v>
      </c>
      <c r="C1608" s="2" t="s">
        <v>2412</v>
      </c>
      <c r="D1608" s="5" t="s">
        <v>2411</v>
      </c>
      <c r="E1608" s="2" t="s">
        <v>15445</v>
      </c>
      <c r="F1608" s="2" t="s">
        <v>15446</v>
      </c>
      <c r="G1608" s="2" t="s">
        <v>15456</v>
      </c>
      <c r="H1608" s="2" t="s">
        <v>15444</v>
      </c>
    </row>
    <row r="1609">
      <c r="A1609" s="2">
        <v>1607.0</v>
      </c>
      <c r="B1609" s="5" t="s">
        <v>10890</v>
      </c>
      <c r="C1609" s="2" t="s">
        <v>10891</v>
      </c>
      <c r="D1609" s="5" t="s">
        <v>10890</v>
      </c>
      <c r="E1609" s="2" t="s">
        <v>15441</v>
      </c>
      <c r="F1609" s="2" t="s">
        <v>15442</v>
      </c>
      <c r="G1609" s="2" t="s">
        <v>15443</v>
      </c>
      <c r="H1609" s="2" t="s">
        <v>15444</v>
      </c>
    </row>
    <row r="1610">
      <c r="A1610" s="2">
        <v>1608.0</v>
      </c>
      <c r="B1610" s="5" t="s">
        <v>10892</v>
      </c>
      <c r="C1610" s="2" t="s">
        <v>10893</v>
      </c>
      <c r="D1610" s="5" t="s">
        <v>10892</v>
      </c>
      <c r="E1610" s="2" t="s">
        <v>15441</v>
      </c>
      <c r="F1610" s="2" t="s">
        <v>15446</v>
      </c>
      <c r="G1610" s="2" t="s">
        <v>15456</v>
      </c>
      <c r="H1610" s="2" t="s">
        <v>15444</v>
      </c>
    </row>
    <row r="1611">
      <c r="A1611" s="2">
        <v>1609.0</v>
      </c>
      <c r="B1611" s="5" t="s">
        <v>2414</v>
      </c>
      <c r="C1611" s="2" t="s">
        <v>2415</v>
      </c>
      <c r="D1611" s="5" t="s">
        <v>2414</v>
      </c>
      <c r="E1611" s="2" t="s">
        <v>15445</v>
      </c>
      <c r="F1611" s="2" t="s">
        <v>15446</v>
      </c>
      <c r="G1611" s="2" t="s">
        <v>15443</v>
      </c>
      <c r="H1611" s="2" t="s">
        <v>15444</v>
      </c>
    </row>
    <row r="1612">
      <c r="A1612" s="2">
        <v>1610.0</v>
      </c>
      <c r="B1612" s="5" t="s">
        <v>2417</v>
      </c>
      <c r="C1612" s="2" t="s">
        <v>2418</v>
      </c>
      <c r="D1612" s="5" t="s">
        <v>2417</v>
      </c>
      <c r="E1612" s="2" t="s">
        <v>15445</v>
      </c>
      <c r="F1612" s="2" t="s">
        <v>15446</v>
      </c>
      <c r="G1612" s="2" t="s">
        <v>15456</v>
      </c>
      <c r="H1612" s="2" t="s">
        <v>15444</v>
      </c>
    </row>
    <row r="1613">
      <c r="A1613" s="2">
        <v>1611.0</v>
      </c>
      <c r="B1613" s="5" t="s">
        <v>10894</v>
      </c>
      <c r="C1613" s="2" t="s">
        <v>10895</v>
      </c>
      <c r="D1613" s="5" t="s">
        <v>10894</v>
      </c>
      <c r="E1613" s="2" t="s">
        <v>15441</v>
      </c>
      <c r="F1613" s="2" t="s">
        <v>15446</v>
      </c>
      <c r="G1613" s="2" t="s">
        <v>15456</v>
      </c>
      <c r="H1613" s="2" t="s">
        <v>15444</v>
      </c>
    </row>
    <row r="1614">
      <c r="A1614" s="2">
        <v>1612.0</v>
      </c>
      <c r="B1614" s="5" t="s">
        <v>2420</v>
      </c>
      <c r="C1614" s="2" t="s">
        <v>2421</v>
      </c>
      <c r="D1614" s="5" t="s">
        <v>2420</v>
      </c>
      <c r="E1614" s="2" t="s">
        <v>15445</v>
      </c>
      <c r="F1614" s="2" t="s">
        <v>15446</v>
      </c>
      <c r="G1614" s="2" t="s">
        <v>15456</v>
      </c>
      <c r="H1614" s="2" t="s">
        <v>15457</v>
      </c>
    </row>
    <row r="1615">
      <c r="A1615" s="2">
        <v>1613.0</v>
      </c>
      <c r="B1615" s="5" t="s">
        <v>10896</v>
      </c>
      <c r="C1615" s="2" t="s">
        <v>10897</v>
      </c>
      <c r="D1615" s="5" t="s">
        <v>10896</v>
      </c>
      <c r="E1615" s="2" t="s">
        <v>15441</v>
      </c>
      <c r="F1615" s="2" t="s">
        <v>15446</v>
      </c>
      <c r="G1615" s="2" t="s">
        <v>15456</v>
      </c>
      <c r="H1615" s="2" t="s">
        <v>15444</v>
      </c>
    </row>
    <row r="1616">
      <c r="A1616" s="2">
        <v>1614.0</v>
      </c>
      <c r="B1616" s="5" t="s">
        <v>10898</v>
      </c>
      <c r="C1616" s="2" t="s">
        <v>10899</v>
      </c>
      <c r="D1616" s="5" t="s">
        <v>10898</v>
      </c>
      <c r="E1616" s="2" t="s">
        <v>15441</v>
      </c>
      <c r="F1616" s="2" t="s">
        <v>15446</v>
      </c>
      <c r="G1616" s="2" t="s">
        <v>15443</v>
      </c>
      <c r="H1616" s="2" t="s">
        <v>15444</v>
      </c>
    </row>
    <row r="1617">
      <c r="A1617" s="2">
        <v>1615.0</v>
      </c>
      <c r="B1617" s="5" t="s">
        <v>10900</v>
      </c>
      <c r="C1617" s="2" t="s">
        <v>10901</v>
      </c>
      <c r="D1617" s="5" t="s">
        <v>10900</v>
      </c>
      <c r="E1617" s="2" t="s">
        <v>15441</v>
      </c>
      <c r="F1617" s="2" t="s">
        <v>15446</v>
      </c>
      <c r="G1617" s="2" t="s">
        <v>15456</v>
      </c>
      <c r="H1617" s="2" t="s">
        <v>15444</v>
      </c>
    </row>
    <row r="1618">
      <c r="A1618" s="2">
        <v>1616.0</v>
      </c>
      <c r="B1618" s="5" t="s">
        <v>2423</v>
      </c>
      <c r="C1618" s="2" t="s">
        <v>2424</v>
      </c>
      <c r="D1618" s="5" t="s">
        <v>2423</v>
      </c>
      <c r="E1618" s="2" t="s">
        <v>15445</v>
      </c>
      <c r="F1618" s="2" t="s">
        <v>15442</v>
      </c>
      <c r="G1618" s="2" t="s">
        <v>15456</v>
      </c>
      <c r="H1618" s="2" t="s">
        <v>15444</v>
      </c>
    </row>
    <row r="1619">
      <c r="A1619" s="2">
        <v>1617.0</v>
      </c>
      <c r="B1619" s="5" t="s">
        <v>2426</v>
      </c>
      <c r="C1619" s="2" t="s">
        <v>2427</v>
      </c>
      <c r="D1619" s="5" t="s">
        <v>2426</v>
      </c>
      <c r="E1619" s="2" t="s">
        <v>15445</v>
      </c>
      <c r="F1619" s="2" t="s">
        <v>15446</v>
      </c>
      <c r="G1619" s="2" t="s">
        <v>15443</v>
      </c>
      <c r="H1619" s="2" t="s">
        <v>15444</v>
      </c>
    </row>
    <row r="1620">
      <c r="A1620" s="2">
        <v>1618.0</v>
      </c>
      <c r="B1620" s="5" t="s">
        <v>2429</v>
      </c>
      <c r="C1620" s="2" t="s">
        <v>2430</v>
      </c>
      <c r="D1620" s="5" t="s">
        <v>2429</v>
      </c>
      <c r="E1620" s="2" t="s">
        <v>15445</v>
      </c>
      <c r="F1620" s="2" t="s">
        <v>15446</v>
      </c>
      <c r="G1620" s="2" t="s">
        <v>15456</v>
      </c>
      <c r="H1620" s="2" t="s">
        <v>15444</v>
      </c>
    </row>
    <row r="1621">
      <c r="A1621" s="2">
        <v>1619.0</v>
      </c>
      <c r="B1621" s="5" t="s">
        <v>2432</v>
      </c>
      <c r="C1621" s="2" t="s">
        <v>2433</v>
      </c>
      <c r="D1621" s="5" t="s">
        <v>2432</v>
      </c>
      <c r="E1621" s="2" t="s">
        <v>15445</v>
      </c>
      <c r="F1621" s="2" t="s">
        <v>15446</v>
      </c>
      <c r="G1621" s="2" t="s">
        <v>15443</v>
      </c>
      <c r="H1621" s="2" t="s">
        <v>15444</v>
      </c>
    </row>
    <row r="1622">
      <c r="A1622" s="2">
        <v>1620.0</v>
      </c>
      <c r="B1622" s="5" t="s">
        <v>2435</v>
      </c>
      <c r="C1622" s="2" t="s">
        <v>2436</v>
      </c>
      <c r="D1622" s="5" t="s">
        <v>2435</v>
      </c>
      <c r="E1622" s="2" t="s">
        <v>15445</v>
      </c>
      <c r="F1622" s="2" t="s">
        <v>15442</v>
      </c>
      <c r="G1622" s="2" t="s">
        <v>15443</v>
      </c>
      <c r="H1622" s="2" t="s">
        <v>15461</v>
      </c>
    </row>
    <row r="1623">
      <c r="A1623" s="2">
        <v>1621.0</v>
      </c>
      <c r="B1623" s="5" t="s">
        <v>2438</v>
      </c>
      <c r="C1623" s="2" t="s">
        <v>2439</v>
      </c>
      <c r="D1623" s="5" t="s">
        <v>2438</v>
      </c>
      <c r="E1623" s="2" t="s">
        <v>15445</v>
      </c>
      <c r="F1623" s="2" t="s">
        <v>15442</v>
      </c>
      <c r="G1623" s="2" t="s">
        <v>15443</v>
      </c>
      <c r="H1623" s="2" t="s">
        <v>15444</v>
      </c>
    </row>
    <row r="1624">
      <c r="A1624" s="2">
        <v>1622.0</v>
      </c>
      <c r="B1624" s="5" t="s">
        <v>10902</v>
      </c>
      <c r="C1624" s="2" t="s">
        <v>10903</v>
      </c>
      <c r="D1624" s="5" t="s">
        <v>10902</v>
      </c>
      <c r="E1624" s="2" t="s">
        <v>15441</v>
      </c>
      <c r="F1624" s="2" t="s">
        <v>15442</v>
      </c>
      <c r="G1624" s="2" t="s">
        <v>15443</v>
      </c>
      <c r="H1624" s="2" t="s">
        <v>15444</v>
      </c>
    </row>
    <row r="1625">
      <c r="A1625" s="2">
        <v>1623.0</v>
      </c>
      <c r="B1625" s="5" t="s">
        <v>10904</v>
      </c>
      <c r="C1625" s="2" t="s">
        <v>10905</v>
      </c>
      <c r="D1625" s="5" t="s">
        <v>10904</v>
      </c>
      <c r="E1625" s="2" t="s">
        <v>15441</v>
      </c>
      <c r="F1625" s="2" t="s">
        <v>15446</v>
      </c>
      <c r="G1625" s="2" t="s">
        <v>15456</v>
      </c>
      <c r="H1625" s="2" t="s">
        <v>15457</v>
      </c>
    </row>
    <row r="1626">
      <c r="A1626" s="2">
        <v>1624.0</v>
      </c>
      <c r="B1626" s="5" t="s">
        <v>2441</v>
      </c>
      <c r="C1626" s="2" t="s">
        <v>2442</v>
      </c>
      <c r="D1626" s="5" t="s">
        <v>2441</v>
      </c>
      <c r="E1626" s="2" t="s">
        <v>15445</v>
      </c>
      <c r="F1626" s="2" t="s">
        <v>15442</v>
      </c>
      <c r="G1626" s="2" t="s">
        <v>15456</v>
      </c>
      <c r="H1626" s="2" t="s">
        <v>15455</v>
      </c>
    </row>
    <row r="1627">
      <c r="A1627" s="2">
        <v>1625.0</v>
      </c>
      <c r="B1627" s="5" t="s">
        <v>10906</v>
      </c>
      <c r="C1627" s="2" t="s">
        <v>10907</v>
      </c>
      <c r="D1627" s="5" t="s">
        <v>10906</v>
      </c>
      <c r="E1627" s="2" t="s">
        <v>15441</v>
      </c>
      <c r="F1627" s="2" t="s">
        <v>15442</v>
      </c>
      <c r="G1627" s="2" t="s">
        <v>15443</v>
      </c>
      <c r="H1627" s="2" t="s">
        <v>15444</v>
      </c>
    </row>
    <row r="1628">
      <c r="A1628" s="2">
        <v>1626.0</v>
      </c>
      <c r="B1628" s="5" t="s">
        <v>10908</v>
      </c>
      <c r="C1628" s="2" t="s">
        <v>10909</v>
      </c>
      <c r="D1628" s="5" t="s">
        <v>10908</v>
      </c>
      <c r="E1628" s="2" t="s">
        <v>15441</v>
      </c>
      <c r="F1628" s="2" t="s">
        <v>15446</v>
      </c>
      <c r="G1628" s="2" t="s">
        <v>15443</v>
      </c>
      <c r="H1628" s="2" t="s">
        <v>15444</v>
      </c>
    </row>
    <row r="1629">
      <c r="A1629" s="2">
        <v>1627.0</v>
      </c>
      <c r="B1629" s="5" t="s">
        <v>10910</v>
      </c>
      <c r="C1629" s="2" t="s">
        <v>10911</v>
      </c>
      <c r="D1629" s="5" t="s">
        <v>10910</v>
      </c>
      <c r="E1629" s="2" t="s">
        <v>15441</v>
      </c>
      <c r="F1629" s="2" t="s">
        <v>15442</v>
      </c>
      <c r="G1629" s="2" t="s">
        <v>15456</v>
      </c>
      <c r="H1629" s="2" t="s">
        <v>15444</v>
      </c>
    </row>
    <row r="1630">
      <c r="A1630" s="2">
        <v>1628.0</v>
      </c>
      <c r="B1630" s="5" t="s">
        <v>10912</v>
      </c>
      <c r="C1630" s="2" t="s">
        <v>10913</v>
      </c>
      <c r="D1630" s="5" t="s">
        <v>10912</v>
      </c>
      <c r="E1630" s="2" t="s">
        <v>15441</v>
      </c>
      <c r="F1630" s="2" t="s">
        <v>15446</v>
      </c>
      <c r="G1630" s="2" t="s">
        <v>15443</v>
      </c>
      <c r="H1630" s="2" t="s">
        <v>15444</v>
      </c>
    </row>
    <row r="1631">
      <c r="A1631" s="2">
        <v>1629.0</v>
      </c>
      <c r="B1631" s="5" t="s">
        <v>10914</v>
      </c>
      <c r="C1631" s="2" t="s">
        <v>10915</v>
      </c>
      <c r="D1631" s="5" t="s">
        <v>10914</v>
      </c>
      <c r="E1631" s="2" t="s">
        <v>15441</v>
      </c>
      <c r="F1631" s="2" t="s">
        <v>15442</v>
      </c>
      <c r="G1631" s="2" t="s">
        <v>15443</v>
      </c>
      <c r="H1631" s="2" t="s">
        <v>15444</v>
      </c>
    </row>
    <row r="1632">
      <c r="A1632" s="2">
        <v>1630.0</v>
      </c>
      <c r="B1632" s="5" t="s">
        <v>10916</v>
      </c>
      <c r="C1632" s="2" t="s">
        <v>10917</v>
      </c>
      <c r="D1632" s="5" t="s">
        <v>10916</v>
      </c>
      <c r="E1632" s="2" t="s">
        <v>15441</v>
      </c>
      <c r="F1632" s="2" t="s">
        <v>15442</v>
      </c>
      <c r="G1632" s="2" t="s">
        <v>15443</v>
      </c>
      <c r="H1632" s="2" t="s">
        <v>15444</v>
      </c>
    </row>
    <row r="1633">
      <c r="A1633" s="2">
        <v>1631.0</v>
      </c>
      <c r="B1633" s="5" t="s">
        <v>2444</v>
      </c>
      <c r="C1633" s="2" t="s">
        <v>2445</v>
      </c>
      <c r="D1633" s="5" t="s">
        <v>2444</v>
      </c>
      <c r="E1633" s="2" t="s">
        <v>15445</v>
      </c>
      <c r="F1633" s="2" t="s">
        <v>15446</v>
      </c>
      <c r="G1633" s="2" t="s">
        <v>15456</v>
      </c>
      <c r="H1633" s="2" t="s">
        <v>15444</v>
      </c>
    </row>
    <row r="1634">
      <c r="A1634" s="2">
        <v>1632.0</v>
      </c>
      <c r="B1634" s="5" t="s">
        <v>2447</v>
      </c>
      <c r="C1634" s="2" t="s">
        <v>2448</v>
      </c>
      <c r="D1634" s="5" t="s">
        <v>2447</v>
      </c>
      <c r="E1634" s="2" t="s">
        <v>15445</v>
      </c>
      <c r="F1634" s="2" t="s">
        <v>15442</v>
      </c>
      <c r="G1634" s="2" t="s">
        <v>15443</v>
      </c>
      <c r="H1634" s="2" t="s">
        <v>15444</v>
      </c>
    </row>
    <row r="1635">
      <c r="A1635" s="2">
        <v>1633.0</v>
      </c>
      <c r="B1635" s="5" t="s">
        <v>10918</v>
      </c>
      <c r="C1635" s="2" t="s">
        <v>10919</v>
      </c>
      <c r="D1635" s="5" t="s">
        <v>10918</v>
      </c>
      <c r="E1635" s="2" t="s">
        <v>15441</v>
      </c>
      <c r="F1635" s="2" t="s">
        <v>15442</v>
      </c>
      <c r="G1635" s="2" t="s">
        <v>15443</v>
      </c>
      <c r="H1635" s="2" t="s">
        <v>15444</v>
      </c>
    </row>
    <row r="1636">
      <c r="A1636" s="2">
        <v>1634.0</v>
      </c>
      <c r="B1636" s="5" t="s">
        <v>10920</v>
      </c>
      <c r="C1636" s="2" t="s">
        <v>10921</v>
      </c>
      <c r="D1636" s="5" t="s">
        <v>10920</v>
      </c>
      <c r="E1636" s="2" t="s">
        <v>15441</v>
      </c>
      <c r="F1636" s="2" t="s">
        <v>15446</v>
      </c>
      <c r="G1636" s="2" t="s">
        <v>15456</v>
      </c>
      <c r="H1636" s="2" t="s">
        <v>15444</v>
      </c>
    </row>
    <row r="1637">
      <c r="A1637" s="2">
        <v>1635.0</v>
      </c>
      <c r="B1637" s="5" t="s">
        <v>10922</v>
      </c>
      <c r="C1637" s="2" t="s">
        <v>10923</v>
      </c>
      <c r="D1637" s="5" t="s">
        <v>10922</v>
      </c>
      <c r="E1637" s="2" t="s">
        <v>15441</v>
      </c>
      <c r="F1637" s="2" t="s">
        <v>15442</v>
      </c>
      <c r="G1637" s="2" t="s">
        <v>15443</v>
      </c>
      <c r="H1637" s="2" t="s">
        <v>15444</v>
      </c>
    </row>
    <row r="1638">
      <c r="A1638" s="2">
        <v>1636.0</v>
      </c>
      <c r="B1638" s="5" t="s">
        <v>10924</v>
      </c>
      <c r="C1638" s="2" t="s">
        <v>10925</v>
      </c>
      <c r="D1638" s="5" t="s">
        <v>10924</v>
      </c>
      <c r="E1638" s="2" t="s">
        <v>15441</v>
      </c>
      <c r="F1638" s="2" t="s">
        <v>15442</v>
      </c>
      <c r="G1638" s="2" t="s">
        <v>15443</v>
      </c>
      <c r="H1638" s="2" t="s">
        <v>15444</v>
      </c>
    </row>
    <row r="1639">
      <c r="A1639" s="2">
        <v>1637.0</v>
      </c>
      <c r="B1639" s="5" t="s">
        <v>10926</v>
      </c>
      <c r="C1639" s="2" t="s">
        <v>10927</v>
      </c>
      <c r="D1639" s="5" t="s">
        <v>10926</v>
      </c>
      <c r="E1639" s="2" t="s">
        <v>15441</v>
      </c>
      <c r="F1639" s="2" t="s">
        <v>15442</v>
      </c>
      <c r="G1639" s="2" t="s">
        <v>15456</v>
      </c>
      <c r="H1639" s="2" t="s">
        <v>15444</v>
      </c>
    </row>
    <row r="1640">
      <c r="A1640" s="2">
        <v>1638.0</v>
      </c>
      <c r="B1640" s="5" t="s">
        <v>10928</v>
      </c>
      <c r="C1640" s="2" t="s">
        <v>10929</v>
      </c>
      <c r="D1640" s="5" t="s">
        <v>10928</v>
      </c>
      <c r="E1640" s="2" t="s">
        <v>15441</v>
      </c>
      <c r="F1640" s="2" t="s">
        <v>15442</v>
      </c>
      <c r="G1640" s="2" t="s">
        <v>15443</v>
      </c>
      <c r="H1640" s="2" t="s">
        <v>15444</v>
      </c>
    </row>
    <row r="1641">
      <c r="A1641" s="2">
        <v>1639.0</v>
      </c>
      <c r="B1641" s="5" t="s">
        <v>10930</v>
      </c>
      <c r="C1641" s="2" t="s">
        <v>10931</v>
      </c>
      <c r="D1641" s="5" t="s">
        <v>10930</v>
      </c>
      <c r="E1641" s="2" t="s">
        <v>15441</v>
      </c>
      <c r="F1641" s="2" t="s">
        <v>15442</v>
      </c>
      <c r="G1641" s="2" t="s">
        <v>15456</v>
      </c>
      <c r="H1641" s="2" t="s">
        <v>15444</v>
      </c>
    </row>
    <row r="1642">
      <c r="A1642" s="2">
        <v>1640.0</v>
      </c>
      <c r="B1642" s="5" t="s">
        <v>2450</v>
      </c>
      <c r="C1642" s="2" t="s">
        <v>2451</v>
      </c>
      <c r="D1642" s="5" t="s">
        <v>2450</v>
      </c>
      <c r="E1642" s="2" t="s">
        <v>15445</v>
      </c>
      <c r="F1642" s="2" t="s">
        <v>15442</v>
      </c>
      <c r="G1642" s="2" t="s">
        <v>15443</v>
      </c>
      <c r="H1642" s="2" t="s">
        <v>15444</v>
      </c>
    </row>
    <row r="1643">
      <c r="A1643" s="2">
        <v>1641.0</v>
      </c>
      <c r="B1643" s="5" t="s">
        <v>2453</v>
      </c>
      <c r="C1643" s="2" t="s">
        <v>2454</v>
      </c>
      <c r="D1643" s="5" t="s">
        <v>2453</v>
      </c>
      <c r="E1643" s="2" t="s">
        <v>15445</v>
      </c>
      <c r="F1643" s="2" t="s">
        <v>15446</v>
      </c>
      <c r="G1643" s="2" t="s">
        <v>15456</v>
      </c>
      <c r="H1643" s="2" t="s">
        <v>15444</v>
      </c>
    </row>
    <row r="1644">
      <c r="A1644" s="2">
        <v>1642.0</v>
      </c>
      <c r="B1644" s="5" t="s">
        <v>2456</v>
      </c>
      <c r="C1644" s="2" t="s">
        <v>2457</v>
      </c>
      <c r="D1644" s="5" t="s">
        <v>2456</v>
      </c>
      <c r="E1644" s="2" t="s">
        <v>15445</v>
      </c>
      <c r="F1644" s="2" t="s">
        <v>15442</v>
      </c>
      <c r="G1644" s="2" t="s">
        <v>15443</v>
      </c>
      <c r="H1644" s="2" t="s">
        <v>15444</v>
      </c>
    </row>
    <row r="1645">
      <c r="A1645" s="2">
        <v>1643.0</v>
      </c>
      <c r="B1645" s="5" t="s">
        <v>2459</v>
      </c>
      <c r="C1645" s="2" t="s">
        <v>2460</v>
      </c>
      <c r="D1645" s="5" t="s">
        <v>2459</v>
      </c>
      <c r="E1645" s="2" t="s">
        <v>15445</v>
      </c>
      <c r="F1645" s="2" t="s">
        <v>15446</v>
      </c>
      <c r="G1645" s="2" t="s">
        <v>15456</v>
      </c>
      <c r="H1645" s="2" t="s">
        <v>15444</v>
      </c>
    </row>
    <row r="1646">
      <c r="A1646" s="2">
        <v>1644.0</v>
      </c>
      <c r="B1646" s="5" t="s">
        <v>2462</v>
      </c>
      <c r="C1646" s="2" t="s">
        <v>2463</v>
      </c>
      <c r="D1646" s="5" t="s">
        <v>2462</v>
      </c>
      <c r="E1646" s="2" t="s">
        <v>15445</v>
      </c>
      <c r="F1646" s="2" t="s">
        <v>15446</v>
      </c>
      <c r="G1646" s="2" t="s">
        <v>15456</v>
      </c>
      <c r="H1646" s="2" t="s">
        <v>15444</v>
      </c>
    </row>
    <row r="1647">
      <c r="A1647" s="2">
        <v>1645.0</v>
      </c>
      <c r="B1647" s="5" t="s">
        <v>10932</v>
      </c>
      <c r="C1647" s="2" t="s">
        <v>10933</v>
      </c>
      <c r="D1647" s="5" t="s">
        <v>10932</v>
      </c>
      <c r="E1647" s="2" t="s">
        <v>15441</v>
      </c>
      <c r="F1647" s="2" t="s">
        <v>15442</v>
      </c>
      <c r="G1647" s="2" t="s">
        <v>15456</v>
      </c>
      <c r="H1647" s="2" t="s">
        <v>15444</v>
      </c>
    </row>
    <row r="1648">
      <c r="A1648" s="2">
        <v>1646.0</v>
      </c>
      <c r="B1648" s="5" t="s">
        <v>2465</v>
      </c>
      <c r="C1648" s="2" t="s">
        <v>2466</v>
      </c>
      <c r="D1648" s="5" t="s">
        <v>2465</v>
      </c>
      <c r="E1648" s="2" t="s">
        <v>15445</v>
      </c>
      <c r="F1648" s="2" t="s">
        <v>15446</v>
      </c>
      <c r="G1648" s="2" t="s">
        <v>15456</v>
      </c>
      <c r="H1648" s="2" t="s">
        <v>15444</v>
      </c>
    </row>
    <row r="1649">
      <c r="A1649" s="2">
        <v>1647.0</v>
      </c>
      <c r="B1649" s="5" t="s">
        <v>2468</v>
      </c>
      <c r="C1649" s="2" t="s">
        <v>2469</v>
      </c>
      <c r="D1649" s="5" t="s">
        <v>2468</v>
      </c>
      <c r="E1649" s="2" t="s">
        <v>15445</v>
      </c>
      <c r="F1649" s="2" t="s">
        <v>15446</v>
      </c>
      <c r="G1649" s="2" t="s">
        <v>15456</v>
      </c>
      <c r="H1649" s="2" t="s">
        <v>15444</v>
      </c>
    </row>
    <row r="1650">
      <c r="A1650" s="2">
        <v>1648.0</v>
      </c>
      <c r="B1650" s="5" t="s">
        <v>2471</v>
      </c>
      <c r="C1650" s="2" t="s">
        <v>2472</v>
      </c>
      <c r="D1650" s="5" t="s">
        <v>2471</v>
      </c>
      <c r="E1650" s="2" t="s">
        <v>15445</v>
      </c>
      <c r="F1650" s="2" t="s">
        <v>15442</v>
      </c>
      <c r="G1650" s="2" t="s">
        <v>15443</v>
      </c>
      <c r="H1650" s="2" t="s">
        <v>15444</v>
      </c>
    </row>
    <row r="1651">
      <c r="A1651" s="2">
        <v>1649.0</v>
      </c>
      <c r="B1651" s="5" t="s">
        <v>10934</v>
      </c>
      <c r="C1651" s="2" t="s">
        <v>10935</v>
      </c>
      <c r="D1651" s="5" t="s">
        <v>10934</v>
      </c>
      <c r="E1651" s="2" t="s">
        <v>15441</v>
      </c>
      <c r="F1651" s="2" t="s">
        <v>15442</v>
      </c>
      <c r="G1651" s="2" t="s">
        <v>15443</v>
      </c>
      <c r="H1651" s="2" t="s">
        <v>15444</v>
      </c>
    </row>
    <row r="1652">
      <c r="A1652" s="2">
        <v>1650.0</v>
      </c>
      <c r="B1652" s="5" t="s">
        <v>2474</v>
      </c>
      <c r="C1652" s="2" t="s">
        <v>2475</v>
      </c>
      <c r="D1652" s="5" t="s">
        <v>2474</v>
      </c>
      <c r="E1652" s="2" t="s">
        <v>15445</v>
      </c>
      <c r="F1652" s="2" t="s">
        <v>15446</v>
      </c>
      <c r="G1652" s="2" t="s">
        <v>15443</v>
      </c>
      <c r="H1652" s="2" t="s">
        <v>15444</v>
      </c>
    </row>
    <row r="1653">
      <c r="A1653" s="2">
        <v>1651.0</v>
      </c>
      <c r="B1653" s="5" t="s">
        <v>2477</v>
      </c>
      <c r="C1653" s="2" t="s">
        <v>2478</v>
      </c>
      <c r="D1653" s="5" t="s">
        <v>2477</v>
      </c>
      <c r="E1653" s="2" t="s">
        <v>15445</v>
      </c>
      <c r="F1653" s="2" t="s">
        <v>15446</v>
      </c>
      <c r="G1653" s="2" t="s">
        <v>15443</v>
      </c>
      <c r="H1653" s="2" t="s">
        <v>15444</v>
      </c>
    </row>
    <row r="1654">
      <c r="A1654" s="2">
        <v>1652.0</v>
      </c>
      <c r="B1654" s="5" t="s">
        <v>10936</v>
      </c>
      <c r="C1654" s="2" t="s">
        <v>10937</v>
      </c>
      <c r="D1654" s="5" t="s">
        <v>10936</v>
      </c>
      <c r="E1654" s="2" t="s">
        <v>15441</v>
      </c>
      <c r="F1654" s="2" t="s">
        <v>15446</v>
      </c>
      <c r="G1654" s="2" t="s">
        <v>15456</v>
      </c>
      <c r="H1654" s="2" t="s">
        <v>15444</v>
      </c>
    </row>
    <row r="1655">
      <c r="A1655" s="2">
        <v>1653.0</v>
      </c>
      <c r="B1655" s="5" t="s">
        <v>10938</v>
      </c>
      <c r="C1655" s="2" t="s">
        <v>10939</v>
      </c>
      <c r="D1655" s="5" t="s">
        <v>10938</v>
      </c>
      <c r="E1655" s="2" t="s">
        <v>15441</v>
      </c>
      <c r="F1655" s="2" t="s">
        <v>15446</v>
      </c>
      <c r="G1655" s="2" t="s">
        <v>15456</v>
      </c>
      <c r="H1655" s="2" t="s">
        <v>15444</v>
      </c>
    </row>
    <row r="1656">
      <c r="A1656" s="2">
        <v>1654.0</v>
      </c>
      <c r="B1656" s="5" t="s">
        <v>10940</v>
      </c>
      <c r="C1656" s="2" t="s">
        <v>10941</v>
      </c>
      <c r="D1656" s="5" t="s">
        <v>10940</v>
      </c>
      <c r="E1656" s="2" t="s">
        <v>15441</v>
      </c>
      <c r="F1656" s="2" t="s">
        <v>15442</v>
      </c>
      <c r="G1656" s="2" t="s">
        <v>15443</v>
      </c>
      <c r="H1656" s="2" t="s">
        <v>15444</v>
      </c>
    </row>
    <row r="1657">
      <c r="A1657" s="2">
        <v>1655.0</v>
      </c>
      <c r="B1657" s="5" t="s">
        <v>2480</v>
      </c>
      <c r="C1657" s="2" t="s">
        <v>2481</v>
      </c>
      <c r="D1657" s="5" t="s">
        <v>2480</v>
      </c>
      <c r="E1657" s="2" t="s">
        <v>15445</v>
      </c>
      <c r="F1657" s="2" t="s">
        <v>15446</v>
      </c>
      <c r="G1657" s="2" t="s">
        <v>15456</v>
      </c>
      <c r="H1657" s="2" t="s">
        <v>15444</v>
      </c>
    </row>
    <row r="1658">
      <c r="A1658" s="2">
        <v>1656.0</v>
      </c>
      <c r="B1658" s="5" t="s">
        <v>10942</v>
      </c>
      <c r="C1658" s="2" t="s">
        <v>10943</v>
      </c>
      <c r="D1658" s="5" t="s">
        <v>10942</v>
      </c>
      <c r="E1658" s="2" t="s">
        <v>15441</v>
      </c>
      <c r="F1658" s="2" t="s">
        <v>15446</v>
      </c>
      <c r="G1658" s="2" t="s">
        <v>15456</v>
      </c>
      <c r="H1658" s="2" t="s">
        <v>15444</v>
      </c>
    </row>
    <row r="1659">
      <c r="A1659" s="2">
        <v>1657.0</v>
      </c>
      <c r="B1659" s="5" t="s">
        <v>2483</v>
      </c>
      <c r="C1659" s="2" t="s">
        <v>2484</v>
      </c>
      <c r="D1659" s="5" t="s">
        <v>2483</v>
      </c>
      <c r="E1659" s="2" t="s">
        <v>15445</v>
      </c>
      <c r="F1659" s="2" t="s">
        <v>15442</v>
      </c>
      <c r="G1659" s="2" t="s">
        <v>15443</v>
      </c>
      <c r="H1659" s="2" t="s">
        <v>15444</v>
      </c>
    </row>
    <row r="1660">
      <c r="A1660" s="2">
        <v>1658.0</v>
      </c>
      <c r="B1660" s="5" t="s">
        <v>2486</v>
      </c>
      <c r="C1660" s="2" t="s">
        <v>2487</v>
      </c>
      <c r="D1660" s="5" t="s">
        <v>2486</v>
      </c>
      <c r="E1660" s="2" t="s">
        <v>15445</v>
      </c>
      <c r="F1660" s="2" t="s">
        <v>15442</v>
      </c>
      <c r="G1660" s="2" t="s">
        <v>15443</v>
      </c>
      <c r="H1660" s="2" t="s">
        <v>15444</v>
      </c>
    </row>
    <row r="1661">
      <c r="A1661" s="2">
        <v>1659.0</v>
      </c>
      <c r="B1661" s="5" t="s">
        <v>2489</v>
      </c>
      <c r="C1661" s="2" t="s">
        <v>2490</v>
      </c>
      <c r="D1661" s="5" t="s">
        <v>2489</v>
      </c>
      <c r="E1661" s="2" t="s">
        <v>15445</v>
      </c>
      <c r="F1661" s="2" t="s">
        <v>15442</v>
      </c>
      <c r="G1661" s="2" t="s">
        <v>15456</v>
      </c>
      <c r="H1661" s="2" t="s">
        <v>15457</v>
      </c>
    </row>
    <row r="1662">
      <c r="A1662" s="2">
        <v>1660.0</v>
      </c>
      <c r="B1662" s="5" t="s">
        <v>2492</v>
      </c>
      <c r="C1662" s="2" t="s">
        <v>2493</v>
      </c>
      <c r="D1662" s="5" t="s">
        <v>2492</v>
      </c>
      <c r="E1662" s="2" t="s">
        <v>15445</v>
      </c>
      <c r="F1662" s="2" t="s">
        <v>15442</v>
      </c>
      <c r="G1662" s="2" t="s">
        <v>15443</v>
      </c>
      <c r="H1662" s="2" t="s">
        <v>15444</v>
      </c>
    </row>
    <row r="1663">
      <c r="A1663" s="2">
        <v>1661.0</v>
      </c>
      <c r="B1663" s="5" t="s">
        <v>10944</v>
      </c>
      <c r="C1663" s="2" t="s">
        <v>10945</v>
      </c>
      <c r="D1663" s="5" t="s">
        <v>10944</v>
      </c>
      <c r="E1663" s="2" t="s">
        <v>15441</v>
      </c>
      <c r="F1663" s="2" t="s">
        <v>15442</v>
      </c>
      <c r="G1663" s="2" t="s">
        <v>15443</v>
      </c>
      <c r="H1663" s="2" t="s">
        <v>15444</v>
      </c>
    </row>
    <row r="1664">
      <c r="A1664" s="2">
        <v>1662.0</v>
      </c>
      <c r="B1664" s="5" t="s">
        <v>2495</v>
      </c>
      <c r="C1664" s="2" t="s">
        <v>2496</v>
      </c>
      <c r="D1664" s="5" t="s">
        <v>2495</v>
      </c>
      <c r="E1664" s="2" t="s">
        <v>15445</v>
      </c>
      <c r="F1664" s="2" t="s">
        <v>15442</v>
      </c>
      <c r="G1664" s="2" t="s">
        <v>15443</v>
      </c>
      <c r="H1664" s="2" t="s">
        <v>15444</v>
      </c>
    </row>
    <row r="1665">
      <c r="A1665" s="2">
        <v>1663.0</v>
      </c>
      <c r="B1665" s="5" t="s">
        <v>2498</v>
      </c>
      <c r="C1665" s="2" t="s">
        <v>2499</v>
      </c>
      <c r="D1665" s="5" t="s">
        <v>2498</v>
      </c>
      <c r="E1665" s="2" t="s">
        <v>15445</v>
      </c>
      <c r="F1665" s="2" t="s">
        <v>15446</v>
      </c>
      <c r="G1665" s="2" t="s">
        <v>15456</v>
      </c>
      <c r="H1665" s="2" t="s">
        <v>15444</v>
      </c>
    </row>
    <row r="1666">
      <c r="A1666" s="2">
        <v>1664.0</v>
      </c>
      <c r="B1666" s="5" t="s">
        <v>10946</v>
      </c>
      <c r="C1666" s="2" t="s">
        <v>10947</v>
      </c>
      <c r="D1666" s="5" t="s">
        <v>10946</v>
      </c>
      <c r="E1666" s="2" t="s">
        <v>15441</v>
      </c>
      <c r="F1666" s="2" t="s">
        <v>15446</v>
      </c>
      <c r="G1666" s="2" t="s">
        <v>15456</v>
      </c>
      <c r="H1666" s="2" t="s">
        <v>15444</v>
      </c>
    </row>
    <row r="1667">
      <c r="A1667" s="2">
        <v>1665.0</v>
      </c>
      <c r="B1667" s="5" t="s">
        <v>10948</v>
      </c>
      <c r="C1667" s="2" t="s">
        <v>10949</v>
      </c>
      <c r="D1667" s="5" t="s">
        <v>10948</v>
      </c>
      <c r="E1667" s="2" t="s">
        <v>15441</v>
      </c>
      <c r="F1667" s="2" t="s">
        <v>15442</v>
      </c>
      <c r="G1667" s="2" t="s">
        <v>15443</v>
      </c>
      <c r="H1667" s="2" t="s">
        <v>15444</v>
      </c>
    </row>
    <row r="1668">
      <c r="A1668" s="2">
        <v>1666.0</v>
      </c>
      <c r="B1668" s="5" t="s">
        <v>2501</v>
      </c>
      <c r="C1668" s="2" t="s">
        <v>2502</v>
      </c>
      <c r="D1668" s="5" t="s">
        <v>2501</v>
      </c>
      <c r="E1668" s="2" t="s">
        <v>15445</v>
      </c>
      <c r="F1668" s="2" t="s">
        <v>15446</v>
      </c>
      <c r="G1668" s="2" t="s">
        <v>15456</v>
      </c>
      <c r="H1668" s="2" t="s">
        <v>15444</v>
      </c>
    </row>
    <row r="1669">
      <c r="A1669" s="2">
        <v>1667.0</v>
      </c>
      <c r="B1669" s="5" t="s">
        <v>10950</v>
      </c>
      <c r="C1669" s="2" t="s">
        <v>10951</v>
      </c>
      <c r="D1669" s="5" t="s">
        <v>10950</v>
      </c>
      <c r="E1669" s="2" t="s">
        <v>15441</v>
      </c>
      <c r="F1669" s="2" t="s">
        <v>15442</v>
      </c>
      <c r="G1669" s="2" t="s">
        <v>15443</v>
      </c>
      <c r="H1669" s="2" t="s">
        <v>15444</v>
      </c>
    </row>
    <row r="1670">
      <c r="A1670" s="2">
        <v>1668.0</v>
      </c>
      <c r="B1670" s="5" t="s">
        <v>10952</v>
      </c>
      <c r="C1670" s="2" t="s">
        <v>10953</v>
      </c>
      <c r="D1670" s="5" t="s">
        <v>10952</v>
      </c>
      <c r="E1670" s="2" t="s">
        <v>15441</v>
      </c>
      <c r="F1670" s="2" t="s">
        <v>15442</v>
      </c>
      <c r="G1670" s="2" t="s">
        <v>15443</v>
      </c>
      <c r="H1670" s="2" t="s">
        <v>15444</v>
      </c>
    </row>
    <row r="1671">
      <c r="A1671" s="2">
        <v>1669.0</v>
      </c>
      <c r="B1671" s="5" t="s">
        <v>10954</v>
      </c>
      <c r="C1671" s="2" t="s">
        <v>10955</v>
      </c>
      <c r="D1671" s="5" t="s">
        <v>10954</v>
      </c>
      <c r="E1671" s="2" t="s">
        <v>15441</v>
      </c>
      <c r="F1671" s="2" t="s">
        <v>15442</v>
      </c>
      <c r="G1671" s="2" t="s">
        <v>15443</v>
      </c>
      <c r="H1671" s="2" t="s">
        <v>15444</v>
      </c>
    </row>
    <row r="1672">
      <c r="A1672" s="2">
        <v>1670.0</v>
      </c>
      <c r="B1672" s="5" t="s">
        <v>10956</v>
      </c>
      <c r="C1672" s="2" t="s">
        <v>10957</v>
      </c>
      <c r="D1672" s="5" t="s">
        <v>10956</v>
      </c>
      <c r="E1672" s="2" t="s">
        <v>15441</v>
      </c>
      <c r="F1672" s="2" t="s">
        <v>15442</v>
      </c>
      <c r="G1672" s="2" t="s">
        <v>15443</v>
      </c>
      <c r="H1672" s="2" t="s">
        <v>15444</v>
      </c>
    </row>
    <row r="1673">
      <c r="A1673" s="2">
        <v>1671.0</v>
      </c>
      <c r="B1673" s="5" t="s">
        <v>2504</v>
      </c>
      <c r="C1673" s="2" t="s">
        <v>2505</v>
      </c>
      <c r="D1673" s="5" t="s">
        <v>2504</v>
      </c>
      <c r="E1673" s="2" t="s">
        <v>15445</v>
      </c>
      <c r="F1673" s="2" t="s">
        <v>15442</v>
      </c>
      <c r="G1673" s="2" t="s">
        <v>15443</v>
      </c>
      <c r="H1673" s="2" t="s">
        <v>15444</v>
      </c>
    </row>
    <row r="1674">
      <c r="A1674" s="2">
        <v>1672.0</v>
      </c>
      <c r="B1674" s="5" t="s">
        <v>2507</v>
      </c>
      <c r="C1674" s="2" t="s">
        <v>2508</v>
      </c>
      <c r="D1674" s="5" t="s">
        <v>2507</v>
      </c>
      <c r="E1674" s="2" t="s">
        <v>15445</v>
      </c>
      <c r="F1674" s="2" t="s">
        <v>15446</v>
      </c>
      <c r="G1674" s="2" t="s">
        <v>15443</v>
      </c>
      <c r="H1674" s="2" t="s">
        <v>15444</v>
      </c>
    </row>
    <row r="1675">
      <c r="A1675" s="2">
        <v>1673.0</v>
      </c>
      <c r="B1675" s="5" t="s">
        <v>10958</v>
      </c>
      <c r="C1675" s="2" t="s">
        <v>10959</v>
      </c>
      <c r="D1675" s="5" t="s">
        <v>10958</v>
      </c>
      <c r="E1675" s="2" t="s">
        <v>15441</v>
      </c>
      <c r="F1675" s="2" t="s">
        <v>15446</v>
      </c>
      <c r="G1675" s="2" t="s">
        <v>15443</v>
      </c>
      <c r="H1675" s="2" t="s">
        <v>15444</v>
      </c>
    </row>
    <row r="1676">
      <c r="A1676" s="2">
        <v>1674.0</v>
      </c>
      <c r="B1676" s="5" t="s">
        <v>2510</v>
      </c>
      <c r="C1676" s="2" t="s">
        <v>2511</v>
      </c>
      <c r="D1676" s="5" t="s">
        <v>2510</v>
      </c>
      <c r="E1676" s="2" t="s">
        <v>15445</v>
      </c>
      <c r="F1676" s="2" t="s">
        <v>15446</v>
      </c>
      <c r="G1676" s="2" t="s">
        <v>15456</v>
      </c>
      <c r="H1676" s="2" t="s">
        <v>15444</v>
      </c>
    </row>
    <row r="1677">
      <c r="A1677" s="2">
        <v>1675.0</v>
      </c>
      <c r="B1677" s="5" t="s">
        <v>2513</v>
      </c>
      <c r="C1677" s="2" t="s">
        <v>2514</v>
      </c>
      <c r="D1677" s="5" t="s">
        <v>2513</v>
      </c>
      <c r="E1677" s="2" t="s">
        <v>15445</v>
      </c>
      <c r="F1677" s="2" t="s">
        <v>15446</v>
      </c>
      <c r="G1677" s="2" t="s">
        <v>15443</v>
      </c>
      <c r="H1677" s="2" t="s">
        <v>15444</v>
      </c>
    </row>
    <row r="1678">
      <c r="A1678" s="2">
        <v>1676.0</v>
      </c>
      <c r="B1678" s="5" t="s">
        <v>2516</v>
      </c>
      <c r="C1678" s="2" t="s">
        <v>2517</v>
      </c>
      <c r="D1678" s="5" t="s">
        <v>2516</v>
      </c>
      <c r="E1678" s="2" t="s">
        <v>15445</v>
      </c>
      <c r="F1678" s="2" t="s">
        <v>15442</v>
      </c>
      <c r="G1678" s="2" t="s">
        <v>15443</v>
      </c>
      <c r="H1678" s="2" t="s">
        <v>15444</v>
      </c>
    </row>
    <row r="1679">
      <c r="A1679" s="2">
        <v>1677.0</v>
      </c>
      <c r="B1679" s="5" t="s">
        <v>2519</v>
      </c>
      <c r="C1679" s="2" t="s">
        <v>2520</v>
      </c>
      <c r="D1679" s="5" t="s">
        <v>2519</v>
      </c>
      <c r="E1679" s="2" t="s">
        <v>15445</v>
      </c>
      <c r="F1679" s="2" t="s">
        <v>15446</v>
      </c>
      <c r="G1679" s="2" t="s">
        <v>15443</v>
      </c>
      <c r="H1679" s="2" t="s">
        <v>15444</v>
      </c>
    </row>
    <row r="1680">
      <c r="A1680" s="2">
        <v>1678.0</v>
      </c>
      <c r="B1680" s="5" t="s">
        <v>10960</v>
      </c>
      <c r="C1680" s="2" t="s">
        <v>10961</v>
      </c>
      <c r="D1680" s="5" t="s">
        <v>10960</v>
      </c>
      <c r="E1680" s="2" t="s">
        <v>15441</v>
      </c>
      <c r="F1680" s="2" t="s">
        <v>15446</v>
      </c>
      <c r="G1680" s="2" t="s">
        <v>15456</v>
      </c>
      <c r="H1680" s="2" t="s">
        <v>15444</v>
      </c>
    </row>
    <row r="1681">
      <c r="A1681" s="2">
        <v>1679.0</v>
      </c>
      <c r="B1681" s="5" t="s">
        <v>2522</v>
      </c>
      <c r="C1681" s="2" t="s">
        <v>2523</v>
      </c>
      <c r="D1681" s="5" t="s">
        <v>2522</v>
      </c>
      <c r="E1681" s="2" t="s">
        <v>15445</v>
      </c>
      <c r="F1681" s="2" t="s">
        <v>15442</v>
      </c>
      <c r="G1681" s="2" t="s">
        <v>15443</v>
      </c>
      <c r="H1681" s="2" t="s">
        <v>15444</v>
      </c>
    </row>
    <row r="1682">
      <c r="A1682" s="2">
        <v>1680.0</v>
      </c>
      <c r="B1682" s="5" t="s">
        <v>2525</v>
      </c>
      <c r="C1682" s="2" t="s">
        <v>2526</v>
      </c>
      <c r="D1682" s="5" t="s">
        <v>2525</v>
      </c>
      <c r="E1682" s="2" t="s">
        <v>15445</v>
      </c>
      <c r="F1682" s="2" t="s">
        <v>15446</v>
      </c>
      <c r="G1682" s="2" t="s">
        <v>15456</v>
      </c>
      <c r="H1682" s="2" t="s">
        <v>15444</v>
      </c>
    </row>
    <row r="1683">
      <c r="A1683" s="2">
        <v>1681.0</v>
      </c>
      <c r="B1683" s="5" t="s">
        <v>2528</v>
      </c>
      <c r="C1683" s="2" t="s">
        <v>2529</v>
      </c>
      <c r="D1683" s="5" t="s">
        <v>2528</v>
      </c>
      <c r="E1683" s="2" t="s">
        <v>15445</v>
      </c>
      <c r="F1683" s="2" t="s">
        <v>15446</v>
      </c>
      <c r="G1683" s="2" t="s">
        <v>15456</v>
      </c>
      <c r="H1683" s="2" t="s">
        <v>15444</v>
      </c>
    </row>
    <row r="1684">
      <c r="A1684" s="2">
        <v>1682.0</v>
      </c>
      <c r="B1684" s="5" t="s">
        <v>2531</v>
      </c>
      <c r="C1684" s="2" t="s">
        <v>2532</v>
      </c>
      <c r="D1684" s="5" t="s">
        <v>2531</v>
      </c>
      <c r="E1684" s="2" t="s">
        <v>15445</v>
      </c>
      <c r="F1684" s="2" t="s">
        <v>15446</v>
      </c>
      <c r="G1684" s="2" t="s">
        <v>15443</v>
      </c>
      <c r="H1684" s="2" t="s">
        <v>15444</v>
      </c>
    </row>
    <row r="1685">
      <c r="A1685" s="2">
        <v>1683.0</v>
      </c>
      <c r="B1685" s="5" t="s">
        <v>10962</v>
      </c>
      <c r="C1685" s="2" t="s">
        <v>10963</v>
      </c>
      <c r="D1685" s="5" t="s">
        <v>10962</v>
      </c>
      <c r="E1685" s="2" t="s">
        <v>15441</v>
      </c>
      <c r="F1685" s="2" t="s">
        <v>15446</v>
      </c>
      <c r="G1685" s="2" t="s">
        <v>15456</v>
      </c>
      <c r="H1685" s="2" t="s">
        <v>15457</v>
      </c>
    </row>
    <row r="1686">
      <c r="A1686" s="2">
        <v>1684.0</v>
      </c>
      <c r="B1686" s="5" t="s">
        <v>2534</v>
      </c>
      <c r="C1686" s="2" t="s">
        <v>2535</v>
      </c>
      <c r="D1686" s="5" t="s">
        <v>2534</v>
      </c>
      <c r="E1686" s="2" t="s">
        <v>15445</v>
      </c>
      <c r="F1686" s="2" t="s">
        <v>15446</v>
      </c>
      <c r="G1686" s="2" t="s">
        <v>15456</v>
      </c>
      <c r="H1686" s="2" t="s">
        <v>15444</v>
      </c>
    </row>
    <row r="1687">
      <c r="A1687" s="2">
        <v>1685.0</v>
      </c>
      <c r="B1687" s="5" t="s">
        <v>10964</v>
      </c>
      <c r="C1687" s="2" t="s">
        <v>10965</v>
      </c>
      <c r="D1687" s="5" t="s">
        <v>10964</v>
      </c>
      <c r="E1687" s="2" t="s">
        <v>15441</v>
      </c>
      <c r="F1687" s="2" t="s">
        <v>15442</v>
      </c>
      <c r="G1687" s="2" t="s">
        <v>15443</v>
      </c>
      <c r="H1687" s="2" t="s">
        <v>15444</v>
      </c>
    </row>
    <row r="1688">
      <c r="A1688" s="2">
        <v>1686.0</v>
      </c>
      <c r="B1688" s="5" t="s">
        <v>10966</v>
      </c>
      <c r="C1688" s="2" t="s">
        <v>10967</v>
      </c>
      <c r="D1688" s="5" t="s">
        <v>10966</v>
      </c>
      <c r="E1688" s="2" t="s">
        <v>15441</v>
      </c>
      <c r="F1688" s="2" t="s">
        <v>15446</v>
      </c>
      <c r="G1688" s="2" t="s">
        <v>15443</v>
      </c>
      <c r="H1688" s="2" t="s">
        <v>15457</v>
      </c>
    </row>
    <row r="1689">
      <c r="A1689" s="2">
        <v>1687.0</v>
      </c>
      <c r="B1689" s="5" t="s">
        <v>10968</v>
      </c>
      <c r="C1689" s="2" t="s">
        <v>10969</v>
      </c>
      <c r="D1689" s="5" t="s">
        <v>10968</v>
      </c>
      <c r="E1689" s="2" t="s">
        <v>15441</v>
      </c>
      <c r="F1689" s="2" t="s">
        <v>15446</v>
      </c>
      <c r="G1689" s="2" t="s">
        <v>15456</v>
      </c>
      <c r="H1689" s="2" t="s">
        <v>15444</v>
      </c>
    </row>
    <row r="1690">
      <c r="A1690" s="2">
        <v>1688.0</v>
      </c>
      <c r="B1690" s="5" t="s">
        <v>2537</v>
      </c>
      <c r="C1690" s="2" t="s">
        <v>2538</v>
      </c>
      <c r="D1690" s="5" t="s">
        <v>2537</v>
      </c>
      <c r="E1690" s="2" t="s">
        <v>15445</v>
      </c>
      <c r="F1690" s="2" t="s">
        <v>15442</v>
      </c>
      <c r="G1690" s="2" t="s">
        <v>15456</v>
      </c>
      <c r="H1690" s="2" t="s">
        <v>15444</v>
      </c>
    </row>
    <row r="1691">
      <c r="A1691" s="2">
        <v>1689.0</v>
      </c>
      <c r="B1691" s="5" t="s">
        <v>2540</v>
      </c>
      <c r="C1691" s="2" t="s">
        <v>2541</v>
      </c>
      <c r="D1691" s="5" t="s">
        <v>2540</v>
      </c>
      <c r="E1691" s="2" t="s">
        <v>15445</v>
      </c>
      <c r="F1691" s="2" t="s">
        <v>15442</v>
      </c>
      <c r="G1691" s="2" t="s">
        <v>15443</v>
      </c>
      <c r="H1691" s="2" t="s">
        <v>15444</v>
      </c>
    </row>
    <row r="1692">
      <c r="A1692" s="2">
        <v>1690.0</v>
      </c>
      <c r="B1692" s="5" t="s">
        <v>2543</v>
      </c>
      <c r="C1692" s="2" t="s">
        <v>2544</v>
      </c>
      <c r="D1692" s="5" t="s">
        <v>2543</v>
      </c>
      <c r="E1692" s="2" t="s">
        <v>15445</v>
      </c>
      <c r="F1692" s="2" t="s">
        <v>15446</v>
      </c>
      <c r="G1692" s="2" t="s">
        <v>15443</v>
      </c>
      <c r="H1692" s="2" t="s">
        <v>15444</v>
      </c>
    </row>
    <row r="1693">
      <c r="A1693" s="2">
        <v>1691.0</v>
      </c>
      <c r="B1693" s="5" t="s">
        <v>10970</v>
      </c>
      <c r="C1693" s="2" t="s">
        <v>10971</v>
      </c>
      <c r="D1693" s="5" t="s">
        <v>10970</v>
      </c>
      <c r="E1693" s="2" t="s">
        <v>15441</v>
      </c>
      <c r="F1693" s="2" t="s">
        <v>15446</v>
      </c>
      <c r="G1693" s="2" t="s">
        <v>15443</v>
      </c>
      <c r="H1693" s="2" t="s">
        <v>15444</v>
      </c>
    </row>
    <row r="1694">
      <c r="A1694" s="2">
        <v>1692.0</v>
      </c>
      <c r="B1694" s="5" t="s">
        <v>10972</v>
      </c>
      <c r="C1694" s="2" t="s">
        <v>10973</v>
      </c>
      <c r="D1694" s="5" t="s">
        <v>10972</v>
      </c>
      <c r="E1694" s="2" t="s">
        <v>15441</v>
      </c>
      <c r="F1694" s="2" t="s">
        <v>15446</v>
      </c>
      <c r="G1694" s="2" t="s">
        <v>15456</v>
      </c>
      <c r="H1694" s="2" t="s">
        <v>15457</v>
      </c>
    </row>
    <row r="1695">
      <c r="A1695" s="2">
        <v>1693.0</v>
      </c>
      <c r="B1695" s="5" t="s">
        <v>2546</v>
      </c>
      <c r="C1695" s="2" t="s">
        <v>2547</v>
      </c>
      <c r="D1695" s="5" t="s">
        <v>2546</v>
      </c>
      <c r="E1695" s="2" t="s">
        <v>15445</v>
      </c>
      <c r="F1695" s="2" t="s">
        <v>15446</v>
      </c>
      <c r="G1695" s="2" t="s">
        <v>15443</v>
      </c>
      <c r="H1695" s="2" t="s">
        <v>15444</v>
      </c>
    </row>
    <row r="1696">
      <c r="A1696" s="2">
        <v>1694.0</v>
      </c>
      <c r="B1696" s="5" t="s">
        <v>10974</v>
      </c>
      <c r="C1696" s="2" t="s">
        <v>10975</v>
      </c>
      <c r="D1696" s="5" t="s">
        <v>10974</v>
      </c>
      <c r="E1696" s="2" t="s">
        <v>15441</v>
      </c>
      <c r="F1696" s="2" t="s">
        <v>15442</v>
      </c>
      <c r="G1696" s="2" t="s">
        <v>15443</v>
      </c>
      <c r="H1696" s="2" t="s">
        <v>15444</v>
      </c>
    </row>
    <row r="1697">
      <c r="A1697" s="2">
        <v>1695.0</v>
      </c>
      <c r="B1697" s="5" t="s">
        <v>10976</v>
      </c>
      <c r="C1697" s="2" t="s">
        <v>10977</v>
      </c>
      <c r="D1697" s="5" t="s">
        <v>10976</v>
      </c>
      <c r="E1697" s="2" t="s">
        <v>15441</v>
      </c>
      <c r="F1697" s="2" t="s">
        <v>15442</v>
      </c>
      <c r="G1697" s="2" t="s">
        <v>15456</v>
      </c>
      <c r="H1697" s="2" t="s">
        <v>15444</v>
      </c>
    </row>
    <row r="1698">
      <c r="A1698" s="2">
        <v>1696.0</v>
      </c>
      <c r="B1698" s="5" t="s">
        <v>2549</v>
      </c>
      <c r="C1698" s="2" t="s">
        <v>2550</v>
      </c>
      <c r="D1698" s="5" t="s">
        <v>2549</v>
      </c>
      <c r="E1698" s="2" t="s">
        <v>15445</v>
      </c>
      <c r="F1698" s="2" t="s">
        <v>15446</v>
      </c>
      <c r="G1698" s="2" t="s">
        <v>15443</v>
      </c>
      <c r="H1698" s="2" t="s">
        <v>15444</v>
      </c>
    </row>
    <row r="1699">
      <c r="A1699" s="2">
        <v>1697.0</v>
      </c>
      <c r="B1699" s="5" t="s">
        <v>10978</v>
      </c>
      <c r="C1699" s="2" t="s">
        <v>10979</v>
      </c>
      <c r="D1699" s="5" t="s">
        <v>10978</v>
      </c>
      <c r="E1699" s="2" t="s">
        <v>15441</v>
      </c>
      <c r="F1699" s="2" t="s">
        <v>15446</v>
      </c>
      <c r="G1699" s="2" t="s">
        <v>15456</v>
      </c>
      <c r="H1699" s="2" t="s">
        <v>15444</v>
      </c>
    </row>
    <row r="1700">
      <c r="A1700" s="2">
        <v>1698.0</v>
      </c>
      <c r="B1700" s="5" t="s">
        <v>10980</v>
      </c>
      <c r="C1700" s="2" t="s">
        <v>10981</v>
      </c>
      <c r="D1700" s="5" t="s">
        <v>10980</v>
      </c>
      <c r="E1700" s="2" t="s">
        <v>15441</v>
      </c>
      <c r="F1700" s="2" t="s">
        <v>15446</v>
      </c>
      <c r="G1700" s="2" t="s">
        <v>15456</v>
      </c>
      <c r="H1700" s="2" t="s">
        <v>15457</v>
      </c>
    </row>
    <row r="1701">
      <c r="A1701" s="2">
        <v>1699.0</v>
      </c>
      <c r="B1701" s="5" t="s">
        <v>10982</v>
      </c>
      <c r="C1701" s="2" t="s">
        <v>10983</v>
      </c>
      <c r="D1701" s="5" t="s">
        <v>10982</v>
      </c>
      <c r="E1701" s="2" t="s">
        <v>15441</v>
      </c>
      <c r="F1701" s="2" t="s">
        <v>15442</v>
      </c>
      <c r="G1701" s="2" t="s">
        <v>15443</v>
      </c>
      <c r="H1701" s="2" t="s">
        <v>15444</v>
      </c>
    </row>
    <row r="1702">
      <c r="A1702" s="2">
        <v>1700.0</v>
      </c>
      <c r="B1702" s="5" t="s">
        <v>2552</v>
      </c>
      <c r="C1702" s="2" t="s">
        <v>2553</v>
      </c>
      <c r="D1702" s="5" t="s">
        <v>2552</v>
      </c>
      <c r="E1702" s="2" t="s">
        <v>15445</v>
      </c>
      <c r="F1702" s="2" t="s">
        <v>15442</v>
      </c>
      <c r="G1702" s="2" t="s">
        <v>15443</v>
      </c>
      <c r="H1702" s="2" t="s">
        <v>15444</v>
      </c>
    </row>
    <row r="1703">
      <c r="A1703" s="2">
        <v>1701.0</v>
      </c>
      <c r="B1703" s="5" t="s">
        <v>10984</v>
      </c>
      <c r="C1703" s="2" t="s">
        <v>10985</v>
      </c>
      <c r="D1703" s="5" t="s">
        <v>10984</v>
      </c>
      <c r="E1703" s="2" t="s">
        <v>15441</v>
      </c>
      <c r="F1703" s="2" t="s">
        <v>15446</v>
      </c>
      <c r="G1703" s="2" t="s">
        <v>15456</v>
      </c>
      <c r="H1703" s="2" t="s">
        <v>15444</v>
      </c>
    </row>
    <row r="1704">
      <c r="A1704" s="2">
        <v>1702.0</v>
      </c>
      <c r="B1704" s="5" t="s">
        <v>15504</v>
      </c>
      <c r="C1704" s="2" t="s">
        <v>15505</v>
      </c>
      <c r="D1704" s="5" t="s">
        <v>15504</v>
      </c>
      <c r="E1704" s="2" t="s">
        <v>15445</v>
      </c>
      <c r="F1704" s="2" t="s">
        <v>15442</v>
      </c>
      <c r="G1704" s="2" t="s">
        <v>15443</v>
      </c>
      <c r="H1704" s="2" t="s">
        <v>15461</v>
      </c>
    </row>
    <row r="1705">
      <c r="A1705" s="2">
        <v>1703.0</v>
      </c>
      <c r="B1705" s="5" t="s">
        <v>2555</v>
      </c>
      <c r="C1705" s="2" t="s">
        <v>2556</v>
      </c>
      <c r="D1705" s="5" t="s">
        <v>2555</v>
      </c>
      <c r="E1705" s="2" t="s">
        <v>15445</v>
      </c>
      <c r="F1705" s="2" t="s">
        <v>15442</v>
      </c>
      <c r="G1705" s="2" t="s">
        <v>15456</v>
      </c>
      <c r="H1705" s="2" t="s">
        <v>15444</v>
      </c>
    </row>
    <row r="1706">
      <c r="A1706" s="2">
        <v>1704.0</v>
      </c>
      <c r="B1706" s="5" t="s">
        <v>10986</v>
      </c>
      <c r="C1706" s="2" t="s">
        <v>10987</v>
      </c>
      <c r="D1706" s="5" t="s">
        <v>10986</v>
      </c>
      <c r="E1706" s="2" t="s">
        <v>15441</v>
      </c>
      <c r="F1706" s="2" t="s">
        <v>15446</v>
      </c>
      <c r="G1706" s="2" t="s">
        <v>15456</v>
      </c>
      <c r="H1706" s="2" t="s">
        <v>15444</v>
      </c>
    </row>
    <row r="1707">
      <c r="A1707" s="2">
        <v>1705.0</v>
      </c>
      <c r="B1707" s="5" t="s">
        <v>10988</v>
      </c>
      <c r="C1707" s="2" t="s">
        <v>10989</v>
      </c>
      <c r="D1707" s="5" t="s">
        <v>10988</v>
      </c>
      <c r="E1707" s="2" t="s">
        <v>15441</v>
      </c>
      <c r="F1707" s="2" t="s">
        <v>15446</v>
      </c>
      <c r="G1707" s="2" t="s">
        <v>15456</v>
      </c>
      <c r="H1707" s="2" t="s">
        <v>15444</v>
      </c>
    </row>
    <row r="1708">
      <c r="A1708" s="2">
        <v>1706.0</v>
      </c>
      <c r="B1708" s="5" t="s">
        <v>2558</v>
      </c>
      <c r="C1708" s="2" t="s">
        <v>2559</v>
      </c>
      <c r="D1708" s="5" t="s">
        <v>2558</v>
      </c>
      <c r="E1708" s="2" t="s">
        <v>15445</v>
      </c>
      <c r="F1708" s="2" t="s">
        <v>15442</v>
      </c>
      <c r="G1708" s="2" t="s">
        <v>15443</v>
      </c>
      <c r="H1708" s="2" t="s">
        <v>15444</v>
      </c>
    </row>
    <row r="1709">
      <c r="A1709" s="2">
        <v>1707.0</v>
      </c>
      <c r="B1709" s="5" t="s">
        <v>10990</v>
      </c>
      <c r="C1709" s="2" t="s">
        <v>10991</v>
      </c>
      <c r="D1709" s="5" t="s">
        <v>10990</v>
      </c>
      <c r="E1709" s="2" t="s">
        <v>15441</v>
      </c>
      <c r="F1709" s="2" t="s">
        <v>15446</v>
      </c>
      <c r="G1709" s="2" t="s">
        <v>15456</v>
      </c>
      <c r="H1709" s="2" t="s">
        <v>15444</v>
      </c>
    </row>
    <row r="1710">
      <c r="A1710" s="2">
        <v>1708.0</v>
      </c>
      <c r="B1710" s="5" t="s">
        <v>2561</v>
      </c>
      <c r="C1710" s="2" t="s">
        <v>2562</v>
      </c>
      <c r="D1710" s="5" t="s">
        <v>2561</v>
      </c>
      <c r="E1710" s="2" t="s">
        <v>15445</v>
      </c>
      <c r="F1710" s="2" t="s">
        <v>15446</v>
      </c>
      <c r="G1710" s="2" t="s">
        <v>15456</v>
      </c>
      <c r="H1710" s="2" t="s">
        <v>15444</v>
      </c>
    </row>
    <row r="1711">
      <c r="A1711" s="2">
        <v>1709.0</v>
      </c>
      <c r="B1711" s="5" t="s">
        <v>10992</v>
      </c>
      <c r="C1711" s="2" t="s">
        <v>10993</v>
      </c>
      <c r="D1711" s="5" t="s">
        <v>10992</v>
      </c>
      <c r="E1711" s="2" t="s">
        <v>15441</v>
      </c>
      <c r="F1711" s="2" t="s">
        <v>15442</v>
      </c>
      <c r="G1711" s="2" t="s">
        <v>15443</v>
      </c>
      <c r="H1711" s="2" t="s">
        <v>15444</v>
      </c>
    </row>
    <row r="1712">
      <c r="A1712" s="2">
        <v>1710.0</v>
      </c>
      <c r="B1712" s="5" t="s">
        <v>2564</v>
      </c>
      <c r="C1712" s="2" t="s">
        <v>2565</v>
      </c>
      <c r="D1712" s="5" t="s">
        <v>2564</v>
      </c>
      <c r="E1712" s="2" t="s">
        <v>15445</v>
      </c>
      <c r="F1712" s="2" t="s">
        <v>15442</v>
      </c>
      <c r="G1712" s="2" t="s">
        <v>15443</v>
      </c>
      <c r="H1712" s="2" t="s">
        <v>15444</v>
      </c>
    </row>
    <row r="1713">
      <c r="A1713" s="2">
        <v>1711.0</v>
      </c>
      <c r="B1713" s="5" t="s">
        <v>2567</v>
      </c>
      <c r="C1713" s="2" t="s">
        <v>2568</v>
      </c>
      <c r="D1713" s="5" t="s">
        <v>2567</v>
      </c>
      <c r="E1713" s="2" t="s">
        <v>15445</v>
      </c>
      <c r="F1713" s="2" t="s">
        <v>15442</v>
      </c>
      <c r="G1713" s="2" t="s">
        <v>15456</v>
      </c>
      <c r="H1713" s="2" t="s">
        <v>15444</v>
      </c>
    </row>
    <row r="1714">
      <c r="A1714" s="2">
        <v>1712.0</v>
      </c>
      <c r="B1714" s="5" t="s">
        <v>2570</v>
      </c>
      <c r="C1714" s="2" t="s">
        <v>2571</v>
      </c>
      <c r="D1714" s="5" t="s">
        <v>2570</v>
      </c>
      <c r="E1714" s="2" t="s">
        <v>15445</v>
      </c>
      <c r="F1714" s="2" t="s">
        <v>15446</v>
      </c>
      <c r="G1714" s="2" t="s">
        <v>15456</v>
      </c>
      <c r="H1714" s="2" t="s">
        <v>15444</v>
      </c>
    </row>
    <row r="1715">
      <c r="A1715" s="2">
        <v>1713.0</v>
      </c>
      <c r="B1715" s="5" t="s">
        <v>10994</v>
      </c>
      <c r="C1715" s="2" t="s">
        <v>10995</v>
      </c>
      <c r="D1715" s="5" t="s">
        <v>10994</v>
      </c>
      <c r="E1715" s="2" t="s">
        <v>15441</v>
      </c>
      <c r="F1715" s="2" t="s">
        <v>15446</v>
      </c>
      <c r="G1715" s="2" t="s">
        <v>15456</v>
      </c>
      <c r="H1715" s="2" t="s">
        <v>15457</v>
      </c>
    </row>
    <row r="1716">
      <c r="A1716" s="2">
        <v>1714.0</v>
      </c>
      <c r="B1716" s="5" t="s">
        <v>2573</v>
      </c>
      <c r="C1716" s="2" t="s">
        <v>2574</v>
      </c>
      <c r="D1716" s="5" t="s">
        <v>2573</v>
      </c>
      <c r="E1716" s="2" t="s">
        <v>15445</v>
      </c>
      <c r="F1716" s="2" t="s">
        <v>15446</v>
      </c>
      <c r="G1716" s="2" t="s">
        <v>15456</v>
      </c>
      <c r="H1716" s="2" t="s">
        <v>15444</v>
      </c>
    </row>
    <row r="1717">
      <c r="A1717" s="2">
        <v>1715.0</v>
      </c>
      <c r="B1717" s="5" t="s">
        <v>10996</v>
      </c>
      <c r="C1717" s="2" t="s">
        <v>10997</v>
      </c>
      <c r="D1717" s="5" t="s">
        <v>10996</v>
      </c>
      <c r="E1717" s="2" t="s">
        <v>15441</v>
      </c>
      <c r="F1717" s="2" t="s">
        <v>15446</v>
      </c>
      <c r="G1717" s="2" t="s">
        <v>15456</v>
      </c>
      <c r="H1717" s="2" t="s">
        <v>15444</v>
      </c>
    </row>
    <row r="1718">
      <c r="A1718" s="2">
        <v>1716.0</v>
      </c>
      <c r="B1718" s="5" t="s">
        <v>10998</v>
      </c>
      <c r="C1718" s="2" t="s">
        <v>10999</v>
      </c>
      <c r="D1718" s="5" t="s">
        <v>10998</v>
      </c>
      <c r="E1718" s="2" t="s">
        <v>15441</v>
      </c>
      <c r="F1718" s="2" t="s">
        <v>15442</v>
      </c>
      <c r="G1718" s="2" t="s">
        <v>15443</v>
      </c>
      <c r="H1718" s="2" t="s">
        <v>15444</v>
      </c>
    </row>
    <row r="1719">
      <c r="A1719" s="2">
        <v>1717.0</v>
      </c>
      <c r="B1719" s="5" t="s">
        <v>2576</v>
      </c>
      <c r="C1719" s="2" t="s">
        <v>2577</v>
      </c>
      <c r="D1719" s="5" t="s">
        <v>2576</v>
      </c>
      <c r="E1719" s="2" t="s">
        <v>15445</v>
      </c>
      <c r="F1719" s="2" t="s">
        <v>15442</v>
      </c>
      <c r="G1719" s="2" t="s">
        <v>15456</v>
      </c>
      <c r="H1719" s="2" t="s">
        <v>15444</v>
      </c>
    </row>
    <row r="1720">
      <c r="A1720" s="2">
        <v>1718.0</v>
      </c>
      <c r="B1720" s="5" t="s">
        <v>11000</v>
      </c>
      <c r="C1720" s="2" t="s">
        <v>11001</v>
      </c>
      <c r="D1720" s="5" t="s">
        <v>11000</v>
      </c>
      <c r="E1720" s="2" t="s">
        <v>15441</v>
      </c>
      <c r="F1720" s="2" t="s">
        <v>15442</v>
      </c>
      <c r="G1720" s="2" t="s">
        <v>15456</v>
      </c>
      <c r="H1720" s="2" t="s">
        <v>15444</v>
      </c>
    </row>
    <row r="1721">
      <c r="A1721" s="2">
        <v>1719.0</v>
      </c>
      <c r="B1721" s="5" t="s">
        <v>11002</v>
      </c>
      <c r="C1721" s="2" t="s">
        <v>11003</v>
      </c>
      <c r="D1721" s="5" t="s">
        <v>11002</v>
      </c>
      <c r="E1721" s="2" t="s">
        <v>15441</v>
      </c>
      <c r="F1721" s="2" t="s">
        <v>15446</v>
      </c>
      <c r="G1721" s="2" t="s">
        <v>15443</v>
      </c>
      <c r="H1721" s="2" t="s">
        <v>15444</v>
      </c>
    </row>
    <row r="1722">
      <c r="A1722" s="2">
        <v>1720.0</v>
      </c>
      <c r="B1722" s="5" t="s">
        <v>2579</v>
      </c>
      <c r="C1722" s="2" t="s">
        <v>2580</v>
      </c>
      <c r="D1722" s="5" t="s">
        <v>2579</v>
      </c>
      <c r="E1722" s="2" t="s">
        <v>15445</v>
      </c>
      <c r="F1722" s="2" t="s">
        <v>15446</v>
      </c>
      <c r="G1722" s="2" t="s">
        <v>15456</v>
      </c>
      <c r="H1722" s="2" t="s">
        <v>15444</v>
      </c>
    </row>
    <row r="1723">
      <c r="A1723" s="2">
        <v>1721.0</v>
      </c>
      <c r="B1723" s="5" t="s">
        <v>11004</v>
      </c>
      <c r="C1723" s="2" t="s">
        <v>11005</v>
      </c>
      <c r="D1723" s="5" t="s">
        <v>11004</v>
      </c>
      <c r="E1723" s="2" t="s">
        <v>15441</v>
      </c>
      <c r="F1723" s="2" t="s">
        <v>15446</v>
      </c>
      <c r="G1723" s="2" t="s">
        <v>15456</v>
      </c>
      <c r="H1723" s="2" t="s">
        <v>15444</v>
      </c>
    </row>
    <row r="1724">
      <c r="A1724" s="2">
        <v>1722.0</v>
      </c>
      <c r="B1724" s="5" t="s">
        <v>2582</v>
      </c>
      <c r="C1724" s="2" t="s">
        <v>2583</v>
      </c>
      <c r="D1724" s="5" t="s">
        <v>2582</v>
      </c>
      <c r="E1724" s="2" t="s">
        <v>15445</v>
      </c>
      <c r="F1724" s="2" t="s">
        <v>15446</v>
      </c>
      <c r="G1724" s="2" t="s">
        <v>15443</v>
      </c>
      <c r="H1724" s="2" t="s">
        <v>15457</v>
      </c>
    </row>
    <row r="1725">
      <c r="A1725" s="2">
        <v>1723.0</v>
      </c>
      <c r="B1725" s="5" t="s">
        <v>2585</v>
      </c>
      <c r="C1725" s="2" t="s">
        <v>2586</v>
      </c>
      <c r="D1725" s="5" t="s">
        <v>2585</v>
      </c>
      <c r="E1725" s="2" t="s">
        <v>15445</v>
      </c>
      <c r="F1725" s="2" t="s">
        <v>15446</v>
      </c>
      <c r="G1725" s="2" t="s">
        <v>15443</v>
      </c>
      <c r="H1725" s="2" t="s">
        <v>15444</v>
      </c>
    </row>
    <row r="1726">
      <c r="A1726" s="2">
        <v>1724.0</v>
      </c>
      <c r="B1726" s="5" t="s">
        <v>11006</v>
      </c>
      <c r="C1726" s="2" t="s">
        <v>11007</v>
      </c>
      <c r="D1726" s="5" t="s">
        <v>11006</v>
      </c>
      <c r="E1726" s="2" t="s">
        <v>15441</v>
      </c>
      <c r="F1726" s="2" t="s">
        <v>15442</v>
      </c>
      <c r="G1726" s="2" t="s">
        <v>15443</v>
      </c>
      <c r="H1726" s="2" t="s">
        <v>15444</v>
      </c>
    </row>
    <row r="1727">
      <c r="A1727" s="2">
        <v>1725.0</v>
      </c>
      <c r="B1727" s="5" t="s">
        <v>11008</v>
      </c>
      <c r="C1727" s="2" t="s">
        <v>11009</v>
      </c>
      <c r="D1727" s="5" t="s">
        <v>11008</v>
      </c>
      <c r="E1727" s="2" t="s">
        <v>15441</v>
      </c>
      <c r="F1727" s="2" t="s">
        <v>15446</v>
      </c>
      <c r="G1727" s="2" t="s">
        <v>15443</v>
      </c>
      <c r="H1727" s="2" t="s">
        <v>15444</v>
      </c>
    </row>
    <row r="1728">
      <c r="A1728" s="2">
        <v>1726.0</v>
      </c>
      <c r="B1728" s="5" t="s">
        <v>2588</v>
      </c>
      <c r="C1728" s="2" t="s">
        <v>2589</v>
      </c>
      <c r="D1728" s="5" t="s">
        <v>2588</v>
      </c>
      <c r="E1728" s="2" t="s">
        <v>15445</v>
      </c>
      <c r="F1728" s="2" t="s">
        <v>15442</v>
      </c>
      <c r="G1728" s="2" t="s">
        <v>15456</v>
      </c>
      <c r="H1728" s="2" t="s">
        <v>15444</v>
      </c>
    </row>
    <row r="1729">
      <c r="A1729" s="2">
        <v>1727.0</v>
      </c>
      <c r="B1729" s="5" t="s">
        <v>2591</v>
      </c>
      <c r="C1729" s="2" t="s">
        <v>2592</v>
      </c>
      <c r="D1729" s="5" t="s">
        <v>2591</v>
      </c>
      <c r="E1729" s="2" t="s">
        <v>15445</v>
      </c>
      <c r="F1729" s="2" t="s">
        <v>15442</v>
      </c>
      <c r="G1729" s="2" t="s">
        <v>15443</v>
      </c>
      <c r="H1729" s="2" t="s">
        <v>15444</v>
      </c>
    </row>
    <row r="1730">
      <c r="A1730" s="2">
        <v>1728.0</v>
      </c>
      <c r="B1730" s="5" t="s">
        <v>2594</v>
      </c>
      <c r="C1730" s="2" t="s">
        <v>2595</v>
      </c>
      <c r="D1730" s="5" t="s">
        <v>2594</v>
      </c>
      <c r="E1730" s="2" t="s">
        <v>15445</v>
      </c>
      <c r="F1730" s="2" t="s">
        <v>15446</v>
      </c>
      <c r="G1730" s="2" t="s">
        <v>15456</v>
      </c>
      <c r="H1730" s="2" t="s">
        <v>15444</v>
      </c>
    </row>
    <row r="1731">
      <c r="A1731" s="2">
        <v>1729.0</v>
      </c>
      <c r="B1731" s="5" t="s">
        <v>11010</v>
      </c>
      <c r="C1731" s="2" t="s">
        <v>11011</v>
      </c>
      <c r="D1731" s="5" t="s">
        <v>11010</v>
      </c>
      <c r="E1731" s="2" t="s">
        <v>15441</v>
      </c>
      <c r="F1731" s="2" t="s">
        <v>15446</v>
      </c>
      <c r="G1731" s="2" t="s">
        <v>15456</v>
      </c>
      <c r="H1731" s="2" t="s">
        <v>15444</v>
      </c>
    </row>
    <row r="1732">
      <c r="A1732" s="2">
        <v>1730.0</v>
      </c>
      <c r="B1732" s="5" t="s">
        <v>2597</v>
      </c>
      <c r="C1732" s="2" t="s">
        <v>2598</v>
      </c>
      <c r="D1732" s="5" t="s">
        <v>2597</v>
      </c>
      <c r="E1732" s="2" t="s">
        <v>15445</v>
      </c>
      <c r="F1732" s="2" t="s">
        <v>15442</v>
      </c>
      <c r="G1732" s="2" t="s">
        <v>15456</v>
      </c>
      <c r="H1732" s="2" t="s">
        <v>15444</v>
      </c>
    </row>
    <row r="1733">
      <c r="A1733" s="2">
        <v>1731.0</v>
      </c>
      <c r="B1733" s="5" t="s">
        <v>11012</v>
      </c>
      <c r="C1733" s="2" t="s">
        <v>11013</v>
      </c>
      <c r="D1733" s="5" t="s">
        <v>11012</v>
      </c>
      <c r="E1733" s="2" t="s">
        <v>15441</v>
      </c>
      <c r="F1733" s="2" t="s">
        <v>15442</v>
      </c>
      <c r="G1733" s="2" t="s">
        <v>15443</v>
      </c>
      <c r="H1733" s="2" t="s">
        <v>15444</v>
      </c>
    </row>
    <row r="1734">
      <c r="A1734" s="2">
        <v>1732.0</v>
      </c>
      <c r="B1734" s="5" t="s">
        <v>11014</v>
      </c>
      <c r="C1734" s="2" t="s">
        <v>11015</v>
      </c>
      <c r="D1734" s="5" t="s">
        <v>11014</v>
      </c>
      <c r="E1734" s="2" t="s">
        <v>15441</v>
      </c>
      <c r="F1734" s="2" t="s">
        <v>15442</v>
      </c>
      <c r="G1734" s="2" t="s">
        <v>15443</v>
      </c>
      <c r="H1734" s="2" t="s">
        <v>15444</v>
      </c>
    </row>
    <row r="1735">
      <c r="A1735" s="2">
        <v>1733.0</v>
      </c>
      <c r="B1735" s="5" t="s">
        <v>2600</v>
      </c>
      <c r="C1735" s="2" t="s">
        <v>2601</v>
      </c>
      <c r="D1735" s="5" t="s">
        <v>2600</v>
      </c>
      <c r="E1735" s="2" t="s">
        <v>15445</v>
      </c>
      <c r="F1735" s="2" t="s">
        <v>15446</v>
      </c>
      <c r="G1735" s="2" t="s">
        <v>15443</v>
      </c>
      <c r="H1735" s="2" t="s">
        <v>15444</v>
      </c>
    </row>
    <row r="1736">
      <c r="A1736" s="2">
        <v>1734.0</v>
      </c>
      <c r="B1736" s="5" t="s">
        <v>11016</v>
      </c>
      <c r="C1736" s="2" t="s">
        <v>11017</v>
      </c>
      <c r="D1736" s="5" t="s">
        <v>11016</v>
      </c>
      <c r="E1736" s="2" t="s">
        <v>15441</v>
      </c>
      <c r="F1736" s="2" t="s">
        <v>15446</v>
      </c>
      <c r="G1736" s="2" t="s">
        <v>15456</v>
      </c>
      <c r="H1736" s="2" t="s">
        <v>15462</v>
      </c>
    </row>
    <row r="1737">
      <c r="A1737" s="2">
        <v>1735.0</v>
      </c>
      <c r="B1737" s="5" t="s">
        <v>11018</v>
      </c>
      <c r="C1737" s="2" t="s">
        <v>11019</v>
      </c>
      <c r="D1737" s="5" t="s">
        <v>11018</v>
      </c>
      <c r="E1737" s="2" t="s">
        <v>15441</v>
      </c>
      <c r="F1737" s="2" t="s">
        <v>15446</v>
      </c>
      <c r="G1737" s="2" t="s">
        <v>15456</v>
      </c>
      <c r="H1737" s="2" t="s">
        <v>15444</v>
      </c>
    </row>
    <row r="1738">
      <c r="A1738" s="2">
        <v>1736.0</v>
      </c>
      <c r="B1738" s="5" t="s">
        <v>11020</v>
      </c>
      <c r="C1738" s="2" t="s">
        <v>11021</v>
      </c>
      <c r="D1738" s="5" t="s">
        <v>11020</v>
      </c>
      <c r="E1738" s="2" t="s">
        <v>15441</v>
      </c>
      <c r="F1738" s="2" t="s">
        <v>15446</v>
      </c>
      <c r="G1738" s="2" t="s">
        <v>15456</v>
      </c>
      <c r="H1738" s="2" t="s">
        <v>15444</v>
      </c>
    </row>
    <row r="1739">
      <c r="A1739" s="2">
        <v>1737.0</v>
      </c>
      <c r="B1739" s="5" t="s">
        <v>2603</v>
      </c>
      <c r="C1739" s="2" t="s">
        <v>2604</v>
      </c>
      <c r="D1739" s="5" t="s">
        <v>2603</v>
      </c>
      <c r="E1739" s="2" t="s">
        <v>15445</v>
      </c>
      <c r="F1739" s="2" t="s">
        <v>15442</v>
      </c>
      <c r="G1739" s="2" t="s">
        <v>15443</v>
      </c>
      <c r="H1739" s="2" t="s">
        <v>15444</v>
      </c>
    </row>
    <row r="1740">
      <c r="A1740" s="2">
        <v>1738.0</v>
      </c>
      <c r="B1740" s="5" t="s">
        <v>11022</v>
      </c>
      <c r="C1740" s="2" t="s">
        <v>11023</v>
      </c>
      <c r="D1740" s="5" t="s">
        <v>11022</v>
      </c>
      <c r="E1740" s="2" t="s">
        <v>15441</v>
      </c>
      <c r="F1740" s="2" t="s">
        <v>15446</v>
      </c>
      <c r="G1740" s="2" t="s">
        <v>15443</v>
      </c>
      <c r="H1740" s="2" t="s">
        <v>15457</v>
      </c>
    </row>
    <row r="1741">
      <c r="A1741" s="2">
        <v>1739.0</v>
      </c>
      <c r="B1741" s="5" t="s">
        <v>11024</v>
      </c>
      <c r="C1741" s="2" t="s">
        <v>11025</v>
      </c>
      <c r="D1741" s="5" t="s">
        <v>11024</v>
      </c>
      <c r="E1741" s="2" t="s">
        <v>15441</v>
      </c>
      <c r="F1741" s="2" t="s">
        <v>15442</v>
      </c>
      <c r="G1741" s="2" t="s">
        <v>15443</v>
      </c>
      <c r="H1741" s="2" t="s">
        <v>15444</v>
      </c>
    </row>
    <row r="1742">
      <c r="A1742" s="2">
        <v>1740.0</v>
      </c>
      <c r="B1742" s="5" t="s">
        <v>2606</v>
      </c>
      <c r="C1742" s="2" t="s">
        <v>2607</v>
      </c>
      <c r="D1742" s="5" t="s">
        <v>2606</v>
      </c>
      <c r="E1742" s="2" t="s">
        <v>15445</v>
      </c>
      <c r="F1742" s="2" t="s">
        <v>15446</v>
      </c>
      <c r="G1742" s="2" t="s">
        <v>15443</v>
      </c>
      <c r="H1742" s="2" t="s">
        <v>15444</v>
      </c>
    </row>
    <row r="1743">
      <c r="A1743" s="2">
        <v>1741.0</v>
      </c>
      <c r="B1743" s="5" t="s">
        <v>11026</v>
      </c>
      <c r="C1743" s="2" t="s">
        <v>11027</v>
      </c>
      <c r="D1743" s="5" t="s">
        <v>11026</v>
      </c>
      <c r="E1743" s="2" t="s">
        <v>15441</v>
      </c>
      <c r="F1743" s="2" t="s">
        <v>15442</v>
      </c>
      <c r="G1743" s="2" t="s">
        <v>15443</v>
      </c>
      <c r="H1743" s="2" t="s">
        <v>15444</v>
      </c>
    </row>
    <row r="1744">
      <c r="A1744" s="2">
        <v>1742.0</v>
      </c>
      <c r="B1744" s="5" t="s">
        <v>11028</v>
      </c>
      <c r="C1744" s="2" t="s">
        <v>11029</v>
      </c>
      <c r="D1744" s="5" t="s">
        <v>11028</v>
      </c>
      <c r="E1744" s="2" t="s">
        <v>15441</v>
      </c>
      <c r="F1744" s="2" t="s">
        <v>15446</v>
      </c>
      <c r="G1744" s="2" t="s">
        <v>15456</v>
      </c>
      <c r="H1744" s="2" t="s">
        <v>15444</v>
      </c>
    </row>
    <row r="1745">
      <c r="A1745" s="2">
        <v>1743.0</v>
      </c>
      <c r="B1745" s="5" t="s">
        <v>2609</v>
      </c>
      <c r="C1745" s="2" t="s">
        <v>2610</v>
      </c>
      <c r="D1745" s="5" t="s">
        <v>2609</v>
      </c>
      <c r="E1745" s="2" t="s">
        <v>15445</v>
      </c>
      <c r="F1745" s="2" t="s">
        <v>15442</v>
      </c>
      <c r="G1745" s="2" t="s">
        <v>15456</v>
      </c>
      <c r="H1745" s="2" t="s">
        <v>15444</v>
      </c>
    </row>
    <row r="1746">
      <c r="A1746" s="2">
        <v>1744.0</v>
      </c>
      <c r="B1746" s="5" t="s">
        <v>11030</v>
      </c>
      <c r="C1746" s="2" t="s">
        <v>11031</v>
      </c>
      <c r="D1746" s="5" t="s">
        <v>11030</v>
      </c>
      <c r="E1746" s="2" t="s">
        <v>15441</v>
      </c>
      <c r="F1746" s="2" t="s">
        <v>15446</v>
      </c>
      <c r="G1746" s="2" t="s">
        <v>15443</v>
      </c>
      <c r="H1746" s="2" t="s">
        <v>15455</v>
      </c>
    </row>
    <row r="1747">
      <c r="A1747" s="2">
        <v>1745.0</v>
      </c>
      <c r="B1747" s="5" t="s">
        <v>2612</v>
      </c>
      <c r="C1747" s="2" t="s">
        <v>2613</v>
      </c>
      <c r="D1747" s="5" t="s">
        <v>2612</v>
      </c>
      <c r="E1747" s="2" t="s">
        <v>15445</v>
      </c>
      <c r="F1747" s="2" t="s">
        <v>15446</v>
      </c>
      <c r="G1747" s="2" t="s">
        <v>15456</v>
      </c>
      <c r="H1747" s="2" t="s">
        <v>15444</v>
      </c>
    </row>
    <row r="1748">
      <c r="A1748" s="2">
        <v>1746.0</v>
      </c>
      <c r="B1748" s="5" t="s">
        <v>11032</v>
      </c>
      <c r="C1748" s="2" t="s">
        <v>11033</v>
      </c>
      <c r="D1748" s="5" t="s">
        <v>11032</v>
      </c>
      <c r="E1748" s="2" t="s">
        <v>15441</v>
      </c>
      <c r="F1748" s="2" t="s">
        <v>15446</v>
      </c>
      <c r="G1748" s="2" t="s">
        <v>15443</v>
      </c>
      <c r="H1748" s="2" t="s">
        <v>15444</v>
      </c>
    </row>
    <row r="1749">
      <c r="A1749" s="2">
        <v>1747.0</v>
      </c>
      <c r="B1749" s="5" t="s">
        <v>11034</v>
      </c>
      <c r="C1749" s="2" t="s">
        <v>11035</v>
      </c>
      <c r="D1749" s="5" t="s">
        <v>11034</v>
      </c>
      <c r="E1749" s="2" t="s">
        <v>15441</v>
      </c>
      <c r="F1749" s="2" t="s">
        <v>15446</v>
      </c>
      <c r="G1749" s="2" t="s">
        <v>15456</v>
      </c>
      <c r="H1749" s="2" t="s">
        <v>15444</v>
      </c>
    </row>
    <row r="1750">
      <c r="A1750" s="2">
        <v>1748.0</v>
      </c>
      <c r="B1750" s="5" t="s">
        <v>11036</v>
      </c>
      <c r="C1750" s="2" t="s">
        <v>11037</v>
      </c>
      <c r="D1750" s="5" t="s">
        <v>11036</v>
      </c>
      <c r="E1750" s="2" t="s">
        <v>15441</v>
      </c>
      <c r="F1750" s="2" t="s">
        <v>15446</v>
      </c>
      <c r="G1750" s="2" t="s">
        <v>15456</v>
      </c>
      <c r="H1750" s="2" t="s">
        <v>15444</v>
      </c>
    </row>
    <row r="1751">
      <c r="A1751" s="2">
        <v>1749.0</v>
      </c>
      <c r="B1751" s="5" t="s">
        <v>11038</v>
      </c>
      <c r="C1751" s="2" t="s">
        <v>11039</v>
      </c>
      <c r="D1751" s="5" t="s">
        <v>11038</v>
      </c>
      <c r="E1751" s="2" t="s">
        <v>15441</v>
      </c>
      <c r="F1751" s="2" t="s">
        <v>15446</v>
      </c>
      <c r="G1751" s="2" t="s">
        <v>15456</v>
      </c>
      <c r="H1751" s="2" t="s">
        <v>15457</v>
      </c>
    </row>
    <row r="1752">
      <c r="A1752" s="2">
        <v>1750.0</v>
      </c>
      <c r="B1752" s="5" t="s">
        <v>2615</v>
      </c>
      <c r="C1752" s="2" t="s">
        <v>2616</v>
      </c>
      <c r="D1752" s="5" t="s">
        <v>2615</v>
      </c>
      <c r="E1752" s="2" t="s">
        <v>15445</v>
      </c>
      <c r="F1752" s="2" t="s">
        <v>15446</v>
      </c>
      <c r="G1752" s="2" t="s">
        <v>15456</v>
      </c>
      <c r="H1752" s="2" t="s">
        <v>15444</v>
      </c>
    </row>
    <row r="1753">
      <c r="A1753" s="2">
        <v>1751.0</v>
      </c>
      <c r="B1753" s="5" t="s">
        <v>11040</v>
      </c>
      <c r="C1753" s="2" t="s">
        <v>11041</v>
      </c>
      <c r="D1753" s="5" t="s">
        <v>11040</v>
      </c>
      <c r="E1753" s="2" t="s">
        <v>15441</v>
      </c>
      <c r="F1753" s="2" t="s">
        <v>15442</v>
      </c>
      <c r="G1753" s="2" t="s">
        <v>15443</v>
      </c>
      <c r="H1753" s="2" t="s">
        <v>15444</v>
      </c>
    </row>
    <row r="1754">
      <c r="A1754" s="2">
        <v>1752.0</v>
      </c>
      <c r="B1754" s="5" t="s">
        <v>11042</v>
      </c>
      <c r="C1754" s="2" t="s">
        <v>11043</v>
      </c>
      <c r="D1754" s="5" t="s">
        <v>11042</v>
      </c>
      <c r="E1754" s="2" t="s">
        <v>15441</v>
      </c>
      <c r="F1754" s="2" t="s">
        <v>15442</v>
      </c>
      <c r="G1754" s="2" t="s">
        <v>15456</v>
      </c>
      <c r="H1754" s="2" t="s">
        <v>15457</v>
      </c>
    </row>
    <row r="1755">
      <c r="A1755" s="2">
        <v>1753.0</v>
      </c>
      <c r="B1755" s="5" t="s">
        <v>2618</v>
      </c>
      <c r="C1755" s="2" t="s">
        <v>2619</v>
      </c>
      <c r="D1755" s="5" t="s">
        <v>2618</v>
      </c>
      <c r="E1755" s="2" t="s">
        <v>15445</v>
      </c>
      <c r="F1755" s="2" t="s">
        <v>15446</v>
      </c>
      <c r="G1755" s="2" t="s">
        <v>15456</v>
      </c>
      <c r="H1755" s="2" t="s">
        <v>15444</v>
      </c>
    </row>
    <row r="1756">
      <c r="A1756" s="2">
        <v>1754.0</v>
      </c>
      <c r="B1756" s="5" t="s">
        <v>11044</v>
      </c>
      <c r="C1756" s="2" t="s">
        <v>11045</v>
      </c>
      <c r="D1756" s="5" t="s">
        <v>11044</v>
      </c>
      <c r="E1756" s="2" t="s">
        <v>15441</v>
      </c>
      <c r="F1756" s="2" t="s">
        <v>15446</v>
      </c>
      <c r="G1756" s="2" t="s">
        <v>15443</v>
      </c>
      <c r="H1756" s="2" t="s">
        <v>15444</v>
      </c>
    </row>
    <row r="1757">
      <c r="A1757" s="2">
        <v>1755.0</v>
      </c>
      <c r="B1757" s="5" t="s">
        <v>2621</v>
      </c>
      <c r="C1757" s="2" t="s">
        <v>2622</v>
      </c>
      <c r="D1757" s="5" t="s">
        <v>2621</v>
      </c>
      <c r="E1757" s="2" t="s">
        <v>15445</v>
      </c>
      <c r="F1757" s="2" t="s">
        <v>15442</v>
      </c>
      <c r="G1757" s="2" t="s">
        <v>15456</v>
      </c>
      <c r="H1757" s="2" t="s">
        <v>15457</v>
      </c>
    </row>
    <row r="1758">
      <c r="A1758" s="2">
        <v>1756.0</v>
      </c>
      <c r="B1758" s="5" t="s">
        <v>2624</v>
      </c>
      <c r="C1758" s="2" t="s">
        <v>2625</v>
      </c>
      <c r="D1758" s="5" t="s">
        <v>2624</v>
      </c>
      <c r="E1758" s="2" t="s">
        <v>15445</v>
      </c>
      <c r="F1758" s="2" t="s">
        <v>15442</v>
      </c>
      <c r="G1758" s="2" t="s">
        <v>15443</v>
      </c>
      <c r="H1758" s="2" t="s">
        <v>15444</v>
      </c>
    </row>
    <row r="1759">
      <c r="A1759" s="2">
        <v>1757.0</v>
      </c>
      <c r="B1759" s="5" t="s">
        <v>2627</v>
      </c>
      <c r="C1759" s="2" t="s">
        <v>2628</v>
      </c>
      <c r="D1759" s="5" t="s">
        <v>2627</v>
      </c>
      <c r="E1759" s="2" t="s">
        <v>15445</v>
      </c>
      <c r="F1759" s="2" t="s">
        <v>15442</v>
      </c>
      <c r="G1759" s="2" t="s">
        <v>15456</v>
      </c>
      <c r="H1759" s="2" t="s">
        <v>15444</v>
      </c>
    </row>
    <row r="1760">
      <c r="A1760" s="2">
        <v>1758.0</v>
      </c>
      <c r="B1760" s="5" t="s">
        <v>2630</v>
      </c>
      <c r="C1760" s="2" t="s">
        <v>2631</v>
      </c>
      <c r="D1760" s="5" t="s">
        <v>2630</v>
      </c>
      <c r="E1760" s="2" t="s">
        <v>15445</v>
      </c>
      <c r="F1760" s="2" t="s">
        <v>15442</v>
      </c>
      <c r="G1760" s="2" t="s">
        <v>15443</v>
      </c>
      <c r="H1760" s="2" t="s">
        <v>15444</v>
      </c>
    </row>
    <row r="1761">
      <c r="A1761" s="2">
        <v>1759.0</v>
      </c>
      <c r="B1761" s="5" t="s">
        <v>11046</v>
      </c>
      <c r="C1761" s="2" t="s">
        <v>11047</v>
      </c>
      <c r="D1761" s="5" t="s">
        <v>11046</v>
      </c>
      <c r="E1761" s="2" t="s">
        <v>15441</v>
      </c>
      <c r="F1761" s="2" t="s">
        <v>15446</v>
      </c>
      <c r="G1761" s="2" t="s">
        <v>15443</v>
      </c>
      <c r="H1761" s="2" t="s">
        <v>15444</v>
      </c>
    </row>
    <row r="1762">
      <c r="A1762" s="2">
        <v>1760.0</v>
      </c>
      <c r="B1762" s="5" t="s">
        <v>2633</v>
      </c>
      <c r="C1762" s="2" t="s">
        <v>2634</v>
      </c>
      <c r="D1762" s="5" t="s">
        <v>2633</v>
      </c>
      <c r="E1762" s="2" t="s">
        <v>15445</v>
      </c>
      <c r="F1762" s="2" t="s">
        <v>15446</v>
      </c>
      <c r="G1762" s="2" t="s">
        <v>15456</v>
      </c>
      <c r="H1762" s="2" t="s">
        <v>15444</v>
      </c>
    </row>
    <row r="1763">
      <c r="A1763" s="2">
        <v>1761.0</v>
      </c>
      <c r="B1763" s="5" t="s">
        <v>11048</v>
      </c>
      <c r="C1763" s="2" t="s">
        <v>11049</v>
      </c>
      <c r="D1763" s="5" t="s">
        <v>11048</v>
      </c>
      <c r="E1763" s="2" t="s">
        <v>15441</v>
      </c>
      <c r="F1763" s="2" t="s">
        <v>15446</v>
      </c>
      <c r="G1763" s="2" t="s">
        <v>15456</v>
      </c>
      <c r="H1763" s="2" t="s">
        <v>15444</v>
      </c>
    </row>
    <row r="1764">
      <c r="A1764" s="2">
        <v>1762.0</v>
      </c>
      <c r="B1764" s="5" t="s">
        <v>11050</v>
      </c>
      <c r="C1764" s="2" t="s">
        <v>11051</v>
      </c>
      <c r="D1764" s="5" t="s">
        <v>11050</v>
      </c>
      <c r="E1764" s="2" t="s">
        <v>15441</v>
      </c>
      <c r="F1764" s="2" t="s">
        <v>15446</v>
      </c>
      <c r="G1764" s="2" t="s">
        <v>15456</v>
      </c>
      <c r="H1764" s="2" t="s">
        <v>15444</v>
      </c>
    </row>
    <row r="1765">
      <c r="A1765" s="2">
        <v>1763.0</v>
      </c>
      <c r="B1765" s="5" t="s">
        <v>2636</v>
      </c>
      <c r="C1765" s="2" t="s">
        <v>2637</v>
      </c>
      <c r="D1765" s="5" t="s">
        <v>2636</v>
      </c>
      <c r="E1765" s="2" t="s">
        <v>15445</v>
      </c>
      <c r="F1765" s="2" t="s">
        <v>15446</v>
      </c>
      <c r="G1765" s="2" t="s">
        <v>15456</v>
      </c>
      <c r="H1765" s="2" t="s">
        <v>15444</v>
      </c>
    </row>
    <row r="1766">
      <c r="A1766" s="2">
        <v>1764.0</v>
      </c>
      <c r="B1766" s="5" t="s">
        <v>2639</v>
      </c>
      <c r="C1766" s="2" t="s">
        <v>2640</v>
      </c>
      <c r="D1766" s="5" t="s">
        <v>2639</v>
      </c>
      <c r="E1766" s="2" t="s">
        <v>15445</v>
      </c>
      <c r="F1766" s="2" t="s">
        <v>15446</v>
      </c>
      <c r="G1766" s="2" t="s">
        <v>15456</v>
      </c>
      <c r="H1766" s="2" t="s">
        <v>15444</v>
      </c>
    </row>
    <row r="1767">
      <c r="A1767" s="2">
        <v>1765.0</v>
      </c>
      <c r="B1767" s="5" t="s">
        <v>2642</v>
      </c>
      <c r="C1767" s="2" t="s">
        <v>2643</v>
      </c>
      <c r="D1767" s="5" t="s">
        <v>2642</v>
      </c>
      <c r="E1767" s="2" t="s">
        <v>15445</v>
      </c>
      <c r="F1767" s="2" t="s">
        <v>15446</v>
      </c>
      <c r="G1767" s="2" t="s">
        <v>15456</v>
      </c>
      <c r="H1767" s="2" t="s">
        <v>15444</v>
      </c>
    </row>
    <row r="1768">
      <c r="A1768" s="2">
        <v>1766.0</v>
      </c>
      <c r="B1768" s="5" t="s">
        <v>11052</v>
      </c>
      <c r="C1768" s="2" t="s">
        <v>11053</v>
      </c>
      <c r="D1768" s="5" t="s">
        <v>11052</v>
      </c>
      <c r="E1768" s="2" t="s">
        <v>15441</v>
      </c>
      <c r="F1768" s="2" t="s">
        <v>15446</v>
      </c>
      <c r="G1768" s="2" t="s">
        <v>15456</v>
      </c>
      <c r="H1768" s="2" t="s">
        <v>15457</v>
      </c>
    </row>
    <row r="1769">
      <c r="A1769" s="2">
        <v>1767.0</v>
      </c>
      <c r="B1769" s="5" t="s">
        <v>2645</v>
      </c>
      <c r="C1769" s="2" t="s">
        <v>2646</v>
      </c>
      <c r="D1769" s="5" t="s">
        <v>2645</v>
      </c>
      <c r="E1769" s="2" t="s">
        <v>15445</v>
      </c>
      <c r="F1769" s="2" t="s">
        <v>15442</v>
      </c>
      <c r="G1769" s="2" t="s">
        <v>15456</v>
      </c>
      <c r="H1769" s="2" t="s">
        <v>15444</v>
      </c>
    </row>
    <row r="1770">
      <c r="A1770" s="2">
        <v>1768.0</v>
      </c>
      <c r="B1770" s="5" t="s">
        <v>2648</v>
      </c>
      <c r="C1770" s="2" t="s">
        <v>2649</v>
      </c>
      <c r="D1770" s="5" t="s">
        <v>2648</v>
      </c>
      <c r="E1770" s="2" t="s">
        <v>15445</v>
      </c>
      <c r="F1770" s="2" t="s">
        <v>15442</v>
      </c>
      <c r="G1770" s="2" t="s">
        <v>15443</v>
      </c>
      <c r="H1770" s="2" t="s">
        <v>15444</v>
      </c>
    </row>
    <row r="1771">
      <c r="A1771" s="2">
        <v>1769.0</v>
      </c>
      <c r="B1771" s="5" t="s">
        <v>2651</v>
      </c>
      <c r="C1771" s="2" t="s">
        <v>2652</v>
      </c>
      <c r="D1771" s="5" t="s">
        <v>2651</v>
      </c>
      <c r="E1771" s="2" t="s">
        <v>15445</v>
      </c>
      <c r="F1771" s="2" t="s">
        <v>15446</v>
      </c>
      <c r="G1771" s="2" t="s">
        <v>15443</v>
      </c>
      <c r="H1771" s="2" t="s">
        <v>15444</v>
      </c>
    </row>
    <row r="1772">
      <c r="A1772" s="2">
        <v>1770.0</v>
      </c>
      <c r="B1772" s="5" t="s">
        <v>11054</v>
      </c>
      <c r="C1772" s="2" t="s">
        <v>11055</v>
      </c>
      <c r="D1772" s="5" t="s">
        <v>11054</v>
      </c>
      <c r="E1772" s="2" t="s">
        <v>15441</v>
      </c>
      <c r="F1772" s="2" t="s">
        <v>15442</v>
      </c>
      <c r="G1772" s="2" t="s">
        <v>15456</v>
      </c>
      <c r="H1772" s="2" t="s">
        <v>15444</v>
      </c>
    </row>
    <row r="1773">
      <c r="A1773" s="2">
        <v>1771.0</v>
      </c>
      <c r="B1773" s="5" t="s">
        <v>2654</v>
      </c>
      <c r="C1773" s="2" t="s">
        <v>2655</v>
      </c>
      <c r="D1773" s="5" t="s">
        <v>2654</v>
      </c>
      <c r="E1773" s="2" t="s">
        <v>15445</v>
      </c>
      <c r="F1773" s="2" t="s">
        <v>15442</v>
      </c>
      <c r="G1773" s="2" t="s">
        <v>15443</v>
      </c>
      <c r="H1773" s="2" t="s">
        <v>15444</v>
      </c>
    </row>
    <row r="1774">
      <c r="A1774" s="2">
        <v>1772.0</v>
      </c>
      <c r="B1774" s="5" t="s">
        <v>2657</v>
      </c>
      <c r="C1774" s="2" t="s">
        <v>2658</v>
      </c>
      <c r="D1774" s="5" t="s">
        <v>2657</v>
      </c>
      <c r="E1774" s="2" t="s">
        <v>15445</v>
      </c>
      <c r="F1774" s="2" t="s">
        <v>15442</v>
      </c>
      <c r="G1774" s="2" t="s">
        <v>15443</v>
      </c>
      <c r="H1774" s="2" t="s">
        <v>15457</v>
      </c>
    </row>
    <row r="1775">
      <c r="A1775" s="2">
        <v>1773.0</v>
      </c>
      <c r="B1775" s="5" t="s">
        <v>2660</v>
      </c>
      <c r="C1775" s="2" t="s">
        <v>2661</v>
      </c>
      <c r="D1775" s="5" t="s">
        <v>2660</v>
      </c>
      <c r="E1775" s="2" t="s">
        <v>15445</v>
      </c>
      <c r="F1775" s="2" t="s">
        <v>15442</v>
      </c>
      <c r="G1775" s="2" t="s">
        <v>15456</v>
      </c>
      <c r="H1775" s="2" t="s">
        <v>15444</v>
      </c>
    </row>
    <row r="1776">
      <c r="A1776" s="2">
        <v>1774.0</v>
      </c>
      <c r="B1776" s="5" t="s">
        <v>11056</v>
      </c>
      <c r="C1776" s="2" t="s">
        <v>11057</v>
      </c>
      <c r="D1776" s="5" t="s">
        <v>11056</v>
      </c>
      <c r="E1776" s="2" t="s">
        <v>15441</v>
      </c>
      <c r="F1776" s="2" t="s">
        <v>15442</v>
      </c>
      <c r="G1776" s="2" t="s">
        <v>15443</v>
      </c>
      <c r="H1776" s="2" t="s">
        <v>15444</v>
      </c>
    </row>
    <row r="1777">
      <c r="A1777" s="2">
        <v>1775.0</v>
      </c>
      <c r="B1777" s="5" t="s">
        <v>2663</v>
      </c>
      <c r="C1777" s="2" t="s">
        <v>2664</v>
      </c>
      <c r="D1777" s="5" t="s">
        <v>2663</v>
      </c>
      <c r="E1777" s="2" t="s">
        <v>15445</v>
      </c>
      <c r="F1777" s="2" t="s">
        <v>15442</v>
      </c>
      <c r="G1777" s="2" t="s">
        <v>15443</v>
      </c>
      <c r="H1777" s="2" t="s">
        <v>15444</v>
      </c>
    </row>
    <row r="1778">
      <c r="A1778" s="2">
        <v>1776.0</v>
      </c>
      <c r="B1778" s="5" t="s">
        <v>11058</v>
      </c>
      <c r="C1778" s="2" t="s">
        <v>11059</v>
      </c>
      <c r="D1778" s="5" t="s">
        <v>11058</v>
      </c>
      <c r="E1778" s="2" t="s">
        <v>15441</v>
      </c>
      <c r="F1778" s="2" t="s">
        <v>15446</v>
      </c>
      <c r="G1778" s="2" t="s">
        <v>15443</v>
      </c>
      <c r="H1778" s="2" t="s">
        <v>15444</v>
      </c>
    </row>
    <row r="1779">
      <c r="A1779" s="2">
        <v>1777.0</v>
      </c>
      <c r="B1779" s="5" t="s">
        <v>11060</v>
      </c>
      <c r="C1779" s="2" t="s">
        <v>11061</v>
      </c>
      <c r="D1779" s="5" t="s">
        <v>11060</v>
      </c>
      <c r="E1779" s="2" t="s">
        <v>15441</v>
      </c>
      <c r="F1779" s="2" t="s">
        <v>15446</v>
      </c>
      <c r="G1779" s="2" t="s">
        <v>15456</v>
      </c>
      <c r="H1779" s="2" t="s">
        <v>15444</v>
      </c>
    </row>
    <row r="1780">
      <c r="A1780" s="2">
        <v>1778.0</v>
      </c>
      <c r="B1780" s="5" t="s">
        <v>11062</v>
      </c>
      <c r="C1780" s="2" t="s">
        <v>11063</v>
      </c>
      <c r="D1780" s="5" t="s">
        <v>11062</v>
      </c>
      <c r="E1780" s="2" t="s">
        <v>15441</v>
      </c>
      <c r="F1780" s="2" t="s">
        <v>15446</v>
      </c>
      <c r="G1780" s="2" t="s">
        <v>15456</v>
      </c>
      <c r="H1780" s="2" t="s">
        <v>15444</v>
      </c>
    </row>
    <row r="1781">
      <c r="A1781" s="2">
        <v>1779.0</v>
      </c>
      <c r="B1781" s="5" t="s">
        <v>11064</v>
      </c>
      <c r="C1781" s="2" t="s">
        <v>11065</v>
      </c>
      <c r="D1781" s="5" t="s">
        <v>11064</v>
      </c>
      <c r="E1781" s="2" t="s">
        <v>15441</v>
      </c>
      <c r="F1781" s="2" t="s">
        <v>15442</v>
      </c>
      <c r="G1781" s="2" t="s">
        <v>15443</v>
      </c>
      <c r="H1781" s="2" t="s">
        <v>15444</v>
      </c>
    </row>
    <row r="1782">
      <c r="A1782" s="2">
        <v>1780.0</v>
      </c>
      <c r="B1782" s="5" t="s">
        <v>2666</v>
      </c>
      <c r="C1782" s="2" t="s">
        <v>2667</v>
      </c>
      <c r="D1782" s="5" t="s">
        <v>2666</v>
      </c>
      <c r="E1782" s="2" t="s">
        <v>15445</v>
      </c>
      <c r="F1782" s="2" t="s">
        <v>15446</v>
      </c>
      <c r="G1782" s="2" t="s">
        <v>15456</v>
      </c>
      <c r="H1782" s="2" t="s">
        <v>15462</v>
      </c>
    </row>
    <row r="1783">
      <c r="A1783" s="2">
        <v>1781.0</v>
      </c>
      <c r="B1783" s="5" t="s">
        <v>2669</v>
      </c>
      <c r="C1783" s="2" t="s">
        <v>2670</v>
      </c>
      <c r="D1783" s="5" t="s">
        <v>2669</v>
      </c>
      <c r="E1783" s="2" t="s">
        <v>15445</v>
      </c>
      <c r="F1783" s="2" t="s">
        <v>15446</v>
      </c>
      <c r="G1783" s="2" t="s">
        <v>15456</v>
      </c>
      <c r="H1783" s="2" t="s">
        <v>15444</v>
      </c>
    </row>
    <row r="1784">
      <c r="A1784" s="2">
        <v>1782.0</v>
      </c>
      <c r="B1784" s="5" t="s">
        <v>2672</v>
      </c>
      <c r="C1784" s="2" t="s">
        <v>2673</v>
      </c>
      <c r="D1784" s="5" t="s">
        <v>2672</v>
      </c>
      <c r="E1784" s="2" t="s">
        <v>15445</v>
      </c>
      <c r="F1784" s="2" t="s">
        <v>15446</v>
      </c>
      <c r="G1784" s="2" t="s">
        <v>15456</v>
      </c>
      <c r="H1784" s="2" t="s">
        <v>15444</v>
      </c>
    </row>
    <row r="1785">
      <c r="A1785" s="2">
        <v>1783.0</v>
      </c>
      <c r="B1785" s="5" t="s">
        <v>11066</v>
      </c>
      <c r="C1785" s="2" t="s">
        <v>11067</v>
      </c>
      <c r="D1785" s="5" t="s">
        <v>11066</v>
      </c>
      <c r="E1785" s="2" t="s">
        <v>15441</v>
      </c>
      <c r="F1785" s="2" t="s">
        <v>15446</v>
      </c>
      <c r="G1785" s="2" t="s">
        <v>15456</v>
      </c>
      <c r="H1785" s="2" t="s">
        <v>15457</v>
      </c>
    </row>
    <row r="1786">
      <c r="A1786" s="2">
        <v>1784.0</v>
      </c>
      <c r="B1786" s="5" t="s">
        <v>2675</v>
      </c>
      <c r="C1786" s="2" t="s">
        <v>2676</v>
      </c>
      <c r="D1786" s="5" t="s">
        <v>2675</v>
      </c>
      <c r="E1786" s="2" t="s">
        <v>15445</v>
      </c>
      <c r="F1786" s="2" t="s">
        <v>15442</v>
      </c>
      <c r="G1786" s="2" t="s">
        <v>15456</v>
      </c>
      <c r="H1786" s="2" t="s">
        <v>15444</v>
      </c>
    </row>
    <row r="1787">
      <c r="A1787" s="2">
        <v>1785.0</v>
      </c>
      <c r="B1787" s="5" t="s">
        <v>11068</v>
      </c>
      <c r="C1787" s="2" t="s">
        <v>11069</v>
      </c>
      <c r="D1787" s="5" t="s">
        <v>11068</v>
      </c>
      <c r="E1787" s="2" t="s">
        <v>15441</v>
      </c>
      <c r="F1787" s="2" t="s">
        <v>15442</v>
      </c>
      <c r="G1787" s="2" t="s">
        <v>15443</v>
      </c>
      <c r="H1787" s="2" t="s">
        <v>15444</v>
      </c>
    </row>
    <row r="1788">
      <c r="A1788" s="2">
        <v>1786.0</v>
      </c>
      <c r="B1788" s="5" t="s">
        <v>2678</v>
      </c>
      <c r="C1788" s="2" t="s">
        <v>2679</v>
      </c>
      <c r="D1788" s="5" t="s">
        <v>2678</v>
      </c>
      <c r="E1788" s="2" t="s">
        <v>15445</v>
      </c>
      <c r="F1788" s="2" t="s">
        <v>15446</v>
      </c>
      <c r="G1788" s="2" t="s">
        <v>15456</v>
      </c>
      <c r="H1788" s="2" t="s">
        <v>15444</v>
      </c>
    </row>
    <row r="1789">
      <c r="A1789" s="2">
        <v>1787.0</v>
      </c>
      <c r="B1789" s="5" t="s">
        <v>11070</v>
      </c>
      <c r="C1789" s="2" t="s">
        <v>11071</v>
      </c>
      <c r="D1789" s="5" t="s">
        <v>11070</v>
      </c>
      <c r="E1789" s="2" t="s">
        <v>15441</v>
      </c>
      <c r="F1789" s="2" t="s">
        <v>15446</v>
      </c>
      <c r="G1789" s="2" t="s">
        <v>15456</v>
      </c>
      <c r="H1789" s="2" t="s">
        <v>15444</v>
      </c>
    </row>
    <row r="1790">
      <c r="A1790" s="2">
        <v>1788.0</v>
      </c>
      <c r="B1790" s="5" t="s">
        <v>2681</v>
      </c>
      <c r="C1790" s="2" t="s">
        <v>2682</v>
      </c>
      <c r="D1790" s="5" t="s">
        <v>2681</v>
      </c>
      <c r="E1790" s="2" t="s">
        <v>15445</v>
      </c>
      <c r="F1790" s="2" t="s">
        <v>15446</v>
      </c>
      <c r="G1790" s="2" t="s">
        <v>15443</v>
      </c>
      <c r="H1790" s="2" t="s">
        <v>15444</v>
      </c>
    </row>
    <row r="1791">
      <c r="A1791" s="2">
        <v>1789.0</v>
      </c>
      <c r="B1791" s="5" t="s">
        <v>2684</v>
      </c>
      <c r="C1791" s="2" t="s">
        <v>2685</v>
      </c>
      <c r="D1791" s="5" t="s">
        <v>2684</v>
      </c>
      <c r="E1791" s="2" t="s">
        <v>15445</v>
      </c>
      <c r="F1791" s="2" t="s">
        <v>15446</v>
      </c>
      <c r="G1791" s="2" t="s">
        <v>15456</v>
      </c>
      <c r="H1791" s="2" t="s">
        <v>15444</v>
      </c>
    </row>
    <row r="1792">
      <c r="A1792" s="2">
        <v>1790.0</v>
      </c>
      <c r="B1792" s="5" t="s">
        <v>11072</v>
      </c>
      <c r="C1792" s="2" t="s">
        <v>11073</v>
      </c>
      <c r="D1792" s="5" t="s">
        <v>11072</v>
      </c>
      <c r="E1792" s="2" t="s">
        <v>15441</v>
      </c>
      <c r="F1792" s="2" t="s">
        <v>15442</v>
      </c>
      <c r="G1792" s="2" t="s">
        <v>15443</v>
      </c>
      <c r="H1792" s="2" t="s">
        <v>15444</v>
      </c>
    </row>
    <row r="1793">
      <c r="A1793" s="2">
        <v>1791.0</v>
      </c>
      <c r="B1793" s="5" t="s">
        <v>11074</v>
      </c>
      <c r="C1793" s="2" t="s">
        <v>11075</v>
      </c>
      <c r="D1793" s="5" t="s">
        <v>11074</v>
      </c>
      <c r="E1793" s="2" t="s">
        <v>15441</v>
      </c>
      <c r="F1793" s="2" t="s">
        <v>15442</v>
      </c>
      <c r="G1793" s="2" t="s">
        <v>15443</v>
      </c>
      <c r="H1793" s="2" t="s">
        <v>15444</v>
      </c>
    </row>
    <row r="1794">
      <c r="A1794" s="2">
        <v>1792.0</v>
      </c>
      <c r="B1794" s="5" t="s">
        <v>11076</v>
      </c>
      <c r="C1794" s="2" t="s">
        <v>11077</v>
      </c>
      <c r="D1794" s="5" t="s">
        <v>11076</v>
      </c>
      <c r="E1794" s="2" t="s">
        <v>15441</v>
      </c>
      <c r="F1794" s="2" t="s">
        <v>15446</v>
      </c>
      <c r="G1794" s="2" t="s">
        <v>15456</v>
      </c>
      <c r="H1794" s="2" t="s">
        <v>15444</v>
      </c>
    </row>
    <row r="1795">
      <c r="A1795" s="2">
        <v>1793.0</v>
      </c>
      <c r="B1795" s="5" t="s">
        <v>2687</v>
      </c>
      <c r="C1795" s="2" t="s">
        <v>2688</v>
      </c>
      <c r="D1795" s="5" t="s">
        <v>2687</v>
      </c>
      <c r="E1795" s="2" t="s">
        <v>15445</v>
      </c>
      <c r="F1795" s="2" t="s">
        <v>15442</v>
      </c>
      <c r="G1795" s="2" t="s">
        <v>15443</v>
      </c>
      <c r="H1795" s="2" t="s">
        <v>15444</v>
      </c>
    </row>
    <row r="1796">
      <c r="A1796" s="2">
        <v>1794.0</v>
      </c>
      <c r="B1796" s="5" t="s">
        <v>2690</v>
      </c>
      <c r="C1796" s="2" t="s">
        <v>2691</v>
      </c>
      <c r="D1796" s="5" t="s">
        <v>2690</v>
      </c>
      <c r="E1796" s="2" t="s">
        <v>15445</v>
      </c>
      <c r="F1796" s="2" t="s">
        <v>15446</v>
      </c>
      <c r="G1796" s="2" t="s">
        <v>15456</v>
      </c>
      <c r="H1796" s="2" t="s">
        <v>15444</v>
      </c>
    </row>
    <row r="1797">
      <c r="A1797" s="2">
        <v>1795.0</v>
      </c>
      <c r="B1797" s="5" t="s">
        <v>2693</v>
      </c>
      <c r="C1797" s="2" t="s">
        <v>2694</v>
      </c>
      <c r="D1797" s="5" t="s">
        <v>2693</v>
      </c>
      <c r="E1797" s="2" t="s">
        <v>15445</v>
      </c>
      <c r="F1797" s="2" t="s">
        <v>15442</v>
      </c>
      <c r="G1797" s="2" t="s">
        <v>15443</v>
      </c>
      <c r="H1797" s="2" t="s">
        <v>15444</v>
      </c>
    </row>
    <row r="1798">
      <c r="A1798" s="2">
        <v>1796.0</v>
      </c>
      <c r="B1798" s="5" t="s">
        <v>2696</v>
      </c>
      <c r="C1798" s="2" t="s">
        <v>2697</v>
      </c>
      <c r="D1798" s="5" t="s">
        <v>2696</v>
      </c>
      <c r="E1798" s="2" t="s">
        <v>15445</v>
      </c>
      <c r="F1798" s="2" t="s">
        <v>15442</v>
      </c>
      <c r="G1798" s="2" t="s">
        <v>15443</v>
      </c>
      <c r="H1798" s="2" t="s">
        <v>15444</v>
      </c>
    </row>
    <row r="1799">
      <c r="A1799" s="2">
        <v>1797.0</v>
      </c>
      <c r="B1799" s="5" t="s">
        <v>11078</v>
      </c>
      <c r="C1799" s="2" t="s">
        <v>11079</v>
      </c>
      <c r="D1799" s="5" t="s">
        <v>11078</v>
      </c>
      <c r="E1799" s="2" t="s">
        <v>15441</v>
      </c>
      <c r="F1799" s="2" t="s">
        <v>15442</v>
      </c>
      <c r="G1799" s="2" t="s">
        <v>15443</v>
      </c>
      <c r="H1799" s="2" t="s">
        <v>15444</v>
      </c>
    </row>
    <row r="1800">
      <c r="A1800" s="2">
        <v>1798.0</v>
      </c>
      <c r="B1800" s="5" t="s">
        <v>2699</v>
      </c>
      <c r="C1800" s="2" t="s">
        <v>2700</v>
      </c>
      <c r="D1800" s="5" t="s">
        <v>2699</v>
      </c>
      <c r="E1800" s="2" t="s">
        <v>15445</v>
      </c>
      <c r="F1800" s="2" t="s">
        <v>15446</v>
      </c>
      <c r="G1800" s="2" t="s">
        <v>15443</v>
      </c>
      <c r="H1800" s="2" t="s">
        <v>15444</v>
      </c>
    </row>
    <row r="1801">
      <c r="A1801" s="2">
        <v>1799.0</v>
      </c>
      <c r="B1801" s="5" t="s">
        <v>11080</v>
      </c>
      <c r="C1801" s="2" t="s">
        <v>11081</v>
      </c>
      <c r="D1801" s="5" t="s">
        <v>11080</v>
      </c>
      <c r="E1801" s="2" t="s">
        <v>15441</v>
      </c>
      <c r="F1801" s="2" t="s">
        <v>15446</v>
      </c>
      <c r="G1801" s="2" t="s">
        <v>15456</v>
      </c>
      <c r="H1801" s="2" t="s">
        <v>15444</v>
      </c>
    </row>
    <row r="1802">
      <c r="A1802" s="2">
        <v>1800.0</v>
      </c>
      <c r="B1802" s="5" t="s">
        <v>2702</v>
      </c>
      <c r="C1802" s="2" t="s">
        <v>2703</v>
      </c>
      <c r="D1802" s="5" t="s">
        <v>2702</v>
      </c>
      <c r="E1802" s="2" t="s">
        <v>15445</v>
      </c>
      <c r="F1802" s="2" t="s">
        <v>15446</v>
      </c>
      <c r="G1802" s="2" t="s">
        <v>15456</v>
      </c>
      <c r="H1802" s="2" t="s">
        <v>15444</v>
      </c>
    </row>
    <row r="1803">
      <c r="A1803" s="2">
        <v>1801.0</v>
      </c>
      <c r="B1803" s="5" t="s">
        <v>11082</v>
      </c>
      <c r="C1803" s="2" t="s">
        <v>11083</v>
      </c>
      <c r="D1803" s="5" t="s">
        <v>11082</v>
      </c>
      <c r="E1803" s="2" t="s">
        <v>15441</v>
      </c>
      <c r="F1803" s="2" t="s">
        <v>15442</v>
      </c>
      <c r="G1803" s="2" t="s">
        <v>15443</v>
      </c>
      <c r="H1803" s="2" t="s">
        <v>15444</v>
      </c>
    </row>
    <row r="1804">
      <c r="A1804" s="2">
        <v>1802.0</v>
      </c>
      <c r="B1804" s="5" t="s">
        <v>11084</v>
      </c>
      <c r="C1804" s="2" t="s">
        <v>11085</v>
      </c>
      <c r="D1804" s="5" t="s">
        <v>11084</v>
      </c>
      <c r="E1804" s="2" t="s">
        <v>15441</v>
      </c>
      <c r="F1804" s="2" t="s">
        <v>15442</v>
      </c>
      <c r="G1804" s="2" t="s">
        <v>15443</v>
      </c>
      <c r="H1804" s="2" t="s">
        <v>15444</v>
      </c>
    </row>
    <row r="1805">
      <c r="A1805" s="2">
        <v>1803.0</v>
      </c>
      <c r="B1805" s="5" t="s">
        <v>2705</v>
      </c>
      <c r="C1805" s="2" t="s">
        <v>2706</v>
      </c>
      <c r="D1805" s="5" t="s">
        <v>2705</v>
      </c>
      <c r="E1805" s="2" t="s">
        <v>15445</v>
      </c>
      <c r="F1805" s="2" t="s">
        <v>15446</v>
      </c>
      <c r="G1805" s="2" t="s">
        <v>15443</v>
      </c>
      <c r="H1805" s="2" t="s">
        <v>15461</v>
      </c>
    </row>
    <row r="1806">
      <c r="A1806" s="2">
        <v>1804.0</v>
      </c>
      <c r="B1806" s="5" t="s">
        <v>2708</v>
      </c>
      <c r="C1806" s="2" t="s">
        <v>2709</v>
      </c>
      <c r="D1806" s="5" t="s">
        <v>2708</v>
      </c>
      <c r="E1806" s="2" t="s">
        <v>15445</v>
      </c>
      <c r="F1806" s="2" t="s">
        <v>15446</v>
      </c>
      <c r="G1806" s="2" t="s">
        <v>15443</v>
      </c>
      <c r="H1806" s="2" t="s">
        <v>15444</v>
      </c>
    </row>
    <row r="1807">
      <c r="A1807" s="2">
        <v>1805.0</v>
      </c>
      <c r="B1807" s="5" t="s">
        <v>11086</v>
      </c>
      <c r="C1807" s="2" t="s">
        <v>11087</v>
      </c>
      <c r="D1807" s="5" t="s">
        <v>11086</v>
      </c>
      <c r="E1807" s="2" t="s">
        <v>15441</v>
      </c>
      <c r="F1807" s="2" t="s">
        <v>15442</v>
      </c>
      <c r="G1807" s="2" t="s">
        <v>15456</v>
      </c>
      <c r="H1807" s="2" t="s">
        <v>15444</v>
      </c>
    </row>
    <row r="1808">
      <c r="A1808" s="2">
        <v>1806.0</v>
      </c>
      <c r="B1808" s="5" t="s">
        <v>2711</v>
      </c>
      <c r="C1808" s="2" t="s">
        <v>2712</v>
      </c>
      <c r="D1808" s="5" t="s">
        <v>2711</v>
      </c>
      <c r="E1808" s="2" t="s">
        <v>15445</v>
      </c>
      <c r="F1808" s="2" t="s">
        <v>15442</v>
      </c>
      <c r="G1808" s="2" t="s">
        <v>15456</v>
      </c>
      <c r="H1808" s="2" t="s">
        <v>15444</v>
      </c>
    </row>
    <row r="1809">
      <c r="A1809" s="2">
        <v>1807.0</v>
      </c>
      <c r="B1809" s="5" t="s">
        <v>2714</v>
      </c>
      <c r="C1809" s="2" t="s">
        <v>2715</v>
      </c>
      <c r="D1809" s="5" t="s">
        <v>2714</v>
      </c>
      <c r="E1809" s="2" t="s">
        <v>15445</v>
      </c>
      <c r="F1809" s="2" t="s">
        <v>15446</v>
      </c>
      <c r="G1809" s="2" t="s">
        <v>15443</v>
      </c>
      <c r="H1809" s="2" t="s">
        <v>15444</v>
      </c>
    </row>
    <row r="1810">
      <c r="A1810" s="2">
        <v>1808.0</v>
      </c>
      <c r="B1810" s="5" t="s">
        <v>2717</v>
      </c>
      <c r="C1810" s="2" t="s">
        <v>2718</v>
      </c>
      <c r="D1810" s="5" t="s">
        <v>2717</v>
      </c>
      <c r="E1810" s="2" t="s">
        <v>15445</v>
      </c>
      <c r="F1810" s="2" t="s">
        <v>15446</v>
      </c>
      <c r="G1810" s="2" t="s">
        <v>15456</v>
      </c>
      <c r="H1810" s="2" t="s">
        <v>15444</v>
      </c>
    </row>
    <row r="1811">
      <c r="A1811" s="2">
        <v>1809.0</v>
      </c>
      <c r="B1811" s="5" t="s">
        <v>11088</v>
      </c>
      <c r="C1811" s="2" t="s">
        <v>11089</v>
      </c>
      <c r="D1811" s="5" t="s">
        <v>11088</v>
      </c>
      <c r="E1811" s="2" t="s">
        <v>15441</v>
      </c>
      <c r="F1811" s="2" t="s">
        <v>15442</v>
      </c>
      <c r="G1811" s="2" t="s">
        <v>15443</v>
      </c>
      <c r="H1811" s="2" t="s">
        <v>15444</v>
      </c>
    </row>
    <row r="1812">
      <c r="A1812" s="2">
        <v>1810.0</v>
      </c>
      <c r="B1812" s="5" t="s">
        <v>11090</v>
      </c>
      <c r="C1812" s="2" t="s">
        <v>11091</v>
      </c>
      <c r="D1812" s="5" t="s">
        <v>11090</v>
      </c>
      <c r="E1812" s="2" t="s">
        <v>15441</v>
      </c>
      <c r="F1812" s="2" t="s">
        <v>15446</v>
      </c>
      <c r="G1812" s="2" t="s">
        <v>15456</v>
      </c>
      <c r="H1812" s="2" t="s">
        <v>15444</v>
      </c>
    </row>
    <row r="1813">
      <c r="A1813" s="2">
        <v>1811.0</v>
      </c>
      <c r="B1813" s="5" t="s">
        <v>11092</v>
      </c>
      <c r="C1813" s="2" t="s">
        <v>11093</v>
      </c>
      <c r="D1813" s="5" t="s">
        <v>11092</v>
      </c>
      <c r="E1813" s="2" t="s">
        <v>15441</v>
      </c>
      <c r="F1813" s="2" t="s">
        <v>15446</v>
      </c>
      <c r="G1813" s="2" t="s">
        <v>15456</v>
      </c>
      <c r="H1813" s="2" t="s">
        <v>15444</v>
      </c>
    </row>
    <row r="1814">
      <c r="A1814" s="2">
        <v>1812.0</v>
      </c>
      <c r="B1814" s="5" t="s">
        <v>2720</v>
      </c>
      <c r="C1814" s="2" t="s">
        <v>2721</v>
      </c>
      <c r="D1814" s="5" t="s">
        <v>2720</v>
      </c>
      <c r="E1814" s="2" t="s">
        <v>15445</v>
      </c>
      <c r="F1814" s="2" t="s">
        <v>15442</v>
      </c>
      <c r="G1814" s="2" t="s">
        <v>15456</v>
      </c>
      <c r="H1814" s="2" t="s">
        <v>15444</v>
      </c>
    </row>
    <row r="1815">
      <c r="A1815" s="2">
        <v>1813.0</v>
      </c>
      <c r="B1815" s="5" t="s">
        <v>2723</v>
      </c>
      <c r="C1815" s="2" t="s">
        <v>2724</v>
      </c>
      <c r="D1815" s="5" t="s">
        <v>2723</v>
      </c>
      <c r="E1815" s="2" t="s">
        <v>15445</v>
      </c>
      <c r="F1815" s="2" t="s">
        <v>15446</v>
      </c>
      <c r="G1815" s="2" t="s">
        <v>15456</v>
      </c>
      <c r="H1815" s="2" t="s">
        <v>15444</v>
      </c>
    </row>
    <row r="1816">
      <c r="A1816" s="2">
        <v>1814.0</v>
      </c>
      <c r="B1816" s="5" t="s">
        <v>2726</v>
      </c>
      <c r="C1816" s="2" t="s">
        <v>2727</v>
      </c>
      <c r="D1816" s="5" t="s">
        <v>2726</v>
      </c>
      <c r="E1816" s="2" t="s">
        <v>15445</v>
      </c>
      <c r="F1816" s="2" t="s">
        <v>15446</v>
      </c>
      <c r="G1816" s="2" t="s">
        <v>15443</v>
      </c>
      <c r="H1816" s="2" t="s">
        <v>15444</v>
      </c>
    </row>
    <row r="1817">
      <c r="A1817" s="2">
        <v>1815.0</v>
      </c>
      <c r="B1817" s="5" t="s">
        <v>11094</v>
      </c>
      <c r="C1817" s="2" t="s">
        <v>11095</v>
      </c>
      <c r="D1817" s="5" t="s">
        <v>11094</v>
      </c>
      <c r="E1817" s="2" t="s">
        <v>15441</v>
      </c>
      <c r="F1817" s="2" t="s">
        <v>15446</v>
      </c>
      <c r="G1817" s="2" t="s">
        <v>15456</v>
      </c>
      <c r="H1817" s="2" t="s">
        <v>15444</v>
      </c>
    </row>
    <row r="1818">
      <c r="A1818" s="2">
        <v>1816.0</v>
      </c>
      <c r="B1818" s="5" t="s">
        <v>11096</v>
      </c>
      <c r="C1818" s="2" t="s">
        <v>11097</v>
      </c>
      <c r="D1818" s="5" t="s">
        <v>11096</v>
      </c>
      <c r="E1818" s="2" t="s">
        <v>15441</v>
      </c>
      <c r="F1818" s="2" t="s">
        <v>15442</v>
      </c>
      <c r="G1818" s="2" t="s">
        <v>15443</v>
      </c>
      <c r="H1818" s="2" t="s">
        <v>15444</v>
      </c>
    </row>
    <row r="1819">
      <c r="A1819" s="2">
        <v>1817.0</v>
      </c>
      <c r="B1819" s="5" t="s">
        <v>11098</v>
      </c>
      <c r="C1819" s="2" t="s">
        <v>11099</v>
      </c>
      <c r="D1819" s="5" t="s">
        <v>11098</v>
      </c>
      <c r="E1819" s="2" t="s">
        <v>15441</v>
      </c>
      <c r="F1819" s="2" t="s">
        <v>15446</v>
      </c>
      <c r="G1819" s="2" t="s">
        <v>15443</v>
      </c>
      <c r="H1819" s="2" t="s">
        <v>15444</v>
      </c>
    </row>
    <row r="1820">
      <c r="A1820" s="2">
        <v>1818.0</v>
      </c>
      <c r="B1820" s="5" t="s">
        <v>2729</v>
      </c>
      <c r="C1820" s="2" t="s">
        <v>2730</v>
      </c>
      <c r="D1820" s="5" t="s">
        <v>2729</v>
      </c>
      <c r="E1820" s="2" t="s">
        <v>15445</v>
      </c>
      <c r="F1820" s="2" t="s">
        <v>15446</v>
      </c>
      <c r="G1820" s="2" t="s">
        <v>15456</v>
      </c>
      <c r="H1820" s="2" t="s">
        <v>15461</v>
      </c>
    </row>
    <row r="1821">
      <c r="A1821" s="2">
        <v>1819.0</v>
      </c>
      <c r="B1821" s="5" t="s">
        <v>2731</v>
      </c>
      <c r="C1821" s="2" t="s">
        <v>2732</v>
      </c>
      <c r="D1821" s="5" t="s">
        <v>2731</v>
      </c>
      <c r="E1821" s="2" t="s">
        <v>15445</v>
      </c>
      <c r="F1821" s="2" t="s">
        <v>15442</v>
      </c>
      <c r="G1821" s="2" t="s">
        <v>15443</v>
      </c>
      <c r="H1821" s="2" t="s">
        <v>15457</v>
      </c>
    </row>
    <row r="1822">
      <c r="A1822" s="2">
        <v>1820.0</v>
      </c>
      <c r="B1822" s="5" t="s">
        <v>2734</v>
      </c>
      <c r="C1822" s="2" t="s">
        <v>2735</v>
      </c>
      <c r="D1822" s="5" t="s">
        <v>2734</v>
      </c>
      <c r="E1822" s="2" t="s">
        <v>15445</v>
      </c>
      <c r="F1822" s="2" t="s">
        <v>15446</v>
      </c>
      <c r="G1822" s="2" t="s">
        <v>15443</v>
      </c>
      <c r="H1822" s="2" t="s">
        <v>15461</v>
      </c>
    </row>
    <row r="1823">
      <c r="A1823" s="2">
        <v>1821.0</v>
      </c>
      <c r="B1823" s="5" t="s">
        <v>11100</v>
      </c>
      <c r="C1823" s="2" t="s">
        <v>11101</v>
      </c>
      <c r="D1823" s="5" t="s">
        <v>11100</v>
      </c>
      <c r="E1823" s="2" t="s">
        <v>15441</v>
      </c>
      <c r="F1823" s="2" t="s">
        <v>15442</v>
      </c>
      <c r="G1823" s="2" t="s">
        <v>15456</v>
      </c>
      <c r="H1823" s="2" t="s">
        <v>15444</v>
      </c>
    </row>
    <row r="1824">
      <c r="A1824" s="2">
        <v>1822.0</v>
      </c>
      <c r="B1824" s="5" t="s">
        <v>2737</v>
      </c>
      <c r="C1824" s="2" t="s">
        <v>2738</v>
      </c>
      <c r="D1824" s="5" t="s">
        <v>2737</v>
      </c>
      <c r="E1824" s="2" t="s">
        <v>15445</v>
      </c>
      <c r="F1824" s="2" t="s">
        <v>15446</v>
      </c>
      <c r="G1824" s="2" t="s">
        <v>15456</v>
      </c>
      <c r="H1824" s="2" t="s">
        <v>15444</v>
      </c>
    </row>
    <row r="1825">
      <c r="A1825" s="2">
        <v>1823.0</v>
      </c>
      <c r="B1825" s="5" t="s">
        <v>11102</v>
      </c>
      <c r="C1825" s="2" t="s">
        <v>11103</v>
      </c>
      <c r="D1825" s="5" t="s">
        <v>11102</v>
      </c>
      <c r="E1825" s="2" t="s">
        <v>15441</v>
      </c>
      <c r="F1825" s="2" t="s">
        <v>15446</v>
      </c>
      <c r="G1825" s="2" t="s">
        <v>15443</v>
      </c>
      <c r="H1825" s="2" t="s">
        <v>15444</v>
      </c>
    </row>
    <row r="1826">
      <c r="A1826" s="2">
        <v>1824.0</v>
      </c>
      <c r="B1826" s="5" t="s">
        <v>2740</v>
      </c>
      <c r="C1826" s="2" t="s">
        <v>2741</v>
      </c>
      <c r="D1826" s="5" t="s">
        <v>2740</v>
      </c>
      <c r="E1826" s="2" t="s">
        <v>15445</v>
      </c>
      <c r="F1826" s="2" t="s">
        <v>15446</v>
      </c>
      <c r="G1826" s="2" t="s">
        <v>15456</v>
      </c>
      <c r="H1826" s="2" t="s">
        <v>15444</v>
      </c>
    </row>
    <row r="1827">
      <c r="A1827" s="2">
        <v>1825.0</v>
      </c>
      <c r="B1827" s="5" t="s">
        <v>11104</v>
      </c>
      <c r="C1827" s="2" t="s">
        <v>11105</v>
      </c>
      <c r="D1827" s="5" t="s">
        <v>11104</v>
      </c>
      <c r="E1827" s="2" t="s">
        <v>15441</v>
      </c>
      <c r="F1827" s="2" t="s">
        <v>15446</v>
      </c>
      <c r="G1827" s="2" t="s">
        <v>15456</v>
      </c>
      <c r="H1827" s="2" t="s">
        <v>15444</v>
      </c>
    </row>
    <row r="1828">
      <c r="A1828" s="2">
        <v>1826.0</v>
      </c>
      <c r="B1828" s="5" t="s">
        <v>11106</v>
      </c>
      <c r="C1828" s="2" t="s">
        <v>11107</v>
      </c>
      <c r="D1828" s="5" t="s">
        <v>11106</v>
      </c>
      <c r="E1828" s="2" t="s">
        <v>15441</v>
      </c>
      <c r="F1828" s="2" t="s">
        <v>15442</v>
      </c>
      <c r="G1828" s="2" t="s">
        <v>15443</v>
      </c>
      <c r="H1828" s="2" t="s">
        <v>15444</v>
      </c>
    </row>
    <row r="1829">
      <c r="A1829" s="2">
        <v>1827.0</v>
      </c>
      <c r="B1829" s="5" t="s">
        <v>2743</v>
      </c>
      <c r="C1829" s="2" t="s">
        <v>2744</v>
      </c>
      <c r="D1829" s="5" t="s">
        <v>2743</v>
      </c>
      <c r="E1829" s="2" t="s">
        <v>15445</v>
      </c>
      <c r="F1829" s="2" t="s">
        <v>15442</v>
      </c>
      <c r="G1829" s="2" t="s">
        <v>15443</v>
      </c>
      <c r="H1829" s="2" t="s">
        <v>15444</v>
      </c>
    </row>
    <row r="1830">
      <c r="A1830" s="2">
        <v>1828.0</v>
      </c>
      <c r="B1830" s="5" t="s">
        <v>11108</v>
      </c>
      <c r="C1830" s="2" t="s">
        <v>11109</v>
      </c>
      <c r="D1830" s="5" t="s">
        <v>11108</v>
      </c>
      <c r="E1830" s="2" t="s">
        <v>15441</v>
      </c>
      <c r="F1830" s="2" t="s">
        <v>15442</v>
      </c>
      <c r="G1830" s="2" t="s">
        <v>15443</v>
      </c>
      <c r="H1830" s="2" t="s">
        <v>15444</v>
      </c>
    </row>
    <row r="1831">
      <c r="A1831" s="2">
        <v>1829.0</v>
      </c>
      <c r="B1831" s="5" t="s">
        <v>11110</v>
      </c>
      <c r="C1831" s="2" t="s">
        <v>11111</v>
      </c>
      <c r="D1831" s="5" t="s">
        <v>11110</v>
      </c>
      <c r="E1831" s="2" t="s">
        <v>15441</v>
      </c>
      <c r="F1831" s="2" t="s">
        <v>15446</v>
      </c>
      <c r="G1831" s="2" t="s">
        <v>15443</v>
      </c>
      <c r="H1831" s="2" t="s">
        <v>15462</v>
      </c>
    </row>
    <row r="1832">
      <c r="A1832" s="2">
        <v>1830.0</v>
      </c>
      <c r="B1832" s="5" t="s">
        <v>11112</v>
      </c>
      <c r="C1832" s="2" t="s">
        <v>11113</v>
      </c>
      <c r="D1832" s="5" t="s">
        <v>11112</v>
      </c>
      <c r="E1832" s="2" t="s">
        <v>15441</v>
      </c>
      <c r="F1832" s="2" t="s">
        <v>15446</v>
      </c>
      <c r="G1832" s="2" t="s">
        <v>15456</v>
      </c>
      <c r="H1832" s="2" t="s">
        <v>15444</v>
      </c>
    </row>
    <row r="1833">
      <c r="A1833" s="2">
        <v>1831.0</v>
      </c>
      <c r="B1833" s="5" t="s">
        <v>2746</v>
      </c>
      <c r="C1833" s="2" t="s">
        <v>2747</v>
      </c>
      <c r="D1833" s="5" t="s">
        <v>2746</v>
      </c>
      <c r="E1833" s="2" t="s">
        <v>15445</v>
      </c>
      <c r="F1833" s="2" t="s">
        <v>15446</v>
      </c>
      <c r="G1833" s="2" t="s">
        <v>15456</v>
      </c>
      <c r="H1833" s="2" t="s">
        <v>15444</v>
      </c>
    </row>
    <row r="1834">
      <c r="A1834" s="2">
        <v>1832.0</v>
      </c>
      <c r="B1834" s="5" t="s">
        <v>2749</v>
      </c>
      <c r="C1834" s="2" t="s">
        <v>2750</v>
      </c>
      <c r="D1834" s="5" t="s">
        <v>2749</v>
      </c>
      <c r="E1834" s="2" t="s">
        <v>15445</v>
      </c>
      <c r="F1834" s="2" t="s">
        <v>15446</v>
      </c>
      <c r="G1834" s="2" t="s">
        <v>15456</v>
      </c>
      <c r="H1834" s="2" t="s">
        <v>15457</v>
      </c>
    </row>
    <row r="1835">
      <c r="A1835" s="2">
        <v>1833.0</v>
      </c>
      <c r="B1835" s="5" t="s">
        <v>2752</v>
      </c>
      <c r="C1835" s="2" t="s">
        <v>2753</v>
      </c>
      <c r="D1835" s="5" t="s">
        <v>2752</v>
      </c>
      <c r="E1835" s="2" t="s">
        <v>15445</v>
      </c>
      <c r="F1835" s="2" t="s">
        <v>15442</v>
      </c>
      <c r="G1835" s="2" t="s">
        <v>15443</v>
      </c>
      <c r="H1835" s="2" t="s">
        <v>15444</v>
      </c>
    </row>
    <row r="1836">
      <c r="A1836" s="2">
        <v>1834.0</v>
      </c>
      <c r="B1836" s="5" t="s">
        <v>2755</v>
      </c>
      <c r="C1836" s="2" t="s">
        <v>2756</v>
      </c>
      <c r="D1836" s="5" t="s">
        <v>2755</v>
      </c>
      <c r="E1836" s="2" t="s">
        <v>15445</v>
      </c>
      <c r="F1836" s="2" t="s">
        <v>15446</v>
      </c>
      <c r="G1836" s="2" t="s">
        <v>15443</v>
      </c>
      <c r="H1836" s="2" t="s">
        <v>15444</v>
      </c>
    </row>
    <row r="1837">
      <c r="A1837" s="2">
        <v>1835.0</v>
      </c>
      <c r="B1837" s="5" t="s">
        <v>11114</v>
      </c>
      <c r="C1837" s="2" t="s">
        <v>11115</v>
      </c>
      <c r="D1837" s="5" t="s">
        <v>11114</v>
      </c>
      <c r="E1837" s="2" t="s">
        <v>15441</v>
      </c>
      <c r="F1837" s="2" t="s">
        <v>15446</v>
      </c>
      <c r="G1837" s="2" t="s">
        <v>15456</v>
      </c>
      <c r="H1837" s="2" t="s">
        <v>15444</v>
      </c>
    </row>
    <row r="1838">
      <c r="A1838" s="2">
        <v>1836.0</v>
      </c>
      <c r="B1838" s="5" t="s">
        <v>11116</v>
      </c>
      <c r="C1838" s="2" t="s">
        <v>11117</v>
      </c>
      <c r="D1838" s="5" t="s">
        <v>11116</v>
      </c>
      <c r="E1838" s="2" t="s">
        <v>15441</v>
      </c>
      <c r="F1838" s="2" t="s">
        <v>15446</v>
      </c>
      <c r="G1838" s="2" t="s">
        <v>15443</v>
      </c>
      <c r="H1838" s="2" t="s">
        <v>15444</v>
      </c>
    </row>
    <row r="1839">
      <c r="A1839" s="2">
        <v>1837.0</v>
      </c>
      <c r="B1839" s="5" t="s">
        <v>11118</v>
      </c>
      <c r="C1839" s="2" t="s">
        <v>11119</v>
      </c>
      <c r="D1839" s="5" t="s">
        <v>11118</v>
      </c>
      <c r="E1839" s="2" t="s">
        <v>15441</v>
      </c>
      <c r="F1839" s="2" t="s">
        <v>15442</v>
      </c>
      <c r="G1839" s="2" t="s">
        <v>15443</v>
      </c>
      <c r="H1839" s="2" t="s">
        <v>15444</v>
      </c>
    </row>
    <row r="1840">
      <c r="A1840" s="2">
        <v>1838.0</v>
      </c>
      <c r="B1840" s="5" t="s">
        <v>11120</v>
      </c>
      <c r="C1840" s="2" t="s">
        <v>11121</v>
      </c>
      <c r="D1840" s="5" t="s">
        <v>11120</v>
      </c>
      <c r="E1840" s="2" t="s">
        <v>15441</v>
      </c>
      <c r="F1840" s="2" t="s">
        <v>15442</v>
      </c>
      <c r="G1840" s="2" t="s">
        <v>15443</v>
      </c>
      <c r="H1840" s="2" t="s">
        <v>15444</v>
      </c>
    </row>
    <row r="1841">
      <c r="A1841" s="2">
        <v>1839.0</v>
      </c>
      <c r="B1841" s="5" t="s">
        <v>2758</v>
      </c>
      <c r="C1841" s="2" t="s">
        <v>2759</v>
      </c>
      <c r="D1841" s="5" t="s">
        <v>2758</v>
      </c>
      <c r="E1841" s="2" t="s">
        <v>15445</v>
      </c>
      <c r="F1841" s="2" t="s">
        <v>15442</v>
      </c>
      <c r="G1841" s="2" t="s">
        <v>15443</v>
      </c>
      <c r="H1841" s="2" t="s">
        <v>15444</v>
      </c>
    </row>
    <row r="1842">
      <c r="A1842" s="2">
        <v>1840.0</v>
      </c>
      <c r="B1842" s="5" t="s">
        <v>11122</v>
      </c>
      <c r="C1842" s="2" t="s">
        <v>11123</v>
      </c>
      <c r="D1842" s="5" t="s">
        <v>11122</v>
      </c>
      <c r="E1842" s="2" t="s">
        <v>15441</v>
      </c>
      <c r="F1842" s="2" t="s">
        <v>15446</v>
      </c>
      <c r="G1842" s="2" t="s">
        <v>15456</v>
      </c>
      <c r="H1842" s="2" t="s">
        <v>15444</v>
      </c>
    </row>
    <row r="1843">
      <c r="A1843" s="2">
        <v>1841.0</v>
      </c>
      <c r="B1843" s="5" t="s">
        <v>11124</v>
      </c>
      <c r="C1843" s="2" t="s">
        <v>11125</v>
      </c>
      <c r="D1843" s="5" t="s">
        <v>11124</v>
      </c>
      <c r="E1843" s="2" t="s">
        <v>15441</v>
      </c>
      <c r="F1843" s="2" t="s">
        <v>15446</v>
      </c>
      <c r="G1843" s="2" t="s">
        <v>15456</v>
      </c>
      <c r="H1843" s="2" t="s">
        <v>15444</v>
      </c>
    </row>
    <row r="1844">
      <c r="A1844" s="2">
        <v>1842.0</v>
      </c>
      <c r="B1844" s="5" t="s">
        <v>2761</v>
      </c>
      <c r="C1844" s="2" t="s">
        <v>2762</v>
      </c>
      <c r="D1844" s="5" t="s">
        <v>2761</v>
      </c>
      <c r="E1844" s="2" t="s">
        <v>15445</v>
      </c>
      <c r="F1844" s="2" t="s">
        <v>15446</v>
      </c>
      <c r="G1844" s="2" t="s">
        <v>15456</v>
      </c>
      <c r="H1844" s="2" t="s">
        <v>15444</v>
      </c>
    </row>
    <row r="1845">
      <c r="A1845" s="2">
        <v>1843.0</v>
      </c>
      <c r="B1845" s="5" t="s">
        <v>11126</v>
      </c>
      <c r="C1845" s="2" t="s">
        <v>11127</v>
      </c>
      <c r="D1845" s="5" t="s">
        <v>11126</v>
      </c>
      <c r="E1845" s="2" t="s">
        <v>15441</v>
      </c>
      <c r="F1845" s="2" t="s">
        <v>15446</v>
      </c>
      <c r="G1845" s="2" t="s">
        <v>15456</v>
      </c>
      <c r="H1845" s="2" t="s">
        <v>15457</v>
      </c>
    </row>
    <row r="1846">
      <c r="A1846" s="2">
        <v>1844.0</v>
      </c>
      <c r="B1846" s="5" t="s">
        <v>11128</v>
      </c>
      <c r="C1846" s="2" t="s">
        <v>11129</v>
      </c>
      <c r="D1846" s="5" t="s">
        <v>11128</v>
      </c>
      <c r="E1846" s="2" t="s">
        <v>15441</v>
      </c>
      <c r="F1846" s="2" t="s">
        <v>15442</v>
      </c>
      <c r="G1846" s="2" t="s">
        <v>15443</v>
      </c>
      <c r="H1846" s="2" t="s">
        <v>15444</v>
      </c>
    </row>
    <row r="1847">
      <c r="A1847" s="2">
        <v>1845.0</v>
      </c>
      <c r="B1847" s="5" t="s">
        <v>2764</v>
      </c>
      <c r="C1847" s="2" t="s">
        <v>2765</v>
      </c>
      <c r="D1847" s="5" t="s">
        <v>2764</v>
      </c>
      <c r="E1847" s="2" t="s">
        <v>15445</v>
      </c>
      <c r="F1847" s="2" t="s">
        <v>15446</v>
      </c>
      <c r="G1847" s="2" t="s">
        <v>15443</v>
      </c>
      <c r="H1847" s="2" t="s">
        <v>15444</v>
      </c>
    </row>
    <row r="1848">
      <c r="A1848" s="2">
        <v>1846.0</v>
      </c>
      <c r="B1848" s="5" t="s">
        <v>2767</v>
      </c>
      <c r="C1848" s="2" t="s">
        <v>2768</v>
      </c>
      <c r="D1848" s="5" t="s">
        <v>2767</v>
      </c>
      <c r="E1848" s="2" t="s">
        <v>15445</v>
      </c>
      <c r="F1848" s="2" t="s">
        <v>15442</v>
      </c>
      <c r="G1848" s="2" t="s">
        <v>15443</v>
      </c>
      <c r="H1848" s="2" t="s">
        <v>15444</v>
      </c>
    </row>
    <row r="1849">
      <c r="A1849" s="2">
        <v>1847.0</v>
      </c>
      <c r="B1849" s="5" t="s">
        <v>2770</v>
      </c>
      <c r="C1849" s="2" t="s">
        <v>2771</v>
      </c>
      <c r="D1849" s="5" t="s">
        <v>2770</v>
      </c>
      <c r="E1849" s="2" t="s">
        <v>15445</v>
      </c>
      <c r="F1849" s="2" t="s">
        <v>15446</v>
      </c>
      <c r="G1849" s="2" t="s">
        <v>15456</v>
      </c>
      <c r="H1849" s="2" t="s">
        <v>15444</v>
      </c>
    </row>
    <row r="1850">
      <c r="A1850" s="2">
        <v>1848.0</v>
      </c>
      <c r="B1850" s="5" t="s">
        <v>11130</v>
      </c>
      <c r="C1850" s="2" t="s">
        <v>11131</v>
      </c>
      <c r="D1850" s="5" t="s">
        <v>11130</v>
      </c>
      <c r="E1850" s="2" t="s">
        <v>15441</v>
      </c>
      <c r="F1850" s="2" t="s">
        <v>15446</v>
      </c>
      <c r="G1850" s="2" t="s">
        <v>15456</v>
      </c>
      <c r="H1850" s="2" t="s">
        <v>15444</v>
      </c>
    </row>
    <row r="1851">
      <c r="A1851" s="2">
        <v>1849.0</v>
      </c>
      <c r="B1851" s="5" t="s">
        <v>2773</v>
      </c>
      <c r="C1851" s="2" t="s">
        <v>2774</v>
      </c>
      <c r="D1851" s="5" t="s">
        <v>2773</v>
      </c>
      <c r="E1851" s="2" t="s">
        <v>15445</v>
      </c>
      <c r="F1851" s="2" t="s">
        <v>15446</v>
      </c>
      <c r="G1851" s="2" t="s">
        <v>15456</v>
      </c>
      <c r="H1851" s="2" t="s">
        <v>15444</v>
      </c>
    </row>
    <row r="1852">
      <c r="A1852" s="2">
        <v>1850.0</v>
      </c>
      <c r="B1852" s="5" t="s">
        <v>11132</v>
      </c>
      <c r="C1852" s="2" t="s">
        <v>11133</v>
      </c>
      <c r="D1852" s="5" t="s">
        <v>11132</v>
      </c>
      <c r="E1852" s="2" t="s">
        <v>15441</v>
      </c>
      <c r="F1852" s="2" t="s">
        <v>15446</v>
      </c>
      <c r="G1852" s="2" t="s">
        <v>15443</v>
      </c>
      <c r="H1852" s="2" t="s">
        <v>15444</v>
      </c>
    </row>
    <row r="1853">
      <c r="A1853" s="2">
        <v>1851.0</v>
      </c>
      <c r="B1853" s="5" t="s">
        <v>11134</v>
      </c>
      <c r="C1853" s="2" t="s">
        <v>11135</v>
      </c>
      <c r="D1853" s="5" t="s">
        <v>11134</v>
      </c>
      <c r="E1853" s="2" t="s">
        <v>15441</v>
      </c>
      <c r="F1853" s="2" t="s">
        <v>15446</v>
      </c>
      <c r="G1853" s="2" t="s">
        <v>15456</v>
      </c>
      <c r="H1853" s="2" t="s">
        <v>15444</v>
      </c>
    </row>
    <row r="1854">
      <c r="A1854" s="2">
        <v>1852.0</v>
      </c>
      <c r="B1854" s="5" t="s">
        <v>2776</v>
      </c>
      <c r="C1854" s="2" t="s">
        <v>2777</v>
      </c>
      <c r="D1854" s="5" t="s">
        <v>2776</v>
      </c>
      <c r="E1854" s="2" t="s">
        <v>15445</v>
      </c>
      <c r="F1854" s="2" t="s">
        <v>15446</v>
      </c>
      <c r="G1854" s="2" t="s">
        <v>15443</v>
      </c>
      <c r="H1854" s="2" t="s">
        <v>15444</v>
      </c>
    </row>
    <row r="1855">
      <c r="A1855" s="2">
        <v>1853.0</v>
      </c>
      <c r="B1855" s="5" t="s">
        <v>2779</v>
      </c>
      <c r="C1855" s="2" t="s">
        <v>2780</v>
      </c>
      <c r="D1855" s="5" t="s">
        <v>2779</v>
      </c>
      <c r="E1855" s="2" t="s">
        <v>15445</v>
      </c>
      <c r="F1855" s="2" t="s">
        <v>15442</v>
      </c>
      <c r="G1855" s="2" t="s">
        <v>15443</v>
      </c>
      <c r="H1855" s="2" t="s">
        <v>15444</v>
      </c>
    </row>
    <row r="1856">
      <c r="A1856" s="2">
        <v>1854.0</v>
      </c>
      <c r="B1856" s="5" t="s">
        <v>2782</v>
      </c>
      <c r="C1856" s="2" t="s">
        <v>2783</v>
      </c>
      <c r="D1856" s="5" t="s">
        <v>2782</v>
      </c>
      <c r="E1856" s="2" t="s">
        <v>15445</v>
      </c>
      <c r="F1856" s="2" t="s">
        <v>15442</v>
      </c>
      <c r="G1856" s="2" t="s">
        <v>15443</v>
      </c>
      <c r="H1856" s="2" t="s">
        <v>15444</v>
      </c>
    </row>
    <row r="1857">
      <c r="A1857" s="2">
        <v>1855.0</v>
      </c>
      <c r="B1857" s="5" t="s">
        <v>2785</v>
      </c>
      <c r="C1857" s="2" t="s">
        <v>2786</v>
      </c>
      <c r="D1857" s="5" t="s">
        <v>2785</v>
      </c>
      <c r="E1857" s="2" t="s">
        <v>15445</v>
      </c>
      <c r="F1857" s="2" t="s">
        <v>15446</v>
      </c>
      <c r="G1857" s="2" t="s">
        <v>15456</v>
      </c>
      <c r="H1857" s="2" t="s">
        <v>15444</v>
      </c>
    </row>
    <row r="1858">
      <c r="A1858" s="2">
        <v>1856.0</v>
      </c>
      <c r="B1858" s="5" t="s">
        <v>2788</v>
      </c>
      <c r="C1858" s="2" t="s">
        <v>2789</v>
      </c>
      <c r="D1858" s="5" t="s">
        <v>2788</v>
      </c>
      <c r="E1858" s="2" t="s">
        <v>15445</v>
      </c>
      <c r="F1858" s="2" t="s">
        <v>15442</v>
      </c>
      <c r="G1858" s="2" t="s">
        <v>15443</v>
      </c>
      <c r="H1858" s="2" t="s">
        <v>15444</v>
      </c>
    </row>
    <row r="1859">
      <c r="A1859" s="2">
        <v>1857.0</v>
      </c>
      <c r="B1859" s="5" t="s">
        <v>11136</v>
      </c>
      <c r="C1859" s="2" t="s">
        <v>11137</v>
      </c>
      <c r="D1859" s="5" t="s">
        <v>11136</v>
      </c>
      <c r="E1859" s="2" t="s">
        <v>15441</v>
      </c>
      <c r="F1859" s="2" t="s">
        <v>15446</v>
      </c>
      <c r="G1859" s="2" t="s">
        <v>15456</v>
      </c>
      <c r="H1859" s="2" t="s">
        <v>15444</v>
      </c>
    </row>
    <row r="1860">
      <c r="A1860" s="2">
        <v>1858.0</v>
      </c>
      <c r="B1860" s="5" t="s">
        <v>11138</v>
      </c>
      <c r="C1860" s="2" t="s">
        <v>11139</v>
      </c>
      <c r="D1860" s="5" t="s">
        <v>11138</v>
      </c>
      <c r="E1860" s="2" t="s">
        <v>15441</v>
      </c>
      <c r="F1860" s="2" t="s">
        <v>15442</v>
      </c>
      <c r="G1860" s="2" t="s">
        <v>15443</v>
      </c>
      <c r="H1860" s="2" t="s">
        <v>15444</v>
      </c>
    </row>
    <row r="1861">
      <c r="A1861" s="2">
        <v>1859.0</v>
      </c>
      <c r="B1861" s="5" t="s">
        <v>2791</v>
      </c>
      <c r="C1861" s="2" t="s">
        <v>2792</v>
      </c>
      <c r="D1861" s="5" t="s">
        <v>2791</v>
      </c>
      <c r="E1861" s="2" t="s">
        <v>15445</v>
      </c>
      <c r="F1861" s="2" t="s">
        <v>15446</v>
      </c>
      <c r="G1861" s="2" t="s">
        <v>15456</v>
      </c>
      <c r="H1861" s="2" t="s">
        <v>15462</v>
      </c>
    </row>
    <row r="1862">
      <c r="A1862" s="2">
        <v>1860.0</v>
      </c>
      <c r="B1862" s="5" t="s">
        <v>11140</v>
      </c>
      <c r="C1862" s="2" t="s">
        <v>11141</v>
      </c>
      <c r="D1862" s="5" t="s">
        <v>11140</v>
      </c>
      <c r="E1862" s="2" t="s">
        <v>15441</v>
      </c>
      <c r="F1862" s="2" t="s">
        <v>15442</v>
      </c>
      <c r="G1862" s="2" t="s">
        <v>15456</v>
      </c>
      <c r="H1862" s="2" t="s">
        <v>15444</v>
      </c>
    </row>
    <row r="1863">
      <c r="A1863" s="2">
        <v>1861.0</v>
      </c>
      <c r="B1863" s="5" t="s">
        <v>2794</v>
      </c>
      <c r="C1863" s="2" t="s">
        <v>2795</v>
      </c>
      <c r="D1863" s="5" t="s">
        <v>2794</v>
      </c>
      <c r="E1863" s="2" t="s">
        <v>15445</v>
      </c>
      <c r="F1863" s="2" t="s">
        <v>15442</v>
      </c>
      <c r="G1863" s="2" t="s">
        <v>15456</v>
      </c>
      <c r="H1863" s="2" t="s">
        <v>15444</v>
      </c>
    </row>
    <row r="1864">
      <c r="A1864" s="2">
        <v>1862.0</v>
      </c>
      <c r="B1864" s="5" t="s">
        <v>11142</v>
      </c>
      <c r="C1864" s="2" t="s">
        <v>11143</v>
      </c>
      <c r="D1864" s="5" t="s">
        <v>11142</v>
      </c>
      <c r="E1864" s="2" t="s">
        <v>15441</v>
      </c>
      <c r="F1864" s="2" t="s">
        <v>15446</v>
      </c>
      <c r="G1864" s="2" t="s">
        <v>15456</v>
      </c>
      <c r="H1864" s="2" t="s">
        <v>15457</v>
      </c>
    </row>
    <row r="1865">
      <c r="A1865" s="2">
        <v>1863.0</v>
      </c>
      <c r="B1865" s="5" t="s">
        <v>2797</v>
      </c>
      <c r="C1865" s="2" t="s">
        <v>2798</v>
      </c>
      <c r="D1865" s="5" t="s">
        <v>2797</v>
      </c>
      <c r="E1865" s="2" t="s">
        <v>15445</v>
      </c>
      <c r="F1865" s="2" t="s">
        <v>15446</v>
      </c>
      <c r="G1865" s="2" t="s">
        <v>15456</v>
      </c>
      <c r="H1865" s="2" t="s">
        <v>15444</v>
      </c>
    </row>
    <row r="1866">
      <c r="A1866" s="2">
        <v>1864.0</v>
      </c>
      <c r="B1866" s="5" t="s">
        <v>2800</v>
      </c>
      <c r="C1866" s="2" t="s">
        <v>2801</v>
      </c>
      <c r="D1866" s="5" t="s">
        <v>2800</v>
      </c>
      <c r="E1866" s="2" t="s">
        <v>15445</v>
      </c>
      <c r="F1866" s="2" t="s">
        <v>15442</v>
      </c>
      <c r="G1866" s="2" t="s">
        <v>15443</v>
      </c>
      <c r="H1866" s="2" t="s">
        <v>15444</v>
      </c>
    </row>
    <row r="1867">
      <c r="A1867" s="2">
        <v>1865.0</v>
      </c>
      <c r="B1867" s="5" t="s">
        <v>11144</v>
      </c>
      <c r="C1867" s="2" t="s">
        <v>11145</v>
      </c>
      <c r="D1867" s="5" t="s">
        <v>11144</v>
      </c>
      <c r="E1867" s="2" t="s">
        <v>15441</v>
      </c>
      <c r="F1867" s="2" t="s">
        <v>15442</v>
      </c>
      <c r="G1867" s="2" t="s">
        <v>15443</v>
      </c>
      <c r="H1867" s="2" t="s">
        <v>15444</v>
      </c>
    </row>
    <row r="1868">
      <c r="A1868" s="2">
        <v>1866.0</v>
      </c>
      <c r="B1868" s="5" t="s">
        <v>2803</v>
      </c>
      <c r="C1868" s="2" t="s">
        <v>2804</v>
      </c>
      <c r="D1868" s="5" t="s">
        <v>2803</v>
      </c>
      <c r="E1868" s="2" t="s">
        <v>15445</v>
      </c>
      <c r="F1868" s="2" t="s">
        <v>15446</v>
      </c>
      <c r="G1868" s="2" t="s">
        <v>15456</v>
      </c>
      <c r="H1868" s="2" t="s">
        <v>15444</v>
      </c>
    </row>
    <row r="1869">
      <c r="A1869" s="2">
        <v>1867.0</v>
      </c>
      <c r="B1869" s="5" t="s">
        <v>2806</v>
      </c>
      <c r="C1869" s="2" t="s">
        <v>2807</v>
      </c>
      <c r="D1869" s="5" t="s">
        <v>2806</v>
      </c>
      <c r="E1869" s="2" t="s">
        <v>15445</v>
      </c>
      <c r="F1869" s="2" t="s">
        <v>15442</v>
      </c>
      <c r="G1869" s="2" t="s">
        <v>15443</v>
      </c>
      <c r="H1869" s="2" t="s">
        <v>15444</v>
      </c>
    </row>
    <row r="1870">
      <c r="A1870" s="2">
        <v>1868.0</v>
      </c>
      <c r="B1870" s="5" t="s">
        <v>2809</v>
      </c>
      <c r="C1870" s="2" t="s">
        <v>2810</v>
      </c>
      <c r="D1870" s="5" t="s">
        <v>2809</v>
      </c>
      <c r="E1870" s="2" t="s">
        <v>15445</v>
      </c>
      <c r="F1870" s="2" t="s">
        <v>15446</v>
      </c>
      <c r="G1870" s="2" t="s">
        <v>15443</v>
      </c>
      <c r="H1870" s="2" t="s">
        <v>15444</v>
      </c>
    </row>
    <row r="1871">
      <c r="A1871" s="2">
        <v>1869.0</v>
      </c>
      <c r="B1871" s="5" t="s">
        <v>11146</v>
      </c>
      <c r="C1871" s="2" t="s">
        <v>11147</v>
      </c>
      <c r="D1871" s="5" t="s">
        <v>11146</v>
      </c>
      <c r="E1871" s="2" t="s">
        <v>15441</v>
      </c>
      <c r="F1871" s="2" t="s">
        <v>15442</v>
      </c>
      <c r="G1871" s="2" t="s">
        <v>15443</v>
      </c>
      <c r="H1871" s="2" t="s">
        <v>15455</v>
      </c>
    </row>
    <row r="1872">
      <c r="A1872" s="2">
        <v>1870.0</v>
      </c>
      <c r="B1872" s="5" t="s">
        <v>2812</v>
      </c>
      <c r="C1872" s="2" t="s">
        <v>2813</v>
      </c>
      <c r="D1872" s="5" t="s">
        <v>2812</v>
      </c>
      <c r="E1872" s="2" t="s">
        <v>15445</v>
      </c>
      <c r="F1872" s="2" t="s">
        <v>15442</v>
      </c>
      <c r="G1872" s="2" t="s">
        <v>15443</v>
      </c>
      <c r="H1872" s="2" t="s">
        <v>15444</v>
      </c>
    </row>
    <row r="1873">
      <c r="A1873" s="2">
        <v>1871.0</v>
      </c>
      <c r="B1873" s="5" t="s">
        <v>11148</v>
      </c>
      <c r="C1873" s="2" t="s">
        <v>11149</v>
      </c>
      <c r="D1873" s="5" t="s">
        <v>11148</v>
      </c>
      <c r="E1873" s="2" t="s">
        <v>15441</v>
      </c>
      <c r="F1873" s="2" t="s">
        <v>15446</v>
      </c>
      <c r="G1873" s="2" t="s">
        <v>15456</v>
      </c>
      <c r="H1873" s="2" t="s">
        <v>15444</v>
      </c>
    </row>
    <row r="1874">
      <c r="A1874" s="2">
        <v>1872.0</v>
      </c>
      <c r="B1874" s="5" t="s">
        <v>11150</v>
      </c>
      <c r="C1874" s="2" t="s">
        <v>11151</v>
      </c>
      <c r="D1874" s="5" t="s">
        <v>11150</v>
      </c>
      <c r="E1874" s="2" t="s">
        <v>15441</v>
      </c>
      <c r="F1874" s="2" t="s">
        <v>15442</v>
      </c>
      <c r="G1874" s="2" t="s">
        <v>15443</v>
      </c>
      <c r="H1874" s="2" t="s">
        <v>15444</v>
      </c>
    </row>
    <row r="1875">
      <c r="A1875" s="2">
        <v>1873.0</v>
      </c>
      <c r="B1875" s="5" t="s">
        <v>2815</v>
      </c>
      <c r="C1875" s="2" t="s">
        <v>2816</v>
      </c>
      <c r="D1875" s="5" t="s">
        <v>2815</v>
      </c>
      <c r="E1875" s="2" t="s">
        <v>15445</v>
      </c>
      <c r="F1875" s="2" t="s">
        <v>15442</v>
      </c>
      <c r="G1875" s="2" t="s">
        <v>15443</v>
      </c>
      <c r="H1875" s="2" t="s">
        <v>15444</v>
      </c>
    </row>
    <row r="1876">
      <c r="A1876" s="2">
        <v>1874.0</v>
      </c>
      <c r="B1876" s="5" t="s">
        <v>2818</v>
      </c>
      <c r="C1876" s="2" t="s">
        <v>2819</v>
      </c>
      <c r="D1876" s="5" t="s">
        <v>2818</v>
      </c>
      <c r="E1876" s="2" t="s">
        <v>15445</v>
      </c>
      <c r="F1876" s="2" t="s">
        <v>15442</v>
      </c>
      <c r="G1876" s="2" t="s">
        <v>15443</v>
      </c>
      <c r="H1876" s="2" t="s">
        <v>15444</v>
      </c>
    </row>
    <row r="1877">
      <c r="A1877" s="2">
        <v>1875.0</v>
      </c>
      <c r="B1877" s="5" t="s">
        <v>2821</v>
      </c>
      <c r="C1877" s="2" t="s">
        <v>2822</v>
      </c>
      <c r="D1877" s="5" t="s">
        <v>2821</v>
      </c>
      <c r="E1877" s="2" t="s">
        <v>15445</v>
      </c>
      <c r="F1877" s="2" t="s">
        <v>15442</v>
      </c>
      <c r="G1877" s="2" t="s">
        <v>15443</v>
      </c>
      <c r="H1877" s="2" t="s">
        <v>15444</v>
      </c>
    </row>
    <row r="1878">
      <c r="A1878" s="2">
        <v>1876.0</v>
      </c>
      <c r="B1878" s="5" t="s">
        <v>11152</v>
      </c>
      <c r="C1878" s="2" t="s">
        <v>11153</v>
      </c>
      <c r="D1878" s="5" t="s">
        <v>11152</v>
      </c>
      <c r="E1878" s="2" t="s">
        <v>15441</v>
      </c>
      <c r="F1878" s="2" t="s">
        <v>15446</v>
      </c>
      <c r="G1878" s="2" t="s">
        <v>15456</v>
      </c>
      <c r="H1878" s="2" t="s">
        <v>15444</v>
      </c>
    </row>
    <row r="1879">
      <c r="A1879" s="2">
        <v>1877.0</v>
      </c>
      <c r="B1879" s="5" t="s">
        <v>2824</v>
      </c>
      <c r="C1879" s="2" t="s">
        <v>2825</v>
      </c>
      <c r="D1879" s="5" t="s">
        <v>2824</v>
      </c>
      <c r="E1879" s="2" t="s">
        <v>15445</v>
      </c>
      <c r="F1879" s="2" t="s">
        <v>15446</v>
      </c>
      <c r="G1879" s="2" t="s">
        <v>15443</v>
      </c>
      <c r="H1879" s="2" t="s">
        <v>15444</v>
      </c>
    </row>
    <row r="1880">
      <c r="A1880" s="2">
        <v>1878.0</v>
      </c>
      <c r="B1880" s="5" t="s">
        <v>11154</v>
      </c>
      <c r="C1880" s="2" t="s">
        <v>11155</v>
      </c>
      <c r="D1880" s="5" t="s">
        <v>11154</v>
      </c>
      <c r="E1880" s="2" t="s">
        <v>15441</v>
      </c>
      <c r="F1880" s="2" t="s">
        <v>15446</v>
      </c>
      <c r="G1880" s="2" t="s">
        <v>15456</v>
      </c>
      <c r="H1880" s="2" t="s">
        <v>15444</v>
      </c>
    </row>
    <row r="1881">
      <c r="A1881" s="2">
        <v>1879.0</v>
      </c>
      <c r="B1881" s="5" t="s">
        <v>11156</v>
      </c>
      <c r="C1881" s="2" t="s">
        <v>11157</v>
      </c>
      <c r="D1881" s="5" t="s">
        <v>11156</v>
      </c>
      <c r="E1881" s="2" t="s">
        <v>15441</v>
      </c>
      <c r="F1881" s="2" t="s">
        <v>15442</v>
      </c>
      <c r="G1881" s="2" t="s">
        <v>15443</v>
      </c>
      <c r="H1881" s="2" t="s">
        <v>15455</v>
      </c>
    </row>
    <row r="1882">
      <c r="A1882" s="2">
        <v>1880.0</v>
      </c>
      <c r="B1882" s="5" t="s">
        <v>11158</v>
      </c>
      <c r="C1882" s="2" t="s">
        <v>11159</v>
      </c>
      <c r="D1882" s="5" t="s">
        <v>11158</v>
      </c>
      <c r="E1882" s="2" t="s">
        <v>15441</v>
      </c>
      <c r="F1882" s="2" t="s">
        <v>15446</v>
      </c>
      <c r="G1882" s="2" t="s">
        <v>15456</v>
      </c>
      <c r="H1882" s="2" t="s">
        <v>15444</v>
      </c>
    </row>
    <row r="1883">
      <c r="A1883" s="2">
        <v>1881.0</v>
      </c>
      <c r="B1883" s="5" t="s">
        <v>2827</v>
      </c>
      <c r="C1883" s="2" t="s">
        <v>2828</v>
      </c>
      <c r="D1883" s="5" t="s">
        <v>2827</v>
      </c>
      <c r="E1883" s="2" t="s">
        <v>15445</v>
      </c>
      <c r="F1883" s="2" t="s">
        <v>15446</v>
      </c>
      <c r="G1883" s="2" t="s">
        <v>15456</v>
      </c>
      <c r="H1883" s="2" t="s">
        <v>15444</v>
      </c>
    </row>
    <row r="1884">
      <c r="A1884" s="2">
        <v>1882.0</v>
      </c>
      <c r="B1884" s="5" t="s">
        <v>2830</v>
      </c>
      <c r="C1884" s="2" t="s">
        <v>2831</v>
      </c>
      <c r="D1884" s="5" t="s">
        <v>2830</v>
      </c>
      <c r="E1884" s="2" t="s">
        <v>15445</v>
      </c>
      <c r="F1884" s="2" t="s">
        <v>15442</v>
      </c>
      <c r="G1884" s="2" t="s">
        <v>15443</v>
      </c>
      <c r="H1884" s="2" t="s">
        <v>15444</v>
      </c>
    </row>
    <row r="1885">
      <c r="A1885" s="2">
        <v>1883.0</v>
      </c>
      <c r="B1885" s="5" t="s">
        <v>11160</v>
      </c>
      <c r="C1885" s="2" t="s">
        <v>11161</v>
      </c>
      <c r="D1885" s="5" t="s">
        <v>11160</v>
      </c>
      <c r="E1885" s="2" t="s">
        <v>15441</v>
      </c>
      <c r="F1885" s="2" t="s">
        <v>15442</v>
      </c>
      <c r="G1885" s="2" t="s">
        <v>15456</v>
      </c>
      <c r="H1885" s="2" t="s">
        <v>15444</v>
      </c>
    </row>
    <row r="1886">
      <c r="A1886" s="2">
        <v>1884.0</v>
      </c>
      <c r="B1886" s="5" t="s">
        <v>11162</v>
      </c>
      <c r="C1886" s="2" t="s">
        <v>11163</v>
      </c>
      <c r="D1886" s="5" t="s">
        <v>11162</v>
      </c>
      <c r="E1886" s="2" t="s">
        <v>15441</v>
      </c>
      <c r="F1886" s="2" t="s">
        <v>15446</v>
      </c>
      <c r="G1886" s="2" t="s">
        <v>15456</v>
      </c>
      <c r="H1886" s="2" t="s">
        <v>15444</v>
      </c>
    </row>
    <row r="1887">
      <c r="A1887" s="2">
        <v>1885.0</v>
      </c>
      <c r="B1887" s="5" t="s">
        <v>2833</v>
      </c>
      <c r="C1887" s="2" t="s">
        <v>2834</v>
      </c>
      <c r="D1887" s="5" t="s">
        <v>2833</v>
      </c>
      <c r="E1887" s="2" t="s">
        <v>15445</v>
      </c>
      <c r="F1887" s="2" t="s">
        <v>15442</v>
      </c>
      <c r="G1887" s="2" t="s">
        <v>15443</v>
      </c>
      <c r="H1887" s="2" t="s">
        <v>15444</v>
      </c>
    </row>
    <row r="1888">
      <c r="A1888" s="2">
        <v>1886.0</v>
      </c>
      <c r="B1888" s="5" t="s">
        <v>11164</v>
      </c>
      <c r="C1888" s="2" t="s">
        <v>11165</v>
      </c>
      <c r="D1888" s="5" t="s">
        <v>11164</v>
      </c>
      <c r="E1888" s="2" t="s">
        <v>15441</v>
      </c>
      <c r="F1888" s="2" t="s">
        <v>15442</v>
      </c>
      <c r="G1888" s="2" t="s">
        <v>15456</v>
      </c>
      <c r="H1888" s="2" t="s">
        <v>15457</v>
      </c>
    </row>
    <row r="1889">
      <c r="A1889" s="2">
        <v>1887.0</v>
      </c>
      <c r="B1889" s="5" t="s">
        <v>11166</v>
      </c>
      <c r="C1889" s="2" t="s">
        <v>11167</v>
      </c>
      <c r="D1889" s="5" t="s">
        <v>11166</v>
      </c>
      <c r="E1889" s="2" t="s">
        <v>15441</v>
      </c>
      <c r="F1889" s="2" t="s">
        <v>15442</v>
      </c>
      <c r="G1889" s="2" t="s">
        <v>15443</v>
      </c>
      <c r="H1889" s="2" t="s">
        <v>15444</v>
      </c>
    </row>
    <row r="1890">
      <c r="A1890" s="2">
        <v>1888.0</v>
      </c>
      <c r="B1890" s="5" t="s">
        <v>11168</v>
      </c>
      <c r="C1890" s="2" t="s">
        <v>11169</v>
      </c>
      <c r="D1890" s="5" t="s">
        <v>11168</v>
      </c>
      <c r="E1890" s="2" t="s">
        <v>15441</v>
      </c>
      <c r="F1890" s="2" t="s">
        <v>15442</v>
      </c>
      <c r="G1890" s="2" t="s">
        <v>15443</v>
      </c>
      <c r="H1890" s="2" t="s">
        <v>15444</v>
      </c>
    </row>
    <row r="1891">
      <c r="A1891" s="2">
        <v>1889.0</v>
      </c>
      <c r="B1891" s="5" t="s">
        <v>2836</v>
      </c>
      <c r="C1891" s="2" t="s">
        <v>2837</v>
      </c>
      <c r="D1891" s="5" t="s">
        <v>2836</v>
      </c>
      <c r="E1891" s="2" t="s">
        <v>15445</v>
      </c>
      <c r="F1891" s="2" t="s">
        <v>15442</v>
      </c>
      <c r="G1891" s="2" t="s">
        <v>15443</v>
      </c>
      <c r="H1891" s="2" t="s">
        <v>15444</v>
      </c>
    </row>
    <row r="1892">
      <c r="A1892" s="2">
        <v>1890.0</v>
      </c>
      <c r="B1892" s="5" t="s">
        <v>2839</v>
      </c>
      <c r="C1892" s="2" t="s">
        <v>2840</v>
      </c>
      <c r="D1892" s="5" t="s">
        <v>2839</v>
      </c>
      <c r="E1892" s="2" t="s">
        <v>15445</v>
      </c>
      <c r="F1892" s="2" t="s">
        <v>15442</v>
      </c>
      <c r="G1892" s="2" t="s">
        <v>15443</v>
      </c>
      <c r="H1892" s="2" t="s">
        <v>15444</v>
      </c>
    </row>
    <row r="1893">
      <c r="A1893" s="2">
        <v>1891.0</v>
      </c>
      <c r="B1893" s="5" t="s">
        <v>2842</v>
      </c>
      <c r="C1893" s="2" t="s">
        <v>2843</v>
      </c>
      <c r="D1893" s="5" t="s">
        <v>2842</v>
      </c>
      <c r="E1893" s="2" t="s">
        <v>15445</v>
      </c>
      <c r="F1893" s="2" t="s">
        <v>15442</v>
      </c>
      <c r="G1893" s="2" t="s">
        <v>15443</v>
      </c>
      <c r="H1893" s="2" t="s">
        <v>15444</v>
      </c>
    </row>
    <row r="1894">
      <c r="A1894" s="2">
        <v>1892.0</v>
      </c>
      <c r="B1894" s="5" t="s">
        <v>11170</v>
      </c>
      <c r="C1894" s="2" t="s">
        <v>11171</v>
      </c>
      <c r="D1894" s="5" t="s">
        <v>11170</v>
      </c>
      <c r="E1894" s="2" t="s">
        <v>15441</v>
      </c>
      <c r="F1894" s="2" t="s">
        <v>15446</v>
      </c>
      <c r="G1894" s="2" t="s">
        <v>15443</v>
      </c>
      <c r="H1894" s="2" t="s">
        <v>15444</v>
      </c>
    </row>
    <row r="1895">
      <c r="A1895" s="2">
        <v>1893.0</v>
      </c>
      <c r="B1895" s="5" t="s">
        <v>2845</v>
      </c>
      <c r="C1895" s="2" t="s">
        <v>2846</v>
      </c>
      <c r="D1895" s="5" t="s">
        <v>2845</v>
      </c>
      <c r="E1895" s="2" t="s">
        <v>15445</v>
      </c>
      <c r="F1895" s="2" t="s">
        <v>15446</v>
      </c>
      <c r="G1895" s="2" t="s">
        <v>15456</v>
      </c>
      <c r="H1895" s="2" t="s">
        <v>15444</v>
      </c>
    </row>
    <row r="1896">
      <c r="A1896" s="2">
        <v>1894.0</v>
      </c>
      <c r="B1896" s="5" t="s">
        <v>11172</v>
      </c>
      <c r="C1896" s="2" t="s">
        <v>11173</v>
      </c>
      <c r="D1896" s="5" t="s">
        <v>11172</v>
      </c>
      <c r="E1896" s="2" t="s">
        <v>15441</v>
      </c>
      <c r="F1896" s="2" t="s">
        <v>15446</v>
      </c>
      <c r="G1896" s="2" t="s">
        <v>15456</v>
      </c>
      <c r="H1896" s="2" t="s">
        <v>15444</v>
      </c>
    </row>
    <row r="1897">
      <c r="A1897" s="2">
        <v>1895.0</v>
      </c>
      <c r="B1897" s="5" t="s">
        <v>2848</v>
      </c>
      <c r="C1897" s="2" t="s">
        <v>2849</v>
      </c>
      <c r="D1897" s="5" t="s">
        <v>2848</v>
      </c>
      <c r="E1897" s="2" t="s">
        <v>15445</v>
      </c>
      <c r="F1897" s="2" t="s">
        <v>15442</v>
      </c>
      <c r="G1897" s="2" t="s">
        <v>15443</v>
      </c>
      <c r="H1897" s="2" t="s">
        <v>15444</v>
      </c>
    </row>
    <row r="1898">
      <c r="A1898" s="2">
        <v>1896.0</v>
      </c>
      <c r="B1898" s="5" t="s">
        <v>11174</v>
      </c>
      <c r="C1898" s="2" t="s">
        <v>11175</v>
      </c>
      <c r="D1898" s="5" t="s">
        <v>11174</v>
      </c>
      <c r="E1898" s="2" t="s">
        <v>15441</v>
      </c>
      <c r="F1898" s="2" t="s">
        <v>15442</v>
      </c>
      <c r="G1898" s="2" t="s">
        <v>15456</v>
      </c>
      <c r="H1898" s="2" t="s">
        <v>15444</v>
      </c>
    </row>
    <row r="1899">
      <c r="A1899" s="2">
        <v>1897.0</v>
      </c>
      <c r="B1899" s="5" t="s">
        <v>2851</v>
      </c>
      <c r="C1899" s="2" t="s">
        <v>2852</v>
      </c>
      <c r="D1899" s="5" t="s">
        <v>2851</v>
      </c>
      <c r="E1899" s="2" t="s">
        <v>15445</v>
      </c>
      <c r="F1899" s="2" t="s">
        <v>15446</v>
      </c>
      <c r="G1899" s="2" t="s">
        <v>15443</v>
      </c>
      <c r="H1899" s="2" t="s">
        <v>15457</v>
      </c>
    </row>
    <row r="1900">
      <c r="A1900" s="2">
        <v>1898.0</v>
      </c>
      <c r="B1900" s="5" t="s">
        <v>2854</v>
      </c>
      <c r="C1900" s="2" t="s">
        <v>2855</v>
      </c>
      <c r="D1900" s="5" t="s">
        <v>2854</v>
      </c>
      <c r="E1900" s="2" t="s">
        <v>15445</v>
      </c>
      <c r="F1900" s="2" t="s">
        <v>15446</v>
      </c>
      <c r="G1900" s="2" t="s">
        <v>15443</v>
      </c>
      <c r="H1900" s="2" t="s">
        <v>15455</v>
      </c>
    </row>
    <row r="1901">
      <c r="A1901" s="2">
        <v>1899.0</v>
      </c>
      <c r="B1901" s="5" t="s">
        <v>2857</v>
      </c>
      <c r="C1901" s="2" t="s">
        <v>2858</v>
      </c>
      <c r="D1901" s="5" t="s">
        <v>2857</v>
      </c>
      <c r="E1901" s="2" t="s">
        <v>15445</v>
      </c>
      <c r="F1901" s="2" t="s">
        <v>15446</v>
      </c>
      <c r="G1901" s="2" t="s">
        <v>15456</v>
      </c>
      <c r="H1901" s="2" t="s">
        <v>15457</v>
      </c>
    </row>
    <row r="1902">
      <c r="A1902" s="2">
        <v>1900.0</v>
      </c>
      <c r="B1902" s="5" t="s">
        <v>11176</v>
      </c>
      <c r="C1902" s="2" t="s">
        <v>11177</v>
      </c>
      <c r="D1902" s="5" t="s">
        <v>11176</v>
      </c>
      <c r="E1902" s="2" t="s">
        <v>15441</v>
      </c>
      <c r="F1902" s="2" t="s">
        <v>15442</v>
      </c>
      <c r="G1902" s="2" t="s">
        <v>15443</v>
      </c>
      <c r="H1902" s="2" t="s">
        <v>15444</v>
      </c>
    </row>
    <row r="1903">
      <c r="A1903" s="2">
        <v>1901.0</v>
      </c>
      <c r="B1903" s="5" t="s">
        <v>11178</v>
      </c>
      <c r="C1903" s="2" t="s">
        <v>11179</v>
      </c>
      <c r="D1903" s="5" t="s">
        <v>11178</v>
      </c>
      <c r="E1903" s="2" t="s">
        <v>15441</v>
      </c>
      <c r="F1903" s="2" t="s">
        <v>15442</v>
      </c>
      <c r="G1903" s="2" t="s">
        <v>15443</v>
      </c>
      <c r="H1903" s="2" t="s">
        <v>15444</v>
      </c>
    </row>
    <row r="1904">
      <c r="A1904" s="2">
        <v>1902.0</v>
      </c>
      <c r="B1904" s="5" t="s">
        <v>2860</v>
      </c>
      <c r="C1904" s="2" t="s">
        <v>2861</v>
      </c>
      <c r="D1904" s="5" t="s">
        <v>2860</v>
      </c>
      <c r="E1904" s="2" t="s">
        <v>15445</v>
      </c>
      <c r="F1904" s="2" t="s">
        <v>15442</v>
      </c>
      <c r="G1904" s="2" t="s">
        <v>15456</v>
      </c>
      <c r="H1904" s="2" t="s">
        <v>15444</v>
      </c>
    </row>
    <row r="1905">
      <c r="A1905" s="2">
        <v>1903.0</v>
      </c>
      <c r="B1905" s="5" t="s">
        <v>11180</v>
      </c>
      <c r="C1905" s="2" t="s">
        <v>11181</v>
      </c>
      <c r="D1905" s="5" t="s">
        <v>11180</v>
      </c>
      <c r="E1905" s="2" t="s">
        <v>15441</v>
      </c>
      <c r="F1905" s="2" t="s">
        <v>15442</v>
      </c>
      <c r="G1905" s="2" t="s">
        <v>15456</v>
      </c>
      <c r="H1905" s="2" t="s">
        <v>15444</v>
      </c>
    </row>
    <row r="1906">
      <c r="A1906" s="2">
        <v>1904.0</v>
      </c>
      <c r="B1906" s="5" t="s">
        <v>11182</v>
      </c>
      <c r="C1906" s="2" t="s">
        <v>11183</v>
      </c>
      <c r="D1906" s="5" t="s">
        <v>11182</v>
      </c>
      <c r="E1906" s="2" t="s">
        <v>15441</v>
      </c>
      <c r="F1906" s="2" t="s">
        <v>15446</v>
      </c>
      <c r="G1906" s="2" t="s">
        <v>15456</v>
      </c>
      <c r="H1906" s="2" t="s">
        <v>15444</v>
      </c>
    </row>
    <row r="1907">
      <c r="A1907" s="2">
        <v>1905.0</v>
      </c>
      <c r="B1907" s="5" t="s">
        <v>2863</v>
      </c>
      <c r="C1907" s="2" t="s">
        <v>2864</v>
      </c>
      <c r="D1907" s="5" t="s">
        <v>2863</v>
      </c>
      <c r="E1907" s="2" t="s">
        <v>15445</v>
      </c>
      <c r="F1907" s="2" t="s">
        <v>15446</v>
      </c>
      <c r="G1907" s="2" t="s">
        <v>15456</v>
      </c>
      <c r="H1907" s="2" t="s">
        <v>15444</v>
      </c>
    </row>
    <row r="1908">
      <c r="A1908" s="2">
        <v>1906.0</v>
      </c>
      <c r="B1908" s="5" t="s">
        <v>11184</v>
      </c>
      <c r="C1908" s="2" t="s">
        <v>11185</v>
      </c>
      <c r="D1908" s="5" t="s">
        <v>11184</v>
      </c>
      <c r="E1908" s="2" t="s">
        <v>15441</v>
      </c>
      <c r="F1908" s="2" t="s">
        <v>15442</v>
      </c>
      <c r="G1908" s="2" t="s">
        <v>15443</v>
      </c>
      <c r="H1908" s="2" t="s">
        <v>15444</v>
      </c>
    </row>
    <row r="1909">
      <c r="A1909" s="2">
        <v>1907.0</v>
      </c>
      <c r="B1909" s="5" t="s">
        <v>2866</v>
      </c>
      <c r="C1909" s="2" t="s">
        <v>2867</v>
      </c>
      <c r="D1909" s="5" t="s">
        <v>2866</v>
      </c>
      <c r="E1909" s="2" t="s">
        <v>15445</v>
      </c>
      <c r="F1909" s="2" t="s">
        <v>15442</v>
      </c>
      <c r="G1909" s="2" t="s">
        <v>15443</v>
      </c>
      <c r="H1909" s="2" t="s">
        <v>15444</v>
      </c>
    </row>
    <row r="1910">
      <c r="A1910" s="2">
        <v>1908.0</v>
      </c>
      <c r="B1910" s="5" t="s">
        <v>11186</v>
      </c>
      <c r="C1910" s="2" t="s">
        <v>11187</v>
      </c>
      <c r="D1910" s="5" t="s">
        <v>11186</v>
      </c>
      <c r="E1910" s="2" t="s">
        <v>15441</v>
      </c>
      <c r="F1910" s="2" t="s">
        <v>15442</v>
      </c>
      <c r="G1910" s="2" t="s">
        <v>15456</v>
      </c>
      <c r="H1910" s="2" t="s">
        <v>15444</v>
      </c>
    </row>
    <row r="1911">
      <c r="A1911" s="2">
        <v>1909.0</v>
      </c>
      <c r="B1911" s="5" t="s">
        <v>2869</v>
      </c>
      <c r="C1911" s="2" t="s">
        <v>2870</v>
      </c>
      <c r="D1911" s="5" t="s">
        <v>2869</v>
      </c>
      <c r="E1911" s="2" t="s">
        <v>15445</v>
      </c>
      <c r="F1911" s="2" t="s">
        <v>15442</v>
      </c>
      <c r="G1911" s="2" t="s">
        <v>15443</v>
      </c>
      <c r="H1911" s="2" t="s">
        <v>15462</v>
      </c>
    </row>
    <row r="1912">
      <c r="A1912" s="2">
        <v>1910.0</v>
      </c>
      <c r="B1912" s="5" t="s">
        <v>11188</v>
      </c>
      <c r="C1912" s="2" t="s">
        <v>11189</v>
      </c>
      <c r="D1912" s="5" t="s">
        <v>11188</v>
      </c>
      <c r="E1912" s="2" t="s">
        <v>15441</v>
      </c>
      <c r="F1912" s="2" t="s">
        <v>15442</v>
      </c>
      <c r="G1912" s="2" t="s">
        <v>15443</v>
      </c>
      <c r="H1912" s="2" t="s">
        <v>15461</v>
      </c>
    </row>
    <row r="1913">
      <c r="A1913" s="2">
        <v>1911.0</v>
      </c>
      <c r="B1913" s="5" t="s">
        <v>11190</v>
      </c>
      <c r="C1913" s="2" t="s">
        <v>11191</v>
      </c>
      <c r="D1913" s="5" t="s">
        <v>11190</v>
      </c>
      <c r="E1913" s="2" t="s">
        <v>15441</v>
      </c>
      <c r="F1913" s="2" t="s">
        <v>15446</v>
      </c>
      <c r="G1913" s="2" t="s">
        <v>15456</v>
      </c>
      <c r="H1913" s="2" t="s">
        <v>15444</v>
      </c>
    </row>
    <row r="1914">
      <c r="A1914" s="2">
        <v>1912.0</v>
      </c>
      <c r="B1914" s="5" t="s">
        <v>11192</v>
      </c>
      <c r="C1914" s="2" t="s">
        <v>11193</v>
      </c>
      <c r="D1914" s="5" t="s">
        <v>11192</v>
      </c>
      <c r="E1914" s="2" t="s">
        <v>15441</v>
      </c>
      <c r="F1914" s="2" t="s">
        <v>15442</v>
      </c>
      <c r="G1914" s="2" t="s">
        <v>15456</v>
      </c>
      <c r="H1914" s="2" t="s">
        <v>15455</v>
      </c>
    </row>
    <row r="1915">
      <c r="A1915" s="2">
        <v>1913.0</v>
      </c>
      <c r="B1915" s="5" t="s">
        <v>2872</v>
      </c>
      <c r="C1915" s="2" t="s">
        <v>2873</v>
      </c>
      <c r="D1915" s="5" t="s">
        <v>2872</v>
      </c>
      <c r="E1915" s="2" t="s">
        <v>15445</v>
      </c>
      <c r="F1915" s="2" t="s">
        <v>15446</v>
      </c>
      <c r="G1915" s="2" t="s">
        <v>15456</v>
      </c>
      <c r="H1915" s="2" t="s">
        <v>15444</v>
      </c>
    </row>
    <row r="1916">
      <c r="A1916" s="2">
        <v>1914.0</v>
      </c>
      <c r="B1916" s="5" t="s">
        <v>2875</v>
      </c>
      <c r="C1916" s="2" t="s">
        <v>2876</v>
      </c>
      <c r="D1916" s="5" t="s">
        <v>2875</v>
      </c>
      <c r="E1916" s="2" t="s">
        <v>15445</v>
      </c>
      <c r="F1916" s="2" t="s">
        <v>15446</v>
      </c>
      <c r="G1916" s="2" t="s">
        <v>15456</v>
      </c>
      <c r="H1916" s="2" t="s">
        <v>15444</v>
      </c>
    </row>
    <row r="1917">
      <c r="A1917" s="2">
        <v>1915.0</v>
      </c>
      <c r="B1917" s="5" t="s">
        <v>11194</v>
      </c>
      <c r="C1917" s="2" t="s">
        <v>11195</v>
      </c>
      <c r="D1917" s="5" t="s">
        <v>11194</v>
      </c>
      <c r="E1917" s="2" t="s">
        <v>15441</v>
      </c>
      <c r="F1917" s="2" t="s">
        <v>15442</v>
      </c>
      <c r="G1917" s="2" t="s">
        <v>15443</v>
      </c>
      <c r="H1917" s="2" t="s">
        <v>15444</v>
      </c>
    </row>
    <row r="1918">
      <c r="A1918" s="2">
        <v>1916.0</v>
      </c>
      <c r="B1918" s="5" t="s">
        <v>11196</v>
      </c>
      <c r="C1918" s="2" t="s">
        <v>11197</v>
      </c>
      <c r="D1918" s="5" t="s">
        <v>11196</v>
      </c>
      <c r="E1918" s="2" t="s">
        <v>15441</v>
      </c>
      <c r="F1918" s="2" t="s">
        <v>15442</v>
      </c>
      <c r="G1918" s="2" t="s">
        <v>15443</v>
      </c>
      <c r="H1918" s="2" t="s">
        <v>15444</v>
      </c>
    </row>
    <row r="1919">
      <c r="A1919" s="2">
        <v>1917.0</v>
      </c>
      <c r="B1919" s="5" t="s">
        <v>2878</v>
      </c>
      <c r="C1919" s="2" t="s">
        <v>2879</v>
      </c>
      <c r="D1919" s="5" t="s">
        <v>2878</v>
      </c>
      <c r="E1919" s="2" t="s">
        <v>15445</v>
      </c>
      <c r="F1919" s="2" t="s">
        <v>15446</v>
      </c>
      <c r="G1919" s="2" t="s">
        <v>15456</v>
      </c>
      <c r="H1919" s="2" t="s">
        <v>15457</v>
      </c>
    </row>
    <row r="1920">
      <c r="A1920" s="2">
        <v>1918.0</v>
      </c>
      <c r="B1920" s="5" t="s">
        <v>2881</v>
      </c>
      <c r="C1920" s="2" t="s">
        <v>2882</v>
      </c>
      <c r="D1920" s="5" t="s">
        <v>2881</v>
      </c>
      <c r="E1920" s="2" t="s">
        <v>15445</v>
      </c>
      <c r="F1920" s="2" t="s">
        <v>15442</v>
      </c>
      <c r="G1920" s="2" t="s">
        <v>15443</v>
      </c>
      <c r="H1920" s="2" t="s">
        <v>15444</v>
      </c>
    </row>
    <row r="1921">
      <c r="A1921" s="2">
        <v>1919.0</v>
      </c>
      <c r="B1921" s="5" t="s">
        <v>2884</v>
      </c>
      <c r="C1921" s="2" t="s">
        <v>2885</v>
      </c>
      <c r="D1921" s="5" t="s">
        <v>2884</v>
      </c>
      <c r="E1921" s="2" t="s">
        <v>15445</v>
      </c>
      <c r="F1921" s="2" t="s">
        <v>15446</v>
      </c>
      <c r="G1921" s="2" t="s">
        <v>15456</v>
      </c>
      <c r="H1921" s="2" t="s">
        <v>15444</v>
      </c>
    </row>
    <row r="1922">
      <c r="A1922" s="2">
        <v>1920.0</v>
      </c>
      <c r="B1922" s="5" t="s">
        <v>11198</v>
      </c>
      <c r="C1922" s="2" t="s">
        <v>11199</v>
      </c>
      <c r="D1922" s="5" t="s">
        <v>11198</v>
      </c>
      <c r="E1922" s="2" t="s">
        <v>15441</v>
      </c>
      <c r="F1922" s="2" t="s">
        <v>15442</v>
      </c>
      <c r="G1922" s="2" t="s">
        <v>15456</v>
      </c>
      <c r="H1922" s="2" t="s">
        <v>15444</v>
      </c>
    </row>
    <row r="1923">
      <c r="A1923" s="2">
        <v>1921.0</v>
      </c>
      <c r="B1923" s="5" t="s">
        <v>11200</v>
      </c>
      <c r="C1923" s="2" t="s">
        <v>11201</v>
      </c>
      <c r="D1923" s="5" t="s">
        <v>11200</v>
      </c>
      <c r="E1923" s="2" t="s">
        <v>15441</v>
      </c>
      <c r="F1923" s="2" t="s">
        <v>15442</v>
      </c>
      <c r="G1923" s="2" t="s">
        <v>15443</v>
      </c>
      <c r="H1923" s="2" t="s">
        <v>15444</v>
      </c>
    </row>
    <row r="1924">
      <c r="A1924" s="2">
        <v>1922.0</v>
      </c>
      <c r="B1924" s="5" t="s">
        <v>2887</v>
      </c>
      <c r="C1924" s="2" t="s">
        <v>2888</v>
      </c>
      <c r="D1924" s="5" t="s">
        <v>2887</v>
      </c>
      <c r="E1924" s="2" t="s">
        <v>15445</v>
      </c>
      <c r="F1924" s="2" t="s">
        <v>15446</v>
      </c>
      <c r="G1924" s="2" t="s">
        <v>15443</v>
      </c>
      <c r="H1924" s="2" t="s">
        <v>15444</v>
      </c>
    </row>
    <row r="1925">
      <c r="A1925" s="2">
        <v>1923.0</v>
      </c>
      <c r="B1925" s="5" t="s">
        <v>2890</v>
      </c>
      <c r="C1925" s="2" t="s">
        <v>2891</v>
      </c>
      <c r="D1925" s="5" t="s">
        <v>2890</v>
      </c>
      <c r="E1925" s="2" t="s">
        <v>15445</v>
      </c>
      <c r="F1925" s="2" t="s">
        <v>15446</v>
      </c>
      <c r="G1925" s="2" t="s">
        <v>15443</v>
      </c>
      <c r="H1925" s="2" t="s">
        <v>15457</v>
      </c>
    </row>
    <row r="1926">
      <c r="A1926" s="2">
        <v>1924.0</v>
      </c>
      <c r="B1926" s="5" t="s">
        <v>2893</v>
      </c>
      <c r="C1926" s="2" t="s">
        <v>2894</v>
      </c>
      <c r="D1926" s="5" t="s">
        <v>2893</v>
      </c>
      <c r="E1926" s="2" t="s">
        <v>15445</v>
      </c>
      <c r="F1926" s="2" t="s">
        <v>15442</v>
      </c>
      <c r="G1926" s="2" t="s">
        <v>15443</v>
      </c>
      <c r="H1926" s="2" t="s">
        <v>15462</v>
      </c>
    </row>
    <row r="1927">
      <c r="A1927" s="2">
        <v>1925.0</v>
      </c>
      <c r="B1927" s="5" t="s">
        <v>2896</v>
      </c>
      <c r="C1927" s="2" t="s">
        <v>2897</v>
      </c>
      <c r="D1927" s="5" t="s">
        <v>2896</v>
      </c>
      <c r="E1927" s="2" t="s">
        <v>15445</v>
      </c>
      <c r="F1927" s="2" t="s">
        <v>15446</v>
      </c>
      <c r="G1927" s="2" t="s">
        <v>15443</v>
      </c>
      <c r="H1927" s="2" t="s">
        <v>15444</v>
      </c>
    </row>
    <row r="1928">
      <c r="A1928" s="2">
        <v>1926.0</v>
      </c>
      <c r="B1928" s="5" t="s">
        <v>11202</v>
      </c>
      <c r="C1928" s="2" t="s">
        <v>11203</v>
      </c>
      <c r="D1928" s="5" t="s">
        <v>11202</v>
      </c>
      <c r="E1928" s="2" t="s">
        <v>15441</v>
      </c>
      <c r="F1928" s="2" t="s">
        <v>15446</v>
      </c>
      <c r="G1928" s="2" t="s">
        <v>15443</v>
      </c>
      <c r="H1928" s="2" t="s">
        <v>15457</v>
      </c>
    </row>
    <row r="1929">
      <c r="A1929" s="2">
        <v>1927.0</v>
      </c>
      <c r="B1929" s="5" t="s">
        <v>15506</v>
      </c>
      <c r="D1929" s="5" t="s">
        <v>15506</v>
      </c>
      <c r="E1929" s="2" t="s">
        <v>15445</v>
      </c>
      <c r="F1929" s="2" t="s">
        <v>15446</v>
      </c>
      <c r="G1929" s="2" t="s">
        <v>15443</v>
      </c>
      <c r="H1929" s="2" t="s">
        <v>15507</v>
      </c>
    </row>
    <row r="1930">
      <c r="A1930" s="2">
        <v>1928.0</v>
      </c>
      <c r="B1930" s="5" t="s">
        <v>11204</v>
      </c>
      <c r="C1930" s="2" t="s">
        <v>11205</v>
      </c>
      <c r="D1930" s="5" t="s">
        <v>11204</v>
      </c>
      <c r="E1930" s="2" t="s">
        <v>15441</v>
      </c>
      <c r="F1930" s="2" t="s">
        <v>15442</v>
      </c>
      <c r="G1930" s="2" t="s">
        <v>15443</v>
      </c>
      <c r="H1930" s="2" t="s">
        <v>15444</v>
      </c>
    </row>
    <row r="1931">
      <c r="A1931" s="2">
        <v>1929.0</v>
      </c>
      <c r="B1931" s="5" t="s">
        <v>11206</v>
      </c>
      <c r="C1931" s="2" t="s">
        <v>11207</v>
      </c>
      <c r="D1931" s="5" t="s">
        <v>11206</v>
      </c>
      <c r="E1931" s="2" t="s">
        <v>15441</v>
      </c>
      <c r="F1931" s="2" t="s">
        <v>15442</v>
      </c>
      <c r="G1931" s="2" t="s">
        <v>15443</v>
      </c>
      <c r="H1931" s="2" t="s">
        <v>15444</v>
      </c>
    </row>
    <row r="1932">
      <c r="A1932" s="2">
        <v>1930.0</v>
      </c>
      <c r="B1932" s="5" t="s">
        <v>11208</v>
      </c>
      <c r="C1932" s="2" t="s">
        <v>11209</v>
      </c>
      <c r="D1932" s="5" t="s">
        <v>11208</v>
      </c>
      <c r="E1932" s="2" t="s">
        <v>15441</v>
      </c>
      <c r="F1932" s="2" t="s">
        <v>15446</v>
      </c>
      <c r="G1932" s="2" t="s">
        <v>15456</v>
      </c>
      <c r="H1932" s="2" t="s">
        <v>15444</v>
      </c>
    </row>
    <row r="1933">
      <c r="A1933" s="2">
        <v>1931.0</v>
      </c>
      <c r="B1933" s="5" t="s">
        <v>2899</v>
      </c>
      <c r="C1933" s="2" t="s">
        <v>2900</v>
      </c>
      <c r="D1933" s="5" t="s">
        <v>2899</v>
      </c>
      <c r="E1933" s="2" t="s">
        <v>15445</v>
      </c>
      <c r="F1933" s="2" t="s">
        <v>15446</v>
      </c>
      <c r="G1933" s="2" t="s">
        <v>15456</v>
      </c>
      <c r="H1933" s="2" t="s">
        <v>15444</v>
      </c>
    </row>
    <row r="1934">
      <c r="A1934" s="2">
        <v>1932.0</v>
      </c>
      <c r="B1934" s="5" t="s">
        <v>11210</v>
      </c>
      <c r="C1934" s="2" t="s">
        <v>11211</v>
      </c>
      <c r="D1934" s="5" t="s">
        <v>11210</v>
      </c>
      <c r="E1934" s="2" t="s">
        <v>15441</v>
      </c>
      <c r="F1934" s="2" t="s">
        <v>15446</v>
      </c>
      <c r="G1934" s="2" t="s">
        <v>15443</v>
      </c>
      <c r="H1934" s="2" t="s">
        <v>15444</v>
      </c>
    </row>
    <row r="1935">
      <c r="A1935" s="2">
        <v>1933.0</v>
      </c>
      <c r="B1935" s="5" t="s">
        <v>11212</v>
      </c>
      <c r="C1935" s="2" t="s">
        <v>11213</v>
      </c>
      <c r="D1935" s="5" t="s">
        <v>11212</v>
      </c>
      <c r="E1935" s="2" t="s">
        <v>15441</v>
      </c>
      <c r="F1935" s="2" t="s">
        <v>15446</v>
      </c>
      <c r="G1935" s="2" t="s">
        <v>15443</v>
      </c>
      <c r="H1935" s="2" t="s">
        <v>15444</v>
      </c>
    </row>
    <row r="1936">
      <c r="A1936" s="2">
        <v>1934.0</v>
      </c>
      <c r="B1936" s="5" t="s">
        <v>2902</v>
      </c>
      <c r="C1936" s="2" t="s">
        <v>2903</v>
      </c>
      <c r="D1936" s="5" t="s">
        <v>2902</v>
      </c>
      <c r="E1936" s="2" t="s">
        <v>15445</v>
      </c>
      <c r="F1936" s="2" t="s">
        <v>15442</v>
      </c>
      <c r="G1936" s="2" t="s">
        <v>15443</v>
      </c>
      <c r="H1936" s="2" t="s">
        <v>15444</v>
      </c>
    </row>
    <row r="1937">
      <c r="A1937" s="2">
        <v>1935.0</v>
      </c>
      <c r="B1937" s="5" t="s">
        <v>2905</v>
      </c>
      <c r="C1937" s="2" t="s">
        <v>2906</v>
      </c>
      <c r="D1937" s="5" t="s">
        <v>2905</v>
      </c>
      <c r="E1937" s="2" t="s">
        <v>15445</v>
      </c>
      <c r="F1937" s="2" t="s">
        <v>15446</v>
      </c>
      <c r="G1937" s="2" t="s">
        <v>15456</v>
      </c>
      <c r="H1937" s="2" t="s">
        <v>15444</v>
      </c>
    </row>
    <row r="1938">
      <c r="A1938" s="2">
        <v>1936.0</v>
      </c>
      <c r="B1938" s="5" t="s">
        <v>2908</v>
      </c>
      <c r="C1938" s="2" t="s">
        <v>2909</v>
      </c>
      <c r="D1938" s="5" t="s">
        <v>2908</v>
      </c>
      <c r="E1938" s="2" t="s">
        <v>15445</v>
      </c>
      <c r="F1938" s="2" t="s">
        <v>15442</v>
      </c>
      <c r="G1938" s="2" t="s">
        <v>15443</v>
      </c>
      <c r="H1938" s="2" t="s">
        <v>15444</v>
      </c>
    </row>
    <row r="1939">
      <c r="A1939" s="2">
        <v>1937.0</v>
      </c>
      <c r="B1939" s="5" t="s">
        <v>2911</v>
      </c>
      <c r="C1939" s="2" t="s">
        <v>2912</v>
      </c>
      <c r="D1939" s="5" t="s">
        <v>2911</v>
      </c>
      <c r="E1939" s="2" t="s">
        <v>15445</v>
      </c>
      <c r="F1939" s="2" t="s">
        <v>15446</v>
      </c>
      <c r="G1939" s="2" t="s">
        <v>15456</v>
      </c>
      <c r="H1939" s="2" t="s">
        <v>15444</v>
      </c>
    </row>
    <row r="1940">
      <c r="A1940" s="2">
        <v>1938.0</v>
      </c>
      <c r="B1940" s="5" t="s">
        <v>11214</v>
      </c>
      <c r="C1940" s="2" t="s">
        <v>11215</v>
      </c>
      <c r="D1940" s="5" t="s">
        <v>11214</v>
      </c>
      <c r="E1940" s="2" t="s">
        <v>15441</v>
      </c>
      <c r="F1940" s="2" t="s">
        <v>15442</v>
      </c>
      <c r="G1940" s="2" t="s">
        <v>15456</v>
      </c>
      <c r="H1940" s="2" t="s">
        <v>15444</v>
      </c>
    </row>
    <row r="1941">
      <c r="A1941" s="2">
        <v>1939.0</v>
      </c>
      <c r="B1941" s="5" t="s">
        <v>11216</v>
      </c>
      <c r="C1941" s="2" t="s">
        <v>11217</v>
      </c>
      <c r="D1941" s="5" t="s">
        <v>11216</v>
      </c>
      <c r="E1941" s="2" t="s">
        <v>15441</v>
      </c>
      <c r="F1941" s="2" t="s">
        <v>15446</v>
      </c>
      <c r="G1941" s="2" t="s">
        <v>15443</v>
      </c>
      <c r="H1941" s="2" t="s">
        <v>15444</v>
      </c>
    </row>
    <row r="1942">
      <c r="A1942" s="2">
        <v>1940.0</v>
      </c>
      <c r="B1942" s="5" t="s">
        <v>11218</v>
      </c>
      <c r="C1942" s="2" t="s">
        <v>11219</v>
      </c>
      <c r="D1942" s="5" t="s">
        <v>11218</v>
      </c>
      <c r="E1942" s="2" t="s">
        <v>15441</v>
      </c>
      <c r="F1942" s="2" t="s">
        <v>15446</v>
      </c>
      <c r="G1942" s="2" t="s">
        <v>15456</v>
      </c>
      <c r="H1942" s="2" t="s">
        <v>15444</v>
      </c>
    </row>
    <row r="1943">
      <c r="A1943" s="2">
        <v>1941.0</v>
      </c>
      <c r="B1943" s="5" t="s">
        <v>11220</v>
      </c>
      <c r="C1943" s="2" t="s">
        <v>11221</v>
      </c>
      <c r="D1943" s="5" t="s">
        <v>11220</v>
      </c>
      <c r="E1943" s="2" t="s">
        <v>15441</v>
      </c>
      <c r="F1943" s="2" t="s">
        <v>15446</v>
      </c>
      <c r="G1943" s="2" t="s">
        <v>15443</v>
      </c>
      <c r="H1943" s="2" t="s">
        <v>15457</v>
      </c>
    </row>
    <row r="1944">
      <c r="A1944" s="2">
        <v>1942.0</v>
      </c>
      <c r="B1944" s="5" t="s">
        <v>11222</v>
      </c>
      <c r="C1944" s="2" t="s">
        <v>11223</v>
      </c>
      <c r="D1944" s="5" t="s">
        <v>11222</v>
      </c>
      <c r="E1944" s="2" t="s">
        <v>15441</v>
      </c>
      <c r="F1944" s="2" t="s">
        <v>15442</v>
      </c>
      <c r="G1944" s="2" t="s">
        <v>15443</v>
      </c>
      <c r="H1944" s="2" t="s">
        <v>15444</v>
      </c>
    </row>
    <row r="1945">
      <c r="A1945" s="2">
        <v>1943.0</v>
      </c>
      <c r="B1945" s="5" t="s">
        <v>11224</v>
      </c>
      <c r="C1945" s="2" t="s">
        <v>11225</v>
      </c>
      <c r="D1945" s="5" t="s">
        <v>11224</v>
      </c>
      <c r="E1945" s="2" t="s">
        <v>15441</v>
      </c>
      <c r="F1945" s="2" t="s">
        <v>15446</v>
      </c>
      <c r="G1945" s="2" t="s">
        <v>15443</v>
      </c>
      <c r="H1945" s="2" t="s">
        <v>15444</v>
      </c>
    </row>
    <row r="1946">
      <c r="A1946" s="2">
        <v>1944.0</v>
      </c>
      <c r="B1946" s="5" t="s">
        <v>11226</v>
      </c>
      <c r="C1946" s="2" t="s">
        <v>11227</v>
      </c>
      <c r="D1946" s="5" t="s">
        <v>11226</v>
      </c>
      <c r="E1946" s="2" t="s">
        <v>15441</v>
      </c>
      <c r="F1946" s="2" t="s">
        <v>15442</v>
      </c>
      <c r="G1946" s="2" t="s">
        <v>15443</v>
      </c>
      <c r="H1946" s="2" t="s">
        <v>15444</v>
      </c>
    </row>
    <row r="1947">
      <c r="A1947" s="2">
        <v>1945.0</v>
      </c>
      <c r="B1947" s="5" t="s">
        <v>11228</v>
      </c>
      <c r="C1947" s="2" t="s">
        <v>11229</v>
      </c>
      <c r="D1947" s="5" t="s">
        <v>11228</v>
      </c>
      <c r="E1947" s="2" t="s">
        <v>15441</v>
      </c>
      <c r="F1947" s="2" t="s">
        <v>15442</v>
      </c>
      <c r="G1947" s="2" t="s">
        <v>15443</v>
      </c>
      <c r="H1947" s="2" t="s">
        <v>15444</v>
      </c>
    </row>
    <row r="1948">
      <c r="A1948" s="2">
        <v>1946.0</v>
      </c>
      <c r="B1948" s="5" t="s">
        <v>11230</v>
      </c>
      <c r="C1948" s="2" t="s">
        <v>11231</v>
      </c>
      <c r="D1948" s="5" t="s">
        <v>11230</v>
      </c>
      <c r="E1948" s="2" t="s">
        <v>15441</v>
      </c>
      <c r="F1948" s="2" t="s">
        <v>15446</v>
      </c>
      <c r="G1948" s="2" t="s">
        <v>15443</v>
      </c>
      <c r="H1948" s="2" t="s">
        <v>15444</v>
      </c>
    </row>
    <row r="1949">
      <c r="A1949" s="2">
        <v>1947.0</v>
      </c>
      <c r="B1949" s="5" t="s">
        <v>2914</v>
      </c>
      <c r="C1949" s="2" t="s">
        <v>2915</v>
      </c>
      <c r="D1949" s="5" t="s">
        <v>2914</v>
      </c>
      <c r="E1949" s="2" t="s">
        <v>15445</v>
      </c>
      <c r="F1949" s="2" t="s">
        <v>15446</v>
      </c>
      <c r="G1949" s="2" t="s">
        <v>15456</v>
      </c>
      <c r="H1949" s="2" t="s">
        <v>15444</v>
      </c>
    </row>
    <row r="1950">
      <c r="A1950" s="2">
        <v>1948.0</v>
      </c>
      <c r="B1950" s="5" t="s">
        <v>2917</v>
      </c>
      <c r="C1950" s="2" t="s">
        <v>2918</v>
      </c>
      <c r="D1950" s="5" t="s">
        <v>2917</v>
      </c>
      <c r="E1950" s="2" t="s">
        <v>15445</v>
      </c>
      <c r="F1950" s="2" t="s">
        <v>15442</v>
      </c>
      <c r="G1950" s="2" t="s">
        <v>15443</v>
      </c>
      <c r="H1950" s="2" t="s">
        <v>15444</v>
      </c>
    </row>
    <row r="1951">
      <c r="A1951" s="2">
        <v>1949.0</v>
      </c>
      <c r="B1951" s="5" t="s">
        <v>11232</v>
      </c>
      <c r="C1951" s="2" t="s">
        <v>11233</v>
      </c>
      <c r="D1951" s="5" t="s">
        <v>11232</v>
      </c>
      <c r="E1951" s="2" t="s">
        <v>15441</v>
      </c>
      <c r="F1951" s="2" t="s">
        <v>15446</v>
      </c>
      <c r="G1951" s="2" t="s">
        <v>15456</v>
      </c>
      <c r="H1951" s="2" t="s">
        <v>15444</v>
      </c>
    </row>
    <row r="1952">
      <c r="A1952" s="2">
        <v>1950.0</v>
      </c>
      <c r="B1952" s="5" t="s">
        <v>11234</v>
      </c>
      <c r="C1952" s="2" t="s">
        <v>11235</v>
      </c>
      <c r="D1952" s="5" t="s">
        <v>11234</v>
      </c>
      <c r="E1952" s="2" t="s">
        <v>15441</v>
      </c>
      <c r="F1952" s="2" t="s">
        <v>15446</v>
      </c>
      <c r="G1952" s="2" t="s">
        <v>15456</v>
      </c>
      <c r="H1952" s="2" t="s">
        <v>15444</v>
      </c>
    </row>
    <row r="1953">
      <c r="A1953" s="2">
        <v>1951.0</v>
      </c>
      <c r="B1953" s="5" t="s">
        <v>2920</v>
      </c>
      <c r="C1953" s="2" t="s">
        <v>2921</v>
      </c>
      <c r="D1953" s="5" t="s">
        <v>2920</v>
      </c>
      <c r="E1953" s="2" t="s">
        <v>15445</v>
      </c>
      <c r="F1953" s="2" t="s">
        <v>15442</v>
      </c>
      <c r="G1953" s="2" t="s">
        <v>15456</v>
      </c>
      <c r="H1953" s="2" t="s">
        <v>15444</v>
      </c>
    </row>
    <row r="1954">
      <c r="A1954" s="2">
        <v>1952.0</v>
      </c>
      <c r="B1954" s="5" t="s">
        <v>11236</v>
      </c>
      <c r="C1954" s="2" t="s">
        <v>11237</v>
      </c>
      <c r="D1954" s="5" t="s">
        <v>11236</v>
      </c>
      <c r="E1954" s="2" t="s">
        <v>15441</v>
      </c>
      <c r="F1954" s="2" t="s">
        <v>15442</v>
      </c>
      <c r="G1954" s="2" t="s">
        <v>15443</v>
      </c>
      <c r="H1954" s="2" t="s">
        <v>15444</v>
      </c>
    </row>
    <row r="1955">
      <c r="A1955" s="2">
        <v>1953.0</v>
      </c>
      <c r="B1955" s="5" t="s">
        <v>11238</v>
      </c>
      <c r="C1955" s="2" t="s">
        <v>11239</v>
      </c>
      <c r="D1955" s="5" t="s">
        <v>11238</v>
      </c>
      <c r="E1955" s="2" t="s">
        <v>15441</v>
      </c>
      <c r="F1955" s="2" t="s">
        <v>15446</v>
      </c>
      <c r="G1955" s="2" t="s">
        <v>15456</v>
      </c>
      <c r="H1955" s="2" t="s">
        <v>15444</v>
      </c>
    </row>
    <row r="1956">
      <c r="A1956" s="2">
        <v>1954.0</v>
      </c>
      <c r="B1956" s="5" t="s">
        <v>11240</v>
      </c>
      <c r="C1956" s="2" t="s">
        <v>11241</v>
      </c>
      <c r="D1956" s="5" t="s">
        <v>11240</v>
      </c>
      <c r="E1956" s="2" t="s">
        <v>15441</v>
      </c>
      <c r="F1956" s="2" t="s">
        <v>15446</v>
      </c>
      <c r="G1956" s="2" t="s">
        <v>15456</v>
      </c>
      <c r="H1956" s="2" t="s">
        <v>15444</v>
      </c>
    </row>
    <row r="1957">
      <c r="A1957" s="2">
        <v>1955.0</v>
      </c>
      <c r="B1957" s="5" t="s">
        <v>11242</v>
      </c>
      <c r="C1957" s="2" t="s">
        <v>11243</v>
      </c>
      <c r="D1957" s="5" t="s">
        <v>11242</v>
      </c>
      <c r="E1957" s="2" t="s">
        <v>15441</v>
      </c>
      <c r="F1957" s="2" t="s">
        <v>15446</v>
      </c>
      <c r="G1957" s="2" t="s">
        <v>15456</v>
      </c>
      <c r="H1957" s="2" t="s">
        <v>15444</v>
      </c>
    </row>
    <row r="1958">
      <c r="A1958" s="2">
        <v>1956.0</v>
      </c>
      <c r="B1958" s="5" t="s">
        <v>2923</v>
      </c>
      <c r="C1958" s="2" t="s">
        <v>2924</v>
      </c>
      <c r="D1958" s="5" t="s">
        <v>2923</v>
      </c>
      <c r="E1958" s="2" t="s">
        <v>15445</v>
      </c>
      <c r="F1958" s="2" t="s">
        <v>15446</v>
      </c>
      <c r="G1958" s="2" t="s">
        <v>15456</v>
      </c>
      <c r="H1958" s="2" t="s">
        <v>15444</v>
      </c>
    </row>
    <row r="1959">
      <c r="A1959" s="2">
        <v>1957.0</v>
      </c>
      <c r="B1959" s="5" t="s">
        <v>2926</v>
      </c>
      <c r="C1959" s="2" t="s">
        <v>2927</v>
      </c>
      <c r="D1959" s="5" t="s">
        <v>2926</v>
      </c>
      <c r="E1959" s="2" t="s">
        <v>15445</v>
      </c>
      <c r="F1959" s="2" t="s">
        <v>15446</v>
      </c>
      <c r="G1959" s="2" t="s">
        <v>15456</v>
      </c>
      <c r="H1959" s="2" t="s">
        <v>15444</v>
      </c>
    </row>
    <row r="1960">
      <c r="A1960" s="2">
        <v>1958.0</v>
      </c>
      <c r="B1960" s="5" t="s">
        <v>11244</v>
      </c>
      <c r="C1960" s="2" t="s">
        <v>11245</v>
      </c>
      <c r="D1960" s="5" t="s">
        <v>11244</v>
      </c>
      <c r="E1960" s="2" t="s">
        <v>15441</v>
      </c>
      <c r="F1960" s="2" t="s">
        <v>15442</v>
      </c>
      <c r="G1960" s="2" t="s">
        <v>15456</v>
      </c>
      <c r="H1960" s="2" t="s">
        <v>15444</v>
      </c>
    </row>
    <row r="1961">
      <c r="A1961" s="2">
        <v>1959.0</v>
      </c>
      <c r="B1961" s="5" t="s">
        <v>11246</v>
      </c>
      <c r="C1961" s="2" t="s">
        <v>11247</v>
      </c>
      <c r="D1961" s="5" t="s">
        <v>11246</v>
      </c>
      <c r="E1961" s="2" t="s">
        <v>15441</v>
      </c>
      <c r="F1961" s="2" t="s">
        <v>15442</v>
      </c>
      <c r="G1961" s="2" t="s">
        <v>15443</v>
      </c>
      <c r="H1961" s="2" t="s">
        <v>15444</v>
      </c>
    </row>
    <row r="1962">
      <c r="A1962" s="2">
        <v>1960.0</v>
      </c>
      <c r="B1962" s="5" t="s">
        <v>11248</v>
      </c>
      <c r="C1962" s="2" t="s">
        <v>11249</v>
      </c>
      <c r="D1962" s="5" t="s">
        <v>11248</v>
      </c>
      <c r="E1962" s="2" t="s">
        <v>15441</v>
      </c>
      <c r="F1962" s="2" t="s">
        <v>15442</v>
      </c>
      <c r="G1962" s="2" t="s">
        <v>15443</v>
      </c>
      <c r="H1962" s="2" t="s">
        <v>15444</v>
      </c>
    </row>
    <row r="1963">
      <c r="A1963" s="2">
        <v>1961.0</v>
      </c>
      <c r="B1963" s="5" t="s">
        <v>11250</v>
      </c>
      <c r="C1963" s="2" t="s">
        <v>11251</v>
      </c>
      <c r="D1963" s="5" t="s">
        <v>11250</v>
      </c>
      <c r="E1963" s="2" t="s">
        <v>15441</v>
      </c>
      <c r="F1963" s="2" t="s">
        <v>15446</v>
      </c>
      <c r="G1963" s="2" t="s">
        <v>15456</v>
      </c>
      <c r="H1963" s="2" t="s">
        <v>15444</v>
      </c>
    </row>
    <row r="1964">
      <c r="A1964" s="2">
        <v>1962.0</v>
      </c>
      <c r="B1964" s="5" t="s">
        <v>2929</v>
      </c>
      <c r="C1964" s="2" t="s">
        <v>2930</v>
      </c>
      <c r="D1964" s="5" t="s">
        <v>2929</v>
      </c>
      <c r="E1964" s="2" t="s">
        <v>15445</v>
      </c>
      <c r="F1964" s="2" t="s">
        <v>15442</v>
      </c>
      <c r="G1964" s="2" t="s">
        <v>15443</v>
      </c>
      <c r="H1964" s="2" t="s">
        <v>15444</v>
      </c>
    </row>
    <row r="1965">
      <c r="A1965" s="2">
        <v>1963.0</v>
      </c>
      <c r="B1965" s="5" t="s">
        <v>11252</v>
      </c>
      <c r="C1965" s="2" t="s">
        <v>11253</v>
      </c>
      <c r="D1965" s="5" t="s">
        <v>11252</v>
      </c>
      <c r="E1965" s="2" t="s">
        <v>15441</v>
      </c>
      <c r="F1965" s="2" t="s">
        <v>15442</v>
      </c>
      <c r="G1965" s="2" t="s">
        <v>15443</v>
      </c>
      <c r="H1965" s="2" t="s">
        <v>15444</v>
      </c>
    </row>
    <row r="1966">
      <c r="A1966" s="2">
        <v>1964.0</v>
      </c>
      <c r="B1966" s="5" t="s">
        <v>15508</v>
      </c>
      <c r="C1966" s="2" t="s">
        <v>15509</v>
      </c>
      <c r="D1966" s="5" t="s">
        <v>15508</v>
      </c>
      <c r="E1966" s="2" t="s">
        <v>15445</v>
      </c>
      <c r="F1966" s="2" t="s">
        <v>15446</v>
      </c>
      <c r="G1966" s="2" t="s">
        <v>15443</v>
      </c>
      <c r="H1966" s="2" t="s">
        <v>15457</v>
      </c>
    </row>
    <row r="1967">
      <c r="A1967" s="2">
        <v>1965.0</v>
      </c>
      <c r="B1967" s="5" t="s">
        <v>11254</v>
      </c>
      <c r="C1967" s="2" t="s">
        <v>11255</v>
      </c>
      <c r="D1967" s="5" t="s">
        <v>11254</v>
      </c>
      <c r="E1967" s="2" t="s">
        <v>15441</v>
      </c>
      <c r="F1967" s="2" t="s">
        <v>15442</v>
      </c>
      <c r="G1967" s="2" t="s">
        <v>15443</v>
      </c>
      <c r="H1967" s="2" t="s">
        <v>15444</v>
      </c>
    </row>
    <row r="1968">
      <c r="A1968" s="2">
        <v>1966.0</v>
      </c>
      <c r="B1968" s="5" t="s">
        <v>2932</v>
      </c>
      <c r="C1968" s="2" t="s">
        <v>2933</v>
      </c>
      <c r="D1968" s="5" t="s">
        <v>2932</v>
      </c>
      <c r="E1968" s="2" t="s">
        <v>15445</v>
      </c>
      <c r="F1968" s="2" t="s">
        <v>15442</v>
      </c>
      <c r="G1968" s="2" t="s">
        <v>15443</v>
      </c>
      <c r="H1968" s="2" t="s">
        <v>15455</v>
      </c>
    </row>
    <row r="1969">
      <c r="A1969" s="2">
        <v>1967.0</v>
      </c>
      <c r="B1969" s="5" t="s">
        <v>2935</v>
      </c>
      <c r="C1969" s="2" t="s">
        <v>2936</v>
      </c>
      <c r="D1969" s="5" t="s">
        <v>2935</v>
      </c>
      <c r="E1969" s="2" t="s">
        <v>15445</v>
      </c>
      <c r="F1969" s="2" t="s">
        <v>15446</v>
      </c>
      <c r="G1969" s="2" t="s">
        <v>15456</v>
      </c>
      <c r="H1969" s="2" t="s">
        <v>15444</v>
      </c>
    </row>
    <row r="1970">
      <c r="A1970" s="2">
        <v>1968.0</v>
      </c>
      <c r="B1970" s="5" t="s">
        <v>11256</v>
      </c>
      <c r="C1970" s="2" t="s">
        <v>11257</v>
      </c>
      <c r="D1970" s="5" t="s">
        <v>11256</v>
      </c>
      <c r="E1970" s="2" t="s">
        <v>15441</v>
      </c>
      <c r="F1970" s="2" t="s">
        <v>15442</v>
      </c>
      <c r="G1970" s="2" t="s">
        <v>15456</v>
      </c>
      <c r="H1970" s="2" t="s">
        <v>15444</v>
      </c>
    </row>
    <row r="1971">
      <c r="A1971" s="2">
        <v>1969.0</v>
      </c>
      <c r="B1971" s="5" t="s">
        <v>11258</v>
      </c>
      <c r="C1971" s="2" t="s">
        <v>11259</v>
      </c>
      <c r="D1971" s="5" t="s">
        <v>11258</v>
      </c>
      <c r="E1971" s="2" t="s">
        <v>15441</v>
      </c>
      <c r="F1971" s="2" t="s">
        <v>15442</v>
      </c>
      <c r="G1971" s="2" t="s">
        <v>15443</v>
      </c>
      <c r="H1971" s="2" t="s">
        <v>15461</v>
      </c>
    </row>
    <row r="1972">
      <c r="A1972" s="2">
        <v>1970.0</v>
      </c>
      <c r="B1972" s="5" t="s">
        <v>2938</v>
      </c>
      <c r="C1972" s="2" t="s">
        <v>2939</v>
      </c>
      <c r="D1972" s="5" t="s">
        <v>2938</v>
      </c>
      <c r="E1972" s="2" t="s">
        <v>15445</v>
      </c>
      <c r="F1972" s="2" t="s">
        <v>15446</v>
      </c>
      <c r="G1972" s="2" t="s">
        <v>15443</v>
      </c>
      <c r="H1972" s="2" t="s">
        <v>15457</v>
      </c>
    </row>
    <row r="1973">
      <c r="A1973" s="2">
        <v>1971.0</v>
      </c>
      <c r="B1973" s="5" t="s">
        <v>2941</v>
      </c>
      <c r="C1973" s="2" t="s">
        <v>2942</v>
      </c>
      <c r="D1973" s="5" t="s">
        <v>2941</v>
      </c>
      <c r="E1973" s="2" t="s">
        <v>15445</v>
      </c>
      <c r="F1973" s="2" t="s">
        <v>15442</v>
      </c>
      <c r="G1973" s="2" t="s">
        <v>15443</v>
      </c>
      <c r="H1973" s="2" t="s">
        <v>15444</v>
      </c>
    </row>
    <row r="1974">
      <c r="A1974" s="2">
        <v>1972.0</v>
      </c>
      <c r="B1974" s="5" t="s">
        <v>11260</v>
      </c>
      <c r="C1974" s="2" t="s">
        <v>11261</v>
      </c>
      <c r="D1974" s="5" t="s">
        <v>11260</v>
      </c>
      <c r="E1974" s="2" t="s">
        <v>15441</v>
      </c>
      <c r="F1974" s="2" t="s">
        <v>15446</v>
      </c>
      <c r="G1974" s="2" t="s">
        <v>15443</v>
      </c>
      <c r="H1974" s="2" t="s">
        <v>15455</v>
      </c>
    </row>
    <row r="1975">
      <c r="A1975" s="2">
        <v>1973.0</v>
      </c>
      <c r="B1975" s="5" t="s">
        <v>11262</v>
      </c>
      <c r="C1975" s="2" t="s">
        <v>11263</v>
      </c>
      <c r="D1975" s="5" t="s">
        <v>11262</v>
      </c>
      <c r="E1975" s="2" t="s">
        <v>15441</v>
      </c>
      <c r="F1975" s="2" t="s">
        <v>15446</v>
      </c>
      <c r="G1975" s="2" t="s">
        <v>15456</v>
      </c>
      <c r="H1975" s="2" t="s">
        <v>15444</v>
      </c>
    </row>
    <row r="1976">
      <c r="A1976" s="2">
        <v>1974.0</v>
      </c>
      <c r="B1976" s="5" t="s">
        <v>11264</v>
      </c>
      <c r="C1976" s="2" t="s">
        <v>11265</v>
      </c>
      <c r="D1976" s="5" t="s">
        <v>11264</v>
      </c>
      <c r="E1976" s="2" t="s">
        <v>15441</v>
      </c>
      <c r="F1976" s="2" t="s">
        <v>15442</v>
      </c>
      <c r="G1976" s="2" t="s">
        <v>15443</v>
      </c>
      <c r="H1976" s="2" t="s">
        <v>15444</v>
      </c>
    </row>
    <row r="1977">
      <c r="A1977" s="2">
        <v>1975.0</v>
      </c>
      <c r="B1977" s="5" t="s">
        <v>2944</v>
      </c>
      <c r="C1977" s="2" t="s">
        <v>2945</v>
      </c>
      <c r="D1977" s="5" t="s">
        <v>2944</v>
      </c>
      <c r="E1977" s="2" t="s">
        <v>15445</v>
      </c>
      <c r="F1977" s="2" t="s">
        <v>15446</v>
      </c>
      <c r="G1977" s="2" t="s">
        <v>15456</v>
      </c>
      <c r="H1977" s="2" t="s">
        <v>15444</v>
      </c>
    </row>
    <row r="1978">
      <c r="A1978" s="2">
        <v>1976.0</v>
      </c>
      <c r="B1978" s="5" t="s">
        <v>11266</v>
      </c>
      <c r="C1978" s="2" t="s">
        <v>11267</v>
      </c>
      <c r="D1978" s="5" t="s">
        <v>11266</v>
      </c>
      <c r="E1978" s="2" t="s">
        <v>15441</v>
      </c>
      <c r="F1978" s="2" t="s">
        <v>15446</v>
      </c>
      <c r="G1978" s="2" t="s">
        <v>15443</v>
      </c>
      <c r="H1978" s="2" t="s">
        <v>15444</v>
      </c>
    </row>
    <row r="1979">
      <c r="A1979" s="2">
        <v>1977.0</v>
      </c>
      <c r="B1979" s="5" t="s">
        <v>2947</v>
      </c>
      <c r="C1979" s="2" t="s">
        <v>2948</v>
      </c>
      <c r="D1979" s="5" t="s">
        <v>2947</v>
      </c>
      <c r="E1979" s="2" t="s">
        <v>15445</v>
      </c>
      <c r="F1979" s="2" t="s">
        <v>15446</v>
      </c>
      <c r="G1979" s="2" t="s">
        <v>15456</v>
      </c>
      <c r="H1979" s="2" t="s">
        <v>15461</v>
      </c>
    </row>
    <row r="1980">
      <c r="A1980" s="2">
        <v>1978.0</v>
      </c>
      <c r="B1980" s="5" t="s">
        <v>2949</v>
      </c>
      <c r="C1980" s="2" t="s">
        <v>2950</v>
      </c>
      <c r="D1980" s="5" t="s">
        <v>2949</v>
      </c>
      <c r="E1980" s="2" t="s">
        <v>15445</v>
      </c>
      <c r="F1980" s="2" t="s">
        <v>15446</v>
      </c>
      <c r="G1980" s="2" t="s">
        <v>15456</v>
      </c>
      <c r="H1980" s="2" t="s">
        <v>15444</v>
      </c>
    </row>
    <row r="1981">
      <c r="A1981" s="2">
        <v>1979.0</v>
      </c>
      <c r="B1981" s="5" t="s">
        <v>11268</v>
      </c>
      <c r="C1981" s="2" t="s">
        <v>11269</v>
      </c>
      <c r="D1981" s="5" t="s">
        <v>11268</v>
      </c>
      <c r="E1981" s="2" t="s">
        <v>15441</v>
      </c>
      <c r="F1981" s="2" t="s">
        <v>15446</v>
      </c>
      <c r="G1981" s="2" t="s">
        <v>15456</v>
      </c>
      <c r="H1981" s="2" t="s">
        <v>15444</v>
      </c>
    </row>
    <row r="1982">
      <c r="A1982" s="2">
        <v>1980.0</v>
      </c>
      <c r="B1982" s="5" t="s">
        <v>11270</v>
      </c>
      <c r="C1982" s="2" t="s">
        <v>11271</v>
      </c>
      <c r="D1982" s="5" t="s">
        <v>11270</v>
      </c>
      <c r="E1982" s="2" t="s">
        <v>15441</v>
      </c>
      <c r="F1982" s="2" t="s">
        <v>15446</v>
      </c>
      <c r="G1982" s="2" t="s">
        <v>15456</v>
      </c>
      <c r="H1982" s="2" t="s">
        <v>15444</v>
      </c>
    </row>
    <row r="1983">
      <c r="A1983" s="2">
        <v>1981.0</v>
      </c>
      <c r="B1983" s="5" t="s">
        <v>11272</v>
      </c>
      <c r="C1983" s="2" t="s">
        <v>11273</v>
      </c>
      <c r="D1983" s="5" t="s">
        <v>11272</v>
      </c>
      <c r="E1983" s="2" t="s">
        <v>15441</v>
      </c>
      <c r="F1983" s="2" t="s">
        <v>15446</v>
      </c>
      <c r="G1983" s="2" t="s">
        <v>15456</v>
      </c>
      <c r="H1983" s="2" t="s">
        <v>15444</v>
      </c>
    </row>
    <row r="1984">
      <c r="A1984" s="2">
        <v>1982.0</v>
      </c>
      <c r="B1984" s="5" t="s">
        <v>2952</v>
      </c>
      <c r="C1984" s="2" t="s">
        <v>2953</v>
      </c>
      <c r="D1984" s="5" t="s">
        <v>2952</v>
      </c>
      <c r="E1984" s="2" t="s">
        <v>15445</v>
      </c>
      <c r="F1984" s="2" t="s">
        <v>15446</v>
      </c>
      <c r="G1984" s="2" t="s">
        <v>15456</v>
      </c>
      <c r="H1984" s="2" t="s">
        <v>15457</v>
      </c>
    </row>
    <row r="1985">
      <c r="A1985" s="2">
        <v>1983.0</v>
      </c>
      <c r="B1985" s="5" t="s">
        <v>2955</v>
      </c>
      <c r="C1985" s="2" t="s">
        <v>2956</v>
      </c>
      <c r="D1985" s="5" t="s">
        <v>2955</v>
      </c>
      <c r="E1985" s="2" t="s">
        <v>15445</v>
      </c>
      <c r="F1985" s="2" t="s">
        <v>15446</v>
      </c>
      <c r="G1985" s="2" t="s">
        <v>15456</v>
      </c>
      <c r="H1985" s="2" t="s">
        <v>15444</v>
      </c>
    </row>
    <row r="1986">
      <c r="A1986" s="2">
        <v>1984.0</v>
      </c>
      <c r="B1986" s="5" t="s">
        <v>11274</v>
      </c>
      <c r="C1986" s="2" t="s">
        <v>11275</v>
      </c>
      <c r="D1986" s="5" t="s">
        <v>11274</v>
      </c>
      <c r="E1986" s="2" t="s">
        <v>15441</v>
      </c>
      <c r="F1986" s="2" t="s">
        <v>15446</v>
      </c>
      <c r="G1986" s="2" t="s">
        <v>15456</v>
      </c>
      <c r="H1986" s="2" t="s">
        <v>15444</v>
      </c>
    </row>
    <row r="1987">
      <c r="A1987" s="2">
        <v>1985.0</v>
      </c>
      <c r="B1987" s="5" t="s">
        <v>11276</v>
      </c>
      <c r="C1987" s="2" t="s">
        <v>11277</v>
      </c>
      <c r="D1987" s="5" t="s">
        <v>11276</v>
      </c>
      <c r="E1987" s="2" t="s">
        <v>15441</v>
      </c>
      <c r="F1987" s="2" t="s">
        <v>15442</v>
      </c>
      <c r="G1987" s="2" t="s">
        <v>15456</v>
      </c>
      <c r="H1987" s="2" t="s">
        <v>15444</v>
      </c>
    </row>
    <row r="1988">
      <c r="A1988" s="2">
        <v>1986.0</v>
      </c>
      <c r="B1988" s="5" t="s">
        <v>11278</v>
      </c>
      <c r="C1988" s="2" t="s">
        <v>11279</v>
      </c>
      <c r="D1988" s="5" t="s">
        <v>11278</v>
      </c>
      <c r="E1988" s="2" t="s">
        <v>15441</v>
      </c>
      <c r="F1988" s="2" t="s">
        <v>15446</v>
      </c>
      <c r="G1988" s="2" t="s">
        <v>15456</v>
      </c>
      <c r="H1988" s="2" t="s">
        <v>15444</v>
      </c>
    </row>
    <row r="1989">
      <c r="A1989" s="2">
        <v>1987.0</v>
      </c>
      <c r="B1989" s="5" t="s">
        <v>2958</v>
      </c>
      <c r="C1989" s="2" t="s">
        <v>2959</v>
      </c>
      <c r="D1989" s="5" t="s">
        <v>2958</v>
      </c>
      <c r="E1989" s="2" t="s">
        <v>15445</v>
      </c>
      <c r="F1989" s="2" t="s">
        <v>15442</v>
      </c>
      <c r="G1989" s="2" t="s">
        <v>15456</v>
      </c>
      <c r="H1989" s="2" t="s">
        <v>15444</v>
      </c>
    </row>
    <row r="1990">
      <c r="A1990" s="2">
        <v>1988.0</v>
      </c>
      <c r="B1990" s="5" t="s">
        <v>11280</v>
      </c>
      <c r="C1990" s="2" t="s">
        <v>11281</v>
      </c>
      <c r="D1990" s="5" t="s">
        <v>11280</v>
      </c>
      <c r="E1990" s="2" t="s">
        <v>15441</v>
      </c>
      <c r="F1990" s="2" t="s">
        <v>15446</v>
      </c>
      <c r="G1990" s="2" t="s">
        <v>15456</v>
      </c>
      <c r="H1990" s="2" t="s">
        <v>15444</v>
      </c>
    </row>
    <row r="1991">
      <c r="A1991" s="2">
        <v>1989.0</v>
      </c>
      <c r="B1991" s="5" t="s">
        <v>11282</v>
      </c>
      <c r="C1991" s="2" t="s">
        <v>11283</v>
      </c>
      <c r="D1991" s="5" t="s">
        <v>11282</v>
      </c>
      <c r="E1991" s="2" t="s">
        <v>15441</v>
      </c>
      <c r="F1991" s="2" t="s">
        <v>15446</v>
      </c>
      <c r="G1991" s="2" t="s">
        <v>15456</v>
      </c>
      <c r="H1991" s="2" t="s">
        <v>15444</v>
      </c>
    </row>
    <row r="1992">
      <c r="A1992" s="2">
        <v>1990.0</v>
      </c>
      <c r="B1992" s="5" t="s">
        <v>11284</v>
      </c>
      <c r="C1992" s="2" t="s">
        <v>11285</v>
      </c>
      <c r="D1992" s="5" t="s">
        <v>11284</v>
      </c>
      <c r="E1992" s="2" t="s">
        <v>15441</v>
      </c>
      <c r="F1992" s="2" t="s">
        <v>15442</v>
      </c>
      <c r="G1992" s="2" t="s">
        <v>15443</v>
      </c>
      <c r="H1992" s="2" t="s">
        <v>15444</v>
      </c>
    </row>
    <row r="1993">
      <c r="A1993" s="2">
        <v>1991.0</v>
      </c>
      <c r="B1993" s="5" t="s">
        <v>2961</v>
      </c>
      <c r="C1993" s="2" t="s">
        <v>2962</v>
      </c>
      <c r="D1993" s="5" t="s">
        <v>2961</v>
      </c>
      <c r="E1993" s="2" t="s">
        <v>15445</v>
      </c>
      <c r="F1993" s="2" t="s">
        <v>15446</v>
      </c>
      <c r="G1993" s="2" t="s">
        <v>15456</v>
      </c>
      <c r="H1993" s="2" t="s">
        <v>15444</v>
      </c>
    </row>
    <row r="1994">
      <c r="A1994" s="2">
        <v>1992.0</v>
      </c>
      <c r="B1994" s="5" t="s">
        <v>2964</v>
      </c>
      <c r="C1994" s="2" t="s">
        <v>2965</v>
      </c>
      <c r="D1994" s="5" t="s">
        <v>2964</v>
      </c>
      <c r="E1994" s="2" t="s">
        <v>15445</v>
      </c>
      <c r="F1994" s="2" t="s">
        <v>15446</v>
      </c>
      <c r="G1994" s="2" t="s">
        <v>15456</v>
      </c>
      <c r="H1994" s="2" t="s">
        <v>15444</v>
      </c>
    </row>
    <row r="1995">
      <c r="A1995" s="2">
        <v>1993.0</v>
      </c>
      <c r="B1995" s="5" t="s">
        <v>2967</v>
      </c>
      <c r="C1995" s="2" t="s">
        <v>2968</v>
      </c>
      <c r="D1995" s="5" t="s">
        <v>2967</v>
      </c>
      <c r="E1995" s="2" t="s">
        <v>15445</v>
      </c>
      <c r="F1995" s="2" t="s">
        <v>15446</v>
      </c>
      <c r="G1995" s="2" t="s">
        <v>15456</v>
      </c>
      <c r="H1995" s="2" t="s">
        <v>15444</v>
      </c>
    </row>
    <row r="1996">
      <c r="A1996" s="2">
        <v>1994.0</v>
      </c>
      <c r="B1996" s="5" t="s">
        <v>2970</v>
      </c>
      <c r="C1996" s="2" t="s">
        <v>2971</v>
      </c>
      <c r="D1996" s="5" t="s">
        <v>2970</v>
      </c>
      <c r="E1996" s="2" t="s">
        <v>15445</v>
      </c>
      <c r="F1996" s="2" t="s">
        <v>15446</v>
      </c>
      <c r="G1996" s="2" t="s">
        <v>15456</v>
      </c>
      <c r="H1996" s="2" t="s">
        <v>15444</v>
      </c>
    </row>
    <row r="1997">
      <c r="A1997" s="2">
        <v>1995.0</v>
      </c>
      <c r="B1997" s="5" t="s">
        <v>11286</v>
      </c>
      <c r="C1997" s="2" t="s">
        <v>11287</v>
      </c>
      <c r="D1997" s="5" t="s">
        <v>11286</v>
      </c>
      <c r="E1997" s="2" t="s">
        <v>15441</v>
      </c>
      <c r="F1997" s="2" t="s">
        <v>15442</v>
      </c>
      <c r="G1997" s="2" t="s">
        <v>15443</v>
      </c>
      <c r="H1997" s="2" t="s">
        <v>15444</v>
      </c>
    </row>
    <row r="1998">
      <c r="A1998" s="2">
        <v>1996.0</v>
      </c>
      <c r="B1998" s="5" t="s">
        <v>2973</v>
      </c>
      <c r="C1998" s="2" t="s">
        <v>2974</v>
      </c>
      <c r="D1998" s="5" t="s">
        <v>2973</v>
      </c>
      <c r="E1998" s="2" t="s">
        <v>15445</v>
      </c>
      <c r="F1998" s="2" t="s">
        <v>15446</v>
      </c>
      <c r="G1998" s="2" t="s">
        <v>15456</v>
      </c>
      <c r="H1998" s="2" t="s">
        <v>15444</v>
      </c>
    </row>
    <row r="1999">
      <c r="A1999" s="2">
        <v>1997.0</v>
      </c>
      <c r="B1999" s="5" t="s">
        <v>11288</v>
      </c>
      <c r="C1999" s="2" t="s">
        <v>11289</v>
      </c>
      <c r="D1999" s="5" t="s">
        <v>11288</v>
      </c>
      <c r="E1999" s="2" t="s">
        <v>15441</v>
      </c>
      <c r="F1999" s="2" t="s">
        <v>15442</v>
      </c>
      <c r="G1999" s="2" t="s">
        <v>15443</v>
      </c>
      <c r="H1999" s="2" t="s">
        <v>15444</v>
      </c>
    </row>
    <row r="2000">
      <c r="A2000" s="2">
        <v>1998.0</v>
      </c>
      <c r="B2000" s="5" t="s">
        <v>11290</v>
      </c>
      <c r="C2000" s="2" t="s">
        <v>11291</v>
      </c>
      <c r="D2000" s="5" t="s">
        <v>11290</v>
      </c>
      <c r="E2000" s="2" t="s">
        <v>15441</v>
      </c>
      <c r="F2000" s="2" t="s">
        <v>15446</v>
      </c>
      <c r="G2000" s="2" t="s">
        <v>15443</v>
      </c>
      <c r="H2000" s="2" t="s">
        <v>15444</v>
      </c>
    </row>
    <row r="2001">
      <c r="A2001" s="2">
        <v>1999.0</v>
      </c>
      <c r="B2001" s="5" t="s">
        <v>11292</v>
      </c>
      <c r="C2001" s="2" t="s">
        <v>11293</v>
      </c>
      <c r="D2001" s="5" t="s">
        <v>11292</v>
      </c>
      <c r="E2001" s="2" t="s">
        <v>15441</v>
      </c>
      <c r="F2001" s="2" t="s">
        <v>15442</v>
      </c>
      <c r="G2001" s="2" t="s">
        <v>15456</v>
      </c>
      <c r="H2001" s="2" t="s">
        <v>15444</v>
      </c>
    </row>
    <row r="2002">
      <c r="A2002" s="2">
        <v>2000.0</v>
      </c>
      <c r="B2002" s="5" t="s">
        <v>11294</v>
      </c>
      <c r="C2002" s="2" t="s">
        <v>11295</v>
      </c>
      <c r="D2002" s="5" t="s">
        <v>11294</v>
      </c>
      <c r="E2002" s="2" t="s">
        <v>15441</v>
      </c>
      <c r="F2002" s="2" t="s">
        <v>15442</v>
      </c>
      <c r="G2002" s="2" t="s">
        <v>15443</v>
      </c>
      <c r="H2002" s="2" t="s">
        <v>15444</v>
      </c>
    </row>
    <row r="2003">
      <c r="A2003" s="2">
        <v>2001.0</v>
      </c>
      <c r="B2003" s="5" t="s">
        <v>11296</v>
      </c>
      <c r="C2003" s="2" t="s">
        <v>11297</v>
      </c>
      <c r="D2003" s="5" t="s">
        <v>11296</v>
      </c>
      <c r="E2003" s="2" t="s">
        <v>15441</v>
      </c>
      <c r="F2003" s="2" t="s">
        <v>15442</v>
      </c>
      <c r="G2003" s="2" t="s">
        <v>15443</v>
      </c>
      <c r="H2003" s="2" t="s">
        <v>15444</v>
      </c>
    </row>
    <row r="2004">
      <c r="A2004" s="2">
        <v>2002.0</v>
      </c>
      <c r="B2004" s="5" t="s">
        <v>2976</v>
      </c>
      <c r="C2004" s="2" t="s">
        <v>2977</v>
      </c>
      <c r="D2004" s="5" t="s">
        <v>2976</v>
      </c>
      <c r="E2004" s="2" t="s">
        <v>15445</v>
      </c>
      <c r="F2004" s="2" t="s">
        <v>15446</v>
      </c>
      <c r="G2004" s="2" t="s">
        <v>15456</v>
      </c>
      <c r="H2004" s="2" t="s">
        <v>15444</v>
      </c>
    </row>
    <row r="2005">
      <c r="A2005" s="2">
        <v>2003.0</v>
      </c>
      <c r="B2005" s="5" t="s">
        <v>11298</v>
      </c>
      <c r="C2005" s="2" t="s">
        <v>11299</v>
      </c>
      <c r="D2005" s="5" t="s">
        <v>11298</v>
      </c>
      <c r="E2005" s="2" t="s">
        <v>15441</v>
      </c>
      <c r="F2005" s="2" t="s">
        <v>15442</v>
      </c>
      <c r="G2005" s="2" t="s">
        <v>15443</v>
      </c>
      <c r="H2005" s="2" t="s">
        <v>15444</v>
      </c>
    </row>
    <row r="2006">
      <c r="A2006" s="2">
        <v>2004.0</v>
      </c>
      <c r="B2006" s="5" t="s">
        <v>2979</v>
      </c>
      <c r="C2006" s="2" t="s">
        <v>2980</v>
      </c>
      <c r="D2006" s="5" t="s">
        <v>2979</v>
      </c>
      <c r="E2006" s="2" t="s">
        <v>15445</v>
      </c>
      <c r="F2006" s="2" t="s">
        <v>15442</v>
      </c>
      <c r="G2006" s="2" t="s">
        <v>15456</v>
      </c>
      <c r="H2006" s="2" t="s">
        <v>15444</v>
      </c>
    </row>
    <row r="2007">
      <c r="A2007" s="2">
        <v>2005.0</v>
      </c>
      <c r="B2007" s="5" t="s">
        <v>11300</v>
      </c>
      <c r="C2007" s="2" t="s">
        <v>11301</v>
      </c>
      <c r="D2007" s="5" t="s">
        <v>11300</v>
      </c>
      <c r="E2007" s="2" t="s">
        <v>15441</v>
      </c>
      <c r="F2007" s="2" t="s">
        <v>15446</v>
      </c>
      <c r="G2007" s="2" t="s">
        <v>15443</v>
      </c>
      <c r="H2007" s="2" t="s">
        <v>15444</v>
      </c>
    </row>
    <row r="2008">
      <c r="A2008" s="2">
        <v>2006.0</v>
      </c>
      <c r="B2008" s="5" t="s">
        <v>2982</v>
      </c>
      <c r="C2008" s="2" t="s">
        <v>2983</v>
      </c>
      <c r="D2008" s="5" t="s">
        <v>2982</v>
      </c>
      <c r="E2008" s="2" t="s">
        <v>15445</v>
      </c>
      <c r="F2008" s="2" t="s">
        <v>15442</v>
      </c>
      <c r="G2008" s="2" t="s">
        <v>15443</v>
      </c>
      <c r="H2008" s="2" t="s">
        <v>15444</v>
      </c>
    </row>
    <row r="2009">
      <c r="A2009" s="2">
        <v>2007.0</v>
      </c>
      <c r="B2009" s="5" t="s">
        <v>2985</v>
      </c>
      <c r="C2009" s="2" t="s">
        <v>2986</v>
      </c>
      <c r="D2009" s="5" t="s">
        <v>2985</v>
      </c>
      <c r="E2009" s="2" t="s">
        <v>15445</v>
      </c>
      <c r="F2009" s="2" t="s">
        <v>15446</v>
      </c>
      <c r="G2009" s="2" t="s">
        <v>15443</v>
      </c>
      <c r="H2009" s="2" t="s">
        <v>15444</v>
      </c>
    </row>
    <row r="2010">
      <c r="A2010" s="2">
        <v>2008.0</v>
      </c>
      <c r="B2010" s="5" t="s">
        <v>11302</v>
      </c>
      <c r="C2010" s="2" t="s">
        <v>11303</v>
      </c>
      <c r="D2010" s="5" t="s">
        <v>11302</v>
      </c>
      <c r="E2010" s="2" t="s">
        <v>15441</v>
      </c>
      <c r="F2010" s="2" t="s">
        <v>15446</v>
      </c>
      <c r="G2010" s="2" t="s">
        <v>15456</v>
      </c>
      <c r="H2010" s="2" t="s">
        <v>15457</v>
      </c>
    </row>
    <row r="2011">
      <c r="A2011" s="2">
        <v>2009.0</v>
      </c>
      <c r="B2011" s="5" t="s">
        <v>11304</v>
      </c>
      <c r="C2011" s="2" t="s">
        <v>11305</v>
      </c>
      <c r="D2011" s="5" t="s">
        <v>11304</v>
      </c>
      <c r="E2011" s="2" t="s">
        <v>15441</v>
      </c>
      <c r="F2011" s="2" t="s">
        <v>15442</v>
      </c>
      <c r="G2011" s="2" t="s">
        <v>15443</v>
      </c>
      <c r="H2011" s="2" t="s">
        <v>15444</v>
      </c>
    </row>
    <row r="2012">
      <c r="A2012" s="2">
        <v>2010.0</v>
      </c>
      <c r="B2012" s="5" t="s">
        <v>2988</v>
      </c>
      <c r="C2012" s="2" t="s">
        <v>2989</v>
      </c>
      <c r="D2012" s="5" t="s">
        <v>2988</v>
      </c>
      <c r="E2012" s="2" t="s">
        <v>15445</v>
      </c>
      <c r="F2012" s="2" t="s">
        <v>15446</v>
      </c>
      <c r="G2012" s="2" t="s">
        <v>15443</v>
      </c>
      <c r="H2012" s="2" t="s">
        <v>15444</v>
      </c>
    </row>
    <row r="2013">
      <c r="A2013" s="2">
        <v>2011.0</v>
      </c>
      <c r="B2013" s="5" t="s">
        <v>11306</v>
      </c>
      <c r="C2013" s="2" t="s">
        <v>11307</v>
      </c>
      <c r="D2013" s="5" t="s">
        <v>11306</v>
      </c>
      <c r="E2013" s="2" t="s">
        <v>15441</v>
      </c>
      <c r="F2013" s="2" t="s">
        <v>15446</v>
      </c>
      <c r="G2013" s="2" t="s">
        <v>15456</v>
      </c>
      <c r="H2013" s="2" t="s">
        <v>15444</v>
      </c>
    </row>
    <row r="2014">
      <c r="A2014" s="2">
        <v>2012.0</v>
      </c>
      <c r="B2014" s="5" t="s">
        <v>2991</v>
      </c>
      <c r="C2014" s="2" t="s">
        <v>2992</v>
      </c>
      <c r="D2014" s="5" t="s">
        <v>2991</v>
      </c>
      <c r="E2014" s="2" t="s">
        <v>15445</v>
      </c>
      <c r="F2014" s="2" t="s">
        <v>15446</v>
      </c>
      <c r="G2014" s="2" t="s">
        <v>15456</v>
      </c>
      <c r="H2014" s="2" t="s">
        <v>15444</v>
      </c>
    </row>
    <row r="2015">
      <c r="A2015" s="2">
        <v>2013.0</v>
      </c>
      <c r="B2015" s="5" t="s">
        <v>2994</v>
      </c>
      <c r="C2015" s="2" t="s">
        <v>2995</v>
      </c>
      <c r="D2015" s="5" t="s">
        <v>2994</v>
      </c>
      <c r="E2015" s="2" t="s">
        <v>15445</v>
      </c>
      <c r="F2015" s="2" t="s">
        <v>15442</v>
      </c>
      <c r="G2015" s="2" t="s">
        <v>15443</v>
      </c>
      <c r="H2015" s="2" t="s">
        <v>15444</v>
      </c>
    </row>
    <row r="2016">
      <c r="A2016" s="2">
        <v>2014.0</v>
      </c>
      <c r="B2016" s="5" t="s">
        <v>11308</v>
      </c>
      <c r="C2016" s="2" t="s">
        <v>11309</v>
      </c>
      <c r="D2016" s="5" t="s">
        <v>11308</v>
      </c>
      <c r="E2016" s="2" t="s">
        <v>15441</v>
      </c>
      <c r="F2016" s="2" t="s">
        <v>15446</v>
      </c>
      <c r="G2016" s="2" t="s">
        <v>15443</v>
      </c>
      <c r="H2016" s="2" t="s">
        <v>15444</v>
      </c>
    </row>
    <row r="2017">
      <c r="A2017" s="2">
        <v>2015.0</v>
      </c>
      <c r="B2017" s="5" t="s">
        <v>11310</v>
      </c>
      <c r="C2017" s="2" t="s">
        <v>11311</v>
      </c>
      <c r="D2017" s="5" t="s">
        <v>11310</v>
      </c>
      <c r="E2017" s="2" t="s">
        <v>15441</v>
      </c>
      <c r="F2017" s="2" t="s">
        <v>15446</v>
      </c>
      <c r="G2017" s="2" t="s">
        <v>15456</v>
      </c>
      <c r="H2017" s="2" t="s">
        <v>15444</v>
      </c>
    </row>
    <row r="2018">
      <c r="A2018" s="2">
        <v>2016.0</v>
      </c>
      <c r="B2018" s="5" t="s">
        <v>2997</v>
      </c>
      <c r="C2018" s="2" t="s">
        <v>2998</v>
      </c>
      <c r="D2018" s="5" t="s">
        <v>2997</v>
      </c>
      <c r="E2018" s="2" t="s">
        <v>15445</v>
      </c>
      <c r="F2018" s="2" t="s">
        <v>15446</v>
      </c>
      <c r="G2018" s="2" t="s">
        <v>15456</v>
      </c>
      <c r="H2018" s="2" t="s">
        <v>15444</v>
      </c>
    </row>
    <row r="2019">
      <c r="A2019" s="2">
        <v>2017.0</v>
      </c>
      <c r="B2019" s="5" t="s">
        <v>11312</v>
      </c>
      <c r="C2019" s="2" t="s">
        <v>11313</v>
      </c>
      <c r="D2019" s="5" t="s">
        <v>11312</v>
      </c>
      <c r="E2019" s="2" t="s">
        <v>15441</v>
      </c>
      <c r="F2019" s="2" t="s">
        <v>15446</v>
      </c>
      <c r="G2019" s="2" t="s">
        <v>15456</v>
      </c>
      <c r="H2019" s="2" t="s">
        <v>15444</v>
      </c>
    </row>
    <row r="2020">
      <c r="A2020" s="2">
        <v>2018.0</v>
      </c>
      <c r="B2020" s="5" t="s">
        <v>3000</v>
      </c>
      <c r="C2020" s="2" t="s">
        <v>3001</v>
      </c>
      <c r="D2020" s="5" t="s">
        <v>3000</v>
      </c>
      <c r="E2020" s="2" t="s">
        <v>15445</v>
      </c>
      <c r="F2020" s="2" t="s">
        <v>15446</v>
      </c>
      <c r="G2020" s="2" t="s">
        <v>15456</v>
      </c>
      <c r="H2020" s="2" t="s">
        <v>15444</v>
      </c>
    </row>
    <row r="2021">
      <c r="A2021" s="2">
        <v>2019.0</v>
      </c>
      <c r="B2021" s="5" t="s">
        <v>3003</v>
      </c>
      <c r="C2021" s="2" t="s">
        <v>3004</v>
      </c>
      <c r="D2021" s="5" t="s">
        <v>3003</v>
      </c>
      <c r="E2021" s="2" t="s">
        <v>15445</v>
      </c>
      <c r="F2021" s="2" t="s">
        <v>15446</v>
      </c>
      <c r="G2021" s="2" t="s">
        <v>15456</v>
      </c>
      <c r="H2021" s="2" t="s">
        <v>15457</v>
      </c>
    </row>
    <row r="2022">
      <c r="A2022" s="2">
        <v>2020.0</v>
      </c>
      <c r="B2022" s="5" t="s">
        <v>11314</v>
      </c>
      <c r="C2022" s="2" t="s">
        <v>11315</v>
      </c>
      <c r="D2022" s="5" t="s">
        <v>11314</v>
      </c>
      <c r="E2022" s="2" t="s">
        <v>15441</v>
      </c>
      <c r="F2022" s="2" t="s">
        <v>15446</v>
      </c>
      <c r="G2022" s="2" t="s">
        <v>15456</v>
      </c>
      <c r="H2022" s="2" t="s">
        <v>15444</v>
      </c>
    </row>
    <row r="2023">
      <c r="A2023" s="2">
        <v>2021.0</v>
      </c>
      <c r="B2023" s="5" t="s">
        <v>15510</v>
      </c>
      <c r="C2023" s="2" t="s">
        <v>15511</v>
      </c>
      <c r="D2023" s="5" t="s">
        <v>15510</v>
      </c>
      <c r="E2023" s="2" t="s">
        <v>15445</v>
      </c>
      <c r="F2023" s="2" t="s">
        <v>15446</v>
      </c>
      <c r="G2023" s="2" t="s">
        <v>15456</v>
      </c>
      <c r="H2023" s="2" t="s">
        <v>15457</v>
      </c>
    </row>
    <row r="2024">
      <c r="A2024" s="2">
        <v>2022.0</v>
      </c>
      <c r="B2024" s="5" t="s">
        <v>11316</v>
      </c>
      <c r="C2024" s="2" t="s">
        <v>11317</v>
      </c>
      <c r="D2024" s="5" t="s">
        <v>11316</v>
      </c>
      <c r="E2024" s="2" t="s">
        <v>15441</v>
      </c>
      <c r="F2024" s="2" t="s">
        <v>15446</v>
      </c>
      <c r="G2024" s="2" t="s">
        <v>15456</v>
      </c>
      <c r="H2024" s="2" t="s">
        <v>15462</v>
      </c>
    </row>
    <row r="2025">
      <c r="A2025" s="2">
        <v>2023.0</v>
      </c>
      <c r="B2025" s="5" t="s">
        <v>3006</v>
      </c>
      <c r="C2025" s="2" t="s">
        <v>3007</v>
      </c>
      <c r="D2025" s="5" t="s">
        <v>3006</v>
      </c>
      <c r="E2025" s="2" t="s">
        <v>15445</v>
      </c>
      <c r="F2025" s="2" t="s">
        <v>15442</v>
      </c>
      <c r="G2025" s="2" t="s">
        <v>15456</v>
      </c>
      <c r="H2025" s="2" t="s">
        <v>15444</v>
      </c>
    </row>
    <row r="2026">
      <c r="A2026" s="2">
        <v>2024.0</v>
      </c>
      <c r="B2026" s="5" t="s">
        <v>11318</v>
      </c>
      <c r="C2026" s="2" t="s">
        <v>11319</v>
      </c>
      <c r="D2026" s="5" t="s">
        <v>11318</v>
      </c>
      <c r="E2026" s="2" t="s">
        <v>15441</v>
      </c>
      <c r="F2026" s="2" t="s">
        <v>15446</v>
      </c>
      <c r="G2026" s="2" t="s">
        <v>15456</v>
      </c>
      <c r="H2026" s="2" t="s">
        <v>15444</v>
      </c>
    </row>
    <row r="2027">
      <c r="A2027" s="2">
        <v>2025.0</v>
      </c>
      <c r="B2027" s="5" t="s">
        <v>3009</v>
      </c>
      <c r="C2027" s="2" t="s">
        <v>3010</v>
      </c>
      <c r="D2027" s="5" t="s">
        <v>3009</v>
      </c>
      <c r="E2027" s="2" t="s">
        <v>15445</v>
      </c>
      <c r="F2027" s="2" t="s">
        <v>15442</v>
      </c>
      <c r="G2027" s="2" t="s">
        <v>15443</v>
      </c>
      <c r="H2027" s="2" t="s">
        <v>15444</v>
      </c>
    </row>
    <row r="2028">
      <c r="A2028" s="2">
        <v>2026.0</v>
      </c>
      <c r="B2028" s="5" t="s">
        <v>3012</v>
      </c>
      <c r="C2028" s="2" t="s">
        <v>3013</v>
      </c>
      <c r="D2028" s="5" t="s">
        <v>3012</v>
      </c>
      <c r="E2028" s="2" t="s">
        <v>15445</v>
      </c>
      <c r="F2028" s="2" t="s">
        <v>15446</v>
      </c>
      <c r="G2028" s="2" t="s">
        <v>15456</v>
      </c>
      <c r="H2028" s="2" t="s">
        <v>15444</v>
      </c>
    </row>
    <row r="2029">
      <c r="A2029" s="2">
        <v>2027.0</v>
      </c>
      <c r="B2029" s="5" t="s">
        <v>11320</v>
      </c>
      <c r="C2029" s="2" t="s">
        <v>11321</v>
      </c>
      <c r="D2029" s="5" t="s">
        <v>11320</v>
      </c>
      <c r="E2029" s="2" t="s">
        <v>15441</v>
      </c>
      <c r="F2029" s="2" t="s">
        <v>15442</v>
      </c>
      <c r="G2029" s="2" t="s">
        <v>15443</v>
      </c>
      <c r="H2029" s="2" t="s">
        <v>15444</v>
      </c>
    </row>
    <row r="2030">
      <c r="A2030" s="2">
        <v>2028.0</v>
      </c>
      <c r="B2030" s="5" t="s">
        <v>3015</v>
      </c>
      <c r="C2030" s="2" t="s">
        <v>3016</v>
      </c>
      <c r="D2030" s="5" t="s">
        <v>3015</v>
      </c>
      <c r="E2030" s="2" t="s">
        <v>15445</v>
      </c>
      <c r="F2030" s="2" t="s">
        <v>15446</v>
      </c>
      <c r="G2030" s="2" t="s">
        <v>15456</v>
      </c>
      <c r="H2030" s="2" t="s">
        <v>15444</v>
      </c>
    </row>
    <row r="2031">
      <c r="A2031" s="2">
        <v>2029.0</v>
      </c>
      <c r="B2031" s="5" t="s">
        <v>11322</v>
      </c>
      <c r="C2031" s="2" t="s">
        <v>11323</v>
      </c>
      <c r="D2031" s="5" t="s">
        <v>11322</v>
      </c>
      <c r="E2031" s="2" t="s">
        <v>15441</v>
      </c>
      <c r="F2031" s="2" t="s">
        <v>15442</v>
      </c>
      <c r="G2031" s="2" t="s">
        <v>15443</v>
      </c>
      <c r="H2031" s="2" t="s">
        <v>15444</v>
      </c>
    </row>
    <row r="2032">
      <c r="A2032" s="2">
        <v>2030.0</v>
      </c>
      <c r="B2032" s="5" t="s">
        <v>3018</v>
      </c>
      <c r="C2032" s="2" t="s">
        <v>3019</v>
      </c>
      <c r="D2032" s="5" t="s">
        <v>3018</v>
      </c>
      <c r="E2032" s="2" t="s">
        <v>15445</v>
      </c>
      <c r="F2032" s="2" t="s">
        <v>15446</v>
      </c>
      <c r="G2032" s="2" t="s">
        <v>15456</v>
      </c>
      <c r="H2032" s="2" t="s">
        <v>15444</v>
      </c>
    </row>
    <row r="2033">
      <c r="A2033" s="2">
        <v>2031.0</v>
      </c>
      <c r="B2033" s="5" t="s">
        <v>3021</v>
      </c>
      <c r="C2033" s="2" t="s">
        <v>3022</v>
      </c>
      <c r="D2033" s="5" t="s">
        <v>3021</v>
      </c>
      <c r="E2033" s="2" t="s">
        <v>15445</v>
      </c>
      <c r="F2033" s="2" t="s">
        <v>15442</v>
      </c>
      <c r="G2033" s="2" t="s">
        <v>15443</v>
      </c>
      <c r="H2033" s="2" t="s">
        <v>15457</v>
      </c>
    </row>
    <row r="2034">
      <c r="A2034" s="2">
        <v>2032.0</v>
      </c>
      <c r="B2034" s="5" t="s">
        <v>11324</v>
      </c>
      <c r="C2034" s="2" t="s">
        <v>11325</v>
      </c>
      <c r="D2034" s="5" t="s">
        <v>11324</v>
      </c>
      <c r="E2034" s="2" t="s">
        <v>15441</v>
      </c>
      <c r="F2034" s="2" t="s">
        <v>15446</v>
      </c>
      <c r="G2034" s="2" t="s">
        <v>15443</v>
      </c>
      <c r="H2034" s="2" t="s">
        <v>15455</v>
      </c>
    </row>
    <row r="2035">
      <c r="A2035" s="2">
        <v>2033.0</v>
      </c>
      <c r="B2035" s="5" t="s">
        <v>3024</v>
      </c>
      <c r="C2035" s="2" t="s">
        <v>3025</v>
      </c>
      <c r="D2035" s="5" t="s">
        <v>3024</v>
      </c>
      <c r="E2035" s="2" t="s">
        <v>15445</v>
      </c>
      <c r="F2035" s="2" t="s">
        <v>15442</v>
      </c>
      <c r="G2035" s="2" t="s">
        <v>15443</v>
      </c>
      <c r="H2035" s="2" t="s">
        <v>15444</v>
      </c>
    </row>
    <row r="2036">
      <c r="A2036" s="2">
        <v>2034.0</v>
      </c>
      <c r="B2036" s="5" t="s">
        <v>11326</v>
      </c>
      <c r="C2036" s="2" t="s">
        <v>11327</v>
      </c>
      <c r="D2036" s="5" t="s">
        <v>11326</v>
      </c>
      <c r="E2036" s="2" t="s">
        <v>15441</v>
      </c>
      <c r="F2036" s="2" t="s">
        <v>15446</v>
      </c>
      <c r="G2036" s="2" t="s">
        <v>15456</v>
      </c>
      <c r="H2036" s="2" t="s">
        <v>15444</v>
      </c>
    </row>
    <row r="2037">
      <c r="A2037" s="2">
        <v>2035.0</v>
      </c>
      <c r="B2037" s="5" t="s">
        <v>11328</v>
      </c>
      <c r="C2037" s="2" t="s">
        <v>11329</v>
      </c>
      <c r="D2037" s="5" t="s">
        <v>11328</v>
      </c>
      <c r="E2037" s="2" t="s">
        <v>15441</v>
      </c>
      <c r="F2037" s="2" t="s">
        <v>15446</v>
      </c>
      <c r="G2037" s="2" t="s">
        <v>15443</v>
      </c>
      <c r="H2037" s="2" t="s">
        <v>15444</v>
      </c>
    </row>
    <row r="2038">
      <c r="A2038" s="2">
        <v>2036.0</v>
      </c>
      <c r="B2038" s="5" t="s">
        <v>11330</v>
      </c>
      <c r="C2038" s="2" t="s">
        <v>11331</v>
      </c>
      <c r="D2038" s="5" t="s">
        <v>11330</v>
      </c>
      <c r="E2038" s="2" t="s">
        <v>15441</v>
      </c>
      <c r="F2038" s="2" t="s">
        <v>15446</v>
      </c>
      <c r="G2038" s="2" t="s">
        <v>15456</v>
      </c>
      <c r="H2038" s="2" t="s">
        <v>15444</v>
      </c>
    </row>
    <row r="2039">
      <c r="A2039" s="2">
        <v>2037.0</v>
      </c>
      <c r="B2039" s="5" t="s">
        <v>11332</v>
      </c>
      <c r="C2039" s="2" t="s">
        <v>11333</v>
      </c>
      <c r="D2039" s="5" t="s">
        <v>11332</v>
      </c>
      <c r="E2039" s="2" t="s">
        <v>15441</v>
      </c>
      <c r="F2039" s="2" t="s">
        <v>15442</v>
      </c>
      <c r="G2039" s="2" t="s">
        <v>15443</v>
      </c>
      <c r="H2039" s="2" t="s">
        <v>15457</v>
      </c>
    </row>
    <row r="2040">
      <c r="A2040" s="2">
        <v>2038.0</v>
      </c>
      <c r="B2040" s="5" t="s">
        <v>11334</v>
      </c>
      <c r="C2040" s="2" t="s">
        <v>11335</v>
      </c>
      <c r="D2040" s="5" t="s">
        <v>11334</v>
      </c>
      <c r="E2040" s="2" t="s">
        <v>15441</v>
      </c>
      <c r="F2040" s="2" t="s">
        <v>15446</v>
      </c>
      <c r="G2040" s="2" t="s">
        <v>15456</v>
      </c>
      <c r="H2040" s="2" t="s">
        <v>15444</v>
      </c>
    </row>
    <row r="2041">
      <c r="A2041" s="2">
        <v>2039.0</v>
      </c>
      <c r="B2041" s="5" t="s">
        <v>3027</v>
      </c>
      <c r="C2041" s="2" t="s">
        <v>3028</v>
      </c>
      <c r="D2041" s="5" t="s">
        <v>3027</v>
      </c>
      <c r="E2041" s="2" t="s">
        <v>15445</v>
      </c>
      <c r="F2041" s="2" t="s">
        <v>15446</v>
      </c>
      <c r="G2041" s="2" t="s">
        <v>15456</v>
      </c>
      <c r="H2041" s="2" t="s">
        <v>15444</v>
      </c>
    </row>
    <row r="2042">
      <c r="A2042" s="2">
        <v>2040.0</v>
      </c>
      <c r="B2042" s="5" t="s">
        <v>11336</v>
      </c>
      <c r="C2042" s="2" t="s">
        <v>11337</v>
      </c>
      <c r="D2042" s="5" t="s">
        <v>11336</v>
      </c>
      <c r="E2042" s="2" t="s">
        <v>15441</v>
      </c>
      <c r="F2042" s="2" t="s">
        <v>15442</v>
      </c>
      <c r="G2042" s="2" t="s">
        <v>15443</v>
      </c>
      <c r="H2042" s="2" t="s">
        <v>15457</v>
      </c>
    </row>
    <row r="2043">
      <c r="A2043" s="2">
        <v>2041.0</v>
      </c>
      <c r="B2043" s="5" t="s">
        <v>11338</v>
      </c>
      <c r="C2043" s="2" t="s">
        <v>11339</v>
      </c>
      <c r="D2043" s="5" t="s">
        <v>11338</v>
      </c>
      <c r="E2043" s="2" t="s">
        <v>15441</v>
      </c>
      <c r="F2043" s="2" t="s">
        <v>15442</v>
      </c>
      <c r="G2043" s="2" t="s">
        <v>15456</v>
      </c>
      <c r="H2043" s="2" t="s">
        <v>15444</v>
      </c>
    </row>
    <row r="2044">
      <c r="A2044" s="2">
        <v>2042.0</v>
      </c>
      <c r="B2044" s="5" t="s">
        <v>3030</v>
      </c>
      <c r="C2044" s="2" t="s">
        <v>3031</v>
      </c>
      <c r="D2044" s="5" t="s">
        <v>3030</v>
      </c>
      <c r="E2044" s="2" t="s">
        <v>15445</v>
      </c>
      <c r="F2044" s="2" t="s">
        <v>15442</v>
      </c>
      <c r="G2044" s="2" t="s">
        <v>15443</v>
      </c>
      <c r="H2044" s="2" t="s">
        <v>15444</v>
      </c>
    </row>
    <row r="2045">
      <c r="A2045" s="2">
        <v>2043.0</v>
      </c>
      <c r="B2045" s="5" t="s">
        <v>3033</v>
      </c>
      <c r="C2045" s="2" t="s">
        <v>3034</v>
      </c>
      <c r="D2045" s="5" t="s">
        <v>3033</v>
      </c>
      <c r="E2045" s="2" t="s">
        <v>15445</v>
      </c>
      <c r="F2045" s="2" t="s">
        <v>15442</v>
      </c>
      <c r="G2045" s="2" t="s">
        <v>15443</v>
      </c>
      <c r="H2045" s="2" t="s">
        <v>15444</v>
      </c>
    </row>
    <row r="2046">
      <c r="A2046" s="2">
        <v>2044.0</v>
      </c>
      <c r="B2046" s="5" t="s">
        <v>11340</v>
      </c>
      <c r="C2046" s="2" t="s">
        <v>11341</v>
      </c>
      <c r="D2046" s="5" t="s">
        <v>11340</v>
      </c>
      <c r="E2046" s="2" t="s">
        <v>15441</v>
      </c>
      <c r="F2046" s="2" t="s">
        <v>15442</v>
      </c>
      <c r="G2046" s="2" t="s">
        <v>15443</v>
      </c>
      <c r="H2046" s="2" t="s">
        <v>15444</v>
      </c>
    </row>
    <row r="2047">
      <c r="A2047" s="2">
        <v>2045.0</v>
      </c>
      <c r="B2047" s="5" t="s">
        <v>11342</v>
      </c>
      <c r="C2047" s="2" t="s">
        <v>11343</v>
      </c>
      <c r="D2047" s="5" t="s">
        <v>11342</v>
      </c>
      <c r="E2047" s="2" t="s">
        <v>15441</v>
      </c>
      <c r="F2047" s="2" t="s">
        <v>15446</v>
      </c>
      <c r="G2047" s="2" t="s">
        <v>15443</v>
      </c>
      <c r="H2047" s="2" t="s">
        <v>15444</v>
      </c>
    </row>
    <row r="2048">
      <c r="A2048" s="2">
        <v>2046.0</v>
      </c>
      <c r="B2048" s="5" t="s">
        <v>3036</v>
      </c>
      <c r="C2048" s="2" t="s">
        <v>3037</v>
      </c>
      <c r="D2048" s="5" t="s">
        <v>3036</v>
      </c>
      <c r="E2048" s="2" t="s">
        <v>15445</v>
      </c>
      <c r="F2048" s="2" t="s">
        <v>15446</v>
      </c>
      <c r="G2048" s="2" t="s">
        <v>15456</v>
      </c>
      <c r="H2048" s="2" t="s">
        <v>15444</v>
      </c>
    </row>
    <row r="2049">
      <c r="A2049" s="2">
        <v>2047.0</v>
      </c>
      <c r="B2049" s="5" t="s">
        <v>11344</v>
      </c>
      <c r="C2049" s="2" t="s">
        <v>11345</v>
      </c>
      <c r="D2049" s="5" t="s">
        <v>11344</v>
      </c>
      <c r="E2049" s="2" t="s">
        <v>15441</v>
      </c>
      <c r="F2049" s="2" t="s">
        <v>15446</v>
      </c>
      <c r="G2049" s="2" t="s">
        <v>15456</v>
      </c>
      <c r="H2049" s="2" t="s">
        <v>15455</v>
      </c>
    </row>
    <row r="2050">
      <c r="A2050" s="2">
        <v>2048.0</v>
      </c>
      <c r="B2050" s="5" t="s">
        <v>3039</v>
      </c>
      <c r="C2050" s="2" t="s">
        <v>3040</v>
      </c>
      <c r="D2050" s="5" t="s">
        <v>3039</v>
      </c>
      <c r="E2050" s="2" t="s">
        <v>15445</v>
      </c>
      <c r="F2050" s="2" t="s">
        <v>15446</v>
      </c>
      <c r="G2050" s="2" t="s">
        <v>15443</v>
      </c>
      <c r="H2050" s="2" t="s">
        <v>15444</v>
      </c>
    </row>
    <row r="2051">
      <c r="A2051" s="2">
        <v>2049.0</v>
      </c>
      <c r="B2051" s="5" t="s">
        <v>11346</v>
      </c>
      <c r="C2051" s="2" t="s">
        <v>11347</v>
      </c>
      <c r="D2051" s="5" t="s">
        <v>11346</v>
      </c>
      <c r="E2051" s="2" t="s">
        <v>15441</v>
      </c>
      <c r="F2051" s="2" t="s">
        <v>15446</v>
      </c>
      <c r="G2051" s="2" t="s">
        <v>15456</v>
      </c>
      <c r="H2051" s="2" t="s">
        <v>15444</v>
      </c>
    </row>
    <row r="2052">
      <c r="A2052" s="2">
        <v>2050.0</v>
      </c>
      <c r="B2052" s="5" t="s">
        <v>3042</v>
      </c>
      <c r="C2052" s="2" t="s">
        <v>3043</v>
      </c>
      <c r="D2052" s="5" t="s">
        <v>3042</v>
      </c>
      <c r="E2052" s="2" t="s">
        <v>15445</v>
      </c>
      <c r="F2052" s="2" t="s">
        <v>15442</v>
      </c>
      <c r="G2052" s="2" t="s">
        <v>15443</v>
      </c>
      <c r="H2052" s="2" t="s">
        <v>15444</v>
      </c>
    </row>
    <row r="2053">
      <c r="A2053" s="2">
        <v>2051.0</v>
      </c>
      <c r="B2053" s="5" t="s">
        <v>11348</v>
      </c>
      <c r="C2053" s="2" t="s">
        <v>11349</v>
      </c>
      <c r="D2053" s="5" t="s">
        <v>11348</v>
      </c>
      <c r="E2053" s="2" t="s">
        <v>15441</v>
      </c>
      <c r="F2053" s="2" t="s">
        <v>15442</v>
      </c>
      <c r="G2053" s="2" t="s">
        <v>15443</v>
      </c>
      <c r="H2053" s="2" t="s">
        <v>15444</v>
      </c>
    </row>
    <row r="2054">
      <c r="A2054" s="2">
        <v>2052.0</v>
      </c>
      <c r="B2054" s="5" t="s">
        <v>3045</v>
      </c>
      <c r="C2054" s="2" t="s">
        <v>3046</v>
      </c>
      <c r="D2054" s="5" t="s">
        <v>3045</v>
      </c>
      <c r="E2054" s="2" t="s">
        <v>15445</v>
      </c>
      <c r="F2054" s="2" t="s">
        <v>15446</v>
      </c>
      <c r="G2054" s="2" t="s">
        <v>15456</v>
      </c>
      <c r="H2054" s="2" t="s">
        <v>15457</v>
      </c>
    </row>
    <row r="2055">
      <c r="A2055" s="2">
        <v>2053.0</v>
      </c>
      <c r="B2055" s="5" t="s">
        <v>11350</v>
      </c>
      <c r="C2055" s="2" t="s">
        <v>11351</v>
      </c>
      <c r="D2055" s="5" t="s">
        <v>11350</v>
      </c>
      <c r="E2055" s="2" t="s">
        <v>15441</v>
      </c>
      <c r="F2055" s="2" t="s">
        <v>15446</v>
      </c>
      <c r="G2055" s="2" t="s">
        <v>15456</v>
      </c>
      <c r="H2055" s="2" t="s">
        <v>15444</v>
      </c>
    </row>
    <row r="2056">
      <c r="A2056" s="2">
        <v>2054.0</v>
      </c>
      <c r="B2056" s="5" t="s">
        <v>11352</v>
      </c>
      <c r="C2056" s="2" t="s">
        <v>11353</v>
      </c>
      <c r="D2056" s="5" t="s">
        <v>11352</v>
      </c>
      <c r="E2056" s="2" t="s">
        <v>15441</v>
      </c>
      <c r="F2056" s="2" t="s">
        <v>15446</v>
      </c>
      <c r="G2056" s="2" t="s">
        <v>15443</v>
      </c>
      <c r="H2056" s="2" t="s">
        <v>15444</v>
      </c>
    </row>
    <row r="2057">
      <c r="A2057" s="2">
        <v>2055.0</v>
      </c>
      <c r="B2057" s="5" t="s">
        <v>3048</v>
      </c>
      <c r="C2057" s="2" t="s">
        <v>3049</v>
      </c>
      <c r="D2057" s="5" t="s">
        <v>3048</v>
      </c>
      <c r="E2057" s="2" t="s">
        <v>15445</v>
      </c>
      <c r="F2057" s="2" t="s">
        <v>15446</v>
      </c>
      <c r="G2057" s="2" t="s">
        <v>15456</v>
      </c>
      <c r="H2057" s="2" t="s">
        <v>15444</v>
      </c>
    </row>
    <row r="2058">
      <c r="A2058" s="2">
        <v>2056.0</v>
      </c>
      <c r="B2058" s="5" t="s">
        <v>3051</v>
      </c>
      <c r="C2058" s="2" t="s">
        <v>3052</v>
      </c>
      <c r="D2058" s="5" t="s">
        <v>3051</v>
      </c>
      <c r="E2058" s="2" t="s">
        <v>15445</v>
      </c>
      <c r="F2058" s="2" t="s">
        <v>15442</v>
      </c>
      <c r="G2058" s="2" t="s">
        <v>15443</v>
      </c>
      <c r="H2058" s="2" t="s">
        <v>15444</v>
      </c>
    </row>
    <row r="2059">
      <c r="A2059" s="2">
        <v>2057.0</v>
      </c>
      <c r="B2059" s="5" t="s">
        <v>11354</v>
      </c>
      <c r="C2059" s="2" t="s">
        <v>11355</v>
      </c>
      <c r="D2059" s="5" t="s">
        <v>11354</v>
      </c>
      <c r="E2059" s="2" t="s">
        <v>15441</v>
      </c>
      <c r="F2059" s="2" t="s">
        <v>15446</v>
      </c>
      <c r="G2059" s="2" t="s">
        <v>15443</v>
      </c>
      <c r="H2059" s="2" t="s">
        <v>15444</v>
      </c>
    </row>
    <row r="2060">
      <c r="A2060" s="2">
        <v>2058.0</v>
      </c>
      <c r="B2060" s="5" t="s">
        <v>3054</v>
      </c>
      <c r="C2060" s="2" t="s">
        <v>3055</v>
      </c>
      <c r="D2060" s="5" t="s">
        <v>3054</v>
      </c>
      <c r="E2060" s="2" t="s">
        <v>15445</v>
      </c>
      <c r="F2060" s="2" t="s">
        <v>15446</v>
      </c>
      <c r="G2060" s="2" t="s">
        <v>15443</v>
      </c>
      <c r="H2060" s="2" t="s">
        <v>15461</v>
      </c>
    </row>
    <row r="2061">
      <c r="A2061" s="2">
        <v>2059.0</v>
      </c>
      <c r="B2061" s="5" t="s">
        <v>11356</v>
      </c>
      <c r="C2061" s="2" t="s">
        <v>11357</v>
      </c>
      <c r="D2061" s="5" t="s">
        <v>11356</v>
      </c>
      <c r="E2061" s="2" t="s">
        <v>15441</v>
      </c>
      <c r="F2061" s="2" t="s">
        <v>15442</v>
      </c>
      <c r="G2061" s="2" t="s">
        <v>15443</v>
      </c>
      <c r="H2061" s="2" t="s">
        <v>15444</v>
      </c>
    </row>
    <row r="2062">
      <c r="A2062" s="2">
        <v>2060.0</v>
      </c>
      <c r="B2062" s="5" t="s">
        <v>3056</v>
      </c>
      <c r="C2062" s="2" t="s">
        <v>3057</v>
      </c>
      <c r="D2062" s="5" t="s">
        <v>3056</v>
      </c>
      <c r="E2062" s="2" t="s">
        <v>15445</v>
      </c>
      <c r="F2062" s="2" t="s">
        <v>15446</v>
      </c>
      <c r="G2062" s="2" t="s">
        <v>15456</v>
      </c>
      <c r="H2062" s="2" t="s">
        <v>15444</v>
      </c>
    </row>
    <row r="2063">
      <c r="A2063" s="2">
        <v>2061.0</v>
      </c>
      <c r="B2063" s="5" t="s">
        <v>11358</v>
      </c>
      <c r="C2063" s="2" t="s">
        <v>11359</v>
      </c>
      <c r="D2063" s="5" t="s">
        <v>11358</v>
      </c>
      <c r="E2063" s="2" t="s">
        <v>15441</v>
      </c>
      <c r="F2063" s="2" t="s">
        <v>15442</v>
      </c>
      <c r="G2063" s="2" t="s">
        <v>15443</v>
      </c>
      <c r="H2063" s="2" t="s">
        <v>15444</v>
      </c>
    </row>
    <row r="2064">
      <c r="A2064" s="2">
        <v>2062.0</v>
      </c>
      <c r="B2064" s="5" t="s">
        <v>3059</v>
      </c>
      <c r="C2064" s="2" t="s">
        <v>3060</v>
      </c>
      <c r="D2064" s="5" t="s">
        <v>3059</v>
      </c>
      <c r="E2064" s="2" t="s">
        <v>15445</v>
      </c>
      <c r="F2064" s="2" t="s">
        <v>15446</v>
      </c>
      <c r="G2064" s="2" t="s">
        <v>15456</v>
      </c>
      <c r="H2064" s="2" t="s">
        <v>15444</v>
      </c>
    </row>
    <row r="2065">
      <c r="A2065" s="2">
        <v>2063.0</v>
      </c>
      <c r="B2065" s="5" t="s">
        <v>11360</v>
      </c>
      <c r="C2065" s="2" t="s">
        <v>11361</v>
      </c>
      <c r="D2065" s="5" t="s">
        <v>11360</v>
      </c>
      <c r="E2065" s="2" t="s">
        <v>15441</v>
      </c>
      <c r="F2065" s="2" t="s">
        <v>15446</v>
      </c>
      <c r="G2065" s="2" t="s">
        <v>15456</v>
      </c>
      <c r="H2065" s="2" t="s">
        <v>15444</v>
      </c>
    </row>
    <row r="2066">
      <c r="A2066" s="2">
        <v>2064.0</v>
      </c>
      <c r="B2066" s="5" t="s">
        <v>11362</v>
      </c>
      <c r="C2066" s="2" t="s">
        <v>11363</v>
      </c>
      <c r="D2066" s="5" t="s">
        <v>11362</v>
      </c>
      <c r="E2066" s="2" t="s">
        <v>15441</v>
      </c>
      <c r="F2066" s="2" t="s">
        <v>15442</v>
      </c>
      <c r="G2066" s="2" t="s">
        <v>15443</v>
      </c>
      <c r="H2066" s="2" t="s">
        <v>15444</v>
      </c>
    </row>
    <row r="2067">
      <c r="A2067" s="2">
        <v>2065.0</v>
      </c>
      <c r="B2067" s="5" t="s">
        <v>11364</v>
      </c>
      <c r="C2067" s="2" t="s">
        <v>11365</v>
      </c>
      <c r="D2067" s="5" t="s">
        <v>11364</v>
      </c>
      <c r="E2067" s="2" t="s">
        <v>15441</v>
      </c>
      <c r="F2067" s="2" t="s">
        <v>15442</v>
      </c>
      <c r="G2067" s="2" t="s">
        <v>15443</v>
      </c>
      <c r="H2067" s="2" t="s">
        <v>15457</v>
      </c>
    </row>
    <row r="2068">
      <c r="A2068" s="2">
        <v>2066.0</v>
      </c>
      <c r="B2068" s="5" t="s">
        <v>11366</v>
      </c>
      <c r="C2068" s="2" t="s">
        <v>7789</v>
      </c>
      <c r="D2068" s="5" t="s">
        <v>11366</v>
      </c>
      <c r="E2068" s="2" t="s">
        <v>15441</v>
      </c>
      <c r="F2068" s="2" t="s">
        <v>15446</v>
      </c>
      <c r="G2068" s="2" t="s">
        <v>15456</v>
      </c>
      <c r="H2068" s="2" t="s">
        <v>15455</v>
      </c>
    </row>
    <row r="2069">
      <c r="A2069" s="2">
        <v>2067.0</v>
      </c>
      <c r="B2069" s="5" t="s">
        <v>3062</v>
      </c>
      <c r="C2069" s="2" t="s">
        <v>3063</v>
      </c>
      <c r="D2069" s="5" t="s">
        <v>3062</v>
      </c>
      <c r="E2069" s="2" t="s">
        <v>15445</v>
      </c>
      <c r="F2069" s="2" t="s">
        <v>15446</v>
      </c>
      <c r="G2069" s="2" t="s">
        <v>15443</v>
      </c>
      <c r="H2069" s="2" t="s">
        <v>15444</v>
      </c>
    </row>
    <row r="2070">
      <c r="A2070" s="2">
        <v>2068.0</v>
      </c>
      <c r="B2070" s="5" t="s">
        <v>3065</v>
      </c>
      <c r="C2070" s="2" t="s">
        <v>3066</v>
      </c>
      <c r="D2070" s="5" t="s">
        <v>3065</v>
      </c>
      <c r="E2070" s="2" t="s">
        <v>15445</v>
      </c>
      <c r="F2070" s="2" t="s">
        <v>15446</v>
      </c>
      <c r="G2070" s="2" t="s">
        <v>15456</v>
      </c>
      <c r="H2070" s="2" t="s">
        <v>15444</v>
      </c>
    </row>
    <row r="2071">
      <c r="A2071" s="2">
        <v>2069.0</v>
      </c>
      <c r="B2071" s="5" t="s">
        <v>3068</v>
      </c>
      <c r="C2071" s="2" t="s">
        <v>3069</v>
      </c>
      <c r="D2071" s="5" t="s">
        <v>3068</v>
      </c>
      <c r="E2071" s="2" t="s">
        <v>15445</v>
      </c>
      <c r="F2071" s="2" t="s">
        <v>15446</v>
      </c>
      <c r="G2071" s="2" t="s">
        <v>15443</v>
      </c>
      <c r="H2071" s="2" t="s">
        <v>15444</v>
      </c>
    </row>
    <row r="2072">
      <c r="A2072" s="2">
        <v>2070.0</v>
      </c>
      <c r="B2072" s="5" t="s">
        <v>3071</v>
      </c>
      <c r="C2072" s="2" t="s">
        <v>3072</v>
      </c>
      <c r="D2072" s="5" t="s">
        <v>3071</v>
      </c>
      <c r="E2072" s="2" t="s">
        <v>15445</v>
      </c>
      <c r="F2072" s="2" t="s">
        <v>15442</v>
      </c>
      <c r="G2072" s="2" t="s">
        <v>15443</v>
      </c>
      <c r="H2072" s="2" t="s">
        <v>15444</v>
      </c>
    </row>
    <row r="2073">
      <c r="A2073" s="2">
        <v>2071.0</v>
      </c>
      <c r="B2073" s="5" t="s">
        <v>11367</v>
      </c>
      <c r="C2073" s="2" t="s">
        <v>11368</v>
      </c>
      <c r="D2073" s="5" t="s">
        <v>11367</v>
      </c>
      <c r="E2073" s="2" t="s">
        <v>15441</v>
      </c>
      <c r="F2073" s="2" t="s">
        <v>15442</v>
      </c>
      <c r="G2073" s="2" t="s">
        <v>15456</v>
      </c>
      <c r="H2073" s="2" t="s">
        <v>15455</v>
      </c>
    </row>
    <row r="2074">
      <c r="A2074" s="2">
        <v>2072.0</v>
      </c>
      <c r="B2074" s="5" t="s">
        <v>11369</v>
      </c>
      <c r="C2074" s="2" t="s">
        <v>11370</v>
      </c>
      <c r="D2074" s="5" t="s">
        <v>11369</v>
      </c>
      <c r="E2074" s="2" t="s">
        <v>15441</v>
      </c>
      <c r="F2074" s="2" t="s">
        <v>15446</v>
      </c>
      <c r="G2074" s="2" t="s">
        <v>15456</v>
      </c>
      <c r="H2074" s="2" t="s">
        <v>15444</v>
      </c>
    </row>
    <row r="2075">
      <c r="A2075" s="2">
        <v>2073.0</v>
      </c>
      <c r="B2075" s="5" t="s">
        <v>3074</v>
      </c>
      <c r="C2075" s="2" t="s">
        <v>3075</v>
      </c>
      <c r="D2075" s="5" t="s">
        <v>3074</v>
      </c>
      <c r="E2075" s="2" t="s">
        <v>15445</v>
      </c>
      <c r="F2075" s="2" t="s">
        <v>15446</v>
      </c>
      <c r="G2075" s="2" t="s">
        <v>15456</v>
      </c>
      <c r="H2075" s="2" t="s">
        <v>15444</v>
      </c>
    </row>
    <row r="2076">
      <c r="A2076" s="2">
        <v>2074.0</v>
      </c>
      <c r="B2076" s="5" t="s">
        <v>11371</v>
      </c>
      <c r="C2076" s="2" t="s">
        <v>11372</v>
      </c>
      <c r="D2076" s="5" t="s">
        <v>11371</v>
      </c>
      <c r="E2076" s="2" t="s">
        <v>15441</v>
      </c>
      <c r="F2076" s="2" t="s">
        <v>15442</v>
      </c>
      <c r="G2076" s="2" t="s">
        <v>15443</v>
      </c>
      <c r="H2076" s="2" t="s">
        <v>15444</v>
      </c>
    </row>
    <row r="2077">
      <c r="A2077" s="2">
        <v>2075.0</v>
      </c>
      <c r="B2077" s="5" t="s">
        <v>3077</v>
      </c>
      <c r="C2077" s="2" t="s">
        <v>3078</v>
      </c>
      <c r="D2077" s="5" t="s">
        <v>3077</v>
      </c>
      <c r="E2077" s="2" t="s">
        <v>15445</v>
      </c>
      <c r="F2077" s="2" t="s">
        <v>15446</v>
      </c>
      <c r="G2077" s="2" t="s">
        <v>15456</v>
      </c>
      <c r="H2077" s="2" t="s">
        <v>15457</v>
      </c>
    </row>
    <row r="2078">
      <c r="A2078" s="2">
        <v>2076.0</v>
      </c>
      <c r="B2078" s="5" t="s">
        <v>11373</v>
      </c>
      <c r="C2078" s="2" t="s">
        <v>11374</v>
      </c>
      <c r="D2078" s="5" t="s">
        <v>11373</v>
      </c>
      <c r="E2078" s="2" t="s">
        <v>15441</v>
      </c>
      <c r="F2078" s="2" t="s">
        <v>15446</v>
      </c>
      <c r="G2078" s="2" t="s">
        <v>15456</v>
      </c>
      <c r="H2078" s="2" t="s">
        <v>15444</v>
      </c>
    </row>
    <row r="2079">
      <c r="A2079" s="2">
        <v>2077.0</v>
      </c>
      <c r="B2079" s="5" t="s">
        <v>11375</v>
      </c>
      <c r="C2079" s="2" t="s">
        <v>11376</v>
      </c>
      <c r="D2079" s="5" t="s">
        <v>11375</v>
      </c>
      <c r="E2079" s="2" t="s">
        <v>15441</v>
      </c>
      <c r="F2079" s="2" t="s">
        <v>15442</v>
      </c>
      <c r="G2079" s="2" t="s">
        <v>15443</v>
      </c>
      <c r="H2079" s="2" t="s">
        <v>15444</v>
      </c>
    </row>
    <row r="2080">
      <c r="A2080" s="2">
        <v>2078.0</v>
      </c>
      <c r="B2080" s="5" t="s">
        <v>3080</v>
      </c>
      <c r="C2080" s="2" t="s">
        <v>3081</v>
      </c>
      <c r="D2080" s="5" t="s">
        <v>3080</v>
      </c>
      <c r="E2080" s="2" t="s">
        <v>15445</v>
      </c>
      <c r="F2080" s="2" t="s">
        <v>15442</v>
      </c>
      <c r="G2080" s="2" t="s">
        <v>15456</v>
      </c>
      <c r="H2080" s="2" t="s">
        <v>15444</v>
      </c>
    </row>
    <row r="2081">
      <c r="A2081" s="2">
        <v>2079.0</v>
      </c>
      <c r="B2081" s="5" t="s">
        <v>11377</v>
      </c>
      <c r="C2081" s="2" t="s">
        <v>11378</v>
      </c>
      <c r="D2081" s="5" t="s">
        <v>11377</v>
      </c>
      <c r="E2081" s="2" t="s">
        <v>15441</v>
      </c>
      <c r="F2081" s="2" t="s">
        <v>15446</v>
      </c>
      <c r="G2081" s="2" t="s">
        <v>15456</v>
      </c>
      <c r="H2081" s="2" t="s">
        <v>15444</v>
      </c>
    </row>
    <row r="2082">
      <c r="A2082" s="2">
        <v>2080.0</v>
      </c>
      <c r="B2082" s="5" t="s">
        <v>3083</v>
      </c>
      <c r="C2082" s="2" t="s">
        <v>3084</v>
      </c>
      <c r="D2082" s="5" t="s">
        <v>3083</v>
      </c>
      <c r="E2082" s="2" t="s">
        <v>15445</v>
      </c>
      <c r="F2082" s="2" t="s">
        <v>15442</v>
      </c>
      <c r="G2082" s="2" t="s">
        <v>15456</v>
      </c>
      <c r="H2082" s="2" t="s">
        <v>15444</v>
      </c>
    </row>
    <row r="2083">
      <c r="A2083" s="2">
        <v>2081.0</v>
      </c>
      <c r="B2083" s="5" t="s">
        <v>11379</v>
      </c>
      <c r="C2083" s="2" t="s">
        <v>11380</v>
      </c>
      <c r="D2083" s="5" t="s">
        <v>11379</v>
      </c>
      <c r="E2083" s="2" t="s">
        <v>15441</v>
      </c>
      <c r="F2083" s="2" t="s">
        <v>15446</v>
      </c>
      <c r="G2083" s="2" t="s">
        <v>15443</v>
      </c>
      <c r="H2083" s="2" t="s">
        <v>15444</v>
      </c>
    </row>
    <row r="2084">
      <c r="A2084" s="2">
        <v>2082.0</v>
      </c>
      <c r="B2084" s="5" t="s">
        <v>11381</v>
      </c>
      <c r="C2084" s="2" t="s">
        <v>11382</v>
      </c>
      <c r="D2084" s="5" t="s">
        <v>11381</v>
      </c>
      <c r="E2084" s="2" t="s">
        <v>15441</v>
      </c>
      <c r="F2084" s="2" t="s">
        <v>15446</v>
      </c>
      <c r="G2084" s="2" t="s">
        <v>15456</v>
      </c>
      <c r="H2084" s="2" t="s">
        <v>15444</v>
      </c>
    </row>
    <row r="2085">
      <c r="A2085" s="2">
        <v>2083.0</v>
      </c>
      <c r="B2085" s="5" t="s">
        <v>3086</v>
      </c>
      <c r="C2085" s="2" t="s">
        <v>3087</v>
      </c>
      <c r="D2085" s="5" t="s">
        <v>3086</v>
      </c>
      <c r="E2085" s="2" t="s">
        <v>15445</v>
      </c>
      <c r="F2085" s="2" t="s">
        <v>15446</v>
      </c>
      <c r="G2085" s="2" t="s">
        <v>15456</v>
      </c>
      <c r="H2085" s="2" t="s">
        <v>15444</v>
      </c>
    </row>
    <row r="2086">
      <c r="A2086" s="2">
        <v>2084.0</v>
      </c>
      <c r="B2086" s="5" t="s">
        <v>3089</v>
      </c>
      <c r="C2086" s="2" t="s">
        <v>3090</v>
      </c>
      <c r="D2086" s="5" t="s">
        <v>3089</v>
      </c>
      <c r="E2086" s="2" t="s">
        <v>15445</v>
      </c>
      <c r="F2086" s="2" t="s">
        <v>15446</v>
      </c>
      <c r="G2086" s="2" t="s">
        <v>15456</v>
      </c>
      <c r="H2086" s="2" t="s">
        <v>15444</v>
      </c>
    </row>
    <row r="2087">
      <c r="A2087" s="2">
        <v>2085.0</v>
      </c>
      <c r="B2087" s="5" t="s">
        <v>11383</v>
      </c>
      <c r="C2087" s="2" t="s">
        <v>11384</v>
      </c>
      <c r="D2087" s="5" t="s">
        <v>11383</v>
      </c>
      <c r="E2087" s="2" t="s">
        <v>15441</v>
      </c>
      <c r="F2087" s="2" t="s">
        <v>15446</v>
      </c>
      <c r="G2087" s="2" t="s">
        <v>15456</v>
      </c>
      <c r="H2087" s="2" t="s">
        <v>15444</v>
      </c>
    </row>
    <row r="2088">
      <c r="A2088" s="2">
        <v>2086.0</v>
      </c>
      <c r="B2088" s="5" t="s">
        <v>11385</v>
      </c>
      <c r="C2088" s="2" t="s">
        <v>11386</v>
      </c>
      <c r="D2088" s="5" t="s">
        <v>11385</v>
      </c>
      <c r="E2088" s="2" t="s">
        <v>15441</v>
      </c>
      <c r="F2088" s="2" t="s">
        <v>15442</v>
      </c>
      <c r="G2088" s="2" t="s">
        <v>15443</v>
      </c>
      <c r="H2088" s="2" t="s">
        <v>15444</v>
      </c>
    </row>
    <row r="2089">
      <c r="A2089" s="2">
        <v>2087.0</v>
      </c>
      <c r="B2089" s="5" t="s">
        <v>11387</v>
      </c>
      <c r="C2089" s="2" t="s">
        <v>11388</v>
      </c>
      <c r="D2089" s="5" t="s">
        <v>11387</v>
      </c>
      <c r="E2089" s="2" t="s">
        <v>15441</v>
      </c>
      <c r="F2089" s="2" t="s">
        <v>15446</v>
      </c>
      <c r="G2089" s="2" t="s">
        <v>15456</v>
      </c>
      <c r="H2089" s="2" t="s">
        <v>15444</v>
      </c>
    </row>
    <row r="2090">
      <c r="A2090" s="2">
        <v>2088.0</v>
      </c>
      <c r="B2090" s="5" t="s">
        <v>3092</v>
      </c>
      <c r="C2090" s="2" t="s">
        <v>3093</v>
      </c>
      <c r="D2090" s="5" t="s">
        <v>3092</v>
      </c>
      <c r="E2090" s="2" t="s">
        <v>15445</v>
      </c>
      <c r="F2090" s="2" t="s">
        <v>15446</v>
      </c>
      <c r="G2090" s="2" t="s">
        <v>15456</v>
      </c>
      <c r="H2090" s="2" t="s">
        <v>15444</v>
      </c>
    </row>
    <row r="2091">
      <c r="A2091" s="2">
        <v>2089.0</v>
      </c>
      <c r="B2091" s="5" t="s">
        <v>11389</v>
      </c>
      <c r="C2091" s="2" t="s">
        <v>11390</v>
      </c>
      <c r="D2091" s="5" t="s">
        <v>11389</v>
      </c>
      <c r="E2091" s="2" t="s">
        <v>15441</v>
      </c>
      <c r="F2091" s="2" t="s">
        <v>15446</v>
      </c>
      <c r="G2091" s="2" t="s">
        <v>15443</v>
      </c>
      <c r="H2091" s="2" t="s">
        <v>15444</v>
      </c>
    </row>
    <row r="2092">
      <c r="A2092" s="2">
        <v>2090.0</v>
      </c>
      <c r="B2092" s="5" t="s">
        <v>11391</v>
      </c>
      <c r="C2092" s="2" t="s">
        <v>11392</v>
      </c>
      <c r="D2092" s="5" t="s">
        <v>11391</v>
      </c>
      <c r="E2092" s="2" t="s">
        <v>15441</v>
      </c>
      <c r="F2092" s="2" t="s">
        <v>15446</v>
      </c>
      <c r="G2092" s="2" t="s">
        <v>15456</v>
      </c>
      <c r="H2092" s="2" t="s">
        <v>15444</v>
      </c>
    </row>
    <row r="2093">
      <c r="A2093" s="2">
        <v>2091.0</v>
      </c>
      <c r="B2093" s="5" t="s">
        <v>3095</v>
      </c>
      <c r="C2093" s="2" t="s">
        <v>3096</v>
      </c>
      <c r="D2093" s="5" t="s">
        <v>3095</v>
      </c>
      <c r="E2093" s="2" t="s">
        <v>15445</v>
      </c>
      <c r="F2093" s="2" t="s">
        <v>15442</v>
      </c>
      <c r="G2093" s="2" t="s">
        <v>15456</v>
      </c>
      <c r="H2093" s="2" t="s">
        <v>15444</v>
      </c>
    </row>
    <row r="2094">
      <c r="A2094" s="2">
        <v>2092.0</v>
      </c>
      <c r="B2094" s="5" t="s">
        <v>11393</v>
      </c>
      <c r="C2094" s="2" t="s">
        <v>11394</v>
      </c>
      <c r="D2094" s="5" t="s">
        <v>11393</v>
      </c>
      <c r="E2094" s="2" t="s">
        <v>15441</v>
      </c>
      <c r="F2094" s="2" t="s">
        <v>15446</v>
      </c>
      <c r="G2094" s="2" t="s">
        <v>15456</v>
      </c>
      <c r="H2094" s="2" t="s">
        <v>15444</v>
      </c>
    </row>
    <row r="2095">
      <c r="A2095" s="2">
        <v>2093.0</v>
      </c>
      <c r="B2095" s="5" t="s">
        <v>3098</v>
      </c>
      <c r="C2095" s="2" t="s">
        <v>3099</v>
      </c>
      <c r="D2095" s="5" t="s">
        <v>3098</v>
      </c>
      <c r="E2095" s="2" t="s">
        <v>15445</v>
      </c>
      <c r="F2095" s="2" t="s">
        <v>15446</v>
      </c>
      <c r="G2095" s="2" t="s">
        <v>15456</v>
      </c>
      <c r="H2095" s="2" t="s">
        <v>15444</v>
      </c>
    </row>
    <row r="2096">
      <c r="A2096" s="2">
        <v>2094.0</v>
      </c>
      <c r="B2096" s="5" t="s">
        <v>11395</v>
      </c>
      <c r="C2096" s="2" t="s">
        <v>11396</v>
      </c>
      <c r="D2096" s="5" t="s">
        <v>11395</v>
      </c>
      <c r="E2096" s="2" t="s">
        <v>15441</v>
      </c>
      <c r="F2096" s="2" t="s">
        <v>15446</v>
      </c>
      <c r="G2096" s="2" t="s">
        <v>15456</v>
      </c>
      <c r="H2096" s="2" t="s">
        <v>15444</v>
      </c>
    </row>
    <row r="2097">
      <c r="A2097" s="2">
        <v>2095.0</v>
      </c>
      <c r="B2097" s="5" t="s">
        <v>3101</v>
      </c>
      <c r="C2097" s="2" t="s">
        <v>3102</v>
      </c>
      <c r="D2097" s="5" t="s">
        <v>3101</v>
      </c>
      <c r="E2097" s="2" t="s">
        <v>15445</v>
      </c>
      <c r="F2097" s="2" t="s">
        <v>15442</v>
      </c>
      <c r="G2097" s="2" t="s">
        <v>15443</v>
      </c>
      <c r="H2097" s="2" t="s">
        <v>15444</v>
      </c>
    </row>
    <row r="2098">
      <c r="A2098" s="2">
        <v>2096.0</v>
      </c>
      <c r="B2098" s="5" t="s">
        <v>11397</v>
      </c>
      <c r="C2098" s="2" t="s">
        <v>11398</v>
      </c>
      <c r="D2098" s="5" t="s">
        <v>11397</v>
      </c>
      <c r="E2098" s="2" t="s">
        <v>15441</v>
      </c>
      <c r="F2098" s="2" t="s">
        <v>15446</v>
      </c>
      <c r="G2098" s="2" t="s">
        <v>15456</v>
      </c>
      <c r="H2098" s="2" t="s">
        <v>15455</v>
      </c>
    </row>
    <row r="2099">
      <c r="A2099" s="2">
        <v>2097.0</v>
      </c>
      <c r="B2099" s="5" t="s">
        <v>3104</v>
      </c>
      <c r="C2099" s="2" t="s">
        <v>3105</v>
      </c>
      <c r="D2099" s="5" t="s">
        <v>3104</v>
      </c>
      <c r="E2099" s="2" t="s">
        <v>15445</v>
      </c>
      <c r="F2099" s="2" t="s">
        <v>15446</v>
      </c>
      <c r="G2099" s="2" t="s">
        <v>15456</v>
      </c>
      <c r="H2099" s="2" t="s">
        <v>15444</v>
      </c>
    </row>
    <row r="2100">
      <c r="A2100" s="2">
        <v>2098.0</v>
      </c>
      <c r="B2100" s="5" t="s">
        <v>3107</v>
      </c>
      <c r="C2100" s="2" t="s">
        <v>3108</v>
      </c>
      <c r="D2100" s="5" t="s">
        <v>3107</v>
      </c>
      <c r="E2100" s="2" t="s">
        <v>15445</v>
      </c>
      <c r="F2100" s="2" t="s">
        <v>15446</v>
      </c>
      <c r="G2100" s="2" t="s">
        <v>15456</v>
      </c>
      <c r="H2100" s="2" t="s">
        <v>15444</v>
      </c>
    </row>
    <row r="2101">
      <c r="A2101" s="2">
        <v>2099.0</v>
      </c>
      <c r="B2101" s="5" t="s">
        <v>11399</v>
      </c>
      <c r="C2101" s="2" t="s">
        <v>11400</v>
      </c>
      <c r="D2101" s="5" t="s">
        <v>11399</v>
      </c>
      <c r="E2101" s="2" t="s">
        <v>15441</v>
      </c>
      <c r="F2101" s="2" t="s">
        <v>15442</v>
      </c>
      <c r="G2101" s="2" t="s">
        <v>15443</v>
      </c>
      <c r="H2101" s="2" t="s">
        <v>15444</v>
      </c>
    </row>
    <row r="2102">
      <c r="A2102" s="2">
        <v>2100.0</v>
      </c>
      <c r="B2102" s="5" t="s">
        <v>11401</v>
      </c>
      <c r="C2102" s="2" t="s">
        <v>11402</v>
      </c>
      <c r="D2102" s="5" t="s">
        <v>11401</v>
      </c>
      <c r="E2102" s="2" t="s">
        <v>15441</v>
      </c>
      <c r="F2102" s="2" t="s">
        <v>15442</v>
      </c>
      <c r="G2102" s="2" t="s">
        <v>15443</v>
      </c>
      <c r="H2102" s="2" t="s">
        <v>15444</v>
      </c>
    </row>
    <row r="2103">
      <c r="A2103" s="2">
        <v>2101.0</v>
      </c>
      <c r="B2103" s="5" t="s">
        <v>3110</v>
      </c>
      <c r="C2103" s="2" t="s">
        <v>3111</v>
      </c>
      <c r="D2103" s="5" t="s">
        <v>3110</v>
      </c>
      <c r="E2103" s="2" t="s">
        <v>15445</v>
      </c>
      <c r="F2103" s="2" t="s">
        <v>15442</v>
      </c>
      <c r="G2103" s="2" t="s">
        <v>15443</v>
      </c>
      <c r="H2103" s="2" t="s">
        <v>15444</v>
      </c>
    </row>
    <row r="2104">
      <c r="A2104" s="2">
        <v>2102.0</v>
      </c>
      <c r="B2104" s="5" t="s">
        <v>3113</v>
      </c>
      <c r="C2104" s="2" t="s">
        <v>3114</v>
      </c>
      <c r="D2104" s="5" t="s">
        <v>3113</v>
      </c>
      <c r="E2104" s="2" t="s">
        <v>15445</v>
      </c>
      <c r="F2104" s="2" t="s">
        <v>15446</v>
      </c>
      <c r="G2104" s="2" t="s">
        <v>15443</v>
      </c>
      <c r="H2104" s="2" t="s">
        <v>15444</v>
      </c>
    </row>
    <row r="2105">
      <c r="A2105" s="2">
        <v>2103.0</v>
      </c>
      <c r="B2105" s="5" t="s">
        <v>11403</v>
      </c>
      <c r="C2105" s="2" t="s">
        <v>11404</v>
      </c>
      <c r="D2105" s="5" t="s">
        <v>11403</v>
      </c>
      <c r="E2105" s="2" t="s">
        <v>15441</v>
      </c>
      <c r="F2105" s="2" t="s">
        <v>15446</v>
      </c>
      <c r="G2105" s="2" t="s">
        <v>15456</v>
      </c>
      <c r="H2105" s="2" t="s">
        <v>15444</v>
      </c>
    </row>
    <row r="2106">
      <c r="A2106" s="2">
        <v>2104.0</v>
      </c>
      <c r="B2106" s="5" t="s">
        <v>11405</v>
      </c>
      <c r="C2106" s="2" t="s">
        <v>11406</v>
      </c>
      <c r="D2106" s="5" t="s">
        <v>11405</v>
      </c>
      <c r="E2106" s="2" t="s">
        <v>15441</v>
      </c>
      <c r="F2106" s="2" t="s">
        <v>15446</v>
      </c>
      <c r="G2106" s="2" t="s">
        <v>15456</v>
      </c>
      <c r="H2106" s="2" t="s">
        <v>15444</v>
      </c>
    </row>
    <row r="2107">
      <c r="A2107" s="2">
        <v>2105.0</v>
      </c>
      <c r="B2107" s="5" t="s">
        <v>11407</v>
      </c>
      <c r="C2107" s="2" t="s">
        <v>11408</v>
      </c>
      <c r="D2107" s="5" t="s">
        <v>11407</v>
      </c>
      <c r="E2107" s="2" t="s">
        <v>15441</v>
      </c>
      <c r="F2107" s="2" t="s">
        <v>15442</v>
      </c>
      <c r="G2107" s="2" t="s">
        <v>15456</v>
      </c>
      <c r="H2107" s="2" t="s">
        <v>15444</v>
      </c>
    </row>
    <row r="2108">
      <c r="A2108" s="2">
        <v>2106.0</v>
      </c>
      <c r="B2108" s="5" t="s">
        <v>3116</v>
      </c>
      <c r="C2108" s="2" t="s">
        <v>3117</v>
      </c>
      <c r="D2108" s="5" t="s">
        <v>3116</v>
      </c>
      <c r="E2108" s="2" t="s">
        <v>15445</v>
      </c>
      <c r="F2108" s="2" t="s">
        <v>15442</v>
      </c>
      <c r="G2108" s="2" t="s">
        <v>15456</v>
      </c>
      <c r="H2108" s="2" t="s">
        <v>15444</v>
      </c>
    </row>
    <row r="2109">
      <c r="A2109" s="2">
        <v>2107.0</v>
      </c>
      <c r="B2109" s="5" t="s">
        <v>3119</v>
      </c>
      <c r="C2109" s="2" t="s">
        <v>3120</v>
      </c>
      <c r="D2109" s="5" t="s">
        <v>3119</v>
      </c>
      <c r="E2109" s="2" t="s">
        <v>15445</v>
      </c>
      <c r="F2109" s="2" t="s">
        <v>15442</v>
      </c>
      <c r="G2109" s="2" t="s">
        <v>15443</v>
      </c>
      <c r="H2109" s="2" t="s">
        <v>15444</v>
      </c>
    </row>
    <row r="2110">
      <c r="A2110" s="2">
        <v>2108.0</v>
      </c>
      <c r="B2110" s="5" t="s">
        <v>11409</v>
      </c>
      <c r="C2110" s="2" t="s">
        <v>11410</v>
      </c>
      <c r="D2110" s="5" t="s">
        <v>11409</v>
      </c>
      <c r="E2110" s="2" t="s">
        <v>15441</v>
      </c>
      <c r="F2110" s="2" t="s">
        <v>15446</v>
      </c>
      <c r="G2110" s="2" t="s">
        <v>15456</v>
      </c>
      <c r="H2110" s="2" t="s">
        <v>15444</v>
      </c>
    </row>
    <row r="2111">
      <c r="A2111" s="2">
        <v>2109.0</v>
      </c>
      <c r="B2111" s="5" t="s">
        <v>11411</v>
      </c>
      <c r="C2111" s="2" t="s">
        <v>11412</v>
      </c>
      <c r="D2111" s="5" t="s">
        <v>11411</v>
      </c>
      <c r="E2111" s="2" t="s">
        <v>15441</v>
      </c>
      <c r="F2111" s="2" t="s">
        <v>15446</v>
      </c>
      <c r="G2111" s="2" t="s">
        <v>15456</v>
      </c>
      <c r="H2111" s="2" t="s">
        <v>15444</v>
      </c>
    </row>
    <row r="2112">
      <c r="A2112" s="2">
        <v>2110.0</v>
      </c>
      <c r="B2112" s="5" t="s">
        <v>3122</v>
      </c>
      <c r="C2112" s="2" t="s">
        <v>3123</v>
      </c>
      <c r="D2112" s="5" t="s">
        <v>3122</v>
      </c>
      <c r="E2112" s="2" t="s">
        <v>15445</v>
      </c>
      <c r="F2112" s="2" t="s">
        <v>15442</v>
      </c>
      <c r="G2112" s="2" t="s">
        <v>15443</v>
      </c>
      <c r="H2112" s="2" t="s">
        <v>15444</v>
      </c>
    </row>
    <row r="2113">
      <c r="A2113" s="2">
        <v>2111.0</v>
      </c>
      <c r="B2113" s="5" t="s">
        <v>3125</v>
      </c>
      <c r="C2113" s="2" t="s">
        <v>3126</v>
      </c>
      <c r="D2113" s="5" t="s">
        <v>3125</v>
      </c>
      <c r="E2113" s="2" t="s">
        <v>15445</v>
      </c>
      <c r="F2113" s="2" t="s">
        <v>15446</v>
      </c>
      <c r="G2113" s="2" t="s">
        <v>15456</v>
      </c>
      <c r="H2113" s="2" t="s">
        <v>15444</v>
      </c>
    </row>
    <row r="2114">
      <c r="A2114" s="2">
        <v>2112.0</v>
      </c>
      <c r="B2114" s="5" t="s">
        <v>11413</v>
      </c>
      <c r="C2114" s="2" t="s">
        <v>11414</v>
      </c>
      <c r="D2114" s="5" t="s">
        <v>11413</v>
      </c>
      <c r="E2114" s="2" t="s">
        <v>15441</v>
      </c>
      <c r="F2114" s="2" t="s">
        <v>15446</v>
      </c>
      <c r="G2114" s="2" t="s">
        <v>15456</v>
      </c>
      <c r="H2114" s="2" t="s">
        <v>15444</v>
      </c>
    </row>
    <row r="2115">
      <c r="A2115" s="2">
        <v>2113.0</v>
      </c>
      <c r="B2115" s="5" t="s">
        <v>3128</v>
      </c>
      <c r="C2115" s="2" t="s">
        <v>3129</v>
      </c>
      <c r="D2115" s="5" t="s">
        <v>3128</v>
      </c>
      <c r="E2115" s="2" t="s">
        <v>15445</v>
      </c>
      <c r="F2115" s="2" t="s">
        <v>15446</v>
      </c>
      <c r="G2115" s="2" t="s">
        <v>15443</v>
      </c>
      <c r="H2115" s="2" t="s">
        <v>15444</v>
      </c>
    </row>
    <row r="2116">
      <c r="A2116" s="2">
        <v>2114.0</v>
      </c>
      <c r="B2116" s="5" t="s">
        <v>11415</v>
      </c>
      <c r="C2116" s="2" t="s">
        <v>11416</v>
      </c>
      <c r="D2116" s="5" t="s">
        <v>11415</v>
      </c>
      <c r="E2116" s="2" t="s">
        <v>15441</v>
      </c>
      <c r="F2116" s="2" t="s">
        <v>15442</v>
      </c>
      <c r="G2116" s="2" t="s">
        <v>15443</v>
      </c>
      <c r="H2116" s="2" t="s">
        <v>15444</v>
      </c>
    </row>
    <row r="2117">
      <c r="A2117" s="2">
        <v>2115.0</v>
      </c>
      <c r="B2117" s="5" t="s">
        <v>3131</v>
      </c>
      <c r="C2117" s="2" t="s">
        <v>3132</v>
      </c>
      <c r="D2117" s="5" t="s">
        <v>3131</v>
      </c>
      <c r="E2117" s="2" t="s">
        <v>15445</v>
      </c>
      <c r="F2117" s="2" t="s">
        <v>15442</v>
      </c>
      <c r="G2117" s="2" t="s">
        <v>15456</v>
      </c>
      <c r="H2117" s="2" t="s">
        <v>15444</v>
      </c>
    </row>
    <row r="2118">
      <c r="A2118" s="2">
        <v>2116.0</v>
      </c>
      <c r="B2118" s="5" t="s">
        <v>3134</v>
      </c>
      <c r="C2118" s="2" t="s">
        <v>3135</v>
      </c>
      <c r="D2118" s="5" t="s">
        <v>3134</v>
      </c>
      <c r="E2118" s="2" t="s">
        <v>15445</v>
      </c>
      <c r="F2118" s="2" t="s">
        <v>15446</v>
      </c>
      <c r="G2118" s="2" t="s">
        <v>15456</v>
      </c>
      <c r="H2118" s="2" t="s">
        <v>15444</v>
      </c>
    </row>
    <row r="2119">
      <c r="A2119" s="2">
        <v>2117.0</v>
      </c>
      <c r="B2119" s="5" t="s">
        <v>3137</v>
      </c>
      <c r="C2119" s="2" t="s">
        <v>3138</v>
      </c>
      <c r="D2119" s="5" t="s">
        <v>3137</v>
      </c>
      <c r="E2119" s="2" t="s">
        <v>15445</v>
      </c>
      <c r="F2119" s="2" t="s">
        <v>15446</v>
      </c>
      <c r="G2119" s="2" t="s">
        <v>15443</v>
      </c>
      <c r="H2119" s="2" t="s">
        <v>15444</v>
      </c>
    </row>
    <row r="2120">
      <c r="A2120" s="2">
        <v>2118.0</v>
      </c>
      <c r="B2120" s="5" t="s">
        <v>11417</v>
      </c>
      <c r="C2120" s="2" t="s">
        <v>11418</v>
      </c>
      <c r="D2120" s="5" t="s">
        <v>11417</v>
      </c>
      <c r="E2120" s="2" t="s">
        <v>15441</v>
      </c>
      <c r="F2120" s="2" t="s">
        <v>15446</v>
      </c>
      <c r="G2120" s="2" t="s">
        <v>15443</v>
      </c>
      <c r="H2120" s="2" t="s">
        <v>15444</v>
      </c>
    </row>
    <row r="2121">
      <c r="A2121" s="2">
        <v>2119.0</v>
      </c>
      <c r="B2121" s="5" t="s">
        <v>11419</v>
      </c>
      <c r="C2121" s="2" t="s">
        <v>11420</v>
      </c>
      <c r="D2121" s="5" t="s">
        <v>11419</v>
      </c>
      <c r="E2121" s="2" t="s">
        <v>15441</v>
      </c>
      <c r="F2121" s="2" t="s">
        <v>15446</v>
      </c>
      <c r="G2121" s="2" t="s">
        <v>15456</v>
      </c>
      <c r="H2121" s="2" t="s">
        <v>15444</v>
      </c>
    </row>
    <row r="2122">
      <c r="A2122" s="2">
        <v>2120.0</v>
      </c>
      <c r="B2122" s="5" t="s">
        <v>3140</v>
      </c>
      <c r="C2122" s="2" t="s">
        <v>3141</v>
      </c>
      <c r="D2122" s="5" t="s">
        <v>3140</v>
      </c>
      <c r="E2122" s="2" t="s">
        <v>15445</v>
      </c>
      <c r="F2122" s="2" t="s">
        <v>15442</v>
      </c>
      <c r="G2122" s="2" t="s">
        <v>15443</v>
      </c>
      <c r="H2122" s="2" t="s">
        <v>15444</v>
      </c>
    </row>
    <row r="2123">
      <c r="A2123" s="2">
        <v>2121.0</v>
      </c>
      <c r="B2123" s="5" t="s">
        <v>11421</v>
      </c>
      <c r="C2123" s="2" t="s">
        <v>11422</v>
      </c>
      <c r="D2123" s="5" t="s">
        <v>11421</v>
      </c>
      <c r="E2123" s="2" t="s">
        <v>15441</v>
      </c>
      <c r="F2123" s="2" t="s">
        <v>15446</v>
      </c>
      <c r="G2123" s="2" t="s">
        <v>15456</v>
      </c>
      <c r="H2123" s="2" t="s">
        <v>15462</v>
      </c>
    </row>
    <row r="2124">
      <c r="A2124" s="2">
        <v>2122.0</v>
      </c>
      <c r="B2124" s="5" t="s">
        <v>11423</v>
      </c>
      <c r="C2124" s="2" t="s">
        <v>11424</v>
      </c>
      <c r="D2124" s="5" t="s">
        <v>11423</v>
      </c>
      <c r="E2124" s="2" t="s">
        <v>15441</v>
      </c>
      <c r="F2124" s="2" t="s">
        <v>15446</v>
      </c>
      <c r="G2124" s="2" t="s">
        <v>15443</v>
      </c>
      <c r="H2124" s="2" t="s">
        <v>15444</v>
      </c>
    </row>
    <row r="2125">
      <c r="A2125" s="2">
        <v>2123.0</v>
      </c>
      <c r="B2125" s="5" t="s">
        <v>3143</v>
      </c>
      <c r="C2125" s="2" t="s">
        <v>3144</v>
      </c>
      <c r="D2125" s="5" t="s">
        <v>3143</v>
      </c>
      <c r="E2125" s="2" t="s">
        <v>15445</v>
      </c>
      <c r="F2125" s="2" t="s">
        <v>15446</v>
      </c>
      <c r="G2125" s="2" t="s">
        <v>15456</v>
      </c>
      <c r="H2125" s="2" t="s">
        <v>15444</v>
      </c>
    </row>
    <row r="2126">
      <c r="A2126" s="2">
        <v>2124.0</v>
      </c>
      <c r="B2126" s="5" t="s">
        <v>11425</v>
      </c>
      <c r="C2126" s="2" t="s">
        <v>11426</v>
      </c>
      <c r="D2126" s="5" t="s">
        <v>11425</v>
      </c>
      <c r="E2126" s="2" t="s">
        <v>15441</v>
      </c>
      <c r="F2126" s="2" t="s">
        <v>15442</v>
      </c>
      <c r="G2126" s="2" t="s">
        <v>15456</v>
      </c>
      <c r="H2126" s="2" t="s">
        <v>15444</v>
      </c>
    </row>
    <row r="2127">
      <c r="A2127" s="2">
        <v>2125.0</v>
      </c>
      <c r="B2127" s="5" t="s">
        <v>11427</v>
      </c>
      <c r="C2127" s="2" t="s">
        <v>11428</v>
      </c>
      <c r="D2127" s="5" t="s">
        <v>11427</v>
      </c>
      <c r="E2127" s="2" t="s">
        <v>15441</v>
      </c>
      <c r="F2127" s="2" t="s">
        <v>15446</v>
      </c>
      <c r="G2127" s="2" t="s">
        <v>15456</v>
      </c>
      <c r="H2127" s="2" t="s">
        <v>15444</v>
      </c>
    </row>
    <row r="2128">
      <c r="A2128" s="2">
        <v>2126.0</v>
      </c>
      <c r="B2128" s="5" t="s">
        <v>11429</v>
      </c>
      <c r="C2128" s="2" t="s">
        <v>11430</v>
      </c>
      <c r="D2128" s="5" t="s">
        <v>11429</v>
      </c>
      <c r="E2128" s="2" t="s">
        <v>15441</v>
      </c>
      <c r="F2128" s="2" t="s">
        <v>15442</v>
      </c>
      <c r="G2128" s="2" t="s">
        <v>15443</v>
      </c>
      <c r="H2128" s="2" t="s">
        <v>15444</v>
      </c>
    </row>
    <row r="2129">
      <c r="A2129" s="2">
        <v>2127.0</v>
      </c>
      <c r="B2129" s="5" t="s">
        <v>11431</v>
      </c>
      <c r="C2129" s="2" t="s">
        <v>11432</v>
      </c>
      <c r="D2129" s="5" t="s">
        <v>11431</v>
      </c>
      <c r="E2129" s="2" t="s">
        <v>15441</v>
      </c>
      <c r="F2129" s="2" t="s">
        <v>15446</v>
      </c>
      <c r="G2129" s="2" t="s">
        <v>15456</v>
      </c>
      <c r="H2129" s="2" t="s">
        <v>15457</v>
      </c>
    </row>
    <row r="2130">
      <c r="A2130" s="2">
        <v>2128.0</v>
      </c>
      <c r="B2130" s="5" t="s">
        <v>11433</v>
      </c>
      <c r="C2130" s="2" t="s">
        <v>11434</v>
      </c>
      <c r="D2130" s="5" t="s">
        <v>11433</v>
      </c>
      <c r="E2130" s="2" t="s">
        <v>15441</v>
      </c>
      <c r="F2130" s="2" t="s">
        <v>15442</v>
      </c>
      <c r="G2130" s="2" t="s">
        <v>15443</v>
      </c>
      <c r="H2130" s="2" t="s">
        <v>15444</v>
      </c>
    </row>
    <row r="2131">
      <c r="A2131" s="2">
        <v>2129.0</v>
      </c>
      <c r="B2131" s="5" t="s">
        <v>3146</v>
      </c>
      <c r="C2131" s="2" t="s">
        <v>3147</v>
      </c>
      <c r="D2131" s="5" t="s">
        <v>3146</v>
      </c>
      <c r="E2131" s="2" t="s">
        <v>15445</v>
      </c>
      <c r="F2131" s="2" t="s">
        <v>15442</v>
      </c>
      <c r="G2131" s="2" t="s">
        <v>15443</v>
      </c>
      <c r="H2131" s="2" t="s">
        <v>15444</v>
      </c>
    </row>
    <row r="2132">
      <c r="A2132" s="2">
        <v>2130.0</v>
      </c>
      <c r="B2132" s="5" t="s">
        <v>3149</v>
      </c>
      <c r="C2132" s="2" t="s">
        <v>3150</v>
      </c>
      <c r="D2132" s="5" t="s">
        <v>3149</v>
      </c>
      <c r="E2132" s="2" t="s">
        <v>15445</v>
      </c>
      <c r="F2132" s="2" t="s">
        <v>15446</v>
      </c>
      <c r="G2132" s="2" t="s">
        <v>15456</v>
      </c>
      <c r="H2132" s="2" t="s">
        <v>15444</v>
      </c>
    </row>
    <row r="2133">
      <c r="A2133" s="2">
        <v>2131.0</v>
      </c>
      <c r="B2133" s="5" t="s">
        <v>11435</v>
      </c>
      <c r="C2133" s="2" t="s">
        <v>11436</v>
      </c>
      <c r="D2133" s="5" t="s">
        <v>11435</v>
      </c>
      <c r="E2133" s="2" t="s">
        <v>15441</v>
      </c>
      <c r="F2133" s="2" t="s">
        <v>15446</v>
      </c>
      <c r="G2133" s="2" t="s">
        <v>15456</v>
      </c>
      <c r="H2133" s="2" t="s">
        <v>15455</v>
      </c>
    </row>
    <row r="2134">
      <c r="A2134" s="2">
        <v>2132.0</v>
      </c>
      <c r="B2134" s="5" t="s">
        <v>11437</v>
      </c>
      <c r="C2134" s="2" t="s">
        <v>11438</v>
      </c>
      <c r="D2134" s="5" t="s">
        <v>11437</v>
      </c>
      <c r="E2134" s="2" t="s">
        <v>15441</v>
      </c>
      <c r="F2134" s="2" t="s">
        <v>15446</v>
      </c>
      <c r="G2134" s="2" t="s">
        <v>15456</v>
      </c>
      <c r="H2134" s="2" t="s">
        <v>15444</v>
      </c>
    </row>
    <row r="2135">
      <c r="A2135" s="2">
        <v>2133.0</v>
      </c>
      <c r="B2135" s="5" t="s">
        <v>3152</v>
      </c>
      <c r="C2135" s="2" t="s">
        <v>3153</v>
      </c>
      <c r="D2135" s="5" t="s">
        <v>3152</v>
      </c>
      <c r="E2135" s="2" t="s">
        <v>15445</v>
      </c>
      <c r="F2135" s="2" t="s">
        <v>15446</v>
      </c>
      <c r="G2135" s="2" t="s">
        <v>15456</v>
      </c>
      <c r="H2135" s="2" t="s">
        <v>15444</v>
      </c>
    </row>
    <row r="2136">
      <c r="A2136" s="2">
        <v>2134.0</v>
      </c>
      <c r="B2136" s="5" t="s">
        <v>11439</v>
      </c>
      <c r="C2136" s="2" t="s">
        <v>11440</v>
      </c>
      <c r="D2136" s="5" t="s">
        <v>11439</v>
      </c>
      <c r="E2136" s="2" t="s">
        <v>15441</v>
      </c>
      <c r="F2136" s="2" t="s">
        <v>15446</v>
      </c>
      <c r="G2136" s="2" t="s">
        <v>15456</v>
      </c>
      <c r="H2136" s="2" t="s">
        <v>15444</v>
      </c>
    </row>
    <row r="2137">
      <c r="A2137" s="2">
        <v>2135.0</v>
      </c>
      <c r="B2137" s="5" t="s">
        <v>11441</v>
      </c>
      <c r="C2137" s="2" t="s">
        <v>11442</v>
      </c>
      <c r="D2137" s="5" t="s">
        <v>11441</v>
      </c>
      <c r="E2137" s="2" t="s">
        <v>15441</v>
      </c>
      <c r="F2137" s="2" t="s">
        <v>15446</v>
      </c>
      <c r="G2137" s="2" t="s">
        <v>15456</v>
      </c>
      <c r="H2137" s="2" t="s">
        <v>15444</v>
      </c>
    </row>
    <row r="2138">
      <c r="A2138" s="2">
        <v>2136.0</v>
      </c>
      <c r="B2138" s="5" t="s">
        <v>3155</v>
      </c>
      <c r="C2138" s="2" t="s">
        <v>3156</v>
      </c>
      <c r="D2138" s="5" t="s">
        <v>3155</v>
      </c>
      <c r="E2138" s="2" t="s">
        <v>15445</v>
      </c>
      <c r="F2138" s="2" t="s">
        <v>15446</v>
      </c>
      <c r="G2138" s="2" t="s">
        <v>15443</v>
      </c>
      <c r="H2138" s="2" t="s">
        <v>15444</v>
      </c>
    </row>
    <row r="2139">
      <c r="A2139" s="2">
        <v>2137.0</v>
      </c>
      <c r="B2139" s="5" t="s">
        <v>3158</v>
      </c>
      <c r="C2139" s="2" t="s">
        <v>3159</v>
      </c>
      <c r="D2139" s="5" t="s">
        <v>3158</v>
      </c>
      <c r="E2139" s="2" t="s">
        <v>15445</v>
      </c>
      <c r="F2139" s="2" t="s">
        <v>15442</v>
      </c>
      <c r="G2139" s="2" t="s">
        <v>15443</v>
      </c>
      <c r="H2139" s="2" t="s">
        <v>15444</v>
      </c>
    </row>
    <row r="2140">
      <c r="A2140" s="2">
        <v>2138.0</v>
      </c>
      <c r="B2140" s="5" t="s">
        <v>3161</v>
      </c>
      <c r="C2140" s="2" t="s">
        <v>3162</v>
      </c>
      <c r="D2140" s="5" t="s">
        <v>3161</v>
      </c>
      <c r="E2140" s="2" t="s">
        <v>15445</v>
      </c>
      <c r="F2140" s="2" t="s">
        <v>15446</v>
      </c>
      <c r="G2140" s="2" t="s">
        <v>15456</v>
      </c>
      <c r="H2140" s="2" t="s">
        <v>15444</v>
      </c>
    </row>
    <row r="2141">
      <c r="A2141" s="2">
        <v>2139.0</v>
      </c>
      <c r="B2141" s="5" t="s">
        <v>3164</v>
      </c>
      <c r="C2141" s="2" t="s">
        <v>3165</v>
      </c>
      <c r="D2141" s="5" t="s">
        <v>3164</v>
      </c>
      <c r="E2141" s="2" t="s">
        <v>15445</v>
      </c>
      <c r="F2141" s="2" t="s">
        <v>15446</v>
      </c>
      <c r="G2141" s="2" t="s">
        <v>15456</v>
      </c>
      <c r="H2141" s="2" t="s">
        <v>15444</v>
      </c>
    </row>
    <row r="2142">
      <c r="A2142" s="2">
        <v>2140.0</v>
      </c>
      <c r="B2142" s="5" t="s">
        <v>3167</v>
      </c>
      <c r="C2142" s="2" t="s">
        <v>3168</v>
      </c>
      <c r="D2142" s="5" t="s">
        <v>3167</v>
      </c>
      <c r="E2142" s="2" t="s">
        <v>15445</v>
      </c>
      <c r="F2142" s="2" t="s">
        <v>15446</v>
      </c>
      <c r="G2142" s="2" t="s">
        <v>15443</v>
      </c>
      <c r="H2142" s="2" t="s">
        <v>15444</v>
      </c>
    </row>
    <row r="2143">
      <c r="A2143" s="2">
        <v>2141.0</v>
      </c>
      <c r="B2143" s="5" t="s">
        <v>11443</v>
      </c>
      <c r="C2143" s="2" t="s">
        <v>11444</v>
      </c>
      <c r="D2143" s="5" t="s">
        <v>11443</v>
      </c>
      <c r="E2143" s="2" t="s">
        <v>15441</v>
      </c>
      <c r="F2143" s="2" t="s">
        <v>15446</v>
      </c>
      <c r="G2143" s="2" t="s">
        <v>15456</v>
      </c>
      <c r="H2143" s="2" t="s">
        <v>15457</v>
      </c>
    </row>
    <row r="2144">
      <c r="A2144" s="2">
        <v>2142.0</v>
      </c>
      <c r="B2144" s="5" t="s">
        <v>11445</v>
      </c>
      <c r="C2144" s="2" t="s">
        <v>11446</v>
      </c>
      <c r="D2144" s="5" t="s">
        <v>11445</v>
      </c>
      <c r="E2144" s="2" t="s">
        <v>15441</v>
      </c>
      <c r="F2144" s="2" t="s">
        <v>15442</v>
      </c>
      <c r="G2144" s="2" t="s">
        <v>15456</v>
      </c>
      <c r="H2144" s="2" t="s">
        <v>15444</v>
      </c>
    </row>
    <row r="2145">
      <c r="A2145" s="2">
        <v>2143.0</v>
      </c>
      <c r="B2145" s="5" t="s">
        <v>3170</v>
      </c>
      <c r="C2145" s="2" t="s">
        <v>3171</v>
      </c>
      <c r="D2145" s="5" t="s">
        <v>3170</v>
      </c>
      <c r="E2145" s="2" t="s">
        <v>15445</v>
      </c>
      <c r="F2145" s="2" t="s">
        <v>15446</v>
      </c>
      <c r="G2145" s="2" t="s">
        <v>15443</v>
      </c>
      <c r="H2145" s="2" t="s">
        <v>15444</v>
      </c>
    </row>
    <row r="2146">
      <c r="A2146" s="2">
        <v>2144.0</v>
      </c>
      <c r="B2146" s="5" t="s">
        <v>3173</v>
      </c>
      <c r="C2146" s="2" t="s">
        <v>3174</v>
      </c>
      <c r="D2146" s="5" t="s">
        <v>3173</v>
      </c>
      <c r="E2146" s="2" t="s">
        <v>15445</v>
      </c>
      <c r="F2146" s="2" t="s">
        <v>15446</v>
      </c>
      <c r="G2146" s="2" t="s">
        <v>15456</v>
      </c>
      <c r="H2146" s="2" t="s">
        <v>15444</v>
      </c>
    </row>
    <row r="2147">
      <c r="A2147" s="2">
        <v>2145.0</v>
      </c>
      <c r="B2147" s="5" t="s">
        <v>3176</v>
      </c>
      <c r="C2147" s="2" t="s">
        <v>3177</v>
      </c>
      <c r="D2147" s="5" t="s">
        <v>3176</v>
      </c>
      <c r="E2147" s="2" t="s">
        <v>15445</v>
      </c>
      <c r="F2147" s="2" t="s">
        <v>15442</v>
      </c>
      <c r="G2147" s="2" t="s">
        <v>15443</v>
      </c>
      <c r="H2147" s="2" t="s">
        <v>15444</v>
      </c>
    </row>
    <row r="2148">
      <c r="A2148" s="2">
        <v>2146.0</v>
      </c>
      <c r="B2148" s="5" t="s">
        <v>3179</v>
      </c>
      <c r="C2148" s="2" t="s">
        <v>3180</v>
      </c>
      <c r="D2148" s="5" t="s">
        <v>3179</v>
      </c>
      <c r="E2148" s="2" t="s">
        <v>15445</v>
      </c>
      <c r="F2148" s="2" t="s">
        <v>15446</v>
      </c>
      <c r="G2148" s="2" t="s">
        <v>15443</v>
      </c>
      <c r="H2148" s="2" t="s">
        <v>15444</v>
      </c>
    </row>
    <row r="2149">
      <c r="A2149" s="2">
        <v>2147.0</v>
      </c>
      <c r="B2149" s="5" t="s">
        <v>3182</v>
      </c>
      <c r="C2149" s="2" t="s">
        <v>3183</v>
      </c>
      <c r="D2149" s="5" t="s">
        <v>3182</v>
      </c>
      <c r="E2149" s="2" t="s">
        <v>15445</v>
      </c>
      <c r="F2149" s="2" t="s">
        <v>15446</v>
      </c>
      <c r="G2149" s="2" t="s">
        <v>15456</v>
      </c>
      <c r="H2149" s="2" t="s">
        <v>15444</v>
      </c>
    </row>
    <row r="2150">
      <c r="A2150" s="2">
        <v>2148.0</v>
      </c>
      <c r="B2150" s="5" t="s">
        <v>11447</v>
      </c>
      <c r="C2150" s="2" t="s">
        <v>11448</v>
      </c>
      <c r="D2150" s="5" t="s">
        <v>11447</v>
      </c>
      <c r="E2150" s="2" t="s">
        <v>15441</v>
      </c>
      <c r="F2150" s="2" t="s">
        <v>15442</v>
      </c>
      <c r="G2150" s="2" t="s">
        <v>15456</v>
      </c>
      <c r="H2150" s="2" t="s">
        <v>15444</v>
      </c>
    </row>
    <row r="2151">
      <c r="A2151" s="2">
        <v>2149.0</v>
      </c>
      <c r="B2151" s="5" t="s">
        <v>3185</v>
      </c>
      <c r="C2151" s="2" t="s">
        <v>3186</v>
      </c>
      <c r="D2151" s="5" t="s">
        <v>3185</v>
      </c>
      <c r="E2151" s="2" t="s">
        <v>15445</v>
      </c>
      <c r="F2151" s="2" t="s">
        <v>15442</v>
      </c>
      <c r="G2151" s="2" t="s">
        <v>15443</v>
      </c>
      <c r="H2151" s="2" t="s">
        <v>15444</v>
      </c>
    </row>
    <row r="2152">
      <c r="A2152" s="2">
        <v>2150.0</v>
      </c>
      <c r="B2152" s="5" t="s">
        <v>3188</v>
      </c>
      <c r="C2152" s="2" t="s">
        <v>3189</v>
      </c>
      <c r="D2152" s="5" t="s">
        <v>3188</v>
      </c>
      <c r="E2152" s="2" t="s">
        <v>15445</v>
      </c>
      <c r="F2152" s="2" t="s">
        <v>15442</v>
      </c>
      <c r="G2152" s="2" t="s">
        <v>15443</v>
      </c>
      <c r="H2152" s="2" t="s">
        <v>15444</v>
      </c>
    </row>
    <row r="2153">
      <c r="A2153" s="2">
        <v>2151.0</v>
      </c>
      <c r="B2153" s="5" t="s">
        <v>11449</v>
      </c>
      <c r="C2153" s="2" t="s">
        <v>11450</v>
      </c>
      <c r="D2153" s="5" t="s">
        <v>11449</v>
      </c>
      <c r="E2153" s="2" t="s">
        <v>15441</v>
      </c>
      <c r="F2153" s="2" t="s">
        <v>15442</v>
      </c>
      <c r="G2153" s="2" t="s">
        <v>15456</v>
      </c>
      <c r="H2153" s="2" t="s">
        <v>15444</v>
      </c>
    </row>
    <row r="2154">
      <c r="A2154" s="2">
        <v>2152.0</v>
      </c>
      <c r="B2154" s="5" t="s">
        <v>3191</v>
      </c>
      <c r="C2154" s="2" t="s">
        <v>3192</v>
      </c>
      <c r="D2154" s="5" t="s">
        <v>3191</v>
      </c>
      <c r="E2154" s="2" t="s">
        <v>15445</v>
      </c>
      <c r="F2154" s="2" t="s">
        <v>15442</v>
      </c>
      <c r="G2154" s="2" t="s">
        <v>15443</v>
      </c>
      <c r="H2154" s="2" t="s">
        <v>15444</v>
      </c>
    </row>
    <row r="2155">
      <c r="A2155" s="2">
        <v>2153.0</v>
      </c>
      <c r="B2155" s="5" t="s">
        <v>11451</v>
      </c>
      <c r="C2155" s="2" t="s">
        <v>11452</v>
      </c>
      <c r="D2155" s="5" t="s">
        <v>11451</v>
      </c>
      <c r="E2155" s="2" t="s">
        <v>15441</v>
      </c>
      <c r="F2155" s="2" t="s">
        <v>15442</v>
      </c>
      <c r="G2155" s="2" t="s">
        <v>15456</v>
      </c>
      <c r="H2155" s="2" t="s">
        <v>15444</v>
      </c>
    </row>
    <row r="2156">
      <c r="A2156" s="2">
        <v>2154.0</v>
      </c>
      <c r="B2156" s="5" t="s">
        <v>3194</v>
      </c>
      <c r="C2156" s="2" t="s">
        <v>3195</v>
      </c>
      <c r="D2156" s="5" t="s">
        <v>3194</v>
      </c>
      <c r="E2156" s="2" t="s">
        <v>15445</v>
      </c>
      <c r="F2156" s="2" t="s">
        <v>15446</v>
      </c>
      <c r="G2156" s="2" t="s">
        <v>15456</v>
      </c>
      <c r="H2156" s="2" t="s">
        <v>15444</v>
      </c>
    </row>
    <row r="2157">
      <c r="A2157" s="2">
        <v>2155.0</v>
      </c>
      <c r="B2157" s="5" t="s">
        <v>11453</v>
      </c>
      <c r="C2157" s="2" t="s">
        <v>11454</v>
      </c>
      <c r="D2157" s="5" t="s">
        <v>11453</v>
      </c>
      <c r="E2157" s="2" t="s">
        <v>15441</v>
      </c>
      <c r="F2157" s="2" t="s">
        <v>15446</v>
      </c>
      <c r="G2157" s="2" t="s">
        <v>15456</v>
      </c>
      <c r="H2157" s="2" t="s">
        <v>15457</v>
      </c>
    </row>
    <row r="2158">
      <c r="A2158" s="2">
        <v>2156.0</v>
      </c>
      <c r="B2158" s="5" t="s">
        <v>11455</v>
      </c>
      <c r="C2158" s="2" t="s">
        <v>11456</v>
      </c>
      <c r="D2158" s="5" t="s">
        <v>11455</v>
      </c>
      <c r="E2158" s="2" t="s">
        <v>15441</v>
      </c>
      <c r="F2158" s="2" t="s">
        <v>15446</v>
      </c>
      <c r="G2158" s="2" t="s">
        <v>15456</v>
      </c>
      <c r="H2158" s="2" t="s">
        <v>15444</v>
      </c>
    </row>
    <row r="2159">
      <c r="A2159" s="2">
        <v>2157.0</v>
      </c>
      <c r="B2159" s="5" t="s">
        <v>11457</v>
      </c>
      <c r="C2159" s="2" t="s">
        <v>11458</v>
      </c>
      <c r="D2159" s="5" t="s">
        <v>11457</v>
      </c>
      <c r="E2159" s="2" t="s">
        <v>15441</v>
      </c>
      <c r="F2159" s="2" t="s">
        <v>15446</v>
      </c>
      <c r="G2159" s="2" t="s">
        <v>15456</v>
      </c>
      <c r="H2159" s="2" t="s">
        <v>15444</v>
      </c>
    </row>
    <row r="2160">
      <c r="A2160" s="2">
        <v>2158.0</v>
      </c>
      <c r="B2160" s="5" t="s">
        <v>11459</v>
      </c>
      <c r="C2160" s="2" t="s">
        <v>11460</v>
      </c>
      <c r="D2160" s="5" t="s">
        <v>11459</v>
      </c>
      <c r="E2160" s="2" t="s">
        <v>15441</v>
      </c>
      <c r="F2160" s="2" t="s">
        <v>15446</v>
      </c>
      <c r="G2160" s="2" t="s">
        <v>15443</v>
      </c>
      <c r="H2160" s="2" t="s">
        <v>15457</v>
      </c>
    </row>
    <row r="2161">
      <c r="A2161" s="2">
        <v>2159.0</v>
      </c>
      <c r="B2161" s="5" t="s">
        <v>11461</v>
      </c>
      <c r="C2161" s="2" t="s">
        <v>11462</v>
      </c>
      <c r="D2161" s="5" t="s">
        <v>11461</v>
      </c>
      <c r="E2161" s="2" t="s">
        <v>15441</v>
      </c>
      <c r="F2161" s="2" t="s">
        <v>15446</v>
      </c>
      <c r="G2161" s="2" t="s">
        <v>15456</v>
      </c>
      <c r="H2161" s="2" t="s">
        <v>15444</v>
      </c>
    </row>
    <row r="2162">
      <c r="A2162" s="2">
        <v>2160.0</v>
      </c>
      <c r="B2162" s="5" t="s">
        <v>3197</v>
      </c>
      <c r="C2162" s="2" t="s">
        <v>3198</v>
      </c>
      <c r="D2162" s="5" t="s">
        <v>3197</v>
      </c>
      <c r="E2162" s="2" t="s">
        <v>15445</v>
      </c>
      <c r="F2162" s="2" t="s">
        <v>15442</v>
      </c>
      <c r="G2162" s="2" t="s">
        <v>15456</v>
      </c>
      <c r="H2162" s="2" t="s">
        <v>15444</v>
      </c>
    </row>
    <row r="2163">
      <c r="A2163" s="2">
        <v>2161.0</v>
      </c>
      <c r="B2163" s="5" t="s">
        <v>11463</v>
      </c>
      <c r="C2163" s="2" t="s">
        <v>11464</v>
      </c>
      <c r="D2163" s="5" t="s">
        <v>11463</v>
      </c>
      <c r="E2163" s="2" t="s">
        <v>15441</v>
      </c>
      <c r="F2163" s="2" t="s">
        <v>15446</v>
      </c>
      <c r="G2163" s="2" t="s">
        <v>15443</v>
      </c>
      <c r="H2163" s="2" t="s">
        <v>15444</v>
      </c>
    </row>
    <row r="2164">
      <c r="A2164" s="2">
        <v>2162.0</v>
      </c>
      <c r="B2164" s="5" t="s">
        <v>11465</v>
      </c>
      <c r="C2164" s="2" t="s">
        <v>11466</v>
      </c>
      <c r="D2164" s="5" t="s">
        <v>11465</v>
      </c>
      <c r="E2164" s="2" t="s">
        <v>15441</v>
      </c>
      <c r="F2164" s="2" t="s">
        <v>15442</v>
      </c>
      <c r="G2164" s="2" t="s">
        <v>15443</v>
      </c>
      <c r="H2164" s="2" t="s">
        <v>15444</v>
      </c>
    </row>
    <row r="2165">
      <c r="A2165" s="2">
        <v>2163.0</v>
      </c>
      <c r="B2165" s="5" t="s">
        <v>11467</v>
      </c>
      <c r="C2165" s="2" t="s">
        <v>11468</v>
      </c>
      <c r="D2165" s="5" t="s">
        <v>11467</v>
      </c>
      <c r="E2165" s="2" t="s">
        <v>15441</v>
      </c>
      <c r="F2165" s="2" t="s">
        <v>15442</v>
      </c>
      <c r="G2165" s="2" t="s">
        <v>15456</v>
      </c>
      <c r="H2165" s="2" t="s">
        <v>15444</v>
      </c>
    </row>
    <row r="2166">
      <c r="A2166" s="2">
        <v>2164.0</v>
      </c>
      <c r="B2166" s="5" t="s">
        <v>11469</v>
      </c>
      <c r="C2166" s="2" t="s">
        <v>11470</v>
      </c>
      <c r="D2166" s="5" t="s">
        <v>11469</v>
      </c>
      <c r="E2166" s="2" t="s">
        <v>15441</v>
      </c>
      <c r="F2166" s="2" t="s">
        <v>15446</v>
      </c>
      <c r="G2166" s="2" t="s">
        <v>15456</v>
      </c>
      <c r="H2166" s="2" t="s">
        <v>15457</v>
      </c>
    </row>
    <row r="2167">
      <c r="A2167" s="2">
        <v>2165.0</v>
      </c>
      <c r="B2167" s="5" t="s">
        <v>3200</v>
      </c>
      <c r="C2167" s="2" t="s">
        <v>3201</v>
      </c>
      <c r="D2167" s="5" t="s">
        <v>3200</v>
      </c>
      <c r="E2167" s="2" t="s">
        <v>15445</v>
      </c>
      <c r="F2167" s="2" t="s">
        <v>15446</v>
      </c>
      <c r="G2167" s="2" t="s">
        <v>15456</v>
      </c>
      <c r="H2167" s="2" t="s">
        <v>15444</v>
      </c>
    </row>
    <row r="2168">
      <c r="A2168" s="2">
        <v>2166.0</v>
      </c>
      <c r="B2168" s="5" t="s">
        <v>3203</v>
      </c>
      <c r="C2168" s="2" t="s">
        <v>3204</v>
      </c>
      <c r="D2168" s="5" t="s">
        <v>3203</v>
      </c>
      <c r="E2168" s="2" t="s">
        <v>15445</v>
      </c>
      <c r="F2168" s="2" t="s">
        <v>15446</v>
      </c>
      <c r="G2168" s="2" t="s">
        <v>15456</v>
      </c>
      <c r="H2168" s="2" t="s">
        <v>15444</v>
      </c>
    </row>
    <row r="2169">
      <c r="A2169" s="2">
        <v>2167.0</v>
      </c>
      <c r="B2169" s="5" t="s">
        <v>3206</v>
      </c>
      <c r="C2169" s="2" t="s">
        <v>3207</v>
      </c>
      <c r="D2169" s="5" t="s">
        <v>3206</v>
      </c>
      <c r="E2169" s="2" t="s">
        <v>15445</v>
      </c>
      <c r="F2169" s="2" t="s">
        <v>15446</v>
      </c>
      <c r="G2169" s="2" t="s">
        <v>15456</v>
      </c>
      <c r="H2169" s="2" t="s">
        <v>15444</v>
      </c>
    </row>
    <row r="2170">
      <c r="A2170" s="2">
        <v>2168.0</v>
      </c>
      <c r="B2170" s="5" t="s">
        <v>11471</v>
      </c>
      <c r="C2170" s="2" t="s">
        <v>11472</v>
      </c>
      <c r="D2170" s="5" t="s">
        <v>11471</v>
      </c>
      <c r="E2170" s="2" t="s">
        <v>15441</v>
      </c>
      <c r="F2170" s="2" t="s">
        <v>15446</v>
      </c>
      <c r="G2170" s="2" t="s">
        <v>15443</v>
      </c>
      <c r="H2170" s="2" t="s">
        <v>15444</v>
      </c>
    </row>
    <row r="2171">
      <c r="A2171" s="2">
        <v>2169.0</v>
      </c>
      <c r="B2171" s="5" t="s">
        <v>3209</v>
      </c>
      <c r="C2171" s="2" t="s">
        <v>3210</v>
      </c>
      <c r="D2171" s="5" t="s">
        <v>3209</v>
      </c>
      <c r="E2171" s="2" t="s">
        <v>15445</v>
      </c>
      <c r="F2171" s="2" t="s">
        <v>15442</v>
      </c>
      <c r="G2171" s="2" t="s">
        <v>15443</v>
      </c>
      <c r="H2171" s="2" t="s">
        <v>15444</v>
      </c>
    </row>
    <row r="2172">
      <c r="A2172" s="2">
        <v>2170.0</v>
      </c>
      <c r="B2172" s="5" t="s">
        <v>3212</v>
      </c>
      <c r="C2172" s="2" t="s">
        <v>3213</v>
      </c>
      <c r="D2172" s="5" t="s">
        <v>3212</v>
      </c>
      <c r="E2172" s="2" t="s">
        <v>15445</v>
      </c>
      <c r="F2172" s="2" t="s">
        <v>15446</v>
      </c>
      <c r="G2172" s="2" t="s">
        <v>15456</v>
      </c>
      <c r="H2172" s="2" t="s">
        <v>15444</v>
      </c>
    </row>
    <row r="2173">
      <c r="A2173" s="2">
        <v>2171.0</v>
      </c>
      <c r="B2173" s="5" t="s">
        <v>11473</v>
      </c>
      <c r="C2173" s="2" t="s">
        <v>11474</v>
      </c>
      <c r="D2173" s="5" t="s">
        <v>11473</v>
      </c>
      <c r="E2173" s="2" t="s">
        <v>15441</v>
      </c>
      <c r="F2173" s="2" t="s">
        <v>15442</v>
      </c>
      <c r="G2173" s="2" t="s">
        <v>15456</v>
      </c>
      <c r="H2173" s="2" t="s">
        <v>15455</v>
      </c>
    </row>
    <row r="2174">
      <c r="A2174" s="2">
        <v>2172.0</v>
      </c>
      <c r="B2174" s="5" t="s">
        <v>11475</v>
      </c>
      <c r="C2174" s="2" t="s">
        <v>11476</v>
      </c>
      <c r="D2174" s="5" t="s">
        <v>11475</v>
      </c>
      <c r="E2174" s="2" t="s">
        <v>15441</v>
      </c>
      <c r="F2174" s="2" t="s">
        <v>15446</v>
      </c>
      <c r="G2174" s="2" t="s">
        <v>15456</v>
      </c>
      <c r="H2174" s="2" t="s">
        <v>15455</v>
      </c>
    </row>
    <row r="2175">
      <c r="A2175" s="2">
        <v>2173.0</v>
      </c>
      <c r="B2175" s="5" t="s">
        <v>3215</v>
      </c>
      <c r="C2175" s="2" t="s">
        <v>3216</v>
      </c>
      <c r="D2175" s="5" t="s">
        <v>3215</v>
      </c>
      <c r="E2175" s="2" t="s">
        <v>15445</v>
      </c>
      <c r="F2175" s="2" t="s">
        <v>15446</v>
      </c>
      <c r="G2175" s="2" t="s">
        <v>15456</v>
      </c>
      <c r="H2175" s="2" t="s">
        <v>15444</v>
      </c>
    </row>
    <row r="2176">
      <c r="A2176" s="2">
        <v>2174.0</v>
      </c>
      <c r="B2176" s="5" t="s">
        <v>3218</v>
      </c>
      <c r="C2176" s="2" t="s">
        <v>3219</v>
      </c>
      <c r="D2176" s="5" t="s">
        <v>3218</v>
      </c>
      <c r="E2176" s="2" t="s">
        <v>15445</v>
      </c>
      <c r="F2176" s="2" t="s">
        <v>15446</v>
      </c>
      <c r="G2176" s="2" t="s">
        <v>15456</v>
      </c>
      <c r="H2176" s="2" t="s">
        <v>15444</v>
      </c>
    </row>
    <row r="2177">
      <c r="A2177" s="2">
        <v>2175.0</v>
      </c>
      <c r="B2177" s="5" t="s">
        <v>3221</v>
      </c>
      <c r="C2177" s="2" t="s">
        <v>3222</v>
      </c>
      <c r="D2177" s="5" t="s">
        <v>3221</v>
      </c>
      <c r="E2177" s="2" t="s">
        <v>15445</v>
      </c>
      <c r="F2177" s="2" t="s">
        <v>15446</v>
      </c>
      <c r="G2177" s="2" t="s">
        <v>15456</v>
      </c>
      <c r="H2177" s="2" t="s">
        <v>15444</v>
      </c>
    </row>
    <row r="2178">
      <c r="A2178" s="2">
        <v>2176.0</v>
      </c>
      <c r="B2178" s="5" t="s">
        <v>3224</v>
      </c>
      <c r="C2178" s="2" t="s">
        <v>3225</v>
      </c>
      <c r="D2178" s="5" t="s">
        <v>3224</v>
      </c>
      <c r="E2178" s="2" t="s">
        <v>15445</v>
      </c>
      <c r="F2178" s="2" t="s">
        <v>15446</v>
      </c>
      <c r="G2178" s="2" t="s">
        <v>15456</v>
      </c>
      <c r="H2178" s="2" t="s">
        <v>15444</v>
      </c>
    </row>
    <row r="2179">
      <c r="A2179" s="2">
        <v>2177.0</v>
      </c>
      <c r="B2179" s="5" t="s">
        <v>11477</v>
      </c>
      <c r="C2179" s="2" t="s">
        <v>11478</v>
      </c>
      <c r="D2179" s="5" t="s">
        <v>11477</v>
      </c>
      <c r="E2179" s="2" t="s">
        <v>15441</v>
      </c>
      <c r="F2179" s="2" t="s">
        <v>15442</v>
      </c>
      <c r="G2179" s="2" t="s">
        <v>15443</v>
      </c>
      <c r="H2179" s="2" t="s">
        <v>15462</v>
      </c>
    </row>
    <row r="2180">
      <c r="A2180" s="2">
        <v>2178.0</v>
      </c>
      <c r="B2180" s="5" t="s">
        <v>3227</v>
      </c>
      <c r="C2180" s="2" t="s">
        <v>3228</v>
      </c>
      <c r="D2180" s="5" t="s">
        <v>3227</v>
      </c>
      <c r="E2180" s="2" t="s">
        <v>15445</v>
      </c>
      <c r="F2180" s="2" t="s">
        <v>15446</v>
      </c>
      <c r="G2180" s="2" t="s">
        <v>15456</v>
      </c>
      <c r="H2180" s="2" t="s">
        <v>15457</v>
      </c>
    </row>
    <row r="2181">
      <c r="A2181" s="2">
        <v>2179.0</v>
      </c>
      <c r="B2181" s="5" t="s">
        <v>3230</v>
      </c>
      <c r="C2181" s="2" t="s">
        <v>3231</v>
      </c>
      <c r="D2181" s="5" t="s">
        <v>3230</v>
      </c>
      <c r="E2181" s="2" t="s">
        <v>15445</v>
      </c>
      <c r="F2181" s="2" t="s">
        <v>15442</v>
      </c>
      <c r="G2181" s="2" t="s">
        <v>15443</v>
      </c>
      <c r="H2181" s="2" t="s">
        <v>15444</v>
      </c>
    </row>
    <row r="2182">
      <c r="A2182" s="2">
        <v>2180.0</v>
      </c>
      <c r="B2182" s="5" t="s">
        <v>11479</v>
      </c>
      <c r="C2182" s="2" t="s">
        <v>11480</v>
      </c>
      <c r="D2182" s="5" t="s">
        <v>11479</v>
      </c>
      <c r="E2182" s="2" t="s">
        <v>15441</v>
      </c>
      <c r="F2182" s="2" t="s">
        <v>15446</v>
      </c>
      <c r="G2182" s="2" t="s">
        <v>15456</v>
      </c>
      <c r="H2182" s="2" t="s">
        <v>15444</v>
      </c>
    </row>
    <row r="2183">
      <c r="A2183" s="2">
        <v>2181.0</v>
      </c>
      <c r="B2183" s="5" t="s">
        <v>3233</v>
      </c>
      <c r="C2183" s="2" t="s">
        <v>3234</v>
      </c>
      <c r="D2183" s="5" t="s">
        <v>3233</v>
      </c>
      <c r="E2183" s="2" t="s">
        <v>15445</v>
      </c>
      <c r="F2183" s="2" t="s">
        <v>15442</v>
      </c>
      <c r="G2183" s="2" t="s">
        <v>15443</v>
      </c>
      <c r="H2183" s="2" t="s">
        <v>15444</v>
      </c>
    </row>
    <row r="2184">
      <c r="A2184" s="2">
        <v>2182.0</v>
      </c>
      <c r="B2184" s="5" t="s">
        <v>11481</v>
      </c>
      <c r="C2184" s="2" t="s">
        <v>11482</v>
      </c>
      <c r="D2184" s="5" t="s">
        <v>11481</v>
      </c>
      <c r="E2184" s="2" t="s">
        <v>15441</v>
      </c>
      <c r="F2184" s="2" t="s">
        <v>15442</v>
      </c>
      <c r="G2184" s="2" t="s">
        <v>15443</v>
      </c>
      <c r="H2184" s="2" t="s">
        <v>15444</v>
      </c>
    </row>
    <row r="2185">
      <c r="A2185" s="2">
        <v>2183.0</v>
      </c>
      <c r="B2185" s="5" t="s">
        <v>3236</v>
      </c>
      <c r="C2185" s="2" t="s">
        <v>3237</v>
      </c>
      <c r="D2185" s="5" t="s">
        <v>3236</v>
      </c>
      <c r="E2185" s="2" t="s">
        <v>15445</v>
      </c>
      <c r="F2185" s="2" t="s">
        <v>15442</v>
      </c>
      <c r="G2185" s="2" t="s">
        <v>15443</v>
      </c>
      <c r="H2185" s="2" t="s">
        <v>15444</v>
      </c>
    </row>
    <row r="2186">
      <c r="A2186" s="2">
        <v>2184.0</v>
      </c>
      <c r="B2186" s="5" t="s">
        <v>3239</v>
      </c>
      <c r="C2186" s="2" t="s">
        <v>3240</v>
      </c>
      <c r="D2186" s="5" t="s">
        <v>3239</v>
      </c>
      <c r="E2186" s="2" t="s">
        <v>15445</v>
      </c>
      <c r="F2186" s="2" t="s">
        <v>15442</v>
      </c>
      <c r="G2186" s="2" t="s">
        <v>15456</v>
      </c>
      <c r="H2186" s="2" t="s">
        <v>15444</v>
      </c>
    </row>
    <row r="2187">
      <c r="A2187" s="2">
        <v>2185.0</v>
      </c>
      <c r="B2187" s="5" t="s">
        <v>11483</v>
      </c>
      <c r="C2187" s="2" t="s">
        <v>11484</v>
      </c>
      <c r="D2187" s="5" t="s">
        <v>11483</v>
      </c>
      <c r="E2187" s="2" t="s">
        <v>15441</v>
      </c>
      <c r="F2187" s="2" t="s">
        <v>15446</v>
      </c>
      <c r="G2187" s="2" t="s">
        <v>15456</v>
      </c>
      <c r="H2187" s="2" t="s">
        <v>15444</v>
      </c>
    </row>
    <row r="2188">
      <c r="A2188" s="2">
        <v>2186.0</v>
      </c>
      <c r="B2188" s="5" t="s">
        <v>11485</v>
      </c>
      <c r="C2188" s="2" t="s">
        <v>11486</v>
      </c>
      <c r="D2188" s="5" t="s">
        <v>11485</v>
      </c>
      <c r="E2188" s="2" t="s">
        <v>15441</v>
      </c>
      <c r="F2188" s="2" t="s">
        <v>15446</v>
      </c>
      <c r="G2188" s="2" t="s">
        <v>15443</v>
      </c>
      <c r="H2188" s="2" t="s">
        <v>15444</v>
      </c>
    </row>
    <row r="2189">
      <c r="A2189" s="2">
        <v>2187.0</v>
      </c>
      <c r="B2189" s="5" t="s">
        <v>3242</v>
      </c>
      <c r="C2189" s="2" t="s">
        <v>3243</v>
      </c>
      <c r="D2189" s="5" t="s">
        <v>3242</v>
      </c>
      <c r="E2189" s="2" t="s">
        <v>15445</v>
      </c>
      <c r="F2189" s="2" t="s">
        <v>15446</v>
      </c>
      <c r="G2189" s="2" t="s">
        <v>15443</v>
      </c>
      <c r="H2189" s="2" t="s">
        <v>15444</v>
      </c>
    </row>
    <row r="2190">
      <c r="A2190" s="2">
        <v>2188.0</v>
      </c>
      <c r="B2190" s="5" t="s">
        <v>11487</v>
      </c>
      <c r="C2190" s="2" t="s">
        <v>11488</v>
      </c>
      <c r="D2190" s="5" t="s">
        <v>11487</v>
      </c>
      <c r="E2190" s="2" t="s">
        <v>15441</v>
      </c>
      <c r="F2190" s="2" t="s">
        <v>15442</v>
      </c>
      <c r="G2190" s="2" t="s">
        <v>15443</v>
      </c>
      <c r="H2190" s="2" t="s">
        <v>15444</v>
      </c>
    </row>
    <row r="2191">
      <c r="A2191" s="2">
        <v>2189.0</v>
      </c>
      <c r="B2191" s="5" t="s">
        <v>11489</v>
      </c>
      <c r="C2191" s="2" t="s">
        <v>11490</v>
      </c>
      <c r="D2191" s="5" t="s">
        <v>11489</v>
      </c>
      <c r="E2191" s="2" t="s">
        <v>15441</v>
      </c>
      <c r="F2191" s="2" t="s">
        <v>15446</v>
      </c>
      <c r="G2191" s="2" t="s">
        <v>15443</v>
      </c>
      <c r="H2191" s="2" t="s">
        <v>15444</v>
      </c>
    </row>
    <row r="2192">
      <c r="A2192" s="2">
        <v>2190.0</v>
      </c>
      <c r="B2192" s="5" t="s">
        <v>11491</v>
      </c>
      <c r="C2192" s="2" t="s">
        <v>11492</v>
      </c>
      <c r="D2192" s="5" t="s">
        <v>11491</v>
      </c>
      <c r="E2192" s="2" t="s">
        <v>15441</v>
      </c>
      <c r="F2192" s="2" t="s">
        <v>15442</v>
      </c>
      <c r="G2192" s="2" t="s">
        <v>15443</v>
      </c>
      <c r="H2192" s="2" t="s">
        <v>15457</v>
      </c>
    </row>
    <row r="2193">
      <c r="A2193" s="2">
        <v>2191.0</v>
      </c>
      <c r="B2193" s="5" t="s">
        <v>3245</v>
      </c>
      <c r="C2193" s="2" t="s">
        <v>3246</v>
      </c>
      <c r="D2193" s="5" t="s">
        <v>3245</v>
      </c>
      <c r="E2193" s="2" t="s">
        <v>15445</v>
      </c>
      <c r="F2193" s="2" t="s">
        <v>15446</v>
      </c>
      <c r="G2193" s="2" t="s">
        <v>15456</v>
      </c>
      <c r="H2193" s="2" t="s">
        <v>15444</v>
      </c>
    </row>
    <row r="2194">
      <c r="A2194" s="2">
        <v>2192.0</v>
      </c>
      <c r="B2194" s="5" t="s">
        <v>3248</v>
      </c>
      <c r="C2194" s="2" t="s">
        <v>3249</v>
      </c>
      <c r="D2194" s="5" t="s">
        <v>3248</v>
      </c>
      <c r="E2194" s="2" t="s">
        <v>15445</v>
      </c>
      <c r="F2194" s="2" t="s">
        <v>15446</v>
      </c>
      <c r="G2194" s="2" t="s">
        <v>15456</v>
      </c>
      <c r="H2194" s="2" t="s">
        <v>15444</v>
      </c>
    </row>
    <row r="2195">
      <c r="A2195" s="2">
        <v>2193.0</v>
      </c>
      <c r="B2195" s="5" t="s">
        <v>3251</v>
      </c>
      <c r="C2195" s="2" t="s">
        <v>3252</v>
      </c>
      <c r="D2195" s="5" t="s">
        <v>3251</v>
      </c>
      <c r="E2195" s="2" t="s">
        <v>15445</v>
      </c>
      <c r="F2195" s="2" t="s">
        <v>15442</v>
      </c>
      <c r="G2195" s="2" t="s">
        <v>15456</v>
      </c>
      <c r="H2195" s="2" t="s">
        <v>15444</v>
      </c>
    </row>
    <row r="2196">
      <c r="A2196" s="2">
        <v>2194.0</v>
      </c>
      <c r="B2196" s="5" t="s">
        <v>11493</v>
      </c>
      <c r="C2196" s="2" t="s">
        <v>11494</v>
      </c>
      <c r="D2196" s="5" t="s">
        <v>11493</v>
      </c>
      <c r="E2196" s="2" t="s">
        <v>15441</v>
      </c>
      <c r="F2196" s="2" t="s">
        <v>15446</v>
      </c>
      <c r="G2196" s="2" t="s">
        <v>15456</v>
      </c>
      <c r="H2196" s="2" t="s">
        <v>15457</v>
      </c>
    </row>
    <row r="2197">
      <c r="A2197" s="2">
        <v>2195.0</v>
      </c>
      <c r="B2197" s="5" t="s">
        <v>11495</v>
      </c>
      <c r="C2197" s="2" t="s">
        <v>11496</v>
      </c>
      <c r="D2197" s="5" t="s">
        <v>11495</v>
      </c>
      <c r="E2197" s="2" t="s">
        <v>15441</v>
      </c>
      <c r="F2197" s="2" t="s">
        <v>15446</v>
      </c>
      <c r="G2197" s="2" t="s">
        <v>15456</v>
      </c>
      <c r="H2197" s="2" t="s">
        <v>15444</v>
      </c>
    </row>
    <row r="2198">
      <c r="A2198" s="2">
        <v>2196.0</v>
      </c>
      <c r="B2198" s="5" t="s">
        <v>3254</v>
      </c>
      <c r="C2198" s="2" t="s">
        <v>3255</v>
      </c>
      <c r="D2198" s="5" t="s">
        <v>3254</v>
      </c>
      <c r="E2198" s="2" t="s">
        <v>15445</v>
      </c>
      <c r="F2198" s="2" t="s">
        <v>15442</v>
      </c>
      <c r="G2198" s="2" t="s">
        <v>15443</v>
      </c>
      <c r="H2198" s="2" t="s">
        <v>15444</v>
      </c>
    </row>
    <row r="2199">
      <c r="A2199" s="2">
        <v>2197.0</v>
      </c>
      <c r="B2199" s="5" t="s">
        <v>3257</v>
      </c>
      <c r="C2199" s="2" t="s">
        <v>3258</v>
      </c>
      <c r="D2199" s="5" t="s">
        <v>3257</v>
      </c>
      <c r="E2199" s="2" t="s">
        <v>15445</v>
      </c>
      <c r="F2199" s="2" t="s">
        <v>15446</v>
      </c>
      <c r="G2199" s="2" t="s">
        <v>15443</v>
      </c>
      <c r="H2199" s="2" t="s">
        <v>15444</v>
      </c>
    </row>
    <row r="2200">
      <c r="A2200" s="2">
        <v>2198.0</v>
      </c>
      <c r="B2200" s="5" t="s">
        <v>11497</v>
      </c>
      <c r="C2200" s="2" t="s">
        <v>11498</v>
      </c>
      <c r="D2200" s="5" t="s">
        <v>11497</v>
      </c>
      <c r="E2200" s="2" t="s">
        <v>15441</v>
      </c>
      <c r="F2200" s="2" t="s">
        <v>15442</v>
      </c>
      <c r="G2200" s="2" t="s">
        <v>15443</v>
      </c>
      <c r="H2200" s="2" t="s">
        <v>15444</v>
      </c>
    </row>
    <row r="2201">
      <c r="A2201" s="2">
        <v>2199.0</v>
      </c>
      <c r="B2201" s="5" t="s">
        <v>11499</v>
      </c>
      <c r="C2201" s="2" t="s">
        <v>11500</v>
      </c>
      <c r="D2201" s="5" t="s">
        <v>11499</v>
      </c>
      <c r="E2201" s="2" t="s">
        <v>15441</v>
      </c>
      <c r="F2201" s="2" t="s">
        <v>15442</v>
      </c>
      <c r="G2201" s="2" t="s">
        <v>15456</v>
      </c>
      <c r="H2201" s="2" t="s">
        <v>15457</v>
      </c>
    </row>
    <row r="2202">
      <c r="A2202" s="2">
        <v>2200.0</v>
      </c>
      <c r="B2202" s="5" t="s">
        <v>11501</v>
      </c>
      <c r="C2202" s="2" t="s">
        <v>11502</v>
      </c>
      <c r="D2202" s="5" t="s">
        <v>11501</v>
      </c>
      <c r="E2202" s="2" t="s">
        <v>15441</v>
      </c>
      <c r="F2202" s="2" t="s">
        <v>15446</v>
      </c>
      <c r="G2202" s="2" t="s">
        <v>15443</v>
      </c>
      <c r="H2202" s="2" t="s">
        <v>15444</v>
      </c>
    </row>
    <row r="2203">
      <c r="A2203" s="2">
        <v>2201.0</v>
      </c>
      <c r="B2203" s="5" t="s">
        <v>3260</v>
      </c>
      <c r="C2203" s="2" t="s">
        <v>3261</v>
      </c>
      <c r="D2203" s="5" t="s">
        <v>3260</v>
      </c>
      <c r="E2203" s="2" t="s">
        <v>15445</v>
      </c>
      <c r="F2203" s="2" t="s">
        <v>15442</v>
      </c>
      <c r="G2203" s="2" t="s">
        <v>15443</v>
      </c>
      <c r="H2203" s="2" t="s">
        <v>15444</v>
      </c>
    </row>
    <row r="2204">
      <c r="A2204" s="2">
        <v>2202.0</v>
      </c>
      <c r="B2204" s="5" t="s">
        <v>3263</v>
      </c>
      <c r="C2204" s="2" t="s">
        <v>3264</v>
      </c>
      <c r="D2204" s="5" t="s">
        <v>3263</v>
      </c>
      <c r="E2204" s="2" t="s">
        <v>15445</v>
      </c>
      <c r="F2204" s="2" t="s">
        <v>15442</v>
      </c>
      <c r="G2204" s="2" t="s">
        <v>15443</v>
      </c>
      <c r="H2204" s="2" t="s">
        <v>15444</v>
      </c>
    </row>
    <row r="2205">
      <c r="A2205" s="2">
        <v>2203.0</v>
      </c>
      <c r="B2205" s="5" t="s">
        <v>11503</v>
      </c>
      <c r="C2205" s="2" t="s">
        <v>11504</v>
      </c>
      <c r="D2205" s="5" t="s">
        <v>11503</v>
      </c>
      <c r="E2205" s="2" t="s">
        <v>15441</v>
      </c>
      <c r="F2205" s="2" t="s">
        <v>15446</v>
      </c>
      <c r="G2205" s="2" t="s">
        <v>15456</v>
      </c>
      <c r="H2205" s="2" t="s">
        <v>15444</v>
      </c>
    </row>
    <row r="2206">
      <c r="A2206" s="2">
        <v>2204.0</v>
      </c>
      <c r="B2206" s="5" t="s">
        <v>11505</v>
      </c>
      <c r="C2206" s="2" t="s">
        <v>11506</v>
      </c>
      <c r="D2206" s="5" t="s">
        <v>11505</v>
      </c>
      <c r="E2206" s="2" t="s">
        <v>15441</v>
      </c>
      <c r="F2206" s="2" t="s">
        <v>15446</v>
      </c>
      <c r="G2206" s="2" t="s">
        <v>15456</v>
      </c>
      <c r="H2206" s="2" t="s">
        <v>15444</v>
      </c>
    </row>
    <row r="2207">
      <c r="A2207" s="2">
        <v>2205.0</v>
      </c>
      <c r="B2207" s="5" t="s">
        <v>11507</v>
      </c>
      <c r="C2207" s="2" t="s">
        <v>11508</v>
      </c>
      <c r="D2207" s="5" t="s">
        <v>11507</v>
      </c>
      <c r="E2207" s="2" t="s">
        <v>15441</v>
      </c>
      <c r="F2207" s="2" t="s">
        <v>15446</v>
      </c>
      <c r="G2207" s="2" t="s">
        <v>15456</v>
      </c>
      <c r="H2207" s="2" t="s">
        <v>15444</v>
      </c>
    </row>
    <row r="2208">
      <c r="A2208" s="2">
        <v>2206.0</v>
      </c>
      <c r="B2208" s="5" t="s">
        <v>11509</v>
      </c>
      <c r="C2208" s="2" t="s">
        <v>11510</v>
      </c>
      <c r="D2208" s="5" t="s">
        <v>11509</v>
      </c>
      <c r="E2208" s="2" t="s">
        <v>15441</v>
      </c>
      <c r="F2208" s="2" t="s">
        <v>15446</v>
      </c>
      <c r="G2208" s="2" t="s">
        <v>15456</v>
      </c>
      <c r="H2208" s="2" t="s">
        <v>15444</v>
      </c>
    </row>
    <row r="2209">
      <c r="A2209" s="2">
        <v>2207.0</v>
      </c>
      <c r="B2209" s="5" t="s">
        <v>11511</v>
      </c>
      <c r="C2209" s="2" t="s">
        <v>11512</v>
      </c>
      <c r="D2209" s="5" t="s">
        <v>11511</v>
      </c>
      <c r="E2209" s="2" t="s">
        <v>15441</v>
      </c>
      <c r="F2209" s="2" t="s">
        <v>15446</v>
      </c>
      <c r="G2209" s="2" t="s">
        <v>15456</v>
      </c>
      <c r="H2209" s="2" t="s">
        <v>15444</v>
      </c>
    </row>
    <row r="2210">
      <c r="A2210" s="2">
        <v>2208.0</v>
      </c>
      <c r="B2210" s="5" t="s">
        <v>11513</v>
      </c>
      <c r="C2210" s="2" t="s">
        <v>11514</v>
      </c>
      <c r="D2210" s="5" t="s">
        <v>11513</v>
      </c>
      <c r="E2210" s="2" t="s">
        <v>15441</v>
      </c>
      <c r="F2210" s="2" t="s">
        <v>15446</v>
      </c>
      <c r="G2210" s="2" t="s">
        <v>15456</v>
      </c>
      <c r="H2210" s="2" t="s">
        <v>15444</v>
      </c>
    </row>
    <row r="2211">
      <c r="A2211" s="2">
        <v>2209.0</v>
      </c>
      <c r="B2211" s="5" t="s">
        <v>3266</v>
      </c>
      <c r="C2211" s="2" t="s">
        <v>3267</v>
      </c>
      <c r="D2211" s="5" t="s">
        <v>3266</v>
      </c>
      <c r="E2211" s="2" t="s">
        <v>15445</v>
      </c>
      <c r="F2211" s="2" t="s">
        <v>15446</v>
      </c>
      <c r="G2211" s="2" t="s">
        <v>15456</v>
      </c>
      <c r="H2211" s="2" t="s">
        <v>15444</v>
      </c>
    </row>
    <row r="2212">
      <c r="A2212" s="2">
        <v>2210.0</v>
      </c>
      <c r="B2212" s="5" t="s">
        <v>3269</v>
      </c>
      <c r="C2212" s="2" t="s">
        <v>3270</v>
      </c>
      <c r="D2212" s="5" t="s">
        <v>3269</v>
      </c>
      <c r="E2212" s="2" t="s">
        <v>15445</v>
      </c>
      <c r="F2212" s="2" t="s">
        <v>15446</v>
      </c>
      <c r="G2212" s="2" t="s">
        <v>15456</v>
      </c>
      <c r="H2212" s="2" t="s">
        <v>15444</v>
      </c>
    </row>
    <row r="2213">
      <c r="A2213" s="2">
        <v>2211.0</v>
      </c>
      <c r="B2213" s="5" t="s">
        <v>3272</v>
      </c>
      <c r="C2213" s="2" t="s">
        <v>3273</v>
      </c>
      <c r="D2213" s="5" t="s">
        <v>3272</v>
      </c>
      <c r="E2213" s="2" t="s">
        <v>15445</v>
      </c>
      <c r="F2213" s="2" t="s">
        <v>15442</v>
      </c>
      <c r="G2213" s="2" t="s">
        <v>15443</v>
      </c>
      <c r="H2213" s="2" t="s">
        <v>15444</v>
      </c>
    </row>
    <row r="2214">
      <c r="A2214" s="2">
        <v>2212.0</v>
      </c>
      <c r="B2214" s="5" t="s">
        <v>11515</v>
      </c>
      <c r="C2214" s="2" t="s">
        <v>11516</v>
      </c>
      <c r="D2214" s="5" t="s">
        <v>11515</v>
      </c>
      <c r="E2214" s="2" t="s">
        <v>15441</v>
      </c>
      <c r="F2214" s="2" t="s">
        <v>15446</v>
      </c>
      <c r="G2214" s="2" t="s">
        <v>15456</v>
      </c>
      <c r="H2214" s="2" t="s">
        <v>15444</v>
      </c>
    </row>
    <row r="2215">
      <c r="A2215" s="2">
        <v>2213.0</v>
      </c>
      <c r="B2215" s="5" t="s">
        <v>3275</v>
      </c>
      <c r="C2215" s="2" t="s">
        <v>3276</v>
      </c>
      <c r="D2215" s="5" t="s">
        <v>3275</v>
      </c>
      <c r="E2215" s="2" t="s">
        <v>15445</v>
      </c>
      <c r="F2215" s="2" t="s">
        <v>15442</v>
      </c>
      <c r="G2215" s="2" t="s">
        <v>15456</v>
      </c>
      <c r="H2215" s="2" t="s">
        <v>15444</v>
      </c>
    </row>
    <row r="2216">
      <c r="A2216" s="2">
        <v>2214.0</v>
      </c>
      <c r="B2216" s="5" t="s">
        <v>3278</v>
      </c>
      <c r="C2216" s="2" t="s">
        <v>3279</v>
      </c>
      <c r="D2216" s="5" t="s">
        <v>3278</v>
      </c>
      <c r="E2216" s="2" t="s">
        <v>15445</v>
      </c>
      <c r="F2216" s="2" t="s">
        <v>15446</v>
      </c>
      <c r="G2216" s="2" t="s">
        <v>15443</v>
      </c>
      <c r="H2216" s="2" t="s">
        <v>15444</v>
      </c>
    </row>
    <row r="2217">
      <c r="A2217" s="2">
        <v>2215.0</v>
      </c>
      <c r="B2217" s="5" t="s">
        <v>11517</v>
      </c>
      <c r="C2217" s="2" t="s">
        <v>11518</v>
      </c>
      <c r="D2217" s="5" t="s">
        <v>11517</v>
      </c>
      <c r="E2217" s="2" t="s">
        <v>15441</v>
      </c>
      <c r="F2217" s="2" t="s">
        <v>15446</v>
      </c>
      <c r="G2217" s="2" t="s">
        <v>15456</v>
      </c>
      <c r="H2217" s="2" t="s">
        <v>15444</v>
      </c>
    </row>
    <row r="2218">
      <c r="A2218" s="2">
        <v>2216.0</v>
      </c>
      <c r="B2218" s="5" t="s">
        <v>11519</v>
      </c>
      <c r="C2218" s="2" t="s">
        <v>11520</v>
      </c>
      <c r="D2218" s="5" t="s">
        <v>11519</v>
      </c>
      <c r="E2218" s="2" t="s">
        <v>15441</v>
      </c>
      <c r="F2218" s="2" t="s">
        <v>15446</v>
      </c>
      <c r="G2218" s="2" t="s">
        <v>15456</v>
      </c>
      <c r="H2218" s="2" t="s">
        <v>15444</v>
      </c>
    </row>
    <row r="2219">
      <c r="A2219" s="2">
        <v>2217.0</v>
      </c>
      <c r="B2219" s="5" t="s">
        <v>3281</v>
      </c>
      <c r="C2219" s="2" t="s">
        <v>3282</v>
      </c>
      <c r="D2219" s="5" t="s">
        <v>3281</v>
      </c>
      <c r="E2219" s="2" t="s">
        <v>15445</v>
      </c>
      <c r="F2219" s="2" t="s">
        <v>15442</v>
      </c>
      <c r="G2219" s="2" t="s">
        <v>15456</v>
      </c>
      <c r="H2219" s="2" t="s">
        <v>15444</v>
      </c>
    </row>
    <row r="2220">
      <c r="A2220" s="2">
        <v>2218.0</v>
      </c>
      <c r="B2220" s="5" t="s">
        <v>3284</v>
      </c>
      <c r="C2220" s="2" t="s">
        <v>3285</v>
      </c>
      <c r="D2220" s="5" t="s">
        <v>3284</v>
      </c>
      <c r="E2220" s="2" t="s">
        <v>15445</v>
      </c>
      <c r="F2220" s="2" t="s">
        <v>15442</v>
      </c>
      <c r="G2220" s="2" t="s">
        <v>15456</v>
      </c>
      <c r="H2220" s="2" t="s">
        <v>15444</v>
      </c>
    </row>
    <row r="2221">
      <c r="A2221" s="2">
        <v>2219.0</v>
      </c>
      <c r="B2221" s="5" t="s">
        <v>11521</v>
      </c>
      <c r="C2221" s="2" t="s">
        <v>11522</v>
      </c>
      <c r="D2221" s="5" t="s">
        <v>11521</v>
      </c>
      <c r="E2221" s="2" t="s">
        <v>15441</v>
      </c>
      <c r="F2221" s="2" t="s">
        <v>15442</v>
      </c>
      <c r="G2221" s="2" t="s">
        <v>15456</v>
      </c>
      <c r="H2221" s="2" t="s">
        <v>15444</v>
      </c>
    </row>
    <row r="2222">
      <c r="A2222" s="2">
        <v>2220.0</v>
      </c>
      <c r="B2222" s="5" t="s">
        <v>3287</v>
      </c>
      <c r="C2222" s="2" t="s">
        <v>3288</v>
      </c>
      <c r="D2222" s="5" t="s">
        <v>3287</v>
      </c>
      <c r="E2222" s="2" t="s">
        <v>15445</v>
      </c>
      <c r="F2222" s="2" t="s">
        <v>15442</v>
      </c>
      <c r="G2222" s="2" t="s">
        <v>15443</v>
      </c>
      <c r="H2222" s="2" t="s">
        <v>15444</v>
      </c>
    </row>
    <row r="2223">
      <c r="A2223" s="2">
        <v>2221.0</v>
      </c>
      <c r="B2223" s="5" t="s">
        <v>3290</v>
      </c>
      <c r="C2223" s="2" t="s">
        <v>3291</v>
      </c>
      <c r="D2223" s="5" t="s">
        <v>3290</v>
      </c>
      <c r="E2223" s="2" t="s">
        <v>15445</v>
      </c>
      <c r="F2223" s="2" t="s">
        <v>15446</v>
      </c>
      <c r="G2223" s="2" t="s">
        <v>15456</v>
      </c>
      <c r="H2223" s="2" t="s">
        <v>15444</v>
      </c>
    </row>
    <row r="2224">
      <c r="A2224" s="2">
        <v>2222.0</v>
      </c>
      <c r="B2224" s="5" t="s">
        <v>11523</v>
      </c>
      <c r="C2224" s="2" t="s">
        <v>11524</v>
      </c>
      <c r="D2224" s="5" t="s">
        <v>11523</v>
      </c>
      <c r="E2224" s="2" t="s">
        <v>15441</v>
      </c>
      <c r="F2224" s="2" t="s">
        <v>15442</v>
      </c>
      <c r="G2224" s="2" t="s">
        <v>15443</v>
      </c>
      <c r="H2224" s="2" t="s">
        <v>15444</v>
      </c>
    </row>
    <row r="2225">
      <c r="A2225" s="2">
        <v>2223.0</v>
      </c>
      <c r="B2225" s="5" t="s">
        <v>3293</v>
      </c>
      <c r="C2225" s="2" t="s">
        <v>3294</v>
      </c>
      <c r="D2225" s="5" t="s">
        <v>3293</v>
      </c>
      <c r="E2225" s="2" t="s">
        <v>15445</v>
      </c>
      <c r="F2225" s="2" t="s">
        <v>15446</v>
      </c>
      <c r="G2225" s="2" t="s">
        <v>15456</v>
      </c>
      <c r="H2225" s="2" t="s">
        <v>15444</v>
      </c>
    </row>
    <row r="2226">
      <c r="A2226" s="2">
        <v>2224.0</v>
      </c>
      <c r="B2226" s="5" t="s">
        <v>11525</v>
      </c>
      <c r="C2226" s="2" t="s">
        <v>11526</v>
      </c>
      <c r="D2226" s="5" t="s">
        <v>11525</v>
      </c>
      <c r="E2226" s="2" t="s">
        <v>15441</v>
      </c>
      <c r="F2226" s="2" t="s">
        <v>15446</v>
      </c>
      <c r="G2226" s="2" t="s">
        <v>15456</v>
      </c>
      <c r="H2226" s="2" t="s">
        <v>15444</v>
      </c>
    </row>
    <row r="2227">
      <c r="A2227" s="2">
        <v>2225.0</v>
      </c>
      <c r="B2227" s="5" t="s">
        <v>3296</v>
      </c>
      <c r="C2227" s="2" t="s">
        <v>3297</v>
      </c>
      <c r="D2227" s="5" t="s">
        <v>3296</v>
      </c>
      <c r="E2227" s="2" t="s">
        <v>15445</v>
      </c>
      <c r="F2227" s="2" t="s">
        <v>15442</v>
      </c>
      <c r="G2227" s="2" t="s">
        <v>15443</v>
      </c>
      <c r="H2227" s="2" t="s">
        <v>15444</v>
      </c>
    </row>
    <row r="2228">
      <c r="A2228" s="2">
        <v>2226.0</v>
      </c>
      <c r="B2228" s="5" t="s">
        <v>11527</v>
      </c>
      <c r="C2228" s="2" t="s">
        <v>11528</v>
      </c>
      <c r="D2228" s="5" t="s">
        <v>11527</v>
      </c>
      <c r="E2228" s="2" t="s">
        <v>15441</v>
      </c>
      <c r="F2228" s="2" t="s">
        <v>15442</v>
      </c>
      <c r="G2228" s="2" t="s">
        <v>15456</v>
      </c>
      <c r="H2228" s="2" t="s">
        <v>15444</v>
      </c>
    </row>
    <row r="2229">
      <c r="A2229" s="2">
        <v>2227.0</v>
      </c>
      <c r="B2229" s="5" t="s">
        <v>11529</v>
      </c>
      <c r="C2229" s="2" t="s">
        <v>11530</v>
      </c>
      <c r="D2229" s="5" t="s">
        <v>11529</v>
      </c>
      <c r="E2229" s="2" t="s">
        <v>15441</v>
      </c>
      <c r="F2229" s="2" t="s">
        <v>15446</v>
      </c>
      <c r="G2229" s="2" t="s">
        <v>15456</v>
      </c>
      <c r="H2229" s="2" t="s">
        <v>15444</v>
      </c>
    </row>
    <row r="2230">
      <c r="A2230" s="2">
        <v>2228.0</v>
      </c>
      <c r="B2230" s="5" t="s">
        <v>3299</v>
      </c>
      <c r="C2230" s="2" t="s">
        <v>3300</v>
      </c>
      <c r="D2230" s="5" t="s">
        <v>3299</v>
      </c>
      <c r="E2230" s="2" t="s">
        <v>15445</v>
      </c>
      <c r="F2230" s="2" t="s">
        <v>15446</v>
      </c>
      <c r="G2230" s="2" t="s">
        <v>15456</v>
      </c>
      <c r="H2230" s="2" t="s">
        <v>15444</v>
      </c>
    </row>
    <row r="2231">
      <c r="A2231" s="2">
        <v>2229.0</v>
      </c>
      <c r="B2231" s="5" t="s">
        <v>11531</v>
      </c>
      <c r="C2231" s="2" t="s">
        <v>11532</v>
      </c>
      <c r="D2231" s="5" t="s">
        <v>11531</v>
      </c>
      <c r="E2231" s="2" t="s">
        <v>15441</v>
      </c>
      <c r="F2231" s="2" t="s">
        <v>15442</v>
      </c>
      <c r="G2231" s="2" t="s">
        <v>15443</v>
      </c>
      <c r="H2231" s="2" t="s">
        <v>15444</v>
      </c>
    </row>
    <row r="2232">
      <c r="A2232" s="2">
        <v>2230.0</v>
      </c>
      <c r="B2232" s="5" t="s">
        <v>3302</v>
      </c>
      <c r="C2232" s="2" t="s">
        <v>3303</v>
      </c>
      <c r="D2232" s="5" t="s">
        <v>3302</v>
      </c>
      <c r="E2232" s="2" t="s">
        <v>15445</v>
      </c>
      <c r="F2232" s="2" t="s">
        <v>15446</v>
      </c>
      <c r="G2232" s="2" t="s">
        <v>15456</v>
      </c>
      <c r="H2232" s="2" t="s">
        <v>15444</v>
      </c>
    </row>
    <row r="2233">
      <c r="A2233" s="2">
        <v>2231.0</v>
      </c>
      <c r="B2233" s="5" t="s">
        <v>11533</v>
      </c>
      <c r="C2233" s="2" t="s">
        <v>11534</v>
      </c>
      <c r="D2233" s="5" t="s">
        <v>11533</v>
      </c>
      <c r="E2233" s="2" t="s">
        <v>15441</v>
      </c>
      <c r="F2233" s="2" t="s">
        <v>15442</v>
      </c>
      <c r="G2233" s="2" t="s">
        <v>15443</v>
      </c>
      <c r="H2233" s="2" t="s">
        <v>15444</v>
      </c>
    </row>
    <row r="2234">
      <c r="A2234" s="2">
        <v>2232.0</v>
      </c>
      <c r="B2234" s="5" t="s">
        <v>3305</v>
      </c>
      <c r="C2234" s="2" t="s">
        <v>3306</v>
      </c>
      <c r="D2234" s="5" t="s">
        <v>3305</v>
      </c>
      <c r="E2234" s="2" t="s">
        <v>15445</v>
      </c>
      <c r="F2234" s="2" t="s">
        <v>15446</v>
      </c>
      <c r="G2234" s="2" t="s">
        <v>15443</v>
      </c>
      <c r="H2234" s="2" t="s">
        <v>15444</v>
      </c>
    </row>
    <row r="2235">
      <c r="A2235" s="2">
        <v>2233.0</v>
      </c>
      <c r="B2235" s="5" t="s">
        <v>11535</v>
      </c>
      <c r="C2235" s="2" t="s">
        <v>11536</v>
      </c>
      <c r="D2235" s="5" t="s">
        <v>11535</v>
      </c>
      <c r="E2235" s="2" t="s">
        <v>15441</v>
      </c>
      <c r="F2235" s="2" t="s">
        <v>15446</v>
      </c>
      <c r="G2235" s="2" t="s">
        <v>15456</v>
      </c>
      <c r="H2235" s="2" t="s">
        <v>15444</v>
      </c>
    </row>
    <row r="2236">
      <c r="A2236" s="2">
        <v>2234.0</v>
      </c>
      <c r="B2236" s="5" t="s">
        <v>3308</v>
      </c>
      <c r="C2236" s="2" t="s">
        <v>3309</v>
      </c>
      <c r="D2236" s="5" t="s">
        <v>3308</v>
      </c>
      <c r="E2236" s="2" t="s">
        <v>15445</v>
      </c>
      <c r="F2236" s="2" t="s">
        <v>15446</v>
      </c>
      <c r="G2236" s="2" t="s">
        <v>15456</v>
      </c>
      <c r="H2236" s="2" t="s">
        <v>15444</v>
      </c>
    </row>
    <row r="2237">
      <c r="A2237" s="2">
        <v>2235.0</v>
      </c>
      <c r="B2237" s="5" t="s">
        <v>11537</v>
      </c>
      <c r="C2237" s="2" t="s">
        <v>11538</v>
      </c>
      <c r="D2237" s="5" t="s">
        <v>11537</v>
      </c>
      <c r="E2237" s="2" t="s">
        <v>15441</v>
      </c>
      <c r="F2237" s="2" t="s">
        <v>15446</v>
      </c>
      <c r="G2237" s="2" t="s">
        <v>15456</v>
      </c>
      <c r="H2237" s="2" t="s">
        <v>15457</v>
      </c>
    </row>
    <row r="2238">
      <c r="A2238" s="2">
        <v>2236.0</v>
      </c>
      <c r="B2238" s="5" t="s">
        <v>3311</v>
      </c>
      <c r="C2238" s="2" t="s">
        <v>3312</v>
      </c>
      <c r="D2238" s="5" t="s">
        <v>3311</v>
      </c>
      <c r="E2238" s="2" t="s">
        <v>15445</v>
      </c>
      <c r="F2238" s="2" t="s">
        <v>15446</v>
      </c>
      <c r="G2238" s="2" t="s">
        <v>15443</v>
      </c>
      <c r="H2238" s="2" t="s">
        <v>15444</v>
      </c>
    </row>
    <row r="2239">
      <c r="A2239" s="2">
        <v>2237.0</v>
      </c>
      <c r="B2239" s="5" t="s">
        <v>11539</v>
      </c>
      <c r="C2239" s="2" t="s">
        <v>11540</v>
      </c>
      <c r="D2239" s="5" t="s">
        <v>11539</v>
      </c>
      <c r="E2239" s="2" t="s">
        <v>15441</v>
      </c>
      <c r="F2239" s="2" t="s">
        <v>15446</v>
      </c>
      <c r="G2239" s="2" t="s">
        <v>15456</v>
      </c>
      <c r="H2239" s="2" t="s">
        <v>15444</v>
      </c>
    </row>
    <row r="2240">
      <c r="A2240" s="2">
        <v>2238.0</v>
      </c>
      <c r="B2240" s="5" t="s">
        <v>3314</v>
      </c>
      <c r="C2240" s="2" t="s">
        <v>3315</v>
      </c>
      <c r="D2240" s="5" t="s">
        <v>3314</v>
      </c>
      <c r="E2240" s="2" t="s">
        <v>15445</v>
      </c>
      <c r="F2240" s="2" t="s">
        <v>15446</v>
      </c>
      <c r="G2240" s="2" t="s">
        <v>15443</v>
      </c>
      <c r="H2240" s="2" t="s">
        <v>15444</v>
      </c>
    </row>
    <row r="2241">
      <c r="A2241" s="2">
        <v>2239.0</v>
      </c>
      <c r="B2241" s="5" t="s">
        <v>3317</v>
      </c>
      <c r="C2241" s="2" t="s">
        <v>3318</v>
      </c>
      <c r="D2241" s="5" t="s">
        <v>3317</v>
      </c>
      <c r="E2241" s="2" t="s">
        <v>15445</v>
      </c>
      <c r="F2241" s="2" t="s">
        <v>15442</v>
      </c>
      <c r="G2241" s="2" t="s">
        <v>15443</v>
      </c>
      <c r="H2241" s="2" t="s">
        <v>15444</v>
      </c>
    </row>
    <row r="2242">
      <c r="A2242" s="2">
        <v>2240.0</v>
      </c>
      <c r="B2242" s="5" t="s">
        <v>3320</v>
      </c>
      <c r="C2242" s="2" t="s">
        <v>3321</v>
      </c>
      <c r="D2242" s="5" t="s">
        <v>3320</v>
      </c>
      <c r="E2242" s="2" t="s">
        <v>15445</v>
      </c>
      <c r="F2242" s="2" t="s">
        <v>15442</v>
      </c>
      <c r="G2242" s="2" t="s">
        <v>15456</v>
      </c>
      <c r="H2242" s="2" t="s">
        <v>15444</v>
      </c>
    </row>
    <row r="2243">
      <c r="A2243" s="2">
        <v>2241.0</v>
      </c>
      <c r="B2243" s="5" t="s">
        <v>11541</v>
      </c>
      <c r="C2243" s="2" t="s">
        <v>11542</v>
      </c>
      <c r="D2243" s="5" t="s">
        <v>11541</v>
      </c>
      <c r="E2243" s="2" t="s">
        <v>15441</v>
      </c>
      <c r="F2243" s="2" t="s">
        <v>15442</v>
      </c>
      <c r="G2243" s="2" t="s">
        <v>15456</v>
      </c>
      <c r="H2243" s="2" t="s">
        <v>15444</v>
      </c>
    </row>
    <row r="2244">
      <c r="A2244" s="2">
        <v>2242.0</v>
      </c>
      <c r="B2244" s="5" t="s">
        <v>3323</v>
      </c>
      <c r="C2244" s="2" t="s">
        <v>3324</v>
      </c>
      <c r="D2244" s="5" t="s">
        <v>3323</v>
      </c>
      <c r="E2244" s="2" t="s">
        <v>15445</v>
      </c>
      <c r="F2244" s="2" t="s">
        <v>15446</v>
      </c>
      <c r="G2244" s="2" t="s">
        <v>15443</v>
      </c>
      <c r="H2244" s="2" t="s">
        <v>15444</v>
      </c>
    </row>
    <row r="2245">
      <c r="A2245" s="2">
        <v>2243.0</v>
      </c>
      <c r="B2245" s="5" t="s">
        <v>11543</v>
      </c>
      <c r="C2245" s="2" t="s">
        <v>11544</v>
      </c>
      <c r="D2245" s="5" t="s">
        <v>11543</v>
      </c>
      <c r="E2245" s="2" t="s">
        <v>15441</v>
      </c>
      <c r="F2245" s="2" t="s">
        <v>15446</v>
      </c>
      <c r="G2245" s="2" t="s">
        <v>15456</v>
      </c>
      <c r="H2245" s="2" t="s">
        <v>15444</v>
      </c>
    </row>
    <row r="2246">
      <c r="A2246" s="2">
        <v>2244.0</v>
      </c>
      <c r="B2246" s="5" t="s">
        <v>3326</v>
      </c>
      <c r="C2246" s="2" t="s">
        <v>3327</v>
      </c>
      <c r="D2246" s="5" t="s">
        <v>3326</v>
      </c>
      <c r="E2246" s="2" t="s">
        <v>15445</v>
      </c>
      <c r="F2246" s="2" t="s">
        <v>15446</v>
      </c>
      <c r="G2246" s="2" t="s">
        <v>15456</v>
      </c>
      <c r="H2246" s="2" t="s">
        <v>15444</v>
      </c>
    </row>
    <row r="2247">
      <c r="A2247" s="2">
        <v>2245.0</v>
      </c>
      <c r="B2247" s="5" t="s">
        <v>3329</v>
      </c>
      <c r="C2247" s="2" t="s">
        <v>3330</v>
      </c>
      <c r="D2247" s="5" t="s">
        <v>3329</v>
      </c>
      <c r="E2247" s="2" t="s">
        <v>15445</v>
      </c>
      <c r="F2247" s="2" t="s">
        <v>15442</v>
      </c>
      <c r="G2247" s="2" t="s">
        <v>15443</v>
      </c>
      <c r="H2247" s="2" t="s">
        <v>15444</v>
      </c>
    </row>
    <row r="2248">
      <c r="A2248" s="2">
        <v>2246.0</v>
      </c>
      <c r="B2248" s="5" t="s">
        <v>11545</v>
      </c>
      <c r="C2248" s="2" t="s">
        <v>11546</v>
      </c>
      <c r="D2248" s="5" t="s">
        <v>11545</v>
      </c>
      <c r="E2248" s="2" t="s">
        <v>15441</v>
      </c>
      <c r="F2248" s="2" t="s">
        <v>15442</v>
      </c>
      <c r="G2248" s="2" t="s">
        <v>15443</v>
      </c>
      <c r="H2248" s="2" t="s">
        <v>15444</v>
      </c>
    </row>
    <row r="2249">
      <c r="A2249" s="2">
        <v>2247.0</v>
      </c>
      <c r="B2249" s="5" t="s">
        <v>3332</v>
      </c>
      <c r="C2249" s="2" t="s">
        <v>3333</v>
      </c>
      <c r="D2249" s="5" t="s">
        <v>3332</v>
      </c>
      <c r="E2249" s="2" t="s">
        <v>15445</v>
      </c>
      <c r="F2249" s="2" t="s">
        <v>15446</v>
      </c>
      <c r="G2249" s="2" t="s">
        <v>15443</v>
      </c>
      <c r="H2249" s="2" t="s">
        <v>15444</v>
      </c>
    </row>
    <row r="2250">
      <c r="A2250" s="2">
        <v>2248.0</v>
      </c>
      <c r="B2250" s="5" t="s">
        <v>11547</v>
      </c>
      <c r="C2250" s="2" t="s">
        <v>11548</v>
      </c>
      <c r="D2250" s="5" t="s">
        <v>11547</v>
      </c>
      <c r="E2250" s="2" t="s">
        <v>15441</v>
      </c>
      <c r="F2250" s="2" t="s">
        <v>15442</v>
      </c>
      <c r="G2250" s="2" t="s">
        <v>15443</v>
      </c>
      <c r="H2250" s="2" t="s">
        <v>15444</v>
      </c>
    </row>
    <row r="2251">
      <c r="A2251" s="2">
        <v>2249.0</v>
      </c>
      <c r="B2251" s="5" t="s">
        <v>3335</v>
      </c>
      <c r="C2251" s="2" t="s">
        <v>3336</v>
      </c>
      <c r="D2251" s="5" t="s">
        <v>3335</v>
      </c>
      <c r="E2251" s="2" t="s">
        <v>15445</v>
      </c>
      <c r="F2251" s="2" t="s">
        <v>15442</v>
      </c>
      <c r="G2251" s="2" t="s">
        <v>15443</v>
      </c>
      <c r="H2251" s="2" t="s">
        <v>15444</v>
      </c>
    </row>
    <row r="2252">
      <c r="A2252" s="2">
        <v>2250.0</v>
      </c>
      <c r="B2252" s="5" t="s">
        <v>3338</v>
      </c>
      <c r="C2252" s="2" t="s">
        <v>3339</v>
      </c>
      <c r="D2252" s="5" t="s">
        <v>3338</v>
      </c>
      <c r="E2252" s="2" t="s">
        <v>15445</v>
      </c>
      <c r="F2252" s="2" t="s">
        <v>15442</v>
      </c>
      <c r="G2252" s="2" t="s">
        <v>15443</v>
      </c>
      <c r="H2252" s="2" t="s">
        <v>15444</v>
      </c>
    </row>
    <row r="2253">
      <c r="A2253" s="2">
        <v>2251.0</v>
      </c>
      <c r="B2253" s="5" t="s">
        <v>11549</v>
      </c>
      <c r="C2253" s="2" t="s">
        <v>11550</v>
      </c>
      <c r="D2253" s="5" t="s">
        <v>11549</v>
      </c>
      <c r="E2253" s="2" t="s">
        <v>15441</v>
      </c>
      <c r="F2253" s="2" t="s">
        <v>15442</v>
      </c>
      <c r="G2253" s="2" t="s">
        <v>15456</v>
      </c>
      <c r="H2253" s="2" t="s">
        <v>15444</v>
      </c>
    </row>
    <row r="2254">
      <c r="A2254" s="2">
        <v>2252.0</v>
      </c>
      <c r="B2254" s="5" t="s">
        <v>3341</v>
      </c>
      <c r="C2254" s="2" t="s">
        <v>3342</v>
      </c>
      <c r="D2254" s="5" t="s">
        <v>3341</v>
      </c>
      <c r="E2254" s="2" t="s">
        <v>15445</v>
      </c>
      <c r="F2254" s="2" t="s">
        <v>15442</v>
      </c>
      <c r="G2254" s="2" t="s">
        <v>15443</v>
      </c>
      <c r="H2254" s="2" t="s">
        <v>15462</v>
      </c>
    </row>
    <row r="2255">
      <c r="A2255" s="2">
        <v>2253.0</v>
      </c>
      <c r="B2255" s="5" t="s">
        <v>11551</v>
      </c>
      <c r="C2255" s="2" t="s">
        <v>11552</v>
      </c>
      <c r="D2255" s="5" t="s">
        <v>11551</v>
      </c>
      <c r="E2255" s="2" t="s">
        <v>15441</v>
      </c>
      <c r="F2255" s="2" t="s">
        <v>15442</v>
      </c>
      <c r="G2255" s="2" t="s">
        <v>15443</v>
      </c>
      <c r="H2255" s="2" t="s">
        <v>15444</v>
      </c>
    </row>
    <row r="2256">
      <c r="A2256" s="2">
        <v>2254.0</v>
      </c>
      <c r="B2256" s="5" t="s">
        <v>11553</v>
      </c>
      <c r="C2256" s="2" t="s">
        <v>11554</v>
      </c>
      <c r="D2256" s="5" t="s">
        <v>11553</v>
      </c>
      <c r="E2256" s="2" t="s">
        <v>15441</v>
      </c>
      <c r="F2256" s="2" t="s">
        <v>15446</v>
      </c>
      <c r="G2256" s="2" t="s">
        <v>15443</v>
      </c>
      <c r="H2256" s="2" t="s">
        <v>15444</v>
      </c>
    </row>
    <row r="2257">
      <c r="A2257" s="2">
        <v>2255.0</v>
      </c>
      <c r="B2257" s="5" t="s">
        <v>3344</v>
      </c>
      <c r="C2257" s="2" t="s">
        <v>3345</v>
      </c>
      <c r="D2257" s="5" t="s">
        <v>3344</v>
      </c>
      <c r="E2257" s="2" t="s">
        <v>15445</v>
      </c>
      <c r="F2257" s="2" t="s">
        <v>15442</v>
      </c>
      <c r="G2257" s="2" t="s">
        <v>15443</v>
      </c>
      <c r="H2257" s="2" t="s">
        <v>15457</v>
      </c>
    </row>
    <row r="2258">
      <c r="A2258" s="2">
        <v>2256.0</v>
      </c>
      <c r="B2258" s="5" t="s">
        <v>11555</v>
      </c>
      <c r="C2258" s="2" t="s">
        <v>11556</v>
      </c>
      <c r="D2258" s="5" t="s">
        <v>11555</v>
      </c>
      <c r="E2258" s="2" t="s">
        <v>15441</v>
      </c>
      <c r="F2258" s="2" t="s">
        <v>15446</v>
      </c>
      <c r="G2258" s="2" t="s">
        <v>15443</v>
      </c>
      <c r="H2258" s="2" t="s">
        <v>15457</v>
      </c>
    </row>
    <row r="2259">
      <c r="A2259" s="2">
        <v>2257.0</v>
      </c>
      <c r="B2259" s="5" t="s">
        <v>3347</v>
      </c>
      <c r="C2259" s="2" t="s">
        <v>3348</v>
      </c>
      <c r="D2259" s="5" t="s">
        <v>3347</v>
      </c>
      <c r="E2259" s="2" t="s">
        <v>15445</v>
      </c>
      <c r="F2259" s="2" t="s">
        <v>15446</v>
      </c>
      <c r="G2259" s="2" t="s">
        <v>15443</v>
      </c>
      <c r="H2259" s="2" t="s">
        <v>15444</v>
      </c>
    </row>
    <row r="2260">
      <c r="A2260" s="2">
        <v>2258.0</v>
      </c>
      <c r="B2260" s="5" t="s">
        <v>11557</v>
      </c>
      <c r="C2260" s="2" t="s">
        <v>11558</v>
      </c>
      <c r="D2260" s="5" t="s">
        <v>11557</v>
      </c>
      <c r="E2260" s="2" t="s">
        <v>15441</v>
      </c>
      <c r="F2260" s="2" t="s">
        <v>15446</v>
      </c>
      <c r="G2260" s="2" t="s">
        <v>15456</v>
      </c>
      <c r="H2260" s="2" t="s">
        <v>15455</v>
      </c>
    </row>
    <row r="2261">
      <c r="A2261" s="2">
        <v>2259.0</v>
      </c>
      <c r="B2261" s="5" t="s">
        <v>3350</v>
      </c>
      <c r="C2261" s="2" t="s">
        <v>3351</v>
      </c>
      <c r="D2261" s="5" t="s">
        <v>3350</v>
      </c>
      <c r="E2261" s="2" t="s">
        <v>15445</v>
      </c>
      <c r="F2261" s="2" t="s">
        <v>15446</v>
      </c>
      <c r="G2261" s="2" t="s">
        <v>15456</v>
      </c>
      <c r="H2261" s="2" t="s">
        <v>15444</v>
      </c>
    </row>
    <row r="2262">
      <c r="A2262" s="2">
        <v>2260.0</v>
      </c>
      <c r="B2262" s="5" t="s">
        <v>3353</v>
      </c>
      <c r="C2262" s="2" t="s">
        <v>3354</v>
      </c>
      <c r="D2262" s="5" t="s">
        <v>3353</v>
      </c>
      <c r="E2262" s="2" t="s">
        <v>15445</v>
      </c>
      <c r="F2262" s="2" t="s">
        <v>15446</v>
      </c>
      <c r="G2262" s="2" t="s">
        <v>15456</v>
      </c>
      <c r="H2262" s="2" t="s">
        <v>15444</v>
      </c>
    </row>
    <row r="2263">
      <c r="A2263" s="2">
        <v>2261.0</v>
      </c>
      <c r="B2263" s="5" t="s">
        <v>11559</v>
      </c>
      <c r="C2263" s="2" t="s">
        <v>11560</v>
      </c>
      <c r="D2263" s="5" t="s">
        <v>11559</v>
      </c>
      <c r="E2263" s="2" t="s">
        <v>15441</v>
      </c>
      <c r="F2263" s="2" t="s">
        <v>15442</v>
      </c>
      <c r="G2263" s="2" t="s">
        <v>15443</v>
      </c>
      <c r="H2263" s="2" t="s">
        <v>15462</v>
      </c>
    </row>
    <row r="2264">
      <c r="A2264" s="2">
        <v>2262.0</v>
      </c>
      <c r="B2264" s="5" t="s">
        <v>11561</v>
      </c>
      <c r="C2264" s="2" t="s">
        <v>11562</v>
      </c>
      <c r="D2264" s="5" t="s">
        <v>11561</v>
      </c>
      <c r="E2264" s="2" t="s">
        <v>15441</v>
      </c>
      <c r="F2264" s="2" t="s">
        <v>15446</v>
      </c>
      <c r="G2264" s="2" t="s">
        <v>15456</v>
      </c>
      <c r="H2264" s="2" t="s">
        <v>15444</v>
      </c>
    </row>
    <row r="2265">
      <c r="A2265" s="2">
        <v>2263.0</v>
      </c>
      <c r="B2265" s="5" t="s">
        <v>3356</v>
      </c>
      <c r="C2265" s="2" t="s">
        <v>3357</v>
      </c>
      <c r="D2265" s="5" t="s">
        <v>3356</v>
      </c>
      <c r="E2265" s="2" t="s">
        <v>15445</v>
      </c>
      <c r="F2265" s="2" t="s">
        <v>15442</v>
      </c>
      <c r="G2265" s="2" t="s">
        <v>15443</v>
      </c>
      <c r="H2265" s="2" t="s">
        <v>15444</v>
      </c>
    </row>
    <row r="2266">
      <c r="A2266" s="2">
        <v>2264.0</v>
      </c>
      <c r="B2266" s="5" t="s">
        <v>3359</v>
      </c>
      <c r="C2266" s="2" t="s">
        <v>3360</v>
      </c>
      <c r="D2266" s="5" t="s">
        <v>3359</v>
      </c>
      <c r="E2266" s="2" t="s">
        <v>15445</v>
      </c>
      <c r="F2266" s="2" t="s">
        <v>15446</v>
      </c>
      <c r="G2266" s="2" t="s">
        <v>15443</v>
      </c>
      <c r="H2266" s="2" t="s">
        <v>15444</v>
      </c>
    </row>
    <row r="2267">
      <c r="A2267" s="2">
        <v>2265.0</v>
      </c>
      <c r="B2267" s="5" t="s">
        <v>11563</v>
      </c>
      <c r="C2267" s="2" t="s">
        <v>11564</v>
      </c>
      <c r="D2267" s="5" t="s">
        <v>11563</v>
      </c>
      <c r="E2267" s="2" t="s">
        <v>15441</v>
      </c>
      <c r="F2267" s="2" t="s">
        <v>15442</v>
      </c>
      <c r="G2267" s="2" t="s">
        <v>15456</v>
      </c>
      <c r="H2267" s="2" t="s">
        <v>15444</v>
      </c>
    </row>
    <row r="2268">
      <c r="A2268" s="2">
        <v>2266.0</v>
      </c>
      <c r="B2268" s="5" t="s">
        <v>11565</v>
      </c>
      <c r="C2268" s="2" t="s">
        <v>11566</v>
      </c>
      <c r="D2268" s="5" t="s">
        <v>11565</v>
      </c>
      <c r="E2268" s="2" t="s">
        <v>15441</v>
      </c>
      <c r="F2268" s="2" t="s">
        <v>15442</v>
      </c>
      <c r="G2268" s="2" t="s">
        <v>15443</v>
      </c>
      <c r="H2268" s="2" t="s">
        <v>15444</v>
      </c>
    </row>
    <row r="2269">
      <c r="A2269" s="2">
        <v>2267.0</v>
      </c>
      <c r="B2269" s="5" t="s">
        <v>11567</v>
      </c>
      <c r="C2269" s="2" t="s">
        <v>11568</v>
      </c>
      <c r="D2269" s="5" t="s">
        <v>11567</v>
      </c>
      <c r="E2269" s="2" t="s">
        <v>15441</v>
      </c>
      <c r="F2269" s="2" t="s">
        <v>15446</v>
      </c>
      <c r="G2269" s="2" t="s">
        <v>15443</v>
      </c>
      <c r="H2269" s="2" t="s">
        <v>15444</v>
      </c>
    </row>
    <row r="2270">
      <c r="A2270" s="2">
        <v>2268.0</v>
      </c>
      <c r="B2270" s="5" t="s">
        <v>11569</v>
      </c>
      <c r="C2270" s="2" t="s">
        <v>11570</v>
      </c>
      <c r="D2270" s="5" t="s">
        <v>11569</v>
      </c>
      <c r="E2270" s="2" t="s">
        <v>15441</v>
      </c>
      <c r="F2270" s="2" t="s">
        <v>15442</v>
      </c>
      <c r="G2270" s="2" t="s">
        <v>15443</v>
      </c>
      <c r="H2270" s="2" t="s">
        <v>15444</v>
      </c>
    </row>
    <row r="2271">
      <c r="A2271" s="2">
        <v>2269.0</v>
      </c>
      <c r="B2271" s="5" t="s">
        <v>11571</v>
      </c>
      <c r="C2271" s="2" t="s">
        <v>11572</v>
      </c>
      <c r="D2271" s="5" t="s">
        <v>11571</v>
      </c>
      <c r="E2271" s="2" t="s">
        <v>15441</v>
      </c>
      <c r="F2271" s="2" t="s">
        <v>15446</v>
      </c>
      <c r="G2271" s="2" t="s">
        <v>15456</v>
      </c>
      <c r="H2271" s="2" t="s">
        <v>15444</v>
      </c>
    </row>
    <row r="2272">
      <c r="A2272" s="2">
        <v>2270.0</v>
      </c>
      <c r="B2272" s="5" t="s">
        <v>3362</v>
      </c>
      <c r="C2272" s="2" t="s">
        <v>3363</v>
      </c>
      <c r="D2272" s="5" t="s">
        <v>3362</v>
      </c>
      <c r="E2272" s="2" t="s">
        <v>15445</v>
      </c>
      <c r="F2272" s="2" t="s">
        <v>15442</v>
      </c>
      <c r="G2272" s="2" t="s">
        <v>15443</v>
      </c>
      <c r="H2272" s="2" t="s">
        <v>15444</v>
      </c>
    </row>
    <row r="2273">
      <c r="A2273" s="2">
        <v>2271.0</v>
      </c>
      <c r="B2273" s="5" t="s">
        <v>11573</v>
      </c>
      <c r="C2273" s="2" t="s">
        <v>11574</v>
      </c>
      <c r="D2273" s="5" t="s">
        <v>11573</v>
      </c>
      <c r="E2273" s="2" t="s">
        <v>15441</v>
      </c>
      <c r="F2273" s="2" t="s">
        <v>15446</v>
      </c>
      <c r="G2273" s="2" t="s">
        <v>15456</v>
      </c>
      <c r="H2273" s="2" t="s">
        <v>15444</v>
      </c>
    </row>
    <row r="2274">
      <c r="A2274" s="2">
        <v>2272.0</v>
      </c>
      <c r="B2274" s="5" t="s">
        <v>3365</v>
      </c>
      <c r="C2274" s="2" t="s">
        <v>3366</v>
      </c>
      <c r="D2274" s="5" t="s">
        <v>3365</v>
      </c>
      <c r="E2274" s="2" t="s">
        <v>15445</v>
      </c>
      <c r="F2274" s="2" t="s">
        <v>15442</v>
      </c>
      <c r="G2274" s="2" t="s">
        <v>15443</v>
      </c>
      <c r="H2274" s="2" t="s">
        <v>15444</v>
      </c>
    </row>
    <row r="2275">
      <c r="A2275" s="2">
        <v>2273.0</v>
      </c>
      <c r="B2275" s="5" t="s">
        <v>11575</v>
      </c>
      <c r="C2275" s="2" t="s">
        <v>11576</v>
      </c>
      <c r="D2275" s="5" t="s">
        <v>11575</v>
      </c>
      <c r="E2275" s="2" t="s">
        <v>15441</v>
      </c>
      <c r="F2275" s="2" t="s">
        <v>15446</v>
      </c>
      <c r="G2275" s="2" t="s">
        <v>15456</v>
      </c>
      <c r="H2275" s="2" t="s">
        <v>15444</v>
      </c>
    </row>
    <row r="2276">
      <c r="A2276" s="2">
        <v>2274.0</v>
      </c>
      <c r="B2276" s="5" t="s">
        <v>11577</v>
      </c>
      <c r="C2276" s="2" t="s">
        <v>11578</v>
      </c>
      <c r="D2276" s="5" t="s">
        <v>11577</v>
      </c>
      <c r="E2276" s="2" t="s">
        <v>15441</v>
      </c>
      <c r="F2276" s="2" t="s">
        <v>15446</v>
      </c>
      <c r="G2276" s="2" t="s">
        <v>15443</v>
      </c>
      <c r="H2276" s="2" t="s">
        <v>15444</v>
      </c>
    </row>
    <row r="2277">
      <c r="A2277" s="2">
        <v>2275.0</v>
      </c>
      <c r="B2277" s="5" t="s">
        <v>11579</v>
      </c>
      <c r="C2277" s="2" t="s">
        <v>11580</v>
      </c>
      <c r="D2277" s="5" t="s">
        <v>11579</v>
      </c>
      <c r="E2277" s="2" t="s">
        <v>15441</v>
      </c>
      <c r="F2277" s="2" t="s">
        <v>15446</v>
      </c>
      <c r="G2277" s="2" t="s">
        <v>15456</v>
      </c>
      <c r="H2277" s="2" t="s">
        <v>15444</v>
      </c>
    </row>
    <row r="2278">
      <c r="A2278" s="2">
        <v>2276.0</v>
      </c>
      <c r="B2278" s="5" t="s">
        <v>11581</v>
      </c>
      <c r="C2278" s="2" t="s">
        <v>11582</v>
      </c>
      <c r="D2278" s="5" t="s">
        <v>11581</v>
      </c>
      <c r="E2278" s="2" t="s">
        <v>15441</v>
      </c>
      <c r="F2278" s="2" t="s">
        <v>15446</v>
      </c>
      <c r="G2278" s="2" t="s">
        <v>15443</v>
      </c>
      <c r="H2278" s="2" t="s">
        <v>15444</v>
      </c>
    </row>
    <row r="2279">
      <c r="A2279" s="2">
        <v>2277.0</v>
      </c>
      <c r="B2279" s="5" t="s">
        <v>11583</v>
      </c>
      <c r="C2279" s="2" t="s">
        <v>11584</v>
      </c>
      <c r="D2279" s="5" t="s">
        <v>11583</v>
      </c>
      <c r="E2279" s="2" t="s">
        <v>15441</v>
      </c>
      <c r="F2279" s="2" t="s">
        <v>15442</v>
      </c>
      <c r="G2279" s="2" t="s">
        <v>15443</v>
      </c>
      <c r="H2279" s="2" t="s">
        <v>15444</v>
      </c>
    </row>
    <row r="2280">
      <c r="A2280" s="2">
        <v>2278.0</v>
      </c>
      <c r="B2280" s="5" t="s">
        <v>11585</v>
      </c>
      <c r="C2280" s="2" t="s">
        <v>11586</v>
      </c>
      <c r="D2280" s="5" t="s">
        <v>11585</v>
      </c>
      <c r="E2280" s="2" t="s">
        <v>15441</v>
      </c>
      <c r="F2280" s="2" t="s">
        <v>15446</v>
      </c>
      <c r="G2280" s="2" t="s">
        <v>15456</v>
      </c>
      <c r="H2280" s="2" t="s">
        <v>15444</v>
      </c>
    </row>
    <row r="2281">
      <c r="A2281" s="2">
        <v>2279.0</v>
      </c>
      <c r="B2281" s="5" t="s">
        <v>11587</v>
      </c>
      <c r="C2281" s="2" t="s">
        <v>11588</v>
      </c>
      <c r="D2281" s="5" t="s">
        <v>11587</v>
      </c>
      <c r="E2281" s="2" t="s">
        <v>15441</v>
      </c>
      <c r="F2281" s="2" t="s">
        <v>15446</v>
      </c>
      <c r="G2281" s="2" t="s">
        <v>15456</v>
      </c>
      <c r="H2281" s="2" t="s">
        <v>15444</v>
      </c>
    </row>
    <row r="2282">
      <c r="A2282" s="2">
        <v>2280.0</v>
      </c>
      <c r="B2282" s="5" t="s">
        <v>11589</v>
      </c>
      <c r="C2282" s="2" t="s">
        <v>11590</v>
      </c>
      <c r="D2282" s="5" t="s">
        <v>11589</v>
      </c>
      <c r="E2282" s="2" t="s">
        <v>15441</v>
      </c>
      <c r="F2282" s="2" t="s">
        <v>15446</v>
      </c>
      <c r="G2282" s="2" t="s">
        <v>15456</v>
      </c>
      <c r="H2282" s="2" t="s">
        <v>15444</v>
      </c>
    </row>
    <row r="2283">
      <c r="A2283" s="2">
        <v>2281.0</v>
      </c>
      <c r="B2283" s="5" t="s">
        <v>3368</v>
      </c>
      <c r="C2283" s="2" t="s">
        <v>3369</v>
      </c>
      <c r="D2283" s="5" t="s">
        <v>3368</v>
      </c>
      <c r="E2283" s="2" t="s">
        <v>15445</v>
      </c>
      <c r="F2283" s="2" t="s">
        <v>15442</v>
      </c>
      <c r="G2283" s="2" t="s">
        <v>15443</v>
      </c>
      <c r="H2283" s="2" t="s">
        <v>15444</v>
      </c>
    </row>
    <row r="2284">
      <c r="A2284" s="2">
        <v>2282.0</v>
      </c>
      <c r="B2284" s="5" t="s">
        <v>3371</v>
      </c>
      <c r="C2284" s="2" t="s">
        <v>3372</v>
      </c>
      <c r="D2284" s="5" t="s">
        <v>3371</v>
      </c>
      <c r="E2284" s="2" t="s">
        <v>15445</v>
      </c>
      <c r="F2284" s="2" t="s">
        <v>15442</v>
      </c>
      <c r="G2284" s="2" t="s">
        <v>15443</v>
      </c>
      <c r="H2284" s="2" t="s">
        <v>15444</v>
      </c>
    </row>
    <row r="2285">
      <c r="A2285" s="2">
        <v>2283.0</v>
      </c>
      <c r="B2285" s="5" t="s">
        <v>11591</v>
      </c>
      <c r="C2285" s="2" t="s">
        <v>11592</v>
      </c>
      <c r="D2285" s="5" t="s">
        <v>11591</v>
      </c>
      <c r="E2285" s="2" t="s">
        <v>15441</v>
      </c>
      <c r="F2285" s="2" t="s">
        <v>15446</v>
      </c>
      <c r="G2285" s="2" t="s">
        <v>15443</v>
      </c>
      <c r="H2285" s="2" t="s">
        <v>15462</v>
      </c>
    </row>
    <row r="2286">
      <c r="A2286" s="2">
        <v>2284.0</v>
      </c>
      <c r="B2286" s="5" t="s">
        <v>11593</v>
      </c>
      <c r="C2286" s="2" t="s">
        <v>11594</v>
      </c>
      <c r="D2286" s="5" t="s">
        <v>11593</v>
      </c>
      <c r="E2286" s="2" t="s">
        <v>15441</v>
      </c>
      <c r="F2286" s="2" t="s">
        <v>15442</v>
      </c>
      <c r="G2286" s="2" t="s">
        <v>15443</v>
      </c>
      <c r="H2286" s="2" t="s">
        <v>15444</v>
      </c>
    </row>
    <row r="2287">
      <c r="A2287" s="2">
        <v>2285.0</v>
      </c>
      <c r="B2287" s="5" t="s">
        <v>3374</v>
      </c>
      <c r="C2287" s="2" t="s">
        <v>3375</v>
      </c>
      <c r="D2287" s="5" t="s">
        <v>3374</v>
      </c>
      <c r="E2287" s="2" t="s">
        <v>15445</v>
      </c>
      <c r="F2287" s="2" t="s">
        <v>15442</v>
      </c>
      <c r="G2287" s="2" t="s">
        <v>15443</v>
      </c>
      <c r="H2287" s="2" t="s">
        <v>15444</v>
      </c>
    </row>
    <row r="2288">
      <c r="A2288" s="2">
        <v>2286.0</v>
      </c>
      <c r="B2288" s="5" t="s">
        <v>11595</v>
      </c>
      <c r="C2288" s="2" t="s">
        <v>11596</v>
      </c>
      <c r="D2288" s="5" t="s">
        <v>11595</v>
      </c>
      <c r="E2288" s="2" t="s">
        <v>15441</v>
      </c>
      <c r="F2288" s="2" t="s">
        <v>15446</v>
      </c>
      <c r="G2288" s="2" t="s">
        <v>15456</v>
      </c>
      <c r="H2288" s="2" t="s">
        <v>15444</v>
      </c>
    </row>
    <row r="2289">
      <c r="A2289" s="2">
        <v>2287.0</v>
      </c>
      <c r="B2289" s="5" t="s">
        <v>11597</v>
      </c>
      <c r="C2289" s="2" t="s">
        <v>11598</v>
      </c>
      <c r="D2289" s="5" t="s">
        <v>11597</v>
      </c>
      <c r="E2289" s="2" t="s">
        <v>15441</v>
      </c>
      <c r="F2289" s="2" t="s">
        <v>15446</v>
      </c>
      <c r="G2289" s="2" t="s">
        <v>15456</v>
      </c>
      <c r="H2289" s="2" t="s">
        <v>15444</v>
      </c>
    </row>
    <row r="2290">
      <c r="A2290" s="2">
        <v>2288.0</v>
      </c>
      <c r="B2290" s="5" t="s">
        <v>3377</v>
      </c>
      <c r="C2290" s="2" t="s">
        <v>3378</v>
      </c>
      <c r="D2290" s="5" t="s">
        <v>3377</v>
      </c>
      <c r="E2290" s="2" t="s">
        <v>15445</v>
      </c>
      <c r="F2290" s="2" t="s">
        <v>15446</v>
      </c>
      <c r="G2290" s="2" t="s">
        <v>15443</v>
      </c>
      <c r="H2290" s="2" t="s">
        <v>15444</v>
      </c>
    </row>
    <row r="2291">
      <c r="A2291" s="2">
        <v>2289.0</v>
      </c>
      <c r="B2291" s="5" t="s">
        <v>11599</v>
      </c>
      <c r="C2291" s="2" t="s">
        <v>11600</v>
      </c>
      <c r="D2291" s="5" t="s">
        <v>11599</v>
      </c>
      <c r="E2291" s="2" t="s">
        <v>15441</v>
      </c>
      <c r="F2291" s="2" t="s">
        <v>15446</v>
      </c>
      <c r="G2291" s="2" t="s">
        <v>15443</v>
      </c>
      <c r="H2291" s="2" t="s">
        <v>15444</v>
      </c>
    </row>
    <row r="2292">
      <c r="A2292" s="2">
        <v>2290.0</v>
      </c>
      <c r="B2292" s="5" t="s">
        <v>11601</v>
      </c>
      <c r="C2292" s="2" t="s">
        <v>11602</v>
      </c>
      <c r="D2292" s="5" t="s">
        <v>11601</v>
      </c>
      <c r="E2292" s="2" t="s">
        <v>15441</v>
      </c>
      <c r="F2292" s="2" t="s">
        <v>15442</v>
      </c>
      <c r="G2292" s="2" t="s">
        <v>15443</v>
      </c>
      <c r="H2292" s="2" t="s">
        <v>15462</v>
      </c>
    </row>
    <row r="2293">
      <c r="A2293" s="2">
        <v>2291.0</v>
      </c>
      <c r="B2293" s="5" t="s">
        <v>3380</v>
      </c>
      <c r="C2293" s="2" t="s">
        <v>3381</v>
      </c>
      <c r="D2293" s="5" t="s">
        <v>3380</v>
      </c>
      <c r="E2293" s="2" t="s">
        <v>15445</v>
      </c>
      <c r="F2293" s="2" t="s">
        <v>15446</v>
      </c>
      <c r="G2293" s="2" t="s">
        <v>15443</v>
      </c>
      <c r="H2293" s="2" t="s">
        <v>15444</v>
      </c>
    </row>
    <row r="2294">
      <c r="A2294" s="2">
        <v>2292.0</v>
      </c>
      <c r="B2294" s="5" t="s">
        <v>3383</v>
      </c>
      <c r="C2294" s="2" t="s">
        <v>3384</v>
      </c>
      <c r="D2294" s="5" t="s">
        <v>3383</v>
      </c>
      <c r="E2294" s="2" t="s">
        <v>15445</v>
      </c>
      <c r="F2294" s="2" t="s">
        <v>15442</v>
      </c>
      <c r="G2294" s="2" t="s">
        <v>15443</v>
      </c>
      <c r="H2294" s="2" t="s">
        <v>15444</v>
      </c>
    </row>
    <row r="2295">
      <c r="A2295" s="2">
        <v>2293.0</v>
      </c>
      <c r="B2295" s="5" t="s">
        <v>11603</v>
      </c>
      <c r="C2295" s="2" t="s">
        <v>11604</v>
      </c>
      <c r="D2295" s="5" t="s">
        <v>11603</v>
      </c>
      <c r="E2295" s="2" t="s">
        <v>15441</v>
      </c>
      <c r="F2295" s="2" t="s">
        <v>15446</v>
      </c>
      <c r="G2295" s="2" t="s">
        <v>15456</v>
      </c>
      <c r="H2295" s="2" t="s">
        <v>15444</v>
      </c>
    </row>
    <row r="2296">
      <c r="A2296" s="2">
        <v>2294.0</v>
      </c>
      <c r="B2296" s="5" t="s">
        <v>3386</v>
      </c>
      <c r="C2296" s="2" t="s">
        <v>3387</v>
      </c>
      <c r="D2296" s="5" t="s">
        <v>3386</v>
      </c>
      <c r="E2296" s="2" t="s">
        <v>15445</v>
      </c>
      <c r="F2296" s="2" t="s">
        <v>15446</v>
      </c>
      <c r="G2296" s="2" t="s">
        <v>15456</v>
      </c>
      <c r="H2296" s="2" t="s">
        <v>15444</v>
      </c>
    </row>
    <row r="2297">
      <c r="A2297" s="2">
        <v>2295.0</v>
      </c>
      <c r="B2297" s="5" t="s">
        <v>3389</v>
      </c>
      <c r="C2297" s="2" t="s">
        <v>3390</v>
      </c>
      <c r="D2297" s="5" t="s">
        <v>3389</v>
      </c>
      <c r="E2297" s="2" t="s">
        <v>15445</v>
      </c>
      <c r="F2297" s="2" t="s">
        <v>15446</v>
      </c>
      <c r="G2297" s="2" t="s">
        <v>15443</v>
      </c>
      <c r="H2297" s="2" t="s">
        <v>15444</v>
      </c>
    </row>
    <row r="2298">
      <c r="A2298" s="2">
        <v>2296.0</v>
      </c>
      <c r="B2298" s="5" t="s">
        <v>11605</v>
      </c>
      <c r="C2298" s="2" t="s">
        <v>11606</v>
      </c>
      <c r="D2298" s="5" t="s">
        <v>11605</v>
      </c>
      <c r="E2298" s="2" t="s">
        <v>15441</v>
      </c>
      <c r="F2298" s="2" t="s">
        <v>15446</v>
      </c>
      <c r="G2298" s="2" t="s">
        <v>15456</v>
      </c>
      <c r="H2298" s="2" t="s">
        <v>15461</v>
      </c>
    </row>
    <row r="2299">
      <c r="A2299" s="2">
        <v>2297.0</v>
      </c>
      <c r="B2299" s="5" t="s">
        <v>3392</v>
      </c>
      <c r="C2299" s="2" t="s">
        <v>3393</v>
      </c>
      <c r="D2299" s="5" t="s">
        <v>3392</v>
      </c>
      <c r="E2299" s="2" t="s">
        <v>15445</v>
      </c>
      <c r="F2299" s="2" t="s">
        <v>15442</v>
      </c>
      <c r="G2299" s="2" t="s">
        <v>15443</v>
      </c>
      <c r="H2299" s="2" t="s">
        <v>15444</v>
      </c>
    </row>
    <row r="2300">
      <c r="A2300" s="2">
        <v>2298.0</v>
      </c>
      <c r="B2300" s="5" t="s">
        <v>3395</v>
      </c>
      <c r="C2300" s="2" t="s">
        <v>3396</v>
      </c>
      <c r="D2300" s="5" t="s">
        <v>3395</v>
      </c>
      <c r="E2300" s="2" t="s">
        <v>15445</v>
      </c>
      <c r="F2300" s="2" t="s">
        <v>15446</v>
      </c>
      <c r="G2300" s="2" t="s">
        <v>15456</v>
      </c>
      <c r="H2300" s="2" t="s">
        <v>15444</v>
      </c>
    </row>
    <row r="2301">
      <c r="A2301" s="2">
        <v>2299.0</v>
      </c>
      <c r="B2301" s="5" t="s">
        <v>3398</v>
      </c>
      <c r="C2301" s="2" t="s">
        <v>3399</v>
      </c>
      <c r="D2301" s="5" t="s">
        <v>3398</v>
      </c>
      <c r="E2301" s="2" t="s">
        <v>15445</v>
      </c>
      <c r="F2301" s="2" t="s">
        <v>15446</v>
      </c>
      <c r="G2301" s="2" t="s">
        <v>15443</v>
      </c>
      <c r="H2301" s="2" t="s">
        <v>15444</v>
      </c>
    </row>
    <row r="2302">
      <c r="A2302" s="2">
        <v>2300.0</v>
      </c>
      <c r="B2302" s="5" t="s">
        <v>3401</v>
      </c>
      <c r="C2302" s="2" t="s">
        <v>3402</v>
      </c>
      <c r="D2302" s="5" t="s">
        <v>3401</v>
      </c>
      <c r="E2302" s="2" t="s">
        <v>15445</v>
      </c>
      <c r="F2302" s="2" t="s">
        <v>15442</v>
      </c>
      <c r="G2302" s="2" t="s">
        <v>15443</v>
      </c>
      <c r="H2302" s="2" t="s">
        <v>15444</v>
      </c>
    </row>
    <row r="2303">
      <c r="A2303" s="2">
        <v>2301.0</v>
      </c>
      <c r="B2303" s="5" t="s">
        <v>11607</v>
      </c>
      <c r="C2303" s="2" t="s">
        <v>11608</v>
      </c>
      <c r="D2303" s="5" t="s">
        <v>11607</v>
      </c>
      <c r="E2303" s="2" t="s">
        <v>15441</v>
      </c>
      <c r="F2303" s="2" t="s">
        <v>15446</v>
      </c>
      <c r="G2303" s="2" t="s">
        <v>15456</v>
      </c>
      <c r="H2303" s="2" t="s">
        <v>15444</v>
      </c>
    </row>
    <row r="2304">
      <c r="A2304" s="2">
        <v>2302.0</v>
      </c>
      <c r="B2304" s="5" t="s">
        <v>11609</v>
      </c>
      <c r="C2304" s="2" t="s">
        <v>11610</v>
      </c>
      <c r="D2304" s="5" t="s">
        <v>11609</v>
      </c>
      <c r="E2304" s="2" t="s">
        <v>15441</v>
      </c>
      <c r="F2304" s="2" t="s">
        <v>15446</v>
      </c>
      <c r="G2304" s="2" t="s">
        <v>15456</v>
      </c>
      <c r="H2304" s="2" t="s">
        <v>15444</v>
      </c>
    </row>
    <row r="2305">
      <c r="A2305" s="2">
        <v>2303.0</v>
      </c>
      <c r="B2305" s="5" t="s">
        <v>3404</v>
      </c>
      <c r="C2305" s="2" t="s">
        <v>3405</v>
      </c>
      <c r="D2305" s="5" t="s">
        <v>3404</v>
      </c>
      <c r="E2305" s="2" t="s">
        <v>15445</v>
      </c>
      <c r="F2305" s="2" t="s">
        <v>15446</v>
      </c>
      <c r="G2305" s="2" t="s">
        <v>15443</v>
      </c>
      <c r="H2305" s="2" t="s">
        <v>15444</v>
      </c>
    </row>
    <row r="2306">
      <c r="A2306" s="2">
        <v>2304.0</v>
      </c>
      <c r="B2306" s="5" t="s">
        <v>11611</v>
      </c>
      <c r="C2306" s="2" t="s">
        <v>11612</v>
      </c>
      <c r="D2306" s="5" t="s">
        <v>11611</v>
      </c>
      <c r="E2306" s="2" t="s">
        <v>15441</v>
      </c>
      <c r="F2306" s="2" t="s">
        <v>15446</v>
      </c>
      <c r="G2306" s="2" t="s">
        <v>15456</v>
      </c>
      <c r="H2306" s="2" t="s">
        <v>15444</v>
      </c>
    </row>
    <row r="2307">
      <c r="A2307" s="2">
        <v>2305.0</v>
      </c>
      <c r="B2307" s="5" t="s">
        <v>3407</v>
      </c>
      <c r="C2307" s="2" t="s">
        <v>3408</v>
      </c>
      <c r="D2307" s="5" t="s">
        <v>3407</v>
      </c>
      <c r="E2307" s="2" t="s">
        <v>15445</v>
      </c>
      <c r="F2307" s="2" t="s">
        <v>15446</v>
      </c>
      <c r="G2307" s="2" t="s">
        <v>15443</v>
      </c>
      <c r="H2307" s="2" t="s">
        <v>15444</v>
      </c>
    </row>
    <row r="2308">
      <c r="A2308" s="2">
        <v>2306.0</v>
      </c>
      <c r="B2308" s="5" t="s">
        <v>3410</v>
      </c>
      <c r="C2308" s="2" t="s">
        <v>3411</v>
      </c>
      <c r="D2308" s="5" t="s">
        <v>3410</v>
      </c>
      <c r="E2308" s="2" t="s">
        <v>15445</v>
      </c>
      <c r="F2308" s="2" t="s">
        <v>15446</v>
      </c>
      <c r="G2308" s="2" t="s">
        <v>15443</v>
      </c>
      <c r="H2308" s="2" t="s">
        <v>15444</v>
      </c>
    </row>
    <row r="2309">
      <c r="A2309" s="2">
        <v>2307.0</v>
      </c>
      <c r="B2309" s="5" t="s">
        <v>3413</v>
      </c>
      <c r="C2309" s="2" t="s">
        <v>3414</v>
      </c>
      <c r="D2309" s="5" t="s">
        <v>3413</v>
      </c>
      <c r="E2309" s="2" t="s">
        <v>15445</v>
      </c>
      <c r="F2309" s="2" t="s">
        <v>15446</v>
      </c>
      <c r="G2309" s="2" t="s">
        <v>15456</v>
      </c>
      <c r="H2309" s="2" t="s">
        <v>15444</v>
      </c>
    </row>
    <row r="2310">
      <c r="A2310" s="2">
        <v>2308.0</v>
      </c>
      <c r="B2310" s="5" t="s">
        <v>11613</v>
      </c>
      <c r="C2310" s="2" t="s">
        <v>11614</v>
      </c>
      <c r="D2310" s="5" t="s">
        <v>11613</v>
      </c>
      <c r="E2310" s="2" t="s">
        <v>15441</v>
      </c>
      <c r="F2310" s="2" t="s">
        <v>15446</v>
      </c>
      <c r="G2310" s="2" t="s">
        <v>15456</v>
      </c>
      <c r="H2310" s="2" t="s">
        <v>15457</v>
      </c>
    </row>
    <row r="2311">
      <c r="A2311" s="2">
        <v>2309.0</v>
      </c>
      <c r="B2311" s="5" t="s">
        <v>11615</v>
      </c>
      <c r="C2311" s="2" t="s">
        <v>11616</v>
      </c>
      <c r="D2311" s="5" t="s">
        <v>11615</v>
      </c>
      <c r="E2311" s="2" t="s">
        <v>15441</v>
      </c>
      <c r="F2311" s="2" t="s">
        <v>15442</v>
      </c>
      <c r="G2311" s="2" t="s">
        <v>15443</v>
      </c>
      <c r="H2311" s="2" t="s">
        <v>15444</v>
      </c>
    </row>
    <row r="2312">
      <c r="A2312" s="2">
        <v>2310.0</v>
      </c>
      <c r="B2312" s="5" t="s">
        <v>3416</v>
      </c>
      <c r="C2312" s="2" t="s">
        <v>3417</v>
      </c>
      <c r="D2312" s="5" t="s">
        <v>3416</v>
      </c>
      <c r="E2312" s="2" t="s">
        <v>15445</v>
      </c>
      <c r="F2312" s="2" t="s">
        <v>15446</v>
      </c>
      <c r="G2312" s="2" t="s">
        <v>15443</v>
      </c>
      <c r="H2312" s="2" t="s">
        <v>15444</v>
      </c>
    </row>
    <row r="2313">
      <c r="A2313" s="2">
        <v>2311.0</v>
      </c>
      <c r="B2313" s="5" t="s">
        <v>3419</v>
      </c>
      <c r="C2313" s="2" t="s">
        <v>3420</v>
      </c>
      <c r="D2313" s="5" t="s">
        <v>3419</v>
      </c>
      <c r="E2313" s="2" t="s">
        <v>15445</v>
      </c>
      <c r="F2313" s="2" t="s">
        <v>15446</v>
      </c>
      <c r="G2313" s="2" t="s">
        <v>15456</v>
      </c>
      <c r="H2313" s="2" t="s">
        <v>15444</v>
      </c>
    </row>
    <row r="2314">
      <c r="A2314" s="2">
        <v>2312.0</v>
      </c>
      <c r="B2314" s="5" t="s">
        <v>11617</v>
      </c>
      <c r="C2314" s="2" t="s">
        <v>11618</v>
      </c>
      <c r="D2314" s="5" t="s">
        <v>11617</v>
      </c>
      <c r="E2314" s="2" t="s">
        <v>15441</v>
      </c>
      <c r="F2314" s="2" t="s">
        <v>15446</v>
      </c>
      <c r="G2314" s="2" t="s">
        <v>15443</v>
      </c>
      <c r="H2314" s="2" t="s">
        <v>15444</v>
      </c>
    </row>
    <row r="2315">
      <c r="A2315" s="2">
        <v>2313.0</v>
      </c>
      <c r="B2315" s="5" t="s">
        <v>11619</v>
      </c>
      <c r="C2315" s="2" t="s">
        <v>11620</v>
      </c>
      <c r="D2315" s="5" t="s">
        <v>11619</v>
      </c>
      <c r="E2315" s="2" t="s">
        <v>15441</v>
      </c>
      <c r="F2315" s="2" t="s">
        <v>15442</v>
      </c>
      <c r="G2315" s="2" t="s">
        <v>15443</v>
      </c>
      <c r="H2315" s="2" t="s">
        <v>15444</v>
      </c>
    </row>
    <row r="2316">
      <c r="A2316" s="2">
        <v>2314.0</v>
      </c>
      <c r="B2316" s="5" t="s">
        <v>11621</v>
      </c>
      <c r="C2316" s="2" t="s">
        <v>11622</v>
      </c>
      <c r="D2316" s="5" t="s">
        <v>11621</v>
      </c>
      <c r="E2316" s="2" t="s">
        <v>15441</v>
      </c>
      <c r="F2316" s="2" t="s">
        <v>15446</v>
      </c>
      <c r="G2316" s="2" t="s">
        <v>15456</v>
      </c>
      <c r="H2316" s="2" t="s">
        <v>15444</v>
      </c>
    </row>
    <row r="2317">
      <c r="A2317" s="2">
        <v>2315.0</v>
      </c>
      <c r="B2317" s="5" t="s">
        <v>11623</v>
      </c>
      <c r="C2317" s="2" t="s">
        <v>11624</v>
      </c>
      <c r="D2317" s="5" t="s">
        <v>11623</v>
      </c>
      <c r="E2317" s="2" t="s">
        <v>15441</v>
      </c>
      <c r="F2317" s="2" t="s">
        <v>15442</v>
      </c>
      <c r="G2317" s="2" t="s">
        <v>15456</v>
      </c>
      <c r="H2317" s="2" t="s">
        <v>15444</v>
      </c>
    </row>
    <row r="2318">
      <c r="A2318" s="2">
        <v>2316.0</v>
      </c>
      <c r="B2318" s="5" t="s">
        <v>11625</v>
      </c>
      <c r="C2318" s="2" t="s">
        <v>11626</v>
      </c>
      <c r="D2318" s="5" t="s">
        <v>11625</v>
      </c>
      <c r="E2318" s="2" t="s">
        <v>15441</v>
      </c>
      <c r="F2318" s="2" t="s">
        <v>15442</v>
      </c>
      <c r="G2318" s="2" t="s">
        <v>15443</v>
      </c>
      <c r="H2318" s="2" t="s">
        <v>15444</v>
      </c>
    </row>
    <row r="2319">
      <c r="A2319" s="2">
        <v>2317.0</v>
      </c>
      <c r="B2319" s="5" t="s">
        <v>11627</v>
      </c>
      <c r="C2319" s="2" t="s">
        <v>11628</v>
      </c>
      <c r="D2319" s="5" t="s">
        <v>11627</v>
      </c>
      <c r="E2319" s="2" t="s">
        <v>15441</v>
      </c>
      <c r="F2319" s="2" t="s">
        <v>15446</v>
      </c>
      <c r="G2319" s="2" t="s">
        <v>15456</v>
      </c>
      <c r="H2319" s="2" t="s">
        <v>15444</v>
      </c>
    </row>
    <row r="2320">
      <c r="A2320" s="2">
        <v>2318.0</v>
      </c>
      <c r="B2320" s="5" t="s">
        <v>11629</v>
      </c>
      <c r="C2320" s="2" t="s">
        <v>11630</v>
      </c>
      <c r="D2320" s="5" t="s">
        <v>11629</v>
      </c>
      <c r="E2320" s="2" t="s">
        <v>15441</v>
      </c>
      <c r="F2320" s="2" t="s">
        <v>15446</v>
      </c>
      <c r="G2320" s="2" t="s">
        <v>15456</v>
      </c>
      <c r="H2320" s="2" t="s">
        <v>15444</v>
      </c>
    </row>
    <row r="2321">
      <c r="A2321" s="2">
        <v>2319.0</v>
      </c>
      <c r="B2321" s="5" t="s">
        <v>3422</v>
      </c>
      <c r="C2321" s="2" t="s">
        <v>3423</v>
      </c>
      <c r="D2321" s="5" t="s">
        <v>3422</v>
      </c>
      <c r="E2321" s="2" t="s">
        <v>15445</v>
      </c>
      <c r="F2321" s="2" t="s">
        <v>15442</v>
      </c>
      <c r="G2321" s="2" t="s">
        <v>15443</v>
      </c>
      <c r="H2321" s="2" t="s">
        <v>15444</v>
      </c>
    </row>
    <row r="2322">
      <c r="A2322" s="2">
        <v>2320.0</v>
      </c>
      <c r="B2322" s="5" t="s">
        <v>3425</v>
      </c>
      <c r="C2322" s="2" t="s">
        <v>3426</v>
      </c>
      <c r="D2322" s="5" t="s">
        <v>3425</v>
      </c>
      <c r="E2322" s="2" t="s">
        <v>15445</v>
      </c>
      <c r="F2322" s="2" t="s">
        <v>15442</v>
      </c>
      <c r="G2322" s="2" t="s">
        <v>15443</v>
      </c>
      <c r="H2322" s="2" t="s">
        <v>15444</v>
      </c>
    </row>
    <row r="2323">
      <c r="A2323" s="2">
        <v>2321.0</v>
      </c>
      <c r="B2323" s="5" t="s">
        <v>3428</v>
      </c>
      <c r="C2323" s="2" t="s">
        <v>3429</v>
      </c>
      <c r="D2323" s="5" t="s">
        <v>3428</v>
      </c>
      <c r="E2323" s="2" t="s">
        <v>15445</v>
      </c>
      <c r="F2323" s="2" t="s">
        <v>15446</v>
      </c>
      <c r="G2323" s="2" t="s">
        <v>15456</v>
      </c>
      <c r="H2323" s="2" t="s">
        <v>15444</v>
      </c>
    </row>
    <row r="2324">
      <c r="A2324" s="2">
        <v>2322.0</v>
      </c>
      <c r="B2324" s="5" t="s">
        <v>11631</v>
      </c>
      <c r="C2324" s="2" t="s">
        <v>11632</v>
      </c>
      <c r="D2324" s="5" t="s">
        <v>11631</v>
      </c>
      <c r="E2324" s="2" t="s">
        <v>15441</v>
      </c>
      <c r="F2324" s="2" t="s">
        <v>15446</v>
      </c>
      <c r="G2324" s="2" t="s">
        <v>15443</v>
      </c>
      <c r="H2324" s="2" t="s">
        <v>15444</v>
      </c>
    </row>
    <row r="2325">
      <c r="A2325" s="2">
        <v>2323.0</v>
      </c>
      <c r="B2325" s="5" t="s">
        <v>3431</v>
      </c>
      <c r="C2325" s="2" t="s">
        <v>3432</v>
      </c>
      <c r="D2325" s="5" t="s">
        <v>3431</v>
      </c>
      <c r="E2325" s="2" t="s">
        <v>15445</v>
      </c>
      <c r="F2325" s="2" t="s">
        <v>15446</v>
      </c>
      <c r="G2325" s="2" t="s">
        <v>15443</v>
      </c>
      <c r="H2325" s="2" t="s">
        <v>15444</v>
      </c>
    </row>
    <row r="2326">
      <c r="A2326" s="2">
        <v>2324.0</v>
      </c>
      <c r="B2326" s="5" t="s">
        <v>3434</v>
      </c>
      <c r="C2326" s="2" t="s">
        <v>3435</v>
      </c>
      <c r="D2326" s="5" t="s">
        <v>3434</v>
      </c>
      <c r="E2326" s="2" t="s">
        <v>15445</v>
      </c>
      <c r="F2326" s="2" t="s">
        <v>15446</v>
      </c>
      <c r="G2326" s="2" t="s">
        <v>15456</v>
      </c>
      <c r="H2326" s="2" t="s">
        <v>15444</v>
      </c>
    </row>
    <row r="2327">
      <c r="A2327" s="2">
        <v>2325.0</v>
      </c>
      <c r="B2327" s="5" t="s">
        <v>11633</v>
      </c>
      <c r="C2327" s="2" t="s">
        <v>11634</v>
      </c>
      <c r="D2327" s="5" t="s">
        <v>11633</v>
      </c>
      <c r="E2327" s="2" t="s">
        <v>15441</v>
      </c>
      <c r="F2327" s="2" t="s">
        <v>15446</v>
      </c>
      <c r="G2327" s="2" t="s">
        <v>15456</v>
      </c>
      <c r="H2327" s="2" t="s">
        <v>15444</v>
      </c>
    </row>
    <row r="2328">
      <c r="A2328" s="2">
        <v>2326.0</v>
      </c>
      <c r="B2328" s="5" t="s">
        <v>3437</v>
      </c>
      <c r="C2328" s="2" t="s">
        <v>3438</v>
      </c>
      <c r="D2328" s="5" t="s">
        <v>3437</v>
      </c>
      <c r="E2328" s="2" t="s">
        <v>15445</v>
      </c>
      <c r="F2328" s="2" t="s">
        <v>15442</v>
      </c>
      <c r="G2328" s="2" t="s">
        <v>15443</v>
      </c>
      <c r="H2328" s="2" t="s">
        <v>15444</v>
      </c>
    </row>
    <row r="2329">
      <c r="A2329" s="2">
        <v>2327.0</v>
      </c>
      <c r="B2329" s="5" t="s">
        <v>11635</v>
      </c>
      <c r="C2329" s="2" t="s">
        <v>11636</v>
      </c>
      <c r="D2329" s="5" t="s">
        <v>11635</v>
      </c>
      <c r="E2329" s="2" t="s">
        <v>15441</v>
      </c>
      <c r="F2329" s="2" t="s">
        <v>15442</v>
      </c>
      <c r="G2329" s="2" t="s">
        <v>15456</v>
      </c>
      <c r="H2329" s="2" t="s">
        <v>15444</v>
      </c>
    </row>
    <row r="2330">
      <c r="A2330" s="2">
        <v>2328.0</v>
      </c>
      <c r="B2330" s="5" t="s">
        <v>3440</v>
      </c>
      <c r="C2330" s="2" t="s">
        <v>3441</v>
      </c>
      <c r="D2330" s="5" t="s">
        <v>3440</v>
      </c>
      <c r="E2330" s="2" t="s">
        <v>15445</v>
      </c>
      <c r="F2330" s="2" t="s">
        <v>15446</v>
      </c>
      <c r="G2330" s="2" t="s">
        <v>15456</v>
      </c>
      <c r="H2330" s="2" t="s">
        <v>15444</v>
      </c>
    </row>
    <row r="2331">
      <c r="A2331" s="2">
        <v>2329.0</v>
      </c>
      <c r="B2331" s="5" t="s">
        <v>11637</v>
      </c>
      <c r="C2331" s="2" t="s">
        <v>11638</v>
      </c>
      <c r="D2331" s="5" t="s">
        <v>11637</v>
      </c>
      <c r="E2331" s="2" t="s">
        <v>15441</v>
      </c>
      <c r="F2331" s="2" t="s">
        <v>15442</v>
      </c>
      <c r="G2331" s="2" t="s">
        <v>15443</v>
      </c>
      <c r="H2331" s="2" t="s">
        <v>15444</v>
      </c>
    </row>
    <row r="2332">
      <c r="A2332" s="2">
        <v>2330.0</v>
      </c>
      <c r="B2332" s="5" t="s">
        <v>3443</v>
      </c>
      <c r="C2332" s="2" t="s">
        <v>3444</v>
      </c>
      <c r="D2332" s="5" t="s">
        <v>3443</v>
      </c>
      <c r="E2332" s="2" t="s">
        <v>15445</v>
      </c>
      <c r="F2332" s="2" t="s">
        <v>15442</v>
      </c>
      <c r="G2332" s="2" t="s">
        <v>15443</v>
      </c>
      <c r="H2332" s="2" t="s">
        <v>15444</v>
      </c>
    </row>
    <row r="2333">
      <c r="A2333" s="2">
        <v>2331.0</v>
      </c>
      <c r="B2333" s="5" t="s">
        <v>11639</v>
      </c>
      <c r="C2333" s="2" t="s">
        <v>11640</v>
      </c>
      <c r="D2333" s="5" t="s">
        <v>11639</v>
      </c>
      <c r="E2333" s="2" t="s">
        <v>15441</v>
      </c>
      <c r="F2333" s="2" t="s">
        <v>15442</v>
      </c>
      <c r="G2333" s="2" t="s">
        <v>15456</v>
      </c>
      <c r="H2333" s="2" t="s">
        <v>15444</v>
      </c>
    </row>
    <row r="2334">
      <c r="A2334" s="2">
        <v>2332.0</v>
      </c>
      <c r="B2334" s="5" t="s">
        <v>11641</v>
      </c>
      <c r="C2334" s="2" t="s">
        <v>11642</v>
      </c>
      <c r="D2334" s="5" t="s">
        <v>11641</v>
      </c>
      <c r="E2334" s="2" t="s">
        <v>15441</v>
      </c>
      <c r="F2334" s="2" t="s">
        <v>15442</v>
      </c>
      <c r="G2334" s="2" t="s">
        <v>15443</v>
      </c>
      <c r="H2334" s="2" t="s">
        <v>15444</v>
      </c>
    </row>
    <row r="2335">
      <c r="A2335" s="2">
        <v>2333.0</v>
      </c>
      <c r="B2335" s="5" t="s">
        <v>3446</v>
      </c>
      <c r="C2335" s="2" t="s">
        <v>3447</v>
      </c>
      <c r="D2335" s="5" t="s">
        <v>3446</v>
      </c>
      <c r="E2335" s="2" t="s">
        <v>15445</v>
      </c>
      <c r="F2335" s="2" t="s">
        <v>15446</v>
      </c>
      <c r="G2335" s="2" t="s">
        <v>15456</v>
      </c>
      <c r="H2335" s="2" t="s">
        <v>15444</v>
      </c>
    </row>
    <row r="2336">
      <c r="A2336" s="2">
        <v>2334.0</v>
      </c>
      <c r="B2336" s="5" t="s">
        <v>3449</v>
      </c>
      <c r="C2336" s="2" t="s">
        <v>3450</v>
      </c>
      <c r="D2336" s="5" t="s">
        <v>3449</v>
      </c>
      <c r="E2336" s="2" t="s">
        <v>15445</v>
      </c>
      <c r="F2336" s="2" t="s">
        <v>15442</v>
      </c>
      <c r="G2336" s="2" t="s">
        <v>15456</v>
      </c>
      <c r="H2336" s="2" t="s">
        <v>15444</v>
      </c>
    </row>
    <row r="2337">
      <c r="A2337" s="2">
        <v>2335.0</v>
      </c>
      <c r="B2337" s="5" t="s">
        <v>3452</v>
      </c>
      <c r="C2337" s="2" t="s">
        <v>3453</v>
      </c>
      <c r="D2337" s="5" t="s">
        <v>3452</v>
      </c>
      <c r="E2337" s="2" t="s">
        <v>15445</v>
      </c>
      <c r="F2337" s="2" t="s">
        <v>15442</v>
      </c>
      <c r="G2337" s="2" t="s">
        <v>15456</v>
      </c>
      <c r="H2337" s="2" t="s">
        <v>15444</v>
      </c>
    </row>
    <row r="2338">
      <c r="A2338" s="2">
        <v>2336.0</v>
      </c>
      <c r="B2338" s="5" t="s">
        <v>11643</v>
      </c>
      <c r="C2338" s="2" t="s">
        <v>11644</v>
      </c>
      <c r="D2338" s="5" t="s">
        <v>11643</v>
      </c>
      <c r="E2338" s="2" t="s">
        <v>15441</v>
      </c>
      <c r="F2338" s="2" t="s">
        <v>15442</v>
      </c>
      <c r="G2338" s="2" t="s">
        <v>15443</v>
      </c>
      <c r="H2338" s="2" t="s">
        <v>15444</v>
      </c>
    </row>
    <row r="2339">
      <c r="A2339" s="2">
        <v>2337.0</v>
      </c>
      <c r="B2339" s="5" t="s">
        <v>11645</v>
      </c>
      <c r="C2339" s="2" t="s">
        <v>11646</v>
      </c>
      <c r="D2339" s="5" t="s">
        <v>11645</v>
      </c>
      <c r="E2339" s="2" t="s">
        <v>15441</v>
      </c>
      <c r="F2339" s="2" t="s">
        <v>15442</v>
      </c>
      <c r="G2339" s="2" t="s">
        <v>15443</v>
      </c>
      <c r="H2339" s="2" t="s">
        <v>15444</v>
      </c>
    </row>
    <row r="2340">
      <c r="A2340" s="2">
        <v>2338.0</v>
      </c>
      <c r="B2340" s="5" t="s">
        <v>3455</v>
      </c>
      <c r="C2340" s="2" t="s">
        <v>3456</v>
      </c>
      <c r="D2340" s="5" t="s">
        <v>3455</v>
      </c>
      <c r="E2340" s="2" t="s">
        <v>15445</v>
      </c>
      <c r="F2340" s="2" t="s">
        <v>15442</v>
      </c>
      <c r="G2340" s="2" t="s">
        <v>15443</v>
      </c>
      <c r="H2340" s="2" t="s">
        <v>15444</v>
      </c>
    </row>
    <row r="2341">
      <c r="A2341" s="2">
        <v>2339.0</v>
      </c>
      <c r="B2341" s="5" t="s">
        <v>11647</v>
      </c>
      <c r="C2341" s="2" t="s">
        <v>11648</v>
      </c>
      <c r="D2341" s="5" t="s">
        <v>11647</v>
      </c>
      <c r="E2341" s="2" t="s">
        <v>15441</v>
      </c>
      <c r="F2341" s="2" t="s">
        <v>15446</v>
      </c>
      <c r="G2341" s="2" t="s">
        <v>15443</v>
      </c>
      <c r="H2341" s="2" t="s">
        <v>15444</v>
      </c>
    </row>
    <row r="2342">
      <c r="A2342" s="2">
        <v>2340.0</v>
      </c>
      <c r="B2342" s="5" t="s">
        <v>3458</v>
      </c>
      <c r="C2342" s="2" t="s">
        <v>3459</v>
      </c>
      <c r="D2342" s="5" t="s">
        <v>3458</v>
      </c>
      <c r="E2342" s="2" t="s">
        <v>15445</v>
      </c>
      <c r="F2342" s="2" t="s">
        <v>15446</v>
      </c>
      <c r="G2342" s="2" t="s">
        <v>15456</v>
      </c>
      <c r="H2342" s="2" t="s">
        <v>15444</v>
      </c>
    </row>
    <row r="2343">
      <c r="A2343" s="2">
        <v>2341.0</v>
      </c>
      <c r="B2343" s="5" t="s">
        <v>11649</v>
      </c>
      <c r="C2343" s="2" t="s">
        <v>11650</v>
      </c>
      <c r="D2343" s="5" t="s">
        <v>11649</v>
      </c>
      <c r="E2343" s="2" t="s">
        <v>15441</v>
      </c>
      <c r="F2343" s="2" t="s">
        <v>15442</v>
      </c>
      <c r="G2343" s="2" t="s">
        <v>15456</v>
      </c>
      <c r="H2343" s="2" t="s">
        <v>15462</v>
      </c>
    </row>
    <row r="2344">
      <c r="A2344" s="2">
        <v>2342.0</v>
      </c>
      <c r="B2344" s="5" t="s">
        <v>11651</v>
      </c>
      <c r="C2344" s="2" t="s">
        <v>11652</v>
      </c>
      <c r="D2344" s="5" t="s">
        <v>11651</v>
      </c>
      <c r="E2344" s="2" t="s">
        <v>15441</v>
      </c>
      <c r="F2344" s="2" t="s">
        <v>15442</v>
      </c>
      <c r="G2344" s="2" t="s">
        <v>15456</v>
      </c>
      <c r="H2344" s="2" t="s">
        <v>15444</v>
      </c>
    </row>
    <row r="2345">
      <c r="A2345" s="2">
        <v>2343.0</v>
      </c>
      <c r="B2345" s="5" t="s">
        <v>3461</v>
      </c>
      <c r="C2345" s="2" t="s">
        <v>3462</v>
      </c>
      <c r="D2345" s="5" t="s">
        <v>3461</v>
      </c>
      <c r="E2345" s="2" t="s">
        <v>15445</v>
      </c>
      <c r="F2345" s="2" t="s">
        <v>15442</v>
      </c>
      <c r="G2345" s="2" t="s">
        <v>15456</v>
      </c>
      <c r="H2345" s="2" t="s">
        <v>15444</v>
      </c>
    </row>
    <row r="2346">
      <c r="A2346" s="2">
        <v>2344.0</v>
      </c>
      <c r="B2346" s="5" t="s">
        <v>3464</v>
      </c>
      <c r="C2346" s="2" t="s">
        <v>3465</v>
      </c>
      <c r="D2346" s="5" t="s">
        <v>3464</v>
      </c>
      <c r="E2346" s="2" t="s">
        <v>15445</v>
      </c>
      <c r="F2346" s="2" t="s">
        <v>15442</v>
      </c>
      <c r="G2346" s="2" t="s">
        <v>15443</v>
      </c>
      <c r="H2346" s="2" t="s">
        <v>15444</v>
      </c>
    </row>
    <row r="2347">
      <c r="A2347" s="2">
        <v>2345.0</v>
      </c>
      <c r="B2347" s="5" t="s">
        <v>3467</v>
      </c>
      <c r="C2347" s="2" t="s">
        <v>3468</v>
      </c>
      <c r="D2347" s="5" t="s">
        <v>3467</v>
      </c>
      <c r="E2347" s="2" t="s">
        <v>15445</v>
      </c>
      <c r="F2347" s="2" t="s">
        <v>15446</v>
      </c>
      <c r="G2347" s="2" t="s">
        <v>15456</v>
      </c>
      <c r="H2347" s="2" t="s">
        <v>15455</v>
      </c>
    </row>
    <row r="2348">
      <c r="A2348" s="2">
        <v>2346.0</v>
      </c>
      <c r="B2348" s="5" t="s">
        <v>11653</v>
      </c>
      <c r="C2348" s="2" t="s">
        <v>11654</v>
      </c>
      <c r="D2348" s="5" t="s">
        <v>11653</v>
      </c>
      <c r="E2348" s="2" t="s">
        <v>15441</v>
      </c>
      <c r="F2348" s="2" t="s">
        <v>15446</v>
      </c>
      <c r="G2348" s="2" t="s">
        <v>15456</v>
      </c>
      <c r="H2348" s="2" t="s">
        <v>15457</v>
      </c>
    </row>
    <row r="2349">
      <c r="A2349" s="2">
        <v>2347.0</v>
      </c>
      <c r="B2349" s="5" t="s">
        <v>11655</v>
      </c>
      <c r="C2349" s="2" t="s">
        <v>11656</v>
      </c>
      <c r="D2349" s="5" t="s">
        <v>11655</v>
      </c>
      <c r="E2349" s="2" t="s">
        <v>15441</v>
      </c>
      <c r="F2349" s="2" t="s">
        <v>15446</v>
      </c>
      <c r="G2349" s="2" t="s">
        <v>15443</v>
      </c>
      <c r="H2349" s="2" t="s">
        <v>15444</v>
      </c>
    </row>
    <row r="2350">
      <c r="A2350" s="2">
        <v>2348.0</v>
      </c>
      <c r="B2350" s="5" t="s">
        <v>11657</v>
      </c>
      <c r="C2350" s="2" t="s">
        <v>11658</v>
      </c>
      <c r="D2350" s="5" t="s">
        <v>11657</v>
      </c>
      <c r="E2350" s="2" t="s">
        <v>15441</v>
      </c>
      <c r="F2350" s="2" t="s">
        <v>15442</v>
      </c>
      <c r="G2350" s="2" t="s">
        <v>15443</v>
      </c>
      <c r="H2350" s="2" t="s">
        <v>15444</v>
      </c>
    </row>
    <row r="2351">
      <c r="A2351" s="2">
        <v>2349.0</v>
      </c>
      <c r="B2351" s="5" t="s">
        <v>3470</v>
      </c>
      <c r="C2351" s="2" t="s">
        <v>3471</v>
      </c>
      <c r="D2351" s="5" t="s">
        <v>3470</v>
      </c>
      <c r="E2351" s="2" t="s">
        <v>15445</v>
      </c>
      <c r="F2351" s="2" t="s">
        <v>15442</v>
      </c>
      <c r="G2351" s="2" t="s">
        <v>15443</v>
      </c>
      <c r="H2351" s="2" t="s">
        <v>15444</v>
      </c>
    </row>
    <row r="2352">
      <c r="A2352" s="2">
        <v>2350.0</v>
      </c>
      <c r="B2352" s="5" t="s">
        <v>11659</v>
      </c>
      <c r="C2352" s="2" t="s">
        <v>11660</v>
      </c>
      <c r="D2352" s="5" t="s">
        <v>11659</v>
      </c>
      <c r="E2352" s="2" t="s">
        <v>15441</v>
      </c>
      <c r="F2352" s="2" t="s">
        <v>15442</v>
      </c>
      <c r="G2352" s="2" t="s">
        <v>15456</v>
      </c>
      <c r="H2352" s="2" t="s">
        <v>15444</v>
      </c>
    </row>
    <row r="2353">
      <c r="A2353" s="2">
        <v>2351.0</v>
      </c>
      <c r="B2353" s="5" t="s">
        <v>11661</v>
      </c>
      <c r="C2353" s="2" t="s">
        <v>11662</v>
      </c>
      <c r="D2353" s="5" t="s">
        <v>11661</v>
      </c>
      <c r="E2353" s="2" t="s">
        <v>15441</v>
      </c>
      <c r="F2353" s="2" t="s">
        <v>15446</v>
      </c>
      <c r="G2353" s="2" t="s">
        <v>15456</v>
      </c>
      <c r="H2353" s="2" t="s">
        <v>15444</v>
      </c>
    </row>
    <row r="2354">
      <c r="A2354" s="2">
        <v>2352.0</v>
      </c>
      <c r="B2354" s="5" t="s">
        <v>3473</v>
      </c>
      <c r="C2354" s="2" t="s">
        <v>3474</v>
      </c>
      <c r="D2354" s="5" t="s">
        <v>3473</v>
      </c>
      <c r="E2354" s="2" t="s">
        <v>15445</v>
      </c>
      <c r="F2354" s="2" t="s">
        <v>15442</v>
      </c>
      <c r="G2354" s="2" t="s">
        <v>15443</v>
      </c>
      <c r="H2354" s="2" t="s">
        <v>15444</v>
      </c>
    </row>
    <row r="2355">
      <c r="A2355" s="2">
        <v>2353.0</v>
      </c>
      <c r="B2355" s="5" t="s">
        <v>3476</v>
      </c>
      <c r="C2355" s="2" t="s">
        <v>3477</v>
      </c>
      <c r="D2355" s="5" t="s">
        <v>3476</v>
      </c>
      <c r="E2355" s="2" t="s">
        <v>15445</v>
      </c>
      <c r="F2355" s="2" t="s">
        <v>15446</v>
      </c>
      <c r="G2355" s="2" t="s">
        <v>15456</v>
      </c>
      <c r="H2355" s="2" t="s">
        <v>15444</v>
      </c>
    </row>
    <row r="2356">
      <c r="A2356" s="2">
        <v>2354.0</v>
      </c>
      <c r="B2356" s="5" t="s">
        <v>3479</v>
      </c>
      <c r="C2356" s="2" t="s">
        <v>3480</v>
      </c>
      <c r="D2356" s="5" t="s">
        <v>3479</v>
      </c>
      <c r="E2356" s="2" t="s">
        <v>15445</v>
      </c>
      <c r="F2356" s="2" t="s">
        <v>15446</v>
      </c>
      <c r="G2356" s="2" t="s">
        <v>15456</v>
      </c>
      <c r="H2356" s="2" t="s">
        <v>15444</v>
      </c>
    </row>
    <row r="2357">
      <c r="A2357" s="2">
        <v>2355.0</v>
      </c>
      <c r="B2357" s="5" t="s">
        <v>3482</v>
      </c>
      <c r="C2357" s="2" t="s">
        <v>3483</v>
      </c>
      <c r="D2357" s="5" t="s">
        <v>3482</v>
      </c>
      <c r="E2357" s="2" t="s">
        <v>15445</v>
      </c>
      <c r="F2357" s="2" t="s">
        <v>15446</v>
      </c>
      <c r="G2357" s="2" t="s">
        <v>15456</v>
      </c>
      <c r="H2357" s="2" t="s">
        <v>15444</v>
      </c>
    </row>
    <row r="2358">
      <c r="A2358" s="2">
        <v>2356.0</v>
      </c>
      <c r="B2358" s="5" t="s">
        <v>3485</v>
      </c>
      <c r="C2358" s="2" t="s">
        <v>3486</v>
      </c>
      <c r="D2358" s="5" t="s">
        <v>3485</v>
      </c>
      <c r="E2358" s="2" t="s">
        <v>15445</v>
      </c>
      <c r="F2358" s="2" t="s">
        <v>15442</v>
      </c>
      <c r="G2358" s="2" t="s">
        <v>15456</v>
      </c>
      <c r="H2358" s="2" t="s">
        <v>15444</v>
      </c>
    </row>
    <row r="2359">
      <c r="A2359" s="2">
        <v>2357.0</v>
      </c>
      <c r="B2359" s="5" t="s">
        <v>3488</v>
      </c>
      <c r="C2359" s="2" t="s">
        <v>3489</v>
      </c>
      <c r="D2359" s="5" t="s">
        <v>3488</v>
      </c>
      <c r="E2359" s="2" t="s">
        <v>15445</v>
      </c>
      <c r="F2359" s="2" t="s">
        <v>15442</v>
      </c>
      <c r="G2359" s="2" t="s">
        <v>15443</v>
      </c>
      <c r="H2359" s="2" t="s">
        <v>15444</v>
      </c>
    </row>
    <row r="2360">
      <c r="A2360" s="2">
        <v>2358.0</v>
      </c>
      <c r="B2360" s="5" t="s">
        <v>11663</v>
      </c>
      <c r="C2360" s="2" t="s">
        <v>11664</v>
      </c>
      <c r="D2360" s="5" t="s">
        <v>11663</v>
      </c>
      <c r="E2360" s="2" t="s">
        <v>15441</v>
      </c>
      <c r="F2360" s="2" t="s">
        <v>15442</v>
      </c>
      <c r="G2360" s="2" t="s">
        <v>15456</v>
      </c>
      <c r="H2360" s="2" t="s">
        <v>15444</v>
      </c>
    </row>
    <row r="2361">
      <c r="A2361" s="2">
        <v>2359.0</v>
      </c>
      <c r="B2361" s="5" t="s">
        <v>11665</v>
      </c>
      <c r="C2361" s="2" t="s">
        <v>11666</v>
      </c>
      <c r="D2361" s="5" t="s">
        <v>11665</v>
      </c>
      <c r="E2361" s="2" t="s">
        <v>15441</v>
      </c>
      <c r="F2361" s="2" t="s">
        <v>15442</v>
      </c>
      <c r="G2361" s="2" t="s">
        <v>15443</v>
      </c>
      <c r="H2361" s="2" t="s">
        <v>15444</v>
      </c>
    </row>
    <row r="2362">
      <c r="A2362" s="2">
        <v>2360.0</v>
      </c>
      <c r="B2362" s="5" t="s">
        <v>3491</v>
      </c>
      <c r="C2362" s="2" t="s">
        <v>3492</v>
      </c>
      <c r="D2362" s="5" t="s">
        <v>3491</v>
      </c>
      <c r="E2362" s="2" t="s">
        <v>15445</v>
      </c>
      <c r="F2362" s="2" t="s">
        <v>15446</v>
      </c>
      <c r="G2362" s="2" t="s">
        <v>15443</v>
      </c>
      <c r="H2362" s="2" t="s">
        <v>15444</v>
      </c>
    </row>
    <row r="2363">
      <c r="A2363" s="2">
        <v>2361.0</v>
      </c>
      <c r="B2363" s="5" t="s">
        <v>3494</v>
      </c>
      <c r="C2363" s="2" t="s">
        <v>3495</v>
      </c>
      <c r="D2363" s="5" t="s">
        <v>3494</v>
      </c>
      <c r="E2363" s="2" t="s">
        <v>15445</v>
      </c>
      <c r="F2363" s="2" t="s">
        <v>15446</v>
      </c>
      <c r="G2363" s="2" t="s">
        <v>15443</v>
      </c>
      <c r="H2363" s="2" t="s">
        <v>15444</v>
      </c>
    </row>
    <row r="2364">
      <c r="A2364" s="2">
        <v>2362.0</v>
      </c>
      <c r="B2364" s="5" t="s">
        <v>3497</v>
      </c>
      <c r="C2364" s="2" t="s">
        <v>3498</v>
      </c>
      <c r="D2364" s="5" t="s">
        <v>3497</v>
      </c>
      <c r="E2364" s="2" t="s">
        <v>15445</v>
      </c>
      <c r="F2364" s="2" t="s">
        <v>15446</v>
      </c>
      <c r="G2364" s="2" t="s">
        <v>15456</v>
      </c>
      <c r="H2364" s="2" t="s">
        <v>15444</v>
      </c>
    </row>
    <row r="2365">
      <c r="A2365" s="2">
        <v>2363.0</v>
      </c>
      <c r="B2365" s="5" t="s">
        <v>11667</v>
      </c>
      <c r="C2365" s="2" t="s">
        <v>11668</v>
      </c>
      <c r="D2365" s="5" t="s">
        <v>11667</v>
      </c>
      <c r="E2365" s="2" t="s">
        <v>15441</v>
      </c>
      <c r="F2365" s="2" t="s">
        <v>15446</v>
      </c>
      <c r="G2365" s="2" t="s">
        <v>15443</v>
      </c>
      <c r="H2365" s="2" t="s">
        <v>15444</v>
      </c>
    </row>
    <row r="2366">
      <c r="A2366" s="2">
        <v>2364.0</v>
      </c>
      <c r="B2366" s="5" t="s">
        <v>11669</v>
      </c>
      <c r="C2366" s="2" t="s">
        <v>11670</v>
      </c>
      <c r="D2366" s="5" t="s">
        <v>11669</v>
      </c>
      <c r="E2366" s="2" t="s">
        <v>15441</v>
      </c>
      <c r="F2366" s="2" t="s">
        <v>15446</v>
      </c>
      <c r="G2366" s="2" t="s">
        <v>15443</v>
      </c>
      <c r="H2366" s="2" t="s">
        <v>15444</v>
      </c>
    </row>
    <row r="2367">
      <c r="A2367" s="2">
        <v>2365.0</v>
      </c>
      <c r="B2367" s="5" t="s">
        <v>11671</v>
      </c>
      <c r="C2367" s="2" t="s">
        <v>11672</v>
      </c>
      <c r="D2367" s="5" t="s">
        <v>11671</v>
      </c>
      <c r="E2367" s="2" t="s">
        <v>15441</v>
      </c>
      <c r="F2367" s="2" t="s">
        <v>15446</v>
      </c>
      <c r="G2367" s="2" t="s">
        <v>15443</v>
      </c>
      <c r="H2367" s="2" t="s">
        <v>15444</v>
      </c>
    </row>
    <row r="2368">
      <c r="A2368" s="2">
        <v>2366.0</v>
      </c>
      <c r="B2368" s="5" t="s">
        <v>3500</v>
      </c>
      <c r="C2368" s="2" t="s">
        <v>3501</v>
      </c>
      <c r="D2368" s="5" t="s">
        <v>3500</v>
      </c>
      <c r="E2368" s="2" t="s">
        <v>15445</v>
      </c>
      <c r="F2368" s="2" t="s">
        <v>15446</v>
      </c>
      <c r="G2368" s="2" t="s">
        <v>15456</v>
      </c>
      <c r="H2368" s="2" t="s">
        <v>15457</v>
      </c>
    </row>
    <row r="2369">
      <c r="A2369" s="2">
        <v>2367.0</v>
      </c>
      <c r="B2369" s="5" t="s">
        <v>3503</v>
      </c>
      <c r="C2369" s="2" t="s">
        <v>3504</v>
      </c>
      <c r="D2369" s="5" t="s">
        <v>3503</v>
      </c>
      <c r="E2369" s="2" t="s">
        <v>15445</v>
      </c>
      <c r="F2369" s="2" t="s">
        <v>15442</v>
      </c>
      <c r="G2369" s="2" t="s">
        <v>15443</v>
      </c>
      <c r="H2369" s="2" t="s">
        <v>15444</v>
      </c>
    </row>
    <row r="2370">
      <c r="A2370" s="2">
        <v>2368.0</v>
      </c>
      <c r="B2370" s="5" t="s">
        <v>11673</v>
      </c>
      <c r="C2370" s="2" t="s">
        <v>11674</v>
      </c>
      <c r="D2370" s="5" t="s">
        <v>11673</v>
      </c>
      <c r="E2370" s="2" t="s">
        <v>15441</v>
      </c>
      <c r="F2370" s="2" t="s">
        <v>15446</v>
      </c>
      <c r="G2370" s="2" t="s">
        <v>15456</v>
      </c>
      <c r="H2370" s="2" t="s">
        <v>15444</v>
      </c>
    </row>
    <row r="2371">
      <c r="A2371" s="2">
        <v>2369.0</v>
      </c>
      <c r="B2371" s="5" t="s">
        <v>3506</v>
      </c>
      <c r="C2371" s="2" t="s">
        <v>3507</v>
      </c>
      <c r="D2371" s="5" t="s">
        <v>3506</v>
      </c>
      <c r="E2371" s="2" t="s">
        <v>15445</v>
      </c>
      <c r="F2371" s="2" t="s">
        <v>15442</v>
      </c>
      <c r="G2371" s="2" t="s">
        <v>15443</v>
      </c>
      <c r="H2371" s="2" t="s">
        <v>15444</v>
      </c>
    </row>
    <row r="2372">
      <c r="A2372" s="2">
        <v>2370.0</v>
      </c>
      <c r="B2372" s="5" t="s">
        <v>11675</v>
      </c>
      <c r="C2372" s="2" t="s">
        <v>11676</v>
      </c>
      <c r="D2372" s="5" t="s">
        <v>11675</v>
      </c>
      <c r="E2372" s="2" t="s">
        <v>15441</v>
      </c>
      <c r="F2372" s="2" t="s">
        <v>15442</v>
      </c>
      <c r="G2372" s="2" t="s">
        <v>15443</v>
      </c>
      <c r="H2372" s="2" t="s">
        <v>15444</v>
      </c>
    </row>
    <row r="2373">
      <c r="A2373" s="2">
        <v>2371.0</v>
      </c>
      <c r="B2373" s="5" t="s">
        <v>11677</v>
      </c>
      <c r="C2373" s="2" t="s">
        <v>11678</v>
      </c>
      <c r="D2373" s="5" t="s">
        <v>11677</v>
      </c>
      <c r="E2373" s="2" t="s">
        <v>15441</v>
      </c>
      <c r="F2373" s="2" t="s">
        <v>15442</v>
      </c>
      <c r="G2373" s="2" t="s">
        <v>15443</v>
      </c>
      <c r="H2373" s="2" t="s">
        <v>15444</v>
      </c>
    </row>
    <row r="2374">
      <c r="A2374" s="2">
        <v>2372.0</v>
      </c>
      <c r="B2374" s="5" t="s">
        <v>3509</v>
      </c>
      <c r="C2374" s="2" t="s">
        <v>3510</v>
      </c>
      <c r="D2374" s="5" t="s">
        <v>3509</v>
      </c>
      <c r="E2374" s="2" t="s">
        <v>15445</v>
      </c>
      <c r="F2374" s="2" t="s">
        <v>15442</v>
      </c>
      <c r="G2374" s="2" t="s">
        <v>15443</v>
      </c>
      <c r="H2374" s="2" t="s">
        <v>15444</v>
      </c>
    </row>
    <row r="2375">
      <c r="A2375" s="2">
        <v>2373.0</v>
      </c>
      <c r="B2375" s="5" t="s">
        <v>3512</v>
      </c>
      <c r="C2375" s="2" t="s">
        <v>3513</v>
      </c>
      <c r="D2375" s="5" t="s">
        <v>3512</v>
      </c>
      <c r="E2375" s="2" t="s">
        <v>15445</v>
      </c>
      <c r="F2375" s="2" t="s">
        <v>15446</v>
      </c>
      <c r="G2375" s="2" t="s">
        <v>15443</v>
      </c>
      <c r="H2375" s="2" t="s">
        <v>15444</v>
      </c>
    </row>
    <row r="2376">
      <c r="A2376" s="2">
        <v>2374.0</v>
      </c>
      <c r="B2376" s="5" t="s">
        <v>3515</v>
      </c>
      <c r="C2376" s="2" t="s">
        <v>3516</v>
      </c>
      <c r="D2376" s="5" t="s">
        <v>3515</v>
      </c>
      <c r="E2376" s="2" t="s">
        <v>15445</v>
      </c>
      <c r="F2376" s="2" t="s">
        <v>15442</v>
      </c>
      <c r="G2376" s="2" t="s">
        <v>15443</v>
      </c>
      <c r="H2376" s="2" t="s">
        <v>15444</v>
      </c>
    </row>
    <row r="2377">
      <c r="A2377" s="2">
        <v>2375.0</v>
      </c>
      <c r="B2377" s="5" t="s">
        <v>11679</v>
      </c>
      <c r="C2377" s="2" t="s">
        <v>11680</v>
      </c>
      <c r="D2377" s="5" t="s">
        <v>11679</v>
      </c>
      <c r="E2377" s="2" t="s">
        <v>15441</v>
      </c>
      <c r="F2377" s="2" t="s">
        <v>15442</v>
      </c>
      <c r="G2377" s="2" t="s">
        <v>15443</v>
      </c>
      <c r="H2377" s="2" t="s">
        <v>15444</v>
      </c>
    </row>
    <row r="2378">
      <c r="A2378" s="2">
        <v>2376.0</v>
      </c>
      <c r="B2378" s="5" t="s">
        <v>11681</v>
      </c>
      <c r="C2378" s="2" t="s">
        <v>11682</v>
      </c>
      <c r="D2378" s="5" t="s">
        <v>11681</v>
      </c>
      <c r="E2378" s="2" t="s">
        <v>15441</v>
      </c>
      <c r="F2378" s="2" t="s">
        <v>15446</v>
      </c>
      <c r="G2378" s="2" t="s">
        <v>15456</v>
      </c>
      <c r="H2378" s="2" t="s">
        <v>15444</v>
      </c>
    </row>
    <row r="2379">
      <c r="A2379" s="2">
        <v>2377.0</v>
      </c>
      <c r="B2379" s="5" t="s">
        <v>3518</v>
      </c>
      <c r="C2379" s="2" t="s">
        <v>3519</v>
      </c>
      <c r="D2379" s="5" t="s">
        <v>3518</v>
      </c>
      <c r="E2379" s="2" t="s">
        <v>15445</v>
      </c>
      <c r="F2379" s="2" t="s">
        <v>15442</v>
      </c>
      <c r="G2379" s="2" t="s">
        <v>15456</v>
      </c>
      <c r="H2379" s="2" t="s">
        <v>15444</v>
      </c>
    </row>
    <row r="2380">
      <c r="A2380" s="2">
        <v>2378.0</v>
      </c>
      <c r="B2380" s="5" t="s">
        <v>11683</v>
      </c>
      <c r="C2380" s="2" t="s">
        <v>11684</v>
      </c>
      <c r="D2380" s="5" t="s">
        <v>11683</v>
      </c>
      <c r="E2380" s="2" t="s">
        <v>15441</v>
      </c>
      <c r="F2380" s="2" t="s">
        <v>15446</v>
      </c>
      <c r="G2380" s="2" t="s">
        <v>15456</v>
      </c>
      <c r="H2380" s="2" t="s">
        <v>15457</v>
      </c>
    </row>
    <row r="2381">
      <c r="A2381" s="2">
        <v>2379.0</v>
      </c>
      <c r="B2381" s="5" t="s">
        <v>3521</v>
      </c>
      <c r="C2381" s="2" t="s">
        <v>3522</v>
      </c>
      <c r="D2381" s="5" t="s">
        <v>3521</v>
      </c>
      <c r="E2381" s="2" t="s">
        <v>15445</v>
      </c>
      <c r="F2381" s="2" t="s">
        <v>15446</v>
      </c>
      <c r="G2381" s="2" t="s">
        <v>15443</v>
      </c>
      <c r="H2381" s="2" t="s">
        <v>15444</v>
      </c>
    </row>
    <row r="2382">
      <c r="A2382" s="2">
        <v>2380.0</v>
      </c>
      <c r="B2382" s="5" t="s">
        <v>15512</v>
      </c>
      <c r="C2382" s="2" t="s">
        <v>15513</v>
      </c>
      <c r="D2382" s="5" t="s">
        <v>15512</v>
      </c>
      <c r="E2382" s="2" t="s">
        <v>15445</v>
      </c>
      <c r="F2382" s="2" t="s">
        <v>15446</v>
      </c>
      <c r="G2382" s="2" t="s">
        <v>15456</v>
      </c>
      <c r="H2382" s="2" t="s">
        <v>15455</v>
      </c>
    </row>
    <row r="2383">
      <c r="A2383" s="2">
        <v>2381.0</v>
      </c>
      <c r="B2383" s="5" t="s">
        <v>11685</v>
      </c>
      <c r="C2383" s="2" t="s">
        <v>11686</v>
      </c>
      <c r="D2383" s="5" t="s">
        <v>11685</v>
      </c>
      <c r="E2383" s="2" t="s">
        <v>15441</v>
      </c>
      <c r="F2383" s="2" t="s">
        <v>15446</v>
      </c>
      <c r="G2383" s="2" t="s">
        <v>15456</v>
      </c>
      <c r="H2383" s="2" t="s">
        <v>15444</v>
      </c>
    </row>
    <row r="2384">
      <c r="A2384" s="2">
        <v>2382.0</v>
      </c>
      <c r="B2384" s="5" t="s">
        <v>3524</v>
      </c>
      <c r="C2384" s="2" t="s">
        <v>3525</v>
      </c>
      <c r="D2384" s="5" t="s">
        <v>3524</v>
      </c>
      <c r="E2384" s="2" t="s">
        <v>15445</v>
      </c>
      <c r="F2384" s="2" t="s">
        <v>15442</v>
      </c>
      <c r="G2384" s="2" t="s">
        <v>15456</v>
      </c>
      <c r="H2384" s="2" t="s">
        <v>15457</v>
      </c>
    </row>
    <row r="2385">
      <c r="A2385" s="2">
        <v>2383.0</v>
      </c>
      <c r="B2385" s="5" t="s">
        <v>11687</v>
      </c>
      <c r="C2385" s="2" t="s">
        <v>11688</v>
      </c>
      <c r="D2385" s="5" t="s">
        <v>11687</v>
      </c>
      <c r="E2385" s="2" t="s">
        <v>15441</v>
      </c>
      <c r="F2385" s="2" t="s">
        <v>15446</v>
      </c>
      <c r="G2385" s="2" t="s">
        <v>15443</v>
      </c>
      <c r="H2385" s="2" t="s">
        <v>15444</v>
      </c>
    </row>
    <row r="2386">
      <c r="A2386" s="2">
        <v>2384.0</v>
      </c>
      <c r="B2386" s="5" t="s">
        <v>3527</v>
      </c>
      <c r="C2386" s="2" t="s">
        <v>3528</v>
      </c>
      <c r="D2386" s="5" t="s">
        <v>3527</v>
      </c>
      <c r="E2386" s="2" t="s">
        <v>15445</v>
      </c>
      <c r="F2386" s="2" t="s">
        <v>15442</v>
      </c>
      <c r="G2386" s="2" t="s">
        <v>15443</v>
      </c>
      <c r="H2386" s="2" t="s">
        <v>15444</v>
      </c>
    </row>
    <row r="2387">
      <c r="A2387" s="2">
        <v>2385.0</v>
      </c>
      <c r="B2387" s="5" t="s">
        <v>11689</v>
      </c>
      <c r="C2387" s="2" t="s">
        <v>11690</v>
      </c>
      <c r="D2387" s="5" t="s">
        <v>11689</v>
      </c>
      <c r="E2387" s="2" t="s">
        <v>15441</v>
      </c>
      <c r="F2387" s="2" t="s">
        <v>15446</v>
      </c>
      <c r="G2387" s="2" t="s">
        <v>15456</v>
      </c>
      <c r="H2387" s="2" t="s">
        <v>15457</v>
      </c>
    </row>
    <row r="2388">
      <c r="A2388" s="2">
        <v>2386.0</v>
      </c>
      <c r="B2388" s="5" t="s">
        <v>11691</v>
      </c>
      <c r="C2388" s="2" t="s">
        <v>11692</v>
      </c>
      <c r="D2388" s="5" t="s">
        <v>11691</v>
      </c>
      <c r="E2388" s="2" t="s">
        <v>15441</v>
      </c>
      <c r="F2388" s="2" t="s">
        <v>15442</v>
      </c>
      <c r="G2388" s="2" t="s">
        <v>15443</v>
      </c>
      <c r="H2388" s="2" t="s">
        <v>15444</v>
      </c>
    </row>
    <row r="2389">
      <c r="A2389" s="2">
        <v>2387.0</v>
      </c>
      <c r="B2389" s="5" t="s">
        <v>3530</v>
      </c>
      <c r="C2389" s="2" t="s">
        <v>3531</v>
      </c>
      <c r="D2389" s="5" t="s">
        <v>3530</v>
      </c>
      <c r="E2389" s="2" t="s">
        <v>15445</v>
      </c>
      <c r="F2389" s="2" t="s">
        <v>15442</v>
      </c>
      <c r="G2389" s="2" t="s">
        <v>15456</v>
      </c>
      <c r="H2389" s="2" t="s">
        <v>15444</v>
      </c>
    </row>
    <row r="2390">
      <c r="A2390" s="2">
        <v>2388.0</v>
      </c>
      <c r="B2390" s="5" t="s">
        <v>11693</v>
      </c>
      <c r="C2390" s="2" t="s">
        <v>11694</v>
      </c>
      <c r="D2390" s="5" t="s">
        <v>11693</v>
      </c>
      <c r="E2390" s="2" t="s">
        <v>15441</v>
      </c>
      <c r="F2390" s="2" t="s">
        <v>15442</v>
      </c>
      <c r="G2390" s="2" t="s">
        <v>15456</v>
      </c>
      <c r="H2390" s="2" t="s">
        <v>15444</v>
      </c>
    </row>
    <row r="2391">
      <c r="A2391" s="2">
        <v>2389.0</v>
      </c>
      <c r="B2391" s="5" t="s">
        <v>11695</v>
      </c>
      <c r="C2391" s="2" t="s">
        <v>11696</v>
      </c>
      <c r="D2391" s="5" t="s">
        <v>11695</v>
      </c>
      <c r="E2391" s="2" t="s">
        <v>15441</v>
      </c>
      <c r="F2391" s="2" t="s">
        <v>15446</v>
      </c>
      <c r="G2391" s="2" t="s">
        <v>15456</v>
      </c>
      <c r="H2391" s="2" t="s">
        <v>15444</v>
      </c>
    </row>
    <row r="2392">
      <c r="A2392" s="2">
        <v>2390.0</v>
      </c>
      <c r="B2392" s="5" t="s">
        <v>11697</v>
      </c>
      <c r="C2392" s="2" t="s">
        <v>11698</v>
      </c>
      <c r="D2392" s="5" t="s">
        <v>11697</v>
      </c>
      <c r="E2392" s="2" t="s">
        <v>15441</v>
      </c>
      <c r="F2392" s="2" t="s">
        <v>15442</v>
      </c>
      <c r="G2392" s="2" t="s">
        <v>15443</v>
      </c>
      <c r="H2392" s="2" t="s">
        <v>15444</v>
      </c>
    </row>
    <row r="2393">
      <c r="A2393" s="2">
        <v>2391.0</v>
      </c>
      <c r="B2393" s="5" t="s">
        <v>11699</v>
      </c>
      <c r="C2393" s="2" t="s">
        <v>11700</v>
      </c>
      <c r="D2393" s="5" t="s">
        <v>11699</v>
      </c>
      <c r="E2393" s="2" t="s">
        <v>15441</v>
      </c>
      <c r="F2393" s="2" t="s">
        <v>15442</v>
      </c>
      <c r="G2393" s="2" t="s">
        <v>15443</v>
      </c>
      <c r="H2393" s="2" t="s">
        <v>15444</v>
      </c>
    </row>
    <row r="2394">
      <c r="A2394" s="2">
        <v>2392.0</v>
      </c>
      <c r="B2394" s="5" t="s">
        <v>11701</v>
      </c>
      <c r="C2394" s="2" t="s">
        <v>11702</v>
      </c>
      <c r="D2394" s="5" t="s">
        <v>11701</v>
      </c>
      <c r="E2394" s="2" t="s">
        <v>15441</v>
      </c>
      <c r="F2394" s="2" t="s">
        <v>15446</v>
      </c>
      <c r="G2394" s="2" t="s">
        <v>15443</v>
      </c>
      <c r="H2394" s="2" t="s">
        <v>15444</v>
      </c>
    </row>
    <row r="2395">
      <c r="A2395" s="2">
        <v>2393.0</v>
      </c>
      <c r="B2395" s="5" t="s">
        <v>11703</v>
      </c>
      <c r="C2395" s="2" t="s">
        <v>11704</v>
      </c>
      <c r="D2395" s="5" t="s">
        <v>11703</v>
      </c>
      <c r="E2395" s="2" t="s">
        <v>15441</v>
      </c>
      <c r="F2395" s="2" t="s">
        <v>15446</v>
      </c>
      <c r="G2395" s="2" t="s">
        <v>15456</v>
      </c>
      <c r="H2395" s="2" t="s">
        <v>15444</v>
      </c>
    </row>
    <row r="2396">
      <c r="A2396" s="2">
        <v>2394.0</v>
      </c>
      <c r="B2396" s="5" t="s">
        <v>11705</v>
      </c>
      <c r="C2396" s="2" t="s">
        <v>11706</v>
      </c>
      <c r="D2396" s="5" t="s">
        <v>11705</v>
      </c>
      <c r="E2396" s="2" t="s">
        <v>15441</v>
      </c>
      <c r="F2396" s="2" t="s">
        <v>15446</v>
      </c>
      <c r="G2396" s="2" t="s">
        <v>15456</v>
      </c>
      <c r="H2396" s="2" t="s">
        <v>15444</v>
      </c>
    </row>
    <row r="2397">
      <c r="A2397" s="2">
        <v>2395.0</v>
      </c>
      <c r="B2397" s="5" t="s">
        <v>11707</v>
      </c>
      <c r="C2397" s="2" t="s">
        <v>11708</v>
      </c>
      <c r="D2397" s="5" t="s">
        <v>11707</v>
      </c>
      <c r="E2397" s="2" t="s">
        <v>15441</v>
      </c>
      <c r="F2397" s="2" t="s">
        <v>15442</v>
      </c>
      <c r="G2397" s="2" t="s">
        <v>15443</v>
      </c>
      <c r="H2397" s="2" t="s">
        <v>15444</v>
      </c>
    </row>
    <row r="2398">
      <c r="A2398" s="2">
        <v>2396.0</v>
      </c>
      <c r="B2398" s="5" t="s">
        <v>3533</v>
      </c>
      <c r="C2398" s="2" t="s">
        <v>3534</v>
      </c>
      <c r="D2398" s="5" t="s">
        <v>3533</v>
      </c>
      <c r="E2398" s="2" t="s">
        <v>15445</v>
      </c>
      <c r="F2398" s="2" t="s">
        <v>15446</v>
      </c>
      <c r="G2398" s="2" t="s">
        <v>15456</v>
      </c>
      <c r="H2398" s="2" t="s">
        <v>15444</v>
      </c>
    </row>
    <row r="2399">
      <c r="A2399" s="2">
        <v>2397.0</v>
      </c>
      <c r="B2399" s="5" t="s">
        <v>3536</v>
      </c>
      <c r="C2399" s="2" t="s">
        <v>3537</v>
      </c>
      <c r="D2399" s="5" t="s">
        <v>3536</v>
      </c>
      <c r="E2399" s="2" t="s">
        <v>15445</v>
      </c>
      <c r="F2399" s="2" t="s">
        <v>15442</v>
      </c>
      <c r="G2399" s="2" t="s">
        <v>15443</v>
      </c>
      <c r="H2399" s="2" t="s">
        <v>15444</v>
      </c>
    </row>
    <row r="2400">
      <c r="A2400" s="2">
        <v>2398.0</v>
      </c>
      <c r="B2400" s="5" t="s">
        <v>11709</v>
      </c>
      <c r="C2400" s="2" t="s">
        <v>11710</v>
      </c>
      <c r="D2400" s="5" t="s">
        <v>11709</v>
      </c>
      <c r="E2400" s="2" t="s">
        <v>15441</v>
      </c>
      <c r="F2400" s="2" t="s">
        <v>15442</v>
      </c>
      <c r="G2400" s="2" t="s">
        <v>15456</v>
      </c>
      <c r="H2400" s="2" t="s">
        <v>15444</v>
      </c>
    </row>
    <row r="2401">
      <c r="A2401" s="2">
        <v>2399.0</v>
      </c>
      <c r="B2401" s="5" t="s">
        <v>3539</v>
      </c>
      <c r="C2401" s="2" t="s">
        <v>3540</v>
      </c>
      <c r="D2401" s="5" t="s">
        <v>3539</v>
      </c>
      <c r="E2401" s="2" t="s">
        <v>15445</v>
      </c>
      <c r="F2401" s="2" t="s">
        <v>15446</v>
      </c>
      <c r="G2401" s="2" t="s">
        <v>15456</v>
      </c>
      <c r="H2401" s="2" t="s">
        <v>15444</v>
      </c>
    </row>
    <row r="2402">
      <c r="A2402" s="2">
        <v>2400.0</v>
      </c>
      <c r="B2402" s="5" t="s">
        <v>3542</v>
      </c>
      <c r="C2402" s="2" t="s">
        <v>3543</v>
      </c>
      <c r="D2402" s="5" t="s">
        <v>3542</v>
      </c>
      <c r="E2402" s="2" t="s">
        <v>15445</v>
      </c>
      <c r="F2402" s="2" t="s">
        <v>15446</v>
      </c>
      <c r="G2402" s="2" t="s">
        <v>15443</v>
      </c>
      <c r="H2402" s="2" t="s">
        <v>15444</v>
      </c>
    </row>
    <row r="2403">
      <c r="A2403" s="2">
        <v>2401.0</v>
      </c>
      <c r="B2403" s="5" t="s">
        <v>11711</v>
      </c>
      <c r="C2403" s="2" t="s">
        <v>11712</v>
      </c>
      <c r="D2403" s="5" t="s">
        <v>11711</v>
      </c>
      <c r="E2403" s="2" t="s">
        <v>15441</v>
      </c>
      <c r="F2403" s="2" t="s">
        <v>15442</v>
      </c>
      <c r="G2403" s="2" t="s">
        <v>15456</v>
      </c>
      <c r="H2403" s="2" t="s">
        <v>15455</v>
      </c>
    </row>
    <row r="2404">
      <c r="A2404" s="2">
        <v>2402.0</v>
      </c>
      <c r="B2404" s="5" t="s">
        <v>3545</v>
      </c>
      <c r="C2404" s="2" t="s">
        <v>3546</v>
      </c>
      <c r="D2404" s="5" t="s">
        <v>3545</v>
      </c>
      <c r="E2404" s="2" t="s">
        <v>15445</v>
      </c>
      <c r="F2404" s="2" t="s">
        <v>15442</v>
      </c>
      <c r="G2404" s="2" t="s">
        <v>15443</v>
      </c>
      <c r="H2404" s="2" t="s">
        <v>15444</v>
      </c>
    </row>
    <row r="2405">
      <c r="A2405" s="2">
        <v>2403.0</v>
      </c>
      <c r="B2405" s="5" t="s">
        <v>11713</v>
      </c>
      <c r="C2405" s="2" t="s">
        <v>11714</v>
      </c>
      <c r="D2405" s="5" t="s">
        <v>11713</v>
      </c>
      <c r="E2405" s="2" t="s">
        <v>15441</v>
      </c>
      <c r="F2405" s="2" t="s">
        <v>15442</v>
      </c>
      <c r="G2405" s="2" t="s">
        <v>15456</v>
      </c>
      <c r="H2405" s="2" t="s">
        <v>15444</v>
      </c>
    </row>
    <row r="2406">
      <c r="A2406" s="2">
        <v>2404.0</v>
      </c>
      <c r="B2406" s="5" t="s">
        <v>11715</v>
      </c>
      <c r="C2406" s="2" t="s">
        <v>11716</v>
      </c>
      <c r="D2406" s="5" t="s">
        <v>11715</v>
      </c>
      <c r="E2406" s="2" t="s">
        <v>15441</v>
      </c>
      <c r="F2406" s="2" t="s">
        <v>15446</v>
      </c>
      <c r="G2406" s="2" t="s">
        <v>15456</v>
      </c>
      <c r="H2406" s="2" t="s">
        <v>15444</v>
      </c>
    </row>
    <row r="2407">
      <c r="A2407" s="2">
        <v>2405.0</v>
      </c>
      <c r="B2407" s="5" t="s">
        <v>11717</v>
      </c>
      <c r="C2407" s="2" t="s">
        <v>11718</v>
      </c>
      <c r="D2407" s="5" t="s">
        <v>11717</v>
      </c>
      <c r="E2407" s="2" t="s">
        <v>15441</v>
      </c>
      <c r="F2407" s="2" t="s">
        <v>15446</v>
      </c>
      <c r="G2407" s="2" t="s">
        <v>15456</v>
      </c>
      <c r="H2407" s="2" t="s">
        <v>15444</v>
      </c>
    </row>
    <row r="2408">
      <c r="A2408" s="2">
        <v>2406.0</v>
      </c>
      <c r="B2408" s="5" t="s">
        <v>3548</v>
      </c>
      <c r="C2408" s="2" t="s">
        <v>3549</v>
      </c>
      <c r="D2408" s="5" t="s">
        <v>3548</v>
      </c>
      <c r="E2408" s="2" t="s">
        <v>15445</v>
      </c>
      <c r="F2408" s="2" t="s">
        <v>15442</v>
      </c>
      <c r="G2408" s="2" t="s">
        <v>15443</v>
      </c>
      <c r="H2408" s="2" t="s">
        <v>15444</v>
      </c>
    </row>
    <row r="2409">
      <c r="A2409" s="2">
        <v>2407.0</v>
      </c>
      <c r="B2409" s="5" t="s">
        <v>11719</v>
      </c>
      <c r="C2409" s="2" t="s">
        <v>11720</v>
      </c>
      <c r="D2409" s="5" t="s">
        <v>11719</v>
      </c>
      <c r="E2409" s="2" t="s">
        <v>15441</v>
      </c>
      <c r="F2409" s="2" t="s">
        <v>15446</v>
      </c>
      <c r="G2409" s="2" t="s">
        <v>15443</v>
      </c>
      <c r="H2409" s="2" t="s">
        <v>15444</v>
      </c>
    </row>
    <row r="2410">
      <c r="A2410" s="2">
        <v>2408.0</v>
      </c>
      <c r="B2410" s="5" t="s">
        <v>3551</v>
      </c>
      <c r="C2410" s="2" t="s">
        <v>3552</v>
      </c>
      <c r="D2410" s="5" t="s">
        <v>3551</v>
      </c>
      <c r="E2410" s="2" t="s">
        <v>15445</v>
      </c>
      <c r="F2410" s="2" t="s">
        <v>15446</v>
      </c>
      <c r="G2410" s="2" t="s">
        <v>15456</v>
      </c>
      <c r="H2410" s="2" t="s">
        <v>15444</v>
      </c>
    </row>
    <row r="2411">
      <c r="A2411" s="2">
        <v>2409.0</v>
      </c>
      <c r="B2411" s="5" t="s">
        <v>11721</v>
      </c>
      <c r="C2411" s="2" t="s">
        <v>11722</v>
      </c>
      <c r="D2411" s="5" t="s">
        <v>11721</v>
      </c>
      <c r="E2411" s="2" t="s">
        <v>15441</v>
      </c>
      <c r="F2411" s="2" t="s">
        <v>15442</v>
      </c>
      <c r="G2411" s="2" t="s">
        <v>15443</v>
      </c>
      <c r="H2411" s="2" t="s">
        <v>15444</v>
      </c>
    </row>
    <row r="2412">
      <c r="A2412" s="2">
        <v>2410.0</v>
      </c>
      <c r="B2412" s="5" t="s">
        <v>3554</v>
      </c>
      <c r="C2412" s="2" t="s">
        <v>3555</v>
      </c>
      <c r="D2412" s="5" t="s">
        <v>3554</v>
      </c>
      <c r="E2412" s="2" t="s">
        <v>15445</v>
      </c>
      <c r="F2412" s="2" t="s">
        <v>15442</v>
      </c>
      <c r="G2412" s="2" t="s">
        <v>15443</v>
      </c>
      <c r="H2412" s="2" t="s">
        <v>15444</v>
      </c>
    </row>
    <row r="2413">
      <c r="A2413" s="2">
        <v>2411.0</v>
      </c>
      <c r="B2413" s="5" t="s">
        <v>3557</v>
      </c>
      <c r="C2413" s="2" t="s">
        <v>3558</v>
      </c>
      <c r="D2413" s="5" t="s">
        <v>3557</v>
      </c>
      <c r="E2413" s="2" t="s">
        <v>15445</v>
      </c>
      <c r="F2413" s="2" t="s">
        <v>15446</v>
      </c>
      <c r="G2413" s="2" t="s">
        <v>15443</v>
      </c>
      <c r="H2413" s="2" t="s">
        <v>15444</v>
      </c>
    </row>
    <row r="2414">
      <c r="A2414" s="2">
        <v>2412.0</v>
      </c>
      <c r="B2414" s="5" t="s">
        <v>3560</v>
      </c>
      <c r="C2414" s="2" t="s">
        <v>3561</v>
      </c>
      <c r="D2414" s="5" t="s">
        <v>3560</v>
      </c>
      <c r="E2414" s="2" t="s">
        <v>15445</v>
      </c>
      <c r="F2414" s="2" t="s">
        <v>15446</v>
      </c>
      <c r="G2414" s="2" t="s">
        <v>15456</v>
      </c>
      <c r="H2414" s="2" t="s">
        <v>15444</v>
      </c>
    </row>
    <row r="2415">
      <c r="A2415" s="2">
        <v>2413.0</v>
      </c>
      <c r="B2415" s="5" t="s">
        <v>3563</v>
      </c>
      <c r="C2415" s="2" t="s">
        <v>3564</v>
      </c>
      <c r="D2415" s="5" t="s">
        <v>3563</v>
      </c>
      <c r="E2415" s="2" t="s">
        <v>15445</v>
      </c>
      <c r="F2415" s="2" t="s">
        <v>15442</v>
      </c>
      <c r="G2415" s="2" t="s">
        <v>15443</v>
      </c>
      <c r="H2415" s="2" t="s">
        <v>15444</v>
      </c>
    </row>
    <row r="2416">
      <c r="A2416" s="2">
        <v>2414.0</v>
      </c>
      <c r="B2416" s="5" t="s">
        <v>3566</v>
      </c>
      <c r="C2416" s="2" t="s">
        <v>3567</v>
      </c>
      <c r="D2416" s="5" t="s">
        <v>3566</v>
      </c>
      <c r="E2416" s="2" t="s">
        <v>15445</v>
      </c>
      <c r="F2416" s="2" t="s">
        <v>15446</v>
      </c>
      <c r="G2416" s="2" t="s">
        <v>15456</v>
      </c>
      <c r="H2416" s="2" t="s">
        <v>15444</v>
      </c>
    </row>
    <row r="2417">
      <c r="A2417" s="2">
        <v>2415.0</v>
      </c>
      <c r="B2417" s="5" t="s">
        <v>11723</v>
      </c>
      <c r="C2417" s="2" t="s">
        <v>11724</v>
      </c>
      <c r="D2417" s="5" t="s">
        <v>11723</v>
      </c>
      <c r="E2417" s="2" t="s">
        <v>15441</v>
      </c>
      <c r="F2417" s="2" t="s">
        <v>15446</v>
      </c>
      <c r="G2417" s="2" t="s">
        <v>15456</v>
      </c>
      <c r="H2417" s="2" t="s">
        <v>15444</v>
      </c>
    </row>
    <row r="2418">
      <c r="A2418" s="2">
        <v>2416.0</v>
      </c>
      <c r="B2418" s="5" t="s">
        <v>3569</v>
      </c>
      <c r="C2418" s="2" t="s">
        <v>3570</v>
      </c>
      <c r="D2418" s="5" t="s">
        <v>3569</v>
      </c>
      <c r="E2418" s="2" t="s">
        <v>15445</v>
      </c>
      <c r="F2418" s="2" t="s">
        <v>15446</v>
      </c>
      <c r="G2418" s="2" t="s">
        <v>15456</v>
      </c>
      <c r="H2418" s="2" t="s">
        <v>15457</v>
      </c>
    </row>
    <row r="2419">
      <c r="A2419" s="2">
        <v>2417.0</v>
      </c>
      <c r="B2419" s="5" t="s">
        <v>3572</v>
      </c>
      <c r="C2419" s="2" t="s">
        <v>3573</v>
      </c>
      <c r="D2419" s="5" t="s">
        <v>3572</v>
      </c>
      <c r="E2419" s="2" t="s">
        <v>15445</v>
      </c>
      <c r="F2419" s="2" t="s">
        <v>15446</v>
      </c>
      <c r="G2419" s="2" t="s">
        <v>15456</v>
      </c>
      <c r="H2419" s="2" t="s">
        <v>15444</v>
      </c>
    </row>
    <row r="2420">
      <c r="A2420" s="2">
        <v>2418.0</v>
      </c>
      <c r="B2420" s="5" t="s">
        <v>11725</v>
      </c>
      <c r="C2420" s="2" t="s">
        <v>11726</v>
      </c>
      <c r="D2420" s="5" t="s">
        <v>11725</v>
      </c>
      <c r="E2420" s="2" t="s">
        <v>15441</v>
      </c>
      <c r="F2420" s="2" t="s">
        <v>15442</v>
      </c>
      <c r="G2420" s="2" t="s">
        <v>15443</v>
      </c>
      <c r="H2420" s="2" t="s">
        <v>15457</v>
      </c>
    </row>
    <row r="2421">
      <c r="A2421" s="2">
        <v>2419.0</v>
      </c>
      <c r="B2421" s="5" t="s">
        <v>11727</v>
      </c>
      <c r="C2421" s="2" t="s">
        <v>11728</v>
      </c>
      <c r="D2421" s="5" t="s">
        <v>11727</v>
      </c>
      <c r="E2421" s="2" t="s">
        <v>15441</v>
      </c>
      <c r="F2421" s="2" t="s">
        <v>15442</v>
      </c>
      <c r="G2421" s="2" t="s">
        <v>15456</v>
      </c>
      <c r="H2421" s="2" t="s">
        <v>15462</v>
      </c>
    </row>
    <row r="2422">
      <c r="A2422" s="2">
        <v>2420.0</v>
      </c>
      <c r="B2422" s="5" t="s">
        <v>3575</v>
      </c>
      <c r="C2422" s="2" t="s">
        <v>3576</v>
      </c>
      <c r="D2422" s="5" t="s">
        <v>3575</v>
      </c>
      <c r="E2422" s="2" t="s">
        <v>15445</v>
      </c>
      <c r="F2422" s="2" t="s">
        <v>15442</v>
      </c>
      <c r="G2422" s="2" t="s">
        <v>15443</v>
      </c>
      <c r="H2422" s="2" t="s">
        <v>15444</v>
      </c>
    </row>
    <row r="2423">
      <c r="A2423" s="2">
        <v>2421.0</v>
      </c>
      <c r="B2423" s="5" t="s">
        <v>3578</v>
      </c>
      <c r="C2423" s="2" t="s">
        <v>3579</v>
      </c>
      <c r="D2423" s="5" t="s">
        <v>3578</v>
      </c>
      <c r="E2423" s="2" t="s">
        <v>15445</v>
      </c>
      <c r="F2423" s="2" t="s">
        <v>15446</v>
      </c>
      <c r="G2423" s="2" t="s">
        <v>15456</v>
      </c>
      <c r="H2423" s="2" t="s">
        <v>15444</v>
      </c>
    </row>
    <row r="2424">
      <c r="A2424" s="2">
        <v>2422.0</v>
      </c>
      <c r="B2424" s="5" t="s">
        <v>3581</v>
      </c>
      <c r="C2424" s="2" t="s">
        <v>3582</v>
      </c>
      <c r="D2424" s="5" t="s">
        <v>3581</v>
      </c>
      <c r="E2424" s="2" t="s">
        <v>15445</v>
      </c>
      <c r="F2424" s="2" t="s">
        <v>15446</v>
      </c>
      <c r="G2424" s="2" t="s">
        <v>15456</v>
      </c>
      <c r="H2424" s="2" t="s">
        <v>15457</v>
      </c>
    </row>
    <row r="2425">
      <c r="A2425" s="2">
        <v>2423.0</v>
      </c>
      <c r="B2425" s="5" t="s">
        <v>11729</v>
      </c>
      <c r="C2425" s="2" t="s">
        <v>11730</v>
      </c>
      <c r="D2425" s="5" t="s">
        <v>11729</v>
      </c>
      <c r="E2425" s="2" t="s">
        <v>15441</v>
      </c>
      <c r="F2425" s="2" t="s">
        <v>15446</v>
      </c>
      <c r="G2425" s="2" t="s">
        <v>15456</v>
      </c>
      <c r="H2425" s="2" t="s">
        <v>15444</v>
      </c>
    </row>
    <row r="2426">
      <c r="A2426" s="2">
        <v>2424.0</v>
      </c>
      <c r="B2426" s="5" t="s">
        <v>3584</v>
      </c>
      <c r="C2426" s="2" t="s">
        <v>3585</v>
      </c>
      <c r="D2426" s="5" t="s">
        <v>3584</v>
      </c>
      <c r="E2426" s="2" t="s">
        <v>15445</v>
      </c>
      <c r="F2426" s="2" t="s">
        <v>15442</v>
      </c>
      <c r="G2426" s="2" t="s">
        <v>15443</v>
      </c>
      <c r="H2426" s="2" t="s">
        <v>15444</v>
      </c>
    </row>
    <row r="2427">
      <c r="A2427" s="2">
        <v>2425.0</v>
      </c>
      <c r="B2427" s="5" t="s">
        <v>3587</v>
      </c>
      <c r="C2427" s="2" t="s">
        <v>3588</v>
      </c>
      <c r="D2427" s="5" t="s">
        <v>3587</v>
      </c>
      <c r="E2427" s="2" t="s">
        <v>15445</v>
      </c>
      <c r="F2427" s="2" t="s">
        <v>15446</v>
      </c>
      <c r="G2427" s="2" t="s">
        <v>15443</v>
      </c>
      <c r="H2427" s="2" t="s">
        <v>15444</v>
      </c>
    </row>
    <row r="2428">
      <c r="A2428" s="2">
        <v>2426.0</v>
      </c>
      <c r="B2428" s="5" t="s">
        <v>3590</v>
      </c>
      <c r="C2428" s="2" t="s">
        <v>3591</v>
      </c>
      <c r="D2428" s="5" t="s">
        <v>3590</v>
      </c>
      <c r="E2428" s="2" t="s">
        <v>15445</v>
      </c>
      <c r="F2428" s="2" t="s">
        <v>15446</v>
      </c>
      <c r="G2428" s="2" t="s">
        <v>15456</v>
      </c>
      <c r="H2428" s="2" t="s">
        <v>15444</v>
      </c>
    </row>
    <row r="2429">
      <c r="A2429" s="2">
        <v>2427.0</v>
      </c>
      <c r="B2429" s="5" t="s">
        <v>3593</v>
      </c>
      <c r="C2429" s="2" t="s">
        <v>3594</v>
      </c>
      <c r="D2429" s="5" t="s">
        <v>3593</v>
      </c>
      <c r="E2429" s="2" t="s">
        <v>15445</v>
      </c>
      <c r="F2429" s="2" t="s">
        <v>15446</v>
      </c>
      <c r="G2429" s="2" t="s">
        <v>15443</v>
      </c>
      <c r="H2429" s="2" t="s">
        <v>15444</v>
      </c>
    </row>
    <row r="2430">
      <c r="A2430" s="2">
        <v>2428.0</v>
      </c>
      <c r="B2430" s="5" t="s">
        <v>11731</v>
      </c>
      <c r="C2430" s="2" t="s">
        <v>11732</v>
      </c>
      <c r="D2430" s="5" t="s">
        <v>11731</v>
      </c>
      <c r="E2430" s="2" t="s">
        <v>15441</v>
      </c>
      <c r="F2430" s="2" t="s">
        <v>15446</v>
      </c>
      <c r="G2430" s="2" t="s">
        <v>15456</v>
      </c>
      <c r="H2430" s="2" t="s">
        <v>15444</v>
      </c>
    </row>
    <row r="2431">
      <c r="A2431" s="2">
        <v>2429.0</v>
      </c>
      <c r="B2431" s="5" t="s">
        <v>11733</v>
      </c>
      <c r="C2431" s="2" t="s">
        <v>11734</v>
      </c>
      <c r="D2431" s="5" t="s">
        <v>11733</v>
      </c>
      <c r="E2431" s="2" t="s">
        <v>15441</v>
      </c>
      <c r="F2431" s="2" t="s">
        <v>15442</v>
      </c>
      <c r="G2431" s="2" t="s">
        <v>15456</v>
      </c>
      <c r="H2431" s="2" t="s">
        <v>15444</v>
      </c>
    </row>
    <row r="2432">
      <c r="A2432" s="2">
        <v>2430.0</v>
      </c>
      <c r="B2432" s="5" t="s">
        <v>11735</v>
      </c>
      <c r="C2432" s="2" t="s">
        <v>11736</v>
      </c>
      <c r="D2432" s="5" t="s">
        <v>11735</v>
      </c>
      <c r="E2432" s="2" t="s">
        <v>15441</v>
      </c>
      <c r="F2432" s="2" t="s">
        <v>15446</v>
      </c>
      <c r="G2432" s="2" t="s">
        <v>15456</v>
      </c>
      <c r="H2432" s="2" t="s">
        <v>15444</v>
      </c>
    </row>
    <row r="2433">
      <c r="A2433" s="2">
        <v>2431.0</v>
      </c>
      <c r="B2433" s="5" t="s">
        <v>11737</v>
      </c>
      <c r="C2433" s="2" t="s">
        <v>11738</v>
      </c>
      <c r="D2433" s="5" t="s">
        <v>11737</v>
      </c>
      <c r="E2433" s="2" t="s">
        <v>15441</v>
      </c>
      <c r="F2433" s="2" t="s">
        <v>15446</v>
      </c>
      <c r="G2433" s="2" t="s">
        <v>15456</v>
      </c>
      <c r="H2433" s="2" t="s">
        <v>15444</v>
      </c>
    </row>
    <row r="2434">
      <c r="A2434" s="2">
        <v>2432.0</v>
      </c>
      <c r="B2434" s="5" t="s">
        <v>3596</v>
      </c>
      <c r="C2434" s="2" t="s">
        <v>3597</v>
      </c>
      <c r="D2434" s="5" t="s">
        <v>3596</v>
      </c>
      <c r="E2434" s="2" t="s">
        <v>15445</v>
      </c>
      <c r="F2434" s="2" t="s">
        <v>15442</v>
      </c>
      <c r="G2434" s="2" t="s">
        <v>15443</v>
      </c>
      <c r="H2434" s="2" t="s">
        <v>15462</v>
      </c>
    </row>
    <row r="2435">
      <c r="A2435" s="2">
        <v>2433.0</v>
      </c>
      <c r="B2435" s="5" t="s">
        <v>3599</v>
      </c>
      <c r="C2435" s="2" t="s">
        <v>3600</v>
      </c>
      <c r="D2435" s="5" t="s">
        <v>3599</v>
      </c>
      <c r="E2435" s="2" t="s">
        <v>15445</v>
      </c>
      <c r="F2435" s="2" t="s">
        <v>15442</v>
      </c>
      <c r="G2435" s="2" t="s">
        <v>15456</v>
      </c>
      <c r="H2435" s="2" t="s">
        <v>15444</v>
      </c>
    </row>
    <row r="2436">
      <c r="A2436" s="2">
        <v>2434.0</v>
      </c>
      <c r="B2436" s="5" t="s">
        <v>3602</v>
      </c>
      <c r="C2436" s="2" t="s">
        <v>3603</v>
      </c>
      <c r="D2436" s="5" t="s">
        <v>3602</v>
      </c>
      <c r="E2436" s="2" t="s">
        <v>15445</v>
      </c>
      <c r="F2436" s="2" t="s">
        <v>15446</v>
      </c>
      <c r="G2436" s="2" t="s">
        <v>15456</v>
      </c>
      <c r="H2436" s="2" t="s">
        <v>15444</v>
      </c>
    </row>
    <row r="2437">
      <c r="A2437" s="2">
        <v>2435.0</v>
      </c>
      <c r="B2437" s="5" t="s">
        <v>3605</v>
      </c>
      <c r="C2437" s="2" t="s">
        <v>3606</v>
      </c>
      <c r="D2437" s="5" t="s">
        <v>3605</v>
      </c>
      <c r="E2437" s="2" t="s">
        <v>15445</v>
      </c>
      <c r="F2437" s="2" t="s">
        <v>15446</v>
      </c>
      <c r="G2437" s="2" t="s">
        <v>15456</v>
      </c>
      <c r="H2437" s="2" t="s">
        <v>15444</v>
      </c>
    </row>
    <row r="2438">
      <c r="A2438" s="2">
        <v>2436.0</v>
      </c>
      <c r="B2438" s="5" t="s">
        <v>11739</v>
      </c>
      <c r="C2438" s="2" t="s">
        <v>11740</v>
      </c>
      <c r="D2438" s="5" t="s">
        <v>11739</v>
      </c>
      <c r="E2438" s="2" t="s">
        <v>15441</v>
      </c>
      <c r="F2438" s="2" t="s">
        <v>15442</v>
      </c>
      <c r="G2438" s="2" t="s">
        <v>15456</v>
      </c>
      <c r="H2438" s="2" t="s">
        <v>15444</v>
      </c>
    </row>
    <row r="2439">
      <c r="A2439" s="2">
        <v>2437.0</v>
      </c>
      <c r="B2439" s="5" t="s">
        <v>3608</v>
      </c>
      <c r="C2439" s="2" t="s">
        <v>3609</v>
      </c>
      <c r="D2439" s="5" t="s">
        <v>3608</v>
      </c>
      <c r="E2439" s="2" t="s">
        <v>15445</v>
      </c>
      <c r="F2439" s="2" t="s">
        <v>15446</v>
      </c>
      <c r="G2439" s="2" t="s">
        <v>15443</v>
      </c>
      <c r="H2439" s="2" t="s">
        <v>15444</v>
      </c>
    </row>
    <row r="2440">
      <c r="A2440" s="2">
        <v>2438.0</v>
      </c>
      <c r="B2440" s="5" t="s">
        <v>3611</v>
      </c>
      <c r="C2440" s="2" t="s">
        <v>3612</v>
      </c>
      <c r="D2440" s="5" t="s">
        <v>3611</v>
      </c>
      <c r="E2440" s="2" t="s">
        <v>15445</v>
      </c>
      <c r="F2440" s="2" t="s">
        <v>15446</v>
      </c>
      <c r="G2440" s="2" t="s">
        <v>15456</v>
      </c>
      <c r="H2440" s="2" t="s">
        <v>15444</v>
      </c>
    </row>
    <row r="2441">
      <c r="A2441" s="2">
        <v>2439.0</v>
      </c>
      <c r="B2441" s="5" t="s">
        <v>3614</v>
      </c>
      <c r="C2441" s="2" t="s">
        <v>3615</v>
      </c>
      <c r="D2441" s="5" t="s">
        <v>3614</v>
      </c>
      <c r="E2441" s="2" t="s">
        <v>15445</v>
      </c>
      <c r="F2441" s="2" t="s">
        <v>15446</v>
      </c>
      <c r="G2441" s="2" t="s">
        <v>15456</v>
      </c>
      <c r="H2441" s="2" t="s">
        <v>15444</v>
      </c>
    </row>
    <row r="2442">
      <c r="A2442" s="2">
        <v>2440.0</v>
      </c>
      <c r="B2442" s="5" t="s">
        <v>3617</v>
      </c>
      <c r="C2442" s="2" t="s">
        <v>3618</v>
      </c>
      <c r="D2442" s="5" t="s">
        <v>3617</v>
      </c>
      <c r="E2442" s="2" t="s">
        <v>15445</v>
      </c>
      <c r="F2442" s="2" t="s">
        <v>15442</v>
      </c>
      <c r="G2442" s="2" t="s">
        <v>15443</v>
      </c>
      <c r="H2442" s="2" t="s">
        <v>15444</v>
      </c>
    </row>
    <row r="2443">
      <c r="A2443" s="2">
        <v>2441.0</v>
      </c>
      <c r="B2443" s="5" t="s">
        <v>11741</v>
      </c>
      <c r="C2443" s="2" t="s">
        <v>11742</v>
      </c>
      <c r="D2443" s="5" t="s">
        <v>11741</v>
      </c>
      <c r="E2443" s="2" t="s">
        <v>15441</v>
      </c>
      <c r="F2443" s="2" t="s">
        <v>15446</v>
      </c>
      <c r="G2443" s="2" t="s">
        <v>15456</v>
      </c>
      <c r="H2443" s="2" t="s">
        <v>15455</v>
      </c>
    </row>
    <row r="2444">
      <c r="A2444" s="2">
        <v>2442.0</v>
      </c>
      <c r="B2444" s="5" t="s">
        <v>11743</v>
      </c>
      <c r="C2444" s="2" t="s">
        <v>11744</v>
      </c>
      <c r="D2444" s="5" t="s">
        <v>11743</v>
      </c>
      <c r="E2444" s="2" t="s">
        <v>15441</v>
      </c>
      <c r="F2444" s="2" t="s">
        <v>15442</v>
      </c>
      <c r="G2444" s="2" t="s">
        <v>15443</v>
      </c>
      <c r="H2444" s="2" t="s">
        <v>15444</v>
      </c>
    </row>
    <row r="2445">
      <c r="A2445" s="2">
        <v>2443.0</v>
      </c>
      <c r="B2445" s="5" t="s">
        <v>3620</v>
      </c>
      <c r="C2445" s="2" t="s">
        <v>3621</v>
      </c>
      <c r="D2445" s="5" t="s">
        <v>3620</v>
      </c>
      <c r="E2445" s="2" t="s">
        <v>15445</v>
      </c>
      <c r="F2445" s="2" t="s">
        <v>15446</v>
      </c>
      <c r="G2445" s="2" t="s">
        <v>15456</v>
      </c>
      <c r="H2445" s="2" t="s">
        <v>15444</v>
      </c>
    </row>
    <row r="2446">
      <c r="A2446" s="2">
        <v>2444.0</v>
      </c>
      <c r="B2446" s="5" t="s">
        <v>11745</v>
      </c>
      <c r="C2446" s="2" t="s">
        <v>11746</v>
      </c>
      <c r="D2446" s="5" t="s">
        <v>11745</v>
      </c>
      <c r="E2446" s="2" t="s">
        <v>15441</v>
      </c>
      <c r="F2446" s="2" t="s">
        <v>15442</v>
      </c>
      <c r="G2446" s="2" t="s">
        <v>15443</v>
      </c>
      <c r="H2446" s="2" t="s">
        <v>15444</v>
      </c>
    </row>
    <row r="2447">
      <c r="A2447" s="2">
        <v>2445.0</v>
      </c>
      <c r="B2447" s="5" t="s">
        <v>11747</v>
      </c>
      <c r="C2447" s="2" t="s">
        <v>11748</v>
      </c>
      <c r="D2447" s="5" t="s">
        <v>11747</v>
      </c>
      <c r="E2447" s="2" t="s">
        <v>15441</v>
      </c>
      <c r="F2447" s="2" t="s">
        <v>15446</v>
      </c>
      <c r="G2447" s="2" t="s">
        <v>15443</v>
      </c>
      <c r="H2447" s="2" t="s">
        <v>15455</v>
      </c>
    </row>
    <row r="2448">
      <c r="A2448" s="2">
        <v>2446.0</v>
      </c>
      <c r="B2448" s="5" t="s">
        <v>3623</v>
      </c>
      <c r="C2448" s="2" t="s">
        <v>3624</v>
      </c>
      <c r="D2448" s="5" t="s">
        <v>3623</v>
      </c>
      <c r="E2448" s="2" t="s">
        <v>15445</v>
      </c>
      <c r="F2448" s="2" t="s">
        <v>15442</v>
      </c>
      <c r="G2448" s="2" t="s">
        <v>15443</v>
      </c>
      <c r="H2448" s="2" t="s">
        <v>15444</v>
      </c>
    </row>
    <row r="2449">
      <c r="A2449" s="2">
        <v>2447.0</v>
      </c>
      <c r="B2449" s="5" t="s">
        <v>3626</v>
      </c>
      <c r="C2449" s="2" t="s">
        <v>3627</v>
      </c>
      <c r="D2449" s="5" t="s">
        <v>3626</v>
      </c>
      <c r="E2449" s="2" t="s">
        <v>15445</v>
      </c>
      <c r="F2449" s="2" t="s">
        <v>15446</v>
      </c>
      <c r="G2449" s="2" t="s">
        <v>15443</v>
      </c>
      <c r="H2449" s="2" t="s">
        <v>15444</v>
      </c>
    </row>
    <row r="2450">
      <c r="A2450" s="2">
        <v>2448.0</v>
      </c>
      <c r="B2450" s="5" t="s">
        <v>3629</v>
      </c>
      <c r="C2450" s="2" t="s">
        <v>3630</v>
      </c>
      <c r="D2450" s="5" t="s">
        <v>3629</v>
      </c>
      <c r="E2450" s="2" t="s">
        <v>15445</v>
      </c>
      <c r="F2450" s="2" t="s">
        <v>15446</v>
      </c>
      <c r="G2450" s="2" t="s">
        <v>15443</v>
      </c>
      <c r="H2450" s="2" t="s">
        <v>15444</v>
      </c>
    </row>
    <row r="2451">
      <c r="A2451" s="2">
        <v>2449.0</v>
      </c>
      <c r="B2451" s="5" t="s">
        <v>11749</v>
      </c>
      <c r="C2451" s="2" t="s">
        <v>11750</v>
      </c>
      <c r="D2451" s="5" t="s">
        <v>11749</v>
      </c>
      <c r="E2451" s="2" t="s">
        <v>15441</v>
      </c>
      <c r="F2451" s="2" t="s">
        <v>15446</v>
      </c>
      <c r="G2451" s="2" t="s">
        <v>15456</v>
      </c>
      <c r="H2451" s="2" t="s">
        <v>15444</v>
      </c>
    </row>
    <row r="2452">
      <c r="A2452" s="2">
        <v>2450.0</v>
      </c>
      <c r="B2452" s="5" t="s">
        <v>11751</v>
      </c>
      <c r="C2452" s="2" t="s">
        <v>11752</v>
      </c>
      <c r="D2452" s="5" t="s">
        <v>11751</v>
      </c>
      <c r="E2452" s="2" t="s">
        <v>15441</v>
      </c>
      <c r="F2452" s="2" t="s">
        <v>15442</v>
      </c>
      <c r="G2452" s="2" t="s">
        <v>15443</v>
      </c>
      <c r="H2452" s="2" t="s">
        <v>15455</v>
      </c>
    </row>
    <row r="2453">
      <c r="A2453" s="2">
        <v>2451.0</v>
      </c>
      <c r="B2453" s="5" t="s">
        <v>11753</v>
      </c>
      <c r="C2453" s="2" t="s">
        <v>11754</v>
      </c>
      <c r="D2453" s="5" t="s">
        <v>11753</v>
      </c>
      <c r="E2453" s="2" t="s">
        <v>15441</v>
      </c>
      <c r="F2453" s="2" t="s">
        <v>15442</v>
      </c>
      <c r="G2453" s="2" t="s">
        <v>15443</v>
      </c>
      <c r="H2453" s="2" t="s">
        <v>15444</v>
      </c>
    </row>
    <row r="2454">
      <c r="A2454" s="2">
        <v>2452.0</v>
      </c>
      <c r="B2454" s="5" t="s">
        <v>11755</v>
      </c>
      <c r="C2454" s="2" t="s">
        <v>11756</v>
      </c>
      <c r="D2454" s="5" t="s">
        <v>11755</v>
      </c>
      <c r="E2454" s="2" t="s">
        <v>15441</v>
      </c>
      <c r="F2454" s="2" t="s">
        <v>15446</v>
      </c>
      <c r="G2454" s="2" t="s">
        <v>15443</v>
      </c>
      <c r="H2454" s="2" t="s">
        <v>15444</v>
      </c>
    </row>
    <row r="2455">
      <c r="A2455" s="2">
        <v>2453.0</v>
      </c>
      <c r="B2455" s="5" t="s">
        <v>3632</v>
      </c>
      <c r="C2455" s="2" t="s">
        <v>3633</v>
      </c>
      <c r="D2455" s="5" t="s">
        <v>3632</v>
      </c>
      <c r="E2455" s="2" t="s">
        <v>15445</v>
      </c>
      <c r="F2455" s="2" t="s">
        <v>15442</v>
      </c>
      <c r="G2455" s="2" t="s">
        <v>15443</v>
      </c>
      <c r="H2455" s="2" t="s">
        <v>15462</v>
      </c>
    </row>
    <row r="2456">
      <c r="A2456" s="2">
        <v>2454.0</v>
      </c>
      <c r="B2456" s="5" t="s">
        <v>3635</v>
      </c>
      <c r="C2456" s="2" t="s">
        <v>3636</v>
      </c>
      <c r="D2456" s="5" t="s">
        <v>3635</v>
      </c>
      <c r="E2456" s="2" t="s">
        <v>15445</v>
      </c>
      <c r="F2456" s="2" t="s">
        <v>15442</v>
      </c>
      <c r="G2456" s="2" t="s">
        <v>15443</v>
      </c>
      <c r="H2456" s="2" t="s">
        <v>15444</v>
      </c>
    </row>
    <row r="2457">
      <c r="A2457" s="2">
        <v>2455.0</v>
      </c>
      <c r="B2457" s="5" t="s">
        <v>11757</v>
      </c>
      <c r="C2457" s="2" t="s">
        <v>11758</v>
      </c>
      <c r="D2457" s="5" t="s">
        <v>11757</v>
      </c>
      <c r="E2457" s="2" t="s">
        <v>15441</v>
      </c>
      <c r="F2457" s="2" t="s">
        <v>15446</v>
      </c>
      <c r="G2457" s="2" t="s">
        <v>15456</v>
      </c>
      <c r="H2457" s="2" t="s">
        <v>15444</v>
      </c>
    </row>
    <row r="2458">
      <c r="A2458" s="2">
        <v>2456.0</v>
      </c>
      <c r="B2458" s="5" t="s">
        <v>3638</v>
      </c>
      <c r="C2458" s="2" t="s">
        <v>3639</v>
      </c>
      <c r="D2458" s="5" t="s">
        <v>3638</v>
      </c>
      <c r="E2458" s="2" t="s">
        <v>15445</v>
      </c>
      <c r="F2458" s="2" t="s">
        <v>15446</v>
      </c>
      <c r="G2458" s="2" t="s">
        <v>15456</v>
      </c>
      <c r="H2458" s="2" t="s">
        <v>15444</v>
      </c>
    </row>
    <row r="2459">
      <c r="A2459" s="2">
        <v>2457.0</v>
      </c>
      <c r="B2459" s="5" t="s">
        <v>11759</v>
      </c>
      <c r="C2459" s="2" t="s">
        <v>11760</v>
      </c>
      <c r="D2459" s="5" t="s">
        <v>11759</v>
      </c>
      <c r="E2459" s="2" t="s">
        <v>15441</v>
      </c>
      <c r="F2459" s="2" t="s">
        <v>15442</v>
      </c>
      <c r="G2459" s="2" t="s">
        <v>15443</v>
      </c>
      <c r="H2459" s="2" t="s">
        <v>15462</v>
      </c>
    </row>
    <row r="2460">
      <c r="A2460" s="2">
        <v>2458.0</v>
      </c>
      <c r="B2460" s="5" t="s">
        <v>11761</v>
      </c>
      <c r="C2460" s="2" t="s">
        <v>11762</v>
      </c>
      <c r="D2460" s="5" t="s">
        <v>11761</v>
      </c>
      <c r="E2460" s="2" t="s">
        <v>15441</v>
      </c>
      <c r="F2460" s="2" t="s">
        <v>15446</v>
      </c>
      <c r="G2460" s="2" t="s">
        <v>15443</v>
      </c>
      <c r="H2460" s="2" t="s">
        <v>15444</v>
      </c>
    </row>
    <row r="2461">
      <c r="A2461" s="2">
        <v>2459.0</v>
      </c>
      <c r="B2461" s="5" t="s">
        <v>3641</v>
      </c>
      <c r="C2461" s="2" t="s">
        <v>3642</v>
      </c>
      <c r="D2461" s="5" t="s">
        <v>3641</v>
      </c>
      <c r="E2461" s="2" t="s">
        <v>15445</v>
      </c>
      <c r="F2461" s="2" t="s">
        <v>15446</v>
      </c>
      <c r="G2461" s="2" t="s">
        <v>15456</v>
      </c>
      <c r="H2461" s="2" t="s">
        <v>15444</v>
      </c>
    </row>
    <row r="2462">
      <c r="A2462" s="2">
        <v>2460.0</v>
      </c>
      <c r="B2462" s="5" t="s">
        <v>3644</v>
      </c>
      <c r="C2462" s="2" t="s">
        <v>3645</v>
      </c>
      <c r="D2462" s="5" t="s">
        <v>3644</v>
      </c>
      <c r="E2462" s="2" t="s">
        <v>15445</v>
      </c>
      <c r="F2462" s="2" t="s">
        <v>15442</v>
      </c>
      <c r="G2462" s="2" t="s">
        <v>15443</v>
      </c>
      <c r="H2462" s="2" t="s">
        <v>15444</v>
      </c>
    </row>
    <row r="2463">
      <c r="A2463" s="2">
        <v>2461.0</v>
      </c>
      <c r="B2463" s="5" t="s">
        <v>3647</v>
      </c>
      <c r="C2463" s="2" t="s">
        <v>3648</v>
      </c>
      <c r="D2463" s="5" t="s">
        <v>3647</v>
      </c>
      <c r="E2463" s="2" t="s">
        <v>15445</v>
      </c>
      <c r="F2463" s="2" t="s">
        <v>15446</v>
      </c>
      <c r="G2463" s="2" t="s">
        <v>15456</v>
      </c>
      <c r="H2463" s="2" t="s">
        <v>15457</v>
      </c>
    </row>
    <row r="2464">
      <c r="A2464" s="2">
        <v>2462.0</v>
      </c>
      <c r="B2464" s="5" t="s">
        <v>3650</v>
      </c>
      <c r="C2464" s="2" t="s">
        <v>3651</v>
      </c>
      <c r="D2464" s="5" t="s">
        <v>3650</v>
      </c>
      <c r="E2464" s="2" t="s">
        <v>15445</v>
      </c>
      <c r="F2464" s="2" t="s">
        <v>15442</v>
      </c>
      <c r="G2464" s="2" t="s">
        <v>15443</v>
      </c>
      <c r="H2464" s="2" t="s">
        <v>15444</v>
      </c>
    </row>
    <row r="2465">
      <c r="A2465" s="2">
        <v>2463.0</v>
      </c>
      <c r="B2465" s="5" t="s">
        <v>3653</v>
      </c>
      <c r="C2465" s="2" t="s">
        <v>3654</v>
      </c>
      <c r="D2465" s="5" t="s">
        <v>3653</v>
      </c>
      <c r="E2465" s="2" t="s">
        <v>15445</v>
      </c>
      <c r="F2465" s="2" t="s">
        <v>15442</v>
      </c>
      <c r="G2465" s="2" t="s">
        <v>15443</v>
      </c>
      <c r="H2465" s="2" t="s">
        <v>15444</v>
      </c>
    </row>
    <row r="2466">
      <c r="A2466" s="2">
        <v>2464.0</v>
      </c>
      <c r="B2466" s="5" t="s">
        <v>3656</v>
      </c>
      <c r="C2466" s="2" t="s">
        <v>3657</v>
      </c>
      <c r="D2466" s="5" t="s">
        <v>3656</v>
      </c>
      <c r="E2466" s="2" t="s">
        <v>15445</v>
      </c>
      <c r="F2466" s="2" t="s">
        <v>15446</v>
      </c>
      <c r="G2466" s="2" t="s">
        <v>15456</v>
      </c>
      <c r="H2466" s="2" t="s">
        <v>15444</v>
      </c>
    </row>
    <row r="2467">
      <c r="A2467" s="2">
        <v>2465.0</v>
      </c>
      <c r="B2467" s="5" t="s">
        <v>3659</v>
      </c>
      <c r="C2467" s="2" t="s">
        <v>3660</v>
      </c>
      <c r="D2467" s="5" t="s">
        <v>3659</v>
      </c>
      <c r="E2467" s="2" t="s">
        <v>15445</v>
      </c>
      <c r="F2467" s="2" t="s">
        <v>15442</v>
      </c>
      <c r="G2467" s="2" t="s">
        <v>15443</v>
      </c>
      <c r="H2467" s="2" t="s">
        <v>15457</v>
      </c>
    </row>
    <row r="2468">
      <c r="A2468" s="2">
        <v>2466.0</v>
      </c>
      <c r="B2468" s="5" t="s">
        <v>3662</v>
      </c>
      <c r="C2468" s="2" t="s">
        <v>3663</v>
      </c>
      <c r="D2468" s="5" t="s">
        <v>3662</v>
      </c>
      <c r="E2468" s="2" t="s">
        <v>15445</v>
      </c>
      <c r="F2468" s="2" t="s">
        <v>15442</v>
      </c>
      <c r="G2468" s="2" t="s">
        <v>15443</v>
      </c>
      <c r="H2468" s="2" t="s">
        <v>15444</v>
      </c>
    </row>
    <row r="2469">
      <c r="A2469" s="2">
        <v>2467.0</v>
      </c>
      <c r="B2469" s="5" t="s">
        <v>3665</v>
      </c>
      <c r="C2469" s="2" t="s">
        <v>3666</v>
      </c>
      <c r="D2469" s="5" t="s">
        <v>3665</v>
      </c>
      <c r="E2469" s="2" t="s">
        <v>15445</v>
      </c>
      <c r="F2469" s="2" t="s">
        <v>15446</v>
      </c>
      <c r="G2469" s="2" t="s">
        <v>15456</v>
      </c>
      <c r="H2469" s="2" t="s">
        <v>15444</v>
      </c>
    </row>
    <row r="2470">
      <c r="A2470" s="2">
        <v>2468.0</v>
      </c>
      <c r="B2470" s="5" t="s">
        <v>3668</v>
      </c>
      <c r="C2470" s="2" t="s">
        <v>3669</v>
      </c>
      <c r="D2470" s="5" t="s">
        <v>3668</v>
      </c>
      <c r="E2470" s="2" t="s">
        <v>15445</v>
      </c>
      <c r="F2470" s="2" t="s">
        <v>15446</v>
      </c>
      <c r="G2470" s="2" t="s">
        <v>15443</v>
      </c>
      <c r="H2470" s="2" t="s">
        <v>15444</v>
      </c>
    </row>
    <row r="2471">
      <c r="A2471" s="2">
        <v>2469.0</v>
      </c>
      <c r="B2471" s="5" t="s">
        <v>3671</v>
      </c>
      <c r="C2471" s="2" t="s">
        <v>3672</v>
      </c>
      <c r="D2471" s="5" t="s">
        <v>3671</v>
      </c>
      <c r="E2471" s="2" t="s">
        <v>15445</v>
      </c>
      <c r="F2471" s="2" t="s">
        <v>15442</v>
      </c>
      <c r="G2471" s="2" t="s">
        <v>15443</v>
      </c>
      <c r="H2471" s="2" t="s">
        <v>15444</v>
      </c>
    </row>
    <row r="2472">
      <c r="A2472" s="2">
        <v>2470.0</v>
      </c>
      <c r="B2472" s="5" t="s">
        <v>11763</v>
      </c>
      <c r="C2472" s="2" t="s">
        <v>11764</v>
      </c>
      <c r="D2472" s="5" t="s">
        <v>11763</v>
      </c>
      <c r="E2472" s="2" t="s">
        <v>15441</v>
      </c>
      <c r="F2472" s="2" t="s">
        <v>15446</v>
      </c>
      <c r="G2472" s="2" t="s">
        <v>15456</v>
      </c>
      <c r="H2472" s="2" t="s">
        <v>15444</v>
      </c>
    </row>
    <row r="2473">
      <c r="A2473" s="2">
        <v>2471.0</v>
      </c>
      <c r="B2473" s="5" t="s">
        <v>11765</v>
      </c>
      <c r="C2473" s="2" t="s">
        <v>11766</v>
      </c>
      <c r="D2473" s="5" t="s">
        <v>11765</v>
      </c>
      <c r="E2473" s="2" t="s">
        <v>15441</v>
      </c>
      <c r="F2473" s="2" t="s">
        <v>15446</v>
      </c>
      <c r="G2473" s="2" t="s">
        <v>15456</v>
      </c>
      <c r="H2473" s="2" t="s">
        <v>15455</v>
      </c>
    </row>
    <row r="2474">
      <c r="A2474" s="2">
        <v>2472.0</v>
      </c>
      <c r="B2474" s="5" t="s">
        <v>11767</v>
      </c>
      <c r="C2474" s="2" t="s">
        <v>11768</v>
      </c>
      <c r="D2474" s="5" t="s">
        <v>11767</v>
      </c>
      <c r="E2474" s="2" t="s">
        <v>15441</v>
      </c>
      <c r="F2474" s="2" t="s">
        <v>15446</v>
      </c>
      <c r="G2474" s="2" t="s">
        <v>15443</v>
      </c>
      <c r="H2474" s="2" t="s">
        <v>15444</v>
      </c>
    </row>
    <row r="2475">
      <c r="A2475" s="2">
        <v>2473.0</v>
      </c>
      <c r="B2475" s="5" t="s">
        <v>3674</v>
      </c>
      <c r="C2475" s="2" t="s">
        <v>3675</v>
      </c>
      <c r="D2475" s="5" t="s">
        <v>3674</v>
      </c>
      <c r="E2475" s="2" t="s">
        <v>15445</v>
      </c>
      <c r="F2475" s="2" t="s">
        <v>15446</v>
      </c>
      <c r="G2475" s="2" t="s">
        <v>15443</v>
      </c>
      <c r="H2475" s="2" t="s">
        <v>15457</v>
      </c>
    </row>
    <row r="2476">
      <c r="A2476" s="2">
        <v>2474.0</v>
      </c>
      <c r="B2476" s="5" t="s">
        <v>3677</v>
      </c>
      <c r="C2476" s="2" t="s">
        <v>3678</v>
      </c>
      <c r="D2476" s="5" t="s">
        <v>3677</v>
      </c>
      <c r="E2476" s="2" t="s">
        <v>15445</v>
      </c>
      <c r="F2476" s="2" t="s">
        <v>15446</v>
      </c>
      <c r="G2476" s="2" t="s">
        <v>15443</v>
      </c>
      <c r="H2476" s="2" t="s">
        <v>15444</v>
      </c>
    </row>
    <row r="2477">
      <c r="A2477" s="2">
        <v>2475.0</v>
      </c>
      <c r="B2477" s="5" t="s">
        <v>11769</v>
      </c>
      <c r="C2477" s="2" t="s">
        <v>11770</v>
      </c>
      <c r="D2477" s="5" t="s">
        <v>11769</v>
      </c>
      <c r="E2477" s="2" t="s">
        <v>15441</v>
      </c>
      <c r="F2477" s="2" t="s">
        <v>15446</v>
      </c>
      <c r="G2477" s="2" t="s">
        <v>15456</v>
      </c>
      <c r="H2477" s="2" t="s">
        <v>15444</v>
      </c>
    </row>
    <row r="2478">
      <c r="A2478" s="2">
        <v>2476.0</v>
      </c>
      <c r="B2478" s="5" t="s">
        <v>3680</v>
      </c>
      <c r="C2478" s="2" t="s">
        <v>3681</v>
      </c>
      <c r="D2478" s="5" t="s">
        <v>3680</v>
      </c>
      <c r="E2478" s="2" t="s">
        <v>15445</v>
      </c>
      <c r="F2478" s="2" t="s">
        <v>15446</v>
      </c>
      <c r="G2478" s="2" t="s">
        <v>15443</v>
      </c>
      <c r="H2478" s="2" t="s">
        <v>15444</v>
      </c>
    </row>
    <row r="2479">
      <c r="A2479" s="2">
        <v>2477.0</v>
      </c>
      <c r="B2479" s="5" t="s">
        <v>3683</v>
      </c>
      <c r="C2479" s="2" t="s">
        <v>3684</v>
      </c>
      <c r="D2479" s="5" t="s">
        <v>3683</v>
      </c>
      <c r="E2479" s="2" t="s">
        <v>15445</v>
      </c>
      <c r="F2479" s="2" t="s">
        <v>15446</v>
      </c>
      <c r="G2479" s="2" t="s">
        <v>15456</v>
      </c>
      <c r="H2479" s="2" t="s">
        <v>15444</v>
      </c>
    </row>
    <row r="2480">
      <c r="A2480" s="2">
        <v>2478.0</v>
      </c>
      <c r="B2480" s="5" t="s">
        <v>11771</v>
      </c>
      <c r="C2480" s="2" t="s">
        <v>11772</v>
      </c>
      <c r="D2480" s="5" t="s">
        <v>11771</v>
      </c>
      <c r="E2480" s="2" t="s">
        <v>15441</v>
      </c>
      <c r="F2480" s="2" t="s">
        <v>15442</v>
      </c>
      <c r="G2480" s="2" t="s">
        <v>15443</v>
      </c>
      <c r="H2480" s="2" t="s">
        <v>15444</v>
      </c>
    </row>
    <row r="2481">
      <c r="A2481" s="2">
        <v>2479.0</v>
      </c>
      <c r="B2481" s="5" t="s">
        <v>11773</v>
      </c>
      <c r="C2481" s="2" t="s">
        <v>11774</v>
      </c>
      <c r="D2481" s="5" t="s">
        <v>11773</v>
      </c>
      <c r="E2481" s="2" t="s">
        <v>15441</v>
      </c>
      <c r="F2481" s="2" t="s">
        <v>15442</v>
      </c>
      <c r="G2481" s="2" t="s">
        <v>15443</v>
      </c>
      <c r="H2481" s="2" t="s">
        <v>15444</v>
      </c>
    </row>
    <row r="2482">
      <c r="A2482" s="2">
        <v>2480.0</v>
      </c>
      <c r="B2482" s="5" t="s">
        <v>11775</v>
      </c>
      <c r="C2482" s="2" t="s">
        <v>11776</v>
      </c>
      <c r="D2482" s="5" t="s">
        <v>11775</v>
      </c>
      <c r="E2482" s="2" t="s">
        <v>15441</v>
      </c>
      <c r="F2482" s="2" t="s">
        <v>15446</v>
      </c>
      <c r="G2482" s="2" t="s">
        <v>15456</v>
      </c>
      <c r="H2482" s="2" t="s">
        <v>15444</v>
      </c>
    </row>
    <row r="2483">
      <c r="A2483" s="2">
        <v>2481.0</v>
      </c>
      <c r="B2483" s="5" t="s">
        <v>11777</v>
      </c>
      <c r="C2483" s="2" t="s">
        <v>11778</v>
      </c>
      <c r="D2483" s="5" t="s">
        <v>11777</v>
      </c>
      <c r="E2483" s="2" t="s">
        <v>15441</v>
      </c>
      <c r="F2483" s="2" t="s">
        <v>15446</v>
      </c>
      <c r="G2483" s="2" t="s">
        <v>15456</v>
      </c>
      <c r="H2483" s="2" t="s">
        <v>15444</v>
      </c>
    </row>
    <row r="2484">
      <c r="A2484" s="2">
        <v>2482.0</v>
      </c>
      <c r="B2484" s="5" t="s">
        <v>11779</v>
      </c>
      <c r="C2484" s="2" t="s">
        <v>11780</v>
      </c>
      <c r="D2484" s="5" t="s">
        <v>11779</v>
      </c>
      <c r="E2484" s="2" t="s">
        <v>15441</v>
      </c>
      <c r="F2484" s="2" t="s">
        <v>15446</v>
      </c>
      <c r="G2484" s="2" t="s">
        <v>15456</v>
      </c>
      <c r="H2484" s="2" t="s">
        <v>15457</v>
      </c>
    </row>
    <row r="2485">
      <c r="A2485" s="2">
        <v>2483.0</v>
      </c>
      <c r="B2485" s="5" t="s">
        <v>11781</v>
      </c>
      <c r="C2485" s="2" t="s">
        <v>11782</v>
      </c>
      <c r="D2485" s="5" t="s">
        <v>11781</v>
      </c>
      <c r="E2485" s="2" t="s">
        <v>15441</v>
      </c>
      <c r="F2485" s="2" t="s">
        <v>15442</v>
      </c>
      <c r="G2485" s="2" t="s">
        <v>15456</v>
      </c>
      <c r="H2485" s="2" t="s">
        <v>15444</v>
      </c>
    </row>
    <row r="2486">
      <c r="A2486" s="2">
        <v>2484.0</v>
      </c>
      <c r="B2486" s="5" t="s">
        <v>11783</v>
      </c>
      <c r="C2486" s="2" t="s">
        <v>11784</v>
      </c>
      <c r="D2486" s="5" t="s">
        <v>11783</v>
      </c>
      <c r="E2486" s="2" t="s">
        <v>15441</v>
      </c>
      <c r="F2486" s="2" t="s">
        <v>15446</v>
      </c>
      <c r="G2486" s="2" t="s">
        <v>15443</v>
      </c>
      <c r="H2486" s="2" t="s">
        <v>15444</v>
      </c>
    </row>
    <row r="2487">
      <c r="A2487" s="2">
        <v>2485.0</v>
      </c>
      <c r="B2487" s="5" t="s">
        <v>11785</v>
      </c>
      <c r="C2487" s="2" t="s">
        <v>11786</v>
      </c>
      <c r="D2487" s="5" t="s">
        <v>11785</v>
      </c>
      <c r="E2487" s="2" t="s">
        <v>15441</v>
      </c>
      <c r="F2487" s="2" t="s">
        <v>15446</v>
      </c>
      <c r="G2487" s="2" t="s">
        <v>15456</v>
      </c>
      <c r="H2487" s="2" t="s">
        <v>15457</v>
      </c>
    </row>
    <row r="2488">
      <c r="A2488" s="2">
        <v>2486.0</v>
      </c>
      <c r="B2488" s="5" t="s">
        <v>11787</v>
      </c>
      <c r="C2488" s="2" t="s">
        <v>11788</v>
      </c>
      <c r="D2488" s="5" t="s">
        <v>11787</v>
      </c>
      <c r="E2488" s="2" t="s">
        <v>15441</v>
      </c>
      <c r="F2488" s="2" t="s">
        <v>15442</v>
      </c>
      <c r="G2488" s="2" t="s">
        <v>15456</v>
      </c>
      <c r="H2488" s="2" t="s">
        <v>15444</v>
      </c>
    </row>
    <row r="2489">
      <c r="A2489" s="2">
        <v>2487.0</v>
      </c>
      <c r="B2489" s="5" t="s">
        <v>3686</v>
      </c>
      <c r="C2489" s="2" t="s">
        <v>3687</v>
      </c>
      <c r="D2489" s="5" t="s">
        <v>3686</v>
      </c>
      <c r="E2489" s="2" t="s">
        <v>15445</v>
      </c>
      <c r="F2489" s="2" t="s">
        <v>15446</v>
      </c>
      <c r="G2489" s="2" t="s">
        <v>15456</v>
      </c>
      <c r="H2489" s="2" t="s">
        <v>15444</v>
      </c>
    </row>
    <row r="2490">
      <c r="A2490" s="2">
        <v>2488.0</v>
      </c>
      <c r="B2490" s="5" t="s">
        <v>3689</v>
      </c>
      <c r="C2490" s="2" t="s">
        <v>3690</v>
      </c>
      <c r="D2490" s="5" t="s">
        <v>3689</v>
      </c>
      <c r="E2490" s="2" t="s">
        <v>15445</v>
      </c>
      <c r="F2490" s="2" t="s">
        <v>15446</v>
      </c>
      <c r="G2490" s="2" t="s">
        <v>15456</v>
      </c>
      <c r="H2490" s="2" t="s">
        <v>15457</v>
      </c>
    </row>
    <row r="2491">
      <c r="A2491" s="2">
        <v>2489.0</v>
      </c>
      <c r="B2491" s="5" t="s">
        <v>11789</v>
      </c>
      <c r="C2491" s="2" t="s">
        <v>11790</v>
      </c>
      <c r="D2491" s="5" t="s">
        <v>11789</v>
      </c>
      <c r="E2491" s="2" t="s">
        <v>15441</v>
      </c>
      <c r="F2491" s="2" t="s">
        <v>15442</v>
      </c>
      <c r="G2491" s="2" t="s">
        <v>15443</v>
      </c>
      <c r="H2491" s="2" t="s">
        <v>15444</v>
      </c>
    </row>
    <row r="2492">
      <c r="A2492" s="2">
        <v>2490.0</v>
      </c>
      <c r="B2492" s="5" t="s">
        <v>11791</v>
      </c>
      <c r="C2492" s="2" t="s">
        <v>11792</v>
      </c>
      <c r="D2492" s="5" t="s">
        <v>11791</v>
      </c>
      <c r="E2492" s="2" t="s">
        <v>15441</v>
      </c>
      <c r="F2492" s="2" t="s">
        <v>15446</v>
      </c>
      <c r="G2492" s="2" t="s">
        <v>15443</v>
      </c>
      <c r="H2492" s="2" t="s">
        <v>15444</v>
      </c>
    </row>
    <row r="2493">
      <c r="A2493" s="2">
        <v>2491.0</v>
      </c>
      <c r="B2493" s="5" t="s">
        <v>3692</v>
      </c>
      <c r="C2493" s="2" t="s">
        <v>3693</v>
      </c>
      <c r="D2493" s="5" t="s">
        <v>3692</v>
      </c>
      <c r="E2493" s="2" t="s">
        <v>15445</v>
      </c>
      <c r="F2493" s="2" t="s">
        <v>15442</v>
      </c>
      <c r="G2493" s="2" t="s">
        <v>15443</v>
      </c>
      <c r="H2493" s="2" t="s">
        <v>15444</v>
      </c>
    </row>
    <row r="2494">
      <c r="A2494" s="2">
        <v>2492.0</v>
      </c>
      <c r="B2494" s="5" t="s">
        <v>11793</v>
      </c>
      <c r="C2494" s="2" t="s">
        <v>11794</v>
      </c>
      <c r="D2494" s="5" t="s">
        <v>11793</v>
      </c>
      <c r="E2494" s="2" t="s">
        <v>15441</v>
      </c>
      <c r="F2494" s="2" t="s">
        <v>15446</v>
      </c>
      <c r="G2494" s="2" t="s">
        <v>15443</v>
      </c>
      <c r="H2494" s="2" t="s">
        <v>15444</v>
      </c>
    </row>
    <row r="2495">
      <c r="A2495" s="2">
        <v>2493.0</v>
      </c>
      <c r="B2495" s="5" t="s">
        <v>11795</v>
      </c>
      <c r="C2495" s="2" t="s">
        <v>11796</v>
      </c>
      <c r="D2495" s="5" t="s">
        <v>11795</v>
      </c>
      <c r="E2495" s="2" t="s">
        <v>15441</v>
      </c>
      <c r="F2495" s="2" t="s">
        <v>15442</v>
      </c>
      <c r="G2495" s="2" t="s">
        <v>15443</v>
      </c>
      <c r="H2495" s="2" t="s">
        <v>15444</v>
      </c>
    </row>
    <row r="2496">
      <c r="A2496" s="2">
        <v>2494.0</v>
      </c>
      <c r="B2496" s="5" t="s">
        <v>3695</v>
      </c>
      <c r="C2496" s="2" t="s">
        <v>3696</v>
      </c>
      <c r="D2496" s="5" t="s">
        <v>3695</v>
      </c>
      <c r="E2496" s="2" t="s">
        <v>15445</v>
      </c>
      <c r="F2496" s="2" t="s">
        <v>15442</v>
      </c>
      <c r="G2496" s="2" t="s">
        <v>15443</v>
      </c>
      <c r="H2496" s="2" t="s">
        <v>15444</v>
      </c>
    </row>
    <row r="2497">
      <c r="A2497" s="2">
        <v>2495.0</v>
      </c>
      <c r="B2497" s="5" t="s">
        <v>11797</v>
      </c>
      <c r="C2497" s="2" t="s">
        <v>11798</v>
      </c>
      <c r="D2497" s="5" t="s">
        <v>11797</v>
      </c>
      <c r="E2497" s="2" t="s">
        <v>15441</v>
      </c>
      <c r="F2497" s="2" t="s">
        <v>15442</v>
      </c>
      <c r="G2497" s="2" t="s">
        <v>15443</v>
      </c>
      <c r="H2497" s="2" t="s">
        <v>15444</v>
      </c>
    </row>
    <row r="2498">
      <c r="A2498" s="2">
        <v>2496.0</v>
      </c>
      <c r="B2498" s="5" t="s">
        <v>3698</v>
      </c>
      <c r="C2498" s="2" t="s">
        <v>3699</v>
      </c>
      <c r="D2498" s="5" t="s">
        <v>3698</v>
      </c>
      <c r="E2498" s="2" t="s">
        <v>15445</v>
      </c>
      <c r="F2498" s="2" t="s">
        <v>15442</v>
      </c>
      <c r="G2498" s="2" t="s">
        <v>15456</v>
      </c>
      <c r="H2498" s="2" t="s">
        <v>15444</v>
      </c>
    </row>
    <row r="2499">
      <c r="A2499" s="2">
        <v>2497.0</v>
      </c>
      <c r="B2499" s="5" t="s">
        <v>11799</v>
      </c>
      <c r="C2499" s="2" t="s">
        <v>11800</v>
      </c>
      <c r="D2499" s="5" t="s">
        <v>11799</v>
      </c>
      <c r="E2499" s="2" t="s">
        <v>15441</v>
      </c>
      <c r="F2499" s="2" t="s">
        <v>15442</v>
      </c>
      <c r="G2499" s="2" t="s">
        <v>15456</v>
      </c>
      <c r="H2499" s="2" t="s">
        <v>15444</v>
      </c>
    </row>
    <row r="2500">
      <c r="A2500" s="2">
        <v>2498.0</v>
      </c>
      <c r="B2500" s="5" t="s">
        <v>11801</v>
      </c>
      <c r="C2500" s="2" t="s">
        <v>11802</v>
      </c>
      <c r="D2500" s="5" t="s">
        <v>11801</v>
      </c>
      <c r="E2500" s="2" t="s">
        <v>15441</v>
      </c>
      <c r="F2500" s="2" t="s">
        <v>15442</v>
      </c>
      <c r="G2500" s="2" t="s">
        <v>15443</v>
      </c>
      <c r="H2500" s="2" t="s">
        <v>15444</v>
      </c>
    </row>
    <row r="2501">
      <c r="A2501" s="2">
        <v>2499.0</v>
      </c>
      <c r="B2501" s="5" t="s">
        <v>11803</v>
      </c>
      <c r="C2501" s="2" t="s">
        <v>11804</v>
      </c>
      <c r="D2501" s="5" t="s">
        <v>11803</v>
      </c>
      <c r="E2501" s="2" t="s">
        <v>15441</v>
      </c>
      <c r="F2501" s="2" t="s">
        <v>15442</v>
      </c>
      <c r="G2501" s="2" t="s">
        <v>15443</v>
      </c>
      <c r="H2501" s="2" t="s">
        <v>15444</v>
      </c>
    </row>
    <row r="2502">
      <c r="A2502" s="2">
        <v>2500.0</v>
      </c>
      <c r="B2502" s="5" t="s">
        <v>3701</v>
      </c>
      <c r="C2502" s="2" t="s">
        <v>3702</v>
      </c>
      <c r="D2502" s="5" t="s">
        <v>3701</v>
      </c>
      <c r="E2502" s="2" t="s">
        <v>15445</v>
      </c>
      <c r="F2502" s="2" t="s">
        <v>15446</v>
      </c>
      <c r="G2502" s="2" t="s">
        <v>15456</v>
      </c>
      <c r="H2502" s="2" t="s">
        <v>15444</v>
      </c>
    </row>
    <row r="2503">
      <c r="A2503" s="2">
        <v>2501.0</v>
      </c>
      <c r="B2503" s="5" t="s">
        <v>3704</v>
      </c>
      <c r="C2503" s="2" t="s">
        <v>3705</v>
      </c>
      <c r="D2503" s="5" t="s">
        <v>3704</v>
      </c>
      <c r="E2503" s="2" t="s">
        <v>15445</v>
      </c>
      <c r="F2503" s="2" t="s">
        <v>15442</v>
      </c>
      <c r="G2503" s="2" t="s">
        <v>15443</v>
      </c>
      <c r="H2503" s="2" t="s">
        <v>15444</v>
      </c>
    </row>
    <row r="2504">
      <c r="A2504" s="2">
        <v>2502.0</v>
      </c>
      <c r="B2504" s="5" t="s">
        <v>11805</v>
      </c>
      <c r="C2504" s="2" t="s">
        <v>11806</v>
      </c>
      <c r="D2504" s="5" t="s">
        <v>11805</v>
      </c>
      <c r="E2504" s="2" t="s">
        <v>15441</v>
      </c>
      <c r="F2504" s="2" t="s">
        <v>15446</v>
      </c>
      <c r="G2504" s="2" t="s">
        <v>15456</v>
      </c>
      <c r="H2504" s="2" t="s">
        <v>15444</v>
      </c>
    </row>
    <row r="2505">
      <c r="A2505" s="2">
        <v>2503.0</v>
      </c>
      <c r="B2505" s="5" t="s">
        <v>11807</v>
      </c>
      <c r="C2505" s="2" t="s">
        <v>11808</v>
      </c>
      <c r="D2505" s="5" t="s">
        <v>11807</v>
      </c>
      <c r="E2505" s="2" t="s">
        <v>15441</v>
      </c>
      <c r="F2505" s="2" t="s">
        <v>15446</v>
      </c>
      <c r="G2505" s="2" t="s">
        <v>15443</v>
      </c>
      <c r="H2505" s="2" t="s">
        <v>15444</v>
      </c>
    </row>
    <row r="2506">
      <c r="A2506" s="2">
        <v>2504.0</v>
      </c>
      <c r="B2506" s="5" t="s">
        <v>11809</v>
      </c>
      <c r="C2506" s="2" t="s">
        <v>11810</v>
      </c>
      <c r="D2506" s="5" t="s">
        <v>11809</v>
      </c>
      <c r="E2506" s="2" t="s">
        <v>15441</v>
      </c>
      <c r="F2506" s="2" t="s">
        <v>15446</v>
      </c>
      <c r="G2506" s="2" t="s">
        <v>15456</v>
      </c>
      <c r="H2506" s="2" t="s">
        <v>15444</v>
      </c>
    </row>
    <row r="2507">
      <c r="A2507" s="2">
        <v>2505.0</v>
      </c>
      <c r="B2507" s="5" t="s">
        <v>11811</v>
      </c>
      <c r="C2507" s="2" t="s">
        <v>11812</v>
      </c>
      <c r="D2507" s="5" t="s">
        <v>11811</v>
      </c>
      <c r="E2507" s="2" t="s">
        <v>15441</v>
      </c>
      <c r="F2507" s="2" t="s">
        <v>15442</v>
      </c>
      <c r="G2507" s="2" t="s">
        <v>15443</v>
      </c>
      <c r="H2507" s="2" t="s">
        <v>15444</v>
      </c>
    </row>
    <row r="2508">
      <c r="A2508" s="2">
        <v>2506.0</v>
      </c>
      <c r="B2508" s="5" t="s">
        <v>3707</v>
      </c>
      <c r="C2508" s="2" t="s">
        <v>3708</v>
      </c>
      <c r="D2508" s="5" t="s">
        <v>3707</v>
      </c>
      <c r="E2508" s="2" t="s">
        <v>15445</v>
      </c>
      <c r="F2508" s="2" t="s">
        <v>15446</v>
      </c>
      <c r="G2508" s="2" t="s">
        <v>15456</v>
      </c>
      <c r="H2508" s="2" t="s">
        <v>15444</v>
      </c>
    </row>
    <row r="2509">
      <c r="A2509" s="2">
        <v>2507.0</v>
      </c>
      <c r="B2509" s="5" t="s">
        <v>15514</v>
      </c>
      <c r="C2509" s="2" t="s">
        <v>15515</v>
      </c>
      <c r="D2509" s="5" t="s">
        <v>15514</v>
      </c>
      <c r="E2509" s="2" t="s">
        <v>15441</v>
      </c>
      <c r="F2509" s="2" t="s">
        <v>15446</v>
      </c>
      <c r="G2509" s="2" t="s">
        <v>15456</v>
      </c>
      <c r="H2509" s="2" t="s">
        <v>15486</v>
      </c>
    </row>
    <row r="2510">
      <c r="A2510" s="2">
        <v>2508.0</v>
      </c>
      <c r="B2510" s="5" t="s">
        <v>3710</v>
      </c>
      <c r="C2510" s="2" t="s">
        <v>3711</v>
      </c>
      <c r="D2510" s="5" t="s">
        <v>3710</v>
      </c>
      <c r="E2510" s="2" t="s">
        <v>15445</v>
      </c>
      <c r="F2510" s="2" t="s">
        <v>15446</v>
      </c>
      <c r="G2510" s="2" t="s">
        <v>15443</v>
      </c>
      <c r="H2510" s="2" t="s">
        <v>15444</v>
      </c>
    </row>
    <row r="2511">
      <c r="A2511" s="2">
        <v>2509.0</v>
      </c>
      <c r="B2511" s="5" t="s">
        <v>11813</v>
      </c>
      <c r="C2511" s="2" t="s">
        <v>11814</v>
      </c>
      <c r="D2511" s="5" t="s">
        <v>11813</v>
      </c>
      <c r="E2511" s="2" t="s">
        <v>15441</v>
      </c>
      <c r="F2511" s="2" t="s">
        <v>15442</v>
      </c>
      <c r="G2511" s="2" t="s">
        <v>15443</v>
      </c>
      <c r="H2511" s="2" t="s">
        <v>15444</v>
      </c>
    </row>
    <row r="2512">
      <c r="A2512" s="2">
        <v>2510.0</v>
      </c>
      <c r="B2512" s="5" t="s">
        <v>11815</v>
      </c>
      <c r="C2512" s="2" t="s">
        <v>11816</v>
      </c>
      <c r="D2512" s="5" t="s">
        <v>11815</v>
      </c>
      <c r="E2512" s="2" t="s">
        <v>15441</v>
      </c>
      <c r="F2512" s="2" t="s">
        <v>15446</v>
      </c>
      <c r="G2512" s="2" t="s">
        <v>15456</v>
      </c>
      <c r="H2512" s="2" t="s">
        <v>15444</v>
      </c>
    </row>
    <row r="2513">
      <c r="A2513" s="2">
        <v>2511.0</v>
      </c>
      <c r="B2513" s="5" t="s">
        <v>11817</v>
      </c>
      <c r="C2513" s="2" t="s">
        <v>11818</v>
      </c>
      <c r="D2513" s="5" t="s">
        <v>11817</v>
      </c>
      <c r="E2513" s="2" t="s">
        <v>15441</v>
      </c>
      <c r="F2513" s="2" t="s">
        <v>15446</v>
      </c>
      <c r="G2513" s="2" t="s">
        <v>15443</v>
      </c>
      <c r="H2513" s="2" t="s">
        <v>15455</v>
      </c>
    </row>
    <row r="2514">
      <c r="A2514" s="2">
        <v>2512.0</v>
      </c>
      <c r="B2514" s="5" t="s">
        <v>11819</v>
      </c>
      <c r="C2514" s="2" t="s">
        <v>11820</v>
      </c>
      <c r="D2514" s="5" t="s">
        <v>11819</v>
      </c>
      <c r="E2514" s="2" t="s">
        <v>15441</v>
      </c>
      <c r="F2514" s="2" t="s">
        <v>15446</v>
      </c>
      <c r="G2514" s="2" t="s">
        <v>15456</v>
      </c>
      <c r="H2514" s="2" t="s">
        <v>15444</v>
      </c>
    </row>
    <row r="2515">
      <c r="A2515" s="2">
        <v>2513.0</v>
      </c>
      <c r="B2515" s="5" t="s">
        <v>3713</v>
      </c>
      <c r="C2515" s="2" t="s">
        <v>3714</v>
      </c>
      <c r="D2515" s="5" t="s">
        <v>3713</v>
      </c>
      <c r="E2515" s="2" t="s">
        <v>15445</v>
      </c>
      <c r="F2515" s="2" t="s">
        <v>15442</v>
      </c>
      <c r="G2515" s="2" t="s">
        <v>15443</v>
      </c>
      <c r="H2515" s="2" t="s">
        <v>15444</v>
      </c>
    </row>
    <row r="2516">
      <c r="A2516" s="2">
        <v>2514.0</v>
      </c>
      <c r="B2516" s="5" t="s">
        <v>11821</v>
      </c>
      <c r="C2516" s="2" t="s">
        <v>11822</v>
      </c>
      <c r="D2516" s="5" t="s">
        <v>11821</v>
      </c>
      <c r="E2516" s="2" t="s">
        <v>15441</v>
      </c>
      <c r="F2516" s="2" t="s">
        <v>15442</v>
      </c>
      <c r="G2516" s="2" t="s">
        <v>15443</v>
      </c>
      <c r="H2516" s="2" t="s">
        <v>15455</v>
      </c>
    </row>
    <row r="2517">
      <c r="A2517" s="2">
        <v>2515.0</v>
      </c>
      <c r="B2517" s="5" t="s">
        <v>11823</v>
      </c>
      <c r="C2517" s="2" t="s">
        <v>11824</v>
      </c>
      <c r="D2517" s="5" t="s">
        <v>11823</v>
      </c>
      <c r="E2517" s="2" t="s">
        <v>15441</v>
      </c>
      <c r="F2517" s="2" t="s">
        <v>15446</v>
      </c>
      <c r="G2517" s="2" t="s">
        <v>15456</v>
      </c>
      <c r="H2517" s="2" t="s">
        <v>15455</v>
      </c>
    </row>
    <row r="2518">
      <c r="A2518" s="2">
        <v>2516.0</v>
      </c>
      <c r="B2518" s="5" t="s">
        <v>3716</v>
      </c>
      <c r="C2518" s="2" t="s">
        <v>3717</v>
      </c>
      <c r="D2518" s="5" t="s">
        <v>3716</v>
      </c>
      <c r="E2518" s="2" t="s">
        <v>15445</v>
      </c>
      <c r="F2518" s="2" t="s">
        <v>15442</v>
      </c>
      <c r="G2518" s="2" t="s">
        <v>15456</v>
      </c>
      <c r="H2518" s="2" t="s">
        <v>15457</v>
      </c>
    </row>
    <row r="2519">
      <c r="A2519" s="2">
        <v>2517.0</v>
      </c>
      <c r="B2519" s="5" t="s">
        <v>11825</v>
      </c>
      <c r="C2519" s="2" t="s">
        <v>11826</v>
      </c>
      <c r="D2519" s="5" t="s">
        <v>11825</v>
      </c>
      <c r="E2519" s="2" t="s">
        <v>15441</v>
      </c>
      <c r="F2519" s="2" t="s">
        <v>15446</v>
      </c>
      <c r="G2519" s="2" t="s">
        <v>15456</v>
      </c>
      <c r="H2519" s="2" t="s">
        <v>15444</v>
      </c>
    </row>
    <row r="2520">
      <c r="A2520" s="2">
        <v>2518.0</v>
      </c>
      <c r="B2520" s="5" t="s">
        <v>11827</v>
      </c>
      <c r="C2520" s="2" t="s">
        <v>11828</v>
      </c>
      <c r="D2520" s="5" t="s">
        <v>11827</v>
      </c>
      <c r="E2520" s="2" t="s">
        <v>15441</v>
      </c>
      <c r="F2520" s="2" t="s">
        <v>15442</v>
      </c>
      <c r="G2520" s="2" t="s">
        <v>15443</v>
      </c>
      <c r="H2520" s="2" t="s">
        <v>15444</v>
      </c>
    </row>
    <row r="2521">
      <c r="A2521" s="2">
        <v>2519.0</v>
      </c>
      <c r="B2521" s="5" t="s">
        <v>11829</v>
      </c>
      <c r="C2521" s="2" t="s">
        <v>11830</v>
      </c>
      <c r="D2521" s="5" t="s">
        <v>11829</v>
      </c>
      <c r="E2521" s="2" t="s">
        <v>15441</v>
      </c>
      <c r="F2521" s="2" t="s">
        <v>15442</v>
      </c>
      <c r="G2521" s="2" t="s">
        <v>15443</v>
      </c>
      <c r="H2521" s="2" t="s">
        <v>15444</v>
      </c>
    </row>
    <row r="2522">
      <c r="A2522" s="2">
        <v>2520.0</v>
      </c>
      <c r="B2522" s="5" t="s">
        <v>11831</v>
      </c>
      <c r="C2522" s="2" t="s">
        <v>11832</v>
      </c>
      <c r="D2522" s="5" t="s">
        <v>11831</v>
      </c>
      <c r="E2522" s="2" t="s">
        <v>15441</v>
      </c>
      <c r="F2522" s="2" t="s">
        <v>15442</v>
      </c>
      <c r="G2522" s="2" t="s">
        <v>15443</v>
      </c>
      <c r="H2522" s="2" t="s">
        <v>15444</v>
      </c>
    </row>
    <row r="2523">
      <c r="A2523" s="2">
        <v>2521.0</v>
      </c>
      <c r="B2523" s="5" t="s">
        <v>11833</v>
      </c>
      <c r="C2523" s="2" t="s">
        <v>11834</v>
      </c>
      <c r="D2523" s="5" t="s">
        <v>11833</v>
      </c>
      <c r="E2523" s="2" t="s">
        <v>15441</v>
      </c>
      <c r="F2523" s="2" t="s">
        <v>15442</v>
      </c>
      <c r="G2523" s="2" t="s">
        <v>15443</v>
      </c>
      <c r="H2523" s="2" t="s">
        <v>15444</v>
      </c>
    </row>
    <row r="2524">
      <c r="A2524" s="2">
        <v>2522.0</v>
      </c>
      <c r="B2524" s="5" t="s">
        <v>11835</v>
      </c>
      <c r="C2524" s="2" t="s">
        <v>11836</v>
      </c>
      <c r="D2524" s="5" t="s">
        <v>11835</v>
      </c>
      <c r="E2524" s="2" t="s">
        <v>15441</v>
      </c>
      <c r="F2524" s="2" t="s">
        <v>15446</v>
      </c>
      <c r="G2524" s="2" t="s">
        <v>15456</v>
      </c>
      <c r="H2524" s="2" t="s">
        <v>15444</v>
      </c>
    </row>
    <row r="2525">
      <c r="A2525" s="2">
        <v>2523.0</v>
      </c>
      <c r="B2525" s="5" t="s">
        <v>11837</v>
      </c>
      <c r="C2525" s="2" t="s">
        <v>11838</v>
      </c>
      <c r="D2525" s="5" t="s">
        <v>11837</v>
      </c>
      <c r="E2525" s="2" t="s">
        <v>15441</v>
      </c>
      <c r="F2525" s="2" t="s">
        <v>15446</v>
      </c>
      <c r="G2525" s="2" t="s">
        <v>15456</v>
      </c>
      <c r="H2525" s="2" t="s">
        <v>15457</v>
      </c>
    </row>
    <row r="2526">
      <c r="A2526" s="2">
        <v>2524.0</v>
      </c>
      <c r="B2526" s="5" t="s">
        <v>3719</v>
      </c>
      <c r="C2526" s="2" t="s">
        <v>3720</v>
      </c>
      <c r="D2526" s="5" t="s">
        <v>3719</v>
      </c>
      <c r="E2526" s="2" t="s">
        <v>15445</v>
      </c>
      <c r="F2526" s="2" t="s">
        <v>15442</v>
      </c>
      <c r="G2526" s="2" t="s">
        <v>15443</v>
      </c>
      <c r="H2526" s="2" t="s">
        <v>15444</v>
      </c>
    </row>
    <row r="2527">
      <c r="A2527" s="2">
        <v>2525.0</v>
      </c>
      <c r="B2527" s="5" t="s">
        <v>3722</v>
      </c>
      <c r="C2527" s="2" t="s">
        <v>3723</v>
      </c>
      <c r="D2527" s="5" t="s">
        <v>3722</v>
      </c>
      <c r="E2527" s="2" t="s">
        <v>15445</v>
      </c>
      <c r="F2527" s="2" t="s">
        <v>15442</v>
      </c>
      <c r="G2527" s="2" t="s">
        <v>15443</v>
      </c>
      <c r="H2527" s="2" t="s">
        <v>15444</v>
      </c>
    </row>
    <row r="2528">
      <c r="A2528" s="2">
        <v>2526.0</v>
      </c>
      <c r="B2528" s="5" t="s">
        <v>3725</v>
      </c>
      <c r="C2528" s="2" t="s">
        <v>3726</v>
      </c>
      <c r="D2528" s="5" t="s">
        <v>3725</v>
      </c>
      <c r="E2528" s="2" t="s">
        <v>15445</v>
      </c>
      <c r="F2528" s="2" t="s">
        <v>15446</v>
      </c>
      <c r="G2528" s="2" t="s">
        <v>15456</v>
      </c>
      <c r="H2528" s="2" t="s">
        <v>15444</v>
      </c>
    </row>
    <row r="2529">
      <c r="A2529" s="2">
        <v>2527.0</v>
      </c>
      <c r="B2529" s="5" t="s">
        <v>11839</v>
      </c>
      <c r="C2529" s="2" t="s">
        <v>11840</v>
      </c>
      <c r="D2529" s="5" t="s">
        <v>11839</v>
      </c>
      <c r="E2529" s="2" t="s">
        <v>15441</v>
      </c>
      <c r="F2529" s="2" t="s">
        <v>15442</v>
      </c>
      <c r="G2529" s="2" t="s">
        <v>15443</v>
      </c>
      <c r="H2529" s="2" t="s">
        <v>15444</v>
      </c>
    </row>
    <row r="2530">
      <c r="A2530" s="2">
        <v>2528.0</v>
      </c>
      <c r="B2530" s="5" t="s">
        <v>3728</v>
      </c>
      <c r="C2530" s="2" t="s">
        <v>3729</v>
      </c>
      <c r="D2530" s="5" t="s">
        <v>3728</v>
      </c>
      <c r="E2530" s="2" t="s">
        <v>15445</v>
      </c>
      <c r="F2530" s="2" t="s">
        <v>15446</v>
      </c>
      <c r="G2530" s="2" t="s">
        <v>15456</v>
      </c>
      <c r="H2530" s="2" t="s">
        <v>15444</v>
      </c>
    </row>
    <row r="2531">
      <c r="A2531" s="2">
        <v>2529.0</v>
      </c>
      <c r="B2531" s="5" t="s">
        <v>11841</v>
      </c>
      <c r="C2531" s="2" t="s">
        <v>11842</v>
      </c>
      <c r="D2531" s="5" t="s">
        <v>11841</v>
      </c>
      <c r="E2531" s="2" t="s">
        <v>15441</v>
      </c>
      <c r="F2531" s="2" t="s">
        <v>15442</v>
      </c>
      <c r="G2531" s="2" t="s">
        <v>15443</v>
      </c>
      <c r="H2531" s="2" t="s">
        <v>15444</v>
      </c>
    </row>
    <row r="2532">
      <c r="A2532" s="2">
        <v>2530.0</v>
      </c>
      <c r="B2532" s="5" t="s">
        <v>11843</v>
      </c>
      <c r="C2532" s="2" t="s">
        <v>11844</v>
      </c>
      <c r="D2532" s="5" t="s">
        <v>11843</v>
      </c>
      <c r="E2532" s="2" t="s">
        <v>15441</v>
      </c>
      <c r="F2532" s="2" t="s">
        <v>15446</v>
      </c>
      <c r="G2532" s="2" t="s">
        <v>15443</v>
      </c>
      <c r="H2532" s="2" t="s">
        <v>15444</v>
      </c>
    </row>
    <row r="2533">
      <c r="A2533" s="2">
        <v>2531.0</v>
      </c>
      <c r="B2533" s="5" t="s">
        <v>11845</v>
      </c>
      <c r="C2533" s="2" t="s">
        <v>11846</v>
      </c>
      <c r="D2533" s="5" t="s">
        <v>11845</v>
      </c>
      <c r="E2533" s="2" t="s">
        <v>15441</v>
      </c>
      <c r="F2533" s="2" t="s">
        <v>15446</v>
      </c>
      <c r="G2533" s="2" t="s">
        <v>15443</v>
      </c>
      <c r="H2533" s="2" t="s">
        <v>15444</v>
      </c>
    </row>
    <row r="2534">
      <c r="A2534" s="2">
        <v>2532.0</v>
      </c>
      <c r="B2534" s="5" t="s">
        <v>11847</v>
      </c>
      <c r="C2534" s="2" t="s">
        <v>11848</v>
      </c>
      <c r="D2534" s="5" t="s">
        <v>11847</v>
      </c>
      <c r="E2534" s="2" t="s">
        <v>15441</v>
      </c>
      <c r="F2534" s="2" t="s">
        <v>15442</v>
      </c>
      <c r="G2534" s="2" t="s">
        <v>15443</v>
      </c>
      <c r="H2534" s="2" t="s">
        <v>15444</v>
      </c>
    </row>
    <row r="2535">
      <c r="A2535" s="2">
        <v>2533.0</v>
      </c>
      <c r="B2535" s="5" t="s">
        <v>11849</v>
      </c>
      <c r="C2535" s="2" t="s">
        <v>11850</v>
      </c>
      <c r="D2535" s="5" t="s">
        <v>11849</v>
      </c>
      <c r="E2535" s="2" t="s">
        <v>15441</v>
      </c>
      <c r="F2535" s="2" t="s">
        <v>15446</v>
      </c>
      <c r="G2535" s="2" t="s">
        <v>15456</v>
      </c>
      <c r="H2535" s="2" t="s">
        <v>15444</v>
      </c>
    </row>
    <row r="2536">
      <c r="A2536" s="2">
        <v>2534.0</v>
      </c>
      <c r="B2536" s="5" t="s">
        <v>11851</v>
      </c>
      <c r="C2536" s="2" t="s">
        <v>11852</v>
      </c>
      <c r="D2536" s="5" t="s">
        <v>11851</v>
      </c>
      <c r="E2536" s="2" t="s">
        <v>15441</v>
      </c>
      <c r="F2536" s="2" t="s">
        <v>15446</v>
      </c>
      <c r="G2536" s="2" t="s">
        <v>15456</v>
      </c>
      <c r="H2536" s="2" t="s">
        <v>15444</v>
      </c>
    </row>
    <row r="2537">
      <c r="A2537" s="2">
        <v>2535.0</v>
      </c>
      <c r="B2537" s="5" t="s">
        <v>3731</v>
      </c>
      <c r="C2537" s="2" t="s">
        <v>3732</v>
      </c>
      <c r="D2537" s="5" t="s">
        <v>3731</v>
      </c>
      <c r="E2537" s="2" t="s">
        <v>15445</v>
      </c>
      <c r="F2537" s="2" t="s">
        <v>15442</v>
      </c>
      <c r="G2537" s="2" t="s">
        <v>15443</v>
      </c>
      <c r="H2537" s="2" t="s">
        <v>15444</v>
      </c>
    </row>
    <row r="2538">
      <c r="A2538" s="2">
        <v>2536.0</v>
      </c>
      <c r="B2538" s="5" t="s">
        <v>11853</v>
      </c>
      <c r="C2538" s="2" t="s">
        <v>11854</v>
      </c>
      <c r="D2538" s="5" t="s">
        <v>11853</v>
      </c>
      <c r="E2538" s="2" t="s">
        <v>15441</v>
      </c>
      <c r="F2538" s="2" t="s">
        <v>15446</v>
      </c>
      <c r="G2538" s="2" t="s">
        <v>15443</v>
      </c>
      <c r="H2538" s="2" t="s">
        <v>15444</v>
      </c>
    </row>
    <row r="2539">
      <c r="A2539" s="2">
        <v>2537.0</v>
      </c>
      <c r="B2539" s="5" t="s">
        <v>11855</v>
      </c>
      <c r="C2539" s="2" t="s">
        <v>11856</v>
      </c>
      <c r="D2539" s="5" t="s">
        <v>11855</v>
      </c>
      <c r="E2539" s="2" t="s">
        <v>15441</v>
      </c>
      <c r="F2539" s="2" t="s">
        <v>15442</v>
      </c>
      <c r="G2539" s="2" t="s">
        <v>15443</v>
      </c>
      <c r="H2539" s="2" t="s">
        <v>15444</v>
      </c>
    </row>
    <row r="2540">
      <c r="A2540" s="2">
        <v>2538.0</v>
      </c>
      <c r="B2540" s="5" t="s">
        <v>3734</v>
      </c>
      <c r="C2540" s="2" t="s">
        <v>3735</v>
      </c>
      <c r="D2540" s="5" t="s">
        <v>3734</v>
      </c>
      <c r="E2540" s="2" t="s">
        <v>15445</v>
      </c>
      <c r="F2540" s="2" t="s">
        <v>15446</v>
      </c>
      <c r="G2540" s="2" t="s">
        <v>15443</v>
      </c>
      <c r="H2540" s="2" t="s">
        <v>15444</v>
      </c>
    </row>
    <row r="2541">
      <c r="A2541" s="2">
        <v>2539.0</v>
      </c>
      <c r="B2541" s="5" t="s">
        <v>3737</v>
      </c>
      <c r="C2541" s="2" t="s">
        <v>3738</v>
      </c>
      <c r="D2541" s="5" t="s">
        <v>3737</v>
      </c>
      <c r="E2541" s="2" t="s">
        <v>15445</v>
      </c>
      <c r="F2541" s="2" t="s">
        <v>15442</v>
      </c>
      <c r="G2541" s="2" t="s">
        <v>15443</v>
      </c>
      <c r="H2541" s="2" t="s">
        <v>15444</v>
      </c>
    </row>
    <row r="2542">
      <c r="A2542" s="2">
        <v>2540.0</v>
      </c>
      <c r="B2542" s="5" t="s">
        <v>3740</v>
      </c>
      <c r="C2542" s="2" t="s">
        <v>3741</v>
      </c>
      <c r="D2542" s="5" t="s">
        <v>3740</v>
      </c>
      <c r="E2542" s="2" t="s">
        <v>15445</v>
      </c>
      <c r="F2542" s="2" t="s">
        <v>15446</v>
      </c>
      <c r="G2542" s="2" t="s">
        <v>15443</v>
      </c>
      <c r="H2542" s="2" t="s">
        <v>15444</v>
      </c>
    </row>
    <row r="2543">
      <c r="A2543" s="2">
        <v>2541.0</v>
      </c>
      <c r="B2543" s="5" t="s">
        <v>11857</v>
      </c>
      <c r="C2543" s="2" t="s">
        <v>11858</v>
      </c>
      <c r="D2543" s="5" t="s">
        <v>11857</v>
      </c>
      <c r="E2543" s="2" t="s">
        <v>15441</v>
      </c>
      <c r="F2543" s="2" t="s">
        <v>15442</v>
      </c>
      <c r="G2543" s="2" t="s">
        <v>15443</v>
      </c>
      <c r="H2543" s="2" t="s">
        <v>15444</v>
      </c>
    </row>
    <row r="2544">
      <c r="A2544" s="2">
        <v>2542.0</v>
      </c>
      <c r="B2544" s="5" t="s">
        <v>3743</v>
      </c>
      <c r="C2544" s="2" t="s">
        <v>3744</v>
      </c>
      <c r="D2544" s="5" t="s">
        <v>3743</v>
      </c>
      <c r="E2544" s="2" t="s">
        <v>15445</v>
      </c>
      <c r="F2544" s="2" t="s">
        <v>15446</v>
      </c>
      <c r="G2544" s="2" t="s">
        <v>15456</v>
      </c>
      <c r="H2544" s="2" t="s">
        <v>15444</v>
      </c>
    </row>
    <row r="2545">
      <c r="A2545" s="2">
        <v>2543.0</v>
      </c>
      <c r="B2545" s="5" t="s">
        <v>11859</v>
      </c>
      <c r="C2545" s="2" t="s">
        <v>11860</v>
      </c>
      <c r="D2545" s="5" t="s">
        <v>11859</v>
      </c>
      <c r="E2545" s="2" t="s">
        <v>15441</v>
      </c>
      <c r="F2545" s="2" t="s">
        <v>15446</v>
      </c>
      <c r="G2545" s="2" t="s">
        <v>15456</v>
      </c>
      <c r="H2545" s="2" t="s">
        <v>15444</v>
      </c>
    </row>
    <row r="2546">
      <c r="A2546" s="2">
        <v>2544.0</v>
      </c>
      <c r="B2546" s="5" t="s">
        <v>3746</v>
      </c>
      <c r="C2546" s="2" t="s">
        <v>3747</v>
      </c>
      <c r="D2546" s="5" t="s">
        <v>3746</v>
      </c>
      <c r="E2546" s="2" t="s">
        <v>15445</v>
      </c>
      <c r="F2546" s="2" t="s">
        <v>15442</v>
      </c>
      <c r="G2546" s="2" t="s">
        <v>15456</v>
      </c>
      <c r="H2546" s="2" t="s">
        <v>15444</v>
      </c>
    </row>
    <row r="2547">
      <c r="A2547" s="2">
        <v>2545.0</v>
      </c>
      <c r="B2547" s="5" t="s">
        <v>11861</v>
      </c>
      <c r="C2547" s="2" t="s">
        <v>11862</v>
      </c>
      <c r="D2547" s="5" t="s">
        <v>11861</v>
      </c>
      <c r="E2547" s="2" t="s">
        <v>15441</v>
      </c>
      <c r="F2547" s="2" t="s">
        <v>15446</v>
      </c>
      <c r="G2547" s="2" t="s">
        <v>15456</v>
      </c>
      <c r="H2547" s="2" t="s">
        <v>15444</v>
      </c>
    </row>
    <row r="2548">
      <c r="A2548" s="2">
        <v>2546.0</v>
      </c>
      <c r="B2548" s="5" t="s">
        <v>3749</v>
      </c>
      <c r="C2548" s="2" t="s">
        <v>3750</v>
      </c>
      <c r="D2548" s="5" t="s">
        <v>3749</v>
      </c>
      <c r="E2548" s="2" t="s">
        <v>15445</v>
      </c>
      <c r="F2548" s="2" t="s">
        <v>15446</v>
      </c>
      <c r="G2548" s="2" t="s">
        <v>15456</v>
      </c>
      <c r="H2548" s="2" t="s">
        <v>15444</v>
      </c>
    </row>
    <row r="2549">
      <c r="A2549" s="2">
        <v>2547.0</v>
      </c>
      <c r="B2549" s="5" t="s">
        <v>3752</v>
      </c>
      <c r="C2549" s="2" t="s">
        <v>3753</v>
      </c>
      <c r="D2549" s="5" t="s">
        <v>3752</v>
      </c>
      <c r="E2549" s="2" t="s">
        <v>15445</v>
      </c>
      <c r="F2549" s="2" t="s">
        <v>15442</v>
      </c>
      <c r="G2549" s="2" t="s">
        <v>15443</v>
      </c>
      <c r="H2549" s="2" t="s">
        <v>15444</v>
      </c>
    </row>
    <row r="2550">
      <c r="A2550" s="2">
        <v>2548.0</v>
      </c>
      <c r="B2550" s="5" t="s">
        <v>11863</v>
      </c>
      <c r="C2550" s="2" t="s">
        <v>11864</v>
      </c>
      <c r="D2550" s="5" t="s">
        <v>11863</v>
      </c>
      <c r="E2550" s="2" t="s">
        <v>15441</v>
      </c>
      <c r="F2550" s="2" t="s">
        <v>15446</v>
      </c>
      <c r="G2550" s="2" t="s">
        <v>15456</v>
      </c>
      <c r="H2550" s="2" t="s">
        <v>15457</v>
      </c>
    </row>
    <row r="2551">
      <c r="A2551" s="2">
        <v>2549.0</v>
      </c>
      <c r="B2551" s="5" t="s">
        <v>3755</v>
      </c>
      <c r="C2551" s="2" t="s">
        <v>3756</v>
      </c>
      <c r="D2551" s="5" t="s">
        <v>3755</v>
      </c>
      <c r="E2551" s="2" t="s">
        <v>15445</v>
      </c>
      <c r="F2551" s="2" t="s">
        <v>15446</v>
      </c>
      <c r="G2551" s="2" t="s">
        <v>15456</v>
      </c>
      <c r="H2551" s="2" t="s">
        <v>15444</v>
      </c>
    </row>
    <row r="2552">
      <c r="A2552" s="2">
        <v>2550.0</v>
      </c>
      <c r="B2552" s="5" t="s">
        <v>3758</v>
      </c>
      <c r="C2552" s="2" t="s">
        <v>3759</v>
      </c>
      <c r="D2552" s="5" t="s">
        <v>3758</v>
      </c>
      <c r="E2552" s="2" t="s">
        <v>15445</v>
      </c>
      <c r="F2552" s="2" t="s">
        <v>15446</v>
      </c>
      <c r="G2552" s="2" t="s">
        <v>15456</v>
      </c>
      <c r="H2552" s="2" t="s">
        <v>15444</v>
      </c>
    </row>
    <row r="2553">
      <c r="A2553" s="2">
        <v>2551.0</v>
      </c>
      <c r="B2553" s="5" t="s">
        <v>3761</v>
      </c>
      <c r="C2553" s="2" t="s">
        <v>3762</v>
      </c>
      <c r="D2553" s="5" t="s">
        <v>3761</v>
      </c>
      <c r="E2553" s="2" t="s">
        <v>15445</v>
      </c>
      <c r="F2553" s="2" t="s">
        <v>15446</v>
      </c>
      <c r="G2553" s="2" t="s">
        <v>15443</v>
      </c>
      <c r="H2553" s="2" t="s">
        <v>15444</v>
      </c>
    </row>
    <row r="2554">
      <c r="A2554" s="2">
        <v>2552.0</v>
      </c>
      <c r="B2554" s="5" t="s">
        <v>15516</v>
      </c>
      <c r="C2554" s="2" t="s">
        <v>15517</v>
      </c>
      <c r="D2554" s="5" t="s">
        <v>15516</v>
      </c>
      <c r="E2554" s="2" t="s">
        <v>15441</v>
      </c>
      <c r="F2554" s="2" t="s">
        <v>15446</v>
      </c>
      <c r="G2554" s="2" t="s">
        <v>15456</v>
      </c>
      <c r="H2554" s="2" t="s">
        <v>15486</v>
      </c>
    </row>
    <row r="2555">
      <c r="A2555" s="2">
        <v>2553.0</v>
      </c>
      <c r="B2555" s="5" t="s">
        <v>11865</v>
      </c>
      <c r="C2555" s="2" t="s">
        <v>11866</v>
      </c>
      <c r="D2555" s="5" t="s">
        <v>11865</v>
      </c>
      <c r="E2555" s="2" t="s">
        <v>15441</v>
      </c>
      <c r="F2555" s="2" t="s">
        <v>15446</v>
      </c>
      <c r="G2555" s="2" t="s">
        <v>15456</v>
      </c>
      <c r="H2555" s="2" t="s">
        <v>15457</v>
      </c>
    </row>
    <row r="2556">
      <c r="A2556" s="2">
        <v>2554.0</v>
      </c>
      <c r="B2556" s="5" t="s">
        <v>3764</v>
      </c>
      <c r="C2556" s="2" t="s">
        <v>3765</v>
      </c>
      <c r="D2556" s="5" t="s">
        <v>3764</v>
      </c>
      <c r="E2556" s="2" t="s">
        <v>15445</v>
      </c>
      <c r="F2556" s="2" t="s">
        <v>15446</v>
      </c>
      <c r="G2556" s="2" t="s">
        <v>15456</v>
      </c>
      <c r="H2556" s="2" t="s">
        <v>15444</v>
      </c>
    </row>
    <row r="2557">
      <c r="A2557" s="2">
        <v>2555.0</v>
      </c>
      <c r="B2557" s="5" t="s">
        <v>11867</v>
      </c>
      <c r="C2557" s="2" t="s">
        <v>11868</v>
      </c>
      <c r="D2557" s="5" t="s">
        <v>11867</v>
      </c>
      <c r="E2557" s="2" t="s">
        <v>15441</v>
      </c>
      <c r="F2557" s="2" t="s">
        <v>15442</v>
      </c>
      <c r="G2557" s="2" t="s">
        <v>15456</v>
      </c>
      <c r="H2557" s="2" t="s">
        <v>15444</v>
      </c>
    </row>
    <row r="2558">
      <c r="A2558" s="2">
        <v>2556.0</v>
      </c>
      <c r="B2558" s="5" t="s">
        <v>11869</v>
      </c>
      <c r="C2558" s="2" t="s">
        <v>11870</v>
      </c>
      <c r="D2558" s="5" t="s">
        <v>11869</v>
      </c>
      <c r="E2558" s="2" t="s">
        <v>15441</v>
      </c>
      <c r="F2558" s="2" t="s">
        <v>15446</v>
      </c>
      <c r="G2558" s="2" t="s">
        <v>15456</v>
      </c>
      <c r="H2558" s="2" t="s">
        <v>15444</v>
      </c>
    </row>
    <row r="2559">
      <c r="A2559" s="2">
        <v>2557.0</v>
      </c>
      <c r="B2559" s="5" t="s">
        <v>3767</v>
      </c>
      <c r="C2559" s="2" t="s">
        <v>3768</v>
      </c>
      <c r="D2559" s="5" t="s">
        <v>3767</v>
      </c>
      <c r="E2559" s="2" t="s">
        <v>15445</v>
      </c>
      <c r="F2559" s="2" t="s">
        <v>15446</v>
      </c>
      <c r="G2559" s="2" t="s">
        <v>15456</v>
      </c>
      <c r="H2559" s="2" t="s">
        <v>15444</v>
      </c>
    </row>
    <row r="2560">
      <c r="A2560" s="2">
        <v>2558.0</v>
      </c>
      <c r="B2560" s="5" t="s">
        <v>11871</v>
      </c>
      <c r="C2560" s="2" t="s">
        <v>11872</v>
      </c>
      <c r="D2560" s="5" t="s">
        <v>11871</v>
      </c>
      <c r="E2560" s="2" t="s">
        <v>15441</v>
      </c>
      <c r="F2560" s="2" t="s">
        <v>15446</v>
      </c>
      <c r="G2560" s="2" t="s">
        <v>15456</v>
      </c>
      <c r="H2560" s="2" t="s">
        <v>15444</v>
      </c>
    </row>
    <row r="2561">
      <c r="A2561" s="2">
        <v>2559.0</v>
      </c>
      <c r="B2561" s="5" t="s">
        <v>15518</v>
      </c>
      <c r="C2561" s="2" t="s">
        <v>15519</v>
      </c>
      <c r="D2561" s="5" t="s">
        <v>15518</v>
      </c>
      <c r="E2561" s="2" t="s">
        <v>15445</v>
      </c>
      <c r="F2561" s="2" t="s">
        <v>15442</v>
      </c>
      <c r="G2561" s="2" t="s">
        <v>15456</v>
      </c>
      <c r="H2561" s="2" t="s">
        <v>15455</v>
      </c>
    </row>
    <row r="2562">
      <c r="A2562" s="2">
        <v>2560.0</v>
      </c>
      <c r="B2562" s="5" t="s">
        <v>3770</v>
      </c>
      <c r="C2562" s="2" t="s">
        <v>3771</v>
      </c>
      <c r="D2562" s="5" t="s">
        <v>3770</v>
      </c>
      <c r="E2562" s="2" t="s">
        <v>15445</v>
      </c>
      <c r="F2562" s="2" t="s">
        <v>15446</v>
      </c>
      <c r="G2562" s="2" t="s">
        <v>15443</v>
      </c>
      <c r="H2562" s="2" t="s">
        <v>15444</v>
      </c>
    </row>
    <row r="2563">
      <c r="A2563" s="2">
        <v>2561.0</v>
      </c>
      <c r="B2563" s="5" t="s">
        <v>11873</v>
      </c>
      <c r="C2563" s="2" t="s">
        <v>11874</v>
      </c>
      <c r="D2563" s="5" t="s">
        <v>11873</v>
      </c>
      <c r="E2563" s="2" t="s">
        <v>15441</v>
      </c>
      <c r="F2563" s="2" t="s">
        <v>15442</v>
      </c>
      <c r="G2563" s="2" t="s">
        <v>15443</v>
      </c>
      <c r="H2563" s="2" t="s">
        <v>15444</v>
      </c>
    </row>
    <row r="2564">
      <c r="A2564" s="2">
        <v>2562.0</v>
      </c>
      <c r="B2564" s="5" t="s">
        <v>3773</v>
      </c>
      <c r="C2564" s="2" t="s">
        <v>3774</v>
      </c>
      <c r="D2564" s="5" t="s">
        <v>3773</v>
      </c>
      <c r="E2564" s="2" t="s">
        <v>15445</v>
      </c>
      <c r="F2564" s="2" t="s">
        <v>15446</v>
      </c>
      <c r="G2564" s="2" t="s">
        <v>15456</v>
      </c>
      <c r="H2564" s="2" t="s">
        <v>15444</v>
      </c>
    </row>
    <row r="2565">
      <c r="A2565" s="2">
        <v>2563.0</v>
      </c>
      <c r="B2565" s="5" t="s">
        <v>11875</v>
      </c>
      <c r="C2565" s="2" t="s">
        <v>11876</v>
      </c>
      <c r="D2565" s="5" t="s">
        <v>11875</v>
      </c>
      <c r="E2565" s="2" t="s">
        <v>15441</v>
      </c>
      <c r="F2565" s="2" t="s">
        <v>15446</v>
      </c>
      <c r="G2565" s="2" t="s">
        <v>15443</v>
      </c>
      <c r="H2565" s="2" t="s">
        <v>15444</v>
      </c>
    </row>
    <row r="2566">
      <c r="A2566" s="2">
        <v>2564.0</v>
      </c>
      <c r="B2566" s="5" t="s">
        <v>3776</v>
      </c>
      <c r="C2566" s="2" t="s">
        <v>3777</v>
      </c>
      <c r="D2566" s="5" t="s">
        <v>3776</v>
      </c>
      <c r="E2566" s="2" t="s">
        <v>15445</v>
      </c>
      <c r="F2566" s="2" t="s">
        <v>15446</v>
      </c>
      <c r="G2566" s="2" t="s">
        <v>15456</v>
      </c>
      <c r="H2566" s="2" t="s">
        <v>15444</v>
      </c>
    </row>
    <row r="2567">
      <c r="A2567" s="2">
        <v>2565.0</v>
      </c>
      <c r="B2567" s="5" t="s">
        <v>11877</v>
      </c>
      <c r="C2567" s="2" t="s">
        <v>11878</v>
      </c>
      <c r="D2567" s="5" t="s">
        <v>11877</v>
      </c>
      <c r="E2567" s="2" t="s">
        <v>15441</v>
      </c>
      <c r="F2567" s="2" t="s">
        <v>15446</v>
      </c>
      <c r="G2567" s="2" t="s">
        <v>15456</v>
      </c>
      <c r="H2567" s="2" t="s">
        <v>15444</v>
      </c>
    </row>
    <row r="2568">
      <c r="A2568" s="2">
        <v>2566.0</v>
      </c>
      <c r="B2568" s="5" t="s">
        <v>11879</v>
      </c>
      <c r="C2568" s="2" t="s">
        <v>11880</v>
      </c>
      <c r="D2568" s="5" t="s">
        <v>11879</v>
      </c>
      <c r="E2568" s="2" t="s">
        <v>15441</v>
      </c>
      <c r="F2568" s="2" t="s">
        <v>15442</v>
      </c>
      <c r="G2568" s="2" t="s">
        <v>15443</v>
      </c>
      <c r="H2568" s="2" t="s">
        <v>15444</v>
      </c>
    </row>
    <row r="2569">
      <c r="A2569" s="2">
        <v>2567.0</v>
      </c>
      <c r="B2569" s="5" t="s">
        <v>3779</v>
      </c>
      <c r="C2569" s="2" t="s">
        <v>3780</v>
      </c>
      <c r="D2569" s="5" t="s">
        <v>3779</v>
      </c>
      <c r="E2569" s="2" t="s">
        <v>15445</v>
      </c>
      <c r="F2569" s="2" t="s">
        <v>15442</v>
      </c>
      <c r="G2569" s="2" t="s">
        <v>15443</v>
      </c>
      <c r="H2569" s="2" t="s">
        <v>15461</v>
      </c>
    </row>
    <row r="2570">
      <c r="A2570" s="2">
        <v>2568.0</v>
      </c>
      <c r="B2570" s="5" t="s">
        <v>11881</v>
      </c>
      <c r="C2570" s="2" t="s">
        <v>11882</v>
      </c>
      <c r="D2570" s="5" t="s">
        <v>11881</v>
      </c>
      <c r="E2570" s="2" t="s">
        <v>15441</v>
      </c>
      <c r="F2570" s="2" t="s">
        <v>15442</v>
      </c>
      <c r="G2570" s="2" t="s">
        <v>15443</v>
      </c>
      <c r="H2570" s="2" t="s">
        <v>15444</v>
      </c>
    </row>
    <row r="2571">
      <c r="A2571" s="2">
        <v>2569.0</v>
      </c>
      <c r="B2571" s="5" t="s">
        <v>3782</v>
      </c>
      <c r="C2571" s="2" t="s">
        <v>3783</v>
      </c>
      <c r="D2571" s="5" t="s">
        <v>3782</v>
      </c>
      <c r="E2571" s="2" t="s">
        <v>15445</v>
      </c>
      <c r="F2571" s="2" t="s">
        <v>15442</v>
      </c>
      <c r="G2571" s="2" t="s">
        <v>15443</v>
      </c>
      <c r="H2571" s="2" t="s">
        <v>15444</v>
      </c>
    </row>
    <row r="2572">
      <c r="A2572" s="2">
        <v>2570.0</v>
      </c>
      <c r="B2572" s="5" t="s">
        <v>11883</v>
      </c>
      <c r="C2572" s="2" t="s">
        <v>11884</v>
      </c>
      <c r="D2572" s="5" t="s">
        <v>11883</v>
      </c>
      <c r="E2572" s="2" t="s">
        <v>15441</v>
      </c>
      <c r="F2572" s="2" t="s">
        <v>15446</v>
      </c>
      <c r="G2572" s="2" t="s">
        <v>15443</v>
      </c>
      <c r="H2572" s="2" t="s">
        <v>15444</v>
      </c>
    </row>
    <row r="2573">
      <c r="A2573" s="2">
        <v>2571.0</v>
      </c>
      <c r="B2573" s="5" t="s">
        <v>3785</v>
      </c>
      <c r="C2573" s="2" t="s">
        <v>3786</v>
      </c>
      <c r="D2573" s="5" t="s">
        <v>3785</v>
      </c>
      <c r="E2573" s="2" t="s">
        <v>15445</v>
      </c>
      <c r="F2573" s="2" t="s">
        <v>15446</v>
      </c>
      <c r="G2573" s="2" t="s">
        <v>15456</v>
      </c>
      <c r="H2573" s="2" t="s">
        <v>15444</v>
      </c>
    </row>
    <row r="2574">
      <c r="A2574" s="2">
        <v>2572.0</v>
      </c>
      <c r="B2574" s="5" t="s">
        <v>3788</v>
      </c>
      <c r="C2574" s="2" t="s">
        <v>3789</v>
      </c>
      <c r="D2574" s="5" t="s">
        <v>3788</v>
      </c>
      <c r="E2574" s="2" t="s">
        <v>15445</v>
      </c>
      <c r="F2574" s="2" t="s">
        <v>15442</v>
      </c>
      <c r="G2574" s="2" t="s">
        <v>15443</v>
      </c>
      <c r="H2574" s="2" t="s">
        <v>15444</v>
      </c>
    </row>
    <row r="2575">
      <c r="A2575" s="2">
        <v>2573.0</v>
      </c>
      <c r="B2575" s="5" t="s">
        <v>11885</v>
      </c>
      <c r="C2575" s="2" t="s">
        <v>11886</v>
      </c>
      <c r="D2575" s="5" t="s">
        <v>11885</v>
      </c>
      <c r="E2575" s="2" t="s">
        <v>15441</v>
      </c>
      <c r="F2575" s="2" t="s">
        <v>15442</v>
      </c>
      <c r="G2575" s="2" t="s">
        <v>15443</v>
      </c>
      <c r="H2575" s="2" t="s">
        <v>15444</v>
      </c>
    </row>
    <row r="2576">
      <c r="A2576" s="2">
        <v>2574.0</v>
      </c>
      <c r="B2576" s="5" t="s">
        <v>11887</v>
      </c>
      <c r="C2576" s="2" t="s">
        <v>11888</v>
      </c>
      <c r="D2576" s="5" t="s">
        <v>11887</v>
      </c>
      <c r="E2576" s="2" t="s">
        <v>15441</v>
      </c>
      <c r="F2576" s="2" t="s">
        <v>15442</v>
      </c>
      <c r="G2576" s="2" t="s">
        <v>15443</v>
      </c>
      <c r="H2576" s="2" t="s">
        <v>15444</v>
      </c>
    </row>
    <row r="2577">
      <c r="A2577" s="2">
        <v>2575.0</v>
      </c>
      <c r="B2577" s="5" t="s">
        <v>3791</v>
      </c>
      <c r="C2577" s="2" t="s">
        <v>3792</v>
      </c>
      <c r="D2577" s="5" t="s">
        <v>3791</v>
      </c>
      <c r="E2577" s="2" t="s">
        <v>15445</v>
      </c>
      <c r="F2577" s="2" t="s">
        <v>15446</v>
      </c>
      <c r="G2577" s="2" t="s">
        <v>15443</v>
      </c>
      <c r="H2577" s="2" t="s">
        <v>15444</v>
      </c>
    </row>
    <row r="2578">
      <c r="A2578" s="2">
        <v>2576.0</v>
      </c>
      <c r="B2578" s="5" t="s">
        <v>3794</v>
      </c>
      <c r="C2578" s="2" t="s">
        <v>3795</v>
      </c>
      <c r="D2578" s="5" t="s">
        <v>3794</v>
      </c>
      <c r="E2578" s="2" t="s">
        <v>15445</v>
      </c>
      <c r="F2578" s="2" t="s">
        <v>15442</v>
      </c>
      <c r="G2578" s="2" t="s">
        <v>15443</v>
      </c>
      <c r="H2578" s="2" t="s">
        <v>15444</v>
      </c>
    </row>
    <row r="2579">
      <c r="A2579" s="2">
        <v>2577.0</v>
      </c>
      <c r="B2579" s="5" t="s">
        <v>3797</v>
      </c>
      <c r="C2579" s="2" t="s">
        <v>3798</v>
      </c>
      <c r="D2579" s="5" t="s">
        <v>3797</v>
      </c>
      <c r="E2579" s="2" t="s">
        <v>15445</v>
      </c>
      <c r="F2579" s="2" t="s">
        <v>15442</v>
      </c>
      <c r="G2579" s="2" t="s">
        <v>15443</v>
      </c>
      <c r="H2579" s="2" t="s">
        <v>15444</v>
      </c>
    </row>
    <row r="2580">
      <c r="A2580" s="2">
        <v>2578.0</v>
      </c>
      <c r="B2580" s="5" t="s">
        <v>11889</v>
      </c>
      <c r="C2580" s="2" t="s">
        <v>11890</v>
      </c>
      <c r="D2580" s="5" t="s">
        <v>11889</v>
      </c>
      <c r="E2580" s="2" t="s">
        <v>15441</v>
      </c>
      <c r="F2580" s="2" t="s">
        <v>15442</v>
      </c>
      <c r="G2580" s="2" t="s">
        <v>15456</v>
      </c>
      <c r="H2580" s="2" t="s">
        <v>15444</v>
      </c>
    </row>
    <row r="2581">
      <c r="A2581" s="2">
        <v>2579.0</v>
      </c>
      <c r="B2581" s="5" t="s">
        <v>11891</v>
      </c>
      <c r="C2581" s="2" t="s">
        <v>11892</v>
      </c>
      <c r="D2581" s="5" t="s">
        <v>11891</v>
      </c>
      <c r="E2581" s="2" t="s">
        <v>15441</v>
      </c>
      <c r="F2581" s="2" t="s">
        <v>15446</v>
      </c>
      <c r="G2581" s="2" t="s">
        <v>15443</v>
      </c>
      <c r="H2581" s="2" t="s">
        <v>15444</v>
      </c>
    </row>
    <row r="2582">
      <c r="A2582" s="2">
        <v>2580.0</v>
      </c>
      <c r="B2582" s="5" t="s">
        <v>3800</v>
      </c>
      <c r="C2582" s="2" t="s">
        <v>3801</v>
      </c>
      <c r="D2582" s="5" t="s">
        <v>3800</v>
      </c>
      <c r="E2582" s="2" t="s">
        <v>15445</v>
      </c>
      <c r="F2582" s="2" t="s">
        <v>15446</v>
      </c>
      <c r="G2582" s="2" t="s">
        <v>15443</v>
      </c>
      <c r="H2582" s="2" t="s">
        <v>15444</v>
      </c>
    </row>
    <row r="2583">
      <c r="A2583" s="2">
        <v>2581.0</v>
      </c>
      <c r="B2583" s="5" t="s">
        <v>3803</v>
      </c>
      <c r="C2583" s="2" t="s">
        <v>3804</v>
      </c>
      <c r="D2583" s="5" t="s">
        <v>3803</v>
      </c>
      <c r="E2583" s="2" t="s">
        <v>15445</v>
      </c>
      <c r="F2583" s="2" t="s">
        <v>15442</v>
      </c>
      <c r="G2583" s="2" t="s">
        <v>15443</v>
      </c>
      <c r="H2583" s="2" t="s">
        <v>15444</v>
      </c>
    </row>
    <row r="2584">
      <c r="A2584" s="2">
        <v>2582.0</v>
      </c>
      <c r="B2584" s="5" t="s">
        <v>11893</v>
      </c>
      <c r="C2584" s="2" t="s">
        <v>11894</v>
      </c>
      <c r="D2584" s="5" t="s">
        <v>11893</v>
      </c>
      <c r="E2584" s="2" t="s">
        <v>15441</v>
      </c>
      <c r="F2584" s="2" t="s">
        <v>15442</v>
      </c>
      <c r="G2584" s="2" t="s">
        <v>15443</v>
      </c>
      <c r="H2584" s="2" t="s">
        <v>15444</v>
      </c>
    </row>
    <row r="2585">
      <c r="A2585" s="2">
        <v>2583.0</v>
      </c>
      <c r="B2585" s="5" t="s">
        <v>3806</v>
      </c>
      <c r="C2585" s="2" t="s">
        <v>3807</v>
      </c>
      <c r="D2585" s="5" t="s">
        <v>3806</v>
      </c>
      <c r="E2585" s="2" t="s">
        <v>15445</v>
      </c>
      <c r="F2585" s="2" t="s">
        <v>15442</v>
      </c>
      <c r="G2585" s="2" t="s">
        <v>15443</v>
      </c>
      <c r="H2585" s="2" t="s">
        <v>15444</v>
      </c>
    </row>
    <row r="2586">
      <c r="A2586" s="2">
        <v>2584.0</v>
      </c>
      <c r="B2586" s="5" t="s">
        <v>3809</v>
      </c>
      <c r="C2586" s="2" t="s">
        <v>3810</v>
      </c>
      <c r="D2586" s="5" t="s">
        <v>3809</v>
      </c>
      <c r="E2586" s="2" t="s">
        <v>15445</v>
      </c>
      <c r="F2586" s="2" t="s">
        <v>15442</v>
      </c>
      <c r="G2586" s="2" t="s">
        <v>15443</v>
      </c>
      <c r="H2586" s="2" t="s">
        <v>15455</v>
      </c>
    </row>
    <row r="2587">
      <c r="A2587" s="2">
        <v>2585.0</v>
      </c>
      <c r="B2587" s="5" t="s">
        <v>3812</v>
      </c>
      <c r="C2587" s="2" t="s">
        <v>3813</v>
      </c>
      <c r="D2587" s="5" t="s">
        <v>3812</v>
      </c>
      <c r="E2587" s="2" t="s">
        <v>15445</v>
      </c>
      <c r="F2587" s="2" t="s">
        <v>15442</v>
      </c>
      <c r="G2587" s="2" t="s">
        <v>15456</v>
      </c>
      <c r="H2587" s="2" t="s">
        <v>15444</v>
      </c>
    </row>
    <row r="2588">
      <c r="A2588" s="2">
        <v>2586.0</v>
      </c>
      <c r="B2588" s="5" t="s">
        <v>11895</v>
      </c>
      <c r="C2588" s="2" t="s">
        <v>11896</v>
      </c>
      <c r="D2588" s="5" t="s">
        <v>11895</v>
      </c>
      <c r="E2588" s="2" t="s">
        <v>15441</v>
      </c>
      <c r="F2588" s="2" t="s">
        <v>15442</v>
      </c>
      <c r="G2588" s="2" t="s">
        <v>15443</v>
      </c>
      <c r="H2588" s="2" t="s">
        <v>15444</v>
      </c>
    </row>
    <row r="2589">
      <c r="A2589" s="2">
        <v>2587.0</v>
      </c>
      <c r="B2589" s="5" t="s">
        <v>3815</v>
      </c>
      <c r="C2589" s="2" t="s">
        <v>3816</v>
      </c>
      <c r="D2589" s="5" t="s">
        <v>3815</v>
      </c>
      <c r="E2589" s="2" t="s">
        <v>15445</v>
      </c>
      <c r="F2589" s="2" t="s">
        <v>15442</v>
      </c>
      <c r="G2589" s="2" t="s">
        <v>15443</v>
      </c>
      <c r="H2589" s="2" t="s">
        <v>15444</v>
      </c>
    </row>
    <row r="2590">
      <c r="A2590" s="2">
        <v>2588.0</v>
      </c>
      <c r="B2590" s="5" t="s">
        <v>3818</v>
      </c>
      <c r="C2590" s="2" t="s">
        <v>3819</v>
      </c>
      <c r="D2590" s="5" t="s">
        <v>3818</v>
      </c>
      <c r="E2590" s="2" t="s">
        <v>15445</v>
      </c>
      <c r="F2590" s="2" t="s">
        <v>15446</v>
      </c>
      <c r="G2590" s="2" t="s">
        <v>15456</v>
      </c>
      <c r="H2590" s="2" t="s">
        <v>15444</v>
      </c>
    </row>
    <row r="2591">
      <c r="A2591" s="2">
        <v>2589.0</v>
      </c>
      <c r="B2591" s="5" t="s">
        <v>11897</v>
      </c>
      <c r="C2591" s="2" t="s">
        <v>11898</v>
      </c>
      <c r="D2591" s="5" t="s">
        <v>11897</v>
      </c>
      <c r="E2591" s="2" t="s">
        <v>15441</v>
      </c>
      <c r="F2591" s="2" t="s">
        <v>15442</v>
      </c>
      <c r="G2591" s="2" t="s">
        <v>15443</v>
      </c>
      <c r="H2591" s="2" t="s">
        <v>15444</v>
      </c>
    </row>
    <row r="2592">
      <c r="A2592" s="2">
        <v>2590.0</v>
      </c>
      <c r="B2592" s="5" t="s">
        <v>11899</v>
      </c>
      <c r="C2592" s="2" t="s">
        <v>11900</v>
      </c>
      <c r="D2592" s="5" t="s">
        <v>11899</v>
      </c>
      <c r="E2592" s="2" t="s">
        <v>15441</v>
      </c>
      <c r="F2592" s="2" t="s">
        <v>15446</v>
      </c>
      <c r="G2592" s="2" t="s">
        <v>15456</v>
      </c>
      <c r="H2592" s="2" t="s">
        <v>15444</v>
      </c>
    </row>
    <row r="2593">
      <c r="A2593" s="2">
        <v>2591.0</v>
      </c>
      <c r="B2593" s="5" t="s">
        <v>3821</v>
      </c>
      <c r="C2593" s="2" t="s">
        <v>3822</v>
      </c>
      <c r="D2593" s="5" t="s">
        <v>3821</v>
      </c>
      <c r="E2593" s="2" t="s">
        <v>15445</v>
      </c>
      <c r="F2593" s="2" t="s">
        <v>15442</v>
      </c>
      <c r="G2593" s="2" t="s">
        <v>15443</v>
      </c>
      <c r="H2593" s="2" t="s">
        <v>15444</v>
      </c>
    </row>
    <row r="2594">
      <c r="A2594" s="2">
        <v>2592.0</v>
      </c>
      <c r="B2594" s="5" t="s">
        <v>11901</v>
      </c>
      <c r="C2594" s="2" t="s">
        <v>11902</v>
      </c>
      <c r="D2594" s="5" t="s">
        <v>11901</v>
      </c>
      <c r="E2594" s="2" t="s">
        <v>15441</v>
      </c>
      <c r="F2594" s="2" t="s">
        <v>15446</v>
      </c>
      <c r="G2594" s="2" t="s">
        <v>15443</v>
      </c>
      <c r="H2594" s="2" t="s">
        <v>15444</v>
      </c>
    </row>
    <row r="2595">
      <c r="A2595" s="2">
        <v>2593.0</v>
      </c>
      <c r="B2595" s="5" t="s">
        <v>3824</v>
      </c>
      <c r="C2595" s="2" t="s">
        <v>3825</v>
      </c>
      <c r="D2595" s="5" t="s">
        <v>3824</v>
      </c>
      <c r="E2595" s="2" t="s">
        <v>15445</v>
      </c>
      <c r="F2595" s="2" t="s">
        <v>15446</v>
      </c>
      <c r="G2595" s="2" t="s">
        <v>15456</v>
      </c>
      <c r="H2595" s="2" t="s">
        <v>15444</v>
      </c>
    </row>
    <row r="2596">
      <c r="A2596" s="2">
        <v>2594.0</v>
      </c>
      <c r="B2596" s="5" t="s">
        <v>3827</v>
      </c>
      <c r="C2596" s="2" t="s">
        <v>3828</v>
      </c>
      <c r="D2596" s="5" t="s">
        <v>3827</v>
      </c>
      <c r="E2596" s="2" t="s">
        <v>15445</v>
      </c>
      <c r="F2596" s="2" t="s">
        <v>15442</v>
      </c>
      <c r="G2596" s="2" t="s">
        <v>15443</v>
      </c>
      <c r="H2596" s="2" t="s">
        <v>15444</v>
      </c>
    </row>
    <row r="2597">
      <c r="A2597" s="2">
        <v>2595.0</v>
      </c>
      <c r="B2597" s="5" t="s">
        <v>11903</v>
      </c>
      <c r="C2597" s="2" t="s">
        <v>11904</v>
      </c>
      <c r="D2597" s="5" t="s">
        <v>11903</v>
      </c>
      <c r="E2597" s="2" t="s">
        <v>15441</v>
      </c>
      <c r="F2597" s="2" t="s">
        <v>15446</v>
      </c>
      <c r="G2597" s="2" t="s">
        <v>15443</v>
      </c>
      <c r="H2597" s="2" t="s">
        <v>15444</v>
      </c>
    </row>
    <row r="2598">
      <c r="A2598" s="2">
        <v>2596.0</v>
      </c>
      <c r="B2598" s="5" t="s">
        <v>3830</v>
      </c>
      <c r="C2598" s="2" t="s">
        <v>3831</v>
      </c>
      <c r="D2598" s="5" t="s">
        <v>3830</v>
      </c>
      <c r="E2598" s="2" t="s">
        <v>15445</v>
      </c>
      <c r="F2598" s="2" t="s">
        <v>15446</v>
      </c>
      <c r="G2598" s="2" t="s">
        <v>15456</v>
      </c>
      <c r="H2598" s="2" t="s">
        <v>15444</v>
      </c>
    </row>
    <row r="2599">
      <c r="A2599" s="2">
        <v>2597.0</v>
      </c>
      <c r="B2599" s="5" t="s">
        <v>3833</v>
      </c>
      <c r="C2599" s="2" t="s">
        <v>3834</v>
      </c>
      <c r="D2599" s="5" t="s">
        <v>3833</v>
      </c>
      <c r="E2599" s="2" t="s">
        <v>15445</v>
      </c>
      <c r="F2599" s="2" t="s">
        <v>15446</v>
      </c>
      <c r="G2599" s="2" t="s">
        <v>15456</v>
      </c>
      <c r="H2599" s="2" t="s">
        <v>15444</v>
      </c>
    </row>
    <row r="2600">
      <c r="A2600" s="2">
        <v>2598.0</v>
      </c>
      <c r="B2600" s="5" t="s">
        <v>3836</v>
      </c>
      <c r="C2600" s="2" t="s">
        <v>3837</v>
      </c>
      <c r="D2600" s="5" t="s">
        <v>3836</v>
      </c>
      <c r="E2600" s="2" t="s">
        <v>15445</v>
      </c>
      <c r="F2600" s="2" t="s">
        <v>15442</v>
      </c>
      <c r="G2600" s="2" t="s">
        <v>15443</v>
      </c>
      <c r="H2600" s="2" t="s">
        <v>15444</v>
      </c>
    </row>
    <row r="2601">
      <c r="A2601" s="2">
        <v>2599.0</v>
      </c>
      <c r="B2601" s="5" t="s">
        <v>11905</v>
      </c>
      <c r="C2601" s="2" t="s">
        <v>11906</v>
      </c>
      <c r="D2601" s="5" t="s">
        <v>11905</v>
      </c>
      <c r="E2601" s="2" t="s">
        <v>15441</v>
      </c>
      <c r="F2601" s="2" t="s">
        <v>15442</v>
      </c>
      <c r="G2601" s="2" t="s">
        <v>15456</v>
      </c>
      <c r="H2601" s="2" t="s">
        <v>15444</v>
      </c>
    </row>
    <row r="2602">
      <c r="A2602" s="2">
        <v>2600.0</v>
      </c>
      <c r="B2602" s="5" t="s">
        <v>11907</v>
      </c>
      <c r="C2602" s="2" t="s">
        <v>11908</v>
      </c>
      <c r="D2602" s="5" t="s">
        <v>11907</v>
      </c>
      <c r="E2602" s="2" t="s">
        <v>15441</v>
      </c>
      <c r="F2602" s="2" t="s">
        <v>15446</v>
      </c>
      <c r="G2602" s="2" t="s">
        <v>15456</v>
      </c>
      <c r="H2602" s="2" t="s">
        <v>15457</v>
      </c>
    </row>
    <row r="2603">
      <c r="A2603" s="2">
        <v>2601.0</v>
      </c>
      <c r="B2603" s="5" t="s">
        <v>11909</v>
      </c>
      <c r="C2603" s="2" t="s">
        <v>11910</v>
      </c>
      <c r="D2603" s="5" t="s">
        <v>11909</v>
      </c>
      <c r="E2603" s="2" t="s">
        <v>15441</v>
      </c>
      <c r="F2603" s="2" t="s">
        <v>15446</v>
      </c>
      <c r="G2603" s="2" t="s">
        <v>15456</v>
      </c>
      <c r="H2603" s="2" t="s">
        <v>15444</v>
      </c>
    </row>
    <row r="2604">
      <c r="A2604" s="2">
        <v>2602.0</v>
      </c>
      <c r="B2604" s="5" t="s">
        <v>3839</v>
      </c>
      <c r="C2604" s="2" t="s">
        <v>3840</v>
      </c>
      <c r="D2604" s="5" t="s">
        <v>3839</v>
      </c>
      <c r="E2604" s="2" t="s">
        <v>15445</v>
      </c>
      <c r="F2604" s="2" t="s">
        <v>15442</v>
      </c>
      <c r="G2604" s="2" t="s">
        <v>15443</v>
      </c>
      <c r="H2604" s="2" t="s">
        <v>15444</v>
      </c>
    </row>
    <row r="2605">
      <c r="A2605" s="2">
        <v>2603.0</v>
      </c>
      <c r="B2605" s="5" t="s">
        <v>3842</v>
      </c>
      <c r="C2605" s="2" t="s">
        <v>3843</v>
      </c>
      <c r="D2605" s="5" t="s">
        <v>3842</v>
      </c>
      <c r="E2605" s="2" t="s">
        <v>15445</v>
      </c>
      <c r="F2605" s="2" t="s">
        <v>15446</v>
      </c>
      <c r="G2605" s="2" t="s">
        <v>15456</v>
      </c>
      <c r="H2605" s="2" t="s">
        <v>15444</v>
      </c>
    </row>
    <row r="2606">
      <c r="A2606" s="2">
        <v>2604.0</v>
      </c>
      <c r="B2606" s="5" t="s">
        <v>3845</v>
      </c>
      <c r="C2606" s="2" t="s">
        <v>3846</v>
      </c>
      <c r="D2606" s="5" t="s">
        <v>3845</v>
      </c>
      <c r="E2606" s="2" t="s">
        <v>15445</v>
      </c>
      <c r="F2606" s="2" t="s">
        <v>15446</v>
      </c>
      <c r="G2606" s="2" t="s">
        <v>15456</v>
      </c>
      <c r="H2606" s="2" t="s">
        <v>15444</v>
      </c>
    </row>
    <row r="2607">
      <c r="A2607" s="2">
        <v>2605.0</v>
      </c>
      <c r="B2607" s="5" t="s">
        <v>15520</v>
      </c>
      <c r="C2607" s="2" t="s">
        <v>15521</v>
      </c>
      <c r="D2607" s="5" t="s">
        <v>15520</v>
      </c>
      <c r="E2607" s="2" t="s">
        <v>15445</v>
      </c>
      <c r="F2607" s="2" t="s">
        <v>15446</v>
      </c>
      <c r="G2607" s="2" t="s">
        <v>15443</v>
      </c>
      <c r="H2607" s="2" t="s">
        <v>15455</v>
      </c>
    </row>
    <row r="2608">
      <c r="A2608" s="2">
        <v>2606.0</v>
      </c>
      <c r="B2608" s="5" t="s">
        <v>3848</v>
      </c>
      <c r="C2608" s="2" t="s">
        <v>3849</v>
      </c>
      <c r="D2608" s="5" t="s">
        <v>3848</v>
      </c>
      <c r="E2608" s="2" t="s">
        <v>15445</v>
      </c>
      <c r="F2608" s="2" t="s">
        <v>15442</v>
      </c>
      <c r="G2608" s="2" t="s">
        <v>15443</v>
      </c>
      <c r="H2608" s="2" t="s">
        <v>15444</v>
      </c>
    </row>
    <row r="2609">
      <c r="A2609" s="2">
        <v>2607.0</v>
      </c>
      <c r="B2609" s="5" t="s">
        <v>11911</v>
      </c>
      <c r="C2609" s="2" t="s">
        <v>11912</v>
      </c>
      <c r="D2609" s="5" t="s">
        <v>11911</v>
      </c>
      <c r="E2609" s="2" t="s">
        <v>15441</v>
      </c>
      <c r="F2609" s="2" t="s">
        <v>15442</v>
      </c>
      <c r="G2609" s="2" t="s">
        <v>15443</v>
      </c>
      <c r="H2609" s="2" t="s">
        <v>15444</v>
      </c>
    </row>
    <row r="2610">
      <c r="A2610" s="2">
        <v>2608.0</v>
      </c>
      <c r="B2610" s="5" t="s">
        <v>3851</v>
      </c>
      <c r="C2610" s="2" t="s">
        <v>3852</v>
      </c>
      <c r="D2610" s="5" t="s">
        <v>3851</v>
      </c>
      <c r="E2610" s="2" t="s">
        <v>15445</v>
      </c>
      <c r="F2610" s="2" t="s">
        <v>15442</v>
      </c>
      <c r="G2610" s="2" t="s">
        <v>15443</v>
      </c>
      <c r="H2610" s="2" t="s">
        <v>15444</v>
      </c>
    </row>
    <row r="2611">
      <c r="A2611" s="2">
        <v>2609.0</v>
      </c>
      <c r="B2611" s="5" t="s">
        <v>3854</v>
      </c>
      <c r="C2611" s="2" t="s">
        <v>3855</v>
      </c>
      <c r="D2611" s="5" t="s">
        <v>3854</v>
      </c>
      <c r="E2611" s="2" t="s">
        <v>15445</v>
      </c>
      <c r="F2611" s="2" t="s">
        <v>15442</v>
      </c>
      <c r="G2611" s="2" t="s">
        <v>15443</v>
      </c>
      <c r="H2611" s="2" t="s">
        <v>15444</v>
      </c>
    </row>
    <row r="2612">
      <c r="A2612" s="2">
        <v>2610.0</v>
      </c>
      <c r="B2612" s="5" t="s">
        <v>3857</v>
      </c>
      <c r="C2612" s="2" t="s">
        <v>3858</v>
      </c>
      <c r="D2612" s="5" t="s">
        <v>3857</v>
      </c>
      <c r="E2612" s="2" t="s">
        <v>15445</v>
      </c>
      <c r="F2612" s="2" t="s">
        <v>15446</v>
      </c>
      <c r="G2612" s="2" t="s">
        <v>15456</v>
      </c>
      <c r="H2612" s="2" t="s">
        <v>15444</v>
      </c>
    </row>
    <row r="2613">
      <c r="A2613" s="2">
        <v>2611.0</v>
      </c>
      <c r="B2613" s="5" t="s">
        <v>11913</v>
      </c>
      <c r="C2613" s="2" t="s">
        <v>11914</v>
      </c>
      <c r="D2613" s="5" t="s">
        <v>11913</v>
      </c>
      <c r="E2613" s="2" t="s">
        <v>15441</v>
      </c>
      <c r="F2613" s="2" t="s">
        <v>15446</v>
      </c>
      <c r="G2613" s="2" t="s">
        <v>15443</v>
      </c>
      <c r="H2613" s="2" t="s">
        <v>15444</v>
      </c>
    </row>
    <row r="2614">
      <c r="A2614" s="2">
        <v>2612.0</v>
      </c>
      <c r="B2614" s="5" t="s">
        <v>3860</v>
      </c>
      <c r="C2614" s="2" t="s">
        <v>3861</v>
      </c>
      <c r="D2614" s="5" t="s">
        <v>3860</v>
      </c>
      <c r="E2614" s="2" t="s">
        <v>15445</v>
      </c>
      <c r="F2614" s="2" t="s">
        <v>15446</v>
      </c>
      <c r="G2614" s="2" t="s">
        <v>15456</v>
      </c>
      <c r="H2614" s="2" t="s">
        <v>15457</v>
      </c>
    </row>
    <row r="2615">
      <c r="A2615" s="2">
        <v>2613.0</v>
      </c>
      <c r="B2615" s="5" t="s">
        <v>3863</v>
      </c>
      <c r="C2615" s="2" t="s">
        <v>3864</v>
      </c>
      <c r="D2615" s="5" t="s">
        <v>3863</v>
      </c>
      <c r="E2615" s="2" t="s">
        <v>15445</v>
      </c>
      <c r="F2615" s="2" t="s">
        <v>15446</v>
      </c>
      <c r="G2615" s="2" t="s">
        <v>15456</v>
      </c>
      <c r="H2615" s="2" t="s">
        <v>15455</v>
      </c>
    </row>
    <row r="2616">
      <c r="A2616" s="2">
        <v>2614.0</v>
      </c>
      <c r="B2616" s="5" t="s">
        <v>3866</v>
      </c>
      <c r="C2616" s="2" t="s">
        <v>3867</v>
      </c>
      <c r="D2616" s="5" t="s">
        <v>3866</v>
      </c>
      <c r="E2616" s="2" t="s">
        <v>15445</v>
      </c>
      <c r="F2616" s="2" t="s">
        <v>15442</v>
      </c>
      <c r="G2616" s="2" t="s">
        <v>15443</v>
      </c>
      <c r="H2616" s="2" t="s">
        <v>15444</v>
      </c>
    </row>
    <row r="2617">
      <c r="A2617" s="2">
        <v>2615.0</v>
      </c>
      <c r="B2617" s="5" t="s">
        <v>3869</v>
      </c>
      <c r="C2617" s="2" t="s">
        <v>3870</v>
      </c>
      <c r="D2617" s="5" t="s">
        <v>3869</v>
      </c>
      <c r="E2617" s="2" t="s">
        <v>15445</v>
      </c>
      <c r="F2617" s="2" t="s">
        <v>15442</v>
      </c>
      <c r="G2617" s="2" t="s">
        <v>15443</v>
      </c>
      <c r="H2617" s="2" t="s">
        <v>15444</v>
      </c>
    </row>
    <row r="2618">
      <c r="A2618" s="2">
        <v>2616.0</v>
      </c>
      <c r="B2618" s="5" t="s">
        <v>3872</v>
      </c>
      <c r="C2618" s="2" t="s">
        <v>3873</v>
      </c>
      <c r="D2618" s="5" t="s">
        <v>3872</v>
      </c>
      <c r="E2618" s="2" t="s">
        <v>15445</v>
      </c>
      <c r="F2618" s="2" t="s">
        <v>15442</v>
      </c>
      <c r="G2618" s="2" t="s">
        <v>15443</v>
      </c>
      <c r="H2618" s="2" t="s">
        <v>15444</v>
      </c>
    </row>
    <row r="2619">
      <c r="A2619" s="2">
        <v>2617.0</v>
      </c>
      <c r="B2619" s="5" t="s">
        <v>3875</v>
      </c>
      <c r="C2619" s="2" t="s">
        <v>3876</v>
      </c>
      <c r="D2619" s="5" t="s">
        <v>3875</v>
      </c>
      <c r="E2619" s="2" t="s">
        <v>15445</v>
      </c>
      <c r="F2619" s="2" t="s">
        <v>15442</v>
      </c>
      <c r="G2619" s="2" t="s">
        <v>15443</v>
      </c>
      <c r="H2619" s="2" t="s">
        <v>15444</v>
      </c>
    </row>
    <row r="2620">
      <c r="A2620" s="2">
        <v>2618.0</v>
      </c>
      <c r="B2620" s="5" t="s">
        <v>11915</v>
      </c>
      <c r="C2620" s="2" t="s">
        <v>11916</v>
      </c>
      <c r="D2620" s="5" t="s">
        <v>11915</v>
      </c>
      <c r="E2620" s="2" t="s">
        <v>15441</v>
      </c>
      <c r="F2620" s="2" t="s">
        <v>15446</v>
      </c>
      <c r="G2620" s="2" t="s">
        <v>15456</v>
      </c>
      <c r="H2620" s="2" t="s">
        <v>15444</v>
      </c>
    </row>
    <row r="2621">
      <c r="A2621" s="2">
        <v>2619.0</v>
      </c>
      <c r="B2621" s="5" t="s">
        <v>11917</v>
      </c>
      <c r="C2621" s="2" t="s">
        <v>11918</v>
      </c>
      <c r="D2621" s="5" t="s">
        <v>11917</v>
      </c>
      <c r="E2621" s="2" t="s">
        <v>15441</v>
      </c>
      <c r="F2621" s="2" t="s">
        <v>15446</v>
      </c>
      <c r="G2621" s="2" t="s">
        <v>15456</v>
      </c>
      <c r="H2621" s="2" t="s">
        <v>15455</v>
      </c>
    </row>
    <row r="2622">
      <c r="A2622" s="2">
        <v>2620.0</v>
      </c>
      <c r="B2622" s="5" t="s">
        <v>11919</v>
      </c>
      <c r="C2622" s="2" t="s">
        <v>11920</v>
      </c>
      <c r="D2622" s="5" t="s">
        <v>11919</v>
      </c>
      <c r="E2622" s="2" t="s">
        <v>15441</v>
      </c>
      <c r="F2622" s="2" t="s">
        <v>15442</v>
      </c>
      <c r="G2622" s="2" t="s">
        <v>15456</v>
      </c>
      <c r="H2622" s="2" t="s">
        <v>15444</v>
      </c>
    </row>
    <row r="2623">
      <c r="A2623" s="2">
        <v>2621.0</v>
      </c>
      <c r="B2623" s="5" t="s">
        <v>11921</v>
      </c>
      <c r="C2623" s="2" t="s">
        <v>11922</v>
      </c>
      <c r="D2623" s="5" t="s">
        <v>11921</v>
      </c>
      <c r="E2623" s="2" t="s">
        <v>15441</v>
      </c>
      <c r="F2623" s="2" t="s">
        <v>15446</v>
      </c>
      <c r="G2623" s="2" t="s">
        <v>15456</v>
      </c>
      <c r="H2623" s="2" t="s">
        <v>15444</v>
      </c>
    </row>
    <row r="2624">
      <c r="A2624" s="2">
        <v>2622.0</v>
      </c>
      <c r="B2624" s="5" t="s">
        <v>11923</v>
      </c>
      <c r="C2624" s="2" t="s">
        <v>11924</v>
      </c>
      <c r="D2624" s="5" t="s">
        <v>11923</v>
      </c>
      <c r="E2624" s="2" t="s">
        <v>15441</v>
      </c>
      <c r="F2624" s="2" t="s">
        <v>15446</v>
      </c>
      <c r="G2624" s="2" t="s">
        <v>15443</v>
      </c>
      <c r="H2624" s="2" t="s">
        <v>15444</v>
      </c>
    </row>
    <row r="2625">
      <c r="A2625" s="2">
        <v>2623.0</v>
      </c>
      <c r="B2625" s="5" t="s">
        <v>11925</v>
      </c>
      <c r="C2625" s="2" t="s">
        <v>11926</v>
      </c>
      <c r="D2625" s="5" t="s">
        <v>11925</v>
      </c>
      <c r="E2625" s="2" t="s">
        <v>15441</v>
      </c>
      <c r="F2625" s="2" t="s">
        <v>15446</v>
      </c>
      <c r="G2625" s="2" t="s">
        <v>15456</v>
      </c>
      <c r="H2625" s="2" t="s">
        <v>15444</v>
      </c>
    </row>
    <row r="2626">
      <c r="A2626" s="2">
        <v>2624.0</v>
      </c>
      <c r="B2626" s="5" t="s">
        <v>11927</v>
      </c>
      <c r="C2626" s="2" t="s">
        <v>11928</v>
      </c>
      <c r="D2626" s="5" t="s">
        <v>11927</v>
      </c>
      <c r="E2626" s="2" t="s">
        <v>15441</v>
      </c>
      <c r="F2626" s="2" t="s">
        <v>15446</v>
      </c>
      <c r="G2626" s="2" t="s">
        <v>15443</v>
      </c>
      <c r="H2626" s="2" t="s">
        <v>15444</v>
      </c>
    </row>
    <row r="2627">
      <c r="A2627" s="2">
        <v>2625.0</v>
      </c>
      <c r="B2627" s="5" t="s">
        <v>11929</v>
      </c>
      <c r="C2627" s="2" t="s">
        <v>11930</v>
      </c>
      <c r="D2627" s="5" t="s">
        <v>11929</v>
      </c>
      <c r="E2627" s="2" t="s">
        <v>15441</v>
      </c>
      <c r="F2627" s="2" t="s">
        <v>15446</v>
      </c>
      <c r="G2627" s="2" t="s">
        <v>15443</v>
      </c>
      <c r="H2627" s="2" t="s">
        <v>15444</v>
      </c>
    </row>
    <row r="2628">
      <c r="A2628" s="2">
        <v>2626.0</v>
      </c>
      <c r="B2628" s="5" t="s">
        <v>11931</v>
      </c>
      <c r="C2628" s="2" t="s">
        <v>11932</v>
      </c>
      <c r="D2628" s="5" t="s">
        <v>11931</v>
      </c>
      <c r="E2628" s="2" t="s">
        <v>15441</v>
      </c>
      <c r="F2628" s="2" t="s">
        <v>15446</v>
      </c>
      <c r="G2628" s="2" t="s">
        <v>15443</v>
      </c>
      <c r="H2628" s="2" t="s">
        <v>15444</v>
      </c>
    </row>
    <row r="2629">
      <c r="A2629" s="2">
        <v>2627.0</v>
      </c>
      <c r="B2629" s="5" t="s">
        <v>3878</v>
      </c>
      <c r="C2629" s="2" t="s">
        <v>3879</v>
      </c>
      <c r="D2629" s="5" t="s">
        <v>3878</v>
      </c>
      <c r="E2629" s="2" t="s">
        <v>15445</v>
      </c>
      <c r="F2629" s="2" t="s">
        <v>15446</v>
      </c>
      <c r="G2629" s="2" t="s">
        <v>15443</v>
      </c>
      <c r="H2629" s="2" t="s">
        <v>15444</v>
      </c>
    </row>
    <row r="2630">
      <c r="A2630" s="2">
        <v>2628.0</v>
      </c>
      <c r="B2630" s="5" t="s">
        <v>3881</v>
      </c>
      <c r="C2630" s="2" t="s">
        <v>3882</v>
      </c>
      <c r="D2630" s="5" t="s">
        <v>3881</v>
      </c>
      <c r="E2630" s="2" t="s">
        <v>15445</v>
      </c>
      <c r="F2630" s="2" t="s">
        <v>15442</v>
      </c>
      <c r="G2630" s="2" t="s">
        <v>15443</v>
      </c>
      <c r="H2630" s="2" t="s">
        <v>15444</v>
      </c>
    </row>
    <row r="2631">
      <c r="A2631" s="2">
        <v>2629.0</v>
      </c>
      <c r="B2631" s="5" t="s">
        <v>11933</v>
      </c>
      <c r="C2631" s="2" t="s">
        <v>11934</v>
      </c>
      <c r="D2631" s="5" t="s">
        <v>11933</v>
      </c>
      <c r="E2631" s="2" t="s">
        <v>15441</v>
      </c>
      <c r="F2631" s="2" t="s">
        <v>15446</v>
      </c>
      <c r="G2631" s="2" t="s">
        <v>15443</v>
      </c>
      <c r="H2631" s="2" t="s">
        <v>15444</v>
      </c>
    </row>
    <row r="2632">
      <c r="A2632" s="2">
        <v>2630.0</v>
      </c>
      <c r="B2632" s="5" t="s">
        <v>3884</v>
      </c>
      <c r="C2632" s="2" t="s">
        <v>3885</v>
      </c>
      <c r="D2632" s="5" t="s">
        <v>3884</v>
      </c>
      <c r="E2632" s="2" t="s">
        <v>15445</v>
      </c>
      <c r="F2632" s="2" t="s">
        <v>15442</v>
      </c>
      <c r="G2632" s="2" t="s">
        <v>15443</v>
      </c>
      <c r="H2632" s="2" t="s">
        <v>15444</v>
      </c>
    </row>
    <row r="2633">
      <c r="A2633" s="2">
        <v>2631.0</v>
      </c>
      <c r="B2633" s="5" t="s">
        <v>3887</v>
      </c>
      <c r="C2633" s="2" t="s">
        <v>3888</v>
      </c>
      <c r="D2633" s="5" t="s">
        <v>3887</v>
      </c>
      <c r="E2633" s="2" t="s">
        <v>15445</v>
      </c>
      <c r="F2633" s="2" t="s">
        <v>15446</v>
      </c>
      <c r="G2633" s="2" t="s">
        <v>15456</v>
      </c>
      <c r="H2633" s="2" t="s">
        <v>15444</v>
      </c>
    </row>
    <row r="2634">
      <c r="A2634" s="2">
        <v>2632.0</v>
      </c>
      <c r="B2634" s="5" t="s">
        <v>11935</v>
      </c>
      <c r="C2634" s="2" t="s">
        <v>11936</v>
      </c>
      <c r="D2634" s="5" t="s">
        <v>11935</v>
      </c>
      <c r="E2634" s="2" t="s">
        <v>15441</v>
      </c>
      <c r="F2634" s="2" t="s">
        <v>15446</v>
      </c>
      <c r="G2634" s="2" t="s">
        <v>15443</v>
      </c>
      <c r="H2634" s="2" t="s">
        <v>15444</v>
      </c>
    </row>
    <row r="2635">
      <c r="A2635" s="2">
        <v>2633.0</v>
      </c>
      <c r="B2635" s="5" t="s">
        <v>3890</v>
      </c>
      <c r="C2635" s="2" t="s">
        <v>3891</v>
      </c>
      <c r="D2635" s="5" t="s">
        <v>3890</v>
      </c>
      <c r="E2635" s="2" t="s">
        <v>15445</v>
      </c>
      <c r="F2635" s="2" t="s">
        <v>15446</v>
      </c>
      <c r="G2635" s="2" t="s">
        <v>15456</v>
      </c>
      <c r="H2635" s="2" t="s">
        <v>15444</v>
      </c>
    </row>
    <row r="2636">
      <c r="A2636" s="2">
        <v>2634.0</v>
      </c>
      <c r="B2636" s="5" t="s">
        <v>11937</v>
      </c>
      <c r="C2636" s="2" t="s">
        <v>11938</v>
      </c>
      <c r="D2636" s="5" t="s">
        <v>11937</v>
      </c>
      <c r="E2636" s="2" t="s">
        <v>15441</v>
      </c>
      <c r="F2636" s="2" t="s">
        <v>15442</v>
      </c>
      <c r="G2636" s="2" t="s">
        <v>15456</v>
      </c>
      <c r="H2636" s="2" t="s">
        <v>15444</v>
      </c>
    </row>
    <row r="2637">
      <c r="A2637" s="2">
        <v>2635.0</v>
      </c>
      <c r="B2637" s="5" t="s">
        <v>3893</v>
      </c>
      <c r="C2637" s="2" t="s">
        <v>3894</v>
      </c>
      <c r="D2637" s="5" t="s">
        <v>3893</v>
      </c>
      <c r="E2637" s="2" t="s">
        <v>15445</v>
      </c>
      <c r="F2637" s="2" t="s">
        <v>15442</v>
      </c>
      <c r="G2637" s="2" t="s">
        <v>15443</v>
      </c>
      <c r="H2637" s="2" t="s">
        <v>15444</v>
      </c>
    </row>
    <row r="2638">
      <c r="A2638" s="2">
        <v>2636.0</v>
      </c>
      <c r="B2638" s="5" t="s">
        <v>3896</v>
      </c>
      <c r="C2638" s="2" t="s">
        <v>3897</v>
      </c>
      <c r="D2638" s="5" t="s">
        <v>3896</v>
      </c>
      <c r="E2638" s="2" t="s">
        <v>15445</v>
      </c>
      <c r="F2638" s="2" t="s">
        <v>15442</v>
      </c>
      <c r="G2638" s="2" t="s">
        <v>15456</v>
      </c>
      <c r="H2638" s="2" t="s">
        <v>15444</v>
      </c>
    </row>
    <row r="2639">
      <c r="A2639" s="2">
        <v>2637.0</v>
      </c>
      <c r="B2639" s="5" t="s">
        <v>11939</v>
      </c>
      <c r="C2639" s="2" t="s">
        <v>11940</v>
      </c>
      <c r="D2639" s="5" t="s">
        <v>11939</v>
      </c>
      <c r="E2639" s="2" t="s">
        <v>15441</v>
      </c>
      <c r="F2639" s="2" t="s">
        <v>15442</v>
      </c>
      <c r="G2639" s="2" t="s">
        <v>15456</v>
      </c>
      <c r="H2639" s="2" t="s">
        <v>15444</v>
      </c>
    </row>
    <row r="2640">
      <c r="A2640" s="2">
        <v>2638.0</v>
      </c>
      <c r="B2640" s="5" t="s">
        <v>11941</v>
      </c>
      <c r="C2640" s="2" t="s">
        <v>11942</v>
      </c>
      <c r="D2640" s="5" t="s">
        <v>11941</v>
      </c>
      <c r="E2640" s="2" t="s">
        <v>15441</v>
      </c>
      <c r="F2640" s="2" t="s">
        <v>15442</v>
      </c>
      <c r="G2640" s="2" t="s">
        <v>15443</v>
      </c>
      <c r="H2640" s="2" t="s">
        <v>15444</v>
      </c>
    </row>
    <row r="2641">
      <c r="A2641" s="2">
        <v>2639.0</v>
      </c>
      <c r="B2641" s="5" t="s">
        <v>3899</v>
      </c>
      <c r="C2641" s="2" t="s">
        <v>3900</v>
      </c>
      <c r="D2641" s="5" t="s">
        <v>3899</v>
      </c>
      <c r="E2641" s="2" t="s">
        <v>15445</v>
      </c>
      <c r="F2641" s="2" t="s">
        <v>15446</v>
      </c>
      <c r="G2641" s="2" t="s">
        <v>15443</v>
      </c>
      <c r="H2641" s="2" t="s">
        <v>15444</v>
      </c>
    </row>
    <row r="2642">
      <c r="A2642" s="2">
        <v>2640.0</v>
      </c>
      <c r="B2642" s="5" t="s">
        <v>3902</v>
      </c>
      <c r="C2642" s="2" t="s">
        <v>3903</v>
      </c>
      <c r="D2642" s="5" t="s">
        <v>3902</v>
      </c>
      <c r="E2642" s="2" t="s">
        <v>15445</v>
      </c>
      <c r="F2642" s="2" t="s">
        <v>15442</v>
      </c>
      <c r="G2642" s="2" t="s">
        <v>15456</v>
      </c>
      <c r="H2642" s="2" t="s">
        <v>15444</v>
      </c>
    </row>
    <row r="2643">
      <c r="A2643" s="2">
        <v>2641.0</v>
      </c>
      <c r="B2643" s="5" t="s">
        <v>15522</v>
      </c>
      <c r="C2643" s="2" t="s">
        <v>15523</v>
      </c>
      <c r="D2643" s="5" t="s">
        <v>15522</v>
      </c>
      <c r="E2643" s="2" t="s">
        <v>15445</v>
      </c>
      <c r="F2643" s="2" t="s">
        <v>15446</v>
      </c>
      <c r="G2643" s="2" t="s">
        <v>15443</v>
      </c>
      <c r="H2643" s="2" t="s">
        <v>15455</v>
      </c>
    </row>
    <row r="2644">
      <c r="A2644" s="2">
        <v>2642.0</v>
      </c>
      <c r="B2644" s="5" t="s">
        <v>11943</v>
      </c>
      <c r="C2644" s="2" t="s">
        <v>11944</v>
      </c>
      <c r="D2644" s="5" t="s">
        <v>11943</v>
      </c>
      <c r="E2644" s="2" t="s">
        <v>15441</v>
      </c>
      <c r="F2644" s="2" t="s">
        <v>15442</v>
      </c>
      <c r="G2644" s="2" t="s">
        <v>15443</v>
      </c>
      <c r="H2644" s="2" t="s">
        <v>15444</v>
      </c>
    </row>
    <row r="2645">
      <c r="A2645" s="2">
        <v>2643.0</v>
      </c>
      <c r="B2645" s="5" t="s">
        <v>3905</v>
      </c>
      <c r="C2645" s="2" t="s">
        <v>3906</v>
      </c>
      <c r="D2645" s="5" t="s">
        <v>3905</v>
      </c>
      <c r="E2645" s="2" t="s">
        <v>15445</v>
      </c>
      <c r="F2645" s="2" t="s">
        <v>15442</v>
      </c>
      <c r="G2645" s="2" t="s">
        <v>15456</v>
      </c>
      <c r="H2645" s="2" t="s">
        <v>15444</v>
      </c>
    </row>
    <row r="2646">
      <c r="A2646" s="2">
        <v>2644.0</v>
      </c>
      <c r="B2646" s="5" t="s">
        <v>11945</v>
      </c>
      <c r="C2646" s="2" t="s">
        <v>11946</v>
      </c>
      <c r="D2646" s="5" t="s">
        <v>11945</v>
      </c>
      <c r="E2646" s="2" t="s">
        <v>15441</v>
      </c>
      <c r="F2646" s="2" t="s">
        <v>15446</v>
      </c>
      <c r="G2646" s="2" t="s">
        <v>15456</v>
      </c>
      <c r="H2646" s="2" t="s">
        <v>15444</v>
      </c>
    </row>
    <row r="2647">
      <c r="A2647" s="2">
        <v>2645.0</v>
      </c>
      <c r="B2647" s="5" t="s">
        <v>11947</v>
      </c>
      <c r="C2647" s="2" t="s">
        <v>11948</v>
      </c>
      <c r="D2647" s="5" t="s">
        <v>11947</v>
      </c>
      <c r="E2647" s="2" t="s">
        <v>15441</v>
      </c>
      <c r="F2647" s="2" t="s">
        <v>15442</v>
      </c>
      <c r="G2647" s="2" t="s">
        <v>15443</v>
      </c>
      <c r="H2647" s="2" t="s">
        <v>15444</v>
      </c>
    </row>
    <row r="2648">
      <c r="A2648" s="2">
        <v>2646.0</v>
      </c>
      <c r="B2648" s="5" t="s">
        <v>3908</v>
      </c>
      <c r="C2648" s="2" t="s">
        <v>3909</v>
      </c>
      <c r="D2648" s="5" t="s">
        <v>3908</v>
      </c>
      <c r="E2648" s="2" t="s">
        <v>15445</v>
      </c>
      <c r="F2648" s="2" t="s">
        <v>15446</v>
      </c>
      <c r="G2648" s="2" t="s">
        <v>15456</v>
      </c>
      <c r="H2648" s="2" t="s">
        <v>15444</v>
      </c>
    </row>
    <row r="2649">
      <c r="A2649" s="2">
        <v>2647.0</v>
      </c>
      <c r="B2649" s="5" t="s">
        <v>11949</v>
      </c>
      <c r="C2649" s="2" t="s">
        <v>11950</v>
      </c>
      <c r="D2649" s="5" t="s">
        <v>11949</v>
      </c>
      <c r="E2649" s="2" t="s">
        <v>15441</v>
      </c>
      <c r="F2649" s="2" t="s">
        <v>15446</v>
      </c>
      <c r="G2649" s="2" t="s">
        <v>15456</v>
      </c>
      <c r="H2649" s="2" t="s">
        <v>15444</v>
      </c>
    </row>
    <row r="2650">
      <c r="A2650" s="2">
        <v>2648.0</v>
      </c>
      <c r="B2650" s="5" t="s">
        <v>11951</v>
      </c>
      <c r="C2650" s="2" t="s">
        <v>11952</v>
      </c>
      <c r="D2650" s="5" t="s">
        <v>11951</v>
      </c>
      <c r="E2650" s="2" t="s">
        <v>15441</v>
      </c>
      <c r="F2650" s="2" t="s">
        <v>15442</v>
      </c>
      <c r="G2650" s="2" t="s">
        <v>15443</v>
      </c>
      <c r="H2650" s="2" t="s">
        <v>15444</v>
      </c>
    </row>
    <row r="2651">
      <c r="A2651" s="2">
        <v>2649.0</v>
      </c>
      <c r="B2651" s="5" t="s">
        <v>3911</v>
      </c>
      <c r="C2651" s="2" t="s">
        <v>3912</v>
      </c>
      <c r="D2651" s="5" t="s">
        <v>3911</v>
      </c>
      <c r="E2651" s="2" t="s">
        <v>15445</v>
      </c>
      <c r="F2651" s="2" t="s">
        <v>15446</v>
      </c>
      <c r="G2651" s="2" t="s">
        <v>15456</v>
      </c>
      <c r="H2651" s="2" t="s">
        <v>15444</v>
      </c>
    </row>
    <row r="2652">
      <c r="A2652" s="2">
        <v>2650.0</v>
      </c>
      <c r="B2652" s="5" t="s">
        <v>3914</v>
      </c>
      <c r="C2652" s="2" t="s">
        <v>3915</v>
      </c>
      <c r="D2652" s="5" t="s">
        <v>3914</v>
      </c>
      <c r="E2652" s="2" t="s">
        <v>15445</v>
      </c>
      <c r="F2652" s="2" t="s">
        <v>15446</v>
      </c>
      <c r="G2652" s="2" t="s">
        <v>15443</v>
      </c>
      <c r="H2652" s="2" t="s">
        <v>15457</v>
      </c>
    </row>
    <row r="2653">
      <c r="A2653" s="2">
        <v>2651.0</v>
      </c>
      <c r="B2653" s="5" t="s">
        <v>11953</v>
      </c>
      <c r="C2653" s="2" t="s">
        <v>11954</v>
      </c>
      <c r="D2653" s="5" t="s">
        <v>11953</v>
      </c>
      <c r="E2653" s="2" t="s">
        <v>15441</v>
      </c>
      <c r="F2653" s="2" t="s">
        <v>15446</v>
      </c>
      <c r="G2653" s="2" t="s">
        <v>15443</v>
      </c>
      <c r="H2653" s="2" t="s">
        <v>15457</v>
      </c>
    </row>
    <row r="2654">
      <c r="A2654" s="2">
        <v>2652.0</v>
      </c>
      <c r="B2654" s="5" t="s">
        <v>3917</v>
      </c>
      <c r="C2654" s="2" t="s">
        <v>3918</v>
      </c>
      <c r="D2654" s="5" t="s">
        <v>3917</v>
      </c>
      <c r="E2654" s="2" t="s">
        <v>15445</v>
      </c>
      <c r="F2654" s="2" t="s">
        <v>15446</v>
      </c>
      <c r="G2654" s="2" t="s">
        <v>15456</v>
      </c>
      <c r="H2654" s="2" t="s">
        <v>15444</v>
      </c>
    </row>
    <row r="2655">
      <c r="A2655" s="2">
        <v>2653.0</v>
      </c>
      <c r="B2655" s="5" t="s">
        <v>11955</v>
      </c>
      <c r="C2655" s="2" t="s">
        <v>11956</v>
      </c>
      <c r="D2655" s="5" t="s">
        <v>11955</v>
      </c>
      <c r="E2655" s="2" t="s">
        <v>15441</v>
      </c>
      <c r="F2655" s="2" t="s">
        <v>15442</v>
      </c>
      <c r="G2655" s="2" t="s">
        <v>15443</v>
      </c>
      <c r="H2655" s="2" t="s">
        <v>15444</v>
      </c>
    </row>
    <row r="2656">
      <c r="A2656" s="2">
        <v>2654.0</v>
      </c>
      <c r="B2656" s="5" t="s">
        <v>11957</v>
      </c>
      <c r="C2656" s="2" t="s">
        <v>11958</v>
      </c>
      <c r="D2656" s="5" t="s">
        <v>11957</v>
      </c>
      <c r="E2656" s="2" t="s">
        <v>15441</v>
      </c>
      <c r="F2656" s="2" t="s">
        <v>15442</v>
      </c>
      <c r="G2656" s="2" t="s">
        <v>15443</v>
      </c>
      <c r="H2656" s="2" t="s">
        <v>15444</v>
      </c>
    </row>
    <row r="2657">
      <c r="A2657" s="2">
        <v>2655.0</v>
      </c>
      <c r="B2657" s="5" t="s">
        <v>3920</v>
      </c>
      <c r="C2657" s="2" t="s">
        <v>3921</v>
      </c>
      <c r="D2657" s="5" t="s">
        <v>3920</v>
      </c>
      <c r="E2657" s="2" t="s">
        <v>15445</v>
      </c>
      <c r="F2657" s="2" t="s">
        <v>15442</v>
      </c>
      <c r="G2657" s="2" t="s">
        <v>15443</v>
      </c>
      <c r="H2657" s="2" t="s">
        <v>15444</v>
      </c>
    </row>
    <row r="2658">
      <c r="A2658" s="2">
        <v>2656.0</v>
      </c>
      <c r="B2658" s="5" t="s">
        <v>3923</v>
      </c>
      <c r="C2658" s="2" t="s">
        <v>3924</v>
      </c>
      <c r="D2658" s="5" t="s">
        <v>3923</v>
      </c>
      <c r="E2658" s="2" t="s">
        <v>15445</v>
      </c>
      <c r="F2658" s="2" t="s">
        <v>15446</v>
      </c>
      <c r="G2658" s="2" t="s">
        <v>15456</v>
      </c>
      <c r="H2658" s="2" t="s">
        <v>15444</v>
      </c>
    </row>
    <row r="2659">
      <c r="A2659" s="2">
        <v>2657.0</v>
      </c>
      <c r="B2659" s="5" t="s">
        <v>3926</v>
      </c>
      <c r="C2659" s="2" t="s">
        <v>3927</v>
      </c>
      <c r="D2659" s="5" t="s">
        <v>3926</v>
      </c>
      <c r="E2659" s="2" t="s">
        <v>15445</v>
      </c>
      <c r="F2659" s="2" t="s">
        <v>15442</v>
      </c>
      <c r="G2659" s="2" t="s">
        <v>15456</v>
      </c>
      <c r="H2659" s="2" t="s">
        <v>15444</v>
      </c>
    </row>
    <row r="2660">
      <c r="A2660" s="2">
        <v>2658.0</v>
      </c>
      <c r="B2660" s="5" t="s">
        <v>11959</v>
      </c>
      <c r="C2660" s="2" t="s">
        <v>11960</v>
      </c>
      <c r="D2660" s="5" t="s">
        <v>11959</v>
      </c>
      <c r="E2660" s="2" t="s">
        <v>15441</v>
      </c>
      <c r="F2660" s="2" t="s">
        <v>15442</v>
      </c>
      <c r="G2660" s="2" t="s">
        <v>15443</v>
      </c>
      <c r="H2660" s="2" t="s">
        <v>15444</v>
      </c>
    </row>
    <row r="2661">
      <c r="A2661" s="2">
        <v>2659.0</v>
      </c>
      <c r="B2661" s="5" t="s">
        <v>11961</v>
      </c>
      <c r="C2661" s="2" t="s">
        <v>11962</v>
      </c>
      <c r="D2661" s="5" t="s">
        <v>11961</v>
      </c>
      <c r="E2661" s="2" t="s">
        <v>15441</v>
      </c>
      <c r="F2661" s="2" t="s">
        <v>15446</v>
      </c>
      <c r="G2661" s="2" t="s">
        <v>15443</v>
      </c>
      <c r="H2661" s="2" t="s">
        <v>15462</v>
      </c>
    </row>
    <row r="2662">
      <c r="A2662" s="2">
        <v>2660.0</v>
      </c>
      <c r="B2662" s="5" t="s">
        <v>3929</v>
      </c>
      <c r="C2662" s="2" t="s">
        <v>3930</v>
      </c>
      <c r="D2662" s="5" t="s">
        <v>3929</v>
      </c>
      <c r="E2662" s="2" t="s">
        <v>15445</v>
      </c>
      <c r="F2662" s="2" t="s">
        <v>15442</v>
      </c>
      <c r="G2662" s="2" t="s">
        <v>15443</v>
      </c>
      <c r="H2662" s="2" t="s">
        <v>15444</v>
      </c>
    </row>
    <row r="2663">
      <c r="A2663" s="2">
        <v>2661.0</v>
      </c>
      <c r="B2663" s="5" t="s">
        <v>3932</v>
      </c>
      <c r="C2663" s="2" t="s">
        <v>3933</v>
      </c>
      <c r="D2663" s="5" t="s">
        <v>3932</v>
      </c>
      <c r="E2663" s="2" t="s">
        <v>15445</v>
      </c>
      <c r="F2663" s="2" t="s">
        <v>15446</v>
      </c>
      <c r="G2663" s="2" t="s">
        <v>15443</v>
      </c>
      <c r="H2663" s="2" t="s">
        <v>15444</v>
      </c>
    </row>
    <row r="2664">
      <c r="A2664" s="2">
        <v>2662.0</v>
      </c>
      <c r="B2664" s="5" t="s">
        <v>11963</v>
      </c>
      <c r="C2664" s="2" t="s">
        <v>11964</v>
      </c>
      <c r="D2664" s="5" t="s">
        <v>11963</v>
      </c>
      <c r="E2664" s="2" t="s">
        <v>15441</v>
      </c>
      <c r="F2664" s="2" t="s">
        <v>15446</v>
      </c>
      <c r="G2664" s="2" t="s">
        <v>15456</v>
      </c>
      <c r="H2664" s="2" t="s">
        <v>15444</v>
      </c>
    </row>
    <row r="2665">
      <c r="A2665" s="2">
        <v>2663.0</v>
      </c>
      <c r="B2665" s="5" t="s">
        <v>3935</v>
      </c>
      <c r="C2665" s="2" t="s">
        <v>3936</v>
      </c>
      <c r="D2665" s="5" t="s">
        <v>3935</v>
      </c>
      <c r="E2665" s="2" t="s">
        <v>15445</v>
      </c>
      <c r="F2665" s="2" t="s">
        <v>15442</v>
      </c>
      <c r="G2665" s="2" t="s">
        <v>15443</v>
      </c>
      <c r="H2665" s="2" t="s">
        <v>15444</v>
      </c>
    </row>
    <row r="2666">
      <c r="A2666" s="2">
        <v>2664.0</v>
      </c>
      <c r="B2666" s="5" t="s">
        <v>3938</v>
      </c>
      <c r="C2666" s="2" t="s">
        <v>3939</v>
      </c>
      <c r="D2666" s="5" t="s">
        <v>3938</v>
      </c>
      <c r="E2666" s="2" t="s">
        <v>15445</v>
      </c>
      <c r="F2666" s="2" t="s">
        <v>15442</v>
      </c>
      <c r="G2666" s="2" t="s">
        <v>15443</v>
      </c>
      <c r="H2666" s="2" t="s">
        <v>15444</v>
      </c>
    </row>
    <row r="2667">
      <c r="A2667" s="2">
        <v>2665.0</v>
      </c>
      <c r="B2667" s="5" t="s">
        <v>11965</v>
      </c>
      <c r="C2667" s="2" t="s">
        <v>11966</v>
      </c>
      <c r="D2667" s="5" t="s">
        <v>11965</v>
      </c>
      <c r="E2667" s="2" t="s">
        <v>15441</v>
      </c>
      <c r="F2667" s="2" t="s">
        <v>15446</v>
      </c>
      <c r="G2667" s="2" t="s">
        <v>15443</v>
      </c>
      <c r="H2667" s="2" t="s">
        <v>15444</v>
      </c>
    </row>
    <row r="2668">
      <c r="A2668" s="2">
        <v>2666.0</v>
      </c>
      <c r="B2668" s="5" t="s">
        <v>3941</v>
      </c>
      <c r="C2668" s="2" t="s">
        <v>3942</v>
      </c>
      <c r="D2668" s="5" t="s">
        <v>3941</v>
      </c>
      <c r="E2668" s="2" t="s">
        <v>15445</v>
      </c>
      <c r="F2668" s="2" t="s">
        <v>15442</v>
      </c>
      <c r="G2668" s="2" t="s">
        <v>15443</v>
      </c>
      <c r="H2668" s="2" t="s">
        <v>15444</v>
      </c>
    </row>
    <row r="2669">
      <c r="A2669" s="2">
        <v>2667.0</v>
      </c>
      <c r="B2669" s="5" t="s">
        <v>3944</v>
      </c>
      <c r="C2669" s="2" t="s">
        <v>3945</v>
      </c>
      <c r="D2669" s="5" t="s">
        <v>3944</v>
      </c>
      <c r="E2669" s="2" t="s">
        <v>15445</v>
      </c>
      <c r="F2669" s="2" t="s">
        <v>15442</v>
      </c>
      <c r="G2669" s="2" t="s">
        <v>15443</v>
      </c>
      <c r="H2669" s="2" t="s">
        <v>15457</v>
      </c>
    </row>
    <row r="2670">
      <c r="A2670" s="2">
        <v>2668.0</v>
      </c>
      <c r="B2670" s="5" t="s">
        <v>3947</v>
      </c>
      <c r="C2670" s="2" t="s">
        <v>3948</v>
      </c>
      <c r="D2670" s="5" t="s">
        <v>3947</v>
      </c>
      <c r="E2670" s="2" t="s">
        <v>15445</v>
      </c>
      <c r="F2670" s="2" t="s">
        <v>15442</v>
      </c>
      <c r="G2670" s="2" t="s">
        <v>15443</v>
      </c>
      <c r="H2670" s="2" t="s">
        <v>15444</v>
      </c>
    </row>
    <row r="2671">
      <c r="A2671" s="2">
        <v>2669.0</v>
      </c>
      <c r="B2671" s="5" t="s">
        <v>3950</v>
      </c>
      <c r="C2671" s="2" t="s">
        <v>3951</v>
      </c>
      <c r="D2671" s="5" t="s">
        <v>3950</v>
      </c>
      <c r="E2671" s="2" t="s">
        <v>15445</v>
      </c>
      <c r="F2671" s="2" t="s">
        <v>15442</v>
      </c>
      <c r="G2671" s="2" t="s">
        <v>15443</v>
      </c>
      <c r="H2671" s="2" t="s">
        <v>15444</v>
      </c>
    </row>
    <row r="2672">
      <c r="A2672" s="2">
        <v>2670.0</v>
      </c>
      <c r="B2672" s="5" t="s">
        <v>11967</v>
      </c>
      <c r="C2672" s="2" t="s">
        <v>11968</v>
      </c>
      <c r="D2672" s="5" t="s">
        <v>11967</v>
      </c>
      <c r="E2672" s="2" t="s">
        <v>15441</v>
      </c>
      <c r="F2672" s="2" t="s">
        <v>15442</v>
      </c>
      <c r="G2672" s="2" t="s">
        <v>15456</v>
      </c>
      <c r="H2672" s="2" t="s">
        <v>15444</v>
      </c>
    </row>
    <row r="2673">
      <c r="A2673" s="2">
        <v>2671.0</v>
      </c>
      <c r="B2673" s="5" t="s">
        <v>11969</v>
      </c>
      <c r="C2673" s="2" t="s">
        <v>11970</v>
      </c>
      <c r="D2673" s="5" t="s">
        <v>11969</v>
      </c>
      <c r="E2673" s="2" t="s">
        <v>15441</v>
      </c>
      <c r="F2673" s="2" t="s">
        <v>15446</v>
      </c>
      <c r="G2673" s="2" t="s">
        <v>15456</v>
      </c>
      <c r="H2673" s="2" t="s">
        <v>15444</v>
      </c>
    </row>
    <row r="2674">
      <c r="A2674" s="2">
        <v>2672.0</v>
      </c>
      <c r="B2674" s="5" t="s">
        <v>3953</v>
      </c>
      <c r="C2674" s="2" t="s">
        <v>3954</v>
      </c>
      <c r="D2674" s="5" t="s">
        <v>3953</v>
      </c>
      <c r="E2674" s="2" t="s">
        <v>15445</v>
      </c>
      <c r="F2674" s="2" t="s">
        <v>15446</v>
      </c>
      <c r="G2674" s="2" t="s">
        <v>15443</v>
      </c>
      <c r="H2674" s="2" t="s">
        <v>15444</v>
      </c>
    </row>
    <row r="2675">
      <c r="A2675" s="2">
        <v>2673.0</v>
      </c>
      <c r="B2675" s="5" t="s">
        <v>3956</v>
      </c>
      <c r="C2675" s="2" t="s">
        <v>3957</v>
      </c>
      <c r="D2675" s="5" t="s">
        <v>3956</v>
      </c>
      <c r="E2675" s="2" t="s">
        <v>15445</v>
      </c>
      <c r="F2675" s="2" t="s">
        <v>15446</v>
      </c>
      <c r="G2675" s="2" t="s">
        <v>15456</v>
      </c>
      <c r="H2675" s="2" t="s">
        <v>15444</v>
      </c>
    </row>
    <row r="2676">
      <c r="A2676" s="2">
        <v>2674.0</v>
      </c>
      <c r="B2676" s="5" t="s">
        <v>11971</v>
      </c>
      <c r="C2676" s="2" t="s">
        <v>11972</v>
      </c>
      <c r="D2676" s="5" t="s">
        <v>11971</v>
      </c>
      <c r="E2676" s="2" t="s">
        <v>15441</v>
      </c>
      <c r="F2676" s="2" t="s">
        <v>15442</v>
      </c>
      <c r="G2676" s="2" t="s">
        <v>15456</v>
      </c>
      <c r="H2676" s="2" t="s">
        <v>15444</v>
      </c>
    </row>
    <row r="2677">
      <c r="A2677" s="2">
        <v>2675.0</v>
      </c>
      <c r="B2677" s="5" t="s">
        <v>3959</v>
      </c>
      <c r="C2677" s="2" t="s">
        <v>3960</v>
      </c>
      <c r="D2677" s="5" t="s">
        <v>3959</v>
      </c>
      <c r="E2677" s="2" t="s">
        <v>15445</v>
      </c>
      <c r="F2677" s="2" t="s">
        <v>15446</v>
      </c>
      <c r="G2677" s="2" t="s">
        <v>15456</v>
      </c>
      <c r="H2677" s="2" t="s">
        <v>15444</v>
      </c>
    </row>
    <row r="2678">
      <c r="A2678" s="2">
        <v>2676.0</v>
      </c>
      <c r="B2678" s="5" t="s">
        <v>11973</v>
      </c>
      <c r="C2678" s="2" t="s">
        <v>11974</v>
      </c>
      <c r="D2678" s="5" t="s">
        <v>11973</v>
      </c>
      <c r="E2678" s="2" t="s">
        <v>15441</v>
      </c>
      <c r="F2678" s="2" t="s">
        <v>15446</v>
      </c>
      <c r="G2678" s="2" t="s">
        <v>15456</v>
      </c>
      <c r="H2678" s="2" t="s">
        <v>15457</v>
      </c>
    </row>
    <row r="2679">
      <c r="A2679" s="2">
        <v>2677.0</v>
      </c>
      <c r="B2679" s="5" t="s">
        <v>11975</v>
      </c>
      <c r="C2679" s="2" t="s">
        <v>11976</v>
      </c>
      <c r="D2679" s="5" t="s">
        <v>11975</v>
      </c>
      <c r="E2679" s="2" t="s">
        <v>15441</v>
      </c>
      <c r="F2679" s="2" t="s">
        <v>15442</v>
      </c>
      <c r="G2679" s="2" t="s">
        <v>15443</v>
      </c>
      <c r="H2679" s="2" t="s">
        <v>15444</v>
      </c>
    </row>
    <row r="2680">
      <c r="A2680" s="2">
        <v>2678.0</v>
      </c>
      <c r="B2680" s="5" t="s">
        <v>3962</v>
      </c>
      <c r="C2680" s="2" t="s">
        <v>3963</v>
      </c>
      <c r="D2680" s="5" t="s">
        <v>3962</v>
      </c>
      <c r="E2680" s="2" t="s">
        <v>15445</v>
      </c>
      <c r="F2680" s="2" t="s">
        <v>15446</v>
      </c>
      <c r="G2680" s="2" t="s">
        <v>15443</v>
      </c>
      <c r="H2680" s="2" t="s">
        <v>15455</v>
      </c>
    </row>
    <row r="2681">
      <c r="A2681" s="2">
        <v>2679.0</v>
      </c>
      <c r="B2681" s="5" t="s">
        <v>3965</v>
      </c>
      <c r="C2681" s="2" t="s">
        <v>3966</v>
      </c>
      <c r="D2681" s="5" t="s">
        <v>3965</v>
      </c>
      <c r="E2681" s="2" t="s">
        <v>15445</v>
      </c>
      <c r="F2681" s="2" t="s">
        <v>15446</v>
      </c>
      <c r="G2681" s="2" t="s">
        <v>15443</v>
      </c>
      <c r="H2681" s="2" t="s">
        <v>15444</v>
      </c>
    </row>
    <row r="2682">
      <c r="A2682" s="2">
        <v>2680.0</v>
      </c>
      <c r="B2682" s="5" t="s">
        <v>3968</v>
      </c>
      <c r="C2682" s="2" t="s">
        <v>3969</v>
      </c>
      <c r="D2682" s="5" t="s">
        <v>3968</v>
      </c>
      <c r="E2682" s="2" t="s">
        <v>15445</v>
      </c>
      <c r="F2682" s="2" t="s">
        <v>15442</v>
      </c>
      <c r="G2682" s="2" t="s">
        <v>15443</v>
      </c>
      <c r="H2682" s="2" t="s">
        <v>15444</v>
      </c>
    </row>
    <row r="2683">
      <c r="A2683" s="2">
        <v>2681.0</v>
      </c>
      <c r="B2683" s="5" t="s">
        <v>11977</v>
      </c>
      <c r="C2683" s="2" t="s">
        <v>11978</v>
      </c>
      <c r="D2683" s="5" t="s">
        <v>11977</v>
      </c>
      <c r="E2683" s="2" t="s">
        <v>15441</v>
      </c>
      <c r="F2683" s="2" t="s">
        <v>15442</v>
      </c>
      <c r="G2683" s="2" t="s">
        <v>15443</v>
      </c>
      <c r="H2683" s="2" t="s">
        <v>15444</v>
      </c>
    </row>
    <row r="2684">
      <c r="A2684" s="2">
        <v>2682.0</v>
      </c>
      <c r="B2684" s="5" t="s">
        <v>3971</v>
      </c>
      <c r="C2684" s="2" t="s">
        <v>3972</v>
      </c>
      <c r="D2684" s="5" t="s">
        <v>3971</v>
      </c>
      <c r="E2684" s="2" t="s">
        <v>15445</v>
      </c>
      <c r="F2684" s="2" t="s">
        <v>15446</v>
      </c>
      <c r="G2684" s="2" t="s">
        <v>15443</v>
      </c>
      <c r="H2684" s="2" t="s">
        <v>15444</v>
      </c>
    </row>
    <row r="2685">
      <c r="A2685" s="2">
        <v>2683.0</v>
      </c>
      <c r="B2685" s="5" t="s">
        <v>3974</v>
      </c>
      <c r="C2685" s="2" t="s">
        <v>3975</v>
      </c>
      <c r="D2685" s="5" t="s">
        <v>3974</v>
      </c>
      <c r="E2685" s="2" t="s">
        <v>15445</v>
      </c>
      <c r="F2685" s="2" t="s">
        <v>15446</v>
      </c>
      <c r="G2685" s="2" t="s">
        <v>15443</v>
      </c>
      <c r="H2685" s="2" t="s">
        <v>15444</v>
      </c>
    </row>
    <row r="2686">
      <c r="A2686" s="2">
        <v>2684.0</v>
      </c>
      <c r="B2686" s="5" t="s">
        <v>3977</v>
      </c>
      <c r="C2686" s="2" t="s">
        <v>3978</v>
      </c>
      <c r="D2686" s="5" t="s">
        <v>3977</v>
      </c>
      <c r="E2686" s="2" t="s">
        <v>15445</v>
      </c>
      <c r="F2686" s="2" t="s">
        <v>15446</v>
      </c>
      <c r="G2686" s="2" t="s">
        <v>15456</v>
      </c>
      <c r="H2686" s="2" t="s">
        <v>15444</v>
      </c>
    </row>
    <row r="2687">
      <c r="A2687" s="2">
        <v>2685.0</v>
      </c>
      <c r="B2687" s="5" t="s">
        <v>11979</v>
      </c>
      <c r="C2687" s="2" t="s">
        <v>11980</v>
      </c>
      <c r="D2687" s="5" t="s">
        <v>11979</v>
      </c>
      <c r="E2687" s="2" t="s">
        <v>15441</v>
      </c>
      <c r="F2687" s="2" t="s">
        <v>15446</v>
      </c>
      <c r="G2687" s="2" t="s">
        <v>15456</v>
      </c>
      <c r="H2687" s="2" t="s">
        <v>15444</v>
      </c>
    </row>
    <row r="2688">
      <c r="A2688" s="2">
        <v>2686.0</v>
      </c>
      <c r="B2688" s="5" t="s">
        <v>3980</v>
      </c>
      <c r="C2688" s="2" t="s">
        <v>3981</v>
      </c>
      <c r="D2688" s="5" t="s">
        <v>3980</v>
      </c>
      <c r="E2688" s="2" t="s">
        <v>15445</v>
      </c>
      <c r="F2688" s="2" t="s">
        <v>15442</v>
      </c>
      <c r="G2688" s="2" t="s">
        <v>15443</v>
      </c>
      <c r="H2688" s="2" t="s">
        <v>15444</v>
      </c>
    </row>
    <row r="2689">
      <c r="A2689" s="2">
        <v>2687.0</v>
      </c>
      <c r="B2689" s="5" t="s">
        <v>3983</v>
      </c>
      <c r="C2689" s="2" t="s">
        <v>3984</v>
      </c>
      <c r="D2689" s="5" t="s">
        <v>3983</v>
      </c>
      <c r="E2689" s="2" t="s">
        <v>15445</v>
      </c>
      <c r="F2689" s="2" t="s">
        <v>15446</v>
      </c>
      <c r="G2689" s="2" t="s">
        <v>15443</v>
      </c>
      <c r="H2689" s="2" t="s">
        <v>15444</v>
      </c>
    </row>
    <row r="2690">
      <c r="A2690" s="2">
        <v>2688.0</v>
      </c>
      <c r="B2690" s="5" t="s">
        <v>11981</v>
      </c>
      <c r="C2690" s="2" t="s">
        <v>11982</v>
      </c>
      <c r="D2690" s="5" t="s">
        <v>11981</v>
      </c>
      <c r="E2690" s="2" t="s">
        <v>15441</v>
      </c>
      <c r="F2690" s="2" t="s">
        <v>15446</v>
      </c>
      <c r="G2690" s="2" t="s">
        <v>15456</v>
      </c>
      <c r="H2690" s="2" t="s">
        <v>15444</v>
      </c>
    </row>
    <row r="2691">
      <c r="A2691" s="2">
        <v>2689.0</v>
      </c>
      <c r="B2691" s="5" t="s">
        <v>3986</v>
      </c>
      <c r="C2691" s="2" t="s">
        <v>3987</v>
      </c>
      <c r="D2691" s="5" t="s">
        <v>3986</v>
      </c>
      <c r="E2691" s="2" t="s">
        <v>15445</v>
      </c>
      <c r="F2691" s="2" t="s">
        <v>15446</v>
      </c>
      <c r="G2691" s="2" t="s">
        <v>15456</v>
      </c>
      <c r="H2691" s="2" t="s">
        <v>15462</v>
      </c>
    </row>
    <row r="2692">
      <c r="A2692" s="2">
        <v>2690.0</v>
      </c>
      <c r="B2692" s="5" t="s">
        <v>3989</v>
      </c>
      <c r="C2692" s="2" t="s">
        <v>3990</v>
      </c>
      <c r="D2692" s="5" t="s">
        <v>3989</v>
      </c>
      <c r="E2692" s="2" t="s">
        <v>15445</v>
      </c>
      <c r="F2692" s="2" t="s">
        <v>15442</v>
      </c>
      <c r="G2692" s="2" t="s">
        <v>15443</v>
      </c>
      <c r="H2692" s="2" t="s">
        <v>15444</v>
      </c>
    </row>
    <row r="2693">
      <c r="A2693" s="2">
        <v>2691.0</v>
      </c>
      <c r="B2693" s="5" t="s">
        <v>11983</v>
      </c>
      <c r="C2693" s="2" t="s">
        <v>11984</v>
      </c>
      <c r="D2693" s="5" t="s">
        <v>11983</v>
      </c>
      <c r="E2693" s="2" t="s">
        <v>15441</v>
      </c>
      <c r="F2693" s="2" t="s">
        <v>15442</v>
      </c>
      <c r="G2693" s="2" t="s">
        <v>15443</v>
      </c>
      <c r="H2693" s="2" t="s">
        <v>15444</v>
      </c>
    </row>
    <row r="2694">
      <c r="A2694" s="2">
        <v>2692.0</v>
      </c>
      <c r="B2694" s="5" t="s">
        <v>11985</v>
      </c>
      <c r="C2694" s="2" t="s">
        <v>10246</v>
      </c>
      <c r="D2694" s="5" t="s">
        <v>11985</v>
      </c>
      <c r="E2694" s="2" t="s">
        <v>15441</v>
      </c>
      <c r="F2694" s="2" t="s">
        <v>15446</v>
      </c>
      <c r="G2694" s="2" t="s">
        <v>15443</v>
      </c>
      <c r="H2694" s="2" t="s">
        <v>15455</v>
      </c>
    </row>
    <row r="2695">
      <c r="A2695" s="2">
        <v>2693.0</v>
      </c>
      <c r="B2695" s="5" t="s">
        <v>3992</v>
      </c>
      <c r="C2695" s="2" t="s">
        <v>3993</v>
      </c>
      <c r="D2695" s="5" t="s">
        <v>3992</v>
      </c>
      <c r="E2695" s="2" t="s">
        <v>15445</v>
      </c>
      <c r="F2695" s="2" t="s">
        <v>15446</v>
      </c>
      <c r="G2695" s="2" t="s">
        <v>15456</v>
      </c>
      <c r="H2695" s="2" t="s">
        <v>15444</v>
      </c>
    </row>
    <row r="2696">
      <c r="A2696" s="2">
        <v>2694.0</v>
      </c>
      <c r="B2696" s="5" t="s">
        <v>11986</v>
      </c>
      <c r="C2696" s="2" t="s">
        <v>11987</v>
      </c>
      <c r="D2696" s="5" t="s">
        <v>11986</v>
      </c>
      <c r="E2696" s="2" t="s">
        <v>15441</v>
      </c>
      <c r="F2696" s="2" t="s">
        <v>15446</v>
      </c>
      <c r="G2696" s="2" t="s">
        <v>15456</v>
      </c>
      <c r="H2696" s="2" t="s">
        <v>15444</v>
      </c>
    </row>
    <row r="2697">
      <c r="A2697" s="2">
        <v>2695.0</v>
      </c>
      <c r="B2697" s="5" t="s">
        <v>3995</v>
      </c>
      <c r="C2697" s="2" t="s">
        <v>3996</v>
      </c>
      <c r="D2697" s="5" t="s">
        <v>3995</v>
      </c>
      <c r="E2697" s="2" t="s">
        <v>15445</v>
      </c>
      <c r="F2697" s="2" t="s">
        <v>15446</v>
      </c>
      <c r="G2697" s="2" t="s">
        <v>15443</v>
      </c>
      <c r="H2697" s="2" t="s">
        <v>15444</v>
      </c>
    </row>
    <row r="2698">
      <c r="A2698" s="2">
        <v>2696.0</v>
      </c>
      <c r="B2698" s="5" t="s">
        <v>3998</v>
      </c>
      <c r="C2698" s="2" t="s">
        <v>3999</v>
      </c>
      <c r="D2698" s="5" t="s">
        <v>3998</v>
      </c>
      <c r="E2698" s="2" t="s">
        <v>15445</v>
      </c>
      <c r="F2698" s="2" t="s">
        <v>15446</v>
      </c>
      <c r="G2698" s="2" t="s">
        <v>15456</v>
      </c>
      <c r="H2698" s="2" t="s">
        <v>15444</v>
      </c>
    </row>
    <row r="2699">
      <c r="A2699" s="2">
        <v>2697.0</v>
      </c>
      <c r="B2699" s="5" t="s">
        <v>4001</v>
      </c>
      <c r="C2699" s="2" t="s">
        <v>4002</v>
      </c>
      <c r="D2699" s="5" t="s">
        <v>4001</v>
      </c>
      <c r="E2699" s="2" t="s">
        <v>15445</v>
      </c>
      <c r="F2699" s="2" t="s">
        <v>15446</v>
      </c>
      <c r="G2699" s="2" t="s">
        <v>15443</v>
      </c>
      <c r="H2699" s="2" t="s">
        <v>15444</v>
      </c>
    </row>
    <row r="2700">
      <c r="A2700" s="2">
        <v>2698.0</v>
      </c>
      <c r="B2700" s="5" t="s">
        <v>11988</v>
      </c>
      <c r="C2700" s="2" t="s">
        <v>11989</v>
      </c>
      <c r="D2700" s="5" t="s">
        <v>11988</v>
      </c>
      <c r="E2700" s="2" t="s">
        <v>15441</v>
      </c>
      <c r="F2700" s="2" t="s">
        <v>15442</v>
      </c>
      <c r="G2700" s="2" t="s">
        <v>15443</v>
      </c>
      <c r="H2700" s="2" t="s">
        <v>15444</v>
      </c>
    </row>
    <row r="2701">
      <c r="A2701" s="2">
        <v>2699.0</v>
      </c>
      <c r="B2701" s="5" t="s">
        <v>11990</v>
      </c>
      <c r="C2701" s="2" t="s">
        <v>11991</v>
      </c>
      <c r="D2701" s="5" t="s">
        <v>11990</v>
      </c>
      <c r="E2701" s="2" t="s">
        <v>15441</v>
      </c>
      <c r="F2701" s="2" t="s">
        <v>15446</v>
      </c>
      <c r="G2701" s="2" t="s">
        <v>15456</v>
      </c>
      <c r="H2701" s="2" t="s">
        <v>15444</v>
      </c>
    </row>
    <row r="2702">
      <c r="A2702" s="2">
        <v>2700.0</v>
      </c>
      <c r="B2702" s="5" t="s">
        <v>11992</v>
      </c>
      <c r="C2702" s="2" t="s">
        <v>11993</v>
      </c>
      <c r="D2702" s="5" t="s">
        <v>11992</v>
      </c>
      <c r="E2702" s="2" t="s">
        <v>15441</v>
      </c>
      <c r="F2702" s="2" t="s">
        <v>15442</v>
      </c>
      <c r="G2702" s="2" t="s">
        <v>15443</v>
      </c>
      <c r="H2702" s="2" t="s">
        <v>15444</v>
      </c>
    </row>
    <row r="2703">
      <c r="A2703" s="2">
        <v>2701.0</v>
      </c>
      <c r="B2703" s="5" t="s">
        <v>11994</v>
      </c>
      <c r="C2703" s="2" t="s">
        <v>11995</v>
      </c>
      <c r="D2703" s="5" t="s">
        <v>11994</v>
      </c>
      <c r="E2703" s="2" t="s">
        <v>15441</v>
      </c>
      <c r="F2703" s="2" t="s">
        <v>15446</v>
      </c>
      <c r="G2703" s="2" t="s">
        <v>15456</v>
      </c>
      <c r="H2703" s="2" t="s">
        <v>15444</v>
      </c>
    </row>
    <row r="2704">
      <c r="A2704" s="2">
        <v>2702.0</v>
      </c>
      <c r="B2704" s="5" t="s">
        <v>11996</v>
      </c>
      <c r="C2704" s="2" t="s">
        <v>11997</v>
      </c>
      <c r="D2704" s="5" t="s">
        <v>11996</v>
      </c>
      <c r="E2704" s="2" t="s">
        <v>15441</v>
      </c>
      <c r="F2704" s="2" t="s">
        <v>15446</v>
      </c>
      <c r="G2704" s="2" t="s">
        <v>15456</v>
      </c>
      <c r="H2704" s="2" t="s">
        <v>15444</v>
      </c>
    </row>
    <row r="2705">
      <c r="A2705" s="2">
        <v>2703.0</v>
      </c>
      <c r="B2705" s="5" t="s">
        <v>11998</v>
      </c>
      <c r="C2705" s="2" t="s">
        <v>11999</v>
      </c>
      <c r="D2705" s="5" t="s">
        <v>11998</v>
      </c>
      <c r="E2705" s="2" t="s">
        <v>15441</v>
      </c>
      <c r="F2705" s="2" t="s">
        <v>15446</v>
      </c>
      <c r="G2705" s="2" t="s">
        <v>15456</v>
      </c>
      <c r="H2705" s="2" t="s">
        <v>15444</v>
      </c>
    </row>
    <row r="2706">
      <c r="A2706" s="2">
        <v>2704.0</v>
      </c>
      <c r="B2706" s="5" t="s">
        <v>4004</v>
      </c>
      <c r="C2706" s="2" t="s">
        <v>4005</v>
      </c>
      <c r="D2706" s="5" t="s">
        <v>4004</v>
      </c>
      <c r="E2706" s="2" t="s">
        <v>15445</v>
      </c>
      <c r="F2706" s="2" t="s">
        <v>15446</v>
      </c>
      <c r="G2706" s="2" t="s">
        <v>15456</v>
      </c>
      <c r="H2706" s="2" t="s">
        <v>15455</v>
      </c>
    </row>
    <row r="2707">
      <c r="A2707" s="2">
        <v>2705.0</v>
      </c>
      <c r="B2707" s="5" t="s">
        <v>4007</v>
      </c>
      <c r="C2707" s="2" t="s">
        <v>4008</v>
      </c>
      <c r="D2707" s="5" t="s">
        <v>4007</v>
      </c>
      <c r="E2707" s="2" t="s">
        <v>15445</v>
      </c>
      <c r="F2707" s="2" t="s">
        <v>15442</v>
      </c>
      <c r="G2707" s="2" t="s">
        <v>15456</v>
      </c>
      <c r="H2707" s="2" t="s">
        <v>15444</v>
      </c>
    </row>
    <row r="2708">
      <c r="A2708" s="2">
        <v>2706.0</v>
      </c>
      <c r="B2708" s="5" t="s">
        <v>12000</v>
      </c>
      <c r="C2708" s="2" t="s">
        <v>12001</v>
      </c>
      <c r="D2708" s="5" t="s">
        <v>12000</v>
      </c>
      <c r="E2708" s="2" t="s">
        <v>15441</v>
      </c>
      <c r="F2708" s="2" t="s">
        <v>15446</v>
      </c>
      <c r="G2708" s="2" t="s">
        <v>15456</v>
      </c>
      <c r="H2708" s="2" t="s">
        <v>15444</v>
      </c>
    </row>
    <row r="2709">
      <c r="A2709" s="2">
        <v>2707.0</v>
      </c>
      <c r="B2709" s="5" t="s">
        <v>12002</v>
      </c>
      <c r="C2709" s="2" t="s">
        <v>12003</v>
      </c>
      <c r="D2709" s="5" t="s">
        <v>12002</v>
      </c>
      <c r="E2709" s="2" t="s">
        <v>15441</v>
      </c>
      <c r="F2709" s="2" t="s">
        <v>15442</v>
      </c>
      <c r="G2709" s="2" t="s">
        <v>15443</v>
      </c>
      <c r="H2709" s="2" t="s">
        <v>15444</v>
      </c>
    </row>
    <row r="2710">
      <c r="A2710" s="2">
        <v>2708.0</v>
      </c>
      <c r="B2710" s="5" t="s">
        <v>12004</v>
      </c>
      <c r="C2710" s="2" t="s">
        <v>12005</v>
      </c>
      <c r="D2710" s="5" t="s">
        <v>12004</v>
      </c>
      <c r="E2710" s="2" t="s">
        <v>15441</v>
      </c>
      <c r="F2710" s="2" t="s">
        <v>15446</v>
      </c>
      <c r="G2710" s="2" t="s">
        <v>15443</v>
      </c>
      <c r="H2710" s="2" t="s">
        <v>15444</v>
      </c>
    </row>
    <row r="2711">
      <c r="A2711" s="2">
        <v>2709.0</v>
      </c>
      <c r="B2711" s="5" t="s">
        <v>12006</v>
      </c>
      <c r="C2711" s="2" t="s">
        <v>12007</v>
      </c>
      <c r="D2711" s="5" t="s">
        <v>12006</v>
      </c>
      <c r="E2711" s="2" t="s">
        <v>15441</v>
      </c>
      <c r="F2711" s="2" t="s">
        <v>15446</v>
      </c>
      <c r="G2711" s="2" t="s">
        <v>15443</v>
      </c>
      <c r="H2711" s="2" t="s">
        <v>15457</v>
      </c>
    </row>
    <row r="2712">
      <c r="A2712" s="2">
        <v>2710.0</v>
      </c>
      <c r="B2712" s="5" t="s">
        <v>4010</v>
      </c>
      <c r="C2712" s="2" t="s">
        <v>4011</v>
      </c>
      <c r="D2712" s="5" t="s">
        <v>4010</v>
      </c>
      <c r="E2712" s="2" t="s">
        <v>15445</v>
      </c>
      <c r="F2712" s="2" t="s">
        <v>15442</v>
      </c>
      <c r="G2712" s="2" t="s">
        <v>15456</v>
      </c>
      <c r="H2712" s="2" t="s">
        <v>15444</v>
      </c>
    </row>
    <row r="2713">
      <c r="A2713" s="2">
        <v>2711.0</v>
      </c>
      <c r="B2713" s="5" t="s">
        <v>12008</v>
      </c>
      <c r="C2713" s="2" t="s">
        <v>12009</v>
      </c>
      <c r="D2713" s="5" t="s">
        <v>12008</v>
      </c>
      <c r="E2713" s="2" t="s">
        <v>15441</v>
      </c>
      <c r="F2713" s="2" t="s">
        <v>15446</v>
      </c>
      <c r="G2713" s="2" t="s">
        <v>15443</v>
      </c>
      <c r="H2713" s="2" t="s">
        <v>15444</v>
      </c>
    </row>
    <row r="2714">
      <c r="A2714" s="2">
        <v>2712.0</v>
      </c>
      <c r="B2714" s="5" t="s">
        <v>12010</v>
      </c>
      <c r="C2714" s="2" t="s">
        <v>12011</v>
      </c>
      <c r="D2714" s="5" t="s">
        <v>12010</v>
      </c>
      <c r="E2714" s="2" t="s">
        <v>15441</v>
      </c>
      <c r="F2714" s="2" t="s">
        <v>15446</v>
      </c>
      <c r="G2714" s="2" t="s">
        <v>15456</v>
      </c>
      <c r="H2714" s="2" t="s">
        <v>15444</v>
      </c>
    </row>
    <row r="2715">
      <c r="A2715" s="2">
        <v>2713.0</v>
      </c>
      <c r="B2715" s="5" t="s">
        <v>12012</v>
      </c>
      <c r="C2715" s="2" t="s">
        <v>12013</v>
      </c>
      <c r="D2715" s="5" t="s">
        <v>12012</v>
      </c>
      <c r="E2715" s="2" t="s">
        <v>15441</v>
      </c>
      <c r="F2715" s="2" t="s">
        <v>15442</v>
      </c>
      <c r="G2715" s="2" t="s">
        <v>15443</v>
      </c>
      <c r="H2715" s="2" t="s">
        <v>15444</v>
      </c>
    </row>
    <row r="2716">
      <c r="A2716" s="2">
        <v>2714.0</v>
      </c>
      <c r="B2716" s="5" t="s">
        <v>12014</v>
      </c>
      <c r="C2716" s="2" t="s">
        <v>12015</v>
      </c>
      <c r="D2716" s="5" t="s">
        <v>12014</v>
      </c>
      <c r="E2716" s="2" t="s">
        <v>15441</v>
      </c>
      <c r="F2716" s="2" t="s">
        <v>15442</v>
      </c>
      <c r="G2716" s="2" t="s">
        <v>15443</v>
      </c>
      <c r="H2716" s="2" t="s">
        <v>15444</v>
      </c>
    </row>
    <row r="2717">
      <c r="A2717" s="2">
        <v>2715.0</v>
      </c>
      <c r="B2717" s="5" t="s">
        <v>4013</v>
      </c>
      <c r="C2717" s="2" t="s">
        <v>4014</v>
      </c>
      <c r="D2717" s="5" t="s">
        <v>4013</v>
      </c>
      <c r="E2717" s="2" t="s">
        <v>15445</v>
      </c>
      <c r="F2717" s="2" t="s">
        <v>15442</v>
      </c>
      <c r="G2717" s="2" t="s">
        <v>15456</v>
      </c>
      <c r="H2717" s="2" t="s">
        <v>15444</v>
      </c>
    </row>
    <row r="2718">
      <c r="A2718" s="2">
        <v>2716.0</v>
      </c>
      <c r="B2718" s="5" t="s">
        <v>4016</v>
      </c>
      <c r="C2718" s="2" t="s">
        <v>4017</v>
      </c>
      <c r="D2718" s="5" t="s">
        <v>4016</v>
      </c>
      <c r="E2718" s="2" t="s">
        <v>15445</v>
      </c>
      <c r="F2718" s="2" t="s">
        <v>15446</v>
      </c>
      <c r="G2718" s="2" t="s">
        <v>15456</v>
      </c>
      <c r="H2718" s="2" t="s">
        <v>15444</v>
      </c>
    </row>
    <row r="2719">
      <c r="A2719" s="2">
        <v>2717.0</v>
      </c>
      <c r="B2719" s="5" t="s">
        <v>4019</v>
      </c>
      <c r="C2719" s="2" t="s">
        <v>4020</v>
      </c>
      <c r="D2719" s="5" t="s">
        <v>4019</v>
      </c>
      <c r="E2719" s="2" t="s">
        <v>15445</v>
      </c>
      <c r="F2719" s="2" t="s">
        <v>15442</v>
      </c>
      <c r="G2719" s="2" t="s">
        <v>15443</v>
      </c>
      <c r="H2719" s="2" t="s">
        <v>15444</v>
      </c>
    </row>
    <row r="2720">
      <c r="A2720" s="2">
        <v>2718.0</v>
      </c>
      <c r="B2720" s="5" t="s">
        <v>4022</v>
      </c>
      <c r="C2720" s="2" t="s">
        <v>4023</v>
      </c>
      <c r="D2720" s="5" t="s">
        <v>4022</v>
      </c>
      <c r="E2720" s="2" t="s">
        <v>15445</v>
      </c>
      <c r="F2720" s="2" t="s">
        <v>15442</v>
      </c>
      <c r="G2720" s="2" t="s">
        <v>15443</v>
      </c>
      <c r="H2720" s="2" t="s">
        <v>15444</v>
      </c>
    </row>
    <row r="2721">
      <c r="A2721" s="2">
        <v>2719.0</v>
      </c>
      <c r="B2721" s="5" t="s">
        <v>4025</v>
      </c>
      <c r="C2721" s="2" t="s">
        <v>4026</v>
      </c>
      <c r="D2721" s="5" t="s">
        <v>4025</v>
      </c>
      <c r="E2721" s="2" t="s">
        <v>15445</v>
      </c>
      <c r="F2721" s="2" t="s">
        <v>15442</v>
      </c>
      <c r="G2721" s="2" t="s">
        <v>15443</v>
      </c>
      <c r="H2721" s="2" t="s">
        <v>15444</v>
      </c>
    </row>
    <row r="2722">
      <c r="A2722" s="2">
        <v>2720.0</v>
      </c>
      <c r="B2722" s="5" t="s">
        <v>4028</v>
      </c>
      <c r="C2722" s="2" t="s">
        <v>4029</v>
      </c>
      <c r="D2722" s="5" t="s">
        <v>4028</v>
      </c>
      <c r="E2722" s="2" t="s">
        <v>15445</v>
      </c>
      <c r="F2722" s="2" t="s">
        <v>15442</v>
      </c>
      <c r="G2722" s="2" t="s">
        <v>15456</v>
      </c>
      <c r="H2722" s="2" t="s">
        <v>15455</v>
      </c>
    </row>
    <row r="2723">
      <c r="A2723" s="2">
        <v>2721.0</v>
      </c>
      <c r="B2723" s="5" t="s">
        <v>4031</v>
      </c>
      <c r="C2723" s="2" t="s">
        <v>4032</v>
      </c>
      <c r="D2723" s="5" t="s">
        <v>4031</v>
      </c>
      <c r="E2723" s="2" t="s">
        <v>15445</v>
      </c>
      <c r="F2723" s="2" t="s">
        <v>15442</v>
      </c>
      <c r="G2723" s="2" t="s">
        <v>15443</v>
      </c>
      <c r="H2723" s="2" t="s">
        <v>15461</v>
      </c>
    </row>
    <row r="2724">
      <c r="A2724" s="2">
        <v>2722.0</v>
      </c>
      <c r="B2724" s="5" t="s">
        <v>12016</v>
      </c>
      <c r="C2724" s="2" t="s">
        <v>12017</v>
      </c>
      <c r="D2724" s="5" t="s">
        <v>12016</v>
      </c>
      <c r="E2724" s="2" t="s">
        <v>15441</v>
      </c>
      <c r="F2724" s="2" t="s">
        <v>15446</v>
      </c>
      <c r="G2724" s="2" t="s">
        <v>15443</v>
      </c>
      <c r="H2724" s="2" t="s">
        <v>15444</v>
      </c>
    </row>
    <row r="2725">
      <c r="A2725" s="2">
        <v>2723.0</v>
      </c>
      <c r="B2725" s="5" t="s">
        <v>12018</v>
      </c>
      <c r="C2725" s="2" t="s">
        <v>12019</v>
      </c>
      <c r="D2725" s="5" t="s">
        <v>12018</v>
      </c>
      <c r="E2725" s="2" t="s">
        <v>15441</v>
      </c>
      <c r="F2725" s="2" t="s">
        <v>15446</v>
      </c>
      <c r="G2725" s="2" t="s">
        <v>15456</v>
      </c>
      <c r="H2725" s="2" t="s">
        <v>15444</v>
      </c>
    </row>
    <row r="2726">
      <c r="A2726" s="2">
        <v>2724.0</v>
      </c>
      <c r="B2726" s="5" t="s">
        <v>4034</v>
      </c>
      <c r="C2726" s="2" t="s">
        <v>4035</v>
      </c>
      <c r="D2726" s="5" t="s">
        <v>4034</v>
      </c>
      <c r="E2726" s="2" t="s">
        <v>15445</v>
      </c>
      <c r="F2726" s="2" t="s">
        <v>15446</v>
      </c>
      <c r="G2726" s="2" t="s">
        <v>15456</v>
      </c>
      <c r="H2726" s="2" t="s">
        <v>15444</v>
      </c>
    </row>
    <row r="2727">
      <c r="A2727" s="2">
        <v>2725.0</v>
      </c>
      <c r="B2727" s="5" t="s">
        <v>4037</v>
      </c>
      <c r="C2727" s="2" t="s">
        <v>4038</v>
      </c>
      <c r="D2727" s="5" t="s">
        <v>4037</v>
      </c>
      <c r="E2727" s="2" t="s">
        <v>15445</v>
      </c>
      <c r="F2727" s="2" t="s">
        <v>15446</v>
      </c>
      <c r="G2727" s="2" t="s">
        <v>15456</v>
      </c>
      <c r="H2727" s="2" t="s">
        <v>15444</v>
      </c>
    </row>
    <row r="2728">
      <c r="A2728" s="2">
        <v>2726.0</v>
      </c>
      <c r="B2728" s="5" t="s">
        <v>12020</v>
      </c>
      <c r="C2728" s="2" t="s">
        <v>12021</v>
      </c>
      <c r="D2728" s="5" t="s">
        <v>12020</v>
      </c>
      <c r="E2728" s="2" t="s">
        <v>15441</v>
      </c>
      <c r="F2728" s="2" t="s">
        <v>15442</v>
      </c>
      <c r="G2728" s="2" t="s">
        <v>15456</v>
      </c>
      <c r="H2728" s="2" t="s">
        <v>15444</v>
      </c>
    </row>
    <row r="2729">
      <c r="A2729" s="2">
        <v>2727.0</v>
      </c>
      <c r="B2729" s="5" t="s">
        <v>12022</v>
      </c>
      <c r="C2729" s="2" t="s">
        <v>12023</v>
      </c>
      <c r="D2729" s="5" t="s">
        <v>12022</v>
      </c>
      <c r="E2729" s="2" t="s">
        <v>15441</v>
      </c>
      <c r="F2729" s="2" t="s">
        <v>15442</v>
      </c>
      <c r="G2729" s="2" t="s">
        <v>15443</v>
      </c>
      <c r="H2729" s="2" t="s">
        <v>15444</v>
      </c>
    </row>
    <row r="2730">
      <c r="A2730" s="2">
        <v>2728.0</v>
      </c>
      <c r="B2730" s="5" t="s">
        <v>4040</v>
      </c>
      <c r="C2730" s="2" t="s">
        <v>4041</v>
      </c>
      <c r="D2730" s="5" t="s">
        <v>4040</v>
      </c>
      <c r="E2730" s="2" t="s">
        <v>15445</v>
      </c>
      <c r="F2730" s="2" t="s">
        <v>15446</v>
      </c>
      <c r="G2730" s="2" t="s">
        <v>15443</v>
      </c>
      <c r="H2730" s="2" t="s">
        <v>15444</v>
      </c>
    </row>
    <row r="2731">
      <c r="A2731" s="2">
        <v>2729.0</v>
      </c>
      <c r="B2731" s="5" t="s">
        <v>4043</v>
      </c>
      <c r="C2731" s="2" t="s">
        <v>4044</v>
      </c>
      <c r="D2731" s="5" t="s">
        <v>4043</v>
      </c>
      <c r="E2731" s="2" t="s">
        <v>15445</v>
      </c>
      <c r="F2731" s="2" t="s">
        <v>15446</v>
      </c>
      <c r="G2731" s="2" t="s">
        <v>15456</v>
      </c>
      <c r="H2731" s="2" t="s">
        <v>15444</v>
      </c>
    </row>
    <row r="2732">
      <c r="A2732" s="2">
        <v>2730.0</v>
      </c>
      <c r="B2732" s="5" t="s">
        <v>12024</v>
      </c>
      <c r="C2732" s="2" t="s">
        <v>12025</v>
      </c>
      <c r="D2732" s="5" t="s">
        <v>12024</v>
      </c>
      <c r="E2732" s="2" t="s">
        <v>15441</v>
      </c>
      <c r="F2732" s="2" t="s">
        <v>15446</v>
      </c>
      <c r="G2732" s="2" t="s">
        <v>15443</v>
      </c>
      <c r="H2732" s="2" t="s">
        <v>15444</v>
      </c>
    </row>
    <row r="2733">
      <c r="A2733" s="2">
        <v>2731.0</v>
      </c>
      <c r="B2733" s="5" t="s">
        <v>12026</v>
      </c>
      <c r="C2733" s="2" t="s">
        <v>12027</v>
      </c>
      <c r="D2733" s="5" t="s">
        <v>12026</v>
      </c>
      <c r="E2733" s="2" t="s">
        <v>15441</v>
      </c>
      <c r="F2733" s="2" t="s">
        <v>15446</v>
      </c>
      <c r="G2733" s="2" t="s">
        <v>15456</v>
      </c>
      <c r="H2733" s="2" t="s">
        <v>15457</v>
      </c>
    </row>
    <row r="2734">
      <c r="A2734" s="2">
        <v>2732.0</v>
      </c>
      <c r="B2734" s="5" t="s">
        <v>12028</v>
      </c>
      <c r="C2734" s="2" t="s">
        <v>12029</v>
      </c>
      <c r="D2734" s="5" t="s">
        <v>12028</v>
      </c>
      <c r="E2734" s="2" t="s">
        <v>15441</v>
      </c>
      <c r="F2734" s="2" t="s">
        <v>15442</v>
      </c>
      <c r="G2734" s="2" t="s">
        <v>15443</v>
      </c>
      <c r="H2734" s="2" t="s">
        <v>15457</v>
      </c>
    </row>
    <row r="2735">
      <c r="A2735" s="2">
        <v>2733.0</v>
      </c>
      <c r="B2735" s="5" t="s">
        <v>4046</v>
      </c>
      <c r="C2735" s="2" t="s">
        <v>4047</v>
      </c>
      <c r="D2735" s="5" t="s">
        <v>4046</v>
      </c>
      <c r="E2735" s="2" t="s">
        <v>15445</v>
      </c>
      <c r="F2735" s="2" t="s">
        <v>15442</v>
      </c>
      <c r="G2735" s="2" t="s">
        <v>15443</v>
      </c>
      <c r="H2735" s="2" t="s">
        <v>15444</v>
      </c>
    </row>
    <row r="2736">
      <c r="A2736" s="2">
        <v>2734.0</v>
      </c>
      <c r="B2736" s="5" t="s">
        <v>4049</v>
      </c>
      <c r="C2736" s="2" t="s">
        <v>4050</v>
      </c>
      <c r="D2736" s="5" t="s">
        <v>4049</v>
      </c>
      <c r="E2736" s="2" t="s">
        <v>15445</v>
      </c>
      <c r="F2736" s="2" t="s">
        <v>15446</v>
      </c>
      <c r="G2736" s="2" t="s">
        <v>15443</v>
      </c>
      <c r="H2736" s="2" t="s">
        <v>15444</v>
      </c>
    </row>
    <row r="2737">
      <c r="A2737" s="2">
        <v>2735.0</v>
      </c>
      <c r="B2737" s="5" t="s">
        <v>12030</v>
      </c>
      <c r="C2737" s="2" t="s">
        <v>12031</v>
      </c>
      <c r="D2737" s="5" t="s">
        <v>12030</v>
      </c>
      <c r="E2737" s="2" t="s">
        <v>15441</v>
      </c>
      <c r="F2737" s="2" t="s">
        <v>15442</v>
      </c>
      <c r="G2737" s="2" t="s">
        <v>15443</v>
      </c>
      <c r="H2737" s="2" t="s">
        <v>15444</v>
      </c>
    </row>
    <row r="2738">
      <c r="A2738" s="2">
        <v>2736.0</v>
      </c>
      <c r="B2738" s="5" t="s">
        <v>12032</v>
      </c>
      <c r="C2738" s="2" t="s">
        <v>12033</v>
      </c>
      <c r="D2738" s="5" t="s">
        <v>12032</v>
      </c>
      <c r="E2738" s="2" t="s">
        <v>15441</v>
      </c>
      <c r="F2738" s="2" t="s">
        <v>15446</v>
      </c>
      <c r="G2738" s="2" t="s">
        <v>15456</v>
      </c>
      <c r="H2738" s="2" t="s">
        <v>15444</v>
      </c>
    </row>
    <row r="2739">
      <c r="A2739" s="2">
        <v>2737.0</v>
      </c>
      <c r="B2739" s="5" t="s">
        <v>12034</v>
      </c>
      <c r="C2739" s="2" t="s">
        <v>12035</v>
      </c>
      <c r="D2739" s="5" t="s">
        <v>12034</v>
      </c>
      <c r="E2739" s="2" t="s">
        <v>15441</v>
      </c>
      <c r="F2739" s="2" t="s">
        <v>15446</v>
      </c>
      <c r="G2739" s="2" t="s">
        <v>15456</v>
      </c>
      <c r="H2739" s="2" t="s">
        <v>15444</v>
      </c>
    </row>
    <row r="2740">
      <c r="A2740" s="2">
        <v>2738.0</v>
      </c>
      <c r="B2740" s="5" t="s">
        <v>4052</v>
      </c>
      <c r="C2740" s="2" t="s">
        <v>4053</v>
      </c>
      <c r="D2740" s="5" t="s">
        <v>4052</v>
      </c>
      <c r="E2740" s="2" t="s">
        <v>15445</v>
      </c>
      <c r="F2740" s="2" t="s">
        <v>15446</v>
      </c>
      <c r="G2740" s="2" t="s">
        <v>15443</v>
      </c>
      <c r="H2740" s="2" t="s">
        <v>15444</v>
      </c>
    </row>
    <row r="2741">
      <c r="A2741" s="2">
        <v>2739.0</v>
      </c>
      <c r="B2741" s="5" t="s">
        <v>4055</v>
      </c>
      <c r="C2741" s="2" t="s">
        <v>4056</v>
      </c>
      <c r="D2741" s="5" t="s">
        <v>4055</v>
      </c>
      <c r="E2741" s="2" t="s">
        <v>15445</v>
      </c>
      <c r="F2741" s="2" t="s">
        <v>15442</v>
      </c>
      <c r="G2741" s="2" t="s">
        <v>15443</v>
      </c>
      <c r="H2741" s="2" t="s">
        <v>15444</v>
      </c>
    </row>
    <row r="2742">
      <c r="A2742" s="2">
        <v>2740.0</v>
      </c>
      <c r="B2742" s="5" t="s">
        <v>4058</v>
      </c>
      <c r="C2742" s="2" t="s">
        <v>4059</v>
      </c>
      <c r="D2742" s="5" t="s">
        <v>4058</v>
      </c>
      <c r="E2742" s="2" t="s">
        <v>15445</v>
      </c>
      <c r="F2742" s="2" t="s">
        <v>15446</v>
      </c>
      <c r="G2742" s="2" t="s">
        <v>15443</v>
      </c>
      <c r="H2742" s="2" t="s">
        <v>15455</v>
      </c>
    </row>
    <row r="2743">
      <c r="A2743" s="2">
        <v>2741.0</v>
      </c>
      <c r="B2743" s="5" t="s">
        <v>4061</v>
      </c>
      <c r="C2743" s="2" t="s">
        <v>4062</v>
      </c>
      <c r="D2743" s="5" t="s">
        <v>4061</v>
      </c>
      <c r="E2743" s="2" t="s">
        <v>15445</v>
      </c>
      <c r="F2743" s="2" t="s">
        <v>15446</v>
      </c>
      <c r="G2743" s="2" t="s">
        <v>15456</v>
      </c>
      <c r="H2743" s="2" t="s">
        <v>15444</v>
      </c>
    </row>
    <row r="2744">
      <c r="A2744" s="2">
        <v>2742.0</v>
      </c>
      <c r="B2744" s="5" t="s">
        <v>12036</v>
      </c>
      <c r="C2744" s="2" t="s">
        <v>12037</v>
      </c>
      <c r="D2744" s="5" t="s">
        <v>12036</v>
      </c>
      <c r="E2744" s="2" t="s">
        <v>15441</v>
      </c>
      <c r="F2744" s="2" t="s">
        <v>15446</v>
      </c>
      <c r="G2744" s="2" t="s">
        <v>15443</v>
      </c>
      <c r="H2744" s="2" t="s">
        <v>15444</v>
      </c>
    </row>
    <row r="2745">
      <c r="A2745" s="2">
        <v>2743.0</v>
      </c>
      <c r="B2745" s="5" t="s">
        <v>4064</v>
      </c>
      <c r="C2745" s="2" t="s">
        <v>4065</v>
      </c>
      <c r="D2745" s="5" t="s">
        <v>4064</v>
      </c>
      <c r="E2745" s="2" t="s">
        <v>15445</v>
      </c>
      <c r="F2745" s="2" t="s">
        <v>15446</v>
      </c>
      <c r="G2745" s="2" t="s">
        <v>15456</v>
      </c>
      <c r="H2745" s="2" t="s">
        <v>15444</v>
      </c>
    </row>
    <row r="2746">
      <c r="A2746" s="2">
        <v>2744.0</v>
      </c>
      <c r="B2746" s="5" t="s">
        <v>12038</v>
      </c>
      <c r="C2746" s="2" t="s">
        <v>12039</v>
      </c>
      <c r="D2746" s="5" t="s">
        <v>12038</v>
      </c>
      <c r="E2746" s="2" t="s">
        <v>15441</v>
      </c>
      <c r="F2746" s="2" t="s">
        <v>15442</v>
      </c>
      <c r="G2746" s="2" t="s">
        <v>15443</v>
      </c>
      <c r="H2746" s="2" t="s">
        <v>15444</v>
      </c>
    </row>
    <row r="2747">
      <c r="A2747" s="2">
        <v>2745.0</v>
      </c>
      <c r="B2747" s="5" t="s">
        <v>4067</v>
      </c>
      <c r="C2747" s="2" t="s">
        <v>4068</v>
      </c>
      <c r="D2747" s="5" t="s">
        <v>4067</v>
      </c>
      <c r="E2747" s="2" t="s">
        <v>15445</v>
      </c>
      <c r="F2747" s="2" t="s">
        <v>15446</v>
      </c>
      <c r="G2747" s="2" t="s">
        <v>15443</v>
      </c>
      <c r="H2747" s="2" t="s">
        <v>15444</v>
      </c>
    </row>
    <row r="2748">
      <c r="A2748" s="2">
        <v>2746.0</v>
      </c>
      <c r="B2748" s="5" t="s">
        <v>4070</v>
      </c>
      <c r="C2748" s="2" t="s">
        <v>4071</v>
      </c>
      <c r="D2748" s="5" t="s">
        <v>4070</v>
      </c>
      <c r="E2748" s="2" t="s">
        <v>15445</v>
      </c>
      <c r="F2748" s="2" t="s">
        <v>15446</v>
      </c>
      <c r="G2748" s="2" t="s">
        <v>15456</v>
      </c>
      <c r="H2748" s="2" t="s">
        <v>15444</v>
      </c>
    </row>
    <row r="2749">
      <c r="A2749" s="2">
        <v>2747.0</v>
      </c>
      <c r="B2749" s="5" t="s">
        <v>4073</v>
      </c>
      <c r="C2749" s="2" t="s">
        <v>4074</v>
      </c>
      <c r="D2749" s="5" t="s">
        <v>4073</v>
      </c>
      <c r="E2749" s="2" t="s">
        <v>15445</v>
      </c>
      <c r="F2749" s="2" t="s">
        <v>15442</v>
      </c>
      <c r="G2749" s="2" t="s">
        <v>15443</v>
      </c>
      <c r="H2749" s="2" t="s">
        <v>15444</v>
      </c>
    </row>
    <row r="2750">
      <c r="A2750" s="2">
        <v>2748.0</v>
      </c>
      <c r="B2750" s="5" t="s">
        <v>12040</v>
      </c>
      <c r="C2750" s="2" t="s">
        <v>12041</v>
      </c>
      <c r="D2750" s="5" t="s">
        <v>12040</v>
      </c>
      <c r="E2750" s="2" t="s">
        <v>15441</v>
      </c>
      <c r="F2750" s="2" t="s">
        <v>15442</v>
      </c>
      <c r="G2750" s="2" t="s">
        <v>15443</v>
      </c>
      <c r="H2750" s="2" t="s">
        <v>15444</v>
      </c>
    </row>
    <row r="2751">
      <c r="A2751" s="2">
        <v>2749.0</v>
      </c>
      <c r="B2751" s="5" t="s">
        <v>4076</v>
      </c>
      <c r="C2751" s="2" t="s">
        <v>4077</v>
      </c>
      <c r="D2751" s="5" t="s">
        <v>4076</v>
      </c>
      <c r="E2751" s="2" t="s">
        <v>15445</v>
      </c>
      <c r="F2751" s="2" t="s">
        <v>15442</v>
      </c>
      <c r="G2751" s="2" t="s">
        <v>15456</v>
      </c>
      <c r="H2751" s="2" t="s">
        <v>15444</v>
      </c>
    </row>
    <row r="2752">
      <c r="A2752" s="2">
        <v>2750.0</v>
      </c>
      <c r="B2752" s="5" t="s">
        <v>4079</v>
      </c>
      <c r="C2752" s="2" t="s">
        <v>4080</v>
      </c>
      <c r="D2752" s="5" t="s">
        <v>4079</v>
      </c>
      <c r="E2752" s="2" t="s">
        <v>15445</v>
      </c>
      <c r="F2752" s="2" t="s">
        <v>15446</v>
      </c>
      <c r="G2752" s="2" t="s">
        <v>15456</v>
      </c>
      <c r="H2752" s="2" t="s">
        <v>15444</v>
      </c>
    </row>
    <row r="2753">
      <c r="A2753" s="2">
        <v>2751.0</v>
      </c>
      <c r="B2753" s="5" t="s">
        <v>12042</v>
      </c>
      <c r="C2753" s="2" t="s">
        <v>12043</v>
      </c>
      <c r="D2753" s="5" t="s">
        <v>12042</v>
      </c>
      <c r="E2753" s="2" t="s">
        <v>15441</v>
      </c>
      <c r="F2753" s="2" t="s">
        <v>15446</v>
      </c>
      <c r="G2753" s="2" t="s">
        <v>15443</v>
      </c>
      <c r="H2753" s="2" t="s">
        <v>15444</v>
      </c>
    </row>
    <row r="2754">
      <c r="A2754" s="2">
        <v>2752.0</v>
      </c>
      <c r="B2754" s="5" t="s">
        <v>4082</v>
      </c>
      <c r="C2754" s="2" t="s">
        <v>4083</v>
      </c>
      <c r="D2754" s="5" t="s">
        <v>4082</v>
      </c>
      <c r="E2754" s="2" t="s">
        <v>15445</v>
      </c>
      <c r="F2754" s="2" t="s">
        <v>15446</v>
      </c>
      <c r="G2754" s="2" t="s">
        <v>15456</v>
      </c>
      <c r="H2754" s="2" t="s">
        <v>15455</v>
      </c>
    </row>
    <row r="2755">
      <c r="A2755" s="2">
        <v>2753.0</v>
      </c>
      <c r="B2755" s="5" t="s">
        <v>4085</v>
      </c>
      <c r="C2755" s="2" t="s">
        <v>4086</v>
      </c>
      <c r="D2755" s="5" t="s">
        <v>4085</v>
      </c>
      <c r="E2755" s="2" t="s">
        <v>15445</v>
      </c>
      <c r="F2755" s="2" t="s">
        <v>15442</v>
      </c>
      <c r="G2755" s="2" t="s">
        <v>15443</v>
      </c>
      <c r="H2755" s="2" t="s">
        <v>15444</v>
      </c>
    </row>
    <row r="2756">
      <c r="A2756" s="2">
        <v>2754.0</v>
      </c>
      <c r="B2756" s="5" t="s">
        <v>4088</v>
      </c>
      <c r="C2756" s="2" t="s">
        <v>4089</v>
      </c>
      <c r="D2756" s="5" t="s">
        <v>4088</v>
      </c>
      <c r="E2756" s="2" t="s">
        <v>15445</v>
      </c>
      <c r="F2756" s="2" t="s">
        <v>15446</v>
      </c>
      <c r="G2756" s="2" t="s">
        <v>15443</v>
      </c>
      <c r="H2756" s="2" t="s">
        <v>15457</v>
      </c>
    </row>
    <row r="2757">
      <c r="A2757" s="2">
        <v>2755.0</v>
      </c>
      <c r="B2757" s="5" t="s">
        <v>12044</v>
      </c>
      <c r="C2757" s="2" t="s">
        <v>12045</v>
      </c>
      <c r="D2757" s="5" t="s">
        <v>12044</v>
      </c>
      <c r="E2757" s="2" t="s">
        <v>15441</v>
      </c>
      <c r="F2757" s="2" t="s">
        <v>15446</v>
      </c>
      <c r="G2757" s="2" t="s">
        <v>15443</v>
      </c>
      <c r="H2757" s="2" t="s">
        <v>15444</v>
      </c>
    </row>
    <row r="2758">
      <c r="A2758" s="2">
        <v>2756.0</v>
      </c>
      <c r="B2758" s="5" t="s">
        <v>4091</v>
      </c>
      <c r="C2758" s="2" t="s">
        <v>4092</v>
      </c>
      <c r="D2758" s="5" t="s">
        <v>4091</v>
      </c>
      <c r="E2758" s="2" t="s">
        <v>15445</v>
      </c>
      <c r="F2758" s="2" t="s">
        <v>15442</v>
      </c>
      <c r="G2758" s="2" t="s">
        <v>15443</v>
      </c>
      <c r="H2758" s="2" t="s">
        <v>15444</v>
      </c>
    </row>
    <row r="2759">
      <c r="A2759" s="2">
        <v>2757.0</v>
      </c>
      <c r="B2759" s="5" t="s">
        <v>4094</v>
      </c>
      <c r="C2759" s="2" t="s">
        <v>4095</v>
      </c>
      <c r="D2759" s="5" t="s">
        <v>4094</v>
      </c>
      <c r="E2759" s="2" t="s">
        <v>15445</v>
      </c>
      <c r="F2759" s="2" t="s">
        <v>15446</v>
      </c>
      <c r="G2759" s="2" t="s">
        <v>15443</v>
      </c>
      <c r="H2759" s="2" t="s">
        <v>15444</v>
      </c>
    </row>
    <row r="2760">
      <c r="A2760" s="2">
        <v>2758.0</v>
      </c>
      <c r="B2760" s="5" t="s">
        <v>4097</v>
      </c>
      <c r="C2760" s="2" t="s">
        <v>4098</v>
      </c>
      <c r="D2760" s="5" t="s">
        <v>4097</v>
      </c>
      <c r="E2760" s="2" t="s">
        <v>15445</v>
      </c>
      <c r="F2760" s="2" t="s">
        <v>15446</v>
      </c>
      <c r="G2760" s="2" t="s">
        <v>15456</v>
      </c>
      <c r="H2760" s="2" t="s">
        <v>15461</v>
      </c>
    </row>
    <row r="2761">
      <c r="A2761" s="2">
        <v>2759.0</v>
      </c>
      <c r="B2761" s="5" t="s">
        <v>12046</v>
      </c>
      <c r="C2761" s="2" t="s">
        <v>12047</v>
      </c>
      <c r="D2761" s="5" t="s">
        <v>12046</v>
      </c>
      <c r="E2761" s="2" t="s">
        <v>15441</v>
      </c>
      <c r="F2761" s="2" t="s">
        <v>15442</v>
      </c>
      <c r="G2761" s="2" t="s">
        <v>15456</v>
      </c>
      <c r="H2761" s="2" t="s">
        <v>15444</v>
      </c>
    </row>
    <row r="2762">
      <c r="A2762" s="2">
        <v>2760.0</v>
      </c>
      <c r="B2762" s="5" t="s">
        <v>4100</v>
      </c>
      <c r="C2762" s="2" t="s">
        <v>4101</v>
      </c>
      <c r="D2762" s="5" t="s">
        <v>4100</v>
      </c>
      <c r="E2762" s="2" t="s">
        <v>15445</v>
      </c>
      <c r="F2762" s="2" t="s">
        <v>15442</v>
      </c>
      <c r="G2762" s="2" t="s">
        <v>15443</v>
      </c>
      <c r="H2762" s="2" t="s">
        <v>15444</v>
      </c>
    </row>
    <row r="2763">
      <c r="A2763" s="2">
        <v>2761.0</v>
      </c>
      <c r="B2763" s="5" t="s">
        <v>12048</v>
      </c>
      <c r="C2763" s="2" t="s">
        <v>12049</v>
      </c>
      <c r="D2763" s="5" t="s">
        <v>12048</v>
      </c>
      <c r="E2763" s="2" t="s">
        <v>15441</v>
      </c>
      <c r="F2763" s="2" t="s">
        <v>15442</v>
      </c>
      <c r="G2763" s="2" t="s">
        <v>15456</v>
      </c>
      <c r="H2763" s="2" t="s">
        <v>15444</v>
      </c>
    </row>
    <row r="2764">
      <c r="A2764" s="2">
        <v>2762.0</v>
      </c>
      <c r="B2764" s="5" t="s">
        <v>4103</v>
      </c>
      <c r="C2764" s="2" t="s">
        <v>4104</v>
      </c>
      <c r="D2764" s="5" t="s">
        <v>4103</v>
      </c>
      <c r="E2764" s="2" t="s">
        <v>15445</v>
      </c>
      <c r="F2764" s="2" t="s">
        <v>15446</v>
      </c>
      <c r="G2764" s="2" t="s">
        <v>15443</v>
      </c>
      <c r="H2764" s="2" t="s">
        <v>15444</v>
      </c>
    </row>
    <row r="2765">
      <c r="A2765" s="2">
        <v>2763.0</v>
      </c>
      <c r="B2765" s="5" t="s">
        <v>12050</v>
      </c>
      <c r="C2765" s="2" t="s">
        <v>12051</v>
      </c>
      <c r="D2765" s="5" t="s">
        <v>12050</v>
      </c>
      <c r="E2765" s="2" t="s">
        <v>15441</v>
      </c>
      <c r="F2765" s="2" t="s">
        <v>15446</v>
      </c>
      <c r="G2765" s="2" t="s">
        <v>15456</v>
      </c>
      <c r="H2765" s="2" t="s">
        <v>15444</v>
      </c>
    </row>
    <row r="2766">
      <c r="A2766" s="2">
        <v>2764.0</v>
      </c>
      <c r="B2766" s="5" t="s">
        <v>12052</v>
      </c>
      <c r="C2766" s="2" t="s">
        <v>12053</v>
      </c>
      <c r="D2766" s="5" t="s">
        <v>12052</v>
      </c>
      <c r="E2766" s="2" t="s">
        <v>15441</v>
      </c>
      <c r="F2766" s="2" t="s">
        <v>15442</v>
      </c>
      <c r="G2766" s="2" t="s">
        <v>15456</v>
      </c>
      <c r="H2766" s="2" t="s">
        <v>15462</v>
      </c>
    </row>
    <row r="2767">
      <c r="A2767" s="2">
        <v>2765.0</v>
      </c>
      <c r="B2767" s="5" t="s">
        <v>4106</v>
      </c>
      <c r="C2767" s="2" t="s">
        <v>4107</v>
      </c>
      <c r="D2767" s="5" t="s">
        <v>4106</v>
      </c>
      <c r="E2767" s="2" t="s">
        <v>15445</v>
      </c>
      <c r="F2767" s="2" t="s">
        <v>15442</v>
      </c>
      <c r="G2767" s="2" t="s">
        <v>15443</v>
      </c>
      <c r="H2767" s="2" t="s">
        <v>15444</v>
      </c>
    </row>
    <row r="2768">
      <c r="A2768" s="2">
        <v>2766.0</v>
      </c>
      <c r="B2768" s="5" t="s">
        <v>4109</v>
      </c>
      <c r="C2768" s="2" t="s">
        <v>4110</v>
      </c>
      <c r="D2768" s="5" t="s">
        <v>4109</v>
      </c>
      <c r="E2768" s="2" t="s">
        <v>15445</v>
      </c>
      <c r="F2768" s="2" t="s">
        <v>15442</v>
      </c>
      <c r="G2768" s="2" t="s">
        <v>15456</v>
      </c>
      <c r="H2768" s="2" t="s">
        <v>15462</v>
      </c>
    </row>
    <row r="2769">
      <c r="A2769" s="2">
        <v>2767.0</v>
      </c>
      <c r="B2769" s="5" t="s">
        <v>4112</v>
      </c>
      <c r="C2769" s="2" t="s">
        <v>4113</v>
      </c>
      <c r="D2769" s="5" t="s">
        <v>4112</v>
      </c>
      <c r="E2769" s="2" t="s">
        <v>15445</v>
      </c>
      <c r="F2769" s="2" t="s">
        <v>15446</v>
      </c>
      <c r="G2769" s="2" t="s">
        <v>15456</v>
      </c>
      <c r="H2769" s="2" t="s">
        <v>15462</v>
      </c>
    </row>
    <row r="2770">
      <c r="A2770" s="2">
        <v>2768.0</v>
      </c>
      <c r="B2770" s="5" t="s">
        <v>12054</v>
      </c>
      <c r="C2770" s="2" t="s">
        <v>12055</v>
      </c>
      <c r="D2770" s="5" t="s">
        <v>12054</v>
      </c>
      <c r="E2770" s="2" t="s">
        <v>15441</v>
      </c>
      <c r="F2770" s="2" t="s">
        <v>15446</v>
      </c>
      <c r="G2770" s="2" t="s">
        <v>15456</v>
      </c>
      <c r="H2770" s="2" t="s">
        <v>15444</v>
      </c>
    </row>
    <row r="2771">
      <c r="A2771" s="2">
        <v>2769.0</v>
      </c>
      <c r="B2771" s="5" t="s">
        <v>4115</v>
      </c>
      <c r="C2771" s="2" t="s">
        <v>4116</v>
      </c>
      <c r="D2771" s="5" t="s">
        <v>4115</v>
      </c>
      <c r="E2771" s="2" t="s">
        <v>15445</v>
      </c>
      <c r="F2771" s="2" t="s">
        <v>15442</v>
      </c>
      <c r="G2771" s="2" t="s">
        <v>15443</v>
      </c>
      <c r="H2771" s="2" t="s">
        <v>15444</v>
      </c>
    </row>
    <row r="2772">
      <c r="A2772" s="2">
        <v>2770.0</v>
      </c>
      <c r="B2772" s="5" t="s">
        <v>4118</v>
      </c>
      <c r="C2772" s="2" t="s">
        <v>4119</v>
      </c>
      <c r="D2772" s="5" t="s">
        <v>4118</v>
      </c>
      <c r="E2772" s="2" t="s">
        <v>15445</v>
      </c>
      <c r="F2772" s="2" t="s">
        <v>15442</v>
      </c>
      <c r="G2772" s="2" t="s">
        <v>15456</v>
      </c>
      <c r="H2772" s="2" t="s">
        <v>15444</v>
      </c>
    </row>
    <row r="2773">
      <c r="A2773" s="2">
        <v>2771.0</v>
      </c>
      <c r="B2773" s="5" t="s">
        <v>4121</v>
      </c>
      <c r="C2773" s="2" t="s">
        <v>4122</v>
      </c>
      <c r="D2773" s="5" t="s">
        <v>4121</v>
      </c>
      <c r="E2773" s="2" t="s">
        <v>15445</v>
      </c>
      <c r="F2773" s="2" t="s">
        <v>15446</v>
      </c>
      <c r="G2773" s="2" t="s">
        <v>15456</v>
      </c>
      <c r="H2773" s="2" t="s">
        <v>15455</v>
      </c>
    </row>
    <row r="2774">
      <c r="A2774" s="2">
        <v>2772.0</v>
      </c>
      <c r="B2774" s="5" t="s">
        <v>12056</v>
      </c>
      <c r="C2774" s="2" t="s">
        <v>12057</v>
      </c>
      <c r="D2774" s="5" t="s">
        <v>12056</v>
      </c>
      <c r="E2774" s="2" t="s">
        <v>15441</v>
      </c>
      <c r="F2774" s="2" t="s">
        <v>15446</v>
      </c>
      <c r="G2774" s="2" t="s">
        <v>15456</v>
      </c>
      <c r="H2774" s="2" t="s">
        <v>15444</v>
      </c>
    </row>
    <row r="2775">
      <c r="A2775" s="2">
        <v>2773.0</v>
      </c>
      <c r="B2775" s="5" t="s">
        <v>12058</v>
      </c>
      <c r="C2775" s="2" t="s">
        <v>12059</v>
      </c>
      <c r="D2775" s="5" t="s">
        <v>12058</v>
      </c>
      <c r="E2775" s="2" t="s">
        <v>15441</v>
      </c>
      <c r="F2775" s="2" t="s">
        <v>15442</v>
      </c>
      <c r="G2775" s="2" t="s">
        <v>15443</v>
      </c>
      <c r="H2775" s="2" t="s">
        <v>15455</v>
      </c>
    </row>
    <row r="2776">
      <c r="A2776" s="2">
        <v>2774.0</v>
      </c>
      <c r="B2776" s="5" t="s">
        <v>4124</v>
      </c>
      <c r="C2776" s="2" t="s">
        <v>4125</v>
      </c>
      <c r="D2776" s="5" t="s">
        <v>4124</v>
      </c>
      <c r="E2776" s="2" t="s">
        <v>15445</v>
      </c>
      <c r="F2776" s="2" t="s">
        <v>15446</v>
      </c>
      <c r="G2776" s="2" t="s">
        <v>15456</v>
      </c>
      <c r="H2776" s="2" t="s">
        <v>15444</v>
      </c>
    </row>
    <row r="2777">
      <c r="A2777" s="2">
        <v>2775.0</v>
      </c>
      <c r="B2777" s="5" t="s">
        <v>4127</v>
      </c>
      <c r="C2777" s="2" t="s">
        <v>4128</v>
      </c>
      <c r="D2777" s="5" t="s">
        <v>4127</v>
      </c>
      <c r="E2777" s="2" t="s">
        <v>15445</v>
      </c>
      <c r="F2777" s="2" t="s">
        <v>15446</v>
      </c>
      <c r="G2777" s="2" t="s">
        <v>15456</v>
      </c>
      <c r="H2777" s="2" t="s">
        <v>15444</v>
      </c>
    </row>
    <row r="2778">
      <c r="A2778" s="2">
        <v>2776.0</v>
      </c>
      <c r="B2778" s="5" t="s">
        <v>4130</v>
      </c>
      <c r="C2778" s="2" t="s">
        <v>4131</v>
      </c>
      <c r="D2778" s="5" t="s">
        <v>4130</v>
      </c>
      <c r="E2778" s="2" t="s">
        <v>15445</v>
      </c>
      <c r="F2778" s="2" t="s">
        <v>15442</v>
      </c>
      <c r="G2778" s="2" t="s">
        <v>15443</v>
      </c>
      <c r="H2778" s="2" t="s">
        <v>15444</v>
      </c>
    </row>
    <row r="2779">
      <c r="A2779" s="2">
        <v>2777.0</v>
      </c>
      <c r="B2779" s="5" t="s">
        <v>4133</v>
      </c>
      <c r="C2779" s="2" t="s">
        <v>4134</v>
      </c>
      <c r="D2779" s="5" t="s">
        <v>4133</v>
      </c>
      <c r="E2779" s="2" t="s">
        <v>15445</v>
      </c>
      <c r="F2779" s="2" t="s">
        <v>15442</v>
      </c>
      <c r="G2779" s="2" t="s">
        <v>15456</v>
      </c>
      <c r="H2779" s="2" t="s">
        <v>15444</v>
      </c>
    </row>
    <row r="2780">
      <c r="A2780" s="2">
        <v>2778.0</v>
      </c>
      <c r="B2780" s="5" t="s">
        <v>4136</v>
      </c>
      <c r="C2780" s="2" t="s">
        <v>4137</v>
      </c>
      <c r="D2780" s="5" t="s">
        <v>4136</v>
      </c>
      <c r="E2780" s="2" t="s">
        <v>15445</v>
      </c>
      <c r="F2780" s="2" t="s">
        <v>15446</v>
      </c>
      <c r="G2780" s="2" t="s">
        <v>15443</v>
      </c>
      <c r="H2780" s="2" t="s">
        <v>15455</v>
      </c>
    </row>
    <row r="2781">
      <c r="A2781" s="2">
        <v>2779.0</v>
      </c>
      <c r="B2781" s="5" t="s">
        <v>12060</v>
      </c>
      <c r="C2781" s="2" t="s">
        <v>12061</v>
      </c>
      <c r="D2781" s="5" t="s">
        <v>12060</v>
      </c>
      <c r="E2781" s="2" t="s">
        <v>15441</v>
      </c>
      <c r="F2781" s="2" t="s">
        <v>15442</v>
      </c>
      <c r="G2781" s="2" t="s">
        <v>15443</v>
      </c>
      <c r="H2781" s="2" t="s">
        <v>15444</v>
      </c>
    </row>
    <row r="2782">
      <c r="A2782" s="2">
        <v>2780.0</v>
      </c>
      <c r="B2782" s="5" t="s">
        <v>12062</v>
      </c>
      <c r="C2782" s="2" t="s">
        <v>12063</v>
      </c>
      <c r="D2782" s="5" t="s">
        <v>12062</v>
      </c>
      <c r="E2782" s="2" t="s">
        <v>15441</v>
      </c>
      <c r="F2782" s="2" t="s">
        <v>15442</v>
      </c>
      <c r="G2782" s="2" t="s">
        <v>15456</v>
      </c>
      <c r="H2782" s="2" t="s">
        <v>15444</v>
      </c>
    </row>
    <row r="2783">
      <c r="A2783" s="2">
        <v>2781.0</v>
      </c>
      <c r="B2783" s="5" t="s">
        <v>15524</v>
      </c>
      <c r="D2783" s="5" t="s">
        <v>15524</v>
      </c>
      <c r="E2783" s="2" t="s">
        <v>15441</v>
      </c>
      <c r="F2783" s="2" t="s">
        <v>15446</v>
      </c>
      <c r="G2783" s="2" t="s">
        <v>15456</v>
      </c>
      <c r="H2783" s="2" t="s">
        <v>15444</v>
      </c>
    </row>
    <row r="2784">
      <c r="A2784" s="2">
        <v>2782.0</v>
      </c>
      <c r="B2784" s="5" t="s">
        <v>12064</v>
      </c>
      <c r="C2784" s="2" t="s">
        <v>12065</v>
      </c>
      <c r="D2784" s="5" t="s">
        <v>12064</v>
      </c>
      <c r="E2784" s="2" t="s">
        <v>15441</v>
      </c>
      <c r="F2784" s="2" t="s">
        <v>15446</v>
      </c>
      <c r="G2784" s="2" t="s">
        <v>15456</v>
      </c>
      <c r="H2784" s="2" t="s">
        <v>15457</v>
      </c>
    </row>
    <row r="2785">
      <c r="A2785" s="2">
        <v>2783.0</v>
      </c>
      <c r="B2785" s="5" t="s">
        <v>12066</v>
      </c>
      <c r="C2785" s="2" t="s">
        <v>12067</v>
      </c>
      <c r="D2785" s="5" t="s">
        <v>12066</v>
      </c>
      <c r="E2785" s="2" t="s">
        <v>15441</v>
      </c>
      <c r="F2785" s="2" t="s">
        <v>15446</v>
      </c>
      <c r="G2785" s="2" t="s">
        <v>15456</v>
      </c>
      <c r="H2785" s="2" t="s">
        <v>15444</v>
      </c>
    </row>
    <row r="2786">
      <c r="A2786" s="2">
        <v>2784.0</v>
      </c>
      <c r="B2786" s="5" t="s">
        <v>4139</v>
      </c>
      <c r="C2786" s="2" t="s">
        <v>4140</v>
      </c>
      <c r="D2786" s="5" t="s">
        <v>4139</v>
      </c>
      <c r="E2786" s="2" t="s">
        <v>15445</v>
      </c>
      <c r="F2786" s="2" t="s">
        <v>15446</v>
      </c>
      <c r="G2786" s="2" t="s">
        <v>15443</v>
      </c>
      <c r="H2786" s="2" t="s">
        <v>15444</v>
      </c>
    </row>
    <row r="2787">
      <c r="A2787" s="2">
        <v>2785.0</v>
      </c>
      <c r="B2787" s="5" t="s">
        <v>12068</v>
      </c>
      <c r="C2787" s="2" t="s">
        <v>12069</v>
      </c>
      <c r="D2787" s="5" t="s">
        <v>12068</v>
      </c>
      <c r="E2787" s="2" t="s">
        <v>15441</v>
      </c>
      <c r="F2787" s="2" t="s">
        <v>15446</v>
      </c>
      <c r="G2787" s="2" t="s">
        <v>15456</v>
      </c>
      <c r="H2787" s="2" t="s">
        <v>15444</v>
      </c>
    </row>
    <row r="2788">
      <c r="A2788" s="2">
        <v>2786.0</v>
      </c>
      <c r="B2788" s="5" t="s">
        <v>12070</v>
      </c>
      <c r="C2788" s="2" t="s">
        <v>12071</v>
      </c>
      <c r="D2788" s="5" t="s">
        <v>12070</v>
      </c>
      <c r="E2788" s="2" t="s">
        <v>15441</v>
      </c>
      <c r="F2788" s="2" t="s">
        <v>15442</v>
      </c>
      <c r="G2788" s="2" t="s">
        <v>15443</v>
      </c>
      <c r="H2788" s="2" t="s">
        <v>15444</v>
      </c>
    </row>
    <row r="2789">
      <c r="A2789" s="2">
        <v>2787.0</v>
      </c>
      <c r="B2789" s="5" t="s">
        <v>12072</v>
      </c>
      <c r="C2789" s="2" t="s">
        <v>12073</v>
      </c>
      <c r="D2789" s="5" t="s">
        <v>12072</v>
      </c>
      <c r="E2789" s="2" t="s">
        <v>15441</v>
      </c>
      <c r="F2789" s="2" t="s">
        <v>15446</v>
      </c>
      <c r="G2789" s="2" t="s">
        <v>15456</v>
      </c>
      <c r="H2789" s="2" t="s">
        <v>15444</v>
      </c>
    </row>
    <row r="2790">
      <c r="A2790" s="2">
        <v>2788.0</v>
      </c>
      <c r="B2790" s="5" t="s">
        <v>4142</v>
      </c>
      <c r="C2790" s="2" t="s">
        <v>4143</v>
      </c>
      <c r="D2790" s="5" t="s">
        <v>4142</v>
      </c>
      <c r="E2790" s="2" t="s">
        <v>15445</v>
      </c>
      <c r="F2790" s="2" t="s">
        <v>15446</v>
      </c>
      <c r="G2790" s="2" t="s">
        <v>15456</v>
      </c>
      <c r="H2790" s="2" t="s">
        <v>15444</v>
      </c>
    </row>
    <row r="2791">
      <c r="A2791" s="2">
        <v>2789.0</v>
      </c>
      <c r="B2791" s="5" t="s">
        <v>12074</v>
      </c>
      <c r="C2791" s="2" t="s">
        <v>12075</v>
      </c>
      <c r="D2791" s="5" t="s">
        <v>12074</v>
      </c>
      <c r="E2791" s="2" t="s">
        <v>15441</v>
      </c>
      <c r="F2791" s="2" t="s">
        <v>15446</v>
      </c>
      <c r="G2791" s="2" t="s">
        <v>15456</v>
      </c>
      <c r="H2791" s="2" t="s">
        <v>15444</v>
      </c>
    </row>
    <row r="2792">
      <c r="A2792" s="2">
        <v>2790.0</v>
      </c>
      <c r="B2792" s="5" t="s">
        <v>12076</v>
      </c>
      <c r="C2792" s="2" t="s">
        <v>12077</v>
      </c>
      <c r="D2792" s="5" t="s">
        <v>12076</v>
      </c>
      <c r="E2792" s="2" t="s">
        <v>15441</v>
      </c>
      <c r="F2792" s="2" t="s">
        <v>15446</v>
      </c>
      <c r="G2792" s="2" t="s">
        <v>15456</v>
      </c>
      <c r="H2792" s="2" t="s">
        <v>15444</v>
      </c>
    </row>
    <row r="2793">
      <c r="A2793" s="2">
        <v>2791.0</v>
      </c>
      <c r="B2793" s="5" t="s">
        <v>4145</v>
      </c>
      <c r="C2793" s="2" t="s">
        <v>4146</v>
      </c>
      <c r="D2793" s="5" t="s">
        <v>4145</v>
      </c>
      <c r="E2793" s="2" t="s">
        <v>15445</v>
      </c>
      <c r="F2793" s="2" t="s">
        <v>15446</v>
      </c>
      <c r="G2793" s="2" t="s">
        <v>15456</v>
      </c>
      <c r="H2793" s="2" t="s">
        <v>15444</v>
      </c>
    </row>
    <row r="2794">
      <c r="A2794" s="2">
        <v>2792.0</v>
      </c>
      <c r="B2794" s="5" t="s">
        <v>4148</v>
      </c>
      <c r="C2794" s="2" t="s">
        <v>4149</v>
      </c>
      <c r="D2794" s="5" t="s">
        <v>4148</v>
      </c>
      <c r="E2794" s="2" t="s">
        <v>15445</v>
      </c>
      <c r="F2794" s="2" t="s">
        <v>15442</v>
      </c>
      <c r="G2794" s="2" t="s">
        <v>15443</v>
      </c>
      <c r="H2794" s="2" t="s">
        <v>15461</v>
      </c>
    </row>
    <row r="2795">
      <c r="A2795" s="2">
        <v>2793.0</v>
      </c>
      <c r="B2795" s="5" t="s">
        <v>12078</v>
      </c>
      <c r="C2795" s="2" t="s">
        <v>12079</v>
      </c>
      <c r="D2795" s="5" t="s">
        <v>12078</v>
      </c>
      <c r="E2795" s="2" t="s">
        <v>15441</v>
      </c>
      <c r="F2795" s="2" t="s">
        <v>15442</v>
      </c>
      <c r="G2795" s="2" t="s">
        <v>15443</v>
      </c>
      <c r="H2795" s="2" t="s">
        <v>15444</v>
      </c>
    </row>
    <row r="2796">
      <c r="A2796" s="2">
        <v>2794.0</v>
      </c>
      <c r="B2796" s="5" t="s">
        <v>12080</v>
      </c>
      <c r="C2796" s="2" t="s">
        <v>12081</v>
      </c>
      <c r="D2796" s="5" t="s">
        <v>12080</v>
      </c>
      <c r="E2796" s="2" t="s">
        <v>15441</v>
      </c>
      <c r="F2796" s="2" t="s">
        <v>15446</v>
      </c>
      <c r="G2796" s="2" t="s">
        <v>15443</v>
      </c>
      <c r="H2796" s="2" t="s">
        <v>15457</v>
      </c>
    </row>
    <row r="2797">
      <c r="A2797" s="2">
        <v>2795.0</v>
      </c>
      <c r="B2797" s="5" t="s">
        <v>4151</v>
      </c>
      <c r="C2797" s="2" t="s">
        <v>4152</v>
      </c>
      <c r="D2797" s="5" t="s">
        <v>4151</v>
      </c>
      <c r="E2797" s="2" t="s">
        <v>15445</v>
      </c>
      <c r="F2797" s="2" t="s">
        <v>15446</v>
      </c>
      <c r="G2797" s="2" t="s">
        <v>15456</v>
      </c>
      <c r="H2797" s="2" t="s">
        <v>15444</v>
      </c>
    </row>
    <row r="2798">
      <c r="A2798" s="2">
        <v>2796.0</v>
      </c>
      <c r="B2798" s="5" t="s">
        <v>12082</v>
      </c>
      <c r="C2798" s="2" t="s">
        <v>12083</v>
      </c>
      <c r="D2798" s="5" t="s">
        <v>12082</v>
      </c>
      <c r="E2798" s="2" t="s">
        <v>15441</v>
      </c>
      <c r="F2798" s="2" t="s">
        <v>15446</v>
      </c>
      <c r="G2798" s="2" t="s">
        <v>15443</v>
      </c>
      <c r="H2798" s="2" t="s">
        <v>15444</v>
      </c>
    </row>
    <row r="2799">
      <c r="A2799" s="2">
        <v>2797.0</v>
      </c>
      <c r="B2799" s="5" t="s">
        <v>4154</v>
      </c>
      <c r="C2799" s="2" t="s">
        <v>4155</v>
      </c>
      <c r="D2799" s="5" t="s">
        <v>4154</v>
      </c>
      <c r="E2799" s="2" t="s">
        <v>15445</v>
      </c>
      <c r="F2799" s="2" t="s">
        <v>15446</v>
      </c>
      <c r="G2799" s="2" t="s">
        <v>15456</v>
      </c>
      <c r="H2799" s="2" t="s">
        <v>15444</v>
      </c>
    </row>
    <row r="2800">
      <c r="A2800" s="2">
        <v>2798.0</v>
      </c>
      <c r="B2800" s="5" t="s">
        <v>4157</v>
      </c>
      <c r="C2800" s="2" t="s">
        <v>4158</v>
      </c>
      <c r="D2800" s="5" t="s">
        <v>4157</v>
      </c>
      <c r="E2800" s="2" t="s">
        <v>15445</v>
      </c>
      <c r="F2800" s="2" t="s">
        <v>15442</v>
      </c>
      <c r="G2800" s="2" t="s">
        <v>15456</v>
      </c>
      <c r="H2800" s="2" t="s">
        <v>15444</v>
      </c>
    </row>
    <row r="2801">
      <c r="A2801" s="2">
        <v>2799.0</v>
      </c>
      <c r="B2801" s="5" t="s">
        <v>4160</v>
      </c>
      <c r="C2801" s="2" t="s">
        <v>4161</v>
      </c>
      <c r="D2801" s="5" t="s">
        <v>4160</v>
      </c>
      <c r="E2801" s="2" t="s">
        <v>15445</v>
      </c>
      <c r="F2801" s="2" t="s">
        <v>15446</v>
      </c>
      <c r="G2801" s="2" t="s">
        <v>15443</v>
      </c>
      <c r="H2801" s="2" t="s">
        <v>15444</v>
      </c>
    </row>
    <row r="2802">
      <c r="A2802" s="2">
        <v>2800.0</v>
      </c>
      <c r="B2802" s="5" t="s">
        <v>4163</v>
      </c>
      <c r="C2802" s="2" t="s">
        <v>4164</v>
      </c>
      <c r="D2802" s="5" t="s">
        <v>4163</v>
      </c>
      <c r="E2802" s="2" t="s">
        <v>15445</v>
      </c>
      <c r="F2802" s="2" t="s">
        <v>15442</v>
      </c>
      <c r="G2802" s="2" t="s">
        <v>15443</v>
      </c>
      <c r="H2802" s="2" t="s">
        <v>15444</v>
      </c>
    </row>
    <row r="2803">
      <c r="A2803" s="2">
        <v>2801.0</v>
      </c>
      <c r="B2803" s="5" t="s">
        <v>4166</v>
      </c>
      <c r="C2803" s="2" t="s">
        <v>4167</v>
      </c>
      <c r="D2803" s="5" t="s">
        <v>4166</v>
      </c>
      <c r="E2803" s="2" t="s">
        <v>15445</v>
      </c>
      <c r="F2803" s="2" t="s">
        <v>15446</v>
      </c>
      <c r="G2803" s="2" t="s">
        <v>15456</v>
      </c>
      <c r="H2803" s="2" t="s">
        <v>15444</v>
      </c>
    </row>
    <row r="2804">
      <c r="A2804" s="2">
        <v>2802.0</v>
      </c>
      <c r="B2804" s="5" t="s">
        <v>4169</v>
      </c>
      <c r="C2804" s="2" t="s">
        <v>4170</v>
      </c>
      <c r="D2804" s="5" t="s">
        <v>4169</v>
      </c>
      <c r="E2804" s="2" t="s">
        <v>15445</v>
      </c>
      <c r="F2804" s="2" t="s">
        <v>15446</v>
      </c>
      <c r="G2804" s="2" t="s">
        <v>15443</v>
      </c>
      <c r="H2804" s="2" t="s">
        <v>15444</v>
      </c>
    </row>
    <row r="2805">
      <c r="A2805" s="2">
        <v>2803.0</v>
      </c>
      <c r="B2805" s="5" t="s">
        <v>12084</v>
      </c>
      <c r="C2805" s="2" t="s">
        <v>12085</v>
      </c>
      <c r="D2805" s="5" t="s">
        <v>12084</v>
      </c>
      <c r="E2805" s="2" t="s">
        <v>15441</v>
      </c>
      <c r="F2805" s="2" t="s">
        <v>15446</v>
      </c>
      <c r="G2805" s="2" t="s">
        <v>15443</v>
      </c>
      <c r="H2805" s="2" t="s">
        <v>15444</v>
      </c>
    </row>
    <row r="2806">
      <c r="A2806" s="2">
        <v>2804.0</v>
      </c>
      <c r="B2806" s="5" t="s">
        <v>12086</v>
      </c>
      <c r="C2806" s="2" t="s">
        <v>12087</v>
      </c>
      <c r="D2806" s="5" t="s">
        <v>12086</v>
      </c>
      <c r="E2806" s="2" t="s">
        <v>15441</v>
      </c>
      <c r="F2806" s="2" t="s">
        <v>15446</v>
      </c>
      <c r="G2806" s="2" t="s">
        <v>15456</v>
      </c>
      <c r="H2806" s="2" t="s">
        <v>15444</v>
      </c>
    </row>
    <row r="2807">
      <c r="A2807" s="2">
        <v>2805.0</v>
      </c>
      <c r="B2807" s="5" t="s">
        <v>12088</v>
      </c>
      <c r="C2807" s="2" t="s">
        <v>12089</v>
      </c>
      <c r="D2807" s="5" t="s">
        <v>12088</v>
      </c>
      <c r="E2807" s="2" t="s">
        <v>15441</v>
      </c>
      <c r="F2807" s="2" t="s">
        <v>15442</v>
      </c>
      <c r="G2807" s="2" t="s">
        <v>15443</v>
      </c>
      <c r="H2807" s="2" t="s">
        <v>15444</v>
      </c>
    </row>
    <row r="2808">
      <c r="A2808" s="2">
        <v>2806.0</v>
      </c>
      <c r="B2808" s="5" t="s">
        <v>12090</v>
      </c>
      <c r="C2808" s="2" t="s">
        <v>12091</v>
      </c>
      <c r="D2808" s="5" t="s">
        <v>12090</v>
      </c>
      <c r="E2808" s="2" t="s">
        <v>15441</v>
      </c>
      <c r="F2808" s="2" t="s">
        <v>15442</v>
      </c>
      <c r="G2808" s="2" t="s">
        <v>15443</v>
      </c>
      <c r="H2808" s="2" t="s">
        <v>15444</v>
      </c>
    </row>
    <row r="2809">
      <c r="A2809" s="2">
        <v>2807.0</v>
      </c>
      <c r="B2809" s="5" t="s">
        <v>12092</v>
      </c>
      <c r="C2809" s="2" t="s">
        <v>12093</v>
      </c>
      <c r="D2809" s="5" t="s">
        <v>12092</v>
      </c>
      <c r="E2809" s="2" t="s">
        <v>15441</v>
      </c>
      <c r="F2809" s="2" t="s">
        <v>15442</v>
      </c>
      <c r="G2809" s="2" t="s">
        <v>15443</v>
      </c>
      <c r="H2809" s="2" t="s">
        <v>15444</v>
      </c>
    </row>
    <row r="2810">
      <c r="A2810" s="2">
        <v>2808.0</v>
      </c>
      <c r="B2810" s="5" t="s">
        <v>12094</v>
      </c>
      <c r="C2810" s="2" t="s">
        <v>12095</v>
      </c>
      <c r="D2810" s="5" t="s">
        <v>12094</v>
      </c>
      <c r="E2810" s="2" t="s">
        <v>15441</v>
      </c>
      <c r="F2810" s="2" t="s">
        <v>15446</v>
      </c>
      <c r="G2810" s="2" t="s">
        <v>15443</v>
      </c>
      <c r="H2810" s="2" t="s">
        <v>15444</v>
      </c>
    </row>
    <row r="2811">
      <c r="A2811" s="2">
        <v>2809.0</v>
      </c>
      <c r="B2811" s="5" t="s">
        <v>12096</v>
      </c>
      <c r="C2811" s="2" t="s">
        <v>12097</v>
      </c>
      <c r="D2811" s="5" t="s">
        <v>12096</v>
      </c>
      <c r="E2811" s="2" t="s">
        <v>15441</v>
      </c>
      <c r="F2811" s="2" t="s">
        <v>15442</v>
      </c>
      <c r="G2811" s="2" t="s">
        <v>15443</v>
      </c>
      <c r="H2811" s="2" t="s">
        <v>15444</v>
      </c>
    </row>
    <row r="2812">
      <c r="A2812" s="2">
        <v>2810.0</v>
      </c>
      <c r="B2812" s="5" t="s">
        <v>4172</v>
      </c>
      <c r="C2812" s="2" t="s">
        <v>4173</v>
      </c>
      <c r="D2812" s="5" t="s">
        <v>4172</v>
      </c>
      <c r="E2812" s="2" t="s">
        <v>15445</v>
      </c>
      <c r="F2812" s="2" t="s">
        <v>15442</v>
      </c>
      <c r="G2812" s="2" t="s">
        <v>15456</v>
      </c>
      <c r="H2812" s="2" t="s">
        <v>15444</v>
      </c>
    </row>
    <row r="2813">
      <c r="A2813" s="2">
        <v>2811.0</v>
      </c>
      <c r="B2813" s="5" t="s">
        <v>4175</v>
      </c>
      <c r="C2813" s="2" t="s">
        <v>4176</v>
      </c>
      <c r="D2813" s="5" t="s">
        <v>4175</v>
      </c>
      <c r="E2813" s="2" t="s">
        <v>15445</v>
      </c>
      <c r="F2813" s="2" t="s">
        <v>15446</v>
      </c>
      <c r="G2813" s="2" t="s">
        <v>15456</v>
      </c>
      <c r="H2813" s="2" t="s">
        <v>15444</v>
      </c>
    </row>
    <row r="2814">
      <c r="A2814" s="2">
        <v>2812.0</v>
      </c>
      <c r="B2814" s="5" t="s">
        <v>12098</v>
      </c>
      <c r="C2814" s="2" t="s">
        <v>12099</v>
      </c>
      <c r="D2814" s="5" t="s">
        <v>12098</v>
      </c>
      <c r="E2814" s="2" t="s">
        <v>15441</v>
      </c>
      <c r="F2814" s="2" t="s">
        <v>15446</v>
      </c>
      <c r="G2814" s="2" t="s">
        <v>15443</v>
      </c>
      <c r="H2814" s="2" t="s">
        <v>15444</v>
      </c>
    </row>
    <row r="2815">
      <c r="A2815" s="2">
        <v>2813.0</v>
      </c>
      <c r="B2815" s="5" t="s">
        <v>4178</v>
      </c>
      <c r="C2815" s="2" t="s">
        <v>4179</v>
      </c>
      <c r="D2815" s="5" t="s">
        <v>4178</v>
      </c>
      <c r="E2815" s="2" t="s">
        <v>15445</v>
      </c>
      <c r="F2815" s="2" t="s">
        <v>15446</v>
      </c>
      <c r="G2815" s="2" t="s">
        <v>15443</v>
      </c>
      <c r="H2815" s="2" t="s">
        <v>15444</v>
      </c>
    </row>
    <row r="2816">
      <c r="A2816" s="2">
        <v>2814.0</v>
      </c>
      <c r="B2816" s="5" t="s">
        <v>4181</v>
      </c>
      <c r="C2816" s="2" t="s">
        <v>4182</v>
      </c>
      <c r="D2816" s="5" t="s">
        <v>4181</v>
      </c>
      <c r="E2816" s="2" t="s">
        <v>15445</v>
      </c>
      <c r="F2816" s="2" t="s">
        <v>15442</v>
      </c>
      <c r="G2816" s="2" t="s">
        <v>15456</v>
      </c>
      <c r="H2816" s="2" t="s">
        <v>15455</v>
      </c>
    </row>
    <row r="2817">
      <c r="A2817" s="2">
        <v>2815.0</v>
      </c>
      <c r="B2817" s="5" t="s">
        <v>4184</v>
      </c>
      <c r="C2817" s="2" t="s">
        <v>4185</v>
      </c>
      <c r="D2817" s="5" t="s">
        <v>4184</v>
      </c>
      <c r="E2817" s="2" t="s">
        <v>15445</v>
      </c>
      <c r="F2817" s="2" t="s">
        <v>15446</v>
      </c>
      <c r="G2817" s="2" t="s">
        <v>15456</v>
      </c>
      <c r="H2817" s="2" t="s">
        <v>15444</v>
      </c>
    </row>
    <row r="2818">
      <c r="A2818" s="2">
        <v>2816.0</v>
      </c>
      <c r="B2818" s="5" t="s">
        <v>4187</v>
      </c>
      <c r="C2818" s="2" t="s">
        <v>4188</v>
      </c>
      <c r="D2818" s="5" t="s">
        <v>4187</v>
      </c>
      <c r="E2818" s="2" t="s">
        <v>15445</v>
      </c>
      <c r="F2818" s="2" t="s">
        <v>15446</v>
      </c>
      <c r="G2818" s="2" t="s">
        <v>15456</v>
      </c>
      <c r="H2818" s="2" t="s">
        <v>15444</v>
      </c>
    </row>
    <row r="2819">
      <c r="A2819" s="2">
        <v>2817.0</v>
      </c>
      <c r="B2819" s="5" t="s">
        <v>4190</v>
      </c>
      <c r="C2819" s="2" t="s">
        <v>4191</v>
      </c>
      <c r="D2819" s="5" t="s">
        <v>4190</v>
      </c>
      <c r="E2819" s="2" t="s">
        <v>15445</v>
      </c>
      <c r="F2819" s="2" t="s">
        <v>15446</v>
      </c>
      <c r="G2819" s="2" t="s">
        <v>15456</v>
      </c>
      <c r="H2819" s="2" t="s">
        <v>15444</v>
      </c>
    </row>
    <row r="2820">
      <c r="A2820" s="2">
        <v>2818.0</v>
      </c>
      <c r="B2820" s="5" t="s">
        <v>4193</v>
      </c>
      <c r="C2820" s="2" t="s">
        <v>4194</v>
      </c>
      <c r="D2820" s="5" t="s">
        <v>4193</v>
      </c>
      <c r="E2820" s="2" t="s">
        <v>15445</v>
      </c>
      <c r="F2820" s="2" t="s">
        <v>15446</v>
      </c>
      <c r="G2820" s="2" t="s">
        <v>15443</v>
      </c>
      <c r="H2820" s="2" t="s">
        <v>15444</v>
      </c>
    </row>
    <row r="2821">
      <c r="A2821" s="2">
        <v>2819.0</v>
      </c>
      <c r="B2821" s="5" t="s">
        <v>12100</v>
      </c>
      <c r="C2821" s="2" t="s">
        <v>12101</v>
      </c>
      <c r="D2821" s="5" t="s">
        <v>12100</v>
      </c>
      <c r="E2821" s="2" t="s">
        <v>15441</v>
      </c>
      <c r="F2821" s="2" t="s">
        <v>15442</v>
      </c>
      <c r="G2821" s="2" t="s">
        <v>15443</v>
      </c>
      <c r="H2821" s="2" t="s">
        <v>15444</v>
      </c>
    </row>
    <row r="2822">
      <c r="A2822" s="2">
        <v>2820.0</v>
      </c>
      <c r="B2822" s="5" t="s">
        <v>4196</v>
      </c>
      <c r="C2822" s="2" t="s">
        <v>4197</v>
      </c>
      <c r="D2822" s="5" t="s">
        <v>4196</v>
      </c>
      <c r="E2822" s="2" t="s">
        <v>15445</v>
      </c>
      <c r="F2822" s="2" t="s">
        <v>15446</v>
      </c>
      <c r="G2822" s="2" t="s">
        <v>15443</v>
      </c>
      <c r="H2822" s="2" t="s">
        <v>15444</v>
      </c>
    </row>
    <row r="2823">
      <c r="A2823" s="2">
        <v>2821.0</v>
      </c>
      <c r="B2823" s="5" t="s">
        <v>12102</v>
      </c>
      <c r="C2823" s="2" t="s">
        <v>12103</v>
      </c>
      <c r="D2823" s="5" t="s">
        <v>12102</v>
      </c>
      <c r="E2823" s="2" t="s">
        <v>15441</v>
      </c>
      <c r="F2823" s="2" t="s">
        <v>15446</v>
      </c>
      <c r="G2823" s="2" t="s">
        <v>15456</v>
      </c>
      <c r="H2823" s="2" t="s">
        <v>15455</v>
      </c>
    </row>
    <row r="2824">
      <c r="A2824" s="2">
        <v>2822.0</v>
      </c>
      <c r="B2824" s="5" t="s">
        <v>12104</v>
      </c>
      <c r="C2824" s="2" t="s">
        <v>12105</v>
      </c>
      <c r="D2824" s="5" t="s">
        <v>12104</v>
      </c>
      <c r="E2824" s="2" t="s">
        <v>15441</v>
      </c>
      <c r="F2824" s="2" t="s">
        <v>15442</v>
      </c>
      <c r="G2824" s="2" t="s">
        <v>15443</v>
      </c>
      <c r="H2824" s="2" t="s">
        <v>15455</v>
      </c>
    </row>
    <row r="2825">
      <c r="A2825" s="2">
        <v>2823.0</v>
      </c>
      <c r="B2825" s="5" t="s">
        <v>12106</v>
      </c>
      <c r="C2825" s="2" t="s">
        <v>12107</v>
      </c>
      <c r="D2825" s="5" t="s">
        <v>12106</v>
      </c>
      <c r="E2825" s="2" t="s">
        <v>15441</v>
      </c>
      <c r="F2825" s="2" t="s">
        <v>15442</v>
      </c>
      <c r="G2825" s="2" t="s">
        <v>15443</v>
      </c>
      <c r="H2825" s="2" t="s">
        <v>15444</v>
      </c>
    </row>
    <row r="2826">
      <c r="A2826" s="2">
        <v>2824.0</v>
      </c>
      <c r="B2826" s="5" t="s">
        <v>4199</v>
      </c>
      <c r="C2826" s="2" t="s">
        <v>4200</v>
      </c>
      <c r="D2826" s="5" t="s">
        <v>4199</v>
      </c>
      <c r="E2826" s="2" t="s">
        <v>15445</v>
      </c>
      <c r="F2826" s="2" t="s">
        <v>15446</v>
      </c>
      <c r="G2826" s="2" t="s">
        <v>15443</v>
      </c>
      <c r="H2826" s="2" t="s">
        <v>15444</v>
      </c>
    </row>
    <row r="2827">
      <c r="A2827" s="2">
        <v>2825.0</v>
      </c>
      <c r="B2827" s="5" t="s">
        <v>12108</v>
      </c>
      <c r="C2827" s="2" t="s">
        <v>12109</v>
      </c>
      <c r="D2827" s="5" t="s">
        <v>12108</v>
      </c>
      <c r="E2827" s="2" t="s">
        <v>15441</v>
      </c>
      <c r="F2827" s="2" t="s">
        <v>15442</v>
      </c>
      <c r="G2827" s="2" t="s">
        <v>15443</v>
      </c>
      <c r="H2827" s="2" t="s">
        <v>15444</v>
      </c>
    </row>
    <row r="2828">
      <c r="A2828" s="2">
        <v>2826.0</v>
      </c>
      <c r="B2828" s="5" t="s">
        <v>4202</v>
      </c>
      <c r="C2828" s="2" t="s">
        <v>4203</v>
      </c>
      <c r="D2828" s="5" t="s">
        <v>4202</v>
      </c>
      <c r="E2828" s="2" t="s">
        <v>15445</v>
      </c>
      <c r="F2828" s="2" t="s">
        <v>15442</v>
      </c>
      <c r="G2828" s="2" t="s">
        <v>15443</v>
      </c>
      <c r="H2828" s="2" t="s">
        <v>15444</v>
      </c>
    </row>
    <row r="2829">
      <c r="A2829" s="2">
        <v>2827.0</v>
      </c>
      <c r="B2829" s="5" t="s">
        <v>4205</v>
      </c>
      <c r="C2829" s="2" t="s">
        <v>4206</v>
      </c>
      <c r="D2829" s="5" t="s">
        <v>4205</v>
      </c>
      <c r="E2829" s="2" t="s">
        <v>15445</v>
      </c>
      <c r="F2829" s="2" t="s">
        <v>15446</v>
      </c>
      <c r="G2829" s="2" t="s">
        <v>15456</v>
      </c>
      <c r="H2829" s="2" t="s">
        <v>15444</v>
      </c>
    </row>
    <row r="2830">
      <c r="A2830" s="2">
        <v>2828.0</v>
      </c>
      <c r="B2830" s="5" t="s">
        <v>12110</v>
      </c>
      <c r="C2830" s="2" t="s">
        <v>12111</v>
      </c>
      <c r="D2830" s="5" t="s">
        <v>12110</v>
      </c>
      <c r="E2830" s="2" t="s">
        <v>15441</v>
      </c>
      <c r="F2830" s="2" t="s">
        <v>15446</v>
      </c>
      <c r="G2830" s="2" t="s">
        <v>15443</v>
      </c>
      <c r="H2830" s="2" t="s">
        <v>15444</v>
      </c>
    </row>
    <row r="2831">
      <c r="A2831" s="2">
        <v>2829.0</v>
      </c>
      <c r="B2831" s="5" t="s">
        <v>12112</v>
      </c>
      <c r="C2831" s="2" t="s">
        <v>12113</v>
      </c>
      <c r="D2831" s="5" t="s">
        <v>12112</v>
      </c>
      <c r="E2831" s="2" t="s">
        <v>15441</v>
      </c>
      <c r="F2831" s="2" t="s">
        <v>15442</v>
      </c>
      <c r="G2831" s="2" t="s">
        <v>15443</v>
      </c>
      <c r="H2831" s="2" t="s">
        <v>15444</v>
      </c>
    </row>
    <row r="2832">
      <c r="A2832" s="2">
        <v>2830.0</v>
      </c>
      <c r="B2832" s="5" t="s">
        <v>4208</v>
      </c>
      <c r="C2832" s="2" t="s">
        <v>4209</v>
      </c>
      <c r="D2832" s="5" t="s">
        <v>4208</v>
      </c>
      <c r="E2832" s="2" t="s">
        <v>15445</v>
      </c>
      <c r="F2832" s="2" t="s">
        <v>15442</v>
      </c>
      <c r="G2832" s="2" t="s">
        <v>15443</v>
      </c>
      <c r="H2832" s="2" t="s">
        <v>15444</v>
      </c>
    </row>
    <row r="2833">
      <c r="A2833" s="2">
        <v>2831.0</v>
      </c>
      <c r="B2833" s="5" t="s">
        <v>12114</v>
      </c>
      <c r="C2833" s="2" t="s">
        <v>12115</v>
      </c>
      <c r="D2833" s="5" t="s">
        <v>12114</v>
      </c>
      <c r="E2833" s="2" t="s">
        <v>15441</v>
      </c>
      <c r="F2833" s="2" t="s">
        <v>15446</v>
      </c>
      <c r="G2833" s="2" t="s">
        <v>15443</v>
      </c>
      <c r="H2833" s="2" t="s">
        <v>15461</v>
      </c>
    </row>
    <row r="2834">
      <c r="A2834" s="2">
        <v>2832.0</v>
      </c>
      <c r="B2834" s="5" t="s">
        <v>12116</v>
      </c>
      <c r="C2834" s="2" t="s">
        <v>12117</v>
      </c>
      <c r="D2834" s="5" t="s">
        <v>12116</v>
      </c>
      <c r="E2834" s="2" t="s">
        <v>15441</v>
      </c>
      <c r="F2834" s="2" t="s">
        <v>15446</v>
      </c>
      <c r="G2834" s="2" t="s">
        <v>15456</v>
      </c>
      <c r="H2834" s="2" t="s">
        <v>15444</v>
      </c>
    </row>
    <row r="2835">
      <c r="A2835" s="2">
        <v>2833.0</v>
      </c>
      <c r="B2835" s="5" t="s">
        <v>4211</v>
      </c>
      <c r="C2835" s="2" t="s">
        <v>4212</v>
      </c>
      <c r="D2835" s="5" t="s">
        <v>4211</v>
      </c>
      <c r="E2835" s="2" t="s">
        <v>15445</v>
      </c>
      <c r="F2835" s="2" t="s">
        <v>15446</v>
      </c>
      <c r="G2835" s="2" t="s">
        <v>15456</v>
      </c>
      <c r="H2835" s="2" t="s">
        <v>15444</v>
      </c>
    </row>
    <row r="2836">
      <c r="A2836" s="2">
        <v>2834.0</v>
      </c>
      <c r="B2836" s="5" t="s">
        <v>4214</v>
      </c>
      <c r="C2836" s="2" t="s">
        <v>4215</v>
      </c>
      <c r="D2836" s="5" t="s">
        <v>4214</v>
      </c>
      <c r="E2836" s="2" t="s">
        <v>15445</v>
      </c>
      <c r="F2836" s="2" t="s">
        <v>15442</v>
      </c>
      <c r="G2836" s="2" t="s">
        <v>15443</v>
      </c>
      <c r="H2836" s="2" t="s">
        <v>15444</v>
      </c>
    </row>
    <row r="2837">
      <c r="A2837" s="2">
        <v>2835.0</v>
      </c>
      <c r="B2837" s="5" t="s">
        <v>4217</v>
      </c>
      <c r="C2837" s="2" t="s">
        <v>4218</v>
      </c>
      <c r="D2837" s="5" t="s">
        <v>4217</v>
      </c>
      <c r="E2837" s="2" t="s">
        <v>15445</v>
      </c>
      <c r="F2837" s="2" t="s">
        <v>15446</v>
      </c>
      <c r="G2837" s="2" t="s">
        <v>15456</v>
      </c>
      <c r="H2837" s="2" t="s">
        <v>15444</v>
      </c>
    </row>
    <row r="2838">
      <c r="A2838" s="2">
        <v>2836.0</v>
      </c>
      <c r="B2838" s="5" t="s">
        <v>12118</v>
      </c>
      <c r="C2838" s="2" t="s">
        <v>12119</v>
      </c>
      <c r="D2838" s="5" t="s">
        <v>12118</v>
      </c>
      <c r="E2838" s="2" t="s">
        <v>15441</v>
      </c>
      <c r="F2838" s="2" t="s">
        <v>15442</v>
      </c>
      <c r="G2838" s="2" t="s">
        <v>15443</v>
      </c>
      <c r="H2838" s="2" t="s">
        <v>15455</v>
      </c>
    </row>
    <row r="2839">
      <c r="A2839" s="2">
        <v>2837.0</v>
      </c>
      <c r="B2839" s="5" t="s">
        <v>4220</v>
      </c>
      <c r="C2839" s="2" t="s">
        <v>4221</v>
      </c>
      <c r="D2839" s="5" t="s">
        <v>4220</v>
      </c>
      <c r="E2839" s="2" t="s">
        <v>15445</v>
      </c>
      <c r="F2839" s="2" t="s">
        <v>15442</v>
      </c>
      <c r="G2839" s="2" t="s">
        <v>15443</v>
      </c>
      <c r="H2839" s="2" t="s">
        <v>15461</v>
      </c>
    </row>
    <row r="2840">
      <c r="A2840" s="2">
        <v>2838.0</v>
      </c>
      <c r="B2840" s="5" t="s">
        <v>4223</v>
      </c>
      <c r="C2840" s="2" t="s">
        <v>4224</v>
      </c>
      <c r="D2840" s="5" t="s">
        <v>4223</v>
      </c>
      <c r="E2840" s="2" t="s">
        <v>15445</v>
      </c>
      <c r="F2840" s="2" t="s">
        <v>15442</v>
      </c>
      <c r="G2840" s="2" t="s">
        <v>15443</v>
      </c>
      <c r="H2840" s="2" t="s">
        <v>15444</v>
      </c>
    </row>
    <row r="2841">
      <c r="A2841" s="2">
        <v>2839.0</v>
      </c>
      <c r="B2841" s="5" t="s">
        <v>4226</v>
      </c>
      <c r="C2841" s="2" t="s">
        <v>4227</v>
      </c>
      <c r="D2841" s="5" t="s">
        <v>4226</v>
      </c>
      <c r="E2841" s="2" t="s">
        <v>15445</v>
      </c>
      <c r="F2841" s="2" t="s">
        <v>15442</v>
      </c>
      <c r="G2841" s="2" t="s">
        <v>15456</v>
      </c>
      <c r="H2841" s="2" t="s">
        <v>15444</v>
      </c>
    </row>
    <row r="2842">
      <c r="A2842" s="2">
        <v>2840.0</v>
      </c>
      <c r="B2842" s="5" t="s">
        <v>4229</v>
      </c>
      <c r="C2842" s="2" t="s">
        <v>4230</v>
      </c>
      <c r="D2842" s="5" t="s">
        <v>4229</v>
      </c>
      <c r="E2842" s="2" t="s">
        <v>15445</v>
      </c>
      <c r="F2842" s="2" t="s">
        <v>15442</v>
      </c>
      <c r="G2842" s="2" t="s">
        <v>15443</v>
      </c>
      <c r="H2842" s="2" t="s">
        <v>15444</v>
      </c>
    </row>
    <row r="2843">
      <c r="A2843" s="2">
        <v>2841.0</v>
      </c>
      <c r="B2843" s="5" t="s">
        <v>12120</v>
      </c>
      <c r="C2843" s="2" t="s">
        <v>12121</v>
      </c>
      <c r="D2843" s="5" t="s">
        <v>12120</v>
      </c>
      <c r="E2843" s="2" t="s">
        <v>15441</v>
      </c>
      <c r="F2843" s="2" t="s">
        <v>15446</v>
      </c>
      <c r="G2843" s="2" t="s">
        <v>15443</v>
      </c>
      <c r="H2843" s="2" t="s">
        <v>15444</v>
      </c>
    </row>
    <row r="2844">
      <c r="A2844" s="2">
        <v>2842.0</v>
      </c>
      <c r="B2844" s="5" t="s">
        <v>12122</v>
      </c>
      <c r="C2844" s="2" t="s">
        <v>12123</v>
      </c>
      <c r="D2844" s="5" t="s">
        <v>12122</v>
      </c>
      <c r="E2844" s="2" t="s">
        <v>15441</v>
      </c>
      <c r="F2844" s="2" t="s">
        <v>15446</v>
      </c>
      <c r="G2844" s="2" t="s">
        <v>15456</v>
      </c>
      <c r="H2844" s="2" t="s">
        <v>15444</v>
      </c>
    </row>
    <row r="2845">
      <c r="A2845" s="2">
        <v>2843.0</v>
      </c>
      <c r="B2845" s="5" t="s">
        <v>12124</v>
      </c>
      <c r="C2845" s="2" t="s">
        <v>12125</v>
      </c>
      <c r="D2845" s="5" t="s">
        <v>12124</v>
      </c>
      <c r="E2845" s="2" t="s">
        <v>15441</v>
      </c>
      <c r="F2845" s="2" t="s">
        <v>15442</v>
      </c>
      <c r="G2845" s="2" t="s">
        <v>15443</v>
      </c>
      <c r="H2845" s="2" t="s">
        <v>15444</v>
      </c>
    </row>
    <row r="2846">
      <c r="A2846" s="2">
        <v>2844.0</v>
      </c>
      <c r="B2846" s="5" t="s">
        <v>12126</v>
      </c>
      <c r="C2846" s="2" t="s">
        <v>12127</v>
      </c>
      <c r="D2846" s="5" t="s">
        <v>12126</v>
      </c>
      <c r="E2846" s="2" t="s">
        <v>15441</v>
      </c>
      <c r="F2846" s="2" t="s">
        <v>15446</v>
      </c>
      <c r="G2846" s="2" t="s">
        <v>15456</v>
      </c>
      <c r="H2846" s="2" t="s">
        <v>15444</v>
      </c>
    </row>
    <row r="2847">
      <c r="A2847" s="2">
        <v>2845.0</v>
      </c>
      <c r="B2847" s="5" t="s">
        <v>4232</v>
      </c>
      <c r="C2847" s="2" t="s">
        <v>4233</v>
      </c>
      <c r="D2847" s="5" t="s">
        <v>4232</v>
      </c>
      <c r="E2847" s="2" t="s">
        <v>15445</v>
      </c>
      <c r="F2847" s="2" t="s">
        <v>15442</v>
      </c>
      <c r="G2847" s="2" t="s">
        <v>15443</v>
      </c>
      <c r="H2847" s="2" t="s">
        <v>15444</v>
      </c>
    </row>
    <row r="2848">
      <c r="A2848" s="2">
        <v>2846.0</v>
      </c>
      <c r="B2848" s="5" t="s">
        <v>4235</v>
      </c>
      <c r="C2848" s="2" t="s">
        <v>4236</v>
      </c>
      <c r="D2848" s="5" t="s">
        <v>4235</v>
      </c>
      <c r="E2848" s="2" t="s">
        <v>15445</v>
      </c>
      <c r="F2848" s="2" t="s">
        <v>15442</v>
      </c>
      <c r="G2848" s="2" t="s">
        <v>15443</v>
      </c>
      <c r="H2848" s="2" t="s">
        <v>15444</v>
      </c>
    </row>
    <row r="2849">
      <c r="A2849" s="2">
        <v>2847.0</v>
      </c>
      <c r="B2849" s="5" t="s">
        <v>12128</v>
      </c>
      <c r="C2849" s="2" t="s">
        <v>12129</v>
      </c>
      <c r="D2849" s="5" t="s">
        <v>12128</v>
      </c>
      <c r="E2849" s="2" t="s">
        <v>15441</v>
      </c>
      <c r="F2849" s="2" t="s">
        <v>15446</v>
      </c>
      <c r="G2849" s="2" t="s">
        <v>15443</v>
      </c>
      <c r="H2849" s="2" t="s">
        <v>15444</v>
      </c>
    </row>
    <row r="2850">
      <c r="A2850" s="2">
        <v>2848.0</v>
      </c>
      <c r="B2850" s="5" t="s">
        <v>4238</v>
      </c>
      <c r="C2850" s="2" t="s">
        <v>4239</v>
      </c>
      <c r="D2850" s="5" t="s">
        <v>4238</v>
      </c>
      <c r="E2850" s="2" t="s">
        <v>15445</v>
      </c>
      <c r="F2850" s="2" t="s">
        <v>15446</v>
      </c>
      <c r="G2850" s="2" t="s">
        <v>15456</v>
      </c>
      <c r="H2850" s="2" t="s">
        <v>15444</v>
      </c>
    </row>
    <row r="2851">
      <c r="A2851" s="2">
        <v>2849.0</v>
      </c>
      <c r="B2851" s="5" t="s">
        <v>4241</v>
      </c>
      <c r="C2851" s="2" t="s">
        <v>4242</v>
      </c>
      <c r="D2851" s="5" t="s">
        <v>4241</v>
      </c>
      <c r="E2851" s="2" t="s">
        <v>15445</v>
      </c>
      <c r="F2851" s="2" t="s">
        <v>15446</v>
      </c>
      <c r="G2851" s="2" t="s">
        <v>15456</v>
      </c>
      <c r="H2851" s="2" t="s">
        <v>15444</v>
      </c>
    </row>
    <row r="2852">
      <c r="A2852" s="2">
        <v>2850.0</v>
      </c>
      <c r="B2852" s="5" t="s">
        <v>12130</v>
      </c>
      <c r="C2852" s="2" t="s">
        <v>12131</v>
      </c>
      <c r="D2852" s="5" t="s">
        <v>12130</v>
      </c>
      <c r="E2852" s="2" t="s">
        <v>15441</v>
      </c>
      <c r="F2852" s="2" t="s">
        <v>15442</v>
      </c>
      <c r="G2852" s="2" t="s">
        <v>15456</v>
      </c>
      <c r="H2852" s="2" t="s">
        <v>15444</v>
      </c>
    </row>
    <row r="2853">
      <c r="A2853" s="2">
        <v>2851.0</v>
      </c>
      <c r="B2853" s="5" t="s">
        <v>4244</v>
      </c>
      <c r="C2853" s="2" t="s">
        <v>4245</v>
      </c>
      <c r="D2853" s="5" t="s">
        <v>4244</v>
      </c>
      <c r="E2853" s="2" t="s">
        <v>15445</v>
      </c>
      <c r="F2853" s="2" t="s">
        <v>15442</v>
      </c>
      <c r="G2853" s="2" t="s">
        <v>15443</v>
      </c>
      <c r="H2853" s="2" t="s">
        <v>15444</v>
      </c>
    </row>
    <row r="2854">
      <c r="A2854" s="2">
        <v>2852.0</v>
      </c>
      <c r="B2854" s="5" t="s">
        <v>4247</v>
      </c>
      <c r="C2854" s="2" t="s">
        <v>4248</v>
      </c>
      <c r="D2854" s="5" t="s">
        <v>4247</v>
      </c>
      <c r="E2854" s="2" t="s">
        <v>15445</v>
      </c>
      <c r="F2854" s="2" t="s">
        <v>15442</v>
      </c>
      <c r="G2854" s="2" t="s">
        <v>15456</v>
      </c>
      <c r="H2854" s="2" t="s">
        <v>15444</v>
      </c>
    </row>
    <row r="2855">
      <c r="A2855" s="2">
        <v>2853.0</v>
      </c>
      <c r="B2855" s="5" t="s">
        <v>4250</v>
      </c>
      <c r="C2855" s="2" t="s">
        <v>4251</v>
      </c>
      <c r="D2855" s="5" t="s">
        <v>4250</v>
      </c>
      <c r="E2855" s="2" t="s">
        <v>15445</v>
      </c>
      <c r="F2855" s="2" t="s">
        <v>15446</v>
      </c>
      <c r="G2855" s="2" t="s">
        <v>15456</v>
      </c>
      <c r="H2855" s="2" t="s">
        <v>15444</v>
      </c>
    </row>
    <row r="2856">
      <c r="A2856" s="2">
        <v>2854.0</v>
      </c>
      <c r="B2856" s="5" t="s">
        <v>4253</v>
      </c>
      <c r="C2856" s="2" t="s">
        <v>4254</v>
      </c>
      <c r="D2856" s="5" t="s">
        <v>4253</v>
      </c>
      <c r="E2856" s="2" t="s">
        <v>15445</v>
      </c>
      <c r="F2856" s="2" t="s">
        <v>15446</v>
      </c>
      <c r="G2856" s="2" t="s">
        <v>15456</v>
      </c>
      <c r="H2856" s="2" t="s">
        <v>15444</v>
      </c>
    </row>
    <row r="2857">
      <c r="A2857" s="2">
        <v>2855.0</v>
      </c>
      <c r="B2857" s="5" t="s">
        <v>4256</v>
      </c>
      <c r="C2857" s="2" t="s">
        <v>4257</v>
      </c>
      <c r="D2857" s="5" t="s">
        <v>4256</v>
      </c>
      <c r="E2857" s="2" t="s">
        <v>15445</v>
      </c>
      <c r="F2857" s="2" t="s">
        <v>15446</v>
      </c>
      <c r="G2857" s="2" t="s">
        <v>15456</v>
      </c>
      <c r="H2857" s="2" t="s">
        <v>15444</v>
      </c>
    </row>
    <row r="2858">
      <c r="A2858" s="2">
        <v>2856.0</v>
      </c>
      <c r="B2858" s="5" t="s">
        <v>4259</v>
      </c>
      <c r="C2858" s="2" t="s">
        <v>4260</v>
      </c>
      <c r="D2858" s="5" t="s">
        <v>4259</v>
      </c>
      <c r="E2858" s="2" t="s">
        <v>15445</v>
      </c>
      <c r="F2858" s="2" t="s">
        <v>15446</v>
      </c>
      <c r="G2858" s="2" t="s">
        <v>15456</v>
      </c>
      <c r="H2858" s="2" t="s">
        <v>15444</v>
      </c>
    </row>
    <row r="2859">
      <c r="A2859" s="2">
        <v>2857.0</v>
      </c>
      <c r="B2859" s="5" t="s">
        <v>12132</v>
      </c>
      <c r="C2859" s="2" t="s">
        <v>12133</v>
      </c>
      <c r="D2859" s="5" t="s">
        <v>12132</v>
      </c>
      <c r="E2859" s="2" t="s">
        <v>15441</v>
      </c>
      <c r="F2859" s="2" t="s">
        <v>15446</v>
      </c>
      <c r="G2859" s="2" t="s">
        <v>15456</v>
      </c>
      <c r="H2859" s="2" t="s">
        <v>15444</v>
      </c>
    </row>
    <row r="2860">
      <c r="A2860" s="2">
        <v>2858.0</v>
      </c>
      <c r="B2860" s="5" t="s">
        <v>4262</v>
      </c>
      <c r="C2860" s="2" t="s">
        <v>4263</v>
      </c>
      <c r="D2860" s="5" t="s">
        <v>4262</v>
      </c>
      <c r="E2860" s="2" t="s">
        <v>15445</v>
      </c>
      <c r="F2860" s="2" t="s">
        <v>15446</v>
      </c>
      <c r="G2860" s="2" t="s">
        <v>15456</v>
      </c>
      <c r="H2860" s="2" t="s">
        <v>15444</v>
      </c>
    </row>
    <row r="2861">
      <c r="A2861" s="2">
        <v>2859.0</v>
      </c>
      <c r="B2861" s="5" t="s">
        <v>12134</v>
      </c>
      <c r="C2861" s="2" t="s">
        <v>12135</v>
      </c>
      <c r="D2861" s="5" t="s">
        <v>12134</v>
      </c>
      <c r="E2861" s="2" t="s">
        <v>15441</v>
      </c>
      <c r="F2861" s="2" t="s">
        <v>15442</v>
      </c>
      <c r="G2861" s="2" t="s">
        <v>15443</v>
      </c>
      <c r="H2861" s="2" t="s">
        <v>15444</v>
      </c>
    </row>
    <row r="2862">
      <c r="A2862" s="2">
        <v>2860.0</v>
      </c>
      <c r="B2862" s="5" t="s">
        <v>12136</v>
      </c>
      <c r="C2862" s="2" t="s">
        <v>12137</v>
      </c>
      <c r="D2862" s="5" t="s">
        <v>12136</v>
      </c>
      <c r="E2862" s="2" t="s">
        <v>15441</v>
      </c>
      <c r="F2862" s="2" t="s">
        <v>15446</v>
      </c>
      <c r="G2862" s="2" t="s">
        <v>15456</v>
      </c>
      <c r="H2862" s="2" t="s">
        <v>15444</v>
      </c>
    </row>
    <row r="2863">
      <c r="A2863" s="2">
        <v>2861.0</v>
      </c>
      <c r="B2863" s="5" t="s">
        <v>4265</v>
      </c>
      <c r="C2863" s="2" t="s">
        <v>4266</v>
      </c>
      <c r="D2863" s="5" t="s">
        <v>4265</v>
      </c>
      <c r="E2863" s="2" t="s">
        <v>15445</v>
      </c>
      <c r="F2863" s="2" t="s">
        <v>15442</v>
      </c>
      <c r="G2863" s="2" t="s">
        <v>15443</v>
      </c>
      <c r="H2863" s="2" t="s">
        <v>15444</v>
      </c>
    </row>
    <row r="2864">
      <c r="A2864" s="2">
        <v>2862.0</v>
      </c>
      <c r="B2864" s="5" t="s">
        <v>12138</v>
      </c>
      <c r="C2864" s="2" t="s">
        <v>12139</v>
      </c>
      <c r="D2864" s="5" t="s">
        <v>12138</v>
      </c>
      <c r="E2864" s="2" t="s">
        <v>15441</v>
      </c>
      <c r="F2864" s="2" t="s">
        <v>15446</v>
      </c>
      <c r="G2864" s="2" t="s">
        <v>15443</v>
      </c>
      <c r="H2864" s="2" t="s">
        <v>15461</v>
      </c>
    </row>
    <row r="2865">
      <c r="A2865" s="2">
        <v>2863.0</v>
      </c>
      <c r="B2865" s="5" t="s">
        <v>12140</v>
      </c>
      <c r="C2865" s="2" t="s">
        <v>12141</v>
      </c>
      <c r="D2865" s="5" t="s">
        <v>12140</v>
      </c>
      <c r="E2865" s="2" t="s">
        <v>15441</v>
      </c>
      <c r="F2865" s="2" t="s">
        <v>15446</v>
      </c>
      <c r="G2865" s="2" t="s">
        <v>15443</v>
      </c>
      <c r="H2865" s="2" t="s">
        <v>15444</v>
      </c>
    </row>
    <row r="2866">
      <c r="A2866" s="2">
        <v>2864.0</v>
      </c>
      <c r="B2866" s="5" t="s">
        <v>12142</v>
      </c>
      <c r="C2866" s="2" t="s">
        <v>12143</v>
      </c>
      <c r="D2866" s="5" t="s">
        <v>12142</v>
      </c>
      <c r="E2866" s="2" t="s">
        <v>15441</v>
      </c>
      <c r="F2866" s="2" t="s">
        <v>15442</v>
      </c>
      <c r="G2866" s="2" t="s">
        <v>15456</v>
      </c>
      <c r="H2866" s="2" t="s">
        <v>15444</v>
      </c>
    </row>
    <row r="2867">
      <c r="A2867" s="2">
        <v>2865.0</v>
      </c>
      <c r="B2867" s="5" t="s">
        <v>4268</v>
      </c>
      <c r="C2867" s="2" t="s">
        <v>4269</v>
      </c>
      <c r="D2867" s="5" t="s">
        <v>4268</v>
      </c>
      <c r="E2867" s="2" t="s">
        <v>15445</v>
      </c>
      <c r="F2867" s="2" t="s">
        <v>15446</v>
      </c>
      <c r="G2867" s="2" t="s">
        <v>15443</v>
      </c>
      <c r="H2867" s="2" t="s">
        <v>15444</v>
      </c>
    </row>
    <row r="2868">
      <c r="A2868" s="2">
        <v>2866.0</v>
      </c>
      <c r="B2868" s="5" t="s">
        <v>12144</v>
      </c>
      <c r="C2868" s="2" t="s">
        <v>12145</v>
      </c>
      <c r="D2868" s="5" t="s">
        <v>12144</v>
      </c>
      <c r="E2868" s="2" t="s">
        <v>15441</v>
      </c>
      <c r="F2868" s="2" t="s">
        <v>15442</v>
      </c>
      <c r="G2868" s="2" t="s">
        <v>15443</v>
      </c>
      <c r="H2868" s="2" t="s">
        <v>15462</v>
      </c>
    </row>
    <row r="2869">
      <c r="A2869" s="2">
        <v>2867.0</v>
      </c>
      <c r="B2869" s="5" t="s">
        <v>12146</v>
      </c>
      <c r="C2869" s="2" t="s">
        <v>12147</v>
      </c>
      <c r="D2869" s="5" t="s">
        <v>12146</v>
      </c>
      <c r="E2869" s="2" t="s">
        <v>15441</v>
      </c>
      <c r="F2869" s="2" t="s">
        <v>15446</v>
      </c>
      <c r="G2869" s="2" t="s">
        <v>15456</v>
      </c>
      <c r="H2869" s="2" t="s">
        <v>15444</v>
      </c>
    </row>
    <row r="2870">
      <c r="A2870" s="2">
        <v>2868.0</v>
      </c>
      <c r="B2870" s="5" t="s">
        <v>4271</v>
      </c>
      <c r="C2870" s="2" t="s">
        <v>4272</v>
      </c>
      <c r="D2870" s="5" t="s">
        <v>4271</v>
      </c>
      <c r="E2870" s="2" t="s">
        <v>15445</v>
      </c>
      <c r="F2870" s="2" t="s">
        <v>15442</v>
      </c>
      <c r="G2870" s="2" t="s">
        <v>15443</v>
      </c>
      <c r="H2870" s="2" t="s">
        <v>15444</v>
      </c>
    </row>
    <row r="2871">
      <c r="A2871" s="2">
        <v>2869.0</v>
      </c>
      <c r="B2871" s="5" t="s">
        <v>4274</v>
      </c>
      <c r="C2871" s="2" t="s">
        <v>4275</v>
      </c>
      <c r="D2871" s="5" t="s">
        <v>4274</v>
      </c>
      <c r="E2871" s="2" t="s">
        <v>15445</v>
      </c>
      <c r="F2871" s="2" t="s">
        <v>15442</v>
      </c>
      <c r="G2871" s="2" t="s">
        <v>15443</v>
      </c>
      <c r="H2871" s="2" t="s">
        <v>15462</v>
      </c>
    </row>
    <row r="2872">
      <c r="A2872" s="2">
        <v>2870.0</v>
      </c>
      <c r="B2872" s="5" t="s">
        <v>4277</v>
      </c>
      <c r="C2872" s="2" t="s">
        <v>4278</v>
      </c>
      <c r="D2872" s="5" t="s">
        <v>4277</v>
      </c>
      <c r="E2872" s="2" t="s">
        <v>15445</v>
      </c>
      <c r="F2872" s="2" t="s">
        <v>15442</v>
      </c>
      <c r="G2872" s="2" t="s">
        <v>15443</v>
      </c>
      <c r="H2872" s="2" t="s">
        <v>15444</v>
      </c>
    </row>
    <row r="2873">
      <c r="A2873" s="2">
        <v>2871.0</v>
      </c>
      <c r="B2873" s="5" t="s">
        <v>12148</v>
      </c>
      <c r="C2873" s="2" t="s">
        <v>12149</v>
      </c>
      <c r="D2873" s="5" t="s">
        <v>12148</v>
      </c>
      <c r="E2873" s="2" t="s">
        <v>15441</v>
      </c>
      <c r="F2873" s="2" t="s">
        <v>15446</v>
      </c>
      <c r="G2873" s="2" t="s">
        <v>15443</v>
      </c>
      <c r="H2873" s="2" t="s">
        <v>15444</v>
      </c>
    </row>
    <row r="2874">
      <c r="A2874" s="2">
        <v>2872.0</v>
      </c>
      <c r="B2874" s="5" t="s">
        <v>12150</v>
      </c>
      <c r="C2874" s="2" t="s">
        <v>12151</v>
      </c>
      <c r="D2874" s="5" t="s">
        <v>12150</v>
      </c>
      <c r="E2874" s="2" t="s">
        <v>15441</v>
      </c>
      <c r="F2874" s="2" t="s">
        <v>15446</v>
      </c>
      <c r="G2874" s="2" t="s">
        <v>15456</v>
      </c>
      <c r="H2874" s="2" t="s">
        <v>15457</v>
      </c>
    </row>
    <row r="2875">
      <c r="A2875" s="2">
        <v>2873.0</v>
      </c>
      <c r="B2875" s="5" t="s">
        <v>4280</v>
      </c>
      <c r="C2875" s="2" t="s">
        <v>4281</v>
      </c>
      <c r="D2875" s="5" t="s">
        <v>4280</v>
      </c>
      <c r="E2875" s="2" t="s">
        <v>15445</v>
      </c>
      <c r="F2875" s="2" t="s">
        <v>15446</v>
      </c>
      <c r="G2875" s="2" t="s">
        <v>15456</v>
      </c>
      <c r="H2875" s="2" t="s">
        <v>15444</v>
      </c>
    </row>
    <row r="2876">
      <c r="A2876" s="2">
        <v>2874.0</v>
      </c>
      <c r="B2876" s="5" t="s">
        <v>4283</v>
      </c>
      <c r="C2876" s="2" t="s">
        <v>4284</v>
      </c>
      <c r="D2876" s="5" t="s">
        <v>4283</v>
      </c>
      <c r="E2876" s="2" t="s">
        <v>15445</v>
      </c>
      <c r="F2876" s="2" t="s">
        <v>15446</v>
      </c>
      <c r="G2876" s="2" t="s">
        <v>15456</v>
      </c>
      <c r="H2876" s="2" t="s">
        <v>15444</v>
      </c>
    </row>
    <row r="2877">
      <c r="A2877" s="2">
        <v>2875.0</v>
      </c>
      <c r="B2877" s="5" t="s">
        <v>12152</v>
      </c>
      <c r="C2877" s="2" t="s">
        <v>12153</v>
      </c>
      <c r="D2877" s="5" t="s">
        <v>12152</v>
      </c>
      <c r="E2877" s="2" t="s">
        <v>15441</v>
      </c>
      <c r="F2877" s="2" t="s">
        <v>15446</v>
      </c>
      <c r="G2877" s="2" t="s">
        <v>15456</v>
      </c>
      <c r="H2877" s="2" t="s">
        <v>15444</v>
      </c>
    </row>
    <row r="2878">
      <c r="A2878" s="2">
        <v>2876.0</v>
      </c>
      <c r="B2878" s="5" t="s">
        <v>12154</v>
      </c>
      <c r="C2878" s="2" t="s">
        <v>12155</v>
      </c>
      <c r="D2878" s="5" t="s">
        <v>12154</v>
      </c>
      <c r="E2878" s="2" t="s">
        <v>15441</v>
      </c>
      <c r="F2878" s="2" t="s">
        <v>15446</v>
      </c>
      <c r="G2878" s="2" t="s">
        <v>15456</v>
      </c>
      <c r="H2878" s="2" t="s">
        <v>15444</v>
      </c>
    </row>
    <row r="2879">
      <c r="A2879" s="2">
        <v>2877.0</v>
      </c>
      <c r="B2879" s="5" t="s">
        <v>12156</v>
      </c>
      <c r="C2879" s="2" t="s">
        <v>12157</v>
      </c>
      <c r="D2879" s="5" t="s">
        <v>12156</v>
      </c>
      <c r="E2879" s="2" t="s">
        <v>15441</v>
      </c>
      <c r="F2879" s="2" t="s">
        <v>15446</v>
      </c>
      <c r="G2879" s="2" t="s">
        <v>15443</v>
      </c>
      <c r="H2879" s="2" t="s">
        <v>15444</v>
      </c>
    </row>
    <row r="2880">
      <c r="A2880" s="2">
        <v>2878.0</v>
      </c>
      <c r="B2880" s="5" t="s">
        <v>4286</v>
      </c>
      <c r="C2880" s="2" t="s">
        <v>4287</v>
      </c>
      <c r="D2880" s="5" t="s">
        <v>4286</v>
      </c>
      <c r="E2880" s="2" t="s">
        <v>15445</v>
      </c>
      <c r="F2880" s="2" t="s">
        <v>15446</v>
      </c>
      <c r="G2880" s="2" t="s">
        <v>15456</v>
      </c>
      <c r="H2880" s="2" t="s">
        <v>15444</v>
      </c>
    </row>
    <row r="2881">
      <c r="A2881" s="2">
        <v>2879.0</v>
      </c>
      <c r="B2881" s="5" t="s">
        <v>12158</v>
      </c>
      <c r="C2881" s="2" t="s">
        <v>12159</v>
      </c>
      <c r="D2881" s="5" t="s">
        <v>12158</v>
      </c>
      <c r="E2881" s="2" t="s">
        <v>15441</v>
      </c>
      <c r="F2881" s="2" t="s">
        <v>15446</v>
      </c>
      <c r="G2881" s="2" t="s">
        <v>15456</v>
      </c>
      <c r="H2881" s="2" t="s">
        <v>15444</v>
      </c>
    </row>
    <row r="2882">
      <c r="A2882" s="2">
        <v>2880.0</v>
      </c>
      <c r="B2882" s="5" t="s">
        <v>4289</v>
      </c>
      <c r="C2882" s="2" t="s">
        <v>4290</v>
      </c>
      <c r="D2882" s="5" t="s">
        <v>4289</v>
      </c>
      <c r="E2882" s="2" t="s">
        <v>15445</v>
      </c>
      <c r="F2882" s="2" t="s">
        <v>15446</v>
      </c>
      <c r="G2882" s="2" t="s">
        <v>15456</v>
      </c>
      <c r="H2882" s="2" t="s">
        <v>15444</v>
      </c>
    </row>
    <row r="2883">
      <c r="A2883" s="2">
        <v>2881.0</v>
      </c>
      <c r="B2883" s="5" t="s">
        <v>12160</v>
      </c>
      <c r="C2883" s="2" t="s">
        <v>12161</v>
      </c>
      <c r="D2883" s="5" t="s">
        <v>12160</v>
      </c>
      <c r="E2883" s="2" t="s">
        <v>15441</v>
      </c>
      <c r="F2883" s="2" t="s">
        <v>15446</v>
      </c>
      <c r="G2883" s="2" t="s">
        <v>15456</v>
      </c>
      <c r="H2883" s="2" t="s">
        <v>15444</v>
      </c>
    </row>
    <row r="2884">
      <c r="A2884" s="2">
        <v>2882.0</v>
      </c>
      <c r="B2884" s="5" t="s">
        <v>12162</v>
      </c>
      <c r="C2884" s="2" t="s">
        <v>12163</v>
      </c>
      <c r="D2884" s="5" t="s">
        <v>12162</v>
      </c>
      <c r="E2884" s="2" t="s">
        <v>15441</v>
      </c>
      <c r="F2884" s="2" t="s">
        <v>15446</v>
      </c>
      <c r="G2884" s="2" t="s">
        <v>15443</v>
      </c>
      <c r="H2884" s="2" t="s">
        <v>15444</v>
      </c>
    </row>
    <row r="2885">
      <c r="A2885" s="2">
        <v>2883.0</v>
      </c>
      <c r="B2885" s="5" t="s">
        <v>12164</v>
      </c>
      <c r="C2885" s="2" t="s">
        <v>12165</v>
      </c>
      <c r="D2885" s="5" t="s">
        <v>12164</v>
      </c>
      <c r="E2885" s="2" t="s">
        <v>15441</v>
      </c>
      <c r="F2885" s="2" t="s">
        <v>15446</v>
      </c>
      <c r="G2885" s="2" t="s">
        <v>15456</v>
      </c>
      <c r="H2885" s="2" t="s">
        <v>15444</v>
      </c>
    </row>
    <row r="2886">
      <c r="A2886" s="2">
        <v>2884.0</v>
      </c>
      <c r="B2886" s="5" t="s">
        <v>12166</v>
      </c>
      <c r="C2886" s="2" t="s">
        <v>12167</v>
      </c>
      <c r="D2886" s="5" t="s">
        <v>12166</v>
      </c>
      <c r="E2886" s="2" t="s">
        <v>15441</v>
      </c>
      <c r="F2886" s="2" t="s">
        <v>15446</v>
      </c>
      <c r="G2886" s="2" t="s">
        <v>15443</v>
      </c>
      <c r="H2886" s="2" t="s">
        <v>15461</v>
      </c>
    </row>
    <row r="2887">
      <c r="A2887" s="2">
        <v>2885.0</v>
      </c>
      <c r="B2887" s="5" t="s">
        <v>12168</v>
      </c>
      <c r="C2887" s="2" t="s">
        <v>12169</v>
      </c>
      <c r="D2887" s="5" t="s">
        <v>12168</v>
      </c>
      <c r="E2887" s="2" t="s">
        <v>15441</v>
      </c>
      <c r="F2887" s="2" t="s">
        <v>15446</v>
      </c>
      <c r="G2887" s="2" t="s">
        <v>15443</v>
      </c>
      <c r="H2887" s="2" t="s">
        <v>15455</v>
      </c>
    </row>
    <row r="2888">
      <c r="A2888" s="2">
        <v>2886.0</v>
      </c>
      <c r="B2888" s="5" t="s">
        <v>12170</v>
      </c>
      <c r="C2888" s="2" t="s">
        <v>12171</v>
      </c>
      <c r="D2888" s="5" t="s">
        <v>12170</v>
      </c>
      <c r="E2888" s="2" t="s">
        <v>15441</v>
      </c>
      <c r="F2888" s="2" t="s">
        <v>15442</v>
      </c>
      <c r="G2888" s="2" t="s">
        <v>15443</v>
      </c>
      <c r="H2888" s="2" t="s">
        <v>15444</v>
      </c>
    </row>
    <row r="2889">
      <c r="A2889" s="2">
        <v>2887.0</v>
      </c>
      <c r="B2889" s="5" t="s">
        <v>12172</v>
      </c>
      <c r="C2889" s="2" t="s">
        <v>12173</v>
      </c>
      <c r="D2889" s="5" t="s">
        <v>12172</v>
      </c>
      <c r="E2889" s="2" t="s">
        <v>15441</v>
      </c>
      <c r="F2889" s="2" t="s">
        <v>15442</v>
      </c>
      <c r="G2889" s="2" t="s">
        <v>15443</v>
      </c>
      <c r="H2889" s="2" t="s">
        <v>15444</v>
      </c>
    </row>
    <row r="2890">
      <c r="A2890" s="2">
        <v>2888.0</v>
      </c>
      <c r="B2890" s="5" t="s">
        <v>12174</v>
      </c>
      <c r="C2890" s="2" t="s">
        <v>12175</v>
      </c>
      <c r="D2890" s="5" t="s">
        <v>12174</v>
      </c>
      <c r="E2890" s="2" t="s">
        <v>15441</v>
      </c>
      <c r="F2890" s="2" t="s">
        <v>15446</v>
      </c>
      <c r="G2890" s="2" t="s">
        <v>15456</v>
      </c>
      <c r="H2890" s="2" t="s">
        <v>15444</v>
      </c>
    </row>
    <row r="2891">
      <c r="A2891" s="2">
        <v>2889.0</v>
      </c>
      <c r="B2891" s="5" t="s">
        <v>12176</v>
      </c>
      <c r="C2891" s="2" t="s">
        <v>12177</v>
      </c>
      <c r="D2891" s="5" t="s">
        <v>12176</v>
      </c>
      <c r="E2891" s="2" t="s">
        <v>15441</v>
      </c>
      <c r="F2891" s="2" t="s">
        <v>15442</v>
      </c>
      <c r="G2891" s="2" t="s">
        <v>15456</v>
      </c>
      <c r="H2891" s="2" t="s">
        <v>15444</v>
      </c>
    </row>
    <row r="2892">
      <c r="A2892" s="2">
        <v>2890.0</v>
      </c>
      <c r="B2892" s="5" t="s">
        <v>12178</v>
      </c>
      <c r="C2892" s="2" t="s">
        <v>12179</v>
      </c>
      <c r="D2892" s="5" t="s">
        <v>12178</v>
      </c>
      <c r="E2892" s="2" t="s">
        <v>15441</v>
      </c>
      <c r="F2892" s="2" t="s">
        <v>15446</v>
      </c>
      <c r="G2892" s="2" t="s">
        <v>15456</v>
      </c>
      <c r="H2892" s="2" t="s">
        <v>15444</v>
      </c>
    </row>
    <row r="2893">
      <c r="A2893" s="2">
        <v>2891.0</v>
      </c>
      <c r="B2893" s="5" t="s">
        <v>12180</v>
      </c>
      <c r="C2893" s="2" t="s">
        <v>12181</v>
      </c>
      <c r="D2893" s="5" t="s">
        <v>12180</v>
      </c>
      <c r="E2893" s="2" t="s">
        <v>15441</v>
      </c>
      <c r="F2893" s="2" t="s">
        <v>15446</v>
      </c>
      <c r="G2893" s="2" t="s">
        <v>15443</v>
      </c>
      <c r="H2893" s="2" t="s">
        <v>15444</v>
      </c>
    </row>
    <row r="2894">
      <c r="A2894" s="2">
        <v>2892.0</v>
      </c>
      <c r="B2894" s="5" t="s">
        <v>4292</v>
      </c>
      <c r="C2894" s="2" t="s">
        <v>4293</v>
      </c>
      <c r="D2894" s="5" t="s">
        <v>4292</v>
      </c>
      <c r="E2894" s="2" t="s">
        <v>15445</v>
      </c>
      <c r="F2894" s="2" t="s">
        <v>15446</v>
      </c>
      <c r="G2894" s="2" t="s">
        <v>15456</v>
      </c>
      <c r="H2894" s="2" t="s">
        <v>15444</v>
      </c>
    </row>
    <row r="2895">
      <c r="A2895" s="2">
        <v>2893.0</v>
      </c>
      <c r="B2895" s="5" t="s">
        <v>4295</v>
      </c>
      <c r="C2895" s="2" t="s">
        <v>4296</v>
      </c>
      <c r="D2895" s="5" t="s">
        <v>4295</v>
      </c>
      <c r="E2895" s="2" t="s">
        <v>15445</v>
      </c>
      <c r="F2895" s="2" t="s">
        <v>15446</v>
      </c>
      <c r="G2895" s="2" t="s">
        <v>15456</v>
      </c>
      <c r="H2895" s="2" t="s">
        <v>15444</v>
      </c>
    </row>
    <row r="2896">
      <c r="A2896" s="2">
        <v>2894.0</v>
      </c>
      <c r="B2896" s="5" t="s">
        <v>12182</v>
      </c>
      <c r="C2896" s="2" t="s">
        <v>12183</v>
      </c>
      <c r="D2896" s="5" t="s">
        <v>12182</v>
      </c>
      <c r="E2896" s="2" t="s">
        <v>15441</v>
      </c>
      <c r="F2896" s="2" t="s">
        <v>15442</v>
      </c>
      <c r="G2896" s="2" t="s">
        <v>15443</v>
      </c>
      <c r="H2896" s="2" t="s">
        <v>15444</v>
      </c>
    </row>
    <row r="2897">
      <c r="A2897" s="2">
        <v>2895.0</v>
      </c>
      <c r="B2897" s="5" t="s">
        <v>12184</v>
      </c>
      <c r="C2897" s="2" t="s">
        <v>12185</v>
      </c>
      <c r="D2897" s="5" t="s">
        <v>12184</v>
      </c>
      <c r="E2897" s="2" t="s">
        <v>15441</v>
      </c>
      <c r="F2897" s="2" t="s">
        <v>15446</v>
      </c>
      <c r="G2897" s="2" t="s">
        <v>15456</v>
      </c>
      <c r="H2897" s="2" t="s">
        <v>15444</v>
      </c>
    </row>
    <row r="2898">
      <c r="A2898" s="2">
        <v>2896.0</v>
      </c>
      <c r="B2898" s="5" t="s">
        <v>12186</v>
      </c>
      <c r="C2898" s="2" t="s">
        <v>12187</v>
      </c>
      <c r="D2898" s="5" t="s">
        <v>12186</v>
      </c>
      <c r="E2898" s="2" t="s">
        <v>15441</v>
      </c>
      <c r="F2898" s="2" t="s">
        <v>15446</v>
      </c>
      <c r="G2898" s="2" t="s">
        <v>15443</v>
      </c>
      <c r="H2898" s="2" t="s">
        <v>15444</v>
      </c>
    </row>
    <row r="2899">
      <c r="A2899" s="2">
        <v>2897.0</v>
      </c>
      <c r="B2899" s="5" t="s">
        <v>12188</v>
      </c>
      <c r="C2899" s="2" t="s">
        <v>12189</v>
      </c>
      <c r="D2899" s="5" t="s">
        <v>12188</v>
      </c>
      <c r="E2899" s="2" t="s">
        <v>15441</v>
      </c>
      <c r="F2899" s="2" t="s">
        <v>15446</v>
      </c>
      <c r="G2899" s="2" t="s">
        <v>15443</v>
      </c>
      <c r="H2899" s="2" t="s">
        <v>15444</v>
      </c>
    </row>
    <row r="2900">
      <c r="A2900" s="2">
        <v>2898.0</v>
      </c>
      <c r="B2900" s="5" t="s">
        <v>12190</v>
      </c>
      <c r="C2900" s="2" t="s">
        <v>12191</v>
      </c>
      <c r="D2900" s="5" t="s">
        <v>12190</v>
      </c>
      <c r="E2900" s="2" t="s">
        <v>15441</v>
      </c>
      <c r="F2900" s="2" t="s">
        <v>15446</v>
      </c>
      <c r="G2900" s="2" t="s">
        <v>15443</v>
      </c>
      <c r="H2900" s="2" t="s">
        <v>15444</v>
      </c>
    </row>
    <row r="2901">
      <c r="A2901" s="2">
        <v>2899.0</v>
      </c>
      <c r="B2901" s="5" t="s">
        <v>12192</v>
      </c>
      <c r="C2901" s="2" t="s">
        <v>12193</v>
      </c>
      <c r="D2901" s="5" t="s">
        <v>12192</v>
      </c>
      <c r="E2901" s="2" t="s">
        <v>15441</v>
      </c>
      <c r="F2901" s="2" t="s">
        <v>15442</v>
      </c>
      <c r="G2901" s="2" t="s">
        <v>15443</v>
      </c>
      <c r="H2901" s="2" t="s">
        <v>15444</v>
      </c>
    </row>
    <row r="2902">
      <c r="A2902" s="2">
        <v>2900.0</v>
      </c>
      <c r="B2902" s="5" t="s">
        <v>4298</v>
      </c>
      <c r="C2902" s="2" t="s">
        <v>4299</v>
      </c>
      <c r="D2902" s="5" t="s">
        <v>4298</v>
      </c>
      <c r="E2902" s="2" t="s">
        <v>15445</v>
      </c>
      <c r="F2902" s="2" t="s">
        <v>15446</v>
      </c>
      <c r="G2902" s="2" t="s">
        <v>15456</v>
      </c>
      <c r="H2902" s="2" t="s">
        <v>15457</v>
      </c>
    </row>
    <row r="2903">
      <c r="A2903" s="2">
        <v>2901.0</v>
      </c>
      <c r="B2903" s="5" t="s">
        <v>12194</v>
      </c>
      <c r="C2903" s="2" t="s">
        <v>12195</v>
      </c>
      <c r="D2903" s="5" t="s">
        <v>12194</v>
      </c>
      <c r="E2903" s="2" t="s">
        <v>15441</v>
      </c>
      <c r="F2903" s="2" t="s">
        <v>15446</v>
      </c>
      <c r="G2903" s="2" t="s">
        <v>15456</v>
      </c>
      <c r="H2903" s="2" t="s">
        <v>15444</v>
      </c>
    </row>
    <row r="2904">
      <c r="A2904" s="2">
        <v>2902.0</v>
      </c>
      <c r="B2904" s="5" t="s">
        <v>4301</v>
      </c>
      <c r="C2904" s="2" t="s">
        <v>4302</v>
      </c>
      <c r="D2904" s="5" t="s">
        <v>4301</v>
      </c>
      <c r="E2904" s="2" t="s">
        <v>15445</v>
      </c>
      <c r="F2904" s="2" t="s">
        <v>15446</v>
      </c>
      <c r="G2904" s="2" t="s">
        <v>15456</v>
      </c>
      <c r="H2904" s="2" t="s">
        <v>15444</v>
      </c>
    </row>
    <row r="2905">
      <c r="A2905" s="2">
        <v>2903.0</v>
      </c>
      <c r="B2905" s="5" t="s">
        <v>12196</v>
      </c>
      <c r="C2905" s="2" t="s">
        <v>12197</v>
      </c>
      <c r="D2905" s="5" t="s">
        <v>12196</v>
      </c>
      <c r="E2905" s="2" t="s">
        <v>15441</v>
      </c>
      <c r="F2905" s="2" t="s">
        <v>15446</v>
      </c>
      <c r="G2905" s="2" t="s">
        <v>15443</v>
      </c>
      <c r="H2905" s="2" t="s">
        <v>15444</v>
      </c>
    </row>
    <row r="2906">
      <c r="A2906" s="2">
        <v>2904.0</v>
      </c>
      <c r="B2906" s="5" t="s">
        <v>12198</v>
      </c>
      <c r="C2906" s="2" t="s">
        <v>12199</v>
      </c>
      <c r="D2906" s="5" t="s">
        <v>12198</v>
      </c>
      <c r="E2906" s="2" t="s">
        <v>15441</v>
      </c>
      <c r="F2906" s="2" t="s">
        <v>15446</v>
      </c>
      <c r="G2906" s="2" t="s">
        <v>15443</v>
      </c>
      <c r="H2906" s="2" t="s">
        <v>15444</v>
      </c>
    </row>
    <row r="2907">
      <c r="A2907" s="2">
        <v>2905.0</v>
      </c>
      <c r="B2907" s="5" t="s">
        <v>12200</v>
      </c>
      <c r="C2907" s="2" t="s">
        <v>12201</v>
      </c>
      <c r="D2907" s="5" t="s">
        <v>12200</v>
      </c>
      <c r="E2907" s="2" t="s">
        <v>15441</v>
      </c>
      <c r="F2907" s="2" t="s">
        <v>15446</v>
      </c>
      <c r="G2907" s="2" t="s">
        <v>15456</v>
      </c>
      <c r="H2907" s="2" t="s">
        <v>15457</v>
      </c>
    </row>
    <row r="2908">
      <c r="A2908" s="2">
        <v>2906.0</v>
      </c>
      <c r="B2908" s="5" t="s">
        <v>12202</v>
      </c>
      <c r="C2908" s="2" t="s">
        <v>12203</v>
      </c>
      <c r="D2908" s="5" t="s">
        <v>12202</v>
      </c>
      <c r="E2908" s="2" t="s">
        <v>15441</v>
      </c>
      <c r="F2908" s="2" t="s">
        <v>15446</v>
      </c>
      <c r="G2908" s="2" t="s">
        <v>15456</v>
      </c>
      <c r="H2908" s="2" t="s">
        <v>15444</v>
      </c>
    </row>
    <row r="2909">
      <c r="A2909" s="2">
        <v>2907.0</v>
      </c>
      <c r="B2909" s="5" t="s">
        <v>12204</v>
      </c>
      <c r="C2909" s="2" t="s">
        <v>12205</v>
      </c>
      <c r="D2909" s="5" t="s">
        <v>12204</v>
      </c>
      <c r="E2909" s="2" t="s">
        <v>15441</v>
      </c>
      <c r="F2909" s="2" t="s">
        <v>15446</v>
      </c>
      <c r="G2909" s="2" t="s">
        <v>15456</v>
      </c>
      <c r="H2909" s="2" t="s">
        <v>15444</v>
      </c>
    </row>
    <row r="2910">
      <c r="A2910" s="2">
        <v>2908.0</v>
      </c>
      <c r="B2910" s="5" t="s">
        <v>12206</v>
      </c>
      <c r="C2910" s="2" t="s">
        <v>12207</v>
      </c>
      <c r="D2910" s="5" t="s">
        <v>12206</v>
      </c>
      <c r="E2910" s="2" t="s">
        <v>15441</v>
      </c>
      <c r="F2910" s="2" t="s">
        <v>15442</v>
      </c>
      <c r="G2910" s="2" t="s">
        <v>15456</v>
      </c>
      <c r="H2910" s="2" t="s">
        <v>15444</v>
      </c>
    </row>
    <row r="2911">
      <c r="A2911" s="2">
        <v>2909.0</v>
      </c>
      <c r="B2911" s="5" t="s">
        <v>4304</v>
      </c>
      <c r="C2911" s="2" t="s">
        <v>4305</v>
      </c>
      <c r="D2911" s="5" t="s">
        <v>4304</v>
      </c>
      <c r="E2911" s="2" t="s">
        <v>15445</v>
      </c>
      <c r="F2911" s="2" t="s">
        <v>15446</v>
      </c>
      <c r="G2911" s="2" t="s">
        <v>15443</v>
      </c>
      <c r="H2911" s="2" t="s">
        <v>15444</v>
      </c>
    </row>
    <row r="2912">
      <c r="A2912" s="2">
        <v>2910.0</v>
      </c>
      <c r="B2912" s="5" t="s">
        <v>4307</v>
      </c>
      <c r="C2912" s="2" t="s">
        <v>4308</v>
      </c>
      <c r="D2912" s="5" t="s">
        <v>4307</v>
      </c>
      <c r="E2912" s="2" t="s">
        <v>15445</v>
      </c>
      <c r="F2912" s="2" t="s">
        <v>15442</v>
      </c>
      <c r="G2912" s="2" t="s">
        <v>15456</v>
      </c>
      <c r="H2912" s="2" t="s">
        <v>15444</v>
      </c>
    </row>
    <row r="2913">
      <c r="A2913" s="2">
        <v>2911.0</v>
      </c>
      <c r="B2913" s="5" t="s">
        <v>4310</v>
      </c>
      <c r="C2913" s="2" t="s">
        <v>4311</v>
      </c>
      <c r="D2913" s="5" t="s">
        <v>4310</v>
      </c>
      <c r="E2913" s="2" t="s">
        <v>15445</v>
      </c>
      <c r="F2913" s="2" t="s">
        <v>15442</v>
      </c>
      <c r="G2913" s="2" t="s">
        <v>15456</v>
      </c>
      <c r="H2913" s="2" t="s">
        <v>15444</v>
      </c>
    </row>
    <row r="2914">
      <c r="A2914" s="2">
        <v>2912.0</v>
      </c>
      <c r="B2914" s="5" t="s">
        <v>12208</v>
      </c>
      <c r="C2914" s="2" t="s">
        <v>12209</v>
      </c>
      <c r="D2914" s="5" t="s">
        <v>12208</v>
      </c>
      <c r="E2914" s="2" t="s">
        <v>15441</v>
      </c>
      <c r="F2914" s="2" t="s">
        <v>15446</v>
      </c>
      <c r="G2914" s="2" t="s">
        <v>15456</v>
      </c>
      <c r="H2914" s="2" t="s">
        <v>15444</v>
      </c>
    </row>
    <row r="2915">
      <c r="A2915" s="2">
        <v>2913.0</v>
      </c>
      <c r="B2915" s="5" t="s">
        <v>12210</v>
      </c>
      <c r="C2915" s="2" t="s">
        <v>12211</v>
      </c>
      <c r="D2915" s="5" t="s">
        <v>12210</v>
      </c>
      <c r="E2915" s="2" t="s">
        <v>15441</v>
      </c>
      <c r="F2915" s="2" t="s">
        <v>15442</v>
      </c>
      <c r="G2915" s="2" t="s">
        <v>15443</v>
      </c>
      <c r="H2915" s="2" t="s">
        <v>15444</v>
      </c>
    </row>
    <row r="2916">
      <c r="A2916" s="2">
        <v>2914.0</v>
      </c>
      <c r="B2916" s="5" t="s">
        <v>4313</v>
      </c>
      <c r="C2916" s="2" t="s">
        <v>4314</v>
      </c>
      <c r="D2916" s="5" t="s">
        <v>4313</v>
      </c>
      <c r="E2916" s="2" t="s">
        <v>15445</v>
      </c>
      <c r="F2916" s="2" t="s">
        <v>15442</v>
      </c>
      <c r="G2916" s="2" t="s">
        <v>15443</v>
      </c>
      <c r="H2916" s="2" t="s">
        <v>15455</v>
      </c>
    </row>
    <row r="2917">
      <c r="A2917" s="2">
        <v>2915.0</v>
      </c>
      <c r="B2917" s="5" t="s">
        <v>12212</v>
      </c>
      <c r="C2917" s="2" t="s">
        <v>12213</v>
      </c>
      <c r="D2917" s="5" t="s">
        <v>12212</v>
      </c>
      <c r="E2917" s="2" t="s">
        <v>15441</v>
      </c>
      <c r="F2917" s="2" t="s">
        <v>15442</v>
      </c>
      <c r="G2917" s="2" t="s">
        <v>15456</v>
      </c>
      <c r="H2917" s="2" t="s">
        <v>15444</v>
      </c>
    </row>
    <row r="2918">
      <c r="A2918" s="2">
        <v>2916.0</v>
      </c>
      <c r="B2918" s="5" t="s">
        <v>4316</v>
      </c>
      <c r="C2918" s="2" t="s">
        <v>4317</v>
      </c>
      <c r="D2918" s="5" t="s">
        <v>4316</v>
      </c>
      <c r="E2918" s="2" t="s">
        <v>15445</v>
      </c>
      <c r="F2918" s="2" t="s">
        <v>15442</v>
      </c>
      <c r="G2918" s="2" t="s">
        <v>15443</v>
      </c>
      <c r="H2918" s="2" t="s">
        <v>15444</v>
      </c>
    </row>
    <row r="2919">
      <c r="A2919" s="2">
        <v>2917.0</v>
      </c>
      <c r="B2919" s="5" t="s">
        <v>4319</v>
      </c>
      <c r="C2919" s="2" t="s">
        <v>4320</v>
      </c>
      <c r="D2919" s="5" t="s">
        <v>4319</v>
      </c>
      <c r="E2919" s="2" t="s">
        <v>15445</v>
      </c>
      <c r="F2919" s="2" t="s">
        <v>15446</v>
      </c>
      <c r="G2919" s="2" t="s">
        <v>15443</v>
      </c>
      <c r="H2919" s="2" t="s">
        <v>15444</v>
      </c>
    </row>
    <row r="2920">
      <c r="A2920" s="2">
        <v>2918.0</v>
      </c>
      <c r="B2920" s="5" t="s">
        <v>4322</v>
      </c>
      <c r="C2920" s="2" t="s">
        <v>4323</v>
      </c>
      <c r="D2920" s="5" t="s">
        <v>4322</v>
      </c>
      <c r="E2920" s="2" t="s">
        <v>15445</v>
      </c>
      <c r="F2920" s="2" t="s">
        <v>15446</v>
      </c>
      <c r="G2920" s="2" t="s">
        <v>15456</v>
      </c>
      <c r="H2920" s="2" t="s">
        <v>15444</v>
      </c>
    </row>
    <row r="2921">
      <c r="A2921" s="2">
        <v>2919.0</v>
      </c>
      <c r="B2921" s="5" t="s">
        <v>12214</v>
      </c>
      <c r="C2921" s="2" t="s">
        <v>12215</v>
      </c>
      <c r="D2921" s="5" t="s">
        <v>12214</v>
      </c>
      <c r="E2921" s="2" t="s">
        <v>15441</v>
      </c>
      <c r="F2921" s="2" t="s">
        <v>15446</v>
      </c>
      <c r="G2921" s="2" t="s">
        <v>15456</v>
      </c>
      <c r="H2921" s="2" t="s">
        <v>15444</v>
      </c>
    </row>
    <row r="2922">
      <c r="A2922" s="2">
        <v>2920.0</v>
      </c>
      <c r="B2922" s="5" t="s">
        <v>12216</v>
      </c>
      <c r="C2922" s="2" t="s">
        <v>12217</v>
      </c>
      <c r="D2922" s="5" t="s">
        <v>12216</v>
      </c>
      <c r="E2922" s="2" t="s">
        <v>15441</v>
      </c>
      <c r="F2922" s="2" t="s">
        <v>15446</v>
      </c>
      <c r="G2922" s="2" t="s">
        <v>15443</v>
      </c>
      <c r="H2922" s="2" t="s">
        <v>15444</v>
      </c>
    </row>
    <row r="2923">
      <c r="A2923" s="2">
        <v>2921.0</v>
      </c>
      <c r="B2923" s="5" t="s">
        <v>4325</v>
      </c>
      <c r="C2923" s="2" t="s">
        <v>4326</v>
      </c>
      <c r="D2923" s="5" t="s">
        <v>4325</v>
      </c>
      <c r="E2923" s="2" t="s">
        <v>15445</v>
      </c>
      <c r="F2923" s="2" t="s">
        <v>15446</v>
      </c>
      <c r="G2923" s="2" t="s">
        <v>15443</v>
      </c>
      <c r="H2923" s="2" t="s">
        <v>15444</v>
      </c>
    </row>
    <row r="2924">
      <c r="A2924" s="2">
        <v>2922.0</v>
      </c>
      <c r="B2924" s="5" t="s">
        <v>12218</v>
      </c>
      <c r="C2924" s="2" t="s">
        <v>12219</v>
      </c>
      <c r="D2924" s="5" t="s">
        <v>12218</v>
      </c>
      <c r="E2924" s="2" t="s">
        <v>15441</v>
      </c>
      <c r="F2924" s="2" t="s">
        <v>15442</v>
      </c>
      <c r="G2924" s="2" t="s">
        <v>15443</v>
      </c>
      <c r="H2924" s="2" t="s">
        <v>15444</v>
      </c>
    </row>
    <row r="2925">
      <c r="A2925" s="2">
        <v>2923.0</v>
      </c>
      <c r="B2925" s="5" t="s">
        <v>4328</v>
      </c>
      <c r="C2925" s="2" t="s">
        <v>4329</v>
      </c>
      <c r="D2925" s="5" t="s">
        <v>4328</v>
      </c>
      <c r="E2925" s="2" t="s">
        <v>15445</v>
      </c>
      <c r="F2925" s="2" t="s">
        <v>15442</v>
      </c>
      <c r="G2925" s="2" t="s">
        <v>15443</v>
      </c>
      <c r="H2925" s="2" t="s">
        <v>15444</v>
      </c>
    </row>
    <row r="2926">
      <c r="A2926" s="2">
        <v>2924.0</v>
      </c>
      <c r="B2926" s="5" t="s">
        <v>12220</v>
      </c>
      <c r="C2926" s="2" t="s">
        <v>12221</v>
      </c>
      <c r="D2926" s="5" t="s">
        <v>12220</v>
      </c>
      <c r="E2926" s="2" t="s">
        <v>15441</v>
      </c>
      <c r="F2926" s="2" t="s">
        <v>15446</v>
      </c>
      <c r="G2926" s="2" t="s">
        <v>15443</v>
      </c>
      <c r="H2926" s="2" t="s">
        <v>15444</v>
      </c>
    </row>
    <row r="2927">
      <c r="A2927" s="2">
        <v>2925.0</v>
      </c>
      <c r="B2927" s="5" t="s">
        <v>4331</v>
      </c>
      <c r="C2927" s="2" t="s">
        <v>4332</v>
      </c>
      <c r="D2927" s="5" t="s">
        <v>4331</v>
      </c>
      <c r="E2927" s="2" t="s">
        <v>15445</v>
      </c>
      <c r="F2927" s="2" t="s">
        <v>15446</v>
      </c>
      <c r="G2927" s="2" t="s">
        <v>15456</v>
      </c>
      <c r="H2927" s="2" t="s">
        <v>15444</v>
      </c>
    </row>
    <row r="2928">
      <c r="A2928" s="2">
        <v>2926.0</v>
      </c>
      <c r="B2928" s="5" t="s">
        <v>4334</v>
      </c>
      <c r="C2928" s="2" t="s">
        <v>4335</v>
      </c>
      <c r="D2928" s="5" t="s">
        <v>4334</v>
      </c>
      <c r="E2928" s="2" t="s">
        <v>15445</v>
      </c>
      <c r="F2928" s="2" t="s">
        <v>15446</v>
      </c>
      <c r="G2928" s="2" t="s">
        <v>15456</v>
      </c>
      <c r="H2928" s="2" t="s">
        <v>15444</v>
      </c>
    </row>
    <row r="2929">
      <c r="A2929" s="2">
        <v>2927.0</v>
      </c>
      <c r="B2929" s="5" t="s">
        <v>12222</v>
      </c>
      <c r="C2929" s="2" t="s">
        <v>12223</v>
      </c>
      <c r="D2929" s="5" t="s">
        <v>12222</v>
      </c>
      <c r="E2929" s="2" t="s">
        <v>15441</v>
      </c>
      <c r="F2929" s="2" t="s">
        <v>15442</v>
      </c>
      <c r="G2929" s="2" t="s">
        <v>15443</v>
      </c>
      <c r="H2929" s="2" t="s">
        <v>15444</v>
      </c>
    </row>
    <row r="2930">
      <c r="A2930" s="2">
        <v>2928.0</v>
      </c>
      <c r="B2930" s="5" t="s">
        <v>12224</v>
      </c>
      <c r="C2930" s="2" t="s">
        <v>12225</v>
      </c>
      <c r="D2930" s="5" t="s">
        <v>12224</v>
      </c>
      <c r="E2930" s="2" t="s">
        <v>15441</v>
      </c>
      <c r="F2930" s="2" t="s">
        <v>15442</v>
      </c>
      <c r="G2930" s="2" t="s">
        <v>15456</v>
      </c>
      <c r="H2930" s="2" t="s">
        <v>15444</v>
      </c>
    </row>
    <row r="2931">
      <c r="A2931" s="2">
        <v>2929.0</v>
      </c>
      <c r="B2931" s="5" t="s">
        <v>12226</v>
      </c>
      <c r="C2931" s="2" t="s">
        <v>12227</v>
      </c>
      <c r="D2931" s="5" t="s">
        <v>12226</v>
      </c>
      <c r="E2931" s="2" t="s">
        <v>15441</v>
      </c>
      <c r="F2931" s="2" t="s">
        <v>15446</v>
      </c>
      <c r="G2931" s="2" t="s">
        <v>15456</v>
      </c>
      <c r="H2931" s="2" t="s">
        <v>15444</v>
      </c>
    </row>
    <row r="2932">
      <c r="A2932" s="2">
        <v>2930.0</v>
      </c>
      <c r="B2932" s="5" t="s">
        <v>12228</v>
      </c>
      <c r="C2932" s="2" t="s">
        <v>12229</v>
      </c>
      <c r="D2932" s="5" t="s">
        <v>12228</v>
      </c>
      <c r="E2932" s="2" t="s">
        <v>15441</v>
      </c>
      <c r="F2932" s="2" t="s">
        <v>15446</v>
      </c>
      <c r="G2932" s="2" t="s">
        <v>15443</v>
      </c>
      <c r="H2932" s="2" t="s">
        <v>15444</v>
      </c>
    </row>
    <row r="2933">
      <c r="A2933" s="2">
        <v>2931.0</v>
      </c>
      <c r="B2933" s="5" t="s">
        <v>4337</v>
      </c>
      <c r="C2933" s="2" t="s">
        <v>4338</v>
      </c>
      <c r="D2933" s="5" t="s">
        <v>4337</v>
      </c>
      <c r="E2933" s="2" t="s">
        <v>15445</v>
      </c>
      <c r="F2933" s="2" t="s">
        <v>15442</v>
      </c>
      <c r="G2933" s="2" t="s">
        <v>15443</v>
      </c>
      <c r="H2933" s="2" t="s">
        <v>15444</v>
      </c>
    </row>
    <row r="2934">
      <c r="A2934" s="2">
        <v>2932.0</v>
      </c>
      <c r="B2934" s="5" t="s">
        <v>12230</v>
      </c>
      <c r="C2934" s="2" t="s">
        <v>12231</v>
      </c>
      <c r="D2934" s="5" t="s">
        <v>12230</v>
      </c>
      <c r="E2934" s="2" t="s">
        <v>15441</v>
      </c>
      <c r="F2934" s="2" t="s">
        <v>15442</v>
      </c>
      <c r="G2934" s="2" t="s">
        <v>15443</v>
      </c>
      <c r="H2934" s="2" t="s">
        <v>15444</v>
      </c>
    </row>
    <row r="2935">
      <c r="A2935" s="2">
        <v>2933.0</v>
      </c>
      <c r="B2935" s="5" t="s">
        <v>12232</v>
      </c>
      <c r="C2935" s="2" t="s">
        <v>12233</v>
      </c>
      <c r="D2935" s="5" t="s">
        <v>12232</v>
      </c>
      <c r="E2935" s="2" t="s">
        <v>15441</v>
      </c>
      <c r="F2935" s="2" t="s">
        <v>15446</v>
      </c>
      <c r="G2935" s="2" t="s">
        <v>15456</v>
      </c>
      <c r="H2935" s="2" t="s">
        <v>15444</v>
      </c>
    </row>
    <row r="2936">
      <c r="A2936" s="2">
        <v>2934.0</v>
      </c>
      <c r="B2936" s="5" t="s">
        <v>4340</v>
      </c>
      <c r="C2936" s="2" t="s">
        <v>4341</v>
      </c>
      <c r="D2936" s="5" t="s">
        <v>4340</v>
      </c>
      <c r="E2936" s="2" t="s">
        <v>15445</v>
      </c>
      <c r="F2936" s="2" t="s">
        <v>15446</v>
      </c>
      <c r="G2936" s="2" t="s">
        <v>15456</v>
      </c>
      <c r="H2936" s="2" t="s">
        <v>15444</v>
      </c>
    </row>
    <row r="2937">
      <c r="A2937" s="2">
        <v>2935.0</v>
      </c>
      <c r="B2937" s="5" t="s">
        <v>4343</v>
      </c>
      <c r="C2937" s="2" t="s">
        <v>4344</v>
      </c>
      <c r="D2937" s="5" t="s">
        <v>4343</v>
      </c>
      <c r="E2937" s="2" t="s">
        <v>15445</v>
      </c>
      <c r="F2937" s="2" t="s">
        <v>15446</v>
      </c>
      <c r="G2937" s="2" t="s">
        <v>15456</v>
      </c>
      <c r="H2937" s="2" t="s">
        <v>15444</v>
      </c>
    </row>
    <row r="2938">
      <c r="A2938" s="2">
        <v>2936.0</v>
      </c>
      <c r="B2938" s="5" t="s">
        <v>4346</v>
      </c>
      <c r="C2938" s="2" t="s">
        <v>4347</v>
      </c>
      <c r="D2938" s="5" t="s">
        <v>4346</v>
      </c>
      <c r="E2938" s="2" t="s">
        <v>15445</v>
      </c>
      <c r="F2938" s="2" t="s">
        <v>15446</v>
      </c>
      <c r="G2938" s="2" t="s">
        <v>15456</v>
      </c>
      <c r="H2938" s="2" t="s">
        <v>15444</v>
      </c>
    </row>
    <row r="2939">
      <c r="A2939" s="2">
        <v>2937.0</v>
      </c>
      <c r="B2939" s="5" t="s">
        <v>12234</v>
      </c>
      <c r="C2939" s="2" t="s">
        <v>12235</v>
      </c>
      <c r="D2939" s="5" t="s">
        <v>12234</v>
      </c>
      <c r="E2939" s="2" t="s">
        <v>15441</v>
      </c>
      <c r="F2939" s="2" t="s">
        <v>15446</v>
      </c>
      <c r="G2939" s="2" t="s">
        <v>15456</v>
      </c>
      <c r="H2939" s="2" t="s">
        <v>15444</v>
      </c>
    </row>
    <row r="2940">
      <c r="A2940" s="2">
        <v>2938.0</v>
      </c>
      <c r="B2940" s="5" t="s">
        <v>12236</v>
      </c>
      <c r="C2940" s="2" t="s">
        <v>12237</v>
      </c>
      <c r="D2940" s="5" t="s">
        <v>12236</v>
      </c>
      <c r="E2940" s="2" t="s">
        <v>15441</v>
      </c>
      <c r="F2940" s="2" t="s">
        <v>15442</v>
      </c>
      <c r="G2940" s="2" t="s">
        <v>15456</v>
      </c>
      <c r="H2940" s="2" t="s">
        <v>15444</v>
      </c>
    </row>
    <row r="2941">
      <c r="A2941" s="2">
        <v>2939.0</v>
      </c>
      <c r="B2941" s="5" t="s">
        <v>4349</v>
      </c>
      <c r="C2941" s="2" t="s">
        <v>4350</v>
      </c>
      <c r="D2941" s="5" t="s">
        <v>4349</v>
      </c>
      <c r="E2941" s="2" t="s">
        <v>15445</v>
      </c>
      <c r="F2941" s="2" t="s">
        <v>15446</v>
      </c>
      <c r="G2941" s="2" t="s">
        <v>15443</v>
      </c>
      <c r="H2941" s="2" t="s">
        <v>15444</v>
      </c>
    </row>
    <row r="2942">
      <c r="A2942" s="2">
        <v>2940.0</v>
      </c>
      <c r="B2942" s="5" t="s">
        <v>12238</v>
      </c>
      <c r="C2942" s="2" t="s">
        <v>12239</v>
      </c>
      <c r="D2942" s="5" t="s">
        <v>12238</v>
      </c>
      <c r="E2942" s="2" t="s">
        <v>15441</v>
      </c>
      <c r="F2942" s="2" t="s">
        <v>15446</v>
      </c>
      <c r="G2942" s="2" t="s">
        <v>15456</v>
      </c>
      <c r="H2942" s="2" t="s">
        <v>15444</v>
      </c>
    </row>
    <row r="2943">
      <c r="A2943" s="2">
        <v>2941.0</v>
      </c>
      <c r="B2943" s="5" t="s">
        <v>4352</v>
      </c>
      <c r="C2943" s="2" t="s">
        <v>4353</v>
      </c>
      <c r="D2943" s="5" t="s">
        <v>4352</v>
      </c>
      <c r="E2943" s="2" t="s">
        <v>15445</v>
      </c>
      <c r="F2943" s="2" t="s">
        <v>15446</v>
      </c>
      <c r="G2943" s="2" t="s">
        <v>15456</v>
      </c>
      <c r="H2943" s="2" t="s">
        <v>15444</v>
      </c>
    </row>
    <row r="2944">
      <c r="A2944" s="2">
        <v>2942.0</v>
      </c>
      <c r="B2944" s="5" t="s">
        <v>12240</v>
      </c>
      <c r="C2944" s="2" t="s">
        <v>12241</v>
      </c>
      <c r="D2944" s="5" t="s">
        <v>12240</v>
      </c>
      <c r="E2944" s="2" t="s">
        <v>15441</v>
      </c>
      <c r="F2944" s="2" t="s">
        <v>15446</v>
      </c>
      <c r="G2944" s="2" t="s">
        <v>15443</v>
      </c>
      <c r="H2944" s="2" t="s">
        <v>15444</v>
      </c>
    </row>
    <row r="2945">
      <c r="A2945" s="2">
        <v>2943.0</v>
      </c>
      <c r="B2945" s="5" t="s">
        <v>4355</v>
      </c>
      <c r="C2945" s="2" t="s">
        <v>4356</v>
      </c>
      <c r="D2945" s="5" t="s">
        <v>4355</v>
      </c>
      <c r="E2945" s="2" t="s">
        <v>15445</v>
      </c>
      <c r="F2945" s="2" t="s">
        <v>15446</v>
      </c>
      <c r="G2945" s="2" t="s">
        <v>15443</v>
      </c>
      <c r="H2945" s="2" t="s">
        <v>15444</v>
      </c>
    </row>
    <row r="2946">
      <c r="A2946" s="2">
        <v>2944.0</v>
      </c>
      <c r="B2946" s="5" t="s">
        <v>12242</v>
      </c>
      <c r="C2946" s="2" t="s">
        <v>12243</v>
      </c>
      <c r="D2946" s="5" t="s">
        <v>12242</v>
      </c>
      <c r="E2946" s="2" t="s">
        <v>15441</v>
      </c>
      <c r="F2946" s="2" t="s">
        <v>15446</v>
      </c>
      <c r="G2946" s="2" t="s">
        <v>15456</v>
      </c>
      <c r="H2946" s="2" t="s">
        <v>15444</v>
      </c>
    </row>
    <row r="2947">
      <c r="A2947" s="2">
        <v>2945.0</v>
      </c>
      <c r="B2947" s="5" t="s">
        <v>4358</v>
      </c>
      <c r="C2947" s="2" t="s">
        <v>4359</v>
      </c>
      <c r="D2947" s="5" t="s">
        <v>4358</v>
      </c>
      <c r="E2947" s="2" t="s">
        <v>15445</v>
      </c>
      <c r="F2947" s="2" t="s">
        <v>15446</v>
      </c>
      <c r="G2947" s="2" t="s">
        <v>15456</v>
      </c>
      <c r="H2947" s="2" t="s">
        <v>15444</v>
      </c>
    </row>
    <row r="2948">
      <c r="A2948" s="2">
        <v>2946.0</v>
      </c>
      <c r="B2948" s="5" t="s">
        <v>12244</v>
      </c>
      <c r="C2948" s="2" t="s">
        <v>12245</v>
      </c>
      <c r="D2948" s="5" t="s">
        <v>12244</v>
      </c>
      <c r="E2948" s="2" t="s">
        <v>15441</v>
      </c>
      <c r="F2948" s="2" t="s">
        <v>15442</v>
      </c>
      <c r="G2948" s="2" t="s">
        <v>15456</v>
      </c>
      <c r="H2948" s="2" t="s">
        <v>15444</v>
      </c>
    </row>
    <row r="2949">
      <c r="A2949" s="2">
        <v>2947.0</v>
      </c>
      <c r="B2949" s="5" t="s">
        <v>12246</v>
      </c>
      <c r="C2949" s="2" t="s">
        <v>12247</v>
      </c>
      <c r="D2949" s="5" t="s">
        <v>12246</v>
      </c>
      <c r="E2949" s="2" t="s">
        <v>15441</v>
      </c>
      <c r="F2949" s="2" t="s">
        <v>15446</v>
      </c>
      <c r="G2949" s="2" t="s">
        <v>15456</v>
      </c>
      <c r="H2949" s="2" t="s">
        <v>15444</v>
      </c>
    </row>
    <row r="2950">
      <c r="A2950" s="2">
        <v>2948.0</v>
      </c>
      <c r="B2950" s="5" t="s">
        <v>4361</v>
      </c>
      <c r="C2950" s="2" t="s">
        <v>4362</v>
      </c>
      <c r="D2950" s="5" t="s">
        <v>4361</v>
      </c>
      <c r="E2950" s="2" t="s">
        <v>15445</v>
      </c>
      <c r="F2950" s="2" t="s">
        <v>15446</v>
      </c>
      <c r="G2950" s="2" t="s">
        <v>15443</v>
      </c>
      <c r="H2950" s="2" t="s">
        <v>15444</v>
      </c>
    </row>
    <row r="2951">
      <c r="A2951" s="2">
        <v>2949.0</v>
      </c>
      <c r="B2951" s="5" t="s">
        <v>4364</v>
      </c>
      <c r="C2951" s="2" t="s">
        <v>4365</v>
      </c>
      <c r="D2951" s="5" t="s">
        <v>4364</v>
      </c>
      <c r="E2951" s="2" t="s">
        <v>15445</v>
      </c>
      <c r="F2951" s="2" t="s">
        <v>15442</v>
      </c>
      <c r="G2951" s="2" t="s">
        <v>15443</v>
      </c>
      <c r="H2951" s="2" t="s">
        <v>15444</v>
      </c>
    </row>
    <row r="2952">
      <c r="A2952" s="2">
        <v>2950.0</v>
      </c>
      <c r="B2952" s="5" t="s">
        <v>12248</v>
      </c>
      <c r="C2952" s="2" t="s">
        <v>12249</v>
      </c>
      <c r="D2952" s="5" t="s">
        <v>12248</v>
      </c>
      <c r="E2952" s="2" t="s">
        <v>15441</v>
      </c>
      <c r="F2952" s="2" t="s">
        <v>15442</v>
      </c>
      <c r="G2952" s="2" t="s">
        <v>15443</v>
      </c>
      <c r="H2952" s="2" t="s">
        <v>15444</v>
      </c>
    </row>
    <row r="2953">
      <c r="A2953" s="2">
        <v>2951.0</v>
      </c>
      <c r="B2953" s="5" t="s">
        <v>4367</v>
      </c>
      <c r="C2953" s="2" t="s">
        <v>4368</v>
      </c>
      <c r="D2953" s="5" t="s">
        <v>4367</v>
      </c>
      <c r="E2953" s="2" t="s">
        <v>15445</v>
      </c>
      <c r="F2953" s="2" t="s">
        <v>15442</v>
      </c>
      <c r="G2953" s="2" t="s">
        <v>15456</v>
      </c>
      <c r="H2953" s="2" t="s">
        <v>15444</v>
      </c>
    </row>
    <row r="2954">
      <c r="A2954" s="2">
        <v>2952.0</v>
      </c>
      <c r="B2954" s="5" t="s">
        <v>4370</v>
      </c>
      <c r="C2954" s="2" t="s">
        <v>4371</v>
      </c>
      <c r="D2954" s="5" t="s">
        <v>4370</v>
      </c>
      <c r="E2954" s="2" t="s">
        <v>15445</v>
      </c>
      <c r="F2954" s="2" t="s">
        <v>15442</v>
      </c>
      <c r="G2954" s="2" t="s">
        <v>15456</v>
      </c>
      <c r="H2954" s="2" t="s">
        <v>15444</v>
      </c>
    </row>
    <row r="2955">
      <c r="A2955" s="2">
        <v>2953.0</v>
      </c>
      <c r="B2955" s="5" t="s">
        <v>4373</v>
      </c>
      <c r="C2955" s="2" t="s">
        <v>4374</v>
      </c>
      <c r="D2955" s="5" t="s">
        <v>4373</v>
      </c>
      <c r="E2955" s="2" t="s">
        <v>15445</v>
      </c>
      <c r="F2955" s="2" t="s">
        <v>15446</v>
      </c>
      <c r="G2955" s="2" t="s">
        <v>15456</v>
      </c>
      <c r="H2955" s="2" t="s">
        <v>15462</v>
      </c>
    </row>
    <row r="2956">
      <c r="A2956" s="2">
        <v>2954.0</v>
      </c>
      <c r="B2956" s="5" t="s">
        <v>12250</v>
      </c>
      <c r="C2956" s="2" t="s">
        <v>12251</v>
      </c>
      <c r="D2956" s="5" t="s">
        <v>12250</v>
      </c>
      <c r="E2956" s="2" t="s">
        <v>15441</v>
      </c>
      <c r="F2956" s="2" t="s">
        <v>15446</v>
      </c>
      <c r="G2956" s="2" t="s">
        <v>15456</v>
      </c>
      <c r="H2956" s="2" t="s">
        <v>15444</v>
      </c>
    </row>
    <row r="2957">
      <c r="A2957" s="2">
        <v>2955.0</v>
      </c>
      <c r="B2957" s="5" t="s">
        <v>4376</v>
      </c>
      <c r="C2957" s="2" t="s">
        <v>4377</v>
      </c>
      <c r="D2957" s="5" t="s">
        <v>4376</v>
      </c>
      <c r="E2957" s="2" t="s">
        <v>15445</v>
      </c>
      <c r="F2957" s="2" t="s">
        <v>15446</v>
      </c>
      <c r="G2957" s="2" t="s">
        <v>15456</v>
      </c>
      <c r="H2957" s="2" t="s">
        <v>15444</v>
      </c>
    </row>
    <row r="2958">
      <c r="A2958" s="2">
        <v>2956.0</v>
      </c>
      <c r="B2958" s="5" t="s">
        <v>12252</v>
      </c>
      <c r="C2958" s="2" t="s">
        <v>12253</v>
      </c>
      <c r="D2958" s="5" t="s">
        <v>12252</v>
      </c>
      <c r="E2958" s="2" t="s">
        <v>15441</v>
      </c>
      <c r="F2958" s="2" t="s">
        <v>15442</v>
      </c>
      <c r="G2958" s="2" t="s">
        <v>15443</v>
      </c>
      <c r="H2958" s="2" t="s">
        <v>15444</v>
      </c>
    </row>
    <row r="2959">
      <c r="A2959" s="2">
        <v>2957.0</v>
      </c>
      <c r="B2959" s="5" t="s">
        <v>4379</v>
      </c>
      <c r="C2959" s="2" t="s">
        <v>4380</v>
      </c>
      <c r="D2959" s="5" t="s">
        <v>4379</v>
      </c>
      <c r="E2959" s="2" t="s">
        <v>15445</v>
      </c>
      <c r="F2959" s="2" t="s">
        <v>15446</v>
      </c>
      <c r="G2959" s="2" t="s">
        <v>15456</v>
      </c>
      <c r="H2959" s="2" t="s">
        <v>15444</v>
      </c>
    </row>
    <row r="2960">
      <c r="A2960" s="2">
        <v>2958.0</v>
      </c>
      <c r="B2960" s="5" t="s">
        <v>4382</v>
      </c>
      <c r="C2960" s="2" t="s">
        <v>4383</v>
      </c>
      <c r="D2960" s="5" t="s">
        <v>4382</v>
      </c>
      <c r="E2960" s="2" t="s">
        <v>15445</v>
      </c>
      <c r="F2960" s="2" t="s">
        <v>15442</v>
      </c>
      <c r="G2960" s="2" t="s">
        <v>15443</v>
      </c>
      <c r="H2960" s="2" t="s">
        <v>15444</v>
      </c>
    </row>
    <row r="2961">
      <c r="A2961" s="2">
        <v>2959.0</v>
      </c>
      <c r="B2961" s="5" t="s">
        <v>4385</v>
      </c>
      <c r="C2961" s="2" t="s">
        <v>4386</v>
      </c>
      <c r="D2961" s="5" t="s">
        <v>4385</v>
      </c>
      <c r="E2961" s="2" t="s">
        <v>15445</v>
      </c>
      <c r="F2961" s="2" t="s">
        <v>15446</v>
      </c>
      <c r="G2961" s="2" t="s">
        <v>15443</v>
      </c>
      <c r="H2961" s="2" t="s">
        <v>15444</v>
      </c>
    </row>
    <row r="2962">
      <c r="A2962" s="2">
        <v>2960.0</v>
      </c>
      <c r="B2962" s="5" t="s">
        <v>4388</v>
      </c>
      <c r="C2962" s="2" t="s">
        <v>4389</v>
      </c>
      <c r="D2962" s="5" t="s">
        <v>4388</v>
      </c>
      <c r="E2962" s="2" t="s">
        <v>15445</v>
      </c>
      <c r="F2962" s="2" t="s">
        <v>15442</v>
      </c>
      <c r="G2962" s="2" t="s">
        <v>15456</v>
      </c>
      <c r="H2962" s="2" t="s">
        <v>15444</v>
      </c>
    </row>
    <row r="2963">
      <c r="A2963" s="2">
        <v>2961.0</v>
      </c>
      <c r="B2963" s="5" t="s">
        <v>12254</v>
      </c>
      <c r="C2963" s="2" t="s">
        <v>12255</v>
      </c>
      <c r="D2963" s="5" t="s">
        <v>12254</v>
      </c>
      <c r="E2963" s="2" t="s">
        <v>15441</v>
      </c>
      <c r="F2963" s="2" t="s">
        <v>15442</v>
      </c>
      <c r="G2963" s="2" t="s">
        <v>15456</v>
      </c>
      <c r="H2963" s="2" t="s">
        <v>15444</v>
      </c>
    </row>
    <row r="2964">
      <c r="A2964" s="2">
        <v>2962.0</v>
      </c>
      <c r="B2964" s="5" t="s">
        <v>15525</v>
      </c>
      <c r="C2964" s="2" t="s">
        <v>15526</v>
      </c>
      <c r="D2964" s="5" t="s">
        <v>15525</v>
      </c>
      <c r="E2964" s="2" t="s">
        <v>15445</v>
      </c>
      <c r="F2964" s="2" t="s">
        <v>15446</v>
      </c>
      <c r="G2964" s="2" t="s">
        <v>15456</v>
      </c>
      <c r="H2964" s="2" t="s">
        <v>15457</v>
      </c>
    </row>
    <row r="2965">
      <c r="A2965" s="2">
        <v>2963.0</v>
      </c>
      <c r="B2965" s="5" t="s">
        <v>4391</v>
      </c>
      <c r="C2965" s="2" t="s">
        <v>4392</v>
      </c>
      <c r="D2965" s="5" t="s">
        <v>4391</v>
      </c>
      <c r="E2965" s="2" t="s">
        <v>15445</v>
      </c>
      <c r="F2965" s="2" t="s">
        <v>15446</v>
      </c>
      <c r="G2965" s="2" t="s">
        <v>15443</v>
      </c>
      <c r="H2965" s="2" t="s">
        <v>15444</v>
      </c>
    </row>
    <row r="2966">
      <c r="A2966" s="2">
        <v>2964.0</v>
      </c>
      <c r="B2966" s="5" t="s">
        <v>12256</v>
      </c>
      <c r="C2966" s="2" t="s">
        <v>12257</v>
      </c>
      <c r="D2966" s="5" t="s">
        <v>12256</v>
      </c>
      <c r="E2966" s="2" t="s">
        <v>15441</v>
      </c>
      <c r="F2966" s="2" t="s">
        <v>15446</v>
      </c>
      <c r="G2966" s="2" t="s">
        <v>15456</v>
      </c>
      <c r="H2966" s="2" t="s">
        <v>15444</v>
      </c>
    </row>
    <row r="2967">
      <c r="A2967" s="2">
        <v>2965.0</v>
      </c>
      <c r="B2967" s="5" t="s">
        <v>12258</v>
      </c>
      <c r="C2967" s="2" t="s">
        <v>12259</v>
      </c>
      <c r="D2967" s="5" t="s">
        <v>12258</v>
      </c>
      <c r="E2967" s="2" t="s">
        <v>15441</v>
      </c>
      <c r="F2967" s="2" t="s">
        <v>15442</v>
      </c>
      <c r="G2967" s="2" t="s">
        <v>15443</v>
      </c>
      <c r="H2967" s="2" t="s">
        <v>15444</v>
      </c>
    </row>
    <row r="2968">
      <c r="A2968" s="2">
        <v>2966.0</v>
      </c>
      <c r="B2968" s="5" t="s">
        <v>4394</v>
      </c>
      <c r="C2968" s="2" t="s">
        <v>4395</v>
      </c>
      <c r="D2968" s="5" t="s">
        <v>4394</v>
      </c>
      <c r="E2968" s="2" t="s">
        <v>15445</v>
      </c>
      <c r="F2968" s="2" t="s">
        <v>15446</v>
      </c>
      <c r="G2968" s="2" t="s">
        <v>15456</v>
      </c>
      <c r="H2968" s="2" t="s">
        <v>15444</v>
      </c>
    </row>
    <row r="2969">
      <c r="A2969" s="2">
        <v>2967.0</v>
      </c>
      <c r="B2969" s="5" t="s">
        <v>12260</v>
      </c>
      <c r="C2969" s="2" t="s">
        <v>12261</v>
      </c>
      <c r="D2969" s="5" t="s">
        <v>12260</v>
      </c>
      <c r="E2969" s="2" t="s">
        <v>15441</v>
      </c>
      <c r="F2969" s="2" t="s">
        <v>15442</v>
      </c>
      <c r="G2969" s="2" t="s">
        <v>15456</v>
      </c>
      <c r="H2969" s="2" t="s">
        <v>15457</v>
      </c>
    </row>
    <row r="2970">
      <c r="A2970" s="2">
        <v>2968.0</v>
      </c>
      <c r="B2970" s="5" t="s">
        <v>15527</v>
      </c>
      <c r="D2970" s="5" t="s">
        <v>15527</v>
      </c>
      <c r="E2970" s="2" t="s">
        <v>15445</v>
      </c>
      <c r="F2970" s="2" t="s">
        <v>15446</v>
      </c>
      <c r="G2970" s="2" t="s">
        <v>15456</v>
      </c>
      <c r="H2970" s="2" t="s">
        <v>15444</v>
      </c>
    </row>
    <row r="2971">
      <c r="A2971" s="2">
        <v>2969.0</v>
      </c>
      <c r="B2971" s="5" t="s">
        <v>12262</v>
      </c>
      <c r="C2971" s="2" t="s">
        <v>12263</v>
      </c>
      <c r="D2971" s="5" t="s">
        <v>12262</v>
      </c>
      <c r="E2971" s="2" t="s">
        <v>15441</v>
      </c>
      <c r="F2971" s="2" t="s">
        <v>15442</v>
      </c>
      <c r="G2971" s="2" t="s">
        <v>15443</v>
      </c>
      <c r="H2971" s="2" t="s">
        <v>15444</v>
      </c>
    </row>
    <row r="2972">
      <c r="A2972" s="2">
        <v>2970.0</v>
      </c>
      <c r="B2972" s="5" t="s">
        <v>4397</v>
      </c>
      <c r="C2972" s="2" t="s">
        <v>4398</v>
      </c>
      <c r="D2972" s="5" t="s">
        <v>4397</v>
      </c>
      <c r="E2972" s="2" t="s">
        <v>15445</v>
      </c>
      <c r="F2972" s="2" t="s">
        <v>15442</v>
      </c>
      <c r="G2972" s="2" t="s">
        <v>15456</v>
      </c>
      <c r="H2972" s="2" t="s">
        <v>15444</v>
      </c>
    </row>
    <row r="2973">
      <c r="A2973" s="2">
        <v>2971.0</v>
      </c>
      <c r="B2973" s="5" t="s">
        <v>12264</v>
      </c>
      <c r="C2973" s="2" t="s">
        <v>12265</v>
      </c>
      <c r="D2973" s="5" t="s">
        <v>12264</v>
      </c>
      <c r="E2973" s="2" t="s">
        <v>15441</v>
      </c>
      <c r="F2973" s="2" t="s">
        <v>15446</v>
      </c>
      <c r="G2973" s="2" t="s">
        <v>15456</v>
      </c>
      <c r="H2973" s="2" t="s">
        <v>15455</v>
      </c>
    </row>
    <row r="2974">
      <c r="A2974" s="2">
        <v>2972.0</v>
      </c>
      <c r="B2974" s="5" t="s">
        <v>4400</v>
      </c>
      <c r="C2974" s="2" t="s">
        <v>4401</v>
      </c>
      <c r="D2974" s="5" t="s">
        <v>4400</v>
      </c>
      <c r="E2974" s="2" t="s">
        <v>15445</v>
      </c>
      <c r="F2974" s="2" t="s">
        <v>15446</v>
      </c>
      <c r="G2974" s="2" t="s">
        <v>15456</v>
      </c>
      <c r="H2974" s="2" t="s">
        <v>15444</v>
      </c>
    </row>
    <row r="2975">
      <c r="A2975" s="2">
        <v>2973.0</v>
      </c>
      <c r="B2975" s="5" t="s">
        <v>12266</v>
      </c>
      <c r="C2975" s="2" t="s">
        <v>12267</v>
      </c>
      <c r="D2975" s="5" t="s">
        <v>12266</v>
      </c>
      <c r="E2975" s="2" t="s">
        <v>15441</v>
      </c>
      <c r="F2975" s="2" t="s">
        <v>15446</v>
      </c>
      <c r="G2975" s="2" t="s">
        <v>15456</v>
      </c>
      <c r="H2975" s="2" t="s">
        <v>15444</v>
      </c>
    </row>
    <row r="2976">
      <c r="A2976" s="2">
        <v>2974.0</v>
      </c>
      <c r="B2976" s="5" t="s">
        <v>12268</v>
      </c>
      <c r="C2976" s="2" t="s">
        <v>12269</v>
      </c>
      <c r="D2976" s="5" t="s">
        <v>12268</v>
      </c>
      <c r="E2976" s="2" t="s">
        <v>15441</v>
      </c>
      <c r="F2976" s="2" t="s">
        <v>15442</v>
      </c>
      <c r="G2976" s="2" t="s">
        <v>15443</v>
      </c>
      <c r="H2976" s="2" t="s">
        <v>15444</v>
      </c>
    </row>
    <row r="2977">
      <c r="A2977" s="2">
        <v>2975.0</v>
      </c>
      <c r="B2977" s="5" t="s">
        <v>4403</v>
      </c>
      <c r="C2977" s="2" t="s">
        <v>4404</v>
      </c>
      <c r="D2977" s="5" t="s">
        <v>4403</v>
      </c>
      <c r="E2977" s="2" t="s">
        <v>15445</v>
      </c>
      <c r="F2977" s="2" t="s">
        <v>15442</v>
      </c>
      <c r="G2977" s="2" t="s">
        <v>15443</v>
      </c>
      <c r="H2977" s="2" t="s">
        <v>15444</v>
      </c>
    </row>
    <row r="2978">
      <c r="A2978" s="2">
        <v>2976.0</v>
      </c>
      <c r="B2978" s="5" t="s">
        <v>12270</v>
      </c>
      <c r="C2978" s="2" t="s">
        <v>12271</v>
      </c>
      <c r="D2978" s="5" t="s">
        <v>12270</v>
      </c>
      <c r="E2978" s="2" t="s">
        <v>15441</v>
      </c>
      <c r="F2978" s="2" t="s">
        <v>15446</v>
      </c>
      <c r="G2978" s="2" t="s">
        <v>15456</v>
      </c>
      <c r="H2978" s="2" t="s">
        <v>15444</v>
      </c>
    </row>
    <row r="2979">
      <c r="A2979" s="2">
        <v>2977.0</v>
      </c>
      <c r="B2979" s="5" t="s">
        <v>12272</v>
      </c>
      <c r="C2979" s="2" t="s">
        <v>12273</v>
      </c>
      <c r="D2979" s="5" t="s">
        <v>12272</v>
      </c>
      <c r="E2979" s="2" t="s">
        <v>15441</v>
      </c>
      <c r="F2979" s="2" t="s">
        <v>15442</v>
      </c>
      <c r="G2979" s="2" t="s">
        <v>15456</v>
      </c>
      <c r="H2979" s="2" t="s">
        <v>15444</v>
      </c>
    </row>
    <row r="2980">
      <c r="A2980" s="2">
        <v>2978.0</v>
      </c>
      <c r="B2980" s="5" t="s">
        <v>12274</v>
      </c>
      <c r="C2980" s="2" t="s">
        <v>12275</v>
      </c>
      <c r="D2980" s="5" t="s">
        <v>12274</v>
      </c>
      <c r="E2980" s="2" t="s">
        <v>15441</v>
      </c>
      <c r="F2980" s="2" t="s">
        <v>15446</v>
      </c>
      <c r="G2980" s="2" t="s">
        <v>15456</v>
      </c>
      <c r="H2980" s="2" t="s">
        <v>15444</v>
      </c>
    </row>
    <row r="2981">
      <c r="A2981" s="2">
        <v>2979.0</v>
      </c>
      <c r="B2981" s="5" t="s">
        <v>4406</v>
      </c>
      <c r="C2981" s="2" t="s">
        <v>4407</v>
      </c>
      <c r="D2981" s="5" t="s">
        <v>4406</v>
      </c>
      <c r="E2981" s="2" t="s">
        <v>15445</v>
      </c>
      <c r="F2981" s="2" t="s">
        <v>15446</v>
      </c>
      <c r="G2981" s="2" t="s">
        <v>15456</v>
      </c>
      <c r="H2981" s="2" t="s">
        <v>15457</v>
      </c>
    </row>
    <row r="2982">
      <c r="A2982" s="2">
        <v>2980.0</v>
      </c>
      <c r="B2982" s="5" t="s">
        <v>4409</v>
      </c>
      <c r="C2982" s="2" t="s">
        <v>4410</v>
      </c>
      <c r="D2982" s="5" t="s">
        <v>4409</v>
      </c>
      <c r="E2982" s="2" t="s">
        <v>15445</v>
      </c>
      <c r="F2982" s="2" t="s">
        <v>15446</v>
      </c>
      <c r="G2982" s="2" t="s">
        <v>15456</v>
      </c>
      <c r="H2982" s="2" t="s">
        <v>15457</v>
      </c>
    </row>
    <row r="2983">
      <c r="A2983" s="2">
        <v>2981.0</v>
      </c>
      <c r="B2983" s="5" t="s">
        <v>4412</v>
      </c>
      <c r="C2983" s="2" t="s">
        <v>4413</v>
      </c>
      <c r="D2983" s="5" t="s">
        <v>4412</v>
      </c>
      <c r="E2983" s="2" t="s">
        <v>15445</v>
      </c>
      <c r="F2983" s="2" t="s">
        <v>15442</v>
      </c>
      <c r="G2983" s="2" t="s">
        <v>15443</v>
      </c>
      <c r="H2983" s="2" t="s">
        <v>15444</v>
      </c>
    </row>
    <row r="2984">
      <c r="A2984" s="2">
        <v>2982.0</v>
      </c>
      <c r="B2984" s="5" t="s">
        <v>12276</v>
      </c>
      <c r="C2984" s="2" t="s">
        <v>12277</v>
      </c>
      <c r="D2984" s="5" t="s">
        <v>12276</v>
      </c>
      <c r="E2984" s="2" t="s">
        <v>15441</v>
      </c>
      <c r="F2984" s="2" t="s">
        <v>15442</v>
      </c>
      <c r="G2984" s="2" t="s">
        <v>15443</v>
      </c>
      <c r="H2984" s="2" t="s">
        <v>15457</v>
      </c>
    </row>
    <row r="2985">
      <c r="A2985" s="2">
        <v>2983.0</v>
      </c>
      <c r="B2985" s="5" t="s">
        <v>12278</v>
      </c>
      <c r="C2985" s="2" t="s">
        <v>12279</v>
      </c>
      <c r="D2985" s="5" t="s">
        <v>12278</v>
      </c>
      <c r="E2985" s="2" t="s">
        <v>15441</v>
      </c>
      <c r="F2985" s="2" t="s">
        <v>15442</v>
      </c>
      <c r="G2985" s="2" t="s">
        <v>15456</v>
      </c>
      <c r="H2985" s="2" t="s">
        <v>15444</v>
      </c>
    </row>
    <row r="2986">
      <c r="A2986" s="2">
        <v>2984.0</v>
      </c>
      <c r="B2986" s="5" t="s">
        <v>4415</v>
      </c>
      <c r="C2986" s="2" t="s">
        <v>4416</v>
      </c>
      <c r="D2986" s="5" t="s">
        <v>4415</v>
      </c>
      <c r="E2986" s="2" t="s">
        <v>15445</v>
      </c>
      <c r="F2986" s="2" t="s">
        <v>15446</v>
      </c>
      <c r="G2986" s="2" t="s">
        <v>15456</v>
      </c>
      <c r="H2986" s="2" t="s">
        <v>15444</v>
      </c>
    </row>
    <row r="2987">
      <c r="A2987" s="2">
        <v>2985.0</v>
      </c>
      <c r="B2987" s="5" t="s">
        <v>4418</v>
      </c>
      <c r="C2987" s="2" t="s">
        <v>4419</v>
      </c>
      <c r="D2987" s="5" t="s">
        <v>4418</v>
      </c>
      <c r="E2987" s="2" t="s">
        <v>15445</v>
      </c>
      <c r="F2987" s="2" t="s">
        <v>15446</v>
      </c>
      <c r="G2987" s="2" t="s">
        <v>15456</v>
      </c>
      <c r="H2987" s="2" t="s">
        <v>15444</v>
      </c>
    </row>
    <row r="2988">
      <c r="A2988" s="2">
        <v>2986.0</v>
      </c>
      <c r="B2988" s="5" t="s">
        <v>12280</v>
      </c>
      <c r="C2988" s="2" t="s">
        <v>12281</v>
      </c>
      <c r="D2988" s="5" t="s">
        <v>12280</v>
      </c>
      <c r="E2988" s="2" t="s">
        <v>15441</v>
      </c>
      <c r="F2988" s="2" t="s">
        <v>15446</v>
      </c>
      <c r="G2988" s="2" t="s">
        <v>15443</v>
      </c>
      <c r="H2988" s="2" t="s">
        <v>15444</v>
      </c>
    </row>
    <row r="2989">
      <c r="A2989" s="2">
        <v>2987.0</v>
      </c>
      <c r="B2989" s="5" t="s">
        <v>12282</v>
      </c>
      <c r="C2989" s="2" t="s">
        <v>12283</v>
      </c>
      <c r="D2989" s="5" t="s">
        <v>12282</v>
      </c>
      <c r="E2989" s="2" t="s">
        <v>15441</v>
      </c>
      <c r="F2989" s="2" t="s">
        <v>15442</v>
      </c>
      <c r="G2989" s="2" t="s">
        <v>15443</v>
      </c>
      <c r="H2989" s="2" t="s">
        <v>15455</v>
      </c>
    </row>
    <row r="2990">
      <c r="A2990" s="2">
        <v>2988.0</v>
      </c>
      <c r="B2990" s="5" t="s">
        <v>12284</v>
      </c>
      <c r="C2990" s="2" t="s">
        <v>12285</v>
      </c>
      <c r="D2990" s="5" t="s">
        <v>12284</v>
      </c>
      <c r="E2990" s="2" t="s">
        <v>15441</v>
      </c>
      <c r="F2990" s="2" t="s">
        <v>15442</v>
      </c>
      <c r="G2990" s="2" t="s">
        <v>15456</v>
      </c>
      <c r="H2990" s="2" t="s">
        <v>15444</v>
      </c>
    </row>
    <row r="2991">
      <c r="A2991" s="2">
        <v>2989.0</v>
      </c>
      <c r="B2991" s="5" t="s">
        <v>12286</v>
      </c>
      <c r="C2991" s="2" t="s">
        <v>12287</v>
      </c>
      <c r="D2991" s="5" t="s">
        <v>12286</v>
      </c>
      <c r="E2991" s="2" t="s">
        <v>15441</v>
      </c>
      <c r="F2991" s="2" t="s">
        <v>15446</v>
      </c>
      <c r="G2991" s="2" t="s">
        <v>15443</v>
      </c>
      <c r="H2991" s="2" t="s">
        <v>15444</v>
      </c>
    </row>
    <row r="2992">
      <c r="A2992" s="2">
        <v>2990.0</v>
      </c>
      <c r="B2992" s="5" t="s">
        <v>12288</v>
      </c>
      <c r="C2992" s="2" t="s">
        <v>12289</v>
      </c>
      <c r="D2992" s="5" t="s">
        <v>12288</v>
      </c>
      <c r="E2992" s="2" t="s">
        <v>15441</v>
      </c>
      <c r="F2992" s="2" t="s">
        <v>15446</v>
      </c>
      <c r="G2992" s="2" t="s">
        <v>15456</v>
      </c>
      <c r="H2992" s="2" t="s">
        <v>15444</v>
      </c>
    </row>
    <row r="2993">
      <c r="A2993" s="2">
        <v>2991.0</v>
      </c>
      <c r="B2993" s="5" t="s">
        <v>12290</v>
      </c>
      <c r="C2993" s="2" t="s">
        <v>12291</v>
      </c>
      <c r="D2993" s="5" t="s">
        <v>12290</v>
      </c>
      <c r="E2993" s="2" t="s">
        <v>15441</v>
      </c>
      <c r="F2993" s="2" t="s">
        <v>15442</v>
      </c>
      <c r="G2993" s="2" t="s">
        <v>15456</v>
      </c>
      <c r="H2993" s="2" t="s">
        <v>15444</v>
      </c>
    </row>
    <row r="2994">
      <c r="A2994" s="2">
        <v>2992.0</v>
      </c>
      <c r="B2994" s="5" t="s">
        <v>12292</v>
      </c>
      <c r="C2994" s="2" t="s">
        <v>12293</v>
      </c>
      <c r="D2994" s="5" t="s">
        <v>12292</v>
      </c>
      <c r="E2994" s="2" t="s">
        <v>15441</v>
      </c>
      <c r="F2994" s="2" t="s">
        <v>15446</v>
      </c>
      <c r="G2994" s="2" t="s">
        <v>15443</v>
      </c>
      <c r="H2994" s="2" t="s">
        <v>15444</v>
      </c>
    </row>
    <row r="2995">
      <c r="A2995" s="2">
        <v>2993.0</v>
      </c>
      <c r="B2995" s="5" t="s">
        <v>12294</v>
      </c>
      <c r="C2995" s="2" t="s">
        <v>12295</v>
      </c>
      <c r="D2995" s="5" t="s">
        <v>12294</v>
      </c>
      <c r="E2995" s="2" t="s">
        <v>15441</v>
      </c>
      <c r="F2995" s="2" t="s">
        <v>15442</v>
      </c>
      <c r="G2995" s="2" t="s">
        <v>15443</v>
      </c>
      <c r="H2995" s="2" t="s">
        <v>15444</v>
      </c>
    </row>
    <row r="2996">
      <c r="A2996" s="2">
        <v>2994.0</v>
      </c>
      <c r="B2996" s="5" t="s">
        <v>4421</v>
      </c>
      <c r="C2996" s="2" t="s">
        <v>4422</v>
      </c>
      <c r="D2996" s="5" t="s">
        <v>4421</v>
      </c>
      <c r="E2996" s="2" t="s">
        <v>15445</v>
      </c>
      <c r="F2996" s="2" t="s">
        <v>15442</v>
      </c>
      <c r="G2996" s="2" t="s">
        <v>15443</v>
      </c>
      <c r="H2996" s="2" t="s">
        <v>15444</v>
      </c>
    </row>
    <row r="2997">
      <c r="A2997" s="2">
        <v>2995.0</v>
      </c>
      <c r="B2997" s="5" t="s">
        <v>4424</v>
      </c>
      <c r="C2997" s="2" t="s">
        <v>4425</v>
      </c>
      <c r="D2997" s="5" t="s">
        <v>4424</v>
      </c>
      <c r="E2997" s="2" t="s">
        <v>15445</v>
      </c>
      <c r="F2997" s="2" t="s">
        <v>15446</v>
      </c>
      <c r="G2997" s="2" t="s">
        <v>15456</v>
      </c>
      <c r="H2997" s="2" t="s">
        <v>15444</v>
      </c>
    </row>
    <row r="2998">
      <c r="A2998" s="2">
        <v>2996.0</v>
      </c>
      <c r="B2998" s="5" t="s">
        <v>4427</v>
      </c>
      <c r="C2998" s="2" t="s">
        <v>4428</v>
      </c>
      <c r="D2998" s="5" t="s">
        <v>4427</v>
      </c>
      <c r="E2998" s="2" t="s">
        <v>15445</v>
      </c>
      <c r="F2998" s="2" t="s">
        <v>15446</v>
      </c>
      <c r="G2998" s="2" t="s">
        <v>15456</v>
      </c>
      <c r="H2998" s="2" t="s">
        <v>15461</v>
      </c>
    </row>
    <row r="2999">
      <c r="A2999" s="2">
        <v>2997.0</v>
      </c>
      <c r="B2999" s="5" t="s">
        <v>12296</v>
      </c>
      <c r="C2999" s="2" t="s">
        <v>12297</v>
      </c>
      <c r="D2999" s="5" t="s">
        <v>12296</v>
      </c>
      <c r="E2999" s="2" t="s">
        <v>15441</v>
      </c>
      <c r="F2999" s="2" t="s">
        <v>15442</v>
      </c>
      <c r="G2999" s="2" t="s">
        <v>15443</v>
      </c>
      <c r="H2999" s="2" t="s">
        <v>15444</v>
      </c>
    </row>
    <row r="3000">
      <c r="A3000" s="2">
        <v>2998.0</v>
      </c>
      <c r="B3000" s="5" t="s">
        <v>4430</v>
      </c>
      <c r="C3000" s="2" t="s">
        <v>4431</v>
      </c>
      <c r="D3000" s="5" t="s">
        <v>4430</v>
      </c>
      <c r="E3000" s="2" t="s">
        <v>15445</v>
      </c>
      <c r="F3000" s="2" t="s">
        <v>15446</v>
      </c>
      <c r="G3000" s="2" t="s">
        <v>15456</v>
      </c>
      <c r="H3000" s="2" t="s">
        <v>15444</v>
      </c>
    </row>
    <row r="3001">
      <c r="A3001" s="2">
        <v>2999.0</v>
      </c>
      <c r="B3001" s="5" t="s">
        <v>12298</v>
      </c>
      <c r="C3001" s="2" t="s">
        <v>12299</v>
      </c>
      <c r="D3001" s="5" t="s">
        <v>12298</v>
      </c>
      <c r="E3001" s="2" t="s">
        <v>15441</v>
      </c>
      <c r="F3001" s="2" t="s">
        <v>15442</v>
      </c>
      <c r="G3001" s="2" t="s">
        <v>15443</v>
      </c>
      <c r="H3001" s="2" t="s">
        <v>15444</v>
      </c>
    </row>
    <row r="3002">
      <c r="A3002" s="2">
        <v>3000.0</v>
      </c>
      <c r="B3002" s="5" t="s">
        <v>12300</v>
      </c>
      <c r="C3002" s="2" t="s">
        <v>12301</v>
      </c>
      <c r="D3002" s="5" t="s">
        <v>12300</v>
      </c>
      <c r="E3002" s="2" t="s">
        <v>15441</v>
      </c>
      <c r="F3002" s="2" t="s">
        <v>15446</v>
      </c>
      <c r="G3002" s="2" t="s">
        <v>15443</v>
      </c>
      <c r="H3002" s="2" t="s">
        <v>15457</v>
      </c>
    </row>
    <row r="3003">
      <c r="A3003" s="2">
        <v>3001.0</v>
      </c>
      <c r="B3003" s="5" t="s">
        <v>12302</v>
      </c>
      <c r="C3003" s="2" t="s">
        <v>12303</v>
      </c>
      <c r="D3003" s="5" t="s">
        <v>12302</v>
      </c>
      <c r="E3003" s="2" t="s">
        <v>15441</v>
      </c>
      <c r="F3003" s="2" t="s">
        <v>15442</v>
      </c>
      <c r="G3003" s="2" t="s">
        <v>15456</v>
      </c>
      <c r="H3003" s="2" t="s">
        <v>15444</v>
      </c>
    </row>
    <row r="3004">
      <c r="A3004" s="2">
        <v>3002.0</v>
      </c>
      <c r="B3004" s="5" t="s">
        <v>12304</v>
      </c>
      <c r="C3004" s="2" t="s">
        <v>12305</v>
      </c>
      <c r="D3004" s="5" t="s">
        <v>12304</v>
      </c>
      <c r="E3004" s="2" t="s">
        <v>15441</v>
      </c>
      <c r="F3004" s="2" t="s">
        <v>15442</v>
      </c>
      <c r="G3004" s="2" t="s">
        <v>15443</v>
      </c>
      <c r="H3004" s="2" t="s">
        <v>15444</v>
      </c>
    </row>
    <row r="3005">
      <c r="A3005" s="2">
        <v>3003.0</v>
      </c>
      <c r="B3005" s="5" t="s">
        <v>4433</v>
      </c>
      <c r="C3005" s="2" t="s">
        <v>4434</v>
      </c>
      <c r="D3005" s="5" t="s">
        <v>4433</v>
      </c>
      <c r="E3005" s="2" t="s">
        <v>15445</v>
      </c>
      <c r="F3005" s="2" t="s">
        <v>15446</v>
      </c>
      <c r="G3005" s="2" t="s">
        <v>15443</v>
      </c>
      <c r="H3005" s="2" t="s">
        <v>15457</v>
      </c>
    </row>
    <row r="3006">
      <c r="A3006" s="2">
        <v>3004.0</v>
      </c>
      <c r="B3006" s="5" t="s">
        <v>12306</v>
      </c>
      <c r="C3006" s="2" t="s">
        <v>12307</v>
      </c>
      <c r="D3006" s="5" t="s">
        <v>12306</v>
      </c>
      <c r="E3006" s="2" t="s">
        <v>15441</v>
      </c>
      <c r="F3006" s="2" t="s">
        <v>15446</v>
      </c>
      <c r="G3006" s="2" t="s">
        <v>15443</v>
      </c>
      <c r="H3006" s="2" t="s">
        <v>15444</v>
      </c>
    </row>
    <row r="3007">
      <c r="A3007" s="2">
        <v>3005.0</v>
      </c>
      <c r="B3007" s="5" t="s">
        <v>4436</v>
      </c>
      <c r="C3007" s="2" t="s">
        <v>4437</v>
      </c>
      <c r="D3007" s="5" t="s">
        <v>4436</v>
      </c>
      <c r="E3007" s="2" t="s">
        <v>15445</v>
      </c>
      <c r="F3007" s="2" t="s">
        <v>15446</v>
      </c>
      <c r="G3007" s="2" t="s">
        <v>15456</v>
      </c>
      <c r="H3007" s="2" t="s">
        <v>15444</v>
      </c>
    </row>
    <row r="3008">
      <c r="A3008" s="2">
        <v>3006.0</v>
      </c>
      <c r="B3008" s="5" t="s">
        <v>4439</v>
      </c>
      <c r="C3008" s="2" t="s">
        <v>4440</v>
      </c>
      <c r="D3008" s="5" t="s">
        <v>4439</v>
      </c>
      <c r="E3008" s="2" t="s">
        <v>15445</v>
      </c>
      <c r="F3008" s="2" t="s">
        <v>15442</v>
      </c>
      <c r="G3008" s="2" t="s">
        <v>15443</v>
      </c>
      <c r="H3008" s="2" t="s">
        <v>15444</v>
      </c>
    </row>
    <row r="3009">
      <c r="A3009" s="2">
        <v>3007.0</v>
      </c>
      <c r="B3009" s="5" t="s">
        <v>4442</v>
      </c>
      <c r="C3009" s="2" t="s">
        <v>4443</v>
      </c>
      <c r="D3009" s="5" t="s">
        <v>4442</v>
      </c>
      <c r="E3009" s="2" t="s">
        <v>15445</v>
      </c>
      <c r="F3009" s="2" t="s">
        <v>15446</v>
      </c>
      <c r="G3009" s="2" t="s">
        <v>15443</v>
      </c>
      <c r="H3009" s="2" t="s">
        <v>15444</v>
      </c>
    </row>
    <row r="3010">
      <c r="A3010" s="2">
        <v>3008.0</v>
      </c>
      <c r="B3010" s="5" t="s">
        <v>12308</v>
      </c>
      <c r="C3010" s="2" t="s">
        <v>12309</v>
      </c>
      <c r="D3010" s="5" t="s">
        <v>12308</v>
      </c>
      <c r="E3010" s="2" t="s">
        <v>15441</v>
      </c>
      <c r="F3010" s="2" t="s">
        <v>15446</v>
      </c>
      <c r="G3010" s="2" t="s">
        <v>15456</v>
      </c>
      <c r="H3010" s="2" t="s">
        <v>15444</v>
      </c>
    </row>
    <row r="3011">
      <c r="A3011" s="2">
        <v>3009.0</v>
      </c>
      <c r="B3011" s="5" t="s">
        <v>4445</v>
      </c>
      <c r="C3011" s="2" t="s">
        <v>4446</v>
      </c>
      <c r="D3011" s="5" t="s">
        <v>4445</v>
      </c>
      <c r="E3011" s="2" t="s">
        <v>15445</v>
      </c>
      <c r="F3011" s="2" t="s">
        <v>15446</v>
      </c>
      <c r="G3011" s="2" t="s">
        <v>15443</v>
      </c>
      <c r="H3011" s="2" t="s">
        <v>15444</v>
      </c>
    </row>
    <row r="3012">
      <c r="A3012" s="2">
        <v>3010.0</v>
      </c>
      <c r="B3012" s="5" t="s">
        <v>4448</v>
      </c>
      <c r="C3012" s="2" t="s">
        <v>4449</v>
      </c>
      <c r="D3012" s="5" t="s">
        <v>4448</v>
      </c>
      <c r="E3012" s="2" t="s">
        <v>15445</v>
      </c>
      <c r="F3012" s="2" t="s">
        <v>15442</v>
      </c>
      <c r="G3012" s="2" t="s">
        <v>15443</v>
      </c>
      <c r="H3012" s="2" t="s">
        <v>15455</v>
      </c>
    </row>
    <row r="3013">
      <c r="A3013" s="2">
        <v>3011.0</v>
      </c>
      <c r="B3013" s="5" t="s">
        <v>4451</v>
      </c>
      <c r="C3013" s="2" t="s">
        <v>4452</v>
      </c>
      <c r="D3013" s="5" t="s">
        <v>4451</v>
      </c>
      <c r="E3013" s="2" t="s">
        <v>15445</v>
      </c>
      <c r="F3013" s="2" t="s">
        <v>15446</v>
      </c>
      <c r="G3013" s="2" t="s">
        <v>15456</v>
      </c>
      <c r="H3013" s="2" t="s">
        <v>15444</v>
      </c>
    </row>
    <row r="3014">
      <c r="A3014" s="2">
        <v>3012.0</v>
      </c>
      <c r="B3014" s="5" t="s">
        <v>4454</v>
      </c>
      <c r="C3014" s="2" t="s">
        <v>1228</v>
      </c>
      <c r="D3014" s="5" t="s">
        <v>4454</v>
      </c>
      <c r="E3014" s="2" t="s">
        <v>15445</v>
      </c>
      <c r="F3014" s="2" t="s">
        <v>15446</v>
      </c>
      <c r="G3014" s="2" t="s">
        <v>15456</v>
      </c>
      <c r="H3014" s="2" t="s">
        <v>15457</v>
      </c>
    </row>
    <row r="3015">
      <c r="A3015" s="2">
        <v>3013.0</v>
      </c>
      <c r="B3015" s="5" t="s">
        <v>12310</v>
      </c>
      <c r="C3015" s="2" t="s">
        <v>12311</v>
      </c>
      <c r="D3015" s="5" t="s">
        <v>12310</v>
      </c>
      <c r="E3015" s="2" t="s">
        <v>15441</v>
      </c>
      <c r="F3015" s="2" t="s">
        <v>15446</v>
      </c>
      <c r="G3015" s="2" t="s">
        <v>15456</v>
      </c>
      <c r="H3015" s="2" t="s">
        <v>15457</v>
      </c>
    </row>
    <row r="3016">
      <c r="A3016" s="2">
        <v>3014.0</v>
      </c>
      <c r="B3016" s="5" t="s">
        <v>4456</v>
      </c>
      <c r="C3016" s="2" t="s">
        <v>4457</v>
      </c>
      <c r="D3016" s="5" t="s">
        <v>4456</v>
      </c>
      <c r="E3016" s="2" t="s">
        <v>15445</v>
      </c>
      <c r="F3016" s="2" t="s">
        <v>15442</v>
      </c>
      <c r="G3016" s="2" t="s">
        <v>15443</v>
      </c>
      <c r="H3016" s="2" t="s">
        <v>15444</v>
      </c>
    </row>
    <row r="3017">
      <c r="A3017" s="2">
        <v>3015.0</v>
      </c>
      <c r="B3017" s="5" t="s">
        <v>12312</v>
      </c>
      <c r="C3017" s="2" t="s">
        <v>12313</v>
      </c>
      <c r="D3017" s="5" t="s">
        <v>12312</v>
      </c>
      <c r="E3017" s="2" t="s">
        <v>15441</v>
      </c>
      <c r="F3017" s="2" t="s">
        <v>15442</v>
      </c>
      <c r="G3017" s="2" t="s">
        <v>15443</v>
      </c>
      <c r="H3017" s="2" t="s">
        <v>15444</v>
      </c>
    </row>
    <row r="3018">
      <c r="A3018" s="2">
        <v>3016.0</v>
      </c>
      <c r="B3018" s="5" t="s">
        <v>4459</v>
      </c>
      <c r="C3018" s="2" t="s">
        <v>4460</v>
      </c>
      <c r="D3018" s="5" t="s">
        <v>4459</v>
      </c>
      <c r="E3018" s="2" t="s">
        <v>15445</v>
      </c>
      <c r="F3018" s="2" t="s">
        <v>15446</v>
      </c>
      <c r="G3018" s="2" t="s">
        <v>15456</v>
      </c>
      <c r="H3018" s="2" t="s">
        <v>15444</v>
      </c>
    </row>
    <row r="3019">
      <c r="A3019" s="2">
        <v>3017.0</v>
      </c>
      <c r="B3019" s="5" t="s">
        <v>12314</v>
      </c>
      <c r="C3019" s="2" t="s">
        <v>12315</v>
      </c>
      <c r="D3019" s="5" t="s">
        <v>12314</v>
      </c>
      <c r="E3019" s="2" t="s">
        <v>15441</v>
      </c>
      <c r="F3019" s="2" t="s">
        <v>15446</v>
      </c>
      <c r="G3019" s="2" t="s">
        <v>15443</v>
      </c>
      <c r="H3019" s="2" t="s">
        <v>15444</v>
      </c>
    </row>
    <row r="3020">
      <c r="A3020" s="2">
        <v>3018.0</v>
      </c>
      <c r="B3020" s="5" t="s">
        <v>12316</v>
      </c>
      <c r="C3020" s="2" t="s">
        <v>11712</v>
      </c>
      <c r="D3020" s="5" t="s">
        <v>12316</v>
      </c>
      <c r="E3020" s="2" t="s">
        <v>15441</v>
      </c>
      <c r="F3020" s="2" t="s">
        <v>15442</v>
      </c>
      <c r="G3020" s="2" t="s">
        <v>15456</v>
      </c>
      <c r="H3020" s="2" t="s">
        <v>15444</v>
      </c>
    </row>
    <row r="3021">
      <c r="A3021" s="2">
        <v>3019.0</v>
      </c>
      <c r="B3021" s="5" t="s">
        <v>12317</v>
      </c>
      <c r="C3021" s="2" t="s">
        <v>12318</v>
      </c>
      <c r="D3021" s="5" t="s">
        <v>12317</v>
      </c>
      <c r="E3021" s="2" t="s">
        <v>15441</v>
      </c>
      <c r="F3021" s="2" t="s">
        <v>15442</v>
      </c>
      <c r="G3021" s="2" t="s">
        <v>15456</v>
      </c>
      <c r="H3021" s="2" t="s">
        <v>15444</v>
      </c>
    </row>
    <row r="3022">
      <c r="A3022" s="2">
        <v>3020.0</v>
      </c>
      <c r="B3022" s="5" t="s">
        <v>12319</v>
      </c>
      <c r="C3022" s="2" t="s">
        <v>12320</v>
      </c>
      <c r="D3022" s="5" t="s">
        <v>12319</v>
      </c>
      <c r="E3022" s="2" t="s">
        <v>15441</v>
      </c>
      <c r="F3022" s="2" t="s">
        <v>15446</v>
      </c>
      <c r="G3022" s="2" t="s">
        <v>15443</v>
      </c>
      <c r="H3022" s="2" t="s">
        <v>15444</v>
      </c>
    </row>
    <row r="3023">
      <c r="A3023" s="2">
        <v>3021.0</v>
      </c>
      <c r="B3023" s="5" t="s">
        <v>4462</v>
      </c>
      <c r="C3023" s="2" t="s">
        <v>4463</v>
      </c>
      <c r="D3023" s="5" t="s">
        <v>4462</v>
      </c>
      <c r="E3023" s="2" t="s">
        <v>15445</v>
      </c>
      <c r="F3023" s="2" t="s">
        <v>15442</v>
      </c>
      <c r="G3023" s="2" t="s">
        <v>15443</v>
      </c>
      <c r="H3023" s="2" t="s">
        <v>15444</v>
      </c>
    </row>
    <row r="3024">
      <c r="A3024" s="2">
        <v>3022.0</v>
      </c>
      <c r="B3024" s="5" t="s">
        <v>4465</v>
      </c>
      <c r="C3024" s="2" t="s">
        <v>4466</v>
      </c>
      <c r="D3024" s="5" t="s">
        <v>4465</v>
      </c>
      <c r="E3024" s="2" t="s">
        <v>15445</v>
      </c>
      <c r="F3024" s="2" t="s">
        <v>15446</v>
      </c>
      <c r="G3024" s="2" t="s">
        <v>15456</v>
      </c>
      <c r="H3024" s="2" t="s">
        <v>15444</v>
      </c>
    </row>
    <row r="3025">
      <c r="A3025" s="2">
        <v>3023.0</v>
      </c>
      <c r="B3025" s="5" t="s">
        <v>4468</v>
      </c>
      <c r="C3025" s="2" t="s">
        <v>4469</v>
      </c>
      <c r="D3025" s="5" t="s">
        <v>4468</v>
      </c>
      <c r="E3025" s="2" t="s">
        <v>15445</v>
      </c>
      <c r="F3025" s="2" t="s">
        <v>15442</v>
      </c>
      <c r="G3025" s="2" t="s">
        <v>15456</v>
      </c>
      <c r="H3025" s="2" t="s">
        <v>15444</v>
      </c>
    </row>
    <row r="3026">
      <c r="A3026" s="2">
        <v>3024.0</v>
      </c>
      <c r="B3026" s="5" t="s">
        <v>12321</v>
      </c>
      <c r="C3026" s="2" t="s">
        <v>12322</v>
      </c>
      <c r="D3026" s="5" t="s">
        <v>12321</v>
      </c>
      <c r="E3026" s="2" t="s">
        <v>15441</v>
      </c>
      <c r="F3026" s="2" t="s">
        <v>15446</v>
      </c>
      <c r="G3026" s="2" t="s">
        <v>15456</v>
      </c>
      <c r="H3026" s="2" t="s">
        <v>15444</v>
      </c>
    </row>
    <row r="3027">
      <c r="A3027" s="2">
        <v>3025.0</v>
      </c>
      <c r="B3027" s="5" t="s">
        <v>12323</v>
      </c>
      <c r="C3027" s="2" t="s">
        <v>12324</v>
      </c>
      <c r="D3027" s="5" t="s">
        <v>12323</v>
      </c>
      <c r="E3027" s="2" t="s">
        <v>15441</v>
      </c>
      <c r="F3027" s="2" t="s">
        <v>15442</v>
      </c>
      <c r="G3027" s="2" t="s">
        <v>15456</v>
      </c>
      <c r="H3027" s="2" t="s">
        <v>15444</v>
      </c>
    </row>
    <row r="3028">
      <c r="A3028" s="2">
        <v>3026.0</v>
      </c>
      <c r="B3028" s="5" t="s">
        <v>4471</v>
      </c>
      <c r="C3028" s="2" t="s">
        <v>4472</v>
      </c>
      <c r="D3028" s="5" t="s">
        <v>4471</v>
      </c>
      <c r="E3028" s="2" t="s">
        <v>15445</v>
      </c>
      <c r="F3028" s="2" t="s">
        <v>15446</v>
      </c>
      <c r="G3028" s="2" t="s">
        <v>15456</v>
      </c>
      <c r="H3028" s="2" t="s">
        <v>15444</v>
      </c>
    </row>
    <row r="3029">
      <c r="A3029" s="2">
        <v>3027.0</v>
      </c>
      <c r="B3029" s="5" t="s">
        <v>4474</v>
      </c>
      <c r="C3029" s="2" t="s">
        <v>4475</v>
      </c>
      <c r="D3029" s="5" t="s">
        <v>4474</v>
      </c>
      <c r="E3029" s="2" t="s">
        <v>15445</v>
      </c>
      <c r="F3029" s="2" t="s">
        <v>15442</v>
      </c>
      <c r="G3029" s="2" t="s">
        <v>15456</v>
      </c>
      <c r="H3029" s="2" t="s">
        <v>15444</v>
      </c>
    </row>
    <row r="3030">
      <c r="A3030" s="2">
        <v>3028.0</v>
      </c>
      <c r="B3030" s="5" t="s">
        <v>4477</v>
      </c>
      <c r="C3030" s="2" t="s">
        <v>4478</v>
      </c>
      <c r="D3030" s="5" t="s">
        <v>4477</v>
      </c>
      <c r="E3030" s="2" t="s">
        <v>15445</v>
      </c>
      <c r="F3030" s="2" t="s">
        <v>15442</v>
      </c>
      <c r="G3030" s="2" t="s">
        <v>15443</v>
      </c>
      <c r="H3030" s="2" t="s">
        <v>15444</v>
      </c>
    </row>
    <row r="3031">
      <c r="A3031" s="2">
        <v>3029.0</v>
      </c>
      <c r="B3031" s="5" t="s">
        <v>4480</v>
      </c>
      <c r="C3031" s="2" t="s">
        <v>4481</v>
      </c>
      <c r="D3031" s="5" t="s">
        <v>4480</v>
      </c>
      <c r="E3031" s="2" t="s">
        <v>15445</v>
      </c>
      <c r="F3031" s="2" t="s">
        <v>15446</v>
      </c>
      <c r="G3031" s="2" t="s">
        <v>15443</v>
      </c>
      <c r="H3031" s="2" t="s">
        <v>15444</v>
      </c>
    </row>
    <row r="3032">
      <c r="A3032" s="2">
        <v>3030.0</v>
      </c>
      <c r="B3032" s="5" t="s">
        <v>12325</v>
      </c>
      <c r="C3032" s="2" t="s">
        <v>12326</v>
      </c>
      <c r="D3032" s="5" t="s">
        <v>12325</v>
      </c>
      <c r="E3032" s="2" t="s">
        <v>15441</v>
      </c>
      <c r="F3032" s="2" t="s">
        <v>15446</v>
      </c>
      <c r="G3032" s="2" t="s">
        <v>15456</v>
      </c>
      <c r="H3032" s="2" t="s">
        <v>15444</v>
      </c>
    </row>
    <row r="3033">
      <c r="A3033" s="2">
        <v>3031.0</v>
      </c>
      <c r="B3033" s="5" t="s">
        <v>4483</v>
      </c>
      <c r="C3033" s="2" t="s">
        <v>4484</v>
      </c>
      <c r="D3033" s="5" t="s">
        <v>4483</v>
      </c>
      <c r="E3033" s="2" t="s">
        <v>15445</v>
      </c>
      <c r="F3033" s="2" t="s">
        <v>15446</v>
      </c>
      <c r="G3033" s="2" t="s">
        <v>15456</v>
      </c>
      <c r="H3033" s="2" t="s">
        <v>15444</v>
      </c>
    </row>
    <row r="3034">
      <c r="A3034" s="2">
        <v>3032.0</v>
      </c>
      <c r="B3034" s="5" t="s">
        <v>4486</v>
      </c>
      <c r="C3034" s="2" t="s">
        <v>4487</v>
      </c>
      <c r="D3034" s="5" t="s">
        <v>4486</v>
      </c>
      <c r="E3034" s="2" t="s">
        <v>15445</v>
      </c>
      <c r="F3034" s="2" t="s">
        <v>15442</v>
      </c>
      <c r="G3034" s="2" t="s">
        <v>15443</v>
      </c>
      <c r="H3034" s="2" t="s">
        <v>15444</v>
      </c>
    </row>
    <row r="3035">
      <c r="A3035" s="2">
        <v>3033.0</v>
      </c>
      <c r="B3035" s="5" t="s">
        <v>12327</v>
      </c>
      <c r="C3035" s="2" t="s">
        <v>12328</v>
      </c>
      <c r="D3035" s="5" t="s">
        <v>12327</v>
      </c>
      <c r="E3035" s="2" t="s">
        <v>15441</v>
      </c>
      <c r="F3035" s="2" t="s">
        <v>15442</v>
      </c>
      <c r="G3035" s="2" t="s">
        <v>15443</v>
      </c>
      <c r="H3035" s="2" t="s">
        <v>15444</v>
      </c>
    </row>
    <row r="3036">
      <c r="A3036" s="2">
        <v>3034.0</v>
      </c>
      <c r="B3036" s="5" t="s">
        <v>4489</v>
      </c>
      <c r="C3036" s="2" t="s">
        <v>4490</v>
      </c>
      <c r="D3036" s="5" t="s">
        <v>4489</v>
      </c>
      <c r="E3036" s="2" t="s">
        <v>15445</v>
      </c>
      <c r="F3036" s="2" t="s">
        <v>15442</v>
      </c>
      <c r="G3036" s="2" t="s">
        <v>15443</v>
      </c>
      <c r="H3036" s="2" t="s">
        <v>15444</v>
      </c>
    </row>
    <row r="3037">
      <c r="A3037" s="2">
        <v>3035.0</v>
      </c>
      <c r="B3037" s="5" t="s">
        <v>4492</v>
      </c>
      <c r="C3037" s="2" t="s">
        <v>4493</v>
      </c>
      <c r="D3037" s="5" t="s">
        <v>4492</v>
      </c>
      <c r="E3037" s="2" t="s">
        <v>15445</v>
      </c>
      <c r="F3037" s="2" t="s">
        <v>15446</v>
      </c>
      <c r="G3037" s="2" t="s">
        <v>15443</v>
      </c>
      <c r="H3037" s="2" t="s">
        <v>15457</v>
      </c>
    </row>
    <row r="3038">
      <c r="A3038" s="2">
        <v>3036.0</v>
      </c>
      <c r="B3038" s="5" t="s">
        <v>12329</v>
      </c>
      <c r="C3038" s="2" t="s">
        <v>12330</v>
      </c>
      <c r="D3038" s="5" t="s">
        <v>12329</v>
      </c>
      <c r="E3038" s="2" t="s">
        <v>15441</v>
      </c>
      <c r="F3038" s="2" t="s">
        <v>15446</v>
      </c>
      <c r="G3038" s="2" t="s">
        <v>15456</v>
      </c>
      <c r="H3038" s="2" t="s">
        <v>15444</v>
      </c>
    </row>
    <row r="3039">
      <c r="A3039" s="2">
        <v>3037.0</v>
      </c>
      <c r="B3039" s="5" t="s">
        <v>12331</v>
      </c>
      <c r="C3039" s="2" t="s">
        <v>12332</v>
      </c>
      <c r="D3039" s="5" t="s">
        <v>12331</v>
      </c>
      <c r="E3039" s="2" t="s">
        <v>15441</v>
      </c>
      <c r="F3039" s="2" t="s">
        <v>15446</v>
      </c>
      <c r="G3039" s="2" t="s">
        <v>15456</v>
      </c>
      <c r="H3039" s="2" t="s">
        <v>15444</v>
      </c>
    </row>
    <row r="3040">
      <c r="A3040" s="2">
        <v>3038.0</v>
      </c>
      <c r="B3040" s="5" t="s">
        <v>12333</v>
      </c>
      <c r="C3040" s="2" t="s">
        <v>12334</v>
      </c>
      <c r="D3040" s="5" t="s">
        <v>12333</v>
      </c>
      <c r="E3040" s="2" t="s">
        <v>15441</v>
      </c>
      <c r="F3040" s="2" t="s">
        <v>15442</v>
      </c>
      <c r="G3040" s="2" t="s">
        <v>15443</v>
      </c>
      <c r="H3040" s="2" t="s">
        <v>15444</v>
      </c>
    </row>
    <row r="3041">
      <c r="A3041" s="2">
        <v>3039.0</v>
      </c>
      <c r="B3041" s="5" t="s">
        <v>4495</v>
      </c>
      <c r="C3041" s="2" t="s">
        <v>4496</v>
      </c>
      <c r="D3041" s="5" t="s">
        <v>4495</v>
      </c>
      <c r="E3041" s="2" t="s">
        <v>15445</v>
      </c>
      <c r="F3041" s="2" t="s">
        <v>15442</v>
      </c>
      <c r="G3041" s="2" t="s">
        <v>15443</v>
      </c>
      <c r="H3041" s="2" t="s">
        <v>15462</v>
      </c>
    </row>
    <row r="3042">
      <c r="A3042" s="2">
        <v>3040.0</v>
      </c>
      <c r="B3042" s="5" t="s">
        <v>4498</v>
      </c>
      <c r="C3042" s="2" t="s">
        <v>4499</v>
      </c>
      <c r="D3042" s="5" t="s">
        <v>4498</v>
      </c>
      <c r="E3042" s="2" t="s">
        <v>15445</v>
      </c>
      <c r="F3042" s="2" t="s">
        <v>15442</v>
      </c>
      <c r="G3042" s="2" t="s">
        <v>15443</v>
      </c>
      <c r="H3042" s="2" t="s">
        <v>15444</v>
      </c>
    </row>
    <row r="3043">
      <c r="A3043" s="2">
        <v>3041.0</v>
      </c>
      <c r="B3043" s="5" t="s">
        <v>12335</v>
      </c>
      <c r="C3043" s="2" t="s">
        <v>12336</v>
      </c>
      <c r="D3043" s="5" t="s">
        <v>12335</v>
      </c>
      <c r="E3043" s="2" t="s">
        <v>15441</v>
      </c>
      <c r="F3043" s="2" t="s">
        <v>15446</v>
      </c>
      <c r="G3043" s="2" t="s">
        <v>15456</v>
      </c>
      <c r="H3043" s="2" t="s">
        <v>15444</v>
      </c>
    </row>
    <row r="3044">
      <c r="A3044" s="2">
        <v>3042.0</v>
      </c>
      <c r="B3044" s="5" t="s">
        <v>12337</v>
      </c>
      <c r="C3044" s="2" t="s">
        <v>12338</v>
      </c>
      <c r="D3044" s="5" t="s">
        <v>12337</v>
      </c>
      <c r="E3044" s="2" t="s">
        <v>15441</v>
      </c>
      <c r="F3044" s="2" t="s">
        <v>15442</v>
      </c>
      <c r="G3044" s="2" t="s">
        <v>15443</v>
      </c>
      <c r="H3044" s="2" t="s">
        <v>15444</v>
      </c>
    </row>
    <row r="3045">
      <c r="A3045" s="2">
        <v>3043.0</v>
      </c>
      <c r="B3045" s="5" t="s">
        <v>4501</v>
      </c>
      <c r="C3045" s="2" t="s">
        <v>4502</v>
      </c>
      <c r="D3045" s="5" t="s">
        <v>4501</v>
      </c>
      <c r="E3045" s="2" t="s">
        <v>15445</v>
      </c>
      <c r="F3045" s="2" t="s">
        <v>15442</v>
      </c>
      <c r="G3045" s="2" t="s">
        <v>15456</v>
      </c>
      <c r="H3045" s="2" t="s">
        <v>15444</v>
      </c>
    </row>
    <row r="3046">
      <c r="A3046" s="2">
        <v>3044.0</v>
      </c>
      <c r="B3046" s="5" t="s">
        <v>4504</v>
      </c>
      <c r="C3046" s="2" t="s">
        <v>4505</v>
      </c>
      <c r="D3046" s="5" t="s">
        <v>4504</v>
      </c>
      <c r="E3046" s="2" t="s">
        <v>15445</v>
      </c>
      <c r="F3046" s="2" t="s">
        <v>15442</v>
      </c>
      <c r="G3046" s="2" t="s">
        <v>15443</v>
      </c>
      <c r="H3046" s="2" t="s">
        <v>15444</v>
      </c>
    </row>
    <row r="3047">
      <c r="A3047" s="2">
        <v>3045.0</v>
      </c>
      <c r="B3047" s="5" t="s">
        <v>4507</v>
      </c>
      <c r="C3047" s="2" t="s">
        <v>4508</v>
      </c>
      <c r="D3047" s="5" t="s">
        <v>4507</v>
      </c>
      <c r="E3047" s="2" t="s">
        <v>15445</v>
      </c>
      <c r="F3047" s="2" t="s">
        <v>15446</v>
      </c>
      <c r="G3047" s="2" t="s">
        <v>15456</v>
      </c>
      <c r="H3047" s="2" t="s">
        <v>15444</v>
      </c>
    </row>
    <row r="3048">
      <c r="A3048" s="2">
        <v>3046.0</v>
      </c>
      <c r="B3048" s="5" t="s">
        <v>12339</v>
      </c>
      <c r="C3048" s="2" t="s">
        <v>12340</v>
      </c>
      <c r="D3048" s="5" t="s">
        <v>12339</v>
      </c>
      <c r="E3048" s="2" t="s">
        <v>15441</v>
      </c>
      <c r="F3048" s="2" t="s">
        <v>15442</v>
      </c>
      <c r="G3048" s="2" t="s">
        <v>15443</v>
      </c>
      <c r="H3048" s="2" t="s">
        <v>15444</v>
      </c>
    </row>
    <row r="3049">
      <c r="A3049" s="2">
        <v>3047.0</v>
      </c>
      <c r="B3049" s="5" t="s">
        <v>12341</v>
      </c>
      <c r="C3049" s="2" t="s">
        <v>12342</v>
      </c>
      <c r="D3049" s="5" t="s">
        <v>12341</v>
      </c>
      <c r="E3049" s="2" t="s">
        <v>15441</v>
      </c>
      <c r="F3049" s="2" t="s">
        <v>15442</v>
      </c>
      <c r="G3049" s="2" t="s">
        <v>15456</v>
      </c>
      <c r="H3049" s="2" t="s">
        <v>15461</v>
      </c>
    </row>
    <row r="3050">
      <c r="A3050" s="2">
        <v>3048.0</v>
      </c>
      <c r="B3050" s="5" t="s">
        <v>12343</v>
      </c>
      <c r="C3050" s="2" t="s">
        <v>12344</v>
      </c>
      <c r="D3050" s="5" t="s">
        <v>12343</v>
      </c>
      <c r="E3050" s="2" t="s">
        <v>15441</v>
      </c>
      <c r="F3050" s="2" t="s">
        <v>15446</v>
      </c>
      <c r="G3050" s="2" t="s">
        <v>15456</v>
      </c>
      <c r="H3050" s="2" t="s">
        <v>15444</v>
      </c>
    </row>
    <row r="3051">
      <c r="A3051" s="2">
        <v>3049.0</v>
      </c>
      <c r="B3051" s="5" t="s">
        <v>4510</v>
      </c>
      <c r="C3051" s="2" t="s">
        <v>4511</v>
      </c>
      <c r="D3051" s="5" t="s">
        <v>4510</v>
      </c>
      <c r="E3051" s="2" t="s">
        <v>15445</v>
      </c>
      <c r="F3051" s="2" t="s">
        <v>15442</v>
      </c>
      <c r="G3051" s="2" t="s">
        <v>15456</v>
      </c>
      <c r="H3051" s="2" t="s">
        <v>15444</v>
      </c>
    </row>
    <row r="3052">
      <c r="A3052" s="2">
        <v>3050.0</v>
      </c>
      <c r="B3052" s="5" t="s">
        <v>12345</v>
      </c>
      <c r="C3052" s="2" t="s">
        <v>12346</v>
      </c>
      <c r="D3052" s="5" t="s">
        <v>12345</v>
      </c>
      <c r="E3052" s="2" t="s">
        <v>15441</v>
      </c>
      <c r="F3052" s="2" t="s">
        <v>15442</v>
      </c>
      <c r="G3052" s="2" t="s">
        <v>15456</v>
      </c>
      <c r="H3052" s="2" t="s">
        <v>15444</v>
      </c>
    </row>
    <row r="3053">
      <c r="A3053" s="2">
        <v>3051.0</v>
      </c>
      <c r="B3053" s="5" t="s">
        <v>12347</v>
      </c>
      <c r="C3053" s="2" t="s">
        <v>12348</v>
      </c>
      <c r="D3053" s="5" t="s">
        <v>12347</v>
      </c>
      <c r="E3053" s="2" t="s">
        <v>15441</v>
      </c>
      <c r="F3053" s="2" t="s">
        <v>15446</v>
      </c>
      <c r="G3053" s="2" t="s">
        <v>15456</v>
      </c>
      <c r="H3053" s="2" t="s">
        <v>15444</v>
      </c>
    </row>
    <row r="3054">
      <c r="A3054" s="2">
        <v>3052.0</v>
      </c>
      <c r="B3054" s="5" t="s">
        <v>4513</v>
      </c>
      <c r="C3054" s="2" t="s">
        <v>4514</v>
      </c>
      <c r="D3054" s="5" t="s">
        <v>4513</v>
      </c>
      <c r="E3054" s="2" t="s">
        <v>15445</v>
      </c>
      <c r="F3054" s="2" t="s">
        <v>15446</v>
      </c>
      <c r="G3054" s="2" t="s">
        <v>15456</v>
      </c>
      <c r="H3054" s="2" t="s">
        <v>15444</v>
      </c>
    </row>
    <row r="3055">
      <c r="A3055" s="2">
        <v>3053.0</v>
      </c>
      <c r="B3055" s="5" t="s">
        <v>12349</v>
      </c>
      <c r="C3055" s="2" t="s">
        <v>12350</v>
      </c>
      <c r="D3055" s="5" t="s">
        <v>12349</v>
      </c>
      <c r="E3055" s="2" t="s">
        <v>15441</v>
      </c>
      <c r="F3055" s="2" t="s">
        <v>15442</v>
      </c>
      <c r="G3055" s="2" t="s">
        <v>15456</v>
      </c>
      <c r="H3055" s="2" t="s">
        <v>15444</v>
      </c>
    </row>
    <row r="3056">
      <c r="A3056" s="2">
        <v>3054.0</v>
      </c>
      <c r="B3056" s="5" t="s">
        <v>4516</v>
      </c>
      <c r="C3056" s="2" t="s">
        <v>4517</v>
      </c>
      <c r="D3056" s="5" t="s">
        <v>4516</v>
      </c>
      <c r="E3056" s="2" t="s">
        <v>15445</v>
      </c>
      <c r="F3056" s="2" t="s">
        <v>15446</v>
      </c>
      <c r="G3056" s="2" t="s">
        <v>15443</v>
      </c>
      <c r="H3056" s="2" t="s">
        <v>15444</v>
      </c>
    </row>
    <row r="3057">
      <c r="A3057" s="2">
        <v>3055.0</v>
      </c>
      <c r="B3057" s="5" t="s">
        <v>12351</v>
      </c>
      <c r="C3057" s="2" t="s">
        <v>12352</v>
      </c>
      <c r="D3057" s="5" t="s">
        <v>12351</v>
      </c>
      <c r="E3057" s="2" t="s">
        <v>15441</v>
      </c>
      <c r="F3057" s="2" t="s">
        <v>15442</v>
      </c>
      <c r="G3057" s="2" t="s">
        <v>15443</v>
      </c>
      <c r="H3057" s="2" t="s">
        <v>15444</v>
      </c>
    </row>
    <row r="3058">
      <c r="A3058" s="2">
        <v>3056.0</v>
      </c>
      <c r="B3058" s="5" t="s">
        <v>12353</v>
      </c>
      <c r="C3058" s="2" t="s">
        <v>12354</v>
      </c>
      <c r="D3058" s="5" t="s">
        <v>12353</v>
      </c>
      <c r="E3058" s="2" t="s">
        <v>15441</v>
      </c>
      <c r="F3058" s="2" t="s">
        <v>15442</v>
      </c>
      <c r="G3058" s="2" t="s">
        <v>15456</v>
      </c>
      <c r="H3058" s="2" t="s">
        <v>15444</v>
      </c>
    </row>
    <row r="3059">
      <c r="A3059" s="2">
        <v>3057.0</v>
      </c>
      <c r="B3059" s="5" t="s">
        <v>12355</v>
      </c>
      <c r="C3059" s="2" t="s">
        <v>12356</v>
      </c>
      <c r="D3059" s="5" t="s">
        <v>12355</v>
      </c>
      <c r="E3059" s="2" t="s">
        <v>15441</v>
      </c>
      <c r="F3059" s="2" t="s">
        <v>15446</v>
      </c>
      <c r="G3059" s="2" t="s">
        <v>15443</v>
      </c>
      <c r="H3059" s="2" t="s">
        <v>15444</v>
      </c>
    </row>
    <row r="3060">
      <c r="A3060" s="2">
        <v>3058.0</v>
      </c>
      <c r="B3060" s="5" t="s">
        <v>4519</v>
      </c>
      <c r="C3060" s="2" t="s">
        <v>4520</v>
      </c>
      <c r="D3060" s="5" t="s">
        <v>4519</v>
      </c>
      <c r="E3060" s="2" t="s">
        <v>15445</v>
      </c>
      <c r="F3060" s="2" t="s">
        <v>15442</v>
      </c>
      <c r="G3060" s="2" t="s">
        <v>15443</v>
      </c>
      <c r="H3060" s="2" t="s">
        <v>15444</v>
      </c>
    </row>
    <row r="3061">
      <c r="A3061" s="2">
        <v>3059.0</v>
      </c>
      <c r="B3061" s="5" t="s">
        <v>4522</v>
      </c>
      <c r="C3061" s="2" t="s">
        <v>4523</v>
      </c>
      <c r="D3061" s="5" t="s">
        <v>4522</v>
      </c>
      <c r="E3061" s="2" t="s">
        <v>15445</v>
      </c>
      <c r="F3061" s="2" t="s">
        <v>15442</v>
      </c>
      <c r="G3061" s="2" t="s">
        <v>15443</v>
      </c>
      <c r="H3061" s="2" t="s">
        <v>15444</v>
      </c>
    </row>
    <row r="3062">
      <c r="A3062" s="2">
        <v>3060.0</v>
      </c>
      <c r="B3062" s="5" t="s">
        <v>12357</v>
      </c>
      <c r="C3062" s="2" t="s">
        <v>12358</v>
      </c>
      <c r="D3062" s="5" t="s">
        <v>12357</v>
      </c>
      <c r="E3062" s="2" t="s">
        <v>15441</v>
      </c>
      <c r="F3062" s="2" t="s">
        <v>15442</v>
      </c>
      <c r="G3062" s="2" t="s">
        <v>15456</v>
      </c>
      <c r="H3062" s="2" t="s">
        <v>15444</v>
      </c>
    </row>
    <row r="3063">
      <c r="A3063" s="2">
        <v>3061.0</v>
      </c>
      <c r="B3063" s="5" t="s">
        <v>4525</v>
      </c>
      <c r="C3063" s="2" t="s">
        <v>4526</v>
      </c>
      <c r="D3063" s="5" t="s">
        <v>4525</v>
      </c>
      <c r="E3063" s="2" t="s">
        <v>15445</v>
      </c>
      <c r="F3063" s="2" t="s">
        <v>15442</v>
      </c>
      <c r="G3063" s="2" t="s">
        <v>15443</v>
      </c>
      <c r="H3063" s="2" t="s">
        <v>15444</v>
      </c>
    </row>
    <row r="3064">
      <c r="A3064" s="2">
        <v>3062.0</v>
      </c>
      <c r="B3064" s="5" t="s">
        <v>4528</v>
      </c>
      <c r="C3064" s="2" t="s">
        <v>4529</v>
      </c>
      <c r="D3064" s="5" t="s">
        <v>4528</v>
      </c>
      <c r="E3064" s="2" t="s">
        <v>15445</v>
      </c>
      <c r="F3064" s="2" t="s">
        <v>15442</v>
      </c>
      <c r="G3064" s="2" t="s">
        <v>15443</v>
      </c>
      <c r="H3064" s="2" t="s">
        <v>15444</v>
      </c>
    </row>
    <row r="3065">
      <c r="A3065" s="2">
        <v>3063.0</v>
      </c>
      <c r="B3065" s="5" t="s">
        <v>4531</v>
      </c>
      <c r="C3065" s="2" t="s">
        <v>4532</v>
      </c>
      <c r="D3065" s="5" t="s">
        <v>4531</v>
      </c>
      <c r="E3065" s="2" t="s">
        <v>15445</v>
      </c>
      <c r="F3065" s="2" t="s">
        <v>15446</v>
      </c>
      <c r="G3065" s="2" t="s">
        <v>15456</v>
      </c>
      <c r="H3065" s="2" t="s">
        <v>15444</v>
      </c>
    </row>
    <row r="3066">
      <c r="A3066" s="2">
        <v>3064.0</v>
      </c>
      <c r="B3066" s="5" t="s">
        <v>4534</v>
      </c>
      <c r="C3066" s="2" t="s">
        <v>4535</v>
      </c>
      <c r="D3066" s="5" t="s">
        <v>4534</v>
      </c>
      <c r="E3066" s="2" t="s">
        <v>15445</v>
      </c>
      <c r="F3066" s="2" t="s">
        <v>15442</v>
      </c>
      <c r="G3066" s="2" t="s">
        <v>15456</v>
      </c>
      <c r="H3066" s="2" t="s">
        <v>15444</v>
      </c>
    </row>
    <row r="3067">
      <c r="A3067" s="2">
        <v>3065.0</v>
      </c>
      <c r="B3067" s="5" t="s">
        <v>12359</v>
      </c>
      <c r="C3067" s="2" t="s">
        <v>12360</v>
      </c>
      <c r="D3067" s="5" t="s">
        <v>12359</v>
      </c>
      <c r="E3067" s="2" t="s">
        <v>15441</v>
      </c>
      <c r="F3067" s="2" t="s">
        <v>15446</v>
      </c>
      <c r="G3067" s="2" t="s">
        <v>15443</v>
      </c>
      <c r="H3067" s="2" t="s">
        <v>15444</v>
      </c>
    </row>
    <row r="3068">
      <c r="A3068" s="2">
        <v>3066.0</v>
      </c>
      <c r="B3068" s="5" t="s">
        <v>4537</v>
      </c>
      <c r="C3068" s="2" t="s">
        <v>4538</v>
      </c>
      <c r="D3068" s="5" t="s">
        <v>4537</v>
      </c>
      <c r="E3068" s="2" t="s">
        <v>15445</v>
      </c>
      <c r="F3068" s="2" t="s">
        <v>15442</v>
      </c>
      <c r="G3068" s="2" t="s">
        <v>15456</v>
      </c>
      <c r="H3068" s="2" t="s">
        <v>15444</v>
      </c>
    </row>
    <row r="3069">
      <c r="A3069" s="2">
        <v>3067.0</v>
      </c>
      <c r="B3069" s="5" t="s">
        <v>4540</v>
      </c>
      <c r="C3069" s="2" t="s">
        <v>4541</v>
      </c>
      <c r="D3069" s="5" t="s">
        <v>4540</v>
      </c>
      <c r="E3069" s="2" t="s">
        <v>15445</v>
      </c>
      <c r="F3069" s="2" t="s">
        <v>15446</v>
      </c>
      <c r="G3069" s="2" t="s">
        <v>15456</v>
      </c>
      <c r="H3069" s="2" t="s">
        <v>15461</v>
      </c>
    </row>
    <row r="3070">
      <c r="A3070" s="2">
        <v>3068.0</v>
      </c>
      <c r="B3070" s="5" t="s">
        <v>4542</v>
      </c>
      <c r="C3070" s="2" t="s">
        <v>4543</v>
      </c>
      <c r="D3070" s="5" t="s">
        <v>4542</v>
      </c>
      <c r="E3070" s="2" t="s">
        <v>15445</v>
      </c>
      <c r="F3070" s="2" t="s">
        <v>15446</v>
      </c>
      <c r="G3070" s="2" t="s">
        <v>15443</v>
      </c>
      <c r="H3070" s="2" t="s">
        <v>15444</v>
      </c>
    </row>
    <row r="3071">
      <c r="A3071" s="2">
        <v>3069.0</v>
      </c>
      <c r="B3071" s="5" t="s">
        <v>12361</v>
      </c>
      <c r="C3071" s="2" t="s">
        <v>12362</v>
      </c>
      <c r="D3071" s="5" t="s">
        <v>12361</v>
      </c>
      <c r="E3071" s="2" t="s">
        <v>15441</v>
      </c>
      <c r="F3071" s="2" t="s">
        <v>15442</v>
      </c>
      <c r="G3071" s="2" t="s">
        <v>15443</v>
      </c>
      <c r="H3071" s="2" t="s">
        <v>15444</v>
      </c>
    </row>
    <row r="3072">
      <c r="A3072" s="2">
        <v>3070.0</v>
      </c>
      <c r="B3072" s="5" t="s">
        <v>12363</v>
      </c>
      <c r="C3072" s="2" t="s">
        <v>12364</v>
      </c>
      <c r="D3072" s="5" t="s">
        <v>12363</v>
      </c>
      <c r="E3072" s="2" t="s">
        <v>15441</v>
      </c>
      <c r="F3072" s="2" t="s">
        <v>15446</v>
      </c>
      <c r="G3072" s="2" t="s">
        <v>15443</v>
      </c>
      <c r="H3072" s="2" t="s">
        <v>15455</v>
      </c>
    </row>
    <row r="3073">
      <c r="A3073" s="2">
        <v>3071.0</v>
      </c>
      <c r="B3073" s="5" t="s">
        <v>4545</v>
      </c>
      <c r="C3073" s="2" t="s">
        <v>4546</v>
      </c>
      <c r="D3073" s="5" t="s">
        <v>4545</v>
      </c>
      <c r="E3073" s="2" t="s">
        <v>15445</v>
      </c>
      <c r="F3073" s="2" t="s">
        <v>15442</v>
      </c>
      <c r="G3073" s="2" t="s">
        <v>15443</v>
      </c>
      <c r="H3073" s="2" t="s">
        <v>15444</v>
      </c>
    </row>
    <row r="3074">
      <c r="A3074" s="2">
        <v>3072.0</v>
      </c>
      <c r="B3074" s="5" t="s">
        <v>4548</v>
      </c>
      <c r="C3074" s="2" t="s">
        <v>4549</v>
      </c>
      <c r="D3074" s="5" t="s">
        <v>4548</v>
      </c>
      <c r="E3074" s="2" t="s">
        <v>15445</v>
      </c>
      <c r="F3074" s="2" t="s">
        <v>15442</v>
      </c>
      <c r="G3074" s="2" t="s">
        <v>15443</v>
      </c>
      <c r="H3074" s="2" t="s">
        <v>15444</v>
      </c>
    </row>
    <row r="3075">
      <c r="A3075" s="2">
        <v>3073.0</v>
      </c>
      <c r="B3075" s="5" t="s">
        <v>4551</v>
      </c>
      <c r="C3075" s="2" t="s">
        <v>4552</v>
      </c>
      <c r="D3075" s="5" t="s">
        <v>4551</v>
      </c>
      <c r="E3075" s="2" t="s">
        <v>15445</v>
      </c>
      <c r="F3075" s="2" t="s">
        <v>15446</v>
      </c>
      <c r="G3075" s="2" t="s">
        <v>15456</v>
      </c>
      <c r="H3075" s="2" t="s">
        <v>15444</v>
      </c>
    </row>
    <row r="3076">
      <c r="A3076" s="2">
        <v>3074.0</v>
      </c>
      <c r="B3076" s="5" t="s">
        <v>12365</v>
      </c>
      <c r="C3076" s="2" t="s">
        <v>12366</v>
      </c>
      <c r="D3076" s="5" t="s">
        <v>12365</v>
      </c>
      <c r="E3076" s="2" t="s">
        <v>15441</v>
      </c>
      <c r="F3076" s="2" t="s">
        <v>15446</v>
      </c>
      <c r="G3076" s="2" t="s">
        <v>15456</v>
      </c>
      <c r="H3076" s="2" t="s">
        <v>15457</v>
      </c>
    </row>
    <row r="3077">
      <c r="A3077" s="2">
        <v>3075.0</v>
      </c>
      <c r="B3077" s="5" t="s">
        <v>4554</v>
      </c>
      <c r="C3077" s="2" t="s">
        <v>4555</v>
      </c>
      <c r="D3077" s="5" t="s">
        <v>4554</v>
      </c>
      <c r="E3077" s="2" t="s">
        <v>15445</v>
      </c>
      <c r="F3077" s="2" t="s">
        <v>15446</v>
      </c>
      <c r="G3077" s="2" t="s">
        <v>15456</v>
      </c>
      <c r="H3077" s="2" t="s">
        <v>15444</v>
      </c>
    </row>
    <row r="3078">
      <c r="A3078" s="2">
        <v>3076.0</v>
      </c>
      <c r="B3078" s="5" t="s">
        <v>4557</v>
      </c>
      <c r="C3078" s="2" t="s">
        <v>4558</v>
      </c>
      <c r="D3078" s="5" t="s">
        <v>4557</v>
      </c>
      <c r="E3078" s="2" t="s">
        <v>15445</v>
      </c>
      <c r="F3078" s="2" t="s">
        <v>15442</v>
      </c>
      <c r="G3078" s="2" t="s">
        <v>15456</v>
      </c>
      <c r="H3078" s="2" t="s">
        <v>15444</v>
      </c>
    </row>
    <row r="3079">
      <c r="A3079" s="2">
        <v>3077.0</v>
      </c>
      <c r="B3079" s="5" t="s">
        <v>4560</v>
      </c>
      <c r="C3079" s="2" t="s">
        <v>4561</v>
      </c>
      <c r="D3079" s="5" t="s">
        <v>4560</v>
      </c>
      <c r="E3079" s="2" t="s">
        <v>15445</v>
      </c>
      <c r="F3079" s="2" t="s">
        <v>15442</v>
      </c>
      <c r="G3079" s="2" t="s">
        <v>15443</v>
      </c>
      <c r="H3079" s="2" t="s">
        <v>15455</v>
      </c>
    </row>
    <row r="3080">
      <c r="A3080" s="2">
        <v>3078.0</v>
      </c>
      <c r="B3080" s="5" t="s">
        <v>4563</v>
      </c>
      <c r="C3080" s="2" t="s">
        <v>4564</v>
      </c>
      <c r="D3080" s="5" t="s">
        <v>4563</v>
      </c>
      <c r="E3080" s="2" t="s">
        <v>15445</v>
      </c>
      <c r="F3080" s="2" t="s">
        <v>15446</v>
      </c>
      <c r="G3080" s="2" t="s">
        <v>15456</v>
      </c>
      <c r="H3080" s="2" t="s">
        <v>15444</v>
      </c>
    </row>
    <row r="3081">
      <c r="A3081" s="2">
        <v>3079.0</v>
      </c>
      <c r="B3081" s="5" t="s">
        <v>15528</v>
      </c>
      <c r="C3081" s="2" t="s">
        <v>15529</v>
      </c>
      <c r="D3081" s="5" t="s">
        <v>15528</v>
      </c>
      <c r="E3081" s="2" t="s">
        <v>15445</v>
      </c>
      <c r="F3081" s="2" t="s">
        <v>15442</v>
      </c>
      <c r="G3081" s="2" t="s">
        <v>15443</v>
      </c>
      <c r="H3081" s="2" t="s">
        <v>15461</v>
      </c>
    </row>
    <row r="3082">
      <c r="A3082" s="2">
        <v>3080.0</v>
      </c>
      <c r="B3082" s="5" t="s">
        <v>12367</v>
      </c>
      <c r="C3082" s="2" t="s">
        <v>12368</v>
      </c>
      <c r="D3082" s="5" t="s">
        <v>12367</v>
      </c>
      <c r="E3082" s="2" t="s">
        <v>15441</v>
      </c>
      <c r="F3082" s="2" t="s">
        <v>15442</v>
      </c>
      <c r="G3082" s="2" t="s">
        <v>15456</v>
      </c>
      <c r="H3082" s="2" t="s">
        <v>15444</v>
      </c>
    </row>
    <row r="3083">
      <c r="A3083" s="2">
        <v>3081.0</v>
      </c>
      <c r="B3083" s="5" t="s">
        <v>4566</v>
      </c>
      <c r="C3083" s="2" t="s">
        <v>4567</v>
      </c>
      <c r="D3083" s="5" t="s">
        <v>4566</v>
      </c>
      <c r="E3083" s="2" t="s">
        <v>15445</v>
      </c>
      <c r="F3083" s="2" t="s">
        <v>15442</v>
      </c>
      <c r="G3083" s="2" t="s">
        <v>15443</v>
      </c>
      <c r="H3083" s="2" t="s">
        <v>15444</v>
      </c>
    </row>
    <row r="3084">
      <c r="A3084" s="2">
        <v>3082.0</v>
      </c>
      <c r="B3084" s="5" t="s">
        <v>12369</v>
      </c>
      <c r="C3084" s="2" t="s">
        <v>12370</v>
      </c>
      <c r="D3084" s="5" t="s">
        <v>12369</v>
      </c>
      <c r="E3084" s="2" t="s">
        <v>15441</v>
      </c>
      <c r="F3084" s="2" t="s">
        <v>15442</v>
      </c>
      <c r="G3084" s="2" t="s">
        <v>15443</v>
      </c>
      <c r="H3084" s="2" t="s">
        <v>15444</v>
      </c>
    </row>
    <row r="3085">
      <c r="A3085" s="2">
        <v>3083.0</v>
      </c>
      <c r="B3085" s="5" t="s">
        <v>4569</v>
      </c>
      <c r="C3085" s="2" t="s">
        <v>4570</v>
      </c>
      <c r="D3085" s="5" t="s">
        <v>4569</v>
      </c>
      <c r="E3085" s="2" t="s">
        <v>15445</v>
      </c>
      <c r="F3085" s="2" t="s">
        <v>15446</v>
      </c>
      <c r="G3085" s="2" t="s">
        <v>15456</v>
      </c>
      <c r="H3085" s="2" t="s">
        <v>15444</v>
      </c>
    </row>
    <row r="3086">
      <c r="A3086" s="2">
        <v>3084.0</v>
      </c>
      <c r="B3086" s="5" t="s">
        <v>12371</v>
      </c>
      <c r="C3086" s="2" t="s">
        <v>12372</v>
      </c>
      <c r="D3086" s="5" t="s">
        <v>12371</v>
      </c>
      <c r="E3086" s="2" t="s">
        <v>15441</v>
      </c>
      <c r="F3086" s="2" t="s">
        <v>15442</v>
      </c>
      <c r="G3086" s="2" t="s">
        <v>15443</v>
      </c>
      <c r="H3086" s="2" t="s">
        <v>15444</v>
      </c>
    </row>
    <row r="3087">
      <c r="A3087" s="2">
        <v>3085.0</v>
      </c>
      <c r="B3087" s="5" t="s">
        <v>12373</v>
      </c>
      <c r="C3087" s="2" t="s">
        <v>12374</v>
      </c>
      <c r="D3087" s="5" t="s">
        <v>12373</v>
      </c>
      <c r="E3087" s="2" t="s">
        <v>15441</v>
      </c>
      <c r="F3087" s="2" t="s">
        <v>15446</v>
      </c>
      <c r="G3087" s="2" t="s">
        <v>15456</v>
      </c>
      <c r="H3087" s="2" t="s">
        <v>15444</v>
      </c>
    </row>
    <row r="3088">
      <c r="A3088" s="2">
        <v>3086.0</v>
      </c>
      <c r="B3088" s="5" t="s">
        <v>12375</v>
      </c>
      <c r="C3088" s="2" t="s">
        <v>12376</v>
      </c>
      <c r="D3088" s="5" t="s">
        <v>12375</v>
      </c>
      <c r="E3088" s="2" t="s">
        <v>15441</v>
      </c>
      <c r="F3088" s="2" t="s">
        <v>15446</v>
      </c>
      <c r="G3088" s="2" t="s">
        <v>15443</v>
      </c>
      <c r="H3088" s="2" t="s">
        <v>15444</v>
      </c>
    </row>
    <row r="3089">
      <c r="A3089" s="2">
        <v>3087.0</v>
      </c>
      <c r="B3089" s="5" t="s">
        <v>4572</v>
      </c>
      <c r="C3089" s="2" t="s">
        <v>4573</v>
      </c>
      <c r="D3089" s="5" t="s">
        <v>4572</v>
      </c>
      <c r="E3089" s="2" t="s">
        <v>15445</v>
      </c>
      <c r="F3089" s="2" t="s">
        <v>15446</v>
      </c>
      <c r="G3089" s="2" t="s">
        <v>15456</v>
      </c>
      <c r="H3089" s="2" t="s">
        <v>15444</v>
      </c>
    </row>
    <row r="3090">
      <c r="A3090" s="2">
        <v>3088.0</v>
      </c>
      <c r="B3090" s="5" t="s">
        <v>4575</v>
      </c>
      <c r="C3090" s="2" t="s">
        <v>4576</v>
      </c>
      <c r="D3090" s="5" t="s">
        <v>4575</v>
      </c>
      <c r="E3090" s="2" t="s">
        <v>15445</v>
      </c>
      <c r="F3090" s="2" t="s">
        <v>15442</v>
      </c>
      <c r="G3090" s="2" t="s">
        <v>15443</v>
      </c>
      <c r="H3090" s="2" t="s">
        <v>15444</v>
      </c>
    </row>
    <row r="3091">
      <c r="A3091" s="2">
        <v>3089.0</v>
      </c>
      <c r="B3091" s="5" t="s">
        <v>12377</v>
      </c>
      <c r="C3091" s="2" t="s">
        <v>12378</v>
      </c>
      <c r="D3091" s="5" t="s">
        <v>12377</v>
      </c>
      <c r="E3091" s="2" t="s">
        <v>15441</v>
      </c>
      <c r="F3091" s="2" t="s">
        <v>15442</v>
      </c>
      <c r="G3091" s="2" t="s">
        <v>15443</v>
      </c>
      <c r="H3091" s="2" t="s">
        <v>15444</v>
      </c>
    </row>
    <row r="3092">
      <c r="A3092" s="2">
        <v>3090.0</v>
      </c>
      <c r="B3092" s="5" t="s">
        <v>4578</v>
      </c>
      <c r="C3092" s="2" t="s">
        <v>4579</v>
      </c>
      <c r="D3092" s="5" t="s">
        <v>4578</v>
      </c>
      <c r="E3092" s="2" t="s">
        <v>15445</v>
      </c>
      <c r="F3092" s="2" t="s">
        <v>15442</v>
      </c>
      <c r="G3092" s="2" t="s">
        <v>15443</v>
      </c>
      <c r="H3092" s="2" t="s">
        <v>15444</v>
      </c>
    </row>
    <row r="3093">
      <c r="A3093" s="2">
        <v>3091.0</v>
      </c>
      <c r="B3093" s="5" t="s">
        <v>4581</v>
      </c>
      <c r="C3093" s="2" t="s">
        <v>4582</v>
      </c>
      <c r="D3093" s="5" t="s">
        <v>4581</v>
      </c>
      <c r="E3093" s="2" t="s">
        <v>15445</v>
      </c>
      <c r="F3093" s="2" t="s">
        <v>15446</v>
      </c>
      <c r="G3093" s="2" t="s">
        <v>15443</v>
      </c>
      <c r="H3093" s="2" t="s">
        <v>15444</v>
      </c>
    </row>
    <row r="3094">
      <c r="A3094" s="2">
        <v>3092.0</v>
      </c>
      <c r="B3094" s="5" t="s">
        <v>12379</v>
      </c>
      <c r="C3094" s="2" t="s">
        <v>12380</v>
      </c>
      <c r="D3094" s="5" t="s">
        <v>12379</v>
      </c>
      <c r="E3094" s="2" t="s">
        <v>15441</v>
      </c>
      <c r="F3094" s="2" t="s">
        <v>15446</v>
      </c>
      <c r="G3094" s="2" t="s">
        <v>15456</v>
      </c>
      <c r="H3094" s="2" t="s">
        <v>15444</v>
      </c>
    </row>
    <row r="3095">
      <c r="A3095" s="2">
        <v>3093.0</v>
      </c>
      <c r="B3095" s="5" t="s">
        <v>12381</v>
      </c>
      <c r="C3095" s="2" t="s">
        <v>12382</v>
      </c>
      <c r="D3095" s="5" t="s">
        <v>12381</v>
      </c>
      <c r="E3095" s="2" t="s">
        <v>15441</v>
      </c>
      <c r="F3095" s="2" t="s">
        <v>15442</v>
      </c>
      <c r="G3095" s="2" t="s">
        <v>15456</v>
      </c>
      <c r="H3095" s="2" t="s">
        <v>15444</v>
      </c>
    </row>
    <row r="3096">
      <c r="A3096" s="2">
        <v>3094.0</v>
      </c>
      <c r="B3096" s="5" t="s">
        <v>12383</v>
      </c>
      <c r="C3096" s="2" t="s">
        <v>12384</v>
      </c>
      <c r="D3096" s="5" t="s">
        <v>12383</v>
      </c>
      <c r="E3096" s="2" t="s">
        <v>15441</v>
      </c>
      <c r="F3096" s="2" t="s">
        <v>15446</v>
      </c>
      <c r="G3096" s="2" t="s">
        <v>15443</v>
      </c>
      <c r="H3096" s="2" t="s">
        <v>15444</v>
      </c>
    </row>
    <row r="3097">
      <c r="A3097" s="2">
        <v>3095.0</v>
      </c>
      <c r="B3097" s="5" t="s">
        <v>4584</v>
      </c>
      <c r="C3097" s="2" t="s">
        <v>4585</v>
      </c>
      <c r="D3097" s="5" t="s">
        <v>4584</v>
      </c>
      <c r="E3097" s="2" t="s">
        <v>15445</v>
      </c>
      <c r="F3097" s="2" t="s">
        <v>15446</v>
      </c>
      <c r="G3097" s="2" t="s">
        <v>15456</v>
      </c>
      <c r="H3097" s="2" t="s">
        <v>15444</v>
      </c>
    </row>
    <row r="3098">
      <c r="A3098" s="2">
        <v>3096.0</v>
      </c>
      <c r="B3098" s="5" t="s">
        <v>4587</v>
      </c>
      <c r="C3098" s="2" t="s">
        <v>4588</v>
      </c>
      <c r="D3098" s="5" t="s">
        <v>4587</v>
      </c>
      <c r="E3098" s="2" t="s">
        <v>15445</v>
      </c>
      <c r="F3098" s="2" t="s">
        <v>15446</v>
      </c>
      <c r="G3098" s="2" t="s">
        <v>15456</v>
      </c>
      <c r="H3098" s="2" t="s">
        <v>15444</v>
      </c>
    </row>
    <row r="3099">
      <c r="A3099" s="2">
        <v>3097.0</v>
      </c>
      <c r="B3099" s="5" t="s">
        <v>12385</v>
      </c>
      <c r="C3099" s="2" t="s">
        <v>12386</v>
      </c>
      <c r="D3099" s="5" t="s">
        <v>12385</v>
      </c>
      <c r="E3099" s="2" t="s">
        <v>15441</v>
      </c>
      <c r="F3099" s="2" t="s">
        <v>15446</v>
      </c>
      <c r="G3099" s="2" t="s">
        <v>15443</v>
      </c>
      <c r="H3099" s="2" t="s">
        <v>15444</v>
      </c>
    </row>
    <row r="3100">
      <c r="A3100" s="2">
        <v>3098.0</v>
      </c>
      <c r="B3100" s="5" t="s">
        <v>12387</v>
      </c>
      <c r="C3100" s="2" t="s">
        <v>12388</v>
      </c>
      <c r="D3100" s="5" t="s">
        <v>12387</v>
      </c>
      <c r="E3100" s="2" t="s">
        <v>15441</v>
      </c>
      <c r="F3100" s="2" t="s">
        <v>15442</v>
      </c>
      <c r="G3100" s="2" t="s">
        <v>15443</v>
      </c>
      <c r="H3100" s="2" t="s">
        <v>15444</v>
      </c>
    </row>
    <row r="3101">
      <c r="A3101" s="2">
        <v>3099.0</v>
      </c>
      <c r="B3101" s="5" t="s">
        <v>4590</v>
      </c>
      <c r="C3101" s="2" t="s">
        <v>4591</v>
      </c>
      <c r="D3101" s="5" t="s">
        <v>4590</v>
      </c>
      <c r="E3101" s="2" t="s">
        <v>15445</v>
      </c>
      <c r="F3101" s="2" t="s">
        <v>15446</v>
      </c>
      <c r="G3101" s="2" t="s">
        <v>15456</v>
      </c>
      <c r="H3101" s="2" t="s">
        <v>15444</v>
      </c>
    </row>
    <row r="3102">
      <c r="A3102" s="2">
        <v>3100.0</v>
      </c>
      <c r="B3102" s="5" t="s">
        <v>12389</v>
      </c>
      <c r="C3102" s="2" t="s">
        <v>12390</v>
      </c>
      <c r="D3102" s="5" t="s">
        <v>12389</v>
      </c>
      <c r="E3102" s="2" t="s">
        <v>15441</v>
      </c>
      <c r="F3102" s="2" t="s">
        <v>15446</v>
      </c>
      <c r="G3102" s="2" t="s">
        <v>15443</v>
      </c>
      <c r="H3102" s="2" t="s">
        <v>15444</v>
      </c>
    </row>
    <row r="3103">
      <c r="A3103" s="2">
        <v>3101.0</v>
      </c>
      <c r="B3103" s="5" t="s">
        <v>12391</v>
      </c>
      <c r="C3103" s="2" t="s">
        <v>12392</v>
      </c>
      <c r="D3103" s="5" t="s">
        <v>12391</v>
      </c>
      <c r="E3103" s="2" t="s">
        <v>15441</v>
      </c>
      <c r="F3103" s="2" t="s">
        <v>15446</v>
      </c>
      <c r="G3103" s="2" t="s">
        <v>15456</v>
      </c>
      <c r="H3103" s="2" t="s">
        <v>15444</v>
      </c>
    </row>
    <row r="3104">
      <c r="A3104" s="2">
        <v>3102.0</v>
      </c>
      <c r="B3104" s="5" t="s">
        <v>12393</v>
      </c>
      <c r="C3104" s="2" t="s">
        <v>12394</v>
      </c>
      <c r="D3104" s="5" t="s">
        <v>12393</v>
      </c>
      <c r="E3104" s="2" t="s">
        <v>15441</v>
      </c>
      <c r="F3104" s="2" t="s">
        <v>15446</v>
      </c>
      <c r="G3104" s="2" t="s">
        <v>15443</v>
      </c>
      <c r="H3104" s="2" t="s">
        <v>15444</v>
      </c>
    </row>
    <row r="3105">
      <c r="A3105" s="2">
        <v>3103.0</v>
      </c>
      <c r="B3105" s="5" t="s">
        <v>4593</v>
      </c>
      <c r="C3105" s="2" t="s">
        <v>4594</v>
      </c>
      <c r="D3105" s="5" t="s">
        <v>4593</v>
      </c>
      <c r="E3105" s="2" t="s">
        <v>15445</v>
      </c>
      <c r="F3105" s="2" t="s">
        <v>15446</v>
      </c>
      <c r="G3105" s="2" t="s">
        <v>15456</v>
      </c>
      <c r="H3105" s="2" t="s">
        <v>15444</v>
      </c>
    </row>
    <row r="3106">
      <c r="A3106" s="2">
        <v>3104.0</v>
      </c>
      <c r="B3106" s="5" t="s">
        <v>4596</v>
      </c>
      <c r="C3106" s="2" t="s">
        <v>4597</v>
      </c>
      <c r="D3106" s="5" t="s">
        <v>4596</v>
      </c>
      <c r="E3106" s="2" t="s">
        <v>15445</v>
      </c>
      <c r="F3106" s="2" t="s">
        <v>15446</v>
      </c>
      <c r="G3106" s="2" t="s">
        <v>15443</v>
      </c>
      <c r="H3106" s="2" t="s">
        <v>15444</v>
      </c>
    </row>
    <row r="3107">
      <c r="A3107" s="2">
        <v>3105.0</v>
      </c>
      <c r="B3107" s="5" t="s">
        <v>12395</v>
      </c>
      <c r="C3107" s="2" t="s">
        <v>12396</v>
      </c>
      <c r="D3107" s="5" t="s">
        <v>12395</v>
      </c>
      <c r="E3107" s="2" t="s">
        <v>15441</v>
      </c>
      <c r="F3107" s="2" t="s">
        <v>15442</v>
      </c>
      <c r="G3107" s="2" t="s">
        <v>15443</v>
      </c>
      <c r="H3107" s="2" t="s">
        <v>15455</v>
      </c>
    </row>
    <row r="3108">
      <c r="A3108" s="2">
        <v>3106.0</v>
      </c>
      <c r="B3108" s="5" t="s">
        <v>4599</v>
      </c>
      <c r="C3108" s="2" t="s">
        <v>4600</v>
      </c>
      <c r="D3108" s="5" t="s">
        <v>4599</v>
      </c>
      <c r="E3108" s="2" t="s">
        <v>15445</v>
      </c>
      <c r="F3108" s="2" t="s">
        <v>15446</v>
      </c>
      <c r="G3108" s="2" t="s">
        <v>15456</v>
      </c>
      <c r="H3108" s="2" t="s">
        <v>15457</v>
      </c>
    </row>
    <row r="3109">
      <c r="A3109" s="2">
        <v>3107.0</v>
      </c>
      <c r="B3109" s="5" t="s">
        <v>4602</v>
      </c>
      <c r="C3109" s="2" t="s">
        <v>4603</v>
      </c>
      <c r="D3109" s="5" t="s">
        <v>4602</v>
      </c>
      <c r="E3109" s="2" t="s">
        <v>15445</v>
      </c>
      <c r="F3109" s="2" t="s">
        <v>15446</v>
      </c>
      <c r="G3109" s="2" t="s">
        <v>15456</v>
      </c>
      <c r="H3109" s="2" t="s">
        <v>15444</v>
      </c>
    </row>
    <row r="3110">
      <c r="A3110" s="2">
        <v>3108.0</v>
      </c>
      <c r="B3110" s="5" t="s">
        <v>4605</v>
      </c>
      <c r="C3110" s="2" t="s">
        <v>4606</v>
      </c>
      <c r="D3110" s="5" t="s">
        <v>4605</v>
      </c>
      <c r="E3110" s="2" t="s">
        <v>15445</v>
      </c>
      <c r="F3110" s="2" t="s">
        <v>15446</v>
      </c>
      <c r="G3110" s="2" t="s">
        <v>15456</v>
      </c>
      <c r="H3110" s="2" t="s">
        <v>15444</v>
      </c>
    </row>
    <row r="3111">
      <c r="A3111" s="2">
        <v>3109.0</v>
      </c>
      <c r="B3111" s="5" t="s">
        <v>12397</v>
      </c>
      <c r="C3111" s="2" t="s">
        <v>12398</v>
      </c>
      <c r="D3111" s="5" t="s">
        <v>12397</v>
      </c>
      <c r="E3111" s="2" t="s">
        <v>15441</v>
      </c>
      <c r="F3111" s="2" t="s">
        <v>15442</v>
      </c>
      <c r="G3111" s="2" t="s">
        <v>15443</v>
      </c>
      <c r="H3111" s="2" t="s">
        <v>15457</v>
      </c>
    </row>
    <row r="3112">
      <c r="A3112" s="2">
        <v>3110.0</v>
      </c>
      <c r="B3112" s="5" t="s">
        <v>12399</v>
      </c>
      <c r="C3112" s="2" t="s">
        <v>12400</v>
      </c>
      <c r="D3112" s="5" t="s">
        <v>12399</v>
      </c>
      <c r="E3112" s="2" t="s">
        <v>15441</v>
      </c>
      <c r="F3112" s="2" t="s">
        <v>15446</v>
      </c>
      <c r="G3112" s="2" t="s">
        <v>15443</v>
      </c>
      <c r="H3112" s="2" t="s">
        <v>15444</v>
      </c>
    </row>
    <row r="3113">
      <c r="A3113" s="2">
        <v>3111.0</v>
      </c>
      <c r="B3113" s="5" t="s">
        <v>4608</v>
      </c>
      <c r="C3113" s="2" t="s">
        <v>4609</v>
      </c>
      <c r="D3113" s="5" t="s">
        <v>4608</v>
      </c>
      <c r="E3113" s="2" t="s">
        <v>15445</v>
      </c>
      <c r="F3113" s="2" t="s">
        <v>15446</v>
      </c>
      <c r="G3113" s="2" t="s">
        <v>15456</v>
      </c>
      <c r="H3113" s="2" t="s">
        <v>15444</v>
      </c>
    </row>
    <row r="3114">
      <c r="A3114" s="2">
        <v>3112.0</v>
      </c>
      <c r="B3114" s="5" t="s">
        <v>4611</v>
      </c>
      <c r="C3114" s="2" t="s">
        <v>4612</v>
      </c>
      <c r="D3114" s="5" t="s">
        <v>4611</v>
      </c>
      <c r="E3114" s="2" t="s">
        <v>15445</v>
      </c>
      <c r="F3114" s="2" t="s">
        <v>15446</v>
      </c>
      <c r="G3114" s="2" t="s">
        <v>15443</v>
      </c>
      <c r="H3114" s="2" t="s">
        <v>15444</v>
      </c>
    </row>
    <row r="3115">
      <c r="A3115" s="2">
        <v>3113.0</v>
      </c>
      <c r="B3115" s="5" t="s">
        <v>4614</v>
      </c>
      <c r="C3115" s="2" t="s">
        <v>4615</v>
      </c>
      <c r="D3115" s="5" t="s">
        <v>4614</v>
      </c>
      <c r="E3115" s="2" t="s">
        <v>15445</v>
      </c>
      <c r="F3115" s="2" t="s">
        <v>15446</v>
      </c>
      <c r="G3115" s="2" t="s">
        <v>15456</v>
      </c>
      <c r="H3115" s="2" t="s">
        <v>15444</v>
      </c>
    </row>
    <row r="3116">
      <c r="A3116" s="2">
        <v>3114.0</v>
      </c>
      <c r="B3116" s="5" t="s">
        <v>4617</v>
      </c>
      <c r="C3116" s="2" t="s">
        <v>4618</v>
      </c>
      <c r="D3116" s="5" t="s">
        <v>4617</v>
      </c>
      <c r="E3116" s="2" t="s">
        <v>15445</v>
      </c>
      <c r="F3116" s="2" t="s">
        <v>15442</v>
      </c>
      <c r="G3116" s="2" t="s">
        <v>15456</v>
      </c>
      <c r="H3116" s="2" t="s">
        <v>15444</v>
      </c>
    </row>
    <row r="3117">
      <c r="A3117" s="2">
        <v>3115.0</v>
      </c>
      <c r="B3117" s="5" t="s">
        <v>4620</v>
      </c>
      <c r="C3117" s="2" t="s">
        <v>4621</v>
      </c>
      <c r="D3117" s="5" t="s">
        <v>4620</v>
      </c>
      <c r="E3117" s="2" t="s">
        <v>15445</v>
      </c>
      <c r="F3117" s="2" t="s">
        <v>15446</v>
      </c>
      <c r="G3117" s="2" t="s">
        <v>15456</v>
      </c>
      <c r="H3117" s="2" t="s">
        <v>15444</v>
      </c>
    </row>
    <row r="3118">
      <c r="A3118" s="2">
        <v>3116.0</v>
      </c>
      <c r="B3118" s="5" t="s">
        <v>12401</v>
      </c>
      <c r="C3118" s="2" t="s">
        <v>12402</v>
      </c>
      <c r="D3118" s="5" t="s">
        <v>12401</v>
      </c>
      <c r="E3118" s="2" t="s">
        <v>15441</v>
      </c>
      <c r="F3118" s="2" t="s">
        <v>15442</v>
      </c>
      <c r="G3118" s="2" t="s">
        <v>15443</v>
      </c>
      <c r="H3118" s="2" t="s">
        <v>15444</v>
      </c>
    </row>
    <row r="3119">
      <c r="A3119" s="2">
        <v>3117.0</v>
      </c>
      <c r="B3119" s="5" t="s">
        <v>12403</v>
      </c>
      <c r="C3119" s="2" t="s">
        <v>12404</v>
      </c>
      <c r="D3119" s="5" t="s">
        <v>12403</v>
      </c>
      <c r="E3119" s="2" t="s">
        <v>15441</v>
      </c>
      <c r="F3119" s="2" t="s">
        <v>15442</v>
      </c>
      <c r="G3119" s="2" t="s">
        <v>15443</v>
      </c>
      <c r="H3119" s="2" t="s">
        <v>15455</v>
      </c>
    </row>
    <row r="3120">
      <c r="A3120" s="2">
        <v>3118.0</v>
      </c>
      <c r="B3120" s="5" t="s">
        <v>4623</v>
      </c>
      <c r="C3120" s="2" t="s">
        <v>4624</v>
      </c>
      <c r="D3120" s="5" t="s">
        <v>4623</v>
      </c>
      <c r="E3120" s="2" t="s">
        <v>15445</v>
      </c>
      <c r="F3120" s="2" t="s">
        <v>15442</v>
      </c>
      <c r="G3120" s="2" t="s">
        <v>15443</v>
      </c>
      <c r="H3120" s="2" t="s">
        <v>15444</v>
      </c>
    </row>
    <row r="3121">
      <c r="A3121" s="2">
        <v>3119.0</v>
      </c>
      <c r="B3121" s="5" t="s">
        <v>12405</v>
      </c>
      <c r="C3121" s="2" t="s">
        <v>12406</v>
      </c>
      <c r="D3121" s="5" t="s">
        <v>12405</v>
      </c>
      <c r="E3121" s="2" t="s">
        <v>15441</v>
      </c>
      <c r="F3121" s="2" t="s">
        <v>15446</v>
      </c>
      <c r="G3121" s="2" t="s">
        <v>15443</v>
      </c>
      <c r="H3121" s="2" t="s">
        <v>15457</v>
      </c>
    </row>
    <row r="3122">
      <c r="A3122" s="2">
        <v>3120.0</v>
      </c>
      <c r="B3122" s="5" t="s">
        <v>4626</v>
      </c>
      <c r="C3122" s="2" t="s">
        <v>4627</v>
      </c>
      <c r="D3122" s="5" t="s">
        <v>4626</v>
      </c>
      <c r="E3122" s="2" t="s">
        <v>15445</v>
      </c>
      <c r="F3122" s="2" t="s">
        <v>15442</v>
      </c>
      <c r="G3122" s="2" t="s">
        <v>15443</v>
      </c>
      <c r="H3122" s="2" t="s">
        <v>15444</v>
      </c>
    </row>
    <row r="3123">
      <c r="A3123" s="2">
        <v>3121.0</v>
      </c>
      <c r="B3123" s="5" t="s">
        <v>4629</v>
      </c>
      <c r="C3123" s="2" t="s">
        <v>4630</v>
      </c>
      <c r="D3123" s="5" t="s">
        <v>4629</v>
      </c>
      <c r="E3123" s="2" t="s">
        <v>15445</v>
      </c>
      <c r="F3123" s="2" t="s">
        <v>15446</v>
      </c>
      <c r="G3123" s="2" t="s">
        <v>15456</v>
      </c>
      <c r="H3123" s="2" t="s">
        <v>15444</v>
      </c>
    </row>
    <row r="3124">
      <c r="A3124" s="2">
        <v>3122.0</v>
      </c>
      <c r="B3124" s="5" t="s">
        <v>12407</v>
      </c>
      <c r="C3124" s="2" t="s">
        <v>12408</v>
      </c>
      <c r="D3124" s="5" t="s">
        <v>12407</v>
      </c>
      <c r="E3124" s="2" t="s">
        <v>15441</v>
      </c>
      <c r="F3124" s="2" t="s">
        <v>15442</v>
      </c>
      <c r="G3124" s="2" t="s">
        <v>15443</v>
      </c>
      <c r="H3124" s="2" t="s">
        <v>15444</v>
      </c>
    </row>
    <row r="3125">
      <c r="A3125" s="2">
        <v>3123.0</v>
      </c>
      <c r="B3125" s="5" t="s">
        <v>12409</v>
      </c>
      <c r="C3125" s="2" t="s">
        <v>12410</v>
      </c>
      <c r="D3125" s="5" t="s">
        <v>12409</v>
      </c>
      <c r="E3125" s="2" t="s">
        <v>15441</v>
      </c>
      <c r="F3125" s="2" t="s">
        <v>15442</v>
      </c>
      <c r="G3125" s="2" t="s">
        <v>15443</v>
      </c>
      <c r="H3125" s="2" t="s">
        <v>15444</v>
      </c>
    </row>
    <row r="3126">
      <c r="A3126" s="2">
        <v>3124.0</v>
      </c>
      <c r="B3126" s="5" t="s">
        <v>12411</v>
      </c>
      <c r="C3126" s="2" t="s">
        <v>12412</v>
      </c>
      <c r="D3126" s="5" t="s">
        <v>12411</v>
      </c>
      <c r="E3126" s="2" t="s">
        <v>15441</v>
      </c>
      <c r="F3126" s="2" t="s">
        <v>15446</v>
      </c>
      <c r="G3126" s="2" t="s">
        <v>15443</v>
      </c>
      <c r="H3126" s="2" t="s">
        <v>15444</v>
      </c>
    </row>
    <row r="3127">
      <c r="A3127" s="2">
        <v>3125.0</v>
      </c>
      <c r="B3127" s="5" t="s">
        <v>4632</v>
      </c>
      <c r="C3127" s="2" t="s">
        <v>4633</v>
      </c>
      <c r="D3127" s="5" t="s">
        <v>4632</v>
      </c>
      <c r="E3127" s="2" t="s">
        <v>15445</v>
      </c>
      <c r="F3127" s="2" t="s">
        <v>15446</v>
      </c>
      <c r="G3127" s="2" t="s">
        <v>15443</v>
      </c>
      <c r="H3127" s="2" t="s">
        <v>15444</v>
      </c>
    </row>
    <row r="3128">
      <c r="A3128" s="2">
        <v>3126.0</v>
      </c>
      <c r="B3128" s="5" t="s">
        <v>4635</v>
      </c>
      <c r="C3128" s="2" t="s">
        <v>4636</v>
      </c>
      <c r="D3128" s="5" t="s">
        <v>4635</v>
      </c>
      <c r="E3128" s="2" t="s">
        <v>15445</v>
      </c>
      <c r="F3128" s="2" t="s">
        <v>15446</v>
      </c>
      <c r="G3128" s="2" t="s">
        <v>15443</v>
      </c>
      <c r="H3128" s="2" t="s">
        <v>15457</v>
      </c>
    </row>
    <row r="3129">
      <c r="A3129" s="2">
        <v>3127.0</v>
      </c>
      <c r="B3129" s="5" t="s">
        <v>4638</v>
      </c>
      <c r="C3129" s="2" t="s">
        <v>4639</v>
      </c>
      <c r="D3129" s="5" t="s">
        <v>4638</v>
      </c>
      <c r="E3129" s="2" t="s">
        <v>15445</v>
      </c>
      <c r="F3129" s="2" t="s">
        <v>15442</v>
      </c>
      <c r="G3129" s="2" t="s">
        <v>15443</v>
      </c>
      <c r="H3129" s="2" t="s">
        <v>15444</v>
      </c>
    </row>
    <row r="3130">
      <c r="A3130" s="2">
        <v>3128.0</v>
      </c>
      <c r="B3130" s="5" t="s">
        <v>4641</v>
      </c>
      <c r="C3130" s="2" t="s">
        <v>4642</v>
      </c>
      <c r="D3130" s="5" t="s">
        <v>4641</v>
      </c>
      <c r="E3130" s="2" t="s">
        <v>15445</v>
      </c>
      <c r="F3130" s="2" t="s">
        <v>15442</v>
      </c>
      <c r="G3130" s="2" t="s">
        <v>15443</v>
      </c>
      <c r="H3130" s="2" t="s">
        <v>15444</v>
      </c>
    </row>
    <row r="3131">
      <c r="A3131" s="2">
        <v>3129.0</v>
      </c>
      <c r="B3131" s="5" t="s">
        <v>4644</v>
      </c>
      <c r="C3131" s="2" t="s">
        <v>4645</v>
      </c>
      <c r="D3131" s="5" t="s">
        <v>4644</v>
      </c>
      <c r="E3131" s="2" t="s">
        <v>15445</v>
      </c>
      <c r="F3131" s="2" t="s">
        <v>15442</v>
      </c>
      <c r="G3131" s="2" t="s">
        <v>15443</v>
      </c>
      <c r="H3131" s="2" t="s">
        <v>15444</v>
      </c>
    </row>
    <row r="3132">
      <c r="A3132" s="2">
        <v>3130.0</v>
      </c>
      <c r="B3132" s="5" t="s">
        <v>4647</v>
      </c>
      <c r="C3132" s="2" t="s">
        <v>4648</v>
      </c>
      <c r="D3132" s="5" t="s">
        <v>4647</v>
      </c>
      <c r="E3132" s="2" t="s">
        <v>15445</v>
      </c>
      <c r="F3132" s="2" t="s">
        <v>15446</v>
      </c>
      <c r="G3132" s="2" t="s">
        <v>15443</v>
      </c>
      <c r="H3132" s="2" t="s">
        <v>15444</v>
      </c>
    </row>
    <row r="3133">
      <c r="A3133" s="2">
        <v>3131.0</v>
      </c>
      <c r="B3133" s="5" t="s">
        <v>4650</v>
      </c>
      <c r="C3133" s="2" t="s">
        <v>4651</v>
      </c>
      <c r="D3133" s="5" t="s">
        <v>4650</v>
      </c>
      <c r="E3133" s="2" t="s">
        <v>15445</v>
      </c>
      <c r="F3133" s="2" t="s">
        <v>15442</v>
      </c>
      <c r="G3133" s="2" t="s">
        <v>15456</v>
      </c>
      <c r="H3133" s="2" t="s">
        <v>15462</v>
      </c>
    </row>
    <row r="3134">
      <c r="A3134" s="2">
        <v>3132.0</v>
      </c>
      <c r="B3134" s="5" t="s">
        <v>12413</v>
      </c>
      <c r="C3134" s="2" t="s">
        <v>12414</v>
      </c>
      <c r="D3134" s="5" t="s">
        <v>12413</v>
      </c>
      <c r="E3134" s="2" t="s">
        <v>15441</v>
      </c>
      <c r="F3134" s="2" t="s">
        <v>15442</v>
      </c>
      <c r="G3134" s="2" t="s">
        <v>15456</v>
      </c>
      <c r="H3134" s="2" t="s">
        <v>15444</v>
      </c>
    </row>
    <row r="3135">
      <c r="A3135" s="2">
        <v>3133.0</v>
      </c>
      <c r="B3135" s="5" t="s">
        <v>12415</v>
      </c>
      <c r="C3135" s="2" t="s">
        <v>12416</v>
      </c>
      <c r="D3135" s="5" t="s">
        <v>12415</v>
      </c>
      <c r="E3135" s="2" t="s">
        <v>15441</v>
      </c>
      <c r="F3135" s="2" t="s">
        <v>15442</v>
      </c>
      <c r="G3135" s="2" t="s">
        <v>15443</v>
      </c>
      <c r="H3135" s="2" t="s">
        <v>15444</v>
      </c>
    </row>
    <row r="3136">
      <c r="A3136" s="2">
        <v>3134.0</v>
      </c>
      <c r="B3136" s="5" t="s">
        <v>12417</v>
      </c>
      <c r="C3136" s="2" t="s">
        <v>12418</v>
      </c>
      <c r="D3136" s="5" t="s">
        <v>12417</v>
      </c>
      <c r="E3136" s="2" t="s">
        <v>15441</v>
      </c>
      <c r="F3136" s="2" t="s">
        <v>15442</v>
      </c>
      <c r="G3136" s="2" t="s">
        <v>15456</v>
      </c>
      <c r="H3136" s="2" t="s">
        <v>15444</v>
      </c>
    </row>
    <row r="3137">
      <c r="A3137" s="2">
        <v>3135.0</v>
      </c>
      <c r="B3137" s="5" t="s">
        <v>4653</v>
      </c>
      <c r="C3137" s="2" t="s">
        <v>4654</v>
      </c>
      <c r="D3137" s="5" t="s">
        <v>4653</v>
      </c>
      <c r="E3137" s="2" t="s">
        <v>15445</v>
      </c>
      <c r="F3137" s="2" t="s">
        <v>15446</v>
      </c>
      <c r="G3137" s="2" t="s">
        <v>15456</v>
      </c>
      <c r="H3137" s="2" t="s">
        <v>15444</v>
      </c>
    </row>
    <row r="3138">
      <c r="A3138" s="2">
        <v>3136.0</v>
      </c>
      <c r="B3138" s="5" t="s">
        <v>4656</v>
      </c>
      <c r="C3138" s="2" t="s">
        <v>4657</v>
      </c>
      <c r="D3138" s="5" t="s">
        <v>4656</v>
      </c>
      <c r="E3138" s="2" t="s">
        <v>15445</v>
      </c>
      <c r="F3138" s="2" t="s">
        <v>15446</v>
      </c>
      <c r="G3138" s="2" t="s">
        <v>15456</v>
      </c>
      <c r="H3138" s="2" t="s">
        <v>15444</v>
      </c>
    </row>
    <row r="3139">
      <c r="A3139" s="2">
        <v>3137.0</v>
      </c>
      <c r="B3139" s="5" t="s">
        <v>4659</v>
      </c>
      <c r="C3139" s="2" t="s">
        <v>4660</v>
      </c>
      <c r="D3139" s="5" t="s">
        <v>4659</v>
      </c>
      <c r="E3139" s="2" t="s">
        <v>15445</v>
      </c>
      <c r="F3139" s="2" t="s">
        <v>15446</v>
      </c>
      <c r="G3139" s="2" t="s">
        <v>15443</v>
      </c>
      <c r="H3139" s="2" t="s">
        <v>15444</v>
      </c>
    </row>
    <row r="3140">
      <c r="A3140" s="2">
        <v>3138.0</v>
      </c>
      <c r="B3140" s="5" t="s">
        <v>4662</v>
      </c>
      <c r="C3140" s="2" t="s">
        <v>4663</v>
      </c>
      <c r="D3140" s="5" t="s">
        <v>4662</v>
      </c>
      <c r="E3140" s="2" t="s">
        <v>15445</v>
      </c>
      <c r="F3140" s="2" t="s">
        <v>15446</v>
      </c>
      <c r="G3140" s="2" t="s">
        <v>15456</v>
      </c>
      <c r="H3140" s="2" t="s">
        <v>15444</v>
      </c>
    </row>
    <row r="3141">
      <c r="A3141" s="2">
        <v>3139.0</v>
      </c>
      <c r="B3141" s="5" t="s">
        <v>12419</v>
      </c>
      <c r="C3141" s="2" t="s">
        <v>12420</v>
      </c>
      <c r="D3141" s="5" t="s">
        <v>12419</v>
      </c>
      <c r="E3141" s="2" t="s">
        <v>15441</v>
      </c>
      <c r="F3141" s="2" t="s">
        <v>15446</v>
      </c>
      <c r="G3141" s="2" t="s">
        <v>15443</v>
      </c>
      <c r="H3141" s="2" t="s">
        <v>15444</v>
      </c>
    </row>
    <row r="3142">
      <c r="A3142" s="2">
        <v>3140.0</v>
      </c>
      <c r="B3142" s="5" t="s">
        <v>12421</v>
      </c>
      <c r="C3142" s="2" t="s">
        <v>12422</v>
      </c>
      <c r="D3142" s="5" t="s">
        <v>12421</v>
      </c>
      <c r="E3142" s="2" t="s">
        <v>15441</v>
      </c>
      <c r="F3142" s="2" t="s">
        <v>15446</v>
      </c>
      <c r="G3142" s="2" t="s">
        <v>15456</v>
      </c>
      <c r="H3142" s="2" t="s">
        <v>15457</v>
      </c>
    </row>
    <row r="3143">
      <c r="A3143" s="2">
        <v>3141.0</v>
      </c>
      <c r="B3143" s="5" t="s">
        <v>12423</v>
      </c>
      <c r="C3143" s="2" t="s">
        <v>12424</v>
      </c>
      <c r="D3143" s="5" t="s">
        <v>12423</v>
      </c>
      <c r="E3143" s="2" t="s">
        <v>15441</v>
      </c>
      <c r="F3143" s="2" t="s">
        <v>15442</v>
      </c>
      <c r="G3143" s="2" t="s">
        <v>15456</v>
      </c>
      <c r="H3143" s="2" t="s">
        <v>15444</v>
      </c>
    </row>
    <row r="3144">
      <c r="A3144" s="2">
        <v>3142.0</v>
      </c>
      <c r="B3144" s="5" t="s">
        <v>12425</v>
      </c>
      <c r="C3144" s="2" t="s">
        <v>12426</v>
      </c>
      <c r="D3144" s="5" t="s">
        <v>12425</v>
      </c>
      <c r="E3144" s="2" t="s">
        <v>15441</v>
      </c>
      <c r="F3144" s="2" t="s">
        <v>15442</v>
      </c>
      <c r="G3144" s="2" t="s">
        <v>15443</v>
      </c>
      <c r="H3144" s="2" t="s">
        <v>15444</v>
      </c>
    </row>
    <row r="3145">
      <c r="A3145" s="2">
        <v>3143.0</v>
      </c>
      <c r="B3145" s="5" t="s">
        <v>4665</v>
      </c>
      <c r="C3145" s="2" t="s">
        <v>4666</v>
      </c>
      <c r="D3145" s="5" t="s">
        <v>4665</v>
      </c>
      <c r="E3145" s="2" t="s">
        <v>15445</v>
      </c>
      <c r="F3145" s="2" t="s">
        <v>15442</v>
      </c>
      <c r="G3145" s="2" t="s">
        <v>15456</v>
      </c>
      <c r="H3145" s="2" t="s">
        <v>15444</v>
      </c>
    </row>
    <row r="3146">
      <c r="A3146" s="2">
        <v>3144.0</v>
      </c>
      <c r="B3146" s="5" t="s">
        <v>4668</v>
      </c>
      <c r="C3146" s="2" t="s">
        <v>4669</v>
      </c>
      <c r="D3146" s="5" t="s">
        <v>4668</v>
      </c>
      <c r="E3146" s="2" t="s">
        <v>15445</v>
      </c>
      <c r="F3146" s="2" t="s">
        <v>15442</v>
      </c>
      <c r="G3146" s="2" t="s">
        <v>15443</v>
      </c>
      <c r="H3146" s="2" t="s">
        <v>15444</v>
      </c>
    </row>
    <row r="3147">
      <c r="A3147" s="2">
        <v>3145.0</v>
      </c>
      <c r="B3147" s="5" t="s">
        <v>12427</v>
      </c>
      <c r="C3147" s="2" t="s">
        <v>12428</v>
      </c>
      <c r="D3147" s="5" t="s">
        <v>12427</v>
      </c>
      <c r="E3147" s="2" t="s">
        <v>15441</v>
      </c>
      <c r="F3147" s="2" t="s">
        <v>15446</v>
      </c>
      <c r="G3147" s="2" t="s">
        <v>15456</v>
      </c>
      <c r="H3147" s="2" t="s">
        <v>15444</v>
      </c>
    </row>
    <row r="3148">
      <c r="A3148" s="2">
        <v>3146.0</v>
      </c>
      <c r="B3148" s="5" t="s">
        <v>12429</v>
      </c>
      <c r="C3148" s="2" t="s">
        <v>12430</v>
      </c>
      <c r="D3148" s="5" t="s">
        <v>12429</v>
      </c>
      <c r="E3148" s="2" t="s">
        <v>15441</v>
      </c>
      <c r="F3148" s="2" t="s">
        <v>15442</v>
      </c>
      <c r="G3148" s="2" t="s">
        <v>15443</v>
      </c>
      <c r="H3148" s="2" t="s">
        <v>15444</v>
      </c>
    </row>
    <row r="3149">
      <c r="A3149" s="2">
        <v>3147.0</v>
      </c>
      <c r="B3149" s="5" t="s">
        <v>4671</v>
      </c>
      <c r="C3149" s="2" t="s">
        <v>4672</v>
      </c>
      <c r="D3149" s="5" t="s">
        <v>4671</v>
      </c>
      <c r="E3149" s="2" t="s">
        <v>15445</v>
      </c>
      <c r="F3149" s="2" t="s">
        <v>15446</v>
      </c>
      <c r="G3149" s="2" t="s">
        <v>15456</v>
      </c>
      <c r="H3149" s="2" t="s">
        <v>15444</v>
      </c>
    </row>
    <row r="3150">
      <c r="A3150" s="2">
        <v>3148.0</v>
      </c>
      <c r="B3150" s="5" t="s">
        <v>4674</v>
      </c>
      <c r="C3150" s="2" t="s">
        <v>4675</v>
      </c>
      <c r="D3150" s="5" t="s">
        <v>4674</v>
      </c>
      <c r="E3150" s="2" t="s">
        <v>15445</v>
      </c>
      <c r="F3150" s="2" t="s">
        <v>15442</v>
      </c>
      <c r="G3150" s="2" t="s">
        <v>15456</v>
      </c>
      <c r="H3150" s="2" t="s">
        <v>15444</v>
      </c>
    </row>
    <row r="3151">
      <c r="A3151" s="2">
        <v>3149.0</v>
      </c>
      <c r="B3151" s="5" t="s">
        <v>4677</v>
      </c>
      <c r="C3151" s="2" t="s">
        <v>4678</v>
      </c>
      <c r="D3151" s="5" t="s">
        <v>4677</v>
      </c>
      <c r="E3151" s="2" t="s">
        <v>15445</v>
      </c>
      <c r="F3151" s="2" t="s">
        <v>15442</v>
      </c>
      <c r="G3151" s="2" t="s">
        <v>15456</v>
      </c>
      <c r="H3151" s="2" t="s">
        <v>15444</v>
      </c>
    </row>
    <row r="3152">
      <c r="A3152" s="2">
        <v>3150.0</v>
      </c>
      <c r="B3152" s="5" t="s">
        <v>12431</v>
      </c>
      <c r="C3152" s="2" t="s">
        <v>12432</v>
      </c>
      <c r="D3152" s="5" t="s">
        <v>12431</v>
      </c>
      <c r="E3152" s="2" t="s">
        <v>15441</v>
      </c>
      <c r="F3152" s="2" t="s">
        <v>15442</v>
      </c>
      <c r="G3152" s="2" t="s">
        <v>15443</v>
      </c>
      <c r="H3152" s="2" t="s">
        <v>15457</v>
      </c>
    </row>
    <row r="3153">
      <c r="A3153" s="2">
        <v>3151.0</v>
      </c>
      <c r="B3153" s="5" t="s">
        <v>12433</v>
      </c>
      <c r="C3153" s="2" t="s">
        <v>12434</v>
      </c>
      <c r="D3153" s="5" t="s">
        <v>12433</v>
      </c>
      <c r="E3153" s="2" t="s">
        <v>15441</v>
      </c>
      <c r="F3153" s="2" t="s">
        <v>15446</v>
      </c>
      <c r="G3153" s="2" t="s">
        <v>15456</v>
      </c>
      <c r="H3153" s="2" t="s">
        <v>15444</v>
      </c>
    </row>
    <row r="3154">
      <c r="A3154" s="2">
        <v>3152.0</v>
      </c>
      <c r="B3154" s="5" t="s">
        <v>4680</v>
      </c>
      <c r="C3154" s="2" t="s">
        <v>4681</v>
      </c>
      <c r="D3154" s="5" t="s">
        <v>4680</v>
      </c>
      <c r="E3154" s="2" t="s">
        <v>15445</v>
      </c>
      <c r="F3154" s="2" t="s">
        <v>15442</v>
      </c>
      <c r="G3154" s="2" t="s">
        <v>15456</v>
      </c>
      <c r="H3154" s="2" t="s">
        <v>15462</v>
      </c>
    </row>
    <row r="3155">
      <c r="A3155" s="2">
        <v>3153.0</v>
      </c>
      <c r="B3155" s="5" t="s">
        <v>4683</v>
      </c>
      <c r="C3155" s="2" t="s">
        <v>4684</v>
      </c>
      <c r="D3155" s="5" t="s">
        <v>4683</v>
      </c>
      <c r="E3155" s="2" t="s">
        <v>15445</v>
      </c>
      <c r="F3155" s="2" t="s">
        <v>15442</v>
      </c>
      <c r="G3155" s="2" t="s">
        <v>15443</v>
      </c>
      <c r="H3155" s="2" t="s">
        <v>15444</v>
      </c>
    </row>
    <row r="3156">
      <c r="A3156" s="2">
        <v>3154.0</v>
      </c>
      <c r="B3156" s="5" t="s">
        <v>12435</v>
      </c>
      <c r="C3156" s="2" t="s">
        <v>12436</v>
      </c>
      <c r="D3156" s="5" t="s">
        <v>12435</v>
      </c>
      <c r="E3156" s="2" t="s">
        <v>15441</v>
      </c>
      <c r="F3156" s="2" t="s">
        <v>15442</v>
      </c>
      <c r="G3156" s="2" t="s">
        <v>15443</v>
      </c>
      <c r="H3156" s="2" t="s">
        <v>15444</v>
      </c>
    </row>
    <row r="3157">
      <c r="A3157" s="2">
        <v>3155.0</v>
      </c>
      <c r="B3157" s="5" t="s">
        <v>4686</v>
      </c>
      <c r="C3157" s="2" t="s">
        <v>4687</v>
      </c>
      <c r="D3157" s="5" t="s">
        <v>4686</v>
      </c>
      <c r="E3157" s="2" t="s">
        <v>15445</v>
      </c>
      <c r="F3157" s="2" t="s">
        <v>15446</v>
      </c>
      <c r="G3157" s="2" t="s">
        <v>15456</v>
      </c>
      <c r="H3157" s="2" t="s">
        <v>15444</v>
      </c>
    </row>
    <row r="3158">
      <c r="A3158" s="2">
        <v>3156.0</v>
      </c>
      <c r="B3158" s="5" t="s">
        <v>12437</v>
      </c>
      <c r="C3158" s="2" t="s">
        <v>12438</v>
      </c>
      <c r="D3158" s="5" t="s">
        <v>12437</v>
      </c>
      <c r="E3158" s="2" t="s">
        <v>15441</v>
      </c>
      <c r="F3158" s="2" t="s">
        <v>15446</v>
      </c>
      <c r="G3158" s="2" t="s">
        <v>15456</v>
      </c>
      <c r="H3158" s="2" t="s">
        <v>15444</v>
      </c>
    </row>
    <row r="3159">
      <c r="A3159" s="2">
        <v>3157.0</v>
      </c>
      <c r="B3159" s="5" t="s">
        <v>4689</v>
      </c>
      <c r="C3159" s="2" t="s">
        <v>4690</v>
      </c>
      <c r="D3159" s="5" t="s">
        <v>4689</v>
      </c>
      <c r="E3159" s="2" t="s">
        <v>15445</v>
      </c>
      <c r="F3159" s="2" t="s">
        <v>15442</v>
      </c>
      <c r="G3159" s="2" t="s">
        <v>15443</v>
      </c>
      <c r="H3159" s="2" t="s">
        <v>15444</v>
      </c>
    </row>
    <row r="3160">
      <c r="A3160" s="2">
        <v>3158.0</v>
      </c>
      <c r="B3160" s="5" t="s">
        <v>4692</v>
      </c>
      <c r="C3160" s="2" t="s">
        <v>4693</v>
      </c>
      <c r="D3160" s="5" t="s">
        <v>4692</v>
      </c>
      <c r="E3160" s="2" t="s">
        <v>15445</v>
      </c>
      <c r="F3160" s="2" t="s">
        <v>15446</v>
      </c>
      <c r="G3160" s="2" t="s">
        <v>15456</v>
      </c>
      <c r="H3160" s="2" t="s">
        <v>15444</v>
      </c>
    </row>
    <row r="3161">
      <c r="A3161" s="2">
        <v>3159.0</v>
      </c>
      <c r="B3161" s="5" t="s">
        <v>4695</v>
      </c>
      <c r="C3161" s="2" t="s">
        <v>4696</v>
      </c>
      <c r="D3161" s="5" t="s">
        <v>4695</v>
      </c>
      <c r="E3161" s="2" t="s">
        <v>15445</v>
      </c>
      <c r="F3161" s="2" t="s">
        <v>15442</v>
      </c>
      <c r="G3161" s="2" t="s">
        <v>15443</v>
      </c>
      <c r="H3161" s="2" t="s">
        <v>15444</v>
      </c>
    </row>
    <row r="3162">
      <c r="A3162" s="2">
        <v>3160.0</v>
      </c>
      <c r="B3162" s="5" t="s">
        <v>4698</v>
      </c>
      <c r="C3162" s="2" t="s">
        <v>4699</v>
      </c>
      <c r="D3162" s="5" t="s">
        <v>4698</v>
      </c>
      <c r="E3162" s="2" t="s">
        <v>15445</v>
      </c>
      <c r="F3162" s="2" t="s">
        <v>15446</v>
      </c>
      <c r="G3162" s="2" t="s">
        <v>15443</v>
      </c>
      <c r="H3162" s="2" t="s">
        <v>15444</v>
      </c>
    </row>
    <row r="3163">
      <c r="A3163" s="2">
        <v>3161.0</v>
      </c>
      <c r="B3163" s="5" t="s">
        <v>4701</v>
      </c>
      <c r="C3163" s="2" t="s">
        <v>4702</v>
      </c>
      <c r="D3163" s="5" t="s">
        <v>4701</v>
      </c>
      <c r="E3163" s="2" t="s">
        <v>15445</v>
      </c>
      <c r="F3163" s="2" t="s">
        <v>15442</v>
      </c>
      <c r="G3163" s="2" t="s">
        <v>15456</v>
      </c>
      <c r="H3163" s="2" t="s">
        <v>15444</v>
      </c>
    </row>
    <row r="3164">
      <c r="A3164" s="2">
        <v>3162.0</v>
      </c>
      <c r="B3164" s="5" t="s">
        <v>4704</v>
      </c>
      <c r="C3164" s="2" t="s">
        <v>4705</v>
      </c>
      <c r="D3164" s="5" t="s">
        <v>4704</v>
      </c>
      <c r="E3164" s="2" t="s">
        <v>15445</v>
      </c>
      <c r="F3164" s="2" t="s">
        <v>15446</v>
      </c>
      <c r="G3164" s="2" t="s">
        <v>15456</v>
      </c>
      <c r="H3164" s="2" t="s">
        <v>15444</v>
      </c>
    </row>
    <row r="3165">
      <c r="A3165" s="2">
        <v>3163.0</v>
      </c>
      <c r="B3165" s="5" t="s">
        <v>12439</v>
      </c>
      <c r="C3165" s="2" t="s">
        <v>12440</v>
      </c>
      <c r="D3165" s="5" t="s">
        <v>12439</v>
      </c>
      <c r="E3165" s="2" t="s">
        <v>15441</v>
      </c>
      <c r="F3165" s="2" t="s">
        <v>15442</v>
      </c>
      <c r="G3165" s="2" t="s">
        <v>15456</v>
      </c>
      <c r="H3165" s="2" t="s">
        <v>15444</v>
      </c>
    </row>
    <row r="3166">
      <c r="A3166" s="2">
        <v>3164.0</v>
      </c>
      <c r="B3166" s="5" t="s">
        <v>12441</v>
      </c>
      <c r="C3166" s="2" t="s">
        <v>12442</v>
      </c>
      <c r="D3166" s="5" t="s">
        <v>12441</v>
      </c>
      <c r="E3166" s="2" t="s">
        <v>15441</v>
      </c>
      <c r="F3166" s="2" t="s">
        <v>15446</v>
      </c>
      <c r="G3166" s="2" t="s">
        <v>15443</v>
      </c>
      <c r="H3166" s="2" t="s">
        <v>15461</v>
      </c>
    </row>
    <row r="3167">
      <c r="A3167" s="2">
        <v>3165.0</v>
      </c>
      <c r="B3167" s="5" t="s">
        <v>12443</v>
      </c>
      <c r="C3167" s="2" t="s">
        <v>12444</v>
      </c>
      <c r="D3167" s="5" t="s">
        <v>12443</v>
      </c>
      <c r="E3167" s="2" t="s">
        <v>15441</v>
      </c>
      <c r="F3167" s="2" t="s">
        <v>15446</v>
      </c>
      <c r="G3167" s="2" t="s">
        <v>15456</v>
      </c>
      <c r="H3167" s="2" t="s">
        <v>15444</v>
      </c>
    </row>
    <row r="3168">
      <c r="A3168" s="2">
        <v>3166.0</v>
      </c>
      <c r="B3168" s="5" t="s">
        <v>12445</v>
      </c>
      <c r="C3168" s="2" t="s">
        <v>12446</v>
      </c>
      <c r="D3168" s="5" t="s">
        <v>12445</v>
      </c>
      <c r="E3168" s="2" t="s">
        <v>15441</v>
      </c>
      <c r="F3168" s="2" t="s">
        <v>15446</v>
      </c>
      <c r="G3168" s="2" t="s">
        <v>15443</v>
      </c>
      <c r="H3168" s="2" t="s">
        <v>15444</v>
      </c>
    </row>
    <row r="3169">
      <c r="A3169" s="2">
        <v>3167.0</v>
      </c>
      <c r="B3169" s="5" t="s">
        <v>12447</v>
      </c>
      <c r="C3169" s="2" t="s">
        <v>12448</v>
      </c>
      <c r="D3169" s="5" t="s">
        <v>12447</v>
      </c>
      <c r="E3169" s="2" t="s">
        <v>15441</v>
      </c>
      <c r="F3169" s="2" t="s">
        <v>15446</v>
      </c>
      <c r="G3169" s="2" t="s">
        <v>15456</v>
      </c>
      <c r="H3169" s="2" t="s">
        <v>15457</v>
      </c>
    </row>
    <row r="3170">
      <c r="A3170" s="2">
        <v>3168.0</v>
      </c>
      <c r="B3170" s="5" t="s">
        <v>12449</v>
      </c>
      <c r="C3170" s="2" t="s">
        <v>12450</v>
      </c>
      <c r="D3170" s="5" t="s">
        <v>12449</v>
      </c>
      <c r="E3170" s="2" t="s">
        <v>15441</v>
      </c>
      <c r="F3170" s="2" t="s">
        <v>15442</v>
      </c>
      <c r="G3170" s="2" t="s">
        <v>15443</v>
      </c>
      <c r="H3170" s="2" t="s">
        <v>15444</v>
      </c>
    </row>
    <row r="3171">
      <c r="A3171" s="2">
        <v>3169.0</v>
      </c>
      <c r="B3171" s="5" t="s">
        <v>4707</v>
      </c>
      <c r="C3171" s="2" t="s">
        <v>4708</v>
      </c>
      <c r="D3171" s="5" t="s">
        <v>4707</v>
      </c>
      <c r="E3171" s="2" t="s">
        <v>15445</v>
      </c>
      <c r="F3171" s="2" t="s">
        <v>15442</v>
      </c>
      <c r="G3171" s="2" t="s">
        <v>15443</v>
      </c>
      <c r="H3171" s="2" t="s">
        <v>15444</v>
      </c>
    </row>
    <row r="3172">
      <c r="A3172" s="2">
        <v>3170.0</v>
      </c>
      <c r="B3172" s="5" t="s">
        <v>4710</v>
      </c>
      <c r="C3172" s="2" t="s">
        <v>4711</v>
      </c>
      <c r="D3172" s="5" t="s">
        <v>4710</v>
      </c>
      <c r="E3172" s="2" t="s">
        <v>15445</v>
      </c>
      <c r="F3172" s="2" t="s">
        <v>15442</v>
      </c>
      <c r="G3172" s="2" t="s">
        <v>15456</v>
      </c>
      <c r="H3172" s="2" t="s">
        <v>15444</v>
      </c>
    </row>
    <row r="3173">
      <c r="A3173" s="2">
        <v>3171.0</v>
      </c>
      <c r="B3173" s="5" t="s">
        <v>12451</v>
      </c>
      <c r="C3173" s="2" t="s">
        <v>12452</v>
      </c>
      <c r="D3173" s="5" t="s">
        <v>12451</v>
      </c>
      <c r="E3173" s="2" t="s">
        <v>15441</v>
      </c>
      <c r="F3173" s="2" t="s">
        <v>15446</v>
      </c>
      <c r="G3173" s="2" t="s">
        <v>15443</v>
      </c>
      <c r="H3173" s="2" t="s">
        <v>15444</v>
      </c>
    </row>
    <row r="3174">
      <c r="A3174" s="2">
        <v>3172.0</v>
      </c>
      <c r="B3174" s="5" t="s">
        <v>12453</v>
      </c>
      <c r="C3174" s="2" t="s">
        <v>12454</v>
      </c>
      <c r="D3174" s="5" t="s">
        <v>12453</v>
      </c>
      <c r="E3174" s="2" t="s">
        <v>15441</v>
      </c>
      <c r="F3174" s="2" t="s">
        <v>15442</v>
      </c>
      <c r="G3174" s="2" t="s">
        <v>15443</v>
      </c>
      <c r="H3174" s="2" t="s">
        <v>15444</v>
      </c>
    </row>
    <row r="3175">
      <c r="A3175" s="2">
        <v>3173.0</v>
      </c>
      <c r="B3175" s="5" t="s">
        <v>12455</v>
      </c>
      <c r="C3175" s="2" t="s">
        <v>12456</v>
      </c>
      <c r="D3175" s="5" t="s">
        <v>12455</v>
      </c>
      <c r="E3175" s="2" t="s">
        <v>15441</v>
      </c>
      <c r="F3175" s="2" t="s">
        <v>15442</v>
      </c>
      <c r="G3175" s="2" t="s">
        <v>15443</v>
      </c>
      <c r="H3175" s="2" t="s">
        <v>15444</v>
      </c>
    </row>
    <row r="3176">
      <c r="A3176" s="2">
        <v>3174.0</v>
      </c>
      <c r="B3176" s="5" t="s">
        <v>4713</v>
      </c>
      <c r="C3176" s="2" t="s">
        <v>4714</v>
      </c>
      <c r="D3176" s="5" t="s">
        <v>4713</v>
      </c>
      <c r="E3176" s="2" t="s">
        <v>15445</v>
      </c>
      <c r="F3176" s="2" t="s">
        <v>15442</v>
      </c>
      <c r="G3176" s="2" t="s">
        <v>15443</v>
      </c>
      <c r="H3176" s="2" t="s">
        <v>15444</v>
      </c>
    </row>
    <row r="3177">
      <c r="A3177" s="2">
        <v>3175.0</v>
      </c>
      <c r="B3177" s="5" t="s">
        <v>4716</v>
      </c>
      <c r="C3177" s="2" t="s">
        <v>4717</v>
      </c>
      <c r="D3177" s="5" t="s">
        <v>4716</v>
      </c>
      <c r="E3177" s="2" t="s">
        <v>15445</v>
      </c>
      <c r="F3177" s="2" t="s">
        <v>15442</v>
      </c>
      <c r="G3177" s="2" t="s">
        <v>15456</v>
      </c>
      <c r="H3177" s="2" t="s">
        <v>15444</v>
      </c>
    </row>
    <row r="3178">
      <c r="A3178" s="2">
        <v>3176.0</v>
      </c>
      <c r="B3178" s="5" t="s">
        <v>12457</v>
      </c>
      <c r="C3178" s="2" t="s">
        <v>12458</v>
      </c>
      <c r="D3178" s="5" t="s">
        <v>12457</v>
      </c>
      <c r="E3178" s="2" t="s">
        <v>15441</v>
      </c>
      <c r="F3178" s="2" t="s">
        <v>15442</v>
      </c>
      <c r="G3178" s="2" t="s">
        <v>15443</v>
      </c>
      <c r="H3178" s="2" t="s">
        <v>15444</v>
      </c>
    </row>
    <row r="3179">
      <c r="A3179" s="2">
        <v>3177.0</v>
      </c>
      <c r="B3179" s="5" t="s">
        <v>4719</v>
      </c>
      <c r="C3179" s="2" t="s">
        <v>4720</v>
      </c>
      <c r="D3179" s="5" t="s">
        <v>4719</v>
      </c>
      <c r="E3179" s="2" t="s">
        <v>15445</v>
      </c>
      <c r="F3179" s="2" t="s">
        <v>15446</v>
      </c>
      <c r="G3179" s="2" t="s">
        <v>15456</v>
      </c>
      <c r="H3179" s="2" t="s">
        <v>15444</v>
      </c>
    </row>
    <row r="3180">
      <c r="A3180" s="2">
        <v>3178.0</v>
      </c>
      <c r="B3180" s="5" t="s">
        <v>12459</v>
      </c>
      <c r="C3180" s="2" t="s">
        <v>12460</v>
      </c>
      <c r="D3180" s="5" t="s">
        <v>12459</v>
      </c>
      <c r="E3180" s="2" t="s">
        <v>15441</v>
      </c>
      <c r="F3180" s="2" t="s">
        <v>15446</v>
      </c>
      <c r="G3180" s="2" t="s">
        <v>15456</v>
      </c>
      <c r="H3180" s="2" t="s">
        <v>15444</v>
      </c>
    </row>
    <row r="3181">
      <c r="A3181" s="2">
        <v>3179.0</v>
      </c>
      <c r="B3181" s="5" t="s">
        <v>15530</v>
      </c>
      <c r="C3181" s="2" t="s">
        <v>15531</v>
      </c>
      <c r="D3181" s="5" t="s">
        <v>15530</v>
      </c>
      <c r="E3181" s="2" t="s">
        <v>15445</v>
      </c>
      <c r="F3181" s="2" t="s">
        <v>15446</v>
      </c>
      <c r="G3181" s="2" t="s">
        <v>15456</v>
      </c>
      <c r="H3181" s="2" t="s">
        <v>15457</v>
      </c>
    </row>
    <row r="3182">
      <c r="A3182" s="2">
        <v>3180.0</v>
      </c>
      <c r="B3182" s="5" t="s">
        <v>4722</v>
      </c>
      <c r="C3182" s="2" t="s">
        <v>4723</v>
      </c>
      <c r="D3182" s="5" t="s">
        <v>4722</v>
      </c>
      <c r="E3182" s="2" t="s">
        <v>15445</v>
      </c>
      <c r="F3182" s="2" t="s">
        <v>15442</v>
      </c>
      <c r="G3182" s="2" t="s">
        <v>15443</v>
      </c>
      <c r="H3182" s="2" t="s">
        <v>15444</v>
      </c>
    </row>
    <row r="3183">
      <c r="A3183" s="2">
        <v>3181.0</v>
      </c>
      <c r="B3183" s="5" t="s">
        <v>12461</v>
      </c>
      <c r="C3183" s="2" t="s">
        <v>12462</v>
      </c>
      <c r="D3183" s="5" t="s">
        <v>12461</v>
      </c>
      <c r="E3183" s="2" t="s">
        <v>15441</v>
      </c>
      <c r="F3183" s="2" t="s">
        <v>15442</v>
      </c>
      <c r="G3183" s="2" t="s">
        <v>15443</v>
      </c>
      <c r="H3183" s="2" t="s">
        <v>15444</v>
      </c>
    </row>
    <row r="3184">
      <c r="A3184" s="2">
        <v>3182.0</v>
      </c>
      <c r="B3184" s="5" t="s">
        <v>12463</v>
      </c>
      <c r="C3184" s="2" t="s">
        <v>12464</v>
      </c>
      <c r="D3184" s="5" t="s">
        <v>12463</v>
      </c>
      <c r="E3184" s="2" t="s">
        <v>15441</v>
      </c>
      <c r="F3184" s="2" t="s">
        <v>15442</v>
      </c>
      <c r="G3184" s="2" t="s">
        <v>15443</v>
      </c>
      <c r="H3184" s="2" t="s">
        <v>15444</v>
      </c>
    </row>
    <row r="3185">
      <c r="A3185" s="2">
        <v>3183.0</v>
      </c>
      <c r="B3185" s="5" t="s">
        <v>12465</v>
      </c>
      <c r="C3185" s="2" t="s">
        <v>12466</v>
      </c>
      <c r="D3185" s="5" t="s">
        <v>12465</v>
      </c>
      <c r="E3185" s="2" t="s">
        <v>15441</v>
      </c>
      <c r="F3185" s="2" t="s">
        <v>15446</v>
      </c>
      <c r="G3185" s="2" t="s">
        <v>15456</v>
      </c>
      <c r="H3185" s="2" t="s">
        <v>15457</v>
      </c>
    </row>
    <row r="3186">
      <c r="A3186" s="2">
        <v>3184.0</v>
      </c>
      <c r="B3186" s="5" t="s">
        <v>12467</v>
      </c>
      <c r="C3186" s="2" t="s">
        <v>12468</v>
      </c>
      <c r="D3186" s="5" t="s">
        <v>12467</v>
      </c>
      <c r="E3186" s="2" t="s">
        <v>15441</v>
      </c>
      <c r="F3186" s="2" t="s">
        <v>15446</v>
      </c>
      <c r="G3186" s="2" t="s">
        <v>15443</v>
      </c>
      <c r="H3186" s="2" t="s">
        <v>15455</v>
      </c>
    </row>
    <row r="3187">
      <c r="A3187" s="2">
        <v>3185.0</v>
      </c>
      <c r="B3187" s="5" t="s">
        <v>4725</v>
      </c>
      <c r="C3187" s="2" t="s">
        <v>4726</v>
      </c>
      <c r="D3187" s="5" t="s">
        <v>4725</v>
      </c>
      <c r="E3187" s="2" t="s">
        <v>15445</v>
      </c>
      <c r="F3187" s="2" t="s">
        <v>15442</v>
      </c>
      <c r="G3187" s="2" t="s">
        <v>15456</v>
      </c>
      <c r="H3187" s="2" t="s">
        <v>15444</v>
      </c>
    </row>
    <row r="3188">
      <c r="A3188" s="2">
        <v>3186.0</v>
      </c>
      <c r="B3188" s="5" t="s">
        <v>4728</v>
      </c>
      <c r="C3188" s="2" t="s">
        <v>4729</v>
      </c>
      <c r="D3188" s="5" t="s">
        <v>4728</v>
      </c>
      <c r="E3188" s="2" t="s">
        <v>15445</v>
      </c>
      <c r="F3188" s="2" t="s">
        <v>15442</v>
      </c>
      <c r="G3188" s="2" t="s">
        <v>15456</v>
      </c>
      <c r="H3188" s="2" t="s">
        <v>15444</v>
      </c>
    </row>
    <row r="3189">
      <c r="A3189" s="2">
        <v>3187.0</v>
      </c>
      <c r="B3189" s="5" t="s">
        <v>4731</v>
      </c>
      <c r="C3189" s="2" t="s">
        <v>4732</v>
      </c>
      <c r="D3189" s="5" t="s">
        <v>4731</v>
      </c>
      <c r="E3189" s="2" t="s">
        <v>15445</v>
      </c>
      <c r="F3189" s="2" t="s">
        <v>15442</v>
      </c>
      <c r="G3189" s="2" t="s">
        <v>15443</v>
      </c>
      <c r="H3189" s="2" t="s">
        <v>15444</v>
      </c>
    </row>
    <row r="3190">
      <c r="A3190" s="2">
        <v>3188.0</v>
      </c>
      <c r="B3190" s="5" t="s">
        <v>4734</v>
      </c>
      <c r="C3190" s="2" t="s">
        <v>4735</v>
      </c>
      <c r="D3190" s="5" t="s">
        <v>4734</v>
      </c>
      <c r="E3190" s="2" t="s">
        <v>15445</v>
      </c>
      <c r="F3190" s="2" t="s">
        <v>15442</v>
      </c>
      <c r="G3190" s="2" t="s">
        <v>15456</v>
      </c>
      <c r="H3190" s="2" t="s">
        <v>15462</v>
      </c>
    </row>
    <row r="3191">
      <c r="A3191" s="2">
        <v>3189.0</v>
      </c>
      <c r="B3191" s="5" t="s">
        <v>4737</v>
      </c>
      <c r="C3191" s="2" t="s">
        <v>4738</v>
      </c>
      <c r="D3191" s="5" t="s">
        <v>4737</v>
      </c>
      <c r="E3191" s="2" t="s">
        <v>15445</v>
      </c>
      <c r="F3191" s="2" t="s">
        <v>15446</v>
      </c>
      <c r="G3191" s="2" t="s">
        <v>15456</v>
      </c>
      <c r="H3191" s="2" t="s">
        <v>15444</v>
      </c>
    </row>
    <row r="3192">
      <c r="A3192" s="2">
        <v>3190.0</v>
      </c>
      <c r="B3192" s="5" t="s">
        <v>12469</v>
      </c>
      <c r="C3192" s="2" t="s">
        <v>12470</v>
      </c>
      <c r="D3192" s="5" t="s">
        <v>12469</v>
      </c>
      <c r="E3192" s="2" t="s">
        <v>15441</v>
      </c>
      <c r="F3192" s="2" t="s">
        <v>15442</v>
      </c>
      <c r="G3192" s="2" t="s">
        <v>15443</v>
      </c>
      <c r="H3192" s="2" t="s">
        <v>15444</v>
      </c>
    </row>
    <row r="3193">
      <c r="A3193" s="2">
        <v>3191.0</v>
      </c>
      <c r="B3193" s="5" t="s">
        <v>12471</v>
      </c>
      <c r="C3193" s="2" t="s">
        <v>12472</v>
      </c>
      <c r="D3193" s="5" t="s">
        <v>12471</v>
      </c>
      <c r="E3193" s="2" t="s">
        <v>15441</v>
      </c>
      <c r="F3193" s="2" t="s">
        <v>15442</v>
      </c>
      <c r="G3193" s="2" t="s">
        <v>15456</v>
      </c>
      <c r="H3193" s="2" t="s">
        <v>15457</v>
      </c>
    </row>
    <row r="3194">
      <c r="A3194" s="2">
        <v>3192.0</v>
      </c>
      <c r="B3194" s="5" t="s">
        <v>12473</v>
      </c>
      <c r="C3194" s="2" t="s">
        <v>12474</v>
      </c>
      <c r="D3194" s="5" t="s">
        <v>12473</v>
      </c>
      <c r="E3194" s="2" t="s">
        <v>15441</v>
      </c>
      <c r="F3194" s="2" t="s">
        <v>15446</v>
      </c>
      <c r="G3194" s="2" t="s">
        <v>15456</v>
      </c>
      <c r="H3194" s="2" t="s">
        <v>15455</v>
      </c>
    </row>
    <row r="3195">
      <c r="A3195" s="2">
        <v>3193.0</v>
      </c>
      <c r="B3195" s="5" t="s">
        <v>4740</v>
      </c>
      <c r="C3195" s="2" t="s">
        <v>4741</v>
      </c>
      <c r="D3195" s="5" t="s">
        <v>4740</v>
      </c>
      <c r="E3195" s="2" t="s">
        <v>15445</v>
      </c>
      <c r="F3195" s="2" t="s">
        <v>15442</v>
      </c>
      <c r="G3195" s="2" t="s">
        <v>15443</v>
      </c>
      <c r="H3195" s="2" t="s">
        <v>15444</v>
      </c>
    </row>
    <row r="3196">
      <c r="A3196" s="2">
        <v>3194.0</v>
      </c>
      <c r="B3196" s="5" t="s">
        <v>4743</v>
      </c>
      <c r="C3196" s="2" t="s">
        <v>4744</v>
      </c>
      <c r="D3196" s="5" t="s">
        <v>4743</v>
      </c>
      <c r="E3196" s="2" t="s">
        <v>15445</v>
      </c>
      <c r="F3196" s="2" t="s">
        <v>15446</v>
      </c>
      <c r="G3196" s="2" t="s">
        <v>15443</v>
      </c>
      <c r="H3196" s="2" t="s">
        <v>15444</v>
      </c>
    </row>
    <row r="3197">
      <c r="A3197" s="2">
        <v>3195.0</v>
      </c>
      <c r="B3197" s="5" t="s">
        <v>12475</v>
      </c>
      <c r="C3197" s="2" t="s">
        <v>12476</v>
      </c>
      <c r="D3197" s="5" t="s">
        <v>12475</v>
      </c>
      <c r="E3197" s="2" t="s">
        <v>15441</v>
      </c>
      <c r="F3197" s="2" t="s">
        <v>15442</v>
      </c>
      <c r="G3197" s="2" t="s">
        <v>15443</v>
      </c>
      <c r="H3197" s="2" t="s">
        <v>15444</v>
      </c>
    </row>
    <row r="3198">
      <c r="A3198" s="2">
        <v>3196.0</v>
      </c>
      <c r="B3198" s="5" t="s">
        <v>4746</v>
      </c>
      <c r="C3198" s="2" t="s">
        <v>4747</v>
      </c>
      <c r="D3198" s="5" t="s">
        <v>4746</v>
      </c>
      <c r="E3198" s="2" t="s">
        <v>15445</v>
      </c>
      <c r="F3198" s="2" t="s">
        <v>15446</v>
      </c>
      <c r="G3198" s="2" t="s">
        <v>15443</v>
      </c>
      <c r="H3198" s="2" t="s">
        <v>15444</v>
      </c>
    </row>
    <row r="3199">
      <c r="A3199" s="2">
        <v>3197.0</v>
      </c>
      <c r="B3199" s="5" t="s">
        <v>12477</v>
      </c>
      <c r="C3199" s="2" t="s">
        <v>12478</v>
      </c>
      <c r="D3199" s="5" t="s">
        <v>12477</v>
      </c>
      <c r="E3199" s="2" t="s">
        <v>15441</v>
      </c>
      <c r="F3199" s="2" t="s">
        <v>15442</v>
      </c>
      <c r="G3199" s="2" t="s">
        <v>15443</v>
      </c>
      <c r="H3199" s="2" t="s">
        <v>15444</v>
      </c>
    </row>
    <row r="3200">
      <c r="A3200" s="2">
        <v>3198.0</v>
      </c>
      <c r="B3200" s="5" t="s">
        <v>4749</v>
      </c>
      <c r="C3200" s="2" t="s">
        <v>4750</v>
      </c>
      <c r="D3200" s="5" t="s">
        <v>4749</v>
      </c>
      <c r="E3200" s="2" t="s">
        <v>15445</v>
      </c>
      <c r="F3200" s="2" t="s">
        <v>15442</v>
      </c>
      <c r="G3200" s="2" t="s">
        <v>15443</v>
      </c>
      <c r="H3200" s="2" t="s">
        <v>15444</v>
      </c>
    </row>
    <row r="3201">
      <c r="A3201" s="2">
        <v>3199.0</v>
      </c>
      <c r="B3201" s="5" t="s">
        <v>4752</v>
      </c>
      <c r="C3201" s="2" t="s">
        <v>4753</v>
      </c>
      <c r="D3201" s="5" t="s">
        <v>4752</v>
      </c>
      <c r="E3201" s="2" t="s">
        <v>15445</v>
      </c>
      <c r="F3201" s="2" t="s">
        <v>15446</v>
      </c>
      <c r="G3201" s="2" t="s">
        <v>15443</v>
      </c>
      <c r="H3201" s="2" t="s">
        <v>15444</v>
      </c>
    </row>
    <row r="3202">
      <c r="A3202" s="2">
        <v>3200.0</v>
      </c>
      <c r="B3202" s="5" t="s">
        <v>4755</v>
      </c>
      <c r="C3202" s="2" t="s">
        <v>4756</v>
      </c>
      <c r="D3202" s="5" t="s">
        <v>4755</v>
      </c>
      <c r="E3202" s="2" t="s">
        <v>15445</v>
      </c>
      <c r="F3202" s="2" t="s">
        <v>15446</v>
      </c>
      <c r="G3202" s="2" t="s">
        <v>15456</v>
      </c>
      <c r="H3202" s="2" t="s">
        <v>15444</v>
      </c>
    </row>
    <row r="3203">
      <c r="A3203" s="2">
        <v>3201.0</v>
      </c>
      <c r="B3203" s="5" t="s">
        <v>12479</v>
      </c>
      <c r="C3203" s="2" t="s">
        <v>12480</v>
      </c>
      <c r="D3203" s="5" t="s">
        <v>12479</v>
      </c>
      <c r="E3203" s="2" t="s">
        <v>15441</v>
      </c>
      <c r="F3203" s="2" t="s">
        <v>15446</v>
      </c>
      <c r="G3203" s="2" t="s">
        <v>15456</v>
      </c>
      <c r="H3203" s="2" t="s">
        <v>15444</v>
      </c>
    </row>
    <row r="3204">
      <c r="A3204" s="2">
        <v>3202.0</v>
      </c>
      <c r="B3204" s="5" t="s">
        <v>4758</v>
      </c>
      <c r="C3204" s="2" t="s">
        <v>4759</v>
      </c>
      <c r="D3204" s="5" t="s">
        <v>4758</v>
      </c>
      <c r="E3204" s="2" t="s">
        <v>15445</v>
      </c>
      <c r="F3204" s="2" t="s">
        <v>15446</v>
      </c>
      <c r="G3204" s="2" t="s">
        <v>15443</v>
      </c>
      <c r="H3204" s="2" t="s">
        <v>15444</v>
      </c>
    </row>
    <row r="3205">
      <c r="A3205" s="2">
        <v>3203.0</v>
      </c>
      <c r="B3205" s="5" t="s">
        <v>4761</v>
      </c>
      <c r="C3205" s="2" t="s">
        <v>4762</v>
      </c>
      <c r="D3205" s="5" t="s">
        <v>4761</v>
      </c>
      <c r="E3205" s="2" t="s">
        <v>15445</v>
      </c>
      <c r="F3205" s="2" t="s">
        <v>15442</v>
      </c>
      <c r="G3205" s="2" t="s">
        <v>15443</v>
      </c>
      <c r="H3205" s="2" t="s">
        <v>15457</v>
      </c>
    </row>
    <row r="3206">
      <c r="A3206" s="2">
        <v>3204.0</v>
      </c>
      <c r="B3206" s="5" t="s">
        <v>4764</v>
      </c>
      <c r="C3206" s="2" t="s">
        <v>4765</v>
      </c>
      <c r="D3206" s="5" t="s">
        <v>4764</v>
      </c>
      <c r="E3206" s="2" t="s">
        <v>15445</v>
      </c>
      <c r="F3206" s="2" t="s">
        <v>15446</v>
      </c>
      <c r="G3206" s="2" t="s">
        <v>15456</v>
      </c>
      <c r="H3206" s="2" t="s">
        <v>15444</v>
      </c>
    </row>
    <row r="3207">
      <c r="A3207" s="2">
        <v>3205.0</v>
      </c>
      <c r="B3207" s="5" t="s">
        <v>12481</v>
      </c>
      <c r="C3207" s="2" t="s">
        <v>12482</v>
      </c>
      <c r="D3207" s="5" t="s">
        <v>12481</v>
      </c>
      <c r="E3207" s="2" t="s">
        <v>15441</v>
      </c>
      <c r="F3207" s="2" t="s">
        <v>15442</v>
      </c>
      <c r="G3207" s="2" t="s">
        <v>15443</v>
      </c>
      <c r="H3207" s="2" t="s">
        <v>15444</v>
      </c>
    </row>
    <row r="3208">
      <c r="A3208" s="2">
        <v>3206.0</v>
      </c>
      <c r="B3208" s="5" t="s">
        <v>12483</v>
      </c>
      <c r="C3208" s="2" t="s">
        <v>12484</v>
      </c>
      <c r="D3208" s="5" t="s">
        <v>12483</v>
      </c>
      <c r="E3208" s="2" t="s">
        <v>15441</v>
      </c>
      <c r="F3208" s="2" t="s">
        <v>15446</v>
      </c>
      <c r="G3208" s="2" t="s">
        <v>15456</v>
      </c>
      <c r="H3208" s="2" t="s">
        <v>15444</v>
      </c>
    </row>
    <row r="3209">
      <c r="A3209" s="2">
        <v>3207.0</v>
      </c>
      <c r="B3209" s="5" t="s">
        <v>12485</v>
      </c>
      <c r="C3209" s="2" t="s">
        <v>12486</v>
      </c>
      <c r="D3209" s="5" t="s">
        <v>12485</v>
      </c>
      <c r="E3209" s="2" t="s">
        <v>15441</v>
      </c>
      <c r="F3209" s="2" t="s">
        <v>15442</v>
      </c>
      <c r="G3209" s="2" t="s">
        <v>15443</v>
      </c>
      <c r="H3209" s="2" t="s">
        <v>15444</v>
      </c>
    </row>
    <row r="3210">
      <c r="A3210" s="2">
        <v>3208.0</v>
      </c>
      <c r="B3210" s="5" t="s">
        <v>4767</v>
      </c>
      <c r="C3210" s="2" t="s">
        <v>4768</v>
      </c>
      <c r="D3210" s="5" t="s">
        <v>4767</v>
      </c>
      <c r="E3210" s="2" t="s">
        <v>15445</v>
      </c>
      <c r="F3210" s="2" t="s">
        <v>15446</v>
      </c>
      <c r="G3210" s="2" t="s">
        <v>15456</v>
      </c>
      <c r="H3210" s="2" t="s">
        <v>15457</v>
      </c>
    </row>
    <row r="3211">
      <c r="A3211" s="2">
        <v>3209.0</v>
      </c>
      <c r="B3211" s="5" t="s">
        <v>12487</v>
      </c>
      <c r="C3211" s="2" t="s">
        <v>12488</v>
      </c>
      <c r="D3211" s="5" t="s">
        <v>12487</v>
      </c>
      <c r="E3211" s="2" t="s">
        <v>15441</v>
      </c>
      <c r="F3211" s="2" t="s">
        <v>15446</v>
      </c>
      <c r="G3211" s="2" t="s">
        <v>15443</v>
      </c>
      <c r="H3211" s="2" t="s">
        <v>15444</v>
      </c>
    </row>
    <row r="3212">
      <c r="A3212" s="2">
        <v>3210.0</v>
      </c>
      <c r="B3212" s="5" t="s">
        <v>4770</v>
      </c>
      <c r="C3212" s="2" t="s">
        <v>4771</v>
      </c>
      <c r="D3212" s="5" t="s">
        <v>4770</v>
      </c>
      <c r="E3212" s="2" t="s">
        <v>15445</v>
      </c>
      <c r="F3212" s="2" t="s">
        <v>15442</v>
      </c>
      <c r="G3212" s="2" t="s">
        <v>15443</v>
      </c>
      <c r="H3212" s="2" t="s">
        <v>15444</v>
      </c>
    </row>
    <row r="3213">
      <c r="A3213" s="2">
        <v>3211.0</v>
      </c>
      <c r="B3213" s="5" t="s">
        <v>12489</v>
      </c>
      <c r="C3213" s="2" t="s">
        <v>12490</v>
      </c>
      <c r="D3213" s="5" t="s">
        <v>12489</v>
      </c>
      <c r="E3213" s="2" t="s">
        <v>15441</v>
      </c>
      <c r="F3213" s="2" t="s">
        <v>15442</v>
      </c>
      <c r="G3213" s="2" t="s">
        <v>15456</v>
      </c>
      <c r="H3213" s="2" t="s">
        <v>15444</v>
      </c>
    </row>
    <row r="3214">
      <c r="A3214" s="2">
        <v>3212.0</v>
      </c>
      <c r="B3214" s="5" t="s">
        <v>12491</v>
      </c>
      <c r="C3214" s="2" t="s">
        <v>12492</v>
      </c>
      <c r="D3214" s="5" t="s">
        <v>12491</v>
      </c>
      <c r="E3214" s="2" t="s">
        <v>15441</v>
      </c>
      <c r="F3214" s="2" t="s">
        <v>15446</v>
      </c>
      <c r="G3214" s="2" t="s">
        <v>15443</v>
      </c>
      <c r="H3214" s="2" t="s">
        <v>15444</v>
      </c>
    </row>
    <row r="3215">
      <c r="A3215" s="2">
        <v>3213.0</v>
      </c>
      <c r="B3215" s="5" t="s">
        <v>4773</v>
      </c>
      <c r="C3215" s="2" t="s">
        <v>4774</v>
      </c>
      <c r="D3215" s="5" t="s">
        <v>4773</v>
      </c>
      <c r="E3215" s="2" t="s">
        <v>15445</v>
      </c>
      <c r="F3215" s="2" t="s">
        <v>15446</v>
      </c>
      <c r="G3215" s="2" t="s">
        <v>15443</v>
      </c>
      <c r="H3215" s="2" t="s">
        <v>15444</v>
      </c>
    </row>
    <row r="3216">
      <c r="A3216" s="2">
        <v>3214.0</v>
      </c>
      <c r="B3216" s="5" t="s">
        <v>4776</v>
      </c>
      <c r="C3216" s="2" t="s">
        <v>4777</v>
      </c>
      <c r="D3216" s="5" t="s">
        <v>4776</v>
      </c>
      <c r="E3216" s="2" t="s">
        <v>15445</v>
      </c>
      <c r="F3216" s="2" t="s">
        <v>15442</v>
      </c>
      <c r="G3216" s="2" t="s">
        <v>15443</v>
      </c>
      <c r="H3216" s="2" t="s">
        <v>15444</v>
      </c>
    </row>
    <row r="3217">
      <c r="A3217" s="2">
        <v>3215.0</v>
      </c>
      <c r="B3217" s="5" t="s">
        <v>12493</v>
      </c>
      <c r="C3217" s="2" t="s">
        <v>12494</v>
      </c>
      <c r="D3217" s="5" t="s">
        <v>12493</v>
      </c>
      <c r="E3217" s="2" t="s">
        <v>15441</v>
      </c>
      <c r="F3217" s="2" t="s">
        <v>15446</v>
      </c>
      <c r="G3217" s="2" t="s">
        <v>15443</v>
      </c>
      <c r="H3217" s="2" t="s">
        <v>15444</v>
      </c>
    </row>
    <row r="3218">
      <c r="A3218" s="2">
        <v>3216.0</v>
      </c>
      <c r="B3218" s="5" t="s">
        <v>4779</v>
      </c>
      <c r="C3218" s="2" t="s">
        <v>4780</v>
      </c>
      <c r="D3218" s="5" t="s">
        <v>4779</v>
      </c>
      <c r="E3218" s="2" t="s">
        <v>15445</v>
      </c>
      <c r="F3218" s="2" t="s">
        <v>15446</v>
      </c>
      <c r="G3218" s="2" t="s">
        <v>15456</v>
      </c>
      <c r="H3218" s="2" t="s">
        <v>15444</v>
      </c>
    </row>
    <row r="3219">
      <c r="A3219" s="2">
        <v>3217.0</v>
      </c>
      <c r="B3219" s="5" t="s">
        <v>4782</v>
      </c>
      <c r="C3219" s="2" t="s">
        <v>4783</v>
      </c>
      <c r="D3219" s="5" t="s">
        <v>4782</v>
      </c>
      <c r="E3219" s="2" t="s">
        <v>15445</v>
      </c>
      <c r="F3219" s="2" t="s">
        <v>15446</v>
      </c>
      <c r="G3219" s="2" t="s">
        <v>15443</v>
      </c>
      <c r="H3219" s="2" t="s">
        <v>15444</v>
      </c>
    </row>
    <row r="3220">
      <c r="A3220" s="2">
        <v>3218.0</v>
      </c>
      <c r="B3220" s="5" t="s">
        <v>4785</v>
      </c>
      <c r="C3220" s="2" t="s">
        <v>4786</v>
      </c>
      <c r="D3220" s="5" t="s">
        <v>4785</v>
      </c>
      <c r="E3220" s="2" t="s">
        <v>15445</v>
      </c>
      <c r="F3220" s="2" t="s">
        <v>15442</v>
      </c>
      <c r="G3220" s="2" t="s">
        <v>15443</v>
      </c>
      <c r="H3220" s="2" t="s">
        <v>15444</v>
      </c>
    </row>
    <row r="3221">
      <c r="A3221" s="2">
        <v>3219.0</v>
      </c>
      <c r="B3221" s="5" t="s">
        <v>4788</v>
      </c>
      <c r="C3221" s="2" t="s">
        <v>4789</v>
      </c>
      <c r="D3221" s="5" t="s">
        <v>4788</v>
      </c>
      <c r="E3221" s="2" t="s">
        <v>15445</v>
      </c>
      <c r="F3221" s="2" t="s">
        <v>15442</v>
      </c>
      <c r="G3221" s="2" t="s">
        <v>15443</v>
      </c>
      <c r="H3221" s="2" t="s">
        <v>15444</v>
      </c>
    </row>
    <row r="3222">
      <c r="A3222" s="2">
        <v>3220.0</v>
      </c>
      <c r="B3222" s="5" t="s">
        <v>12495</v>
      </c>
      <c r="C3222" s="2" t="s">
        <v>12496</v>
      </c>
      <c r="D3222" s="5" t="s">
        <v>12495</v>
      </c>
      <c r="E3222" s="2" t="s">
        <v>15441</v>
      </c>
      <c r="F3222" s="2" t="s">
        <v>15446</v>
      </c>
      <c r="G3222" s="2" t="s">
        <v>15443</v>
      </c>
      <c r="H3222" s="2" t="s">
        <v>15462</v>
      </c>
    </row>
    <row r="3223">
      <c r="A3223" s="2">
        <v>3221.0</v>
      </c>
      <c r="B3223" s="5" t="s">
        <v>4791</v>
      </c>
      <c r="C3223" s="2" t="s">
        <v>4792</v>
      </c>
      <c r="D3223" s="5" t="s">
        <v>4791</v>
      </c>
      <c r="E3223" s="2" t="s">
        <v>15445</v>
      </c>
      <c r="F3223" s="2" t="s">
        <v>15442</v>
      </c>
      <c r="G3223" s="2" t="s">
        <v>15443</v>
      </c>
      <c r="H3223" s="2" t="s">
        <v>15444</v>
      </c>
    </row>
    <row r="3224">
      <c r="A3224" s="2">
        <v>3222.0</v>
      </c>
      <c r="B3224" s="5" t="s">
        <v>12497</v>
      </c>
      <c r="C3224" s="2" t="s">
        <v>12498</v>
      </c>
      <c r="D3224" s="5" t="s">
        <v>12497</v>
      </c>
      <c r="E3224" s="2" t="s">
        <v>15441</v>
      </c>
      <c r="F3224" s="2" t="s">
        <v>15442</v>
      </c>
      <c r="G3224" s="2" t="s">
        <v>15456</v>
      </c>
      <c r="H3224" s="2" t="s">
        <v>15444</v>
      </c>
    </row>
    <row r="3225">
      <c r="A3225" s="2">
        <v>3223.0</v>
      </c>
      <c r="B3225" s="5" t="s">
        <v>12499</v>
      </c>
      <c r="C3225" s="2" t="s">
        <v>12500</v>
      </c>
      <c r="D3225" s="5" t="s">
        <v>12499</v>
      </c>
      <c r="E3225" s="2" t="s">
        <v>15441</v>
      </c>
      <c r="F3225" s="2" t="s">
        <v>15442</v>
      </c>
      <c r="G3225" s="2" t="s">
        <v>15443</v>
      </c>
      <c r="H3225" s="2" t="s">
        <v>15462</v>
      </c>
    </row>
    <row r="3226">
      <c r="A3226" s="2">
        <v>3224.0</v>
      </c>
      <c r="B3226" s="5" t="s">
        <v>4794</v>
      </c>
      <c r="C3226" s="2" t="s">
        <v>4795</v>
      </c>
      <c r="D3226" s="5" t="s">
        <v>4794</v>
      </c>
      <c r="E3226" s="2" t="s">
        <v>15445</v>
      </c>
      <c r="F3226" s="2" t="s">
        <v>15446</v>
      </c>
      <c r="G3226" s="2" t="s">
        <v>15456</v>
      </c>
      <c r="H3226" s="2" t="s">
        <v>15444</v>
      </c>
    </row>
    <row r="3227">
      <c r="A3227" s="2">
        <v>3225.0</v>
      </c>
      <c r="B3227" s="5" t="s">
        <v>4797</v>
      </c>
      <c r="C3227" s="2" t="s">
        <v>4798</v>
      </c>
      <c r="D3227" s="5" t="s">
        <v>4797</v>
      </c>
      <c r="E3227" s="2" t="s">
        <v>15445</v>
      </c>
      <c r="F3227" s="2" t="s">
        <v>15446</v>
      </c>
      <c r="G3227" s="2" t="s">
        <v>15456</v>
      </c>
      <c r="H3227" s="2" t="s">
        <v>15444</v>
      </c>
    </row>
    <row r="3228">
      <c r="A3228" s="2">
        <v>3226.0</v>
      </c>
      <c r="B3228" s="5" t="s">
        <v>12501</v>
      </c>
      <c r="C3228" s="2" t="s">
        <v>12502</v>
      </c>
      <c r="D3228" s="5" t="s">
        <v>12501</v>
      </c>
      <c r="E3228" s="2" t="s">
        <v>15441</v>
      </c>
      <c r="F3228" s="2" t="s">
        <v>15442</v>
      </c>
      <c r="G3228" s="2" t="s">
        <v>15456</v>
      </c>
      <c r="H3228" s="2" t="s">
        <v>15444</v>
      </c>
    </row>
    <row r="3229">
      <c r="A3229" s="2">
        <v>3227.0</v>
      </c>
      <c r="B3229" s="5" t="s">
        <v>12503</v>
      </c>
      <c r="C3229" s="2" t="s">
        <v>12504</v>
      </c>
      <c r="D3229" s="5" t="s">
        <v>12503</v>
      </c>
      <c r="E3229" s="2" t="s">
        <v>15441</v>
      </c>
      <c r="F3229" s="2" t="s">
        <v>15446</v>
      </c>
      <c r="G3229" s="2" t="s">
        <v>15456</v>
      </c>
      <c r="H3229" s="2" t="s">
        <v>15455</v>
      </c>
    </row>
    <row r="3230">
      <c r="A3230" s="2">
        <v>3228.0</v>
      </c>
      <c r="B3230" s="5" t="s">
        <v>4800</v>
      </c>
      <c r="C3230" s="2" t="s">
        <v>4801</v>
      </c>
      <c r="D3230" s="5" t="s">
        <v>4800</v>
      </c>
      <c r="E3230" s="2" t="s">
        <v>15445</v>
      </c>
      <c r="F3230" s="2" t="s">
        <v>15442</v>
      </c>
      <c r="G3230" s="2" t="s">
        <v>15443</v>
      </c>
      <c r="H3230" s="2" t="s">
        <v>15444</v>
      </c>
    </row>
    <row r="3231">
      <c r="A3231" s="2">
        <v>3229.0</v>
      </c>
      <c r="B3231" s="5" t="s">
        <v>4803</v>
      </c>
      <c r="C3231" s="2" t="s">
        <v>4804</v>
      </c>
      <c r="D3231" s="5" t="s">
        <v>4803</v>
      </c>
      <c r="E3231" s="2" t="s">
        <v>15445</v>
      </c>
      <c r="F3231" s="2" t="s">
        <v>15442</v>
      </c>
      <c r="G3231" s="2" t="s">
        <v>15456</v>
      </c>
      <c r="H3231" s="2" t="s">
        <v>15461</v>
      </c>
    </row>
    <row r="3232">
      <c r="A3232" s="2">
        <v>3230.0</v>
      </c>
      <c r="B3232" s="5" t="s">
        <v>12505</v>
      </c>
      <c r="C3232" s="2" t="s">
        <v>12506</v>
      </c>
      <c r="D3232" s="5" t="s">
        <v>12505</v>
      </c>
      <c r="E3232" s="2" t="s">
        <v>15441</v>
      </c>
      <c r="F3232" s="2" t="s">
        <v>15442</v>
      </c>
      <c r="G3232" s="2" t="s">
        <v>15456</v>
      </c>
      <c r="H3232" s="2" t="s">
        <v>15462</v>
      </c>
    </row>
    <row r="3233">
      <c r="A3233" s="2">
        <v>3231.0</v>
      </c>
      <c r="B3233" s="5" t="s">
        <v>12507</v>
      </c>
      <c r="C3233" s="2" t="s">
        <v>12508</v>
      </c>
      <c r="D3233" s="5" t="s">
        <v>12507</v>
      </c>
      <c r="E3233" s="2" t="s">
        <v>15441</v>
      </c>
      <c r="F3233" s="2" t="s">
        <v>15446</v>
      </c>
      <c r="G3233" s="2" t="s">
        <v>15456</v>
      </c>
      <c r="H3233" s="2" t="s">
        <v>15444</v>
      </c>
    </row>
    <row r="3234">
      <c r="A3234" s="2">
        <v>3232.0</v>
      </c>
      <c r="B3234" s="5" t="s">
        <v>12509</v>
      </c>
      <c r="C3234" s="2" t="s">
        <v>12510</v>
      </c>
      <c r="D3234" s="5" t="s">
        <v>12509</v>
      </c>
      <c r="E3234" s="2" t="s">
        <v>15441</v>
      </c>
      <c r="F3234" s="2" t="s">
        <v>15442</v>
      </c>
      <c r="G3234" s="2" t="s">
        <v>15443</v>
      </c>
      <c r="H3234" s="2" t="s">
        <v>15444</v>
      </c>
    </row>
    <row r="3235">
      <c r="A3235" s="2">
        <v>3233.0</v>
      </c>
      <c r="B3235" s="5" t="s">
        <v>12511</v>
      </c>
      <c r="C3235" s="2" t="s">
        <v>12512</v>
      </c>
      <c r="D3235" s="5" t="s">
        <v>12511</v>
      </c>
      <c r="E3235" s="2" t="s">
        <v>15441</v>
      </c>
      <c r="F3235" s="2" t="s">
        <v>15446</v>
      </c>
      <c r="G3235" s="2" t="s">
        <v>15456</v>
      </c>
      <c r="H3235" s="2" t="s">
        <v>15444</v>
      </c>
    </row>
    <row r="3236">
      <c r="A3236" s="2">
        <v>3234.0</v>
      </c>
      <c r="B3236" s="5" t="s">
        <v>12513</v>
      </c>
      <c r="C3236" s="2" t="s">
        <v>12514</v>
      </c>
      <c r="D3236" s="5" t="s">
        <v>12513</v>
      </c>
      <c r="E3236" s="2" t="s">
        <v>15441</v>
      </c>
      <c r="F3236" s="2" t="s">
        <v>15446</v>
      </c>
      <c r="G3236" s="2" t="s">
        <v>15456</v>
      </c>
      <c r="H3236" s="2" t="s">
        <v>15444</v>
      </c>
    </row>
    <row r="3237">
      <c r="A3237" s="2">
        <v>3235.0</v>
      </c>
      <c r="B3237" s="5" t="s">
        <v>12515</v>
      </c>
      <c r="C3237" s="2" t="s">
        <v>12516</v>
      </c>
      <c r="D3237" s="5" t="s">
        <v>12515</v>
      </c>
      <c r="E3237" s="2" t="s">
        <v>15441</v>
      </c>
      <c r="F3237" s="2" t="s">
        <v>15446</v>
      </c>
      <c r="G3237" s="2" t="s">
        <v>15456</v>
      </c>
      <c r="H3237" s="2" t="s">
        <v>15457</v>
      </c>
    </row>
    <row r="3238">
      <c r="A3238" s="2">
        <v>3236.0</v>
      </c>
      <c r="B3238" s="5" t="s">
        <v>12517</v>
      </c>
      <c r="C3238" s="2" t="s">
        <v>12518</v>
      </c>
      <c r="D3238" s="5" t="s">
        <v>12517</v>
      </c>
      <c r="E3238" s="2" t="s">
        <v>15441</v>
      </c>
      <c r="F3238" s="2" t="s">
        <v>15446</v>
      </c>
      <c r="G3238" s="2" t="s">
        <v>15456</v>
      </c>
      <c r="H3238" s="2" t="s">
        <v>15444</v>
      </c>
    </row>
    <row r="3239">
      <c r="A3239" s="2">
        <v>3237.0</v>
      </c>
      <c r="B3239" s="5" t="s">
        <v>4805</v>
      </c>
      <c r="C3239" s="2" t="s">
        <v>4806</v>
      </c>
      <c r="D3239" s="5" t="s">
        <v>4805</v>
      </c>
      <c r="E3239" s="2" t="s">
        <v>15445</v>
      </c>
      <c r="F3239" s="2" t="s">
        <v>15442</v>
      </c>
      <c r="G3239" s="2" t="s">
        <v>15443</v>
      </c>
      <c r="H3239" s="2" t="s">
        <v>15444</v>
      </c>
    </row>
    <row r="3240">
      <c r="A3240" s="2">
        <v>3238.0</v>
      </c>
      <c r="B3240" s="5" t="s">
        <v>12519</v>
      </c>
      <c r="C3240" s="2" t="s">
        <v>12520</v>
      </c>
      <c r="D3240" s="5" t="s">
        <v>12519</v>
      </c>
      <c r="E3240" s="2" t="s">
        <v>15441</v>
      </c>
      <c r="F3240" s="2" t="s">
        <v>15446</v>
      </c>
      <c r="G3240" s="2" t="s">
        <v>15443</v>
      </c>
      <c r="H3240" s="2" t="s">
        <v>15462</v>
      </c>
    </row>
    <row r="3241">
      <c r="A3241" s="2">
        <v>3239.0</v>
      </c>
      <c r="B3241" s="5" t="s">
        <v>12521</v>
      </c>
      <c r="C3241" s="2" t="s">
        <v>12522</v>
      </c>
      <c r="D3241" s="5" t="s">
        <v>12521</v>
      </c>
      <c r="E3241" s="2" t="s">
        <v>15441</v>
      </c>
      <c r="F3241" s="2" t="s">
        <v>15442</v>
      </c>
      <c r="G3241" s="2" t="s">
        <v>15443</v>
      </c>
      <c r="H3241" s="2" t="s">
        <v>15444</v>
      </c>
    </row>
    <row r="3242">
      <c r="A3242" s="2">
        <v>3240.0</v>
      </c>
      <c r="B3242" s="5" t="s">
        <v>4808</v>
      </c>
      <c r="C3242" s="2" t="s">
        <v>4809</v>
      </c>
      <c r="D3242" s="5" t="s">
        <v>4808</v>
      </c>
      <c r="E3242" s="2" t="s">
        <v>15445</v>
      </c>
      <c r="F3242" s="2" t="s">
        <v>15446</v>
      </c>
      <c r="G3242" s="2" t="s">
        <v>15443</v>
      </c>
      <c r="H3242" s="2" t="s">
        <v>15462</v>
      </c>
    </row>
    <row r="3243">
      <c r="A3243" s="2">
        <v>3241.0</v>
      </c>
      <c r="B3243" s="5" t="s">
        <v>12523</v>
      </c>
      <c r="C3243" s="2" t="s">
        <v>12524</v>
      </c>
      <c r="D3243" s="5" t="s">
        <v>12523</v>
      </c>
      <c r="E3243" s="2" t="s">
        <v>15441</v>
      </c>
      <c r="F3243" s="2" t="s">
        <v>15442</v>
      </c>
      <c r="G3243" s="2" t="s">
        <v>15443</v>
      </c>
      <c r="H3243" s="2" t="s">
        <v>15457</v>
      </c>
    </row>
    <row r="3244">
      <c r="A3244" s="2">
        <v>3242.0</v>
      </c>
      <c r="B3244" s="5" t="s">
        <v>12525</v>
      </c>
      <c r="C3244" s="2" t="s">
        <v>12526</v>
      </c>
      <c r="D3244" s="5" t="s">
        <v>12525</v>
      </c>
      <c r="E3244" s="2" t="s">
        <v>15441</v>
      </c>
      <c r="F3244" s="2" t="s">
        <v>15442</v>
      </c>
      <c r="G3244" s="2" t="s">
        <v>15443</v>
      </c>
      <c r="H3244" s="2" t="s">
        <v>15444</v>
      </c>
    </row>
    <row r="3245">
      <c r="A3245" s="2">
        <v>3243.0</v>
      </c>
      <c r="B3245" s="5" t="s">
        <v>4811</v>
      </c>
      <c r="C3245" s="2" t="s">
        <v>4812</v>
      </c>
      <c r="D3245" s="5" t="s">
        <v>4811</v>
      </c>
      <c r="E3245" s="2" t="s">
        <v>15445</v>
      </c>
      <c r="F3245" s="2" t="s">
        <v>15442</v>
      </c>
      <c r="G3245" s="2" t="s">
        <v>15443</v>
      </c>
      <c r="H3245" s="2" t="s">
        <v>15444</v>
      </c>
    </row>
    <row r="3246">
      <c r="A3246" s="2">
        <v>3244.0</v>
      </c>
      <c r="B3246" s="5" t="s">
        <v>4814</v>
      </c>
      <c r="C3246" s="2" t="s">
        <v>4815</v>
      </c>
      <c r="D3246" s="5" t="s">
        <v>4814</v>
      </c>
      <c r="E3246" s="2" t="s">
        <v>15445</v>
      </c>
      <c r="F3246" s="2" t="s">
        <v>15442</v>
      </c>
      <c r="G3246" s="2" t="s">
        <v>15443</v>
      </c>
      <c r="H3246" s="2" t="s">
        <v>15444</v>
      </c>
    </row>
    <row r="3247">
      <c r="A3247" s="2">
        <v>3245.0</v>
      </c>
      <c r="B3247" s="5" t="s">
        <v>12527</v>
      </c>
      <c r="C3247" s="2" t="s">
        <v>12528</v>
      </c>
      <c r="D3247" s="5" t="s">
        <v>12527</v>
      </c>
      <c r="E3247" s="2" t="s">
        <v>15441</v>
      </c>
      <c r="F3247" s="2" t="s">
        <v>15442</v>
      </c>
      <c r="G3247" s="2" t="s">
        <v>15443</v>
      </c>
      <c r="H3247" s="2" t="s">
        <v>15444</v>
      </c>
    </row>
    <row r="3248">
      <c r="A3248" s="2">
        <v>3246.0</v>
      </c>
      <c r="B3248" s="5" t="s">
        <v>4817</v>
      </c>
      <c r="C3248" s="2" t="s">
        <v>4818</v>
      </c>
      <c r="D3248" s="5" t="s">
        <v>4817</v>
      </c>
      <c r="E3248" s="2" t="s">
        <v>15445</v>
      </c>
      <c r="F3248" s="2" t="s">
        <v>15446</v>
      </c>
      <c r="G3248" s="2" t="s">
        <v>15456</v>
      </c>
      <c r="H3248" s="2" t="s">
        <v>15462</v>
      </c>
    </row>
    <row r="3249">
      <c r="A3249" s="2">
        <v>3247.0</v>
      </c>
      <c r="B3249" s="5" t="s">
        <v>12529</v>
      </c>
      <c r="C3249" s="2" t="s">
        <v>12530</v>
      </c>
      <c r="D3249" s="5" t="s">
        <v>12529</v>
      </c>
      <c r="E3249" s="2" t="s">
        <v>15441</v>
      </c>
      <c r="F3249" s="2" t="s">
        <v>15446</v>
      </c>
      <c r="G3249" s="2" t="s">
        <v>15456</v>
      </c>
      <c r="H3249" s="2" t="s">
        <v>15444</v>
      </c>
    </row>
    <row r="3250">
      <c r="A3250" s="2">
        <v>3248.0</v>
      </c>
      <c r="B3250" s="5" t="s">
        <v>4820</v>
      </c>
      <c r="C3250" s="2" t="s">
        <v>4821</v>
      </c>
      <c r="D3250" s="5" t="s">
        <v>4820</v>
      </c>
      <c r="E3250" s="2" t="s">
        <v>15445</v>
      </c>
      <c r="F3250" s="2" t="s">
        <v>15446</v>
      </c>
      <c r="G3250" s="2" t="s">
        <v>15443</v>
      </c>
      <c r="H3250" s="2" t="s">
        <v>15444</v>
      </c>
    </row>
    <row r="3251">
      <c r="A3251" s="2">
        <v>3249.0</v>
      </c>
      <c r="B3251" s="5" t="s">
        <v>12531</v>
      </c>
      <c r="C3251" s="2" t="s">
        <v>12532</v>
      </c>
      <c r="D3251" s="5" t="s">
        <v>12531</v>
      </c>
      <c r="E3251" s="2" t="s">
        <v>15441</v>
      </c>
      <c r="F3251" s="2" t="s">
        <v>15446</v>
      </c>
      <c r="G3251" s="2" t="s">
        <v>15443</v>
      </c>
      <c r="H3251" s="2" t="s">
        <v>15444</v>
      </c>
    </row>
    <row r="3252">
      <c r="A3252" s="2">
        <v>3250.0</v>
      </c>
      <c r="B3252" s="5" t="s">
        <v>12533</v>
      </c>
      <c r="C3252" s="2" t="s">
        <v>12534</v>
      </c>
      <c r="D3252" s="5" t="s">
        <v>12533</v>
      </c>
      <c r="E3252" s="2" t="s">
        <v>15441</v>
      </c>
      <c r="F3252" s="2" t="s">
        <v>15446</v>
      </c>
      <c r="G3252" s="2" t="s">
        <v>15456</v>
      </c>
      <c r="H3252" s="2" t="s">
        <v>15444</v>
      </c>
    </row>
    <row r="3253">
      <c r="A3253" s="2">
        <v>3251.0</v>
      </c>
      <c r="B3253" s="5" t="s">
        <v>12535</v>
      </c>
      <c r="C3253" s="2" t="s">
        <v>12536</v>
      </c>
      <c r="D3253" s="5" t="s">
        <v>12535</v>
      </c>
      <c r="E3253" s="2" t="s">
        <v>15441</v>
      </c>
      <c r="F3253" s="2" t="s">
        <v>15446</v>
      </c>
      <c r="G3253" s="2" t="s">
        <v>15456</v>
      </c>
      <c r="H3253" s="2" t="s">
        <v>15444</v>
      </c>
    </row>
    <row r="3254">
      <c r="A3254" s="2">
        <v>3252.0</v>
      </c>
      <c r="B3254" s="5" t="s">
        <v>4823</v>
      </c>
      <c r="C3254" s="2" t="s">
        <v>4824</v>
      </c>
      <c r="D3254" s="5" t="s">
        <v>4823</v>
      </c>
      <c r="E3254" s="2" t="s">
        <v>15445</v>
      </c>
      <c r="F3254" s="2" t="s">
        <v>15442</v>
      </c>
      <c r="G3254" s="2" t="s">
        <v>15443</v>
      </c>
      <c r="H3254" s="2" t="s">
        <v>15444</v>
      </c>
    </row>
    <row r="3255">
      <c r="A3255" s="2">
        <v>3253.0</v>
      </c>
      <c r="B3255" s="5" t="s">
        <v>4826</v>
      </c>
      <c r="C3255" s="2" t="s">
        <v>4827</v>
      </c>
      <c r="D3255" s="5" t="s">
        <v>4826</v>
      </c>
      <c r="E3255" s="2" t="s">
        <v>15445</v>
      </c>
      <c r="F3255" s="2" t="s">
        <v>15446</v>
      </c>
      <c r="G3255" s="2" t="s">
        <v>15443</v>
      </c>
      <c r="H3255" s="2" t="s">
        <v>15444</v>
      </c>
    </row>
    <row r="3256">
      <c r="A3256" s="2">
        <v>3254.0</v>
      </c>
      <c r="B3256" s="5" t="s">
        <v>12537</v>
      </c>
      <c r="C3256" s="2" t="s">
        <v>12538</v>
      </c>
      <c r="D3256" s="5" t="s">
        <v>12537</v>
      </c>
      <c r="E3256" s="2" t="s">
        <v>15441</v>
      </c>
      <c r="F3256" s="2" t="s">
        <v>15442</v>
      </c>
      <c r="G3256" s="2" t="s">
        <v>15443</v>
      </c>
      <c r="H3256" s="2" t="s">
        <v>15444</v>
      </c>
    </row>
    <row r="3257">
      <c r="A3257" s="2">
        <v>3255.0</v>
      </c>
      <c r="B3257" s="5" t="s">
        <v>12539</v>
      </c>
      <c r="C3257" s="2" t="s">
        <v>12540</v>
      </c>
      <c r="D3257" s="5" t="s">
        <v>12539</v>
      </c>
      <c r="E3257" s="2" t="s">
        <v>15441</v>
      </c>
      <c r="F3257" s="2" t="s">
        <v>15442</v>
      </c>
      <c r="G3257" s="2" t="s">
        <v>15456</v>
      </c>
      <c r="H3257" s="2" t="s">
        <v>15444</v>
      </c>
    </row>
    <row r="3258">
      <c r="A3258" s="2">
        <v>3256.0</v>
      </c>
      <c r="B3258" s="5" t="s">
        <v>12541</v>
      </c>
      <c r="C3258" s="2" t="s">
        <v>12542</v>
      </c>
      <c r="D3258" s="5" t="s">
        <v>12541</v>
      </c>
      <c r="E3258" s="2" t="s">
        <v>15441</v>
      </c>
      <c r="F3258" s="2" t="s">
        <v>15446</v>
      </c>
      <c r="G3258" s="2" t="s">
        <v>15456</v>
      </c>
      <c r="H3258" s="2" t="s">
        <v>15444</v>
      </c>
    </row>
    <row r="3259">
      <c r="A3259" s="2">
        <v>3257.0</v>
      </c>
      <c r="B3259" s="5" t="s">
        <v>12543</v>
      </c>
      <c r="C3259" s="2" t="s">
        <v>12544</v>
      </c>
      <c r="D3259" s="5" t="s">
        <v>12543</v>
      </c>
      <c r="E3259" s="2" t="s">
        <v>15441</v>
      </c>
      <c r="F3259" s="2" t="s">
        <v>15442</v>
      </c>
      <c r="G3259" s="2" t="s">
        <v>15443</v>
      </c>
      <c r="H3259" s="2" t="s">
        <v>15444</v>
      </c>
    </row>
    <row r="3260">
      <c r="A3260" s="2">
        <v>3258.0</v>
      </c>
      <c r="B3260" s="5" t="s">
        <v>12545</v>
      </c>
      <c r="C3260" s="2" t="s">
        <v>12546</v>
      </c>
      <c r="D3260" s="5" t="s">
        <v>12545</v>
      </c>
      <c r="E3260" s="2" t="s">
        <v>15441</v>
      </c>
      <c r="F3260" s="2" t="s">
        <v>15446</v>
      </c>
      <c r="G3260" s="2" t="s">
        <v>15443</v>
      </c>
      <c r="H3260" s="2" t="s">
        <v>15444</v>
      </c>
    </row>
    <row r="3261">
      <c r="A3261" s="2">
        <v>3259.0</v>
      </c>
      <c r="B3261" s="5" t="s">
        <v>4829</v>
      </c>
      <c r="C3261" s="2" t="s">
        <v>4830</v>
      </c>
      <c r="D3261" s="5" t="s">
        <v>4829</v>
      </c>
      <c r="E3261" s="2" t="s">
        <v>15445</v>
      </c>
      <c r="F3261" s="2" t="s">
        <v>15442</v>
      </c>
      <c r="G3261" s="2" t="s">
        <v>15443</v>
      </c>
      <c r="H3261" s="2" t="s">
        <v>15444</v>
      </c>
    </row>
    <row r="3262">
      <c r="A3262" s="2">
        <v>3260.0</v>
      </c>
      <c r="B3262" s="5" t="s">
        <v>12547</v>
      </c>
      <c r="C3262" s="2" t="s">
        <v>12548</v>
      </c>
      <c r="D3262" s="5" t="s">
        <v>12547</v>
      </c>
      <c r="E3262" s="2" t="s">
        <v>15441</v>
      </c>
      <c r="F3262" s="2" t="s">
        <v>15446</v>
      </c>
      <c r="G3262" s="2" t="s">
        <v>15456</v>
      </c>
      <c r="H3262" s="2" t="s">
        <v>15457</v>
      </c>
    </row>
    <row r="3263">
      <c r="A3263" s="2">
        <v>3261.0</v>
      </c>
      <c r="B3263" s="5" t="s">
        <v>4832</v>
      </c>
      <c r="C3263" s="2" t="s">
        <v>4833</v>
      </c>
      <c r="D3263" s="5" t="s">
        <v>4832</v>
      </c>
      <c r="E3263" s="2" t="s">
        <v>15445</v>
      </c>
      <c r="F3263" s="2" t="s">
        <v>15442</v>
      </c>
      <c r="G3263" s="2" t="s">
        <v>15443</v>
      </c>
      <c r="H3263" s="2" t="s">
        <v>15457</v>
      </c>
    </row>
    <row r="3264">
      <c r="A3264" s="2">
        <v>3262.0</v>
      </c>
      <c r="B3264" s="5" t="s">
        <v>4835</v>
      </c>
      <c r="C3264" s="2" t="s">
        <v>4836</v>
      </c>
      <c r="D3264" s="5" t="s">
        <v>4835</v>
      </c>
      <c r="E3264" s="2" t="s">
        <v>15445</v>
      </c>
      <c r="F3264" s="2" t="s">
        <v>15442</v>
      </c>
      <c r="G3264" s="2" t="s">
        <v>15443</v>
      </c>
      <c r="H3264" s="2" t="s">
        <v>15444</v>
      </c>
    </row>
    <row r="3265">
      <c r="A3265" s="2">
        <v>3263.0</v>
      </c>
      <c r="B3265" s="5" t="s">
        <v>4838</v>
      </c>
      <c r="C3265" s="2" t="s">
        <v>4839</v>
      </c>
      <c r="D3265" s="5" t="s">
        <v>4838</v>
      </c>
      <c r="E3265" s="2" t="s">
        <v>15445</v>
      </c>
      <c r="F3265" s="2" t="s">
        <v>15442</v>
      </c>
      <c r="G3265" s="2" t="s">
        <v>15456</v>
      </c>
      <c r="H3265" s="2" t="s">
        <v>15444</v>
      </c>
    </row>
    <row r="3266">
      <c r="A3266" s="2">
        <v>3264.0</v>
      </c>
      <c r="B3266" s="5" t="s">
        <v>12549</v>
      </c>
      <c r="C3266" s="2" t="s">
        <v>12550</v>
      </c>
      <c r="D3266" s="5" t="s">
        <v>12549</v>
      </c>
      <c r="E3266" s="2" t="s">
        <v>15441</v>
      </c>
      <c r="F3266" s="2" t="s">
        <v>15446</v>
      </c>
      <c r="G3266" s="2" t="s">
        <v>15456</v>
      </c>
      <c r="H3266" s="2" t="s">
        <v>15444</v>
      </c>
    </row>
    <row r="3267">
      <c r="A3267" s="2">
        <v>3265.0</v>
      </c>
      <c r="B3267" s="5" t="s">
        <v>12551</v>
      </c>
      <c r="C3267" s="2" t="s">
        <v>12552</v>
      </c>
      <c r="D3267" s="5" t="s">
        <v>12551</v>
      </c>
      <c r="E3267" s="2" t="s">
        <v>15441</v>
      </c>
      <c r="F3267" s="2" t="s">
        <v>15442</v>
      </c>
      <c r="G3267" s="2" t="s">
        <v>15443</v>
      </c>
      <c r="H3267" s="2" t="s">
        <v>15444</v>
      </c>
    </row>
    <row r="3268">
      <c r="A3268" s="2">
        <v>3266.0</v>
      </c>
      <c r="B3268" s="5" t="s">
        <v>4841</v>
      </c>
      <c r="C3268" s="2" t="s">
        <v>4842</v>
      </c>
      <c r="D3268" s="5" t="s">
        <v>4841</v>
      </c>
      <c r="E3268" s="2" t="s">
        <v>15445</v>
      </c>
      <c r="F3268" s="2" t="s">
        <v>15442</v>
      </c>
      <c r="G3268" s="2" t="s">
        <v>15443</v>
      </c>
      <c r="H3268" s="2" t="s">
        <v>15457</v>
      </c>
    </row>
    <row r="3269">
      <c r="A3269" s="2">
        <v>3267.0</v>
      </c>
      <c r="B3269" s="5" t="s">
        <v>12553</v>
      </c>
      <c r="C3269" s="2" t="s">
        <v>12554</v>
      </c>
      <c r="D3269" s="5" t="s">
        <v>12553</v>
      </c>
      <c r="E3269" s="2" t="s">
        <v>15441</v>
      </c>
      <c r="F3269" s="2" t="s">
        <v>15442</v>
      </c>
      <c r="G3269" s="2" t="s">
        <v>15456</v>
      </c>
      <c r="H3269" s="2" t="s">
        <v>15444</v>
      </c>
    </row>
    <row r="3270">
      <c r="A3270" s="2">
        <v>3268.0</v>
      </c>
      <c r="B3270" s="5" t="s">
        <v>12555</v>
      </c>
      <c r="C3270" s="2" t="s">
        <v>12556</v>
      </c>
      <c r="D3270" s="5" t="s">
        <v>12555</v>
      </c>
      <c r="E3270" s="2" t="s">
        <v>15441</v>
      </c>
      <c r="F3270" s="2" t="s">
        <v>15446</v>
      </c>
      <c r="G3270" s="2" t="s">
        <v>15443</v>
      </c>
      <c r="H3270" s="2" t="s">
        <v>15444</v>
      </c>
    </row>
    <row r="3271">
      <c r="A3271" s="2">
        <v>3269.0</v>
      </c>
      <c r="B3271" s="5" t="s">
        <v>12557</v>
      </c>
      <c r="C3271" s="2" t="s">
        <v>12558</v>
      </c>
      <c r="D3271" s="5" t="s">
        <v>12557</v>
      </c>
      <c r="E3271" s="2" t="s">
        <v>15441</v>
      </c>
      <c r="F3271" s="2" t="s">
        <v>15446</v>
      </c>
      <c r="G3271" s="2" t="s">
        <v>15456</v>
      </c>
      <c r="H3271" s="2" t="s">
        <v>15444</v>
      </c>
    </row>
    <row r="3272">
      <c r="A3272" s="2">
        <v>3270.0</v>
      </c>
      <c r="B3272" s="5" t="s">
        <v>12559</v>
      </c>
      <c r="C3272" s="2" t="s">
        <v>12560</v>
      </c>
      <c r="D3272" s="5" t="s">
        <v>12559</v>
      </c>
      <c r="E3272" s="2" t="s">
        <v>15441</v>
      </c>
      <c r="F3272" s="2" t="s">
        <v>15442</v>
      </c>
      <c r="G3272" s="2" t="s">
        <v>15456</v>
      </c>
      <c r="H3272" s="2" t="s">
        <v>15444</v>
      </c>
    </row>
    <row r="3273">
      <c r="A3273" s="2">
        <v>3271.0</v>
      </c>
      <c r="B3273" s="5" t="s">
        <v>12561</v>
      </c>
      <c r="C3273" s="2" t="s">
        <v>12562</v>
      </c>
      <c r="D3273" s="5" t="s">
        <v>12561</v>
      </c>
      <c r="E3273" s="2" t="s">
        <v>15441</v>
      </c>
      <c r="F3273" s="2" t="s">
        <v>15446</v>
      </c>
      <c r="G3273" s="2" t="s">
        <v>15456</v>
      </c>
      <c r="H3273" s="2" t="s">
        <v>15444</v>
      </c>
    </row>
    <row r="3274">
      <c r="A3274" s="2">
        <v>3272.0</v>
      </c>
      <c r="B3274" s="5" t="s">
        <v>12563</v>
      </c>
      <c r="C3274" s="2" t="s">
        <v>12564</v>
      </c>
      <c r="D3274" s="5" t="s">
        <v>12563</v>
      </c>
      <c r="E3274" s="2" t="s">
        <v>15441</v>
      </c>
      <c r="F3274" s="2" t="s">
        <v>15442</v>
      </c>
      <c r="G3274" s="2" t="s">
        <v>15443</v>
      </c>
      <c r="H3274" s="2" t="s">
        <v>15444</v>
      </c>
    </row>
    <row r="3275">
      <c r="A3275" s="2">
        <v>3273.0</v>
      </c>
      <c r="B3275" s="5" t="s">
        <v>4844</v>
      </c>
      <c r="C3275" s="2" t="s">
        <v>4845</v>
      </c>
      <c r="D3275" s="5" t="s">
        <v>4844</v>
      </c>
      <c r="E3275" s="2" t="s">
        <v>15445</v>
      </c>
      <c r="F3275" s="2" t="s">
        <v>15442</v>
      </c>
      <c r="G3275" s="2" t="s">
        <v>15456</v>
      </c>
      <c r="H3275" s="2" t="s">
        <v>15455</v>
      </c>
    </row>
    <row r="3276">
      <c r="A3276" s="2">
        <v>3274.0</v>
      </c>
      <c r="B3276" s="5" t="s">
        <v>4847</v>
      </c>
      <c r="C3276" s="2" t="s">
        <v>4848</v>
      </c>
      <c r="D3276" s="5" t="s">
        <v>4847</v>
      </c>
      <c r="E3276" s="2" t="s">
        <v>15445</v>
      </c>
      <c r="F3276" s="2" t="s">
        <v>15442</v>
      </c>
      <c r="G3276" s="2" t="s">
        <v>15456</v>
      </c>
      <c r="H3276" s="2" t="s">
        <v>15444</v>
      </c>
    </row>
    <row r="3277">
      <c r="A3277" s="2">
        <v>3275.0</v>
      </c>
      <c r="B3277" s="5" t="s">
        <v>12565</v>
      </c>
      <c r="C3277" s="2" t="s">
        <v>12566</v>
      </c>
      <c r="D3277" s="5" t="s">
        <v>12565</v>
      </c>
      <c r="E3277" s="2" t="s">
        <v>15441</v>
      </c>
      <c r="F3277" s="2" t="s">
        <v>15446</v>
      </c>
      <c r="G3277" s="2" t="s">
        <v>15456</v>
      </c>
      <c r="H3277" s="2" t="s">
        <v>15444</v>
      </c>
    </row>
    <row r="3278">
      <c r="A3278" s="2">
        <v>3276.0</v>
      </c>
      <c r="B3278" s="5" t="s">
        <v>12567</v>
      </c>
      <c r="C3278" s="2" t="s">
        <v>12568</v>
      </c>
      <c r="D3278" s="5" t="s">
        <v>12567</v>
      </c>
      <c r="E3278" s="2" t="s">
        <v>15441</v>
      </c>
      <c r="F3278" s="2" t="s">
        <v>15442</v>
      </c>
      <c r="G3278" s="2" t="s">
        <v>15456</v>
      </c>
      <c r="H3278" s="2" t="s">
        <v>15444</v>
      </c>
    </row>
    <row r="3279">
      <c r="A3279" s="2">
        <v>3277.0</v>
      </c>
      <c r="B3279" s="5" t="s">
        <v>12569</v>
      </c>
      <c r="C3279" s="2" t="s">
        <v>12570</v>
      </c>
      <c r="D3279" s="5" t="s">
        <v>12569</v>
      </c>
      <c r="E3279" s="2" t="s">
        <v>15441</v>
      </c>
      <c r="F3279" s="2" t="s">
        <v>15442</v>
      </c>
      <c r="G3279" s="2" t="s">
        <v>15443</v>
      </c>
      <c r="H3279" s="2" t="s">
        <v>15444</v>
      </c>
    </row>
    <row r="3280">
      <c r="A3280" s="2">
        <v>3278.0</v>
      </c>
      <c r="B3280" s="5" t="s">
        <v>4850</v>
      </c>
      <c r="C3280" s="2" t="s">
        <v>4851</v>
      </c>
      <c r="D3280" s="5" t="s">
        <v>4850</v>
      </c>
      <c r="E3280" s="2" t="s">
        <v>15445</v>
      </c>
      <c r="F3280" s="2" t="s">
        <v>15446</v>
      </c>
      <c r="G3280" s="2" t="s">
        <v>15443</v>
      </c>
      <c r="H3280" s="2" t="s">
        <v>15444</v>
      </c>
    </row>
    <row r="3281">
      <c r="A3281" s="2">
        <v>3279.0</v>
      </c>
      <c r="B3281" s="5" t="s">
        <v>4853</v>
      </c>
      <c r="C3281" s="2" t="s">
        <v>4854</v>
      </c>
      <c r="D3281" s="5" t="s">
        <v>4853</v>
      </c>
      <c r="E3281" s="2" t="s">
        <v>15445</v>
      </c>
      <c r="F3281" s="2" t="s">
        <v>15442</v>
      </c>
      <c r="G3281" s="2" t="s">
        <v>15456</v>
      </c>
      <c r="H3281" s="2" t="s">
        <v>15444</v>
      </c>
    </row>
    <row r="3282">
      <c r="A3282" s="2">
        <v>3280.0</v>
      </c>
      <c r="B3282" s="5" t="s">
        <v>12571</v>
      </c>
      <c r="C3282" s="2" t="s">
        <v>12572</v>
      </c>
      <c r="D3282" s="5" t="s">
        <v>12571</v>
      </c>
      <c r="E3282" s="2" t="s">
        <v>15441</v>
      </c>
      <c r="F3282" s="2" t="s">
        <v>15446</v>
      </c>
      <c r="G3282" s="2" t="s">
        <v>15456</v>
      </c>
      <c r="H3282" s="2" t="s">
        <v>15444</v>
      </c>
    </row>
    <row r="3283">
      <c r="A3283" s="2">
        <v>3281.0</v>
      </c>
      <c r="B3283" s="5" t="s">
        <v>12573</v>
      </c>
      <c r="C3283" s="2" t="s">
        <v>12574</v>
      </c>
      <c r="D3283" s="5" t="s">
        <v>12573</v>
      </c>
      <c r="E3283" s="2" t="s">
        <v>15441</v>
      </c>
      <c r="F3283" s="2" t="s">
        <v>15446</v>
      </c>
      <c r="G3283" s="2" t="s">
        <v>15443</v>
      </c>
      <c r="H3283" s="2" t="s">
        <v>15455</v>
      </c>
    </row>
    <row r="3284">
      <c r="A3284" s="2">
        <v>3282.0</v>
      </c>
      <c r="B3284" s="5" t="s">
        <v>4856</v>
      </c>
      <c r="C3284" s="2" t="s">
        <v>4857</v>
      </c>
      <c r="D3284" s="5" t="s">
        <v>4856</v>
      </c>
      <c r="E3284" s="2" t="s">
        <v>15445</v>
      </c>
      <c r="F3284" s="2" t="s">
        <v>15446</v>
      </c>
      <c r="G3284" s="2" t="s">
        <v>15456</v>
      </c>
      <c r="H3284" s="2" t="s">
        <v>15444</v>
      </c>
    </row>
    <row r="3285">
      <c r="A3285" s="2">
        <v>3283.0</v>
      </c>
      <c r="B3285" s="5" t="s">
        <v>4859</v>
      </c>
      <c r="C3285" s="2" t="s">
        <v>4860</v>
      </c>
      <c r="D3285" s="5" t="s">
        <v>4859</v>
      </c>
      <c r="E3285" s="2" t="s">
        <v>15445</v>
      </c>
      <c r="F3285" s="2" t="s">
        <v>15442</v>
      </c>
      <c r="G3285" s="2" t="s">
        <v>15443</v>
      </c>
      <c r="H3285" s="2" t="s">
        <v>15444</v>
      </c>
    </row>
    <row r="3286">
      <c r="A3286" s="2">
        <v>3284.0</v>
      </c>
      <c r="B3286" s="5" t="s">
        <v>4862</v>
      </c>
      <c r="C3286" s="2" t="s">
        <v>4863</v>
      </c>
      <c r="D3286" s="5" t="s">
        <v>4862</v>
      </c>
      <c r="E3286" s="2" t="s">
        <v>15445</v>
      </c>
      <c r="F3286" s="2" t="s">
        <v>15446</v>
      </c>
      <c r="G3286" s="2" t="s">
        <v>15456</v>
      </c>
      <c r="H3286" s="2" t="s">
        <v>15444</v>
      </c>
    </row>
    <row r="3287">
      <c r="A3287" s="2">
        <v>3285.0</v>
      </c>
      <c r="B3287" s="5" t="s">
        <v>12575</v>
      </c>
      <c r="C3287" s="2" t="s">
        <v>12576</v>
      </c>
      <c r="D3287" s="5" t="s">
        <v>12575</v>
      </c>
      <c r="E3287" s="2" t="s">
        <v>15441</v>
      </c>
      <c r="F3287" s="2" t="s">
        <v>15442</v>
      </c>
      <c r="G3287" s="2" t="s">
        <v>15443</v>
      </c>
      <c r="H3287" s="2" t="s">
        <v>15444</v>
      </c>
    </row>
    <row r="3288">
      <c r="A3288" s="2">
        <v>3286.0</v>
      </c>
      <c r="B3288" s="5" t="s">
        <v>12577</v>
      </c>
      <c r="C3288" s="2" t="s">
        <v>12578</v>
      </c>
      <c r="D3288" s="5" t="s">
        <v>12577</v>
      </c>
      <c r="E3288" s="2" t="s">
        <v>15441</v>
      </c>
      <c r="F3288" s="2" t="s">
        <v>15442</v>
      </c>
      <c r="G3288" s="2" t="s">
        <v>15456</v>
      </c>
      <c r="H3288" s="2" t="s">
        <v>15444</v>
      </c>
    </row>
    <row r="3289">
      <c r="A3289" s="2">
        <v>3287.0</v>
      </c>
      <c r="B3289" s="5" t="s">
        <v>4865</v>
      </c>
      <c r="C3289" s="2" t="s">
        <v>4866</v>
      </c>
      <c r="D3289" s="5" t="s">
        <v>4865</v>
      </c>
      <c r="E3289" s="2" t="s">
        <v>15445</v>
      </c>
      <c r="F3289" s="2" t="s">
        <v>15446</v>
      </c>
      <c r="G3289" s="2" t="s">
        <v>15456</v>
      </c>
      <c r="H3289" s="2" t="s">
        <v>15444</v>
      </c>
    </row>
    <row r="3290">
      <c r="A3290" s="2">
        <v>3288.0</v>
      </c>
      <c r="B3290" s="5" t="s">
        <v>4868</v>
      </c>
      <c r="C3290" s="2" t="s">
        <v>4869</v>
      </c>
      <c r="D3290" s="5" t="s">
        <v>4868</v>
      </c>
      <c r="E3290" s="2" t="s">
        <v>15445</v>
      </c>
      <c r="F3290" s="2" t="s">
        <v>15446</v>
      </c>
      <c r="G3290" s="2" t="s">
        <v>15456</v>
      </c>
      <c r="H3290" s="2" t="s">
        <v>15444</v>
      </c>
    </row>
    <row r="3291">
      <c r="A3291" s="2">
        <v>3289.0</v>
      </c>
      <c r="B3291" s="5" t="s">
        <v>4871</v>
      </c>
      <c r="C3291" s="2" t="s">
        <v>4872</v>
      </c>
      <c r="D3291" s="5" t="s">
        <v>4871</v>
      </c>
      <c r="E3291" s="2" t="s">
        <v>15445</v>
      </c>
      <c r="F3291" s="2" t="s">
        <v>15446</v>
      </c>
      <c r="G3291" s="2" t="s">
        <v>15456</v>
      </c>
      <c r="H3291" s="2" t="s">
        <v>15444</v>
      </c>
    </row>
    <row r="3292">
      <c r="A3292" s="2">
        <v>3290.0</v>
      </c>
      <c r="B3292" s="5" t="s">
        <v>4874</v>
      </c>
      <c r="C3292" s="2" t="s">
        <v>4875</v>
      </c>
      <c r="D3292" s="5" t="s">
        <v>4874</v>
      </c>
      <c r="E3292" s="2" t="s">
        <v>15445</v>
      </c>
      <c r="F3292" s="2" t="s">
        <v>15442</v>
      </c>
      <c r="G3292" s="2" t="s">
        <v>15456</v>
      </c>
      <c r="H3292" s="2" t="s">
        <v>15444</v>
      </c>
    </row>
    <row r="3293">
      <c r="A3293" s="2">
        <v>3291.0</v>
      </c>
      <c r="B3293" s="5" t="s">
        <v>4877</v>
      </c>
      <c r="C3293" s="2" t="s">
        <v>4878</v>
      </c>
      <c r="D3293" s="5" t="s">
        <v>4877</v>
      </c>
      <c r="E3293" s="2" t="s">
        <v>15445</v>
      </c>
      <c r="F3293" s="2" t="s">
        <v>15446</v>
      </c>
      <c r="G3293" s="2" t="s">
        <v>15456</v>
      </c>
      <c r="H3293" s="2" t="s">
        <v>15444</v>
      </c>
    </row>
    <row r="3294">
      <c r="A3294" s="2">
        <v>3292.0</v>
      </c>
      <c r="B3294" s="5" t="s">
        <v>4880</v>
      </c>
      <c r="C3294" s="2" t="s">
        <v>4881</v>
      </c>
      <c r="D3294" s="5" t="s">
        <v>4880</v>
      </c>
      <c r="E3294" s="2" t="s">
        <v>15445</v>
      </c>
      <c r="F3294" s="2" t="s">
        <v>15446</v>
      </c>
      <c r="G3294" s="2" t="s">
        <v>15456</v>
      </c>
      <c r="H3294" s="2" t="s">
        <v>15444</v>
      </c>
    </row>
    <row r="3295">
      <c r="A3295" s="2">
        <v>3293.0</v>
      </c>
      <c r="B3295" s="5" t="s">
        <v>4883</v>
      </c>
      <c r="C3295" s="2" t="s">
        <v>4884</v>
      </c>
      <c r="D3295" s="5" t="s">
        <v>4883</v>
      </c>
      <c r="E3295" s="2" t="s">
        <v>15445</v>
      </c>
      <c r="F3295" s="2" t="s">
        <v>15446</v>
      </c>
      <c r="G3295" s="2" t="s">
        <v>15443</v>
      </c>
      <c r="H3295" s="2" t="s">
        <v>15444</v>
      </c>
    </row>
    <row r="3296">
      <c r="A3296" s="2">
        <v>3294.0</v>
      </c>
      <c r="B3296" s="5" t="s">
        <v>12579</v>
      </c>
      <c r="C3296" s="2" t="s">
        <v>12580</v>
      </c>
      <c r="D3296" s="5" t="s">
        <v>12579</v>
      </c>
      <c r="E3296" s="2" t="s">
        <v>15441</v>
      </c>
      <c r="F3296" s="2" t="s">
        <v>15446</v>
      </c>
      <c r="G3296" s="2" t="s">
        <v>15456</v>
      </c>
      <c r="H3296" s="2" t="s">
        <v>15444</v>
      </c>
    </row>
    <row r="3297">
      <c r="A3297" s="2">
        <v>3295.0</v>
      </c>
      <c r="B3297" s="5" t="s">
        <v>12581</v>
      </c>
      <c r="C3297" s="2" t="s">
        <v>12582</v>
      </c>
      <c r="D3297" s="5" t="s">
        <v>12581</v>
      </c>
      <c r="E3297" s="2" t="s">
        <v>15441</v>
      </c>
      <c r="F3297" s="2" t="s">
        <v>15442</v>
      </c>
      <c r="G3297" s="2" t="s">
        <v>15443</v>
      </c>
      <c r="H3297" s="2" t="s">
        <v>15444</v>
      </c>
    </row>
    <row r="3298">
      <c r="A3298" s="2">
        <v>3296.0</v>
      </c>
      <c r="B3298" s="5" t="s">
        <v>4886</v>
      </c>
      <c r="C3298" s="2" t="s">
        <v>4887</v>
      </c>
      <c r="D3298" s="5" t="s">
        <v>4886</v>
      </c>
      <c r="E3298" s="2" t="s">
        <v>15445</v>
      </c>
      <c r="F3298" s="2" t="s">
        <v>15446</v>
      </c>
      <c r="G3298" s="2" t="s">
        <v>15456</v>
      </c>
      <c r="H3298" s="2" t="s">
        <v>15444</v>
      </c>
    </row>
    <row r="3299">
      <c r="A3299" s="2">
        <v>3297.0</v>
      </c>
      <c r="B3299" s="5" t="s">
        <v>4889</v>
      </c>
      <c r="C3299" s="2" t="s">
        <v>4890</v>
      </c>
      <c r="D3299" s="5" t="s">
        <v>4889</v>
      </c>
      <c r="E3299" s="2" t="s">
        <v>15445</v>
      </c>
      <c r="F3299" s="2" t="s">
        <v>15442</v>
      </c>
      <c r="G3299" s="2" t="s">
        <v>15456</v>
      </c>
      <c r="H3299" s="2" t="s">
        <v>15455</v>
      </c>
    </row>
    <row r="3300">
      <c r="A3300" s="2">
        <v>3298.0</v>
      </c>
      <c r="B3300" s="5" t="s">
        <v>4892</v>
      </c>
      <c r="C3300" s="2" t="s">
        <v>4893</v>
      </c>
      <c r="D3300" s="5" t="s">
        <v>4892</v>
      </c>
      <c r="E3300" s="2" t="s">
        <v>15445</v>
      </c>
      <c r="F3300" s="2" t="s">
        <v>15446</v>
      </c>
      <c r="G3300" s="2" t="s">
        <v>15443</v>
      </c>
      <c r="H3300" s="2" t="s">
        <v>15457</v>
      </c>
    </row>
    <row r="3301">
      <c r="A3301" s="2">
        <v>3299.0</v>
      </c>
      <c r="B3301" s="5" t="s">
        <v>12583</v>
      </c>
      <c r="C3301" s="2" t="s">
        <v>12584</v>
      </c>
      <c r="D3301" s="5" t="s">
        <v>12583</v>
      </c>
      <c r="E3301" s="2" t="s">
        <v>15441</v>
      </c>
      <c r="F3301" s="2" t="s">
        <v>15446</v>
      </c>
      <c r="G3301" s="2" t="s">
        <v>15456</v>
      </c>
      <c r="H3301" s="2" t="s">
        <v>15444</v>
      </c>
    </row>
    <row r="3302">
      <c r="A3302" s="2">
        <v>3300.0</v>
      </c>
      <c r="B3302" s="5" t="s">
        <v>4895</v>
      </c>
      <c r="C3302" s="2" t="s">
        <v>4896</v>
      </c>
      <c r="D3302" s="5" t="s">
        <v>4895</v>
      </c>
      <c r="E3302" s="2" t="s">
        <v>15445</v>
      </c>
      <c r="F3302" s="2" t="s">
        <v>15442</v>
      </c>
      <c r="G3302" s="2" t="s">
        <v>15443</v>
      </c>
      <c r="H3302" s="2" t="s">
        <v>15444</v>
      </c>
    </row>
    <row r="3303">
      <c r="A3303" s="2">
        <v>3301.0</v>
      </c>
      <c r="B3303" s="5" t="s">
        <v>4898</v>
      </c>
      <c r="C3303" s="2" t="s">
        <v>4899</v>
      </c>
      <c r="D3303" s="5" t="s">
        <v>4898</v>
      </c>
      <c r="E3303" s="2" t="s">
        <v>15445</v>
      </c>
      <c r="F3303" s="2" t="s">
        <v>15446</v>
      </c>
      <c r="G3303" s="2" t="s">
        <v>15443</v>
      </c>
      <c r="H3303" s="2" t="s">
        <v>15455</v>
      </c>
    </row>
    <row r="3304">
      <c r="A3304" s="2">
        <v>3302.0</v>
      </c>
      <c r="B3304" s="5" t="s">
        <v>12585</v>
      </c>
      <c r="C3304" s="2" t="s">
        <v>12586</v>
      </c>
      <c r="D3304" s="5" t="s">
        <v>12585</v>
      </c>
      <c r="E3304" s="2" t="s">
        <v>15441</v>
      </c>
      <c r="F3304" s="2" t="s">
        <v>15442</v>
      </c>
      <c r="G3304" s="2" t="s">
        <v>15456</v>
      </c>
      <c r="H3304" s="2" t="s">
        <v>15462</v>
      </c>
    </row>
    <row r="3305">
      <c r="A3305" s="2">
        <v>3303.0</v>
      </c>
      <c r="B3305" s="5" t="s">
        <v>12587</v>
      </c>
      <c r="C3305" s="2" t="s">
        <v>12588</v>
      </c>
      <c r="D3305" s="5" t="s">
        <v>12587</v>
      </c>
      <c r="E3305" s="2" t="s">
        <v>15441</v>
      </c>
      <c r="F3305" s="2" t="s">
        <v>15442</v>
      </c>
      <c r="G3305" s="2" t="s">
        <v>15456</v>
      </c>
      <c r="H3305" s="2" t="s">
        <v>15444</v>
      </c>
    </row>
    <row r="3306">
      <c r="A3306" s="2">
        <v>3304.0</v>
      </c>
      <c r="B3306" s="5" t="s">
        <v>4901</v>
      </c>
      <c r="C3306" s="2" t="s">
        <v>4902</v>
      </c>
      <c r="D3306" s="5" t="s">
        <v>4901</v>
      </c>
      <c r="E3306" s="2" t="s">
        <v>15445</v>
      </c>
      <c r="F3306" s="2" t="s">
        <v>15446</v>
      </c>
      <c r="G3306" s="2" t="s">
        <v>15456</v>
      </c>
      <c r="H3306" s="2" t="s">
        <v>15444</v>
      </c>
    </row>
    <row r="3307">
      <c r="A3307" s="2">
        <v>3305.0</v>
      </c>
      <c r="B3307" s="5" t="s">
        <v>12589</v>
      </c>
      <c r="C3307" s="2" t="s">
        <v>12590</v>
      </c>
      <c r="D3307" s="5" t="s">
        <v>12589</v>
      </c>
      <c r="E3307" s="2" t="s">
        <v>15441</v>
      </c>
      <c r="F3307" s="2" t="s">
        <v>15442</v>
      </c>
      <c r="G3307" s="2" t="s">
        <v>15443</v>
      </c>
      <c r="H3307" s="2" t="s">
        <v>15444</v>
      </c>
    </row>
    <row r="3308">
      <c r="A3308" s="2">
        <v>3306.0</v>
      </c>
      <c r="B3308" s="5" t="s">
        <v>4904</v>
      </c>
      <c r="C3308" s="2" t="s">
        <v>4905</v>
      </c>
      <c r="D3308" s="5" t="s">
        <v>4904</v>
      </c>
      <c r="E3308" s="2" t="s">
        <v>15445</v>
      </c>
      <c r="F3308" s="2" t="s">
        <v>15442</v>
      </c>
      <c r="G3308" s="2" t="s">
        <v>15456</v>
      </c>
      <c r="H3308" s="2" t="s">
        <v>15444</v>
      </c>
    </row>
    <row r="3309">
      <c r="A3309" s="2">
        <v>3307.0</v>
      </c>
      <c r="B3309" s="5" t="s">
        <v>4907</v>
      </c>
      <c r="C3309" s="2" t="s">
        <v>4908</v>
      </c>
      <c r="D3309" s="5" t="s">
        <v>4907</v>
      </c>
      <c r="E3309" s="2" t="s">
        <v>15445</v>
      </c>
      <c r="F3309" s="2" t="s">
        <v>15442</v>
      </c>
      <c r="G3309" s="2" t="s">
        <v>15443</v>
      </c>
      <c r="H3309" s="2" t="s">
        <v>15444</v>
      </c>
    </row>
    <row r="3310">
      <c r="A3310" s="2">
        <v>3308.0</v>
      </c>
      <c r="B3310" s="5" t="s">
        <v>12591</v>
      </c>
      <c r="C3310" s="2" t="s">
        <v>12592</v>
      </c>
      <c r="D3310" s="5" t="s">
        <v>12591</v>
      </c>
      <c r="E3310" s="2" t="s">
        <v>15441</v>
      </c>
      <c r="F3310" s="2" t="s">
        <v>15442</v>
      </c>
      <c r="G3310" s="2" t="s">
        <v>15443</v>
      </c>
      <c r="H3310" s="2" t="s">
        <v>15455</v>
      </c>
    </row>
    <row r="3311">
      <c r="A3311" s="2">
        <v>3309.0</v>
      </c>
      <c r="B3311" s="5" t="s">
        <v>12593</v>
      </c>
      <c r="C3311" s="2" t="s">
        <v>12594</v>
      </c>
      <c r="D3311" s="5" t="s">
        <v>12593</v>
      </c>
      <c r="E3311" s="2" t="s">
        <v>15441</v>
      </c>
      <c r="F3311" s="2" t="s">
        <v>15442</v>
      </c>
      <c r="G3311" s="2" t="s">
        <v>15443</v>
      </c>
      <c r="H3311" s="2" t="s">
        <v>15444</v>
      </c>
    </row>
    <row r="3312">
      <c r="A3312" s="2">
        <v>3310.0</v>
      </c>
      <c r="B3312" s="5" t="s">
        <v>4910</v>
      </c>
      <c r="C3312" s="2" t="s">
        <v>4911</v>
      </c>
      <c r="D3312" s="5" t="s">
        <v>4910</v>
      </c>
      <c r="E3312" s="2" t="s">
        <v>15445</v>
      </c>
      <c r="F3312" s="2" t="s">
        <v>15442</v>
      </c>
      <c r="G3312" s="2" t="s">
        <v>15443</v>
      </c>
      <c r="H3312" s="2" t="s">
        <v>15444</v>
      </c>
    </row>
    <row r="3313">
      <c r="A3313" s="2">
        <v>3311.0</v>
      </c>
      <c r="B3313" s="5" t="s">
        <v>4913</v>
      </c>
      <c r="C3313" s="2" t="s">
        <v>4914</v>
      </c>
      <c r="D3313" s="5" t="s">
        <v>4913</v>
      </c>
      <c r="E3313" s="2" t="s">
        <v>15445</v>
      </c>
      <c r="F3313" s="2" t="s">
        <v>15446</v>
      </c>
      <c r="G3313" s="2" t="s">
        <v>15456</v>
      </c>
      <c r="H3313" s="2" t="s">
        <v>15444</v>
      </c>
    </row>
    <row r="3314">
      <c r="A3314" s="2">
        <v>3312.0</v>
      </c>
      <c r="B3314" s="5" t="s">
        <v>4916</v>
      </c>
      <c r="C3314" s="2" t="s">
        <v>4917</v>
      </c>
      <c r="D3314" s="5" t="s">
        <v>4916</v>
      </c>
      <c r="E3314" s="2" t="s">
        <v>15445</v>
      </c>
      <c r="F3314" s="2" t="s">
        <v>15446</v>
      </c>
      <c r="G3314" s="2" t="s">
        <v>15456</v>
      </c>
      <c r="H3314" s="2" t="s">
        <v>15444</v>
      </c>
    </row>
    <row r="3315">
      <c r="A3315" s="2">
        <v>3313.0</v>
      </c>
      <c r="B3315" s="5" t="s">
        <v>15532</v>
      </c>
      <c r="C3315" s="2" t="s">
        <v>15533</v>
      </c>
      <c r="D3315" s="5" t="s">
        <v>15532</v>
      </c>
      <c r="E3315" s="2" t="s">
        <v>15441</v>
      </c>
      <c r="F3315" s="2" t="s">
        <v>15446</v>
      </c>
      <c r="G3315" s="2" t="s">
        <v>15456</v>
      </c>
      <c r="H3315" s="2" t="s">
        <v>15457</v>
      </c>
    </row>
    <row r="3316">
      <c r="A3316" s="2">
        <v>3314.0</v>
      </c>
      <c r="B3316" s="5" t="s">
        <v>12595</v>
      </c>
      <c r="C3316" s="2" t="s">
        <v>12596</v>
      </c>
      <c r="D3316" s="5" t="s">
        <v>12595</v>
      </c>
      <c r="E3316" s="2" t="s">
        <v>15441</v>
      </c>
      <c r="F3316" s="2" t="s">
        <v>15442</v>
      </c>
      <c r="G3316" s="2" t="s">
        <v>15443</v>
      </c>
      <c r="H3316" s="2" t="s">
        <v>15444</v>
      </c>
    </row>
    <row r="3317">
      <c r="A3317" s="2">
        <v>3315.0</v>
      </c>
      <c r="B3317" s="5" t="s">
        <v>12597</v>
      </c>
      <c r="C3317" s="2" t="s">
        <v>12598</v>
      </c>
      <c r="D3317" s="5" t="s">
        <v>12597</v>
      </c>
      <c r="E3317" s="2" t="s">
        <v>15441</v>
      </c>
      <c r="F3317" s="2" t="s">
        <v>15446</v>
      </c>
      <c r="G3317" s="2" t="s">
        <v>15443</v>
      </c>
      <c r="H3317" s="2" t="s">
        <v>15444</v>
      </c>
    </row>
    <row r="3318">
      <c r="A3318" s="2">
        <v>3316.0</v>
      </c>
      <c r="B3318" s="5" t="s">
        <v>12599</v>
      </c>
      <c r="C3318" s="2" t="s">
        <v>12600</v>
      </c>
      <c r="D3318" s="5" t="s">
        <v>12599</v>
      </c>
      <c r="E3318" s="2" t="s">
        <v>15441</v>
      </c>
      <c r="F3318" s="2" t="s">
        <v>15446</v>
      </c>
      <c r="G3318" s="2" t="s">
        <v>15443</v>
      </c>
      <c r="H3318" s="2" t="s">
        <v>15444</v>
      </c>
    </row>
    <row r="3319">
      <c r="A3319" s="2">
        <v>3317.0</v>
      </c>
      <c r="B3319" s="5" t="s">
        <v>12601</v>
      </c>
      <c r="C3319" s="2" t="s">
        <v>12602</v>
      </c>
      <c r="D3319" s="5" t="s">
        <v>12601</v>
      </c>
      <c r="E3319" s="2" t="s">
        <v>15441</v>
      </c>
      <c r="F3319" s="2" t="s">
        <v>15442</v>
      </c>
      <c r="G3319" s="2" t="s">
        <v>15456</v>
      </c>
      <c r="H3319" s="2" t="s">
        <v>15444</v>
      </c>
    </row>
    <row r="3320">
      <c r="A3320" s="2">
        <v>3318.0</v>
      </c>
      <c r="B3320" s="5" t="s">
        <v>12603</v>
      </c>
      <c r="C3320" s="2" t="s">
        <v>12604</v>
      </c>
      <c r="D3320" s="5" t="s">
        <v>12603</v>
      </c>
      <c r="E3320" s="2" t="s">
        <v>15441</v>
      </c>
      <c r="F3320" s="2" t="s">
        <v>15442</v>
      </c>
      <c r="G3320" s="2" t="s">
        <v>15443</v>
      </c>
      <c r="H3320" s="2" t="s">
        <v>15444</v>
      </c>
    </row>
    <row r="3321">
      <c r="A3321" s="2">
        <v>3319.0</v>
      </c>
      <c r="B3321" s="5" t="s">
        <v>4919</v>
      </c>
      <c r="C3321" s="2" t="s">
        <v>4920</v>
      </c>
      <c r="D3321" s="5" t="s">
        <v>4919</v>
      </c>
      <c r="E3321" s="2" t="s">
        <v>15445</v>
      </c>
      <c r="F3321" s="2" t="s">
        <v>15446</v>
      </c>
      <c r="G3321" s="2" t="s">
        <v>15456</v>
      </c>
      <c r="H3321" s="2" t="s">
        <v>15444</v>
      </c>
    </row>
    <row r="3322">
      <c r="A3322" s="2">
        <v>3320.0</v>
      </c>
      <c r="B3322" s="5" t="s">
        <v>4922</v>
      </c>
      <c r="C3322" s="2" t="s">
        <v>4923</v>
      </c>
      <c r="D3322" s="5" t="s">
        <v>4922</v>
      </c>
      <c r="E3322" s="2" t="s">
        <v>15445</v>
      </c>
      <c r="F3322" s="2" t="s">
        <v>15446</v>
      </c>
      <c r="G3322" s="2" t="s">
        <v>15456</v>
      </c>
      <c r="H3322" s="2" t="s">
        <v>15444</v>
      </c>
    </row>
    <row r="3323">
      <c r="A3323" s="2">
        <v>3321.0</v>
      </c>
      <c r="B3323" s="5" t="s">
        <v>4925</v>
      </c>
      <c r="C3323" s="2" t="s">
        <v>4926</v>
      </c>
      <c r="D3323" s="5" t="s">
        <v>4925</v>
      </c>
      <c r="E3323" s="2" t="s">
        <v>15445</v>
      </c>
      <c r="F3323" s="2" t="s">
        <v>15446</v>
      </c>
      <c r="G3323" s="2" t="s">
        <v>15456</v>
      </c>
      <c r="H3323" s="2" t="s">
        <v>15444</v>
      </c>
    </row>
    <row r="3324">
      <c r="A3324" s="2">
        <v>3322.0</v>
      </c>
      <c r="B3324" s="5" t="s">
        <v>4928</v>
      </c>
      <c r="C3324" s="2" t="s">
        <v>4929</v>
      </c>
      <c r="D3324" s="5" t="s">
        <v>4928</v>
      </c>
      <c r="E3324" s="2" t="s">
        <v>15445</v>
      </c>
      <c r="F3324" s="2" t="s">
        <v>15446</v>
      </c>
      <c r="G3324" s="2" t="s">
        <v>15456</v>
      </c>
      <c r="H3324" s="2" t="s">
        <v>15444</v>
      </c>
    </row>
    <row r="3325">
      <c r="A3325" s="2">
        <v>3323.0</v>
      </c>
      <c r="B3325" s="5" t="s">
        <v>4931</v>
      </c>
      <c r="C3325" s="2" t="s">
        <v>4932</v>
      </c>
      <c r="D3325" s="5" t="s">
        <v>4931</v>
      </c>
      <c r="E3325" s="2" t="s">
        <v>15445</v>
      </c>
      <c r="F3325" s="2" t="s">
        <v>15442</v>
      </c>
      <c r="G3325" s="2" t="s">
        <v>15443</v>
      </c>
      <c r="H3325" s="2" t="s">
        <v>15444</v>
      </c>
    </row>
    <row r="3326">
      <c r="A3326" s="2">
        <v>3324.0</v>
      </c>
      <c r="B3326" s="5" t="s">
        <v>12605</v>
      </c>
      <c r="C3326" s="2" t="s">
        <v>12606</v>
      </c>
      <c r="D3326" s="5" t="s">
        <v>12605</v>
      </c>
      <c r="E3326" s="2" t="s">
        <v>15441</v>
      </c>
      <c r="F3326" s="2" t="s">
        <v>15442</v>
      </c>
      <c r="G3326" s="2" t="s">
        <v>15443</v>
      </c>
      <c r="H3326" s="2" t="s">
        <v>15444</v>
      </c>
    </row>
    <row r="3327">
      <c r="A3327" s="2">
        <v>3325.0</v>
      </c>
      <c r="B3327" s="5" t="s">
        <v>4934</v>
      </c>
      <c r="C3327" s="2" t="s">
        <v>4935</v>
      </c>
      <c r="D3327" s="5" t="s">
        <v>4934</v>
      </c>
      <c r="E3327" s="2" t="s">
        <v>15445</v>
      </c>
      <c r="F3327" s="2" t="s">
        <v>15446</v>
      </c>
      <c r="G3327" s="2" t="s">
        <v>15456</v>
      </c>
      <c r="H3327" s="2" t="s">
        <v>15444</v>
      </c>
    </row>
    <row r="3328">
      <c r="A3328" s="2">
        <v>3326.0</v>
      </c>
      <c r="B3328" s="5" t="s">
        <v>4937</v>
      </c>
      <c r="C3328" s="2" t="s">
        <v>4938</v>
      </c>
      <c r="D3328" s="5" t="s">
        <v>4937</v>
      </c>
      <c r="E3328" s="2" t="s">
        <v>15445</v>
      </c>
      <c r="F3328" s="2" t="s">
        <v>15446</v>
      </c>
      <c r="G3328" s="2" t="s">
        <v>15456</v>
      </c>
      <c r="H3328" s="2" t="s">
        <v>15444</v>
      </c>
    </row>
    <row r="3329">
      <c r="A3329" s="2">
        <v>3327.0</v>
      </c>
      <c r="B3329" s="5" t="s">
        <v>4940</v>
      </c>
      <c r="C3329" s="2" t="s">
        <v>4941</v>
      </c>
      <c r="D3329" s="5" t="s">
        <v>4940</v>
      </c>
      <c r="E3329" s="2" t="s">
        <v>15445</v>
      </c>
      <c r="F3329" s="2" t="s">
        <v>15446</v>
      </c>
      <c r="G3329" s="2" t="s">
        <v>15443</v>
      </c>
      <c r="H3329" s="2" t="s">
        <v>15461</v>
      </c>
    </row>
    <row r="3330">
      <c r="A3330" s="2">
        <v>3328.0</v>
      </c>
      <c r="B3330" s="5" t="s">
        <v>12607</v>
      </c>
      <c r="C3330" s="2" t="s">
        <v>12608</v>
      </c>
      <c r="D3330" s="5" t="s">
        <v>12607</v>
      </c>
      <c r="E3330" s="2" t="s">
        <v>15441</v>
      </c>
      <c r="F3330" s="2" t="s">
        <v>15446</v>
      </c>
      <c r="G3330" s="2" t="s">
        <v>15456</v>
      </c>
      <c r="H3330" s="2" t="s">
        <v>15444</v>
      </c>
    </row>
    <row r="3331">
      <c r="A3331" s="2">
        <v>3329.0</v>
      </c>
      <c r="B3331" s="5" t="s">
        <v>4943</v>
      </c>
      <c r="C3331" s="2" t="s">
        <v>4944</v>
      </c>
      <c r="D3331" s="5" t="s">
        <v>4943</v>
      </c>
      <c r="E3331" s="2" t="s">
        <v>15445</v>
      </c>
      <c r="F3331" s="2" t="s">
        <v>15442</v>
      </c>
      <c r="G3331" s="2" t="s">
        <v>15456</v>
      </c>
      <c r="H3331" s="2" t="s">
        <v>15444</v>
      </c>
    </row>
    <row r="3332">
      <c r="A3332" s="2">
        <v>3330.0</v>
      </c>
      <c r="B3332" s="5" t="s">
        <v>4946</v>
      </c>
      <c r="C3332" s="2" t="s">
        <v>4947</v>
      </c>
      <c r="D3332" s="5" t="s">
        <v>4946</v>
      </c>
      <c r="E3332" s="2" t="s">
        <v>15445</v>
      </c>
      <c r="F3332" s="2" t="s">
        <v>15446</v>
      </c>
      <c r="G3332" s="2" t="s">
        <v>15456</v>
      </c>
      <c r="H3332" s="2" t="s">
        <v>15444</v>
      </c>
    </row>
    <row r="3333">
      <c r="A3333" s="2">
        <v>3331.0</v>
      </c>
      <c r="B3333" s="5" t="s">
        <v>4949</v>
      </c>
      <c r="C3333" s="2" t="s">
        <v>4950</v>
      </c>
      <c r="D3333" s="5" t="s">
        <v>4949</v>
      </c>
      <c r="E3333" s="2" t="s">
        <v>15445</v>
      </c>
      <c r="F3333" s="2" t="s">
        <v>15442</v>
      </c>
      <c r="G3333" s="2" t="s">
        <v>15443</v>
      </c>
      <c r="H3333" s="2" t="s">
        <v>15444</v>
      </c>
    </row>
    <row r="3334">
      <c r="A3334" s="2">
        <v>3332.0</v>
      </c>
      <c r="B3334" s="5" t="s">
        <v>4952</v>
      </c>
      <c r="C3334" s="2" t="s">
        <v>4953</v>
      </c>
      <c r="D3334" s="5" t="s">
        <v>4952</v>
      </c>
      <c r="E3334" s="2" t="s">
        <v>15445</v>
      </c>
      <c r="F3334" s="2" t="s">
        <v>15442</v>
      </c>
      <c r="G3334" s="2" t="s">
        <v>15443</v>
      </c>
      <c r="H3334" s="2" t="s">
        <v>15444</v>
      </c>
    </row>
    <row r="3335">
      <c r="A3335" s="2">
        <v>3333.0</v>
      </c>
      <c r="B3335" s="5" t="s">
        <v>12609</v>
      </c>
      <c r="C3335" s="2" t="s">
        <v>12610</v>
      </c>
      <c r="D3335" s="5" t="s">
        <v>12609</v>
      </c>
      <c r="E3335" s="2" t="s">
        <v>15441</v>
      </c>
      <c r="F3335" s="2" t="s">
        <v>15442</v>
      </c>
      <c r="G3335" s="2" t="s">
        <v>15456</v>
      </c>
      <c r="H3335" s="2" t="s">
        <v>15444</v>
      </c>
    </row>
    <row r="3336">
      <c r="A3336" s="2">
        <v>3334.0</v>
      </c>
      <c r="B3336" s="5" t="s">
        <v>4955</v>
      </c>
      <c r="C3336" s="2" t="s">
        <v>4956</v>
      </c>
      <c r="D3336" s="5" t="s">
        <v>4955</v>
      </c>
      <c r="E3336" s="2" t="s">
        <v>15445</v>
      </c>
      <c r="F3336" s="2" t="s">
        <v>15442</v>
      </c>
      <c r="G3336" s="2" t="s">
        <v>15456</v>
      </c>
      <c r="H3336" s="2" t="s">
        <v>15457</v>
      </c>
    </row>
    <row r="3337">
      <c r="A3337" s="2">
        <v>3335.0</v>
      </c>
      <c r="B3337" s="5" t="s">
        <v>12611</v>
      </c>
      <c r="C3337" s="2" t="s">
        <v>12612</v>
      </c>
      <c r="D3337" s="5" t="s">
        <v>12611</v>
      </c>
      <c r="E3337" s="2" t="s">
        <v>15441</v>
      </c>
      <c r="F3337" s="2" t="s">
        <v>15442</v>
      </c>
      <c r="G3337" s="2" t="s">
        <v>15443</v>
      </c>
      <c r="H3337" s="2" t="s">
        <v>15444</v>
      </c>
    </row>
    <row r="3338">
      <c r="A3338" s="2">
        <v>3336.0</v>
      </c>
      <c r="B3338" s="5" t="s">
        <v>15534</v>
      </c>
      <c r="D3338" s="5" t="s">
        <v>15534</v>
      </c>
      <c r="E3338" s="2" t="s">
        <v>15441</v>
      </c>
      <c r="F3338" s="2" t="s">
        <v>15446</v>
      </c>
      <c r="G3338" s="2" t="s">
        <v>15456</v>
      </c>
      <c r="H3338" s="2" t="s">
        <v>15457</v>
      </c>
    </row>
    <row r="3339">
      <c r="A3339" s="2">
        <v>3337.0</v>
      </c>
      <c r="B3339" s="5" t="s">
        <v>4958</v>
      </c>
      <c r="C3339" s="2" t="s">
        <v>4959</v>
      </c>
      <c r="D3339" s="5" t="s">
        <v>4958</v>
      </c>
      <c r="E3339" s="2" t="s">
        <v>15445</v>
      </c>
      <c r="F3339" s="2" t="s">
        <v>15446</v>
      </c>
      <c r="G3339" s="2" t="s">
        <v>15456</v>
      </c>
      <c r="H3339" s="2" t="s">
        <v>15444</v>
      </c>
    </row>
    <row r="3340">
      <c r="A3340" s="2">
        <v>3338.0</v>
      </c>
      <c r="B3340" s="5" t="s">
        <v>4961</v>
      </c>
      <c r="C3340" s="2" t="s">
        <v>4962</v>
      </c>
      <c r="D3340" s="5" t="s">
        <v>4961</v>
      </c>
      <c r="E3340" s="2" t="s">
        <v>15445</v>
      </c>
      <c r="F3340" s="2" t="s">
        <v>15446</v>
      </c>
      <c r="G3340" s="2" t="s">
        <v>15456</v>
      </c>
      <c r="H3340" s="2" t="s">
        <v>15457</v>
      </c>
    </row>
    <row r="3341">
      <c r="A3341" s="2">
        <v>3339.0</v>
      </c>
      <c r="B3341" s="5" t="s">
        <v>4964</v>
      </c>
      <c r="C3341" s="2" t="s">
        <v>4965</v>
      </c>
      <c r="D3341" s="5" t="s">
        <v>4964</v>
      </c>
      <c r="E3341" s="2" t="s">
        <v>15445</v>
      </c>
      <c r="F3341" s="2" t="s">
        <v>15446</v>
      </c>
      <c r="G3341" s="2" t="s">
        <v>15456</v>
      </c>
      <c r="H3341" s="2" t="s">
        <v>15444</v>
      </c>
    </row>
    <row r="3342">
      <c r="A3342" s="2">
        <v>3340.0</v>
      </c>
      <c r="B3342" s="5" t="s">
        <v>12613</v>
      </c>
      <c r="C3342" s="2" t="s">
        <v>12614</v>
      </c>
      <c r="D3342" s="5" t="s">
        <v>12613</v>
      </c>
      <c r="E3342" s="2" t="s">
        <v>15441</v>
      </c>
      <c r="F3342" s="2" t="s">
        <v>15446</v>
      </c>
      <c r="G3342" s="2" t="s">
        <v>15456</v>
      </c>
      <c r="H3342" s="2" t="s">
        <v>15444</v>
      </c>
    </row>
    <row r="3343">
      <c r="A3343" s="2">
        <v>3341.0</v>
      </c>
      <c r="B3343" s="5" t="s">
        <v>12615</v>
      </c>
      <c r="C3343" s="2" t="s">
        <v>12616</v>
      </c>
      <c r="D3343" s="5" t="s">
        <v>12615</v>
      </c>
      <c r="E3343" s="2" t="s">
        <v>15441</v>
      </c>
      <c r="F3343" s="2" t="s">
        <v>15446</v>
      </c>
      <c r="G3343" s="2" t="s">
        <v>15456</v>
      </c>
      <c r="H3343" s="2" t="s">
        <v>15444</v>
      </c>
    </row>
    <row r="3344">
      <c r="A3344" s="2">
        <v>3342.0</v>
      </c>
      <c r="B3344" s="5" t="s">
        <v>12617</v>
      </c>
      <c r="C3344" s="2" t="s">
        <v>12618</v>
      </c>
      <c r="D3344" s="5" t="s">
        <v>12617</v>
      </c>
      <c r="E3344" s="2" t="s">
        <v>15441</v>
      </c>
      <c r="F3344" s="2" t="s">
        <v>15446</v>
      </c>
      <c r="G3344" s="2" t="s">
        <v>15456</v>
      </c>
      <c r="H3344" s="2" t="s">
        <v>15444</v>
      </c>
    </row>
    <row r="3345">
      <c r="A3345" s="2">
        <v>3343.0</v>
      </c>
      <c r="B3345" s="5" t="s">
        <v>12619</v>
      </c>
      <c r="C3345" s="2" t="s">
        <v>12620</v>
      </c>
      <c r="D3345" s="5" t="s">
        <v>12619</v>
      </c>
      <c r="E3345" s="2" t="s">
        <v>15441</v>
      </c>
      <c r="F3345" s="2" t="s">
        <v>15446</v>
      </c>
      <c r="G3345" s="2" t="s">
        <v>15456</v>
      </c>
      <c r="H3345" s="2" t="s">
        <v>15444</v>
      </c>
    </row>
    <row r="3346">
      <c r="A3346" s="2">
        <v>3344.0</v>
      </c>
      <c r="B3346" s="5" t="s">
        <v>4967</v>
      </c>
      <c r="C3346" s="2" t="s">
        <v>4968</v>
      </c>
      <c r="D3346" s="5" t="s">
        <v>4967</v>
      </c>
      <c r="E3346" s="2" t="s">
        <v>15445</v>
      </c>
      <c r="F3346" s="2" t="s">
        <v>15442</v>
      </c>
      <c r="G3346" s="2" t="s">
        <v>15443</v>
      </c>
      <c r="H3346" s="2" t="s">
        <v>15444</v>
      </c>
    </row>
    <row r="3347">
      <c r="A3347" s="2">
        <v>3345.0</v>
      </c>
      <c r="B3347" s="5" t="s">
        <v>12621</v>
      </c>
      <c r="C3347" s="2" t="s">
        <v>12622</v>
      </c>
      <c r="D3347" s="5" t="s">
        <v>12621</v>
      </c>
      <c r="E3347" s="2" t="s">
        <v>15441</v>
      </c>
      <c r="F3347" s="2" t="s">
        <v>15446</v>
      </c>
      <c r="G3347" s="2" t="s">
        <v>15443</v>
      </c>
      <c r="H3347" s="2" t="s">
        <v>15457</v>
      </c>
    </row>
    <row r="3348">
      <c r="A3348" s="2">
        <v>3346.0</v>
      </c>
      <c r="B3348" s="5" t="s">
        <v>4970</v>
      </c>
      <c r="C3348" s="2" t="s">
        <v>4971</v>
      </c>
      <c r="D3348" s="5" t="s">
        <v>4970</v>
      </c>
      <c r="E3348" s="2" t="s">
        <v>15445</v>
      </c>
      <c r="F3348" s="2" t="s">
        <v>15446</v>
      </c>
      <c r="G3348" s="2" t="s">
        <v>15456</v>
      </c>
      <c r="H3348" s="2" t="s">
        <v>15444</v>
      </c>
    </row>
    <row r="3349">
      <c r="A3349" s="2">
        <v>3347.0</v>
      </c>
      <c r="B3349" s="5" t="s">
        <v>12623</v>
      </c>
      <c r="C3349" s="2" t="s">
        <v>12624</v>
      </c>
      <c r="D3349" s="5" t="s">
        <v>12623</v>
      </c>
      <c r="E3349" s="2" t="s">
        <v>15441</v>
      </c>
      <c r="F3349" s="2" t="s">
        <v>15446</v>
      </c>
      <c r="G3349" s="2" t="s">
        <v>15456</v>
      </c>
      <c r="H3349" s="2" t="s">
        <v>15444</v>
      </c>
    </row>
    <row r="3350">
      <c r="A3350" s="2">
        <v>3348.0</v>
      </c>
      <c r="B3350" s="5" t="s">
        <v>4973</v>
      </c>
      <c r="C3350" s="2" t="s">
        <v>4974</v>
      </c>
      <c r="D3350" s="5" t="s">
        <v>4973</v>
      </c>
      <c r="E3350" s="2" t="s">
        <v>15445</v>
      </c>
      <c r="F3350" s="2" t="s">
        <v>15442</v>
      </c>
      <c r="G3350" s="2" t="s">
        <v>15443</v>
      </c>
      <c r="H3350" s="2" t="s">
        <v>15444</v>
      </c>
    </row>
    <row r="3351">
      <c r="A3351" s="2">
        <v>3349.0</v>
      </c>
      <c r="B3351" s="5" t="s">
        <v>12625</v>
      </c>
      <c r="C3351" s="2" t="s">
        <v>12626</v>
      </c>
      <c r="D3351" s="5" t="s">
        <v>12625</v>
      </c>
      <c r="E3351" s="2" t="s">
        <v>15441</v>
      </c>
      <c r="F3351" s="2" t="s">
        <v>15442</v>
      </c>
      <c r="G3351" s="2" t="s">
        <v>15443</v>
      </c>
      <c r="H3351" s="2" t="s">
        <v>15444</v>
      </c>
    </row>
    <row r="3352">
      <c r="A3352" s="2">
        <v>3350.0</v>
      </c>
      <c r="B3352" s="5" t="s">
        <v>12627</v>
      </c>
      <c r="C3352" s="2" t="s">
        <v>12628</v>
      </c>
      <c r="D3352" s="5" t="s">
        <v>12627</v>
      </c>
      <c r="E3352" s="2" t="s">
        <v>15441</v>
      </c>
      <c r="F3352" s="2" t="s">
        <v>15442</v>
      </c>
      <c r="G3352" s="2" t="s">
        <v>15443</v>
      </c>
      <c r="H3352" s="2" t="s">
        <v>15444</v>
      </c>
    </row>
    <row r="3353">
      <c r="A3353" s="2">
        <v>3351.0</v>
      </c>
      <c r="B3353" s="5" t="s">
        <v>12629</v>
      </c>
      <c r="C3353" s="2" t="s">
        <v>12630</v>
      </c>
      <c r="D3353" s="5" t="s">
        <v>12629</v>
      </c>
      <c r="E3353" s="2" t="s">
        <v>15441</v>
      </c>
      <c r="F3353" s="2" t="s">
        <v>15446</v>
      </c>
      <c r="G3353" s="2" t="s">
        <v>15456</v>
      </c>
      <c r="H3353" s="2" t="s">
        <v>15444</v>
      </c>
    </row>
    <row r="3354">
      <c r="A3354" s="2">
        <v>3352.0</v>
      </c>
      <c r="B3354" s="5" t="s">
        <v>12631</v>
      </c>
      <c r="C3354" s="2" t="s">
        <v>12632</v>
      </c>
      <c r="D3354" s="5" t="s">
        <v>12631</v>
      </c>
      <c r="E3354" s="2" t="s">
        <v>15441</v>
      </c>
      <c r="F3354" s="2" t="s">
        <v>15442</v>
      </c>
      <c r="G3354" s="2" t="s">
        <v>15443</v>
      </c>
      <c r="H3354" s="2" t="s">
        <v>15457</v>
      </c>
    </row>
    <row r="3355">
      <c r="A3355" s="2">
        <v>3353.0</v>
      </c>
      <c r="B3355" s="5" t="s">
        <v>12633</v>
      </c>
      <c r="C3355" s="2" t="s">
        <v>12634</v>
      </c>
      <c r="D3355" s="5" t="s">
        <v>12633</v>
      </c>
      <c r="E3355" s="2" t="s">
        <v>15441</v>
      </c>
      <c r="F3355" s="2" t="s">
        <v>15446</v>
      </c>
      <c r="G3355" s="2" t="s">
        <v>15443</v>
      </c>
      <c r="H3355" s="2" t="s">
        <v>15444</v>
      </c>
    </row>
    <row r="3356">
      <c r="A3356" s="2">
        <v>3354.0</v>
      </c>
      <c r="B3356" s="5" t="s">
        <v>4976</v>
      </c>
      <c r="C3356" s="2" t="s">
        <v>4977</v>
      </c>
      <c r="D3356" s="5" t="s">
        <v>4976</v>
      </c>
      <c r="E3356" s="2" t="s">
        <v>15445</v>
      </c>
      <c r="F3356" s="2" t="s">
        <v>15446</v>
      </c>
      <c r="G3356" s="2" t="s">
        <v>15456</v>
      </c>
      <c r="H3356" s="2" t="s">
        <v>15444</v>
      </c>
    </row>
    <row r="3357">
      <c r="A3357" s="2">
        <v>3355.0</v>
      </c>
      <c r="B3357" s="5" t="s">
        <v>12635</v>
      </c>
      <c r="C3357" s="2" t="s">
        <v>12636</v>
      </c>
      <c r="D3357" s="5" t="s">
        <v>12635</v>
      </c>
      <c r="E3357" s="2" t="s">
        <v>15441</v>
      </c>
      <c r="F3357" s="2" t="s">
        <v>15442</v>
      </c>
      <c r="G3357" s="2" t="s">
        <v>15443</v>
      </c>
      <c r="H3357" s="2" t="s">
        <v>15444</v>
      </c>
    </row>
    <row r="3358">
      <c r="A3358" s="2">
        <v>3356.0</v>
      </c>
      <c r="B3358" s="5" t="s">
        <v>12637</v>
      </c>
      <c r="C3358" s="2" t="s">
        <v>12638</v>
      </c>
      <c r="D3358" s="5" t="s">
        <v>12637</v>
      </c>
      <c r="E3358" s="2" t="s">
        <v>15441</v>
      </c>
      <c r="F3358" s="2" t="s">
        <v>15442</v>
      </c>
      <c r="G3358" s="2" t="s">
        <v>15456</v>
      </c>
      <c r="H3358" s="2" t="s">
        <v>15444</v>
      </c>
    </row>
    <row r="3359">
      <c r="A3359" s="2">
        <v>3357.0</v>
      </c>
      <c r="B3359" s="5" t="s">
        <v>12639</v>
      </c>
      <c r="C3359" s="2" t="s">
        <v>12640</v>
      </c>
      <c r="D3359" s="5" t="s">
        <v>12639</v>
      </c>
      <c r="E3359" s="2" t="s">
        <v>15441</v>
      </c>
      <c r="F3359" s="2" t="s">
        <v>15446</v>
      </c>
      <c r="G3359" s="2" t="s">
        <v>15456</v>
      </c>
      <c r="H3359" s="2" t="s">
        <v>15444</v>
      </c>
    </row>
    <row r="3360">
      <c r="A3360" s="2">
        <v>3358.0</v>
      </c>
      <c r="B3360" s="5" t="s">
        <v>12641</v>
      </c>
      <c r="C3360" s="2" t="s">
        <v>12642</v>
      </c>
      <c r="D3360" s="5" t="s">
        <v>12641</v>
      </c>
      <c r="E3360" s="2" t="s">
        <v>15441</v>
      </c>
      <c r="F3360" s="2" t="s">
        <v>15442</v>
      </c>
      <c r="G3360" s="2" t="s">
        <v>15443</v>
      </c>
      <c r="H3360" s="2" t="s">
        <v>15444</v>
      </c>
    </row>
    <row r="3361">
      <c r="A3361" s="2">
        <v>3359.0</v>
      </c>
      <c r="B3361" s="5" t="s">
        <v>4979</v>
      </c>
      <c r="C3361" s="2" t="s">
        <v>4980</v>
      </c>
      <c r="D3361" s="5" t="s">
        <v>4979</v>
      </c>
      <c r="E3361" s="2" t="s">
        <v>15445</v>
      </c>
      <c r="F3361" s="2" t="s">
        <v>15446</v>
      </c>
      <c r="G3361" s="2" t="s">
        <v>15443</v>
      </c>
      <c r="H3361" s="2" t="s">
        <v>15444</v>
      </c>
    </row>
    <row r="3362">
      <c r="A3362" s="2">
        <v>3360.0</v>
      </c>
      <c r="B3362" s="5" t="s">
        <v>12643</v>
      </c>
      <c r="C3362" s="2" t="s">
        <v>12644</v>
      </c>
      <c r="D3362" s="5" t="s">
        <v>12643</v>
      </c>
      <c r="E3362" s="2" t="s">
        <v>15441</v>
      </c>
      <c r="F3362" s="2" t="s">
        <v>15446</v>
      </c>
      <c r="G3362" s="2" t="s">
        <v>15456</v>
      </c>
      <c r="H3362" s="2" t="s">
        <v>15444</v>
      </c>
    </row>
    <row r="3363">
      <c r="A3363" s="2">
        <v>3361.0</v>
      </c>
      <c r="B3363" s="5" t="s">
        <v>4982</v>
      </c>
      <c r="C3363" s="2" t="s">
        <v>4983</v>
      </c>
      <c r="D3363" s="5" t="s">
        <v>4982</v>
      </c>
      <c r="E3363" s="2" t="s">
        <v>15445</v>
      </c>
      <c r="F3363" s="2" t="s">
        <v>15446</v>
      </c>
      <c r="G3363" s="2" t="s">
        <v>15456</v>
      </c>
      <c r="H3363" s="2" t="s">
        <v>15444</v>
      </c>
    </row>
    <row r="3364">
      <c r="A3364" s="2">
        <v>3362.0</v>
      </c>
      <c r="B3364" s="5" t="s">
        <v>4985</v>
      </c>
      <c r="C3364" s="2" t="s">
        <v>4986</v>
      </c>
      <c r="D3364" s="5" t="s">
        <v>4985</v>
      </c>
      <c r="E3364" s="2" t="s">
        <v>15445</v>
      </c>
      <c r="F3364" s="2" t="s">
        <v>15442</v>
      </c>
      <c r="G3364" s="2" t="s">
        <v>15443</v>
      </c>
      <c r="H3364" s="2" t="s">
        <v>15457</v>
      </c>
    </row>
    <row r="3365">
      <c r="A3365" s="2">
        <v>3363.0</v>
      </c>
      <c r="B3365" s="5" t="s">
        <v>4988</v>
      </c>
      <c r="C3365" s="2" t="s">
        <v>4989</v>
      </c>
      <c r="D3365" s="5" t="s">
        <v>4988</v>
      </c>
      <c r="E3365" s="2" t="s">
        <v>15445</v>
      </c>
      <c r="F3365" s="2" t="s">
        <v>15446</v>
      </c>
      <c r="G3365" s="2" t="s">
        <v>15456</v>
      </c>
      <c r="H3365" s="2" t="s">
        <v>15444</v>
      </c>
    </row>
    <row r="3366">
      <c r="A3366" s="2">
        <v>3364.0</v>
      </c>
      <c r="B3366" s="5" t="s">
        <v>12645</v>
      </c>
      <c r="C3366" s="2" t="s">
        <v>12646</v>
      </c>
      <c r="D3366" s="5" t="s">
        <v>12645</v>
      </c>
      <c r="E3366" s="2" t="s">
        <v>15441</v>
      </c>
      <c r="F3366" s="2" t="s">
        <v>15442</v>
      </c>
      <c r="G3366" s="2" t="s">
        <v>15443</v>
      </c>
      <c r="H3366" s="2" t="s">
        <v>15444</v>
      </c>
    </row>
    <row r="3367">
      <c r="A3367" s="2">
        <v>3365.0</v>
      </c>
      <c r="B3367" s="5" t="s">
        <v>4991</v>
      </c>
      <c r="C3367" s="2" t="s">
        <v>4992</v>
      </c>
      <c r="D3367" s="5" t="s">
        <v>4991</v>
      </c>
      <c r="E3367" s="2" t="s">
        <v>15445</v>
      </c>
      <c r="F3367" s="2" t="s">
        <v>15442</v>
      </c>
      <c r="G3367" s="2" t="s">
        <v>15443</v>
      </c>
      <c r="H3367" s="2" t="s">
        <v>15444</v>
      </c>
    </row>
    <row r="3368">
      <c r="A3368" s="2">
        <v>3366.0</v>
      </c>
      <c r="B3368" s="5" t="s">
        <v>4994</v>
      </c>
      <c r="C3368" s="2" t="s">
        <v>4995</v>
      </c>
      <c r="D3368" s="5" t="s">
        <v>4994</v>
      </c>
      <c r="E3368" s="2" t="s">
        <v>15445</v>
      </c>
      <c r="F3368" s="2" t="s">
        <v>15446</v>
      </c>
      <c r="G3368" s="2" t="s">
        <v>15456</v>
      </c>
      <c r="H3368" s="2" t="s">
        <v>15444</v>
      </c>
    </row>
    <row r="3369">
      <c r="A3369" s="2">
        <v>3367.0</v>
      </c>
      <c r="B3369" s="5" t="s">
        <v>12647</v>
      </c>
      <c r="C3369" s="2" t="s">
        <v>12648</v>
      </c>
      <c r="D3369" s="5" t="s">
        <v>12647</v>
      </c>
      <c r="E3369" s="2" t="s">
        <v>15441</v>
      </c>
      <c r="F3369" s="2" t="s">
        <v>15442</v>
      </c>
      <c r="G3369" s="2" t="s">
        <v>15443</v>
      </c>
      <c r="H3369" s="2" t="s">
        <v>15444</v>
      </c>
    </row>
    <row r="3370">
      <c r="A3370" s="2">
        <v>3368.0</v>
      </c>
      <c r="B3370" s="5" t="s">
        <v>4997</v>
      </c>
      <c r="C3370" s="2" t="s">
        <v>4998</v>
      </c>
      <c r="D3370" s="5" t="s">
        <v>4997</v>
      </c>
      <c r="E3370" s="2" t="s">
        <v>15445</v>
      </c>
      <c r="F3370" s="2" t="s">
        <v>15442</v>
      </c>
      <c r="G3370" s="2" t="s">
        <v>15443</v>
      </c>
      <c r="H3370" s="2" t="s">
        <v>15444</v>
      </c>
    </row>
    <row r="3371">
      <c r="A3371" s="2">
        <v>3369.0</v>
      </c>
      <c r="B3371" s="5" t="s">
        <v>5000</v>
      </c>
      <c r="C3371" s="2" t="s">
        <v>5001</v>
      </c>
      <c r="D3371" s="5" t="s">
        <v>5000</v>
      </c>
      <c r="E3371" s="2" t="s">
        <v>15445</v>
      </c>
      <c r="F3371" s="2" t="s">
        <v>15446</v>
      </c>
      <c r="G3371" s="2" t="s">
        <v>15456</v>
      </c>
      <c r="H3371" s="2" t="s">
        <v>15444</v>
      </c>
    </row>
    <row r="3372">
      <c r="A3372" s="2">
        <v>3370.0</v>
      </c>
      <c r="B3372" s="5" t="s">
        <v>12649</v>
      </c>
      <c r="C3372" s="2" t="s">
        <v>12650</v>
      </c>
      <c r="D3372" s="5" t="s">
        <v>12649</v>
      </c>
      <c r="E3372" s="2" t="s">
        <v>15441</v>
      </c>
      <c r="F3372" s="2" t="s">
        <v>15446</v>
      </c>
      <c r="G3372" s="2" t="s">
        <v>15456</v>
      </c>
      <c r="H3372" s="2" t="s">
        <v>15444</v>
      </c>
    </row>
    <row r="3373">
      <c r="A3373" s="2">
        <v>3371.0</v>
      </c>
      <c r="B3373" s="5" t="s">
        <v>12651</v>
      </c>
      <c r="C3373" s="2" t="s">
        <v>12652</v>
      </c>
      <c r="D3373" s="5" t="s">
        <v>12651</v>
      </c>
      <c r="E3373" s="2" t="s">
        <v>15441</v>
      </c>
      <c r="F3373" s="2" t="s">
        <v>15442</v>
      </c>
      <c r="G3373" s="2" t="s">
        <v>15443</v>
      </c>
      <c r="H3373" s="2" t="s">
        <v>15444</v>
      </c>
    </row>
    <row r="3374">
      <c r="A3374" s="2">
        <v>3372.0</v>
      </c>
      <c r="B3374" s="5" t="s">
        <v>12653</v>
      </c>
      <c r="C3374" s="2" t="s">
        <v>12654</v>
      </c>
      <c r="D3374" s="5" t="s">
        <v>12653</v>
      </c>
      <c r="E3374" s="2" t="s">
        <v>15441</v>
      </c>
      <c r="F3374" s="2" t="s">
        <v>15442</v>
      </c>
      <c r="G3374" s="2" t="s">
        <v>15443</v>
      </c>
      <c r="H3374" s="2" t="s">
        <v>15444</v>
      </c>
    </row>
    <row r="3375">
      <c r="A3375" s="2">
        <v>3373.0</v>
      </c>
      <c r="B3375" s="5" t="s">
        <v>5003</v>
      </c>
      <c r="C3375" s="2" t="s">
        <v>5004</v>
      </c>
      <c r="D3375" s="5" t="s">
        <v>5003</v>
      </c>
      <c r="E3375" s="2" t="s">
        <v>15445</v>
      </c>
      <c r="F3375" s="2" t="s">
        <v>15442</v>
      </c>
      <c r="G3375" s="2" t="s">
        <v>15443</v>
      </c>
      <c r="H3375" s="2" t="s">
        <v>15444</v>
      </c>
    </row>
    <row r="3376">
      <c r="A3376" s="2">
        <v>3374.0</v>
      </c>
      <c r="B3376" s="5" t="s">
        <v>12655</v>
      </c>
      <c r="C3376" s="2" t="s">
        <v>12656</v>
      </c>
      <c r="D3376" s="5" t="s">
        <v>12655</v>
      </c>
      <c r="E3376" s="2" t="s">
        <v>15441</v>
      </c>
      <c r="F3376" s="2" t="s">
        <v>15442</v>
      </c>
      <c r="G3376" s="2" t="s">
        <v>15443</v>
      </c>
      <c r="H3376" s="2" t="s">
        <v>15444</v>
      </c>
    </row>
    <row r="3377">
      <c r="A3377" s="2">
        <v>3375.0</v>
      </c>
      <c r="B3377" s="5" t="s">
        <v>12657</v>
      </c>
      <c r="C3377" s="2" t="s">
        <v>12658</v>
      </c>
      <c r="D3377" s="5" t="s">
        <v>12657</v>
      </c>
      <c r="E3377" s="2" t="s">
        <v>15441</v>
      </c>
      <c r="F3377" s="2" t="s">
        <v>15442</v>
      </c>
      <c r="G3377" s="2" t="s">
        <v>15443</v>
      </c>
      <c r="H3377" s="2" t="s">
        <v>15444</v>
      </c>
    </row>
    <row r="3378">
      <c r="A3378" s="2">
        <v>3376.0</v>
      </c>
      <c r="B3378" s="5" t="s">
        <v>5006</v>
      </c>
      <c r="C3378" s="2" t="s">
        <v>5007</v>
      </c>
      <c r="D3378" s="5" t="s">
        <v>5006</v>
      </c>
      <c r="E3378" s="2" t="s">
        <v>15445</v>
      </c>
      <c r="F3378" s="2" t="s">
        <v>15446</v>
      </c>
      <c r="G3378" s="2" t="s">
        <v>15443</v>
      </c>
      <c r="H3378" s="2" t="s">
        <v>15444</v>
      </c>
    </row>
    <row r="3379">
      <c r="A3379" s="2">
        <v>3377.0</v>
      </c>
      <c r="B3379" s="5" t="s">
        <v>5009</v>
      </c>
      <c r="C3379" s="2" t="s">
        <v>5010</v>
      </c>
      <c r="D3379" s="5" t="s">
        <v>5009</v>
      </c>
      <c r="E3379" s="2" t="s">
        <v>15445</v>
      </c>
      <c r="F3379" s="2" t="s">
        <v>15446</v>
      </c>
      <c r="G3379" s="2" t="s">
        <v>15456</v>
      </c>
      <c r="H3379" s="2" t="s">
        <v>15444</v>
      </c>
    </row>
    <row r="3380">
      <c r="A3380" s="2">
        <v>3378.0</v>
      </c>
      <c r="B3380" s="5" t="s">
        <v>12659</v>
      </c>
      <c r="C3380" s="2" t="s">
        <v>12660</v>
      </c>
      <c r="D3380" s="5" t="s">
        <v>12659</v>
      </c>
      <c r="E3380" s="2" t="s">
        <v>15441</v>
      </c>
      <c r="F3380" s="2" t="s">
        <v>15446</v>
      </c>
      <c r="G3380" s="2" t="s">
        <v>15456</v>
      </c>
      <c r="H3380" s="2" t="s">
        <v>15444</v>
      </c>
    </row>
    <row r="3381">
      <c r="A3381" s="2">
        <v>3379.0</v>
      </c>
      <c r="B3381" s="5" t="s">
        <v>12661</v>
      </c>
      <c r="C3381" s="2" t="s">
        <v>12662</v>
      </c>
      <c r="D3381" s="5" t="s">
        <v>12661</v>
      </c>
      <c r="E3381" s="2" t="s">
        <v>15441</v>
      </c>
      <c r="F3381" s="2" t="s">
        <v>15446</v>
      </c>
      <c r="G3381" s="2" t="s">
        <v>15443</v>
      </c>
      <c r="H3381" s="2" t="s">
        <v>15444</v>
      </c>
    </row>
    <row r="3382">
      <c r="A3382" s="2">
        <v>3380.0</v>
      </c>
      <c r="B3382" s="5" t="s">
        <v>12663</v>
      </c>
      <c r="C3382" s="2" t="s">
        <v>12664</v>
      </c>
      <c r="D3382" s="5" t="s">
        <v>12663</v>
      </c>
      <c r="E3382" s="2" t="s">
        <v>15441</v>
      </c>
      <c r="F3382" s="2" t="s">
        <v>15442</v>
      </c>
      <c r="G3382" s="2" t="s">
        <v>15456</v>
      </c>
      <c r="H3382" s="2" t="s">
        <v>15444</v>
      </c>
    </row>
    <row r="3383">
      <c r="A3383" s="2">
        <v>3381.0</v>
      </c>
      <c r="B3383" s="5" t="s">
        <v>5012</v>
      </c>
      <c r="C3383" s="2" t="s">
        <v>5013</v>
      </c>
      <c r="D3383" s="5" t="s">
        <v>5012</v>
      </c>
      <c r="E3383" s="2" t="s">
        <v>15445</v>
      </c>
      <c r="F3383" s="2" t="s">
        <v>15442</v>
      </c>
      <c r="G3383" s="2" t="s">
        <v>15443</v>
      </c>
      <c r="H3383" s="2" t="s">
        <v>15444</v>
      </c>
    </row>
    <row r="3384">
      <c r="A3384" s="2">
        <v>3382.0</v>
      </c>
      <c r="B3384" s="5" t="s">
        <v>12665</v>
      </c>
      <c r="C3384" s="2" t="s">
        <v>12666</v>
      </c>
      <c r="D3384" s="5" t="s">
        <v>12665</v>
      </c>
      <c r="E3384" s="2" t="s">
        <v>15441</v>
      </c>
      <c r="F3384" s="2" t="s">
        <v>15446</v>
      </c>
      <c r="G3384" s="2" t="s">
        <v>15443</v>
      </c>
      <c r="H3384" s="2" t="s">
        <v>15444</v>
      </c>
    </row>
    <row r="3385">
      <c r="A3385" s="2">
        <v>3383.0</v>
      </c>
      <c r="B3385" s="5" t="s">
        <v>12667</v>
      </c>
      <c r="C3385" s="2" t="s">
        <v>12668</v>
      </c>
      <c r="D3385" s="5" t="s">
        <v>12667</v>
      </c>
      <c r="E3385" s="2" t="s">
        <v>15441</v>
      </c>
      <c r="F3385" s="2" t="s">
        <v>15446</v>
      </c>
      <c r="G3385" s="2" t="s">
        <v>15456</v>
      </c>
      <c r="H3385" s="2" t="s">
        <v>15444</v>
      </c>
    </row>
    <row r="3386">
      <c r="A3386" s="2">
        <v>3384.0</v>
      </c>
      <c r="B3386" s="5" t="s">
        <v>12669</v>
      </c>
      <c r="C3386" s="2" t="s">
        <v>12670</v>
      </c>
      <c r="D3386" s="5" t="s">
        <v>12669</v>
      </c>
      <c r="E3386" s="2" t="s">
        <v>15441</v>
      </c>
      <c r="F3386" s="2" t="s">
        <v>15446</v>
      </c>
      <c r="G3386" s="2" t="s">
        <v>15456</v>
      </c>
      <c r="H3386" s="2" t="s">
        <v>15457</v>
      </c>
    </row>
    <row r="3387">
      <c r="A3387" s="2">
        <v>3385.0</v>
      </c>
      <c r="B3387" s="5" t="s">
        <v>12671</v>
      </c>
      <c r="C3387" s="2" t="s">
        <v>12672</v>
      </c>
      <c r="D3387" s="5" t="s">
        <v>12671</v>
      </c>
      <c r="E3387" s="2" t="s">
        <v>15441</v>
      </c>
      <c r="F3387" s="2" t="s">
        <v>15446</v>
      </c>
      <c r="G3387" s="2" t="s">
        <v>15456</v>
      </c>
      <c r="H3387" s="2" t="s">
        <v>15444</v>
      </c>
    </row>
    <row r="3388">
      <c r="A3388" s="2">
        <v>3386.0</v>
      </c>
      <c r="B3388" s="5" t="s">
        <v>12673</v>
      </c>
      <c r="C3388" s="2" t="s">
        <v>12674</v>
      </c>
      <c r="D3388" s="5" t="s">
        <v>12673</v>
      </c>
      <c r="E3388" s="2" t="s">
        <v>15441</v>
      </c>
      <c r="F3388" s="2" t="s">
        <v>15446</v>
      </c>
      <c r="G3388" s="2" t="s">
        <v>15443</v>
      </c>
      <c r="H3388" s="2" t="s">
        <v>15444</v>
      </c>
    </row>
    <row r="3389">
      <c r="A3389" s="2">
        <v>3387.0</v>
      </c>
      <c r="B3389" s="5" t="s">
        <v>12675</v>
      </c>
      <c r="C3389" s="2" t="s">
        <v>12676</v>
      </c>
      <c r="D3389" s="5" t="s">
        <v>12675</v>
      </c>
      <c r="E3389" s="2" t="s">
        <v>15441</v>
      </c>
      <c r="F3389" s="2" t="s">
        <v>15446</v>
      </c>
      <c r="G3389" s="2" t="s">
        <v>15456</v>
      </c>
      <c r="H3389" s="2" t="s">
        <v>15444</v>
      </c>
    </row>
    <row r="3390">
      <c r="A3390" s="2">
        <v>3388.0</v>
      </c>
      <c r="B3390" s="5" t="s">
        <v>12677</v>
      </c>
      <c r="C3390" s="2" t="s">
        <v>12678</v>
      </c>
      <c r="D3390" s="5" t="s">
        <v>12677</v>
      </c>
      <c r="E3390" s="2" t="s">
        <v>15441</v>
      </c>
      <c r="F3390" s="2" t="s">
        <v>15442</v>
      </c>
      <c r="G3390" s="2" t="s">
        <v>15443</v>
      </c>
      <c r="H3390" s="2" t="s">
        <v>15444</v>
      </c>
    </row>
    <row r="3391">
      <c r="A3391" s="2">
        <v>3389.0</v>
      </c>
      <c r="B3391" s="5" t="s">
        <v>5015</v>
      </c>
      <c r="C3391" s="2" t="s">
        <v>5016</v>
      </c>
      <c r="D3391" s="5" t="s">
        <v>5015</v>
      </c>
      <c r="E3391" s="2" t="s">
        <v>15445</v>
      </c>
      <c r="F3391" s="2" t="s">
        <v>15446</v>
      </c>
      <c r="G3391" s="2" t="s">
        <v>15456</v>
      </c>
      <c r="H3391" s="2" t="s">
        <v>15444</v>
      </c>
    </row>
    <row r="3392">
      <c r="A3392" s="2">
        <v>3390.0</v>
      </c>
      <c r="B3392" s="5" t="s">
        <v>12679</v>
      </c>
      <c r="C3392" s="2" t="s">
        <v>12680</v>
      </c>
      <c r="D3392" s="5" t="s">
        <v>12679</v>
      </c>
      <c r="E3392" s="2" t="s">
        <v>15441</v>
      </c>
      <c r="F3392" s="2" t="s">
        <v>15442</v>
      </c>
      <c r="G3392" s="2" t="s">
        <v>15443</v>
      </c>
      <c r="H3392" s="2" t="s">
        <v>15444</v>
      </c>
    </row>
    <row r="3393">
      <c r="A3393" s="2">
        <v>3391.0</v>
      </c>
      <c r="B3393" s="5" t="s">
        <v>12681</v>
      </c>
      <c r="C3393" s="2" t="s">
        <v>12682</v>
      </c>
      <c r="D3393" s="5" t="s">
        <v>12681</v>
      </c>
      <c r="E3393" s="2" t="s">
        <v>15441</v>
      </c>
      <c r="F3393" s="2" t="s">
        <v>15442</v>
      </c>
      <c r="G3393" s="2" t="s">
        <v>15443</v>
      </c>
      <c r="H3393" s="2" t="s">
        <v>15444</v>
      </c>
    </row>
    <row r="3394">
      <c r="A3394" s="2">
        <v>3392.0</v>
      </c>
      <c r="B3394" s="5" t="s">
        <v>5018</v>
      </c>
      <c r="C3394" s="2" t="s">
        <v>5019</v>
      </c>
      <c r="D3394" s="5" t="s">
        <v>5018</v>
      </c>
      <c r="E3394" s="2" t="s">
        <v>15445</v>
      </c>
      <c r="F3394" s="2" t="s">
        <v>15442</v>
      </c>
      <c r="G3394" s="2" t="s">
        <v>15443</v>
      </c>
      <c r="H3394" s="2" t="s">
        <v>15457</v>
      </c>
    </row>
    <row r="3395">
      <c r="A3395" s="2">
        <v>3393.0</v>
      </c>
      <c r="B3395" s="5" t="s">
        <v>12683</v>
      </c>
      <c r="C3395" s="2" t="s">
        <v>12684</v>
      </c>
      <c r="D3395" s="5" t="s">
        <v>12683</v>
      </c>
      <c r="E3395" s="2" t="s">
        <v>15441</v>
      </c>
      <c r="F3395" s="2" t="s">
        <v>15442</v>
      </c>
      <c r="G3395" s="2" t="s">
        <v>15443</v>
      </c>
      <c r="H3395" s="2" t="s">
        <v>15444</v>
      </c>
    </row>
    <row r="3396">
      <c r="A3396" s="2">
        <v>3394.0</v>
      </c>
      <c r="B3396" s="5" t="s">
        <v>12685</v>
      </c>
      <c r="C3396" s="2" t="s">
        <v>12686</v>
      </c>
      <c r="D3396" s="5" t="s">
        <v>12685</v>
      </c>
      <c r="E3396" s="2" t="s">
        <v>15441</v>
      </c>
      <c r="F3396" s="2" t="s">
        <v>15442</v>
      </c>
      <c r="G3396" s="2" t="s">
        <v>15456</v>
      </c>
      <c r="H3396" s="2" t="s">
        <v>15444</v>
      </c>
    </row>
    <row r="3397">
      <c r="A3397" s="2">
        <v>3395.0</v>
      </c>
      <c r="B3397" s="5" t="s">
        <v>12687</v>
      </c>
      <c r="C3397" s="2" t="s">
        <v>12688</v>
      </c>
      <c r="D3397" s="5" t="s">
        <v>12687</v>
      </c>
      <c r="E3397" s="2" t="s">
        <v>15441</v>
      </c>
      <c r="F3397" s="2" t="s">
        <v>15442</v>
      </c>
      <c r="G3397" s="2" t="s">
        <v>15443</v>
      </c>
      <c r="H3397" s="2" t="s">
        <v>15444</v>
      </c>
    </row>
    <row r="3398">
      <c r="A3398" s="2">
        <v>3396.0</v>
      </c>
      <c r="B3398" s="5" t="s">
        <v>12689</v>
      </c>
      <c r="C3398" s="2" t="s">
        <v>12690</v>
      </c>
      <c r="D3398" s="5" t="s">
        <v>12689</v>
      </c>
      <c r="E3398" s="2" t="s">
        <v>15441</v>
      </c>
      <c r="F3398" s="2" t="s">
        <v>15446</v>
      </c>
      <c r="G3398" s="2" t="s">
        <v>15443</v>
      </c>
      <c r="H3398" s="2" t="s">
        <v>15444</v>
      </c>
    </row>
    <row r="3399">
      <c r="A3399" s="2">
        <v>3397.0</v>
      </c>
      <c r="B3399" s="5" t="s">
        <v>5021</v>
      </c>
      <c r="C3399" s="2" t="s">
        <v>5022</v>
      </c>
      <c r="D3399" s="5" t="s">
        <v>5021</v>
      </c>
      <c r="E3399" s="2" t="s">
        <v>15445</v>
      </c>
      <c r="F3399" s="2" t="s">
        <v>15446</v>
      </c>
      <c r="G3399" s="2" t="s">
        <v>15456</v>
      </c>
      <c r="H3399" s="2" t="s">
        <v>15444</v>
      </c>
    </row>
    <row r="3400">
      <c r="A3400" s="2">
        <v>3398.0</v>
      </c>
      <c r="B3400" s="5" t="s">
        <v>5024</v>
      </c>
      <c r="C3400" s="2" t="s">
        <v>5025</v>
      </c>
      <c r="D3400" s="5" t="s">
        <v>5024</v>
      </c>
      <c r="E3400" s="2" t="s">
        <v>15445</v>
      </c>
      <c r="F3400" s="2" t="s">
        <v>15446</v>
      </c>
      <c r="G3400" s="2" t="s">
        <v>15456</v>
      </c>
      <c r="H3400" s="2" t="s">
        <v>15444</v>
      </c>
    </row>
    <row r="3401">
      <c r="A3401" s="2">
        <v>3399.0</v>
      </c>
      <c r="B3401" s="5" t="s">
        <v>12691</v>
      </c>
      <c r="C3401" s="2" t="s">
        <v>12692</v>
      </c>
      <c r="D3401" s="5" t="s">
        <v>12691</v>
      </c>
      <c r="E3401" s="2" t="s">
        <v>15441</v>
      </c>
      <c r="F3401" s="2" t="s">
        <v>15442</v>
      </c>
      <c r="G3401" s="2" t="s">
        <v>15443</v>
      </c>
      <c r="H3401" s="2" t="s">
        <v>15444</v>
      </c>
    </row>
    <row r="3402">
      <c r="A3402" s="2">
        <v>3400.0</v>
      </c>
      <c r="B3402" s="5" t="s">
        <v>5027</v>
      </c>
      <c r="C3402" s="2" t="s">
        <v>5028</v>
      </c>
      <c r="D3402" s="5" t="s">
        <v>5027</v>
      </c>
      <c r="E3402" s="2" t="s">
        <v>15445</v>
      </c>
      <c r="F3402" s="2" t="s">
        <v>15446</v>
      </c>
      <c r="G3402" s="2" t="s">
        <v>15443</v>
      </c>
      <c r="H3402" s="2" t="s">
        <v>15444</v>
      </c>
    </row>
    <row r="3403">
      <c r="A3403" s="2">
        <v>3401.0</v>
      </c>
      <c r="B3403" s="5" t="s">
        <v>5030</v>
      </c>
      <c r="C3403" s="2" t="s">
        <v>5031</v>
      </c>
      <c r="D3403" s="5" t="s">
        <v>5030</v>
      </c>
      <c r="E3403" s="2" t="s">
        <v>15445</v>
      </c>
      <c r="F3403" s="2" t="s">
        <v>15446</v>
      </c>
      <c r="G3403" s="2" t="s">
        <v>15443</v>
      </c>
      <c r="H3403" s="2" t="s">
        <v>15444</v>
      </c>
    </row>
    <row r="3404">
      <c r="A3404" s="2">
        <v>3402.0</v>
      </c>
      <c r="B3404" s="5" t="s">
        <v>12693</v>
      </c>
      <c r="C3404" s="2" t="s">
        <v>12694</v>
      </c>
      <c r="D3404" s="5" t="s">
        <v>12693</v>
      </c>
      <c r="E3404" s="2" t="s">
        <v>15441</v>
      </c>
      <c r="F3404" s="2" t="s">
        <v>15442</v>
      </c>
      <c r="G3404" s="2" t="s">
        <v>15443</v>
      </c>
      <c r="H3404" s="2" t="s">
        <v>15444</v>
      </c>
    </row>
    <row r="3405">
      <c r="A3405" s="2">
        <v>3403.0</v>
      </c>
      <c r="B3405" s="5" t="s">
        <v>12695</v>
      </c>
      <c r="C3405" s="2" t="s">
        <v>12696</v>
      </c>
      <c r="D3405" s="5" t="s">
        <v>12695</v>
      </c>
      <c r="E3405" s="2" t="s">
        <v>15441</v>
      </c>
      <c r="F3405" s="2" t="s">
        <v>15446</v>
      </c>
      <c r="G3405" s="2" t="s">
        <v>15456</v>
      </c>
      <c r="H3405" s="2" t="s">
        <v>15444</v>
      </c>
    </row>
    <row r="3406">
      <c r="A3406" s="2">
        <v>3404.0</v>
      </c>
      <c r="B3406" s="5" t="s">
        <v>5033</v>
      </c>
      <c r="C3406" s="2" t="s">
        <v>5034</v>
      </c>
      <c r="D3406" s="5" t="s">
        <v>5033</v>
      </c>
      <c r="E3406" s="2" t="s">
        <v>15445</v>
      </c>
      <c r="F3406" s="2" t="s">
        <v>15442</v>
      </c>
      <c r="G3406" s="2" t="s">
        <v>15443</v>
      </c>
      <c r="H3406" s="2" t="s">
        <v>15444</v>
      </c>
    </row>
    <row r="3407">
      <c r="A3407" s="2">
        <v>3405.0</v>
      </c>
      <c r="B3407" s="5" t="s">
        <v>12697</v>
      </c>
      <c r="C3407" s="2" t="s">
        <v>12698</v>
      </c>
      <c r="D3407" s="5" t="s">
        <v>12697</v>
      </c>
      <c r="E3407" s="2" t="s">
        <v>15441</v>
      </c>
      <c r="F3407" s="2" t="s">
        <v>15446</v>
      </c>
      <c r="G3407" s="2" t="s">
        <v>15456</v>
      </c>
      <c r="H3407" s="2" t="s">
        <v>15444</v>
      </c>
    </row>
    <row r="3408">
      <c r="A3408" s="2">
        <v>3406.0</v>
      </c>
      <c r="B3408" s="5" t="s">
        <v>5036</v>
      </c>
      <c r="C3408" s="2" t="s">
        <v>5037</v>
      </c>
      <c r="D3408" s="5" t="s">
        <v>5036</v>
      </c>
      <c r="E3408" s="2" t="s">
        <v>15445</v>
      </c>
      <c r="F3408" s="2" t="s">
        <v>15442</v>
      </c>
      <c r="G3408" s="2" t="s">
        <v>15443</v>
      </c>
      <c r="H3408" s="2" t="s">
        <v>15444</v>
      </c>
    </row>
    <row r="3409">
      <c r="A3409" s="2">
        <v>3407.0</v>
      </c>
      <c r="B3409" s="5" t="s">
        <v>5039</v>
      </c>
      <c r="C3409" s="2" t="s">
        <v>5040</v>
      </c>
      <c r="D3409" s="5" t="s">
        <v>5039</v>
      </c>
      <c r="E3409" s="2" t="s">
        <v>15445</v>
      </c>
      <c r="F3409" s="2" t="s">
        <v>15446</v>
      </c>
      <c r="G3409" s="2" t="s">
        <v>15443</v>
      </c>
      <c r="H3409" s="2" t="s">
        <v>15444</v>
      </c>
    </row>
    <row r="3410">
      <c r="A3410" s="2">
        <v>3408.0</v>
      </c>
      <c r="B3410" s="5" t="s">
        <v>12699</v>
      </c>
      <c r="C3410" s="2" t="s">
        <v>12700</v>
      </c>
      <c r="D3410" s="5" t="s">
        <v>12699</v>
      </c>
      <c r="E3410" s="2" t="s">
        <v>15441</v>
      </c>
      <c r="F3410" s="2" t="s">
        <v>15446</v>
      </c>
      <c r="G3410" s="2" t="s">
        <v>15456</v>
      </c>
      <c r="H3410" s="2" t="s">
        <v>15444</v>
      </c>
    </row>
    <row r="3411">
      <c r="A3411" s="2">
        <v>3409.0</v>
      </c>
      <c r="B3411" s="5" t="s">
        <v>5042</v>
      </c>
      <c r="C3411" s="2" t="s">
        <v>5043</v>
      </c>
      <c r="D3411" s="5" t="s">
        <v>5042</v>
      </c>
      <c r="E3411" s="2" t="s">
        <v>15445</v>
      </c>
      <c r="F3411" s="2" t="s">
        <v>15446</v>
      </c>
      <c r="G3411" s="2" t="s">
        <v>15443</v>
      </c>
      <c r="H3411" s="2" t="s">
        <v>15444</v>
      </c>
    </row>
    <row r="3412">
      <c r="A3412" s="2">
        <v>3410.0</v>
      </c>
      <c r="B3412" s="5" t="s">
        <v>12701</v>
      </c>
      <c r="C3412" s="2" t="s">
        <v>12702</v>
      </c>
      <c r="D3412" s="5" t="s">
        <v>12701</v>
      </c>
      <c r="E3412" s="2" t="s">
        <v>15441</v>
      </c>
      <c r="F3412" s="2" t="s">
        <v>15446</v>
      </c>
      <c r="G3412" s="2" t="s">
        <v>15456</v>
      </c>
      <c r="H3412" s="2" t="s">
        <v>15457</v>
      </c>
    </row>
    <row r="3413">
      <c r="A3413" s="2">
        <v>3411.0</v>
      </c>
      <c r="B3413" s="5" t="s">
        <v>5045</v>
      </c>
      <c r="C3413" s="2" t="s">
        <v>5046</v>
      </c>
      <c r="D3413" s="5" t="s">
        <v>5045</v>
      </c>
      <c r="E3413" s="2" t="s">
        <v>15445</v>
      </c>
      <c r="F3413" s="2" t="s">
        <v>15442</v>
      </c>
      <c r="G3413" s="2" t="s">
        <v>15443</v>
      </c>
      <c r="H3413" s="2" t="s">
        <v>15444</v>
      </c>
    </row>
    <row r="3414">
      <c r="A3414" s="2">
        <v>3412.0</v>
      </c>
      <c r="B3414" s="5" t="s">
        <v>5048</v>
      </c>
      <c r="C3414" s="2" t="s">
        <v>5049</v>
      </c>
      <c r="D3414" s="5" t="s">
        <v>5048</v>
      </c>
      <c r="E3414" s="2" t="s">
        <v>15445</v>
      </c>
      <c r="F3414" s="2" t="s">
        <v>15446</v>
      </c>
      <c r="G3414" s="2" t="s">
        <v>15456</v>
      </c>
      <c r="H3414" s="2" t="s">
        <v>15457</v>
      </c>
    </row>
    <row r="3415">
      <c r="A3415" s="2">
        <v>3413.0</v>
      </c>
      <c r="B3415" s="5" t="s">
        <v>5051</v>
      </c>
      <c r="C3415" s="2" t="s">
        <v>5052</v>
      </c>
      <c r="D3415" s="5" t="s">
        <v>5051</v>
      </c>
      <c r="E3415" s="2" t="s">
        <v>15445</v>
      </c>
      <c r="F3415" s="2" t="s">
        <v>15446</v>
      </c>
      <c r="G3415" s="2" t="s">
        <v>15456</v>
      </c>
      <c r="H3415" s="2" t="s">
        <v>15444</v>
      </c>
    </row>
    <row r="3416">
      <c r="A3416" s="2">
        <v>3414.0</v>
      </c>
      <c r="B3416" s="5" t="s">
        <v>5054</v>
      </c>
      <c r="C3416" s="2" t="s">
        <v>5055</v>
      </c>
      <c r="D3416" s="5" t="s">
        <v>5054</v>
      </c>
      <c r="E3416" s="2" t="s">
        <v>15445</v>
      </c>
      <c r="F3416" s="2" t="s">
        <v>15446</v>
      </c>
      <c r="G3416" s="2" t="s">
        <v>15456</v>
      </c>
      <c r="H3416" s="2" t="s">
        <v>15444</v>
      </c>
    </row>
    <row r="3417">
      <c r="A3417" s="2">
        <v>3415.0</v>
      </c>
      <c r="B3417" s="5" t="s">
        <v>12703</v>
      </c>
      <c r="C3417" s="2" t="s">
        <v>12704</v>
      </c>
      <c r="D3417" s="5" t="s">
        <v>12703</v>
      </c>
      <c r="E3417" s="2" t="s">
        <v>15441</v>
      </c>
      <c r="F3417" s="2" t="s">
        <v>15446</v>
      </c>
      <c r="G3417" s="2" t="s">
        <v>15456</v>
      </c>
      <c r="H3417" s="2" t="s">
        <v>15444</v>
      </c>
    </row>
    <row r="3418">
      <c r="A3418" s="2">
        <v>3416.0</v>
      </c>
      <c r="B3418" s="5" t="s">
        <v>5057</v>
      </c>
      <c r="C3418" s="2" t="s">
        <v>5058</v>
      </c>
      <c r="D3418" s="5" t="s">
        <v>5057</v>
      </c>
      <c r="E3418" s="2" t="s">
        <v>15445</v>
      </c>
      <c r="F3418" s="2" t="s">
        <v>15442</v>
      </c>
      <c r="G3418" s="2" t="s">
        <v>15456</v>
      </c>
      <c r="H3418" s="2" t="s">
        <v>15444</v>
      </c>
    </row>
    <row r="3419">
      <c r="A3419" s="2">
        <v>3417.0</v>
      </c>
      <c r="B3419" s="5" t="s">
        <v>5060</v>
      </c>
      <c r="C3419" s="2" t="s">
        <v>5061</v>
      </c>
      <c r="D3419" s="5" t="s">
        <v>5060</v>
      </c>
      <c r="E3419" s="2" t="s">
        <v>15445</v>
      </c>
      <c r="F3419" s="2" t="s">
        <v>15442</v>
      </c>
      <c r="G3419" s="2" t="s">
        <v>15456</v>
      </c>
      <c r="H3419" s="2" t="s">
        <v>15444</v>
      </c>
    </row>
    <row r="3420">
      <c r="A3420" s="2">
        <v>3418.0</v>
      </c>
      <c r="B3420" s="5" t="s">
        <v>12705</v>
      </c>
      <c r="C3420" s="2" t="s">
        <v>12706</v>
      </c>
      <c r="D3420" s="5" t="s">
        <v>12705</v>
      </c>
      <c r="E3420" s="2" t="s">
        <v>15441</v>
      </c>
      <c r="F3420" s="2" t="s">
        <v>15442</v>
      </c>
      <c r="G3420" s="2" t="s">
        <v>15443</v>
      </c>
      <c r="H3420" s="2" t="s">
        <v>15444</v>
      </c>
    </row>
    <row r="3421">
      <c r="A3421" s="2">
        <v>3419.0</v>
      </c>
      <c r="B3421" s="5" t="s">
        <v>12707</v>
      </c>
      <c r="C3421" s="2" t="s">
        <v>12708</v>
      </c>
      <c r="D3421" s="5" t="s">
        <v>12707</v>
      </c>
      <c r="E3421" s="2" t="s">
        <v>15441</v>
      </c>
      <c r="F3421" s="2" t="s">
        <v>15442</v>
      </c>
      <c r="G3421" s="2" t="s">
        <v>15443</v>
      </c>
      <c r="H3421" s="2" t="s">
        <v>15455</v>
      </c>
    </row>
    <row r="3422">
      <c r="A3422" s="2">
        <v>3420.0</v>
      </c>
      <c r="B3422" s="5" t="s">
        <v>5063</v>
      </c>
      <c r="C3422" s="2" t="s">
        <v>5064</v>
      </c>
      <c r="D3422" s="5" t="s">
        <v>5063</v>
      </c>
      <c r="E3422" s="2" t="s">
        <v>15445</v>
      </c>
      <c r="F3422" s="2" t="s">
        <v>15446</v>
      </c>
      <c r="G3422" s="2" t="s">
        <v>15456</v>
      </c>
      <c r="H3422" s="2" t="s">
        <v>15444</v>
      </c>
    </row>
    <row r="3423">
      <c r="A3423" s="2">
        <v>3421.0</v>
      </c>
      <c r="B3423" s="5" t="s">
        <v>5066</v>
      </c>
      <c r="C3423" s="2" t="s">
        <v>5067</v>
      </c>
      <c r="D3423" s="5" t="s">
        <v>5066</v>
      </c>
      <c r="E3423" s="2" t="s">
        <v>15445</v>
      </c>
      <c r="F3423" s="2" t="s">
        <v>15446</v>
      </c>
      <c r="G3423" s="2" t="s">
        <v>15456</v>
      </c>
      <c r="H3423" s="2" t="s">
        <v>15444</v>
      </c>
    </row>
    <row r="3424">
      <c r="A3424" s="2">
        <v>3422.0</v>
      </c>
      <c r="B3424" s="5" t="s">
        <v>12709</v>
      </c>
      <c r="C3424" s="2" t="s">
        <v>12710</v>
      </c>
      <c r="D3424" s="5" t="s">
        <v>12709</v>
      </c>
      <c r="E3424" s="2" t="s">
        <v>15441</v>
      </c>
      <c r="F3424" s="2" t="s">
        <v>15446</v>
      </c>
      <c r="G3424" s="2" t="s">
        <v>15443</v>
      </c>
      <c r="H3424" s="2" t="s">
        <v>15461</v>
      </c>
    </row>
    <row r="3425">
      <c r="A3425" s="2">
        <v>3423.0</v>
      </c>
      <c r="B3425" s="5" t="s">
        <v>5069</v>
      </c>
      <c r="C3425" s="2" t="s">
        <v>5070</v>
      </c>
      <c r="D3425" s="5" t="s">
        <v>5069</v>
      </c>
      <c r="E3425" s="2" t="s">
        <v>15445</v>
      </c>
      <c r="F3425" s="2" t="s">
        <v>15446</v>
      </c>
      <c r="G3425" s="2" t="s">
        <v>15456</v>
      </c>
      <c r="H3425" s="2" t="s">
        <v>15444</v>
      </c>
    </row>
    <row r="3426">
      <c r="A3426" s="2">
        <v>3424.0</v>
      </c>
      <c r="B3426" s="5" t="s">
        <v>5072</v>
      </c>
      <c r="C3426" s="2" t="s">
        <v>5073</v>
      </c>
      <c r="D3426" s="5" t="s">
        <v>5072</v>
      </c>
      <c r="E3426" s="2" t="s">
        <v>15445</v>
      </c>
      <c r="F3426" s="2" t="s">
        <v>15446</v>
      </c>
      <c r="G3426" s="2" t="s">
        <v>15443</v>
      </c>
      <c r="H3426" s="2" t="s">
        <v>15444</v>
      </c>
    </row>
    <row r="3427">
      <c r="A3427" s="2">
        <v>3425.0</v>
      </c>
      <c r="B3427" s="5" t="s">
        <v>12711</v>
      </c>
      <c r="C3427" s="2" t="s">
        <v>12712</v>
      </c>
      <c r="D3427" s="5" t="s">
        <v>12711</v>
      </c>
      <c r="E3427" s="2" t="s">
        <v>15441</v>
      </c>
      <c r="F3427" s="2" t="s">
        <v>15442</v>
      </c>
      <c r="G3427" s="2" t="s">
        <v>15443</v>
      </c>
      <c r="H3427" s="2" t="s">
        <v>15444</v>
      </c>
    </row>
    <row r="3428">
      <c r="A3428" s="2">
        <v>3426.0</v>
      </c>
      <c r="B3428" s="5" t="s">
        <v>5075</v>
      </c>
      <c r="C3428" s="2" t="s">
        <v>5076</v>
      </c>
      <c r="D3428" s="5" t="s">
        <v>5075</v>
      </c>
      <c r="E3428" s="2" t="s">
        <v>15445</v>
      </c>
      <c r="F3428" s="2" t="s">
        <v>15442</v>
      </c>
      <c r="G3428" s="2" t="s">
        <v>15443</v>
      </c>
      <c r="H3428" s="2" t="s">
        <v>15461</v>
      </c>
    </row>
    <row r="3429">
      <c r="A3429" s="2">
        <v>3427.0</v>
      </c>
      <c r="B3429" s="5" t="s">
        <v>5078</v>
      </c>
      <c r="C3429" s="2" t="s">
        <v>5079</v>
      </c>
      <c r="D3429" s="5" t="s">
        <v>5078</v>
      </c>
      <c r="E3429" s="2" t="s">
        <v>15445</v>
      </c>
      <c r="F3429" s="2" t="s">
        <v>15446</v>
      </c>
      <c r="G3429" s="2" t="s">
        <v>15456</v>
      </c>
      <c r="H3429" s="2" t="s">
        <v>15444</v>
      </c>
    </row>
    <row r="3430">
      <c r="A3430" s="2">
        <v>3428.0</v>
      </c>
      <c r="B3430" s="5" t="s">
        <v>5081</v>
      </c>
      <c r="C3430" s="2" t="s">
        <v>5082</v>
      </c>
      <c r="D3430" s="5" t="s">
        <v>5081</v>
      </c>
      <c r="E3430" s="2" t="s">
        <v>15445</v>
      </c>
      <c r="F3430" s="2" t="s">
        <v>15442</v>
      </c>
      <c r="G3430" s="2" t="s">
        <v>15443</v>
      </c>
      <c r="H3430" s="2" t="s">
        <v>15444</v>
      </c>
    </row>
    <row r="3431">
      <c r="A3431" s="2">
        <v>3429.0</v>
      </c>
      <c r="B3431" s="5" t="s">
        <v>12713</v>
      </c>
      <c r="C3431" s="2" t="s">
        <v>12714</v>
      </c>
      <c r="D3431" s="5" t="s">
        <v>12713</v>
      </c>
      <c r="E3431" s="2" t="s">
        <v>15441</v>
      </c>
      <c r="F3431" s="2" t="s">
        <v>15442</v>
      </c>
      <c r="G3431" s="2" t="s">
        <v>15443</v>
      </c>
      <c r="H3431" s="2" t="s">
        <v>15461</v>
      </c>
    </row>
    <row r="3432">
      <c r="A3432" s="2">
        <v>3430.0</v>
      </c>
      <c r="B3432" s="5" t="s">
        <v>5084</v>
      </c>
      <c r="C3432" s="2" t="s">
        <v>5085</v>
      </c>
      <c r="D3432" s="5" t="s">
        <v>5084</v>
      </c>
      <c r="E3432" s="2" t="s">
        <v>15445</v>
      </c>
      <c r="F3432" s="2" t="s">
        <v>15442</v>
      </c>
      <c r="G3432" s="2" t="s">
        <v>15443</v>
      </c>
      <c r="H3432" s="2" t="s">
        <v>15444</v>
      </c>
    </row>
    <row r="3433">
      <c r="A3433" s="2">
        <v>3431.0</v>
      </c>
      <c r="B3433" s="5" t="s">
        <v>5087</v>
      </c>
      <c r="C3433" s="2" t="s">
        <v>5088</v>
      </c>
      <c r="D3433" s="5" t="s">
        <v>5087</v>
      </c>
      <c r="E3433" s="2" t="s">
        <v>15445</v>
      </c>
      <c r="F3433" s="2" t="s">
        <v>15442</v>
      </c>
      <c r="G3433" s="2" t="s">
        <v>15443</v>
      </c>
      <c r="H3433" s="2" t="s">
        <v>15444</v>
      </c>
    </row>
    <row r="3434">
      <c r="A3434" s="2">
        <v>3432.0</v>
      </c>
      <c r="B3434" s="5" t="s">
        <v>12715</v>
      </c>
      <c r="C3434" s="2" t="s">
        <v>12716</v>
      </c>
      <c r="D3434" s="5" t="s">
        <v>12715</v>
      </c>
      <c r="E3434" s="2" t="s">
        <v>15441</v>
      </c>
      <c r="F3434" s="2" t="s">
        <v>15442</v>
      </c>
      <c r="G3434" s="2" t="s">
        <v>15443</v>
      </c>
      <c r="H3434" s="2" t="s">
        <v>15444</v>
      </c>
    </row>
    <row r="3435">
      <c r="A3435" s="2">
        <v>3433.0</v>
      </c>
      <c r="B3435" s="5" t="s">
        <v>12717</v>
      </c>
      <c r="C3435" s="2" t="s">
        <v>12718</v>
      </c>
      <c r="D3435" s="5" t="s">
        <v>12717</v>
      </c>
      <c r="E3435" s="2" t="s">
        <v>15441</v>
      </c>
      <c r="F3435" s="2" t="s">
        <v>15442</v>
      </c>
      <c r="G3435" s="2" t="s">
        <v>15443</v>
      </c>
      <c r="H3435" s="2" t="s">
        <v>15455</v>
      </c>
    </row>
    <row r="3436">
      <c r="A3436" s="2">
        <v>3434.0</v>
      </c>
      <c r="B3436" s="5" t="s">
        <v>5090</v>
      </c>
      <c r="C3436" s="2" t="s">
        <v>5091</v>
      </c>
      <c r="D3436" s="5" t="s">
        <v>5090</v>
      </c>
      <c r="E3436" s="2" t="s">
        <v>15445</v>
      </c>
      <c r="F3436" s="2" t="s">
        <v>15442</v>
      </c>
      <c r="G3436" s="2" t="s">
        <v>15456</v>
      </c>
      <c r="H3436" s="2" t="s">
        <v>15444</v>
      </c>
    </row>
    <row r="3437">
      <c r="A3437" s="2">
        <v>3435.0</v>
      </c>
      <c r="B3437" s="5" t="s">
        <v>12719</v>
      </c>
      <c r="C3437" s="2" t="s">
        <v>12720</v>
      </c>
      <c r="D3437" s="5" t="s">
        <v>12719</v>
      </c>
      <c r="E3437" s="2" t="s">
        <v>15441</v>
      </c>
      <c r="F3437" s="2" t="s">
        <v>15446</v>
      </c>
      <c r="G3437" s="2" t="s">
        <v>15443</v>
      </c>
      <c r="H3437" s="2" t="s">
        <v>15444</v>
      </c>
    </row>
    <row r="3438">
      <c r="A3438" s="2">
        <v>3436.0</v>
      </c>
      <c r="B3438" s="5" t="s">
        <v>5093</v>
      </c>
      <c r="C3438" s="2" t="s">
        <v>5094</v>
      </c>
      <c r="D3438" s="5" t="s">
        <v>5093</v>
      </c>
      <c r="E3438" s="2" t="s">
        <v>15445</v>
      </c>
      <c r="F3438" s="2" t="s">
        <v>15442</v>
      </c>
      <c r="G3438" s="2" t="s">
        <v>15443</v>
      </c>
      <c r="H3438" s="2" t="s">
        <v>15444</v>
      </c>
    </row>
    <row r="3439">
      <c r="A3439" s="2">
        <v>3437.0</v>
      </c>
      <c r="B3439" s="5" t="s">
        <v>5096</v>
      </c>
      <c r="C3439" s="2" t="s">
        <v>5097</v>
      </c>
      <c r="D3439" s="5" t="s">
        <v>5096</v>
      </c>
      <c r="E3439" s="2" t="s">
        <v>15445</v>
      </c>
      <c r="F3439" s="2" t="s">
        <v>15442</v>
      </c>
      <c r="G3439" s="2" t="s">
        <v>15443</v>
      </c>
      <c r="H3439" s="2" t="s">
        <v>15444</v>
      </c>
    </row>
    <row r="3440">
      <c r="A3440" s="2">
        <v>3438.0</v>
      </c>
      <c r="B3440" s="5" t="s">
        <v>5099</v>
      </c>
      <c r="C3440" s="2" t="s">
        <v>5100</v>
      </c>
      <c r="D3440" s="5" t="s">
        <v>5099</v>
      </c>
      <c r="E3440" s="2" t="s">
        <v>15445</v>
      </c>
      <c r="F3440" s="2" t="s">
        <v>15446</v>
      </c>
      <c r="G3440" s="2" t="s">
        <v>15443</v>
      </c>
      <c r="H3440" s="2" t="s">
        <v>15444</v>
      </c>
    </row>
    <row r="3441">
      <c r="A3441" s="2">
        <v>3439.0</v>
      </c>
      <c r="B3441" s="5" t="s">
        <v>12721</v>
      </c>
      <c r="C3441" s="2" t="s">
        <v>12722</v>
      </c>
      <c r="D3441" s="5" t="s">
        <v>12721</v>
      </c>
      <c r="E3441" s="2" t="s">
        <v>15441</v>
      </c>
      <c r="F3441" s="2" t="s">
        <v>15446</v>
      </c>
      <c r="G3441" s="2" t="s">
        <v>15443</v>
      </c>
      <c r="H3441" s="2" t="s">
        <v>15444</v>
      </c>
    </row>
    <row r="3442">
      <c r="A3442" s="2">
        <v>3440.0</v>
      </c>
      <c r="B3442" s="5" t="s">
        <v>12723</v>
      </c>
      <c r="C3442" s="2" t="s">
        <v>12724</v>
      </c>
      <c r="D3442" s="5" t="s">
        <v>12723</v>
      </c>
      <c r="E3442" s="2" t="s">
        <v>15441</v>
      </c>
      <c r="F3442" s="2" t="s">
        <v>15442</v>
      </c>
      <c r="G3442" s="2" t="s">
        <v>15443</v>
      </c>
      <c r="H3442" s="2" t="s">
        <v>15444</v>
      </c>
    </row>
    <row r="3443">
      <c r="A3443" s="2">
        <v>3441.0</v>
      </c>
      <c r="B3443" s="5" t="s">
        <v>5102</v>
      </c>
      <c r="C3443" s="2" t="s">
        <v>5103</v>
      </c>
      <c r="D3443" s="5" t="s">
        <v>5102</v>
      </c>
      <c r="E3443" s="2" t="s">
        <v>15445</v>
      </c>
      <c r="F3443" s="2" t="s">
        <v>15446</v>
      </c>
      <c r="G3443" s="2" t="s">
        <v>15456</v>
      </c>
      <c r="H3443" s="2" t="s">
        <v>15444</v>
      </c>
    </row>
    <row r="3444">
      <c r="A3444" s="2">
        <v>3442.0</v>
      </c>
      <c r="B3444" s="5" t="s">
        <v>5105</v>
      </c>
      <c r="C3444" s="2" t="s">
        <v>5106</v>
      </c>
      <c r="D3444" s="5" t="s">
        <v>5105</v>
      </c>
      <c r="E3444" s="2" t="s">
        <v>15445</v>
      </c>
      <c r="F3444" s="2" t="s">
        <v>15442</v>
      </c>
      <c r="G3444" s="2" t="s">
        <v>15443</v>
      </c>
      <c r="H3444" s="2" t="s">
        <v>15444</v>
      </c>
    </row>
    <row r="3445">
      <c r="A3445" s="2">
        <v>3443.0</v>
      </c>
      <c r="B3445" s="5" t="s">
        <v>12725</v>
      </c>
      <c r="C3445" s="2" t="s">
        <v>12726</v>
      </c>
      <c r="D3445" s="5" t="s">
        <v>12725</v>
      </c>
      <c r="E3445" s="2" t="s">
        <v>15441</v>
      </c>
      <c r="F3445" s="2" t="s">
        <v>15446</v>
      </c>
      <c r="G3445" s="2" t="s">
        <v>15443</v>
      </c>
      <c r="H3445" s="2" t="s">
        <v>15457</v>
      </c>
    </row>
    <row r="3446">
      <c r="A3446" s="2">
        <v>3444.0</v>
      </c>
      <c r="B3446" s="5" t="s">
        <v>12727</v>
      </c>
      <c r="C3446" s="2" t="s">
        <v>12728</v>
      </c>
      <c r="D3446" s="5" t="s">
        <v>12727</v>
      </c>
      <c r="E3446" s="2" t="s">
        <v>15441</v>
      </c>
      <c r="F3446" s="2" t="s">
        <v>15446</v>
      </c>
      <c r="G3446" s="2" t="s">
        <v>15456</v>
      </c>
      <c r="H3446" s="2" t="s">
        <v>15444</v>
      </c>
    </row>
    <row r="3447">
      <c r="A3447" s="2">
        <v>3445.0</v>
      </c>
      <c r="B3447" s="5" t="s">
        <v>12729</v>
      </c>
      <c r="C3447" s="2" t="s">
        <v>12730</v>
      </c>
      <c r="D3447" s="5" t="s">
        <v>12729</v>
      </c>
      <c r="E3447" s="2" t="s">
        <v>15441</v>
      </c>
      <c r="F3447" s="2" t="s">
        <v>15446</v>
      </c>
      <c r="G3447" s="2" t="s">
        <v>15456</v>
      </c>
      <c r="H3447" s="2" t="s">
        <v>15455</v>
      </c>
    </row>
    <row r="3448">
      <c r="A3448" s="2">
        <v>3446.0</v>
      </c>
      <c r="B3448" s="5" t="s">
        <v>12731</v>
      </c>
      <c r="C3448" s="2" t="s">
        <v>12732</v>
      </c>
      <c r="D3448" s="5" t="s">
        <v>12731</v>
      </c>
      <c r="E3448" s="2" t="s">
        <v>15441</v>
      </c>
      <c r="F3448" s="2" t="s">
        <v>15446</v>
      </c>
      <c r="G3448" s="2" t="s">
        <v>15456</v>
      </c>
      <c r="H3448" s="2" t="s">
        <v>15444</v>
      </c>
    </row>
    <row r="3449">
      <c r="A3449" s="2">
        <v>3447.0</v>
      </c>
      <c r="B3449" s="5" t="s">
        <v>5108</v>
      </c>
      <c r="C3449" s="2" t="s">
        <v>5109</v>
      </c>
      <c r="D3449" s="5" t="s">
        <v>5108</v>
      </c>
      <c r="E3449" s="2" t="s">
        <v>15445</v>
      </c>
      <c r="F3449" s="2" t="s">
        <v>15446</v>
      </c>
      <c r="G3449" s="2" t="s">
        <v>15456</v>
      </c>
      <c r="H3449" s="2" t="s">
        <v>15444</v>
      </c>
    </row>
    <row r="3450">
      <c r="A3450" s="2">
        <v>3448.0</v>
      </c>
      <c r="B3450" s="5" t="s">
        <v>12733</v>
      </c>
      <c r="C3450" s="2" t="s">
        <v>12734</v>
      </c>
      <c r="D3450" s="5" t="s">
        <v>12733</v>
      </c>
      <c r="E3450" s="2" t="s">
        <v>15441</v>
      </c>
      <c r="F3450" s="2" t="s">
        <v>15442</v>
      </c>
      <c r="G3450" s="2" t="s">
        <v>15456</v>
      </c>
      <c r="H3450" s="2" t="s">
        <v>15444</v>
      </c>
    </row>
    <row r="3451">
      <c r="A3451" s="2">
        <v>3449.0</v>
      </c>
      <c r="B3451" s="5" t="s">
        <v>5111</v>
      </c>
      <c r="C3451" s="2" t="s">
        <v>5112</v>
      </c>
      <c r="D3451" s="5" t="s">
        <v>5111</v>
      </c>
      <c r="E3451" s="2" t="s">
        <v>15445</v>
      </c>
      <c r="F3451" s="2" t="s">
        <v>15446</v>
      </c>
      <c r="G3451" s="2" t="s">
        <v>15443</v>
      </c>
      <c r="H3451" s="2" t="s">
        <v>15444</v>
      </c>
    </row>
    <row r="3452">
      <c r="A3452" s="2">
        <v>3450.0</v>
      </c>
      <c r="B3452" s="5" t="s">
        <v>5114</v>
      </c>
      <c r="C3452" s="2" t="s">
        <v>5115</v>
      </c>
      <c r="D3452" s="5" t="s">
        <v>5114</v>
      </c>
      <c r="E3452" s="2" t="s">
        <v>15445</v>
      </c>
      <c r="F3452" s="2" t="s">
        <v>15442</v>
      </c>
      <c r="G3452" s="2" t="s">
        <v>15443</v>
      </c>
      <c r="H3452" s="2" t="s">
        <v>15444</v>
      </c>
    </row>
    <row r="3453">
      <c r="A3453" s="2">
        <v>3451.0</v>
      </c>
      <c r="B3453" s="5" t="s">
        <v>12735</v>
      </c>
      <c r="C3453" s="2" t="s">
        <v>12736</v>
      </c>
      <c r="D3453" s="5" t="s">
        <v>12735</v>
      </c>
      <c r="E3453" s="2" t="s">
        <v>15441</v>
      </c>
      <c r="F3453" s="2" t="s">
        <v>15442</v>
      </c>
      <c r="G3453" s="2" t="s">
        <v>15456</v>
      </c>
      <c r="H3453" s="2" t="s">
        <v>15444</v>
      </c>
    </row>
    <row r="3454">
      <c r="A3454" s="2">
        <v>3452.0</v>
      </c>
      <c r="B3454" s="5" t="s">
        <v>12737</v>
      </c>
      <c r="C3454" s="2" t="s">
        <v>12738</v>
      </c>
      <c r="D3454" s="5" t="s">
        <v>12737</v>
      </c>
      <c r="E3454" s="2" t="s">
        <v>15441</v>
      </c>
      <c r="F3454" s="2" t="s">
        <v>15446</v>
      </c>
      <c r="G3454" s="2" t="s">
        <v>15456</v>
      </c>
      <c r="H3454" s="2" t="s">
        <v>15444</v>
      </c>
    </row>
    <row r="3455">
      <c r="A3455" s="2">
        <v>3453.0</v>
      </c>
      <c r="B3455" s="5" t="s">
        <v>12739</v>
      </c>
      <c r="C3455" s="2" t="s">
        <v>12740</v>
      </c>
      <c r="D3455" s="5" t="s">
        <v>12739</v>
      </c>
      <c r="E3455" s="2" t="s">
        <v>15441</v>
      </c>
      <c r="F3455" s="2" t="s">
        <v>15442</v>
      </c>
      <c r="G3455" s="2" t="s">
        <v>15443</v>
      </c>
      <c r="H3455" s="2" t="s">
        <v>15444</v>
      </c>
    </row>
    <row r="3456">
      <c r="A3456" s="2">
        <v>3454.0</v>
      </c>
      <c r="B3456" s="5" t="s">
        <v>15535</v>
      </c>
      <c r="C3456" s="2" t="s">
        <v>15536</v>
      </c>
      <c r="D3456" s="5" t="s">
        <v>15535</v>
      </c>
      <c r="E3456" s="2" t="s">
        <v>15445</v>
      </c>
      <c r="F3456" s="2" t="s">
        <v>15446</v>
      </c>
      <c r="G3456" s="2" t="s">
        <v>15456</v>
      </c>
      <c r="H3456" s="2" t="s">
        <v>15455</v>
      </c>
    </row>
    <row r="3457">
      <c r="A3457" s="2">
        <v>3455.0</v>
      </c>
      <c r="B3457" s="5" t="s">
        <v>5117</v>
      </c>
      <c r="C3457" s="2" t="s">
        <v>5118</v>
      </c>
      <c r="D3457" s="5" t="s">
        <v>5117</v>
      </c>
      <c r="E3457" s="2" t="s">
        <v>15445</v>
      </c>
      <c r="F3457" s="2" t="s">
        <v>15446</v>
      </c>
      <c r="G3457" s="2" t="s">
        <v>15456</v>
      </c>
      <c r="H3457" s="2" t="s">
        <v>15444</v>
      </c>
    </row>
    <row r="3458">
      <c r="A3458" s="2">
        <v>3456.0</v>
      </c>
      <c r="B3458" s="5" t="s">
        <v>12741</v>
      </c>
      <c r="C3458" s="2" t="s">
        <v>12742</v>
      </c>
      <c r="D3458" s="5" t="s">
        <v>12741</v>
      </c>
      <c r="E3458" s="2" t="s">
        <v>15441</v>
      </c>
      <c r="F3458" s="2" t="s">
        <v>15446</v>
      </c>
      <c r="G3458" s="2" t="s">
        <v>15456</v>
      </c>
      <c r="H3458" s="2" t="s">
        <v>15457</v>
      </c>
    </row>
    <row r="3459">
      <c r="A3459" s="2">
        <v>3457.0</v>
      </c>
      <c r="B3459" s="5" t="s">
        <v>5120</v>
      </c>
      <c r="C3459" s="2" t="s">
        <v>5121</v>
      </c>
      <c r="D3459" s="5" t="s">
        <v>5120</v>
      </c>
      <c r="E3459" s="2" t="s">
        <v>15445</v>
      </c>
      <c r="F3459" s="2" t="s">
        <v>15446</v>
      </c>
      <c r="G3459" s="2" t="s">
        <v>15456</v>
      </c>
      <c r="H3459" s="2" t="s">
        <v>15444</v>
      </c>
    </row>
    <row r="3460">
      <c r="A3460" s="2">
        <v>3458.0</v>
      </c>
      <c r="B3460" s="5" t="s">
        <v>12743</v>
      </c>
      <c r="C3460" s="2" t="s">
        <v>12744</v>
      </c>
      <c r="D3460" s="5" t="s">
        <v>12743</v>
      </c>
      <c r="E3460" s="2" t="s">
        <v>15441</v>
      </c>
      <c r="F3460" s="2" t="s">
        <v>15442</v>
      </c>
      <c r="G3460" s="2" t="s">
        <v>15443</v>
      </c>
      <c r="H3460" s="2" t="s">
        <v>15444</v>
      </c>
    </row>
    <row r="3461">
      <c r="A3461" s="2">
        <v>3459.0</v>
      </c>
      <c r="B3461" s="5" t="s">
        <v>15537</v>
      </c>
      <c r="C3461" s="2" t="s">
        <v>15538</v>
      </c>
      <c r="D3461" s="5" t="s">
        <v>15537</v>
      </c>
      <c r="E3461" s="2" t="s">
        <v>15445</v>
      </c>
      <c r="F3461" s="2" t="s">
        <v>15442</v>
      </c>
      <c r="G3461" s="2" t="s">
        <v>15456</v>
      </c>
      <c r="H3461" s="2" t="s">
        <v>15455</v>
      </c>
    </row>
    <row r="3462">
      <c r="A3462" s="2">
        <v>3460.0</v>
      </c>
      <c r="B3462" s="5" t="s">
        <v>12745</v>
      </c>
      <c r="C3462" s="2" t="s">
        <v>12746</v>
      </c>
      <c r="D3462" s="5" t="s">
        <v>12745</v>
      </c>
      <c r="E3462" s="2" t="s">
        <v>15441</v>
      </c>
      <c r="F3462" s="2" t="s">
        <v>15442</v>
      </c>
      <c r="G3462" s="2" t="s">
        <v>15443</v>
      </c>
      <c r="H3462" s="2" t="s">
        <v>15444</v>
      </c>
    </row>
    <row r="3463">
      <c r="A3463" s="2">
        <v>3461.0</v>
      </c>
      <c r="B3463" s="5" t="s">
        <v>5123</v>
      </c>
      <c r="C3463" s="2" t="s">
        <v>5124</v>
      </c>
      <c r="D3463" s="5" t="s">
        <v>5123</v>
      </c>
      <c r="E3463" s="2" t="s">
        <v>15445</v>
      </c>
      <c r="F3463" s="2" t="s">
        <v>15446</v>
      </c>
      <c r="G3463" s="2" t="s">
        <v>15443</v>
      </c>
      <c r="H3463" s="2" t="s">
        <v>15444</v>
      </c>
    </row>
    <row r="3464">
      <c r="A3464" s="2">
        <v>3462.0</v>
      </c>
      <c r="B3464" s="5" t="s">
        <v>5126</v>
      </c>
      <c r="C3464" s="2" t="s">
        <v>5127</v>
      </c>
      <c r="D3464" s="5" t="s">
        <v>5126</v>
      </c>
      <c r="E3464" s="2" t="s">
        <v>15445</v>
      </c>
      <c r="F3464" s="2" t="s">
        <v>15446</v>
      </c>
      <c r="G3464" s="2" t="s">
        <v>15456</v>
      </c>
      <c r="H3464" s="2" t="s">
        <v>15444</v>
      </c>
    </row>
    <row r="3465">
      <c r="A3465" s="2">
        <v>3463.0</v>
      </c>
      <c r="B3465" s="5" t="s">
        <v>12747</v>
      </c>
      <c r="C3465" s="2" t="s">
        <v>12748</v>
      </c>
      <c r="D3465" s="5" t="s">
        <v>12747</v>
      </c>
      <c r="E3465" s="2" t="s">
        <v>15441</v>
      </c>
      <c r="F3465" s="2" t="s">
        <v>15442</v>
      </c>
      <c r="G3465" s="2" t="s">
        <v>15443</v>
      </c>
      <c r="H3465" s="2" t="s">
        <v>15444</v>
      </c>
    </row>
    <row r="3466">
      <c r="A3466" s="2">
        <v>3464.0</v>
      </c>
      <c r="B3466" s="5" t="s">
        <v>5129</v>
      </c>
      <c r="C3466" s="2" t="s">
        <v>5130</v>
      </c>
      <c r="D3466" s="5" t="s">
        <v>5129</v>
      </c>
      <c r="E3466" s="2" t="s">
        <v>15445</v>
      </c>
      <c r="F3466" s="2" t="s">
        <v>15446</v>
      </c>
      <c r="G3466" s="2" t="s">
        <v>15456</v>
      </c>
      <c r="H3466" s="2" t="s">
        <v>15444</v>
      </c>
    </row>
    <row r="3467">
      <c r="A3467" s="2">
        <v>3465.0</v>
      </c>
      <c r="B3467" s="5" t="s">
        <v>12749</v>
      </c>
      <c r="C3467" s="2" t="s">
        <v>12750</v>
      </c>
      <c r="D3467" s="5" t="s">
        <v>12749</v>
      </c>
      <c r="E3467" s="2" t="s">
        <v>15441</v>
      </c>
      <c r="F3467" s="2" t="s">
        <v>15446</v>
      </c>
      <c r="G3467" s="2" t="s">
        <v>15456</v>
      </c>
      <c r="H3467" s="2" t="s">
        <v>15444</v>
      </c>
    </row>
    <row r="3468">
      <c r="A3468" s="2">
        <v>3466.0</v>
      </c>
      <c r="B3468" s="5" t="s">
        <v>12751</v>
      </c>
      <c r="C3468" s="2" t="s">
        <v>12752</v>
      </c>
      <c r="D3468" s="5" t="s">
        <v>12751</v>
      </c>
      <c r="E3468" s="2" t="s">
        <v>15441</v>
      </c>
      <c r="F3468" s="2" t="s">
        <v>15442</v>
      </c>
      <c r="G3468" s="2" t="s">
        <v>15443</v>
      </c>
      <c r="H3468" s="2" t="s">
        <v>15444</v>
      </c>
    </row>
    <row r="3469">
      <c r="A3469" s="2">
        <v>3467.0</v>
      </c>
      <c r="B3469" s="5" t="s">
        <v>12753</v>
      </c>
      <c r="C3469" s="2" t="s">
        <v>12754</v>
      </c>
      <c r="D3469" s="5" t="s">
        <v>12753</v>
      </c>
      <c r="E3469" s="2" t="s">
        <v>15441</v>
      </c>
      <c r="F3469" s="2" t="s">
        <v>15442</v>
      </c>
      <c r="G3469" s="2" t="s">
        <v>15456</v>
      </c>
      <c r="H3469" s="2" t="s">
        <v>15444</v>
      </c>
    </row>
    <row r="3470">
      <c r="A3470" s="2">
        <v>3468.0</v>
      </c>
      <c r="B3470" s="5" t="s">
        <v>12755</v>
      </c>
      <c r="C3470" s="2" t="s">
        <v>12756</v>
      </c>
      <c r="D3470" s="5" t="s">
        <v>12755</v>
      </c>
      <c r="E3470" s="2" t="s">
        <v>15441</v>
      </c>
      <c r="F3470" s="2" t="s">
        <v>15442</v>
      </c>
      <c r="G3470" s="2" t="s">
        <v>15443</v>
      </c>
      <c r="H3470" s="2" t="s">
        <v>15444</v>
      </c>
    </row>
    <row r="3471">
      <c r="A3471" s="2">
        <v>3469.0</v>
      </c>
      <c r="B3471" s="5" t="s">
        <v>12757</v>
      </c>
      <c r="C3471" s="2" t="s">
        <v>12758</v>
      </c>
      <c r="D3471" s="5" t="s">
        <v>12757</v>
      </c>
      <c r="E3471" s="2" t="s">
        <v>15441</v>
      </c>
      <c r="F3471" s="2" t="s">
        <v>15446</v>
      </c>
      <c r="G3471" s="2" t="s">
        <v>15443</v>
      </c>
      <c r="H3471" s="2" t="s">
        <v>15444</v>
      </c>
    </row>
    <row r="3472">
      <c r="A3472" s="2">
        <v>3470.0</v>
      </c>
      <c r="B3472" s="5" t="s">
        <v>5132</v>
      </c>
      <c r="C3472" s="2" t="s">
        <v>5133</v>
      </c>
      <c r="D3472" s="5" t="s">
        <v>5132</v>
      </c>
      <c r="E3472" s="2" t="s">
        <v>15445</v>
      </c>
      <c r="F3472" s="2" t="s">
        <v>15446</v>
      </c>
      <c r="G3472" s="2" t="s">
        <v>15456</v>
      </c>
      <c r="H3472" s="2" t="s">
        <v>15444</v>
      </c>
    </row>
    <row r="3473">
      <c r="A3473" s="2">
        <v>3471.0</v>
      </c>
      <c r="B3473" s="5" t="s">
        <v>5135</v>
      </c>
      <c r="C3473" s="2" t="s">
        <v>5136</v>
      </c>
      <c r="D3473" s="5" t="s">
        <v>5135</v>
      </c>
      <c r="E3473" s="2" t="s">
        <v>15445</v>
      </c>
      <c r="F3473" s="2" t="s">
        <v>15442</v>
      </c>
      <c r="G3473" s="2" t="s">
        <v>15443</v>
      </c>
      <c r="H3473" s="2" t="s">
        <v>15444</v>
      </c>
    </row>
    <row r="3474">
      <c r="A3474" s="2">
        <v>3472.0</v>
      </c>
      <c r="B3474" s="5" t="s">
        <v>12759</v>
      </c>
      <c r="C3474" s="2" t="s">
        <v>12760</v>
      </c>
      <c r="D3474" s="5" t="s">
        <v>12759</v>
      </c>
      <c r="E3474" s="2" t="s">
        <v>15441</v>
      </c>
      <c r="F3474" s="2" t="s">
        <v>15442</v>
      </c>
      <c r="G3474" s="2" t="s">
        <v>15456</v>
      </c>
      <c r="H3474" s="2" t="s">
        <v>15444</v>
      </c>
    </row>
    <row r="3475">
      <c r="A3475" s="2">
        <v>3473.0</v>
      </c>
      <c r="B3475" s="5" t="s">
        <v>12761</v>
      </c>
      <c r="C3475" s="2" t="s">
        <v>12762</v>
      </c>
      <c r="D3475" s="5" t="s">
        <v>12761</v>
      </c>
      <c r="E3475" s="2" t="s">
        <v>15441</v>
      </c>
      <c r="F3475" s="2" t="s">
        <v>15442</v>
      </c>
      <c r="G3475" s="2" t="s">
        <v>15456</v>
      </c>
      <c r="H3475" s="2" t="s">
        <v>15455</v>
      </c>
    </row>
    <row r="3476">
      <c r="A3476" s="2">
        <v>3474.0</v>
      </c>
      <c r="B3476" s="5" t="s">
        <v>12763</v>
      </c>
      <c r="C3476" s="2" t="s">
        <v>12764</v>
      </c>
      <c r="D3476" s="5" t="s">
        <v>12763</v>
      </c>
      <c r="E3476" s="2" t="s">
        <v>15441</v>
      </c>
      <c r="F3476" s="2" t="s">
        <v>15446</v>
      </c>
      <c r="G3476" s="2" t="s">
        <v>15443</v>
      </c>
      <c r="H3476" s="2" t="s">
        <v>15444</v>
      </c>
    </row>
    <row r="3477">
      <c r="A3477" s="2">
        <v>3475.0</v>
      </c>
      <c r="B3477" s="5" t="s">
        <v>5138</v>
      </c>
      <c r="C3477" s="2" t="s">
        <v>5139</v>
      </c>
      <c r="D3477" s="5" t="s">
        <v>5138</v>
      </c>
      <c r="E3477" s="2" t="s">
        <v>15445</v>
      </c>
      <c r="F3477" s="2" t="s">
        <v>15446</v>
      </c>
      <c r="G3477" s="2" t="s">
        <v>15443</v>
      </c>
      <c r="H3477" s="2" t="s">
        <v>15444</v>
      </c>
    </row>
    <row r="3478">
      <c r="A3478" s="2">
        <v>3476.0</v>
      </c>
      <c r="B3478" s="5" t="s">
        <v>5141</v>
      </c>
      <c r="C3478" s="2" t="s">
        <v>5142</v>
      </c>
      <c r="D3478" s="5" t="s">
        <v>5141</v>
      </c>
      <c r="E3478" s="2" t="s">
        <v>15445</v>
      </c>
      <c r="F3478" s="2" t="s">
        <v>15446</v>
      </c>
      <c r="G3478" s="2" t="s">
        <v>15456</v>
      </c>
      <c r="H3478" s="2" t="s">
        <v>15444</v>
      </c>
    </row>
    <row r="3479">
      <c r="A3479" s="2">
        <v>3477.0</v>
      </c>
      <c r="B3479" s="5" t="s">
        <v>12765</v>
      </c>
      <c r="C3479" s="2" t="s">
        <v>12766</v>
      </c>
      <c r="D3479" s="5" t="s">
        <v>12765</v>
      </c>
      <c r="E3479" s="2" t="s">
        <v>15441</v>
      </c>
      <c r="F3479" s="2" t="s">
        <v>15442</v>
      </c>
      <c r="G3479" s="2" t="s">
        <v>15443</v>
      </c>
      <c r="H3479" s="2" t="s">
        <v>15444</v>
      </c>
    </row>
    <row r="3480">
      <c r="A3480" s="2">
        <v>3478.0</v>
      </c>
      <c r="B3480" s="5" t="s">
        <v>12767</v>
      </c>
      <c r="C3480" s="2" t="s">
        <v>12768</v>
      </c>
      <c r="D3480" s="5" t="s">
        <v>12767</v>
      </c>
      <c r="E3480" s="2" t="s">
        <v>15441</v>
      </c>
      <c r="F3480" s="2" t="s">
        <v>15446</v>
      </c>
      <c r="G3480" s="2" t="s">
        <v>15456</v>
      </c>
      <c r="H3480" s="2" t="s">
        <v>15444</v>
      </c>
    </row>
    <row r="3481">
      <c r="A3481" s="2">
        <v>3479.0</v>
      </c>
      <c r="B3481" s="5" t="s">
        <v>5144</v>
      </c>
      <c r="C3481" s="2" t="s">
        <v>5145</v>
      </c>
      <c r="D3481" s="5" t="s">
        <v>5144</v>
      </c>
      <c r="E3481" s="2" t="s">
        <v>15445</v>
      </c>
      <c r="F3481" s="2" t="s">
        <v>15446</v>
      </c>
      <c r="G3481" s="2" t="s">
        <v>15456</v>
      </c>
      <c r="H3481" s="2" t="s">
        <v>15444</v>
      </c>
    </row>
    <row r="3482">
      <c r="A3482" s="2">
        <v>3480.0</v>
      </c>
      <c r="B3482" s="5" t="s">
        <v>12769</v>
      </c>
      <c r="C3482" s="2" t="s">
        <v>12770</v>
      </c>
      <c r="D3482" s="5" t="s">
        <v>12769</v>
      </c>
      <c r="E3482" s="2" t="s">
        <v>15441</v>
      </c>
      <c r="F3482" s="2" t="s">
        <v>15442</v>
      </c>
      <c r="G3482" s="2" t="s">
        <v>15443</v>
      </c>
      <c r="H3482" s="2" t="s">
        <v>15444</v>
      </c>
    </row>
    <row r="3483">
      <c r="A3483" s="2">
        <v>3481.0</v>
      </c>
      <c r="B3483" s="5" t="s">
        <v>5147</v>
      </c>
      <c r="C3483" s="2" t="s">
        <v>5148</v>
      </c>
      <c r="D3483" s="5" t="s">
        <v>5147</v>
      </c>
      <c r="E3483" s="2" t="s">
        <v>15445</v>
      </c>
      <c r="F3483" s="2" t="s">
        <v>15446</v>
      </c>
      <c r="G3483" s="2" t="s">
        <v>15443</v>
      </c>
      <c r="H3483" s="2" t="s">
        <v>15444</v>
      </c>
    </row>
    <row r="3484">
      <c r="A3484" s="2">
        <v>3482.0</v>
      </c>
      <c r="B3484" s="5" t="s">
        <v>5150</v>
      </c>
      <c r="C3484" s="2" t="s">
        <v>5151</v>
      </c>
      <c r="D3484" s="5" t="s">
        <v>5150</v>
      </c>
      <c r="E3484" s="2" t="s">
        <v>15445</v>
      </c>
      <c r="F3484" s="2" t="s">
        <v>15442</v>
      </c>
      <c r="G3484" s="2" t="s">
        <v>15443</v>
      </c>
      <c r="H3484" s="2" t="s">
        <v>15444</v>
      </c>
    </row>
    <row r="3485">
      <c r="A3485" s="2">
        <v>3483.0</v>
      </c>
      <c r="B3485" s="5" t="s">
        <v>12771</v>
      </c>
      <c r="C3485" s="2" t="s">
        <v>12772</v>
      </c>
      <c r="D3485" s="5" t="s">
        <v>12771</v>
      </c>
      <c r="E3485" s="2" t="s">
        <v>15441</v>
      </c>
      <c r="F3485" s="2" t="s">
        <v>15446</v>
      </c>
      <c r="G3485" s="2" t="s">
        <v>15443</v>
      </c>
      <c r="H3485" s="2" t="s">
        <v>15444</v>
      </c>
    </row>
    <row r="3486">
      <c r="A3486" s="2">
        <v>3484.0</v>
      </c>
      <c r="B3486" s="5" t="s">
        <v>12773</v>
      </c>
      <c r="C3486" s="2" t="s">
        <v>12774</v>
      </c>
      <c r="D3486" s="5" t="s">
        <v>12773</v>
      </c>
      <c r="E3486" s="2" t="s">
        <v>15441</v>
      </c>
      <c r="F3486" s="2" t="s">
        <v>15446</v>
      </c>
      <c r="G3486" s="2" t="s">
        <v>15456</v>
      </c>
      <c r="H3486" s="2" t="s">
        <v>15444</v>
      </c>
    </row>
    <row r="3487">
      <c r="A3487" s="2">
        <v>3485.0</v>
      </c>
      <c r="B3487" s="5" t="s">
        <v>5153</v>
      </c>
      <c r="C3487" s="2" t="s">
        <v>5154</v>
      </c>
      <c r="D3487" s="5" t="s">
        <v>5153</v>
      </c>
      <c r="E3487" s="2" t="s">
        <v>15445</v>
      </c>
      <c r="F3487" s="2" t="s">
        <v>15446</v>
      </c>
      <c r="G3487" s="2" t="s">
        <v>15456</v>
      </c>
      <c r="H3487" s="2" t="s">
        <v>15457</v>
      </c>
    </row>
    <row r="3488">
      <c r="A3488" s="2">
        <v>3486.0</v>
      </c>
      <c r="B3488" s="5" t="s">
        <v>12775</v>
      </c>
      <c r="C3488" s="2" t="s">
        <v>12776</v>
      </c>
      <c r="D3488" s="5" t="s">
        <v>12775</v>
      </c>
      <c r="E3488" s="2" t="s">
        <v>15441</v>
      </c>
      <c r="F3488" s="2" t="s">
        <v>15442</v>
      </c>
      <c r="G3488" s="2" t="s">
        <v>15443</v>
      </c>
      <c r="H3488" s="2" t="s">
        <v>15444</v>
      </c>
    </row>
    <row r="3489">
      <c r="A3489" s="2">
        <v>3487.0</v>
      </c>
      <c r="B3489" s="5" t="s">
        <v>12777</v>
      </c>
      <c r="C3489" s="2" t="s">
        <v>12778</v>
      </c>
      <c r="D3489" s="5" t="s">
        <v>12777</v>
      </c>
      <c r="E3489" s="2" t="s">
        <v>15441</v>
      </c>
      <c r="F3489" s="2" t="s">
        <v>15442</v>
      </c>
      <c r="G3489" s="2" t="s">
        <v>15443</v>
      </c>
      <c r="H3489" s="2" t="s">
        <v>15444</v>
      </c>
    </row>
    <row r="3490">
      <c r="A3490" s="2">
        <v>3488.0</v>
      </c>
      <c r="B3490" s="5" t="s">
        <v>5156</v>
      </c>
      <c r="C3490" s="2" t="s">
        <v>5157</v>
      </c>
      <c r="D3490" s="5" t="s">
        <v>5156</v>
      </c>
      <c r="E3490" s="2" t="s">
        <v>15445</v>
      </c>
      <c r="F3490" s="2" t="s">
        <v>15446</v>
      </c>
      <c r="G3490" s="2" t="s">
        <v>15456</v>
      </c>
      <c r="H3490" s="2" t="s">
        <v>15444</v>
      </c>
    </row>
    <row r="3491">
      <c r="A3491" s="2">
        <v>3489.0</v>
      </c>
      <c r="B3491" s="5" t="s">
        <v>5159</v>
      </c>
      <c r="C3491" s="2" t="s">
        <v>5160</v>
      </c>
      <c r="D3491" s="5" t="s">
        <v>5159</v>
      </c>
      <c r="E3491" s="2" t="s">
        <v>15445</v>
      </c>
      <c r="F3491" s="2" t="s">
        <v>15446</v>
      </c>
      <c r="G3491" s="2" t="s">
        <v>15456</v>
      </c>
      <c r="H3491" s="2" t="s">
        <v>15444</v>
      </c>
    </row>
    <row r="3492">
      <c r="A3492" s="2">
        <v>3490.0</v>
      </c>
      <c r="B3492" s="5" t="s">
        <v>12779</v>
      </c>
      <c r="C3492" s="2" t="s">
        <v>12780</v>
      </c>
      <c r="D3492" s="5" t="s">
        <v>12779</v>
      </c>
      <c r="E3492" s="2" t="s">
        <v>15441</v>
      </c>
      <c r="F3492" s="2" t="s">
        <v>15446</v>
      </c>
      <c r="G3492" s="2" t="s">
        <v>15456</v>
      </c>
      <c r="H3492" s="2" t="s">
        <v>15444</v>
      </c>
    </row>
    <row r="3493">
      <c r="A3493" s="2">
        <v>3491.0</v>
      </c>
      <c r="B3493" s="5" t="s">
        <v>12781</v>
      </c>
      <c r="C3493" s="2" t="s">
        <v>12782</v>
      </c>
      <c r="D3493" s="5" t="s">
        <v>12781</v>
      </c>
      <c r="E3493" s="2" t="s">
        <v>15441</v>
      </c>
      <c r="F3493" s="2" t="s">
        <v>15442</v>
      </c>
      <c r="G3493" s="2" t="s">
        <v>15456</v>
      </c>
      <c r="H3493" s="2" t="s">
        <v>15457</v>
      </c>
    </row>
    <row r="3494">
      <c r="A3494" s="2">
        <v>3492.0</v>
      </c>
      <c r="B3494" s="5" t="s">
        <v>5162</v>
      </c>
      <c r="C3494" s="2" t="s">
        <v>5163</v>
      </c>
      <c r="D3494" s="5" t="s">
        <v>5162</v>
      </c>
      <c r="E3494" s="2" t="s">
        <v>15445</v>
      </c>
      <c r="F3494" s="2" t="s">
        <v>15446</v>
      </c>
      <c r="G3494" s="2" t="s">
        <v>15456</v>
      </c>
      <c r="H3494" s="2" t="s">
        <v>15444</v>
      </c>
    </row>
    <row r="3495">
      <c r="A3495" s="2">
        <v>3493.0</v>
      </c>
      <c r="B3495" s="5" t="s">
        <v>12783</v>
      </c>
      <c r="C3495" s="2" t="s">
        <v>12784</v>
      </c>
      <c r="D3495" s="5" t="s">
        <v>12783</v>
      </c>
      <c r="E3495" s="2" t="s">
        <v>15441</v>
      </c>
      <c r="F3495" s="2" t="s">
        <v>15446</v>
      </c>
      <c r="G3495" s="2" t="s">
        <v>15456</v>
      </c>
      <c r="H3495" s="2" t="s">
        <v>15444</v>
      </c>
    </row>
    <row r="3496">
      <c r="A3496" s="2">
        <v>3494.0</v>
      </c>
      <c r="B3496" s="5" t="s">
        <v>12785</v>
      </c>
      <c r="C3496" s="2" t="s">
        <v>12786</v>
      </c>
      <c r="D3496" s="5" t="s">
        <v>12785</v>
      </c>
      <c r="E3496" s="2" t="s">
        <v>15441</v>
      </c>
      <c r="F3496" s="2" t="s">
        <v>15442</v>
      </c>
      <c r="G3496" s="2" t="s">
        <v>15456</v>
      </c>
      <c r="H3496" s="2" t="s">
        <v>15444</v>
      </c>
    </row>
    <row r="3497">
      <c r="A3497" s="2">
        <v>3495.0</v>
      </c>
      <c r="B3497" s="5" t="s">
        <v>12787</v>
      </c>
      <c r="C3497" s="2" t="s">
        <v>12788</v>
      </c>
      <c r="D3497" s="5" t="s">
        <v>12787</v>
      </c>
      <c r="E3497" s="2" t="s">
        <v>15441</v>
      </c>
      <c r="F3497" s="2" t="s">
        <v>15446</v>
      </c>
      <c r="G3497" s="2" t="s">
        <v>15456</v>
      </c>
      <c r="H3497" s="2" t="s">
        <v>15444</v>
      </c>
    </row>
    <row r="3498">
      <c r="A3498" s="2">
        <v>3496.0</v>
      </c>
      <c r="B3498" s="5" t="s">
        <v>5165</v>
      </c>
      <c r="C3498" s="2" t="s">
        <v>5166</v>
      </c>
      <c r="D3498" s="5" t="s">
        <v>5165</v>
      </c>
      <c r="E3498" s="2" t="s">
        <v>15445</v>
      </c>
      <c r="F3498" s="2" t="s">
        <v>15446</v>
      </c>
      <c r="G3498" s="2" t="s">
        <v>15456</v>
      </c>
      <c r="H3498" s="2" t="s">
        <v>15444</v>
      </c>
    </row>
    <row r="3499">
      <c r="A3499" s="2">
        <v>3497.0</v>
      </c>
      <c r="B3499" s="5" t="s">
        <v>12789</v>
      </c>
      <c r="C3499" s="2" t="s">
        <v>12790</v>
      </c>
      <c r="D3499" s="5" t="s">
        <v>12789</v>
      </c>
      <c r="E3499" s="2" t="s">
        <v>15441</v>
      </c>
      <c r="F3499" s="2" t="s">
        <v>15442</v>
      </c>
      <c r="G3499" s="2" t="s">
        <v>15443</v>
      </c>
      <c r="H3499" s="2" t="s">
        <v>15444</v>
      </c>
    </row>
    <row r="3500">
      <c r="A3500" s="2">
        <v>3498.0</v>
      </c>
      <c r="B3500" s="5" t="s">
        <v>12791</v>
      </c>
      <c r="C3500" s="2" t="s">
        <v>12792</v>
      </c>
      <c r="D3500" s="5" t="s">
        <v>12791</v>
      </c>
      <c r="E3500" s="2" t="s">
        <v>15441</v>
      </c>
      <c r="F3500" s="2" t="s">
        <v>15446</v>
      </c>
      <c r="G3500" s="2" t="s">
        <v>15456</v>
      </c>
      <c r="H3500" s="2" t="s">
        <v>15457</v>
      </c>
    </row>
    <row r="3501">
      <c r="A3501" s="2">
        <v>3499.0</v>
      </c>
      <c r="B3501" s="5" t="s">
        <v>5168</v>
      </c>
      <c r="C3501" s="2" t="s">
        <v>5169</v>
      </c>
      <c r="D3501" s="5" t="s">
        <v>5168</v>
      </c>
      <c r="E3501" s="2" t="s">
        <v>15445</v>
      </c>
      <c r="F3501" s="2" t="s">
        <v>15446</v>
      </c>
      <c r="G3501" s="2" t="s">
        <v>15456</v>
      </c>
      <c r="H3501" s="2" t="s">
        <v>15457</v>
      </c>
    </row>
    <row r="3502">
      <c r="A3502" s="2">
        <v>3500.0</v>
      </c>
      <c r="B3502" s="5" t="s">
        <v>12793</v>
      </c>
      <c r="C3502" s="2" t="s">
        <v>12794</v>
      </c>
      <c r="D3502" s="5" t="s">
        <v>12793</v>
      </c>
      <c r="E3502" s="2" t="s">
        <v>15441</v>
      </c>
      <c r="F3502" s="2" t="s">
        <v>15442</v>
      </c>
      <c r="G3502" s="2" t="s">
        <v>15456</v>
      </c>
      <c r="H3502" s="2" t="s">
        <v>15444</v>
      </c>
    </row>
    <row r="3503">
      <c r="A3503" s="2">
        <v>3501.0</v>
      </c>
      <c r="B3503" s="5" t="s">
        <v>5171</v>
      </c>
      <c r="C3503" s="2" t="s">
        <v>5172</v>
      </c>
      <c r="D3503" s="5" t="s">
        <v>5171</v>
      </c>
      <c r="E3503" s="2" t="s">
        <v>15445</v>
      </c>
      <c r="F3503" s="2" t="s">
        <v>15442</v>
      </c>
      <c r="G3503" s="2" t="s">
        <v>15456</v>
      </c>
      <c r="H3503" s="2" t="s">
        <v>15444</v>
      </c>
    </row>
    <row r="3504">
      <c r="A3504" s="2">
        <v>3502.0</v>
      </c>
      <c r="B3504" s="5" t="s">
        <v>12795</v>
      </c>
      <c r="C3504" s="2" t="s">
        <v>12796</v>
      </c>
      <c r="D3504" s="5" t="s">
        <v>12795</v>
      </c>
      <c r="E3504" s="2" t="s">
        <v>15441</v>
      </c>
      <c r="F3504" s="2" t="s">
        <v>15442</v>
      </c>
      <c r="G3504" s="2" t="s">
        <v>15443</v>
      </c>
      <c r="H3504" s="2" t="s">
        <v>15444</v>
      </c>
    </row>
    <row r="3505">
      <c r="A3505" s="2">
        <v>3503.0</v>
      </c>
      <c r="B3505" s="5" t="s">
        <v>5174</v>
      </c>
      <c r="C3505" s="2" t="s">
        <v>5175</v>
      </c>
      <c r="D3505" s="5" t="s">
        <v>5174</v>
      </c>
      <c r="E3505" s="2" t="s">
        <v>15445</v>
      </c>
      <c r="F3505" s="2" t="s">
        <v>15446</v>
      </c>
      <c r="G3505" s="2" t="s">
        <v>15443</v>
      </c>
      <c r="H3505" s="2" t="s">
        <v>15444</v>
      </c>
    </row>
    <row r="3506">
      <c r="A3506" s="2">
        <v>3504.0</v>
      </c>
      <c r="B3506" s="5" t="s">
        <v>5177</v>
      </c>
      <c r="C3506" s="2" t="s">
        <v>5178</v>
      </c>
      <c r="D3506" s="5" t="s">
        <v>5177</v>
      </c>
      <c r="E3506" s="2" t="s">
        <v>15445</v>
      </c>
      <c r="F3506" s="2" t="s">
        <v>15442</v>
      </c>
      <c r="G3506" s="2" t="s">
        <v>15443</v>
      </c>
      <c r="H3506" s="2" t="s">
        <v>15444</v>
      </c>
    </row>
    <row r="3507">
      <c r="A3507" s="2">
        <v>3505.0</v>
      </c>
      <c r="B3507" s="5" t="s">
        <v>12797</v>
      </c>
      <c r="C3507" s="2" t="s">
        <v>12798</v>
      </c>
      <c r="D3507" s="5" t="s">
        <v>12797</v>
      </c>
      <c r="E3507" s="2" t="s">
        <v>15441</v>
      </c>
      <c r="F3507" s="2" t="s">
        <v>15442</v>
      </c>
      <c r="G3507" s="2" t="s">
        <v>15456</v>
      </c>
      <c r="H3507" s="2" t="s">
        <v>15444</v>
      </c>
    </row>
    <row r="3508">
      <c r="A3508" s="2">
        <v>3506.0</v>
      </c>
      <c r="B3508" s="5" t="s">
        <v>12799</v>
      </c>
      <c r="C3508" s="2" t="s">
        <v>12800</v>
      </c>
      <c r="D3508" s="5" t="s">
        <v>12799</v>
      </c>
      <c r="E3508" s="2" t="s">
        <v>15441</v>
      </c>
      <c r="F3508" s="2" t="s">
        <v>15442</v>
      </c>
      <c r="G3508" s="2" t="s">
        <v>15443</v>
      </c>
      <c r="H3508" s="2" t="s">
        <v>15444</v>
      </c>
    </row>
    <row r="3509">
      <c r="A3509" s="2">
        <v>3507.0</v>
      </c>
      <c r="B3509" s="5" t="s">
        <v>5180</v>
      </c>
      <c r="C3509" s="2" t="s">
        <v>5181</v>
      </c>
      <c r="D3509" s="5" t="s">
        <v>5180</v>
      </c>
      <c r="E3509" s="2" t="s">
        <v>15445</v>
      </c>
      <c r="F3509" s="2" t="s">
        <v>15442</v>
      </c>
      <c r="G3509" s="2" t="s">
        <v>15443</v>
      </c>
      <c r="H3509" s="2" t="s">
        <v>15444</v>
      </c>
    </row>
    <row r="3510">
      <c r="A3510" s="2">
        <v>3508.0</v>
      </c>
      <c r="B3510" s="5" t="s">
        <v>5183</v>
      </c>
      <c r="C3510" s="2" t="s">
        <v>5184</v>
      </c>
      <c r="D3510" s="5" t="s">
        <v>5183</v>
      </c>
      <c r="E3510" s="2" t="s">
        <v>15445</v>
      </c>
      <c r="F3510" s="2" t="s">
        <v>15442</v>
      </c>
      <c r="G3510" s="2" t="s">
        <v>15443</v>
      </c>
      <c r="H3510" s="2" t="s">
        <v>15444</v>
      </c>
    </row>
    <row r="3511">
      <c r="A3511" s="2">
        <v>3509.0</v>
      </c>
      <c r="B3511" s="5" t="s">
        <v>5186</v>
      </c>
      <c r="C3511" s="2" t="s">
        <v>5187</v>
      </c>
      <c r="D3511" s="5" t="s">
        <v>5186</v>
      </c>
      <c r="E3511" s="2" t="s">
        <v>15445</v>
      </c>
      <c r="F3511" s="2" t="s">
        <v>15446</v>
      </c>
      <c r="G3511" s="2" t="s">
        <v>15443</v>
      </c>
      <c r="H3511" s="2" t="s">
        <v>15444</v>
      </c>
    </row>
    <row r="3512">
      <c r="A3512" s="2">
        <v>3510.0</v>
      </c>
      <c r="B3512" s="5" t="s">
        <v>5189</v>
      </c>
      <c r="C3512" s="2" t="s">
        <v>5190</v>
      </c>
      <c r="D3512" s="5" t="s">
        <v>5189</v>
      </c>
      <c r="E3512" s="2" t="s">
        <v>15445</v>
      </c>
      <c r="F3512" s="2" t="s">
        <v>15446</v>
      </c>
      <c r="G3512" s="2" t="s">
        <v>15456</v>
      </c>
      <c r="H3512" s="2" t="s">
        <v>15444</v>
      </c>
    </row>
    <row r="3513">
      <c r="A3513" s="2">
        <v>3511.0</v>
      </c>
      <c r="B3513" s="5" t="s">
        <v>12801</v>
      </c>
      <c r="C3513" s="2" t="s">
        <v>12802</v>
      </c>
      <c r="D3513" s="5" t="s">
        <v>12801</v>
      </c>
      <c r="E3513" s="2" t="s">
        <v>15441</v>
      </c>
      <c r="F3513" s="2" t="s">
        <v>15446</v>
      </c>
      <c r="G3513" s="2" t="s">
        <v>15456</v>
      </c>
      <c r="H3513" s="2" t="s">
        <v>15444</v>
      </c>
    </row>
    <row r="3514">
      <c r="A3514" s="2">
        <v>3512.0</v>
      </c>
      <c r="B3514" s="5" t="s">
        <v>12803</v>
      </c>
      <c r="C3514" s="2" t="s">
        <v>12804</v>
      </c>
      <c r="D3514" s="5" t="s">
        <v>12803</v>
      </c>
      <c r="E3514" s="2" t="s">
        <v>15441</v>
      </c>
      <c r="F3514" s="2" t="s">
        <v>15442</v>
      </c>
      <c r="G3514" s="2" t="s">
        <v>15443</v>
      </c>
      <c r="H3514" s="2" t="s">
        <v>15444</v>
      </c>
    </row>
    <row r="3515">
      <c r="A3515" s="2">
        <v>3513.0</v>
      </c>
      <c r="B3515" s="5" t="s">
        <v>12805</v>
      </c>
      <c r="C3515" s="2" t="s">
        <v>12806</v>
      </c>
      <c r="D3515" s="5" t="s">
        <v>12805</v>
      </c>
      <c r="E3515" s="2" t="s">
        <v>15441</v>
      </c>
      <c r="F3515" s="2" t="s">
        <v>15442</v>
      </c>
      <c r="G3515" s="2" t="s">
        <v>15443</v>
      </c>
      <c r="H3515" s="2" t="s">
        <v>15457</v>
      </c>
    </row>
    <row r="3516">
      <c r="A3516" s="2">
        <v>3514.0</v>
      </c>
      <c r="B3516" s="5" t="s">
        <v>5192</v>
      </c>
      <c r="C3516" s="2" t="s">
        <v>5193</v>
      </c>
      <c r="D3516" s="5" t="s">
        <v>5192</v>
      </c>
      <c r="E3516" s="2" t="s">
        <v>15445</v>
      </c>
      <c r="F3516" s="2" t="s">
        <v>15446</v>
      </c>
      <c r="G3516" s="2" t="s">
        <v>15456</v>
      </c>
      <c r="H3516" s="2" t="s">
        <v>15444</v>
      </c>
    </row>
    <row r="3517">
      <c r="A3517" s="2">
        <v>3515.0</v>
      </c>
      <c r="B3517" s="5" t="s">
        <v>15539</v>
      </c>
      <c r="C3517" s="2" t="s">
        <v>15540</v>
      </c>
      <c r="D3517" s="5" t="s">
        <v>15539</v>
      </c>
      <c r="E3517" s="2" t="s">
        <v>15445</v>
      </c>
      <c r="F3517" s="2" t="s">
        <v>15442</v>
      </c>
      <c r="G3517" s="2" t="s">
        <v>15443</v>
      </c>
      <c r="H3517" s="2" t="s">
        <v>15455</v>
      </c>
    </row>
    <row r="3518">
      <c r="A3518" s="2">
        <v>3516.0</v>
      </c>
      <c r="B3518" s="5" t="s">
        <v>5195</v>
      </c>
      <c r="C3518" s="2" t="s">
        <v>5196</v>
      </c>
      <c r="D3518" s="5" t="s">
        <v>5195</v>
      </c>
      <c r="E3518" s="2" t="s">
        <v>15445</v>
      </c>
      <c r="F3518" s="2" t="s">
        <v>15446</v>
      </c>
      <c r="G3518" s="2" t="s">
        <v>15443</v>
      </c>
      <c r="H3518" s="2" t="s">
        <v>15444</v>
      </c>
    </row>
    <row r="3519">
      <c r="A3519" s="2">
        <v>3517.0</v>
      </c>
      <c r="B3519" s="5" t="s">
        <v>5198</v>
      </c>
      <c r="C3519" s="2" t="s">
        <v>5199</v>
      </c>
      <c r="D3519" s="5" t="s">
        <v>5198</v>
      </c>
      <c r="E3519" s="2" t="s">
        <v>15445</v>
      </c>
      <c r="F3519" s="2" t="s">
        <v>15446</v>
      </c>
      <c r="G3519" s="2" t="s">
        <v>15456</v>
      </c>
      <c r="H3519" s="2" t="s">
        <v>15444</v>
      </c>
    </row>
    <row r="3520">
      <c r="A3520" s="2">
        <v>3518.0</v>
      </c>
      <c r="B3520" s="5" t="s">
        <v>5201</v>
      </c>
      <c r="C3520" s="2" t="s">
        <v>5202</v>
      </c>
      <c r="D3520" s="5" t="s">
        <v>5201</v>
      </c>
      <c r="E3520" s="2" t="s">
        <v>15445</v>
      </c>
      <c r="F3520" s="2" t="s">
        <v>15446</v>
      </c>
      <c r="G3520" s="2" t="s">
        <v>15443</v>
      </c>
      <c r="H3520" s="2" t="s">
        <v>15444</v>
      </c>
    </row>
    <row r="3521">
      <c r="A3521" s="2">
        <v>3519.0</v>
      </c>
      <c r="B3521" s="5" t="s">
        <v>12807</v>
      </c>
      <c r="C3521" s="2" t="s">
        <v>12808</v>
      </c>
      <c r="D3521" s="5" t="s">
        <v>12807</v>
      </c>
      <c r="E3521" s="2" t="s">
        <v>15441</v>
      </c>
      <c r="F3521" s="2" t="s">
        <v>15446</v>
      </c>
      <c r="G3521" s="2" t="s">
        <v>15456</v>
      </c>
      <c r="H3521" s="2" t="s">
        <v>15444</v>
      </c>
    </row>
    <row r="3522">
      <c r="A3522" s="2">
        <v>3520.0</v>
      </c>
      <c r="B3522" s="5" t="s">
        <v>5204</v>
      </c>
      <c r="C3522" s="2" t="s">
        <v>5205</v>
      </c>
      <c r="D3522" s="5" t="s">
        <v>5204</v>
      </c>
      <c r="E3522" s="2" t="s">
        <v>15445</v>
      </c>
      <c r="F3522" s="2" t="s">
        <v>15446</v>
      </c>
      <c r="G3522" s="2" t="s">
        <v>15456</v>
      </c>
      <c r="H3522" s="2" t="s">
        <v>15444</v>
      </c>
    </row>
    <row r="3523">
      <c r="A3523" s="2">
        <v>3521.0</v>
      </c>
      <c r="B3523" s="5" t="s">
        <v>12809</v>
      </c>
      <c r="C3523" s="2" t="s">
        <v>12810</v>
      </c>
      <c r="D3523" s="5" t="s">
        <v>12809</v>
      </c>
      <c r="E3523" s="2" t="s">
        <v>15441</v>
      </c>
      <c r="F3523" s="2" t="s">
        <v>15442</v>
      </c>
      <c r="G3523" s="2" t="s">
        <v>15456</v>
      </c>
      <c r="H3523" s="2" t="s">
        <v>15444</v>
      </c>
    </row>
    <row r="3524">
      <c r="A3524" s="2">
        <v>3522.0</v>
      </c>
      <c r="B3524" s="5" t="s">
        <v>5207</v>
      </c>
      <c r="C3524" s="2" t="s">
        <v>5208</v>
      </c>
      <c r="D3524" s="5" t="s">
        <v>5207</v>
      </c>
      <c r="E3524" s="2" t="s">
        <v>15445</v>
      </c>
      <c r="F3524" s="2" t="s">
        <v>15446</v>
      </c>
      <c r="G3524" s="2" t="s">
        <v>15456</v>
      </c>
      <c r="H3524" s="2" t="s">
        <v>15444</v>
      </c>
    </row>
    <row r="3525">
      <c r="A3525" s="2">
        <v>3523.0</v>
      </c>
      <c r="B3525" s="5" t="s">
        <v>12811</v>
      </c>
      <c r="C3525" s="2" t="s">
        <v>12812</v>
      </c>
      <c r="D3525" s="5" t="s">
        <v>12811</v>
      </c>
      <c r="E3525" s="2" t="s">
        <v>15441</v>
      </c>
      <c r="F3525" s="2" t="s">
        <v>15442</v>
      </c>
      <c r="G3525" s="2" t="s">
        <v>15443</v>
      </c>
      <c r="H3525" s="2" t="s">
        <v>15444</v>
      </c>
    </row>
    <row r="3526">
      <c r="A3526" s="2">
        <v>3524.0</v>
      </c>
      <c r="B3526" s="5" t="s">
        <v>12813</v>
      </c>
      <c r="C3526" s="2" t="s">
        <v>12814</v>
      </c>
      <c r="D3526" s="5" t="s">
        <v>12813</v>
      </c>
      <c r="E3526" s="2" t="s">
        <v>15441</v>
      </c>
      <c r="F3526" s="2" t="s">
        <v>15446</v>
      </c>
      <c r="G3526" s="2" t="s">
        <v>15456</v>
      </c>
      <c r="H3526" s="2" t="s">
        <v>15444</v>
      </c>
    </row>
    <row r="3527">
      <c r="A3527" s="2">
        <v>3525.0</v>
      </c>
      <c r="B3527" s="5" t="s">
        <v>12815</v>
      </c>
      <c r="C3527" s="2" t="s">
        <v>12816</v>
      </c>
      <c r="D3527" s="5" t="s">
        <v>12815</v>
      </c>
      <c r="E3527" s="2" t="s">
        <v>15441</v>
      </c>
      <c r="F3527" s="2" t="s">
        <v>15442</v>
      </c>
      <c r="G3527" s="2" t="s">
        <v>15443</v>
      </c>
      <c r="H3527" s="2" t="s">
        <v>15444</v>
      </c>
    </row>
    <row r="3528">
      <c r="A3528" s="2">
        <v>3526.0</v>
      </c>
      <c r="B3528" s="5" t="s">
        <v>12817</v>
      </c>
      <c r="C3528" s="2" t="s">
        <v>12818</v>
      </c>
      <c r="D3528" s="5" t="s">
        <v>12817</v>
      </c>
      <c r="E3528" s="2" t="s">
        <v>15441</v>
      </c>
      <c r="F3528" s="2" t="s">
        <v>15446</v>
      </c>
      <c r="G3528" s="2" t="s">
        <v>15456</v>
      </c>
      <c r="H3528" s="2" t="s">
        <v>15444</v>
      </c>
    </row>
    <row r="3529">
      <c r="A3529" s="2">
        <v>3527.0</v>
      </c>
      <c r="B3529" s="5" t="s">
        <v>12819</v>
      </c>
      <c r="C3529" s="2" t="s">
        <v>12820</v>
      </c>
      <c r="D3529" s="5" t="s">
        <v>12819</v>
      </c>
      <c r="E3529" s="2" t="s">
        <v>15441</v>
      </c>
      <c r="F3529" s="2" t="s">
        <v>15442</v>
      </c>
      <c r="G3529" s="2" t="s">
        <v>15443</v>
      </c>
      <c r="H3529" s="2" t="s">
        <v>15444</v>
      </c>
    </row>
    <row r="3530">
      <c r="A3530" s="2">
        <v>3528.0</v>
      </c>
      <c r="B3530" s="5" t="s">
        <v>5210</v>
      </c>
      <c r="C3530" s="2" t="s">
        <v>5211</v>
      </c>
      <c r="D3530" s="5" t="s">
        <v>5210</v>
      </c>
      <c r="E3530" s="2" t="s">
        <v>15445</v>
      </c>
      <c r="F3530" s="2" t="s">
        <v>15446</v>
      </c>
      <c r="G3530" s="2" t="s">
        <v>15456</v>
      </c>
      <c r="H3530" s="2" t="s">
        <v>15444</v>
      </c>
    </row>
    <row r="3531">
      <c r="A3531" s="2">
        <v>3529.0</v>
      </c>
      <c r="B3531" s="5" t="s">
        <v>5213</v>
      </c>
      <c r="C3531" s="2" t="s">
        <v>5214</v>
      </c>
      <c r="D3531" s="5" t="s">
        <v>5213</v>
      </c>
      <c r="E3531" s="2" t="s">
        <v>15445</v>
      </c>
      <c r="F3531" s="2" t="s">
        <v>15446</v>
      </c>
      <c r="G3531" s="2" t="s">
        <v>15456</v>
      </c>
      <c r="H3531" s="2" t="s">
        <v>15457</v>
      </c>
    </row>
    <row r="3532">
      <c r="A3532" s="2">
        <v>3530.0</v>
      </c>
      <c r="B3532" s="5" t="s">
        <v>12821</v>
      </c>
      <c r="C3532" s="2" t="s">
        <v>12822</v>
      </c>
      <c r="D3532" s="5" t="s">
        <v>12821</v>
      </c>
      <c r="E3532" s="2" t="s">
        <v>15441</v>
      </c>
      <c r="F3532" s="2" t="s">
        <v>15442</v>
      </c>
      <c r="G3532" s="2" t="s">
        <v>15456</v>
      </c>
      <c r="H3532" s="2" t="s">
        <v>15444</v>
      </c>
    </row>
    <row r="3533">
      <c r="A3533" s="2">
        <v>3531.0</v>
      </c>
      <c r="B3533" s="5" t="s">
        <v>12823</v>
      </c>
      <c r="C3533" s="2" t="s">
        <v>12824</v>
      </c>
      <c r="D3533" s="5" t="s">
        <v>12823</v>
      </c>
      <c r="E3533" s="2" t="s">
        <v>15441</v>
      </c>
      <c r="F3533" s="2" t="s">
        <v>15446</v>
      </c>
      <c r="G3533" s="2" t="s">
        <v>15456</v>
      </c>
      <c r="H3533" s="2" t="s">
        <v>15444</v>
      </c>
    </row>
    <row r="3534">
      <c r="A3534" s="2">
        <v>3532.0</v>
      </c>
      <c r="B3534" s="5" t="s">
        <v>5216</v>
      </c>
      <c r="C3534" s="2" t="s">
        <v>5217</v>
      </c>
      <c r="D3534" s="5" t="s">
        <v>5216</v>
      </c>
      <c r="E3534" s="2" t="s">
        <v>15445</v>
      </c>
      <c r="F3534" s="2" t="s">
        <v>15446</v>
      </c>
      <c r="G3534" s="2" t="s">
        <v>15456</v>
      </c>
      <c r="H3534" s="2" t="s">
        <v>15444</v>
      </c>
    </row>
    <row r="3535">
      <c r="A3535" s="2">
        <v>3533.0</v>
      </c>
      <c r="B3535" s="5" t="s">
        <v>12825</v>
      </c>
      <c r="C3535" s="2" t="s">
        <v>12826</v>
      </c>
      <c r="D3535" s="5" t="s">
        <v>12825</v>
      </c>
      <c r="E3535" s="2" t="s">
        <v>15441</v>
      </c>
      <c r="F3535" s="2" t="s">
        <v>15442</v>
      </c>
      <c r="G3535" s="2" t="s">
        <v>15443</v>
      </c>
      <c r="H3535" s="2" t="s">
        <v>15444</v>
      </c>
    </row>
    <row r="3536">
      <c r="A3536" s="2">
        <v>3534.0</v>
      </c>
      <c r="B3536" s="5" t="s">
        <v>12827</v>
      </c>
      <c r="C3536" s="2" t="s">
        <v>12828</v>
      </c>
      <c r="D3536" s="5" t="s">
        <v>12827</v>
      </c>
      <c r="E3536" s="2" t="s">
        <v>15441</v>
      </c>
      <c r="F3536" s="2" t="s">
        <v>15442</v>
      </c>
      <c r="G3536" s="2" t="s">
        <v>15443</v>
      </c>
      <c r="H3536" s="2" t="s">
        <v>15444</v>
      </c>
    </row>
    <row r="3537">
      <c r="A3537" s="2">
        <v>3535.0</v>
      </c>
      <c r="B3537" s="5" t="s">
        <v>12829</v>
      </c>
      <c r="C3537" s="2" t="s">
        <v>12830</v>
      </c>
      <c r="D3537" s="5" t="s">
        <v>12829</v>
      </c>
      <c r="E3537" s="2" t="s">
        <v>15441</v>
      </c>
      <c r="F3537" s="2" t="s">
        <v>15446</v>
      </c>
      <c r="G3537" s="2" t="s">
        <v>15456</v>
      </c>
      <c r="H3537" s="2" t="s">
        <v>15444</v>
      </c>
    </row>
    <row r="3538">
      <c r="A3538" s="2">
        <v>3536.0</v>
      </c>
      <c r="B3538" s="5" t="s">
        <v>5219</v>
      </c>
      <c r="C3538" s="2" t="s">
        <v>5220</v>
      </c>
      <c r="D3538" s="5" t="s">
        <v>5219</v>
      </c>
      <c r="E3538" s="2" t="s">
        <v>15445</v>
      </c>
      <c r="F3538" s="2" t="s">
        <v>15446</v>
      </c>
      <c r="G3538" s="2" t="s">
        <v>15456</v>
      </c>
      <c r="H3538" s="2" t="s">
        <v>15444</v>
      </c>
    </row>
    <row r="3539">
      <c r="A3539" s="2">
        <v>3537.0</v>
      </c>
      <c r="B3539" s="5" t="s">
        <v>5222</v>
      </c>
      <c r="C3539" s="2" t="s">
        <v>5223</v>
      </c>
      <c r="D3539" s="5" t="s">
        <v>5222</v>
      </c>
      <c r="E3539" s="2" t="s">
        <v>15445</v>
      </c>
      <c r="F3539" s="2" t="s">
        <v>15446</v>
      </c>
      <c r="G3539" s="2" t="s">
        <v>15456</v>
      </c>
      <c r="H3539" s="2" t="s">
        <v>15444</v>
      </c>
    </row>
    <row r="3540">
      <c r="A3540" s="2">
        <v>3538.0</v>
      </c>
      <c r="B3540" s="5" t="s">
        <v>5225</v>
      </c>
      <c r="C3540" s="2" t="s">
        <v>5226</v>
      </c>
      <c r="D3540" s="5" t="s">
        <v>5225</v>
      </c>
      <c r="E3540" s="2" t="s">
        <v>15445</v>
      </c>
      <c r="F3540" s="2" t="s">
        <v>15446</v>
      </c>
      <c r="G3540" s="2" t="s">
        <v>15456</v>
      </c>
      <c r="H3540" s="2" t="s">
        <v>15444</v>
      </c>
    </row>
    <row r="3541">
      <c r="A3541" s="2">
        <v>3539.0</v>
      </c>
      <c r="B3541" s="5" t="s">
        <v>12831</v>
      </c>
      <c r="C3541" s="2" t="s">
        <v>12832</v>
      </c>
      <c r="D3541" s="5" t="s">
        <v>12831</v>
      </c>
      <c r="E3541" s="2" t="s">
        <v>15441</v>
      </c>
      <c r="F3541" s="2" t="s">
        <v>15442</v>
      </c>
      <c r="G3541" s="2" t="s">
        <v>15443</v>
      </c>
      <c r="H3541" s="2" t="s">
        <v>15444</v>
      </c>
    </row>
    <row r="3542">
      <c r="A3542" s="2">
        <v>3540.0</v>
      </c>
      <c r="B3542" s="5" t="s">
        <v>12833</v>
      </c>
      <c r="C3542" s="2" t="s">
        <v>12834</v>
      </c>
      <c r="D3542" s="5" t="s">
        <v>12833</v>
      </c>
      <c r="E3542" s="2" t="s">
        <v>15441</v>
      </c>
      <c r="F3542" s="2" t="s">
        <v>15446</v>
      </c>
      <c r="G3542" s="2" t="s">
        <v>15456</v>
      </c>
      <c r="H3542" s="2" t="s">
        <v>15444</v>
      </c>
    </row>
    <row r="3543">
      <c r="A3543" s="2">
        <v>3541.0</v>
      </c>
      <c r="B3543" s="5" t="s">
        <v>12835</v>
      </c>
      <c r="C3543" s="2" t="s">
        <v>12836</v>
      </c>
      <c r="D3543" s="5" t="s">
        <v>12835</v>
      </c>
      <c r="E3543" s="2" t="s">
        <v>15441</v>
      </c>
      <c r="F3543" s="2" t="s">
        <v>15446</v>
      </c>
      <c r="G3543" s="2" t="s">
        <v>15456</v>
      </c>
      <c r="H3543" s="2" t="s">
        <v>15444</v>
      </c>
    </row>
    <row r="3544">
      <c r="A3544" s="2">
        <v>3542.0</v>
      </c>
      <c r="B3544" s="5" t="s">
        <v>12837</v>
      </c>
      <c r="C3544" s="2" t="s">
        <v>12838</v>
      </c>
      <c r="D3544" s="5" t="s">
        <v>12837</v>
      </c>
      <c r="E3544" s="2" t="s">
        <v>15441</v>
      </c>
      <c r="F3544" s="2" t="s">
        <v>15446</v>
      </c>
      <c r="G3544" s="2" t="s">
        <v>15456</v>
      </c>
      <c r="H3544" s="2" t="s">
        <v>15444</v>
      </c>
    </row>
    <row r="3545">
      <c r="A3545" s="2">
        <v>3543.0</v>
      </c>
      <c r="B3545" s="5" t="s">
        <v>5228</v>
      </c>
      <c r="C3545" s="2" t="s">
        <v>5229</v>
      </c>
      <c r="D3545" s="5" t="s">
        <v>5228</v>
      </c>
      <c r="E3545" s="2" t="s">
        <v>15445</v>
      </c>
      <c r="F3545" s="2" t="s">
        <v>15446</v>
      </c>
      <c r="G3545" s="2" t="s">
        <v>15443</v>
      </c>
      <c r="H3545" s="2" t="s">
        <v>15444</v>
      </c>
    </row>
    <row r="3546">
      <c r="A3546" s="2">
        <v>3544.0</v>
      </c>
      <c r="B3546" s="5" t="s">
        <v>12839</v>
      </c>
      <c r="C3546" s="2" t="s">
        <v>12840</v>
      </c>
      <c r="D3546" s="5" t="s">
        <v>12839</v>
      </c>
      <c r="E3546" s="2" t="s">
        <v>15441</v>
      </c>
      <c r="F3546" s="2" t="s">
        <v>15446</v>
      </c>
      <c r="G3546" s="2" t="s">
        <v>15443</v>
      </c>
      <c r="H3546" s="2" t="s">
        <v>15444</v>
      </c>
    </row>
    <row r="3547">
      <c r="A3547" s="2">
        <v>3545.0</v>
      </c>
      <c r="B3547" s="5" t="s">
        <v>5231</v>
      </c>
      <c r="C3547" s="2" t="s">
        <v>5232</v>
      </c>
      <c r="D3547" s="5" t="s">
        <v>5231</v>
      </c>
      <c r="E3547" s="2" t="s">
        <v>15445</v>
      </c>
      <c r="F3547" s="2" t="s">
        <v>15446</v>
      </c>
      <c r="G3547" s="2" t="s">
        <v>15456</v>
      </c>
      <c r="H3547" s="2" t="s">
        <v>15455</v>
      </c>
    </row>
    <row r="3548">
      <c r="A3548" s="2">
        <v>3546.0</v>
      </c>
      <c r="B3548" s="5" t="s">
        <v>5234</v>
      </c>
      <c r="C3548" s="2" t="s">
        <v>5235</v>
      </c>
      <c r="D3548" s="5" t="s">
        <v>5234</v>
      </c>
      <c r="E3548" s="2" t="s">
        <v>15445</v>
      </c>
      <c r="F3548" s="2" t="s">
        <v>15446</v>
      </c>
      <c r="G3548" s="2" t="s">
        <v>15443</v>
      </c>
      <c r="H3548" s="2" t="s">
        <v>15457</v>
      </c>
    </row>
    <row r="3549">
      <c r="A3549" s="2">
        <v>3547.0</v>
      </c>
      <c r="B3549" s="5" t="s">
        <v>12841</v>
      </c>
      <c r="C3549" s="2" t="s">
        <v>12842</v>
      </c>
      <c r="D3549" s="5" t="s">
        <v>12841</v>
      </c>
      <c r="E3549" s="2" t="s">
        <v>15441</v>
      </c>
      <c r="F3549" s="2" t="s">
        <v>15442</v>
      </c>
      <c r="G3549" s="2" t="s">
        <v>15456</v>
      </c>
      <c r="H3549" s="2" t="s">
        <v>15444</v>
      </c>
    </row>
    <row r="3550">
      <c r="A3550" s="2">
        <v>3548.0</v>
      </c>
      <c r="B3550" s="5" t="s">
        <v>5237</v>
      </c>
      <c r="C3550" s="2" t="s">
        <v>5238</v>
      </c>
      <c r="D3550" s="5" t="s">
        <v>5237</v>
      </c>
      <c r="E3550" s="2" t="s">
        <v>15445</v>
      </c>
      <c r="F3550" s="2" t="s">
        <v>15446</v>
      </c>
      <c r="G3550" s="2" t="s">
        <v>15456</v>
      </c>
      <c r="H3550" s="2" t="s">
        <v>15444</v>
      </c>
    </row>
    <row r="3551">
      <c r="A3551" s="2">
        <v>3549.0</v>
      </c>
      <c r="B3551" s="5" t="s">
        <v>5240</v>
      </c>
      <c r="C3551" s="2" t="s">
        <v>5241</v>
      </c>
      <c r="D3551" s="5" t="s">
        <v>5240</v>
      </c>
      <c r="E3551" s="2" t="s">
        <v>15445</v>
      </c>
      <c r="F3551" s="2" t="s">
        <v>15442</v>
      </c>
      <c r="G3551" s="2" t="s">
        <v>15456</v>
      </c>
      <c r="H3551" s="2" t="s">
        <v>15444</v>
      </c>
    </row>
    <row r="3552">
      <c r="A3552" s="2">
        <v>3550.0</v>
      </c>
      <c r="B3552" s="5" t="s">
        <v>12843</v>
      </c>
      <c r="C3552" s="2" t="s">
        <v>12844</v>
      </c>
      <c r="D3552" s="5" t="s">
        <v>12843</v>
      </c>
      <c r="E3552" s="2" t="s">
        <v>15441</v>
      </c>
      <c r="F3552" s="2" t="s">
        <v>15442</v>
      </c>
      <c r="G3552" s="2" t="s">
        <v>15443</v>
      </c>
      <c r="H3552" s="2" t="s">
        <v>15444</v>
      </c>
    </row>
    <row r="3553">
      <c r="A3553" s="2">
        <v>3551.0</v>
      </c>
      <c r="B3553" s="5" t="s">
        <v>5243</v>
      </c>
      <c r="C3553" s="2" t="s">
        <v>5244</v>
      </c>
      <c r="D3553" s="5" t="s">
        <v>5243</v>
      </c>
      <c r="E3553" s="2" t="s">
        <v>15445</v>
      </c>
      <c r="F3553" s="2" t="s">
        <v>15442</v>
      </c>
      <c r="G3553" s="2" t="s">
        <v>15456</v>
      </c>
      <c r="H3553" s="2" t="s">
        <v>15444</v>
      </c>
    </row>
    <row r="3554">
      <c r="A3554" s="2">
        <v>3552.0</v>
      </c>
      <c r="B3554" s="5" t="s">
        <v>5246</v>
      </c>
      <c r="C3554" s="2" t="s">
        <v>5247</v>
      </c>
      <c r="D3554" s="5" t="s">
        <v>5246</v>
      </c>
      <c r="E3554" s="2" t="s">
        <v>15445</v>
      </c>
      <c r="F3554" s="2" t="s">
        <v>15446</v>
      </c>
      <c r="G3554" s="2" t="s">
        <v>15443</v>
      </c>
      <c r="H3554" s="2" t="s">
        <v>15444</v>
      </c>
    </row>
    <row r="3555">
      <c r="A3555" s="2">
        <v>3553.0</v>
      </c>
      <c r="B3555" s="5" t="s">
        <v>5249</v>
      </c>
      <c r="C3555" s="2" t="s">
        <v>5250</v>
      </c>
      <c r="D3555" s="5" t="s">
        <v>5249</v>
      </c>
      <c r="E3555" s="2" t="s">
        <v>15445</v>
      </c>
      <c r="F3555" s="2" t="s">
        <v>15446</v>
      </c>
      <c r="G3555" s="2" t="s">
        <v>15443</v>
      </c>
      <c r="H3555" s="2" t="s">
        <v>15444</v>
      </c>
    </row>
    <row r="3556">
      <c r="A3556" s="2">
        <v>3554.0</v>
      </c>
      <c r="B3556" s="5" t="s">
        <v>12845</v>
      </c>
      <c r="C3556" s="2" t="s">
        <v>12846</v>
      </c>
      <c r="D3556" s="5" t="s">
        <v>12845</v>
      </c>
      <c r="E3556" s="2" t="s">
        <v>15441</v>
      </c>
      <c r="F3556" s="2" t="s">
        <v>15442</v>
      </c>
      <c r="G3556" s="2" t="s">
        <v>15443</v>
      </c>
      <c r="H3556" s="2" t="s">
        <v>15444</v>
      </c>
    </row>
    <row r="3557">
      <c r="A3557" s="2">
        <v>3555.0</v>
      </c>
      <c r="B3557" s="5" t="s">
        <v>12847</v>
      </c>
      <c r="C3557" s="2" t="s">
        <v>12848</v>
      </c>
      <c r="D3557" s="5" t="s">
        <v>12847</v>
      </c>
      <c r="E3557" s="2" t="s">
        <v>15441</v>
      </c>
      <c r="F3557" s="2" t="s">
        <v>15446</v>
      </c>
      <c r="G3557" s="2" t="s">
        <v>15443</v>
      </c>
      <c r="H3557" s="2" t="s">
        <v>15444</v>
      </c>
    </row>
    <row r="3558">
      <c r="A3558" s="2">
        <v>3556.0</v>
      </c>
      <c r="B3558" s="5" t="s">
        <v>5252</v>
      </c>
      <c r="C3558" s="2" t="s">
        <v>5253</v>
      </c>
      <c r="D3558" s="5" t="s">
        <v>5252</v>
      </c>
      <c r="E3558" s="2" t="s">
        <v>15445</v>
      </c>
      <c r="F3558" s="2" t="s">
        <v>15442</v>
      </c>
      <c r="G3558" s="2" t="s">
        <v>15456</v>
      </c>
      <c r="H3558" s="2" t="s">
        <v>15444</v>
      </c>
    </row>
    <row r="3559">
      <c r="A3559" s="2">
        <v>3557.0</v>
      </c>
      <c r="B3559" s="5" t="s">
        <v>5255</v>
      </c>
      <c r="C3559" s="2" t="s">
        <v>5256</v>
      </c>
      <c r="D3559" s="5" t="s">
        <v>5255</v>
      </c>
      <c r="E3559" s="2" t="s">
        <v>15445</v>
      </c>
      <c r="F3559" s="2" t="s">
        <v>15442</v>
      </c>
      <c r="G3559" s="2" t="s">
        <v>15443</v>
      </c>
      <c r="H3559" s="2" t="s">
        <v>15444</v>
      </c>
    </row>
    <row r="3560">
      <c r="A3560" s="2">
        <v>3558.0</v>
      </c>
      <c r="B3560" s="5" t="s">
        <v>5258</v>
      </c>
      <c r="C3560" s="2" t="s">
        <v>5259</v>
      </c>
      <c r="D3560" s="5" t="s">
        <v>5258</v>
      </c>
      <c r="E3560" s="2" t="s">
        <v>15445</v>
      </c>
      <c r="F3560" s="2" t="s">
        <v>15442</v>
      </c>
      <c r="G3560" s="2" t="s">
        <v>15443</v>
      </c>
      <c r="H3560" s="2" t="s">
        <v>15444</v>
      </c>
    </row>
    <row r="3561">
      <c r="A3561" s="2">
        <v>3559.0</v>
      </c>
      <c r="B3561" s="5" t="s">
        <v>12849</v>
      </c>
      <c r="C3561" s="2" t="s">
        <v>12850</v>
      </c>
      <c r="D3561" s="5" t="s">
        <v>12849</v>
      </c>
      <c r="E3561" s="2" t="s">
        <v>15441</v>
      </c>
      <c r="F3561" s="2" t="s">
        <v>15442</v>
      </c>
      <c r="G3561" s="2" t="s">
        <v>15443</v>
      </c>
      <c r="H3561" s="2" t="s">
        <v>15444</v>
      </c>
    </row>
    <row r="3562">
      <c r="A3562" s="2">
        <v>3560.0</v>
      </c>
      <c r="B3562" s="5" t="s">
        <v>12851</v>
      </c>
      <c r="C3562" s="2" t="s">
        <v>12852</v>
      </c>
      <c r="D3562" s="5" t="s">
        <v>12851</v>
      </c>
      <c r="E3562" s="2" t="s">
        <v>15441</v>
      </c>
      <c r="F3562" s="2" t="s">
        <v>15446</v>
      </c>
      <c r="G3562" s="2" t="s">
        <v>15456</v>
      </c>
      <c r="H3562" s="2" t="s">
        <v>15444</v>
      </c>
    </row>
    <row r="3563">
      <c r="A3563" s="2">
        <v>3561.0</v>
      </c>
      <c r="B3563" s="5" t="s">
        <v>5261</v>
      </c>
      <c r="C3563" s="2" t="s">
        <v>5262</v>
      </c>
      <c r="D3563" s="5" t="s">
        <v>5261</v>
      </c>
      <c r="E3563" s="2" t="s">
        <v>15445</v>
      </c>
      <c r="F3563" s="2" t="s">
        <v>15446</v>
      </c>
      <c r="G3563" s="2" t="s">
        <v>15456</v>
      </c>
      <c r="H3563" s="2" t="s">
        <v>15444</v>
      </c>
    </row>
    <row r="3564">
      <c r="A3564" s="2">
        <v>3562.0</v>
      </c>
      <c r="B3564" s="5" t="s">
        <v>5264</v>
      </c>
      <c r="C3564" s="2" t="s">
        <v>5265</v>
      </c>
      <c r="D3564" s="5" t="s">
        <v>5264</v>
      </c>
      <c r="E3564" s="2" t="s">
        <v>15445</v>
      </c>
      <c r="F3564" s="2" t="s">
        <v>15446</v>
      </c>
      <c r="G3564" s="2" t="s">
        <v>15443</v>
      </c>
      <c r="H3564" s="2" t="s">
        <v>15444</v>
      </c>
    </row>
    <row r="3565">
      <c r="A3565" s="2">
        <v>3563.0</v>
      </c>
      <c r="B3565" s="5" t="s">
        <v>5267</v>
      </c>
      <c r="C3565" s="2" t="s">
        <v>5268</v>
      </c>
      <c r="D3565" s="5" t="s">
        <v>5267</v>
      </c>
      <c r="E3565" s="2" t="s">
        <v>15445</v>
      </c>
      <c r="F3565" s="2" t="s">
        <v>15446</v>
      </c>
      <c r="G3565" s="2" t="s">
        <v>15456</v>
      </c>
      <c r="H3565" s="2" t="s">
        <v>15444</v>
      </c>
    </row>
    <row r="3566">
      <c r="A3566" s="2">
        <v>3564.0</v>
      </c>
      <c r="B3566" s="5" t="s">
        <v>12853</v>
      </c>
      <c r="C3566" s="2" t="s">
        <v>12854</v>
      </c>
      <c r="D3566" s="5" t="s">
        <v>12853</v>
      </c>
      <c r="E3566" s="2" t="s">
        <v>15441</v>
      </c>
      <c r="F3566" s="2" t="s">
        <v>15446</v>
      </c>
      <c r="G3566" s="2" t="s">
        <v>15456</v>
      </c>
      <c r="H3566" s="2" t="s">
        <v>15444</v>
      </c>
    </row>
    <row r="3567">
      <c r="A3567" s="2">
        <v>3565.0</v>
      </c>
      <c r="B3567" s="5" t="s">
        <v>12855</v>
      </c>
      <c r="C3567" s="2" t="s">
        <v>12856</v>
      </c>
      <c r="D3567" s="5" t="s">
        <v>12855</v>
      </c>
      <c r="E3567" s="2" t="s">
        <v>15441</v>
      </c>
      <c r="F3567" s="2" t="s">
        <v>15442</v>
      </c>
      <c r="G3567" s="2" t="s">
        <v>15456</v>
      </c>
      <c r="H3567" s="2" t="s">
        <v>15444</v>
      </c>
    </row>
    <row r="3568">
      <c r="A3568" s="2">
        <v>3566.0</v>
      </c>
      <c r="B3568" s="5" t="s">
        <v>5270</v>
      </c>
      <c r="C3568" s="2" t="s">
        <v>5271</v>
      </c>
      <c r="D3568" s="5" t="s">
        <v>5270</v>
      </c>
      <c r="E3568" s="2" t="s">
        <v>15445</v>
      </c>
      <c r="F3568" s="2" t="s">
        <v>15446</v>
      </c>
      <c r="G3568" s="2" t="s">
        <v>15456</v>
      </c>
      <c r="H3568" s="2" t="s">
        <v>15444</v>
      </c>
    </row>
    <row r="3569">
      <c r="A3569" s="2">
        <v>3567.0</v>
      </c>
      <c r="B3569" s="5" t="s">
        <v>5273</v>
      </c>
      <c r="C3569" s="2" t="s">
        <v>5274</v>
      </c>
      <c r="D3569" s="5" t="s">
        <v>5273</v>
      </c>
      <c r="E3569" s="2" t="s">
        <v>15445</v>
      </c>
      <c r="F3569" s="2" t="s">
        <v>15442</v>
      </c>
      <c r="G3569" s="2" t="s">
        <v>15443</v>
      </c>
      <c r="H3569" s="2" t="s">
        <v>15444</v>
      </c>
    </row>
    <row r="3570">
      <c r="A3570" s="2">
        <v>3568.0</v>
      </c>
      <c r="B3570" s="5" t="s">
        <v>12857</v>
      </c>
      <c r="C3570" s="2" t="s">
        <v>12858</v>
      </c>
      <c r="D3570" s="5" t="s">
        <v>12857</v>
      </c>
      <c r="E3570" s="2" t="s">
        <v>15441</v>
      </c>
      <c r="F3570" s="2" t="s">
        <v>15442</v>
      </c>
      <c r="G3570" s="2" t="s">
        <v>15456</v>
      </c>
      <c r="H3570" s="2" t="s">
        <v>15444</v>
      </c>
    </row>
    <row r="3571">
      <c r="A3571" s="2">
        <v>3569.0</v>
      </c>
      <c r="B3571" s="5" t="s">
        <v>5276</v>
      </c>
      <c r="C3571" s="2" t="s">
        <v>5277</v>
      </c>
      <c r="D3571" s="5" t="s">
        <v>5276</v>
      </c>
      <c r="E3571" s="2" t="s">
        <v>15445</v>
      </c>
      <c r="F3571" s="2" t="s">
        <v>15446</v>
      </c>
      <c r="G3571" s="2" t="s">
        <v>15456</v>
      </c>
      <c r="H3571" s="2" t="s">
        <v>15444</v>
      </c>
    </row>
    <row r="3572">
      <c r="A3572" s="2">
        <v>3570.0</v>
      </c>
      <c r="B3572" s="5" t="s">
        <v>12859</v>
      </c>
      <c r="C3572" s="2" t="s">
        <v>12860</v>
      </c>
      <c r="D3572" s="5" t="s">
        <v>12859</v>
      </c>
      <c r="E3572" s="2" t="s">
        <v>15441</v>
      </c>
      <c r="F3572" s="2" t="s">
        <v>15442</v>
      </c>
      <c r="G3572" s="2" t="s">
        <v>15456</v>
      </c>
      <c r="H3572" s="2" t="s">
        <v>15444</v>
      </c>
    </row>
    <row r="3573">
      <c r="A3573" s="2">
        <v>3571.0</v>
      </c>
      <c r="B3573" s="5" t="s">
        <v>5279</v>
      </c>
      <c r="C3573" s="2" t="s">
        <v>5280</v>
      </c>
      <c r="D3573" s="5" t="s">
        <v>5279</v>
      </c>
      <c r="E3573" s="2" t="s">
        <v>15445</v>
      </c>
      <c r="F3573" s="2" t="s">
        <v>15446</v>
      </c>
      <c r="G3573" s="2" t="s">
        <v>15456</v>
      </c>
      <c r="H3573" s="2" t="s">
        <v>15444</v>
      </c>
    </row>
    <row r="3574">
      <c r="A3574" s="2">
        <v>3572.0</v>
      </c>
      <c r="B3574" s="5" t="s">
        <v>5282</v>
      </c>
      <c r="C3574" s="2" t="s">
        <v>5283</v>
      </c>
      <c r="D3574" s="5" t="s">
        <v>5282</v>
      </c>
      <c r="E3574" s="2" t="s">
        <v>15445</v>
      </c>
      <c r="F3574" s="2" t="s">
        <v>15442</v>
      </c>
      <c r="G3574" s="2" t="s">
        <v>15443</v>
      </c>
      <c r="H3574" s="2" t="s">
        <v>15457</v>
      </c>
    </row>
    <row r="3575">
      <c r="A3575" s="2">
        <v>3573.0</v>
      </c>
      <c r="B3575" s="5" t="s">
        <v>12861</v>
      </c>
      <c r="C3575" s="2" t="s">
        <v>12862</v>
      </c>
      <c r="D3575" s="5" t="s">
        <v>12861</v>
      </c>
      <c r="E3575" s="2" t="s">
        <v>15441</v>
      </c>
      <c r="F3575" s="2" t="s">
        <v>15446</v>
      </c>
      <c r="G3575" s="2" t="s">
        <v>15443</v>
      </c>
      <c r="H3575" s="2" t="s">
        <v>15444</v>
      </c>
    </row>
    <row r="3576">
      <c r="A3576" s="2">
        <v>3574.0</v>
      </c>
      <c r="B3576" s="5" t="s">
        <v>12863</v>
      </c>
      <c r="C3576" s="2" t="s">
        <v>12864</v>
      </c>
      <c r="D3576" s="5" t="s">
        <v>12863</v>
      </c>
      <c r="E3576" s="2" t="s">
        <v>15441</v>
      </c>
      <c r="F3576" s="2" t="s">
        <v>15442</v>
      </c>
      <c r="G3576" s="2" t="s">
        <v>15443</v>
      </c>
      <c r="H3576" s="2" t="s">
        <v>15444</v>
      </c>
    </row>
    <row r="3577">
      <c r="A3577" s="2">
        <v>3575.0</v>
      </c>
      <c r="B3577" s="5" t="s">
        <v>12865</v>
      </c>
      <c r="C3577" s="2" t="s">
        <v>12866</v>
      </c>
      <c r="D3577" s="5" t="s">
        <v>12865</v>
      </c>
      <c r="E3577" s="2" t="s">
        <v>15441</v>
      </c>
      <c r="F3577" s="2" t="s">
        <v>15446</v>
      </c>
      <c r="G3577" s="2" t="s">
        <v>15456</v>
      </c>
      <c r="H3577" s="2" t="s">
        <v>15444</v>
      </c>
    </row>
    <row r="3578">
      <c r="A3578" s="2">
        <v>3576.0</v>
      </c>
      <c r="B3578" s="5" t="s">
        <v>12867</v>
      </c>
      <c r="C3578" s="2" t="s">
        <v>12868</v>
      </c>
      <c r="D3578" s="5" t="s">
        <v>12867</v>
      </c>
      <c r="E3578" s="2" t="s">
        <v>15441</v>
      </c>
      <c r="F3578" s="2" t="s">
        <v>15446</v>
      </c>
      <c r="G3578" s="2" t="s">
        <v>15456</v>
      </c>
      <c r="H3578" s="2" t="s">
        <v>15444</v>
      </c>
    </row>
    <row r="3579">
      <c r="A3579" s="2">
        <v>3577.0</v>
      </c>
      <c r="B3579" s="5" t="s">
        <v>12869</v>
      </c>
      <c r="C3579" s="2" t="s">
        <v>12870</v>
      </c>
      <c r="D3579" s="5" t="s">
        <v>12869</v>
      </c>
      <c r="E3579" s="2" t="s">
        <v>15441</v>
      </c>
      <c r="F3579" s="2" t="s">
        <v>15446</v>
      </c>
      <c r="G3579" s="2" t="s">
        <v>15456</v>
      </c>
      <c r="H3579" s="2" t="s">
        <v>15444</v>
      </c>
    </row>
    <row r="3580">
      <c r="A3580" s="2">
        <v>3578.0</v>
      </c>
      <c r="B3580" s="5" t="s">
        <v>12871</v>
      </c>
      <c r="C3580" s="2" t="s">
        <v>12872</v>
      </c>
      <c r="D3580" s="5" t="s">
        <v>12871</v>
      </c>
      <c r="E3580" s="2" t="s">
        <v>15441</v>
      </c>
      <c r="F3580" s="2" t="s">
        <v>15442</v>
      </c>
      <c r="G3580" s="2" t="s">
        <v>15443</v>
      </c>
      <c r="H3580" s="2" t="s">
        <v>15462</v>
      </c>
    </row>
    <row r="3581">
      <c r="A3581" s="2">
        <v>3579.0</v>
      </c>
      <c r="B3581" s="5" t="s">
        <v>5285</v>
      </c>
      <c r="C3581" s="2" t="s">
        <v>5286</v>
      </c>
      <c r="D3581" s="5" t="s">
        <v>5285</v>
      </c>
      <c r="E3581" s="2" t="s">
        <v>15445</v>
      </c>
      <c r="F3581" s="2" t="s">
        <v>15446</v>
      </c>
      <c r="G3581" s="2" t="s">
        <v>15443</v>
      </c>
      <c r="H3581" s="2" t="s">
        <v>15462</v>
      </c>
    </row>
    <row r="3582">
      <c r="A3582" s="2">
        <v>3580.0</v>
      </c>
      <c r="B3582" s="5" t="s">
        <v>5288</v>
      </c>
      <c r="C3582" s="2" t="s">
        <v>5289</v>
      </c>
      <c r="D3582" s="5" t="s">
        <v>5288</v>
      </c>
      <c r="E3582" s="2" t="s">
        <v>15445</v>
      </c>
      <c r="F3582" s="2" t="s">
        <v>15446</v>
      </c>
      <c r="G3582" s="2" t="s">
        <v>15456</v>
      </c>
      <c r="H3582" s="2" t="s">
        <v>15444</v>
      </c>
    </row>
    <row r="3583">
      <c r="A3583" s="2">
        <v>3581.0</v>
      </c>
      <c r="B3583" s="5" t="s">
        <v>12873</v>
      </c>
      <c r="C3583" s="2" t="s">
        <v>12874</v>
      </c>
      <c r="D3583" s="5" t="s">
        <v>12873</v>
      </c>
      <c r="E3583" s="2" t="s">
        <v>15441</v>
      </c>
      <c r="F3583" s="2" t="s">
        <v>15442</v>
      </c>
      <c r="G3583" s="2" t="s">
        <v>15456</v>
      </c>
      <c r="H3583" s="2" t="s">
        <v>15444</v>
      </c>
    </row>
    <row r="3584">
      <c r="A3584" s="2">
        <v>3582.0</v>
      </c>
      <c r="B3584" s="5" t="s">
        <v>5291</v>
      </c>
      <c r="C3584" s="2" t="s">
        <v>5292</v>
      </c>
      <c r="D3584" s="5" t="s">
        <v>5291</v>
      </c>
      <c r="E3584" s="2" t="s">
        <v>15445</v>
      </c>
      <c r="F3584" s="2" t="s">
        <v>15446</v>
      </c>
      <c r="G3584" s="2" t="s">
        <v>15443</v>
      </c>
      <c r="H3584" s="2" t="s">
        <v>15444</v>
      </c>
    </row>
    <row r="3585">
      <c r="A3585" s="2">
        <v>3583.0</v>
      </c>
      <c r="B3585" s="5" t="s">
        <v>12875</v>
      </c>
      <c r="C3585" s="2" t="s">
        <v>12876</v>
      </c>
      <c r="D3585" s="5" t="s">
        <v>12875</v>
      </c>
      <c r="E3585" s="2" t="s">
        <v>15441</v>
      </c>
      <c r="F3585" s="2" t="s">
        <v>15446</v>
      </c>
      <c r="G3585" s="2" t="s">
        <v>15456</v>
      </c>
      <c r="H3585" s="2" t="s">
        <v>15444</v>
      </c>
    </row>
    <row r="3586">
      <c r="A3586" s="2">
        <v>3584.0</v>
      </c>
      <c r="B3586" s="5" t="s">
        <v>5294</v>
      </c>
      <c r="C3586" s="2" t="s">
        <v>5295</v>
      </c>
      <c r="D3586" s="5" t="s">
        <v>5294</v>
      </c>
      <c r="E3586" s="2" t="s">
        <v>15445</v>
      </c>
      <c r="F3586" s="2" t="s">
        <v>15446</v>
      </c>
      <c r="G3586" s="2" t="s">
        <v>15443</v>
      </c>
      <c r="H3586" s="2" t="s">
        <v>15444</v>
      </c>
    </row>
    <row r="3587">
      <c r="A3587" s="2">
        <v>3585.0</v>
      </c>
      <c r="B3587" s="5" t="s">
        <v>12877</v>
      </c>
      <c r="C3587" s="2" t="s">
        <v>12878</v>
      </c>
      <c r="D3587" s="5" t="s">
        <v>12877</v>
      </c>
      <c r="E3587" s="2" t="s">
        <v>15441</v>
      </c>
      <c r="F3587" s="2" t="s">
        <v>15446</v>
      </c>
      <c r="G3587" s="2" t="s">
        <v>15456</v>
      </c>
      <c r="H3587" s="2" t="s">
        <v>15444</v>
      </c>
    </row>
    <row r="3588">
      <c r="A3588" s="2">
        <v>3586.0</v>
      </c>
      <c r="B3588" s="5" t="s">
        <v>5297</v>
      </c>
      <c r="C3588" s="2" t="s">
        <v>5298</v>
      </c>
      <c r="D3588" s="5" t="s">
        <v>5297</v>
      </c>
      <c r="E3588" s="2" t="s">
        <v>15445</v>
      </c>
      <c r="F3588" s="2" t="s">
        <v>15446</v>
      </c>
      <c r="G3588" s="2" t="s">
        <v>15456</v>
      </c>
      <c r="H3588" s="2" t="s">
        <v>15444</v>
      </c>
    </row>
    <row r="3589">
      <c r="A3589" s="2">
        <v>3587.0</v>
      </c>
      <c r="B3589" s="5" t="s">
        <v>12879</v>
      </c>
      <c r="C3589" s="2" t="s">
        <v>12880</v>
      </c>
      <c r="D3589" s="5" t="s">
        <v>12879</v>
      </c>
      <c r="E3589" s="2" t="s">
        <v>15441</v>
      </c>
      <c r="F3589" s="2" t="s">
        <v>15446</v>
      </c>
      <c r="G3589" s="2" t="s">
        <v>15456</v>
      </c>
      <c r="H3589" s="2" t="s">
        <v>15444</v>
      </c>
    </row>
    <row r="3590">
      <c r="A3590" s="2">
        <v>3588.0</v>
      </c>
      <c r="B3590" s="5" t="s">
        <v>12881</v>
      </c>
      <c r="C3590" s="2" t="s">
        <v>12882</v>
      </c>
      <c r="D3590" s="5" t="s">
        <v>12881</v>
      </c>
      <c r="E3590" s="2" t="s">
        <v>15441</v>
      </c>
      <c r="F3590" s="2" t="s">
        <v>15446</v>
      </c>
      <c r="G3590" s="2" t="s">
        <v>15456</v>
      </c>
      <c r="H3590" s="2" t="s">
        <v>15444</v>
      </c>
    </row>
    <row r="3591">
      <c r="A3591" s="2">
        <v>3589.0</v>
      </c>
      <c r="B3591" s="5" t="s">
        <v>15541</v>
      </c>
      <c r="C3591" s="2" t="s">
        <v>15542</v>
      </c>
      <c r="D3591" s="5" t="s">
        <v>15541</v>
      </c>
      <c r="E3591" s="2" t="s">
        <v>15445</v>
      </c>
      <c r="F3591" s="2" t="s">
        <v>15446</v>
      </c>
      <c r="G3591" s="2" t="s">
        <v>15456</v>
      </c>
      <c r="H3591" s="2" t="s">
        <v>15486</v>
      </c>
    </row>
    <row r="3592">
      <c r="A3592" s="2">
        <v>3590.0</v>
      </c>
      <c r="B3592" s="5" t="s">
        <v>5300</v>
      </c>
      <c r="C3592" s="2" t="s">
        <v>5301</v>
      </c>
      <c r="D3592" s="5" t="s">
        <v>5300</v>
      </c>
      <c r="E3592" s="2" t="s">
        <v>15445</v>
      </c>
      <c r="F3592" s="2" t="s">
        <v>15446</v>
      </c>
      <c r="G3592" s="2" t="s">
        <v>15456</v>
      </c>
      <c r="H3592" s="2" t="s">
        <v>15444</v>
      </c>
    </row>
    <row r="3593">
      <c r="A3593" s="2">
        <v>3591.0</v>
      </c>
      <c r="B3593" s="5" t="s">
        <v>12883</v>
      </c>
      <c r="C3593" s="2" t="s">
        <v>12884</v>
      </c>
      <c r="D3593" s="5" t="s">
        <v>12883</v>
      </c>
      <c r="E3593" s="2" t="s">
        <v>15441</v>
      </c>
      <c r="F3593" s="2" t="s">
        <v>15446</v>
      </c>
      <c r="G3593" s="2" t="s">
        <v>15456</v>
      </c>
      <c r="H3593" s="2" t="s">
        <v>15444</v>
      </c>
    </row>
    <row r="3594">
      <c r="A3594" s="2">
        <v>3592.0</v>
      </c>
      <c r="B3594" s="5" t="s">
        <v>5303</v>
      </c>
      <c r="C3594" s="2" t="s">
        <v>5304</v>
      </c>
      <c r="D3594" s="5" t="s">
        <v>5303</v>
      </c>
      <c r="E3594" s="2" t="s">
        <v>15445</v>
      </c>
      <c r="F3594" s="2" t="s">
        <v>15442</v>
      </c>
      <c r="G3594" s="2" t="s">
        <v>15443</v>
      </c>
      <c r="H3594" s="2" t="s">
        <v>15444</v>
      </c>
    </row>
    <row r="3595">
      <c r="A3595" s="2">
        <v>3593.0</v>
      </c>
      <c r="B3595" s="5" t="s">
        <v>5306</v>
      </c>
      <c r="C3595" s="2" t="s">
        <v>5307</v>
      </c>
      <c r="D3595" s="5" t="s">
        <v>5306</v>
      </c>
      <c r="E3595" s="2" t="s">
        <v>15445</v>
      </c>
      <c r="F3595" s="2" t="s">
        <v>15442</v>
      </c>
      <c r="G3595" s="2" t="s">
        <v>15456</v>
      </c>
      <c r="H3595" s="2" t="s">
        <v>15444</v>
      </c>
    </row>
    <row r="3596">
      <c r="A3596" s="2">
        <v>3594.0</v>
      </c>
      <c r="B3596" s="5" t="s">
        <v>5309</v>
      </c>
      <c r="C3596" s="2" t="s">
        <v>5310</v>
      </c>
      <c r="D3596" s="5" t="s">
        <v>5309</v>
      </c>
      <c r="E3596" s="2" t="s">
        <v>15445</v>
      </c>
      <c r="F3596" s="2" t="s">
        <v>15442</v>
      </c>
      <c r="G3596" s="2" t="s">
        <v>15443</v>
      </c>
      <c r="H3596" s="2" t="s">
        <v>15444</v>
      </c>
    </row>
    <row r="3597">
      <c r="A3597" s="2">
        <v>3595.0</v>
      </c>
      <c r="B3597" s="5" t="s">
        <v>12885</v>
      </c>
      <c r="C3597" s="2" t="s">
        <v>12886</v>
      </c>
      <c r="D3597" s="5" t="s">
        <v>12885</v>
      </c>
      <c r="E3597" s="2" t="s">
        <v>15441</v>
      </c>
      <c r="F3597" s="2" t="s">
        <v>15442</v>
      </c>
      <c r="G3597" s="2" t="s">
        <v>15443</v>
      </c>
      <c r="H3597" s="2" t="s">
        <v>15444</v>
      </c>
    </row>
    <row r="3598">
      <c r="A3598" s="2">
        <v>3596.0</v>
      </c>
      <c r="B3598" s="5" t="s">
        <v>5312</v>
      </c>
      <c r="C3598" s="2" t="s">
        <v>5313</v>
      </c>
      <c r="D3598" s="5" t="s">
        <v>5312</v>
      </c>
      <c r="E3598" s="2" t="s">
        <v>15445</v>
      </c>
      <c r="F3598" s="2" t="s">
        <v>15442</v>
      </c>
      <c r="G3598" s="2" t="s">
        <v>15443</v>
      </c>
      <c r="H3598" s="2" t="s">
        <v>15444</v>
      </c>
    </row>
    <row r="3599">
      <c r="A3599" s="2">
        <v>3597.0</v>
      </c>
      <c r="B3599" s="5" t="s">
        <v>12887</v>
      </c>
      <c r="C3599" s="2" t="s">
        <v>12888</v>
      </c>
      <c r="D3599" s="5" t="s">
        <v>12887</v>
      </c>
      <c r="E3599" s="2" t="s">
        <v>15441</v>
      </c>
      <c r="F3599" s="2" t="s">
        <v>15442</v>
      </c>
      <c r="G3599" s="2" t="s">
        <v>15443</v>
      </c>
      <c r="H3599" s="2" t="s">
        <v>15444</v>
      </c>
    </row>
    <row r="3600">
      <c r="A3600" s="2">
        <v>3598.0</v>
      </c>
      <c r="B3600" s="5" t="s">
        <v>5315</v>
      </c>
      <c r="C3600" s="2" t="s">
        <v>5316</v>
      </c>
      <c r="D3600" s="5" t="s">
        <v>5315</v>
      </c>
      <c r="E3600" s="2" t="s">
        <v>15445</v>
      </c>
      <c r="F3600" s="2" t="s">
        <v>15442</v>
      </c>
      <c r="G3600" s="2" t="s">
        <v>15443</v>
      </c>
      <c r="H3600" s="2" t="s">
        <v>15444</v>
      </c>
    </row>
    <row r="3601">
      <c r="A3601" s="2">
        <v>3599.0</v>
      </c>
      <c r="B3601" s="5" t="s">
        <v>5318</v>
      </c>
      <c r="C3601" s="2" t="s">
        <v>5319</v>
      </c>
      <c r="D3601" s="5" t="s">
        <v>5318</v>
      </c>
      <c r="E3601" s="2" t="s">
        <v>15445</v>
      </c>
      <c r="F3601" s="2" t="s">
        <v>15442</v>
      </c>
      <c r="G3601" s="2" t="s">
        <v>15443</v>
      </c>
      <c r="H3601" s="2" t="s">
        <v>15444</v>
      </c>
    </row>
    <row r="3602">
      <c r="A3602" s="2">
        <v>3600.0</v>
      </c>
      <c r="B3602" s="5" t="s">
        <v>12889</v>
      </c>
      <c r="C3602" s="2" t="s">
        <v>12890</v>
      </c>
      <c r="D3602" s="5" t="s">
        <v>12889</v>
      </c>
      <c r="E3602" s="2" t="s">
        <v>15441</v>
      </c>
      <c r="F3602" s="2" t="s">
        <v>15446</v>
      </c>
      <c r="G3602" s="2" t="s">
        <v>15443</v>
      </c>
      <c r="H3602" s="2" t="s">
        <v>15444</v>
      </c>
    </row>
    <row r="3603">
      <c r="A3603" s="2">
        <v>3601.0</v>
      </c>
      <c r="B3603" s="5" t="s">
        <v>12891</v>
      </c>
      <c r="C3603" s="2" t="s">
        <v>12892</v>
      </c>
      <c r="D3603" s="5" t="s">
        <v>12891</v>
      </c>
      <c r="E3603" s="2" t="s">
        <v>15441</v>
      </c>
      <c r="F3603" s="2" t="s">
        <v>15446</v>
      </c>
      <c r="G3603" s="2" t="s">
        <v>15443</v>
      </c>
      <c r="H3603" s="2" t="s">
        <v>15444</v>
      </c>
    </row>
    <row r="3604">
      <c r="A3604" s="2">
        <v>3602.0</v>
      </c>
      <c r="B3604" s="5" t="s">
        <v>5321</v>
      </c>
      <c r="C3604" s="2" t="s">
        <v>5322</v>
      </c>
      <c r="D3604" s="5" t="s">
        <v>5321</v>
      </c>
      <c r="E3604" s="2" t="s">
        <v>15445</v>
      </c>
      <c r="F3604" s="2" t="s">
        <v>15442</v>
      </c>
      <c r="G3604" s="2" t="s">
        <v>15443</v>
      </c>
      <c r="H3604" s="2" t="s">
        <v>15444</v>
      </c>
    </row>
    <row r="3605">
      <c r="A3605" s="2">
        <v>3603.0</v>
      </c>
      <c r="B3605" s="5" t="s">
        <v>5324</v>
      </c>
      <c r="C3605" s="2" t="s">
        <v>5325</v>
      </c>
      <c r="D3605" s="5" t="s">
        <v>5324</v>
      </c>
      <c r="E3605" s="2" t="s">
        <v>15445</v>
      </c>
      <c r="F3605" s="2" t="s">
        <v>15446</v>
      </c>
      <c r="G3605" s="2" t="s">
        <v>15443</v>
      </c>
      <c r="H3605" s="2" t="s">
        <v>15444</v>
      </c>
    </row>
    <row r="3606">
      <c r="A3606" s="2">
        <v>3604.0</v>
      </c>
      <c r="B3606" s="5" t="s">
        <v>5327</v>
      </c>
      <c r="C3606" s="2" t="s">
        <v>5328</v>
      </c>
      <c r="D3606" s="5" t="s">
        <v>5327</v>
      </c>
      <c r="E3606" s="2" t="s">
        <v>15445</v>
      </c>
      <c r="F3606" s="2" t="s">
        <v>15442</v>
      </c>
      <c r="G3606" s="2" t="s">
        <v>15443</v>
      </c>
      <c r="H3606" s="2" t="s">
        <v>15444</v>
      </c>
    </row>
    <row r="3607">
      <c r="A3607" s="2">
        <v>3605.0</v>
      </c>
      <c r="B3607" s="5" t="s">
        <v>12893</v>
      </c>
      <c r="C3607" s="2" t="s">
        <v>12894</v>
      </c>
      <c r="D3607" s="5" t="s">
        <v>12893</v>
      </c>
      <c r="E3607" s="2" t="s">
        <v>15441</v>
      </c>
      <c r="F3607" s="2" t="s">
        <v>15446</v>
      </c>
      <c r="G3607" s="2" t="s">
        <v>15443</v>
      </c>
      <c r="H3607" s="2" t="s">
        <v>15444</v>
      </c>
    </row>
    <row r="3608">
      <c r="A3608" s="2">
        <v>3606.0</v>
      </c>
      <c r="B3608" s="5" t="s">
        <v>5330</v>
      </c>
      <c r="C3608" s="2" t="s">
        <v>5331</v>
      </c>
      <c r="D3608" s="5" t="s">
        <v>5330</v>
      </c>
      <c r="E3608" s="2" t="s">
        <v>15445</v>
      </c>
      <c r="F3608" s="2" t="s">
        <v>15446</v>
      </c>
      <c r="G3608" s="2" t="s">
        <v>15456</v>
      </c>
      <c r="H3608" s="2" t="s">
        <v>15444</v>
      </c>
    </row>
    <row r="3609">
      <c r="A3609" s="2">
        <v>3607.0</v>
      </c>
      <c r="B3609" s="5" t="s">
        <v>5333</v>
      </c>
      <c r="C3609" s="2" t="s">
        <v>5334</v>
      </c>
      <c r="D3609" s="5" t="s">
        <v>5333</v>
      </c>
      <c r="E3609" s="2" t="s">
        <v>15445</v>
      </c>
      <c r="F3609" s="2" t="s">
        <v>15442</v>
      </c>
      <c r="G3609" s="2" t="s">
        <v>15443</v>
      </c>
      <c r="H3609" s="2" t="s">
        <v>15444</v>
      </c>
    </row>
    <row r="3610">
      <c r="A3610" s="2">
        <v>3608.0</v>
      </c>
      <c r="B3610" s="5" t="s">
        <v>12895</v>
      </c>
      <c r="C3610" s="2" t="s">
        <v>12896</v>
      </c>
      <c r="D3610" s="5" t="s">
        <v>12895</v>
      </c>
      <c r="E3610" s="2" t="s">
        <v>15441</v>
      </c>
      <c r="F3610" s="2" t="s">
        <v>15446</v>
      </c>
      <c r="G3610" s="2" t="s">
        <v>15443</v>
      </c>
      <c r="H3610" s="2" t="s">
        <v>15444</v>
      </c>
    </row>
    <row r="3611">
      <c r="A3611" s="2">
        <v>3609.0</v>
      </c>
      <c r="B3611" s="5" t="s">
        <v>12897</v>
      </c>
      <c r="C3611" s="2" t="s">
        <v>12898</v>
      </c>
      <c r="D3611" s="5" t="s">
        <v>12897</v>
      </c>
      <c r="E3611" s="2" t="s">
        <v>15441</v>
      </c>
      <c r="F3611" s="2" t="s">
        <v>15446</v>
      </c>
      <c r="G3611" s="2" t="s">
        <v>15456</v>
      </c>
      <c r="H3611" s="2" t="s">
        <v>15444</v>
      </c>
    </row>
    <row r="3612">
      <c r="A3612" s="2">
        <v>3610.0</v>
      </c>
      <c r="B3612" s="5" t="s">
        <v>5336</v>
      </c>
      <c r="C3612" s="2" t="s">
        <v>5337</v>
      </c>
      <c r="D3612" s="5" t="s">
        <v>5336</v>
      </c>
      <c r="E3612" s="2" t="s">
        <v>15445</v>
      </c>
      <c r="F3612" s="2" t="s">
        <v>15442</v>
      </c>
      <c r="G3612" s="2" t="s">
        <v>15456</v>
      </c>
      <c r="H3612" s="2" t="s">
        <v>15444</v>
      </c>
    </row>
    <row r="3613">
      <c r="A3613" s="2">
        <v>3611.0</v>
      </c>
      <c r="B3613" s="5" t="s">
        <v>5339</v>
      </c>
      <c r="C3613" s="2" t="s">
        <v>5340</v>
      </c>
      <c r="D3613" s="5" t="s">
        <v>5339</v>
      </c>
      <c r="E3613" s="2" t="s">
        <v>15445</v>
      </c>
      <c r="F3613" s="2" t="s">
        <v>15442</v>
      </c>
      <c r="G3613" s="2" t="s">
        <v>15443</v>
      </c>
      <c r="H3613" s="2" t="s">
        <v>15444</v>
      </c>
    </row>
    <row r="3614">
      <c r="A3614" s="2">
        <v>3612.0</v>
      </c>
      <c r="B3614" s="5" t="s">
        <v>12899</v>
      </c>
      <c r="C3614" s="2" t="s">
        <v>12900</v>
      </c>
      <c r="D3614" s="5" t="s">
        <v>12899</v>
      </c>
      <c r="E3614" s="2" t="s">
        <v>15441</v>
      </c>
      <c r="F3614" s="2" t="s">
        <v>15446</v>
      </c>
      <c r="G3614" s="2" t="s">
        <v>15443</v>
      </c>
      <c r="H3614" s="2" t="s">
        <v>15444</v>
      </c>
    </row>
    <row r="3615">
      <c r="A3615" s="2">
        <v>3613.0</v>
      </c>
      <c r="B3615" s="5" t="s">
        <v>5342</v>
      </c>
      <c r="C3615" s="2" t="s">
        <v>5343</v>
      </c>
      <c r="D3615" s="5" t="s">
        <v>5342</v>
      </c>
      <c r="E3615" s="2" t="s">
        <v>15445</v>
      </c>
      <c r="F3615" s="2" t="s">
        <v>15446</v>
      </c>
      <c r="G3615" s="2" t="s">
        <v>15443</v>
      </c>
      <c r="H3615" s="2" t="s">
        <v>15444</v>
      </c>
    </row>
    <row r="3616">
      <c r="A3616" s="2">
        <v>3614.0</v>
      </c>
      <c r="B3616" s="5" t="s">
        <v>12901</v>
      </c>
      <c r="C3616" s="2" t="s">
        <v>12902</v>
      </c>
      <c r="D3616" s="5" t="s">
        <v>12901</v>
      </c>
      <c r="E3616" s="2" t="s">
        <v>15441</v>
      </c>
      <c r="F3616" s="2" t="s">
        <v>15446</v>
      </c>
      <c r="G3616" s="2" t="s">
        <v>15456</v>
      </c>
      <c r="H3616" s="2" t="s">
        <v>15444</v>
      </c>
    </row>
    <row r="3617">
      <c r="A3617" s="2">
        <v>3615.0</v>
      </c>
      <c r="B3617" s="5" t="s">
        <v>12903</v>
      </c>
      <c r="C3617" s="2" t="s">
        <v>12904</v>
      </c>
      <c r="D3617" s="5" t="s">
        <v>12903</v>
      </c>
      <c r="E3617" s="2" t="s">
        <v>15441</v>
      </c>
      <c r="F3617" s="2" t="s">
        <v>15442</v>
      </c>
      <c r="G3617" s="2" t="s">
        <v>15443</v>
      </c>
      <c r="H3617" s="2" t="s">
        <v>15457</v>
      </c>
    </row>
    <row r="3618">
      <c r="A3618" s="2">
        <v>3616.0</v>
      </c>
      <c r="B3618" s="5" t="s">
        <v>12905</v>
      </c>
      <c r="C3618" s="2" t="s">
        <v>12906</v>
      </c>
      <c r="D3618" s="5" t="s">
        <v>12905</v>
      </c>
      <c r="E3618" s="2" t="s">
        <v>15441</v>
      </c>
      <c r="F3618" s="2" t="s">
        <v>15442</v>
      </c>
      <c r="G3618" s="2" t="s">
        <v>15443</v>
      </c>
      <c r="H3618" s="2" t="s">
        <v>15444</v>
      </c>
    </row>
    <row r="3619">
      <c r="A3619" s="2">
        <v>3617.0</v>
      </c>
      <c r="B3619" s="5" t="s">
        <v>5345</v>
      </c>
      <c r="C3619" s="2" t="s">
        <v>5346</v>
      </c>
      <c r="D3619" s="5" t="s">
        <v>5345</v>
      </c>
      <c r="E3619" s="2" t="s">
        <v>15445</v>
      </c>
      <c r="F3619" s="2" t="s">
        <v>15442</v>
      </c>
      <c r="G3619" s="2" t="s">
        <v>15443</v>
      </c>
      <c r="H3619" s="2" t="s">
        <v>15444</v>
      </c>
    </row>
    <row r="3620">
      <c r="A3620" s="2">
        <v>3618.0</v>
      </c>
      <c r="B3620" s="5" t="s">
        <v>12907</v>
      </c>
      <c r="C3620" s="2" t="s">
        <v>12908</v>
      </c>
      <c r="D3620" s="5" t="s">
        <v>12907</v>
      </c>
      <c r="E3620" s="2" t="s">
        <v>15441</v>
      </c>
      <c r="F3620" s="2" t="s">
        <v>15442</v>
      </c>
      <c r="G3620" s="2" t="s">
        <v>15456</v>
      </c>
      <c r="H3620" s="2" t="s">
        <v>15444</v>
      </c>
    </row>
    <row r="3621">
      <c r="A3621" s="2">
        <v>3619.0</v>
      </c>
      <c r="B3621" s="5" t="s">
        <v>5348</v>
      </c>
      <c r="C3621" s="2" t="s">
        <v>5349</v>
      </c>
      <c r="D3621" s="5" t="s">
        <v>5348</v>
      </c>
      <c r="E3621" s="2" t="s">
        <v>15445</v>
      </c>
      <c r="F3621" s="2" t="s">
        <v>15446</v>
      </c>
      <c r="G3621" s="2" t="s">
        <v>15456</v>
      </c>
      <c r="H3621" s="2" t="s">
        <v>15457</v>
      </c>
    </row>
    <row r="3622">
      <c r="A3622" s="2">
        <v>3620.0</v>
      </c>
      <c r="B3622" s="5" t="s">
        <v>5351</v>
      </c>
      <c r="C3622" s="2" t="s">
        <v>5352</v>
      </c>
      <c r="D3622" s="5" t="s">
        <v>5351</v>
      </c>
      <c r="E3622" s="2" t="s">
        <v>15445</v>
      </c>
      <c r="F3622" s="2" t="s">
        <v>15446</v>
      </c>
      <c r="G3622" s="2" t="s">
        <v>15443</v>
      </c>
      <c r="H3622" s="2" t="s">
        <v>15444</v>
      </c>
    </row>
    <row r="3623">
      <c r="A3623" s="2">
        <v>3621.0</v>
      </c>
      <c r="B3623" s="5" t="s">
        <v>5354</v>
      </c>
      <c r="C3623" s="2" t="s">
        <v>5355</v>
      </c>
      <c r="D3623" s="5" t="s">
        <v>5354</v>
      </c>
      <c r="E3623" s="2" t="s">
        <v>15445</v>
      </c>
      <c r="F3623" s="2" t="s">
        <v>15446</v>
      </c>
      <c r="G3623" s="2" t="s">
        <v>15443</v>
      </c>
      <c r="H3623" s="2" t="s">
        <v>15444</v>
      </c>
    </row>
    <row r="3624">
      <c r="A3624" s="2">
        <v>3622.0</v>
      </c>
      <c r="B3624" s="5" t="s">
        <v>12909</v>
      </c>
      <c r="C3624" s="2" t="s">
        <v>12910</v>
      </c>
      <c r="D3624" s="5" t="s">
        <v>12909</v>
      </c>
      <c r="E3624" s="2" t="s">
        <v>15441</v>
      </c>
      <c r="F3624" s="2" t="s">
        <v>15442</v>
      </c>
      <c r="G3624" s="2" t="s">
        <v>15456</v>
      </c>
      <c r="H3624" s="2" t="s">
        <v>15444</v>
      </c>
    </row>
    <row r="3625">
      <c r="A3625" s="2">
        <v>3623.0</v>
      </c>
      <c r="B3625" s="5" t="s">
        <v>5357</v>
      </c>
      <c r="C3625" s="2" t="s">
        <v>5358</v>
      </c>
      <c r="D3625" s="5" t="s">
        <v>5357</v>
      </c>
      <c r="E3625" s="2" t="s">
        <v>15445</v>
      </c>
      <c r="F3625" s="2" t="s">
        <v>15446</v>
      </c>
      <c r="G3625" s="2" t="s">
        <v>15443</v>
      </c>
      <c r="H3625" s="2" t="s">
        <v>15444</v>
      </c>
    </row>
    <row r="3626">
      <c r="A3626" s="2">
        <v>3624.0</v>
      </c>
      <c r="B3626" s="5" t="s">
        <v>5360</v>
      </c>
      <c r="C3626" s="2" t="s">
        <v>5361</v>
      </c>
      <c r="D3626" s="5" t="s">
        <v>5360</v>
      </c>
      <c r="E3626" s="2" t="s">
        <v>15445</v>
      </c>
      <c r="F3626" s="2" t="s">
        <v>15446</v>
      </c>
      <c r="G3626" s="2" t="s">
        <v>15443</v>
      </c>
      <c r="H3626" s="2" t="s">
        <v>15457</v>
      </c>
    </row>
    <row r="3627">
      <c r="A3627" s="2">
        <v>3625.0</v>
      </c>
      <c r="B3627" s="5" t="s">
        <v>15543</v>
      </c>
      <c r="C3627" s="2" t="s">
        <v>15544</v>
      </c>
      <c r="D3627" s="5" t="s">
        <v>15543</v>
      </c>
      <c r="E3627" s="2" t="s">
        <v>15445</v>
      </c>
      <c r="F3627" s="2" t="s">
        <v>15446</v>
      </c>
      <c r="G3627" s="2" t="s">
        <v>15456</v>
      </c>
      <c r="H3627" s="2" t="s">
        <v>15457</v>
      </c>
    </row>
    <row r="3628">
      <c r="A3628" s="2">
        <v>3626.0</v>
      </c>
      <c r="B3628" s="5" t="s">
        <v>5363</v>
      </c>
      <c r="C3628" s="2" t="s">
        <v>5364</v>
      </c>
      <c r="D3628" s="5" t="s">
        <v>5363</v>
      </c>
      <c r="E3628" s="2" t="s">
        <v>15445</v>
      </c>
      <c r="F3628" s="2" t="s">
        <v>15442</v>
      </c>
      <c r="G3628" s="2" t="s">
        <v>15456</v>
      </c>
      <c r="H3628" s="2" t="s">
        <v>15455</v>
      </c>
    </row>
    <row r="3629">
      <c r="A3629" s="2">
        <v>3627.0</v>
      </c>
      <c r="B3629" s="5" t="s">
        <v>12911</v>
      </c>
      <c r="C3629" s="2" t="s">
        <v>10030</v>
      </c>
      <c r="D3629" s="5" t="s">
        <v>12911</v>
      </c>
      <c r="E3629" s="2" t="s">
        <v>15441</v>
      </c>
      <c r="F3629" s="2" t="s">
        <v>15442</v>
      </c>
      <c r="G3629" s="2" t="s">
        <v>15443</v>
      </c>
      <c r="H3629" s="2" t="s">
        <v>15455</v>
      </c>
    </row>
    <row r="3630">
      <c r="A3630" s="2">
        <v>3628.0</v>
      </c>
      <c r="B3630" s="5" t="s">
        <v>5366</v>
      </c>
      <c r="C3630" s="2" t="s">
        <v>5367</v>
      </c>
      <c r="D3630" s="5" t="s">
        <v>5366</v>
      </c>
      <c r="E3630" s="2" t="s">
        <v>15445</v>
      </c>
      <c r="F3630" s="2" t="s">
        <v>15446</v>
      </c>
      <c r="G3630" s="2" t="s">
        <v>15456</v>
      </c>
      <c r="H3630" s="2" t="s">
        <v>15444</v>
      </c>
    </row>
    <row r="3631">
      <c r="A3631" s="2">
        <v>3629.0</v>
      </c>
      <c r="B3631" s="5" t="s">
        <v>5369</v>
      </c>
      <c r="C3631" s="2" t="s">
        <v>5370</v>
      </c>
      <c r="D3631" s="5" t="s">
        <v>5369</v>
      </c>
      <c r="E3631" s="2" t="s">
        <v>15445</v>
      </c>
      <c r="F3631" s="2" t="s">
        <v>15442</v>
      </c>
      <c r="G3631" s="2" t="s">
        <v>15443</v>
      </c>
      <c r="H3631" s="2" t="s">
        <v>15444</v>
      </c>
    </row>
    <row r="3632">
      <c r="A3632" s="2">
        <v>3630.0</v>
      </c>
      <c r="B3632" s="5" t="s">
        <v>5372</v>
      </c>
      <c r="C3632" s="2" t="s">
        <v>5373</v>
      </c>
      <c r="D3632" s="5" t="s">
        <v>5372</v>
      </c>
      <c r="E3632" s="2" t="s">
        <v>15445</v>
      </c>
      <c r="F3632" s="2" t="s">
        <v>15442</v>
      </c>
      <c r="G3632" s="2" t="s">
        <v>15456</v>
      </c>
      <c r="H3632" s="2" t="s">
        <v>15444</v>
      </c>
    </row>
    <row r="3633">
      <c r="A3633" s="2">
        <v>3631.0</v>
      </c>
      <c r="B3633" s="5" t="s">
        <v>12912</v>
      </c>
      <c r="C3633" s="2" t="s">
        <v>12913</v>
      </c>
      <c r="D3633" s="5" t="s">
        <v>12912</v>
      </c>
      <c r="E3633" s="2" t="s">
        <v>15441</v>
      </c>
      <c r="F3633" s="2" t="s">
        <v>15442</v>
      </c>
      <c r="G3633" s="2" t="s">
        <v>15443</v>
      </c>
      <c r="H3633" s="2" t="s">
        <v>15444</v>
      </c>
    </row>
    <row r="3634">
      <c r="A3634" s="2">
        <v>3632.0</v>
      </c>
      <c r="B3634" s="5" t="s">
        <v>5375</v>
      </c>
      <c r="C3634" s="2" t="s">
        <v>5376</v>
      </c>
      <c r="D3634" s="5" t="s">
        <v>5375</v>
      </c>
      <c r="E3634" s="2" t="s">
        <v>15445</v>
      </c>
      <c r="F3634" s="2" t="s">
        <v>15446</v>
      </c>
      <c r="G3634" s="2" t="s">
        <v>15456</v>
      </c>
      <c r="H3634" s="2" t="s">
        <v>15444</v>
      </c>
    </row>
    <row r="3635">
      <c r="A3635" s="2">
        <v>3633.0</v>
      </c>
      <c r="B3635" s="5" t="s">
        <v>12914</v>
      </c>
      <c r="C3635" s="2" t="s">
        <v>12915</v>
      </c>
      <c r="D3635" s="5" t="s">
        <v>12914</v>
      </c>
      <c r="E3635" s="2" t="s">
        <v>15441</v>
      </c>
      <c r="F3635" s="2" t="s">
        <v>15442</v>
      </c>
      <c r="G3635" s="2" t="s">
        <v>15443</v>
      </c>
      <c r="H3635" s="2" t="s">
        <v>15444</v>
      </c>
    </row>
    <row r="3636">
      <c r="A3636" s="2">
        <v>3634.0</v>
      </c>
      <c r="B3636" s="5" t="s">
        <v>5378</v>
      </c>
      <c r="C3636" s="2" t="s">
        <v>5379</v>
      </c>
      <c r="D3636" s="5" t="s">
        <v>5378</v>
      </c>
      <c r="E3636" s="2" t="s">
        <v>15445</v>
      </c>
      <c r="F3636" s="2" t="s">
        <v>15446</v>
      </c>
      <c r="G3636" s="2" t="s">
        <v>15456</v>
      </c>
      <c r="H3636" s="2" t="s">
        <v>15455</v>
      </c>
    </row>
    <row r="3637">
      <c r="A3637" s="2">
        <v>3635.0</v>
      </c>
      <c r="B3637" s="5" t="s">
        <v>5381</v>
      </c>
      <c r="C3637" s="2" t="s">
        <v>5382</v>
      </c>
      <c r="D3637" s="5" t="s">
        <v>5381</v>
      </c>
      <c r="E3637" s="2" t="s">
        <v>15445</v>
      </c>
      <c r="F3637" s="2" t="s">
        <v>15446</v>
      </c>
      <c r="G3637" s="2" t="s">
        <v>15443</v>
      </c>
      <c r="H3637" s="2" t="s">
        <v>15444</v>
      </c>
    </row>
    <row r="3638">
      <c r="A3638" s="2">
        <v>3636.0</v>
      </c>
      <c r="B3638" s="5" t="s">
        <v>12916</v>
      </c>
      <c r="C3638" s="2" t="s">
        <v>12917</v>
      </c>
      <c r="D3638" s="5" t="s">
        <v>12916</v>
      </c>
      <c r="E3638" s="2" t="s">
        <v>15441</v>
      </c>
      <c r="F3638" s="2" t="s">
        <v>15442</v>
      </c>
      <c r="G3638" s="2" t="s">
        <v>15443</v>
      </c>
      <c r="H3638" s="2" t="s">
        <v>15444</v>
      </c>
    </row>
    <row r="3639">
      <c r="A3639" s="2">
        <v>3637.0</v>
      </c>
      <c r="B3639" s="5" t="s">
        <v>12918</v>
      </c>
      <c r="C3639" s="2" t="s">
        <v>12919</v>
      </c>
      <c r="D3639" s="5" t="s">
        <v>12918</v>
      </c>
      <c r="E3639" s="2" t="s">
        <v>15441</v>
      </c>
      <c r="F3639" s="2" t="s">
        <v>15442</v>
      </c>
      <c r="G3639" s="2" t="s">
        <v>15443</v>
      </c>
      <c r="H3639" s="2" t="s">
        <v>15444</v>
      </c>
    </row>
    <row r="3640">
      <c r="A3640" s="2">
        <v>3638.0</v>
      </c>
      <c r="B3640" s="5" t="s">
        <v>12920</v>
      </c>
      <c r="C3640" s="2" t="s">
        <v>12921</v>
      </c>
      <c r="D3640" s="5" t="s">
        <v>12920</v>
      </c>
      <c r="E3640" s="2" t="s">
        <v>15441</v>
      </c>
      <c r="F3640" s="2" t="s">
        <v>15446</v>
      </c>
      <c r="G3640" s="2" t="s">
        <v>15456</v>
      </c>
      <c r="H3640" s="2" t="s">
        <v>15444</v>
      </c>
    </row>
    <row r="3641">
      <c r="A3641" s="2">
        <v>3639.0</v>
      </c>
      <c r="B3641" s="5" t="s">
        <v>12922</v>
      </c>
      <c r="C3641" s="2" t="s">
        <v>12923</v>
      </c>
      <c r="D3641" s="5" t="s">
        <v>12922</v>
      </c>
      <c r="E3641" s="2" t="s">
        <v>15441</v>
      </c>
      <c r="F3641" s="2" t="s">
        <v>15446</v>
      </c>
      <c r="G3641" s="2" t="s">
        <v>15443</v>
      </c>
      <c r="H3641" s="2" t="s">
        <v>15444</v>
      </c>
    </row>
    <row r="3642">
      <c r="A3642" s="2">
        <v>3640.0</v>
      </c>
      <c r="B3642" s="5" t="s">
        <v>5384</v>
      </c>
      <c r="C3642" s="2" t="s">
        <v>5385</v>
      </c>
      <c r="D3642" s="5" t="s">
        <v>5384</v>
      </c>
      <c r="E3642" s="2" t="s">
        <v>15445</v>
      </c>
      <c r="F3642" s="2" t="s">
        <v>15446</v>
      </c>
      <c r="G3642" s="2" t="s">
        <v>15443</v>
      </c>
      <c r="H3642" s="2" t="s">
        <v>15444</v>
      </c>
    </row>
    <row r="3643">
      <c r="A3643" s="2">
        <v>3641.0</v>
      </c>
      <c r="B3643" s="5" t="s">
        <v>12924</v>
      </c>
      <c r="C3643" s="2" t="s">
        <v>12925</v>
      </c>
      <c r="D3643" s="5" t="s">
        <v>12924</v>
      </c>
      <c r="E3643" s="2" t="s">
        <v>15441</v>
      </c>
      <c r="F3643" s="2" t="s">
        <v>15442</v>
      </c>
      <c r="G3643" s="2" t="s">
        <v>15456</v>
      </c>
      <c r="H3643" s="2" t="s">
        <v>15444</v>
      </c>
    </row>
    <row r="3644">
      <c r="A3644" s="2">
        <v>3642.0</v>
      </c>
      <c r="B3644" s="5" t="s">
        <v>15545</v>
      </c>
      <c r="C3644" s="2" t="s">
        <v>15546</v>
      </c>
      <c r="D3644" s="5" t="s">
        <v>15545</v>
      </c>
      <c r="E3644" s="2" t="s">
        <v>15445</v>
      </c>
      <c r="F3644" s="2" t="s">
        <v>15442</v>
      </c>
      <c r="G3644" s="2" t="s">
        <v>15443</v>
      </c>
      <c r="H3644" s="2" t="s">
        <v>15457</v>
      </c>
    </row>
    <row r="3645">
      <c r="A3645" s="2">
        <v>3643.0</v>
      </c>
      <c r="B3645" s="5" t="s">
        <v>5387</v>
      </c>
      <c r="C3645" s="2" t="s">
        <v>5388</v>
      </c>
      <c r="D3645" s="5" t="s">
        <v>5387</v>
      </c>
      <c r="E3645" s="2" t="s">
        <v>15445</v>
      </c>
      <c r="F3645" s="2" t="s">
        <v>15446</v>
      </c>
      <c r="G3645" s="2" t="s">
        <v>15456</v>
      </c>
      <c r="H3645" s="2" t="s">
        <v>15444</v>
      </c>
    </row>
    <row r="3646">
      <c r="A3646" s="2">
        <v>3644.0</v>
      </c>
      <c r="B3646" s="5" t="s">
        <v>15547</v>
      </c>
      <c r="C3646" s="2" t="s">
        <v>15548</v>
      </c>
      <c r="D3646" s="5" t="s">
        <v>15547</v>
      </c>
      <c r="E3646" s="2" t="s">
        <v>15445</v>
      </c>
      <c r="F3646" s="2" t="s">
        <v>15446</v>
      </c>
      <c r="G3646" s="2" t="s">
        <v>15443</v>
      </c>
      <c r="H3646" s="2" t="s">
        <v>15455</v>
      </c>
    </row>
    <row r="3647">
      <c r="A3647" s="2">
        <v>3645.0</v>
      </c>
      <c r="B3647" s="5" t="s">
        <v>5390</v>
      </c>
      <c r="C3647" s="2" t="s">
        <v>5391</v>
      </c>
      <c r="D3647" s="5" t="s">
        <v>5390</v>
      </c>
      <c r="E3647" s="2" t="s">
        <v>15445</v>
      </c>
      <c r="F3647" s="2" t="s">
        <v>15442</v>
      </c>
      <c r="G3647" s="2" t="s">
        <v>15443</v>
      </c>
      <c r="H3647" s="2" t="s">
        <v>15444</v>
      </c>
    </row>
    <row r="3648">
      <c r="A3648" s="2">
        <v>3646.0</v>
      </c>
      <c r="B3648" s="5" t="s">
        <v>12926</v>
      </c>
      <c r="C3648" s="2" t="s">
        <v>12927</v>
      </c>
      <c r="D3648" s="5" t="s">
        <v>12926</v>
      </c>
      <c r="E3648" s="2" t="s">
        <v>15441</v>
      </c>
      <c r="F3648" s="2" t="s">
        <v>15442</v>
      </c>
      <c r="G3648" s="2" t="s">
        <v>15443</v>
      </c>
      <c r="H3648" s="2" t="s">
        <v>15444</v>
      </c>
    </row>
    <row r="3649">
      <c r="A3649" s="2">
        <v>3647.0</v>
      </c>
      <c r="B3649" s="5" t="s">
        <v>12928</v>
      </c>
      <c r="C3649" s="2" t="s">
        <v>12929</v>
      </c>
      <c r="D3649" s="5" t="s">
        <v>12928</v>
      </c>
      <c r="E3649" s="2" t="s">
        <v>15441</v>
      </c>
      <c r="F3649" s="2" t="s">
        <v>15442</v>
      </c>
      <c r="G3649" s="2" t="s">
        <v>15443</v>
      </c>
      <c r="H3649" s="2" t="s">
        <v>15444</v>
      </c>
    </row>
    <row r="3650">
      <c r="A3650" s="2">
        <v>3648.0</v>
      </c>
      <c r="B3650" s="5" t="s">
        <v>5393</v>
      </c>
      <c r="C3650" s="2" t="s">
        <v>5394</v>
      </c>
      <c r="D3650" s="5" t="s">
        <v>5393</v>
      </c>
      <c r="E3650" s="2" t="s">
        <v>15445</v>
      </c>
      <c r="F3650" s="2" t="s">
        <v>15446</v>
      </c>
      <c r="G3650" s="2" t="s">
        <v>15443</v>
      </c>
      <c r="H3650" s="2" t="s">
        <v>15444</v>
      </c>
    </row>
    <row r="3651">
      <c r="A3651" s="2">
        <v>3649.0</v>
      </c>
      <c r="B3651" s="5" t="s">
        <v>5396</v>
      </c>
      <c r="C3651" s="2" t="s">
        <v>5397</v>
      </c>
      <c r="D3651" s="5" t="s">
        <v>5396</v>
      </c>
      <c r="E3651" s="2" t="s">
        <v>15445</v>
      </c>
      <c r="F3651" s="2" t="s">
        <v>15446</v>
      </c>
      <c r="G3651" s="2" t="s">
        <v>15456</v>
      </c>
      <c r="H3651" s="2" t="s">
        <v>15444</v>
      </c>
    </row>
    <row r="3652">
      <c r="A3652" s="2">
        <v>3650.0</v>
      </c>
      <c r="B3652" s="5" t="s">
        <v>12930</v>
      </c>
      <c r="C3652" s="2" t="s">
        <v>12931</v>
      </c>
      <c r="D3652" s="5" t="s">
        <v>12930</v>
      </c>
      <c r="E3652" s="2" t="s">
        <v>15441</v>
      </c>
      <c r="F3652" s="2" t="s">
        <v>15446</v>
      </c>
      <c r="G3652" s="2" t="s">
        <v>15456</v>
      </c>
      <c r="H3652" s="2" t="s">
        <v>15444</v>
      </c>
    </row>
    <row r="3653">
      <c r="A3653" s="2">
        <v>3651.0</v>
      </c>
      <c r="B3653" s="5" t="s">
        <v>5399</v>
      </c>
      <c r="C3653" s="2" t="s">
        <v>5400</v>
      </c>
      <c r="D3653" s="5" t="s">
        <v>5399</v>
      </c>
      <c r="E3653" s="2" t="s">
        <v>15445</v>
      </c>
      <c r="F3653" s="2" t="s">
        <v>15442</v>
      </c>
      <c r="G3653" s="2" t="s">
        <v>15456</v>
      </c>
      <c r="H3653" s="2" t="s">
        <v>15444</v>
      </c>
    </row>
    <row r="3654">
      <c r="A3654" s="2">
        <v>3652.0</v>
      </c>
      <c r="B3654" s="5" t="s">
        <v>15549</v>
      </c>
      <c r="D3654" s="5" t="s">
        <v>15549</v>
      </c>
      <c r="E3654" s="2" t="s">
        <v>15441</v>
      </c>
      <c r="F3654" s="2" t="s">
        <v>15446</v>
      </c>
      <c r="G3654" s="2" t="s">
        <v>15456</v>
      </c>
      <c r="H3654" s="2" t="s">
        <v>15457</v>
      </c>
    </row>
    <row r="3655">
      <c r="A3655" s="2">
        <v>3653.0</v>
      </c>
      <c r="B3655" s="5" t="s">
        <v>5402</v>
      </c>
      <c r="C3655" s="2" t="s">
        <v>5403</v>
      </c>
      <c r="D3655" s="5" t="s">
        <v>5402</v>
      </c>
      <c r="E3655" s="2" t="s">
        <v>15445</v>
      </c>
      <c r="F3655" s="2" t="s">
        <v>15446</v>
      </c>
      <c r="G3655" s="2" t="s">
        <v>15456</v>
      </c>
      <c r="H3655" s="2" t="s">
        <v>15444</v>
      </c>
    </row>
    <row r="3656">
      <c r="A3656" s="2">
        <v>3654.0</v>
      </c>
      <c r="B3656" s="5" t="s">
        <v>12932</v>
      </c>
      <c r="C3656" s="2" t="s">
        <v>12933</v>
      </c>
      <c r="D3656" s="5" t="s">
        <v>12932</v>
      </c>
      <c r="E3656" s="2" t="s">
        <v>15441</v>
      </c>
      <c r="F3656" s="2" t="s">
        <v>15446</v>
      </c>
      <c r="G3656" s="2" t="s">
        <v>15456</v>
      </c>
      <c r="H3656" s="2" t="s">
        <v>15444</v>
      </c>
    </row>
    <row r="3657">
      <c r="A3657" s="2">
        <v>3655.0</v>
      </c>
      <c r="B3657" s="5" t="s">
        <v>5405</v>
      </c>
      <c r="C3657" s="2" t="s">
        <v>5406</v>
      </c>
      <c r="D3657" s="5" t="s">
        <v>5405</v>
      </c>
      <c r="E3657" s="2" t="s">
        <v>15445</v>
      </c>
      <c r="F3657" s="2" t="s">
        <v>15446</v>
      </c>
      <c r="G3657" s="2" t="s">
        <v>15443</v>
      </c>
      <c r="H3657" s="2" t="s">
        <v>15444</v>
      </c>
    </row>
    <row r="3658">
      <c r="A3658" s="2">
        <v>3656.0</v>
      </c>
      <c r="B3658" s="5" t="s">
        <v>5408</v>
      </c>
      <c r="C3658" s="2" t="s">
        <v>5409</v>
      </c>
      <c r="D3658" s="5" t="s">
        <v>5408</v>
      </c>
      <c r="E3658" s="2" t="s">
        <v>15445</v>
      </c>
      <c r="F3658" s="2" t="s">
        <v>15442</v>
      </c>
      <c r="G3658" s="2" t="s">
        <v>15456</v>
      </c>
      <c r="H3658" s="2" t="s">
        <v>15444</v>
      </c>
    </row>
    <row r="3659">
      <c r="A3659" s="2">
        <v>3657.0</v>
      </c>
      <c r="B3659" s="5" t="s">
        <v>12934</v>
      </c>
      <c r="C3659" s="2" t="s">
        <v>12935</v>
      </c>
      <c r="D3659" s="5" t="s">
        <v>12934</v>
      </c>
      <c r="E3659" s="2" t="s">
        <v>15441</v>
      </c>
      <c r="F3659" s="2" t="s">
        <v>15446</v>
      </c>
      <c r="G3659" s="2" t="s">
        <v>15443</v>
      </c>
      <c r="H3659" s="2" t="s">
        <v>15444</v>
      </c>
    </row>
    <row r="3660">
      <c r="A3660" s="2">
        <v>3658.0</v>
      </c>
      <c r="B3660" s="5" t="s">
        <v>5411</v>
      </c>
      <c r="C3660" s="2" t="s">
        <v>5412</v>
      </c>
      <c r="D3660" s="5" t="s">
        <v>5411</v>
      </c>
      <c r="E3660" s="2" t="s">
        <v>15445</v>
      </c>
      <c r="F3660" s="2" t="s">
        <v>15442</v>
      </c>
      <c r="G3660" s="2" t="s">
        <v>15443</v>
      </c>
      <c r="H3660" s="2" t="s">
        <v>15444</v>
      </c>
    </row>
    <row r="3661">
      <c r="A3661" s="2">
        <v>3659.0</v>
      </c>
      <c r="B3661" s="5" t="s">
        <v>12936</v>
      </c>
      <c r="C3661" s="2" t="s">
        <v>12937</v>
      </c>
      <c r="D3661" s="5" t="s">
        <v>12936</v>
      </c>
      <c r="E3661" s="2" t="s">
        <v>15441</v>
      </c>
      <c r="F3661" s="2" t="s">
        <v>15442</v>
      </c>
      <c r="G3661" s="2" t="s">
        <v>15443</v>
      </c>
      <c r="H3661" s="2" t="s">
        <v>15444</v>
      </c>
    </row>
    <row r="3662">
      <c r="A3662" s="2">
        <v>3660.0</v>
      </c>
      <c r="B3662" s="5" t="s">
        <v>5414</v>
      </c>
      <c r="C3662" s="2" t="s">
        <v>5415</v>
      </c>
      <c r="D3662" s="5" t="s">
        <v>5414</v>
      </c>
      <c r="E3662" s="2" t="s">
        <v>15445</v>
      </c>
      <c r="F3662" s="2" t="s">
        <v>15442</v>
      </c>
      <c r="G3662" s="2" t="s">
        <v>15443</v>
      </c>
      <c r="H3662" s="2" t="s">
        <v>15457</v>
      </c>
    </row>
    <row r="3663">
      <c r="A3663" s="2">
        <v>3661.0</v>
      </c>
      <c r="B3663" s="5" t="s">
        <v>5417</v>
      </c>
      <c r="C3663" s="2" t="s">
        <v>5418</v>
      </c>
      <c r="D3663" s="5" t="s">
        <v>5417</v>
      </c>
      <c r="E3663" s="2" t="s">
        <v>15445</v>
      </c>
      <c r="F3663" s="2" t="s">
        <v>15442</v>
      </c>
      <c r="G3663" s="2" t="s">
        <v>15443</v>
      </c>
      <c r="H3663" s="2" t="s">
        <v>15444</v>
      </c>
    </row>
    <row r="3664">
      <c r="A3664" s="2">
        <v>3662.0</v>
      </c>
      <c r="B3664" s="5" t="s">
        <v>5420</v>
      </c>
      <c r="C3664" s="2" t="s">
        <v>5421</v>
      </c>
      <c r="D3664" s="5" t="s">
        <v>5420</v>
      </c>
      <c r="E3664" s="2" t="s">
        <v>15445</v>
      </c>
      <c r="F3664" s="2" t="s">
        <v>15442</v>
      </c>
      <c r="G3664" s="2" t="s">
        <v>15443</v>
      </c>
      <c r="H3664" s="2" t="s">
        <v>15444</v>
      </c>
    </row>
    <row r="3665">
      <c r="A3665" s="2">
        <v>3663.0</v>
      </c>
      <c r="B3665" s="5" t="s">
        <v>12938</v>
      </c>
      <c r="C3665" s="2" t="s">
        <v>12939</v>
      </c>
      <c r="D3665" s="5" t="s">
        <v>12938</v>
      </c>
      <c r="E3665" s="2" t="s">
        <v>15441</v>
      </c>
      <c r="F3665" s="2" t="s">
        <v>15442</v>
      </c>
      <c r="G3665" s="2" t="s">
        <v>15443</v>
      </c>
      <c r="H3665" s="2" t="s">
        <v>15444</v>
      </c>
    </row>
    <row r="3666">
      <c r="A3666" s="2">
        <v>3664.0</v>
      </c>
      <c r="B3666" s="5" t="s">
        <v>12940</v>
      </c>
      <c r="C3666" s="2" t="s">
        <v>12941</v>
      </c>
      <c r="D3666" s="5" t="s">
        <v>12940</v>
      </c>
      <c r="E3666" s="2" t="s">
        <v>15441</v>
      </c>
      <c r="F3666" s="2" t="s">
        <v>15446</v>
      </c>
      <c r="G3666" s="2" t="s">
        <v>15456</v>
      </c>
      <c r="H3666" s="2" t="s">
        <v>15444</v>
      </c>
    </row>
    <row r="3667">
      <c r="A3667" s="2">
        <v>3665.0</v>
      </c>
      <c r="B3667" s="5" t="s">
        <v>5423</v>
      </c>
      <c r="C3667" s="2" t="s">
        <v>5424</v>
      </c>
      <c r="D3667" s="5" t="s">
        <v>5423</v>
      </c>
      <c r="E3667" s="2" t="s">
        <v>15445</v>
      </c>
      <c r="F3667" s="2" t="s">
        <v>15442</v>
      </c>
      <c r="G3667" s="2" t="s">
        <v>15443</v>
      </c>
      <c r="H3667" s="2" t="s">
        <v>15444</v>
      </c>
    </row>
    <row r="3668">
      <c r="A3668" s="2">
        <v>3666.0</v>
      </c>
      <c r="B3668" s="5" t="s">
        <v>12942</v>
      </c>
      <c r="C3668" s="2" t="s">
        <v>12943</v>
      </c>
      <c r="D3668" s="5" t="s">
        <v>12942</v>
      </c>
      <c r="E3668" s="2" t="s">
        <v>15441</v>
      </c>
      <c r="F3668" s="2" t="s">
        <v>15442</v>
      </c>
      <c r="G3668" s="2" t="s">
        <v>15443</v>
      </c>
      <c r="H3668" s="2" t="s">
        <v>15444</v>
      </c>
    </row>
    <row r="3669">
      <c r="A3669" s="2">
        <v>3667.0</v>
      </c>
      <c r="B3669" s="5" t="s">
        <v>12944</v>
      </c>
      <c r="C3669" s="2" t="s">
        <v>12945</v>
      </c>
      <c r="D3669" s="5" t="s">
        <v>12944</v>
      </c>
      <c r="E3669" s="2" t="s">
        <v>15441</v>
      </c>
      <c r="F3669" s="2" t="s">
        <v>15446</v>
      </c>
      <c r="G3669" s="2" t="s">
        <v>15443</v>
      </c>
      <c r="H3669" s="2" t="s">
        <v>15444</v>
      </c>
    </row>
    <row r="3670">
      <c r="A3670" s="2">
        <v>3668.0</v>
      </c>
      <c r="B3670" s="5" t="s">
        <v>15550</v>
      </c>
      <c r="D3670" s="5" t="s">
        <v>15550</v>
      </c>
      <c r="E3670" s="2" t="s">
        <v>15445</v>
      </c>
      <c r="F3670" s="2" t="s">
        <v>15446</v>
      </c>
      <c r="G3670" s="2" t="s">
        <v>15456</v>
      </c>
      <c r="H3670" s="2" t="s">
        <v>15461</v>
      </c>
    </row>
    <row r="3671">
      <c r="A3671" s="2">
        <v>3669.0</v>
      </c>
      <c r="B3671" s="5" t="s">
        <v>12946</v>
      </c>
      <c r="C3671" s="2" t="s">
        <v>12947</v>
      </c>
      <c r="D3671" s="5" t="s">
        <v>12946</v>
      </c>
      <c r="E3671" s="2" t="s">
        <v>15441</v>
      </c>
      <c r="F3671" s="2" t="s">
        <v>15446</v>
      </c>
      <c r="G3671" s="2" t="s">
        <v>15456</v>
      </c>
      <c r="H3671" s="2" t="s">
        <v>15457</v>
      </c>
    </row>
    <row r="3672">
      <c r="A3672" s="2">
        <v>3670.0</v>
      </c>
      <c r="B3672" s="5" t="s">
        <v>12948</v>
      </c>
      <c r="C3672" s="2" t="s">
        <v>12949</v>
      </c>
      <c r="D3672" s="5" t="s">
        <v>12948</v>
      </c>
      <c r="E3672" s="2" t="s">
        <v>15441</v>
      </c>
      <c r="F3672" s="2" t="s">
        <v>15442</v>
      </c>
      <c r="G3672" s="2" t="s">
        <v>15443</v>
      </c>
      <c r="H3672" s="2" t="s">
        <v>15444</v>
      </c>
    </row>
    <row r="3673">
      <c r="A3673" s="2">
        <v>3671.0</v>
      </c>
      <c r="B3673" s="5" t="s">
        <v>12950</v>
      </c>
      <c r="C3673" s="2" t="s">
        <v>12951</v>
      </c>
      <c r="D3673" s="5" t="s">
        <v>12950</v>
      </c>
      <c r="E3673" s="2" t="s">
        <v>15441</v>
      </c>
      <c r="F3673" s="2" t="s">
        <v>15446</v>
      </c>
      <c r="G3673" s="2" t="s">
        <v>15456</v>
      </c>
      <c r="H3673" s="2" t="s">
        <v>15457</v>
      </c>
    </row>
    <row r="3674">
      <c r="A3674" s="2">
        <v>3672.0</v>
      </c>
      <c r="B3674" s="5" t="s">
        <v>12952</v>
      </c>
      <c r="C3674" s="2" t="s">
        <v>12953</v>
      </c>
      <c r="D3674" s="5" t="s">
        <v>12952</v>
      </c>
      <c r="E3674" s="2" t="s">
        <v>15441</v>
      </c>
      <c r="F3674" s="2" t="s">
        <v>15446</v>
      </c>
      <c r="G3674" s="2" t="s">
        <v>15456</v>
      </c>
      <c r="H3674" s="2" t="s">
        <v>15444</v>
      </c>
    </row>
    <row r="3675">
      <c r="A3675" s="2">
        <v>3673.0</v>
      </c>
      <c r="B3675" s="5" t="s">
        <v>15551</v>
      </c>
      <c r="C3675" s="2" t="s">
        <v>15552</v>
      </c>
      <c r="D3675" s="5" t="s">
        <v>15551</v>
      </c>
      <c r="E3675" s="2" t="s">
        <v>15441</v>
      </c>
      <c r="F3675" s="2" t="s">
        <v>15446</v>
      </c>
      <c r="G3675" s="2" t="s">
        <v>15456</v>
      </c>
      <c r="H3675" s="2" t="s">
        <v>15457</v>
      </c>
    </row>
    <row r="3676">
      <c r="A3676" s="2">
        <v>3674.0</v>
      </c>
      <c r="B3676" s="5" t="s">
        <v>12954</v>
      </c>
      <c r="C3676" s="2" t="s">
        <v>12955</v>
      </c>
      <c r="D3676" s="5" t="s">
        <v>12954</v>
      </c>
      <c r="E3676" s="2" t="s">
        <v>15441</v>
      </c>
      <c r="F3676" s="2" t="s">
        <v>15446</v>
      </c>
      <c r="G3676" s="2" t="s">
        <v>15456</v>
      </c>
      <c r="H3676" s="2" t="s">
        <v>15455</v>
      </c>
    </row>
    <row r="3677">
      <c r="A3677" s="2">
        <v>3675.0</v>
      </c>
      <c r="B3677" s="5" t="s">
        <v>5426</v>
      </c>
      <c r="C3677" s="2" t="s">
        <v>5427</v>
      </c>
      <c r="D3677" s="5" t="s">
        <v>5426</v>
      </c>
      <c r="E3677" s="2" t="s">
        <v>15445</v>
      </c>
      <c r="F3677" s="2" t="s">
        <v>15446</v>
      </c>
      <c r="G3677" s="2" t="s">
        <v>15456</v>
      </c>
      <c r="H3677" s="2" t="s">
        <v>15444</v>
      </c>
    </row>
    <row r="3678">
      <c r="A3678" s="2">
        <v>3676.0</v>
      </c>
      <c r="B3678" s="5" t="s">
        <v>5429</v>
      </c>
      <c r="C3678" s="2" t="s">
        <v>5430</v>
      </c>
      <c r="D3678" s="5" t="s">
        <v>5429</v>
      </c>
      <c r="E3678" s="2" t="s">
        <v>15445</v>
      </c>
      <c r="F3678" s="2" t="s">
        <v>15446</v>
      </c>
      <c r="G3678" s="2" t="s">
        <v>15456</v>
      </c>
      <c r="H3678" s="2" t="s">
        <v>15444</v>
      </c>
    </row>
    <row r="3679">
      <c r="A3679" s="2">
        <v>3677.0</v>
      </c>
      <c r="B3679" s="5" t="s">
        <v>5432</v>
      </c>
      <c r="C3679" s="2" t="s">
        <v>5433</v>
      </c>
      <c r="D3679" s="5" t="s">
        <v>5432</v>
      </c>
      <c r="E3679" s="2" t="s">
        <v>15445</v>
      </c>
      <c r="F3679" s="2" t="s">
        <v>15442</v>
      </c>
      <c r="G3679" s="2" t="s">
        <v>15443</v>
      </c>
      <c r="H3679" s="2" t="s">
        <v>15462</v>
      </c>
    </row>
    <row r="3680">
      <c r="A3680" s="2">
        <v>3678.0</v>
      </c>
      <c r="B3680" s="5" t="s">
        <v>5435</v>
      </c>
      <c r="C3680" s="2" t="s">
        <v>5436</v>
      </c>
      <c r="D3680" s="5" t="s">
        <v>5435</v>
      </c>
      <c r="E3680" s="2" t="s">
        <v>15445</v>
      </c>
      <c r="F3680" s="2" t="s">
        <v>15442</v>
      </c>
      <c r="G3680" s="2" t="s">
        <v>15443</v>
      </c>
      <c r="H3680" s="2" t="s">
        <v>15444</v>
      </c>
    </row>
    <row r="3681">
      <c r="A3681" s="2">
        <v>3679.0</v>
      </c>
      <c r="B3681" s="5" t="s">
        <v>12956</v>
      </c>
      <c r="C3681" s="2" t="s">
        <v>12957</v>
      </c>
      <c r="D3681" s="5" t="s">
        <v>12956</v>
      </c>
      <c r="E3681" s="2" t="s">
        <v>15441</v>
      </c>
      <c r="F3681" s="2" t="s">
        <v>15446</v>
      </c>
      <c r="G3681" s="2" t="s">
        <v>15443</v>
      </c>
      <c r="H3681" s="2" t="s">
        <v>15444</v>
      </c>
    </row>
    <row r="3682">
      <c r="A3682" s="2">
        <v>3680.0</v>
      </c>
      <c r="B3682" s="5" t="s">
        <v>5438</v>
      </c>
      <c r="C3682" s="2" t="s">
        <v>5439</v>
      </c>
      <c r="D3682" s="5" t="s">
        <v>5438</v>
      </c>
      <c r="E3682" s="2" t="s">
        <v>15445</v>
      </c>
      <c r="F3682" s="2" t="s">
        <v>15442</v>
      </c>
      <c r="G3682" s="2" t="s">
        <v>15456</v>
      </c>
      <c r="H3682" s="2" t="s">
        <v>15444</v>
      </c>
    </row>
    <row r="3683">
      <c r="A3683" s="2">
        <v>3681.0</v>
      </c>
      <c r="B3683" s="5" t="s">
        <v>5441</v>
      </c>
      <c r="C3683" s="2" t="s">
        <v>5442</v>
      </c>
      <c r="D3683" s="5" t="s">
        <v>5441</v>
      </c>
      <c r="E3683" s="2" t="s">
        <v>15445</v>
      </c>
      <c r="F3683" s="2" t="s">
        <v>15442</v>
      </c>
      <c r="G3683" s="2" t="s">
        <v>15443</v>
      </c>
      <c r="H3683" s="2" t="s">
        <v>15444</v>
      </c>
    </row>
    <row r="3684">
      <c r="A3684" s="2">
        <v>3682.0</v>
      </c>
      <c r="B3684" s="5" t="s">
        <v>12958</v>
      </c>
      <c r="C3684" s="2" t="s">
        <v>12959</v>
      </c>
      <c r="D3684" s="5" t="s">
        <v>12958</v>
      </c>
      <c r="E3684" s="2" t="s">
        <v>15441</v>
      </c>
      <c r="F3684" s="2" t="s">
        <v>15442</v>
      </c>
      <c r="G3684" s="2" t="s">
        <v>15443</v>
      </c>
      <c r="H3684" s="2" t="s">
        <v>15461</v>
      </c>
    </row>
    <row r="3685">
      <c r="A3685" s="2">
        <v>3683.0</v>
      </c>
      <c r="B3685" s="5" t="s">
        <v>5444</v>
      </c>
      <c r="C3685" s="2" t="s">
        <v>5445</v>
      </c>
      <c r="D3685" s="5" t="s">
        <v>5444</v>
      </c>
      <c r="E3685" s="2" t="s">
        <v>15445</v>
      </c>
      <c r="F3685" s="2" t="s">
        <v>15442</v>
      </c>
      <c r="G3685" s="2" t="s">
        <v>15456</v>
      </c>
      <c r="H3685" s="2" t="s">
        <v>15455</v>
      </c>
    </row>
    <row r="3686">
      <c r="A3686" s="2">
        <v>3684.0</v>
      </c>
      <c r="B3686" s="5" t="s">
        <v>12960</v>
      </c>
      <c r="C3686" s="2" t="s">
        <v>12961</v>
      </c>
      <c r="D3686" s="5" t="s">
        <v>12960</v>
      </c>
      <c r="E3686" s="2" t="s">
        <v>15441</v>
      </c>
      <c r="F3686" s="2" t="s">
        <v>15446</v>
      </c>
      <c r="G3686" s="2" t="s">
        <v>15456</v>
      </c>
      <c r="H3686" s="2" t="s">
        <v>15444</v>
      </c>
    </row>
    <row r="3687">
      <c r="A3687" s="2">
        <v>3685.0</v>
      </c>
      <c r="B3687" s="5" t="s">
        <v>5447</v>
      </c>
      <c r="C3687" s="2" t="s">
        <v>5448</v>
      </c>
      <c r="D3687" s="5" t="s">
        <v>5447</v>
      </c>
      <c r="E3687" s="2" t="s">
        <v>15445</v>
      </c>
      <c r="F3687" s="2" t="s">
        <v>15442</v>
      </c>
      <c r="G3687" s="2" t="s">
        <v>15443</v>
      </c>
      <c r="H3687" s="2" t="s">
        <v>15444</v>
      </c>
    </row>
    <row r="3688">
      <c r="A3688" s="2">
        <v>3686.0</v>
      </c>
      <c r="B3688" s="5" t="s">
        <v>5450</v>
      </c>
      <c r="C3688" s="2" t="s">
        <v>5451</v>
      </c>
      <c r="D3688" s="5" t="s">
        <v>5450</v>
      </c>
      <c r="E3688" s="2" t="s">
        <v>15445</v>
      </c>
      <c r="F3688" s="2" t="s">
        <v>15442</v>
      </c>
      <c r="G3688" s="2" t="s">
        <v>15443</v>
      </c>
      <c r="H3688" s="2" t="s">
        <v>15444</v>
      </c>
    </row>
    <row r="3689">
      <c r="A3689" s="2">
        <v>3687.0</v>
      </c>
      <c r="B3689" s="5" t="s">
        <v>12962</v>
      </c>
      <c r="C3689" s="2" t="s">
        <v>12963</v>
      </c>
      <c r="D3689" s="5" t="s">
        <v>12962</v>
      </c>
      <c r="E3689" s="2" t="s">
        <v>15441</v>
      </c>
      <c r="F3689" s="2" t="s">
        <v>15446</v>
      </c>
      <c r="G3689" s="2" t="s">
        <v>15456</v>
      </c>
      <c r="H3689" s="2" t="s">
        <v>15455</v>
      </c>
    </row>
    <row r="3690">
      <c r="A3690" s="2">
        <v>3688.0</v>
      </c>
      <c r="B3690" s="5" t="s">
        <v>12964</v>
      </c>
      <c r="C3690" s="2" t="s">
        <v>12965</v>
      </c>
      <c r="D3690" s="5" t="s">
        <v>12964</v>
      </c>
      <c r="E3690" s="2" t="s">
        <v>15441</v>
      </c>
      <c r="F3690" s="2" t="s">
        <v>15446</v>
      </c>
      <c r="G3690" s="2" t="s">
        <v>15443</v>
      </c>
      <c r="H3690" s="2" t="s">
        <v>15444</v>
      </c>
    </row>
    <row r="3691">
      <c r="A3691" s="2">
        <v>3689.0</v>
      </c>
      <c r="B3691" s="5" t="s">
        <v>12966</v>
      </c>
      <c r="C3691" s="2" t="s">
        <v>12967</v>
      </c>
      <c r="D3691" s="5" t="s">
        <v>12966</v>
      </c>
      <c r="E3691" s="2" t="s">
        <v>15441</v>
      </c>
      <c r="F3691" s="2" t="s">
        <v>15442</v>
      </c>
      <c r="G3691" s="2" t="s">
        <v>15443</v>
      </c>
      <c r="H3691" s="2" t="s">
        <v>15444</v>
      </c>
    </row>
    <row r="3692">
      <c r="A3692" s="2">
        <v>3690.0</v>
      </c>
      <c r="B3692" s="5" t="s">
        <v>5453</v>
      </c>
      <c r="C3692" s="2" t="s">
        <v>5454</v>
      </c>
      <c r="D3692" s="5" t="s">
        <v>5453</v>
      </c>
      <c r="E3692" s="2" t="s">
        <v>15445</v>
      </c>
      <c r="F3692" s="2" t="s">
        <v>15446</v>
      </c>
      <c r="G3692" s="2" t="s">
        <v>15443</v>
      </c>
      <c r="H3692" s="2" t="s">
        <v>15444</v>
      </c>
    </row>
    <row r="3693">
      <c r="A3693" s="2">
        <v>3691.0</v>
      </c>
      <c r="B3693" s="5" t="s">
        <v>12968</v>
      </c>
      <c r="C3693" s="2" t="s">
        <v>12969</v>
      </c>
      <c r="D3693" s="5" t="s">
        <v>12968</v>
      </c>
      <c r="E3693" s="2" t="s">
        <v>15441</v>
      </c>
      <c r="F3693" s="2" t="s">
        <v>15446</v>
      </c>
      <c r="G3693" s="2" t="s">
        <v>15456</v>
      </c>
      <c r="H3693" s="2" t="s">
        <v>15444</v>
      </c>
    </row>
    <row r="3694">
      <c r="A3694" s="2">
        <v>3692.0</v>
      </c>
      <c r="B3694" s="5" t="s">
        <v>12970</v>
      </c>
      <c r="C3694" s="2" t="s">
        <v>12971</v>
      </c>
      <c r="D3694" s="5" t="s">
        <v>12970</v>
      </c>
      <c r="E3694" s="2" t="s">
        <v>15441</v>
      </c>
      <c r="F3694" s="2" t="s">
        <v>15442</v>
      </c>
      <c r="G3694" s="2" t="s">
        <v>15456</v>
      </c>
      <c r="H3694" s="2" t="s">
        <v>15444</v>
      </c>
    </row>
    <row r="3695">
      <c r="A3695" s="2">
        <v>3693.0</v>
      </c>
      <c r="B3695" s="5" t="s">
        <v>5456</v>
      </c>
      <c r="C3695" s="2" t="s">
        <v>5457</v>
      </c>
      <c r="D3695" s="5" t="s">
        <v>5456</v>
      </c>
      <c r="E3695" s="2" t="s">
        <v>15445</v>
      </c>
      <c r="F3695" s="2" t="s">
        <v>15446</v>
      </c>
      <c r="G3695" s="2" t="s">
        <v>15456</v>
      </c>
      <c r="H3695" s="2" t="s">
        <v>15444</v>
      </c>
    </row>
    <row r="3696">
      <c r="A3696" s="2">
        <v>3694.0</v>
      </c>
      <c r="B3696" s="5" t="s">
        <v>12972</v>
      </c>
      <c r="C3696" s="2" t="s">
        <v>12973</v>
      </c>
      <c r="D3696" s="5" t="s">
        <v>12972</v>
      </c>
      <c r="E3696" s="2" t="s">
        <v>15441</v>
      </c>
      <c r="F3696" s="2" t="s">
        <v>15442</v>
      </c>
      <c r="G3696" s="2" t="s">
        <v>15456</v>
      </c>
      <c r="H3696" s="2" t="s">
        <v>15444</v>
      </c>
    </row>
    <row r="3697">
      <c r="A3697" s="2">
        <v>3695.0</v>
      </c>
      <c r="B3697" s="5" t="s">
        <v>5459</v>
      </c>
      <c r="C3697" s="2" t="s">
        <v>5460</v>
      </c>
      <c r="D3697" s="5" t="s">
        <v>5459</v>
      </c>
      <c r="E3697" s="2" t="s">
        <v>15445</v>
      </c>
      <c r="F3697" s="2" t="s">
        <v>15446</v>
      </c>
      <c r="G3697" s="2" t="s">
        <v>15456</v>
      </c>
      <c r="H3697" s="2" t="s">
        <v>15455</v>
      </c>
    </row>
    <row r="3698">
      <c r="A3698" s="2">
        <v>3696.0</v>
      </c>
      <c r="B3698" s="5" t="s">
        <v>5462</v>
      </c>
      <c r="C3698" s="2" t="s">
        <v>5463</v>
      </c>
      <c r="D3698" s="5" t="s">
        <v>5462</v>
      </c>
      <c r="E3698" s="2" t="s">
        <v>15445</v>
      </c>
      <c r="F3698" s="2" t="s">
        <v>15442</v>
      </c>
      <c r="G3698" s="2" t="s">
        <v>15443</v>
      </c>
      <c r="H3698" s="2" t="s">
        <v>15461</v>
      </c>
    </row>
    <row r="3699">
      <c r="A3699" s="2">
        <v>3697.0</v>
      </c>
      <c r="B3699" s="5" t="s">
        <v>12974</v>
      </c>
      <c r="C3699" s="2" t="s">
        <v>12975</v>
      </c>
      <c r="D3699" s="5" t="s">
        <v>12974</v>
      </c>
      <c r="E3699" s="2" t="s">
        <v>15441</v>
      </c>
      <c r="F3699" s="2" t="s">
        <v>15442</v>
      </c>
      <c r="G3699" s="2" t="s">
        <v>15443</v>
      </c>
      <c r="H3699" s="2" t="s">
        <v>15444</v>
      </c>
    </row>
    <row r="3700">
      <c r="A3700" s="2">
        <v>3698.0</v>
      </c>
      <c r="B3700" s="5" t="s">
        <v>5464</v>
      </c>
      <c r="C3700" s="2" t="s">
        <v>5465</v>
      </c>
      <c r="D3700" s="5" t="s">
        <v>5464</v>
      </c>
      <c r="E3700" s="2" t="s">
        <v>15445</v>
      </c>
      <c r="F3700" s="2" t="s">
        <v>15446</v>
      </c>
      <c r="G3700" s="2" t="s">
        <v>15456</v>
      </c>
      <c r="H3700" s="2" t="s">
        <v>15444</v>
      </c>
    </row>
    <row r="3701">
      <c r="A3701" s="2">
        <v>3699.0</v>
      </c>
      <c r="B3701" s="5" t="s">
        <v>12976</v>
      </c>
      <c r="C3701" s="2" t="s">
        <v>12977</v>
      </c>
      <c r="D3701" s="5" t="s">
        <v>12976</v>
      </c>
      <c r="E3701" s="2" t="s">
        <v>15441</v>
      </c>
      <c r="F3701" s="2" t="s">
        <v>15446</v>
      </c>
      <c r="G3701" s="2" t="s">
        <v>15456</v>
      </c>
      <c r="H3701" s="2" t="s">
        <v>15444</v>
      </c>
    </row>
    <row r="3702">
      <c r="A3702" s="2">
        <v>3700.0</v>
      </c>
      <c r="B3702" s="5" t="s">
        <v>5467</v>
      </c>
      <c r="C3702" s="2" t="s">
        <v>5468</v>
      </c>
      <c r="D3702" s="5" t="s">
        <v>5467</v>
      </c>
      <c r="E3702" s="2" t="s">
        <v>15445</v>
      </c>
      <c r="F3702" s="2" t="s">
        <v>15446</v>
      </c>
      <c r="G3702" s="2" t="s">
        <v>15456</v>
      </c>
      <c r="H3702" s="2" t="s">
        <v>15444</v>
      </c>
    </row>
    <row r="3703">
      <c r="A3703" s="2">
        <v>3701.0</v>
      </c>
      <c r="B3703" s="5" t="s">
        <v>5470</v>
      </c>
      <c r="C3703" s="2" t="s">
        <v>5471</v>
      </c>
      <c r="D3703" s="5" t="s">
        <v>5470</v>
      </c>
      <c r="E3703" s="2" t="s">
        <v>15445</v>
      </c>
      <c r="F3703" s="2" t="s">
        <v>15446</v>
      </c>
      <c r="G3703" s="2" t="s">
        <v>15456</v>
      </c>
      <c r="H3703" s="2" t="s">
        <v>15444</v>
      </c>
    </row>
    <row r="3704">
      <c r="A3704" s="2">
        <v>3702.0</v>
      </c>
      <c r="B3704" s="5" t="s">
        <v>12978</v>
      </c>
      <c r="C3704" s="2" t="s">
        <v>12979</v>
      </c>
      <c r="D3704" s="5" t="s">
        <v>12978</v>
      </c>
      <c r="E3704" s="2" t="s">
        <v>15441</v>
      </c>
      <c r="F3704" s="2" t="s">
        <v>15446</v>
      </c>
      <c r="G3704" s="2" t="s">
        <v>15456</v>
      </c>
      <c r="H3704" s="2" t="s">
        <v>15444</v>
      </c>
    </row>
    <row r="3705">
      <c r="A3705" s="2">
        <v>3703.0</v>
      </c>
      <c r="B3705" s="5" t="s">
        <v>5473</v>
      </c>
      <c r="C3705" s="2" t="s">
        <v>5474</v>
      </c>
      <c r="D3705" s="5" t="s">
        <v>5473</v>
      </c>
      <c r="E3705" s="2" t="s">
        <v>15445</v>
      </c>
      <c r="F3705" s="2" t="s">
        <v>15446</v>
      </c>
      <c r="G3705" s="2" t="s">
        <v>15456</v>
      </c>
      <c r="H3705" s="2" t="s">
        <v>15444</v>
      </c>
    </row>
    <row r="3706">
      <c r="A3706" s="2">
        <v>3704.0</v>
      </c>
      <c r="B3706" s="5" t="s">
        <v>5476</v>
      </c>
      <c r="C3706" s="2" t="s">
        <v>5477</v>
      </c>
      <c r="D3706" s="5" t="s">
        <v>5476</v>
      </c>
      <c r="E3706" s="2" t="s">
        <v>15445</v>
      </c>
      <c r="F3706" s="2" t="s">
        <v>15442</v>
      </c>
      <c r="G3706" s="2" t="s">
        <v>15443</v>
      </c>
      <c r="H3706" s="2" t="s">
        <v>15444</v>
      </c>
    </row>
    <row r="3707">
      <c r="A3707" s="2">
        <v>3705.0</v>
      </c>
      <c r="B3707" s="5" t="s">
        <v>5479</v>
      </c>
      <c r="C3707" s="2" t="s">
        <v>5480</v>
      </c>
      <c r="D3707" s="5" t="s">
        <v>5479</v>
      </c>
      <c r="E3707" s="2" t="s">
        <v>15445</v>
      </c>
      <c r="F3707" s="2" t="s">
        <v>15446</v>
      </c>
      <c r="G3707" s="2" t="s">
        <v>15456</v>
      </c>
      <c r="H3707" s="2" t="s">
        <v>15444</v>
      </c>
    </row>
    <row r="3708">
      <c r="A3708" s="2">
        <v>3706.0</v>
      </c>
      <c r="B3708" s="5" t="s">
        <v>12980</v>
      </c>
      <c r="C3708" s="2" t="s">
        <v>12981</v>
      </c>
      <c r="D3708" s="5" t="s">
        <v>12980</v>
      </c>
      <c r="E3708" s="2" t="s">
        <v>15441</v>
      </c>
      <c r="F3708" s="2" t="s">
        <v>15442</v>
      </c>
      <c r="G3708" s="2" t="s">
        <v>15443</v>
      </c>
      <c r="H3708" s="2" t="s">
        <v>15444</v>
      </c>
    </row>
    <row r="3709">
      <c r="A3709" s="2">
        <v>3707.0</v>
      </c>
      <c r="B3709" s="5" t="s">
        <v>12982</v>
      </c>
      <c r="C3709" s="2" t="s">
        <v>12983</v>
      </c>
      <c r="D3709" s="5" t="s">
        <v>12982</v>
      </c>
      <c r="E3709" s="2" t="s">
        <v>15441</v>
      </c>
      <c r="F3709" s="2" t="s">
        <v>15442</v>
      </c>
      <c r="G3709" s="2" t="s">
        <v>15443</v>
      </c>
      <c r="H3709" s="2" t="s">
        <v>15444</v>
      </c>
    </row>
    <row r="3710">
      <c r="A3710" s="2">
        <v>3708.0</v>
      </c>
      <c r="B3710" s="5" t="s">
        <v>5482</v>
      </c>
      <c r="C3710" s="2" t="s">
        <v>5483</v>
      </c>
      <c r="D3710" s="5" t="s">
        <v>5482</v>
      </c>
      <c r="E3710" s="2" t="s">
        <v>15445</v>
      </c>
      <c r="F3710" s="2" t="s">
        <v>15442</v>
      </c>
      <c r="G3710" s="2" t="s">
        <v>15443</v>
      </c>
      <c r="H3710" s="2" t="s">
        <v>15444</v>
      </c>
    </row>
    <row r="3711">
      <c r="A3711" s="2">
        <v>3709.0</v>
      </c>
      <c r="B3711" s="5" t="s">
        <v>5485</v>
      </c>
      <c r="C3711" s="2" t="s">
        <v>5486</v>
      </c>
      <c r="D3711" s="5" t="s">
        <v>5485</v>
      </c>
      <c r="E3711" s="2" t="s">
        <v>15445</v>
      </c>
      <c r="F3711" s="2" t="s">
        <v>15446</v>
      </c>
      <c r="G3711" s="2" t="s">
        <v>15456</v>
      </c>
      <c r="H3711" s="2" t="s">
        <v>15444</v>
      </c>
    </row>
    <row r="3712">
      <c r="A3712" s="2">
        <v>3710.0</v>
      </c>
      <c r="B3712" s="5" t="s">
        <v>5488</v>
      </c>
      <c r="C3712" s="2" t="s">
        <v>5489</v>
      </c>
      <c r="D3712" s="5" t="s">
        <v>5488</v>
      </c>
      <c r="E3712" s="2" t="s">
        <v>15445</v>
      </c>
      <c r="F3712" s="2" t="s">
        <v>15446</v>
      </c>
      <c r="G3712" s="2" t="s">
        <v>15443</v>
      </c>
      <c r="H3712" s="2" t="s">
        <v>15444</v>
      </c>
    </row>
    <row r="3713">
      <c r="A3713" s="2">
        <v>3711.0</v>
      </c>
      <c r="B3713" s="5" t="s">
        <v>5491</v>
      </c>
      <c r="C3713" s="2" t="s">
        <v>5492</v>
      </c>
      <c r="D3713" s="5" t="s">
        <v>5491</v>
      </c>
      <c r="E3713" s="2" t="s">
        <v>15445</v>
      </c>
      <c r="F3713" s="2" t="s">
        <v>15446</v>
      </c>
      <c r="G3713" s="2" t="s">
        <v>15456</v>
      </c>
      <c r="H3713" s="2" t="s">
        <v>15444</v>
      </c>
    </row>
    <row r="3714">
      <c r="A3714" s="2">
        <v>3712.0</v>
      </c>
      <c r="B3714" s="5" t="s">
        <v>12984</v>
      </c>
      <c r="C3714" s="2" t="s">
        <v>12985</v>
      </c>
      <c r="D3714" s="5" t="s">
        <v>12984</v>
      </c>
      <c r="E3714" s="2" t="s">
        <v>15441</v>
      </c>
      <c r="F3714" s="2" t="s">
        <v>15442</v>
      </c>
      <c r="G3714" s="2" t="s">
        <v>15443</v>
      </c>
      <c r="H3714" s="2" t="s">
        <v>15444</v>
      </c>
    </row>
    <row r="3715">
      <c r="A3715" s="2">
        <v>3713.0</v>
      </c>
      <c r="B3715" s="5" t="s">
        <v>5494</v>
      </c>
      <c r="C3715" s="2" t="s">
        <v>5495</v>
      </c>
      <c r="D3715" s="5" t="s">
        <v>5494</v>
      </c>
      <c r="E3715" s="2" t="s">
        <v>15445</v>
      </c>
      <c r="F3715" s="2" t="s">
        <v>15442</v>
      </c>
      <c r="G3715" s="2" t="s">
        <v>15456</v>
      </c>
      <c r="H3715" s="2" t="s">
        <v>15444</v>
      </c>
    </row>
    <row r="3716">
      <c r="A3716" s="2">
        <v>3714.0</v>
      </c>
      <c r="B3716" s="5" t="s">
        <v>5497</v>
      </c>
      <c r="C3716" s="2" t="s">
        <v>5498</v>
      </c>
      <c r="D3716" s="5" t="s">
        <v>5497</v>
      </c>
      <c r="E3716" s="2" t="s">
        <v>15445</v>
      </c>
      <c r="F3716" s="2" t="s">
        <v>15446</v>
      </c>
      <c r="G3716" s="2" t="s">
        <v>15456</v>
      </c>
      <c r="H3716" s="2" t="s">
        <v>15444</v>
      </c>
    </row>
    <row r="3717">
      <c r="A3717" s="2">
        <v>3715.0</v>
      </c>
      <c r="B3717" s="5" t="s">
        <v>5500</v>
      </c>
      <c r="C3717" s="2" t="s">
        <v>5501</v>
      </c>
      <c r="D3717" s="5" t="s">
        <v>5500</v>
      </c>
      <c r="E3717" s="2" t="s">
        <v>15445</v>
      </c>
      <c r="F3717" s="2" t="s">
        <v>15446</v>
      </c>
      <c r="G3717" s="2" t="s">
        <v>15456</v>
      </c>
      <c r="H3717" s="2" t="s">
        <v>15444</v>
      </c>
    </row>
    <row r="3718">
      <c r="A3718" s="2">
        <v>3716.0</v>
      </c>
      <c r="B3718" s="5" t="s">
        <v>12986</v>
      </c>
      <c r="C3718" s="2" t="s">
        <v>12987</v>
      </c>
      <c r="D3718" s="5" t="s">
        <v>12986</v>
      </c>
      <c r="E3718" s="2" t="s">
        <v>15441</v>
      </c>
      <c r="F3718" s="2" t="s">
        <v>15446</v>
      </c>
      <c r="G3718" s="2" t="s">
        <v>15443</v>
      </c>
      <c r="H3718" s="2" t="s">
        <v>15444</v>
      </c>
    </row>
    <row r="3719">
      <c r="A3719" s="2">
        <v>3717.0</v>
      </c>
      <c r="B3719" s="5" t="s">
        <v>12988</v>
      </c>
      <c r="C3719" s="2" t="s">
        <v>12989</v>
      </c>
      <c r="D3719" s="5" t="s">
        <v>12988</v>
      </c>
      <c r="E3719" s="2" t="s">
        <v>15441</v>
      </c>
      <c r="F3719" s="2" t="s">
        <v>15446</v>
      </c>
      <c r="G3719" s="2" t="s">
        <v>15456</v>
      </c>
      <c r="H3719" s="2" t="s">
        <v>15444</v>
      </c>
    </row>
    <row r="3720">
      <c r="A3720" s="2">
        <v>3718.0</v>
      </c>
      <c r="B3720" s="5" t="s">
        <v>5503</v>
      </c>
      <c r="C3720" s="2" t="s">
        <v>5504</v>
      </c>
      <c r="D3720" s="5" t="s">
        <v>5503</v>
      </c>
      <c r="E3720" s="2" t="s">
        <v>15445</v>
      </c>
      <c r="F3720" s="2" t="s">
        <v>15446</v>
      </c>
      <c r="G3720" s="2" t="s">
        <v>15443</v>
      </c>
      <c r="H3720" s="2" t="s">
        <v>15444</v>
      </c>
    </row>
    <row r="3721">
      <c r="A3721" s="2">
        <v>3719.0</v>
      </c>
      <c r="B3721" s="5" t="s">
        <v>5506</v>
      </c>
      <c r="C3721" s="2" t="s">
        <v>5507</v>
      </c>
      <c r="D3721" s="5" t="s">
        <v>5506</v>
      </c>
      <c r="E3721" s="2" t="s">
        <v>15445</v>
      </c>
      <c r="F3721" s="2" t="s">
        <v>15446</v>
      </c>
      <c r="G3721" s="2" t="s">
        <v>15456</v>
      </c>
      <c r="H3721" s="2" t="s">
        <v>15457</v>
      </c>
    </row>
    <row r="3722">
      <c r="A3722" s="2">
        <v>3720.0</v>
      </c>
      <c r="B3722" s="5" t="s">
        <v>12990</v>
      </c>
      <c r="C3722" s="2" t="s">
        <v>12991</v>
      </c>
      <c r="D3722" s="5" t="s">
        <v>12990</v>
      </c>
      <c r="E3722" s="2" t="s">
        <v>15441</v>
      </c>
      <c r="F3722" s="2" t="s">
        <v>15446</v>
      </c>
      <c r="G3722" s="2" t="s">
        <v>15456</v>
      </c>
      <c r="H3722" s="2" t="s">
        <v>15444</v>
      </c>
    </row>
    <row r="3723">
      <c r="A3723" s="2">
        <v>3721.0</v>
      </c>
      <c r="B3723" s="5" t="s">
        <v>5509</v>
      </c>
      <c r="C3723" s="2" t="s">
        <v>5510</v>
      </c>
      <c r="D3723" s="5" t="s">
        <v>5509</v>
      </c>
      <c r="E3723" s="2" t="s">
        <v>15445</v>
      </c>
      <c r="F3723" s="2" t="s">
        <v>15446</v>
      </c>
      <c r="G3723" s="2" t="s">
        <v>15456</v>
      </c>
      <c r="H3723" s="2" t="s">
        <v>15444</v>
      </c>
    </row>
    <row r="3724">
      <c r="A3724" s="2">
        <v>3722.0</v>
      </c>
      <c r="B3724" s="5" t="s">
        <v>5512</v>
      </c>
      <c r="C3724" s="2" t="s">
        <v>5513</v>
      </c>
      <c r="D3724" s="5" t="s">
        <v>5512</v>
      </c>
      <c r="E3724" s="2" t="s">
        <v>15445</v>
      </c>
      <c r="F3724" s="2" t="s">
        <v>15442</v>
      </c>
      <c r="G3724" s="2" t="s">
        <v>15443</v>
      </c>
      <c r="H3724" s="2" t="s">
        <v>15444</v>
      </c>
    </row>
    <row r="3725">
      <c r="A3725" s="2">
        <v>3723.0</v>
      </c>
      <c r="B3725" s="5" t="s">
        <v>12992</v>
      </c>
      <c r="C3725" s="2" t="s">
        <v>12993</v>
      </c>
      <c r="D3725" s="5" t="s">
        <v>12992</v>
      </c>
      <c r="E3725" s="2" t="s">
        <v>15441</v>
      </c>
      <c r="F3725" s="2" t="s">
        <v>15442</v>
      </c>
      <c r="G3725" s="2" t="s">
        <v>15443</v>
      </c>
      <c r="H3725" s="2" t="s">
        <v>15444</v>
      </c>
    </row>
    <row r="3726">
      <c r="A3726" s="2">
        <v>3724.0</v>
      </c>
      <c r="B3726" s="5" t="s">
        <v>12994</v>
      </c>
      <c r="C3726" s="2" t="s">
        <v>12995</v>
      </c>
      <c r="D3726" s="5" t="s">
        <v>12994</v>
      </c>
      <c r="E3726" s="2" t="s">
        <v>15441</v>
      </c>
      <c r="F3726" s="2" t="s">
        <v>15446</v>
      </c>
      <c r="G3726" s="2" t="s">
        <v>15443</v>
      </c>
      <c r="H3726" s="2" t="s">
        <v>15444</v>
      </c>
    </row>
    <row r="3727">
      <c r="A3727" s="2">
        <v>3725.0</v>
      </c>
      <c r="B3727" s="5" t="s">
        <v>5515</v>
      </c>
      <c r="C3727" s="2" t="s">
        <v>5516</v>
      </c>
      <c r="D3727" s="5" t="s">
        <v>5515</v>
      </c>
      <c r="E3727" s="2" t="s">
        <v>15445</v>
      </c>
      <c r="F3727" s="2" t="s">
        <v>15446</v>
      </c>
      <c r="G3727" s="2" t="s">
        <v>15443</v>
      </c>
      <c r="H3727" s="2" t="s">
        <v>15444</v>
      </c>
    </row>
    <row r="3728">
      <c r="A3728" s="2">
        <v>3726.0</v>
      </c>
      <c r="B3728" s="5" t="s">
        <v>12996</v>
      </c>
      <c r="C3728" s="2" t="s">
        <v>12997</v>
      </c>
      <c r="D3728" s="5" t="s">
        <v>12996</v>
      </c>
      <c r="E3728" s="2" t="s">
        <v>15441</v>
      </c>
      <c r="F3728" s="2" t="s">
        <v>15446</v>
      </c>
      <c r="G3728" s="2" t="s">
        <v>15456</v>
      </c>
      <c r="H3728" s="2" t="s">
        <v>15444</v>
      </c>
    </row>
    <row r="3729">
      <c r="A3729" s="2">
        <v>3727.0</v>
      </c>
      <c r="B3729" s="5" t="s">
        <v>12998</v>
      </c>
      <c r="C3729" s="2" t="s">
        <v>12999</v>
      </c>
      <c r="D3729" s="5" t="s">
        <v>12998</v>
      </c>
      <c r="E3729" s="2" t="s">
        <v>15441</v>
      </c>
      <c r="F3729" s="2" t="s">
        <v>15442</v>
      </c>
      <c r="G3729" s="2" t="s">
        <v>15456</v>
      </c>
      <c r="H3729" s="2" t="s">
        <v>15444</v>
      </c>
    </row>
    <row r="3730">
      <c r="A3730" s="2">
        <v>3728.0</v>
      </c>
      <c r="B3730" s="5" t="s">
        <v>5518</v>
      </c>
      <c r="C3730" s="2" t="s">
        <v>5519</v>
      </c>
      <c r="D3730" s="5" t="s">
        <v>5518</v>
      </c>
      <c r="E3730" s="2" t="s">
        <v>15445</v>
      </c>
      <c r="F3730" s="2" t="s">
        <v>15446</v>
      </c>
      <c r="G3730" s="2" t="s">
        <v>15456</v>
      </c>
      <c r="H3730" s="2" t="s">
        <v>15444</v>
      </c>
    </row>
    <row r="3731">
      <c r="A3731" s="2">
        <v>3729.0</v>
      </c>
      <c r="B3731" s="5" t="s">
        <v>13000</v>
      </c>
      <c r="C3731" s="2" t="s">
        <v>13001</v>
      </c>
      <c r="D3731" s="5" t="s">
        <v>13000</v>
      </c>
      <c r="E3731" s="2" t="s">
        <v>15441</v>
      </c>
      <c r="F3731" s="2" t="s">
        <v>15446</v>
      </c>
      <c r="G3731" s="2" t="s">
        <v>15456</v>
      </c>
      <c r="H3731" s="2" t="s">
        <v>15455</v>
      </c>
    </row>
    <row r="3732">
      <c r="A3732" s="2">
        <v>3730.0</v>
      </c>
      <c r="B3732" s="5" t="s">
        <v>5521</v>
      </c>
      <c r="C3732" s="2" t="s">
        <v>5522</v>
      </c>
      <c r="D3732" s="5" t="s">
        <v>5521</v>
      </c>
      <c r="E3732" s="2" t="s">
        <v>15445</v>
      </c>
      <c r="F3732" s="2" t="s">
        <v>15446</v>
      </c>
      <c r="G3732" s="2" t="s">
        <v>15456</v>
      </c>
      <c r="H3732" s="2" t="s">
        <v>15444</v>
      </c>
    </row>
    <row r="3733">
      <c r="A3733" s="2">
        <v>3731.0</v>
      </c>
      <c r="B3733" s="5" t="s">
        <v>5524</v>
      </c>
      <c r="C3733" s="2" t="s">
        <v>5525</v>
      </c>
      <c r="D3733" s="5" t="s">
        <v>5524</v>
      </c>
      <c r="E3733" s="2" t="s">
        <v>15445</v>
      </c>
      <c r="F3733" s="2" t="s">
        <v>15446</v>
      </c>
      <c r="G3733" s="2" t="s">
        <v>15456</v>
      </c>
      <c r="H3733" s="2" t="s">
        <v>15444</v>
      </c>
    </row>
    <row r="3734">
      <c r="A3734" s="2">
        <v>3732.0</v>
      </c>
      <c r="B3734" s="5" t="s">
        <v>5527</v>
      </c>
      <c r="C3734" s="2" t="s">
        <v>5528</v>
      </c>
      <c r="D3734" s="5" t="s">
        <v>5527</v>
      </c>
      <c r="E3734" s="2" t="s">
        <v>15445</v>
      </c>
      <c r="F3734" s="2" t="s">
        <v>15446</v>
      </c>
      <c r="G3734" s="2" t="s">
        <v>15456</v>
      </c>
      <c r="H3734" s="2" t="s">
        <v>15444</v>
      </c>
    </row>
    <row r="3735">
      <c r="A3735" s="2">
        <v>3733.0</v>
      </c>
      <c r="B3735" s="5" t="s">
        <v>13002</v>
      </c>
      <c r="C3735" s="2" t="s">
        <v>13003</v>
      </c>
      <c r="D3735" s="5" t="s">
        <v>13002</v>
      </c>
      <c r="E3735" s="2" t="s">
        <v>15441</v>
      </c>
      <c r="F3735" s="2" t="s">
        <v>15442</v>
      </c>
      <c r="G3735" s="2" t="s">
        <v>15443</v>
      </c>
      <c r="H3735" s="2" t="s">
        <v>15444</v>
      </c>
    </row>
    <row r="3736">
      <c r="A3736" s="2">
        <v>3734.0</v>
      </c>
      <c r="B3736" s="5" t="s">
        <v>13004</v>
      </c>
      <c r="C3736" s="2" t="s">
        <v>13005</v>
      </c>
      <c r="D3736" s="5" t="s">
        <v>13004</v>
      </c>
      <c r="E3736" s="2" t="s">
        <v>15441</v>
      </c>
      <c r="F3736" s="2" t="s">
        <v>15442</v>
      </c>
      <c r="G3736" s="2" t="s">
        <v>15456</v>
      </c>
      <c r="H3736" s="2" t="s">
        <v>15444</v>
      </c>
    </row>
    <row r="3737">
      <c r="A3737" s="2">
        <v>3735.0</v>
      </c>
      <c r="B3737" s="5" t="s">
        <v>5530</v>
      </c>
      <c r="C3737" s="2" t="s">
        <v>5531</v>
      </c>
      <c r="D3737" s="5" t="s">
        <v>5530</v>
      </c>
      <c r="E3737" s="2" t="s">
        <v>15445</v>
      </c>
      <c r="F3737" s="2" t="s">
        <v>15446</v>
      </c>
      <c r="G3737" s="2" t="s">
        <v>15443</v>
      </c>
      <c r="H3737" s="2" t="s">
        <v>15444</v>
      </c>
    </row>
    <row r="3738">
      <c r="A3738" s="2">
        <v>3736.0</v>
      </c>
      <c r="B3738" s="5" t="s">
        <v>5533</v>
      </c>
      <c r="C3738" s="2" t="s">
        <v>5534</v>
      </c>
      <c r="D3738" s="5" t="s">
        <v>5533</v>
      </c>
      <c r="E3738" s="2" t="s">
        <v>15445</v>
      </c>
      <c r="F3738" s="2" t="s">
        <v>15446</v>
      </c>
      <c r="G3738" s="2" t="s">
        <v>15443</v>
      </c>
      <c r="H3738" s="2" t="s">
        <v>15462</v>
      </c>
    </row>
    <row r="3739">
      <c r="A3739" s="2">
        <v>3737.0</v>
      </c>
      <c r="B3739" s="5" t="s">
        <v>13006</v>
      </c>
      <c r="C3739" s="2" t="s">
        <v>13007</v>
      </c>
      <c r="D3739" s="5" t="s">
        <v>13006</v>
      </c>
      <c r="E3739" s="2" t="s">
        <v>15441</v>
      </c>
      <c r="F3739" s="2" t="s">
        <v>15446</v>
      </c>
      <c r="G3739" s="2" t="s">
        <v>15443</v>
      </c>
      <c r="H3739" s="2" t="s">
        <v>15444</v>
      </c>
    </row>
    <row r="3740">
      <c r="A3740" s="2">
        <v>3738.0</v>
      </c>
      <c r="B3740" s="5" t="s">
        <v>5536</v>
      </c>
      <c r="C3740" s="2" t="s">
        <v>5537</v>
      </c>
      <c r="D3740" s="5" t="s">
        <v>5536</v>
      </c>
      <c r="E3740" s="2" t="s">
        <v>15445</v>
      </c>
      <c r="F3740" s="2" t="s">
        <v>15442</v>
      </c>
      <c r="G3740" s="2" t="s">
        <v>15443</v>
      </c>
      <c r="H3740" s="2" t="s">
        <v>15455</v>
      </c>
    </row>
    <row r="3741">
      <c r="A3741" s="2">
        <v>3739.0</v>
      </c>
      <c r="B3741" s="5" t="s">
        <v>13008</v>
      </c>
      <c r="C3741" s="2" t="s">
        <v>13009</v>
      </c>
      <c r="D3741" s="5" t="s">
        <v>13008</v>
      </c>
      <c r="E3741" s="2" t="s">
        <v>15441</v>
      </c>
      <c r="F3741" s="2" t="s">
        <v>15442</v>
      </c>
      <c r="G3741" s="2" t="s">
        <v>15456</v>
      </c>
      <c r="H3741" s="2" t="s">
        <v>15444</v>
      </c>
    </row>
    <row r="3742">
      <c r="A3742" s="2">
        <v>3740.0</v>
      </c>
      <c r="B3742" s="5" t="s">
        <v>13010</v>
      </c>
      <c r="C3742" s="2" t="s">
        <v>13011</v>
      </c>
      <c r="D3742" s="5" t="s">
        <v>13010</v>
      </c>
      <c r="E3742" s="2" t="s">
        <v>15441</v>
      </c>
      <c r="F3742" s="2" t="s">
        <v>15446</v>
      </c>
      <c r="G3742" s="2" t="s">
        <v>15456</v>
      </c>
      <c r="H3742" s="2" t="s">
        <v>15444</v>
      </c>
    </row>
    <row r="3743">
      <c r="A3743" s="2">
        <v>3741.0</v>
      </c>
      <c r="B3743" s="5" t="s">
        <v>13012</v>
      </c>
      <c r="C3743" s="2" t="s">
        <v>13013</v>
      </c>
      <c r="D3743" s="5" t="s">
        <v>13012</v>
      </c>
      <c r="E3743" s="2" t="s">
        <v>15441</v>
      </c>
      <c r="F3743" s="2" t="s">
        <v>15446</v>
      </c>
      <c r="G3743" s="2" t="s">
        <v>15456</v>
      </c>
      <c r="H3743" s="2" t="s">
        <v>15444</v>
      </c>
    </row>
    <row r="3744">
      <c r="A3744" s="2">
        <v>3742.0</v>
      </c>
      <c r="B3744" s="5" t="s">
        <v>5539</v>
      </c>
      <c r="C3744" s="2" t="s">
        <v>5540</v>
      </c>
      <c r="D3744" s="5" t="s">
        <v>5539</v>
      </c>
      <c r="E3744" s="2" t="s">
        <v>15445</v>
      </c>
      <c r="F3744" s="2" t="s">
        <v>15442</v>
      </c>
      <c r="G3744" s="2" t="s">
        <v>15443</v>
      </c>
      <c r="H3744" s="2" t="s">
        <v>15444</v>
      </c>
    </row>
    <row r="3745">
      <c r="A3745" s="2">
        <v>3743.0</v>
      </c>
      <c r="B3745" s="5" t="s">
        <v>13014</v>
      </c>
      <c r="C3745" s="2" t="s">
        <v>13015</v>
      </c>
      <c r="D3745" s="5" t="s">
        <v>13014</v>
      </c>
      <c r="E3745" s="2" t="s">
        <v>15441</v>
      </c>
      <c r="F3745" s="2" t="s">
        <v>15442</v>
      </c>
      <c r="G3745" s="2" t="s">
        <v>15443</v>
      </c>
      <c r="H3745" s="2" t="s">
        <v>15444</v>
      </c>
    </row>
    <row r="3746">
      <c r="A3746" s="2">
        <v>3744.0</v>
      </c>
      <c r="B3746" s="5" t="s">
        <v>13016</v>
      </c>
      <c r="C3746" s="2" t="s">
        <v>13017</v>
      </c>
      <c r="D3746" s="5" t="s">
        <v>13016</v>
      </c>
      <c r="E3746" s="2" t="s">
        <v>15441</v>
      </c>
      <c r="F3746" s="2" t="s">
        <v>15442</v>
      </c>
      <c r="G3746" s="2" t="s">
        <v>15443</v>
      </c>
      <c r="H3746" s="2" t="s">
        <v>15444</v>
      </c>
    </row>
    <row r="3747">
      <c r="A3747" s="2">
        <v>3745.0</v>
      </c>
      <c r="B3747" s="5" t="s">
        <v>13018</v>
      </c>
      <c r="C3747" s="2" t="s">
        <v>13019</v>
      </c>
      <c r="D3747" s="5" t="s">
        <v>13018</v>
      </c>
      <c r="E3747" s="2" t="s">
        <v>15441</v>
      </c>
      <c r="F3747" s="2" t="s">
        <v>15442</v>
      </c>
      <c r="G3747" s="2" t="s">
        <v>15443</v>
      </c>
      <c r="H3747" s="2" t="s">
        <v>15444</v>
      </c>
    </row>
    <row r="3748">
      <c r="A3748" s="2">
        <v>3746.0</v>
      </c>
      <c r="B3748" s="5" t="s">
        <v>5542</v>
      </c>
      <c r="C3748" s="2" t="s">
        <v>5543</v>
      </c>
      <c r="D3748" s="5" t="s">
        <v>5542</v>
      </c>
      <c r="E3748" s="2" t="s">
        <v>15445</v>
      </c>
      <c r="F3748" s="2" t="s">
        <v>15442</v>
      </c>
      <c r="G3748" s="2" t="s">
        <v>15443</v>
      </c>
      <c r="H3748" s="2" t="s">
        <v>15444</v>
      </c>
    </row>
    <row r="3749">
      <c r="A3749" s="2">
        <v>3747.0</v>
      </c>
      <c r="B3749" s="5" t="s">
        <v>5545</v>
      </c>
      <c r="C3749" s="2" t="s">
        <v>5546</v>
      </c>
      <c r="D3749" s="5" t="s">
        <v>5545</v>
      </c>
      <c r="E3749" s="2" t="s">
        <v>15445</v>
      </c>
      <c r="F3749" s="2" t="s">
        <v>15442</v>
      </c>
      <c r="G3749" s="2" t="s">
        <v>15443</v>
      </c>
      <c r="H3749" s="2" t="s">
        <v>15444</v>
      </c>
    </row>
    <row r="3750">
      <c r="A3750" s="2">
        <v>3748.0</v>
      </c>
      <c r="B3750" s="5" t="s">
        <v>13020</v>
      </c>
      <c r="C3750" s="2" t="s">
        <v>13021</v>
      </c>
      <c r="D3750" s="5" t="s">
        <v>13020</v>
      </c>
      <c r="E3750" s="2" t="s">
        <v>15441</v>
      </c>
      <c r="F3750" s="2" t="s">
        <v>15446</v>
      </c>
      <c r="G3750" s="2" t="s">
        <v>15456</v>
      </c>
      <c r="H3750" s="2" t="s">
        <v>15444</v>
      </c>
    </row>
    <row r="3751">
      <c r="A3751" s="2">
        <v>3749.0</v>
      </c>
      <c r="B3751" s="5" t="s">
        <v>5548</v>
      </c>
      <c r="C3751" s="2" t="s">
        <v>5549</v>
      </c>
      <c r="D3751" s="5" t="s">
        <v>5548</v>
      </c>
      <c r="E3751" s="2" t="s">
        <v>15445</v>
      </c>
      <c r="F3751" s="2" t="s">
        <v>15442</v>
      </c>
      <c r="G3751" s="2" t="s">
        <v>15456</v>
      </c>
      <c r="H3751" s="2" t="s">
        <v>15444</v>
      </c>
    </row>
    <row r="3752">
      <c r="A3752" s="2">
        <v>3750.0</v>
      </c>
      <c r="B3752" s="5" t="s">
        <v>5551</v>
      </c>
      <c r="C3752" s="2" t="s">
        <v>5552</v>
      </c>
      <c r="D3752" s="5" t="s">
        <v>5551</v>
      </c>
      <c r="E3752" s="2" t="s">
        <v>15445</v>
      </c>
      <c r="F3752" s="2" t="s">
        <v>15442</v>
      </c>
      <c r="G3752" s="2" t="s">
        <v>15443</v>
      </c>
      <c r="H3752" s="2" t="s">
        <v>15444</v>
      </c>
    </row>
    <row r="3753">
      <c r="A3753" s="2">
        <v>3751.0</v>
      </c>
      <c r="B3753" s="5" t="s">
        <v>5554</v>
      </c>
      <c r="C3753" s="2" t="s">
        <v>5555</v>
      </c>
      <c r="D3753" s="5" t="s">
        <v>5554</v>
      </c>
      <c r="E3753" s="2" t="s">
        <v>15445</v>
      </c>
      <c r="F3753" s="2" t="s">
        <v>15442</v>
      </c>
      <c r="G3753" s="2" t="s">
        <v>15443</v>
      </c>
      <c r="H3753" s="2" t="s">
        <v>15461</v>
      </c>
    </row>
    <row r="3754">
      <c r="A3754" s="2">
        <v>3752.0</v>
      </c>
      <c r="B3754" s="5" t="s">
        <v>13022</v>
      </c>
      <c r="C3754" s="2" t="s">
        <v>13023</v>
      </c>
      <c r="D3754" s="5" t="s">
        <v>13022</v>
      </c>
      <c r="E3754" s="2" t="s">
        <v>15441</v>
      </c>
      <c r="F3754" s="2" t="s">
        <v>15442</v>
      </c>
      <c r="G3754" s="2" t="s">
        <v>15443</v>
      </c>
      <c r="H3754" s="2" t="s">
        <v>15444</v>
      </c>
    </row>
    <row r="3755">
      <c r="A3755" s="2">
        <v>3753.0</v>
      </c>
      <c r="B3755" s="5" t="s">
        <v>5557</v>
      </c>
      <c r="C3755" s="2" t="s">
        <v>5558</v>
      </c>
      <c r="D3755" s="5" t="s">
        <v>5557</v>
      </c>
      <c r="E3755" s="2" t="s">
        <v>15445</v>
      </c>
      <c r="F3755" s="2" t="s">
        <v>15446</v>
      </c>
      <c r="G3755" s="2" t="s">
        <v>15456</v>
      </c>
      <c r="H3755" s="2" t="s">
        <v>15444</v>
      </c>
    </row>
    <row r="3756">
      <c r="A3756" s="2">
        <v>3754.0</v>
      </c>
      <c r="B3756" s="5" t="s">
        <v>13024</v>
      </c>
      <c r="C3756" s="2" t="s">
        <v>13025</v>
      </c>
      <c r="D3756" s="5" t="s">
        <v>13024</v>
      </c>
      <c r="E3756" s="2" t="s">
        <v>15441</v>
      </c>
      <c r="F3756" s="2" t="s">
        <v>15446</v>
      </c>
      <c r="G3756" s="2" t="s">
        <v>15456</v>
      </c>
      <c r="H3756" s="2" t="s">
        <v>15444</v>
      </c>
    </row>
    <row r="3757">
      <c r="A3757" s="2">
        <v>3755.0</v>
      </c>
      <c r="B3757" s="5" t="s">
        <v>5560</v>
      </c>
      <c r="C3757" s="2" t="s">
        <v>5561</v>
      </c>
      <c r="D3757" s="5" t="s">
        <v>5560</v>
      </c>
      <c r="E3757" s="2" t="s">
        <v>15445</v>
      </c>
      <c r="F3757" s="2" t="s">
        <v>15446</v>
      </c>
      <c r="G3757" s="2" t="s">
        <v>15443</v>
      </c>
      <c r="H3757" s="2" t="s">
        <v>15462</v>
      </c>
    </row>
    <row r="3758">
      <c r="A3758" s="2">
        <v>3756.0</v>
      </c>
      <c r="B3758" s="5" t="s">
        <v>5563</v>
      </c>
      <c r="C3758" s="2" t="s">
        <v>5564</v>
      </c>
      <c r="D3758" s="5" t="s">
        <v>5563</v>
      </c>
      <c r="E3758" s="2" t="s">
        <v>15445</v>
      </c>
      <c r="F3758" s="2" t="s">
        <v>15446</v>
      </c>
      <c r="G3758" s="2" t="s">
        <v>15456</v>
      </c>
      <c r="H3758" s="2" t="s">
        <v>15444</v>
      </c>
    </row>
    <row r="3759">
      <c r="A3759" s="2">
        <v>3757.0</v>
      </c>
      <c r="B3759" s="5" t="s">
        <v>13026</v>
      </c>
      <c r="C3759" s="2" t="s">
        <v>13027</v>
      </c>
      <c r="D3759" s="5" t="s">
        <v>13026</v>
      </c>
      <c r="E3759" s="2" t="s">
        <v>15441</v>
      </c>
      <c r="F3759" s="2" t="s">
        <v>15446</v>
      </c>
      <c r="G3759" s="2" t="s">
        <v>15456</v>
      </c>
      <c r="H3759" s="2" t="s">
        <v>15444</v>
      </c>
    </row>
    <row r="3760">
      <c r="A3760" s="2">
        <v>3758.0</v>
      </c>
      <c r="B3760" s="5" t="s">
        <v>5566</v>
      </c>
      <c r="C3760" s="2" t="s">
        <v>5567</v>
      </c>
      <c r="D3760" s="5" t="s">
        <v>5566</v>
      </c>
      <c r="E3760" s="2" t="s">
        <v>15445</v>
      </c>
      <c r="F3760" s="2" t="s">
        <v>15442</v>
      </c>
      <c r="G3760" s="2" t="s">
        <v>15443</v>
      </c>
      <c r="H3760" s="2" t="s">
        <v>15444</v>
      </c>
    </row>
    <row r="3761">
      <c r="A3761" s="2">
        <v>3759.0</v>
      </c>
      <c r="B3761" s="5" t="s">
        <v>15553</v>
      </c>
      <c r="D3761" s="5" t="s">
        <v>15553</v>
      </c>
      <c r="E3761" s="2" t="s">
        <v>15445</v>
      </c>
      <c r="F3761" s="2" t="s">
        <v>15446</v>
      </c>
      <c r="G3761" s="2" t="s">
        <v>15443</v>
      </c>
      <c r="H3761" s="2" t="s">
        <v>15444</v>
      </c>
    </row>
    <row r="3762">
      <c r="A3762" s="2">
        <v>3760.0</v>
      </c>
      <c r="B3762" s="5" t="s">
        <v>5569</v>
      </c>
      <c r="C3762" s="2" t="s">
        <v>5570</v>
      </c>
      <c r="D3762" s="5" t="s">
        <v>5569</v>
      </c>
      <c r="E3762" s="2" t="s">
        <v>15445</v>
      </c>
      <c r="F3762" s="2" t="s">
        <v>15442</v>
      </c>
      <c r="G3762" s="2" t="s">
        <v>15443</v>
      </c>
      <c r="H3762" s="2" t="s">
        <v>15444</v>
      </c>
    </row>
    <row r="3763">
      <c r="A3763" s="2">
        <v>3761.0</v>
      </c>
      <c r="B3763" s="5" t="s">
        <v>15554</v>
      </c>
      <c r="D3763" s="5" t="s">
        <v>15554</v>
      </c>
      <c r="E3763" s="2" t="s">
        <v>15441</v>
      </c>
      <c r="F3763" s="2" t="s">
        <v>15446</v>
      </c>
      <c r="G3763" s="2" t="s">
        <v>15456</v>
      </c>
      <c r="H3763" s="2" t="s">
        <v>15444</v>
      </c>
    </row>
    <row r="3764">
      <c r="A3764" s="2">
        <v>3762.0</v>
      </c>
      <c r="B3764" s="5" t="s">
        <v>13028</v>
      </c>
      <c r="C3764" s="2" t="s">
        <v>13029</v>
      </c>
      <c r="D3764" s="5" t="s">
        <v>13028</v>
      </c>
      <c r="E3764" s="2" t="s">
        <v>15441</v>
      </c>
      <c r="F3764" s="2" t="s">
        <v>15446</v>
      </c>
      <c r="G3764" s="2" t="s">
        <v>15456</v>
      </c>
      <c r="H3764" s="2" t="s">
        <v>15444</v>
      </c>
    </row>
    <row r="3765">
      <c r="A3765" s="2">
        <v>3763.0</v>
      </c>
      <c r="B3765" s="5" t="s">
        <v>13030</v>
      </c>
      <c r="C3765" s="2" t="s">
        <v>13031</v>
      </c>
      <c r="D3765" s="5" t="s">
        <v>13030</v>
      </c>
      <c r="E3765" s="2" t="s">
        <v>15441</v>
      </c>
      <c r="F3765" s="2" t="s">
        <v>15442</v>
      </c>
      <c r="G3765" s="2" t="s">
        <v>15443</v>
      </c>
      <c r="H3765" s="2" t="s">
        <v>15462</v>
      </c>
    </row>
    <row r="3766">
      <c r="A3766" s="2">
        <v>3764.0</v>
      </c>
      <c r="B3766" s="5" t="s">
        <v>13032</v>
      </c>
      <c r="C3766" s="2" t="s">
        <v>13033</v>
      </c>
      <c r="D3766" s="5" t="s">
        <v>13032</v>
      </c>
      <c r="E3766" s="2" t="s">
        <v>15441</v>
      </c>
      <c r="F3766" s="2" t="s">
        <v>15446</v>
      </c>
      <c r="G3766" s="2" t="s">
        <v>15443</v>
      </c>
      <c r="H3766" s="2" t="s">
        <v>15457</v>
      </c>
    </row>
    <row r="3767">
      <c r="A3767" s="2">
        <v>3765.0</v>
      </c>
      <c r="B3767" s="5" t="s">
        <v>5572</v>
      </c>
      <c r="C3767" s="2" t="s">
        <v>5573</v>
      </c>
      <c r="D3767" s="5" t="s">
        <v>5572</v>
      </c>
      <c r="E3767" s="2" t="s">
        <v>15445</v>
      </c>
      <c r="F3767" s="2" t="s">
        <v>15442</v>
      </c>
      <c r="G3767" s="2" t="s">
        <v>15443</v>
      </c>
      <c r="H3767" s="2" t="s">
        <v>15444</v>
      </c>
    </row>
    <row r="3768">
      <c r="A3768" s="2">
        <v>3766.0</v>
      </c>
      <c r="B3768" s="5" t="s">
        <v>5575</v>
      </c>
      <c r="C3768" s="2" t="s">
        <v>5576</v>
      </c>
      <c r="D3768" s="5" t="s">
        <v>5575</v>
      </c>
      <c r="E3768" s="2" t="s">
        <v>15445</v>
      </c>
      <c r="F3768" s="2" t="s">
        <v>15446</v>
      </c>
      <c r="G3768" s="2" t="s">
        <v>15443</v>
      </c>
      <c r="H3768" s="2" t="s">
        <v>15444</v>
      </c>
    </row>
    <row r="3769">
      <c r="A3769" s="2">
        <v>3767.0</v>
      </c>
      <c r="B3769" s="5" t="s">
        <v>5578</v>
      </c>
      <c r="C3769" s="2" t="s">
        <v>5579</v>
      </c>
      <c r="D3769" s="5" t="s">
        <v>5578</v>
      </c>
      <c r="E3769" s="2" t="s">
        <v>15445</v>
      </c>
      <c r="F3769" s="2" t="s">
        <v>15446</v>
      </c>
      <c r="G3769" s="2" t="s">
        <v>15456</v>
      </c>
      <c r="H3769" s="2" t="s">
        <v>15462</v>
      </c>
    </row>
    <row r="3770">
      <c r="A3770" s="2">
        <v>3768.0</v>
      </c>
      <c r="B3770" s="5" t="s">
        <v>13034</v>
      </c>
      <c r="C3770" s="2" t="s">
        <v>13035</v>
      </c>
      <c r="D3770" s="5" t="s">
        <v>13034</v>
      </c>
      <c r="E3770" s="2" t="s">
        <v>15441</v>
      </c>
      <c r="F3770" s="2" t="s">
        <v>15446</v>
      </c>
      <c r="G3770" s="2" t="s">
        <v>15456</v>
      </c>
      <c r="H3770" s="2" t="s">
        <v>15444</v>
      </c>
    </row>
    <row r="3771">
      <c r="A3771" s="2">
        <v>3769.0</v>
      </c>
      <c r="B3771" s="5" t="s">
        <v>5581</v>
      </c>
      <c r="C3771" s="2" t="s">
        <v>5582</v>
      </c>
      <c r="D3771" s="5" t="s">
        <v>5581</v>
      </c>
      <c r="E3771" s="2" t="s">
        <v>15445</v>
      </c>
      <c r="F3771" s="2" t="s">
        <v>15446</v>
      </c>
      <c r="G3771" s="2" t="s">
        <v>15443</v>
      </c>
      <c r="H3771" s="2" t="s">
        <v>15444</v>
      </c>
    </row>
    <row r="3772">
      <c r="A3772" s="2">
        <v>3770.0</v>
      </c>
      <c r="B3772" s="5" t="s">
        <v>13036</v>
      </c>
      <c r="C3772" s="2" t="s">
        <v>13037</v>
      </c>
      <c r="D3772" s="5" t="s">
        <v>13036</v>
      </c>
      <c r="E3772" s="2" t="s">
        <v>15441</v>
      </c>
      <c r="F3772" s="2" t="s">
        <v>15446</v>
      </c>
      <c r="G3772" s="2" t="s">
        <v>15456</v>
      </c>
      <c r="H3772" s="2" t="s">
        <v>15444</v>
      </c>
    </row>
    <row r="3773">
      <c r="A3773" s="2">
        <v>3771.0</v>
      </c>
      <c r="B3773" s="5" t="s">
        <v>5584</v>
      </c>
      <c r="C3773" s="2" t="s">
        <v>5585</v>
      </c>
      <c r="D3773" s="5" t="s">
        <v>5584</v>
      </c>
      <c r="E3773" s="2" t="s">
        <v>15445</v>
      </c>
      <c r="F3773" s="2" t="s">
        <v>15442</v>
      </c>
      <c r="G3773" s="2" t="s">
        <v>15443</v>
      </c>
      <c r="H3773" s="2" t="s">
        <v>15457</v>
      </c>
    </row>
    <row r="3774">
      <c r="A3774" s="2">
        <v>3772.0</v>
      </c>
      <c r="B3774" s="5" t="s">
        <v>13038</v>
      </c>
      <c r="C3774" s="2" t="s">
        <v>13039</v>
      </c>
      <c r="D3774" s="5" t="s">
        <v>13038</v>
      </c>
      <c r="E3774" s="2" t="s">
        <v>15441</v>
      </c>
      <c r="F3774" s="2" t="s">
        <v>15442</v>
      </c>
      <c r="G3774" s="2" t="s">
        <v>15443</v>
      </c>
      <c r="H3774" s="2" t="s">
        <v>15455</v>
      </c>
    </row>
    <row r="3775">
      <c r="A3775" s="2">
        <v>3773.0</v>
      </c>
      <c r="B3775" s="5" t="s">
        <v>5587</v>
      </c>
      <c r="C3775" s="2" t="s">
        <v>5588</v>
      </c>
      <c r="D3775" s="5" t="s">
        <v>5587</v>
      </c>
      <c r="E3775" s="2" t="s">
        <v>15445</v>
      </c>
      <c r="F3775" s="2" t="s">
        <v>15446</v>
      </c>
      <c r="G3775" s="2" t="s">
        <v>15456</v>
      </c>
      <c r="H3775" s="2" t="s">
        <v>15444</v>
      </c>
    </row>
    <row r="3776">
      <c r="A3776" s="2">
        <v>3774.0</v>
      </c>
      <c r="B3776" s="5" t="s">
        <v>5590</v>
      </c>
      <c r="C3776" s="2" t="s">
        <v>5591</v>
      </c>
      <c r="D3776" s="5" t="s">
        <v>5590</v>
      </c>
      <c r="E3776" s="2" t="s">
        <v>15445</v>
      </c>
      <c r="F3776" s="2" t="s">
        <v>15446</v>
      </c>
      <c r="G3776" s="2" t="s">
        <v>15443</v>
      </c>
      <c r="H3776" s="2" t="s">
        <v>15444</v>
      </c>
    </row>
    <row r="3777">
      <c r="A3777" s="2">
        <v>3775.0</v>
      </c>
      <c r="B3777" s="5" t="s">
        <v>5593</v>
      </c>
      <c r="C3777" s="2" t="s">
        <v>5594</v>
      </c>
      <c r="D3777" s="5" t="s">
        <v>5593</v>
      </c>
      <c r="E3777" s="2" t="s">
        <v>15445</v>
      </c>
      <c r="F3777" s="2" t="s">
        <v>15446</v>
      </c>
      <c r="G3777" s="2" t="s">
        <v>15456</v>
      </c>
      <c r="H3777" s="2" t="s">
        <v>15444</v>
      </c>
    </row>
    <row r="3778">
      <c r="A3778" s="2">
        <v>3776.0</v>
      </c>
      <c r="B3778" s="5" t="s">
        <v>13040</v>
      </c>
      <c r="C3778" s="2" t="s">
        <v>13041</v>
      </c>
      <c r="D3778" s="5" t="s">
        <v>13040</v>
      </c>
      <c r="E3778" s="2" t="s">
        <v>15441</v>
      </c>
      <c r="F3778" s="2" t="s">
        <v>15442</v>
      </c>
      <c r="G3778" s="2" t="s">
        <v>15443</v>
      </c>
      <c r="H3778" s="2" t="s">
        <v>15444</v>
      </c>
    </row>
    <row r="3779">
      <c r="A3779" s="2">
        <v>3777.0</v>
      </c>
      <c r="B3779" s="5" t="s">
        <v>13042</v>
      </c>
      <c r="C3779" s="2" t="s">
        <v>13043</v>
      </c>
      <c r="D3779" s="5" t="s">
        <v>13042</v>
      </c>
      <c r="E3779" s="2" t="s">
        <v>15441</v>
      </c>
      <c r="F3779" s="2" t="s">
        <v>15446</v>
      </c>
      <c r="G3779" s="2" t="s">
        <v>15443</v>
      </c>
      <c r="H3779" s="2" t="s">
        <v>15444</v>
      </c>
    </row>
    <row r="3780">
      <c r="A3780" s="2">
        <v>3778.0</v>
      </c>
      <c r="B3780" s="5" t="s">
        <v>5596</v>
      </c>
      <c r="C3780" s="2" t="s">
        <v>5597</v>
      </c>
      <c r="D3780" s="5" t="s">
        <v>5596</v>
      </c>
      <c r="E3780" s="2" t="s">
        <v>15445</v>
      </c>
      <c r="F3780" s="2" t="s">
        <v>15446</v>
      </c>
      <c r="G3780" s="2" t="s">
        <v>15443</v>
      </c>
      <c r="H3780" s="2" t="s">
        <v>15444</v>
      </c>
    </row>
    <row r="3781">
      <c r="A3781" s="2">
        <v>3779.0</v>
      </c>
      <c r="B3781" s="5" t="s">
        <v>13044</v>
      </c>
      <c r="C3781" s="2" t="s">
        <v>13045</v>
      </c>
      <c r="D3781" s="5" t="s">
        <v>13044</v>
      </c>
      <c r="E3781" s="2" t="s">
        <v>15441</v>
      </c>
      <c r="F3781" s="2" t="s">
        <v>15442</v>
      </c>
      <c r="G3781" s="2" t="s">
        <v>15443</v>
      </c>
      <c r="H3781" s="2" t="s">
        <v>15444</v>
      </c>
    </row>
    <row r="3782">
      <c r="A3782" s="2">
        <v>3780.0</v>
      </c>
      <c r="B3782" s="5" t="s">
        <v>13046</v>
      </c>
      <c r="C3782" s="2" t="s">
        <v>13047</v>
      </c>
      <c r="D3782" s="5" t="s">
        <v>13046</v>
      </c>
      <c r="E3782" s="2" t="s">
        <v>15441</v>
      </c>
      <c r="F3782" s="2" t="s">
        <v>15446</v>
      </c>
      <c r="G3782" s="2" t="s">
        <v>15443</v>
      </c>
      <c r="H3782" s="2" t="s">
        <v>15444</v>
      </c>
    </row>
    <row r="3783">
      <c r="A3783" s="2">
        <v>3781.0</v>
      </c>
      <c r="B3783" s="5" t="s">
        <v>13048</v>
      </c>
      <c r="C3783" s="2" t="s">
        <v>13049</v>
      </c>
      <c r="D3783" s="5" t="s">
        <v>13048</v>
      </c>
      <c r="E3783" s="2" t="s">
        <v>15441</v>
      </c>
      <c r="F3783" s="2" t="s">
        <v>15442</v>
      </c>
      <c r="G3783" s="2" t="s">
        <v>15443</v>
      </c>
      <c r="H3783" s="2" t="s">
        <v>15444</v>
      </c>
    </row>
    <row r="3784">
      <c r="A3784" s="2">
        <v>3782.0</v>
      </c>
      <c r="B3784" s="5" t="s">
        <v>13050</v>
      </c>
      <c r="C3784" s="2" t="s">
        <v>13051</v>
      </c>
      <c r="D3784" s="5" t="s">
        <v>13050</v>
      </c>
      <c r="E3784" s="2" t="s">
        <v>15441</v>
      </c>
      <c r="F3784" s="2" t="s">
        <v>15442</v>
      </c>
      <c r="G3784" s="2" t="s">
        <v>15443</v>
      </c>
      <c r="H3784" s="2" t="s">
        <v>15444</v>
      </c>
    </row>
    <row r="3785">
      <c r="A3785" s="2">
        <v>3783.0</v>
      </c>
      <c r="B3785" s="5" t="s">
        <v>13052</v>
      </c>
      <c r="C3785" s="2" t="s">
        <v>13053</v>
      </c>
      <c r="D3785" s="5" t="s">
        <v>13052</v>
      </c>
      <c r="E3785" s="2" t="s">
        <v>15441</v>
      </c>
      <c r="F3785" s="2" t="s">
        <v>15446</v>
      </c>
      <c r="G3785" s="2" t="s">
        <v>15456</v>
      </c>
      <c r="H3785" s="2" t="s">
        <v>15455</v>
      </c>
    </row>
    <row r="3786">
      <c r="A3786" s="2">
        <v>3784.0</v>
      </c>
      <c r="B3786" s="5" t="s">
        <v>5599</v>
      </c>
      <c r="C3786" s="2" t="s">
        <v>5600</v>
      </c>
      <c r="D3786" s="5" t="s">
        <v>5599</v>
      </c>
      <c r="E3786" s="2" t="s">
        <v>15445</v>
      </c>
      <c r="F3786" s="2" t="s">
        <v>15446</v>
      </c>
      <c r="G3786" s="2" t="s">
        <v>15443</v>
      </c>
      <c r="H3786" s="2" t="s">
        <v>15444</v>
      </c>
    </row>
    <row r="3787">
      <c r="A3787" s="2">
        <v>3785.0</v>
      </c>
      <c r="B3787" s="5" t="s">
        <v>5602</v>
      </c>
      <c r="C3787" s="2" t="s">
        <v>5603</v>
      </c>
      <c r="D3787" s="5" t="s">
        <v>5602</v>
      </c>
      <c r="E3787" s="2" t="s">
        <v>15445</v>
      </c>
      <c r="F3787" s="2" t="s">
        <v>15442</v>
      </c>
      <c r="G3787" s="2" t="s">
        <v>15443</v>
      </c>
      <c r="H3787" s="2" t="s">
        <v>15444</v>
      </c>
    </row>
    <row r="3788">
      <c r="A3788" s="2">
        <v>3786.0</v>
      </c>
      <c r="B3788" s="5" t="s">
        <v>13054</v>
      </c>
      <c r="C3788" s="2" t="s">
        <v>13055</v>
      </c>
      <c r="D3788" s="5" t="s">
        <v>13054</v>
      </c>
      <c r="E3788" s="2" t="s">
        <v>15441</v>
      </c>
      <c r="F3788" s="2" t="s">
        <v>15442</v>
      </c>
      <c r="G3788" s="2" t="s">
        <v>15443</v>
      </c>
      <c r="H3788" s="2" t="s">
        <v>15461</v>
      </c>
    </row>
    <row r="3789">
      <c r="A3789" s="2">
        <v>3787.0</v>
      </c>
      <c r="B3789" s="5" t="s">
        <v>5605</v>
      </c>
      <c r="C3789" s="2" t="s">
        <v>5606</v>
      </c>
      <c r="D3789" s="5" t="s">
        <v>5605</v>
      </c>
      <c r="E3789" s="2" t="s">
        <v>15445</v>
      </c>
      <c r="F3789" s="2" t="s">
        <v>15442</v>
      </c>
      <c r="G3789" s="2" t="s">
        <v>15443</v>
      </c>
      <c r="H3789" s="2" t="s">
        <v>15444</v>
      </c>
    </row>
    <row r="3790">
      <c r="A3790" s="2">
        <v>3788.0</v>
      </c>
      <c r="B3790" s="5" t="s">
        <v>5608</v>
      </c>
      <c r="C3790" s="2" t="s">
        <v>5609</v>
      </c>
      <c r="D3790" s="5" t="s">
        <v>5608</v>
      </c>
      <c r="E3790" s="2" t="s">
        <v>15445</v>
      </c>
      <c r="F3790" s="2" t="s">
        <v>15446</v>
      </c>
      <c r="G3790" s="2" t="s">
        <v>15456</v>
      </c>
      <c r="H3790" s="2" t="s">
        <v>15457</v>
      </c>
    </row>
    <row r="3791">
      <c r="A3791" s="2">
        <v>3789.0</v>
      </c>
      <c r="B3791" s="5" t="s">
        <v>5611</v>
      </c>
      <c r="C3791" s="2" t="s">
        <v>5612</v>
      </c>
      <c r="D3791" s="5" t="s">
        <v>5611</v>
      </c>
      <c r="E3791" s="2" t="s">
        <v>15445</v>
      </c>
      <c r="F3791" s="2" t="s">
        <v>15442</v>
      </c>
      <c r="G3791" s="2" t="s">
        <v>15443</v>
      </c>
      <c r="H3791" s="2" t="s">
        <v>15444</v>
      </c>
    </row>
    <row r="3792">
      <c r="A3792" s="2">
        <v>3790.0</v>
      </c>
      <c r="B3792" s="5" t="s">
        <v>13056</v>
      </c>
      <c r="C3792" s="2" t="s">
        <v>13057</v>
      </c>
      <c r="D3792" s="5" t="s">
        <v>13056</v>
      </c>
      <c r="E3792" s="2" t="s">
        <v>15441</v>
      </c>
      <c r="F3792" s="2" t="s">
        <v>15446</v>
      </c>
      <c r="G3792" s="2" t="s">
        <v>15456</v>
      </c>
      <c r="H3792" s="2" t="s">
        <v>15444</v>
      </c>
    </row>
    <row r="3793">
      <c r="A3793" s="2">
        <v>3791.0</v>
      </c>
      <c r="B3793" s="5" t="s">
        <v>13058</v>
      </c>
      <c r="C3793" s="2" t="s">
        <v>13059</v>
      </c>
      <c r="D3793" s="5" t="s">
        <v>13058</v>
      </c>
      <c r="E3793" s="2" t="s">
        <v>15441</v>
      </c>
      <c r="F3793" s="2" t="s">
        <v>15446</v>
      </c>
      <c r="G3793" s="2" t="s">
        <v>15456</v>
      </c>
      <c r="H3793" s="2" t="s">
        <v>15444</v>
      </c>
    </row>
    <row r="3794">
      <c r="A3794" s="2">
        <v>3792.0</v>
      </c>
      <c r="B3794" s="5" t="s">
        <v>13060</v>
      </c>
      <c r="C3794" s="2" t="s">
        <v>13061</v>
      </c>
      <c r="D3794" s="5" t="s">
        <v>13060</v>
      </c>
      <c r="E3794" s="2" t="s">
        <v>15441</v>
      </c>
      <c r="F3794" s="2" t="s">
        <v>15442</v>
      </c>
      <c r="G3794" s="2" t="s">
        <v>15456</v>
      </c>
      <c r="H3794" s="2" t="s">
        <v>15444</v>
      </c>
    </row>
    <row r="3795">
      <c r="A3795" s="2">
        <v>3793.0</v>
      </c>
      <c r="B3795" s="5" t="s">
        <v>13062</v>
      </c>
      <c r="C3795" s="2" t="s">
        <v>13063</v>
      </c>
      <c r="D3795" s="5" t="s">
        <v>13062</v>
      </c>
      <c r="E3795" s="2" t="s">
        <v>15441</v>
      </c>
      <c r="F3795" s="2" t="s">
        <v>15446</v>
      </c>
      <c r="G3795" s="2" t="s">
        <v>15443</v>
      </c>
      <c r="H3795" s="2" t="s">
        <v>15444</v>
      </c>
    </row>
    <row r="3796">
      <c r="A3796" s="2">
        <v>3794.0</v>
      </c>
      <c r="B3796" s="5" t="s">
        <v>13064</v>
      </c>
      <c r="C3796" s="2" t="s">
        <v>13065</v>
      </c>
      <c r="D3796" s="5" t="s">
        <v>13064</v>
      </c>
      <c r="E3796" s="2" t="s">
        <v>15441</v>
      </c>
      <c r="F3796" s="2" t="s">
        <v>15446</v>
      </c>
      <c r="G3796" s="2" t="s">
        <v>15456</v>
      </c>
      <c r="H3796" s="2" t="s">
        <v>15444</v>
      </c>
    </row>
    <row r="3797">
      <c r="A3797" s="2">
        <v>3795.0</v>
      </c>
      <c r="B3797" s="5" t="s">
        <v>5614</v>
      </c>
      <c r="C3797" s="2" t="s">
        <v>5615</v>
      </c>
      <c r="D3797" s="5" t="s">
        <v>5614</v>
      </c>
      <c r="E3797" s="2" t="s">
        <v>15445</v>
      </c>
      <c r="F3797" s="2" t="s">
        <v>15446</v>
      </c>
      <c r="G3797" s="2" t="s">
        <v>15456</v>
      </c>
      <c r="H3797" s="2" t="s">
        <v>15444</v>
      </c>
    </row>
    <row r="3798">
      <c r="A3798" s="2">
        <v>3796.0</v>
      </c>
      <c r="B3798" s="5" t="s">
        <v>13066</v>
      </c>
      <c r="C3798" s="2" t="s">
        <v>13067</v>
      </c>
      <c r="D3798" s="5" t="s">
        <v>13066</v>
      </c>
      <c r="E3798" s="2" t="s">
        <v>15441</v>
      </c>
      <c r="F3798" s="2" t="s">
        <v>15446</v>
      </c>
      <c r="G3798" s="2" t="s">
        <v>15443</v>
      </c>
      <c r="H3798" s="2" t="s">
        <v>15444</v>
      </c>
    </row>
    <row r="3799">
      <c r="A3799" s="2">
        <v>3797.0</v>
      </c>
      <c r="B3799" s="5" t="s">
        <v>5617</v>
      </c>
      <c r="C3799" s="2" t="s">
        <v>5618</v>
      </c>
      <c r="D3799" s="5" t="s">
        <v>5617</v>
      </c>
      <c r="E3799" s="2" t="s">
        <v>15445</v>
      </c>
      <c r="F3799" s="2" t="s">
        <v>15446</v>
      </c>
      <c r="G3799" s="2" t="s">
        <v>15456</v>
      </c>
      <c r="H3799" s="2" t="s">
        <v>15462</v>
      </c>
    </row>
    <row r="3800">
      <c r="A3800" s="2">
        <v>3798.0</v>
      </c>
      <c r="B3800" s="5" t="s">
        <v>13068</v>
      </c>
      <c r="C3800" s="2" t="s">
        <v>13069</v>
      </c>
      <c r="D3800" s="5" t="s">
        <v>13068</v>
      </c>
      <c r="E3800" s="2" t="s">
        <v>15441</v>
      </c>
      <c r="F3800" s="2" t="s">
        <v>15446</v>
      </c>
      <c r="G3800" s="2" t="s">
        <v>15456</v>
      </c>
      <c r="H3800" s="2" t="s">
        <v>15444</v>
      </c>
    </row>
    <row r="3801">
      <c r="A3801" s="2">
        <v>3799.0</v>
      </c>
      <c r="B3801" s="5" t="s">
        <v>5620</v>
      </c>
      <c r="C3801" s="2" t="s">
        <v>5621</v>
      </c>
      <c r="D3801" s="5" t="s">
        <v>5620</v>
      </c>
      <c r="E3801" s="2" t="s">
        <v>15445</v>
      </c>
      <c r="F3801" s="2" t="s">
        <v>15446</v>
      </c>
      <c r="G3801" s="2" t="s">
        <v>15456</v>
      </c>
      <c r="H3801" s="2" t="s">
        <v>15444</v>
      </c>
    </row>
    <row r="3802">
      <c r="A3802" s="2">
        <v>3800.0</v>
      </c>
      <c r="B3802" s="5" t="s">
        <v>13070</v>
      </c>
      <c r="C3802" s="2" t="s">
        <v>13071</v>
      </c>
      <c r="D3802" s="5" t="s">
        <v>13070</v>
      </c>
      <c r="E3802" s="2" t="s">
        <v>15441</v>
      </c>
      <c r="F3802" s="2" t="s">
        <v>15446</v>
      </c>
      <c r="G3802" s="2" t="s">
        <v>15456</v>
      </c>
      <c r="H3802" s="2" t="s">
        <v>15444</v>
      </c>
    </row>
    <row r="3803">
      <c r="A3803" s="2">
        <v>3801.0</v>
      </c>
      <c r="B3803" s="5" t="s">
        <v>5623</v>
      </c>
      <c r="C3803" s="2" t="s">
        <v>5624</v>
      </c>
      <c r="D3803" s="5" t="s">
        <v>5623</v>
      </c>
      <c r="E3803" s="2" t="s">
        <v>15445</v>
      </c>
      <c r="F3803" s="2" t="s">
        <v>15442</v>
      </c>
      <c r="G3803" s="2" t="s">
        <v>15443</v>
      </c>
      <c r="H3803" s="2" t="s">
        <v>15444</v>
      </c>
    </row>
    <row r="3804">
      <c r="A3804" s="2">
        <v>3802.0</v>
      </c>
      <c r="B3804" s="5" t="s">
        <v>13072</v>
      </c>
      <c r="C3804" s="2" t="s">
        <v>13073</v>
      </c>
      <c r="D3804" s="5" t="s">
        <v>13072</v>
      </c>
      <c r="E3804" s="2" t="s">
        <v>15441</v>
      </c>
      <c r="F3804" s="2" t="s">
        <v>15442</v>
      </c>
      <c r="G3804" s="2" t="s">
        <v>15443</v>
      </c>
      <c r="H3804" s="2" t="s">
        <v>15444</v>
      </c>
    </row>
    <row r="3805">
      <c r="A3805" s="2">
        <v>3803.0</v>
      </c>
      <c r="B3805" s="5" t="s">
        <v>5626</v>
      </c>
      <c r="C3805" s="2" t="s">
        <v>5627</v>
      </c>
      <c r="D3805" s="5" t="s">
        <v>5626</v>
      </c>
      <c r="E3805" s="2" t="s">
        <v>15445</v>
      </c>
      <c r="F3805" s="2" t="s">
        <v>15446</v>
      </c>
      <c r="G3805" s="2" t="s">
        <v>15443</v>
      </c>
      <c r="H3805" s="2" t="s">
        <v>15444</v>
      </c>
    </row>
    <row r="3806">
      <c r="A3806" s="2">
        <v>3804.0</v>
      </c>
      <c r="B3806" s="5" t="s">
        <v>5629</v>
      </c>
      <c r="C3806" s="2" t="s">
        <v>5630</v>
      </c>
      <c r="D3806" s="5" t="s">
        <v>5629</v>
      </c>
      <c r="E3806" s="2" t="s">
        <v>15445</v>
      </c>
      <c r="F3806" s="2" t="s">
        <v>15446</v>
      </c>
      <c r="G3806" s="2" t="s">
        <v>15456</v>
      </c>
      <c r="H3806" s="2" t="s">
        <v>15444</v>
      </c>
    </row>
    <row r="3807">
      <c r="A3807" s="2">
        <v>3805.0</v>
      </c>
      <c r="B3807" s="5" t="s">
        <v>13074</v>
      </c>
      <c r="C3807" s="2" t="s">
        <v>13075</v>
      </c>
      <c r="D3807" s="5" t="s">
        <v>13074</v>
      </c>
      <c r="E3807" s="2" t="s">
        <v>15441</v>
      </c>
      <c r="F3807" s="2" t="s">
        <v>15446</v>
      </c>
      <c r="G3807" s="2" t="s">
        <v>15456</v>
      </c>
      <c r="H3807" s="2" t="s">
        <v>15444</v>
      </c>
    </row>
    <row r="3808">
      <c r="A3808" s="2">
        <v>3806.0</v>
      </c>
      <c r="B3808" s="5" t="s">
        <v>5632</v>
      </c>
      <c r="C3808" s="2" t="s">
        <v>5633</v>
      </c>
      <c r="D3808" s="5" t="s">
        <v>5632</v>
      </c>
      <c r="E3808" s="2" t="s">
        <v>15445</v>
      </c>
      <c r="F3808" s="2" t="s">
        <v>15446</v>
      </c>
      <c r="G3808" s="2" t="s">
        <v>15443</v>
      </c>
      <c r="H3808" s="2" t="s">
        <v>15444</v>
      </c>
    </row>
    <row r="3809">
      <c r="A3809" s="2">
        <v>3807.0</v>
      </c>
      <c r="B3809" s="5" t="s">
        <v>13076</v>
      </c>
      <c r="C3809" s="2" t="s">
        <v>13077</v>
      </c>
      <c r="D3809" s="5" t="s">
        <v>13076</v>
      </c>
      <c r="E3809" s="2" t="s">
        <v>15441</v>
      </c>
      <c r="F3809" s="2" t="s">
        <v>15442</v>
      </c>
      <c r="G3809" s="2" t="s">
        <v>15443</v>
      </c>
      <c r="H3809" s="2" t="s">
        <v>15444</v>
      </c>
    </row>
    <row r="3810">
      <c r="A3810" s="2">
        <v>3808.0</v>
      </c>
      <c r="B3810" s="5" t="s">
        <v>13078</v>
      </c>
      <c r="C3810" s="2" t="s">
        <v>13079</v>
      </c>
      <c r="D3810" s="5" t="s">
        <v>13078</v>
      </c>
      <c r="E3810" s="2" t="s">
        <v>15441</v>
      </c>
      <c r="F3810" s="2" t="s">
        <v>15446</v>
      </c>
      <c r="G3810" s="2" t="s">
        <v>15443</v>
      </c>
      <c r="H3810" s="2" t="s">
        <v>15457</v>
      </c>
    </row>
    <row r="3811">
      <c r="A3811" s="2">
        <v>3809.0</v>
      </c>
      <c r="B3811" s="5" t="s">
        <v>5635</v>
      </c>
      <c r="C3811" s="2" t="s">
        <v>5636</v>
      </c>
      <c r="D3811" s="5" t="s">
        <v>5635</v>
      </c>
      <c r="E3811" s="2" t="s">
        <v>15445</v>
      </c>
      <c r="F3811" s="2" t="s">
        <v>15442</v>
      </c>
      <c r="G3811" s="2" t="s">
        <v>15443</v>
      </c>
      <c r="H3811" s="2" t="s">
        <v>15457</v>
      </c>
    </row>
    <row r="3812">
      <c r="A3812" s="2">
        <v>3810.0</v>
      </c>
      <c r="B3812" s="5" t="s">
        <v>15555</v>
      </c>
      <c r="D3812" s="5" t="s">
        <v>15555</v>
      </c>
      <c r="E3812" s="2" t="s">
        <v>15441</v>
      </c>
      <c r="F3812" s="2" t="s">
        <v>15442</v>
      </c>
      <c r="G3812" s="2" t="s">
        <v>15443</v>
      </c>
      <c r="H3812" s="2" t="s">
        <v>15444</v>
      </c>
    </row>
    <row r="3813">
      <c r="A3813" s="2">
        <v>3811.0</v>
      </c>
      <c r="B3813" s="5" t="s">
        <v>13080</v>
      </c>
      <c r="C3813" s="2" t="s">
        <v>13081</v>
      </c>
      <c r="D3813" s="5" t="s">
        <v>13080</v>
      </c>
      <c r="E3813" s="2" t="s">
        <v>15441</v>
      </c>
      <c r="F3813" s="2" t="s">
        <v>15446</v>
      </c>
      <c r="G3813" s="2" t="s">
        <v>15456</v>
      </c>
      <c r="H3813" s="2" t="s">
        <v>15444</v>
      </c>
    </row>
    <row r="3814">
      <c r="A3814" s="2">
        <v>3812.0</v>
      </c>
      <c r="B3814" s="5" t="s">
        <v>13082</v>
      </c>
      <c r="C3814" s="2" t="s">
        <v>13083</v>
      </c>
      <c r="D3814" s="5" t="s">
        <v>13082</v>
      </c>
      <c r="E3814" s="2" t="s">
        <v>15441</v>
      </c>
      <c r="F3814" s="2" t="s">
        <v>15442</v>
      </c>
      <c r="G3814" s="2" t="s">
        <v>15456</v>
      </c>
      <c r="H3814" s="2" t="s">
        <v>15444</v>
      </c>
    </row>
    <row r="3815">
      <c r="A3815" s="2">
        <v>3813.0</v>
      </c>
      <c r="B3815" s="5" t="s">
        <v>5638</v>
      </c>
      <c r="C3815" s="2" t="s">
        <v>5639</v>
      </c>
      <c r="D3815" s="5" t="s">
        <v>5638</v>
      </c>
      <c r="E3815" s="2" t="s">
        <v>15445</v>
      </c>
      <c r="F3815" s="2" t="s">
        <v>15446</v>
      </c>
      <c r="G3815" s="2" t="s">
        <v>15456</v>
      </c>
      <c r="H3815" s="2" t="s">
        <v>15444</v>
      </c>
    </row>
    <row r="3816">
      <c r="A3816" s="2">
        <v>3814.0</v>
      </c>
      <c r="B3816" s="5" t="s">
        <v>5641</v>
      </c>
      <c r="C3816" s="2" t="s">
        <v>5642</v>
      </c>
      <c r="D3816" s="5" t="s">
        <v>5641</v>
      </c>
      <c r="E3816" s="2" t="s">
        <v>15445</v>
      </c>
      <c r="F3816" s="2" t="s">
        <v>15442</v>
      </c>
      <c r="G3816" s="2" t="s">
        <v>15443</v>
      </c>
      <c r="H3816" s="2" t="s">
        <v>15444</v>
      </c>
    </row>
    <row r="3817">
      <c r="A3817" s="2">
        <v>3815.0</v>
      </c>
      <c r="B3817" s="5" t="s">
        <v>5644</v>
      </c>
      <c r="C3817" s="2" t="s">
        <v>5645</v>
      </c>
      <c r="D3817" s="5" t="s">
        <v>5644</v>
      </c>
      <c r="E3817" s="2" t="s">
        <v>15445</v>
      </c>
      <c r="F3817" s="2" t="s">
        <v>15446</v>
      </c>
      <c r="G3817" s="2" t="s">
        <v>15456</v>
      </c>
      <c r="H3817" s="2" t="s">
        <v>15444</v>
      </c>
    </row>
    <row r="3818">
      <c r="A3818" s="2">
        <v>3816.0</v>
      </c>
      <c r="B3818" s="5" t="s">
        <v>5647</v>
      </c>
      <c r="C3818" s="2" t="s">
        <v>5648</v>
      </c>
      <c r="D3818" s="5" t="s">
        <v>5647</v>
      </c>
      <c r="E3818" s="2" t="s">
        <v>15445</v>
      </c>
      <c r="F3818" s="2" t="s">
        <v>15446</v>
      </c>
      <c r="G3818" s="2" t="s">
        <v>15456</v>
      </c>
      <c r="H3818" s="2" t="s">
        <v>15444</v>
      </c>
    </row>
    <row r="3819">
      <c r="A3819" s="2">
        <v>3817.0</v>
      </c>
      <c r="B3819" s="5" t="s">
        <v>13084</v>
      </c>
      <c r="C3819" s="2" t="s">
        <v>13085</v>
      </c>
      <c r="D3819" s="5" t="s">
        <v>13084</v>
      </c>
      <c r="E3819" s="2" t="s">
        <v>15441</v>
      </c>
      <c r="F3819" s="2" t="s">
        <v>15442</v>
      </c>
      <c r="G3819" s="2" t="s">
        <v>15443</v>
      </c>
      <c r="H3819" s="2" t="s">
        <v>15444</v>
      </c>
    </row>
    <row r="3820">
      <c r="A3820" s="2">
        <v>3818.0</v>
      </c>
      <c r="B3820" s="5" t="s">
        <v>5650</v>
      </c>
      <c r="C3820" s="2" t="s">
        <v>5651</v>
      </c>
      <c r="D3820" s="5" t="s">
        <v>5650</v>
      </c>
      <c r="E3820" s="2" t="s">
        <v>15445</v>
      </c>
      <c r="F3820" s="2" t="s">
        <v>15442</v>
      </c>
      <c r="G3820" s="2" t="s">
        <v>15443</v>
      </c>
      <c r="H3820" s="2" t="s">
        <v>15455</v>
      </c>
    </row>
    <row r="3821">
      <c r="A3821" s="2">
        <v>3819.0</v>
      </c>
      <c r="B3821" s="5" t="s">
        <v>5653</v>
      </c>
      <c r="C3821" s="2" t="s">
        <v>5654</v>
      </c>
      <c r="D3821" s="5" t="s">
        <v>5653</v>
      </c>
      <c r="E3821" s="2" t="s">
        <v>15445</v>
      </c>
      <c r="F3821" s="2" t="s">
        <v>15446</v>
      </c>
      <c r="G3821" s="2" t="s">
        <v>15443</v>
      </c>
      <c r="H3821" s="2" t="s">
        <v>15444</v>
      </c>
    </row>
    <row r="3822">
      <c r="A3822" s="2">
        <v>3820.0</v>
      </c>
      <c r="B3822" s="5" t="s">
        <v>13086</v>
      </c>
      <c r="C3822" s="2" t="s">
        <v>13087</v>
      </c>
      <c r="D3822" s="5" t="s">
        <v>13086</v>
      </c>
      <c r="E3822" s="2" t="s">
        <v>15441</v>
      </c>
      <c r="F3822" s="2" t="s">
        <v>15446</v>
      </c>
      <c r="G3822" s="2" t="s">
        <v>15443</v>
      </c>
      <c r="H3822" s="2" t="s">
        <v>15444</v>
      </c>
    </row>
    <row r="3823">
      <c r="A3823" s="2">
        <v>3821.0</v>
      </c>
      <c r="B3823" s="5" t="s">
        <v>13088</v>
      </c>
      <c r="C3823" s="2" t="s">
        <v>13089</v>
      </c>
      <c r="D3823" s="5" t="s">
        <v>13088</v>
      </c>
      <c r="E3823" s="2" t="s">
        <v>15441</v>
      </c>
      <c r="F3823" s="2" t="s">
        <v>15442</v>
      </c>
      <c r="G3823" s="2" t="s">
        <v>15443</v>
      </c>
      <c r="H3823" s="2" t="s">
        <v>15444</v>
      </c>
    </row>
    <row r="3824">
      <c r="A3824" s="2">
        <v>3822.0</v>
      </c>
      <c r="B3824" s="5" t="s">
        <v>5656</v>
      </c>
      <c r="C3824" s="2" t="s">
        <v>5657</v>
      </c>
      <c r="D3824" s="5" t="s">
        <v>5656</v>
      </c>
      <c r="E3824" s="2" t="s">
        <v>15445</v>
      </c>
      <c r="F3824" s="2" t="s">
        <v>15446</v>
      </c>
      <c r="G3824" s="2" t="s">
        <v>15456</v>
      </c>
      <c r="H3824" s="2" t="s">
        <v>15444</v>
      </c>
    </row>
    <row r="3825">
      <c r="A3825" s="2">
        <v>3823.0</v>
      </c>
      <c r="B3825" s="5" t="s">
        <v>5659</v>
      </c>
      <c r="C3825" s="2" t="s">
        <v>5660</v>
      </c>
      <c r="D3825" s="5" t="s">
        <v>5659</v>
      </c>
      <c r="E3825" s="2" t="s">
        <v>15445</v>
      </c>
      <c r="F3825" s="2" t="s">
        <v>15446</v>
      </c>
      <c r="G3825" s="2" t="s">
        <v>15456</v>
      </c>
      <c r="H3825" s="2" t="s">
        <v>15444</v>
      </c>
    </row>
    <row r="3826">
      <c r="A3826" s="2">
        <v>3824.0</v>
      </c>
      <c r="B3826" s="5" t="s">
        <v>13090</v>
      </c>
      <c r="C3826" s="2" t="s">
        <v>13091</v>
      </c>
      <c r="D3826" s="5" t="s">
        <v>13090</v>
      </c>
      <c r="E3826" s="2" t="s">
        <v>15441</v>
      </c>
      <c r="F3826" s="2" t="s">
        <v>15442</v>
      </c>
      <c r="G3826" s="2" t="s">
        <v>15443</v>
      </c>
      <c r="H3826" s="2" t="s">
        <v>15444</v>
      </c>
    </row>
    <row r="3827">
      <c r="A3827" s="2">
        <v>3825.0</v>
      </c>
      <c r="B3827" s="5" t="s">
        <v>13092</v>
      </c>
      <c r="C3827" s="2" t="s">
        <v>13093</v>
      </c>
      <c r="D3827" s="5" t="s">
        <v>13092</v>
      </c>
      <c r="E3827" s="2" t="s">
        <v>15441</v>
      </c>
      <c r="F3827" s="2" t="s">
        <v>15446</v>
      </c>
      <c r="G3827" s="2" t="s">
        <v>15443</v>
      </c>
      <c r="H3827" s="2" t="s">
        <v>15444</v>
      </c>
    </row>
    <row r="3828">
      <c r="A3828" s="2">
        <v>3826.0</v>
      </c>
      <c r="B3828" s="5" t="s">
        <v>15556</v>
      </c>
      <c r="D3828" s="5" t="s">
        <v>15556</v>
      </c>
      <c r="E3828" s="2" t="s">
        <v>15441</v>
      </c>
      <c r="F3828" s="2" t="s">
        <v>15442</v>
      </c>
      <c r="G3828" s="2" t="s">
        <v>15443</v>
      </c>
      <c r="H3828" s="2" t="s">
        <v>15444</v>
      </c>
    </row>
    <row r="3829">
      <c r="A3829" s="2">
        <v>3827.0</v>
      </c>
      <c r="B3829" s="5" t="s">
        <v>5662</v>
      </c>
      <c r="C3829" s="2" t="s">
        <v>5663</v>
      </c>
      <c r="D3829" s="5" t="s">
        <v>5662</v>
      </c>
      <c r="E3829" s="2" t="s">
        <v>15445</v>
      </c>
      <c r="F3829" s="2" t="s">
        <v>15442</v>
      </c>
      <c r="G3829" s="2" t="s">
        <v>15443</v>
      </c>
      <c r="H3829" s="2" t="s">
        <v>15444</v>
      </c>
    </row>
    <row r="3830">
      <c r="A3830" s="2">
        <v>3828.0</v>
      </c>
      <c r="B3830" s="5" t="s">
        <v>5665</v>
      </c>
      <c r="C3830" s="2" t="s">
        <v>5666</v>
      </c>
      <c r="D3830" s="5" t="s">
        <v>5665</v>
      </c>
      <c r="E3830" s="2" t="s">
        <v>15445</v>
      </c>
      <c r="F3830" s="2" t="s">
        <v>15442</v>
      </c>
      <c r="G3830" s="2" t="s">
        <v>15443</v>
      </c>
      <c r="H3830" s="2" t="s">
        <v>15444</v>
      </c>
    </row>
    <row r="3831">
      <c r="A3831" s="2">
        <v>3829.0</v>
      </c>
      <c r="B3831" s="5" t="s">
        <v>13094</v>
      </c>
      <c r="C3831" s="2" t="s">
        <v>13095</v>
      </c>
      <c r="D3831" s="5" t="s">
        <v>13094</v>
      </c>
      <c r="E3831" s="2" t="s">
        <v>15441</v>
      </c>
      <c r="F3831" s="2" t="s">
        <v>15446</v>
      </c>
      <c r="G3831" s="2" t="s">
        <v>15443</v>
      </c>
      <c r="H3831" s="2" t="s">
        <v>15444</v>
      </c>
    </row>
    <row r="3832">
      <c r="A3832" s="2">
        <v>3830.0</v>
      </c>
      <c r="B3832" s="5" t="s">
        <v>13096</v>
      </c>
      <c r="C3832" s="2" t="s">
        <v>13097</v>
      </c>
      <c r="D3832" s="5" t="s">
        <v>13096</v>
      </c>
      <c r="E3832" s="2" t="s">
        <v>15441</v>
      </c>
      <c r="F3832" s="2" t="s">
        <v>15446</v>
      </c>
      <c r="G3832" s="2" t="s">
        <v>15456</v>
      </c>
      <c r="H3832" s="2" t="s">
        <v>15444</v>
      </c>
    </row>
    <row r="3833">
      <c r="A3833" s="2">
        <v>3831.0</v>
      </c>
      <c r="B3833" s="5" t="s">
        <v>5668</v>
      </c>
      <c r="C3833" s="2" t="s">
        <v>5669</v>
      </c>
      <c r="D3833" s="5" t="s">
        <v>5668</v>
      </c>
      <c r="E3833" s="2" t="s">
        <v>15445</v>
      </c>
      <c r="F3833" s="2" t="s">
        <v>15442</v>
      </c>
      <c r="G3833" s="2" t="s">
        <v>15443</v>
      </c>
      <c r="H3833" s="2" t="s">
        <v>15444</v>
      </c>
    </row>
    <row r="3834">
      <c r="A3834" s="2">
        <v>3832.0</v>
      </c>
      <c r="B3834" s="5" t="s">
        <v>13098</v>
      </c>
      <c r="C3834" s="2" t="s">
        <v>13099</v>
      </c>
      <c r="D3834" s="5" t="s">
        <v>13098</v>
      </c>
      <c r="E3834" s="2" t="s">
        <v>15441</v>
      </c>
      <c r="F3834" s="2" t="s">
        <v>15446</v>
      </c>
      <c r="G3834" s="2" t="s">
        <v>15443</v>
      </c>
      <c r="H3834" s="2" t="s">
        <v>15444</v>
      </c>
    </row>
    <row r="3835">
      <c r="A3835" s="2">
        <v>3833.0</v>
      </c>
      <c r="B3835" s="5" t="s">
        <v>5671</v>
      </c>
      <c r="C3835" s="2" t="s">
        <v>5672</v>
      </c>
      <c r="D3835" s="5" t="s">
        <v>5671</v>
      </c>
      <c r="E3835" s="2" t="s">
        <v>15445</v>
      </c>
      <c r="F3835" s="2" t="s">
        <v>15446</v>
      </c>
      <c r="G3835" s="2" t="s">
        <v>15456</v>
      </c>
      <c r="H3835" s="2" t="s">
        <v>15444</v>
      </c>
    </row>
    <row r="3836">
      <c r="A3836" s="2">
        <v>3834.0</v>
      </c>
      <c r="B3836" s="5" t="s">
        <v>13100</v>
      </c>
      <c r="C3836" s="2" t="s">
        <v>13101</v>
      </c>
      <c r="D3836" s="5" t="s">
        <v>13100</v>
      </c>
      <c r="E3836" s="2" t="s">
        <v>15441</v>
      </c>
      <c r="F3836" s="2" t="s">
        <v>15446</v>
      </c>
      <c r="G3836" s="2" t="s">
        <v>15456</v>
      </c>
      <c r="H3836" s="2" t="s">
        <v>15457</v>
      </c>
    </row>
    <row r="3837">
      <c r="A3837" s="2">
        <v>3835.0</v>
      </c>
      <c r="B3837" s="5" t="s">
        <v>5674</v>
      </c>
      <c r="C3837" s="2" t="s">
        <v>5675</v>
      </c>
      <c r="D3837" s="5" t="s">
        <v>5674</v>
      </c>
      <c r="E3837" s="2" t="s">
        <v>15445</v>
      </c>
      <c r="F3837" s="2" t="s">
        <v>15446</v>
      </c>
      <c r="G3837" s="2" t="s">
        <v>15456</v>
      </c>
      <c r="H3837" s="2" t="s">
        <v>15444</v>
      </c>
    </row>
    <row r="3838">
      <c r="A3838" s="2">
        <v>3836.0</v>
      </c>
      <c r="B3838" s="5" t="s">
        <v>13102</v>
      </c>
      <c r="C3838" s="2" t="s">
        <v>13103</v>
      </c>
      <c r="D3838" s="5" t="s">
        <v>13102</v>
      </c>
      <c r="E3838" s="2" t="s">
        <v>15441</v>
      </c>
      <c r="F3838" s="2" t="s">
        <v>15442</v>
      </c>
      <c r="G3838" s="2" t="s">
        <v>15456</v>
      </c>
      <c r="H3838" s="2" t="s">
        <v>15444</v>
      </c>
    </row>
    <row r="3839">
      <c r="A3839" s="2">
        <v>3837.0</v>
      </c>
      <c r="B3839" s="5" t="s">
        <v>13104</v>
      </c>
      <c r="C3839" s="2" t="s">
        <v>13105</v>
      </c>
      <c r="D3839" s="5" t="s">
        <v>13104</v>
      </c>
      <c r="E3839" s="2" t="s">
        <v>15441</v>
      </c>
      <c r="F3839" s="2" t="s">
        <v>15446</v>
      </c>
      <c r="G3839" s="2" t="s">
        <v>15456</v>
      </c>
      <c r="H3839" s="2" t="s">
        <v>15444</v>
      </c>
    </row>
    <row r="3840">
      <c r="A3840" s="2">
        <v>3838.0</v>
      </c>
      <c r="B3840" s="5" t="s">
        <v>5677</v>
      </c>
      <c r="C3840" s="2" t="s">
        <v>5678</v>
      </c>
      <c r="D3840" s="5" t="s">
        <v>5677</v>
      </c>
      <c r="E3840" s="2" t="s">
        <v>15445</v>
      </c>
      <c r="F3840" s="2" t="s">
        <v>15446</v>
      </c>
      <c r="G3840" s="2" t="s">
        <v>15456</v>
      </c>
      <c r="H3840" s="2" t="s">
        <v>15444</v>
      </c>
    </row>
    <row r="3841">
      <c r="A3841" s="2">
        <v>3839.0</v>
      </c>
      <c r="B3841" s="5" t="s">
        <v>5680</v>
      </c>
      <c r="C3841" s="2" t="s">
        <v>5681</v>
      </c>
      <c r="D3841" s="5" t="s">
        <v>5680</v>
      </c>
      <c r="E3841" s="2" t="s">
        <v>15445</v>
      </c>
      <c r="F3841" s="2" t="s">
        <v>15446</v>
      </c>
      <c r="G3841" s="2" t="s">
        <v>15456</v>
      </c>
      <c r="H3841" s="2" t="s">
        <v>15444</v>
      </c>
    </row>
    <row r="3842">
      <c r="A3842" s="2">
        <v>3840.0</v>
      </c>
      <c r="B3842" s="5" t="s">
        <v>5683</v>
      </c>
      <c r="C3842" s="2" t="s">
        <v>5684</v>
      </c>
      <c r="D3842" s="5" t="s">
        <v>5683</v>
      </c>
      <c r="E3842" s="2" t="s">
        <v>15445</v>
      </c>
      <c r="F3842" s="2" t="s">
        <v>15446</v>
      </c>
      <c r="G3842" s="2" t="s">
        <v>15456</v>
      </c>
      <c r="H3842" s="2" t="s">
        <v>15444</v>
      </c>
    </row>
    <row r="3843">
      <c r="A3843" s="2">
        <v>3841.0</v>
      </c>
      <c r="B3843" s="5" t="s">
        <v>13106</v>
      </c>
      <c r="C3843" s="2" t="s">
        <v>13107</v>
      </c>
      <c r="D3843" s="5" t="s">
        <v>13106</v>
      </c>
      <c r="E3843" s="2" t="s">
        <v>15441</v>
      </c>
      <c r="F3843" s="2" t="s">
        <v>15446</v>
      </c>
      <c r="G3843" s="2" t="s">
        <v>15456</v>
      </c>
      <c r="H3843" s="2" t="s">
        <v>15444</v>
      </c>
    </row>
    <row r="3844">
      <c r="A3844" s="2">
        <v>3842.0</v>
      </c>
      <c r="B3844" s="5" t="s">
        <v>5686</v>
      </c>
      <c r="C3844" s="2" t="s">
        <v>5687</v>
      </c>
      <c r="D3844" s="5" t="s">
        <v>5686</v>
      </c>
      <c r="E3844" s="2" t="s">
        <v>15445</v>
      </c>
      <c r="F3844" s="2" t="s">
        <v>15446</v>
      </c>
      <c r="G3844" s="2" t="s">
        <v>15443</v>
      </c>
      <c r="H3844" s="2" t="s">
        <v>15444</v>
      </c>
    </row>
    <row r="3845">
      <c r="A3845" s="2">
        <v>3843.0</v>
      </c>
      <c r="B3845" s="5" t="s">
        <v>5689</v>
      </c>
      <c r="C3845" s="2" t="s">
        <v>5690</v>
      </c>
      <c r="D3845" s="5" t="s">
        <v>5689</v>
      </c>
      <c r="E3845" s="2" t="s">
        <v>15445</v>
      </c>
      <c r="F3845" s="2" t="s">
        <v>15446</v>
      </c>
      <c r="G3845" s="2" t="s">
        <v>15443</v>
      </c>
      <c r="H3845" s="2" t="s">
        <v>15444</v>
      </c>
    </row>
    <row r="3846">
      <c r="A3846" s="2">
        <v>3844.0</v>
      </c>
      <c r="B3846" s="5" t="s">
        <v>13108</v>
      </c>
      <c r="C3846" s="2" t="s">
        <v>13109</v>
      </c>
      <c r="D3846" s="5" t="s">
        <v>13108</v>
      </c>
      <c r="E3846" s="2" t="s">
        <v>15441</v>
      </c>
      <c r="F3846" s="2" t="s">
        <v>15446</v>
      </c>
      <c r="G3846" s="2" t="s">
        <v>15456</v>
      </c>
      <c r="H3846" s="2" t="s">
        <v>15444</v>
      </c>
    </row>
    <row r="3847">
      <c r="A3847" s="2">
        <v>3845.0</v>
      </c>
      <c r="B3847" s="5" t="s">
        <v>13110</v>
      </c>
      <c r="C3847" s="2" t="s">
        <v>13111</v>
      </c>
      <c r="D3847" s="5" t="s">
        <v>13110</v>
      </c>
      <c r="E3847" s="2" t="s">
        <v>15441</v>
      </c>
      <c r="F3847" s="2" t="s">
        <v>15442</v>
      </c>
      <c r="G3847" s="2" t="s">
        <v>15443</v>
      </c>
      <c r="H3847" s="2" t="s">
        <v>15444</v>
      </c>
    </row>
    <row r="3848">
      <c r="A3848" s="2">
        <v>3846.0</v>
      </c>
      <c r="B3848" s="5" t="s">
        <v>5692</v>
      </c>
      <c r="C3848" s="2" t="s">
        <v>5693</v>
      </c>
      <c r="D3848" s="5" t="s">
        <v>5692</v>
      </c>
      <c r="E3848" s="2" t="s">
        <v>15445</v>
      </c>
      <c r="F3848" s="2" t="s">
        <v>15446</v>
      </c>
      <c r="G3848" s="2" t="s">
        <v>15443</v>
      </c>
      <c r="H3848" s="2" t="s">
        <v>15444</v>
      </c>
    </row>
    <row r="3849">
      <c r="A3849" s="2">
        <v>3847.0</v>
      </c>
      <c r="B3849" s="5" t="s">
        <v>13112</v>
      </c>
      <c r="C3849" s="2" t="s">
        <v>13113</v>
      </c>
      <c r="D3849" s="5" t="s">
        <v>13112</v>
      </c>
      <c r="E3849" s="2" t="s">
        <v>15441</v>
      </c>
      <c r="F3849" s="2" t="s">
        <v>15442</v>
      </c>
      <c r="G3849" s="2" t="s">
        <v>15443</v>
      </c>
      <c r="H3849" s="2" t="s">
        <v>15444</v>
      </c>
    </row>
    <row r="3850">
      <c r="A3850" s="2">
        <v>3848.0</v>
      </c>
      <c r="B3850" s="5" t="s">
        <v>5695</v>
      </c>
      <c r="C3850" s="2" t="s">
        <v>5696</v>
      </c>
      <c r="D3850" s="5" t="s">
        <v>5695</v>
      </c>
      <c r="E3850" s="2" t="s">
        <v>15445</v>
      </c>
      <c r="F3850" s="2" t="s">
        <v>15442</v>
      </c>
      <c r="G3850" s="2" t="s">
        <v>15456</v>
      </c>
      <c r="H3850" s="2" t="s">
        <v>15444</v>
      </c>
    </row>
    <row r="3851">
      <c r="A3851" s="2">
        <v>3849.0</v>
      </c>
      <c r="B3851" s="5" t="s">
        <v>13114</v>
      </c>
      <c r="C3851" s="2" t="s">
        <v>13115</v>
      </c>
      <c r="D3851" s="5" t="s">
        <v>13114</v>
      </c>
      <c r="E3851" s="2" t="s">
        <v>15441</v>
      </c>
      <c r="F3851" s="2" t="s">
        <v>15442</v>
      </c>
      <c r="G3851" s="2" t="s">
        <v>15456</v>
      </c>
      <c r="H3851" s="2" t="s">
        <v>15444</v>
      </c>
    </row>
    <row r="3852">
      <c r="A3852" s="2">
        <v>3850.0</v>
      </c>
      <c r="B3852" s="5" t="s">
        <v>5698</v>
      </c>
      <c r="C3852" s="2" t="s">
        <v>5699</v>
      </c>
      <c r="D3852" s="5" t="s">
        <v>5698</v>
      </c>
      <c r="E3852" s="2" t="s">
        <v>15445</v>
      </c>
      <c r="F3852" s="2" t="s">
        <v>15446</v>
      </c>
      <c r="G3852" s="2" t="s">
        <v>15456</v>
      </c>
      <c r="H3852" s="2" t="s">
        <v>15462</v>
      </c>
    </row>
    <row r="3853">
      <c r="A3853" s="2">
        <v>3851.0</v>
      </c>
      <c r="B3853" s="5" t="s">
        <v>13116</v>
      </c>
      <c r="C3853" s="2" t="s">
        <v>13117</v>
      </c>
      <c r="D3853" s="5" t="s">
        <v>13116</v>
      </c>
      <c r="E3853" s="2" t="s">
        <v>15441</v>
      </c>
      <c r="F3853" s="2" t="s">
        <v>15442</v>
      </c>
      <c r="G3853" s="2" t="s">
        <v>15443</v>
      </c>
      <c r="H3853" s="2" t="s">
        <v>15444</v>
      </c>
    </row>
    <row r="3854">
      <c r="A3854" s="2">
        <v>3852.0</v>
      </c>
      <c r="B3854" s="5" t="s">
        <v>13118</v>
      </c>
      <c r="C3854" s="2" t="s">
        <v>13119</v>
      </c>
      <c r="D3854" s="5" t="s">
        <v>13118</v>
      </c>
      <c r="E3854" s="2" t="s">
        <v>15441</v>
      </c>
      <c r="F3854" s="2" t="s">
        <v>15442</v>
      </c>
      <c r="G3854" s="2" t="s">
        <v>15443</v>
      </c>
      <c r="H3854" s="2" t="s">
        <v>15444</v>
      </c>
    </row>
    <row r="3855">
      <c r="A3855" s="2">
        <v>3853.0</v>
      </c>
      <c r="B3855" s="5" t="s">
        <v>13120</v>
      </c>
      <c r="C3855" s="2" t="s">
        <v>13121</v>
      </c>
      <c r="D3855" s="5" t="s">
        <v>13120</v>
      </c>
      <c r="E3855" s="2" t="s">
        <v>15441</v>
      </c>
      <c r="F3855" s="2" t="s">
        <v>15446</v>
      </c>
      <c r="G3855" s="2" t="s">
        <v>15456</v>
      </c>
      <c r="H3855" s="2" t="s">
        <v>15444</v>
      </c>
    </row>
    <row r="3856">
      <c r="A3856" s="2">
        <v>3854.0</v>
      </c>
      <c r="B3856" s="5" t="s">
        <v>5701</v>
      </c>
      <c r="C3856" s="2" t="s">
        <v>5702</v>
      </c>
      <c r="D3856" s="5" t="s">
        <v>5701</v>
      </c>
      <c r="E3856" s="2" t="s">
        <v>15445</v>
      </c>
      <c r="F3856" s="2" t="s">
        <v>15446</v>
      </c>
      <c r="G3856" s="2" t="s">
        <v>15443</v>
      </c>
      <c r="H3856" s="2" t="s">
        <v>15444</v>
      </c>
    </row>
    <row r="3857">
      <c r="A3857" s="2">
        <v>3855.0</v>
      </c>
      <c r="B3857" s="5" t="s">
        <v>5704</v>
      </c>
      <c r="C3857" s="2" t="s">
        <v>5705</v>
      </c>
      <c r="D3857" s="5" t="s">
        <v>5704</v>
      </c>
      <c r="E3857" s="2" t="s">
        <v>15445</v>
      </c>
      <c r="F3857" s="2" t="s">
        <v>15446</v>
      </c>
      <c r="G3857" s="2" t="s">
        <v>15456</v>
      </c>
      <c r="H3857" s="2" t="s">
        <v>15444</v>
      </c>
    </row>
    <row r="3858">
      <c r="A3858" s="2">
        <v>3856.0</v>
      </c>
      <c r="B3858" s="5" t="s">
        <v>13122</v>
      </c>
      <c r="C3858" s="2" t="s">
        <v>13123</v>
      </c>
      <c r="D3858" s="5" t="s">
        <v>13122</v>
      </c>
      <c r="E3858" s="2" t="s">
        <v>15441</v>
      </c>
      <c r="F3858" s="2" t="s">
        <v>15446</v>
      </c>
      <c r="G3858" s="2" t="s">
        <v>15443</v>
      </c>
      <c r="H3858" s="2" t="s">
        <v>15455</v>
      </c>
    </row>
    <row r="3859">
      <c r="A3859" s="2">
        <v>3857.0</v>
      </c>
      <c r="B3859" s="5" t="s">
        <v>13124</v>
      </c>
      <c r="C3859" s="2" t="s">
        <v>13125</v>
      </c>
      <c r="D3859" s="5" t="s">
        <v>13124</v>
      </c>
      <c r="E3859" s="2" t="s">
        <v>15441</v>
      </c>
      <c r="F3859" s="2" t="s">
        <v>15446</v>
      </c>
      <c r="G3859" s="2" t="s">
        <v>15456</v>
      </c>
      <c r="H3859" s="2" t="s">
        <v>15455</v>
      </c>
    </row>
    <row r="3860">
      <c r="A3860" s="2">
        <v>3858.0</v>
      </c>
      <c r="B3860" s="5" t="s">
        <v>5707</v>
      </c>
      <c r="C3860" s="2" t="s">
        <v>5708</v>
      </c>
      <c r="D3860" s="5" t="s">
        <v>5707</v>
      </c>
      <c r="E3860" s="2" t="s">
        <v>15445</v>
      </c>
      <c r="F3860" s="2" t="s">
        <v>15442</v>
      </c>
      <c r="G3860" s="2" t="s">
        <v>15443</v>
      </c>
      <c r="H3860" s="2" t="s">
        <v>15444</v>
      </c>
    </row>
    <row r="3861">
      <c r="A3861" s="2">
        <v>3859.0</v>
      </c>
      <c r="B3861" s="5" t="s">
        <v>5710</v>
      </c>
      <c r="C3861" s="2" t="s">
        <v>5711</v>
      </c>
      <c r="D3861" s="5" t="s">
        <v>5710</v>
      </c>
      <c r="E3861" s="2" t="s">
        <v>15445</v>
      </c>
      <c r="F3861" s="2" t="s">
        <v>15446</v>
      </c>
      <c r="G3861" s="2" t="s">
        <v>15456</v>
      </c>
      <c r="H3861" s="2" t="s">
        <v>15444</v>
      </c>
    </row>
    <row r="3862">
      <c r="A3862" s="2">
        <v>3860.0</v>
      </c>
      <c r="B3862" s="5" t="s">
        <v>5713</v>
      </c>
      <c r="C3862" s="2" t="s">
        <v>5714</v>
      </c>
      <c r="D3862" s="5" t="s">
        <v>5713</v>
      </c>
      <c r="E3862" s="2" t="s">
        <v>15445</v>
      </c>
      <c r="F3862" s="2" t="s">
        <v>15442</v>
      </c>
      <c r="G3862" s="2" t="s">
        <v>15443</v>
      </c>
      <c r="H3862" s="2" t="s">
        <v>15444</v>
      </c>
    </row>
    <row r="3863">
      <c r="A3863" s="2">
        <v>3861.0</v>
      </c>
      <c r="B3863" s="5" t="s">
        <v>13126</v>
      </c>
      <c r="C3863" s="2" t="s">
        <v>13127</v>
      </c>
      <c r="D3863" s="5" t="s">
        <v>13126</v>
      </c>
      <c r="E3863" s="2" t="s">
        <v>15441</v>
      </c>
      <c r="F3863" s="2" t="s">
        <v>15442</v>
      </c>
      <c r="G3863" s="2" t="s">
        <v>15443</v>
      </c>
      <c r="H3863" s="2" t="s">
        <v>15444</v>
      </c>
    </row>
    <row r="3864">
      <c r="A3864" s="2">
        <v>3862.0</v>
      </c>
      <c r="B3864" s="5" t="s">
        <v>13128</v>
      </c>
      <c r="C3864" s="2" t="s">
        <v>13129</v>
      </c>
      <c r="D3864" s="5" t="s">
        <v>13128</v>
      </c>
      <c r="E3864" s="2" t="s">
        <v>15441</v>
      </c>
      <c r="F3864" s="2" t="s">
        <v>15446</v>
      </c>
      <c r="G3864" s="2" t="s">
        <v>15443</v>
      </c>
      <c r="H3864" s="2" t="s">
        <v>15444</v>
      </c>
    </row>
    <row r="3865">
      <c r="A3865" s="2">
        <v>3863.0</v>
      </c>
      <c r="B3865" s="5" t="s">
        <v>13130</v>
      </c>
      <c r="C3865" s="2" t="s">
        <v>13131</v>
      </c>
      <c r="D3865" s="5" t="s">
        <v>13130</v>
      </c>
      <c r="E3865" s="2" t="s">
        <v>15441</v>
      </c>
      <c r="F3865" s="2" t="s">
        <v>15446</v>
      </c>
      <c r="G3865" s="2" t="s">
        <v>15456</v>
      </c>
      <c r="H3865" s="2" t="s">
        <v>15444</v>
      </c>
    </row>
    <row r="3866">
      <c r="A3866" s="2">
        <v>3864.0</v>
      </c>
      <c r="B3866" s="5" t="s">
        <v>5716</v>
      </c>
      <c r="C3866" s="2" t="s">
        <v>5717</v>
      </c>
      <c r="D3866" s="5" t="s">
        <v>5716</v>
      </c>
      <c r="E3866" s="2" t="s">
        <v>15445</v>
      </c>
      <c r="F3866" s="2" t="s">
        <v>15446</v>
      </c>
      <c r="G3866" s="2" t="s">
        <v>15443</v>
      </c>
      <c r="H3866" s="2" t="s">
        <v>15444</v>
      </c>
    </row>
    <row r="3867">
      <c r="A3867" s="2">
        <v>3865.0</v>
      </c>
      <c r="B3867" s="5" t="s">
        <v>13132</v>
      </c>
      <c r="C3867" s="2" t="s">
        <v>13133</v>
      </c>
      <c r="D3867" s="5" t="s">
        <v>13132</v>
      </c>
      <c r="E3867" s="2" t="s">
        <v>15441</v>
      </c>
      <c r="F3867" s="2" t="s">
        <v>15446</v>
      </c>
      <c r="G3867" s="2" t="s">
        <v>15456</v>
      </c>
      <c r="H3867" s="2" t="s">
        <v>15444</v>
      </c>
    </row>
    <row r="3868">
      <c r="A3868" s="2">
        <v>3866.0</v>
      </c>
      <c r="B3868" s="5" t="s">
        <v>13134</v>
      </c>
      <c r="C3868" s="2" t="s">
        <v>13135</v>
      </c>
      <c r="D3868" s="5" t="s">
        <v>13134</v>
      </c>
      <c r="E3868" s="2" t="s">
        <v>15441</v>
      </c>
      <c r="F3868" s="2" t="s">
        <v>15446</v>
      </c>
      <c r="G3868" s="2" t="s">
        <v>15456</v>
      </c>
      <c r="H3868" s="2" t="s">
        <v>15455</v>
      </c>
    </row>
    <row r="3869">
      <c r="A3869" s="2">
        <v>3867.0</v>
      </c>
      <c r="B3869" s="5" t="s">
        <v>5719</v>
      </c>
      <c r="C3869" s="2" t="s">
        <v>5720</v>
      </c>
      <c r="D3869" s="5" t="s">
        <v>5719</v>
      </c>
      <c r="E3869" s="2" t="s">
        <v>15445</v>
      </c>
      <c r="F3869" s="2" t="s">
        <v>15442</v>
      </c>
      <c r="G3869" s="2" t="s">
        <v>15443</v>
      </c>
      <c r="H3869" s="2" t="s">
        <v>15444</v>
      </c>
    </row>
    <row r="3870">
      <c r="A3870" s="2">
        <v>3868.0</v>
      </c>
      <c r="B3870" s="5" t="s">
        <v>13136</v>
      </c>
      <c r="C3870" s="2" t="s">
        <v>13137</v>
      </c>
      <c r="D3870" s="5" t="s">
        <v>13136</v>
      </c>
      <c r="E3870" s="2" t="s">
        <v>15441</v>
      </c>
      <c r="F3870" s="2" t="s">
        <v>15442</v>
      </c>
      <c r="G3870" s="2" t="s">
        <v>15443</v>
      </c>
      <c r="H3870" s="2" t="s">
        <v>15444</v>
      </c>
    </row>
    <row r="3871">
      <c r="A3871" s="2">
        <v>3869.0</v>
      </c>
      <c r="B3871" s="5" t="s">
        <v>5722</v>
      </c>
      <c r="C3871" s="2" t="s">
        <v>5723</v>
      </c>
      <c r="D3871" s="5" t="s">
        <v>5722</v>
      </c>
      <c r="E3871" s="2" t="s">
        <v>15445</v>
      </c>
      <c r="F3871" s="2" t="s">
        <v>15442</v>
      </c>
      <c r="G3871" s="2" t="s">
        <v>15443</v>
      </c>
      <c r="H3871" s="2" t="s">
        <v>15444</v>
      </c>
    </row>
    <row r="3872">
      <c r="A3872" s="2">
        <v>3870.0</v>
      </c>
      <c r="B3872" s="5" t="s">
        <v>15557</v>
      </c>
      <c r="C3872" s="2" t="s">
        <v>15479</v>
      </c>
      <c r="D3872" s="5" t="s">
        <v>15557</v>
      </c>
      <c r="E3872" s="2" t="s">
        <v>15441</v>
      </c>
      <c r="F3872" s="2" t="s">
        <v>15446</v>
      </c>
      <c r="G3872" s="2" t="s">
        <v>15456</v>
      </c>
      <c r="H3872" s="2" t="s">
        <v>15457</v>
      </c>
    </row>
    <row r="3873">
      <c r="A3873" s="2">
        <v>3871.0</v>
      </c>
      <c r="B3873" s="5" t="s">
        <v>13138</v>
      </c>
      <c r="C3873" s="2" t="s">
        <v>13139</v>
      </c>
      <c r="D3873" s="5" t="s">
        <v>13138</v>
      </c>
      <c r="E3873" s="2" t="s">
        <v>15441</v>
      </c>
      <c r="F3873" s="2" t="s">
        <v>15442</v>
      </c>
      <c r="G3873" s="2" t="s">
        <v>15443</v>
      </c>
      <c r="H3873" s="2" t="s">
        <v>15444</v>
      </c>
    </row>
    <row r="3874">
      <c r="A3874" s="2">
        <v>3872.0</v>
      </c>
      <c r="B3874" s="5" t="s">
        <v>5725</v>
      </c>
      <c r="C3874" s="2" t="s">
        <v>5726</v>
      </c>
      <c r="D3874" s="5" t="s">
        <v>5725</v>
      </c>
      <c r="E3874" s="2" t="s">
        <v>15445</v>
      </c>
      <c r="F3874" s="2" t="s">
        <v>15446</v>
      </c>
      <c r="G3874" s="2" t="s">
        <v>15456</v>
      </c>
      <c r="H3874" s="2" t="s">
        <v>15444</v>
      </c>
    </row>
    <row r="3875">
      <c r="A3875" s="2">
        <v>3873.0</v>
      </c>
      <c r="B3875" s="5" t="s">
        <v>13140</v>
      </c>
      <c r="C3875" s="2" t="s">
        <v>13141</v>
      </c>
      <c r="D3875" s="5" t="s">
        <v>13140</v>
      </c>
      <c r="E3875" s="2" t="s">
        <v>15441</v>
      </c>
      <c r="F3875" s="2" t="s">
        <v>15442</v>
      </c>
      <c r="G3875" s="2" t="s">
        <v>15443</v>
      </c>
      <c r="H3875" s="2" t="s">
        <v>15444</v>
      </c>
    </row>
    <row r="3876">
      <c r="A3876" s="2">
        <v>3874.0</v>
      </c>
      <c r="B3876" s="5" t="s">
        <v>13142</v>
      </c>
      <c r="C3876" s="2" t="s">
        <v>13143</v>
      </c>
      <c r="D3876" s="5" t="s">
        <v>13142</v>
      </c>
      <c r="E3876" s="2" t="s">
        <v>15441</v>
      </c>
      <c r="F3876" s="2" t="s">
        <v>15446</v>
      </c>
      <c r="G3876" s="2" t="s">
        <v>15456</v>
      </c>
      <c r="H3876" s="2" t="s">
        <v>15444</v>
      </c>
    </row>
    <row r="3877">
      <c r="A3877" s="2">
        <v>3875.0</v>
      </c>
      <c r="B3877" s="5" t="s">
        <v>5728</v>
      </c>
      <c r="C3877" s="2" t="s">
        <v>5729</v>
      </c>
      <c r="D3877" s="5" t="s">
        <v>5728</v>
      </c>
      <c r="E3877" s="2" t="s">
        <v>15445</v>
      </c>
      <c r="F3877" s="2" t="s">
        <v>15442</v>
      </c>
      <c r="G3877" s="2" t="s">
        <v>15443</v>
      </c>
      <c r="H3877" s="2" t="s">
        <v>15444</v>
      </c>
    </row>
    <row r="3878">
      <c r="A3878" s="2">
        <v>3876.0</v>
      </c>
      <c r="B3878" s="5" t="s">
        <v>13144</v>
      </c>
      <c r="C3878" s="2" t="s">
        <v>13145</v>
      </c>
      <c r="D3878" s="5" t="s">
        <v>13144</v>
      </c>
      <c r="E3878" s="2" t="s">
        <v>15441</v>
      </c>
      <c r="F3878" s="2" t="s">
        <v>15442</v>
      </c>
      <c r="G3878" s="2" t="s">
        <v>15443</v>
      </c>
      <c r="H3878" s="2" t="s">
        <v>15444</v>
      </c>
    </row>
    <row r="3879">
      <c r="A3879" s="2">
        <v>3877.0</v>
      </c>
      <c r="B3879" s="5" t="s">
        <v>13146</v>
      </c>
      <c r="C3879" s="2" t="s">
        <v>13147</v>
      </c>
      <c r="D3879" s="5" t="s">
        <v>13146</v>
      </c>
      <c r="E3879" s="2" t="s">
        <v>15441</v>
      </c>
      <c r="F3879" s="2" t="s">
        <v>15446</v>
      </c>
      <c r="G3879" s="2" t="s">
        <v>15456</v>
      </c>
      <c r="H3879" s="2" t="s">
        <v>15444</v>
      </c>
    </row>
    <row r="3880">
      <c r="A3880" s="2">
        <v>3878.0</v>
      </c>
      <c r="B3880" s="5" t="s">
        <v>13148</v>
      </c>
      <c r="C3880" s="2" t="s">
        <v>13149</v>
      </c>
      <c r="D3880" s="5" t="s">
        <v>13148</v>
      </c>
      <c r="E3880" s="2" t="s">
        <v>15441</v>
      </c>
      <c r="F3880" s="2" t="s">
        <v>15442</v>
      </c>
      <c r="G3880" s="2" t="s">
        <v>15443</v>
      </c>
      <c r="H3880" s="2" t="s">
        <v>15444</v>
      </c>
    </row>
    <row r="3881">
      <c r="A3881" s="2">
        <v>3879.0</v>
      </c>
      <c r="B3881" s="5" t="s">
        <v>5731</v>
      </c>
      <c r="C3881" s="2" t="s">
        <v>5732</v>
      </c>
      <c r="D3881" s="5" t="s">
        <v>5731</v>
      </c>
      <c r="E3881" s="2" t="s">
        <v>15445</v>
      </c>
      <c r="F3881" s="2" t="s">
        <v>15446</v>
      </c>
      <c r="G3881" s="2" t="s">
        <v>15456</v>
      </c>
      <c r="H3881" s="2" t="s">
        <v>15444</v>
      </c>
    </row>
    <row r="3882">
      <c r="A3882" s="2">
        <v>3880.0</v>
      </c>
      <c r="B3882" s="5" t="s">
        <v>13150</v>
      </c>
      <c r="C3882" s="2" t="s">
        <v>13151</v>
      </c>
      <c r="D3882" s="5" t="s">
        <v>13150</v>
      </c>
      <c r="E3882" s="2" t="s">
        <v>15441</v>
      </c>
      <c r="F3882" s="2" t="s">
        <v>15442</v>
      </c>
      <c r="G3882" s="2" t="s">
        <v>15456</v>
      </c>
      <c r="H3882" s="2" t="s">
        <v>15444</v>
      </c>
    </row>
    <row r="3883">
      <c r="A3883" s="2">
        <v>3881.0</v>
      </c>
      <c r="B3883" s="5" t="s">
        <v>5734</v>
      </c>
      <c r="C3883" s="2" t="s">
        <v>5735</v>
      </c>
      <c r="D3883" s="5" t="s">
        <v>5734</v>
      </c>
      <c r="E3883" s="2" t="s">
        <v>15445</v>
      </c>
      <c r="F3883" s="2" t="s">
        <v>15442</v>
      </c>
      <c r="G3883" s="2" t="s">
        <v>15443</v>
      </c>
      <c r="H3883" s="2" t="s">
        <v>15444</v>
      </c>
    </row>
    <row r="3884">
      <c r="A3884" s="2">
        <v>3882.0</v>
      </c>
      <c r="B3884" s="5" t="s">
        <v>5737</v>
      </c>
      <c r="C3884" s="2" t="s">
        <v>5738</v>
      </c>
      <c r="D3884" s="5" t="s">
        <v>5737</v>
      </c>
      <c r="E3884" s="2" t="s">
        <v>15445</v>
      </c>
      <c r="F3884" s="2" t="s">
        <v>15446</v>
      </c>
      <c r="G3884" s="2" t="s">
        <v>15456</v>
      </c>
      <c r="H3884" s="2" t="s">
        <v>15444</v>
      </c>
    </row>
    <row r="3885">
      <c r="A3885" s="2">
        <v>3883.0</v>
      </c>
      <c r="B3885" s="5" t="s">
        <v>5740</v>
      </c>
      <c r="C3885" s="2" t="s">
        <v>5741</v>
      </c>
      <c r="D3885" s="5" t="s">
        <v>5740</v>
      </c>
      <c r="E3885" s="2" t="s">
        <v>15445</v>
      </c>
      <c r="F3885" s="2" t="s">
        <v>15442</v>
      </c>
      <c r="G3885" s="2" t="s">
        <v>15443</v>
      </c>
      <c r="H3885" s="2" t="s">
        <v>15444</v>
      </c>
    </row>
    <row r="3886">
      <c r="A3886" s="2">
        <v>3884.0</v>
      </c>
      <c r="B3886" s="5" t="s">
        <v>5743</v>
      </c>
      <c r="C3886" s="2" t="s">
        <v>5744</v>
      </c>
      <c r="D3886" s="5" t="s">
        <v>5743</v>
      </c>
      <c r="E3886" s="2" t="s">
        <v>15445</v>
      </c>
      <c r="F3886" s="2" t="s">
        <v>15442</v>
      </c>
      <c r="G3886" s="2" t="s">
        <v>15443</v>
      </c>
      <c r="H3886" s="2" t="s">
        <v>15444</v>
      </c>
    </row>
    <row r="3887">
      <c r="A3887" s="2">
        <v>3885.0</v>
      </c>
      <c r="B3887" s="5" t="s">
        <v>5746</v>
      </c>
      <c r="C3887" s="2" t="s">
        <v>5747</v>
      </c>
      <c r="D3887" s="5" t="s">
        <v>5746</v>
      </c>
      <c r="E3887" s="2" t="s">
        <v>15445</v>
      </c>
      <c r="F3887" s="2" t="s">
        <v>15442</v>
      </c>
      <c r="G3887" s="2" t="s">
        <v>15456</v>
      </c>
      <c r="H3887" s="2" t="s">
        <v>15444</v>
      </c>
    </row>
    <row r="3888">
      <c r="A3888" s="2">
        <v>3886.0</v>
      </c>
      <c r="B3888" s="5" t="s">
        <v>13152</v>
      </c>
      <c r="C3888" s="2" t="s">
        <v>13153</v>
      </c>
      <c r="D3888" s="5" t="s">
        <v>13152</v>
      </c>
      <c r="E3888" s="2" t="s">
        <v>15441</v>
      </c>
      <c r="F3888" s="2" t="s">
        <v>15446</v>
      </c>
      <c r="G3888" s="2" t="s">
        <v>15456</v>
      </c>
      <c r="H3888" s="2" t="s">
        <v>15444</v>
      </c>
    </row>
    <row r="3889">
      <c r="A3889" s="2">
        <v>3887.0</v>
      </c>
      <c r="B3889" s="5" t="s">
        <v>13154</v>
      </c>
      <c r="C3889" s="2" t="s">
        <v>13155</v>
      </c>
      <c r="D3889" s="5" t="s">
        <v>13154</v>
      </c>
      <c r="E3889" s="2" t="s">
        <v>15441</v>
      </c>
      <c r="F3889" s="2" t="s">
        <v>15446</v>
      </c>
      <c r="G3889" s="2" t="s">
        <v>15456</v>
      </c>
      <c r="H3889" s="2" t="s">
        <v>15444</v>
      </c>
    </row>
    <row r="3890">
      <c r="A3890" s="2">
        <v>3888.0</v>
      </c>
      <c r="B3890" s="5" t="s">
        <v>5749</v>
      </c>
      <c r="C3890" s="2" t="s">
        <v>5750</v>
      </c>
      <c r="D3890" s="5" t="s">
        <v>5749</v>
      </c>
      <c r="E3890" s="2" t="s">
        <v>15445</v>
      </c>
      <c r="F3890" s="2" t="s">
        <v>15442</v>
      </c>
      <c r="G3890" s="2" t="s">
        <v>15443</v>
      </c>
      <c r="H3890" s="2" t="s">
        <v>15444</v>
      </c>
    </row>
    <row r="3891">
      <c r="A3891" s="2">
        <v>3889.0</v>
      </c>
      <c r="B3891" s="5" t="s">
        <v>5752</v>
      </c>
      <c r="C3891" s="2" t="s">
        <v>5753</v>
      </c>
      <c r="D3891" s="5" t="s">
        <v>5752</v>
      </c>
      <c r="E3891" s="2" t="s">
        <v>15445</v>
      </c>
      <c r="F3891" s="2" t="s">
        <v>15446</v>
      </c>
      <c r="G3891" s="2" t="s">
        <v>15456</v>
      </c>
      <c r="H3891" s="2" t="s">
        <v>15444</v>
      </c>
    </row>
    <row r="3892">
      <c r="A3892" s="2">
        <v>3890.0</v>
      </c>
      <c r="B3892" s="5" t="s">
        <v>5755</v>
      </c>
      <c r="C3892" s="2" t="s">
        <v>5756</v>
      </c>
      <c r="D3892" s="5" t="s">
        <v>5755</v>
      </c>
      <c r="E3892" s="2" t="s">
        <v>15445</v>
      </c>
      <c r="F3892" s="2" t="s">
        <v>15446</v>
      </c>
      <c r="G3892" s="2" t="s">
        <v>15443</v>
      </c>
      <c r="H3892" s="2" t="s">
        <v>15444</v>
      </c>
    </row>
    <row r="3893">
      <c r="A3893" s="2">
        <v>3891.0</v>
      </c>
      <c r="B3893" s="5" t="s">
        <v>5758</v>
      </c>
      <c r="C3893" s="2" t="s">
        <v>5759</v>
      </c>
      <c r="D3893" s="5" t="s">
        <v>5758</v>
      </c>
      <c r="E3893" s="2" t="s">
        <v>15445</v>
      </c>
      <c r="F3893" s="2" t="s">
        <v>15446</v>
      </c>
      <c r="G3893" s="2" t="s">
        <v>15456</v>
      </c>
      <c r="H3893" s="2" t="s">
        <v>15455</v>
      </c>
    </row>
    <row r="3894">
      <c r="A3894" s="2">
        <v>3892.0</v>
      </c>
      <c r="B3894" s="5" t="s">
        <v>5761</v>
      </c>
      <c r="C3894" s="2" t="s">
        <v>5762</v>
      </c>
      <c r="D3894" s="5" t="s">
        <v>5761</v>
      </c>
      <c r="E3894" s="2" t="s">
        <v>15445</v>
      </c>
      <c r="F3894" s="2" t="s">
        <v>15442</v>
      </c>
      <c r="G3894" s="2" t="s">
        <v>15443</v>
      </c>
      <c r="H3894" s="2" t="s">
        <v>15444</v>
      </c>
    </row>
    <row r="3895">
      <c r="A3895" s="2">
        <v>3893.0</v>
      </c>
      <c r="B3895" s="5" t="s">
        <v>13156</v>
      </c>
      <c r="C3895" s="2" t="s">
        <v>13157</v>
      </c>
      <c r="D3895" s="5" t="s">
        <v>13156</v>
      </c>
      <c r="E3895" s="2" t="s">
        <v>15441</v>
      </c>
      <c r="F3895" s="2" t="s">
        <v>15442</v>
      </c>
      <c r="G3895" s="2" t="s">
        <v>15443</v>
      </c>
      <c r="H3895" s="2" t="s">
        <v>15444</v>
      </c>
    </row>
    <row r="3896">
      <c r="A3896" s="2">
        <v>3894.0</v>
      </c>
      <c r="B3896" s="5" t="s">
        <v>5764</v>
      </c>
      <c r="C3896" s="2" t="s">
        <v>5765</v>
      </c>
      <c r="D3896" s="5" t="s">
        <v>5764</v>
      </c>
      <c r="E3896" s="2" t="s">
        <v>15445</v>
      </c>
      <c r="F3896" s="2" t="s">
        <v>15446</v>
      </c>
      <c r="G3896" s="2" t="s">
        <v>15456</v>
      </c>
      <c r="H3896" s="2" t="s">
        <v>15444</v>
      </c>
    </row>
    <row r="3897">
      <c r="A3897" s="2">
        <v>3895.0</v>
      </c>
      <c r="B3897" s="5" t="s">
        <v>13158</v>
      </c>
      <c r="C3897" s="2" t="s">
        <v>13159</v>
      </c>
      <c r="D3897" s="5" t="s">
        <v>13158</v>
      </c>
      <c r="E3897" s="2" t="s">
        <v>15441</v>
      </c>
      <c r="F3897" s="2" t="s">
        <v>15446</v>
      </c>
      <c r="G3897" s="2" t="s">
        <v>15456</v>
      </c>
      <c r="H3897" s="2" t="s">
        <v>15444</v>
      </c>
    </row>
    <row r="3898">
      <c r="A3898" s="2">
        <v>3896.0</v>
      </c>
      <c r="B3898" s="5" t="s">
        <v>5767</v>
      </c>
      <c r="C3898" s="2" t="s">
        <v>5768</v>
      </c>
      <c r="D3898" s="5" t="s">
        <v>5767</v>
      </c>
      <c r="E3898" s="2" t="s">
        <v>15445</v>
      </c>
      <c r="F3898" s="2" t="s">
        <v>15446</v>
      </c>
      <c r="G3898" s="2" t="s">
        <v>15456</v>
      </c>
      <c r="H3898" s="2" t="s">
        <v>15457</v>
      </c>
    </row>
    <row r="3899">
      <c r="A3899" s="2">
        <v>3897.0</v>
      </c>
      <c r="B3899" s="5" t="s">
        <v>5770</v>
      </c>
      <c r="C3899" s="2" t="s">
        <v>5771</v>
      </c>
      <c r="D3899" s="5" t="s">
        <v>5770</v>
      </c>
      <c r="E3899" s="2" t="s">
        <v>15445</v>
      </c>
      <c r="F3899" s="2" t="s">
        <v>15446</v>
      </c>
      <c r="G3899" s="2" t="s">
        <v>15456</v>
      </c>
      <c r="H3899" s="2" t="s">
        <v>15444</v>
      </c>
    </row>
    <row r="3900">
      <c r="A3900" s="2">
        <v>3898.0</v>
      </c>
      <c r="B3900" s="5" t="s">
        <v>5773</v>
      </c>
      <c r="C3900" s="2" t="s">
        <v>5774</v>
      </c>
      <c r="D3900" s="5" t="s">
        <v>5773</v>
      </c>
      <c r="E3900" s="2" t="s">
        <v>15445</v>
      </c>
      <c r="F3900" s="2" t="s">
        <v>15442</v>
      </c>
      <c r="G3900" s="2" t="s">
        <v>15443</v>
      </c>
      <c r="H3900" s="2" t="s">
        <v>15444</v>
      </c>
    </row>
    <row r="3901">
      <c r="A3901" s="2">
        <v>3899.0</v>
      </c>
      <c r="B3901" s="5" t="s">
        <v>13160</v>
      </c>
      <c r="C3901" s="2" t="s">
        <v>13161</v>
      </c>
      <c r="D3901" s="5" t="s">
        <v>13160</v>
      </c>
      <c r="E3901" s="2" t="s">
        <v>15441</v>
      </c>
      <c r="F3901" s="2" t="s">
        <v>15446</v>
      </c>
      <c r="G3901" s="2" t="s">
        <v>15456</v>
      </c>
      <c r="H3901" s="2" t="s">
        <v>15444</v>
      </c>
    </row>
    <row r="3902">
      <c r="A3902" s="2">
        <v>3900.0</v>
      </c>
      <c r="B3902" s="5" t="s">
        <v>13162</v>
      </c>
      <c r="C3902" s="2" t="s">
        <v>13163</v>
      </c>
      <c r="D3902" s="5" t="s">
        <v>13162</v>
      </c>
      <c r="E3902" s="2" t="s">
        <v>15441</v>
      </c>
      <c r="F3902" s="2" t="s">
        <v>15446</v>
      </c>
      <c r="G3902" s="2" t="s">
        <v>15443</v>
      </c>
      <c r="H3902" s="2" t="s">
        <v>15444</v>
      </c>
    </row>
    <row r="3903">
      <c r="A3903" s="2">
        <v>3901.0</v>
      </c>
      <c r="B3903" s="5" t="s">
        <v>13164</v>
      </c>
      <c r="C3903" s="2" t="s">
        <v>13165</v>
      </c>
      <c r="D3903" s="5" t="s">
        <v>13164</v>
      </c>
      <c r="E3903" s="2" t="s">
        <v>15441</v>
      </c>
      <c r="F3903" s="2" t="s">
        <v>15446</v>
      </c>
      <c r="G3903" s="2" t="s">
        <v>15443</v>
      </c>
      <c r="H3903" s="2" t="s">
        <v>15444</v>
      </c>
    </row>
    <row r="3904">
      <c r="A3904" s="2">
        <v>3902.0</v>
      </c>
      <c r="B3904" s="5" t="s">
        <v>5776</v>
      </c>
      <c r="C3904" s="2" t="s">
        <v>5777</v>
      </c>
      <c r="D3904" s="5" t="s">
        <v>5776</v>
      </c>
      <c r="E3904" s="2" t="s">
        <v>15445</v>
      </c>
      <c r="F3904" s="2" t="s">
        <v>15446</v>
      </c>
      <c r="G3904" s="2" t="s">
        <v>15456</v>
      </c>
      <c r="H3904" s="2" t="s">
        <v>15444</v>
      </c>
    </row>
    <row r="3905">
      <c r="A3905" s="2">
        <v>3903.0</v>
      </c>
      <c r="B3905" s="5" t="s">
        <v>13166</v>
      </c>
      <c r="C3905" s="2" t="s">
        <v>13167</v>
      </c>
      <c r="D3905" s="5" t="s">
        <v>13166</v>
      </c>
      <c r="E3905" s="2" t="s">
        <v>15441</v>
      </c>
      <c r="F3905" s="2" t="s">
        <v>15446</v>
      </c>
      <c r="G3905" s="2" t="s">
        <v>15456</v>
      </c>
      <c r="H3905" s="2" t="s">
        <v>15457</v>
      </c>
    </row>
    <row r="3906">
      <c r="A3906" s="2">
        <v>3904.0</v>
      </c>
      <c r="B3906" s="5" t="s">
        <v>13168</v>
      </c>
      <c r="C3906" s="2" t="s">
        <v>13169</v>
      </c>
      <c r="D3906" s="5" t="s">
        <v>13168</v>
      </c>
      <c r="E3906" s="2" t="s">
        <v>15441</v>
      </c>
      <c r="F3906" s="2" t="s">
        <v>15442</v>
      </c>
      <c r="G3906" s="2" t="s">
        <v>15443</v>
      </c>
      <c r="H3906" s="2" t="s">
        <v>15444</v>
      </c>
    </row>
    <row r="3907">
      <c r="A3907" s="2">
        <v>3905.0</v>
      </c>
      <c r="B3907" s="5" t="s">
        <v>5779</v>
      </c>
      <c r="C3907" s="2" t="s">
        <v>5780</v>
      </c>
      <c r="D3907" s="5" t="s">
        <v>5779</v>
      </c>
      <c r="E3907" s="2" t="s">
        <v>15445</v>
      </c>
      <c r="F3907" s="2" t="s">
        <v>15446</v>
      </c>
      <c r="G3907" s="2" t="s">
        <v>15456</v>
      </c>
      <c r="H3907" s="2" t="s">
        <v>15444</v>
      </c>
    </row>
    <row r="3908">
      <c r="A3908" s="2">
        <v>3906.0</v>
      </c>
      <c r="B3908" s="5" t="s">
        <v>13170</v>
      </c>
      <c r="C3908" s="2" t="s">
        <v>13171</v>
      </c>
      <c r="D3908" s="5" t="s">
        <v>13170</v>
      </c>
      <c r="E3908" s="2" t="s">
        <v>15441</v>
      </c>
      <c r="F3908" s="2" t="s">
        <v>15446</v>
      </c>
      <c r="G3908" s="2" t="s">
        <v>15443</v>
      </c>
      <c r="H3908" s="2" t="s">
        <v>15455</v>
      </c>
    </row>
    <row r="3909">
      <c r="A3909" s="2">
        <v>3907.0</v>
      </c>
      <c r="B3909" s="5" t="s">
        <v>5782</v>
      </c>
      <c r="C3909" s="2" t="s">
        <v>5783</v>
      </c>
      <c r="D3909" s="5" t="s">
        <v>5782</v>
      </c>
      <c r="E3909" s="2" t="s">
        <v>15445</v>
      </c>
      <c r="F3909" s="2" t="s">
        <v>15442</v>
      </c>
      <c r="G3909" s="2" t="s">
        <v>15443</v>
      </c>
      <c r="H3909" s="2" t="s">
        <v>15444</v>
      </c>
    </row>
    <row r="3910">
      <c r="A3910" s="2">
        <v>3908.0</v>
      </c>
      <c r="B3910" s="5" t="s">
        <v>13172</v>
      </c>
      <c r="C3910" s="2" t="s">
        <v>13173</v>
      </c>
      <c r="D3910" s="5" t="s">
        <v>13172</v>
      </c>
      <c r="E3910" s="2" t="s">
        <v>15441</v>
      </c>
      <c r="F3910" s="2" t="s">
        <v>15446</v>
      </c>
      <c r="G3910" s="2" t="s">
        <v>15456</v>
      </c>
      <c r="H3910" s="2" t="s">
        <v>15444</v>
      </c>
    </row>
    <row r="3911">
      <c r="A3911" s="2">
        <v>3909.0</v>
      </c>
      <c r="B3911" s="5" t="s">
        <v>13174</v>
      </c>
      <c r="C3911" s="2" t="s">
        <v>13175</v>
      </c>
      <c r="D3911" s="5" t="s">
        <v>13174</v>
      </c>
      <c r="E3911" s="2" t="s">
        <v>15441</v>
      </c>
      <c r="F3911" s="2" t="s">
        <v>15446</v>
      </c>
      <c r="G3911" s="2" t="s">
        <v>15456</v>
      </c>
      <c r="H3911" s="2" t="s">
        <v>15444</v>
      </c>
    </row>
    <row r="3912">
      <c r="A3912" s="2">
        <v>3910.0</v>
      </c>
      <c r="B3912" s="5" t="s">
        <v>13176</v>
      </c>
      <c r="C3912" s="2" t="s">
        <v>13177</v>
      </c>
      <c r="D3912" s="5" t="s">
        <v>13176</v>
      </c>
      <c r="E3912" s="2" t="s">
        <v>15441</v>
      </c>
      <c r="F3912" s="2" t="s">
        <v>15446</v>
      </c>
      <c r="G3912" s="2" t="s">
        <v>15456</v>
      </c>
      <c r="H3912" s="2" t="s">
        <v>15444</v>
      </c>
    </row>
    <row r="3913">
      <c r="A3913" s="2">
        <v>3911.0</v>
      </c>
      <c r="B3913" s="5" t="s">
        <v>5785</v>
      </c>
      <c r="C3913" s="2" t="s">
        <v>5786</v>
      </c>
      <c r="D3913" s="5" t="s">
        <v>5785</v>
      </c>
      <c r="E3913" s="2" t="s">
        <v>15445</v>
      </c>
      <c r="F3913" s="2" t="s">
        <v>15446</v>
      </c>
      <c r="G3913" s="2" t="s">
        <v>15456</v>
      </c>
      <c r="H3913" s="2" t="s">
        <v>15462</v>
      </c>
    </row>
    <row r="3914">
      <c r="A3914" s="2">
        <v>3912.0</v>
      </c>
      <c r="B3914" s="5" t="s">
        <v>5788</v>
      </c>
      <c r="C3914" s="2" t="s">
        <v>5789</v>
      </c>
      <c r="D3914" s="5" t="s">
        <v>5788</v>
      </c>
      <c r="E3914" s="2" t="s">
        <v>15445</v>
      </c>
      <c r="F3914" s="2" t="s">
        <v>15446</v>
      </c>
      <c r="G3914" s="2" t="s">
        <v>15443</v>
      </c>
      <c r="H3914" s="2" t="s">
        <v>15444</v>
      </c>
    </row>
    <row r="3915">
      <c r="A3915" s="2">
        <v>3913.0</v>
      </c>
      <c r="B3915" s="5" t="s">
        <v>13178</v>
      </c>
      <c r="C3915" s="2" t="s">
        <v>13179</v>
      </c>
      <c r="D3915" s="5" t="s">
        <v>13178</v>
      </c>
      <c r="E3915" s="2" t="s">
        <v>15441</v>
      </c>
      <c r="F3915" s="2" t="s">
        <v>15446</v>
      </c>
      <c r="G3915" s="2" t="s">
        <v>15456</v>
      </c>
      <c r="H3915" s="2" t="s">
        <v>15444</v>
      </c>
    </row>
    <row r="3916">
      <c r="A3916" s="2">
        <v>3914.0</v>
      </c>
      <c r="B3916" s="5" t="s">
        <v>5791</v>
      </c>
      <c r="C3916" s="2" t="s">
        <v>5792</v>
      </c>
      <c r="D3916" s="5" t="s">
        <v>5791</v>
      </c>
      <c r="E3916" s="2" t="s">
        <v>15445</v>
      </c>
      <c r="F3916" s="2" t="s">
        <v>15446</v>
      </c>
      <c r="G3916" s="2" t="s">
        <v>15443</v>
      </c>
      <c r="H3916" s="2" t="s">
        <v>15444</v>
      </c>
    </row>
    <row r="3917">
      <c r="A3917" s="2">
        <v>3915.0</v>
      </c>
      <c r="B3917" s="5" t="s">
        <v>13180</v>
      </c>
      <c r="C3917" s="2" t="s">
        <v>13181</v>
      </c>
      <c r="D3917" s="5" t="s">
        <v>13180</v>
      </c>
      <c r="E3917" s="2" t="s">
        <v>15441</v>
      </c>
      <c r="F3917" s="2" t="s">
        <v>15442</v>
      </c>
      <c r="G3917" s="2" t="s">
        <v>15443</v>
      </c>
      <c r="H3917" s="2" t="s">
        <v>15455</v>
      </c>
    </row>
    <row r="3918">
      <c r="A3918" s="2">
        <v>3916.0</v>
      </c>
      <c r="B3918" s="5" t="s">
        <v>13182</v>
      </c>
      <c r="C3918" s="2" t="s">
        <v>13183</v>
      </c>
      <c r="D3918" s="5" t="s">
        <v>13182</v>
      </c>
      <c r="E3918" s="2" t="s">
        <v>15441</v>
      </c>
      <c r="F3918" s="2" t="s">
        <v>15446</v>
      </c>
      <c r="G3918" s="2" t="s">
        <v>15456</v>
      </c>
      <c r="H3918" s="2" t="s">
        <v>15444</v>
      </c>
    </row>
    <row r="3919">
      <c r="A3919" s="2">
        <v>3917.0</v>
      </c>
      <c r="B3919" s="5" t="s">
        <v>5794</v>
      </c>
      <c r="C3919" s="2" t="s">
        <v>5795</v>
      </c>
      <c r="D3919" s="5" t="s">
        <v>5794</v>
      </c>
      <c r="E3919" s="2" t="s">
        <v>15445</v>
      </c>
      <c r="F3919" s="2" t="s">
        <v>15442</v>
      </c>
      <c r="G3919" s="2" t="s">
        <v>15443</v>
      </c>
      <c r="H3919" s="2" t="s">
        <v>15444</v>
      </c>
    </row>
    <row r="3920">
      <c r="A3920" s="2">
        <v>3918.0</v>
      </c>
      <c r="B3920" s="5" t="s">
        <v>5797</v>
      </c>
      <c r="C3920" s="2" t="s">
        <v>5798</v>
      </c>
      <c r="D3920" s="5" t="s">
        <v>5797</v>
      </c>
      <c r="E3920" s="2" t="s">
        <v>15445</v>
      </c>
      <c r="F3920" s="2" t="s">
        <v>15446</v>
      </c>
      <c r="G3920" s="2" t="s">
        <v>15456</v>
      </c>
      <c r="H3920" s="2" t="s">
        <v>15444</v>
      </c>
    </row>
    <row r="3921">
      <c r="A3921" s="2">
        <v>3919.0</v>
      </c>
      <c r="B3921" s="5" t="s">
        <v>13184</v>
      </c>
      <c r="C3921" s="2" t="s">
        <v>13185</v>
      </c>
      <c r="D3921" s="5" t="s">
        <v>13184</v>
      </c>
      <c r="E3921" s="2" t="s">
        <v>15441</v>
      </c>
      <c r="F3921" s="2" t="s">
        <v>15446</v>
      </c>
      <c r="G3921" s="2" t="s">
        <v>15456</v>
      </c>
      <c r="H3921" s="2" t="s">
        <v>15444</v>
      </c>
    </row>
    <row r="3922">
      <c r="A3922" s="2">
        <v>3920.0</v>
      </c>
      <c r="B3922" s="5" t="s">
        <v>13186</v>
      </c>
      <c r="C3922" s="2" t="s">
        <v>13187</v>
      </c>
      <c r="D3922" s="5" t="s">
        <v>13186</v>
      </c>
      <c r="E3922" s="2" t="s">
        <v>15441</v>
      </c>
      <c r="F3922" s="2" t="s">
        <v>15446</v>
      </c>
      <c r="G3922" s="2" t="s">
        <v>15456</v>
      </c>
      <c r="H3922" s="2" t="s">
        <v>15444</v>
      </c>
    </row>
    <row r="3923">
      <c r="A3923" s="2">
        <v>3921.0</v>
      </c>
      <c r="B3923" s="5" t="s">
        <v>5800</v>
      </c>
      <c r="C3923" s="2" t="s">
        <v>5801</v>
      </c>
      <c r="D3923" s="5" t="s">
        <v>5800</v>
      </c>
      <c r="E3923" s="2" t="s">
        <v>15445</v>
      </c>
      <c r="F3923" s="2" t="s">
        <v>15442</v>
      </c>
      <c r="G3923" s="2" t="s">
        <v>15456</v>
      </c>
      <c r="H3923" s="2" t="s">
        <v>15444</v>
      </c>
    </row>
    <row r="3924">
      <c r="A3924" s="2">
        <v>3922.0</v>
      </c>
      <c r="B3924" s="5" t="s">
        <v>5803</v>
      </c>
      <c r="C3924" s="2" t="s">
        <v>5804</v>
      </c>
      <c r="D3924" s="5" t="s">
        <v>5803</v>
      </c>
      <c r="E3924" s="2" t="s">
        <v>15445</v>
      </c>
      <c r="F3924" s="2" t="s">
        <v>15442</v>
      </c>
      <c r="G3924" s="2" t="s">
        <v>15443</v>
      </c>
      <c r="H3924" s="2" t="s">
        <v>15444</v>
      </c>
    </row>
    <row r="3925">
      <c r="A3925" s="2">
        <v>3923.0</v>
      </c>
      <c r="B3925" s="5" t="s">
        <v>5806</v>
      </c>
      <c r="C3925" s="2" t="s">
        <v>5807</v>
      </c>
      <c r="D3925" s="5" t="s">
        <v>5806</v>
      </c>
      <c r="E3925" s="2" t="s">
        <v>15445</v>
      </c>
      <c r="F3925" s="2" t="s">
        <v>15442</v>
      </c>
      <c r="G3925" s="2" t="s">
        <v>15443</v>
      </c>
      <c r="H3925" s="2" t="s">
        <v>15455</v>
      </c>
    </row>
    <row r="3926">
      <c r="A3926" s="2">
        <v>3924.0</v>
      </c>
      <c r="B3926" s="5" t="s">
        <v>5809</v>
      </c>
      <c r="C3926" s="2" t="s">
        <v>5810</v>
      </c>
      <c r="D3926" s="5" t="s">
        <v>5809</v>
      </c>
      <c r="E3926" s="2" t="s">
        <v>15445</v>
      </c>
      <c r="F3926" s="2" t="s">
        <v>15442</v>
      </c>
      <c r="G3926" s="2" t="s">
        <v>15443</v>
      </c>
      <c r="H3926" s="2" t="s">
        <v>15444</v>
      </c>
    </row>
    <row r="3927">
      <c r="A3927" s="2">
        <v>3925.0</v>
      </c>
      <c r="B3927" s="5" t="s">
        <v>13188</v>
      </c>
      <c r="C3927" s="2" t="s">
        <v>13189</v>
      </c>
      <c r="D3927" s="5" t="s">
        <v>13188</v>
      </c>
      <c r="E3927" s="2" t="s">
        <v>15441</v>
      </c>
      <c r="F3927" s="2" t="s">
        <v>15446</v>
      </c>
      <c r="G3927" s="2" t="s">
        <v>15456</v>
      </c>
      <c r="H3927" s="2" t="s">
        <v>15444</v>
      </c>
    </row>
    <row r="3928">
      <c r="A3928" s="2">
        <v>3926.0</v>
      </c>
      <c r="B3928" s="5" t="s">
        <v>5812</v>
      </c>
      <c r="C3928" s="2" t="s">
        <v>5813</v>
      </c>
      <c r="D3928" s="5" t="s">
        <v>5812</v>
      </c>
      <c r="E3928" s="2" t="s">
        <v>15445</v>
      </c>
      <c r="F3928" s="2" t="s">
        <v>15446</v>
      </c>
      <c r="G3928" s="2" t="s">
        <v>15456</v>
      </c>
      <c r="H3928" s="2" t="s">
        <v>15444</v>
      </c>
    </row>
    <row r="3929">
      <c r="A3929" s="2">
        <v>3927.0</v>
      </c>
      <c r="B3929" s="5" t="s">
        <v>5815</v>
      </c>
      <c r="C3929" s="2" t="s">
        <v>5816</v>
      </c>
      <c r="D3929" s="5" t="s">
        <v>5815</v>
      </c>
      <c r="E3929" s="2" t="s">
        <v>15445</v>
      </c>
      <c r="F3929" s="2" t="s">
        <v>15446</v>
      </c>
      <c r="G3929" s="2" t="s">
        <v>15456</v>
      </c>
      <c r="H3929" s="2" t="s">
        <v>15444</v>
      </c>
    </row>
    <row r="3930">
      <c r="A3930" s="2">
        <v>3928.0</v>
      </c>
      <c r="B3930" s="5" t="s">
        <v>5818</v>
      </c>
      <c r="C3930" s="2" t="s">
        <v>5819</v>
      </c>
      <c r="D3930" s="5" t="s">
        <v>5818</v>
      </c>
      <c r="E3930" s="2" t="s">
        <v>15445</v>
      </c>
      <c r="F3930" s="2" t="s">
        <v>15442</v>
      </c>
      <c r="G3930" s="2" t="s">
        <v>15443</v>
      </c>
      <c r="H3930" s="2" t="s">
        <v>15444</v>
      </c>
    </row>
    <row r="3931">
      <c r="A3931" s="2">
        <v>3929.0</v>
      </c>
      <c r="B3931" s="5" t="s">
        <v>5821</v>
      </c>
      <c r="C3931" s="2" t="s">
        <v>5822</v>
      </c>
      <c r="D3931" s="5" t="s">
        <v>5821</v>
      </c>
      <c r="E3931" s="2" t="s">
        <v>15445</v>
      </c>
      <c r="F3931" s="2" t="s">
        <v>15446</v>
      </c>
      <c r="G3931" s="2" t="s">
        <v>15443</v>
      </c>
      <c r="H3931" s="2" t="s">
        <v>15457</v>
      </c>
    </row>
    <row r="3932">
      <c r="A3932" s="2">
        <v>3930.0</v>
      </c>
      <c r="B3932" s="5" t="s">
        <v>5824</v>
      </c>
      <c r="C3932" s="2" t="s">
        <v>5825</v>
      </c>
      <c r="D3932" s="5" t="s">
        <v>5824</v>
      </c>
      <c r="E3932" s="2" t="s">
        <v>15445</v>
      </c>
      <c r="F3932" s="2" t="s">
        <v>15446</v>
      </c>
      <c r="G3932" s="2" t="s">
        <v>15456</v>
      </c>
      <c r="H3932" s="2" t="s">
        <v>15444</v>
      </c>
    </row>
    <row r="3933">
      <c r="A3933" s="2">
        <v>3931.0</v>
      </c>
      <c r="B3933" s="5" t="s">
        <v>5827</v>
      </c>
      <c r="C3933" s="2" t="s">
        <v>5828</v>
      </c>
      <c r="D3933" s="5" t="s">
        <v>5827</v>
      </c>
      <c r="E3933" s="2" t="s">
        <v>15445</v>
      </c>
      <c r="F3933" s="2" t="s">
        <v>15446</v>
      </c>
      <c r="G3933" s="2" t="s">
        <v>15456</v>
      </c>
      <c r="H3933" s="2" t="s">
        <v>15444</v>
      </c>
    </row>
    <row r="3934">
      <c r="A3934" s="2">
        <v>3932.0</v>
      </c>
      <c r="B3934" s="5" t="s">
        <v>13190</v>
      </c>
      <c r="C3934" s="2" t="s">
        <v>13191</v>
      </c>
      <c r="D3934" s="5" t="s">
        <v>13190</v>
      </c>
      <c r="E3934" s="2" t="s">
        <v>15441</v>
      </c>
      <c r="F3934" s="2" t="s">
        <v>15442</v>
      </c>
      <c r="G3934" s="2" t="s">
        <v>15443</v>
      </c>
      <c r="H3934" s="2" t="s">
        <v>15444</v>
      </c>
    </row>
    <row r="3935">
      <c r="A3935" s="2">
        <v>3933.0</v>
      </c>
      <c r="B3935" s="5" t="s">
        <v>5830</v>
      </c>
      <c r="C3935" s="2" t="s">
        <v>5831</v>
      </c>
      <c r="D3935" s="5" t="s">
        <v>5830</v>
      </c>
      <c r="E3935" s="2" t="s">
        <v>15445</v>
      </c>
      <c r="F3935" s="2" t="s">
        <v>15446</v>
      </c>
      <c r="G3935" s="2" t="s">
        <v>15443</v>
      </c>
      <c r="H3935" s="2" t="s">
        <v>15444</v>
      </c>
    </row>
    <row r="3936">
      <c r="A3936" s="2">
        <v>3934.0</v>
      </c>
      <c r="B3936" s="5" t="s">
        <v>13192</v>
      </c>
      <c r="C3936" s="2" t="s">
        <v>13193</v>
      </c>
      <c r="D3936" s="5" t="s">
        <v>13192</v>
      </c>
      <c r="E3936" s="2" t="s">
        <v>15441</v>
      </c>
      <c r="F3936" s="2" t="s">
        <v>15442</v>
      </c>
      <c r="G3936" s="2" t="s">
        <v>15443</v>
      </c>
      <c r="H3936" s="2" t="s">
        <v>15444</v>
      </c>
    </row>
    <row r="3937">
      <c r="A3937" s="2">
        <v>3935.0</v>
      </c>
      <c r="B3937" s="5" t="s">
        <v>13194</v>
      </c>
      <c r="C3937" s="2" t="s">
        <v>13195</v>
      </c>
      <c r="D3937" s="5" t="s">
        <v>13194</v>
      </c>
      <c r="E3937" s="2" t="s">
        <v>15441</v>
      </c>
      <c r="F3937" s="2" t="s">
        <v>15442</v>
      </c>
      <c r="G3937" s="2" t="s">
        <v>15443</v>
      </c>
      <c r="H3937" s="2" t="s">
        <v>15444</v>
      </c>
    </row>
    <row r="3938">
      <c r="A3938" s="2">
        <v>3936.0</v>
      </c>
      <c r="B3938" s="5" t="s">
        <v>5833</v>
      </c>
      <c r="C3938" s="2" t="s">
        <v>5834</v>
      </c>
      <c r="D3938" s="5" t="s">
        <v>5833</v>
      </c>
      <c r="E3938" s="2" t="s">
        <v>15445</v>
      </c>
      <c r="F3938" s="2" t="s">
        <v>15442</v>
      </c>
      <c r="G3938" s="2" t="s">
        <v>15443</v>
      </c>
      <c r="H3938" s="2" t="s">
        <v>15444</v>
      </c>
    </row>
    <row r="3939">
      <c r="A3939" s="2">
        <v>3937.0</v>
      </c>
      <c r="B3939" s="5" t="s">
        <v>5836</v>
      </c>
      <c r="C3939" s="2" t="s">
        <v>5837</v>
      </c>
      <c r="D3939" s="5" t="s">
        <v>5836</v>
      </c>
      <c r="E3939" s="2" t="s">
        <v>15445</v>
      </c>
      <c r="F3939" s="2" t="s">
        <v>15442</v>
      </c>
      <c r="G3939" s="2" t="s">
        <v>15456</v>
      </c>
      <c r="H3939" s="2" t="s">
        <v>15444</v>
      </c>
    </row>
    <row r="3940">
      <c r="A3940" s="2">
        <v>3938.0</v>
      </c>
      <c r="B3940" s="5" t="s">
        <v>13196</v>
      </c>
      <c r="C3940" s="2" t="s">
        <v>13197</v>
      </c>
      <c r="D3940" s="5" t="s">
        <v>13196</v>
      </c>
      <c r="E3940" s="2" t="s">
        <v>15441</v>
      </c>
      <c r="F3940" s="2" t="s">
        <v>15442</v>
      </c>
      <c r="G3940" s="2" t="s">
        <v>15456</v>
      </c>
      <c r="H3940" s="2" t="s">
        <v>15444</v>
      </c>
    </row>
    <row r="3941">
      <c r="A3941" s="2">
        <v>3939.0</v>
      </c>
      <c r="B3941" s="5" t="s">
        <v>13198</v>
      </c>
      <c r="C3941" s="2" t="s">
        <v>13199</v>
      </c>
      <c r="D3941" s="5" t="s">
        <v>13198</v>
      </c>
      <c r="E3941" s="2" t="s">
        <v>15441</v>
      </c>
      <c r="F3941" s="2" t="s">
        <v>15442</v>
      </c>
      <c r="G3941" s="2" t="s">
        <v>15443</v>
      </c>
      <c r="H3941" s="2" t="s">
        <v>15444</v>
      </c>
    </row>
    <row r="3942">
      <c r="A3942" s="2">
        <v>3940.0</v>
      </c>
      <c r="B3942" s="5" t="s">
        <v>5839</v>
      </c>
      <c r="C3942" s="2" t="s">
        <v>5840</v>
      </c>
      <c r="D3942" s="5" t="s">
        <v>5839</v>
      </c>
      <c r="E3942" s="2" t="s">
        <v>15445</v>
      </c>
      <c r="F3942" s="2" t="s">
        <v>15442</v>
      </c>
      <c r="G3942" s="2" t="s">
        <v>15456</v>
      </c>
      <c r="H3942" s="2" t="s">
        <v>15444</v>
      </c>
    </row>
    <row r="3943">
      <c r="A3943" s="2">
        <v>3941.0</v>
      </c>
      <c r="B3943" s="5" t="s">
        <v>5842</v>
      </c>
      <c r="C3943" s="2" t="s">
        <v>5843</v>
      </c>
      <c r="D3943" s="5" t="s">
        <v>5842</v>
      </c>
      <c r="E3943" s="2" t="s">
        <v>15445</v>
      </c>
      <c r="F3943" s="2" t="s">
        <v>15446</v>
      </c>
      <c r="G3943" s="2" t="s">
        <v>15443</v>
      </c>
      <c r="H3943" s="2" t="s">
        <v>15444</v>
      </c>
    </row>
    <row r="3944">
      <c r="A3944" s="2">
        <v>3942.0</v>
      </c>
      <c r="B3944" s="5" t="s">
        <v>13200</v>
      </c>
      <c r="C3944" s="2" t="s">
        <v>13201</v>
      </c>
      <c r="D3944" s="5" t="s">
        <v>13200</v>
      </c>
      <c r="E3944" s="2" t="s">
        <v>15441</v>
      </c>
      <c r="F3944" s="2" t="s">
        <v>15442</v>
      </c>
      <c r="G3944" s="2" t="s">
        <v>15443</v>
      </c>
      <c r="H3944" s="2" t="s">
        <v>15444</v>
      </c>
    </row>
    <row r="3945">
      <c r="A3945" s="2">
        <v>3943.0</v>
      </c>
      <c r="B3945" s="5" t="s">
        <v>13202</v>
      </c>
      <c r="C3945" s="2" t="s">
        <v>13203</v>
      </c>
      <c r="D3945" s="5" t="s">
        <v>13202</v>
      </c>
      <c r="E3945" s="2" t="s">
        <v>15441</v>
      </c>
      <c r="F3945" s="2" t="s">
        <v>15446</v>
      </c>
      <c r="G3945" s="2" t="s">
        <v>15456</v>
      </c>
      <c r="H3945" s="2" t="s">
        <v>15444</v>
      </c>
    </row>
    <row r="3946">
      <c r="A3946" s="2">
        <v>3944.0</v>
      </c>
      <c r="B3946" s="5" t="s">
        <v>5845</v>
      </c>
      <c r="C3946" s="2" t="s">
        <v>5846</v>
      </c>
      <c r="D3946" s="5" t="s">
        <v>5845</v>
      </c>
      <c r="E3946" s="2" t="s">
        <v>15445</v>
      </c>
      <c r="F3946" s="2" t="s">
        <v>15446</v>
      </c>
      <c r="G3946" s="2" t="s">
        <v>15443</v>
      </c>
      <c r="H3946" s="2" t="s">
        <v>15444</v>
      </c>
    </row>
    <row r="3947">
      <c r="A3947" s="2">
        <v>3945.0</v>
      </c>
      <c r="B3947" s="5" t="s">
        <v>13204</v>
      </c>
      <c r="C3947" s="2" t="s">
        <v>13205</v>
      </c>
      <c r="D3947" s="5" t="s">
        <v>13204</v>
      </c>
      <c r="E3947" s="2" t="s">
        <v>15441</v>
      </c>
      <c r="F3947" s="2" t="s">
        <v>15442</v>
      </c>
      <c r="G3947" s="2" t="s">
        <v>15443</v>
      </c>
      <c r="H3947" s="2" t="s">
        <v>15444</v>
      </c>
    </row>
    <row r="3948">
      <c r="A3948" s="2">
        <v>3946.0</v>
      </c>
      <c r="B3948" s="5" t="s">
        <v>13206</v>
      </c>
      <c r="C3948" s="2" t="s">
        <v>13207</v>
      </c>
      <c r="D3948" s="5" t="s">
        <v>13206</v>
      </c>
      <c r="E3948" s="2" t="s">
        <v>15441</v>
      </c>
      <c r="F3948" s="2" t="s">
        <v>15442</v>
      </c>
      <c r="G3948" s="2" t="s">
        <v>15443</v>
      </c>
      <c r="H3948" s="2" t="s">
        <v>15444</v>
      </c>
    </row>
    <row r="3949">
      <c r="A3949" s="2">
        <v>3947.0</v>
      </c>
      <c r="B3949" s="5" t="s">
        <v>5848</v>
      </c>
      <c r="C3949" s="2" t="s">
        <v>5849</v>
      </c>
      <c r="D3949" s="5" t="s">
        <v>5848</v>
      </c>
      <c r="E3949" s="2" t="s">
        <v>15445</v>
      </c>
      <c r="F3949" s="2" t="s">
        <v>15446</v>
      </c>
      <c r="G3949" s="2" t="s">
        <v>15443</v>
      </c>
      <c r="H3949" s="2" t="s">
        <v>15444</v>
      </c>
    </row>
    <row r="3950">
      <c r="A3950" s="2">
        <v>3948.0</v>
      </c>
      <c r="B3950" s="5" t="s">
        <v>13208</v>
      </c>
      <c r="C3950" s="2" t="s">
        <v>13209</v>
      </c>
      <c r="D3950" s="5" t="s">
        <v>13208</v>
      </c>
      <c r="E3950" s="2" t="s">
        <v>15441</v>
      </c>
      <c r="F3950" s="2" t="s">
        <v>15446</v>
      </c>
      <c r="G3950" s="2" t="s">
        <v>15456</v>
      </c>
      <c r="H3950" s="2" t="s">
        <v>15444</v>
      </c>
    </row>
    <row r="3951">
      <c r="A3951" s="2">
        <v>3949.0</v>
      </c>
      <c r="B3951" s="5" t="s">
        <v>5851</v>
      </c>
      <c r="C3951" s="2" t="s">
        <v>5852</v>
      </c>
      <c r="D3951" s="5" t="s">
        <v>5851</v>
      </c>
      <c r="E3951" s="2" t="s">
        <v>15445</v>
      </c>
      <c r="F3951" s="2" t="s">
        <v>15446</v>
      </c>
      <c r="G3951" s="2" t="s">
        <v>15456</v>
      </c>
      <c r="H3951" s="2" t="s">
        <v>15444</v>
      </c>
    </row>
    <row r="3952">
      <c r="A3952" s="2">
        <v>3950.0</v>
      </c>
      <c r="B3952" s="5" t="s">
        <v>5854</v>
      </c>
      <c r="C3952" s="2" t="s">
        <v>5855</v>
      </c>
      <c r="D3952" s="5" t="s">
        <v>5854</v>
      </c>
      <c r="E3952" s="2" t="s">
        <v>15445</v>
      </c>
      <c r="F3952" s="2" t="s">
        <v>15446</v>
      </c>
      <c r="G3952" s="2" t="s">
        <v>15456</v>
      </c>
      <c r="H3952" s="2" t="s">
        <v>15444</v>
      </c>
    </row>
    <row r="3953">
      <c r="A3953" s="2">
        <v>3951.0</v>
      </c>
      <c r="B3953" s="5" t="s">
        <v>5857</v>
      </c>
      <c r="C3953" s="2" t="s">
        <v>5858</v>
      </c>
      <c r="D3953" s="5" t="s">
        <v>5857</v>
      </c>
      <c r="E3953" s="2" t="s">
        <v>15445</v>
      </c>
      <c r="F3953" s="2" t="s">
        <v>15446</v>
      </c>
      <c r="G3953" s="2" t="s">
        <v>15456</v>
      </c>
      <c r="H3953" s="2" t="s">
        <v>15457</v>
      </c>
    </row>
    <row r="3954">
      <c r="A3954" s="2">
        <v>3952.0</v>
      </c>
      <c r="B3954" s="5" t="s">
        <v>5860</v>
      </c>
      <c r="C3954" s="2" t="s">
        <v>5861</v>
      </c>
      <c r="D3954" s="5" t="s">
        <v>5860</v>
      </c>
      <c r="E3954" s="2" t="s">
        <v>15445</v>
      </c>
      <c r="F3954" s="2" t="s">
        <v>15446</v>
      </c>
      <c r="G3954" s="2" t="s">
        <v>15456</v>
      </c>
      <c r="H3954" s="2" t="s">
        <v>15444</v>
      </c>
    </row>
    <row r="3955">
      <c r="A3955" s="2">
        <v>3953.0</v>
      </c>
      <c r="B3955" s="5" t="s">
        <v>13210</v>
      </c>
      <c r="C3955" s="2" t="s">
        <v>13211</v>
      </c>
      <c r="D3955" s="5" t="s">
        <v>13210</v>
      </c>
      <c r="E3955" s="2" t="s">
        <v>15441</v>
      </c>
      <c r="F3955" s="2" t="s">
        <v>15442</v>
      </c>
      <c r="G3955" s="2" t="s">
        <v>15443</v>
      </c>
      <c r="H3955" s="2" t="s">
        <v>15444</v>
      </c>
    </row>
    <row r="3956">
      <c r="A3956" s="2">
        <v>3954.0</v>
      </c>
      <c r="B3956" s="5" t="s">
        <v>13212</v>
      </c>
      <c r="C3956" s="2" t="s">
        <v>13213</v>
      </c>
      <c r="D3956" s="5" t="s">
        <v>13212</v>
      </c>
      <c r="E3956" s="2" t="s">
        <v>15441</v>
      </c>
      <c r="F3956" s="2" t="s">
        <v>15446</v>
      </c>
      <c r="G3956" s="2" t="s">
        <v>15456</v>
      </c>
      <c r="H3956" s="2" t="s">
        <v>15455</v>
      </c>
    </row>
    <row r="3957">
      <c r="A3957" s="2">
        <v>3955.0</v>
      </c>
      <c r="B3957" s="5" t="s">
        <v>5863</v>
      </c>
      <c r="C3957" s="2" t="s">
        <v>5864</v>
      </c>
      <c r="D3957" s="5" t="s">
        <v>5863</v>
      </c>
      <c r="E3957" s="2" t="s">
        <v>15445</v>
      </c>
      <c r="F3957" s="2" t="s">
        <v>15442</v>
      </c>
      <c r="G3957" s="2" t="s">
        <v>15456</v>
      </c>
      <c r="H3957" s="2" t="s">
        <v>15444</v>
      </c>
    </row>
    <row r="3958">
      <c r="A3958" s="2">
        <v>3956.0</v>
      </c>
      <c r="B3958" s="5" t="s">
        <v>13214</v>
      </c>
      <c r="C3958" s="2" t="s">
        <v>13215</v>
      </c>
      <c r="D3958" s="5" t="s">
        <v>13214</v>
      </c>
      <c r="E3958" s="2" t="s">
        <v>15441</v>
      </c>
      <c r="F3958" s="2" t="s">
        <v>15446</v>
      </c>
      <c r="G3958" s="2" t="s">
        <v>15443</v>
      </c>
      <c r="H3958" s="2" t="s">
        <v>15444</v>
      </c>
    </row>
    <row r="3959">
      <c r="A3959" s="2">
        <v>3957.0</v>
      </c>
      <c r="B3959" s="5" t="s">
        <v>5866</v>
      </c>
      <c r="C3959" s="2" t="s">
        <v>5867</v>
      </c>
      <c r="D3959" s="5" t="s">
        <v>5866</v>
      </c>
      <c r="E3959" s="2" t="s">
        <v>15445</v>
      </c>
      <c r="F3959" s="2" t="s">
        <v>15446</v>
      </c>
      <c r="G3959" s="2" t="s">
        <v>15456</v>
      </c>
      <c r="H3959" s="2" t="s">
        <v>15444</v>
      </c>
    </row>
    <row r="3960">
      <c r="A3960" s="2">
        <v>3958.0</v>
      </c>
      <c r="B3960" s="5" t="s">
        <v>5869</v>
      </c>
      <c r="C3960" s="2" t="s">
        <v>5870</v>
      </c>
      <c r="D3960" s="5" t="s">
        <v>5869</v>
      </c>
      <c r="E3960" s="2" t="s">
        <v>15445</v>
      </c>
      <c r="F3960" s="2" t="s">
        <v>15442</v>
      </c>
      <c r="G3960" s="2" t="s">
        <v>15456</v>
      </c>
      <c r="H3960" s="2" t="s">
        <v>15444</v>
      </c>
    </row>
    <row r="3961">
      <c r="A3961" s="2">
        <v>3959.0</v>
      </c>
      <c r="B3961" s="5" t="s">
        <v>5872</v>
      </c>
      <c r="C3961" s="2" t="s">
        <v>5873</v>
      </c>
      <c r="D3961" s="5" t="s">
        <v>5872</v>
      </c>
      <c r="E3961" s="2" t="s">
        <v>15445</v>
      </c>
      <c r="F3961" s="2" t="s">
        <v>15446</v>
      </c>
      <c r="G3961" s="2" t="s">
        <v>15443</v>
      </c>
      <c r="H3961" s="2" t="s">
        <v>15444</v>
      </c>
    </row>
    <row r="3962">
      <c r="A3962" s="2">
        <v>3960.0</v>
      </c>
      <c r="B3962" s="5" t="s">
        <v>15558</v>
      </c>
      <c r="D3962" s="5" t="s">
        <v>15558</v>
      </c>
      <c r="E3962" s="2" t="s">
        <v>15445</v>
      </c>
      <c r="F3962" s="2" t="s">
        <v>15446</v>
      </c>
      <c r="G3962" s="2" t="s">
        <v>15456</v>
      </c>
      <c r="H3962" s="2" t="s">
        <v>15457</v>
      </c>
    </row>
    <row r="3963">
      <c r="A3963" s="2">
        <v>3961.0</v>
      </c>
      <c r="B3963" s="5" t="s">
        <v>5875</v>
      </c>
      <c r="C3963" s="2" t="s">
        <v>5876</v>
      </c>
      <c r="D3963" s="5" t="s">
        <v>5875</v>
      </c>
      <c r="E3963" s="2" t="s">
        <v>15445</v>
      </c>
      <c r="F3963" s="2" t="s">
        <v>15442</v>
      </c>
      <c r="G3963" s="2" t="s">
        <v>15456</v>
      </c>
      <c r="H3963" s="2" t="s">
        <v>15444</v>
      </c>
    </row>
    <row r="3964">
      <c r="A3964" s="2">
        <v>3962.0</v>
      </c>
      <c r="B3964" s="5" t="s">
        <v>5878</v>
      </c>
      <c r="C3964" s="2" t="s">
        <v>5879</v>
      </c>
      <c r="D3964" s="5" t="s">
        <v>5878</v>
      </c>
      <c r="E3964" s="2" t="s">
        <v>15445</v>
      </c>
      <c r="F3964" s="2" t="s">
        <v>15442</v>
      </c>
      <c r="G3964" s="2" t="s">
        <v>15443</v>
      </c>
      <c r="H3964" s="2" t="s">
        <v>15444</v>
      </c>
    </row>
    <row r="3965">
      <c r="A3965" s="2">
        <v>3963.0</v>
      </c>
      <c r="B3965" s="5" t="s">
        <v>5881</v>
      </c>
      <c r="C3965" s="2" t="s">
        <v>5882</v>
      </c>
      <c r="D3965" s="5" t="s">
        <v>5881</v>
      </c>
      <c r="E3965" s="2" t="s">
        <v>15445</v>
      </c>
      <c r="F3965" s="2" t="s">
        <v>15446</v>
      </c>
      <c r="G3965" s="2" t="s">
        <v>15443</v>
      </c>
      <c r="H3965" s="2" t="s">
        <v>15444</v>
      </c>
    </row>
    <row r="3966">
      <c r="A3966" s="2">
        <v>3964.0</v>
      </c>
      <c r="B3966" s="5" t="s">
        <v>13216</v>
      </c>
      <c r="C3966" s="2" t="s">
        <v>13217</v>
      </c>
      <c r="D3966" s="5" t="s">
        <v>13216</v>
      </c>
      <c r="E3966" s="2" t="s">
        <v>15441</v>
      </c>
      <c r="F3966" s="2" t="s">
        <v>15442</v>
      </c>
      <c r="G3966" s="2" t="s">
        <v>15443</v>
      </c>
      <c r="H3966" s="2" t="s">
        <v>15444</v>
      </c>
    </row>
    <row r="3967">
      <c r="A3967" s="2">
        <v>3965.0</v>
      </c>
      <c r="B3967" s="5" t="s">
        <v>5884</v>
      </c>
      <c r="C3967" s="2" t="s">
        <v>5885</v>
      </c>
      <c r="D3967" s="5" t="s">
        <v>5884</v>
      </c>
      <c r="E3967" s="2" t="s">
        <v>15445</v>
      </c>
      <c r="F3967" s="2" t="s">
        <v>15446</v>
      </c>
      <c r="G3967" s="2" t="s">
        <v>15456</v>
      </c>
      <c r="H3967" s="2" t="s">
        <v>15457</v>
      </c>
    </row>
    <row r="3968">
      <c r="A3968" s="2">
        <v>3966.0</v>
      </c>
      <c r="B3968" s="5" t="s">
        <v>13218</v>
      </c>
      <c r="C3968" s="2" t="s">
        <v>13219</v>
      </c>
      <c r="D3968" s="5" t="s">
        <v>13218</v>
      </c>
      <c r="E3968" s="2" t="s">
        <v>15441</v>
      </c>
      <c r="F3968" s="2" t="s">
        <v>15446</v>
      </c>
      <c r="G3968" s="2" t="s">
        <v>15443</v>
      </c>
      <c r="H3968" s="2" t="s">
        <v>15444</v>
      </c>
    </row>
    <row r="3969">
      <c r="A3969" s="2">
        <v>3967.0</v>
      </c>
      <c r="B3969" s="5" t="s">
        <v>13220</v>
      </c>
      <c r="C3969" s="2" t="s">
        <v>13221</v>
      </c>
      <c r="D3969" s="5" t="s">
        <v>13220</v>
      </c>
      <c r="E3969" s="2" t="s">
        <v>15441</v>
      </c>
      <c r="F3969" s="2" t="s">
        <v>15442</v>
      </c>
      <c r="G3969" s="2" t="s">
        <v>15443</v>
      </c>
      <c r="H3969" s="2" t="s">
        <v>15444</v>
      </c>
    </row>
    <row r="3970">
      <c r="A3970" s="2">
        <v>3968.0</v>
      </c>
      <c r="B3970" s="5" t="s">
        <v>13222</v>
      </c>
      <c r="C3970" s="2" t="s">
        <v>13223</v>
      </c>
      <c r="D3970" s="5" t="s">
        <v>13222</v>
      </c>
      <c r="E3970" s="2" t="s">
        <v>15441</v>
      </c>
      <c r="F3970" s="2" t="s">
        <v>15442</v>
      </c>
      <c r="G3970" s="2" t="s">
        <v>15443</v>
      </c>
      <c r="H3970" s="2" t="s">
        <v>15444</v>
      </c>
    </row>
    <row r="3971">
      <c r="A3971" s="2">
        <v>3969.0</v>
      </c>
      <c r="B3971" s="5" t="s">
        <v>5887</v>
      </c>
      <c r="C3971" s="2" t="s">
        <v>5888</v>
      </c>
      <c r="D3971" s="5" t="s">
        <v>5887</v>
      </c>
      <c r="E3971" s="2" t="s">
        <v>15445</v>
      </c>
      <c r="F3971" s="2" t="s">
        <v>15446</v>
      </c>
      <c r="G3971" s="2" t="s">
        <v>15443</v>
      </c>
      <c r="H3971" s="2" t="s">
        <v>15444</v>
      </c>
    </row>
    <row r="3972">
      <c r="A3972" s="2">
        <v>3970.0</v>
      </c>
      <c r="B3972" s="5" t="s">
        <v>13224</v>
      </c>
      <c r="C3972" s="2" t="s">
        <v>13225</v>
      </c>
      <c r="D3972" s="5" t="s">
        <v>13224</v>
      </c>
      <c r="E3972" s="2" t="s">
        <v>15441</v>
      </c>
      <c r="F3972" s="2" t="s">
        <v>15442</v>
      </c>
      <c r="G3972" s="2" t="s">
        <v>15443</v>
      </c>
      <c r="H3972" s="2" t="s">
        <v>15444</v>
      </c>
    </row>
    <row r="3973">
      <c r="A3973" s="2">
        <v>3971.0</v>
      </c>
      <c r="B3973" s="5" t="s">
        <v>5890</v>
      </c>
      <c r="C3973" s="2" t="s">
        <v>5891</v>
      </c>
      <c r="D3973" s="5" t="s">
        <v>5890</v>
      </c>
      <c r="E3973" s="2" t="s">
        <v>15445</v>
      </c>
      <c r="F3973" s="2" t="s">
        <v>15446</v>
      </c>
      <c r="G3973" s="2" t="s">
        <v>15456</v>
      </c>
      <c r="H3973" s="2" t="s">
        <v>15444</v>
      </c>
    </row>
    <row r="3974">
      <c r="A3974" s="2">
        <v>3972.0</v>
      </c>
      <c r="B3974" s="5" t="s">
        <v>5893</v>
      </c>
      <c r="C3974" s="2" t="s">
        <v>5894</v>
      </c>
      <c r="D3974" s="5" t="s">
        <v>5893</v>
      </c>
      <c r="E3974" s="2" t="s">
        <v>15445</v>
      </c>
      <c r="F3974" s="2" t="s">
        <v>15446</v>
      </c>
      <c r="G3974" s="2" t="s">
        <v>15443</v>
      </c>
      <c r="H3974" s="2" t="s">
        <v>15444</v>
      </c>
    </row>
    <row r="3975">
      <c r="A3975" s="2">
        <v>3973.0</v>
      </c>
      <c r="B3975" s="5" t="s">
        <v>15559</v>
      </c>
      <c r="C3975" s="2" t="s">
        <v>15560</v>
      </c>
      <c r="D3975" s="5" t="s">
        <v>15559</v>
      </c>
      <c r="E3975" s="2" t="s">
        <v>15441</v>
      </c>
      <c r="F3975" s="2" t="s">
        <v>15446</v>
      </c>
      <c r="G3975" s="2" t="s">
        <v>15456</v>
      </c>
      <c r="H3975" s="2" t="s">
        <v>15486</v>
      </c>
    </row>
    <row r="3976">
      <c r="A3976" s="2">
        <v>3974.0</v>
      </c>
      <c r="B3976" s="5" t="s">
        <v>13226</v>
      </c>
      <c r="C3976" s="2" t="s">
        <v>13227</v>
      </c>
      <c r="D3976" s="5" t="s">
        <v>13226</v>
      </c>
      <c r="E3976" s="2" t="s">
        <v>15441</v>
      </c>
      <c r="F3976" s="2" t="s">
        <v>15442</v>
      </c>
      <c r="G3976" s="2" t="s">
        <v>15456</v>
      </c>
      <c r="H3976" s="2" t="s">
        <v>15444</v>
      </c>
    </row>
    <row r="3977">
      <c r="A3977" s="2">
        <v>3975.0</v>
      </c>
      <c r="B3977" s="5" t="s">
        <v>13228</v>
      </c>
      <c r="C3977" s="2" t="s">
        <v>13229</v>
      </c>
      <c r="D3977" s="5" t="s">
        <v>13228</v>
      </c>
      <c r="E3977" s="2" t="s">
        <v>15441</v>
      </c>
      <c r="F3977" s="2" t="s">
        <v>15442</v>
      </c>
      <c r="G3977" s="2" t="s">
        <v>15443</v>
      </c>
      <c r="H3977" s="2" t="s">
        <v>15444</v>
      </c>
    </row>
    <row r="3978">
      <c r="A3978" s="2">
        <v>3976.0</v>
      </c>
      <c r="B3978" s="5" t="s">
        <v>13230</v>
      </c>
      <c r="C3978" s="2" t="s">
        <v>13231</v>
      </c>
      <c r="D3978" s="5" t="s">
        <v>13230</v>
      </c>
      <c r="E3978" s="2" t="s">
        <v>15441</v>
      </c>
      <c r="F3978" s="2" t="s">
        <v>15446</v>
      </c>
      <c r="G3978" s="2" t="s">
        <v>15456</v>
      </c>
      <c r="H3978" s="2" t="s">
        <v>15444</v>
      </c>
    </row>
    <row r="3979">
      <c r="A3979" s="2">
        <v>3977.0</v>
      </c>
      <c r="B3979" s="5" t="s">
        <v>5896</v>
      </c>
      <c r="C3979" s="2" t="s">
        <v>5897</v>
      </c>
      <c r="D3979" s="5" t="s">
        <v>5896</v>
      </c>
      <c r="E3979" s="2" t="s">
        <v>15445</v>
      </c>
      <c r="F3979" s="2" t="s">
        <v>15442</v>
      </c>
      <c r="G3979" s="2" t="s">
        <v>15456</v>
      </c>
      <c r="H3979" s="2" t="s">
        <v>15444</v>
      </c>
    </row>
    <row r="3980">
      <c r="A3980" s="2">
        <v>3978.0</v>
      </c>
      <c r="B3980" s="5" t="s">
        <v>5899</v>
      </c>
      <c r="C3980" s="2" t="s">
        <v>5900</v>
      </c>
      <c r="D3980" s="5" t="s">
        <v>5899</v>
      </c>
      <c r="E3980" s="2" t="s">
        <v>15445</v>
      </c>
      <c r="F3980" s="2" t="s">
        <v>15442</v>
      </c>
      <c r="G3980" s="2" t="s">
        <v>15456</v>
      </c>
      <c r="H3980" s="2" t="s">
        <v>15444</v>
      </c>
    </row>
    <row r="3981">
      <c r="A3981" s="2">
        <v>3979.0</v>
      </c>
      <c r="B3981" s="5" t="s">
        <v>13232</v>
      </c>
      <c r="C3981" s="2" t="s">
        <v>13233</v>
      </c>
      <c r="D3981" s="5" t="s">
        <v>13232</v>
      </c>
      <c r="E3981" s="2" t="s">
        <v>15441</v>
      </c>
      <c r="F3981" s="2" t="s">
        <v>15446</v>
      </c>
      <c r="G3981" s="2" t="s">
        <v>15443</v>
      </c>
      <c r="H3981" s="2" t="s">
        <v>15486</v>
      </c>
    </row>
    <row r="3982">
      <c r="A3982" s="2">
        <v>3980.0</v>
      </c>
      <c r="B3982" s="5" t="s">
        <v>5902</v>
      </c>
      <c r="C3982" s="2" t="s">
        <v>5903</v>
      </c>
      <c r="D3982" s="5" t="s">
        <v>5902</v>
      </c>
      <c r="E3982" s="2" t="s">
        <v>15445</v>
      </c>
      <c r="F3982" s="2" t="s">
        <v>15442</v>
      </c>
      <c r="G3982" s="2" t="s">
        <v>15456</v>
      </c>
      <c r="H3982" s="2" t="s">
        <v>15444</v>
      </c>
    </row>
    <row r="3983">
      <c r="A3983" s="2">
        <v>3981.0</v>
      </c>
      <c r="B3983" s="5" t="s">
        <v>5905</v>
      </c>
      <c r="C3983" s="2" t="s">
        <v>5906</v>
      </c>
      <c r="D3983" s="5" t="s">
        <v>5905</v>
      </c>
      <c r="E3983" s="2" t="s">
        <v>15445</v>
      </c>
      <c r="F3983" s="2" t="s">
        <v>15446</v>
      </c>
      <c r="G3983" s="2" t="s">
        <v>15456</v>
      </c>
      <c r="H3983" s="2" t="s">
        <v>15444</v>
      </c>
    </row>
    <row r="3984">
      <c r="A3984" s="2">
        <v>3982.0</v>
      </c>
      <c r="B3984" s="5" t="s">
        <v>13234</v>
      </c>
      <c r="C3984" s="2" t="s">
        <v>13235</v>
      </c>
      <c r="D3984" s="5" t="s">
        <v>13234</v>
      </c>
      <c r="E3984" s="2" t="s">
        <v>15441</v>
      </c>
      <c r="F3984" s="2" t="s">
        <v>15446</v>
      </c>
      <c r="G3984" s="2" t="s">
        <v>15443</v>
      </c>
      <c r="H3984" s="2" t="s">
        <v>15444</v>
      </c>
    </row>
    <row r="3985">
      <c r="A3985" s="2">
        <v>3983.0</v>
      </c>
      <c r="B3985" s="5" t="s">
        <v>5908</v>
      </c>
      <c r="C3985" s="2" t="s">
        <v>5909</v>
      </c>
      <c r="D3985" s="5" t="s">
        <v>5908</v>
      </c>
      <c r="E3985" s="2" t="s">
        <v>15445</v>
      </c>
      <c r="F3985" s="2" t="s">
        <v>15442</v>
      </c>
      <c r="G3985" s="2" t="s">
        <v>15443</v>
      </c>
      <c r="H3985" s="2" t="s">
        <v>15444</v>
      </c>
    </row>
    <row r="3986">
      <c r="A3986" s="2">
        <v>3984.0</v>
      </c>
      <c r="B3986" s="5" t="s">
        <v>13236</v>
      </c>
      <c r="C3986" s="2" t="s">
        <v>13237</v>
      </c>
      <c r="D3986" s="5" t="s">
        <v>13236</v>
      </c>
      <c r="E3986" s="2" t="s">
        <v>15441</v>
      </c>
      <c r="F3986" s="2" t="s">
        <v>15446</v>
      </c>
      <c r="G3986" s="2" t="s">
        <v>15443</v>
      </c>
      <c r="H3986" s="2" t="s">
        <v>15444</v>
      </c>
    </row>
    <row r="3987">
      <c r="A3987" s="2">
        <v>3985.0</v>
      </c>
      <c r="B3987" s="5" t="s">
        <v>13238</v>
      </c>
      <c r="C3987" s="2" t="s">
        <v>13239</v>
      </c>
      <c r="D3987" s="5" t="s">
        <v>13238</v>
      </c>
      <c r="E3987" s="2" t="s">
        <v>15441</v>
      </c>
      <c r="F3987" s="2" t="s">
        <v>15446</v>
      </c>
      <c r="G3987" s="2" t="s">
        <v>15443</v>
      </c>
      <c r="H3987" s="2" t="s">
        <v>15444</v>
      </c>
    </row>
    <row r="3988">
      <c r="A3988" s="2">
        <v>3986.0</v>
      </c>
      <c r="B3988" s="5" t="s">
        <v>5911</v>
      </c>
      <c r="C3988" s="2" t="s">
        <v>5912</v>
      </c>
      <c r="D3988" s="5" t="s">
        <v>5911</v>
      </c>
      <c r="E3988" s="2" t="s">
        <v>15445</v>
      </c>
      <c r="F3988" s="2" t="s">
        <v>15446</v>
      </c>
      <c r="G3988" s="2" t="s">
        <v>15456</v>
      </c>
      <c r="H3988" s="2" t="s">
        <v>15444</v>
      </c>
    </row>
    <row r="3989">
      <c r="A3989" s="2">
        <v>3987.0</v>
      </c>
      <c r="B3989" s="5" t="s">
        <v>5914</v>
      </c>
      <c r="C3989" s="2" t="s">
        <v>5915</v>
      </c>
      <c r="D3989" s="5" t="s">
        <v>5914</v>
      </c>
      <c r="E3989" s="2" t="s">
        <v>15445</v>
      </c>
      <c r="F3989" s="2" t="s">
        <v>15446</v>
      </c>
      <c r="G3989" s="2" t="s">
        <v>15456</v>
      </c>
      <c r="H3989" s="2" t="s">
        <v>15444</v>
      </c>
    </row>
    <row r="3990">
      <c r="A3990" s="2">
        <v>3988.0</v>
      </c>
      <c r="B3990" s="5" t="s">
        <v>5917</v>
      </c>
      <c r="C3990" s="2" t="s">
        <v>5918</v>
      </c>
      <c r="D3990" s="5" t="s">
        <v>5917</v>
      </c>
      <c r="E3990" s="2" t="s">
        <v>15445</v>
      </c>
      <c r="F3990" s="2" t="s">
        <v>15442</v>
      </c>
      <c r="G3990" s="2" t="s">
        <v>15456</v>
      </c>
      <c r="H3990" s="2" t="s">
        <v>15444</v>
      </c>
    </row>
    <row r="3991">
      <c r="A3991" s="2">
        <v>3989.0</v>
      </c>
      <c r="B3991" s="5" t="s">
        <v>13240</v>
      </c>
      <c r="C3991" s="2" t="s">
        <v>13241</v>
      </c>
      <c r="D3991" s="5" t="s">
        <v>13240</v>
      </c>
      <c r="E3991" s="2" t="s">
        <v>15441</v>
      </c>
      <c r="F3991" s="2" t="s">
        <v>15442</v>
      </c>
      <c r="G3991" s="2" t="s">
        <v>15443</v>
      </c>
      <c r="H3991" s="2" t="s">
        <v>15461</v>
      </c>
    </row>
    <row r="3992">
      <c r="A3992" s="2">
        <v>3990.0</v>
      </c>
      <c r="B3992" s="5" t="s">
        <v>5920</v>
      </c>
      <c r="C3992" s="2" t="s">
        <v>5921</v>
      </c>
      <c r="D3992" s="5" t="s">
        <v>5920</v>
      </c>
      <c r="E3992" s="2" t="s">
        <v>15445</v>
      </c>
      <c r="F3992" s="2" t="s">
        <v>15446</v>
      </c>
      <c r="G3992" s="2" t="s">
        <v>15443</v>
      </c>
      <c r="H3992" s="2" t="s">
        <v>15444</v>
      </c>
    </row>
    <row r="3993">
      <c r="A3993" s="2">
        <v>3991.0</v>
      </c>
      <c r="B3993" s="5" t="s">
        <v>13242</v>
      </c>
      <c r="C3993" s="2" t="s">
        <v>13243</v>
      </c>
      <c r="D3993" s="5" t="s">
        <v>13242</v>
      </c>
      <c r="E3993" s="2" t="s">
        <v>15441</v>
      </c>
      <c r="F3993" s="2" t="s">
        <v>15446</v>
      </c>
      <c r="G3993" s="2" t="s">
        <v>15456</v>
      </c>
      <c r="H3993" s="2" t="s">
        <v>15444</v>
      </c>
    </row>
    <row r="3994">
      <c r="A3994" s="2">
        <v>3992.0</v>
      </c>
      <c r="B3994" s="5" t="s">
        <v>13244</v>
      </c>
      <c r="C3994" s="2" t="s">
        <v>13245</v>
      </c>
      <c r="D3994" s="5" t="s">
        <v>13244</v>
      </c>
      <c r="E3994" s="2" t="s">
        <v>15441</v>
      </c>
      <c r="F3994" s="2" t="s">
        <v>15446</v>
      </c>
      <c r="G3994" s="2" t="s">
        <v>15456</v>
      </c>
      <c r="H3994" s="2" t="s">
        <v>15444</v>
      </c>
    </row>
    <row r="3995">
      <c r="A3995" s="2">
        <v>3993.0</v>
      </c>
      <c r="B3995" s="5" t="s">
        <v>13246</v>
      </c>
      <c r="C3995" s="2" t="s">
        <v>13247</v>
      </c>
      <c r="D3995" s="5" t="s">
        <v>13246</v>
      </c>
      <c r="E3995" s="2" t="s">
        <v>15441</v>
      </c>
      <c r="F3995" s="2" t="s">
        <v>15446</v>
      </c>
      <c r="G3995" s="2" t="s">
        <v>15456</v>
      </c>
      <c r="H3995" s="2" t="s">
        <v>15444</v>
      </c>
    </row>
    <row r="3996">
      <c r="A3996" s="2">
        <v>3994.0</v>
      </c>
      <c r="B3996" s="5" t="s">
        <v>13248</v>
      </c>
      <c r="C3996" s="2" t="s">
        <v>13249</v>
      </c>
      <c r="D3996" s="5" t="s">
        <v>13248</v>
      </c>
      <c r="E3996" s="2" t="s">
        <v>15441</v>
      </c>
      <c r="F3996" s="2" t="s">
        <v>15446</v>
      </c>
      <c r="G3996" s="2" t="s">
        <v>15456</v>
      </c>
      <c r="H3996" s="2" t="s">
        <v>15444</v>
      </c>
    </row>
    <row r="3997">
      <c r="A3997" s="2">
        <v>3995.0</v>
      </c>
      <c r="B3997" s="5" t="s">
        <v>13250</v>
      </c>
      <c r="C3997" s="2" t="s">
        <v>13251</v>
      </c>
      <c r="D3997" s="5" t="s">
        <v>13250</v>
      </c>
      <c r="E3997" s="2" t="s">
        <v>15441</v>
      </c>
      <c r="F3997" s="2" t="s">
        <v>15446</v>
      </c>
      <c r="G3997" s="2" t="s">
        <v>15443</v>
      </c>
      <c r="H3997" s="2" t="s">
        <v>15444</v>
      </c>
    </row>
    <row r="3998">
      <c r="A3998" s="2">
        <v>3996.0</v>
      </c>
      <c r="B3998" s="5" t="s">
        <v>5923</v>
      </c>
      <c r="C3998" s="2" t="s">
        <v>5924</v>
      </c>
      <c r="D3998" s="5" t="s">
        <v>5923</v>
      </c>
      <c r="E3998" s="2" t="s">
        <v>15445</v>
      </c>
      <c r="F3998" s="2" t="s">
        <v>15442</v>
      </c>
      <c r="G3998" s="2" t="s">
        <v>15443</v>
      </c>
      <c r="H3998" s="2" t="s">
        <v>15444</v>
      </c>
    </row>
    <row r="3999">
      <c r="A3999" s="2">
        <v>3997.0</v>
      </c>
      <c r="B3999" s="5" t="s">
        <v>5926</v>
      </c>
      <c r="C3999" s="2" t="s">
        <v>5927</v>
      </c>
      <c r="D3999" s="5" t="s">
        <v>5926</v>
      </c>
      <c r="E3999" s="2" t="s">
        <v>15445</v>
      </c>
      <c r="F3999" s="2" t="s">
        <v>15446</v>
      </c>
      <c r="G3999" s="2" t="s">
        <v>15443</v>
      </c>
      <c r="H3999" s="2" t="s">
        <v>15444</v>
      </c>
    </row>
    <row r="4000">
      <c r="A4000" s="2">
        <v>3998.0</v>
      </c>
      <c r="B4000" s="5" t="s">
        <v>13252</v>
      </c>
      <c r="C4000" s="2" t="s">
        <v>13253</v>
      </c>
      <c r="D4000" s="5" t="s">
        <v>13252</v>
      </c>
      <c r="E4000" s="2" t="s">
        <v>15441</v>
      </c>
      <c r="F4000" s="2" t="s">
        <v>15442</v>
      </c>
      <c r="G4000" s="2" t="s">
        <v>15443</v>
      </c>
      <c r="H4000" s="2" t="s">
        <v>15444</v>
      </c>
    </row>
    <row r="4001">
      <c r="A4001" s="2">
        <v>3999.0</v>
      </c>
      <c r="B4001" s="5" t="s">
        <v>13254</v>
      </c>
      <c r="C4001" s="2" t="s">
        <v>13255</v>
      </c>
      <c r="D4001" s="5" t="s">
        <v>13254</v>
      </c>
      <c r="E4001" s="2" t="s">
        <v>15441</v>
      </c>
      <c r="F4001" s="2" t="s">
        <v>15446</v>
      </c>
      <c r="G4001" s="2" t="s">
        <v>15443</v>
      </c>
      <c r="H4001" s="2" t="s">
        <v>15444</v>
      </c>
    </row>
    <row r="4002">
      <c r="A4002" s="2">
        <v>4000.0</v>
      </c>
      <c r="B4002" s="5" t="s">
        <v>13256</v>
      </c>
      <c r="C4002" s="2" t="s">
        <v>13257</v>
      </c>
      <c r="D4002" s="5" t="s">
        <v>13256</v>
      </c>
      <c r="E4002" s="2" t="s">
        <v>15441</v>
      </c>
      <c r="F4002" s="2" t="s">
        <v>15446</v>
      </c>
      <c r="G4002" s="2" t="s">
        <v>15456</v>
      </c>
      <c r="H4002" s="2" t="s">
        <v>15457</v>
      </c>
    </row>
    <row r="4003">
      <c r="A4003" s="2">
        <v>4001.0</v>
      </c>
      <c r="B4003" s="5" t="s">
        <v>13258</v>
      </c>
      <c r="C4003" s="2" t="s">
        <v>13259</v>
      </c>
      <c r="D4003" s="5" t="s">
        <v>13258</v>
      </c>
      <c r="E4003" s="2" t="s">
        <v>15441</v>
      </c>
      <c r="F4003" s="2" t="s">
        <v>15446</v>
      </c>
      <c r="G4003" s="2" t="s">
        <v>15456</v>
      </c>
      <c r="H4003" s="2" t="s">
        <v>15457</v>
      </c>
    </row>
    <row r="4004">
      <c r="A4004" s="2">
        <v>4002.0</v>
      </c>
      <c r="B4004" s="5" t="s">
        <v>5929</v>
      </c>
      <c r="C4004" s="2" t="s">
        <v>5930</v>
      </c>
      <c r="D4004" s="5" t="s">
        <v>5929</v>
      </c>
      <c r="E4004" s="2" t="s">
        <v>15445</v>
      </c>
      <c r="F4004" s="2" t="s">
        <v>15446</v>
      </c>
      <c r="G4004" s="2" t="s">
        <v>15443</v>
      </c>
      <c r="H4004" s="2" t="s">
        <v>15444</v>
      </c>
    </row>
    <row r="4005">
      <c r="A4005" s="2">
        <v>4003.0</v>
      </c>
      <c r="B4005" s="5" t="s">
        <v>5932</v>
      </c>
      <c r="C4005" s="2" t="s">
        <v>5933</v>
      </c>
      <c r="D4005" s="5" t="s">
        <v>5932</v>
      </c>
      <c r="E4005" s="2" t="s">
        <v>15445</v>
      </c>
      <c r="F4005" s="2" t="s">
        <v>15446</v>
      </c>
      <c r="G4005" s="2" t="s">
        <v>15456</v>
      </c>
      <c r="H4005" s="2" t="s">
        <v>15444</v>
      </c>
    </row>
    <row r="4006">
      <c r="A4006" s="2">
        <v>4004.0</v>
      </c>
      <c r="B4006" s="5" t="s">
        <v>5935</v>
      </c>
      <c r="C4006" s="2" t="s">
        <v>5936</v>
      </c>
      <c r="D4006" s="5" t="s">
        <v>5935</v>
      </c>
      <c r="E4006" s="2" t="s">
        <v>15445</v>
      </c>
      <c r="F4006" s="2" t="s">
        <v>15446</v>
      </c>
      <c r="G4006" s="2" t="s">
        <v>15456</v>
      </c>
      <c r="H4006" s="2" t="s">
        <v>15444</v>
      </c>
    </row>
    <row r="4007">
      <c r="A4007" s="2">
        <v>4005.0</v>
      </c>
      <c r="B4007" s="5" t="s">
        <v>13260</v>
      </c>
      <c r="C4007" s="2" t="s">
        <v>13261</v>
      </c>
      <c r="D4007" s="5" t="s">
        <v>13260</v>
      </c>
      <c r="E4007" s="2" t="s">
        <v>15441</v>
      </c>
      <c r="F4007" s="2" t="s">
        <v>15442</v>
      </c>
      <c r="G4007" s="2" t="s">
        <v>15443</v>
      </c>
      <c r="H4007" s="2" t="s">
        <v>15444</v>
      </c>
    </row>
    <row r="4008">
      <c r="A4008" s="2">
        <v>4006.0</v>
      </c>
      <c r="B4008" s="5" t="s">
        <v>5938</v>
      </c>
      <c r="C4008" s="2" t="s">
        <v>5939</v>
      </c>
      <c r="D4008" s="5" t="s">
        <v>5938</v>
      </c>
      <c r="E4008" s="2" t="s">
        <v>15445</v>
      </c>
      <c r="F4008" s="2" t="s">
        <v>15442</v>
      </c>
      <c r="G4008" s="2" t="s">
        <v>15443</v>
      </c>
      <c r="H4008" s="2" t="s">
        <v>15455</v>
      </c>
    </row>
    <row r="4009">
      <c r="A4009" s="2">
        <v>4007.0</v>
      </c>
      <c r="B4009" s="5" t="s">
        <v>5941</v>
      </c>
      <c r="C4009" s="2" t="s">
        <v>5942</v>
      </c>
      <c r="D4009" s="5" t="s">
        <v>5941</v>
      </c>
      <c r="E4009" s="2" t="s">
        <v>15445</v>
      </c>
      <c r="F4009" s="2" t="s">
        <v>15446</v>
      </c>
      <c r="G4009" s="2" t="s">
        <v>15456</v>
      </c>
      <c r="H4009" s="2" t="s">
        <v>15444</v>
      </c>
    </row>
    <row r="4010">
      <c r="A4010" s="2">
        <v>4008.0</v>
      </c>
      <c r="B4010" s="5" t="s">
        <v>13262</v>
      </c>
      <c r="C4010" s="2" t="s">
        <v>13263</v>
      </c>
      <c r="D4010" s="5" t="s">
        <v>13262</v>
      </c>
      <c r="E4010" s="2" t="s">
        <v>15441</v>
      </c>
      <c r="F4010" s="2" t="s">
        <v>15442</v>
      </c>
      <c r="G4010" s="2" t="s">
        <v>15443</v>
      </c>
      <c r="H4010" s="2" t="s">
        <v>15444</v>
      </c>
    </row>
    <row r="4011">
      <c r="A4011" s="2">
        <v>4009.0</v>
      </c>
      <c r="B4011" s="5" t="s">
        <v>5944</v>
      </c>
      <c r="C4011" s="2" t="s">
        <v>5945</v>
      </c>
      <c r="D4011" s="5" t="s">
        <v>5944</v>
      </c>
      <c r="E4011" s="2" t="s">
        <v>15445</v>
      </c>
      <c r="F4011" s="2" t="s">
        <v>15446</v>
      </c>
      <c r="G4011" s="2" t="s">
        <v>15443</v>
      </c>
      <c r="H4011" s="2" t="s">
        <v>15444</v>
      </c>
    </row>
    <row r="4012">
      <c r="A4012" s="2">
        <v>4010.0</v>
      </c>
      <c r="B4012" s="5" t="s">
        <v>13264</v>
      </c>
      <c r="C4012" s="2" t="s">
        <v>13265</v>
      </c>
      <c r="D4012" s="5" t="s">
        <v>13264</v>
      </c>
      <c r="E4012" s="2" t="s">
        <v>15441</v>
      </c>
      <c r="F4012" s="2" t="s">
        <v>15442</v>
      </c>
      <c r="G4012" s="2" t="s">
        <v>15443</v>
      </c>
      <c r="H4012" s="2" t="s">
        <v>15444</v>
      </c>
    </row>
    <row r="4013">
      <c r="A4013" s="2">
        <v>4011.0</v>
      </c>
      <c r="B4013" s="5" t="s">
        <v>13266</v>
      </c>
      <c r="C4013" s="2" t="s">
        <v>13267</v>
      </c>
      <c r="D4013" s="5" t="s">
        <v>13266</v>
      </c>
      <c r="E4013" s="2" t="s">
        <v>15441</v>
      </c>
      <c r="F4013" s="2" t="s">
        <v>15442</v>
      </c>
      <c r="G4013" s="2" t="s">
        <v>15443</v>
      </c>
      <c r="H4013" s="2" t="s">
        <v>15444</v>
      </c>
    </row>
    <row r="4014">
      <c r="A4014" s="2">
        <v>4012.0</v>
      </c>
      <c r="B4014" s="5" t="s">
        <v>13268</v>
      </c>
      <c r="C4014" s="2" t="s">
        <v>13269</v>
      </c>
      <c r="D4014" s="5" t="s">
        <v>13268</v>
      </c>
      <c r="E4014" s="2" t="s">
        <v>15441</v>
      </c>
      <c r="F4014" s="2" t="s">
        <v>15442</v>
      </c>
      <c r="G4014" s="2" t="s">
        <v>15443</v>
      </c>
      <c r="H4014" s="2" t="s">
        <v>15444</v>
      </c>
    </row>
    <row r="4015">
      <c r="A4015" s="2">
        <v>4013.0</v>
      </c>
      <c r="B4015" s="5" t="s">
        <v>13270</v>
      </c>
      <c r="C4015" s="2" t="s">
        <v>13271</v>
      </c>
      <c r="D4015" s="5" t="s">
        <v>13270</v>
      </c>
      <c r="E4015" s="2" t="s">
        <v>15441</v>
      </c>
      <c r="F4015" s="2" t="s">
        <v>15442</v>
      </c>
      <c r="G4015" s="2" t="s">
        <v>15443</v>
      </c>
      <c r="H4015" s="2" t="s">
        <v>15444</v>
      </c>
    </row>
    <row r="4016">
      <c r="A4016" s="2">
        <v>4014.0</v>
      </c>
      <c r="B4016" s="5" t="s">
        <v>13272</v>
      </c>
      <c r="C4016" s="2" t="s">
        <v>13273</v>
      </c>
      <c r="D4016" s="5" t="s">
        <v>13272</v>
      </c>
      <c r="E4016" s="2" t="s">
        <v>15441</v>
      </c>
      <c r="F4016" s="2" t="s">
        <v>15442</v>
      </c>
      <c r="G4016" s="2" t="s">
        <v>15443</v>
      </c>
      <c r="H4016" s="2" t="s">
        <v>15444</v>
      </c>
    </row>
    <row r="4017">
      <c r="A4017" s="2">
        <v>4015.0</v>
      </c>
      <c r="B4017" s="5" t="s">
        <v>5947</v>
      </c>
      <c r="C4017" s="2" t="s">
        <v>5948</v>
      </c>
      <c r="D4017" s="5" t="s">
        <v>5947</v>
      </c>
      <c r="E4017" s="2" t="s">
        <v>15445</v>
      </c>
      <c r="F4017" s="2" t="s">
        <v>15446</v>
      </c>
      <c r="G4017" s="2" t="s">
        <v>15456</v>
      </c>
      <c r="H4017" s="2" t="s">
        <v>15444</v>
      </c>
    </row>
    <row r="4018">
      <c r="A4018" s="2">
        <v>4016.0</v>
      </c>
      <c r="B4018" s="5" t="s">
        <v>5950</v>
      </c>
      <c r="C4018" s="2" t="s">
        <v>5951</v>
      </c>
      <c r="D4018" s="5" t="s">
        <v>5950</v>
      </c>
      <c r="E4018" s="2" t="s">
        <v>15445</v>
      </c>
      <c r="F4018" s="2" t="s">
        <v>15446</v>
      </c>
      <c r="G4018" s="2" t="s">
        <v>15456</v>
      </c>
      <c r="H4018" s="2" t="s">
        <v>15444</v>
      </c>
    </row>
    <row r="4019">
      <c r="A4019" s="2">
        <v>4017.0</v>
      </c>
      <c r="B4019" s="5" t="s">
        <v>5953</v>
      </c>
      <c r="C4019" s="2" t="s">
        <v>5954</v>
      </c>
      <c r="D4019" s="5" t="s">
        <v>5953</v>
      </c>
      <c r="E4019" s="2" t="s">
        <v>15445</v>
      </c>
      <c r="F4019" s="2" t="s">
        <v>15442</v>
      </c>
      <c r="G4019" s="2" t="s">
        <v>15443</v>
      </c>
      <c r="H4019" s="2" t="s">
        <v>15444</v>
      </c>
    </row>
    <row r="4020">
      <c r="A4020" s="2">
        <v>4018.0</v>
      </c>
      <c r="B4020" s="5" t="s">
        <v>5956</v>
      </c>
      <c r="C4020" s="2" t="s">
        <v>5957</v>
      </c>
      <c r="D4020" s="5" t="s">
        <v>5956</v>
      </c>
      <c r="E4020" s="2" t="s">
        <v>15445</v>
      </c>
      <c r="F4020" s="2" t="s">
        <v>15446</v>
      </c>
      <c r="G4020" s="2" t="s">
        <v>15443</v>
      </c>
      <c r="H4020" s="2" t="s">
        <v>15444</v>
      </c>
    </row>
    <row r="4021">
      <c r="A4021" s="2">
        <v>4019.0</v>
      </c>
      <c r="B4021" s="5" t="s">
        <v>15561</v>
      </c>
      <c r="C4021" s="2" t="s">
        <v>15562</v>
      </c>
      <c r="D4021" s="5" t="s">
        <v>15561</v>
      </c>
      <c r="E4021" s="2" t="s">
        <v>15441</v>
      </c>
      <c r="F4021" s="2" t="s">
        <v>15446</v>
      </c>
      <c r="G4021" s="2" t="s">
        <v>15456</v>
      </c>
      <c r="H4021" s="2" t="s">
        <v>15457</v>
      </c>
    </row>
    <row r="4022">
      <c r="A4022" s="2">
        <v>4020.0</v>
      </c>
      <c r="B4022" s="5" t="s">
        <v>5959</v>
      </c>
      <c r="C4022" s="2" t="s">
        <v>5960</v>
      </c>
      <c r="D4022" s="5" t="s">
        <v>5959</v>
      </c>
      <c r="E4022" s="2" t="s">
        <v>15445</v>
      </c>
      <c r="F4022" s="2" t="s">
        <v>15446</v>
      </c>
      <c r="G4022" s="2" t="s">
        <v>15456</v>
      </c>
      <c r="H4022" s="2" t="s">
        <v>15444</v>
      </c>
    </row>
    <row r="4023">
      <c r="A4023" s="2">
        <v>4021.0</v>
      </c>
      <c r="B4023" s="5" t="s">
        <v>13274</v>
      </c>
      <c r="C4023" s="2" t="s">
        <v>13275</v>
      </c>
      <c r="D4023" s="5" t="s">
        <v>13274</v>
      </c>
      <c r="E4023" s="2" t="s">
        <v>15441</v>
      </c>
      <c r="F4023" s="2" t="s">
        <v>15442</v>
      </c>
      <c r="G4023" s="2" t="s">
        <v>15443</v>
      </c>
      <c r="H4023" s="2" t="s">
        <v>15444</v>
      </c>
    </row>
    <row r="4024">
      <c r="A4024" s="2">
        <v>4022.0</v>
      </c>
      <c r="B4024" s="5" t="s">
        <v>5962</v>
      </c>
      <c r="C4024" s="2" t="s">
        <v>5963</v>
      </c>
      <c r="D4024" s="5" t="s">
        <v>5962</v>
      </c>
      <c r="E4024" s="2" t="s">
        <v>15445</v>
      </c>
      <c r="F4024" s="2" t="s">
        <v>15442</v>
      </c>
      <c r="G4024" s="2" t="s">
        <v>15443</v>
      </c>
      <c r="H4024" s="2" t="s">
        <v>15444</v>
      </c>
    </row>
    <row r="4025">
      <c r="A4025" s="2">
        <v>4023.0</v>
      </c>
      <c r="B4025" s="5" t="s">
        <v>13276</v>
      </c>
      <c r="C4025" s="2" t="s">
        <v>13277</v>
      </c>
      <c r="D4025" s="5" t="s">
        <v>13276</v>
      </c>
      <c r="E4025" s="2" t="s">
        <v>15441</v>
      </c>
      <c r="F4025" s="2" t="s">
        <v>15446</v>
      </c>
      <c r="G4025" s="2" t="s">
        <v>15456</v>
      </c>
      <c r="H4025" s="2" t="s">
        <v>15444</v>
      </c>
    </row>
    <row r="4026">
      <c r="A4026" s="2">
        <v>4024.0</v>
      </c>
      <c r="B4026" s="5" t="s">
        <v>5965</v>
      </c>
      <c r="C4026" s="2" t="s">
        <v>5966</v>
      </c>
      <c r="D4026" s="5" t="s">
        <v>5965</v>
      </c>
      <c r="E4026" s="2" t="s">
        <v>15445</v>
      </c>
      <c r="F4026" s="2" t="s">
        <v>15446</v>
      </c>
      <c r="G4026" s="2" t="s">
        <v>15456</v>
      </c>
      <c r="H4026" s="2" t="s">
        <v>15455</v>
      </c>
    </row>
    <row r="4027">
      <c r="A4027" s="2">
        <v>4025.0</v>
      </c>
      <c r="B4027" s="5" t="s">
        <v>5968</v>
      </c>
      <c r="C4027" s="2" t="s">
        <v>5969</v>
      </c>
      <c r="D4027" s="5" t="s">
        <v>5968</v>
      </c>
      <c r="E4027" s="2" t="s">
        <v>15445</v>
      </c>
      <c r="F4027" s="2" t="s">
        <v>15442</v>
      </c>
      <c r="G4027" s="2" t="s">
        <v>15443</v>
      </c>
      <c r="H4027" s="2" t="s">
        <v>15444</v>
      </c>
    </row>
    <row r="4028">
      <c r="A4028" s="2">
        <v>4026.0</v>
      </c>
      <c r="B4028" s="5" t="s">
        <v>5971</v>
      </c>
      <c r="C4028" s="2" t="s">
        <v>5972</v>
      </c>
      <c r="D4028" s="5" t="s">
        <v>5971</v>
      </c>
      <c r="E4028" s="2" t="s">
        <v>15445</v>
      </c>
      <c r="F4028" s="2" t="s">
        <v>15442</v>
      </c>
      <c r="G4028" s="2" t="s">
        <v>15443</v>
      </c>
      <c r="H4028" s="2" t="s">
        <v>15455</v>
      </c>
    </row>
    <row r="4029">
      <c r="A4029" s="2">
        <v>4027.0</v>
      </c>
      <c r="B4029" s="5" t="s">
        <v>5974</v>
      </c>
      <c r="C4029" s="2" t="s">
        <v>5975</v>
      </c>
      <c r="D4029" s="5" t="s">
        <v>5974</v>
      </c>
      <c r="E4029" s="2" t="s">
        <v>15445</v>
      </c>
      <c r="F4029" s="2" t="s">
        <v>15442</v>
      </c>
      <c r="G4029" s="2" t="s">
        <v>15443</v>
      </c>
      <c r="H4029" s="2" t="s">
        <v>15444</v>
      </c>
    </row>
    <row r="4030">
      <c r="A4030" s="2">
        <v>4028.0</v>
      </c>
      <c r="B4030" s="5" t="s">
        <v>5977</v>
      </c>
      <c r="C4030" s="2" t="s">
        <v>5978</v>
      </c>
      <c r="D4030" s="5" t="s">
        <v>5977</v>
      </c>
      <c r="E4030" s="2" t="s">
        <v>15445</v>
      </c>
      <c r="F4030" s="2" t="s">
        <v>15446</v>
      </c>
      <c r="G4030" s="2" t="s">
        <v>15456</v>
      </c>
      <c r="H4030" s="2" t="s">
        <v>15444</v>
      </c>
    </row>
    <row r="4031">
      <c r="A4031" s="2">
        <v>4029.0</v>
      </c>
      <c r="B4031" s="5" t="s">
        <v>13278</v>
      </c>
      <c r="C4031" s="2" t="s">
        <v>13279</v>
      </c>
      <c r="D4031" s="5" t="s">
        <v>13278</v>
      </c>
      <c r="E4031" s="2" t="s">
        <v>15441</v>
      </c>
      <c r="F4031" s="2" t="s">
        <v>15446</v>
      </c>
      <c r="G4031" s="2" t="s">
        <v>15456</v>
      </c>
      <c r="H4031" s="2" t="s">
        <v>15444</v>
      </c>
    </row>
    <row r="4032">
      <c r="A4032" s="2">
        <v>4030.0</v>
      </c>
      <c r="B4032" s="5" t="s">
        <v>5980</v>
      </c>
      <c r="C4032" s="2" t="s">
        <v>5981</v>
      </c>
      <c r="D4032" s="5" t="s">
        <v>5980</v>
      </c>
      <c r="E4032" s="2" t="s">
        <v>15445</v>
      </c>
      <c r="F4032" s="2" t="s">
        <v>15442</v>
      </c>
      <c r="G4032" s="2" t="s">
        <v>15443</v>
      </c>
      <c r="H4032" s="2" t="s">
        <v>15444</v>
      </c>
    </row>
    <row r="4033">
      <c r="A4033" s="2">
        <v>4031.0</v>
      </c>
      <c r="B4033" s="5" t="s">
        <v>5983</v>
      </c>
      <c r="C4033" s="2" t="s">
        <v>5984</v>
      </c>
      <c r="D4033" s="5" t="s">
        <v>5983</v>
      </c>
      <c r="E4033" s="2" t="s">
        <v>15445</v>
      </c>
      <c r="F4033" s="2" t="s">
        <v>15446</v>
      </c>
      <c r="G4033" s="2" t="s">
        <v>15456</v>
      </c>
      <c r="H4033" s="2" t="s">
        <v>15444</v>
      </c>
    </row>
    <row r="4034">
      <c r="A4034" s="2">
        <v>4032.0</v>
      </c>
      <c r="B4034" s="5" t="s">
        <v>5986</v>
      </c>
      <c r="C4034" s="2" t="s">
        <v>5987</v>
      </c>
      <c r="D4034" s="5" t="s">
        <v>5986</v>
      </c>
      <c r="E4034" s="2" t="s">
        <v>15445</v>
      </c>
      <c r="F4034" s="2" t="s">
        <v>15446</v>
      </c>
      <c r="G4034" s="2" t="s">
        <v>15456</v>
      </c>
      <c r="H4034" s="2" t="s">
        <v>15444</v>
      </c>
    </row>
    <row r="4035">
      <c r="A4035" s="2">
        <v>4033.0</v>
      </c>
      <c r="B4035" s="5" t="s">
        <v>13280</v>
      </c>
      <c r="C4035" s="2" t="s">
        <v>13281</v>
      </c>
      <c r="D4035" s="5" t="s">
        <v>13280</v>
      </c>
      <c r="E4035" s="2" t="s">
        <v>15441</v>
      </c>
      <c r="F4035" s="2" t="s">
        <v>15446</v>
      </c>
      <c r="G4035" s="2" t="s">
        <v>15456</v>
      </c>
      <c r="H4035" s="2" t="s">
        <v>15444</v>
      </c>
    </row>
    <row r="4036">
      <c r="A4036" s="2">
        <v>4034.0</v>
      </c>
      <c r="B4036" s="5" t="s">
        <v>13282</v>
      </c>
      <c r="C4036" s="2" t="s">
        <v>13283</v>
      </c>
      <c r="D4036" s="5" t="s">
        <v>13282</v>
      </c>
      <c r="E4036" s="2" t="s">
        <v>15441</v>
      </c>
      <c r="F4036" s="2" t="s">
        <v>15446</v>
      </c>
      <c r="G4036" s="2" t="s">
        <v>15443</v>
      </c>
      <c r="H4036" s="2" t="s">
        <v>15444</v>
      </c>
    </row>
    <row r="4037">
      <c r="A4037" s="2">
        <v>4035.0</v>
      </c>
      <c r="B4037" s="5" t="s">
        <v>13284</v>
      </c>
      <c r="C4037" s="2" t="s">
        <v>13285</v>
      </c>
      <c r="D4037" s="5" t="s">
        <v>13284</v>
      </c>
      <c r="E4037" s="2" t="s">
        <v>15441</v>
      </c>
      <c r="F4037" s="2" t="s">
        <v>15446</v>
      </c>
      <c r="G4037" s="2" t="s">
        <v>15443</v>
      </c>
      <c r="H4037" s="2" t="s">
        <v>15457</v>
      </c>
    </row>
    <row r="4038">
      <c r="A4038" s="2">
        <v>4036.0</v>
      </c>
      <c r="B4038" s="5" t="s">
        <v>13286</v>
      </c>
      <c r="C4038" s="2" t="s">
        <v>13287</v>
      </c>
      <c r="D4038" s="5" t="s">
        <v>13286</v>
      </c>
      <c r="E4038" s="2" t="s">
        <v>15441</v>
      </c>
      <c r="F4038" s="2" t="s">
        <v>15446</v>
      </c>
      <c r="G4038" s="2" t="s">
        <v>15456</v>
      </c>
      <c r="H4038" s="2" t="s">
        <v>15444</v>
      </c>
    </row>
    <row r="4039">
      <c r="A4039" s="2">
        <v>4037.0</v>
      </c>
      <c r="B4039" s="5" t="s">
        <v>5989</v>
      </c>
      <c r="C4039" s="2" t="s">
        <v>5990</v>
      </c>
      <c r="D4039" s="5" t="s">
        <v>5989</v>
      </c>
      <c r="E4039" s="2" t="s">
        <v>15445</v>
      </c>
      <c r="F4039" s="2" t="s">
        <v>15442</v>
      </c>
      <c r="G4039" s="2" t="s">
        <v>15443</v>
      </c>
      <c r="H4039" s="2" t="s">
        <v>15457</v>
      </c>
    </row>
    <row r="4040">
      <c r="A4040" s="2">
        <v>4038.0</v>
      </c>
      <c r="B4040" s="5" t="s">
        <v>13288</v>
      </c>
      <c r="C4040" s="2" t="s">
        <v>13289</v>
      </c>
      <c r="D4040" s="5" t="s">
        <v>13288</v>
      </c>
      <c r="E4040" s="2" t="s">
        <v>15441</v>
      </c>
      <c r="F4040" s="2" t="s">
        <v>15446</v>
      </c>
      <c r="G4040" s="2" t="s">
        <v>15443</v>
      </c>
      <c r="H4040" s="2" t="s">
        <v>15444</v>
      </c>
    </row>
    <row r="4041">
      <c r="A4041" s="2">
        <v>4039.0</v>
      </c>
      <c r="B4041" s="5" t="s">
        <v>13290</v>
      </c>
      <c r="C4041" s="2" t="s">
        <v>13291</v>
      </c>
      <c r="D4041" s="5" t="s">
        <v>13290</v>
      </c>
      <c r="E4041" s="2" t="s">
        <v>15441</v>
      </c>
      <c r="F4041" s="2" t="s">
        <v>15442</v>
      </c>
      <c r="G4041" s="2" t="s">
        <v>15456</v>
      </c>
      <c r="H4041" s="2" t="s">
        <v>15444</v>
      </c>
    </row>
    <row r="4042">
      <c r="A4042" s="2">
        <v>4040.0</v>
      </c>
      <c r="B4042" s="5" t="s">
        <v>5992</v>
      </c>
      <c r="C4042" s="2" t="s">
        <v>5993</v>
      </c>
      <c r="D4042" s="5" t="s">
        <v>5992</v>
      </c>
      <c r="E4042" s="2" t="s">
        <v>15445</v>
      </c>
      <c r="F4042" s="2" t="s">
        <v>15442</v>
      </c>
      <c r="G4042" s="2" t="s">
        <v>15443</v>
      </c>
      <c r="H4042" s="2" t="s">
        <v>15444</v>
      </c>
    </row>
    <row r="4043">
      <c r="A4043" s="2">
        <v>4041.0</v>
      </c>
      <c r="B4043" s="5" t="s">
        <v>5995</v>
      </c>
      <c r="C4043" s="2" t="s">
        <v>5996</v>
      </c>
      <c r="D4043" s="5" t="s">
        <v>5995</v>
      </c>
      <c r="E4043" s="2" t="s">
        <v>15445</v>
      </c>
      <c r="F4043" s="2" t="s">
        <v>15442</v>
      </c>
      <c r="G4043" s="2" t="s">
        <v>15443</v>
      </c>
      <c r="H4043" s="2" t="s">
        <v>15457</v>
      </c>
    </row>
    <row r="4044">
      <c r="A4044" s="2">
        <v>4042.0</v>
      </c>
      <c r="B4044" s="5" t="s">
        <v>5998</v>
      </c>
      <c r="C4044" s="2" t="s">
        <v>5999</v>
      </c>
      <c r="D4044" s="5" t="s">
        <v>5998</v>
      </c>
      <c r="E4044" s="2" t="s">
        <v>15445</v>
      </c>
      <c r="F4044" s="2" t="s">
        <v>15442</v>
      </c>
      <c r="G4044" s="2" t="s">
        <v>15456</v>
      </c>
      <c r="H4044" s="2" t="s">
        <v>15444</v>
      </c>
    </row>
    <row r="4045">
      <c r="A4045" s="2">
        <v>4043.0</v>
      </c>
      <c r="B4045" s="5" t="s">
        <v>6001</v>
      </c>
      <c r="C4045" s="2" t="s">
        <v>6002</v>
      </c>
      <c r="D4045" s="5" t="s">
        <v>6001</v>
      </c>
      <c r="E4045" s="2" t="s">
        <v>15445</v>
      </c>
      <c r="F4045" s="2" t="s">
        <v>15442</v>
      </c>
      <c r="G4045" s="2" t="s">
        <v>15456</v>
      </c>
      <c r="H4045" s="2" t="s">
        <v>15444</v>
      </c>
    </row>
    <row r="4046">
      <c r="A4046" s="2">
        <v>4044.0</v>
      </c>
      <c r="B4046" s="5" t="s">
        <v>6004</v>
      </c>
      <c r="C4046" s="2" t="s">
        <v>6005</v>
      </c>
      <c r="D4046" s="5" t="s">
        <v>6004</v>
      </c>
      <c r="E4046" s="2" t="s">
        <v>15445</v>
      </c>
      <c r="F4046" s="2" t="s">
        <v>15446</v>
      </c>
      <c r="G4046" s="2" t="s">
        <v>15456</v>
      </c>
      <c r="H4046" s="2" t="s">
        <v>15461</v>
      </c>
    </row>
    <row r="4047">
      <c r="A4047" s="2">
        <v>4045.0</v>
      </c>
      <c r="B4047" s="5" t="s">
        <v>13292</v>
      </c>
      <c r="C4047" s="2" t="s">
        <v>13293</v>
      </c>
      <c r="D4047" s="5" t="s">
        <v>13292</v>
      </c>
      <c r="E4047" s="2" t="s">
        <v>15441</v>
      </c>
      <c r="F4047" s="2" t="s">
        <v>15442</v>
      </c>
      <c r="G4047" s="2" t="s">
        <v>15443</v>
      </c>
      <c r="H4047" s="2" t="s">
        <v>15444</v>
      </c>
    </row>
    <row r="4048">
      <c r="A4048" s="2">
        <v>4046.0</v>
      </c>
      <c r="B4048" s="5" t="s">
        <v>6007</v>
      </c>
      <c r="C4048" s="2" t="s">
        <v>6008</v>
      </c>
      <c r="D4048" s="5" t="s">
        <v>6007</v>
      </c>
      <c r="E4048" s="2" t="s">
        <v>15445</v>
      </c>
      <c r="F4048" s="2" t="s">
        <v>15446</v>
      </c>
      <c r="G4048" s="2" t="s">
        <v>15456</v>
      </c>
      <c r="H4048" s="2" t="s">
        <v>15444</v>
      </c>
    </row>
    <row r="4049">
      <c r="A4049" s="2">
        <v>4047.0</v>
      </c>
      <c r="B4049" s="5" t="s">
        <v>6010</v>
      </c>
      <c r="C4049" s="2" t="s">
        <v>6011</v>
      </c>
      <c r="D4049" s="5" t="s">
        <v>6010</v>
      </c>
      <c r="E4049" s="2" t="s">
        <v>15445</v>
      </c>
      <c r="F4049" s="2" t="s">
        <v>15442</v>
      </c>
      <c r="G4049" s="2" t="s">
        <v>15443</v>
      </c>
      <c r="H4049" s="2" t="s">
        <v>15444</v>
      </c>
    </row>
    <row r="4050">
      <c r="A4050" s="2">
        <v>4048.0</v>
      </c>
      <c r="B4050" s="5" t="s">
        <v>6013</v>
      </c>
      <c r="C4050" s="2" t="s">
        <v>6014</v>
      </c>
      <c r="D4050" s="5" t="s">
        <v>6013</v>
      </c>
      <c r="E4050" s="2" t="s">
        <v>15445</v>
      </c>
      <c r="F4050" s="2" t="s">
        <v>15446</v>
      </c>
      <c r="G4050" s="2" t="s">
        <v>15456</v>
      </c>
      <c r="H4050" s="2" t="s">
        <v>15444</v>
      </c>
    </row>
    <row r="4051">
      <c r="A4051" s="2">
        <v>4049.0</v>
      </c>
      <c r="B4051" s="5" t="s">
        <v>13294</v>
      </c>
      <c r="C4051" s="2" t="s">
        <v>13295</v>
      </c>
      <c r="D4051" s="5" t="s">
        <v>13294</v>
      </c>
      <c r="E4051" s="2" t="s">
        <v>15441</v>
      </c>
      <c r="F4051" s="2" t="s">
        <v>15446</v>
      </c>
      <c r="G4051" s="2" t="s">
        <v>15443</v>
      </c>
      <c r="H4051" s="2" t="s">
        <v>15444</v>
      </c>
    </row>
    <row r="4052">
      <c r="A4052" s="2">
        <v>4050.0</v>
      </c>
      <c r="B4052" s="5" t="s">
        <v>13296</v>
      </c>
      <c r="C4052" s="2" t="s">
        <v>13297</v>
      </c>
      <c r="D4052" s="5" t="s">
        <v>13296</v>
      </c>
      <c r="E4052" s="2" t="s">
        <v>15441</v>
      </c>
      <c r="F4052" s="2" t="s">
        <v>15442</v>
      </c>
      <c r="G4052" s="2" t="s">
        <v>15443</v>
      </c>
      <c r="H4052" s="2" t="s">
        <v>15444</v>
      </c>
    </row>
    <row r="4053">
      <c r="A4053" s="2">
        <v>4051.0</v>
      </c>
      <c r="B4053" s="5" t="s">
        <v>6016</v>
      </c>
      <c r="C4053" s="2" t="s">
        <v>6017</v>
      </c>
      <c r="D4053" s="5" t="s">
        <v>6016</v>
      </c>
      <c r="E4053" s="2" t="s">
        <v>15445</v>
      </c>
      <c r="F4053" s="2" t="s">
        <v>15442</v>
      </c>
      <c r="G4053" s="2" t="s">
        <v>15443</v>
      </c>
      <c r="H4053" s="2" t="s">
        <v>15444</v>
      </c>
    </row>
    <row r="4054">
      <c r="A4054" s="2">
        <v>4052.0</v>
      </c>
      <c r="B4054" s="5" t="s">
        <v>13298</v>
      </c>
      <c r="C4054" s="2" t="s">
        <v>13299</v>
      </c>
      <c r="D4054" s="5" t="s">
        <v>13298</v>
      </c>
      <c r="E4054" s="2" t="s">
        <v>15441</v>
      </c>
      <c r="F4054" s="2" t="s">
        <v>15442</v>
      </c>
      <c r="G4054" s="2" t="s">
        <v>15443</v>
      </c>
      <c r="H4054" s="2" t="s">
        <v>15444</v>
      </c>
    </row>
    <row r="4055">
      <c r="A4055" s="2">
        <v>4053.0</v>
      </c>
      <c r="B4055" s="5" t="s">
        <v>6019</v>
      </c>
      <c r="C4055" s="2" t="s">
        <v>6020</v>
      </c>
      <c r="D4055" s="5" t="s">
        <v>6019</v>
      </c>
      <c r="E4055" s="2" t="s">
        <v>15445</v>
      </c>
      <c r="F4055" s="2" t="s">
        <v>15442</v>
      </c>
      <c r="G4055" s="2" t="s">
        <v>15443</v>
      </c>
      <c r="H4055" s="2" t="s">
        <v>15444</v>
      </c>
    </row>
    <row r="4056">
      <c r="A4056" s="2">
        <v>4054.0</v>
      </c>
      <c r="B4056" s="5" t="s">
        <v>13300</v>
      </c>
      <c r="C4056" s="2" t="s">
        <v>13301</v>
      </c>
      <c r="D4056" s="5" t="s">
        <v>13300</v>
      </c>
      <c r="E4056" s="2" t="s">
        <v>15441</v>
      </c>
      <c r="F4056" s="2" t="s">
        <v>15442</v>
      </c>
      <c r="G4056" s="2" t="s">
        <v>15443</v>
      </c>
      <c r="H4056" s="2" t="s">
        <v>15444</v>
      </c>
    </row>
    <row r="4057">
      <c r="A4057" s="2">
        <v>4055.0</v>
      </c>
      <c r="B4057" s="5" t="s">
        <v>6022</v>
      </c>
      <c r="C4057" s="2" t="s">
        <v>6023</v>
      </c>
      <c r="D4057" s="5" t="s">
        <v>6022</v>
      </c>
      <c r="E4057" s="2" t="s">
        <v>15445</v>
      </c>
      <c r="F4057" s="2" t="s">
        <v>15446</v>
      </c>
      <c r="G4057" s="2" t="s">
        <v>15456</v>
      </c>
      <c r="H4057" s="2" t="s">
        <v>15444</v>
      </c>
    </row>
    <row r="4058">
      <c r="A4058" s="2">
        <v>4056.0</v>
      </c>
      <c r="B4058" s="5" t="s">
        <v>6025</v>
      </c>
      <c r="C4058" s="2" t="s">
        <v>6026</v>
      </c>
      <c r="D4058" s="5" t="s">
        <v>6025</v>
      </c>
      <c r="E4058" s="2" t="s">
        <v>15445</v>
      </c>
      <c r="F4058" s="2" t="s">
        <v>15442</v>
      </c>
      <c r="G4058" s="2" t="s">
        <v>15443</v>
      </c>
      <c r="H4058" s="2" t="s">
        <v>15444</v>
      </c>
    </row>
    <row r="4059">
      <c r="A4059" s="2">
        <v>4057.0</v>
      </c>
      <c r="B4059" s="5" t="s">
        <v>13302</v>
      </c>
      <c r="C4059" s="2" t="s">
        <v>13303</v>
      </c>
      <c r="D4059" s="5" t="s">
        <v>13302</v>
      </c>
      <c r="E4059" s="2" t="s">
        <v>15441</v>
      </c>
      <c r="F4059" s="2" t="s">
        <v>15446</v>
      </c>
      <c r="G4059" s="2" t="s">
        <v>15456</v>
      </c>
      <c r="H4059" s="2" t="s">
        <v>15444</v>
      </c>
    </row>
    <row r="4060">
      <c r="A4060" s="2">
        <v>4058.0</v>
      </c>
      <c r="B4060" s="5" t="s">
        <v>13304</v>
      </c>
      <c r="C4060" s="2" t="s">
        <v>13305</v>
      </c>
      <c r="D4060" s="5" t="s">
        <v>13304</v>
      </c>
      <c r="E4060" s="2" t="s">
        <v>15441</v>
      </c>
      <c r="F4060" s="2" t="s">
        <v>15446</v>
      </c>
      <c r="G4060" s="2" t="s">
        <v>15456</v>
      </c>
      <c r="H4060" s="2" t="s">
        <v>15457</v>
      </c>
    </row>
    <row r="4061">
      <c r="A4061" s="2">
        <v>4059.0</v>
      </c>
      <c r="B4061" s="5" t="s">
        <v>13306</v>
      </c>
      <c r="C4061" s="2" t="s">
        <v>13307</v>
      </c>
      <c r="D4061" s="5" t="s">
        <v>13306</v>
      </c>
      <c r="E4061" s="2" t="s">
        <v>15441</v>
      </c>
      <c r="F4061" s="2" t="s">
        <v>15442</v>
      </c>
      <c r="G4061" s="2" t="s">
        <v>15456</v>
      </c>
      <c r="H4061" s="2" t="s">
        <v>15444</v>
      </c>
    </row>
    <row r="4062">
      <c r="A4062" s="2">
        <v>4060.0</v>
      </c>
      <c r="B4062" s="5" t="s">
        <v>13308</v>
      </c>
      <c r="C4062" s="2" t="s">
        <v>13309</v>
      </c>
      <c r="D4062" s="5" t="s">
        <v>13308</v>
      </c>
      <c r="E4062" s="2" t="s">
        <v>15441</v>
      </c>
      <c r="F4062" s="2" t="s">
        <v>15442</v>
      </c>
      <c r="G4062" s="2" t="s">
        <v>15443</v>
      </c>
      <c r="H4062" s="2" t="s">
        <v>15444</v>
      </c>
    </row>
    <row r="4063">
      <c r="A4063" s="2">
        <v>4061.0</v>
      </c>
      <c r="B4063" s="5" t="s">
        <v>13310</v>
      </c>
      <c r="C4063" s="2" t="s">
        <v>13311</v>
      </c>
      <c r="D4063" s="5" t="s">
        <v>13310</v>
      </c>
      <c r="E4063" s="2" t="s">
        <v>15441</v>
      </c>
      <c r="F4063" s="2" t="s">
        <v>15446</v>
      </c>
      <c r="G4063" s="2" t="s">
        <v>15456</v>
      </c>
      <c r="H4063" s="2" t="s">
        <v>15444</v>
      </c>
    </row>
    <row r="4064">
      <c r="A4064" s="2">
        <v>4062.0</v>
      </c>
      <c r="B4064" s="5" t="s">
        <v>6028</v>
      </c>
      <c r="C4064" s="2" t="s">
        <v>6029</v>
      </c>
      <c r="D4064" s="5" t="s">
        <v>6028</v>
      </c>
      <c r="E4064" s="2" t="s">
        <v>15445</v>
      </c>
      <c r="F4064" s="2" t="s">
        <v>15446</v>
      </c>
      <c r="G4064" s="2" t="s">
        <v>15443</v>
      </c>
      <c r="H4064" s="2" t="s">
        <v>15444</v>
      </c>
    </row>
    <row r="4065">
      <c r="A4065" s="2">
        <v>4063.0</v>
      </c>
      <c r="B4065" s="5" t="s">
        <v>13312</v>
      </c>
      <c r="C4065" s="2" t="s">
        <v>13313</v>
      </c>
      <c r="D4065" s="5" t="s">
        <v>13312</v>
      </c>
      <c r="E4065" s="2" t="s">
        <v>15441</v>
      </c>
      <c r="F4065" s="2" t="s">
        <v>15442</v>
      </c>
      <c r="G4065" s="2" t="s">
        <v>15443</v>
      </c>
      <c r="H4065" s="2" t="s">
        <v>15444</v>
      </c>
    </row>
    <row r="4066">
      <c r="A4066" s="2">
        <v>4064.0</v>
      </c>
      <c r="B4066" s="5" t="s">
        <v>6031</v>
      </c>
      <c r="C4066" s="2" t="s">
        <v>6032</v>
      </c>
      <c r="D4066" s="5" t="s">
        <v>6031</v>
      </c>
      <c r="E4066" s="2" t="s">
        <v>15445</v>
      </c>
      <c r="F4066" s="2" t="s">
        <v>15446</v>
      </c>
      <c r="G4066" s="2" t="s">
        <v>15456</v>
      </c>
      <c r="H4066" s="2" t="s">
        <v>15444</v>
      </c>
    </row>
    <row r="4067">
      <c r="A4067" s="2">
        <v>4065.0</v>
      </c>
      <c r="B4067" s="5" t="s">
        <v>6034</v>
      </c>
      <c r="C4067" s="2" t="s">
        <v>6035</v>
      </c>
      <c r="D4067" s="5" t="s">
        <v>6034</v>
      </c>
      <c r="E4067" s="2" t="s">
        <v>15445</v>
      </c>
      <c r="F4067" s="2" t="s">
        <v>15442</v>
      </c>
      <c r="G4067" s="2" t="s">
        <v>15443</v>
      </c>
      <c r="H4067" s="2" t="s">
        <v>15444</v>
      </c>
    </row>
    <row r="4068">
      <c r="A4068" s="2">
        <v>4066.0</v>
      </c>
      <c r="B4068" s="5" t="s">
        <v>13314</v>
      </c>
      <c r="C4068" s="2" t="s">
        <v>13315</v>
      </c>
      <c r="D4068" s="5" t="s">
        <v>13314</v>
      </c>
      <c r="E4068" s="2" t="s">
        <v>15441</v>
      </c>
      <c r="F4068" s="2" t="s">
        <v>15446</v>
      </c>
      <c r="G4068" s="2" t="s">
        <v>15456</v>
      </c>
      <c r="H4068" s="2" t="s">
        <v>15457</v>
      </c>
    </row>
    <row r="4069">
      <c r="A4069" s="2">
        <v>4067.0</v>
      </c>
      <c r="B4069" s="5" t="s">
        <v>6037</v>
      </c>
      <c r="C4069" s="2" t="s">
        <v>6038</v>
      </c>
      <c r="D4069" s="5" t="s">
        <v>6037</v>
      </c>
      <c r="E4069" s="2" t="s">
        <v>15445</v>
      </c>
      <c r="F4069" s="2" t="s">
        <v>15446</v>
      </c>
      <c r="G4069" s="2" t="s">
        <v>15443</v>
      </c>
      <c r="H4069" s="2" t="s">
        <v>15457</v>
      </c>
    </row>
    <row r="4070">
      <c r="A4070" s="2">
        <v>4068.0</v>
      </c>
      <c r="B4070" s="5" t="s">
        <v>6040</v>
      </c>
      <c r="C4070" s="2" t="s">
        <v>6041</v>
      </c>
      <c r="D4070" s="5" t="s">
        <v>6040</v>
      </c>
      <c r="E4070" s="2" t="s">
        <v>15445</v>
      </c>
      <c r="F4070" s="2" t="s">
        <v>15442</v>
      </c>
      <c r="G4070" s="2" t="s">
        <v>15443</v>
      </c>
      <c r="H4070" s="2" t="s">
        <v>15455</v>
      </c>
    </row>
    <row r="4071">
      <c r="A4071" s="2">
        <v>4069.0</v>
      </c>
      <c r="B4071" s="5" t="s">
        <v>13316</v>
      </c>
      <c r="C4071" s="2" t="s">
        <v>13317</v>
      </c>
      <c r="D4071" s="5" t="s">
        <v>13316</v>
      </c>
      <c r="E4071" s="2" t="s">
        <v>15441</v>
      </c>
      <c r="F4071" s="2" t="s">
        <v>15446</v>
      </c>
      <c r="G4071" s="2" t="s">
        <v>15456</v>
      </c>
      <c r="H4071" s="2" t="s">
        <v>15444</v>
      </c>
    </row>
    <row r="4072">
      <c r="A4072" s="2">
        <v>4070.0</v>
      </c>
      <c r="B4072" s="5" t="s">
        <v>6043</v>
      </c>
      <c r="C4072" s="2" t="s">
        <v>6044</v>
      </c>
      <c r="D4072" s="5" t="s">
        <v>6043</v>
      </c>
      <c r="E4072" s="2" t="s">
        <v>15445</v>
      </c>
      <c r="F4072" s="2" t="s">
        <v>15442</v>
      </c>
      <c r="G4072" s="2" t="s">
        <v>15443</v>
      </c>
      <c r="H4072" s="2" t="s">
        <v>15444</v>
      </c>
    </row>
    <row r="4073">
      <c r="A4073" s="2">
        <v>4071.0</v>
      </c>
      <c r="B4073" s="5" t="s">
        <v>6046</v>
      </c>
      <c r="C4073" s="2" t="s">
        <v>6047</v>
      </c>
      <c r="D4073" s="5" t="s">
        <v>6046</v>
      </c>
      <c r="E4073" s="2" t="s">
        <v>15445</v>
      </c>
      <c r="F4073" s="2" t="s">
        <v>15442</v>
      </c>
      <c r="G4073" s="2" t="s">
        <v>15443</v>
      </c>
      <c r="H4073" s="2" t="s">
        <v>15455</v>
      </c>
    </row>
    <row r="4074">
      <c r="A4074" s="2">
        <v>4072.0</v>
      </c>
      <c r="B4074" s="5" t="s">
        <v>6049</v>
      </c>
      <c r="C4074" s="2" t="s">
        <v>6050</v>
      </c>
      <c r="D4074" s="5" t="s">
        <v>6049</v>
      </c>
      <c r="E4074" s="2" t="s">
        <v>15445</v>
      </c>
      <c r="F4074" s="2" t="s">
        <v>15446</v>
      </c>
      <c r="G4074" s="2" t="s">
        <v>15443</v>
      </c>
      <c r="H4074" s="2" t="s">
        <v>15444</v>
      </c>
    </row>
    <row r="4075">
      <c r="A4075" s="2">
        <v>4073.0</v>
      </c>
      <c r="B4075" s="5" t="s">
        <v>13318</v>
      </c>
      <c r="C4075" s="2" t="s">
        <v>13319</v>
      </c>
      <c r="D4075" s="5" t="s">
        <v>13318</v>
      </c>
      <c r="E4075" s="2" t="s">
        <v>15441</v>
      </c>
      <c r="F4075" s="2" t="s">
        <v>15442</v>
      </c>
      <c r="G4075" s="2" t="s">
        <v>15456</v>
      </c>
      <c r="H4075" s="2" t="s">
        <v>15444</v>
      </c>
    </row>
    <row r="4076">
      <c r="A4076" s="2">
        <v>4074.0</v>
      </c>
      <c r="B4076" s="5" t="s">
        <v>15563</v>
      </c>
      <c r="C4076" s="2" t="s">
        <v>15564</v>
      </c>
      <c r="D4076" s="5" t="s">
        <v>15563</v>
      </c>
      <c r="E4076" s="2" t="s">
        <v>15445</v>
      </c>
      <c r="F4076" s="2" t="s">
        <v>15446</v>
      </c>
      <c r="G4076" s="2" t="s">
        <v>15456</v>
      </c>
      <c r="H4076" s="2" t="s">
        <v>15457</v>
      </c>
    </row>
    <row r="4077">
      <c r="A4077" s="2">
        <v>4075.0</v>
      </c>
      <c r="B4077" s="5" t="s">
        <v>6052</v>
      </c>
      <c r="C4077" s="2" t="s">
        <v>6053</v>
      </c>
      <c r="D4077" s="5" t="s">
        <v>6052</v>
      </c>
      <c r="E4077" s="2" t="s">
        <v>15445</v>
      </c>
      <c r="F4077" s="2" t="s">
        <v>15442</v>
      </c>
      <c r="G4077" s="2" t="s">
        <v>15456</v>
      </c>
      <c r="H4077" s="2" t="s">
        <v>15444</v>
      </c>
    </row>
    <row r="4078">
      <c r="A4078" s="2">
        <v>4076.0</v>
      </c>
      <c r="B4078" s="5" t="s">
        <v>13320</v>
      </c>
      <c r="C4078" s="2" t="s">
        <v>13321</v>
      </c>
      <c r="D4078" s="5" t="s">
        <v>13320</v>
      </c>
      <c r="E4078" s="2" t="s">
        <v>15441</v>
      </c>
      <c r="F4078" s="2" t="s">
        <v>15446</v>
      </c>
      <c r="G4078" s="2" t="s">
        <v>15443</v>
      </c>
      <c r="H4078" s="2" t="s">
        <v>15444</v>
      </c>
    </row>
    <row r="4079">
      <c r="A4079" s="2">
        <v>4077.0</v>
      </c>
      <c r="B4079" s="5" t="s">
        <v>6055</v>
      </c>
      <c r="C4079" s="2" t="s">
        <v>6056</v>
      </c>
      <c r="D4079" s="5" t="s">
        <v>6055</v>
      </c>
      <c r="E4079" s="2" t="s">
        <v>15445</v>
      </c>
      <c r="F4079" s="2" t="s">
        <v>15442</v>
      </c>
      <c r="G4079" s="2" t="s">
        <v>15443</v>
      </c>
      <c r="H4079" s="2" t="s">
        <v>15444</v>
      </c>
    </row>
    <row r="4080">
      <c r="A4080" s="2">
        <v>4078.0</v>
      </c>
      <c r="B4080" s="5" t="s">
        <v>6058</v>
      </c>
      <c r="C4080" s="2" t="s">
        <v>6059</v>
      </c>
      <c r="D4080" s="5" t="s">
        <v>6058</v>
      </c>
      <c r="E4080" s="2" t="s">
        <v>15445</v>
      </c>
      <c r="F4080" s="2" t="s">
        <v>15442</v>
      </c>
      <c r="G4080" s="2" t="s">
        <v>15443</v>
      </c>
      <c r="H4080" s="2" t="s">
        <v>15444</v>
      </c>
    </row>
    <row r="4081">
      <c r="A4081" s="2">
        <v>4079.0</v>
      </c>
      <c r="B4081" s="5" t="s">
        <v>13322</v>
      </c>
      <c r="C4081" s="2" t="s">
        <v>13323</v>
      </c>
      <c r="D4081" s="5" t="s">
        <v>13322</v>
      </c>
      <c r="E4081" s="2" t="s">
        <v>15441</v>
      </c>
      <c r="F4081" s="2" t="s">
        <v>15446</v>
      </c>
      <c r="G4081" s="2" t="s">
        <v>15456</v>
      </c>
      <c r="H4081" s="2" t="s">
        <v>15444</v>
      </c>
    </row>
    <row r="4082">
      <c r="A4082" s="2">
        <v>4080.0</v>
      </c>
      <c r="B4082" s="5" t="s">
        <v>13324</v>
      </c>
      <c r="C4082" s="2" t="s">
        <v>13325</v>
      </c>
      <c r="D4082" s="5" t="s">
        <v>13324</v>
      </c>
      <c r="E4082" s="2" t="s">
        <v>15441</v>
      </c>
      <c r="F4082" s="2" t="s">
        <v>15442</v>
      </c>
      <c r="G4082" s="2" t="s">
        <v>15443</v>
      </c>
      <c r="H4082" s="2" t="s">
        <v>15444</v>
      </c>
    </row>
    <row r="4083">
      <c r="A4083" s="2">
        <v>4081.0</v>
      </c>
      <c r="B4083" s="5" t="s">
        <v>15565</v>
      </c>
      <c r="C4083" s="2" t="s">
        <v>15566</v>
      </c>
      <c r="D4083" s="5" t="s">
        <v>15565</v>
      </c>
      <c r="E4083" s="2" t="s">
        <v>15445</v>
      </c>
      <c r="F4083" s="2" t="s">
        <v>15442</v>
      </c>
      <c r="G4083" s="2" t="s">
        <v>15456</v>
      </c>
      <c r="H4083" s="2" t="s">
        <v>15455</v>
      </c>
    </row>
    <row r="4084">
      <c r="A4084" s="2">
        <v>4082.0</v>
      </c>
      <c r="B4084" s="5" t="s">
        <v>13326</v>
      </c>
      <c r="C4084" s="2" t="s">
        <v>13327</v>
      </c>
      <c r="D4084" s="5" t="s">
        <v>13326</v>
      </c>
      <c r="E4084" s="2" t="s">
        <v>15441</v>
      </c>
      <c r="F4084" s="2" t="s">
        <v>15442</v>
      </c>
      <c r="G4084" s="2" t="s">
        <v>15443</v>
      </c>
      <c r="H4084" s="2" t="s">
        <v>15444</v>
      </c>
    </row>
    <row r="4085">
      <c r="A4085" s="2">
        <v>4083.0</v>
      </c>
      <c r="B4085" s="5" t="s">
        <v>13328</v>
      </c>
      <c r="C4085" s="2" t="s">
        <v>13329</v>
      </c>
      <c r="D4085" s="5" t="s">
        <v>13328</v>
      </c>
      <c r="E4085" s="2" t="s">
        <v>15441</v>
      </c>
      <c r="F4085" s="2" t="s">
        <v>15442</v>
      </c>
      <c r="G4085" s="2" t="s">
        <v>15443</v>
      </c>
      <c r="H4085" s="2" t="s">
        <v>15455</v>
      </c>
    </row>
    <row r="4086">
      <c r="A4086" s="2">
        <v>4084.0</v>
      </c>
      <c r="B4086" s="5" t="s">
        <v>6061</v>
      </c>
      <c r="C4086" s="2" t="s">
        <v>6062</v>
      </c>
      <c r="D4086" s="5" t="s">
        <v>6061</v>
      </c>
      <c r="E4086" s="2" t="s">
        <v>15445</v>
      </c>
      <c r="F4086" s="2" t="s">
        <v>15446</v>
      </c>
      <c r="G4086" s="2" t="s">
        <v>15456</v>
      </c>
      <c r="H4086" s="2" t="s">
        <v>15444</v>
      </c>
    </row>
    <row r="4087">
      <c r="A4087" s="2">
        <v>4085.0</v>
      </c>
      <c r="B4087" s="5" t="s">
        <v>6064</v>
      </c>
      <c r="C4087" s="2" t="s">
        <v>6065</v>
      </c>
      <c r="D4087" s="5" t="s">
        <v>6064</v>
      </c>
      <c r="E4087" s="2" t="s">
        <v>15445</v>
      </c>
      <c r="F4087" s="2" t="s">
        <v>15442</v>
      </c>
      <c r="G4087" s="2" t="s">
        <v>15456</v>
      </c>
      <c r="H4087" s="2" t="s">
        <v>15444</v>
      </c>
    </row>
    <row r="4088">
      <c r="A4088" s="2">
        <v>4086.0</v>
      </c>
      <c r="B4088" s="5" t="s">
        <v>13330</v>
      </c>
      <c r="C4088" s="2" t="s">
        <v>13331</v>
      </c>
      <c r="D4088" s="5" t="s">
        <v>13330</v>
      </c>
      <c r="E4088" s="2" t="s">
        <v>15441</v>
      </c>
      <c r="F4088" s="2" t="s">
        <v>15442</v>
      </c>
      <c r="G4088" s="2" t="s">
        <v>15443</v>
      </c>
      <c r="H4088" s="2" t="s">
        <v>15444</v>
      </c>
    </row>
    <row r="4089">
      <c r="A4089" s="2">
        <v>4087.0</v>
      </c>
      <c r="B4089" s="5" t="s">
        <v>6067</v>
      </c>
      <c r="C4089" s="2" t="s">
        <v>6068</v>
      </c>
      <c r="D4089" s="5" t="s">
        <v>6067</v>
      </c>
      <c r="E4089" s="2" t="s">
        <v>15445</v>
      </c>
      <c r="F4089" s="2" t="s">
        <v>15442</v>
      </c>
      <c r="G4089" s="2" t="s">
        <v>15443</v>
      </c>
      <c r="H4089" s="2" t="s">
        <v>15444</v>
      </c>
    </row>
    <row r="4090">
      <c r="A4090" s="2">
        <v>4088.0</v>
      </c>
      <c r="B4090" s="5" t="s">
        <v>6070</v>
      </c>
      <c r="C4090" s="2" t="s">
        <v>6071</v>
      </c>
      <c r="D4090" s="5" t="s">
        <v>6070</v>
      </c>
      <c r="E4090" s="2" t="s">
        <v>15445</v>
      </c>
      <c r="F4090" s="2" t="s">
        <v>15446</v>
      </c>
      <c r="G4090" s="2" t="s">
        <v>15443</v>
      </c>
      <c r="H4090" s="2" t="s">
        <v>15444</v>
      </c>
    </row>
    <row r="4091">
      <c r="A4091" s="2">
        <v>4089.0</v>
      </c>
      <c r="B4091" s="5" t="s">
        <v>6073</v>
      </c>
      <c r="C4091" s="2" t="s">
        <v>6074</v>
      </c>
      <c r="D4091" s="5" t="s">
        <v>6073</v>
      </c>
      <c r="E4091" s="2" t="s">
        <v>15445</v>
      </c>
      <c r="F4091" s="2" t="s">
        <v>15446</v>
      </c>
      <c r="G4091" s="2" t="s">
        <v>15443</v>
      </c>
      <c r="H4091" s="2" t="s">
        <v>15444</v>
      </c>
    </row>
    <row r="4092">
      <c r="A4092" s="2">
        <v>4090.0</v>
      </c>
      <c r="B4092" s="5" t="s">
        <v>13332</v>
      </c>
      <c r="C4092" s="2" t="s">
        <v>13333</v>
      </c>
      <c r="D4092" s="5" t="s">
        <v>13332</v>
      </c>
      <c r="E4092" s="2" t="s">
        <v>15441</v>
      </c>
      <c r="F4092" s="2" t="s">
        <v>15442</v>
      </c>
      <c r="G4092" s="2" t="s">
        <v>15443</v>
      </c>
      <c r="H4092" s="2" t="s">
        <v>15444</v>
      </c>
    </row>
    <row r="4093">
      <c r="A4093" s="2">
        <v>4091.0</v>
      </c>
      <c r="B4093" s="5" t="s">
        <v>6076</v>
      </c>
      <c r="C4093" s="2" t="s">
        <v>6077</v>
      </c>
      <c r="D4093" s="5" t="s">
        <v>6076</v>
      </c>
      <c r="E4093" s="2" t="s">
        <v>15445</v>
      </c>
      <c r="F4093" s="2" t="s">
        <v>15442</v>
      </c>
      <c r="G4093" s="2" t="s">
        <v>15443</v>
      </c>
      <c r="H4093" s="2" t="s">
        <v>15444</v>
      </c>
    </row>
    <row r="4094">
      <c r="A4094" s="2">
        <v>4092.0</v>
      </c>
      <c r="B4094" s="5" t="s">
        <v>6079</v>
      </c>
      <c r="C4094" s="2" t="s">
        <v>6080</v>
      </c>
      <c r="D4094" s="5" t="s">
        <v>6079</v>
      </c>
      <c r="E4094" s="2" t="s">
        <v>15445</v>
      </c>
      <c r="F4094" s="2" t="s">
        <v>15446</v>
      </c>
      <c r="G4094" s="2" t="s">
        <v>15443</v>
      </c>
      <c r="H4094" s="2" t="s">
        <v>15444</v>
      </c>
    </row>
    <row r="4095">
      <c r="A4095" s="2">
        <v>4093.0</v>
      </c>
      <c r="B4095" s="5" t="s">
        <v>6082</v>
      </c>
      <c r="C4095" s="2" t="s">
        <v>6083</v>
      </c>
      <c r="D4095" s="5" t="s">
        <v>6082</v>
      </c>
      <c r="E4095" s="2" t="s">
        <v>15445</v>
      </c>
      <c r="F4095" s="2" t="s">
        <v>15442</v>
      </c>
      <c r="G4095" s="2" t="s">
        <v>15443</v>
      </c>
      <c r="H4095" s="2" t="s">
        <v>15444</v>
      </c>
    </row>
    <row r="4096">
      <c r="A4096" s="2">
        <v>4094.0</v>
      </c>
      <c r="B4096" s="5" t="s">
        <v>13334</v>
      </c>
      <c r="C4096" s="2" t="s">
        <v>13335</v>
      </c>
      <c r="D4096" s="5" t="s">
        <v>13334</v>
      </c>
      <c r="E4096" s="2" t="s">
        <v>15441</v>
      </c>
      <c r="F4096" s="2" t="s">
        <v>15446</v>
      </c>
      <c r="G4096" s="2" t="s">
        <v>15443</v>
      </c>
      <c r="H4096" s="2" t="s">
        <v>15444</v>
      </c>
    </row>
    <row r="4097">
      <c r="A4097" s="2">
        <v>4095.0</v>
      </c>
      <c r="B4097" s="5" t="s">
        <v>13336</v>
      </c>
      <c r="C4097" s="2" t="s">
        <v>13337</v>
      </c>
      <c r="D4097" s="5" t="s">
        <v>13336</v>
      </c>
      <c r="E4097" s="2" t="s">
        <v>15441</v>
      </c>
      <c r="F4097" s="2" t="s">
        <v>15442</v>
      </c>
      <c r="G4097" s="2" t="s">
        <v>15443</v>
      </c>
      <c r="H4097" s="2" t="s">
        <v>15444</v>
      </c>
    </row>
    <row r="4098">
      <c r="A4098" s="2">
        <v>4096.0</v>
      </c>
      <c r="B4098" s="5" t="s">
        <v>13338</v>
      </c>
      <c r="C4098" s="2" t="s">
        <v>13339</v>
      </c>
      <c r="D4098" s="5" t="s">
        <v>13338</v>
      </c>
      <c r="E4098" s="2" t="s">
        <v>15441</v>
      </c>
      <c r="F4098" s="2" t="s">
        <v>15442</v>
      </c>
      <c r="G4098" s="2" t="s">
        <v>15443</v>
      </c>
      <c r="H4098" s="2" t="s">
        <v>15444</v>
      </c>
    </row>
    <row r="4099">
      <c r="A4099" s="2">
        <v>4097.0</v>
      </c>
      <c r="B4099" s="5" t="s">
        <v>13340</v>
      </c>
      <c r="C4099" s="2" t="s">
        <v>13341</v>
      </c>
      <c r="D4099" s="5" t="s">
        <v>13340</v>
      </c>
      <c r="E4099" s="2" t="s">
        <v>15441</v>
      </c>
      <c r="F4099" s="2" t="s">
        <v>15442</v>
      </c>
      <c r="G4099" s="2" t="s">
        <v>15456</v>
      </c>
      <c r="H4099" s="2" t="s">
        <v>15455</v>
      </c>
    </row>
    <row r="4100">
      <c r="A4100" s="2">
        <v>4098.0</v>
      </c>
      <c r="B4100" s="5" t="s">
        <v>6085</v>
      </c>
      <c r="C4100" s="2" t="s">
        <v>6086</v>
      </c>
      <c r="D4100" s="5" t="s">
        <v>6085</v>
      </c>
      <c r="E4100" s="2" t="s">
        <v>15445</v>
      </c>
      <c r="F4100" s="2" t="s">
        <v>15446</v>
      </c>
      <c r="G4100" s="2" t="s">
        <v>15456</v>
      </c>
      <c r="H4100" s="2" t="s">
        <v>15461</v>
      </c>
    </row>
    <row r="4101">
      <c r="A4101" s="2">
        <v>4099.0</v>
      </c>
      <c r="B4101" s="5" t="s">
        <v>13342</v>
      </c>
      <c r="C4101" s="2" t="s">
        <v>5406</v>
      </c>
      <c r="D4101" s="5" t="s">
        <v>13342</v>
      </c>
      <c r="E4101" s="2" t="s">
        <v>15441</v>
      </c>
      <c r="F4101" s="2" t="s">
        <v>15446</v>
      </c>
      <c r="G4101" s="2" t="s">
        <v>15443</v>
      </c>
      <c r="H4101" s="2" t="s">
        <v>15455</v>
      </c>
    </row>
    <row r="4102">
      <c r="A4102" s="2">
        <v>4100.0</v>
      </c>
      <c r="B4102" s="5" t="s">
        <v>13343</v>
      </c>
      <c r="C4102" s="2" t="s">
        <v>13344</v>
      </c>
      <c r="D4102" s="5" t="s">
        <v>13343</v>
      </c>
      <c r="E4102" s="2" t="s">
        <v>15441</v>
      </c>
      <c r="F4102" s="2" t="s">
        <v>15446</v>
      </c>
      <c r="G4102" s="2" t="s">
        <v>15456</v>
      </c>
      <c r="H4102" s="2" t="s">
        <v>15444</v>
      </c>
    </row>
    <row r="4103">
      <c r="A4103" s="2">
        <v>4101.0</v>
      </c>
      <c r="B4103" s="5" t="s">
        <v>13345</v>
      </c>
      <c r="C4103" s="2" t="s">
        <v>13346</v>
      </c>
      <c r="D4103" s="5" t="s">
        <v>13345</v>
      </c>
      <c r="E4103" s="2" t="s">
        <v>15441</v>
      </c>
      <c r="F4103" s="2" t="s">
        <v>15446</v>
      </c>
      <c r="G4103" s="2" t="s">
        <v>15443</v>
      </c>
      <c r="H4103" s="2" t="s">
        <v>15444</v>
      </c>
    </row>
    <row r="4104">
      <c r="A4104" s="2">
        <v>4102.0</v>
      </c>
      <c r="B4104" s="5" t="s">
        <v>6087</v>
      </c>
      <c r="C4104" s="2" t="s">
        <v>6088</v>
      </c>
      <c r="D4104" s="5" t="s">
        <v>6087</v>
      </c>
      <c r="E4104" s="2" t="s">
        <v>15445</v>
      </c>
      <c r="F4104" s="2" t="s">
        <v>15446</v>
      </c>
      <c r="G4104" s="2" t="s">
        <v>15456</v>
      </c>
      <c r="H4104" s="2" t="s">
        <v>15444</v>
      </c>
    </row>
    <row r="4105">
      <c r="A4105" s="2">
        <v>4103.0</v>
      </c>
      <c r="B4105" s="5" t="s">
        <v>13347</v>
      </c>
      <c r="C4105" s="2" t="s">
        <v>13348</v>
      </c>
      <c r="D4105" s="5" t="s">
        <v>13347</v>
      </c>
      <c r="E4105" s="2" t="s">
        <v>15441</v>
      </c>
      <c r="F4105" s="2" t="s">
        <v>15446</v>
      </c>
      <c r="G4105" s="2" t="s">
        <v>15456</v>
      </c>
      <c r="H4105" s="2" t="s">
        <v>15444</v>
      </c>
    </row>
    <row r="4106">
      <c r="A4106" s="2">
        <v>4104.0</v>
      </c>
      <c r="B4106" s="5" t="s">
        <v>13349</v>
      </c>
      <c r="C4106" s="2" t="s">
        <v>13350</v>
      </c>
      <c r="D4106" s="5" t="s">
        <v>13349</v>
      </c>
      <c r="E4106" s="2" t="s">
        <v>15441</v>
      </c>
      <c r="F4106" s="2" t="s">
        <v>15446</v>
      </c>
      <c r="G4106" s="2" t="s">
        <v>15456</v>
      </c>
      <c r="H4106" s="2" t="s">
        <v>15444</v>
      </c>
    </row>
    <row r="4107">
      <c r="A4107" s="2">
        <v>4105.0</v>
      </c>
      <c r="B4107" s="5" t="s">
        <v>13351</v>
      </c>
      <c r="C4107" s="2" t="s">
        <v>13352</v>
      </c>
      <c r="D4107" s="5" t="s">
        <v>13351</v>
      </c>
      <c r="E4107" s="2" t="s">
        <v>15441</v>
      </c>
      <c r="F4107" s="2" t="s">
        <v>15442</v>
      </c>
      <c r="G4107" s="2" t="s">
        <v>15443</v>
      </c>
      <c r="H4107" s="2" t="s">
        <v>15461</v>
      </c>
    </row>
    <row r="4108">
      <c r="A4108" s="2">
        <v>4106.0</v>
      </c>
      <c r="B4108" s="5" t="s">
        <v>6090</v>
      </c>
      <c r="C4108" s="2" t="s">
        <v>6091</v>
      </c>
      <c r="D4108" s="5" t="s">
        <v>6090</v>
      </c>
      <c r="E4108" s="2" t="s">
        <v>15445</v>
      </c>
      <c r="F4108" s="2" t="s">
        <v>15442</v>
      </c>
      <c r="G4108" s="2" t="s">
        <v>15443</v>
      </c>
      <c r="H4108" s="2" t="s">
        <v>15444</v>
      </c>
    </row>
    <row r="4109">
      <c r="A4109" s="2">
        <v>4107.0</v>
      </c>
      <c r="B4109" s="5" t="s">
        <v>13353</v>
      </c>
      <c r="C4109" s="2" t="s">
        <v>13354</v>
      </c>
      <c r="D4109" s="5" t="s">
        <v>13353</v>
      </c>
      <c r="E4109" s="2" t="s">
        <v>15441</v>
      </c>
      <c r="F4109" s="2" t="s">
        <v>15446</v>
      </c>
      <c r="G4109" s="2" t="s">
        <v>15456</v>
      </c>
      <c r="H4109" s="2" t="s">
        <v>15444</v>
      </c>
    </row>
    <row r="4110">
      <c r="A4110" s="2">
        <v>4108.0</v>
      </c>
      <c r="B4110" s="5" t="s">
        <v>13355</v>
      </c>
      <c r="C4110" s="2" t="s">
        <v>13356</v>
      </c>
      <c r="D4110" s="5" t="s">
        <v>13355</v>
      </c>
      <c r="E4110" s="2" t="s">
        <v>15441</v>
      </c>
      <c r="F4110" s="2" t="s">
        <v>15446</v>
      </c>
      <c r="G4110" s="2" t="s">
        <v>15456</v>
      </c>
      <c r="H4110" s="2" t="s">
        <v>15444</v>
      </c>
    </row>
    <row r="4111">
      <c r="A4111" s="2">
        <v>4109.0</v>
      </c>
      <c r="B4111" s="5" t="s">
        <v>13357</v>
      </c>
      <c r="C4111" s="2" t="s">
        <v>13358</v>
      </c>
      <c r="D4111" s="5" t="s">
        <v>13357</v>
      </c>
      <c r="E4111" s="2" t="s">
        <v>15441</v>
      </c>
      <c r="F4111" s="2" t="s">
        <v>15446</v>
      </c>
      <c r="G4111" s="2" t="s">
        <v>15456</v>
      </c>
      <c r="H4111" s="2" t="s">
        <v>15444</v>
      </c>
    </row>
    <row r="4112">
      <c r="A4112" s="2">
        <v>4110.0</v>
      </c>
      <c r="B4112" s="5" t="s">
        <v>13359</v>
      </c>
      <c r="C4112" s="2" t="s">
        <v>13360</v>
      </c>
      <c r="D4112" s="5" t="s">
        <v>13359</v>
      </c>
      <c r="E4112" s="2" t="s">
        <v>15441</v>
      </c>
      <c r="F4112" s="2" t="s">
        <v>15446</v>
      </c>
      <c r="G4112" s="2" t="s">
        <v>15456</v>
      </c>
      <c r="H4112" s="2" t="s">
        <v>15444</v>
      </c>
    </row>
    <row r="4113">
      <c r="A4113" s="2">
        <v>4111.0</v>
      </c>
      <c r="B4113" s="5" t="s">
        <v>13361</v>
      </c>
      <c r="C4113" s="2" t="s">
        <v>13362</v>
      </c>
      <c r="D4113" s="5" t="s">
        <v>13361</v>
      </c>
      <c r="E4113" s="2" t="s">
        <v>15441</v>
      </c>
      <c r="F4113" s="2" t="s">
        <v>15446</v>
      </c>
      <c r="G4113" s="2" t="s">
        <v>15456</v>
      </c>
      <c r="H4113" s="2" t="s">
        <v>15444</v>
      </c>
    </row>
    <row r="4114">
      <c r="A4114" s="2">
        <v>4112.0</v>
      </c>
      <c r="B4114" s="5" t="s">
        <v>13363</v>
      </c>
      <c r="C4114" s="2" t="s">
        <v>13364</v>
      </c>
      <c r="D4114" s="5" t="s">
        <v>13363</v>
      </c>
      <c r="E4114" s="2" t="s">
        <v>15441</v>
      </c>
      <c r="F4114" s="2" t="s">
        <v>15446</v>
      </c>
      <c r="G4114" s="2" t="s">
        <v>15456</v>
      </c>
      <c r="H4114" s="2" t="s">
        <v>15444</v>
      </c>
    </row>
    <row r="4115">
      <c r="A4115" s="2">
        <v>4113.0</v>
      </c>
      <c r="B4115" s="5" t="s">
        <v>6093</v>
      </c>
      <c r="C4115" s="2" t="s">
        <v>6094</v>
      </c>
      <c r="D4115" s="5" t="s">
        <v>6093</v>
      </c>
      <c r="E4115" s="2" t="s">
        <v>15445</v>
      </c>
      <c r="F4115" s="2" t="s">
        <v>15446</v>
      </c>
      <c r="G4115" s="2" t="s">
        <v>15443</v>
      </c>
      <c r="H4115" s="2" t="s">
        <v>15444</v>
      </c>
    </row>
    <row r="4116">
      <c r="A4116" s="2">
        <v>4114.0</v>
      </c>
      <c r="B4116" s="5" t="s">
        <v>6096</v>
      </c>
      <c r="C4116" s="2" t="s">
        <v>6097</v>
      </c>
      <c r="D4116" s="5" t="s">
        <v>6096</v>
      </c>
      <c r="E4116" s="2" t="s">
        <v>15445</v>
      </c>
      <c r="F4116" s="2" t="s">
        <v>15446</v>
      </c>
      <c r="G4116" s="2" t="s">
        <v>15456</v>
      </c>
      <c r="H4116" s="2" t="s">
        <v>15444</v>
      </c>
    </row>
    <row r="4117">
      <c r="A4117" s="2">
        <v>4115.0</v>
      </c>
      <c r="B4117" s="5" t="s">
        <v>6099</v>
      </c>
      <c r="C4117" s="2" t="s">
        <v>6100</v>
      </c>
      <c r="D4117" s="5" t="s">
        <v>6099</v>
      </c>
      <c r="E4117" s="2" t="s">
        <v>15445</v>
      </c>
      <c r="F4117" s="2" t="s">
        <v>15442</v>
      </c>
      <c r="G4117" s="2" t="s">
        <v>15456</v>
      </c>
      <c r="H4117" s="2" t="s">
        <v>15444</v>
      </c>
    </row>
    <row r="4118">
      <c r="A4118" s="2">
        <v>4116.0</v>
      </c>
      <c r="B4118" s="5" t="s">
        <v>13365</v>
      </c>
      <c r="C4118" s="2" t="s">
        <v>13366</v>
      </c>
      <c r="D4118" s="5" t="s">
        <v>13365</v>
      </c>
      <c r="E4118" s="2" t="s">
        <v>15441</v>
      </c>
      <c r="F4118" s="2" t="s">
        <v>15446</v>
      </c>
      <c r="G4118" s="2" t="s">
        <v>15443</v>
      </c>
      <c r="H4118" s="2" t="s">
        <v>15455</v>
      </c>
    </row>
    <row r="4119">
      <c r="A4119" s="2">
        <v>4117.0</v>
      </c>
      <c r="B4119" s="5" t="s">
        <v>6102</v>
      </c>
      <c r="C4119" s="2" t="s">
        <v>6103</v>
      </c>
      <c r="D4119" s="5" t="s">
        <v>6102</v>
      </c>
      <c r="E4119" s="2" t="s">
        <v>15445</v>
      </c>
      <c r="F4119" s="2" t="s">
        <v>15442</v>
      </c>
      <c r="G4119" s="2" t="s">
        <v>15456</v>
      </c>
      <c r="H4119" s="2" t="s">
        <v>15444</v>
      </c>
    </row>
    <row r="4120">
      <c r="A4120" s="2">
        <v>4118.0</v>
      </c>
      <c r="B4120" s="5" t="s">
        <v>13367</v>
      </c>
      <c r="C4120" s="2" t="s">
        <v>13368</v>
      </c>
      <c r="D4120" s="5" t="s">
        <v>13367</v>
      </c>
      <c r="E4120" s="2" t="s">
        <v>15441</v>
      </c>
      <c r="F4120" s="2" t="s">
        <v>15446</v>
      </c>
      <c r="G4120" s="2" t="s">
        <v>15443</v>
      </c>
      <c r="H4120" s="2" t="s">
        <v>15444</v>
      </c>
    </row>
    <row r="4121">
      <c r="A4121" s="2">
        <v>4119.0</v>
      </c>
      <c r="B4121" s="5" t="s">
        <v>13369</v>
      </c>
      <c r="C4121" s="2" t="s">
        <v>13370</v>
      </c>
      <c r="D4121" s="5" t="s">
        <v>13369</v>
      </c>
      <c r="E4121" s="2" t="s">
        <v>15441</v>
      </c>
      <c r="F4121" s="2" t="s">
        <v>15446</v>
      </c>
      <c r="G4121" s="2" t="s">
        <v>15456</v>
      </c>
      <c r="H4121" s="2" t="s">
        <v>15444</v>
      </c>
    </row>
    <row r="4122">
      <c r="A4122" s="2">
        <v>4120.0</v>
      </c>
      <c r="B4122" s="5" t="s">
        <v>6105</v>
      </c>
      <c r="C4122" s="2" t="s">
        <v>6106</v>
      </c>
      <c r="D4122" s="5" t="s">
        <v>6105</v>
      </c>
      <c r="E4122" s="2" t="s">
        <v>15445</v>
      </c>
      <c r="F4122" s="2" t="s">
        <v>15446</v>
      </c>
      <c r="G4122" s="2" t="s">
        <v>15456</v>
      </c>
      <c r="H4122" s="2" t="s">
        <v>15444</v>
      </c>
    </row>
    <row r="4123">
      <c r="A4123" s="2">
        <v>4121.0</v>
      </c>
      <c r="B4123" s="5" t="s">
        <v>6108</v>
      </c>
      <c r="C4123" s="2" t="s">
        <v>6109</v>
      </c>
      <c r="D4123" s="5" t="s">
        <v>6108</v>
      </c>
      <c r="E4123" s="2" t="s">
        <v>15445</v>
      </c>
      <c r="F4123" s="2" t="s">
        <v>15446</v>
      </c>
      <c r="G4123" s="2" t="s">
        <v>15456</v>
      </c>
      <c r="H4123" s="2" t="s">
        <v>15444</v>
      </c>
    </row>
    <row r="4124">
      <c r="A4124" s="2">
        <v>4122.0</v>
      </c>
      <c r="B4124" s="5" t="s">
        <v>6111</v>
      </c>
      <c r="C4124" s="2" t="s">
        <v>6112</v>
      </c>
      <c r="D4124" s="5" t="s">
        <v>6111</v>
      </c>
      <c r="E4124" s="2" t="s">
        <v>15445</v>
      </c>
      <c r="F4124" s="2" t="s">
        <v>15442</v>
      </c>
      <c r="G4124" s="2" t="s">
        <v>15443</v>
      </c>
      <c r="H4124" s="2" t="s">
        <v>15444</v>
      </c>
    </row>
    <row r="4125">
      <c r="A4125" s="2">
        <v>4123.0</v>
      </c>
      <c r="B4125" s="5" t="s">
        <v>13371</v>
      </c>
      <c r="C4125" s="2" t="s">
        <v>13372</v>
      </c>
      <c r="D4125" s="5" t="s">
        <v>13371</v>
      </c>
      <c r="E4125" s="2" t="s">
        <v>15441</v>
      </c>
      <c r="F4125" s="2" t="s">
        <v>15442</v>
      </c>
      <c r="G4125" s="2" t="s">
        <v>15443</v>
      </c>
      <c r="H4125" s="2" t="s">
        <v>15444</v>
      </c>
    </row>
    <row r="4126">
      <c r="A4126" s="2">
        <v>4124.0</v>
      </c>
      <c r="B4126" s="5" t="s">
        <v>13373</v>
      </c>
      <c r="C4126" s="2" t="s">
        <v>13374</v>
      </c>
      <c r="D4126" s="5" t="s">
        <v>13373</v>
      </c>
      <c r="E4126" s="2" t="s">
        <v>15441</v>
      </c>
      <c r="F4126" s="2" t="s">
        <v>15446</v>
      </c>
      <c r="G4126" s="2" t="s">
        <v>15456</v>
      </c>
      <c r="H4126" s="2" t="s">
        <v>15444</v>
      </c>
    </row>
    <row r="4127">
      <c r="A4127" s="2">
        <v>4125.0</v>
      </c>
      <c r="B4127" s="5" t="s">
        <v>6114</v>
      </c>
      <c r="C4127" s="2" t="s">
        <v>6115</v>
      </c>
      <c r="D4127" s="5" t="s">
        <v>6114</v>
      </c>
      <c r="E4127" s="2" t="s">
        <v>15445</v>
      </c>
      <c r="F4127" s="2" t="s">
        <v>15442</v>
      </c>
      <c r="G4127" s="2" t="s">
        <v>15443</v>
      </c>
      <c r="H4127" s="2" t="s">
        <v>15457</v>
      </c>
    </row>
    <row r="4128">
      <c r="A4128" s="2">
        <v>4126.0</v>
      </c>
      <c r="B4128" s="5" t="s">
        <v>15567</v>
      </c>
      <c r="C4128" s="2" t="s">
        <v>15568</v>
      </c>
      <c r="D4128" s="5" t="s">
        <v>15567</v>
      </c>
      <c r="E4128" s="2" t="s">
        <v>15445</v>
      </c>
      <c r="F4128" s="2" t="s">
        <v>15446</v>
      </c>
      <c r="G4128" s="2" t="s">
        <v>15456</v>
      </c>
      <c r="H4128" s="2" t="s">
        <v>15486</v>
      </c>
    </row>
    <row r="4129">
      <c r="A4129" s="2">
        <v>4127.0</v>
      </c>
      <c r="B4129" s="5" t="s">
        <v>6117</v>
      </c>
      <c r="C4129" s="2" t="s">
        <v>6118</v>
      </c>
      <c r="D4129" s="5" t="s">
        <v>6117</v>
      </c>
      <c r="E4129" s="2" t="s">
        <v>15445</v>
      </c>
      <c r="F4129" s="2" t="s">
        <v>15446</v>
      </c>
      <c r="G4129" s="2" t="s">
        <v>15443</v>
      </c>
      <c r="H4129" s="2" t="s">
        <v>15444</v>
      </c>
    </row>
    <row r="4130">
      <c r="A4130" s="2">
        <v>4128.0</v>
      </c>
      <c r="B4130" s="5" t="s">
        <v>6120</v>
      </c>
      <c r="C4130" s="2" t="s">
        <v>6121</v>
      </c>
      <c r="D4130" s="5" t="s">
        <v>6120</v>
      </c>
      <c r="E4130" s="2" t="s">
        <v>15445</v>
      </c>
      <c r="F4130" s="2" t="s">
        <v>15442</v>
      </c>
      <c r="G4130" s="2" t="s">
        <v>15443</v>
      </c>
      <c r="H4130" s="2" t="s">
        <v>15444</v>
      </c>
    </row>
    <row r="4131">
      <c r="A4131" s="2">
        <v>4129.0</v>
      </c>
      <c r="B4131" s="5" t="s">
        <v>13375</v>
      </c>
      <c r="C4131" s="2" t="s">
        <v>13376</v>
      </c>
      <c r="D4131" s="5" t="s">
        <v>13375</v>
      </c>
      <c r="E4131" s="2" t="s">
        <v>15441</v>
      </c>
      <c r="F4131" s="2" t="s">
        <v>15446</v>
      </c>
      <c r="G4131" s="2" t="s">
        <v>15456</v>
      </c>
      <c r="H4131" s="2" t="s">
        <v>15444</v>
      </c>
    </row>
    <row r="4132">
      <c r="A4132" s="2">
        <v>4130.0</v>
      </c>
      <c r="B4132" s="5" t="s">
        <v>6123</v>
      </c>
      <c r="C4132" s="2" t="s">
        <v>6124</v>
      </c>
      <c r="D4132" s="5" t="s">
        <v>6123</v>
      </c>
      <c r="E4132" s="2" t="s">
        <v>15445</v>
      </c>
      <c r="F4132" s="2" t="s">
        <v>15446</v>
      </c>
      <c r="G4132" s="2" t="s">
        <v>15456</v>
      </c>
      <c r="H4132" s="2" t="s">
        <v>15444</v>
      </c>
    </row>
    <row r="4133">
      <c r="A4133" s="2">
        <v>4131.0</v>
      </c>
      <c r="B4133" s="5" t="s">
        <v>6126</v>
      </c>
      <c r="C4133" s="2" t="s">
        <v>6127</v>
      </c>
      <c r="D4133" s="5" t="s">
        <v>6126</v>
      </c>
      <c r="E4133" s="2" t="s">
        <v>15445</v>
      </c>
      <c r="F4133" s="2" t="s">
        <v>15442</v>
      </c>
      <c r="G4133" s="2" t="s">
        <v>15443</v>
      </c>
      <c r="H4133" s="2" t="s">
        <v>15461</v>
      </c>
    </row>
    <row r="4134">
      <c r="A4134" s="2">
        <v>4132.0</v>
      </c>
      <c r="B4134" s="5" t="s">
        <v>13377</v>
      </c>
      <c r="C4134" s="2" t="s">
        <v>13378</v>
      </c>
      <c r="D4134" s="5" t="s">
        <v>13377</v>
      </c>
      <c r="E4134" s="2" t="s">
        <v>15441</v>
      </c>
      <c r="F4134" s="2" t="s">
        <v>15446</v>
      </c>
      <c r="G4134" s="2" t="s">
        <v>15456</v>
      </c>
      <c r="H4134" s="2" t="s">
        <v>15444</v>
      </c>
    </row>
    <row r="4135">
      <c r="A4135" s="2">
        <v>4133.0</v>
      </c>
      <c r="B4135" s="5" t="s">
        <v>6128</v>
      </c>
      <c r="C4135" s="2" t="s">
        <v>6129</v>
      </c>
      <c r="D4135" s="5" t="s">
        <v>6128</v>
      </c>
      <c r="E4135" s="2" t="s">
        <v>15445</v>
      </c>
      <c r="F4135" s="2" t="s">
        <v>15442</v>
      </c>
      <c r="G4135" s="2" t="s">
        <v>15443</v>
      </c>
      <c r="H4135" s="2" t="s">
        <v>15444</v>
      </c>
    </row>
    <row r="4136">
      <c r="A4136" s="2">
        <v>4134.0</v>
      </c>
      <c r="B4136" s="5" t="s">
        <v>6131</v>
      </c>
      <c r="C4136" s="2" t="s">
        <v>6132</v>
      </c>
      <c r="D4136" s="5" t="s">
        <v>6131</v>
      </c>
      <c r="E4136" s="2" t="s">
        <v>15445</v>
      </c>
      <c r="F4136" s="2" t="s">
        <v>15442</v>
      </c>
      <c r="G4136" s="2" t="s">
        <v>15443</v>
      </c>
      <c r="H4136" s="2" t="s">
        <v>15444</v>
      </c>
    </row>
    <row r="4137">
      <c r="A4137" s="2">
        <v>4135.0</v>
      </c>
      <c r="B4137" s="5" t="s">
        <v>13379</v>
      </c>
      <c r="C4137" s="2" t="s">
        <v>13380</v>
      </c>
      <c r="D4137" s="5" t="s">
        <v>13379</v>
      </c>
      <c r="E4137" s="2" t="s">
        <v>15441</v>
      </c>
      <c r="F4137" s="2" t="s">
        <v>15442</v>
      </c>
      <c r="G4137" s="2" t="s">
        <v>15443</v>
      </c>
      <c r="H4137" s="2" t="s">
        <v>15444</v>
      </c>
    </row>
    <row r="4138">
      <c r="A4138" s="2">
        <v>4136.0</v>
      </c>
      <c r="B4138" s="5" t="s">
        <v>13381</v>
      </c>
      <c r="C4138" s="2" t="s">
        <v>13382</v>
      </c>
      <c r="D4138" s="5" t="s">
        <v>13381</v>
      </c>
      <c r="E4138" s="2" t="s">
        <v>15441</v>
      </c>
      <c r="F4138" s="2" t="s">
        <v>15442</v>
      </c>
      <c r="G4138" s="2" t="s">
        <v>15456</v>
      </c>
      <c r="H4138" s="2" t="s">
        <v>15444</v>
      </c>
    </row>
    <row r="4139">
      <c r="A4139" s="2">
        <v>4137.0</v>
      </c>
      <c r="B4139" s="5" t="s">
        <v>6134</v>
      </c>
      <c r="C4139" s="2" t="s">
        <v>6135</v>
      </c>
      <c r="D4139" s="5" t="s">
        <v>6134</v>
      </c>
      <c r="E4139" s="2" t="s">
        <v>15445</v>
      </c>
      <c r="F4139" s="2" t="s">
        <v>15446</v>
      </c>
      <c r="G4139" s="2" t="s">
        <v>15456</v>
      </c>
      <c r="H4139" s="2" t="s">
        <v>15444</v>
      </c>
    </row>
    <row r="4140">
      <c r="A4140" s="2">
        <v>4138.0</v>
      </c>
      <c r="B4140" s="5" t="s">
        <v>13383</v>
      </c>
      <c r="C4140" s="2" t="s">
        <v>13384</v>
      </c>
      <c r="D4140" s="5" t="s">
        <v>13383</v>
      </c>
      <c r="E4140" s="2" t="s">
        <v>15441</v>
      </c>
      <c r="F4140" s="2" t="s">
        <v>15442</v>
      </c>
      <c r="G4140" s="2" t="s">
        <v>15443</v>
      </c>
      <c r="H4140" s="2" t="s">
        <v>15444</v>
      </c>
    </row>
    <row r="4141">
      <c r="A4141" s="2">
        <v>4139.0</v>
      </c>
      <c r="B4141" s="5" t="s">
        <v>13385</v>
      </c>
      <c r="C4141" s="2" t="s">
        <v>13386</v>
      </c>
      <c r="D4141" s="5" t="s">
        <v>13385</v>
      </c>
      <c r="E4141" s="2" t="s">
        <v>15441</v>
      </c>
      <c r="F4141" s="2" t="s">
        <v>15446</v>
      </c>
      <c r="G4141" s="2" t="s">
        <v>15443</v>
      </c>
      <c r="H4141" s="2" t="s">
        <v>15444</v>
      </c>
    </row>
    <row r="4142">
      <c r="A4142" s="2">
        <v>4140.0</v>
      </c>
      <c r="B4142" s="5" t="s">
        <v>13387</v>
      </c>
      <c r="C4142" s="2" t="s">
        <v>13388</v>
      </c>
      <c r="D4142" s="5" t="s">
        <v>13387</v>
      </c>
      <c r="E4142" s="2" t="s">
        <v>15441</v>
      </c>
      <c r="F4142" s="2" t="s">
        <v>15446</v>
      </c>
      <c r="G4142" s="2" t="s">
        <v>15456</v>
      </c>
      <c r="H4142" s="2" t="s">
        <v>15444</v>
      </c>
    </row>
    <row r="4143">
      <c r="A4143" s="2">
        <v>4141.0</v>
      </c>
      <c r="B4143" s="5" t="s">
        <v>13389</v>
      </c>
      <c r="C4143" s="2" t="s">
        <v>13390</v>
      </c>
      <c r="D4143" s="5" t="s">
        <v>13389</v>
      </c>
      <c r="E4143" s="2" t="s">
        <v>15441</v>
      </c>
      <c r="F4143" s="2" t="s">
        <v>15446</v>
      </c>
      <c r="G4143" s="2" t="s">
        <v>15443</v>
      </c>
      <c r="H4143" s="2" t="s">
        <v>15444</v>
      </c>
    </row>
    <row r="4144">
      <c r="A4144" s="2">
        <v>4142.0</v>
      </c>
      <c r="B4144" s="5" t="s">
        <v>6137</v>
      </c>
      <c r="C4144" s="2" t="s">
        <v>6138</v>
      </c>
      <c r="D4144" s="5" t="s">
        <v>6137</v>
      </c>
      <c r="E4144" s="2" t="s">
        <v>15445</v>
      </c>
      <c r="F4144" s="2" t="s">
        <v>15442</v>
      </c>
      <c r="G4144" s="2" t="s">
        <v>15456</v>
      </c>
      <c r="H4144" s="2" t="s">
        <v>15444</v>
      </c>
    </row>
    <row r="4145">
      <c r="A4145" s="2">
        <v>4143.0</v>
      </c>
      <c r="B4145" s="5" t="s">
        <v>6140</v>
      </c>
      <c r="C4145" s="2" t="s">
        <v>6141</v>
      </c>
      <c r="D4145" s="5" t="s">
        <v>6140</v>
      </c>
      <c r="E4145" s="2" t="s">
        <v>15445</v>
      </c>
      <c r="F4145" s="2" t="s">
        <v>15442</v>
      </c>
      <c r="G4145" s="2" t="s">
        <v>15443</v>
      </c>
      <c r="H4145" s="2" t="s">
        <v>15444</v>
      </c>
    </row>
    <row r="4146">
      <c r="A4146" s="2">
        <v>4144.0</v>
      </c>
      <c r="B4146" s="5" t="s">
        <v>13391</v>
      </c>
      <c r="C4146" s="2" t="s">
        <v>13392</v>
      </c>
      <c r="D4146" s="5" t="s">
        <v>13391</v>
      </c>
      <c r="E4146" s="2" t="s">
        <v>15441</v>
      </c>
      <c r="F4146" s="2" t="s">
        <v>15442</v>
      </c>
      <c r="G4146" s="2" t="s">
        <v>15443</v>
      </c>
      <c r="H4146" s="2" t="s">
        <v>15444</v>
      </c>
    </row>
    <row r="4147">
      <c r="A4147" s="2">
        <v>4145.0</v>
      </c>
      <c r="B4147" s="5" t="s">
        <v>13393</v>
      </c>
      <c r="C4147" s="2" t="s">
        <v>13394</v>
      </c>
      <c r="D4147" s="5" t="s">
        <v>13393</v>
      </c>
      <c r="E4147" s="2" t="s">
        <v>15441</v>
      </c>
      <c r="F4147" s="2" t="s">
        <v>15446</v>
      </c>
      <c r="G4147" s="2" t="s">
        <v>15443</v>
      </c>
      <c r="H4147" s="2" t="s">
        <v>15444</v>
      </c>
    </row>
    <row r="4148">
      <c r="A4148" s="2">
        <v>4146.0</v>
      </c>
      <c r="B4148" s="5" t="s">
        <v>6143</v>
      </c>
      <c r="C4148" s="2" t="s">
        <v>6144</v>
      </c>
      <c r="D4148" s="5" t="s">
        <v>6143</v>
      </c>
      <c r="E4148" s="2" t="s">
        <v>15445</v>
      </c>
      <c r="F4148" s="2" t="s">
        <v>15442</v>
      </c>
      <c r="G4148" s="2" t="s">
        <v>15456</v>
      </c>
      <c r="H4148" s="2" t="s">
        <v>15444</v>
      </c>
    </row>
    <row r="4149">
      <c r="A4149" s="2">
        <v>4147.0</v>
      </c>
      <c r="B4149" s="5" t="s">
        <v>13395</v>
      </c>
      <c r="C4149" s="2" t="s">
        <v>13396</v>
      </c>
      <c r="D4149" s="5" t="s">
        <v>13395</v>
      </c>
      <c r="E4149" s="2" t="s">
        <v>15441</v>
      </c>
      <c r="F4149" s="2" t="s">
        <v>15446</v>
      </c>
      <c r="G4149" s="2" t="s">
        <v>15456</v>
      </c>
      <c r="H4149" s="2" t="s">
        <v>15444</v>
      </c>
    </row>
    <row r="4150">
      <c r="A4150" s="2">
        <v>4148.0</v>
      </c>
      <c r="B4150" s="5" t="s">
        <v>6146</v>
      </c>
      <c r="C4150" s="2" t="s">
        <v>6147</v>
      </c>
      <c r="D4150" s="5" t="s">
        <v>6146</v>
      </c>
      <c r="E4150" s="2" t="s">
        <v>15445</v>
      </c>
      <c r="F4150" s="2" t="s">
        <v>15442</v>
      </c>
      <c r="G4150" s="2" t="s">
        <v>15456</v>
      </c>
      <c r="H4150" s="2" t="s">
        <v>15444</v>
      </c>
    </row>
    <row r="4151">
      <c r="A4151" s="2">
        <v>4149.0</v>
      </c>
      <c r="B4151" s="5" t="s">
        <v>6149</v>
      </c>
      <c r="C4151" s="2" t="s">
        <v>6150</v>
      </c>
      <c r="D4151" s="5" t="s">
        <v>6149</v>
      </c>
      <c r="E4151" s="2" t="s">
        <v>15445</v>
      </c>
      <c r="F4151" s="2" t="s">
        <v>15446</v>
      </c>
      <c r="G4151" s="2" t="s">
        <v>15443</v>
      </c>
      <c r="H4151" s="2" t="s">
        <v>15444</v>
      </c>
    </row>
    <row r="4152">
      <c r="A4152" s="2">
        <v>4150.0</v>
      </c>
      <c r="B4152" s="5" t="s">
        <v>6152</v>
      </c>
      <c r="C4152" s="2" t="s">
        <v>6153</v>
      </c>
      <c r="D4152" s="5" t="s">
        <v>6152</v>
      </c>
      <c r="E4152" s="2" t="s">
        <v>15445</v>
      </c>
      <c r="F4152" s="2" t="s">
        <v>15446</v>
      </c>
      <c r="G4152" s="2" t="s">
        <v>15456</v>
      </c>
      <c r="H4152" s="2" t="s">
        <v>15444</v>
      </c>
    </row>
    <row r="4153">
      <c r="A4153" s="2">
        <v>4151.0</v>
      </c>
      <c r="B4153" s="5" t="s">
        <v>13397</v>
      </c>
      <c r="C4153" s="2" t="s">
        <v>13398</v>
      </c>
      <c r="D4153" s="5" t="s">
        <v>13397</v>
      </c>
      <c r="E4153" s="2" t="s">
        <v>15441</v>
      </c>
      <c r="F4153" s="2" t="s">
        <v>15442</v>
      </c>
      <c r="G4153" s="2" t="s">
        <v>15443</v>
      </c>
      <c r="H4153" s="2" t="s">
        <v>15444</v>
      </c>
    </row>
    <row r="4154">
      <c r="A4154" s="2">
        <v>4152.0</v>
      </c>
      <c r="B4154" s="5" t="s">
        <v>6155</v>
      </c>
      <c r="C4154" s="2" t="s">
        <v>6156</v>
      </c>
      <c r="D4154" s="5" t="s">
        <v>6155</v>
      </c>
      <c r="E4154" s="2" t="s">
        <v>15445</v>
      </c>
      <c r="F4154" s="2" t="s">
        <v>15442</v>
      </c>
      <c r="G4154" s="2" t="s">
        <v>15443</v>
      </c>
      <c r="H4154" s="2" t="s">
        <v>15444</v>
      </c>
    </row>
    <row r="4155">
      <c r="A4155" s="2">
        <v>4153.0</v>
      </c>
      <c r="B4155" s="5" t="s">
        <v>6158</v>
      </c>
      <c r="C4155" s="2" t="s">
        <v>6159</v>
      </c>
      <c r="D4155" s="5" t="s">
        <v>6158</v>
      </c>
      <c r="E4155" s="2" t="s">
        <v>15445</v>
      </c>
      <c r="F4155" s="2" t="s">
        <v>15446</v>
      </c>
      <c r="G4155" s="2" t="s">
        <v>15456</v>
      </c>
      <c r="H4155" s="2" t="s">
        <v>15444</v>
      </c>
    </row>
    <row r="4156">
      <c r="A4156" s="2">
        <v>4154.0</v>
      </c>
      <c r="B4156" s="5" t="s">
        <v>6161</v>
      </c>
      <c r="C4156" s="2" t="s">
        <v>6162</v>
      </c>
      <c r="D4156" s="5" t="s">
        <v>6161</v>
      </c>
      <c r="E4156" s="2" t="s">
        <v>15445</v>
      </c>
      <c r="F4156" s="2" t="s">
        <v>15446</v>
      </c>
      <c r="G4156" s="2" t="s">
        <v>15443</v>
      </c>
      <c r="H4156" s="2" t="s">
        <v>15444</v>
      </c>
    </row>
    <row r="4157">
      <c r="A4157" s="2">
        <v>4155.0</v>
      </c>
      <c r="B4157" s="5" t="s">
        <v>13399</v>
      </c>
      <c r="C4157" s="2" t="s">
        <v>13400</v>
      </c>
      <c r="D4157" s="5" t="s">
        <v>13399</v>
      </c>
      <c r="E4157" s="2" t="s">
        <v>15441</v>
      </c>
      <c r="F4157" s="2" t="s">
        <v>15442</v>
      </c>
      <c r="G4157" s="2" t="s">
        <v>15443</v>
      </c>
      <c r="H4157" s="2" t="s">
        <v>15444</v>
      </c>
    </row>
    <row r="4158">
      <c r="A4158" s="2">
        <v>4156.0</v>
      </c>
      <c r="B4158" s="5" t="s">
        <v>13401</v>
      </c>
      <c r="C4158" s="2" t="s">
        <v>13402</v>
      </c>
      <c r="D4158" s="5" t="s">
        <v>13401</v>
      </c>
      <c r="E4158" s="2" t="s">
        <v>15441</v>
      </c>
      <c r="F4158" s="2" t="s">
        <v>15442</v>
      </c>
      <c r="G4158" s="2" t="s">
        <v>15443</v>
      </c>
      <c r="H4158" s="2" t="s">
        <v>15444</v>
      </c>
    </row>
    <row r="4159">
      <c r="A4159" s="2">
        <v>4157.0</v>
      </c>
      <c r="B4159" s="5" t="s">
        <v>13403</v>
      </c>
      <c r="C4159" s="2" t="s">
        <v>13404</v>
      </c>
      <c r="D4159" s="5" t="s">
        <v>13403</v>
      </c>
      <c r="E4159" s="2" t="s">
        <v>15441</v>
      </c>
      <c r="F4159" s="2" t="s">
        <v>15442</v>
      </c>
      <c r="G4159" s="2" t="s">
        <v>15456</v>
      </c>
      <c r="H4159" s="2" t="s">
        <v>15444</v>
      </c>
    </row>
    <row r="4160">
      <c r="A4160" s="2">
        <v>4158.0</v>
      </c>
      <c r="B4160" s="5" t="s">
        <v>13405</v>
      </c>
      <c r="C4160" s="2" t="s">
        <v>13406</v>
      </c>
      <c r="D4160" s="5" t="s">
        <v>13405</v>
      </c>
      <c r="E4160" s="2" t="s">
        <v>15441</v>
      </c>
      <c r="F4160" s="2" t="s">
        <v>15446</v>
      </c>
      <c r="G4160" s="2" t="s">
        <v>15456</v>
      </c>
      <c r="H4160" s="2" t="s">
        <v>15444</v>
      </c>
    </row>
    <row r="4161">
      <c r="A4161" s="2">
        <v>4159.0</v>
      </c>
      <c r="B4161" s="5" t="s">
        <v>6164</v>
      </c>
      <c r="C4161" s="2" t="s">
        <v>6165</v>
      </c>
      <c r="D4161" s="5" t="s">
        <v>6164</v>
      </c>
      <c r="E4161" s="2" t="s">
        <v>15445</v>
      </c>
      <c r="F4161" s="2" t="s">
        <v>15442</v>
      </c>
      <c r="G4161" s="2" t="s">
        <v>15456</v>
      </c>
      <c r="H4161" s="2" t="s">
        <v>15444</v>
      </c>
    </row>
    <row r="4162">
      <c r="A4162" s="2">
        <v>4160.0</v>
      </c>
      <c r="B4162" s="5" t="s">
        <v>6167</v>
      </c>
      <c r="C4162" s="2" t="s">
        <v>6168</v>
      </c>
      <c r="D4162" s="5" t="s">
        <v>6167</v>
      </c>
      <c r="E4162" s="2" t="s">
        <v>15445</v>
      </c>
      <c r="F4162" s="2" t="s">
        <v>15446</v>
      </c>
      <c r="G4162" s="2" t="s">
        <v>15456</v>
      </c>
      <c r="H4162" s="2" t="s">
        <v>15444</v>
      </c>
    </row>
    <row r="4163">
      <c r="A4163" s="2">
        <v>4161.0</v>
      </c>
      <c r="B4163" s="5" t="s">
        <v>13407</v>
      </c>
      <c r="C4163" s="2" t="s">
        <v>13408</v>
      </c>
      <c r="D4163" s="5" t="s">
        <v>13407</v>
      </c>
      <c r="E4163" s="2" t="s">
        <v>15441</v>
      </c>
      <c r="F4163" s="2" t="s">
        <v>15446</v>
      </c>
      <c r="G4163" s="2" t="s">
        <v>15443</v>
      </c>
      <c r="H4163" s="2" t="s">
        <v>15444</v>
      </c>
    </row>
    <row r="4164">
      <c r="A4164" s="2">
        <v>4162.0</v>
      </c>
      <c r="B4164" s="5" t="s">
        <v>13409</v>
      </c>
      <c r="C4164" s="2" t="s">
        <v>13410</v>
      </c>
      <c r="D4164" s="5" t="s">
        <v>13409</v>
      </c>
      <c r="E4164" s="2" t="s">
        <v>15441</v>
      </c>
      <c r="F4164" s="2" t="s">
        <v>15442</v>
      </c>
      <c r="G4164" s="2" t="s">
        <v>15443</v>
      </c>
      <c r="H4164" s="2" t="s">
        <v>15444</v>
      </c>
    </row>
    <row r="4165">
      <c r="A4165" s="2">
        <v>4163.0</v>
      </c>
      <c r="B4165" s="5" t="s">
        <v>13411</v>
      </c>
      <c r="C4165" s="2" t="s">
        <v>13412</v>
      </c>
      <c r="D4165" s="5" t="s">
        <v>13411</v>
      </c>
      <c r="E4165" s="2" t="s">
        <v>15441</v>
      </c>
      <c r="F4165" s="2" t="s">
        <v>15442</v>
      </c>
      <c r="G4165" s="2" t="s">
        <v>15443</v>
      </c>
      <c r="H4165" s="2" t="s">
        <v>15444</v>
      </c>
    </row>
    <row r="4166">
      <c r="A4166" s="2">
        <v>4164.0</v>
      </c>
      <c r="B4166" s="5" t="s">
        <v>6170</v>
      </c>
      <c r="C4166" s="2" t="s">
        <v>6171</v>
      </c>
      <c r="D4166" s="5" t="s">
        <v>6170</v>
      </c>
      <c r="E4166" s="2" t="s">
        <v>15445</v>
      </c>
      <c r="F4166" s="2" t="s">
        <v>15442</v>
      </c>
      <c r="G4166" s="2" t="s">
        <v>15443</v>
      </c>
      <c r="H4166" s="2" t="s">
        <v>15444</v>
      </c>
    </row>
    <row r="4167">
      <c r="A4167" s="2">
        <v>4165.0</v>
      </c>
      <c r="B4167" s="5" t="s">
        <v>13413</v>
      </c>
      <c r="C4167" s="2" t="s">
        <v>13414</v>
      </c>
      <c r="D4167" s="5" t="s">
        <v>13413</v>
      </c>
      <c r="E4167" s="2" t="s">
        <v>15441</v>
      </c>
      <c r="F4167" s="2" t="s">
        <v>15442</v>
      </c>
      <c r="G4167" s="2" t="s">
        <v>15443</v>
      </c>
      <c r="H4167" s="2" t="s">
        <v>15444</v>
      </c>
    </row>
    <row r="4168">
      <c r="A4168" s="2">
        <v>4166.0</v>
      </c>
      <c r="B4168" s="5" t="s">
        <v>13415</v>
      </c>
      <c r="C4168" s="2" t="s">
        <v>13416</v>
      </c>
      <c r="D4168" s="5" t="s">
        <v>13415</v>
      </c>
      <c r="E4168" s="2" t="s">
        <v>15441</v>
      </c>
      <c r="F4168" s="2" t="s">
        <v>15446</v>
      </c>
      <c r="G4168" s="2" t="s">
        <v>15456</v>
      </c>
      <c r="H4168" s="2" t="s">
        <v>15444</v>
      </c>
    </row>
    <row r="4169">
      <c r="A4169" s="2">
        <v>4167.0</v>
      </c>
      <c r="B4169" s="5" t="s">
        <v>6173</v>
      </c>
      <c r="C4169" s="2" t="s">
        <v>6174</v>
      </c>
      <c r="D4169" s="5" t="s">
        <v>6173</v>
      </c>
      <c r="E4169" s="2" t="s">
        <v>15445</v>
      </c>
      <c r="F4169" s="2" t="s">
        <v>15442</v>
      </c>
      <c r="G4169" s="2" t="s">
        <v>15456</v>
      </c>
      <c r="H4169" s="2" t="s">
        <v>15444</v>
      </c>
    </row>
    <row r="4170">
      <c r="A4170" s="2">
        <v>4168.0</v>
      </c>
      <c r="B4170" s="5" t="s">
        <v>13417</v>
      </c>
      <c r="C4170" s="2" t="s">
        <v>13418</v>
      </c>
      <c r="D4170" s="5" t="s">
        <v>13417</v>
      </c>
      <c r="E4170" s="2" t="s">
        <v>15441</v>
      </c>
      <c r="F4170" s="2" t="s">
        <v>15442</v>
      </c>
      <c r="G4170" s="2" t="s">
        <v>15443</v>
      </c>
      <c r="H4170" s="2" t="s">
        <v>15444</v>
      </c>
    </row>
    <row r="4171">
      <c r="A4171" s="2">
        <v>4169.0</v>
      </c>
      <c r="B4171" s="5" t="s">
        <v>13419</v>
      </c>
      <c r="C4171" s="2" t="s">
        <v>13420</v>
      </c>
      <c r="D4171" s="5" t="s">
        <v>13419</v>
      </c>
      <c r="E4171" s="2" t="s">
        <v>15441</v>
      </c>
      <c r="F4171" s="2" t="s">
        <v>15442</v>
      </c>
      <c r="G4171" s="2" t="s">
        <v>15443</v>
      </c>
      <c r="H4171" s="2" t="s">
        <v>15444</v>
      </c>
    </row>
    <row r="4172">
      <c r="A4172" s="2">
        <v>4170.0</v>
      </c>
      <c r="B4172" s="5" t="s">
        <v>13421</v>
      </c>
      <c r="C4172" s="2" t="s">
        <v>13422</v>
      </c>
      <c r="D4172" s="5" t="s">
        <v>13421</v>
      </c>
      <c r="E4172" s="2" t="s">
        <v>15441</v>
      </c>
      <c r="F4172" s="2" t="s">
        <v>15442</v>
      </c>
      <c r="G4172" s="2" t="s">
        <v>15443</v>
      </c>
      <c r="H4172" s="2" t="s">
        <v>15444</v>
      </c>
    </row>
    <row r="4173">
      <c r="A4173" s="2">
        <v>4171.0</v>
      </c>
      <c r="B4173" s="5" t="s">
        <v>13423</v>
      </c>
      <c r="C4173" s="2" t="s">
        <v>13424</v>
      </c>
      <c r="D4173" s="5" t="s">
        <v>13423</v>
      </c>
      <c r="E4173" s="2" t="s">
        <v>15441</v>
      </c>
      <c r="F4173" s="2" t="s">
        <v>15446</v>
      </c>
      <c r="G4173" s="2" t="s">
        <v>15456</v>
      </c>
      <c r="H4173" s="2" t="s">
        <v>15444</v>
      </c>
    </row>
    <row r="4174">
      <c r="A4174" s="2">
        <v>4172.0</v>
      </c>
      <c r="B4174" s="5" t="s">
        <v>6176</v>
      </c>
      <c r="C4174" s="2" t="s">
        <v>6177</v>
      </c>
      <c r="D4174" s="5" t="s">
        <v>6176</v>
      </c>
      <c r="E4174" s="2" t="s">
        <v>15445</v>
      </c>
      <c r="F4174" s="2" t="s">
        <v>15446</v>
      </c>
      <c r="G4174" s="2" t="s">
        <v>15456</v>
      </c>
      <c r="H4174" s="2" t="s">
        <v>15444</v>
      </c>
    </row>
    <row r="4175">
      <c r="A4175" s="2">
        <v>4173.0</v>
      </c>
      <c r="B4175" s="5" t="s">
        <v>6179</v>
      </c>
      <c r="C4175" s="2" t="s">
        <v>6180</v>
      </c>
      <c r="D4175" s="5" t="s">
        <v>6179</v>
      </c>
      <c r="E4175" s="2" t="s">
        <v>15445</v>
      </c>
      <c r="F4175" s="2" t="s">
        <v>15442</v>
      </c>
      <c r="G4175" s="2" t="s">
        <v>15456</v>
      </c>
      <c r="H4175" s="2" t="s">
        <v>15444</v>
      </c>
    </row>
    <row r="4176">
      <c r="A4176" s="2">
        <v>4174.0</v>
      </c>
      <c r="B4176" s="5" t="s">
        <v>6182</v>
      </c>
      <c r="C4176" s="2" t="s">
        <v>6183</v>
      </c>
      <c r="D4176" s="5" t="s">
        <v>6182</v>
      </c>
      <c r="E4176" s="2" t="s">
        <v>15445</v>
      </c>
      <c r="F4176" s="2" t="s">
        <v>15446</v>
      </c>
      <c r="G4176" s="2" t="s">
        <v>15456</v>
      </c>
      <c r="H4176" s="2" t="s">
        <v>15444</v>
      </c>
    </row>
    <row r="4177">
      <c r="A4177" s="2">
        <v>4175.0</v>
      </c>
      <c r="B4177" s="5" t="s">
        <v>13425</v>
      </c>
      <c r="C4177" s="2" t="s">
        <v>13426</v>
      </c>
      <c r="D4177" s="5" t="s">
        <v>13425</v>
      </c>
      <c r="E4177" s="2" t="s">
        <v>15441</v>
      </c>
      <c r="F4177" s="2" t="s">
        <v>15446</v>
      </c>
      <c r="G4177" s="2" t="s">
        <v>15456</v>
      </c>
      <c r="H4177" s="2" t="s">
        <v>15444</v>
      </c>
    </row>
    <row r="4178">
      <c r="A4178" s="2">
        <v>4176.0</v>
      </c>
      <c r="B4178" s="5" t="s">
        <v>6185</v>
      </c>
      <c r="C4178" s="2" t="s">
        <v>6186</v>
      </c>
      <c r="D4178" s="5" t="s">
        <v>6185</v>
      </c>
      <c r="E4178" s="2" t="s">
        <v>15445</v>
      </c>
      <c r="F4178" s="2" t="s">
        <v>15442</v>
      </c>
      <c r="G4178" s="2" t="s">
        <v>15443</v>
      </c>
      <c r="H4178" s="2" t="s">
        <v>15444</v>
      </c>
    </row>
    <row r="4179">
      <c r="A4179" s="2">
        <v>4177.0</v>
      </c>
      <c r="B4179" s="5" t="s">
        <v>6188</v>
      </c>
      <c r="C4179" s="2" t="s">
        <v>6189</v>
      </c>
      <c r="D4179" s="5" t="s">
        <v>6188</v>
      </c>
      <c r="E4179" s="2" t="s">
        <v>15445</v>
      </c>
      <c r="F4179" s="2" t="s">
        <v>15442</v>
      </c>
      <c r="G4179" s="2" t="s">
        <v>15443</v>
      </c>
      <c r="H4179" s="2" t="s">
        <v>15444</v>
      </c>
    </row>
    <row r="4180">
      <c r="A4180" s="2">
        <v>4178.0</v>
      </c>
      <c r="B4180" s="5" t="s">
        <v>13427</v>
      </c>
      <c r="C4180" s="2" t="s">
        <v>13428</v>
      </c>
      <c r="D4180" s="5" t="s">
        <v>13427</v>
      </c>
      <c r="E4180" s="2" t="s">
        <v>15441</v>
      </c>
      <c r="F4180" s="2" t="s">
        <v>15446</v>
      </c>
      <c r="G4180" s="2" t="s">
        <v>15443</v>
      </c>
      <c r="H4180" s="2" t="s">
        <v>15444</v>
      </c>
    </row>
    <row r="4181">
      <c r="A4181" s="2">
        <v>4179.0</v>
      </c>
      <c r="B4181" s="5" t="s">
        <v>13429</v>
      </c>
      <c r="C4181" s="2" t="s">
        <v>13430</v>
      </c>
      <c r="D4181" s="5" t="s">
        <v>13429</v>
      </c>
      <c r="E4181" s="2" t="s">
        <v>15441</v>
      </c>
      <c r="F4181" s="2" t="s">
        <v>15442</v>
      </c>
      <c r="G4181" s="2" t="s">
        <v>15443</v>
      </c>
      <c r="H4181" s="2" t="s">
        <v>15444</v>
      </c>
    </row>
    <row r="4182">
      <c r="A4182" s="2">
        <v>4180.0</v>
      </c>
      <c r="B4182" s="5" t="s">
        <v>13431</v>
      </c>
      <c r="C4182" s="2" t="s">
        <v>13432</v>
      </c>
      <c r="D4182" s="5" t="s">
        <v>13431</v>
      </c>
      <c r="E4182" s="2" t="s">
        <v>15441</v>
      </c>
      <c r="F4182" s="2" t="s">
        <v>15442</v>
      </c>
      <c r="G4182" s="2" t="s">
        <v>15443</v>
      </c>
      <c r="H4182" s="2" t="s">
        <v>15444</v>
      </c>
    </row>
    <row r="4183">
      <c r="A4183" s="2">
        <v>4181.0</v>
      </c>
      <c r="B4183" s="5" t="s">
        <v>13433</v>
      </c>
      <c r="C4183" s="2" t="s">
        <v>13434</v>
      </c>
      <c r="D4183" s="5" t="s">
        <v>13433</v>
      </c>
      <c r="E4183" s="2" t="s">
        <v>15441</v>
      </c>
      <c r="F4183" s="2" t="s">
        <v>15442</v>
      </c>
      <c r="G4183" s="2" t="s">
        <v>15443</v>
      </c>
      <c r="H4183" s="2" t="s">
        <v>15444</v>
      </c>
    </row>
    <row r="4184">
      <c r="A4184" s="2">
        <v>4182.0</v>
      </c>
      <c r="B4184" s="5" t="s">
        <v>6191</v>
      </c>
      <c r="C4184" s="2" t="s">
        <v>6192</v>
      </c>
      <c r="D4184" s="5" t="s">
        <v>6191</v>
      </c>
      <c r="E4184" s="2" t="s">
        <v>15445</v>
      </c>
      <c r="F4184" s="2" t="s">
        <v>15446</v>
      </c>
      <c r="G4184" s="2" t="s">
        <v>15443</v>
      </c>
      <c r="H4184" s="2" t="s">
        <v>15444</v>
      </c>
    </row>
    <row r="4185">
      <c r="A4185" s="2">
        <v>4183.0</v>
      </c>
      <c r="B4185" s="5" t="s">
        <v>6194</v>
      </c>
      <c r="C4185" s="2" t="s">
        <v>6195</v>
      </c>
      <c r="D4185" s="5" t="s">
        <v>6194</v>
      </c>
      <c r="E4185" s="2" t="s">
        <v>15445</v>
      </c>
      <c r="F4185" s="2" t="s">
        <v>15442</v>
      </c>
      <c r="G4185" s="2" t="s">
        <v>15456</v>
      </c>
      <c r="H4185" s="2" t="s">
        <v>15444</v>
      </c>
    </row>
    <row r="4186">
      <c r="A4186" s="2">
        <v>4184.0</v>
      </c>
      <c r="B4186" s="5" t="s">
        <v>13435</v>
      </c>
      <c r="C4186" s="2" t="s">
        <v>13436</v>
      </c>
      <c r="D4186" s="5" t="s">
        <v>13435</v>
      </c>
      <c r="E4186" s="2" t="s">
        <v>15441</v>
      </c>
      <c r="F4186" s="2" t="s">
        <v>15442</v>
      </c>
      <c r="G4186" s="2" t="s">
        <v>15456</v>
      </c>
      <c r="H4186" s="2" t="s">
        <v>15444</v>
      </c>
    </row>
    <row r="4187">
      <c r="A4187" s="2">
        <v>4185.0</v>
      </c>
      <c r="B4187" s="5" t="s">
        <v>6197</v>
      </c>
      <c r="C4187" s="2" t="s">
        <v>6198</v>
      </c>
      <c r="D4187" s="5" t="s">
        <v>6197</v>
      </c>
      <c r="E4187" s="2" t="s">
        <v>15445</v>
      </c>
      <c r="F4187" s="2" t="s">
        <v>15442</v>
      </c>
      <c r="G4187" s="2" t="s">
        <v>15443</v>
      </c>
      <c r="H4187" s="2" t="s">
        <v>15444</v>
      </c>
    </row>
    <row r="4188">
      <c r="A4188" s="2">
        <v>4186.0</v>
      </c>
      <c r="B4188" s="5" t="s">
        <v>13437</v>
      </c>
      <c r="C4188" s="2" t="s">
        <v>13438</v>
      </c>
      <c r="D4188" s="5" t="s">
        <v>13437</v>
      </c>
      <c r="E4188" s="2" t="s">
        <v>15441</v>
      </c>
      <c r="F4188" s="2" t="s">
        <v>15446</v>
      </c>
      <c r="G4188" s="2" t="s">
        <v>15456</v>
      </c>
      <c r="H4188" s="2" t="s">
        <v>15444</v>
      </c>
    </row>
    <row r="4189">
      <c r="A4189" s="2">
        <v>4187.0</v>
      </c>
      <c r="B4189" s="5" t="s">
        <v>13439</v>
      </c>
      <c r="C4189" s="2" t="s">
        <v>13440</v>
      </c>
      <c r="D4189" s="5" t="s">
        <v>13439</v>
      </c>
      <c r="E4189" s="2" t="s">
        <v>15441</v>
      </c>
      <c r="F4189" s="2" t="s">
        <v>15442</v>
      </c>
      <c r="G4189" s="2" t="s">
        <v>15443</v>
      </c>
      <c r="H4189" s="2" t="s">
        <v>15444</v>
      </c>
    </row>
    <row r="4190">
      <c r="A4190" s="2">
        <v>4188.0</v>
      </c>
      <c r="B4190" s="5" t="s">
        <v>6200</v>
      </c>
      <c r="C4190" s="2" t="s">
        <v>6201</v>
      </c>
      <c r="D4190" s="5" t="s">
        <v>6200</v>
      </c>
      <c r="E4190" s="2" t="s">
        <v>15445</v>
      </c>
      <c r="F4190" s="2" t="s">
        <v>15446</v>
      </c>
      <c r="G4190" s="2" t="s">
        <v>15456</v>
      </c>
      <c r="H4190" s="2" t="s">
        <v>15444</v>
      </c>
    </row>
    <row r="4191">
      <c r="A4191" s="2">
        <v>4189.0</v>
      </c>
      <c r="B4191" s="5" t="s">
        <v>13441</v>
      </c>
      <c r="C4191" s="2" t="s">
        <v>13442</v>
      </c>
      <c r="D4191" s="5" t="s">
        <v>13441</v>
      </c>
      <c r="E4191" s="2" t="s">
        <v>15441</v>
      </c>
      <c r="F4191" s="2" t="s">
        <v>15446</v>
      </c>
      <c r="G4191" s="2" t="s">
        <v>15456</v>
      </c>
      <c r="H4191" s="2" t="s">
        <v>15444</v>
      </c>
    </row>
    <row r="4192">
      <c r="A4192" s="2">
        <v>4190.0</v>
      </c>
      <c r="B4192" s="5" t="s">
        <v>6203</v>
      </c>
      <c r="C4192" s="2" t="s">
        <v>6204</v>
      </c>
      <c r="D4192" s="5" t="s">
        <v>6203</v>
      </c>
      <c r="E4192" s="2" t="s">
        <v>15445</v>
      </c>
      <c r="F4192" s="2" t="s">
        <v>15442</v>
      </c>
      <c r="G4192" s="2" t="s">
        <v>15443</v>
      </c>
      <c r="H4192" s="2" t="s">
        <v>15444</v>
      </c>
    </row>
    <row r="4193">
      <c r="A4193" s="2">
        <v>4191.0</v>
      </c>
      <c r="B4193" s="5" t="s">
        <v>13443</v>
      </c>
      <c r="C4193" s="2" t="s">
        <v>13444</v>
      </c>
      <c r="D4193" s="5" t="s">
        <v>13443</v>
      </c>
      <c r="E4193" s="2" t="s">
        <v>15441</v>
      </c>
      <c r="F4193" s="2" t="s">
        <v>15446</v>
      </c>
      <c r="G4193" s="2" t="s">
        <v>15456</v>
      </c>
      <c r="H4193" s="2" t="s">
        <v>15444</v>
      </c>
    </row>
    <row r="4194">
      <c r="A4194" s="2">
        <v>4192.0</v>
      </c>
      <c r="B4194" s="5" t="s">
        <v>13445</v>
      </c>
      <c r="C4194" s="2" t="s">
        <v>13446</v>
      </c>
      <c r="D4194" s="5" t="s">
        <v>13445</v>
      </c>
      <c r="E4194" s="2" t="s">
        <v>15441</v>
      </c>
      <c r="F4194" s="2" t="s">
        <v>15442</v>
      </c>
      <c r="G4194" s="2" t="s">
        <v>15443</v>
      </c>
      <c r="H4194" s="2" t="s">
        <v>15444</v>
      </c>
    </row>
    <row r="4195">
      <c r="A4195" s="2">
        <v>4193.0</v>
      </c>
      <c r="B4195" s="5" t="s">
        <v>6206</v>
      </c>
      <c r="C4195" s="2" t="s">
        <v>6207</v>
      </c>
      <c r="D4195" s="5" t="s">
        <v>6206</v>
      </c>
      <c r="E4195" s="2" t="s">
        <v>15445</v>
      </c>
      <c r="F4195" s="2" t="s">
        <v>15442</v>
      </c>
      <c r="G4195" s="2" t="s">
        <v>15443</v>
      </c>
      <c r="H4195" s="2" t="s">
        <v>15444</v>
      </c>
    </row>
    <row r="4196">
      <c r="A4196" s="2">
        <v>4194.0</v>
      </c>
      <c r="B4196" s="5" t="s">
        <v>13447</v>
      </c>
      <c r="C4196" s="2" t="s">
        <v>13448</v>
      </c>
      <c r="D4196" s="5" t="s">
        <v>13447</v>
      </c>
      <c r="E4196" s="2" t="s">
        <v>15441</v>
      </c>
      <c r="F4196" s="2" t="s">
        <v>15442</v>
      </c>
      <c r="G4196" s="2" t="s">
        <v>15443</v>
      </c>
      <c r="H4196" s="2" t="s">
        <v>15444</v>
      </c>
    </row>
    <row r="4197">
      <c r="A4197" s="2">
        <v>4195.0</v>
      </c>
      <c r="B4197" s="5" t="s">
        <v>13449</v>
      </c>
      <c r="C4197" s="2" t="s">
        <v>13450</v>
      </c>
      <c r="D4197" s="5" t="s">
        <v>13449</v>
      </c>
      <c r="E4197" s="2" t="s">
        <v>15441</v>
      </c>
      <c r="F4197" s="2" t="s">
        <v>15446</v>
      </c>
      <c r="G4197" s="2" t="s">
        <v>15456</v>
      </c>
      <c r="H4197" s="2" t="s">
        <v>15444</v>
      </c>
    </row>
    <row r="4198">
      <c r="A4198" s="2">
        <v>4196.0</v>
      </c>
      <c r="B4198" s="5" t="s">
        <v>6209</v>
      </c>
      <c r="C4198" s="2" t="s">
        <v>6210</v>
      </c>
      <c r="D4198" s="5" t="s">
        <v>6209</v>
      </c>
      <c r="E4198" s="2" t="s">
        <v>15445</v>
      </c>
      <c r="F4198" s="2" t="s">
        <v>15446</v>
      </c>
      <c r="G4198" s="2" t="s">
        <v>15443</v>
      </c>
      <c r="H4198" s="2" t="s">
        <v>15444</v>
      </c>
    </row>
    <row r="4199">
      <c r="A4199" s="2">
        <v>4197.0</v>
      </c>
      <c r="B4199" s="5" t="s">
        <v>13451</v>
      </c>
      <c r="C4199" s="2" t="s">
        <v>13452</v>
      </c>
      <c r="D4199" s="5" t="s">
        <v>13451</v>
      </c>
      <c r="E4199" s="2" t="s">
        <v>15441</v>
      </c>
      <c r="F4199" s="2" t="s">
        <v>15446</v>
      </c>
      <c r="G4199" s="2" t="s">
        <v>15456</v>
      </c>
      <c r="H4199" s="2" t="s">
        <v>15444</v>
      </c>
    </row>
    <row r="4200">
      <c r="A4200" s="2">
        <v>4198.0</v>
      </c>
      <c r="B4200" s="5" t="s">
        <v>13453</v>
      </c>
      <c r="C4200" s="2" t="s">
        <v>13454</v>
      </c>
      <c r="D4200" s="5" t="s">
        <v>13453</v>
      </c>
      <c r="E4200" s="2" t="s">
        <v>15441</v>
      </c>
      <c r="F4200" s="2" t="s">
        <v>15442</v>
      </c>
      <c r="G4200" s="2" t="s">
        <v>15443</v>
      </c>
      <c r="H4200" s="2" t="s">
        <v>15444</v>
      </c>
    </row>
    <row r="4201">
      <c r="A4201" s="2">
        <v>4199.0</v>
      </c>
      <c r="B4201" s="5" t="s">
        <v>6212</v>
      </c>
      <c r="C4201" s="2" t="s">
        <v>6213</v>
      </c>
      <c r="D4201" s="5" t="s">
        <v>6212</v>
      </c>
      <c r="E4201" s="2" t="s">
        <v>15445</v>
      </c>
      <c r="F4201" s="2" t="s">
        <v>15446</v>
      </c>
      <c r="G4201" s="2" t="s">
        <v>15443</v>
      </c>
      <c r="H4201" s="2" t="s">
        <v>15457</v>
      </c>
    </row>
    <row r="4202">
      <c r="A4202" s="2">
        <v>4200.0</v>
      </c>
      <c r="B4202" s="5" t="s">
        <v>6215</v>
      </c>
      <c r="C4202" s="2" t="s">
        <v>6216</v>
      </c>
      <c r="D4202" s="5" t="s">
        <v>6215</v>
      </c>
      <c r="E4202" s="2" t="s">
        <v>15445</v>
      </c>
      <c r="F4202" s="2" t="s">
        <v>15446</v>
      </c>
      <c r="G4202" s="2" t="s">
        <v>15456</v>
      </c>
      <c r="H4202" s="2" t="s">
        <v>15444</v>
      </c>
    </row>
    <row r="4203">
      <c r="A4203" s="2">
        <v>4201.0</v>
      </c>
      <c r="B4203" s="5" t="s">
        <v>13455</v>
      </c>
      <c r="C4203" s="2" t="s">
        <v>13456</v>
      </c>
      <c r="D4203" s="5" t="s">
        <v>13455</v>
      </c>
      <c r="E4203" s="2" t="s">
        <v>15441</v>
      </c>
      <c r="F4203" s="2" t="s">
        <v>15442</v>
      </c>
      <c r="G4203" s="2" t="s">
        <v>15443</v>
      </c>
      <c r="H4203" s="2" t="s">
        <v>15444</v>
      </c>
    </row>
    <row r="4204">
      <c r="A4204" s="2">
        <v>4202.0</v>
      </c>
      <c r="B4204" s="5" t="s">
        <v>13457</v>
      </c>
      <c r="C4204" s="2" t="s">
        <v>13458</v>
      </c>
      <c r="D4204" s="5" t="s">
        <v>13457</v>
      </c>
      <c r="E4204" s="2" t="s">
        <v>15441</v>
      </c>
      <c r="F4204" s="2" t="s">
        <v>15446</v>
      </c>
      <c r="G4204" s="2" t="s">
        <v>15456</v>
      </c>
      <c r="H4204" s="2" t="s">
        <v>15444</v>
      </c>
    </row>
    <row r="4205">
      <c r="A4205" s="2">
        <v>4203.0</v>
      </c>
      <c r="B4205" s="5" t="s">
        <v>6218</v>
      </c>
      <c r="C4205" s="2" t="s">
        <v>6219</v>
      </c>
      <c r="D4205" s="5" t="s">
        <v>6218</v>
      </c>
      <c r="E4205" s="2" t="s">
        <v>15445</v>
      </c>
      <c r="F4205" s="2" t="s">
        <v>15442</v>
      </c>
      <c r="G4205" s="2" t="s">
        <v>15443</v>
      </c>
      <c r="H4205" s="2" t="s">
        <v>15444</v>
      </c>
    </row>
    <row r="4206">
      <c r="A4206" s="2">
        <v>4204.0</v>
      </c>
      <c r="B4206" s="5" t="s">
        <v>13459</v>
      </c>
      <c r="C4206" s="2" t="s">
        <v>13460</v>
      </c>
      <c r="D4206" s="5" t="s">
        <v>13459</v>
      </c>
      <c r="E4206" s="2" t="s">
        <v>15441</v>
      </c>
      <c r="F4206" s="2" t="s">
        <v>15442</v>
      </c>
      <c r="G4206" s="2" t="s">
        <v>15443</v>
      </c>
      <c r="H4206" s="2" t="s">
        <v>15444</v>
      </c>
    </row>
    <row r="4207">
      <c r="A4207" s="2">
        <v>4205.0</v>
      </c>
      <c r="B4207" s="5" t="s">
        <v>13461</v>
      </c>
      <c r="C4207" s="2" t="s">
        <v>13462</v>
      </c>
      <c r="D4207" s="5" t="s">
        <v>13461</v>
      </c>
      <c r="E4207" s="2" t="s">
        <v>15441</v>
      </c>
      <c r="F4207" s="2" t="s">
        <v>15442</v>
      </c>
      <c r="G4207" s="2" t="s">
        <v>15456</v>
      </c>
      <c r="H4207" s="2" t="s">
        <v>15444</v>
      </c>
    </row>
    <row r="4208">
      <c r="A4208" s="2">
        <v>4206.0</v>
      </c>
      <c r="B4208" s="5" t="s">
        <v>13463</v>
      </c>
      <c r="C4208" s="2" t="s">
        <v>13464</v>
      </c>
      <c r="D4208" s="5" t="s">
        <v>13463</v>
      </c>
      <c r="E4208" s="2" t="s">
        <v>15441</v>
      </c>
      <c r="F4208" s="2" t="s">
        <v>15442</v>
      </c>
      <c r="G4208" s="2" t="s">
        <v>15456</v>
      </c>
      <c r="H4208" s="2" t="s">
        <v>15455</v>
      </c>
    </row>
    <row r="4209">
      <c r="A4209" s="2">
        <v>4207.0</v>
      </c>
      <c r="B4209" s="5" t="s">
        <v>6221</v>
      </c>
      <c r="C4209" s="2" t="s">
        <v>6222</v>
      </c>
      <c r="D4209" s="5" t="s">
        <v>6221</v>
      </c>
      <c r="E4209" s="2" t="s">
        <v>15445</v>
      </c>
      <c r="F4209" s="2" t="s">
        <v>15446</v>
      </c>
      <c r="G4209" s="2" t="s">
        <v>15456</v>
      </c>
      <c r="H4209" s="2" t="s">
        <v>15444</v>
      </c>
    </row>
    <row r="4210">
      <c r="A4210" s="2">
        <v>4208.0</v>
      </c>
      <c r="B4210" s="5" t="s">
        <v>15569</v>
      </c>
      <c r="C4210" s="2" t="s">
        <v>15570</v>
      </c>
      <c r="D4210" s="5" t="s">
        <v>15569</v>
      </c>
      <c r="E4210" s="2" t="s">
        <v>15445</v>
      </c>
      <c r="F4210" s="2" t="s">
        <v>15446</v>
      </c>
      <c r="G4210" s="2" t="s">
        <v>15456</v>
      </c>
      <c r="H4210" s="2" t="s">
        <v>15457</v>
      </c>
    </row>
    <row r="4211">
      <c r="A4211" s="2">
        <v>4209.0</v>
      </c>
      <c r="B4211" s="5" t="s">
        <v>6224</v>
      </c>
      <c r="C4211" s="2" t="s">
        <v>6225</v>
      </c>
      <c r="D4211" s="5" t="s">
        <v>6224</v>
      </c>
      <c r="E4211" s="2" t="s">
        <v>15445</v>
      </c>
      <c r="F4211" s="2" t="s">
        <v>15442</v>
      </c>
      <c r="G4211" s="2" t="s">
        <v>15443</v>
      </c>
      <c r="H4211" s="2" t="s">
        <v>15444</v>
      </c>
    </row>
    <row r="4212">
      <c r="A4212" s="2">
        <v>4210.0</v>
      </c>
      <c r="B4212" s="5" t="s">
        <v>13465</v>
      </c>
      <c r="C4212" s="2" t="s">
        <v>13466</v>
      </c>
      <c r="D4212" s="5" t="s">
        <v>13465</v>
      </c>
      <c r="E4212" s="2" t="s">
        <v>15441</v>
      </c>
      <c r="F4212" s="2" t="s">
        <v>15442</v>
      </c>
      <c r="G4212" s="2" t="s">
        <v>15443</v>
      </c>
      <c r="H4212" s="2" t="s">
        <v>15444</v>
      </c>
    </row>
    <row r="4213">
      <c r="A4213" s="2">
        <v>4211.0</v>
      </c>
      <c r="B4213" s="5" t="s">
        <v>13467</v>
      </c>
      <c r="C4213" s="2" t="s">
        <v>13468</v>
      </c>
      <c r="D4213" s="5" t="s">
        <v>13467</v>
      </c>
      <c r="E4213" s="2" t="s">
        <v>15441</v>
      </c>
      <c r="F4213" s="2" t="s">
        <v>15446</v>
      </c>
      <c r="G4213" s="2" t="s">
        <v>15443</v>
      </c>
      <c r="H4213" s="2" t="s">
        <v>15444</v>
      </c>
    </row>
    <row r="4214">
      <c r="A4214" s="2">
        <v>4212.0</v>
      </c>
      <c r="B4214" s="5" t="s">
        <v>6227</v>
      </c>
      <c r="C4214" s="2" t="s">
        <v>6228</v>
      </c>
      <c r="D4214" s="5" t="s">
        <v>6227</v>
      </c>
      <c r="E4214" s="2" t="s">
        <v>15445</v>
      </c>
      <c r="F4214" s="2" t="s">
        <v>15442</v>
      </c>
      <c r="G4214" s="2" t="s">
        <v>15443</v>
      </c>
      <c r="H4214" s="2" t="s">
        <v>15444</v>
      </c>
    </row>
    <row r="4215">
      <c r="A4215" s="2">
        <v>4213.0</v>
      </c>
      <c r="B4215" s="5" t="s">
        <v>6230</v>
      </c>
      <c r="C4215" s="2" t="s">
        <v>6231</v>
      </c>
      <c r="D4215" s="5" t="s">
        <v>6230</v>
      </c>
      <c r="E4215" s="2" t="s">
        <v>15445</v>
      </c>
      <c r="F4215" s="2" t="s">
        <v>15442</v>
      </c>
      <c r="G4215" s="2" t="s">
        <v>15456</v>
      </c>
      <c r="H4215" s="2" t="s">
        <v>15444</v>
      </c>
    </row>
    <row r="4216">
      <c r="A4216" s="2">
        <v>4214.0</v>
      </c>
      <c r="B4216" s="5" t="s">
        <v>13469</v>
      </c>
      <c r="C4216" s="2" t="s">
        <v>13470</v>
      </c>
      <c r="D4216" s="5" t="s">
        <v>13469</v>
      </c>
      <c r="E4216" s="2" t="s">
        <v>15441</v>
      </c>
      <c r="F4216" s="2" t="s">
        <v>15442</v>
      </c>
      <c r="G4216" s="2" t="s">
        <v>15443</v>
      </c>
      <c r="H4216" s="2" t="s">
        <v>15444</v>
      </c>
    </row>
    <row r="4217">
      <c r="A4217" s="2">
        <v>4215.0</v>
      </c>
      <c r="B4217" s="5" t="s">
        <v>13471</v>
      </c>
      <c r="C4217" s="2" t="s">
        <v>13472</v>
      </c>
      <c r="D4217" s="5" t="s">
        <v>13471</v>
      </c>
      <c r="E4217" s="2" t="s">
        <v>15441</v>
      </c>
      <c r="F4217" s="2" t="s">
        <v>15442</v>
      </c>
      <c r="G4217" s="2" t="s">
        <v>15443</v>
      </c>
      <c r="H4217" s="2" t="s">
        <v>15444</v>
      </c>
    </row>
    <row r="4218">
      <c r="A4218" s="2">
        <v>4216.0</v>
      </c>
      <c r="B4218" s="5" t="s">
        <v>6233</v>
      </c>
      <c r="C4218" s="2" t="s">
        <v>6234</v>
      </c>
      <c r="D4218" s="5" t="s">
        <v>6233</v>
      </c>
      <c r="E4218" s="2" t="s">
        <v>15445</v>
      </c>
      <c r="F4218" s="2" t="s">
        <v>15446</v>
      </c>
      <c r="G4218" s="2" t="s">
        <v>15456</v>
      </c>
      <c r="H4218" s="2" t="s">
        <v>15444</v>
      </c>
    </row>
    <row r="4219">
      <c r="A4219" s="2">
        <v>4217.0</v>
      </c>
      <c r="B4219" s="5" t="s">
        <v>13473</v>
      </c>
      <c r="C4219" s="2" t="s">
        <v>13474</v>
      </c>
      <c r="D4219" s="5" t="s">
        <v>13473</v>
      </c>
      <c r="E4219" s="2" t="s">
        <v>15441</v>
      </c>
      <c r="F4219" s="2" t="s">
        <v>15446</v>
      </c>
      <c r="G4219" s="2" t="s">
        <v>15443</v>
      </c>
      <c r="H4219" s="2" t="s">
        <v>15444</v>
      </c>
    </row>
    <row r="4220">
      <c r="A4220" s="2">
        <v>4218.0</v>
      </c>
      <c r="B4220" s="5" t="s">
        <v>13475</v>
      </c>
      <c r="C4220" s="2" t="s">
        <v>13476</v>
      </c>
      <c r="D4220" s="5" t="s">
        <v>13475</v>
      </c>
      <c r="E4220" s="2" t="s">
        <v>15441</v>
      </c>
      <c r="F4220" s="2" t="s">
        <v>15442</v>
      </c>
      <c r="G4220" s="2" t="s">
        <v>15443</v>
      </c>
      <c r="H4220" s="2" t="s">
        <v>15444</v>
      </c>
    </row>
    <row r="4221">
      <c r="A4221" s="2">
        <v>4219.0</v>
      </c>
      <c r="B4221" s="5" t="s">
        <v>6236</v>
      </c>
      <c r="C4221" s="2" t="s">
        <v>6237</v>
      </c>
      <c r="D4221" s="5" t="s">
        <v>6236</v>
      </c>
      <c r="E4221" s="2" t="s">
        <v>15445</v>
      </c>
      <c r="F4221" s="2" t="s">
        <v>15446</v>
      </c>
      <c r="G4221" s="2" t="s">
        <v>15456</v>
      </c>
      <c r="H4221" s="2" t="s">
        <v>15444</v>
      </c>
    </row>
    <row r="4222">
      <c r="A4222" s="2">
        <v>4220.0</v>
      </c>
      <c r="B4222" s="5" t="s">
        <v>13477</v>
      </c>
      <c r="C4222" s="2" t="s">
        <v>13478</v>
      </c>
      <c r="D4222" s="5" t="s">
        <v>13477</v>
      </c>
      <c r="E4222" s="2" t="s">
        <v>15441</v>
      </c>
      <c r="F4222" s="2" t="s">
        <v>15446</v>
      </c>
      <c r="G4222" s="2" t="s">
        <v>15456</v>
      </c>
      <c r="H4222" s="2" t="s">
        <v>15444</v>
      </c>
    </row>
    <row r="4223">
      <c r="A4223" s="2">
        <v>4221.0</v>
      </c>
      <c r="B4223" s="5" t="s">
        <v>13479</v>
      </c>
      <c r="C4223" s="2" t="s">
        <v>13480</v>
      </c>
      <c r="D4223" s="5" t="s">
        <v>13479</v>
      </c>
      <c r="E4223" s="2" t="s">
        <v>15441</v>
      </c>
      <c r="F4223" s="2" t="s">
        <v>15442</v>
      </c>
      <c r="G4223" s="2" t="s">
        <v>15443</v>
      </c>
      <c r="H4223" s="2" t="s">
        <v>15444</v>
      </c>
    </row>
    <row r="4224">
      <c r="A4224" s="2">
        <v>4222.0</v>
      </c>
      <c r="B4224" s="5" t="s">
        <v>13481</v>
      </c>
      <c r="C4224" s="2" t="s">
        <v>13482</v>
      </c>
      <c r="D4224" s="5" t="s">
        <v>13481</v>
      </c>
      <c r="E4224" s="2" t="s">
        <v>15441</v>
      </c>
      <c r="F4224" s="2" t="s">
        <v>15446</v>
      </c>
      <c r="G4224" s="2" t="s">
        <v>15456</v>
      </c>
      <c r="H4224" s="2" t="s">
        <v>15444</v>
      </c>
    </row>
    <row r="4225">
      <c r="A4225" s="2">
        <v>4223.0</v>
      </c>
      <c r="B4225" s="5" t="s">
        <v>6239</v>
      </c>
      <c r="C4225" s="2" t="s">
        <v>6240</v>
      </c>
      <c r="D4225" s="5" t="s">
        <v>6239</v>
      </c>
      <c r="E4225" s="2" t="s">
        <v>15445</v>
      </c>
      <c r="F4225" s="2" t="s">
        <v>15446</v>
      </c>
      <c r="G4225" s="2" t="s">
        <v>15456</v>
      </c>
      <c r="H4225" s="2" t="s">
        <v>15444</v>
      </c>
    </row>
    <row r="4226">
      <c r="A4226" s="2">
        <v>4224.0</v>
      </c>
      <c r="B4226" s="5" t="s">
        <v>13483</v>
      </c>
      <c r="C4226" s="2" t="s">
        <v>13484</v>
      </c>
      <c r="D4226" s="5" t="s">
        <v>13483</v>
      </c>
      <c r="E4226" s="2" t="s">
        <v>15441</v>
      </c>
      <c r="F4226" s="2" t="s">
        <v>15442</v>
      </c>
      <c r="G4226" s="2" t="s">
        <v>15443</v>
      </c>
      <c r="H4226" s="2" t="s">
        <v>15444</v>
      </c>
    </row>
    <row r="4227">
      <c r="A4227" s="2">
        <v>4225.0</v>
      </c>
      <c r="B4227" s="5" t="s">
        <v>13485</v>
      </c>
      <c r="C4227" s="2" t="s">
        <v>13486</v>
      </c>
      <c r="D4227" s="5" t="s">
        <v>13485</v>
      </c>
      <c r="E4227" s="2" t="s">
        <v>15441</v>
      </c>
      <c r="F4227" s="2" t="s">
        <v>15442</v>
      </c>
      <c r="G4227" s="2" t="s">
        <v>15456</v>
      </c>
      <c r="H4227" s="2" t="s">
        <v>15444</v>
      </c>
    </row>
    <row r="4228">
      <c r="A4228" s="2">
        <v>4226.0</v>
      </c>
      <c r="B4228" s="5" t="s">
        <v>13487</v>
      </c>
      <c r="C4228" s="2" t="s">
        <v>13488</v>
      </c>
      <c r="D4228" s="5" t="s">
        <v>13487</v>
      </c>
      <c r="E4228" s="2" t="s">
        <v>15441</v>
      </c>
      <c r="F4228" s="2" t="s">
        <v>15446</v>
      </c>
      <c r="G4228" s="2" t="s">
        <v>15456</v>
      </c>
      <c r="H4228" s="2" t="s">
        <v>15444</v>
      </c>
    </row>
    <row r="4229">
      <c r="A4229" s="2">
        <v>4227.0</v>
      </c>
      <c r="B4229" s="5" t="s">
        <v>6242</v>
      </c>
      <c r="C4229" s="2" t="s">
        <v>6243</v>
      </c>
      <c r="D4229" s="5" t="s">
        <v>6242</v>
      </c>
      <c r="E4229" s="2" t="s">
        <v>15445</v>
      </c>
      <c r="F4229" s="2" t="s">
        <v>15446</v>
      </c>
      <c r="G4229" s="2" t="s">
        <v>15456</v>
      </c>
      <c r="H4229" s="2" t="s">
        <v>15444</v>
      </c>
    </row>
    <row r="4230">
      <c r="A4230" s="2">
        <v>4228.0</v>
      </c>
      <c r="B4230" s="5" t="s">
        <v>13489</v>
      </c>
      <c r="C4230" s="2" t="s">
        <v>13490</v>
      </c>
      <c r="D4230" s="5" t="s">
        <v>13489</v>
      </c>
      <c r="E4230" s="2" t="s">
        <v>15441</v>
      </c>
      <c r="F4230" s="2" t="s">
        <v>15446</v>
      </c>
      <c r="G4230" s="2" t="s">
        <v>15456</v>
      </c>
      <c r="H4230" s="2" t="s">
        <v>15444</v>
      </c>
    </row>
    <row r="4231">
      <c r="A4231" s="2">
        <v>4229.0</v>
      </c>
      <c r="B4231" s="5" t="s">
        <v>6245</v>
      </c>
      <c r="C4231" s="2" t="s">
        <v>6246</v>
      </c>
      <c r="D4231" s="5" t="s">
        <v>6245</v>
      </c>
      <c r="E4231" s="2" t="s">
        <v>15445</v>
      </c>
      <c r="F4231" s="2" t="s">
        <v>15446</v>
      </c>
      <c r="G4231" s="2" t="s">
        <v>15443</v>
      </c>
      <c r="H4231" s="2" t="s">
        <v>15444</v>
      </c>
    </row>
    <row r="4232">
      <c r="A4232" s="2">
        <v>4230.0</v>
      </c>
      <c r="B4232" s="5" t="s">
        <v>6248</v>
      </c>
      <c r="C4232" s="2" t="s">
        <v>6249</v>
      </c>
      <c r="D4232" s="5" t="s">
        <v>6248</v>
      </c>
      <c r="E4232" s="2" t="s">
        <v>15445</v>
      </c>
      <c r="F4232" s="2" t="s">
        <v>15446</v>
      </c>
      <c r="G4232" s="2" t="s">
        <v>15456</v>
      </c>
      <c r="H4232" s="2" t="s">
        <v>15444</v>
      </c>
    </row>
    <row r="4233">
      <c r="A4233" s="2">
        <v>4231.0</v>
      </c>
      <c r="B4233" s="5" t="s">
        <v>13491</v>
      </c>
      <c r="C4233" s="2" t="s">
        <v>13492</v>
      </c>
      <c r="D4233" s="5" t="s">
        <v>13491</v>
      </c>
      <c r="E4233" s="2" t="s">
        <v>15441</v>
      </c>
      <c r="F4233" s="2" t="s">
        <v>15446</v>
      </c>
      <c r="G4233" s="2" t="s">
        <v>15456</v>
      </c>
      <c r="H4233" s="2" t="s">
        <v>15444</v>
      </c>
    </row>
    <row r="4234">
      <c r="A4234" s="2">
        <v>4232.0</v>
      </c>
      <c r="B4234" s="5" t="s">
        <v>6251</v>
      </c>
      <c r="C4234" s="2" t="s">
        <v>6252</v>
      </c>
      <c r="D4234" s="5" t="s">
        <v>6251</v>
      </c>
      <c r="E4234" s="2" t="s">
        <v>15445</v>
      </c>
      <c r="F4234" s="2" t="s">
        <v>15446</v>
      </c>
      <c r="G4234" s="2" t="s">
        <v>15443</v>
      </c>
      <c r="H4234" s="2" t="s">
        <v>15444</v>
      </c>
    </row>
    <row r="4235">
      <c r="A4235" s="2">
        <v>4233.0</v>
      </c>
      <c r="B4235" s="5" t="s">
        <v>6254</v>
      </c>
      <c r="C4235" s="2" t="s">
        <v>6255</v>
      </c>
      <c r="D4235" s="5" t="s">
        <v>6254</v>
      </c>
      <c r="E4235" s="2" t="s">
        <v>15445</v>
      </c>
      <c r="F4235" s="2" t="s">
        <v>15446</v>
      </c>
      <c r="G4235" s="2" t="s">
        <v>15443</v>
      </c>
      <c r="H4235" s="2" t="s">
        <v>15444</v>
      </c>
    </row>
    <row r="4236">
      <c r="A4236" s="2">
        <v>4234.0</v>
      </c>
      <c r="B4236" s="5" t="s">
        <v>6257</v>
      </c>
      <c r="C4236" s="2" t="s">
        <v>6258</v>
      </c>
      <c r="D4236" s="5" t="s">
        <v>6257</v>
      </c>
      <c r="E4236" s="2" t="s">
        <v>15445</v>
      </c>
      <c r="F4236" s="2" t="s">
        <v>15446</v>
      </c>
      <c r="G4236" s="2" t="s">
        <v>15443</v>
      </c>
      <c r="H4236" s="2" t="s">
        <v>15444</v>
      </c>
    </row>
    <row r="4237">
      <c r="A4237" s="2">
        <v>4235.0</v>
      </c>
      <c r="B4237" s="5" t="s">
        <v>6260</v>
      </c>
      <c r="C4237" s="2" t="s">
        <v>6261</v>
      </c>
      <c r="D4237" s="5" t="s">
        <v>6260</v>
      </c>
      <c r="E4237" s="2" t="s">
        <v>15445</v>
      </c>
      <c r="F4237" s="2" t="s">
        <v>15442</v>
      </c>
      <c r="G4237" s="2" t="s">
        <v>15443</v>
      </c>
      <c r="H4237" s="2" t="s">
        <v>15444</v>
      </c>
    </row>
    <row r="4238">
      <c r="A4238" s="2">
        <v>4236.0</v>
      </c>
      <c r="B4238" s="5" t="s">
        <v>6263</v>
      </c>
      <c r="C4238" s="2" t="s">
        <v>6264</v>
      </c>
      <c r="D4238" s="5" t="s">
        <v>6263</v>
      </c>
      <c r="E4238" s="2" t="s">
        <v>15445</v>
      </c>
      <c r="F4238" s="2" t="s">
        <v>15442</v>
      </c>
      <c r="G4238" s="2" t="s">
        <v>15456</v>
      </c>
      <c r="H4238" s="2" t="s">
        <v>15444</v>
      </c>
    </row>
    <row r="4239">
      <c r="A4239" s="2">
        <v>4237.0</v>
      </c>
      <c r="B4239" s="5" t="s">
        <v>13493</v>
      </c>
      <c r="C4239" s="2" t="s">
        <v>13494</v>
      </c>
      <c r="D4239" s="5" t="s">
        <v>13493</v>
      </c>
      <c r="E4239" s="2" t="s">
        <v>15441</v>
      </c>
      <c r="F4239" s="2" t="s">
        <v>15442</v>
      </c>
      <c r="G4239" s="2" t="s">
        <v>15456</v>
      </c>
      <c r="H4239" s="2" t="s">
        <v>15444</v>
      </c>
    </row>
    <row r="4240">
      <c r="A4240" s="2">
        <v>4238.0</v>
      </c>
      <c r="B4240" s="5" t="s">
        <v>13495</v>
      </c>
      <c r="C4240" s="2" t="s">
        <v>13496</v>
      </c>
      <c r="D4240" s="5" t="s">
        <v>13495</v>
      </c>
      <c r="E4240" s="2" t="s">
        <v>15441</v>
      </c>
      <c r="F4240" s="2" t="s">
        <v>15442</v>
      </c>
      <c r="G4240" s="2" t="s">
        <v>15456</v>
      </c>
      <c r="H4240" s="2" t="s">
        <v>15444</v>
      </c>
    </row>
    <row r="4241">
      <c r="A4241" s="2">
        <v>4239.0</v>
      </c>
      <c r="B4241" s="5" t="s">
        <v>6266</v>
      </c>
      <c r="C4241" s="2" t="s">
        <v>6267</v>
      </c>
      <c r="D4241" s="5" t="s">
        <v>6266</v>
      </c>
      <c r="E4241" s="2" t="s">
        <v>15445</v>
      </c>
      <c r="F4241" s="2" t="s">
        <v>15442</v>
      </c>
      <c r="G4241" s="2" t="s">
        <v>15443</v>
      </c>
      <c r="H4241" s="2" t="s">
        <v>15444</v>
      </c>
    </row>
    <row r="4242">
      <c r="A4242" s="2">
        <v>4240.0</v>
      </c>
      <c r="B4242" s="5" t="s">
        <v>13497</v>
      </c>
      <c r="C4242" s="2" t="s">
        <v>13498</v>
      </c>
      <c r="D4242" s="5" t="s">
        <v>13497</v>
      </c>
      <c r="E4242" s="2" t="s">
        <v>15441</v>
      </c>
      <c r="F4242" s="2" t="s">
        <v>15442</v>
      </c>
      <c r="G4242" s="2" t="s">
        <v>15443</v>
      </c>
      <c r="H4242" s="2" t="s">
        <v>15444</v>
      </c>
    </row>
    <row r="4243">
      <c r="A4243" s="2">
        <v>4241.0</v>
      </c>
      <c r="B4243" s="5" t="s">
        <v>6269</v>
      </c>
      <c r="C4243" s="2" t="s">
        <v>6270</v>
      </c>
      <c r="D4243" s="5" t="s">
        <v>6269</v>
      </c>
      <c r="E4243" s="2" t="s">
        <v>15445</v>
      </c>
      <c r="F4243" s="2" t="s">
        <v>15446</v>
      </c>
      <c r="G4243" s="2" t="s">
        <v>15456</v>
      </c>
      <c r="H4243" s="2" t="s">
        <v>15444</v>
      </c>
    </row>
    <row r="4244">
      <c r="A4244" s="2">
        <v>4242.0</v>
      </c>
      <c r="B4244" s="5" t="s">
        <v>6272</v>
      </c>
      <c r="C4244" s="2" t="s">
        <v>6273</v>
      </c>
      <c r="D4244" s="5" t="s">
        <v>6272</v>
      </c>
      <c r="E4244" s="2" t="s">
        <v>15445</v>
      </c>
      <c r="F4244" s="2" t="s">
        <v>15446</v>
      </c>
      <c r="G4244" s="2" t="s">
        <v>15456</v>
      </c>
      <c r="H4244" s="2" t="s">
        <v>15444</v>
      </c>
    </row>
    <row r="4245">
      <c r="A4245" s="2">
        <v>4243.0</v>
      </c>
      <c r="B4245" s="5" t="s">
        <v>13499</v>
      </c>
      <c r="C4245" s="2" t="s">
        <v>13500</v>
      </c>
      <c r="D4245" s="5" t="s">
        <v>13499</v>
      </c>
      <c r="E4245" s="2" t="s">
        <v>15441</v>
      </c>
      <c r="F4245" s="2" t="s">
        <v>15442</v>
      </c>
      <c r="G4245" s="2" t="s">
        <v>15443</v>
      </c>
      <c r="H4245" s="2" t="s">
        <v>15444</v>
      </c>
    </row>
    <row r="4246">
      <c r="A4246" s="2">
        <v>4244.0</v>
      </c>
      <c r="B4246" s="5" t="s">
        <v>6275</v>
      </c>
      <c r="C4246" s="2" t="s">
        <v>6276</v>
      </c>
      <c r="D4246" s="5" t="s">
        <v>6275</v>
      </c>
      <c r="E4246" s="2" t="s">
        <v>15445</v>
      </c>
      <c r="F4246" s="2" t="s">
        <v>15446</v>
      </c>
      <c r="G4246" s="2" t="s">
        <v>15456</v>
      </c>
      <c r="H4246" s="2" t="s">
        <v>15457</v>
      </c>
    </row>
    <row r="4247">
      <c r="A4247" s="2">
        <v>4245.0</v>
      </c>
      <c r="B4247" s="5" t="s">
        <v>13501</v>
      </c>
      <c r="C4247" s="2" t="s">
        <v>13502</v>
      </c>
      <c r="D4247" s="5" t="s">
        <v>13501</v>
      </c>
      <c r="E4247" s="2" t="s">
        <v>15441</v>
      </c>
      <c r="F4247" s="2" t="s">
        <v>15442</v>
      </c>
      <c r="G4247" s="2" t="s">
        <v>15443</v>
      </c>
      <c r="H4247" s="2" t="s">
        <v>15444</v>
      </c>
    </row>
    <row r="4248">
      <c r="A4248" s="2">
        <v>4246.0</v>
      </c>
      <c r="B4248" s="5" t="s">
        <v>13503</v>
      </c>
      <c r="C4248" s="2" t="s">
        <v>13504</v>
      </c>
      <c r="D4248" s="5" t="s">
        <v>13503</v>
      </c>
      <c r="E4248" s="2" t="s">
        <v>15441</v>
      </c>
      <c r="F4248" s="2" t="s">
        <v>15442</v>
      </c>
      <c r="G4248" s="2" t="s">
        <v>15456</v>
      </c>
      <c r="H4248" s="2" t="s">
        <v>15444</v>
      </c>
    </row>
    <row r="4249">
      <c r="A4249" s="2">
        <v>4247.0</v>
      </c>
      <c r="B4249" s="5" t="s">
        <v>13505</v>
      </c>
      <c r="C4249" s="2" t="s">
        <v>13506</v>
      </c>
      <c r="D4249" s="5" t="s">
        <v>13505</v>
      </c>
      <c r="E4249" s="2" t="s">
        <v>15441</v>
      </c>
      <c r="F4249" s="2" t="s">
        <v>15442</v>
      </c>
      <c r="G4249" s="2" t="s">
        <v>15443</v>
      </c>
      <c r="H4249" s="2" t="s">
        <v>15444</v>
      </c>
    </row>
    <row r="4250">
      <c r="A4250" s="2">
        <v>4248.0</v>
      </c>
      <c r="B4250" s="5" t="s">
        <v>13507</v>
      </c>
      <c r="C4250" s="2" t="s">
        <v>13508</v>
      </c>
      <c r="D4250" s="5" t="s">
        <v>13507</v>
      </c>
      <c r="E4250" s="2" t="s">
        <v>15441</v>
      </c>
      <c r="F4250" s="2" t="s">
        <v>15442</v>
      </c>
      <c r="G4250" s="2" t="s">
        <v>15443</v>
      </c>
      <c r="H4250" s="2" t="s">
        <v>15444</v>
      </c>
    </row>
    <row r="4251">
      <c r="A4251" s="2">
        <v>4249.0</v>
      </c>
      <c r="B4251" s="5" t="s">
        <v>13509</v>
      </c>
      <c r="C4251" s="2" t="s">
        <v>13510</v>
      </c>
      <c r="D4251" s="5" t="s">
        <v>13509</v>
      </c>
      <c r="E4251" s="2" t="s">
        <v>15441</v>
      </c>
      <c r="F4251" s="2" t="s">
        <v>15442</v>
      </c>
      <c r="G4251" s="2" t="s">
        <v>15456</v>
      </c>
      <c r="H4251" s="2" t="s">
        <v>15444</v>
      </c>
    </row>
    <row r="4252">
      <c r="A4252" s="2">
        <v>4250.0</v>
      </c>
      <c r="B4252" s="5" t="s">
        <v>6278</v>
      </c>
      <c r="C4252" s="2" t="s">
        <v>6279</v>
      </c>
      <c r="D4252" s="5" t="s">
        <v>6278</v>
      </c>
      <c r="E4252" s="2" t="s">
        <v>15445</v>
      </c>
      <c r="F4252" s="2" t="s">
        <v>15446</v>
      </c>
      <c r="G4252" s="2" t="s">
        <v>15456</v>
      </c>
      <c r="H4252" s="2" t="s">
        <v>15444</v>
      </c>
    </row>
    <row r="4253">
      <c r="A4253" s="2">
        <v>4251.0</v>
      </c>
      <c r="B4253" s="5" t="s">
        <v>6281</v>
      </c>
      <c r="C4253" s="2" t="s">
        <v>6282</v>
      </c>
      <c r="D4253" s="5" t="s">
        <v>6281</v>
      </c>
      <c r="E4253" s="2" t="s">
        <v>15445</v>
      </c>
      <c r="F4253" s="2" t="s">
        <v>15442</v>
      </c>
      <c r="G4253" s="2" t="s">
        <v>15443</v>
      </c>
      <c r="H4253" s="2" t="s">
        <v>15444</v>
      </c>
    </row>
    <row r="4254">
      <c r="A4254" s="2">
        <v>4252.0</v>
      </c>
      <c r="B4254" s="5" t="s">
        <v>6284</v>
      </c>
      <c r="C4254" s="2" t="s">
        <v>6285</v>
      </c>
      <c r="D4254" s="5" t="s">
        <v>6284</v>
      </c>
      <c r="E4254" s="2" t="s">
        <v>15445</v>
      </c>
      <c r="F4254" s="2" t="s">
        <v>15442</v>
      </c>
      <c r="G4254" s="2" t="s">
        <v>15443</v>
      </c>
      <c r="H4254" s="2" t="s">
        <v>15444</v>
      </c>
    </row>
    <row r="4255">
      <c r="A4255" s="2">
        <v>4253.0</v>
      </c>
      <c r="B4255" s="5" t="s">
        <v>13511</v>
      </c>
      <c r="C4255" s="2" t="s">
        <v>13512</v>
      </c>
      <c r="D4255" s="5" t="s">
        <v>13511</v>
      </c>
      <c r="E4255" s="2" t="s">
        <v>15441</v>
      </c>
      <c r="F4255" s="2" t="s">
        <v>15446</v>
      </c>
      <c r="G4255" s="2" t="s">
        <v>15456</v>
      </c>
      <c r="H4255" s="2" t="s">
        <v>15461</v>
      </c>
    </row>
    <row r="4256">
      <c r="A4256" s="2">
        <v>4254.0</v>
      </c>
      <c r="B4256" s="5" t="s">
        <v>13513</v>
      </c>
      <c r="C4256" s="2" t="s">
        <v>13514</v>
      </c>
      <c r="D4256" s="5" t="s">
        <v>13513</v>
      </c>
      <c r="E4256" s="2" t="s">
        <v>15441</v>
      </c>
      <c r="F4256" s="2" t="s">
        <v>15442</v>
      </c>
      <c r="G4256" s="2" t="s">
        <v>15443</v>
      </c>
      <c r="H4256" s="2" t="s">
        <v>15444</v>
      </c>
    </row>
    <row r="4257">
      <c r="A4257" s="2">
        <v>4255.0</v>
      </c>
      <c r="B4257" s="5" t="s">
        <v>13515</v>
      </c>
      <c r="C4257" s="2" t="s">
        <v>13516</v>
      </c>
      <c r="D4257" s="5" t="s">
        <v>13515</v>
      </c>
      <c r="E4257" s="2" t="s">
        <v>15441</v>
      </c>
      <c r="F4257" s="2" t="s">
        <v>15442</v>
      </c>
      <c r="G4257" s="2" t="s">
        <v>15443</v>
      </c>
      <c r="H4257" s="2" t="s">
        <v>15444</v>
      </c>
    </row>
    <row r="4258">
      <c r="A4258" s="2">
        <v>4256.0</v>
      </c>
      <c r="B4258" s="5" t="s">
        <v>6287</v>
      </c>
      <c r="C4258" s="2" t="s">
        <v>6288</v>
      </c>
      <c r="D4258" s="5" t="s">
        <v>6287</v>
      </c>
      <c r="E4258" s="2" t="s">
        <v>15445</v>
      </c>
      <c r="F4258" s="2" t="s">
        <v>15446</v>
      </c>
      <c r="G4258" s="2" t="s">
        <v>15443</v>
      </c>
      <c r="H4258" s="2" t="s">
        <v>15444</v>
      </c>
    </row>
    <row r="4259">
      <c r="A4259" s="2">
        <v>4257.0</v>
      </c>
      <c r="B4259" s="5" t="s">
        <v>13517</v>
      </c>
      <c r="C4259" s="2" t="s">
        <v>13518</v>
      </c>
      <c r="D4259" s="5" t="s">
        <v>13517</v>
      </c>
      <c r="E4259" s="2" t="s">
        <v>15441</v>
      </c>
      <c r="F4259" s="2" t="s">
        <v>15446</v>
      </c>
      <c r="G4259" s="2" t="s">
        <v>15443</v>
      </c>
      <c r="H4259" s="2" t="s">
        <v>15444</v>
      </c>
    </row>
    <row r="4260">
      <c r="A4260" s="2">
        <v>4258.0</v>
      </c>
      <c r="B4260" s="5" t="s">
        <v>13519</v>
      </c>
      <c r="C4260" s="2" t="s">
        <v>13520</v>
      </c>
      <c r="D4260" s="5" t="s">
        <v>13519</v>
      </c>
      <c r="E4260" s="2" t="s">
        <v>15441</v>
      </c>
      <c r="F4260" s="2" t="s">
        <v>15446</v>
      </c>
      <c r="G4260" s="2" t="s">
        <v>15456</v>
      </c>
      <c r="H4260" s="2" t="s">
        <v>15444</v>
      </c>
    </row>
    <row r="4261">
      <c r="A4261" s="2">
        <v>4259.0</v>
      </c>
      <c r="B4261" s="5" t="s">
        <v>6290</v>
      </c>
      <c r="C4261" s="2" t="s">
        <v>6291</v>
      </c>
      <c r="D4261" s="5" t="s">
        <v>6290</v>
      </c>
      <c r="E4261" s="2" t="s">
        <v>15445</v>
      </c>
      <c r="F4261" s="2" t="s">
        <v>15442</v>
      </c>
      <c r="G4261" s="2" t="s">
        <v>15443</v>
      </c>
      <c r="H4261" s="2" t="s">
        <v>15444</v>
      </c>
    </row>
    <row r="4262">
      <c r="A4262" s="2">
        <v>4260.0</v>
      </c>
      <c r="B4262" s="5" t="s">
        <v>6293</v>
      </c>
      <c r="C4262" s="2" t="s">
        <v>6294</v>
      </c>
      <c r="D4262" s="5" t="s">
        <v>6293</v>
      </c>
      <c r="E4262" s="2" t="s">
        <v>15445</v>
      </c>
      <c r="F4262" s="2" t="s">
        <v>15442</v>
      </c>
      <c r="G4262" s="2" t="s">
        <v>15443</v>
      </c>
      <c r="H4262" s="2" t="s">
        <v>15444</v>
      </c>
    </row>
    <row r="4263">
      <c r="A4263" s="2">
        <v>4261.0</v>
      </c>
      <c r="B4263" s="5" t="s">
        <v>6296</v>
      </c>
      <c r="C4263" s="2" t="s">
        <v>6297</v>
      </c>
      <c r="D4263" s="5" t="s">
        <v>6296</v>
      </c>
      <c r="E4263" s="2" t="s">
        <v>15445</v>
      </c>
      <c r="F4263" s="2" t="s">
        <v>15446</v>
      </c>
      <c r="G4263" s="2" t="s">
        <v>15443</v>
      </c>
      <c r="H4263" s="2" t="s">
        <v>15457</v>
      </c>
    </row>
    <row r="4264">
      <c r="A4264" s="2">
        <v>4262.0</v>
      </c>
      <c r="B4264" s="5" t="s">
        <v>13521</v>
      </c>
      <c r="C4264" s="2" t="s">
        <v>13522</v>
      </c>
      <c r="D4264" s="5" t="s">
        <v>13521</v>
      </c>
      <c r="E4264" s="2" t="s">
        <v>15441</v>
      </c>
      <c r="F4264" s="2" t="s">
        <v>15446</v>
      </c>
      <c r="G4264" s="2" t="s">
        <v>15443</v>
      </c>
      <c r="H4264" s="2" t="s">
        <v>15444</v>
      </c>
    </row>
    <row r="4265">
      <c r="A4265" s="2">
        <v>4263.0</v>
      </c>
      <c r="B4265" s="5" t="s">
        <v>15571</v>
      </c>
      <c r="C4265" s="2" t="s">
        <v>15572</v>
      </c>
      <c r="D4265" s="5" t="s">
        <v>15571</v>
      </c>
      <c r="E4265" s="2" t="s">
        <v>15445</v>
      </c>
      <c r="F4265" s="2" t="s">
        <v>15446</v>
      </c>
      <c r="G4265" s="2" t="s">
        <v>15456</v>
      </c>
      <c r="H4265" s="2" t="s">
        <v>15457</v>
      </c>
    </row>
    <row r="4266">
      <c r="A4266" s="2">
        <v>4264.0</v>
      </c>
      <c r="B4266" s="5" t="s">
        <v>13523</v>
      </c>
      <c r="C4266" s="2" t="s">
        <v>13524</v>
      </c>
      <c r="D4266" s="5" t="s">
        <v>13523</v>
      </c>
      <c r="E4266" s="2" t="s">
        <v>15441</v>
      </c>
      <c r="F4266" s="2" t="s">
        <v>15442</v>
      </c>
      <c r="G4266" s="2" t="s">
        <v>15443</v>
      </c>
      <c r="H4266" s="2" t="s">
        <v>15444</v>
      </c>
    </row>
    <row r="4267">
      <c r="A4267" s="2">
        <v>4265.0</v>
      </c>
      <c r="B4267" s="5" t="s">
        <v>6299</v>
      </c>
      <c r="C4267" s="2" t="s">
        <v>6300</v>
      </c>
      <c r="D4267" s="5" t="s">
        <v>6299</v>
      </c>
      <c r="E4267" s="2" t="s">
        <v>15445</v>
      </c>
      <c r="F4267" s="2" t="s">
        <v>15442</v>
      </c>
      <c r="G4267" s="2" t="s">
        <v>15443</v>
      </c>
      <c r="H4267" s="2" t="s">
        <v>15444</v>
      </c>
    </row>
    <row r="4268">
      <c r="A4268" s="2">
        <v>4266.0</v>
      </c>
      <c r="B4268" s="5" t="s">
        <v>6302</v>
      </c>
      <c r="C4268" s="2" t="s">
        <v>6303</v>
      </c>
      <c r="D4268" s="5" t="s">
        <v>6302</v>
      </c>
      <c r="E4268" s="2" t="s">
        <v>15445</v>
      </c>
      <c r="F4268" s="2" t="s">
        <v>15442</v>
      </c>
      <c r="G4268" s="2" t="s">
        <v>15443</v>
      </c>
      <c r="H4268" s="2" t="s">
        <v>15444</v>
      </c>
    </row>
    <row r="4269">
      <c r="A4269" s="2">
        <v>4267.0</v>
      </c>
      <c r="B4269" s="5" t="s">
        <v>6305</v>
      </c>
      <c r="C4269" s="2" t="s">
        <v>6306</v>
      </c>
      <c r="D4269" s="5" t="s">
        <v>6305</v>
      </c>
      <c r="E4269" s="2" t="s">
        <v>15445</v>
      </c>
      <c r="F4269" s="2" t="s">
        <v>15446</v>
      </c>
      <c r="G4269" s="2" t="s">
        <v>15456</v>
      </c>
      <c r="H4269" s="2" t="s">
        <v>15457</v>
      </c>
    </row>
    <row r="4270">
      <c r="A4270" s="2">
        <v>4268.0</v>
      </c>
      <c r="B4270" s="5" t="s">
        <v>13525</v>
      </c>
      <c r="C4270" s="2" t="s">
        <v>13526</v>
      </c>
      <c r="D4270" s="5" t="s">
        <v>13525</v>
      </c>
      <c r="E4270" s="2" t="s">
        <v>15441</v>
      </c>
      <c r="F4270" s="2" t="s">
        <v>15442</v>
      </c>
      <c r="G4270" s="2" t="s">
        <v>15456</v>
      </c>
      <c r="H4270" s="2" t="s">
        <v>15444</v>
      </c>
    </row>
    <row r="4271">
      <c r="A4271" s="2">
        <v>4269.0</v>
      </c>
      <c r="B4271" s="5" t="s">
        <v>6308</v>
      </c>
      <c r="C4271" s="2" t="s">
        <v>6309</v>
      </c>
      <c r="D4271" s="5" t="s">
        <v>6308</v>
      </c>
      <c r="E4271" s="2" t="s">
        <v>15445</v>
      </c>
      <c r="F4271" s="2" t="s">
        <v>15446</v>
      </c>
      <c r="G4271" s="2" t="s">
        <v>15456</v>
      </c>
      <c r="H4271" s="2" t="s">
        <v>15444</v>
      </c>
    </row>
    <row r="4272">
      <c r="A4272" s="2">
        <v>4270.0</v>
      </c>
      <c r="B4272" s="5" t="s">
        <v>13527</v>
      </c>
      <c r="C4272" s="2" t="s">
        <v>13528</v>
      </c>
      <c r="D4272" s="5" t="s">
        <v>13527</v>
      </c>
      <c r="E4272" s="2" t="s">
        <v>15441</v>
      </c>
      <c r="F4272" s="2" t="s">
        <v>15442</v>
      </c>
      <c r="G4272" s="2" t="s">
        <v>15456</v>
      </c>
      <c r="H4272" s="2" t="s">
        <v>15444</v>
      </c>
    </row>
    <row r="4273">
      <c r="A4273" s="2">
        <v>4271.0</v>
      </c>
      <c r="B4273" s="5" t="s">
        <v>13529</v>
      </c>
      <c r="C4273" s="2" t="s">
        <v>13530</v>
      </c>
      <c r="D4273" s="5" t="s">
        <v>13529</v>
      </c>
      <c r="E4273" s="2" t="s">
        <v>15441</v>
      </c>
      <c r="F4273" s="2" t="s">
        <v>15442</v>
      </c>
      <c r="G4273" s="2" t="s">
        <v>15443</v>
      </c>
      <c r="H4273" s="2" t="s">
        <v>15444</v>
      </c>
    </row>
    <row r="4274">
      <c r="A4274" s="2">
        <v>4272.0</v>
      </c>
      <c r="B4274" s="5" t="s">
        <v>13531</v>
      </c>
      <c r="C4274" s="2" t="s">
        <v>13532</v>
      </c>
      <c r="D4274" s="5" t="s">
        <v>13531</v>
      </c>
      <c r="E4274" s="2" t="s">
        <v>15441</v>
      </c>
      <c r="F4274" s="2" t="s">
        <v>15446</v>
      </c>
      <c r="G4274" s="2" t="s">
        <v>15456</v>
      </c>
      <c r="H4274" s="2" t="s">
        <v>15444</v>
      </c>
    </row>
    <row r="4275">
      <c r="A4275" s="2">
        <v>4273.0</v>
      </c>
      <c r="B4275" s="5" t="s">
        <v>13533</v>
      </c>
      <c r="C4275" s="2" t="s">
        <v>13534</v>
      </c>
      <c r="D4275" s="5" t="s">
        <v>13533</v>
      </c>
      <c r="E4275" s="2" t="s">
        <v>15441</v>
      </c>
      <c r="F4275" s="2" t="s">
        <v>15442</v>
      </c>
      <c r="G4275" s="2" t="s">
        <v>15443</v>
      </c>
      <c r="H4275" s="2" t="s">
        <v>15457</v>
      </c>
    </row>
    <row r="4276">
      <c r="A4276" s="2">
        <v>4274.0</v>
      </c>
      <c r="B4276" s="5" t="s">
        <v>6311</v>
      </c>
      <c r="C4276" s="2" t="s">
        <v>6312</v>
      </c>
      <c r="D4276" s="5" t="s">
        <v>6311</v>
      </c>
      <c r="E4276" s="2" t="s">
        <v>15445</v>
      </c>
      <c r="F4276" s="2" t="s">
        <v>15446</v>
      </c>
      <c r="G4276" s="2" t="s">
        <v>15456</v>
      </c>
      <c r="H4276" s="2" t="s">
        <v>15444</v>
      </c>
    </row>
    <row r="4277">
      <c r="A4277" s="2">
        <v>4275.0</v>
      </c>
      <c r="B4277" s="5" t="s">
        <v>13535</v>
      </c>
      <c r="C4277" s="2" t="s">
        <v>13536</v>
      </c>
      <c r="D4277" s="5" t="s">
        <v>13535</v>
      </c>
      <c r="E4277" s="2" t="s">
        <v>15441</v>
      </c>
      <c r="F4277" s="2" t="s">
        <v>15442</v>
      </c>
      <c r="G4277" s="2" t="s">
        <v>15443</v>
      </c>
      <c r="H4277" s="2" t="s">
        <v>15444</v>
      </c>
    </row>
    <row r="4278">
      <c r="A4278" s="2">
        <v>4276.0</v>
      </c>
      <c r="B4278" s="5" t="s">
        <v>6314</v>
      </c>
      <c r="C4278" s="2" t="s">
        <v>6315</v>
      </c>
      <c r="D4278" s="5" t="s">
        <v>6314</v>
      </c>
      <c r="E4278" s="2" t="s">
        <v>15445</v>
      </c>
      <c r="F4278" s="2" t="s">
        <v>15442</v>
      </c>
      <c r="G4278" s="2" t="s">
        <v>15443</v>
      </c>
      <c r="H4278" s="2" t="s">
        <v>15444</v>
      </c>
    </row>
    <row r="4279">
      <c r="A4279" s="2">
        <v>4277.0</v>
      </c>
      <c r="B4279" s="5" t="s">
        <v>6317</v>
      </c>
      <c r="C4279" s="2" t="s">
        <v>6318</v>
      </c>
      <c r="D4279" s="5" t="s">
        <v>6317</v>
      </c>
      <c r="E4279" s="2" t="s">
        <v>15445</v>
      </c>
      <c r="F4279" s="2" t="s">
        <v>15442</v>
      </c>
      <c r="G4279" s="2" t="s">
        <v>15443</v>
      </c>
      <c r="H4279" s="2" t="s">
        <v>15444</v>
      </c>
    </row>
    <row r="4280">
      <c r="A4280" s="2">
        <v>4278.0</v>
      </c>
      <c r="B4280" s="5" t="s">
        <v>6320</v>
      </c>
      <c r="C4280" s="2" t="s">
        <v>6321</v>
      </c>
      <c r="D4280" s="5" t="s">
        <v>6320</v>
      </c>
      <c r="E4280" s="2" t="s">
        <v>15445</v>
      </c>
      <c r="F4280" s="2" t="s">
        <v>15446</v>
      </c>
      <c r="G4280" s="2" t="s">
        <v>15456</v>
      </c>
      <c r="H4280" s="2" t="s">
        <v>15444</v>
      </c>
    </row>
    <row r="4281">
      <c r="A4281" s="2">
        <v>4279.0</v>
      </c>
      <c r="B4281" s="5" t="s">
        <v>13537</v>
      </c>
      <c r="C4281" s="2" t="s">
        <v>13538</v>
      </c>
      <c r="D4281" s="5" t="s">
        <v>13537</v>
      </c>
      <c r="E4281" s="2" t="s">
        <v>15441</v>
      </c>
      <c r="F4281" s="2" t="s">
        <v>15442</v>
      </c>
      <c r="G4281" s="2" t="s">
        <v>15443</v>
      </c>
      <c r="H4281" s="2" t="s">
        <v>15444</v>
      </c>
    </row>
    <row r="4282">
      <c r="A4282" s="2">
        <v>4280.0</v>
      </c>
      <c r="B4282" s="5" t="s">
        <v>13539</v>
      </c>
      <c r="C4282" s="2" t="s">
        <v>13540</v>
      </c>
      <c r="D4282" s="5" t="s">
        <v>13539</v>
      </c>
      <c r="E4282" s="2" t="s">
        <v>15441</v>
      </c>
      <c r="F4282" s="2" t="s">
        <v>15442</v>
      </c>
      <c r="G4282" s="2" t="s">
        <v>15443</v>
      </c>
      <c r="H4282" s="2" t="s">
        <v>15444</v>
      </c>
    </row>
    <row r="4283">
      <c r="A4283" s="2">
        <v>4281.0</v>
      </c>
      <c r="B4283" s="5" t="s">
        <v>6323</v>
      </c>
      <c r="C4283" s="2" t="s">
        <v>6324</v>
      </c>
      <c r="D4283" s="5" t="s">
        <v>6323</v>
      </c>
      <c r="E4283" s="2" t="s">
        <v>15445</v>
      </c>
      <c r="F4283" s="2" t="s">
        <v>15442</v>
      </c>
      <c r="G4283" s="2" t="s">
        <v>15443</v>
      </c>
      <c r="H4283" s="2" t="s">
        <v>15444</v>
      </c>
    </row>
    <row r="4284">
      <c r="A4284" s="2">
        <v>4282.0</v>
      </c>
      <c r="B4284" s="5" t="s">
        <v>6326</v>
      </c>
      <c r="C4284" s="2" t="s">
        <v>6327</v>
      </c>
      <c r="D4284" s="5" t="s">
        <v>6326</v>
      </c>
      <c r="E4284" s="2" t="s">
        <v>15445</v>
      </c>
      <c r="F4284" s="2" t="s">
        <v>15442</v>
      </c>
      <c r="G4284" s="2" t="s">
        <v>15443</v>
      </c>
      <c r="H4284" s="2" t="s">
        <v>15444</v>
      </c>
    </row>
    <row r="4285">
      <c r="A4285" s="2">
        <v>4283.0</v>
      </c>
      <c r="B4285" s="5" t="s">
        <v>6329</v>
      </c>
      <c r="C4285" s="2" t="s">
        <v>6330</v>
      </c>
      <c r="D4285" s="5" t="s">
        <v>6329</v>
      </c>
      <c r="E4285" s="2" t="s">
        <v>15445</v>
      </c>
      <c r="F4285" s="2" t="s">
        <v>15442</v>
      </c>
      <c r="G4285" s="2" t="s">
        <v>15443</v>
      </c>
      <c r="H4285" s="2" t="s">
        <v>15444</v>
      </c>
    </row>
    <row r="4286">
      <c r="A4286" s="2">
        <v>4284.0</v>
      </c>
      <c r="B4286" s="5" t="s">
        <v>13541</v>
      </c>
      <c r="C4286" s="2" t="s">
        <v>13542</v>
      </c>
      <c r="D4286" s="5" t="s">
        <v>13541</v>
      </c>
      <c r="E4286" s="2" t="s">
        <v>15441</v>
      </c>
      <c r="F4286" s="2" t="s">
        <v>15442</v>
      </c>
      <c r="G4286" s="2" t="s">
        <v>15443</v>
      </c>
      <c r="H4286" s="2" t="s">
        <v>15444</v>
      </c>
    </row>
    <row r="4287">
      <c r="A4287" s="2">
        <v>4285.0</v>
      </c>
      <c r="B4287" s="5" t="s">
        <v>13543</v>
      </c>
      <c r="C4287" s="2" t="s">
        <v>13544</v>
      </c>
      <c r="D4287" s="5" t="s">
        <v>13543</v>
      </c>
      <c r="E4287" s="2" t="s">
        <v>15441</v>
      </c>
      <c r="F4287" s="2" t="s">
        <v>15446</v>
      </c>
      <c r="G4287" s="2" t="s">
        <v>15443</v>
      </c>
      <c r="H4287" s="2" t="s">
        <v>15457</v>
      </c>
    </row>
    <row r="4288">
      <c r="A4288" s="2">
        <v>4286.0</v>
      </c>
      <c r="B4288" s="5" t="s">
        <v>6332</v>
      </c>
      <c r="C4288" s="2" t="s">
        <v>6333</v>
      </c>
      <c r="D4288" s="5" t="s">
        <v>6332</v>
      </c>
      <c r="E4288" s="2" t="s">
        <v>15445</v>
      </c>
      <c r="F4288" s="2" t="s">
        <v>15442</v>
      </c>
      <c r="G4288" s="2" t="s">
        <v>15456</v>
      </c>
      <c r="H4288" s="2" t="s">
        <v>15444</v>
      </c>
    </row>
    <row r="4289">
      <c r="A4289" s="2">
        <v>4287.0</v>
      </c>
      <c r="B4289" s="5" t="s">
        <v>6335</v>
      </c>
      <c r="C4289" s="2" t="s">
        <v>6336</v>
      </c>
      <c r="D4289" s="5" t="s">
        <v>6335</v>
      </c>
      <c r="E4289" s="2" t="s">
        <v>15445</v>
      </c>
      <c r="F4289" s="2" t="s">
        <v>15446</v>
      </c>
      <c r="G4289" s="2" t="s">
        <v>15456</v>
      </c>
      <c r="H4289" s="2" t="s">
        <v>15444</v>
      </c>
    </row>
    <row r="4290">
      <c r="A4290" s="2">
        <v>4288.0</v>
      </c>
      <c r="B4290" s="5" t="s">
        <v>6338</v>
      </c>
      <c r="C4290" s="2" t="s">
        <v>6339</v>
      </c>
      <c r="D4290" s="5" t="s">
        <v>6338</v>
      </c>
      <c r="E4290" s="2" t="s">
        <v>15445</v>
      </c>
      <c r="F4290" s="2" t="s">
        <v>15442</v>
      </c>
      <c r="G4290" s="2" t="s">
        <v>15443</v>
      </c>
      <c r="H4290" s="2" t="s">
        <v>15444</v>
      </c>
    </row>
    <row r="4291">
      <c r="A4291" s="2">
        <v>4289.0</v>
      </c>
      <c r="B4291" s="5" t="s">
        <v>13545</v>
      </c>
      <c r="C4291" s="2" t="s">
        <v>13546</v>
      </c>
      <c r="D4291" s="5" t="s">
        <v>13545</v>
      </c>
      <c r="E4291" s="2" t="s">
        <v>15441</v>
      </c>
      <c r="F4291" s="2" t="s">
        <v>15442</v>
      </c>
      <c r="G4291" s="2" t="s">
        <v>15443</v>
      </c>
      <c r="H4291" s="2" t="s">
        <v>15444</v>
      </c>
    </row>
    <row r="4292">
      <c r="A4292" s="2">
        <v>4290.0</v>
      </c>
      <c r="B4292" s="5" t="s">
        <v>13547</v>
      </c>
      <c r="C4292" s="2" t="s">
        <v>13548</v>
      </c>
      <c r="D4292" s="5" t="s">
        <v>13547</v>
      </c>
      <c r="E4292" s="2" t="s">
        <v>15441</v>
      </c>
      <c r="F4292" s="2" t="s">
        <v>15442</v>
      </c>
      <c r="G4292" s="2" t="s">
        <v>15456</v>
      </c>
      <c r="H4292" s="2" t="s">
        <v>15444</v>
      </c>
    </row>
    <row r="4293">
      <c r="A4293" s="2">
        <v>4291.0</v>
      </c>
      <c r="B4293" s="5" t="s">
        <v>6341</v>
      </c>
      <c r="C4293" s="2" t="s">
        <v>6342</v>
      </c>
      <c r="D4293" s="5" t="s">
        <v>6341</v>
      </c>
      <c r="E4293" s="2" t="s">
        <v>15445</v>
      </c>
      <c r="F4293" s="2" t="s">
        <v>15446</v>
      </c>
      <c r="G4293" s="2" t="s">
        <v>15456</v>
      </c>
      <c r="H4293" s="2" t="s">
        <v>15444</v>
      </c>
    </row>
    <row r="4294">
      <c r="A4294" s="2">
        <v>4292.0</v>
      </c>
      <c r="B4294" s="5" t="s">
        <v>6344</v>
      </c>
      <c r="C4294" s="2" t="s">
        <v>6345</v>
      </c>
      <c r="D4294" s="5" t="s">
        <v>6344</v>
      </c>
      <c r="E4294" s="2" t="s">
        <v>15445</v>
      </c>
      <c r="F4294" s="2" t="s">
        <v>15442</v>
      </c>
      <c r="G4294" s="2" t="s">
        <v>15443</v>
      </c>
      <c r="H4294" s="2" t="s">
        <v>15444</v>
      </c>
    </row>
    <row r="4295">
      <c r="A4295" s="2">
        <v>4293.0</v>
      </c>
      <c r="B4295" s="5" t="s">
        <v>6347</v>
      </c>
      <c r="C4295" s="2" t="s">
        <v>6348</v>
      </c>
      <c r="D4295" s="5" t="s">
        <v>6347</v>
      </c>
      <c r="E4295" s="2" t="s">
        <v>15445</v>
      </c>
      <c r="F4295" s="2" t="s">
        <v>15442</v>
      </c>
      <c r="G4295" s="2" t="s">
        <v>15443</v>
      </c>
      <c r="H4295" s="2" t="s">
        <v>15444</v>
      </c>
    </row>
    <row r="4296">
      <c r="A4296" s="2">
        <v>4294.0</v>
      </c>
      <c r="B4296" s="5" t="s">
        <v>13549</v>
      </c>
      <c r="C4296" s="2" t="s">
        <v>13550</v>
      </c>
      <c r="D4296" s="5" t="s">
        <v>13549</v>
      </c>
      <c r="E4296" s="2" t="s">
        <v>15441</v>
      </c>
      <c r="F4296" s="2" t="s">
        <v>15442</v>
      </c>
      <c r="G4296" s="2" t="s">
        <v>15443</v>
      </c>
      <c r="H4296" s="2" t="s">
        <v>15444</v>
      </c>
    </row>
    <row r="4297">
      <c r="A4297" s="2">
        <v>4295.0</v>
      </c>
      <c r="B4297" s="5" t="s">
        <v>6350</v>
      </c>
      <c r="C4297" s="2" t="s">
        <v>6351</v>
      </c>
      <c r="D4297" s="5" t="s">
        <v>6350</v>
      </c>
      <c r="E4297" s="2" t="s">
        <v>15445</v>
      </c>
      <c r="F4297" s="2" t="s">
        <v>15442</v>
      </c>
      <c r="G4297" s="2" t="s">
        <v>15443</v>
      </c>
      <c r="H4297" s="2" t="s">
        <v>15457</v>
      </c>
    </row>
    <row r="4298">
      <c r="A4298" s="2">
        <v>4296.0</v>
      </c>
      <c r="B4298" s="5" t="s">
        <v>13551</v>
      </c>
      <c r="C4298" s="2" t="s">
        <v>13552</v>
      </c>
      <c r="D4298" s="5" t="s">
        <v>13551</v>
      </c>
      <c r="E4298" s="2" t="s">
        <v>15441</v>
      </c>
      <c r="F4298" s="2" t="s">
        <v>15442</v>
      </c>
      <c r="G4298" s="2" t="s">
        <v>15456</v>
      </c>
      <c r="H4298" s="2" t="s">
        <v>15444</v>
      </c>
    </row>
    <row r="4299">
      <c r="A4299" s="2">
        <v>4297.0</v>
      </c>
      <c r="B4299" s="5" t="s">
        <v>13553</v>
      </c>
      <c r="C4299" s="2" t="s">
        <v>13554</v>
      </c>
      <c r="D4299" s="5" t="s">
        <v>13553</v>
      </c>
      <c r="E4299" s="2" t="s">
        <v>15441</v>
      </c>
      <c r="F4299" s="2" t="s">
        <v>15446</v>
      </c>
      <c r="G4299" s="2" t="s">
        <v>15456</v>
      </c>
      <c r="H4299" s="2" t="s">
        <v>15444</v>
      </c>
    </row>
    <row r="4300">
      <c r="A4300" s="2">
        <v>4298.0</v>
      </c>
      <c r="B4300" s="5" t="s">
        <v>13555</v>
      </c>
      <c r="C4300" s="2" t="s">
        <v>13556</v>
      </c>
      <c r="D4300" s="5" t="s">
        <v>13555</v>
      </c>
      <c r="E4300" s="2" t="s">
        <v>15441</v>
      </c>
      <c r="F4300" s="2" t="s">
        <v>15446</v>
      </c>
      <c r="G4300" s="2" t="s">
        <v>15456</v>
      </c>
      <c r="H4300" s="2" t="s">
        <v>15444</v>
      </c>
    </row>
    <row r="4301">
      <c r="A4301" s="2">
        <v>4299.0</v>
      </c>
      <c r="B4301" s="5" t="s">
        <v>15573</v>
      </c>
      <c r="C4301" s="2" t="s">
        <v>15574</v>
      </c>
      <c r="D4301" s="5" t="s">
        <v>15573</v>
      </c>
      <c r="E4301" s="2" t="s">
        <v>15445</v>
      </c>
      <c r="F4301" s="2" t="s">
        <v>15446</v>
      </c>
      <c r="G4301" s="2" t="s">
        <v>15456</v>
      </c>
      <c r="H4301" s="2" t="s">
        <v>15457</v>
      </c>
    </row>
    <row r="4302">
      <c r="A4302" s="2">
        <v>4300.0</v>
      </c>
      <c r="B4302" s="5" t="s">
        <v>13557</v>
      </c>
      <c r="C4302" s="2" t="s">
        <v>13558</v>
      </c>
      <c r="D4302" s="5" t="s">
        <v>13557</v>
      </c>
      <c r="E4302" s="2" t="s">
        <v>15441</v>
      </c>
      <c r="F4302" s="2" t="s">
        <v>15446</v>
      </c>
      <c r="G4302" s="2" t="s">
        <v>15456</v>
      </c>
      <c r="H4302" s="2" t="s">
        <v>15444</v>
      </c>
    </row>
    <row r="4303">
      <c r="A4303" s="2">
        <v>4301.0</v>
      </c>
      <c r="B4303" s="5" t="s">
        <v>13559</v>
      </c>
      <c r="C4303" s="2" t="s">
        <v>13560</v>
      </c>
      <c r="D4303" s="5" t="s">
        <v>13559</v>
      </c>
      <c r="E4303" s="2" t="s">
        <v>15441</v>
      </c>
      <c r="F4303" s="2" t="s">
        <v>15442</v>
      </c>
      <c r="G4303" s="2" t="s">
        <v>15456</v>
      </c>
      <c r="H4303" s="2" t="s">
        <v>15444</v>
      </c>
    </row>
    <row r="4304">
      <c r="A4304" s="2">
        <v>4302.0</v>
      </c>
      <c r="B4304" s="5" t="s">
        <v>6353</v>
      </c>
      <c r="C4304" s="2" t="s">
        <v>6354</v>
      </c>
      <c r="D4304" s="5" t="s">
        <v>6353</v>
      </c>
      <c r="E4304" s="2" t="s">
        <v>15445</v>
      </c>
      <c r="F4304" s="2" t="s">
        <v>15446</v>
      </c>
      <c r="G4304" s="2" t="s">
        <v>15443</v>
      </c>
      <c r="H4304" s="2" t="s">
        <v>15444</v>
      </c>
    </row>
    <row r="4305">
      <c r="A4305" s="2">
        <v>4303.0</v>
      </c>
      <c r="B4305" s="5" t="s">
        <v>6356</v>
      </c>
      <c r="C4305" s="2" t="s">
        <v>6357</v>
      </c>
      <c r="D4305" s="5" t="s">
        <v>6356</v>
      </c>
      <c r="E4305" s="2" t="s">
        <v>15445</v>
      </c>
      <c r="F4305" s="2" t="s">
        <v>15446</v>
      </c>
      <c r="G4305" s="2" t="s">
        <v>15456</v>
      </c>
      <c r="H4305" s="2" t="s">
        <v>15455</v>
      </c>
    </row>
    <row r="4306">
      <c r="A4306" s="2">
        <v>4304.0</v>
      </c>
      <c r="B4306" s="5" t="s">
        <v>6359</v>
      </c>
      <c r="C4306" s="2" t="s">
        <v>6360</v>
      </c>
      <c r="D4306" s="5" t="s">
        <v>6359</v>
      </c>
      <c r="E4306" s="2" t="s">
        <v>15445</v>
      </c>
      <c r="F4306" s="2" t="s">
        <v>15446</v>
      </c>
      <c r="G4306" s="2" t="s">
        <v>15443</v>
      </c>
      <c r="H4306" s="2" t="s">
        <v>15444</v>
      </c>
    </row>
    <row r="4307">
      <c r="A4307" s="2">
        <v>4305.0</v>
      </c>
      <c r="B4307" s="5" t="s">
        <v>13561</v>
      </c>
      <c r="C4307" s="2" t="s">
        <v>13562</v>
      </c>
      <c r="D4307" s="5" t="s">
        <v>13561</v>
      </c>
      <c r="E4307" s="2" t="s">
        <v>15441</v>
      </c>
      <c r="F4307" s="2" t="s">
        <v>15446</v>
      </c>
      <c r="G4307" s="2" t="s">
        <v>15456</v>
      </c>
      <c r="H4307" s="2" t="s">
        <v>15444</v>
      </c>
    </row>
    <row r="4308">
      <c r="A4308" s="2">
        <v>4306.0</v>
      </c>
      <c r="B4308" s="5" t="s">
        <v>6362</v>
      </c>
      <c r="C4308" s="2" t="s">
        <v>6363</v>
      </c>
      <c r="D4308" s="5" t="s">
        <v>6362</v>
      </c>
      <c r="E4308" s="2" t="s">
        <v>15445</v>
      </c>
      <c r="F4308" s="2" t="s">
        <v>15446</v>
      </c>
      <c r="G4308" s="2" t="s">
        <v>15456</v>
      </c>
      <c r="H4308" s="2" t="s">
        <v>15457</v>
      </c>
    </row>
    <row r="4309">
      <c r="A4309" s="2">
        <v>4307.0</v>
      </c>
      <c r="B4309" s="5" t="s">
        <v>13563</v>
      </c>
      <c r="C4309" s="2" t="s">
        <v>13564</v>
      </c>
      <c r="D4309" s="5" t="s">
        <v>13563</v>
      </c>
      <c r="E4309" s="2" t="s">
        <v>15441</v>
      </c>
      <c r="F4309" s="2" t="s">
        <v>15446</v>
      </c>
      <c r="G4309" s="2" t="s">
        <v>15443</v>
      </c>
      <c r="H4309" s="2" t="s">
        <v>15444</v>
      </c>
    </row>
    <row r="4310">
      <c r="A4310" s="2">
        <v>4308.0</v>
      </c>
      <c r="B4310" s="5" t="s">
        <v>13565</v>
      </c>
      <c r="C4310" s="2" t="s">
        <v>13566</v>
      </c>
      <c r="D4310" s="5" t="s">
        <v>13565</v>
      </c>
      <c r="E4310" s="2" t="s">
        <v>15441</v>
      </c>
      <c r="F4310" s="2" t="s">
        <v>15446</v>
      </c>
      <c r="G4310" s="2" t="s">
        <v>15456</v>
      </c>
      <c r="H4310" s="2" t="s">
        <v>15457</v>
      </c>
    </row>
    <row r="4311">
      <c r="A4311" s="2">
        <v>4309.0</v>
      </c>
      <c r="B4311" s="5" t="s">
        <v>13567</v>
      </c>
      <c r="C4311" s="2" t="s">
        <v>13568</v>
      </c>
      <c r="D4311" s="5" t="s">
        <v>13567</v>
      </c>
      <c r="E4311" s="2" t="s">
        <v>15441</v>
      </c>
      <c r="F4311" s="2" t="s">
        <v>15442</v>
      </c>
      <c r="G4311" s="2" t="s">
        <v>15443</v>
      </c>
      <c r="H4311" s="2" t="s">
        <v>15444</v>
      </c>
    </row>
    <row r="4312">
      <c r="A4312" s="2">
        <v>4310.0</v>
      </c>
      <c r="B4312" s="5" t="s">
        <v>6365</v>
      </c>
      <c r="C4312" s="2" t="s">
        <v>6366</v>
      </c>
      <c r="D4312" s="5" t="s">
        <v>6365</v>
      </c>
      <c r="E4312" s="2" t="s">
        <v>15445</v>
      </c>
      <c r="F4312" s="2" t="s">
        <v>15442</v>
      </c>
      <c r="G4312" s="2" t="s">
        <v>15443</v>
      </c>
      <c r="H4312" s="2" t="s">
        <v>15457</v>
      </c>
    </row>
    <row r="4313">
      <c r="A4313" s="2">
        <v>4311.0</v>
      </c>
      <c r="B4313" s="5" t="s">
        <v>13569</v>
      </c>
      <c r="C4313" s="2" t="s">
        <v>13570</v>
      </c>
      <c r="D4313" s="5" t="s">
        <v>13569</v>
      </c>
      <c r="E4313" s="2" t="s">
        <v>15441</v>
      </c>
      <c r="F4313" s="2" t="s">
        <v>15442</v>
      </c>
      <c r="G4313" s="2" t="s">
        <v>15456</v>
      </c>
      <c r="H4313" s="2" t="s">
        <v>15444</v>
      </c>
    </row>
    <row r="4314">
      <c r="A4314" s="2">
        <v>4312.0</v>
      </c>
      <c r="B4314" s="5" t="s">
        <v>6368</v>
      </c>
      <c r="C4314" s="2" t="s">
        <v>6369</v>
      </c>
      <c r="D4314" s="5" t="s">
        <v>6368</v>
      </c>
      <c r="E4314" s="2" t="s">
        <v>15445</v>
      </c>
      <c r="F4314" s="2" t="s">
        <v>15446</v>
      </c>
      <c r="G4314" s="2" t="s">
        <v>15456</v>
      </c>
      <c r="H4314" s="2" t="s">
        <v>15444</v>
      </c>
    </row>
    <row r="4315">
      <c r="A4315" s="2">
        <v>4313.0</v>
      </c>
      <c r="B4315" s="5" t="s">
        <v>13571</v>
      </c>
      <c r="C4315" s="2" t="s">
        <v>13572</v>
      </c>
      <c r="D4315" s="5" t="s">
        <v>13571</v>
      </c>
      <c r="E4315" s="2" t="s">
        <v>15441</v>
      </c>
      <c r="F4315" s="2" t="s">
        <v>15446</v>
      </c>
      <c r="G4315" s="2" t="s">
        <v>15456</v>
      </c>
      <c r="H4315" s="2" t="s">
        <v>15444</v>
      </c>
    </row>
    <row r="4316">
      <c r="A4316" s="2">
        <v>4314.0</v>
      </c>
      <c r="B4316" s="5" t="s">
        <v>13573</v>
      </c>
      <c r="C4316" s="2" t="s">
        <v>13574</v>
      </c>
      <c r="D4316" s="5" t="s">
        <v>13573</v>
      </c>
      <c r="E4316" s="2" t="s">
        <v>15441</v>
      </c>
      <c r="F4316" s="2" t="s">
        <v>15446</v>
      </c>
      <c r="G4316" s="2" t="s">
        <v>15443</v>
      </c>
      <c r="H4316" s="2" t="s">
        <v>15444</v>
      </c>
    </row>
    <row r="4317">
      <c r="A4317" s="2">
        <v>4315.0</v>
      </c>
      <c r="B4317" s="5" t="s">
        <v>6371</v>
      </c>
      <c r="C4317" s="2" t="s">
        <v>6372</v>
      </c>
      <c r="D4317" s="5" t="s">
        <v>6371</v>
      </c>
      <c r="E4317" s="2" t="s">
        <v>15445</v>
      </c>
      <c r="F4317" s="2" t="s">
        <v>15442</v>
      </c>
      <c r="G4317" s="2" t="s">
        <v>15456</v>
      </c>
      <c r="H4317" s="2" t="s">
        <v>15457</v>
      </c>
    </row>
    <row r="4318">
      <c r="A4318" s="2">
        <v>4316.0</v>
      </c>
      <c r="B4318" s="5" t="s">
        <v>6374</v>
      </c>
      <c r="C4318" s="2" t="s">
        <v>6375</v>
      </c>
      <c r="D4318" s="5" t="s">
        <v>6374</v>
      </c>
      <c r="E4318" s="2" t="s">
        <v>15445</v>
      </c>
      <c r="F4318" s="2" t="s">
        <v>15446</v>
      </c>
      <c r="G4318" s="2" t="s">
        <v>15443</v>
      </c>
      <c r="H4318" s="2" t="s">
        <v>15444</v>
      </c>
    </row>
    <row r="4319">
      <c r="A4319" s="2">
        <v>4317.0</v>
      </c>
      <c r="B4319" s="5" t="s">
        <v>13575</v>
      </c>
      <c r="C4319" s="2" t="s">
        <v>13576</v>
      </c>
      <c r="D4319" s="5" t="s">
        <v>13575</v>
      </c>
      <c r="E4319" s="2" t="s">
        <v>15441</v>
      </c>
      <c r="F4319" s="2" t="s">
        <v>15442</v>
      </c>
      <c r="G4319" s="2" t="s">
        <v>15443</v>
      </c>
      <c r="H4319" s="2" t="s">
        <v>15455</v>
      </c>
    </row>
    <row r="4320">
      <c r="A4320" s="2">
        <v>4318.0</v>
      </c>
      <c r="B4320" s="5" t="s">
        <v>13577</v>
      </c>
      <c r="C4320" s="2" t="s">
        <v>13578</v>
      </c>
      <c r="D4320" s="5" t="s">
        <v>13577</v>
      </c>
      <c r="E4320" s="2" t="s">
        <v>15441</v>
      </c>
      <c r="F4320" s="2" t="s">
        <v>15442</v>
      </c>
      <c r="G4320" s="2" t="s">
        <v>15456</v>
      </c>
      <c r="H4320" s="2" t="s">
        <v>15444</v>
      </c>
    </row>
    <row r="4321">
      <c r="A4321" s="2">
        <v>4319.0</v>
      </c>
      <c r="B4321" s="5" t="s">
        <v>13579</v>
      </c>
      <c r="C4321" s="2" t="s">
        <v>13580</v>
      </c>
      <c r="D4321" s="5" t="s">
        <v>13579</v>
      </c>
      <c r="E4321" s="2" t="s">
        <v>15441</v>
      </c>
      <c r="F4321" s="2" t="s">
        <v>15442</v>
      </c>
      <c r="G4321" s="2" t="s">
        <v>15443</v>
      </c>
      <c r="H4321" s="2" t="s">
        <v>15461</v>
      </c>
    </row>
    <row r="4322">
      <c r="A4322" s="2">
        <v>4320.0</v>
      </c>
      <c r="B4322" s="5" t="s">
        <v>6377</v>
      </c>
      <c r="C4322" s="2" t="s">
        <v>6378</v>
      </c>
      <c r="D4322" s="5" t="s">
        <v>6377</v>
      </c>
      <c r="E4322" s="2" t="s">
        <v>15445</v>
      </c>
      <c r="F4322" s="2" t="s">
        <v>15446</v>
      </c>
      <c r="G4322" s="2" t="s">
        <v>15443</v>
      </c>
      <c r="H4322" s="2" t="s">
        <v>15444</v>
      </c>
    </row>
    <row r="4323">
      <c r="A4323" s="2">
        <v>4321.0</v>
      </c>
      <c r="B4323" s="5" t="s">
        <v>6380</v>
      </c>
      <c r="C4323" s="2" t="s">
        <v>6381</v>
      </c>
      <c r="D4323" s="5" t="s">
        <v>6380</v>
      </c>
      <c r="E4323" s="2" t="s">
        <v>15445</v>
      </c>
      <c r="F4323" s="2" t="s">
        <v>15446</v>
      </c>
      <c r="G4323" s="2" t="s">
        <v>15443</v>
      </c>
      <c r="H4323" s="2" t="s">
        <v>15444</v>
      </c>
    </row>
    <row r="4324">
      <c r="A4324" s="2">
        <v>4322.0</v>
      </c>
      <c r="B4324" s="5" t="s">
        <v>13581</v>
      </c>
      <c r="C4324" s="2" t="s">
        <v>13582</v>
      </c>
      <c r="D4324" s="5" t="s">
        <v>13581</v>
      </c>
      <c r="E4324" s="2" t="s">
        <v>15441</v>
      </c>
      <c r="F4324" s="2" t="s">
        <v>15446</v>
      </c>
      <c r="G4324" s="2" t="s">
        <v>15456</v>
      </c>
      <c r="H4324" s="2" t="s">
        <v>15444</v>
      </c>
    </row>
    <row r="4325">
      <c r="A4325" s="2">
        <v>4323.0</v>
      </c>
      <c r="B4325" s="5" t="s">
        <v>6383</v>
      </c>
      <c r="C4325" s="2" t="s">
        <v>6384</v>
      </c>
      <c r="D4325" s="5" t="s">
        <v>6383</v>
      </c>
      <c r="E4325" s="2" t="s">
        <v>15445</v>
      </c>
      <c r="F4325" s="2" t="s">
        <v>15442</v>
      </c>
      <c r="G4325" s="2" t="s">
        <v>15443</v>
      </c>
      <c r="H4325" s="2" t="s">
        <v>15444</v>
      </c>
    </row>
    <row r="4326">
      <c r="A4326" s="2">
        <v>4324.0</v>
      </c>
      <c r="B4326" s="5" t="s">
        <v>6386</v>
      </c>
      <c r="C4326" s="2" t="s">
        <v>6387</v>
      </c>
      <c r="D4326" s="5" t="s">
        <v>6386</v>
      </c>
      <c r="E4326" s="2" t="s">
        <v>15445</v>
      </c>
      <c r="F4326" s="2" t="s">
        <v>15442</v>
      </c>
      <c r="G4326" s="2" t="s">
        <v>15456</v>
      </c>
      <c r="H4326" s="2" t="s">
        <v>15444</v>
      </c>
    </row>
    <row r="4327">
      <c r="A4327" s="2">
        <v>4325.0</v>
      </c>
      <c r="B4327" s="5" t="s">
        <v>13583</v>
      </c>
      <c r="C4327" s="2" t="s">
        <v>13584</v>
      </c>
      <c r="D4327" s="5" t="s">
        <v>13583</v>
      </c>
      <c r="E4327" s="2" t="s">
        <v>15441</v>
      </c>
      <c r="F4327" s="2" t="s">
        <v>15442</v>
      </c>
      <c r="G4327" s="2" t="s">
        <v>15456</v>
      </c>
      <c r="H4327" s="2" t="s">
        <v>15444</v>
      </c>
    </row>
    <row r="4328">
      <c r="A4328" s="2">
        <v>4326.0</v>
      </c>
      <c r="B4328" s="5" t="s">
        <v>13585</v>
      </c>
      <c r="C4328" s="2" t="s">
        <v>13586</v>
      </c>
      <c r="D4328" s="5" t="s">
        <v>13585</v>
      </c>
      <c r="E4328" s="2" t="s">
        <v>15441</v>
      </c>
      <c r="F4328" s="2" t="s">
        <v>15442</v>
      </c>
      <c r="G4328" s="2" t="s">
        <v>15443</v>
      </c>
      <c r="H4328" s="2" t="s">
        <v>15444</v>
      </c>
    </row>
    <row r="4329">
      <c r="A4329" s="2">
        <v>4327.0</v>
      </c>
      <c r="B4329" s="5" t="s">
        <v>6389</v>
      </c>
      <c r="C4329" s="2" t="s">
        <v>6390</v>
      </c>
      <c r="D4329" s="5" t="s">
        <v>6389</v>
      </c>
      <c r="E4329" s="2" t="s">
        <v>15445</v>
      </c>
      <c r="F4329" s="2" t="s">
        <v>15442</v>
      </c>
      <c r="G4329" s="2" t="s">
        <v>15443</v>
      </c>
      <c r="H4329" s="2" t="s">
        <v>15444</v>
      </c>
    </row>
    <row r="4330">
      <c r="A4330" s="2">
        <v>4328.0</v>
      </c>
      <c r="B4330" s="5" t="s">
        <v>13587</v>
      </c>
      <c r="C4330" s="2" t="s">
        <v>13588</v>
      </c>
      <c r="D4330" s="5" t="s">
        <v>13587</v>
      </c>
      <c r="E4330" s="2" t="s">
        <v>15441</v>
      </c>
      <c r="F4330" s="2" t="s">
        <v>15442</v>
      </c>
      <c r="G4330" s="2" t="s">
        <v>15443</v>
      </c>
      <c r="H4330" s="2" t="s">
        <v>15444</v>
      </c>
    </row>
    <row r="4331">
      <c r="A4331" s="2">
        <v>4329.0</v>
      </c>
      <c r="B4331" s="5" t="s">
        <v>13589</v>
      </c>
      <c r="C4331" s="2" t="s">
        <v>13590</v>
      </c>
      <c r="D4331" s="5" t="s">
        <v>13589</v>
      </c>
      <c r="E4331" s="2" t="s">
        <v>15441</v>
      </c>
      <c r="F4331" s="2" t="s">
        <v>15442</v>
      </c>
      <c r="G4331" s="2" t="s">
        <v>15443</v>
      </c>
      <c r="H4331" s="2" t="s">
        <v>15444</v>
      </c>
    </row>
    <row r="4332">
      <c r="A4332" s="2">
        <v>4330.0</v>
      </c>
      <c r="B4332" s="5" t="s">
        <v>13591</v>
      </c>
      <c r="C4332" s="2" t="s">
        <v>13592</v>
      </c>
      <c r="D4332" s="5" t="s">
        <v>13591</v>
      </c>
      <c r="E4332" s="2" t="s">
        <v>15441</v>
      </c>
      <c r="F4332" s="2" t="s">
        <v>15442</v>
      </c>
      <c r="G4332" s="2" t="s">
        <v>15443</v>
      </c>
      <c r="H4332" s="2" t="s">
        <v>15444</v>
      </c>
    </row>
    <row r="4333">
      <c r="A4333" s="2">
        <v>4331.0</v>
      </c>
      <c r="B4333" s="5" t="s">
        <v>13593</v>
      </c>
      <c r="C4333" s="2" t="s">
        <v>13594</v>
      </c>
      <c r="D4333" s="5" t="s">
        <v>13593</v>
      </c>
      <c r="E4333" s="2" t="s">
        <v>15441</v>
      </c>
      <c r="F4333" s="2" t="s">
        <v>15442</v>
      </c>
      <c r="G4333" s="2" t="s">
        <v>15443</v>
      </c>
      <c r="H4333" s="2" t="s">
        <v>15457</v>
      </c>
    </row>
    <row r="4334">
      <c r="A4334" s="2">
        <v>4332.0</v>
      </c>
      <c r="B4334" s="5" t="s">
        <v>13595</v>
      </c>
      <c r="C4334" s="2" t="s">
        <v>13596</v>
      </c>
      <c r="D4334" s="5" t="s">
        <v>13595</v>
      </c>
      <c r="E4334" s="2" t="s">
        <v>15441</v>
      </c>
      <c r="F4334" s="2" t="s">
        <v>15446</v>
      </c>
      <c r="G4334" s="2" t="s">
        <v>15456</v>
      </c>
      <c r="H4334" s="2" t="s">
        <v>15455</v>
      </c>
    </row>
    <row r="4335">
      <c r="A4335" s="2">
        <v>4333.0</v>
      </c>
      <c r="B4335" s="5" t="s">
        <v>13597</v>
      </c>
      <c r="C4335" s="2" t="s">
        <v>13598</v>
      </c>
      <c r="D4335" s="5" t="s">
        <v>13597</v>
      </c>
      <c r="E4335" s="2" t="s">
        <v>15441</v>
      </c>
      <c r="F4335" s="2" t="s">
        <v>15446</v>
      </c>
      <c r="G4335" s="2" t="s">
        <v>15456</v>
      </c>
      <c r="H4335" s="2" t="s">
        <v>15444</v>
      </c>
    </row>
    <row r="4336">
      <c r="A4336" s="2">
        <v>4334.0</v>
      </c>
      <c r="B4336" s="5" t="s">
        <v>6392</v>
      </c>
      <c r="C4336" s="2" t="s">
        <v>6393</v>
      </c>
      <c r="D4336" s="5" t="s">
        <v>6392</v>
      </c>
      <c r="E4336" s="2" t="s">
        <v>15445</v>
      </c>
      <c r="F4336" s="2" t="s">
        <v>15446</v>
      </c>
      <c r="G4336" s="2" t="s">
        <v>15443</v>
      </c>
      <c r="H4336" s="2" t="s">
        <v>15444</v>
      </c>
    </row>
    <row r="4337">
      <c r="A4337" s="2">
        <v>4335.0</v>
      </c>
      <c r="B4337" s="5" t="s">
        <v>6395</v>
      </c>
      <c r="C4337" s="2" t="s">
        <v>6396</v>
      </c>
      <c r="D4337" s="5" t="s">
        <v>6395</v>
      </c>
      <c r="E4337" s="2" t="s">
        <v>15445</v>
      </c>
      <c r="F4337" s="2" t="s">
        <v>15442</v>
      </c>
      <c r="G4337" s="2" t="s">
        <v>15443</v>
      </c>
      <c r="H4337" s="2" t="s">
        <v>15457</v>
      </c>
    </row>
    <row r="4338">
      <c r="A4338" s="2">
        <v>4336.0</v>
      </c>
      <c r="B4338" s="5" t="s">
        <v>13599</v>
      </c>
      <c r="C4338" s="2" t="s">
        <v>13600</v>
      </c>
      <c r="D4338" s="5" t="s">
        <v>13599</v>
      </c>
      <c r="E4338" s="2" t="s">
        <v>15441</v>
      </c>
      <c r="F4338" s="2" t="s">
        <v>15446</v>
      </c>
      <c r="G4338" s="2" t="s">
        <v>15456</v>
      </c>
      <c r="H4338" s="2" t="s">
        <v>15444</v>
      </c>
    </row>
    <row r="4339">
      <c r="A4339" s="2">
        <v>4337.0</v>
      </c>
      <c r="B4339" s="5" t="s">
        <v>13601</v>
      </c>
      <c r="C4339" s="2" t="s">
        <v>13602</v>
      </c>
      <c r="D4339" s="5" t="s">
        <v>13601</v>
      </c>
      <c r="E4339" s="2" t="s">
        <v>15441</v>
      </c>
      <c r="F4339" s="2" t="s">
        <v>15446</v>
      </c>
      <c r="G4339" s="2" t="s">
        <v>15443</v>
      </c>
      <c r="H4339" s="2" t="s">
        <v>15444</v>
      </c>
    </row>
    <row r="4340">
      <c r="A4340" s="2">
        <v>4338.0</v>
      </c>
      <c r="B4340" s="5" t="s">
        <v>13603</v>
      </c>
      <c r="C4340" s="2" t="s">
        <v>13604</v>
      </c>
      <c r="D4340" s="5" t="s">
        <v>13603</v>
      </c>
      <c r="E4340" s="2" t="s">
        <v>15441</v>
      </c>
      <c r="F4340" s="2" t="s">
        <v>15442</v>
      </c>
      <c r="G4340" s="2" t="s">
        <v>15443</v>
      </c>
      <c r="H4340" s="2" t="s">
        <v>15444</v>
      </c>
    </row>
    <row r="4341">
      <c r="A4341" s="2">
        <v>4339.0</v>
      </c>
      <c r="B4341" s="5" t="s">
        <v>13605</v>
      </c>
      <c r="C4341" s="2" t="s">
        <v>13606</v>
      </c>
      <c r="D4341" s="5" t="s">
        <v>13605</v>
      </c>
      <c r="E4341" s="2" t="s">
        <v>15441</v>
      </c>
      <c r="F4341" s="2" t="s">
        <v>15442</v>
      </c>
      <c r="G4341" s="2" t="s">
        <v>15443</v>
      </c>
      <c r="H4341" s="2" t="s">
        <v>15444</v>
      </c>
    </row>
    <row r="4342">
      <c r="A4342" s="2">
        <v>4340.0</v>
      </c>
      <c r="B4342" s="5" t="s">
        <v>13607</v>
      </c>
      <c r="C4342" s="2" t="s">
        <v>13608</v>
      </c>
      <c r="D4342" s="5" t="s">
        <v>13607</v>
      </c>
      <c r="E4342" s="2" t="s">
        <v>15441</v>
      </c>
      <c r="F4342" s="2" t="s">
        <v>15446</v>
      </c>
      <c r="G4342" s="2" t="s">
        <v>15456</v>
      </c>
      <c r="H4342" s="2" t="s">
        <v>15444</v>
      </c>
    </row>
    <row r="4343">
      <c r="A4343" s="2">
        <v>4341.0</v>
      </c>
      <c r="B4343" s="5" t="s">
        <v>6398</v>
      </c>
      <c r="C4343" s="2" t="s">
        <v>6399</v>
      </c>
      <c r="D4343" s="5" t="s">
        <v>6398</v>
      </c>
      <c r="E4343" s="2" t="s">
        <v>15445</v>
      </c>
      <c r="F4343" s="2" t="s">
        <v>15442</v>
      </c>
      <c r="G4343" s="2" t="s">
        <v>15443</v>
      </c>
      <c r="H4343" s="2" t="s">
        <v>15444</v>
      </c>
    </row>
    <row r="4344">
      <c r="A4344" s="2">
        <v>4342.0</v>
      </c>
      <c r="B4344" s="5" t="s">
        <v>6401</v>
      </c>
      <c r="C4344" s="2" t="s">
        <v>6402</v>
      </c>
      <c r="D4344" s="5" t="s">
        <v>6401</v>
      </c>
      <c r="E4344" s="2" t="s">
        <v>15445</v>
      </c>
      <c r="F4344" s="2" t="s">
        <v>15446</v>
      </c>
      <c r="G4344" s="2" t="s">
        <v>15456</v>
      </c>
      <c r="H4344" s="2" t="s">
        <v>15444</v>
      </c>
    </row>
    <row r="4345">
      <c r="A4345" s="2">
        <v>4343.0</v>
      </c>
      <c r="B4345" s="5" t="s">
        <v>6404</v>
      </c>
      <c r="C4345" s="2" t="s">
        <v>6405</v>
      </c>
      <c r="D4345" s="5" t="s">
        <v>6404</v>
      </c>
      <c r="E4345" s="2" t="s">
        <v>15445</v>
      </c>
      <c r="F4345" s="2" t="s">
        <v>15442</v>
      </c>
      <c r="G4345" s="2" t="s">
        <v>15443</v>
      </c>
      <c r="H4345" s="2" t="s">
        <v>15444</v>
      </c>
    </row>
    <row r="4346">
      <c r="A4346" s="2">
        <v>4344.0</v>
      </c>
      <c r="B4346" s="5" t="s">
        <v>13609</v>
      </c>
      <c r="C4346" s="2" t="s">
        <v>13610</v>
      </c>
      <c r="D4346" s="5" t="s">
        <v>13609</v>
      </c>
      <c r="E4346" s="2" t="s">
        <v>15441</v>
      </c>
      <c r="F4346" s="2" t="s">
        <v>15446</v>
      </c>
      <c r="G4346" s="2" t="s">
        <v>15443</v>
      </c>
      <c r="H4346" s="2" t="s">
        <v>15444</v>
      </c>
    </row>
    <row r="4347">
      <c r="A4347" s="2">
        <v>4345.0</v>
      </c>
      <c r="B4347" s="5" t="s">
        <v>13611</v>
      </c>
      <c r="C4347" s="2" t="s">
        <v>13612</v>
      </c>
      <c r="D4347" s="5" t="s">
        <v>13611</v>
      </c>
      <c r="E4347" s="2" t="s">
        <v>15441</v>
      </c>
      <c r="F4347" s="2" t="s">
        <v>15446</v>
      </c>
      <c r="G4347" s="2" t="s">
        <v>15456</v>
      </c>
      <c r="H4347" s="2" t="s">
        <v>15444</v>
      </c>
    </row>
    <row r="4348">
      <c r="A4348" s="2">
        <v>4346.0</v>
      </c>
      <c r="B4348" s="5" t="s">
        <v>13613</v>
      </c>
      <c r="C4348" s="2" t="s">
        <v>13614</v>
      </c>
      <c r="D4348" s="5" t="s">
        <v>13613</v>
      </c>
      <c r="E4348" s="2" t="s">
        <v>15441</v>
      </c>
      <c r="F4348" s="2" t="s">
        <v>15442</v>
      </c>
      <c r="G4348" s="2" t="s">
        <v>15456</v>
      </c>
      <c r="H4348" s="2" t="s">
        <v>15455</v>
      </c>
    </row>
    <row r="4349">
      <c r="A4349" s="2">
        <v>4347.0</v>
      </c>
      <c r="B4349" s="5" t="s">
        <v>13615</v>
      </c>
      <c r="C4349" s="2" t="s">
        <v>13616</v>
      </c>
      <c r="D4349" s="5" t="s">
        <v>13615</v>
      </c>
      <c r="E4349" s="2" t="s">
        <v>15441</v>
      </c>
      <c r="F4349" s="2" t="s">
        <v>15446</v>
      </c>
      <c r="G4349" s="2" t="s">
        <v>15456</v>
      </c>
      <c r="H4349" s="2" t="s">
        <v>15444</v>
      </c>
    </row>
    <row r="4350">
      <c r="A4350" s="2">
        <v>4348.0</v>
      </c>
      <c r="B4350" s="5" t="s">
        <v>6407</v>
      </c>
      <c r="C4350" s="2" t="s">
        <v>6408</v>
      </c>
      <c r="D4350" s="5" t="s">
        <v>6407</v>
      </c>
      <c r="E4350" s="2" t="s">
        <v>15445</v>
      </c>
      <c r="F4350" s="2" t="s">
        <v>15446</v>
      </c>
      <c r="G4350" s="2" t="s">
        <v>15456</v>
      </c>
      <c r="H4350" s="2" t="s">
        <v>15444</v>
      </c>
    </row>
    <row r="4351">
      <c r="A4351" s="2">
        <v>4349.0</v>
      </c>
      <c r="B4351" s="5" t="s">
        <v>6410</v>
      </c>
      <c r="C4351" s="2" t="s">
        <v>6411</v>
      </c>
      <c r="D4351" s="5" t="s">
        <v>6410</v>
      </c>
      <c r="E4351" s="2" t="s">
        <v>15445</v>
      </c>
      <c r="F4351" s="2" t="s">
        <v>15446</v>
      </c>
      <c r="G4351" s="2" t="s">
        <v>15443</v>
      </c>
      <c r="H4351" s="2" t="s">
        <v>15444</v>
      </c>
    </row>
    <row r="4352">
      <c r="A4352" s="2">
        <v>4350.0</v>
      </c>
      <c r="B4352" s="5" t="s">
        <v>6413</v>
      </c>
      <c r="C4352" s="2" t="s">
        <v>6414</v>
      </c>
      <c r="D4352" s="5" t="s">
        <v>6413</v>
      </c>
      <c r="E4352" s="2" t="s">
        <v>15445</v>
      </c>
      <c r="F4352" s="2" t="s">
        <v>15442</v>
      </c>
      <c r="G4352" s="2" t="s">
        <v>15456</v>
      </c>
      <c r="H4352" s="2" t="s">
        <v>15444</v>
      </c>
    </row>
    <row r="4353">
      <c r="A4353" s="2">
        <v>4351.0</v>
      </c>
      <c r="B4353" s="5" t="s">
        <v>6416</v>
      </c>
      <c r="C4353" s="2" t="s">
        <v>6417</v>
      </c>
      <c r="D4353" s="5" t="s">
        <v>6416</v>
      </c>
      <c r="E4353" s="2" t="s">
        <v>15445</v>
      </c>
      <c r="F4353" s="2" t="s">
        <v>15446</v>
      </c>
      <c r="G4353" s="2" t="s">
        <v>15456</v>
      </c>
      <c r="H4353" s="2" t="s">
        <v>15457</v>
      </c>
    </row>
    <row r="4354">
      <c r="A4354" s="2">
        <v>4352.0</v>
      </c>
      <c r="B4354" s="5" t="s">
        <v>13617</v>
      </c>
      <c r="C4354" s="2" t="s">
        <v>13618</v>
      </c>
      <c r="D4354" s="5" t="s">
        <v>13617</v>
      </c>
      <c r="E4354" s="2" t="s">
        <v>15441</v>
      </c>
      <c r="F4354" s="2" t="s">
        <v>15442</v>
      </c>
      <c r="G4354" s="2" t="s">
        <v>15443</v>
      </c>
      <c r="H4354" s="2" t="s">
        <v>15444</v>
      </c>
    </row>
    <row r="4355">
      <c r="A4355" s="2">
        <v>4353.0</v>
      </c>
      <c r="B4355" s="5" t="s">
        <v>13619</v>
      </c>
      <c r="C4355" s="2" t="s">
        <v>13620</v>
      </c>
      <c r="D4355" s="5" t="s">
        <v>13619</v>
      </c>
      <c r="E4355" s="2" t="s">
        <v>15441</v>
      </c>
      <c r="F4355" s="2" t="s">
        <v>15442</v>
      </c>
      <c r="G4355" s="2" t="s">
        <v>15443</v>
      </c>
      <c r="H4355" s="2" t="s">
        <v>15444</v>
      </c>
    </row>
    <row r="4356">
      <c r="A4356" s="2">
        <v>4354.0</v>
      </c>
      <c r="B4356" s="5" t="s">
        <v>13621</v>
      </c>
      <c r="C4356" s="2" t="s">
        <v>13622</v>
      </c>
      <c r="D4356" s="5" t="s">
        <v>13621</v>
      </c>
      <c r="E4356" s="2" t="s">
        <v>15441</v>
      </c>
      <c r="F4356" s="2" t="s">
        <v>15446</v>
      </c>
      <c r="G4356" s="2" t="s">
        <v>15456</v>
      </c>
      <c r="H4356" s="2" t="s">
        <v>15462</v>
      </c>
    </row>
    <row r="4357">
      <c r="A4357" s="2">
        <v>4355.0</v>
      </c>
      <c r="B4357" s="5" t="s">
        <v>6419</v>
      </c>
      <c r="C4357" s="2" t="s">
        <v>6420</v>
      </c>
      <c r="D4357" s="5" t="s">
        <v>6419</v>
      </c>
      <c r="E4357" s="2" t="s">
        <v>15445</v>
      </c>
      <c r="F4357" s="2" t="s">
        <v>15442</v>
      </c>
      <c r="G4357" s="2" t="s">
        <v>15443</v>
      </c>
      <c r="H4357" s="2" t="s">
        <v>15444</v>
      </c>
    </row>
    <row r="4358">
      <c r="A4358" s="2">
        <v>4356.0</v>
      </c>
      <c r="B4358" s="5" t="s">
        <v>13623</v>
      </c>
      <c r="C4358" s="2" t="s">
        <v>13624</v>
      </c>
      <c r="D4358" s="5" t="s">
        <v>13623</v>
      </c>
      <c r="E4358" s="2" t="s">
        <v>15441</v>
      </c>
      <c r="F4358" s="2" t="s">
        <v>15442</v>
      </c>
      <c r="G4358" s="2" t="s">
        <v>15456</v>
      </c>
      <c r="H4358" s="2" t="s">
        <v>15444</v>
      </c>
    </row>
    <row r="4359">
      <c r="A4359" s="2">
        <v>4357.0</v>
      </c>
      <c r="B4359" s="5" t="s">
        <v>13625</v>
      </c>
      <c r="C4359" s="2" t="s">
        <v>13626</v>
      </c>
      <c r="D4359" s="5" t="s">
        <v>13625</v>
      </c>
      <c r="E4359" s="2" t="s">
        <v>15441</v>
      </c>
      <c r="F4359" s="2" t="s">
        <v>15446</v>
      </c>
      <c r="G4359" s="2" t="s">
        <v>15456</v>
      </c>
      <c r="H4359" s="2" t="s">
        <v>15444</v>
      </c>
    </row>
    <row r="4360">
      <c r="A4360" s="2">
        <v>4358.0</v>
      </c>
      <c r="B4360" s="5" t="s">
        <v>6422</v>
      </c>
      <c r="C4360" s="2" t="s">
        <v>6423</v>
      </c>
      <c r="D4360" s="5" t="s">
        <v>6422</v>
      </c>
      <c r="E4360" s="2" t="s">
        <v>15445</v>
      </c>
      <c r="F4360" s="2" t="s">
        <v>15442</v>
      </c>
      <c r="G4360" s="2" t="s">
        <v>15456</v>
      </c>
      <c r="H4360" s="2" t="s">
        <v>15444</v>
      </c>
    </row>
    <row r="4361">
      <c r="A4361" s="2">
        <v>4359.0</v>
      </c>
      <c r="B4361" s="5" t="s">
        <v>13627</v>
      </c>
      <c r="C4361" s="2" t="s">
        <v>13628</v>
      </c>
      <c r="D4361" s="5" t="s">
        <v>13627</v>
      </c>
      <c r="E4361" s="2" t="s">
        <v>15441</v>
      </c>
      <c r="F4361" s="2" t="s">
        <v>15442</v>
      </c>
      <c r="G4361" s="2" t="s">
        <v>15456</v>
      </c>
      <c r="H4361" s="2" t="s">
        <v>15444</v>
      </c>
    </row>
    <row r="4362">
      <c r="A4362" s="2">
        <v>4360.0</v>
      </c>
      <c r="B4362" s="5" t="s">
        <v>6425</v>
      </c>
      <c r="C4362" s="2" t="s">
        <v>6426</v>
      </c>
      <c r="D4362" s="5" t="s">
        <v>6425</v>
      </c>
      <c r="E4362" s="2" t="s">
        <v>15445</v>
      </c>
      <c r="F4362" s="2" t="s">
        <v>15442</v>
      </c>
      <c r="G4362" s="2" t="s">
        <v>15443</v>
      </c>
      <c r="H4362" s="2" t="s">
        <v>15444</v>
      </c>
    </row>
    <row r="4363">
      <c r="A4363" s="2">
        <v>4361.0</v>
      </c>
      <c r="B4363" s="5" t="s">
        <v>6428</v>
      </c>
      <c r="C4363" s="2" t="s">
        <v>6429</v>
      </c>
      <c r="D4363" s="5" t="s">
        <v>6428</v>
      </c>
      <c r="E4363" s="2" t="s">
        <v>15445</v>
      </c>
      <c r="F4363" s="2" t="s">
        <v>15446</v>
      </c>
      <c r="G4363" s="2" t="s">
        <v>15456</v>
      </c>
      <c r="H4363" s="2" t="s">
        <v>15457</v>
      </c>
    </row>
    <row r="4364">
      <c r="A4364" s="2">
        <v>4362.0</v>
      </c>
      <c r="B4364" s="5" t="s">
        <v>13629</v>
      </c>
      <c r="C4364" s="2" t="s">
        <v>13630</v>
      </c>
      <c r="D4364" s="5" t="s">
        <v>13629</v>
      </c>
      <c r="E4364" s="2" t="s">
        <v>15441</v>
      </c>
      <c r="F4364" s="2" t="s">
        <v>15442</v>
      </c>
      <c r="G4364" s="2" t="s">
        <v>15456</v>
      </c>
      <c r="H4364" s="2" t="s">
        <v>15444</v>
      </c>
    </row>
    <row r="4365">
      <c r="A4365" s="2">
        <v>4363.0</v>
      </c>
      <c r="B4365" s="5" t="s">
        <v>6431</v>
      </c>
      <c r="C4365" s="2" t="s">
        <v>6432</v>
      </c>
      <c r="D4365" s="5" t="s">
        <v>6431</v>
      </c>
      <c r="E4365" s="2" t="s">
        <v>15445</v>
      </c>
      <c r="F4365" s="2" t="s">
        <v>15446</v>
      </c>
      <c r="G4365" s="2" t="s">
        <v>15456</v>
      </c>
      <c r="H4365" s="2" t="s">
        <v>15457</v>
      </c>
    </row>
    <row r="4366">
      <c r="A4366" s="2">
        <v>4364.0</v>
      </c>
      <c r="B4366" s="5" t="s">
        <v>6434</v>
      </c>
      <c r="C4366" s="2" t="s">
        <v>6435</v>
      </c>
      <c r="D4366" s="5" t="s">
        <v>6434</v>
      </c>
      <c r="E4366" s="2" t="s">
        <v>15445</v>
      </c>
      <c r="F4366" s="2" t="s">
        <v>15446</v>
      </c>
      <c r="G4366" s="2" t="s">
        <v>15456</v>
      </c>
      <c r="H4366" s="2" t="s">
        <v>15444</v>
      </c>
    </row>
    <row r="4367">
      <c r="A4367" s="2">
        <v>4365.0</v>
      </c>
      <c r="B4367" s="5" t="s">
        <v>13631</v>
      </c>
      <c r="C4367" s="2" t="s">
        <v>13632</v>
      </c>
      <c r="D4367" s="5" t="s">
        <v>13631</v>
      </c>
      <c r="E4367" s="2" t="s">
        <v>15441</v>
      </c>
      <c r="F4367" s="2" t="s">
        <v>15442</v>
      </c>
      <c r="G4367" s="2" t="s">
        <v>15443</v>
      </c>
      <c r="H4367" s="2" t="s">
        <v>15455</v>
      </c>
    </row>
    <row r="4368">
      <c r="A4368" s="2">
        <v>4366.0</v>
      </c>
      <c r="B4368" s="5" t="s">
        <v>6437</v>
      </c>
      <c r="C4368" s="2" t="s">
        <v>6438</v>
      </c>
      <c r="D4368" s="5" t="s">
        <v>6437</v>
      </c>
      <c r="E4368" s="2" t="s">
        <v>15445</v>
      </c>
      <c r="F4368" s="2" t="s">
        <v>15446</v>
      </c>
      <c r="G4368" s="2" t="s">
        <v>15456</v>
      </c>
      <c r="H4368" s="2" t="s">
        <v>15444</v>
      </c>
    </row>
    <row r="4369">
      <c r="A4369" s="2">
        <v>4367.0</v>
      </c>
      <c r="B4369" s="5" t="s">
        <v>13633</v>
      </c>
      <c r="C4369" s="2" t="s">
        <v>13634</v>
      </c>
      <c r="D4369" s="5" t="s">
        <v>13633</v>
      </c>
      <c r="E4369" s="2" t="s">
        <v>15441</v>
      </c>
      <c r="F4369" s="2" t="s">
        <v>15446</v>
      </c>
      <c r="G4369" s="2" t="s">
        <v>15456</v>
      </c>
      <c r="H4369" s="2" t="s">
        <v>15457</v>
      </c>
    </row>
    <row r="4370">
      <c r="A4370" s="2">
        <v>4368.0</v>
      </c>
      <c r="B4370" s="5" t="s">
        <v>13635</v>
      </c>
      <c r="C4370" s="2" t="s">
        <v>13636</v>
      </c>
      <c r="D4370" s="5" t="s">
        <v>13635</v>
      </c>
      <c r="E4370" s="2" t="s">
        <v>15441</v>
      </c>
      <c r="F4370" s="2" t="s">
        <v>15446</v>
      </c>
      <c r="G4370" s="2" t="s">
        <v>15456</v>
      </c>
      <c r="H4370" s="2" t="s">
        <v>15444</v>
      </c>
    </row>
    <row r="4371">
      <c r="A4371" s="2">
        <v>4369.0</v>
      </c>
      <c r="B4371" s="5" t="s">
        <v>6440</v>
      </c>
      <c r="C4371" s="2" t="s">
        <v>6441</v>
      </c>
      <c r="D4371" s="5" t="s">
        <v>6440</v>
      </c>
      <c r="E4371" s="2" t="s">
        <v>15445</v>
      </c>
      <c r="F4371" s="2" t="s">
        <v>15446</v>
      </c>
      <c r="G4371" s="2" t="s">
        <v>15443</v>
      </c>
      <c r="H4371" s="2" t="s">
        <v>15444</v>
      </c>
    </row>
    <row r="4372">
      <c r="A4372" s="2">
        <v>4370.0</v>
      </c>
      <c r="B4372" s="5" t="s">
        <v>6443</v>
      </c>
      <c r="C4372" s="2" t="s">
        <v>6444</v>
      </c>
      <c r="D4372" s="5" t="s">
        <v>6443</v>
      </c>
      <c r="E4372" s="2" t="s">
        <v>15445</v>
      </c>
      <c r="F4372" s="2" t="s">
        <v>15442</v>
      </c>
      <c r="G4372" s="2" t="s">
        <v>15443</v>
      </c>
      <c r="H4372" s="2" t="s">
        <v>15444</v>
      </c>
    </row>
    <row r="4373">
      <c r="A4373" s="2">
        <v>4371.0</v>
      </c>
      <c r="B4373" s="5" t="s">
        <v>13637</v>
      </c>
      <c r="C4373" s="2" t="s">
        <v>13638</v>
      </c>
      <c r="D4373" s="5" t="s">
        <v>13637</v>
      </c>
      <c r="E4373" s="2" t="s">
        <v>15441</v>
      </c>
      <c r="F4373" s="2" t="s">
        <v>15442</v>
      </c>
      <c r="G4373" s="2" t="s">
        <v>15443</v>
      </c>
      <c r="H4373" s="2" t="s">
        <v>15444</v>
      </c>
    </row>
    <row r="4374">
      <c r="A4374" s="2">
        <v>4372.0</v>
      </c>
      <c r="B4374" s="5" t="s">
        <v>13639</v>
      </c>
      <c r="C4374" s="2" t="s">
        <v>13640</v>
      </c>
      <c r="D4374" s="5" t="s">
        <v>13639</v>
      </c>
      <c r="E4374" s="2" t="s">
        <v>15441</v>
      </c>
      <c r="F4374" s="2" t="s">
        <v>15442</v>
      </c>
      <c r="G4374" s="2" t="s">
        <v>15443</v>
      </c>
      <c r="H4374" s="2" t="s">
        <v>15444</v>
      </c>
    </row>
    <row r="4375">
      <c r="A4375" s="2">
        <v>4373.0</v>
      </c>
      <c r="B4375" s="5" t="s">
        <v>13641</v>
      </c>
      <c r="C4375" s="2" t="s">
        <v>13642</v>
      </c>
      <c r="D4375" s="5" t="s">
        <v>13641</v>
      </c>
      <c r="E4375" s="2" t="s">
        <v>15441</v>
      </c>
      <c r="F4375" s="2" t="s">
        <v>15442</v>
      </c>
      <c r="G4375" s="2" t="s">
        <v>15456</v>
      </c>
      <c r="H4375" s="2" t="s">
        <v>15444</v>
      </c>
    </row>
    <row r="4376">
      <c r="A4376" s="2">
        <v>4374.0</v>
      </c>
      <c r="B4376" s="5" t="s">
        <v>6446</v>
      </c>
      <c r="C4376" s="2" t="s">
        <v>6447</v>
      </c>
      <c r="D4376" s="5" t="s">
        <v>6446</v>
      </c>
      <c r="E4376" s="2" t="s">
        <v>15445</v>
      </c>
      <c r="F4376" s="2" t="s">
        <v>15446</v>
      </c>
      <c r="G4376" s="2" t="s">
        <v>15456</v>
      </c>
      <c r="H4376" s="2" t="s">
        <v>15444</v>
      </c>
    </row>
    <row r="4377">
      <c r="A4377" s="2">
        <v>4375.0</v>
      </c>
      <c r="B4377" s="5" t="s">
        <v>6449</v>
      </c>
      <c r="C4377" s="2" t="s">
        <v>6450</v>
      </c>
      <c r="D4377" s="5" t="s">
        <v>6449</v>
      </c>
      <c r="E4377" s="2" t="s">
        <v>15445</v>
      </c>
      <c r="F4377" s="2" t="s">
        <v>15442</v>
      </c>
      <c r="G4377" s="2" t="s">
        <v>15443</v>
      </c>
      <c r="H4377" s="2" t="s">
        <v>15444</v>
      </c>
    </row>
    <row r="4378">
      <c r="A4378" s="2">
        <v>4376.0</v>
      </c>
      <c r="B4378" s="5" t="s">
        <v>13643</v>
      </c>
      <c r="C4378" s="2" t="s">
        <v>13644</v>
      </c>
      <c r="D4378" s="5" t="s">
        <v>13643</v>
      </c>
      <c r="E4378" s="2" t="s">
        <v>15441</v>
      </c>
      <c r="F4378" s="2" t="s">
        <v>15446</v>
      </c>
      <c r="G4378" s="2" t="s">
        <v>15443</v>
      </c>
      <c r="H4378" s="2" t="s">
        <v>15444</v>
      </c>
    </row>
    <row r="4379">
      <c r="A4379" s="2">
        <v>4377.0</v>
      </c>
      <c r="B4379" s="5" t="s">
        <v>6452</v>
      </c>
      <c r="C4379" s="2" t="s">
        <v>6453</v>
      </c>
      <c r="D4379" s="5" t="s">
        <v>6452</v>
      </c>
      <c r="E4379" s="2" t="s">
        <v>15445</v>
      </c>
      <c r="F4379" s="2" t="s">
        <v>15442</v>
      </c>
      <c r="G4379" s="2" t="s">
        <v>15443</v>
      </c>
      <c r="H4379" s="2" t="s">
        <v>15444</v>
      </c>
    </row>
    <row r="4380">
      <c r="A4380" s="2">
        <v>4378.0</v>
      </c>
      <c r="B4380" s="5" t="s">
        <v>13645</v>
      </c>
      <c r="C4380" s="2" t="s">
        <v>13646</v>
      </c>
      <c r="D4380" s="5" t="s">
        <v>13645</v>
      </c>
      <c r="E4380" s="2" t="s">
        <v>15441</v>
      </c>
      <c r="F4380" s="2" t="s">
        <v>15446</v>
      </c>
      <c r="G4380" s="2" t="s">
        <v>15456</v>
      </c>
      <c r="H4380" s="2" t="s">
        <v>15444</v>
      </c>
    </row>
    <row r="4381">
      <c r="A4381" s="2">
        <v>4379.0</v>
      </c>
      <c r="B4381" s="5" t="s">
        <v>6455</v>
      </c>
      <c r="C4381" s="2" t="s">
        <v>6456</v>
      </c>
      <c r="D4381" s="5" t="s">
        <v>6455</v>
      </c>
      <c r="E4381" s="2" t="s">
        <v>15445</v>
      </c>
      <c r="F4381" s="2" t="s">
        <v>15446</v>
      </c>
      <c r="G4381" s="2" t="s">
        <v>15456</v>
      </c>
      <c r="H4381" s="2" t="s">
        <v>15444</v>
      </c>
    </row>
    <row r="4382">
      <c r="A4382" s="2">
        <v>4380.0</v>
      </c>
      <c r="B4382" s="5" t="s">
        <v>6458</v>
      </c>
      <c r="C4382" s="2" t="s">
        <v>6459</v>
      </c>
      <c r="D4382" s="5" t="s">
        <v>6458</v>
      </c>
      <c r="E4382" s="2" t="s">
        <v>15445</v>
      </c>
      <c r="F4382" s="2" t="s">
        <v>15442</v>
      </c>
      <c r="G4382" s="2" t="s">
        <v>15443</v>
      </c>
      <c r="H4382" s="2" t="s">
        <v>15444</v>
      </c>
    </row>
    <row r="4383">
      <c r="A4383" s="2">
        <v>4381.0</v>
      </c>
      <c r="B4383" s="5" t="s">
        <v>6461</v>
      </c>
      <c r="C4383" s="2" t="s">
        <v>6462</v>
      </c>
      <c r="D4383" s="5" t="s">
        <v>6461</v>
      </c>
      <c r="E4383" s="2" t="s">
        <v>15445</v>
      </c>
      <c r="F4383" s="2" t="s">
        <v>15446</v>
      </c>
      <c r="G4383" s="2" t="s">
        <v>15456</v>
      </c>
      <c r="H4383" s="2" t="s">
        <v>15444</v>
      </c>
    </row>
    <row r="4384">
      <c r="A4384" s="2">
        <v>4382.0</v>
      </c>
      <c r="B4384" s="5" t="s">
        <v>6464</v>
      </c>
      <c r="C4384" s="2" t="s">
        <v>6465</v>
      </c>
      <c r="D4384" s="5" t="s">
        <v>6464</v>
      </c>
      <c r="E4384" s="2" t="s">
        <v>15445</v>
      </c>
      <c r="F4384" s="2" t="s">
        <v>15442</v>
      </c>
      <c r="G4384" s="2" t="s">
        <v>15443</v>
      </c>
      <c r="H4384" s="2" t="s">
        <v>15444</v>
      </c>
    </row>
    <row r="4385">
      <c r="A4385" s="2">
        <v>4383.0</v>
      </c>
      <c r="B4385" s="5" t="s">
        <v>13647</v>
      </c>
      <c r="C4385" s="2" t="s">
        <v>13648</v>
      </c>
      <c r="D4385" s="5" t="s">
        <v>13647</v>
      </c>
      <c r="E4385" s="2" t="s">
        <v>15441</v>
      </c>
      <c r="F4385" s="2" t="s">
        <v>15442</v>
      </c>
      <c r="G4385" s="2" t="s">
        <v>15456</v>
      </c>
      <c r="H4385" s="2" t="s">
        <v>15444</v>
      </c>
    </row>
    <row r="4386">
      <c r="A4386" s="2">
        <v>4384.0</v>
      </c>
      <c r="B4386" s="5" t="s">
        <v>6467</v>
      </c>
      <c r="C4386" s="2" t="s">
        <v>6468</v>
      </c>
      <c r="D4386" s="5" t="s">
        <v>6467</v>
      </c>
      <c r="E4386" s="2" t="s">
        <v>15445</v>
      </c>
      <c r="F4386" s="2" t="s">
        <v>15442</v>
      </c>
      <c r="G4386" s="2" t="s">
        <v>15443</v>
      </c>
      <c r="H4386" s="2" t="s">
        <v>15444</v>
      </c>
    </row>
    <row r="4387">
      <c r="A4387" s="2">
        <v>4385.0</v>
      </c>
      <c r="B4387" s="5" t="s">
        <v>6470</v>
      </c>
      <c r="C4387" s="2" t="s">
        <v>6471</v>
      </c>
      <c r="D4387" s="5" t="s">
        <v>6470</v>
      </c>
      <c r="E4387" s="2" t="s">
        <v>15445</v>
      </c>
      <c r="F4387" s="2" t="s">
        <v>15442</v>
      </c>
      <c r="G4387" s="2" t="s">
        <v>15443</v>
      </c>
      <c r="H4387" s="2" t="s">
        <v>15444</v>
      </c>
    </row>
    <row r="4388">
      <c r="A4388" s="2">
        <v>4386.0</v>
      </c>
      <c r="B4388" s="5" t="s">
        <v>13649</v>
      </c>
      <c r="C4388" s="2" t="s">
        <v>13650</v>
      </c>
      <c r="D4388" s="5" t="s">
        <v>13649</v>
      </c>
      <c r="E4388" s="2" t="s">
        <v>15441</v>
      </c>
      <c r="F4388" s="2" t="s">
        <v>15446</v>
      </c>
      <c r="G4388" s="2" t="s">
        <v>15456</v>
      </c>
      <c r="H4388" s="2" t="s">
        <v>15444</v>
      </c>
    </row>
    <row r="4389">
      <c r="A4389" s="2">
        <v>4387.0</v>
      </c>
      <c r="B4389" s="5" t="s">
        <v>13651</v>
      </c>
      <c r="C4389" s="2" t="s">
        <v>13652</v>
      </c>
      <c r="D4389" s="5" t="s">
        <v>13651</v>
      </c>
      <c r="E4389" s="2" t="s">
        <v>15441</v>
      </c>
      <c r="F4389" s="2" t="s">
        <v>15442</v>
      </c>
      <c r="G4389" s="2" t="s">
        <v>15443</v>
      </c>
      <c r="H4389" s="2" t="s">
        <v>15444</v>
      </c>
    </row>
    <row r="4390">
      <c r="A4390" s="2">
        <v>4388.0</v>
      </c>
      <c r="B4390" s="5" t="s">
        <v>6473</v>
      </c>
      <c r="C4390" s="2" t="s">
        <v>6474</v>
      </c>
      <c r="D4390" s="5" t="s">
        <v>6473</v>
      </c>
      <c r="E4390" s="2" t="s">
        <v>15445</v>
      </c>
      <c r="F4390" s="2" t="s">
        <v>15446</v>
      </c>
      <c r="G4390" s="2" t="s">
        <v>15456</v>
      </c>
      <c r="H4390" s="2" t="s">
        <v>15444</v>
      </c>
    </row>
    <row r="4391">
      <c r="A4391" s="2">
        <v>4389.0</v>
      </c>
      <c r="B4391" s="5" t="s">
        <v>6476</v>
      </c>
      <c r="C4391" s="2" t="s">
        <v>6477</v>
      </c>
      <c r="D4391" s="5" t="s">
        <v>6476</v>
      </c>
      <c r="E4391" s="2" t="s">
        <v>15445</v>
      </c>
      <c r="F4391" s="2" t="s">
        <v>15446</v>
      </c>
      <c r="G4391" s="2" t="s">
        <v>15456</v>
      </c>
      <c r="H4391" s="2" t="s">
        <v>15457</v>
      </c>
    </row>
    <row r="4392">
      <c r="A4392" s="2">
        <v>4390.0</v>
      </c>
      <c r="B4392" s="5" t="s">
        <v>6479</v>
      </c>
      <c r="C4392" s="2" t="s">
        <v>6480</v>
      </c>
      <c r="D4392" s="5" t="s">
        <v>6479</v>
      </c>
      <c r="E4392" s="2" t="s">
        <v>15445</v>
      </c>
      <c r="F4392" s="2" t="s">
        <v>15442</v>
      </c>
      <c r="G4392" s="2" t="s">
        <v>15443</v>
      </c>
      <c r="H4392" s="2" t="s">
        <v>15444</v>
      </c>
    </row>
    <row r="4393">
      <c r="A4393" s="2">
        <v>4391.0</v>
      </c>
      <c r="B4393" s="5" t="s">
        <v>13653</v>
      </c>
      <c r="C4393" s="2" t="s">
        <v>13654</v>
      </c>
      <c r="D4393" s="5" t="s">
        <v>13653</v>
      </c>
      <c r="E4393" s="2" t="s">
        <v>15441</v>
      </c>
      <c r="F4393" s="2" t="s">
        <v>15442</v>
      </c>
      <c r="G4393" s="2" t="s">
        <v>15443</v>
      </c>
      <c r="H4393" s="2" t="s">
        <v>15444</v>
      </c>
    </row>
    <row r="4394">
      <c r="A4394" s="2">
        <v>4392.0</v>
      </c>
      <c r="B4394" s="5" t="s">
        <v>13655</v>
      </c>
      <c r="C4394" s="2" t="s">
        <v>13656</v>
      </c>
      <c r="D4394" s="5" t="s">
        <v>13655</v>
      </c>
      <c r="E4394" s="2" t="s">
        <v>15441</v>
      </c>
      <c r="F4394" s="2" t="s">
        <v>15442</v>
      </c>
      <c r="G4394" s="2" t="s">
        <v>15443</v>
      </c>
      <c r="H4394" s="2" t="s">
        <v>15444</v>
      </c>
    </row>
    <row r="4395">
      <c r="A4395" s="2">
        <v>4393.0</v>
      </c>
      <c r="B4395" s="5" t="s">
        <v>15575</v>
      </c>
      <c r="C4395" s="2" t="s">
        <v>15576</v>
      </c>
      <c r="D4395" s="5" t="s">
        <v>15575</v>
      </c>
      <c r="E4395" s="2" t="s">
        <v>15445</v>
      </c>
      <c r="F4395" s="2" t="s">
        <v>15446</v>
      </c>
      <c r="G4395" s="2" t="s">
        <v>15456</v>
      </c>
      <c r="H4395" s="2" t="s">
        <v>15457</v>
      </c>
    </row>
    <row r="4396">
      <c r="A4396" s="2">
        <v>4394.0</v>
      </c>
      <c r="B4396" s="5" t="s">
        <v>13657</v>
      </c>
      <c r="C4396" s="2" t="s">
        <v>13658</v>
      </c>
      <c r="D4396" s="5" t="s">
        <v>13657</v>
      </c>
      <c r="E4396" s="2" t="s">
        <v>15441</v>
      </c>
      <c r="F4396" s="2" t="s">
        <v>15446</v>
      </c>
      <c r="G4396" s="2" t="s">
        <v>15456</v>
      </c>
      <c r="H4396" s="2" t="s">
        <v>15444</v>
      </c>
    </row>
    <row r="4397">
      <c r="A4397" s="2">
        <v>4395.0</v>
      </c>
      <c r="B4397" s="5" t="s">
        <v>6482</v>
      </c>
      <c r="C4397" s="2" t="s">
        <v>6483</v>
      </c>
      <c r="D4397" s="5" t="s">
        <v>6482</v>
      </c>
      <c r="E4397" s="2" t="s">
        <v>15445</v>
      </c>
      <c r="F4397" s="2" t="s">
        <v>15446</v>
      </c>
      <c r="G4397" s="2" t="s">
        <v>15443</v>
      </c>
      <c r="H4397" s="2" t="s">
        <v>15444</v>
      </c>
    </row>
    <row r="4398">
      <c r="A4398" s="2">
        <v>4396.0</v>
      </c>
      <c r="B4398" s="5" t="s">
        <v>13659</v>
      </c>
      <c r="C4398" s="2" t="s">
        <v>13660</v>
      </c>
      <c r="D4398" s="5" t="s">
        <v>13659</v>
      </c>
      <c r="E4398" s="2" t="s">
        <v>15441</v>
      </c>
      <c r="F4398" s="2" t="s">
        <v>15446</v>
      </c>
      <c r="G4398" s="2" t="s">
        <v>15456</v>
      </c>
      <c r="H4398" s="2" t="s">
        <v>15444</v>
      </c>
    </row>
    <row r="4399">
      <c r="A4399" s="2">
        <v>4397.0</v>
      </c>
      <c r="B4399" s="5" t="s">
        <v>13661</v>
      </c>
      <c r="C4399" s="2" t="s">
        <v>13662</v>
      </c>
      <c r="D4399" s="5" t="s">
        <v>13661</v>
      </c>
      <c r="E4399" s="2" t="s">
        <v>15441</v>
      </c>
      <c r="F4399" s="2" t="s">
        <v>15446</v>
      </c>
      <c r="G4399" s="2" t="s">
        <v>15443</v>
      </c>
      <c r="H4399" s="2" t="s">
        <v>15444</v>
      </c>
    </row>
    <row r="4400">
      <c r="A4400" s="2">
        <v>4398.0</v>
      </c>
      <c r="B4400" s="5" t="s">
        <v>6485</v>
      </c>
      <c r="C4400" s="2" t="s">
        <v>6486</v>
      </c>
      <c r="D4400" s="5" t="s">
        <v>6485</v>
      </c>
      <c r="E4400" s="2" t="s">
        <v>15445</v>
      </c>
      <c r="F4400" s="2" t="s">
        <v>15442</v>
      </c>
      <c r="G4400" s="2" t="s">
        <v>15456</v>
      </c>
      <c r="H4400" s="2" t="s">
        <v>15444</v>
      </c>
    </row>
    <row r="4401">
      <c r="A4401" s="2">
        <v>4399.0</v>
      </c>
      <c r="B4401" s="5" t="s">
        <v>6488</v>
      </c>
      <c r="C4401" s="2" t="s">
        <v>6489</v>
      </c>
      <c r="D4401" s="5" t="s">
        <v>6488</v>
      </c>
      <c r="E4401" s="2" t="s">
        <v>15445</v>
      </c>
      <c r="F4401" s="2" t="s">
        <v>15442</v>
      </c>
      <c r="G4401" s="2" t="s">
        <v>15443</v>
      </c>
      <c r="H4401" s="2" t="s">
        <v>15444</v>
      </c>
    </row>
    <row r="4402">
      <c r="A4402" s="2">
        <v>4400.0</v>
      </c>
      <c r="B4402" s="5" t="s">
        <v>13663</v>
      </c>
      <c r="C4402" s="2" t="s">
        <v>13664</v>
      </c>
      <c r="D4402" s="5" t="s">
        <v>13663</v>
      </c>
      <c r="E4402" s="2" t="s">
        <v>15441</v>
      </c>
      <c r="F4402" s="2" t="s">
        <v>15442</v>
      </c>
      <c r="G4402" s="2" t="s">
        <v>15456</v>
      </c>
      <c r="H4402" s="2" t="s">
        <v>15444</v>
      </c>
    </row>
    <row r="4403">
      <c r="A4403" s="2">
        <v>4401.0</v>
      </c>
      <c r="B4403" s="5" t="s">
        <v>6491</v>
      </c>
      <c r="C4403" s="2" t="s">
        <v>6492</v>
      </c>
      <c r="D4403" s="5" t="s">
        <v>6491</v>
      </c>
      <c r="E4403" s="2" t="s">
        <v>15445</v>
      </c>
      <c r="F4403" s="2" t="s">
        <v>15446</v>
      </c>
      <c r="G4403" s="2" t="s">
        <v>15456</v>
      </c>
      <c r="H4403" s="2" t="s">
        <v>15444</v>
      </c>
    </row>
    <row r="4404">
      <c r="A4404" s="2">
        <v>4402.0</v>
      </c>
      <c r="B4404" s="5" t="s">
        <v>13665</v>
      </c>
      <c r="C4404" s="2" t="s">
        <v>13666</v>
      </c>
      <c r="D4404" s="5" t="s">
        <v>13665</v>
      </c>
      <c r="E4404" s="2" t="s">
        <v>15441</v>
      </c>
      <c r="F4404" s="2" t="s">
        <v>15446</v>
      </c>
      <c r="G4404" s="2" t="s">
        <v>15456</v>
      </c>
      <c r="H4404" s="2" t="s">
        <v>15444</v>
      </c>
    </row>
    <row r="4405">
      <c r="A4405" s="2">
        <v>4403.0</v>
      </c>
      <c r="B4405" s="5" t="s">
        <v>6494</v>
      </c>
      <c r="C4405" s="2" t="s">
        <v>6495</v>
      </c>
      <c r="D4405" s="5" t="s">
        <v>6494</v>
      </c>
      <c r="E4405" s="2" t="s">
        <v>15445</v>
      </c>
      <c r="F4405" s="2" t="s">
        <v>15446</v>
      </c>
      <c r="G4405" s="2" t="s">
        <v>15456</v>
      </c>
      <c r="H4405" s="2" t="s">
        <v>15444</v>
      </c>
    </row>
    <row r="4406">
      <c r="A4406" s="2">
        <v>4404.0</v>
      </c>
      <c r="B4406" s="5" t="s">
        <v>13667</v>
      </c>
      <c r="C4406" s="2" t="s">
        <v>13668</v>
      </c>
      <c r="D4406" s="5" t="s">
        <v>13667</v>
      </c>
      <c r="E4406" s="2" t="s">
        <v>15441</v>
      </c>
      <c r="F4406" s="2" t="s">
        <v>15446</v>
      </c>
      <c r="G4406" s="2" t="s">
        <v>15443</v>
      </c>
      <c r="H4406" s="2" t="s">
        <v>15444</v>
      </c>
    </row>
    <row r="4407">
      <c r="A4407" s="2">
        <v>4405.0</v>
      </c>
      <c r="B4407" s="5" t="s">
        <v>6497</v>
      </c>
      <c r="C4407" s="2" t="s">
        <v>6498</v>
      </c>
      <c r="D4407" s="5" t="s">
        <v>6497</v>
      </c>
      <c r="E4407" s="2" t="s">
        <v>15445</v>
      </c>
      <c r="F4407" s="2" t="s">
        <v>15442</v>
      </c>
      <c r="G4407" s="2" t="s">
        <v>15443</v>
      </c>
      <c r="H4407" s="2" t="s">
        <v>15444</v>
      </c>
    </row>
    <row r="4408">
      <c r="A4408" s="2">
        <v>4406.0</v>
      </c>
      <c r="B4408" s="5" t="s">
        <v>6500</v>
      </c>
      <c r="C4408" s="2" t="s">
        <v>6501</v>
      </c>
      <c r="D4408" s="5" t="s">
        <v>6500</v>
      </c>
      <c r="E4408" s="2" t="s">
        <v>15445</v>
      </c>
      <c r="F4408" s="2" t="s">
        <v>15446</v>
      </c>
      <c r="G4408" s="2" t="s">
        <v>15443</v>
      </c>
      <c r="H4408" s="2" t="s">
        <v>15455</v>
      </c>
    </row>
    <row r="4409">
      <c r="A4409" s="2">
        <v>4407.0</v>
      </c>
      <c r="B4409" s="5" t="s">
        <v>13669</v>
      </c>
      <c r="C4409" s="2" t="s">
        <v>13670</v>
      </c>
      <c r="D4409" s="5" t="s">
        <v>13669</v>
      </c>
      <c r="E4409" s="2" t="s">
        <v>15441</v>
      </c>
      <c r="F4409" s="2" t="s">
        <v>15446</v>
      </c>
      <c r="G4409" s="2" t="s">
        <v>15443</v>
      </c>
      <c r="H4409" s="2" t="s">
        <v>15444</v>
      </c>
    </row>
    <row r="4410">
      <c r="A4410" s="2">
        <v>4408.0</v>
      </c>
      <c r="B4410" s="5" t="s">
        <v>13671</v>
      </c>
      <c r="C4410" s="2" t="s">
        <v>13672</v>
      </c>
      <c r="D4410" s="5" t="s">
        <v>13671</v>
      </c>
      <c r="E4410" s="2" t="s">
        <v>15441</v>
      </c>
      <c r="F4410" s="2" t="s">
        <v>15446</v>
      </c>
      <c r="G4410" s="2" t="s">
        <v>15456</v>
      </c>
      <c r="H4410" s="2" t="s">
        <v>15457</v>
      </c>
    </row>
    <row r="4411">
      <c r="A4411" s="2">
        <v>4409.0</v>
      </c>
      <c r="B4411" s="5" t="s">
        <v>6503</v>
      </c>
      <c r="C4411" s="2" t="s">
        <v>6504</v>
      </c>
      <c r="D4411" s="5" t="s">
        <v>6503</v>
      </c>
      <c r="E4411" s="2" t="s">
        <v>15445</v>
      </c>
      <c r="F4411" s="2" t="s">
        <v>15442</v>
      </c>
      <c r="G4411" s="2" t="s">
        <v>15443</v>
      </c>
      <c r="H4411" s="2" t="s">
        <v>15444</v>
      </c>
    </row>
    <row r="4412">
      <c r="A4412" s="2">
        <v>4410.0</v>
      </c>
      <c r="B4412" s="5" t="s">
        <v>6506</v>
      </c>
      <c r="C4412" s="2" t="s">
        <v>6507</v>
      </c>
      <c r="D4412" s="5" t="s">
        <v>6506</v>
      </c>
      <c r="E4412" s="2" t="s">
        <v>15445</v>
      </c>
      <c r="F4412" s="2" t="s">
        <v>15442</v>
      </c>
      <c r="G4412" s="2" t="s">
        <v>15443</v>
      </c>
      <c r="H4412" s="2" t="s">
        <v>15444</v>
      </c>
    </row>
    <row r="4413">
      <c r="A4413" s="2">
        <v>4411.0</v>
      </c>
      <c r="B4413" s="5" t="s">
        <v>13673</v>
      </c>
      <c r="C4413" s="2" t="s">
        <v>13674</v>
      </c>
      <c r="D4413" s="5" t="s">
        <v>13673</v>
      </c>
      <c r="E4413" s="2" t="s">
        <v>15441</v>
      </c>
      <c r="F4413" s="2" t="s">
        <v>15442</v>
      </c>
      <c r="G4413" s="2" t="s">
        <v>15443</v>
      </c>
      <c r="H4413" s="2" t="s">
        <v>15457</v>
      </c>
    </row>
    <row r="4414">
      <c r="A4414" s="2">
        <v>4412.0</v>
      </c>
      <c r="B4414" s="5" t="s">
        <v>13675</v>
      </c>
      <c r="C4414" s="2" t="s">
        <v>13676</v>
      </c>
      <c r="D4414" s="5" t="s">
        <v>13675</v>
      </c>
      <c r="E4414" s="2" t="s">
        <v>15441</v>
      </c>
      <c r="F4414" s="2" t="s">
        <v>15442</v>
      </c>
      <c r="G4414" s="2" t="s">
        <v>15456</v>
      </c>
      <c r="H4414" s="2" t="s">
        <v>15455</v>
      </c>
    </row>
    <row r="4415">
      <c r="A4415" s="2">
        <v>4413.0</v>
      </c>
      <c r="B4415" s="5" t="s">
        <v>6509</v>
      </c>
      <c r="C4415" s="2" t="s">
        <v>6510</v>
      </c>
      <c r="D4415" s="5" t="s">
        <v>6509</v>
      </c>
      <c r="E4415" s="2" t="s">
        <v>15445</v>
      </c>
      <c r="F4415" s="2" t="s">
        <v>15446</v>
      </c>
      <c r="G4415" s="2" t="s">
        <v>15443</v>
      </c>
      <c r="H4415" s="2" t="s">
        <v>15444</v>
      </c>
    </row>
    <row r="4416">
      <c r="A4416" s="2">
        <v>4414.0</v>
      </c>
      <c r="B4416" s="5" t="s">
        <v>6512</v>
      </c>
      <c r="C4416" s="2" t="s">
        <v>6513</v>
      </c>
      <c r="D4416" s="5" t="s">
        <v>6512</v>
      </c>
      <c r="E4416" s="2" t="s">
        <v>15445</v>
      </c>
      <c r="F4416" s="2" t="s">
        <v>15446</v>
      </c>
      <c r="G4416" s="2" t="s">
        <v>15443</v>
      </c>
      <c r="H4416" s="2" t="s">
        <v>15444</v>
      </c>
    </row>
    <row r="4417">
      <c r="A4417" s="2">
        <v>4415.0</v>
      </c>
      <c r="B4417" s="5" t="s">
        <v>6515</v>
      </c>
      <c r="C4417" s="2" t="s">
        <v>6516</v>
      </c>
      <c r="D4417" s="5" t="s">
        <v>6515</v>
      </c>
      <c r="E4417" s="2" t="s">
        <v>15445</v>
      </c>
      <c r="F4417" s="2" t="s">
        <v>15442</v>
      </c>
      <c r="G4417" s="2" t="s">
        <v>15456</v>
      </c>
      <c r="H4417" s="2" t="s">
        <v>15444</v>
      </c>
    </row>
    <row r="4418">
      <c r="A4418" s="2">
        <v>4416.0</v>
      </c>
      <c r="B4418" s="5" t="s">
        <v>13677</v>
      </c>
      <c r="C4418" s="2" t="s">
        <v>13678</v>
      </c>
      <c r="D4418" s="5" t="s">
        <v>13677</v>
      </c>
      <c r="E4418" s="2" t="s">
        <v>15441</v>
      </c>
      <c r="F4418" s="2" t="s">
        <v>15442</v>
      </c>
      <c r="G4418" s="2" t="s">
        <v>15443</v>
      </c>
      <c r="H4418" s="2" t="s">
        <v>15444</v>
      </c>
    </row>
    <row r="4419">
      <c r="A4419" s="2">
        <v>4417.0</v>
      </c>
      <c r="B4419" s="5" t="s">
        <v>6518</v>
      </c>
      <c r="C4419" s="2" t="s">
        <v>6519</v>
      </c>
      <c r="D4419" s="5" t="s">
        <v>6518</v>
      </c>
      <c r="E4419" s="2" t="s">
        <v>15445</v>
      </c>
      <c r="F4419" s="2" t="s">
        <v>15442</v>
      </c>
      <c r="G4419" s="2" t="s">
        <v>15443</v>
      </c>
      <c r="H4419" s="2" t="s">
        <v>15444</v>
      </c>
    </row>
    <row r="4420">
      <c r="A4420" s="2">
        <v>4418.0</v>
      </c>
      <c r="B4420" s="5" t="s">
        <v>13679</v>
      </c>
      <c r="C4420" s="2" t="s">
        <v>13680</v>
      </c>
      <c r="D4420" s="5" t="s">
        <v>13679</v>
      </c>
      <c r="E4420" s="2" t="s">
        <v>15441</v>
      </c>
      <c r="F4420" s="2" t="s">
        <v>15446</v>
      </c>
      <c r="G4420" s="2" t="s">
        <v>15443</v>
      </c>
      <c r="H4420" s="2" t="s">
        <v>15461</v>
      </c>
    </row>
    <row r="4421">
      <c r="A4421" s="2">
        <v>4419.0</v>
      </c>
      <c r="B4421" s="5" t="s">
        <v>13681</v>
      </c>
      <c r="C4421" s="2" t="s">
        <v>13682</v>
      </c>
      <c r="D4421" s="5" t="s">
        <v>13681</v>
      </c>
      <c r="E4421" s="2" t="s">
        <v>15441</v>
      </c>
      <c r="F4421" s="2" t="s">
        <v>15442</v>
      </c>
      <c r="G4421" s="2" t="s">
        <v>15443</v>
      </c>
      <c r="H4421" s="2" t="s">
        <v>15444</v>
      </c>
    </row>
    <row r="4422">
      <c r="A4422" s="2">
        <v>4420.0</v>
      </c>
      <c r="B4422" s="5" t="s">
        <v>6521</v>
      </c>
      <c r="C4422" s="2" t="s">
        <v>6522</v>
      </c>
      <c r="D4422" s="5" t="s">
        <v>6521</v>
      </c>
      <c r="E4422" s="2" t="s">
        <v>15445</v>
      </c>
      <c r="F4422" s="2" t="s">
        <v>15446</v>
      </c>
      <c r="G4422" s="2" t="s">
        <v>15456</v>
      </c>
      <c r="H4422" s="2" t="s">
        <v>15444</v>
      </c>
    </row>
    <row r="4423">
      <c r="A4423" s="2">
        <v>4421.0</v>
      </c>
      <c r="B4423" s="5" t="s">
        <v>6524</v>
      </c>
      <c r="C4423" s="2" t="s">
        <v>6525</v>
      </c>
      <c r="D4423" s="5" t="s">
        <v>6524</v>
      </c>
      <c r="E4423" s="2" t="s">
        <v>15445</v>
      </c>
      <c r="F4423" s="2" t="s">
        <v>15446</v>
      </c>
      <c r="G4423" s="2" t="s">
        <v>15456</v>
      </c>
      <c r="H4423" s="2" t="s">
        <v>15444</v>
      </c>
    </row>
    <row r="4424">
      <c r="A4424" s="2">
        <v>4422.0</v>
      </c>
      <c r="B4424" s="5" t="s">
        <v>13683</v>
      </c>
      <c r="C4424" s="2" t="s">
        <v>13684</v>
      </c>
      <c r="D4424" s="5" t="s">
        <v>13683</v>
      </c>
      <c r="E4424" s="2" t="s">
        <v>15441</v>
      </c>
      <c r="F4424" s="2" t="s">
        <v>15446</v>
      </c>
      <c r="G4424" s="2" t="s">
        <v>15456</v>
      </c>
      <c r="H4424" s="2" t="s">
        <v>15444</v>
      </c>
    </row>
    <row r="4425">
      <c r="A4425" s="2">
        <v>4423.0</v>
      </c>
      <c r="B4425" s="5" t="s">
        <v>6527</v>
      </c>
      <c r="C4425" s="2" t="s">
        <v>6528</v>
      </c>
      <c r="D4425" s="5" t="s">
        <v>6527</v>
      </c>
      <c r="E4425" s="2" t="s">
        <v>15445</v>
      </c>
      <c r="F4425" s="2" t="s">
        <v>15446</v>
      </c>
      <c r="G4425" s="2" t="s">
        <v>15456</v>
      </c>
      <c r="H4425" s="2" t="s">
        <v>15444</v>
      </c>
    </row>
    <row r="4426">
      <c r="A4426" s="2">
        <v>4424.0</v>
      </c>
      <c r="B4426" s="5" t="s">
        <v>6530</v>
      </c>
      <c r="C4426" s="2" t="s">
        <v>6531</v>
      </c>
      <c r="D4426" s="5" t="s">
        <v>6530</v>
      </c>
      <c r="E4426" s="2" t="s">
        <v>15445</v>
      </c>
      <c r="F4426" s="2" t="s">
        <v>15446</v>
      </c>
      <c r="G4426" s="2" t="s">
        <v>15456</v>
      </c>
      <c r="H4426" s="2" t="s">
        <v>15444</v>
      </c>
    </row>
    <row r="4427">
      <c r="A4427" s="2">
        <v>4425.0</v>
      </c>
      <c r="B4427" s="5" t="s">
        <v>6533</v>
      </c>
      <c r="C4427" s="2" t="s">
        <v>6534</v>
      </c>
      <c r="D4427" s="5" t="s">
        <v>6533</v>
      </c>
      <c r="E4427" s="2" t="s">
        <v>15445</v>
      </c>
      <c r="F4427" s="2" t="s">
        <v>15442</v>
      </c>
      <c r="G4427" s="2" t="s">
        <v>15443</v>
      </c>
      <c r="H4427" s="2" t="s">
        <v>15461</v>
      </c>
    </row>
    <row r="4428">
      <c r="A4428" s="2">
        <v>4426.0</v>
      </c>
      <c r="B4428" s="5" t="s">
        <v>13685</v>
      </c>
      <c r="C4428" s="2" t="s">
        <v>13686</v>
      </c>
      <c r="D4428" s="5" t="s">
        <v>13685</v>
      </c>
      <c r="E4428" s="2" t="s">
        <v>15441</v>
      </c>
      <c r="F4428" s="2" t="s">
        <v>15446</v>
      </c>
      <c r="G4428" s="2" t="s">
        <v>15443</v>
      </c>
      <c r="H4428" s="2" t="s">
        <v>15444</v>
      </c>
    </row>
    <row r="4429">
      <c r="A4429" s="2">
        <v>4427.0</v>
      </c>
      <c r="B4429" s="5" t="s">
        <v>13687</v>
      </c>
      <c r="C4429" s="2" t="s">
        <v>13688</v>
      </c>
      <c r="D4429" s="5" t="s">
        <v>13687</v>
      </c>
      <c r="E4429" s="2" t="s">
        <v>15441</v>
      </c>
      <c r="F4429" s="2" t="s">
        <v>15446</v>
      </c>
      <c r="G4429" s="2" t="s">
        <v>15456</v>
      </c>
      <c r="H4429" s="2" t="s">
        <v>15455</v>
      </c>
    </row>
    <row r="4430">
      <c r="A4430" s="2">
        <v>4428.0</v>
      </c>
      <c r="B4430" s="5" t="s">
        <v>6536</v>
      </c>
      <c r="C4430" s="2" t="s">
        <v>6537</v>
      </c>
      <c r="D4430" s="5" t="s">
        <v>6536</v>
      </c>
      <c r="E4430" s="2" t="s">
        <v>15445</v>
      </c>
      <c r="F4430" s="2" t="s">
        <v>15442</v>
      </c>
      <c r="G4430" s="2" t="s">
        <v>15456</v>
      </c>
      <c r="H4430" s="2" t="s">
        <v>15444</v>
      </c>
    </row>
    <row r="4431">
      <c r="A4431" s="2">
        <v>4429.0</v>
      </c>
      <c r="B4431" s="5" t="s">
        <v>13689</v>
      </c>
      <c r="C4431" s="2" t="s">
        <v>13690</v>
      </c>
      <c r="D4431" s="5" t="s">
        <v>13689</v>
      </c>
      <c r="E4431" s="2" t="s">
        <v>15441</v>
      </c>
      <c r="F4431" s="2" t="s">
        <v>15442</v>
      </c>
      <c r="G4431" s="2" t="s">
        <v>15443</v>
      </c>
      <c r="H4431" s="2" t="s">
        <v>15444</v>
      </c>
    </row>
    <row r="4432">
      <c r="A4432" s="2">
        <v>4430.0</v>
      </c>
      <c r="B4432" s="5" t="s">
        <v>6539</v>
      </c>
      <c r="C4432" s="2" t="s">
        <v>6540</v>
      </c>
      <c r="D4432" s="5" t="s">
        <v>6539</v>
      </c>
      <c r="E4432" s="2" t="s">
        <v>15445</v>
      </c>
      <c r="F4432" s="2" t="s">
        <v>15446</v>
      </c>
      <c r="G4432" s="2" t="s">
        <v>15456</v>
      </c>
      <c r="H4432" s="2" t="s">
        <v>15444</v>
      </c>
    </row>
    <row r="4433">
      <c r="A4433" s="2">
        <v>4431.0</v>
      </c>
      <c r="B4433" s="5" t="s">
        <v>6542</v>
      </c>
      <c r="C4433" s="2" t="s">
        <v>6543</v>
      </c>
      <c r="D4433" s="5" t="s">
        <v>6542</v>
      </c>
      <c r="E4433" s="2" t="s">
        <v>15445</v>
      </c>
      <c r="F4433" s="2" t="s">
        <v>15442</v>
      </c>
      <c r="G4433" s="2" t="s">
        <v>15443</v>
      </c>
      <c r="H4433" s="2" t="s">
        <v>15444</v>
      </c>
    </row>
    <row r="4434">
      <c r="A4434" s="2">
        <v>4432.0</v>
      </c>
      <c r="B4434" s="5" t="s">
        <v>13691</v>
      </c>
      <c r="C4434" s="2" t="s">
        <v>13692</v>
      </c>
      <c r="D4434" s="5" t="s">
        <v>13691</v>
      </c>
      <c r="E4434" s="2" t="s">
        <v>15441</v>
      </c>
      <c r="F4434" s="2" t="s">
        <v>15446</v>
      </c>
      <c r="G4434" s="2" t="s">
        <v>15456</v>
      </c>
      <c r="H4434" s="2" t="s">
        <v>15462</v>
      </c>
    </row>
    <row r="4435">
      <c r="A4435" s="2">
        <v>4433.0</v>
      </c>
      <c r="B4435" s="5" t="s">
        <v>6545</v>
      </c>
      <c r="C4435" s="2" t="s">
        <v>6546</v>
      </c>
      <c r="D4435" s="5" t="s">
        <v>6545</v>
      </c>
      <c r="E4435" s="2" t="s">
        <v>15445</v>
      </c>
      <c r="F4435" s="2" t="s">
        <v>15446</v>
      </c>
      <c r="G4435" s="2" t="s">
        <v>15456</v>
      </c>
      <c r="H4435" s="2" t="s">
        <v>15444</v>
      </c>
    </row>
    <row r="4436">
      <c r="A4436" s="2">
        <v>4434.0</v>
      </c>
      <c r="B4436" s="5" t="s">
        <v>6548</v>
      </c>
      <c r="C4436" s="2" t="s">
        <v>6549</v>
      </c>
      <c r="D4436" s="5" t="s">
        <v>6548</v>
      </c>
      <c r="E4436" s="2" t="s">
        <v>15445</v>
      </c>
      <c r="F4436" s="2" t="s">
        <v>15446</v>
      </c>
      <c r="G4436" s="2" t="s">
        <v>15456</v>
      </c>
      <c r="H4436" s="2" t="s">
        <v>15444</v>
      </c>
    </row>
    <row r="4437">
      <c r="A4437" s="2">
        <v>4435.0</v>
      </c>
      <c r="B4437" s="5" t="s">
        <v>6551</v>
      </c>
      <c r="C4437" s="2" t="s">
        <v>6552</v>
      </c>
      <c r="D4437" s="5" t="s">
        <v>6551</v>
      </c>
      <c r="E4437" s="2" t="s">
        <v>15445</v>
      </c>
      <c r="F4437" s="2" t="s">
        <v>15446</v>
      </c>
      <c r="G4437" s="2" t="s">
        <v>15456</v>
      </c>
      <c r="H4437" s="2" t="s">
        <v>15457</v>
      </c>
    </row>
    <row r="4438">
      <c r="A4438" s="2">
        <v>4436.0</v>
      </c>
      <c r="B4438" s="5" t="s">
        <v>13693</v>
      </c>
      <c r="C4438" s="2" t="s">
        <v>13694</v>
      </c>
      <c r="D4438" s="5" t="s">
        <v>13693</v>
      </c>
      <c r="E4438" s="2" t="s">
        <v>15441</v>
      </c>
      <c r="F4438" s="2" t="s">
        <v>15446</v>
      </c>
      <c r="G4438" s="2" t="s">
        <v>15443</v>
      </c>
      <c r="H4438" s="2" t="s">
        <v>15444</v>
      </c>
    </row>
    <row r="4439">
      <c r="A4439" s="2">
        <v>4437.0</v>
      </c>
      <c r="B4439" s="5" t="s">
        <v>13695</v>
      </c>
      <c r="C4439" s="2" t="s">
        <v>13696</v>
      </c>
      <c r="D4439" s="5" t="s">
        <v>13695</v>
      </c>
      <c r="E4439" s="2" t="s">
        <v>15441</v>
      </c>
      <c r="F4439" s="2" t="s">
        <v>15446</v>
      </c>
      <c r="G4439" s="2" t="s">
        <v>15443</v>
      </c>
      <c r="H4439" s="2" t="s">
        <v>15444</v>
      </c>
    </row>
    <row r="4440">
      <c r="A4440" s="2">
        <v>4438.0</v>
      </c>
      <c r="B4440" s="5" t="s">
        <v>6554</v>
      </c>
      <c r="C4440" s="2" t="s">
        <v>6555</v>
      </c>
      <c r="D4440" s="5" t="s">
        <v>6554</v>
      </c>
      <c r="E4440" s="2" t="s">
        <v>15445</v>
      </c>
      <c r="F4440" s="2" t="s">
        <v>15446</v>
      </c>
      <c r="G4440" s="2" t="s">
        <v>15443</v>
      </c>
      <c r="H4440" s="2" t="s">
        <v>15444</v>
      </c>
    </row>
    <row r="4441">
      <c r="A4441" s="2">
        <v>4439.0</v>
      </c>
      <c r="B4441" s="5" t="s">
        <v>13697</v>
      </c>
      <c r="C4441" s="2" t="s">
        <v>13698</v>
      </c>
      <c r="D4441" s="5" t="s">
        <v>13697</v>
      </c>
      <c r="E4441" s="2" t="s">
        <v>15441</v>
      </c>
      <c r="F4441" s="2" t="s">
        <v>15446</v>
      </c>
      <c r="G4441" s="2" t="s">
        <v>15456</v>
      </c>
      <c r="H4441" s="2" t="s">
        <v>15444</v>
      </c>
    </row>
    <row r="4442">
      <c r="A4442" s="2">
        <v>4440.0</v>
      </c>
      <c r="B4442" s="5" t="s">
        <v>13699</v>
      </c>
      <c r="C4442" s="2" t="s">
        <v>13700</v>
      </c>
      <c r="D4442" s="5" t="s">
        <v>13699</v>
      </c>
      <c r="E4442" s="2" t="s">
        <v>15441</v>
      </c>
      <c r="F4442" s="2" t="s">
        <v>15446</v>
      </c>
      <c r="G4442" s="2" t="s">
        <v>15443</v>
      </c>
      <c r="H4442" s="2" t="s">
        <v>15444</v>
      </c>
    </row>
    <row r="4443">
      <c r="A4443" s="2">
        <v>4441.0</v>
      </c>
      <c r="B4443" s="5" t="s">
        <v>6557</v>
      </c>
      <c r="C4443" s="2" t="s">
        <v>6558</v>
      </c>
      <c r="D4443" s="5" t="s">
        <v>6557</v>
      </c>
      <c r="E4443" s="2" t="s">
        <v>15445</v>
      </c>
      <c r="F4443" s="2" t="s">
        <v>15442</v>
      </c>
      <c r="G4443" s="2" t="s">
        <v>15443</v>
      </c>
      <c r="H4443" s="2" t="s">
        <v>15444</v>
      </c>
    </row>
    <row r="4444">
      <c r="A4444" s="2">
        <v>4442.0</v>
      </c>
      <c r="B4444" s="5" t="s">
        <v>13701</v>
      </c>
      <c r="C4444" s="2" t="s">
        <v>13702</v>
      </c>
      <c r="D4444" s="5" t="s">
        <v>13701</v>
      </c>
      <c r="E4444" s="2" t="s">
        <v>15441</v>
      </c>
      <c r="F4444" s="2" t="s">
        <v>15442</v>
      </c>
      <c r="G4444" s="2" t="s">
        <v>15443</v>
      </c>
      <c r="H4444" s="2" t="s">
        <v>15444</v>
      </c>
    </row>
    <row r="4445">
      <c r="A4445" s="2">
        <v>4443.0</v>
      </c>
      <c r="B4445" s="5" t="s">
        <v>6560</v>
      </c>
      <c r="C4445" s="2" t="s">
        <v>6561</v>
      </c>
      <c r="D4445" s="5" t="s">
        <v>6560</v>
      </c>
      <c r="E4445" s="2" t="s">
        <v>15445</v>
      </c>
      <c r="F4445" s="2" t="s">
        <v>15442</v>
      </c>
      <c r="G4445" s="2" t="s">
        <v>15443</v>
      </c>
      <c r="H4445" s="2" t="s">
        <v>15444</v>
      </c>
    </row>
    <row r="4446">
      <c r="A4446" s="2">
        <v>4444.0</v>
      </c>
      <c r="B4446" s="5" t="s">
        <v>13703</v>
      </c>
      <c r="C4446" s="2" t="s">
        <v>13704</v>
      </c>
      <c r="D4446" s="5" t="s">
        <v>13703</v>
      </c>
      <c r="E4446" s="2" t="s">
        <v>15441</v>
      </c>
      <c r="F4446" s="2" t="s">
        <v>15442</v>
      </c>
      <c r="G4446" s="2" t="s">
        <v>15443</v>
      </c>
      <c r="H4446" s="2" t="s">
        <v>15444</v>
      </c>
    </row>
    <row r="4447">
      <c r="A4447" s="2">
        <v>4445.0</v>
      </c>
      <c r="B4447" s="5" t="s">
        <v>6563</v>
      </c>
      <c r="C4447" s="2" t="s">
        <v>6564</v>
      </c>
      <c r="D4447" s="5" t="s">
        <v>6563</v>
      </c>
      <c r="E4447" s="2" t="s">
        <v>15445</v>
      </c>
      <c r="F4447" s="2" t="s">
        <v>15442</v>
      </c>
      <c r="G4447" s="2" t="s">
        <v>15456</v>
      </c>
      <c r="H4447" s="2" t="s">
        <v>15444</v>
      </c>
    </row>
    <row r="4448">
      <c r="A4448" s="2">
        <v>4446.0</v>
      </c>
      <c r="B4448" s="5" t="s">
        <v>6566</v>
      </c>
      <c r="C4448" s="2" t="s">
        <v>6567</v>
      </c>
      <c r="D4448" s="5" t="s">
        <v>6566</v>
      </c>
      <c r="E4448" s="2" t="s">
        <v>15445</v>
      </c>
      <c r="F4448" s="2" t="s">
        <v>15446</v>
      </c>
      <c r="G4448" s="2" t="s">
        <v>15456</v>
      </c>
      <c r="H4448" s="2" t="s">
        <v>15457</v>
      </c>
    </row>
    <row r="4449">
      <c r="A4449" s="2">
        <v>4447.0</v>
      </c>
      <c r="B4449" s="5" t="s">
        <v>13705</v>
      </c>
      <c r="C4449" s="2" t="s">
        <v>13706</v>
      </c>
      <c r="D4449" s="5" t="s">
        <v>13705</v>
      </c>
      <c r="E4449" s="2" t="s">
        <v>15441</v>
      </c>
      <c r="F4449" s="2" t="s">
        <v>15446</v>
      </c>
      <c r="G4449" s="2" t="s">
        <v>15456</v>
      </c>
      <c r="H4449" s="2" t="s">
        <v>15444</v>
      </c>
    </row>
    <row r="4450">
      <c r="A4450" s="2">
        <v>4448.0</v>
      </c>
      <c r="B4450" s="5" t="s">
        <v>13707</v>
      </c>
      <c r="C4450" s="2" t="s">
        <v>13708</v>
      </c>
      <c r="D4450" s="5" t="s">
        <v>13707</v>
      </c>
      <c r="E4450" s="2" t="s">
        <v>15441</v>
      </c>
      <c r="F4450" s="2" t="s">
        <v>15442</v>
      </c>
      <c r="G4450" s="2" t="s">
        <v>15443</v>
      </c>
      <c r="H4450" s="2" t="s">
        <v>15444</v>
      </c>
    </row>
    <row r="4451">
      <c r="A4451" s="2">
        <v>4449.0</v>
      </c>
      <c r="B4451" s="5" t="s">
        <v>13709</v>
      </c>
      <c r="C4451" s="2" t="s">
        <v>13710</v>
      </c>
      <c r="D4451" s="5" t="s">
        <v>13709</v>
      </c>
      <c r="E4451" s="2" t="s">
        <v>15441</v>
      </c>
      <c r="F4451" s="2" t="s">
        <v>15446</v>
      </c>
      <c r="G4451" s="2" t="s">
        <v>15456</v>
      </c>
      <c r="H4451" s="2" t="s">
        <v>15444</v>
      </c>
    </row>
    <row r="4452">
      <c r="A4452" s="2">
        <v>4450.0</v>
      </c>
      <c r="B4452" s="5" t="s">
        <v>6569</v>
      </c>
      <c r="C4452" s="2" t="s">
        <v>6570</v>
      </c>
      <c r="D4452" s="5" t="s">
        <v>6569</v>
      </c>
      <c r="E4452" s="2" t="s">
        <v>15445</v>
      </c>
      <c r="F4452" s="2" t="s">
        <v>15442</v>
      </c>
      <c r="G4452" s="2" t="s">
        <v>15443</v>
      </c>
      <c r="H4452" s="2" t="s">
        <v>15444</v>
      </c>
    </row>
    <row r="4453">
      <c r="A4453" s="2">
        <v>4451.0</v>
      </c>
      <c r="B4453" s="5" t="s">
        <v>6572</v>
      </c>
      <c r="C4453" s="2" t="s">
        <v>6573</v>
      </c>
      <c r="D4453" s="5" t="s">
        <v>6572</v>
      </c>
      <c r="E4453" s="2" t="s">
        <v>15445</v>
      </c>
      <c r="F4453" s="2" t="s">
        <v>15446</v>
      </c>
      <c r="G4453" s="2" t="s">
        <v>15456</v>
      </c>
      <c r="H4453" s="2" t="s">
        <v>15444</v>
      </c>
    </row>
    <row r="4454">
      <c r="A4454" s="2">
        <v>4452.0</v>
      </c>
      <c r="B4454" s="5" t="s">
        <v>13711</v>
      </c>
      <c r="C4454" s="2" t="s">
        <v>13712</v>
      </c>
      <c r="D4454" s="5" t="s">
        <v>13711</v>
      </c>
      <c r="E4454" s="2" t="s">
        <v>15441</v>
      </c>
      <c r="F4454" s="2" t="s">
        <v>15442</v>
      </c>
      <c r="G4454" s="2" t="s">
        <v>15443</v>
      </c>
      <c r="H4454" s="2" t="s">
        <v>15444</v>
      </c>
    </row>
    <row r="4455">
      <c r="A4455" s="2">
        <v>4453.0</v>
      </c>
      <c r="B4455" s="5" t="s">
        <v>13713</v>
      </c>
      <c r="C4455" s="2" t="s">
        <v>13714</v>
      </c>
      <c r="D4455" s="5" t="s">
        <v>13713</v>
      </c>
      <c r="E4455" s="2" t="s">
        <v>15441</v>
      </c>
      <c r="F4455" s="2" t="s">
        <v>15442</v>
      </c>
      <c r="G4455" s="2" t="s">
        <v>15443</v>
      </c>
      <c r="H4455" s="2" t="s">
        <v>15444</v>
      </c>
    </row>
    <row r="4456">
      <c r="A4456" s="2">
        <v>4454.0</v>
      </c>
      <c r="B4456" s="5" t="s">
        <v>15577</v>
      </c>
      <c r="C4456" s="2" t="s">
        <v>15578</v>
      </c>
      <c r="D4456" s="5" t="s">
        <v>15577</v>
      </c>
      <c r="E4456" s="2" t="s">
        <v>15445</v>
      </c>
      <c r="F4456" s="2" t="s">
        <v>15442</v>
      </c>
      <c r="G4456" s="2" t="s">
        <v>15443</v>
      </c>
      <c r="H4456" s="2" t="s">
        <v>15455</v>
      </c>
    </row>
    <row r="4457">
      <c r="A4457" s="2">
        <v>4455.0</v>
      </c>
      <c r="B4457" s="5" t="s">
        <v>6575</v>
      </c>
      <c r="C4457" s="2" t="s">
        <v>6576</v>
      </c>
      <c r="D4457" s="5" t="s">
        <v>6575</v>
      </c>
      <c r="E4457" s="2" t="s">
        <v>15445</v>
      </c>
      <c r="F4457" s="2" t="s">
        <v>15446</v>
      </c>
      <c r="G4457" s="2" t="s">
        <v>15456</v>
      </c>
      <c r="H4457" s="2" t="s">
        <v>15444</v>
      </c>
    </row>
    <row r="4458">
      <c r="A4458" s="2">
        <v>4456.0</v>
      </c>
      <c r="B4458" s="5" t="s">
        <v>6578</v>
      </c>
      <c r="C4458" s="2" t="s">
        <v>6579</v>
      </c>
      <c r="D4458" s="5" t="s">
        <v>6578</v>
      </c>
      <c r="E4458" s="2" t="s">
        <v>15445</v>
      </c>
      <c r="F4458" s="2" t="s">
        <v>15442</v>
      </c>
      <c r="G4458" s="2" t="s">
        <v>15443</v>
      </c>
      <c r="H4458" s="2" t="s">
        <v>15444</v>
      </c>
    </row>
    <row r="4459">
      <c r="A4459" s="2">
        <v>4457.0</v>
      </c>
      <c r="B4459" s="5" t="s">
        <v>13715</v>
      </c>
      <c r="C4459" s="2" t="s">
        <v>13716</v>
      </c>
      <c r="D4459" s="5" t="s">
        <v>13715</v>
      </c>
      <c r="E4459" s="2" t="s">
        <v>15441</v>
      </c>
      <c r="F4459" s="2" t="s">
        <v>15446</v>
      </c>
      <c r="G4459" s="2" t="s">
        <v>15456</v>
      </c>
      <c r="H4459" s="2" t="s">
        <v>15444</v>
      </c>
    </row>
    <row r="4460">
      <c r="A4460" s="2">
        <v>4458.0</v>
      </c>
      <c r="B4460" s="5" t="s">
        <v>6581</v>
      </c>
      <c r="C4460" s="2" t="s">
        <v>6582</v>
      </c>
      <c r="D4460" s="5" t="s">
        <v>6581</v>
      </c>
      <c r="E4460" s="2" t="s">
        <v>15445</v>
      </c>
      <c r="F4460" s="2" t="s">
        <v>15442</v>
      </c>
      <c r="G4460" s="2" t="s">
        <v>15456</v>
      </c>
      <c r="H4460" s="2" t="s">
        <v>15444</v>
      </c>
    </row>
    <row r="4461">
      <c r="A4461" s="2">
        <v>4459.0</v>
      </c>
      <c r="B4461" s="5" t="s">
        <v>6584</v>
      </c>
      <c r="C4461" s="2" t="s">
        <v>6585</v>
      </c>
      <c r="D4461" s="5" t="s">
        <v>6584</v>
      </c>
      <c r="E4461" s="2" t="s">
        <v>15445</v>
      </c>
      <c r="F4461" s="2" t="s">
        <v>15446</v>
      </c>
      <c r="G4461" s="2" t="s">
        <v>15456</v>
      </c>
      <c r="H4461" s="2" t="s">
        <v>15444</v>
      </c>
    </row>
    <row r="4462">
      <c r="A4462" s="2">
        <v>4460.0</v>
      </c>
      <c r="B4462" s="5" t="s">
        <v>13717</v>
      </c>
      <c r="C4462" s="2" t="s">
        <v>13718</v>
      </c>
      <c r="D4462" s="5" t="s">
        <v>13717</v>
      </c>
      <c r="E4462" s="2" t="s">
        <v>15441</v>
      </c>
      <c r="F4462" s="2" t="s">
        <v>15442</v>
      </c>
      <c r="G4462" s="2" t="s">
        <v>15443</v>
      </c>
      <c r="H4462" s="2" t="s">
        <v>15444</v>
      </c>
    </row>
    <row r="4463">
      <c r="A4463" s="2">
        <v>4461.0</v>
      </c>
      <c r="B4463" s="5" t="s">
        <v>13719</v>
      </c>
      <c r="C4463" s="2" t="s">
        <v>13720</v>
      </c>
      <c r="D4463" s="5" t="s">
        <v>13719</v>
      </c>
      <c r="E4463" s="2" t="s">
        <v>15441</v>
      </c>
      <c r="F4463" s="2" t="s">
        <v>15442</v>
      </c>
      <c r="G4463" s="2" t="s">
        <v>15443</v>
      </c>
      <c r="H4463" s="2" t="s">
        <v>15444</v>
      </c>
    </row>
    <row r="4464">
      <c r="A4464" s="2">
        <v>4462.0</v>
      </c>
      <c r="B4464" s="5" t="s">
        <v>6587</v>
      </c>
      <c r="C4464" s="2" t="s">
        <v>6588</v>
      </c>
      <c r="D4464" s="5" t="s">
        <v>6587</v>
      </c>
      <c r="E4464" s="2" t="s">
        <v>15445</v>
      </c>
      <c r="F4464" s="2" t="s">
        <v>15446</v>
      </c>
      <c r="G4464" s="2" t="s">
        <v>15443</v>
      </c>
      <c r="H4464" s="2" t="s">
        <v>15444</v>
      </c>
    </row>
    <row r="4465">
      <c r="A4465" s="2">
        <v>4463.0</v>
      </c>
      <c r="B4465" s="5" t="s">
        <v>6590</v>
      </c>
      <c r="C4465" s="2" t="s">
        <v>6591</v>
      </c>
      <c r="D4465" s="5" t="s">
        <v>6590</v>
      </c>
      <c r="E4465" s="2" t="s">
        <v>15445</v>
      </c>
      <c r="F4465" s="2" t="s">
        <v>15446</v>
      </c>
      <c r="G4465" s="2" t="s">
        <v>15443</v>
      </c>
      <c r="H4465" s="2" t="s">
        <v>15444</v>
      </c>
    </row>
    <row r="4466">
      <c r="A4466" s="2">
        <v>4464.0</v>
      </c>
      <c r="B4466" s="5" t="s">
        <v>13721</v>
      </c>
      <c r="C4466" s="2" t="s">
        <v>13722</v>
      </c>
      <c r="D4466" s="5" t="s">
        <v>13721</v>
      </c>
      <c r="E4466" s="2" t="s">
        <v>15441</v>
      </c>
      <c r="F4466" s="2" t="s">
        <v>15442</v>
      </c>
      <c r="G4466" s="2" t="s">
        <v>15443</v>
      </c>
      <c r="H4466" s="2" t="s">
        <v>15444</v>
      </c>
    </row>
    <row r="4467">
      <c r="A4467" s="2">
        <v>4465.0</v>
      </c>
      <c r="B4467" s="5" t="s">
        <v>13723</v>
      </c>
      <c r="C4467" s="2" t="s">
        <v>13724</v>
      </c>
      <c r="D4467" s="5" t="s">
        <v>13723</v>
      </c>
      <c r="E4467" s="2" t="s">
        <v>15441</v>
      </c>
      <c r="F4467" s="2" t="s">
        <v>15442</v>
      </c>
      <c r="G4467" s="2" t="s">
        <v>15443</v>
      </c>
      <c r="H4467" s="2" t="s">
        <v>15444</v>
      </c>
    </row>
    <row r="4468">
      <c r="A4468" s="2">
        <v>4466.0</v>
      </c>
      <c r="B4468" s="5" t="s">
        <v>13725</v>
      </c>
      <c r="C4468" s="2" t="s">
        <v>13726</v>
      </c>
      <c r="D4468" s="5" t="s">
        <v>13725</v>
      </c>
      <c r="E4468" s="2" t="s">
        <v>15441</v>
      </c>
      <c r="F4468" s="2" t="s">
        <v>15442</v>
      </c>
      <c r="G4468" s="2" t="s">
        <v>15443</v>
      </c>
      <c r="H4468" s="2" t="s">
        <v>15444</v>
      </c>
    </row>
    <row r="4469">
      <c r="A4469" s="2">
        <v>4467.0</v>
      </c>
      <c r="B4469" s="5" t="s">
        <v>6593</v>
      </c>
      <c r="C4469" s="2" t="s">
        <v>6594</v>
      </c>
      <c r="D4469" s="5" t="s">
        <v>6593</v>
      </c>
      <c r="E4469" s="2" t="s">
        <v>15445</v>
      </c>
      <c r="F4469" s="2" t="s">
        <v>15446</v>
      </c>
      <c r="G4469" s="2" t="s">
        <v>15456</v>
      </c>
      <c r="H4469" s="2" t="s">
        <v>15444</v>
      </c>
    </row>
    <row r="4470">
      <c r="A4470" s="2">
        <v>4468.0</v>
      </c>
      <c r="B4470" s="5" t="s">
        <v>6596</v>
      </c>
      <c r="C4470" s="2" t="s">
        <v>6597</v>
      </c>
      <c r="D4470" s="5" t="s">
        <v>6596</v>
      </c>
      <c r="E4470" s="2" t="s">
        <v>15445</v>
      </c>
      <c r="F4470" s="2" t="s">
        <v>15446</v>
      </c>
      <c r="G4470" s="2" t="s">
        <v>15456</v>
      </c>
      <c r="H4470" s="2" t="s">
        <v>15444</v>
      </c>
    </row>
    <row r="4471">
      <c r="A4471" s="2">
        <v>4469.0</v>
      </c>
      <c r="B4471" s="5" t="s">
        <v>13727</v>
      </c>
      <c r="C4471" s="2" t="s">
        <v>13728</v>
      </c>
      <c r="D4471" s="5" t="s">
        <v>13727</v>
      </c>
      <c r="E4471" s="2" t="s">
        <v>15441</v>
      </c>
      <c r="F4471" s="2" t="s">
        <v>15442</v>
      </c>
      <c r="G4471" s="2" t="s">
        <v>15443</v>
      </c>
      <c r="H4471" s="2" t="s">
        <v>15457</v>
      </c>
    </row>
    <row r="4472">
      <c r="A4472" s="2">
        <v>4470.0</v>
      </c>
      <c r="B4472" s="5" t="s">
        <v>13729</v>
      </c>
      <c r="C4472" s="2" t="s">
        <v>13730</v>
      </c>
      <c r="D4472" s="5" t="s">
        <v>13729</v>
      </c>
      <c r="E4472" s="2" t="s">
        <v>15441</v>
      </c>
      <c r="F4472" s="2" t="s">
        <v>15446</v>
      </c>
      <c r="G4472" s="2" t="s">
        <v>15456</v>
      </c>
      <c r="H4472" s="2" t="s">
        <v>15457</v>
      </c>
    </row>
    <row r="4473">
      <c r="A4473" s="2">
        <v>4471.0</v>
      </c>
      <c r="B4473" s="5" t="s">
        <v>6599</v>
      </c>
      <c r="C4473" s="2" t="s">
        <v>6600</v>
      </c>
      <c r="D4473" s="5" t="s">
        <v>6599</v>
      </c>
      <c r="E4473" s="2" t="s">
        <v>15445</v>
      </c>
      <c r="F4473" s="2" t="s">
        <v>15442</v>
      </c>
      <c r="G4473" s="2" t="s">
        <v>15443</v>
      </c>
      <c r="H4473" s="2" t="s">
        <v>15444</v>
      </c>
    </row>
    <row r="4474">
      <c r="A4474" s="2">
        <v>4472.0</v>
      </c>
      <c r="B4474" s="5" t="s">
        <v>6602</v>
      </c>
      <c r="C4474" s="2" t="s">
        <v>6603</v>
      </c>
      <c r="D4474" s="5" t="s">
        <v>6602</v>
      </c>
      <c r="E4474" s="2" t="s">
        <v>15445</v>
      </c>
      <c r="F4474" s="2" t="s">
        <v>15446</v>
      </c>
      <c r="G4474" s="2" t="s">
        <v>15443</v>
      </c>
      <c r="H4474" s="2" t="s">
        <v>15444</v>
      </c>
    </row>
    <row r="4475">
      <c r="A4475" s="2">
        <v>4473.0</v>
      </c>
      <c r="B4475" s="5" t="s">
        <v>6605</v>
      </c>
      <c r="C4475" s="2" t="s">
        <v>6606</v>
      </c>
      <c r="D4475" s="5" t="s">
        <v>6605</v>
      </c>
      <c r="E4475" s="2" t="s">
        <v>15445</v>
      </c>
      <c r="F4475" s="2" t="s">
        <v>15446</v>
      </c>
      <c r="G4475" s="2" t="s">
        <v>15456</v>
      </c>
      <c r="H4475" s="2" t="s">
        <v>15444</v>
      </c>
    </row>
    <row r="4476">
      <c r="A4476" s="2">
        <v>4474.0</v>
      </c>
      <c r="B4476" s="5" t="s">
        <v>13731</v>
      </c>
      <c r="C4476" s="2" t="s">
        <v>13732</v>
      </c>
      <c r="D4476" s="5" t="s">
        <v>13731</v>
      </c>
      <c r="E4476" s="2" t="s">
        <v>15441</v>
      </c>
      <c r="F4476" s="2" t="s">
        <v>15442</v>
      </c>
      <c r="G4476" s="2" t="s">
        <v>15443</v>
      </c>
      <c r="H4476" s="2" t="s">
        <v>15444</v>
      </c>
    </row>
    <row r="4477">
      <c r="A4477" s="2">
        <v>4475.0</v>
      </c>
      <c r="B4477" s="5" t="s">
        <v>6608</v>
      </c>
      <c r="C4477" s="2" t="s">
        <v>6609</v>
      </c>
      <c r="D4477" s="5" t="s">
        <v>6608</v>
      </c>
      <c r="E4477" s="2" t="s">
        <v>15445</v>
      </c>
      <c r="F4477" s="2" t="s">
        <v>15446</v>
      </c>
      <c r="G4477" s="2" t="s">
        <v>15456</v>
      </c>
      <c r="H4477" s="2" t="s">
        <v>15444</v>
      </c>
    </row>
    <row r="4478">
      <c r="A4478" s="2">
        <v>4476.0</v>
      </c>
      <c r="B4478" s="5" t="s">
        <v>13733</v>
      </c>
      <c r="C4478" s="2" t="s">
        <v>13734</v>
      </c>
      <c r="D4478" s="5" t="s">
        <v>13733</v>
      </c>
      <c r="E4478" s="2" t="s">
        <v>15441</v>
      </c>
      <c r="F4478" s="2" t="s">
        <v>15442</v>
      </c>
      <c r="G4478" s="2" t="s">
        <v>15456</v>
      </c>
      <c r="H4478" s="2" t="s">
        <v>15444</v>
      </c>
    </row>
    <row r="4479">
      <c r="A4479" s="2">
        <v>4477.0</v>
      </c>
      <c r="B4479" s="5" t="s">
        <v>6611</v>
      </c>
      <c r="C4479" s="2" t="s">
        <v>6612</v>
      </c>
      <c r="D4479" s="5" t="s">
        <v>6611</v>
      </c>
      <c r="E4479" s="2" t="s">
        <v>15445</v>
      </c>
      <c r="F4479" s="2" t="s">
        <v>15442</v>
      </c>
      <c r="G4479" s="2" t="s">
        <v>15443</v>
      </c>
      <c r="H4479" s="2" t="s">
        <v>15444</v>
      </c>
    </row>
    <row r="4480">
      <c r="A4480" s="2">
        <v>4478.0</v>
      </c>
      <c r="B4480" s="5" t="s">
        <v>13735</v>
      </c>
      <c r="C4480" s="2" t="s">
        <v>13197</v>
      </c>
      <c r="D4480" s="5" t="s">
        <v>13735</v>
      </c>
      <c r="E4480" s="2" t="s">
        <v>15441</v>
      </c>
      <c r="F4480" s="2" t="s">
        <v>15442</v>
      </c>
      <c r="G4480" s="2" t="s">
        <v>15456</v>
      </c>
      <c r="H4480" s="2" t="s">
        <v>15455</v>
      </c>
    </row>
    <row r="4481">
      <c r="A4481" s="2">
        <v>4479.0</v>
      </c>
      <c r="B4481" s="5" t="s">
        <v>6614</v>
      </c>
      <c r="C4481" s="2" t="s">
        <v>6615</v>
      </c>
      <c r="D4481" s="5" t="s">
        <v>6614</v>
      </c>
      <c r="E4481" s="2" t="s">
        <v>15445</v>
      </c>
      <c r="F4481" s="2" t="s">
        <v>15442</v>
      </c>
      <c r="G4481" s="2" t="s">
        <v>15443</v>
      </c>
      <c r="H4481" s="2" t="s">
        <v>15444</v>
      </c>
    </row>
    <row r="4482">
      <c r="A4482" s="2">
        <v>4480.0</v>
      </c>
      <c r="B4482" s="5" t="s">
        <v>13736</v>
      </c>
      <c r="C4482" s="2" t="s">
        <v>13737</v>
      </c>
      <c r="D4482" s="5" t="s">
        <v>13736</v>
      </c>
      <c r="E4482" s="2" t="s">
        <v>15441</v>
      </c>
      <c r="F4482" s="2" t="s">
        <v>15446</v>
      </c>
      <c r="G4482" s="2" t="s">
        <v>15443</v>
      </c>
      <c r="H4482" s="2" t="s">
        <v>15457</v>
      </c>
    </row>
    <row r="4483">
      <c r="A4483" s="2">
        <v>4481.0</v>
      </c>
      <c r="B4483" s="5" t="s">
        <v>6617</v>
      </c>
      <c r="C4483" s="2" t="s">
        <v>6618</v>
      </c>
      <c r="D4483" s="5" t="s">
        <v>6617</v>
      </c>
      <c r="E4483" s="2" t="s">
        <v>15445</v>
      </c>
      <c r="F4483" s="2" t="s">
        <v>15446</v>
      </c>
      <c r="G4483" s="2" t="s">
        <v>15456</v>
      </c>
      <c r="H4483" s="2" t="s">
        <v>15444</v>
      </c>
    </row>
    <row r="4484">
      <c r="A4484" s="2">
        <v>4482.0</v>
      </c>
      <c r="B4484" s="5" t="s">
        <v>6620</v>
      </c>
      <c r="C4484" s="2" t="s">
        <v>6621</v>
      </c>
      <c r="D4484" s="5" t="s">
        <v>6620</v>
      </c>
      <c r="E4484" s="2" t="s">
        <v>15445</v>
      </c>
      <c r="F4484" s="2" t="s">
        <v>15442</v>
      </c>
      <c r="G4484" s="2" t="s">
        <v>15443</v>
      </c>
      <c r="H4484" s="2" t="s">
        <v>15444</v>
      </c>
    </row>
    <row r="4485">
      <c r="A4485" s="2">
        <v>4483.0</v>
      </c>
      <c r="B4485" s="5" t="s">
        <v>13738</v>
      </c>
      <c r="C4485" s="2" t="s">
        <v>13739</v>
      </c>
      <c r="D4485" s="5" t="s">
        <v>13738</v>
      </c>
      <c r="E4485" s="2" t="s">
        <v>15441</v>
      </c>
      <c r="F4485" s="2" t="s">
        <v>15446</v>
      </c>
      <c r="G4485" s="2" t="s">
        <v>15456</v>
      </c>
      <c r="H4485" s="2" t="s">
        <v>15444</v>
      </c>
    </row>
    <row r="4486">
      <c r="A4486" s="2">
        <v>4484.0</v>
      </c>
      <c r="B4486" s="5" t="s">
        <v>13740</v>
      </c>
      <c r="C4486" s="2" t="s">
        <v>13741</v>
      </c>
      <c r="D4486" s="5" t="s">
        <v>13740</v>
      </c>
      <c r="E4486" s="2" t="s">
        <v>15441</v>
      </c>
      <c r="F4486" s="2" t="s">
        <v>15446</v>
      </c>
      <c r="G4486" s="2" t="s">
        <v>15443</v>
      </c>
      <c r="H4486" s="2" t="s">
        <v>15444</v>
      </c>
    </row>
    <row r="4487">
      <c r="A4487" s="2">
        <v>4485.0</v>
      </c>
      <c r="B4487" s="5" t="s">
        <v>13742</v>
      </c>
      <c r="C4487" s="2" t="s">
        <v>13743</v>
      </c>
      <c r="D4487" s="5" t="s">
        <v>13742</v>
      </c>
      <c r="E4487" s="2" t="s">
        <v>15441</v>
      </c>
      <c r="F4487" s="2" t="s">
        <v>15442</v>
      </c>
      <c r="G4487" s="2" t="s">
        <v>15443</v>
      </c>
      <c r="H4487" s="2" t="s">
        <v>15444</v>
      </c>
    </row>
    <row r="4488">
      <c r="A4488" s="2">
        <v>4486.0</v>
      </c>
      <c r="B4488" s="5" t="s">
        <v>13744</v>
      </c>
      <c r="C4488" s="2" t="s">
        <v>13745</v>
      </c>
      <c r="D4488" s="5" t="s">
        <v>13744</v>
      </c>
      <c r="E4488" s="2" t="s">
        <v>15441</v>
      </c>
      <c r="F4488" s="2" t="s">
        <v>15446</v>
      </c>
      <c r="G4488" s="2" t="s">
        <v>15456</v>
      </c>
      <c r="H4488" s="2" t="s">
        <v>15444</v>
      </c>
    </row>
    <row r="4489">
      <c r="A4489" s="2">
        <v>4487.0</v>
      </c>
      <c r="B4489" s="5" t="s">
        <v>13746</v>
      </c>
      <c r="C4489" s="2" t="s">
        <v>13747</v>
      </c>
      <c r="D4489" s="5" t="s">
        <v>13746</v>
      </c>
      <c r="E4489" s="2" t="s">
        <v>15441</v>
      </c>
      <c r="F4489" s="2" t="s">
        <v>15446</v>
      </c>
      <c r="G4489" s="2" t="s">
        <v>15443</v>
      </c>
      <c r="H4489" s="2" t="s">
        <v>15455</v>
      </c>
    </row>
    <row r="4490">
      <c r="A4490" s="2">
        <v>4488.0</v>
      </c>
      <c r="B4490" s="5" t="s">
        <v>6623</v>
      </c>
      <c r="C4490" s="2" t="s">
        <v>6624</v>
      </c>
      <c r="D4490" s="5" t="s">
        <v>6623</v>
      </c>
      <c r="E4490" s="2" t="s">
        <v>15445</v>
      </c>
      <c r="F4490" s="2" t="s">
        <v>15442</v>
      </c>
      <c r="G4490" s="2" t="s">
        <v>15443</v>
      </c>
      <c r="H4490" s="2" t="s">
        <v>15444</v>
      </c>
    </row>
    <row r="4491">
      <c r="A4491" s="2">
        <v>4489.0</v>
      </c>
      <c r="B4491" s="5" t="s">
        <v>13748</v>
      </c>
      <c r="C4491" s="2" t="s">
        <v>13749</v>
      </c>
      <c r="D4491" s="5" t="s">
        <v>13748</v>
      </c>
      <c r="E4491" s="2" t="s">
        <v>15441</v>
      </c>
      <c r="F4491" s="2" t="s">
        <v>15446</v>
      </c>
      <c r="G4491" s="2" t="s">
        <v>15456</v>
      </c>
      <c r="H4491" s="2" t="s">
        <v>15444</v>
      </c>
    </row>
    <row r="4492">
      <c r="A4492" s="2">
        <v>4490.0</v>
      </c>
      <c r="B4492" s="5" t="s">
        <v>6626</v>
      </c>
      <c r="C4492" s="2" t="s">
        <v>6627</v>
      </c>
      <c r="D4492" s="5" t="s">
        <v>6626</v>
      </c>
      <c r="E4492" s="2" t="s">
        <v>15445</v>
      </c>
      <c r="F4492" s="2" t="s">
        <v>15446</v>
      </c>
      <c r="G4492" s="2" t="s">
        <v>15443</v>
      </c>
      <c r="H4492" s="2" t="s">
        <v>15444</v>
      </c>
    </row>
    <row r="4493">
      <c r="A4493" s="2">
        <v>4491.0</v>
      </c>
      <c r="B4493" s="5" t="s">
        <v>13750</v>
      </c>
      <c r="C4493" s="2" t="s">
        <v>13751</v>
      </c>
      <c r="D4493" s="5" t="s">
        <v>13750</v>
      </c>
      <c r="E4493" s="2" t="s">
        <v>15441</v>
      </c>
      <c r="F4493" s="2" t="s">
        <v>15442</v>
      </c>
      <c r="G4493" s="2" t="s">
        <v>15443</v>
      </c>
      <c r="H4493" s="2" t="s">
        <v>15444</v>
      </c>
    </row>
    <row r="4494">
      <c r="A4494" s="2">
        <v>4492.0</v>
      </c>
      <c r="B4494" s="5" t="s">
        <v>6629</v>
      </c>
      <c r="C4494" s="2" t="s">
        <v>6630</v>
      </c>
      <c r="D4494" s="5" t="s">
        <v>6629</v>
      </c>
      <c r="E4494" s="2" t="s">
        <v>15445</v>
      </c>
      <c r="F4494" s="2" t="s">
        <v>15442</v>
      </c>
      <c r="G4494" s="2" t="s">
        <v>15443</v>
      </c>
      <c r="H4494" s="2" t="s">
        <v>15444</v>
      </c>
    </row>
    <row r="4495">
      <c r="A4495" s="2">
        <v>4493.0</v>
      </c>
      <c r="B4495" s="5" t="s">
        <v>6632</v>
      </c>
      <c r="C4495" s="2" t="s">
        <v>6633</v>
      </c>
      <c r="D4495" s="5" t="s">
        <v>6632</v>
      </c>
      <c r="E4495" s="2" t="s">
        <v>15445</v>
      </c>
      <c r="F4495" s="2" t="s">
        <v>15446</v>
      </c>
      <c r="G4495" s="2" t="s">
        <v>15443</v>
      </c>
      <c r="H4495" s="2" t="s">
        <v>15444</v>
      </c>
    </row>
    <row r="4496">
      <c r="A4496" s="2">
        <v>4494.0</v>
      </c>
      <c r="B4496" s="5" t="s">
        <v>13752</v>
      </c>
      <c r="C4496" s="2" t="s">
        <v>13753</v>
      </c>
      <c r="D4496" s="5" t="s">
        <v>13752</v>
      </c>
      <c r="E4496" s="2" t="s">
        <v>15441</v>
      </c>
      <c r="F4496" s="2" t="s">
        <v>15446</v>
      </c>
      <c r="G4496" s="2" t="s">
        <v>15456</v>
      </c>
      <c r="H4496" s="2" t="s">
        <v>15444</v>
      </c>
    </row>
    <row r="4497">
      <c r="A4497" s="2">
        <v>4495.0</v>
      </c>
      <c r="B4497" s="5" t="s">
        <v>6635</v>
      </c>
      <c r="C4497" s="2" t="s">
        <v>6636</v>
      </c>
      <c r="D4497" s="5" t="s">
        <v>6635</v>
      </c>
      <c r="E4497" s="2" t="s">
        <v>15445</v>
      </c>
      <c r="F4497" s="2" t="s">
        <v>15446</v>
      </c>
      <c r="G4497" s="2" t="s">
        <v>15443</v>
      </c>
      <c r="H4497" s="2" t="s">
        <v>15444</v>
      </c>
    </row>
    <row r="4498">
      <c r="A4498" s="2">
        <v>4496.0</v>
      </c>
      <c r="B4498" s="5" t="s">
        <v>6638</v>
      </c>
      <c r="C4498" s="2" t="s">
        <v>6639</v>
      </c>
      <c r="D4498" s="5" t="s">
        <v>6638</v>
      </c>
      <c r="E4498" s="2" t="s">
        <v>15445</v>
      </c>
      <c r="F4498" s="2" t="s">
        <v>15446</v>
      </c>
      <c r="G4498" s="2" t="s">
        <v>15456</v>
      </c>
      <c r="H4498" s="2" t="s">
        <v>15444</v>
      </c>
    </row>
    <row r="4499">
      <c r="A4499" s="2">
        <v>4497.0</v>
      </c>
      <c r="B4499" s="5" t="s">
        <v>13754</v>
      </c>
      <c r="C4499" s="2" t="s">
        <v>13755</v>
      </c>
      <c r="D4499" s="5" t="s">
        <v>13754</v>
      </c>
      <c r="E4499" s="2" t="s">
        <v>15441</v>
      </c>
      <c r="F4499" s="2" t="s">
        <v>15442</v>
      </c>
      <c r="G4499" s="2" t="s">
        <v>15443</v>
      </c>
      <c r="H4499" s="2" t="s">
        <v>15444</v>
      </c>
    </row>
    <row r="4500">
      <c r="A4500" s="2">
        <v>4498.0</v>
      </c>
      <c r="B4500" s="5" t="s">
        <v>6641</v>
      </c>
      <c r="C4500" s="2" t="s">
        <v>6642</v>
      </c>
      <c r="D4500" s="5" t="s">
        <v>6641</v>
      </c>
      <c r="E4500" s="2" t="s">
        <v>15445</v>
      </c>
      <c r="F4500" s="2" t="s">
        <v>15446</v>
      </c>
      <c r="G4500" s="2" t="s">
        <v>15456</v>
      </c>
      <c r="H4500" s="2" t="s">
        <v>15457</v>
      </c>
    </row>
    <row r="4501">
      <c r="A4501" s="2">
        <v>4499.0</v>
      </c>
      <c r="B4501" s="5" t="s">
        <v>6644</v>
      </c>
      <c r="C4501" s="2" t="s">
        <v>6645</v>
      </c>
      <c r="D4501" s="5" t="s">
        <v>6644</v>
      </c>
      <c r="E4501" s="2" t="s">
        <v>15445</v>
      </c>
      <c r="F4501" s="2" t="s">
        <v>15446</v>
      </c>
      <c r="G4501" s="2" t="s">
        <v>15456</v>
      </c>
      <c r="H4501" s="2" t="s">
        <v>15444</v>
      </c>
    </row>
    <row r="4502">
      <c r="A4502" s="2">
        <v>4500.0</v>
      </c>
      <c r="B4502" s="5" t="s">
        <v>6647</v>
      </c>
      <c r="C4502" s="2" t="s">
        <v>6648</v>
      </c>
      <c r="D4502" s="5" t="s">
        <v>6647</v>
      </c>
      <c r="E4502" s="2" t="s">
        <v>15445</v>
      </c>
      <c r="F4502" s="2" t="s">
        <v>15442</v>
      </c>
      <c r="G4502" s="2" t="s">
        <v>15443</v>
      </c>
      <c r="H4502" s="2" t="s">
        <v>15444</v>
      </c>
    </row>
    <row r="4503">
      <c r="A4503" s="2">
        <v>4501.0</v>
      </c>
      <c r="B4503" s="5" t="s">
        <v>13756</v>
      </c>
      <c r="C4503" s="2" t="s">
        <v>13757</v>
      </c>
      <c r="D4503" s="5" t="s">
        <v>13756</v>
      </c>
      <c r="E4503" s="2" t="s">
        <v>15441</v>
      </c>
      <c r="F4503" s="2" t="s">
        <v>15446</v>
      </c>
      <c r="G4503" s="2" t="s">
        <v>15456</v>
      </c>
      <c r="H4503" s="2" t="s">
        <v>15457</v>
      </c>
    </row>
    <row r="4504">
      <c r="A4504" s="2">
        <v>4502.0</v>
      </c>
      <c r="B4504" s="5" t="s">
        <v>6650</v>
      </c>
      <c r="C4504" s="2" t="s">
        <v>6651</v>
      </c>
      <c r="D4504" s="5" t="s">
        <v>6650</v>
      </c>
      <c r="E4504" s="2" t="s">
        <v>15445</v>
      </c>
      <c r="F4504" s="2" t="s">
        <v>15446</v>
      </c>
      <c r="G4504" s="2" t="s">
        <v>15443</v>
      </c>
      <c r="H4504" s="2" t="s">
        <v>15444</v>
      </c>
    </row>
    <row r="4505">
      <c r="A4505" s="2">
        <v>4503.0</v>
      </c>
      <c r="B4505" s="5" t="s">
        <v>6653</v>
      </c>
      <c r="C4505" s="2" t="s">
        <v>6654</v>
      </c>
      <c r="D4505" s="5" t="s">
        <v>6653</v>
      </c>
      <c r="E4505" s="2" t="s">
        <v>15445</v>
      </c>
      <c r="F4505" s="2" t="s">
        <v>15446</v>
      </c>
      <c r="G4505" s="2" t="s">
        <v>15456</v>
      </c>
      <c r="H4505" s="2" t="s">
        <v>15444</v>
      </c>
    </row>
    <row r="4506">
      <c r="A4506" s="2">
        <v>4504.0</v>
      </c>
      <c r="B4506" s="5" t="s">
        <v>13758</v>
      </c>
      <c r="C4506" s="2" t="s">
        <v>13759</v>
      </c>
      <c r="D4506" s="5" t="s">
        <v>13758</v>
      </c>
      <c r="E4506" s="2" t="s">
        <v>15441</v>
      </c>
      <c r="F4506" s="2" t="s">
        <v>15442</v>
      </c>
      <c r="G4506" s="2" t="s">
        <v>15443</v>
      </c>
      <c r="H4506" s="2" t="s">
        <v>15444</v>
      </c>
    </row>
    <row r="4507">
      <c r="A4507" s="2">
        <v>4505.0</v>
      </c>
      <c r="B4507" s="5" t="s">
        <v>6656</v>
      </c>
      <c r="C4507" s="2" t="s">
        <v>6657</v>
      </c>
      <c r="D4507" s="5" t="s">
        <v>6656</v>
      </c>
      <c r="E4507" s="2" t="s">
        <v>15445</v>
      </c>
      <c r="F4507" s="2" t="s">
        <v>15446</v>
      </c>
      <c r="G4507" s="2" t="s">
        <v>15456</v>
      </c>
      <c r="H4507" s="2" t="s">
        <v>15444</v>
      </c>
    </row>
    <row r="4508">
      <c r="A4508" s="2">
        <v>4506.0</v>
      </c>
      <c r="B4508" s="5" t="s">
        <v>13760</v>
      </c>
      <c r="C4508" s="2" t="s">
        <v>13761</v>
      </c>
      <c r="D4508" s="5" t="s">
        <v>13760</v>
      </c>
      <c r="E4508" s="2" t="s">
        <v>15441</v>
      </c>
      <c r="F4508" s="2" t="s">
        <v>15446</v>
      </c>
      <c r="G4508" s="2" t="s">
        <v>15456</v>
      </c>
      <c r="H4508" s="2" t="s">
        <v>15444</v>
      </c>
    </row>
    <row r="4509">
      <c r="A4509" s="2">
        <v>4507.0</v>
      </c>
      <c r="B4509" s="5" t="s">
        <v>6659</v>
      </c>
      <c r="C4509" s="2" t="s">
        <v>6660</v>
      </c>
      <c r="D4509" s="5" t="s">
        <v>6659</v>
      </c>
      <c r="E4509" s="2" t="s">
        <v>15445</v>
      </c>
      <c r="F4509" s="2" t="s">
        <v>15446</v>
      </c>
      <c r="G4509" s="2" t="s">
        <v>15456</v>
      </c>
      <c r="H4509" s="2" t="s">
        <v>15444</v>
      </c>
    </row>
    <row r="4510">
      <c r="A4510" s="2">
        <v>4508.0</v>
      </c>
      <c r="B4510" s="5" t="s">
        <v>6662</v>
      </c>
      <c r="C4510" s="2" t="s">
        <v>6663</v>
      </c>
      <c r="D4510" s="5" t="s">
        <v>6662</v>
      </c>
      <c r="E4510" s="2" t="s">
        <v>15445</v>
      </c>
      <c r="F4510" s="2" t="s">
        <v>15446</v>
      </c>
      <c r="G4510" s="2" t="s">
        <v>15456</v>
      </c>
      <c r="H4510" s="2" t="s">
        <v>15444</v>
      </c>
    </row>
    <row r="4511">
      <c r="A4511" s="2">
        <v>4509.0</v>
      </c>
      <c r="B4511" s="5" t="s">
        <v>6665</v>
      </c>
      <c r="C4511" s="2" t="s">
        <v>6666</v>
      </c>
      <c r="D4511" s="5" t="s">
        <v>6665</v>
      </c>
      <c r="E4511" s="2" t="s">
        <v>15445</v>
      </c>
      <c r="F4511" s="2" t="s">
        <v>15446</v>
      </c>
      <c r="G4511" s="2" t="s">
        <v>15456</v>
      </c>
      <c r="H4511" s="2" t="s">
        <v>15444</v>
      </c>
    </row>
    <row r="4512">
      <c r="A4512" s="2">
        <v>4510.0</v>
      </c>
      <c r="B4512" s="5" t="s">
        <v>6668</v>
      </c>
      <c r="C4512" s="2" t="s">
        <v>6669</v>
      </c>
      <c r="D4512" s="5" t="s">
        <v>6668</v>
      </c>
      <c r="E4512" s="2" t="s">
        <v>15445</v>
      </c>
      <c r="F4512" s="2" t="s">
        <v>15446</v>
      </c>
      <c r="G4512" s="2" t="s">
        <v>15456</v>
      </c>
      <c r="H4512" s="2" t="s">
        <v>15444</v>
      </c>
    </row>
    <row r="4513">
      <c r="A4513" s="2">
        <v>4511.0</v>
      </c>
      <c r="B4513" s="5" t="s">
        <v>6671</v>
      </c>
      <c r="C4513" s="2" t="s">
        <v>6672</v>
      </c>
      <c r="D4513" s="5" t="s">
        <v>6671</v>
      </c>
      <c r="E4513" s="2" t="s">
        <v>15445</v>
      </c>
      <c r="F4513" s="2" t="s">
        <v>15446</v>
      </c>
      <c r="G4513" s="2" t="s">
        <v>15456</v>
      </c>
      <c r="H4513" s="2" t="s">
        <v>15457</v>
      </c>
    </row>
    <row r="4514">
      <c r="A4514" s="2">
        <v>4512.0</v>
      </c>
      <c r="B4514" s="5" t="s">
        <v>6674</v>
      </c>
      <c r="C4514" s="2" t="s">
        <v>6675</v>
      </c>
      <c r="D4514" s="5" t="s">
        <v>6674</v>
      </c>
      <c r="E4514" s="2" t="s">
        <v>15445</v>
      </c>
      <c r="F4514" s="2" t="s">
        <v>15442</v>
      </c>
      <c r="G4514" s="2" t="s">
        <v>15443</v>
      </c>
      <c r="H4514" s="2" t="s">
        <v>15444</v>
      </c>
    </row>
    <row r="4515">
      <c r="A4515" s="2">
        <v>4513.0</v>
      </c>
      <c r="B4515" s="5" t="s">
        <v>13762</v>
      </c>
      <c r="C4515" s="2" t="s">
        <v>13763</v>
      </c>
      <c r="D4515" s="5" t="s">
        <v>13762</v>
      </c>
      <c r="E4515" s="2" t="s">
        <v>15441</v>
      </c>
      <c r="F4515" s="2" t="s">
        <v>15442</v>
      </c>
      <c r="G4515" s="2" t="s">
        <v>15456</v>
      </c>
      <c r="H4515" s="2" t="s">
        <v>15444</v>
      </c>
    </row>
    <row r="4516">
      <c r="A4516" s="2">
        <v>4514.0</v>
      </c>
      <c r="B4516" s="5" t="s">
        <v>13764</v>
      </c>
      <c r="C4516" s="2" t="s">
        <v>13765</v>
      </c>
      <c r="D4516" s="5" t="s">
        <v>13764</v>
      </c>
      <c r="E4516" s="2" t="s">
        <v>15441</v>
      </c>
      <c r="F4516" s="2" t="s">
        <v>15442</v>
      </c>
      <c r="G4516" s="2" t="s">
        <v>15443</v>
      </c>
      <c r="H4516" s="2" t="s">
        <v>15444</v>
      </c>
    </row>
    <row r="4517">
      <c r="A4517" s="2">
        <v>4515.0</v>
      </c>
      <c r="B4517" s="5" t="s">
        <v>6677</v>
      </c>
      <c r="C4517" s="2" t="s">
        <v>6678</v>
      </c>
      <c r="D4517" s="5" t="s">
        <v>6677</v>
      </c>
      <c r="E4517" s="2" t="s">
        <v>15445</v>
      </c>
      <c r="F4517" s="2" t="s">
        <v>15446</v>
      </c>
      <c r="G4517" s="2" t="s">
        <v>15443</v>
      </c>
      <c r="H4517" s="2" t="s">
        <v>15462</v>
      </c>
    </row>
    <row r="4518">
      <c r="A4518" s="2">
        <v>4516.0</v>
      </c>
      <c r="B4518" s="5" t="s">
        <v>6680</v>
      </c>
      <c r="C4518" s="2" t="s">
        <v>6681</v>
      </c>
      <c r="D4518" s="5" t="s">
        <v>6680</v>
      </c>
      <c r="E4518" s="2" t="s">
        <v>15445</v>
      </c>
      <c r="F4518" s="2" t="s">
        <v>15446</v>
      </c>
      <c r="G4518" s="2" t="s">
        <v>15456</v>
      </c>
      <c r="H4518" s="2" t="s">
        <v>15444</v>
      </c>
    </row>
    <row r="4519">
      <c r="A4519" s="2">
        <v>4517.0</v>
      </c>
      <c r="B4519" s="5" t="s">
        <v>13766</v>
      </c>
      <c r="C4519" s="2" t="s">
        <v>13767</v>
      </c>
      <c r="D4519" s="5" t="s">
        <v>13766</v>
      </c>
      <c r="E4519" s="2" t="s">
        <v>15441</v>
      </c>
      <c r="F4519" s="2" t="s">
        <v>15442</v>
      </c>
      <c r="G4519" s="2" t="s">
        <v>15443</v>
      </c>
      <c r="H4519" s="2" t="s">
        <v>15462</v>
      </c>
    </row>
    <row r="4520">
      <c r="A4520" s="2">
        <v>4518.0</v>
      </c>
      <c r="B4520" s="5" t="s">
        <v>6683</v>
      </c>
      <c r="C4520" s="2" t="s">
        <v>6684</v>
      </c>
      <c r="D4520" s="5" t="s">
        <v>6683</v>
      </c>
      <c r="E4520" s="2" t="s">
        <v>15445</v>
      </c>
      <c r="F4520" s="2" t="s">
        <v>15446</v>
      </c>
      <c r="G4520" s="2" t="s">
        <v>15456</v>
      </c>
      <c r="H4520" s="2" t="s">
        <v>15444</v>
      </c>
    </row>
    <row r="4521">
      <c r="A4521" s="2">
        <v>4519.0</v>
      </c>
      <c r="B4521" s="5" t="s">
        <v>13768</v>
      </c>
      <c r="C4521" s="2" t="s">
        <v>13769</v>
      </c>
      <c r="D4521" s="5" t="s">
        <v>13768</v>
      </c>
      <c r="E4521" s="2" t="s">
        <v>15441</v>
      </c>
      <c r="F4521" s="2" t="s">
        <v>15442</v>
      </c>
      <c r="G4521" s="2" t="s">
        <v>15443</v>
      </c>
      <c r="H4521" s="2" t="s">
        <v>15444</v>
      </c>
    </row>
    <row r="4522">
      <c r="A4522" s="2">
        <v>4520.0</v>
      </c>
      <c r="B4522" s="5" t="s">
        <v>13770</v>
      </c>
      <c r="C4522" s="2" t="s">
        <v>13771</v>
      </c>
      <c r="D4522" s="5" t="s">
        <v>13770</v>
      </c>
      <c r="E4522" s="2" t="s">
        <v>15441</v>
      </c>
      <c r="F4522" s="2" t="s">
        <v>15442</v>
      </c>
      <c r="G4522" s="2" t="s">
        <v>15443</v>
      </c>
      <c r="H4522" s="2" t="s">
        <v>15444</v>
      </c>
    </row>
    <row r="4523">
      <c r="A4523" s="2">
        <v>4521.0</v>
      </c>
      <c r="B4523" s="5" t="s">
        <v>13772</v>
      </c>
      <c r="C4523" s="2" t="s">
        <v>13773</v>
      </c>
      <c r="D4523" s="5" t="s">
        <v>13772</v>
      </c>
      <c r="E4523" s="2" t="s">
        <v>15441</v>
      </c>
      <c r="F4523" s="2" t="s">
        <v>15442</v>
      </c>
      <c r="G4523" s="2" t="s">
        <v>15456</v>
      </c>
      <c r="H4523" s="2" t="s">
        <v>15444</v>
      </c>
    </row>
    <row r="4524">
      <c r="A4524" s="2">
        <v>4522.0</v>
      </c>
      <c r="B4524" s="5" t="s">
        <v>13774</v>
      </c>
      <c r="C4524" s="2" t="s">
        <v>13775</v>
      </c>
      <c r="D4524" s="5" t="s">
        <v>13774</v>
      </c>
      <c r="E4524" s="2" t="s">
        <v>15441</v>
      </c>
      <c r="F4524" s="2" t="s">
        <v>15446</v>
      </c>
      <c r="G4524" s="2" t="s">
        <v>15456</v>
      </c>
      <c r="H4524" s="2" t="s">
        <v>15444</v>
      </c>
    </row>
    <row r="4525">
      <c r="A4525" s="2">
        <v>4523.0</v>
      </c>
      <c r="B4525" s="5" t="s">
        <v>13776</v>
      </c>
      <c r="C4525" s="2" t="s">
        <v>13777</v>
      </c>
      <c r="D4525" s="5" t="s">
        <v>13776</v>
      </c>
      <c r="E4525" s="2" t="s">
        <v>15441</v>
      </c>
      <c r="F4525" s="2" t="s">
        <v>15442</v>
      </c>
      <c r="G4525" s="2" t="s">
        <v>15443</v>
      </c>
      <c r="H4525" s="2" t="s">
        <v>15444</v>
      </c>
    </row>
    <row r="4526">
      <c r="A4526" s="2">
        <v>4524.0</v>
      </c>
      <c r="B4526" s="5" t="s">
        <v>13778</v>
      </c>
      <c r="C4526" s="2" t="s">
        <v>13779</v>
      </c>
      <c r="D4526" s="5" t="s">
        <v>13778</v>
      </c>
      <c r="E4526" s="2" t="s">
        <v>15441</v>
      </c>
      <c r="F4526" s="2" t="s">
        <v>15446</v>
      </c>
      <c r="G4526" s="2" t="s">
        <v>15456</v>
      </c>
      <c r="H4526" s="2" t="s">
        <v>15457</v>
      </c>
    </row>
    <row r="4527">
      <c r="A4527" s="2">
        <v>4525.0</v>
      </c>
      <c r="B4527" s="5" t="s">
        <v>6686</v>
      </c>
      <c r="C4527" s="2" t="s">
        <v>6687</v>
      </c>
      <c r="D4527" s="5" t="s">
        <v>6686</v>
      </c>
      <c r="E4527" s="2" t="s">
        <v>15445</v>
      </c>
      <c r="F4527" s="2" t="s">
        <v>15446</v>
      </c>
      <c r="G4527" s="2" t="s">
        <v>15443</v>
      </c>
      <c r="H4527" s="2" t="s">
        <v>15444</v>
      </c>
    </row>
    <row r="4528">
      <c r="A4528" s="2">
        <v>4526.0</v>
      </c>
      <c r="B4528" s="5" t="s">
        <v>13780</v>
      </c>
      <c r="C4528" s="2" t="s">
        <v>13781</v>
      </c>
      <c r="D4528" s="5" t="s">
        <v>13780</v>
      </c>
      <c r="E4528" s="2" t="s">
        <v>15441</v>
      </c>
      <c r="F4528" s="2" t="s">
        <v>15446</v>
      </c>
      <c r="G4528" s="2" t="s">
        <v>15443</v>
      </c>
      <c r="H4528" s="2" t="s">
        <v>15444</v>
      </c>
    </row>
    <row r="4529">
      <c r="A4529" s="2">
        <v>4527.0</v>
      </c>
      <c r="B4529" s="5" t="s">
        <v>13782</v>
      </c>
      <c r="C4529" s="2" t="s">
        <v>13783</v>
      </c>
      <c r="D4529" s="5" t="s">
        <v>13782</v>
      </c>
      <c r="E4529" s="2" t="s">
        <v>15441</v>
      </c>
      <c r="F4529" s="2" t="s">
        <v>15446</v>
      </c>
      <c r="G4529" s="2" t="s">
        <v>15456</v>
      </c>
      <c r="H4529" s="2" t="s">
        <v>15444</v>
      </c>
    </row>
    <row r="4530">
      <c r="A4530" s="2">
        <v>4528.0</v>
      </c>
      <c r="B4530" s="5" t="s">
        <v>6689</v>
      </c>
      <c r="C4530" s="2" t="s">
        <v>6690</v>
      </c>
      <c r="D4530" s="5" t="s">
        <v>6689</v>
      </c>
      <c r="E4530" s="2" t="s">
        <v>15445</v>
      </c>
      <c r="F4530" s="2" t="s">
        <v>15446</v>
      </c>
      <c r="G4530" s="2" t="s">
        <v>15456</v>
      </c>
      <c r="H4530" s="2" t="s">
        <v>15457</v>
      </c>
    </row>
    <row r="4531">
      <c r="A4531" s="2">
        <v>4529.0</v>
      </c>
      <c r="B4531" s="5" t="s">
        <v>6692</v>
      </c>
      <c r="C4531" s="2" t="s">
        <v>6693</v>
      </c>
      <c r="D4531" s="5" t="s">
        <v>6692</v>
      </c>
      <c r="E4531" s="2" t="s">
        <v>15445</v>
      </c>
      <c r="F4531" s="2" t="s">
        <v>15446</v>
      </c>
      <c r="G4531" s="2" t="s">
        <v>15456</v>
      </c>
      <c r="H4531" s="2" t="s">
        <v>15444</v>
      </c>
    </row>
    <row r="4532">
      <c r="A4532" s="2">
        <v>4530.0</v>
      </c>
      <c r="B4532" s="5" t="s">
        <v>6695</v>
      </c>
      <c r="C4532" s="2" t="s">
        <v>6696</v>
      </c>
      <c r="D4532" s="5" t="s">
        <v>6695</v>
      </c>
      <c r="E4532" s="2" t="s">
        <v>15445</v>
      </c>
      <c r="F4532" s="2" t="s">
        <v>15446</v>
      </c>
      <c r="G4532" s="2" t="s">
        <v>15443</v>
      </c>
      <c r="H4532" s="2" t="s">
        <v>15444</v>
      </c>
    </row>
    <row r="4533">
      <c r="A4533" s="2">
        <v>4531.0</v>
      </c>
      <c r="B4533" s="5" t="s">
        <v>13784</v>
      </c>
      <c r="C4533" s="2" t="s">
        <v>13785</v>
      </c>
      <c r="D4533" s="5" t="s">
        <v>13784</v>
      </c>
      <c r="E4533" s="2" t="s">
        <v>15441</v>
      </c>
      <c r="F4533" s="2" t="s">
        <v>15446</v>
      </c>
      <c r="G4533" s="2" t="s">
        <v>15456</v>
      </c>
      <c r="H4533" s="2" t="s">
        <v>15444</v>
      </c>
    </row>
    <row r="4534">
      <c r="A4534" s="2">
        <v>4532.0</v>
      </c>
      <c r="B4534" s="5" t="s">
        <v>13786</v>
      </c>
      <c r="C4534" s="2" t="s">
        <v>13787</v>
      </c>
      <c r="D4534" s="5" t="s">
        <v>13786</v>
      </c>
      <c r="E4534" s="2" t="s">
        <v>15441</v>
      </c>
      <c r="F4534" s="2" t="s">
        <v>15442</v>
      </c>
      <c r="G4534" s="2" t="s">
        <v>15443</v>
      </c>
      <c r="H4534" s="2" t="s">
        <v>15444</v>
      </c>
    </row>
    <row r="4535">
      <c r="A4535" s="2">
        <v>4533.0</v>
      </c>
      <c r="B4535" s="5" t="s">
        <v>6698</v>
      </c>
      <c r="C4535" s="2" t="s">
        <v>6699</v>
      </c>
      <c r="D4535" s="5" t="s">
        <v>6698</v>
      </c>
      <c r="E4535" s="2" t="s">
        <v>15445</v>
      </c>
      <c r="F4535" s="2" t="s">
        <v>15446</v>
      </c>
      <c r="G4535" s="2" t="s">
        <v>15456</v>
      </c>
      <c r="H4535" s="2" t="s">
        <v>15455</v>
      </c>
    </row>
    <row r="4536">
      <c r="A4536" s="2">
        <v>4534.0</v>
      </c>
      <c r="B4536" s="5" t="s">
        <v>6701</v>
      </c>
      <c r="C4536" s="2" t="s">
        <v>6702</v>
      </c>
      <c r="D4536" s="5" t="s">
        <v>6701</v>
      </c>
      <c r="E4536" s="2" t="s">
        <v>15445</v>
      </c>
      <c r="F4536" s="2" t="s">
        <v>15446</v>
      </c>
      <c r="G4536" s="2" t="s">
        <v>15443</v>
      </c>
      <c r="H4536" s="2" t="s">
        <v>15444</v>
      </c>
    </row>
    <row r="4537">
      <c r="A4537" s="2">
        <v>4535.0</v>
      </c>
      <c r="B4537" s="5" t="s">
        <v>13788</v>
      </c>
      <c r="C4537" s="2" t="s">
        <v>13789</v>
      </c>
      <c r="D4537" s="5" t="s">
        <v>13788</v>
      </c>
      <c r="E4537" s="2" t="s">
        <v>15441</v>
      </c>
      <c r="F4537" s="2" t="s">
        <v>15442</v>
      </c>
      <c r="G4537" s="2" t="s">
        <v>15443</v>
      </c>
      <c r="H4537" s="2" t="s">
        <v>15444</v>
      </c>
    </row>
    <row r="4538">
      <c r="A4538" s="2">
        <v>4536.0</v>
      </c>
      <c r="B4538" s="5" t="s">
        <v>6704</v>
      </c>
      <c r="C4538" s="2" t="s">
        <v>6705</v>
      </c>
      <c r="D4538" s="5" t="s">
        <v>6704</v>
      </c>
      <c r="E4538" s="2" t="s">
        <v>15445</v>
      </c>
      <c r="F4538" s="2" t="s">
        <v>15446</v>
      </c>
      <c r="G4538" s="2" t="s">
        <v>15456</v>
      </c>
      <c r="H4538" s="2" t="s">
        <v>15444</v>
      </c>
    </row>
    <row r="4539">
      <c r="A4539" s="2">
        <v>4537.0</v>
      </c>
      <c r="B4539" s="5" t="s">
        <v>6707</v>
      </c>
      <c r="C4539" s="2" t="s">
        <v>6708</v>
      </c>
      <c r="D4539" s="5" t="s">
        <v>6707</v>
      </c>
      <c r="E4539" s="2" t="s">
        <v>15445</v>
      </c>
      <c r="F4539" s="2" t="s">
        <v>15446</v>
      </c>
      <c r="G4539" s="2" t="s">
        <v>15456</v>
      </c>
      <c r="H4539" s="2" t="s">
        <v>15444</v>
      </c>
    </row>
    <row r="4540">
      <c r="A4540" s="2">
        <v>4538.0</v>
      </c>
      <c r="B4540" s="5" t="s">
        <v>6710</v>
      </c>
      <c r="C4540" s="2" t="s">
        <v>6711</v>
      </c>
      <c r="D4540" s="5" t="s">
        <v>6710</v>
      </c>
      <c r="E4540" s="2" t="s">
        <v>15445</v>
      </c>
      <c r="F4540" s="2" t="s">
        <v>15442</v>
      </c>
      <c r="G4540" s="2" t="s">
        <v>15443</v>
      </c>
      <c r="H4540" s="2" t="s">
        <v>15444</v>
      </c>
    </row>
    <row r="4541">
      <c r="A4541" s="2">
        <v>4539.0</v>
      </c>
      <c r="B4541" s="5" t="s">
        <v>6713</v>
      </c>
      <c r="C4541" s="2" t="s">
        <v>6714</v>
      </c>
      <c r="D4541" s="5" t="s">
        <v>6713</v>
      </c>
      <c r="E4541" s="2" t="s">
        <v>15445</v>
      </c>
      <c r="F4541" s="2" t="s">
        <v>15446</v>
      </c>
      <c r="G4541" s="2" t="s">
        <v>15456</v>
      </c>
      <c r="H4541" s="2" t="s">
        <v>15444</v>
      </c>
    </row>
    <row r="4542">
      <c r="A4542" s="2">
        <v>4540.0</v>
      </c>
      <c r="B4542" s="5" t="s">
        <v>13790</v>
      </c>
      <c r="C4542" s="2" t="s">
        <v>13791</v>
      </c>
      <c r="D4542" s="5" t="s">
        <v>13790</v>
      </c>
      <c r="E4542" s="2" t="s">
        <v>15441</v>
      </c>
      <c r="F4542" s="2" t="s">
        <v>15442</v>
      </c>
      <c r="G4542" s="2" t="s">
        <v>15456</v>
      </c>
      <c r="H4542" s="2" t="s">
        <v>15444</v>
      </c>
    </row>
    <row r="4543">
      <c r="A4543" s="2">
        <v>4541.0</v>
      </c>
      <c r="B4543" s="5" t="s">
        <v>13792</v>
      </c>
      <c r="C4543" s="2" t="s">
        <v>13793</v>
      </c>
      <c r="D4543" s="5" t="s">
        <v>13792</v>
      </c>
      <c r="E4543" s="2" t="s">
        <v>15441</v>
      </c>
      <c r="F4543" s="2" t="s">
        <v>15446</v>
      </c>
      <c r="G4543" s="2" t="s">
        <v>15443</v>
      </c>
      <c r="H4543" s="2" t="s">
        <v>15457</v>
      </c>
    </row>
    <row r="4544">
      <c r="A4544" s="2">
        <v>4542.0</v>
      </c>
      <c r="B4544" s="5" t="s">
        <v>6716</v>
      </c>
      <c r="C4544" s="2" t="s">
        <v>6717</v>
      </c>
      <c r="D4544" s="5" t="s">
        <v>6716</v>
      </c>
      <c r="E4544" s="2" t="s">
        <v>15445</v>
      </c>
      <c r="F4544" s="2" t="s">
        <v>15446</v>
      </c>
      <c r="G4544" s="2" t="s">
        <v>15456</v>
      </c>
      <c r="H4544" s="2" t="s">
        <v>15444</v>
      </c>
    </row>
    <row r="4545">
      <c r="A4545" s="2">
        <v>4543.0</v>
      </c>
      <c r="B4545" s="5" t="s">
        <v>6719</v>
      </c>
      <c r="C4545" s="2" t="s">
        <v>6720</v>
      </c>
      <c r="D4545" s="5" t="s">
        <v>6719</v>
      </c>
      <c r="E4545" s="2" t="s">
        <v>15445</v>
      </c>
      <c r="F4545" s="2" t="s">
        <v>15446</v>
      </c>
      <c r="G4545" s="2" t="s">
        <v>15443</v>
      </c>
      <c r="H4545" s="2" t="s">
        <v>15457</v>
      </c>
    </row>
    <row r="4546">
      <c r="A4546" s="2">
        <v>4544.0</v>
      </c>
      <c r="B4546" s="5" t="s">
        <v>6722</v>
      </c>
      <c r="C4546" s="2" t="s">
        <v>6723</v>
      </c>
      <c r="D4546" s="5" t="s">
        <v>6722</v>
      </c>
      <c r="E4546" s="2" t="s">
        <v>15445</v>
      </c>
      <c r="F4546" s="2" t="s">
        <v>15442</v>
      </c>
      <c r="G4546" s="2" t="s">
        <v>15443</v>
      </c>
      <c r="H4546" s="2" t="s">
        <v>15444</v>
      </c>
    </row>
    <row r="4547">
      <c r="A4547" s="2">
        <v>4545.0</v>
      </c>
      <c r="B4547" s="5" t="s">
        <v>13794</v>
      </c>
      <c r="C4547" s="2" t="s">
        <v>13795</v>
      </c>
      <c r="D4547" s="5" t="s">
        <v>13794</v>
      </c>
      <c r="E4547" s="2" t="s">
        <v>15441</v>
      </c>
      <c r="F4547" s="2" t="s">
        <v>15446</v>
      </c>
      <c r="G4547" s="2" t="s">
        <v>15443</v>
      </c>
      <c r="H4547" s="2" t="s">
        <v>15444</v>
      </c>
    </row>
    <row r="4548">
      <c r="A4548" s="2">
        <v>4546.0</v>
      </c>
      <c r="B4548" s="5" t="s">
        <v>13796</v>
      </c>
      <c r="C4548" s="2" t="s">
        <v>13797</v>
      </c>
      <c r="D4548" s="5" t="s">
        <v>13796</v>
      </c>
      <c r="E4548" s="2" t="s">
        <v>15441</v>
      </c>
      <c r="F4548" s="2" t="s">
        <v>15442</v>
      </c>
      <c r="G4548" s="2" t="s">
        <v>15443</v>
      </c>
      <c r="H4548" s="2" t="s">
        <v>15444</v>
      </c>
    </row>
    <row r="4549">
      <c r="A4549" s="2">
        <v>4547.0</v>
      </c>
      <c r="B4549" s="5" t="s">
        <v>13798</v>
      </c>
      <c r="C4549" s="2" t="s">
        <v>13799</v>
      </c>
      <c r="D4549" s="5" t="s">
        <v>13798</v>
      </c>
      <c r="E4549" s="2" t="s">
        <v>15441</v>
      </c>
      <c r="F4549" s="2" t="s">
        <v>15446</v>
      </c>
      <c r="G4549" s="2" t="s">
        <v>15456</v>
      </c>
      <c r="H4549" s="2" t="s">
        <v>15444</v>
      </c>
    </row>
    <row r="4550">
      <c r="A4550" s="2">
        <v>4548.0</v>
      </c>
      <c r="B4550" s="5" t="s">
        <v>13800</v>
      </c>
      <c r="C4550" s="2" t="s">
        <v>13801</v>
      </c>
      <c r="D4550" s="5" t="s">
        <v>13800</v>
      </c>
      <c r="E4550" s="2" t="s">
        <v>15441</v>
      </c>
      <c r="F4550" s="2" t="s">
        <v>15442</v>
      </c>
      <c r="G4550" s="2" t="s">
        <v>15443</v>
      </c>
      <c r="H4550" s="2" t="s">
        <v>15444</v>
      </c>
    </row>
    <row r="4551">
      <c r="A4551" s="2">
        <v>4549.0</v>
      </c>
      <c r="B4551" s="5" t="s">
        <v>6725</v>
      </c>
      <c r="C4551" s="2" t="s">
        <v>6726</v>
      </c>
      <c r="D4551" s="5" t="s">
        <v>6725</v>
      </c>
      <c r="E4551" s="2" t="s">
        <v>15445</v>
      </c>
      <c r="F4551" s="2" t="s">
        <v>15442</v>
      </c>
      <c r="G4551" s="2" t="s">
        <v>15456</v>
      </c>
      <c r="H4551" s="2" t="s">
        <v>15444</v>
      </c>
    </row>
    <row r="4552">
      <c r="A4552" s="2">
        <v>4550.0</v>
      </c>
      <c r="B4552" s="5" t="s">
        <v>13802</v>
      </c>
      <c r="C4552" s="2" t="s">
        <v>13803</v>
      </c>
      <c r="D4552" s="5" t="s">
        <v>13802</v>
      </c>
      <c r="E4552" s="2" t="s">
        <v>15441</v>
      </c>
      <c r="F4552" s="2" t="s">
        <v>15446</v>
      </c>
      <c r="G4552" s="2" t="s">
        <v>15443</v>
      </c>
      <c r="H4552" s="2" t="s">
        <v>15444</v>
      </c>
    </row>
    <row r="4553">
      <c r="A4553" s="2">
        <v>4551.0</v>
      </c>
      <c r="B4553" s="5" t="s">
        <v>6728</v>
      </c>
      <c r="C4553" s="2" t="s">
        <v>6729</v>
      </c>
      <c r="D4553" s="5" t="s">
        <v>6728</v>
      </c>
      <c r="E4553" s="2" t="s">
        <v>15445</v>
      </c>
      <c r="F4553" s="2" t="s">
        <v>15442</v>
      </c>
      <c r="G4553" s="2" t="s">
        <v>15443</v>
      </c>
      <c r="H4553" s="2" t="s">
        <v>15444</v>
      </c>
    </row>
    <row r="4554">
      <c r="A4554" s="2">
        <v>4552.0</v>
      </c>
      <c r="B4554" s="5" t="s">
        <v>13804</v>
      </c>
      <c r="C4554" s="2" t="s">
        <v>13805</v>
      </c>
      <c r="D4554" s="5" t="s">
        <v>13804</v>
      </c>
      <c r="E4554" s="2" t="s">
        <v>15441</v>
      </c>
      <c r="F4554" s="2" t="s">
        <v>15442</v>
      </c>
      <c r="G4554" s="2" t="s">
        <v>15456</v>
      </c>
      <c r="H4554" s="2" t="s">
        <v>15444</v>
      </c>
    </row>
    <row r="4555">
      <c r="A4555" s="2">
        <v>4553.0</v>
      </c>
      <c r="B4555" s="5" t="s">
        <v>13806</v>
      </c>
      <c r="C4555" s="2" t="s">
        <v>13807</v>
      </c>
      <c r="D4555" s="5" t="s">
        <v>13806</v>
      </c>
      <c r="E4555" s="2" t="s">
        <v>15441</v>
      </c>
      <c r="F4555" s="2" t="s">
        <v>15446</v>
      </c>
      <c r="G4555" s="2" t="s">
        <v>15456</v>
      </c>
      <c r="H4555" s="2" t="s">
        <v>15444</v>
      </c>
    </row>
    <row r="4556">
      <c r="A4556" s="2">
        <v>4554.0</v>
      </c>
      <c r="B4556" s="5" t="s">
        <v>6731</v>
      </c>
      <c r="C4556" s="2" t="s">
        <v>6732</v>
      </c>
      <c r="D4556" s="5" t="s">
        <v>6731</v>
      </c>
      <c r="E4556" s="2" t="s">
        <v>15445</v>
      </c>
      <c r="F4556" s="2" t="s">
        <v>15446</v>
      </c>
      <c r="G4556" s="2" t="s">
        <v>15456</v>
      </c>
      <c r="H4556" s="2" t="s">
        <v>15444</v>
      </c>
    </row>
    <row r="4557">
      <c r="A4557" s="2">
        <v>4555.0</v>
      </c>
      <c r="B4557" s="5" t="s">
        <v>6734</v>
      </c>
      <c r="C4557" s="2" t="s">
        <v>6735</v>
      </c>
      <c r="D4557" s="5" t="s">
        <v>6734</v>
      </c>
      <c r="E4557" s="2" t="s">
        <v>15445</v>
      </c>
      <c r="F4557" s="2" t="s">
        <v>15446</v>
      </c>
      <c r="G4557" s="2" t="s">
        <v>15456</v>
      </c>
      <c r="H4557" s="2" t="s">
        <v>15457</v>
      </c>
    </row>
    <row r="4558">
      <c r="A4558" s="2">
        <v>4556.0</v>
      </c>
      <c r="B4558" s="5" t="s">
        <v>6737</v>
      </c>
      <c r="C4558" s="2" t="s">
        <v>6738</v>
      </c>
      <c r="D4558" s="5" t="s">
        <v>6737</v>
      </c>
      <c r="E4558" s="2" t="s">
        <v>15445</v>
      </c>
      <c r="F4558" s="2" t="s">
        <v>15442</v>
      </c>
      <c r="G4558" s="2" t="s">
        <v>15443</v>
      </c>
      <c r="H4558" s="2" t="s">
        <v>15444</v>
      </c>
    </row>
    <row r="4559">
      <c r="A4559" s="2">
        <v>4557.0</v>
      </c>
      <c r="B4559" s="5" t="s">
        <v>13808</v>
      </c>
      <c r="C4559" s="2" t="s">
        <v>13809</v>
      </c>
      <c r="D4559" s="5" t="s">
        <v>13808</v>
      </c>
      <c r="E4559" s="2" t="s">
        <v>15441</v>
      </c>
      <c r="F4559" s="2" t="s">
        <v>15442</v>
      </c>
      <c r="G4559" s="2" t="s">
        <v>15443</v>
      </c>
      <c r="H4559" s="2" t="s">
        <v>15444</v>
      </c>
    </row>
    <row r="4560">
      <c r="A4560" s="2">
        <v>4558.0</v>
      </c>
      <c r="B4560" s="5" t="s">
        <v>6740</v>
      </c>
      <c r="C4560" s="2" t="s">
        <v>6741</v>
      </c>
      <c r="D4560" s="5" t="s">
        <v>6740</v>
      </c>
      <c r="E4560" s="2" t="s">
        <v>15445</v>
      </c>
      <c r="F4560" s="2" t="s">
        <v>15446</v>
      </c>
      <c r="G4560" s="2" t="s">
        <v>15456</v>
      </c>
      <c r="H4560" s="2" t="s">
        <v>15457</v>
      </c>
    </row>
    <row r="4561">
      <c r="A4561" s="2">
        <v>4559.0</v>
      </c>
      <c r="B4561" s="5" t="s">
        <v>13810</v>
      </c>
      <c r="C4561" s="2" t="s">
        <v>13811</v>
      </c>
      <c r="D4561" s="5" t="s">
        <v>13810</v>
      </c>
      <c r="E4561" s="2" t="s">
        <v>15441</v>
      </c>
      <c r="F4561" s="2" t="s">
        <v>15446</v>
      </c>
      <c r="G4561" s="2" t="s">
        <v>15456</v>
      </c>
      <c r="H4561" s="2" t="s">
        <v>15444</v>
      </c>
    </row>
    <row r="4562">
      <c r="A4562" s="2">
        <v>4560.0</v>
      </c>
      <c r="B4562" s="5" t="s">
        <v>6743</v>
      </c>
      <c r="C4562" s="2" t="s">
        <v>6744</v>
      </c>
      <c r="D4562" s="5" t="s">
        <v>6743</v>
      </c>
      <c r="E4562" s="2" t="s">
        <v>15445</v>
      </c>
      <c r="F4562" s="2" t="s">
        <v>15446</v>
      </c>
      <c r="G4562" s="2" t="s">
        <v>15456</v>
      </c>
      <c r="H4562" s="2" t="s">
        <v>15457</v>
      </c>
    </row>
    <row r="4563">
      <c r="A4563" s="2">
        <v>4561.0</v>
      </c>
      <c r="B4563" s="5" t="s">
        <v>13812</v>
      </c>
      <c r="C4563" s="2" t="s">
        <v>13813</v>
      </c>
      <c r="D4563" s="5" t="s">
        <v>13812</v>
      </c>
      <c r="E4563" s="2" t="s">
        <v>15441</v>
      </c>
      <c r="F4563" s="2" t="s">
        <v>15442</v>
      </c>
      <c r="G4563" s="2" t="s">
        <v>15443</v>
      </c>
      <c r="H4563" s="2" t="s">
        <v>15444</v>
      </c>
    </row>
    <row r="4564">
      <c r="A4564" s="2">
        <v>4562.0</v>
      </c>
      <c r="B4564" s="5" t="s">
        <v>13814</v>
      </c>
      <c r="C4564" s="2" t="s">
        <v>13815</v>
      </c>
      <c r="D4564" s="5" t="s">
        <v>13814</v>
      </c>
      <c r="E4564" s="2" t="s">
        <v>15441</v>
      </c>
      <c r="F4564" s="2" t="s">
        <v>15442</v>
      </c>
      <c r="G4564" s="2" t="s">
        <v>15456</v>
      </c>
      <c r="H4564" s="2" t="s">
        <v>15444</v>
      </c>
    </row>
    <row r="4565">
      <c r="A4565" s="2">
        <v>4563.0</v>
      </c>
      <c r="B4565" s="5" t="s">
        <v>13816</v>
      </c>
      <c r="C4565" s="2" t="s">
        <v>13817</v>
      </c>
      <c r="D4565" s="5" t="s">
        <v>13816</v>
      </c>
      <c r="E4565" s="2" t="s">
        <v>15441</v>
      </c>
      <c r="F4565" s="2" t="s">
        <v>15446</v>
      </c>
      <c r="G4565" s="2" t="s">
        <v>15443</v>
      </c>
      <c r="H4565" s="2" t="s">
        <v>15444</v>
      </c>
    </row>
    <row r="4566">
      <c r="A4566" s="2">
        <v>4564.0</v>
      </c>
      <c r="B4566" s="5" t="s">
        <v>6746</v>
      </c>
      <c r="C4566" s="2" t="s">
        <v>6747</v>
      </c>
      <c r="D4566" s="5" t="s">
        <v>6746</v>
      </c>
      <c r="E4566" s="2" t="s">
        <v>15445</v>
      </c>
      <c r="F4566" s="2" t="s">
        <v>15442</v>
      </c>
      <c r="G4566" s="2" t="s">
        <v>15443</v>
      </c>
      <c r="H4566" s="2" t="s">
        <v>15444</v>
      </c>
    </row>
    <row r="4567">
      <c r="A4567" s="2">
        <v>4565.0</v>
      </c>
      <c r="B4567" s="5" t="s">
        <v>6749</v>
      </c>
      <c r="C4567" s="2" t="s">
        <v>6750</v>
      </c>
      <c r="D4567" s="5" t="s">
        <v>6749</v>
      </c>
      <c r="E4567" s="2" t="s">
        <v>15445</v>
      </c>
      <c r="F4567" s="2" t="s">
        <v>15446</v>
      </c>
      <c r="G4567" s="2" t="s">
        <v>15456</v>
      </c>
      <c r="H4567" s="2" t="s">
        <v>15444</v>
      </c>
    </row>
    <row r="4568">
      <c r="A4568" s="2">
        <v>4566.0</v>
      </c>
      <c r="B4568" s="5" t="s">
        <v>13818</v>
      </c>
      <c r="C4568" s="2" t="s">
        <v>13819</v>
      </c>
      <c r="D4568" s="5" t="s">
        <v>13818</v>
      </c>
      <c r="E4568" s="2" t="s">
        <v>15441</v>
      </c>
      <c r="F4568" s="2" t="s">
        <v>15442</v>
      </c>
      <c r="G4568" s="2" t="s">
        <v>15443</v>
      </c>
      <c r="H4568" s="2" t="s">
        <v>15444</v>
      </c>
    </row>
    <row r="4569">
      <c r="A4569" s="2">
        <v>4567.0</v>
      </c>
      <c r="B4569" s="5" t="s">
        <v>13820</v>
      </c>
      <c r="C4569" s="2" t="s">
        <v>13821</v>
      </c>
      <c r="D4569" s="5" t="s">
        <v>13820</v>
      </c>
      <c r="E4569" s="2" t="s">
        <v>15441</v>
      </c>
      <c r="F4569" s="2" t="s">
        <v>15446</v>
      </c>
      <c r="G4569" s="2" t="s">
        <v>15443</v>
      </c>
      <c r="H4569" s="2" t="s">
        <v>15444</v>
      </c>
    </row>
    <row r="4570">
      <c r="A4570" s="2">
        <v>4568.0</v>
      </c>
      <c r="B4570" s="5" t="s">
        <v>13822</v>
      </c>
      <c r="C4570" s="2" t="s">
        <v>13823</v>
      </c>
      <c r="D4570" s="5" t="s">
        <v>13822</v>
      </c>
      <c r="E4570" s="2" t="s">
        <v>15441</v>
      </c>
      <c r="F4570" s="2" t="s">
        <v>15442</v>
      </c>
      <c r="G4570" s="2" t="s">
        <v>15456</v>
      </c>
      <c r="H4570" s="2" t="s">
        <v>15444</v>
      </c>
    </row>
    <row r="4571">
      <c r="A4571" s="2">
        <v>4569.0</v>
      </c>
      <c r="B4571" s="5" t="s">
        <v>6752</v>
      </c>
      <c r="C4571" s="2" t="s">
        <v>6753</v>
      </c>
      <c r="D4571" s="5" t="s">
        <v>6752</v>
      </c>
      <c r="E4571" s="2" t="s">
        <v>15445</v>
      </c>
      <c r="F4571" s="2" t="s">
        <v>15446</v>
      </c>
      <c r="G4571" s="2" t="s">
        <v>15456</v>
      </c>
      <c r="H4571" s="2" t="s">
        <v>15444</v>
      </c>
    </row>
    <row r="4572">
      <c r="A4572" s="2">
        <v>4570.0</v>
      </c>
      <c r="B4572" s="5" t="s">
        <v>6755</v>
      </c>
      <c r="C4572" s="2" t="s">
        <v>6756</v>
      </c>
      <c r="D4572" s="5" t="s">
        <v>6755</v>
      </c>
      <c r="E4572" s="2" t="s">
        <v>15445</v>
      </c>
      <c r="F4572" s="2" t="s">
        <v>15446</v>
      </c>
      <c r="G4572" s="2" t="s">
        <v>15456</v>
      </c>
      <c r="H4572" s="2" t="s">
        <v>15444</v>
      </c>
    </row>
    <row r="4573">
      <c r="A4573" s="2">
        <v>4571.0</v>
      </c>
      <c r="B4573" s="5" t="s">
        <v>13824</v>
      </c>
      <c r="C4573" s="2" t="s">
        <v>13825</v>
      </c>
      <c r="D4573" s="5" t="s">
        <v>13824</v>
      </c>
      <c r="E4573" s="2" t="s">
        <v>15441</v>
      </c>
      <c r="F4573" s="2" t="s">
        <v>15442</v>
      </c>
      <c r="G4573" s="2" t="s">
        <v>15443</v>
      </c>
      <c r="H4573" s="2" t="s">
        <v>15444</v>
      </c>
    </row>
    <row r="4574">
      <c r="A4574" s="2">
        <v>4572.0</v>
      </c>
      <c r="B4574" s="5" t="s">
        <v>6758</v>
      </c>
      <c r="C4574" s="2" t="s">
        <v>6759</v>
      </c>
      <c r="D4574" s="5" t="s">
        <v>6758</v>
      </c>
      <c r="E4574" s="2" t="s">
        <v>15445</v>
      </c>
      <c r="F4574" s="2" t="s">
        <v>15446</v>
      </c>
      <c r="G4574" s="2" t="s">
        <v>15456</v>
      </c>
      <c r="H4574" s="2" t="s">
        <v>15462</v>
      </c>
    </row>
    <row r="4575">
      <c r="A4575" s="2">
        <v>4573.0</v>
      </c>
      <c r="B4575" s="5" t="s">
        <v>6761</v>
      </c>
      <c r="C4575" s="2" t="s">
        <v>6762</v>
      </c>
      <c r="D4575" s="5" t="s">
        <v>6761</v>
      </c>
      <c r="E4575" s="2" t="s">
        <v>15445</v>
      </c>
      <c r="F4575" s="2" t="s">
        <v>15446</v>
      </c>
      <c r="G4575" s="2" t="s">
        <v>15456</v>
      </c>
      <c r="H4575" s="2" t="s">
        <v>15444</v>
      </c>
    </row>
    <row r="4576">
      <c r="A4576" s="2">
        <v>4574.0</v>
      </c>
      <c r="B4576" s="5" t="s">
        <v>13826</v>
      </c>
      <c r="C4576" s="2" t="s">
        <v>13827</v>
      </c>
      <c r="D4576" s="5" t="s">
        <v>13826</v>
      </c>
      <c r="E4576" s="2" t="s">
        <v>15441</v>
      </c>
      <c r="F4576" s="2" t="s">
        <v>15442</v>
      </c>
      <c r="G4576" s="2" t="s">
        <v>15443</v>
      </c>
      <c r="H4576" s="2" t="s">
        <v>15444</v>
      </c>
    </row>
    <row r="4577">
      <c r="A4577" s="2">
        <v>4575.0</v>
      </c>
      <c r="B4577" s="5" t="s">
        <v>6764</v>
      </c>
      <c r="C4577" s="2" t="s">
        <v>6765</v>
      </c>
      <c r="D4577" s="5" t="s">
        <v>6764</v>
      </c>
      <c r="E4577" s="2" t="s">
        <v>15445</v>
      </c>
      <c r="F4577" s="2" t="s">
        <v>15446</v>
      </c>
      <c r="G4577" s="2" t="s">
        <v>15456</v>
      </c>
      <c r="H4577" s="2" t="s">
        <v>15444</v>
      </c>
    </row>
    <row r="4578">
      <c r="A4578" s="2">
        <v>4576.0</v>
      </c>
      <c r="B4578" s="5" t="s">
        <v>6767</v>
      </c>
      <c r="C4578" s="2" t="s">
        <v>6768</v>
      </c>
      <c r="D4578" s="5" t="s">
        <v>6767</v>
      </c>
      <c r="E4578" s="2" t="s">
        <v>15445</v>
      </c>
      <c r="F4578" s="2" t="s">
        <v>15442</v>
      </c>
      <c r="G4578" s="2" t="s">
        <v>15443</v>
      </c>
      <c r="H4578" s="2" t="s">
        <v>15444</v>
      </c>
    </row>
    <row r="4579">
      <c r="A4579" s="2">
        <v>4577.0</v>
      </c>
      <c r="B4579" s="5" t="s">
        <v>13828</v>
      </c>
      <c r="C4579" s="2" t="s">
        <v>13829</v>
      </c>
      <c r="D4579" s="5" t="s">
        <v>13828</v>
      </c>
      <c r="E4579" s="2" t="s">
        <v>15441</v>
      </c>
      <c r="F4579" s="2" t="s">
        <v>15446</v>
      </c>
      <c r="G4579" s="2" t="s">
        <v>15456</v>
      </c>
      <c r="H4579" s="2" t="s">
        <v>15444</v>
      </c>
    </row>
    <row r="4580">
      <c r="A4580" s="2">
        <v>4578.0</v>
      </c>
      <c r="B4580" s="5" t="s">
        <v>6770</v>
      </c>
      <c r="C4580" s="2" t="s">
        <v>6771</v>
      </c>
      <c r="D4580" s="5" t="s">
        <v>6770</v>
      </c>
      <c r="E4580" s="2" t="s">
        <v>15445</v>
      </c>
      <c r="F4580" s="2" t="s">
        <v>15446</v>
      </c>
      <c r="G4580" s="2" t="s">
        <v>15456</v>
      </c>
      <c r="H4580" s="2" t="s">
        <v>15444</v>
      </c>
    </row>
    <row r="4581">
      <c r="A4581" s="2">
        <v>4579.0</v>
      </c>
      <c r="B4581" s="5" t="s">
        <v>13830</v>
      </c>
      <c r="C4581" s="2" t="s">
        <v>13831</v>
      </c>
      <c r="D4581" s="5" t="s">
        <v>13830</v>
      </c>
      <c r="E4581" s="2" t="s">
        <v>15441</v>
      </c>
      <c r="F4581" s="2" t="s">
        <v>15446</v>
      </c>
      <c r="G4581" s="2" t="s">
        <v>15456</v>
      </c>
      <c r="H4581" s="2" t="s">
        <v>15444</v>
      </c>
    </row>
    <row r="4582">
      <c r="A4582" s="2">
        <v>4580.0</v>
      </c>
      <c r="B4582" s="5" t="s">
        <v>13832</v>
      </c>
      <c r="C4582" s="2" t="s">
        <v>13833</v>
      </c>
      <c r="D4582" s="5" t="s">
        <v>13832</v>
      </c>
      <c r="E4582" s="2" t="s">
        <v>15441</v>
      </c>
      <c r="F4582" s="2" t="s">
        <v>15442</v>
      </c>
      <c r="G4582" s="2" t="s">
        <v>15443</v>
      </c>
      <c r="H4582" s="2" t="s">
        <v>15455</v>
      </c>
    </row>
    <row r="4583">
      <c r="A4583" s="2">
        <v>4581.0</v>
      </c>
      <c r="B4583" s="5" t="s">
        <v>13834</v>
      </c>
      <c r="C4583" s="2" t="s">
        <v>13835</v>
      </c>
      <c r="D4583" s="5" t="s">
        <v>13834</v>
      </c>
      <c r="E4583" s="2" t="s">
        <v>15441</v>
      </c>
      <c r="F4583" s="2" t="s">
        <v>15446</v>
      </c>
      <c r="G4583" s="2" t="s">
        <v>15456</v>
      </c>
      <c r="H4583" s="2" t="s">
        <v>15444</v>
      </c>
    </row>
    <row r="4584">
      <c r="A4584" s="2">
        <v>4582.0</v>
      </c>
      <c r="B4584" s="5" t="s">
        <v>13836</v>
      </c>
      <c r="C4584" s="2" t="s">
        <v>13837</v>
      </c>
      <c r="D4584" s="5" t="s">
        <v>13836</v>
      </c>
      <c r="E4584" s="2" t="s">
        <v>15441</v>
      </c>
      <c r="F4584" s="2" t="s">
        <v>15446</v>
      </c>
      <c r="G4584" s="2" t="s">
        <v>15456</v>
      </c>
      <c r="H4584" s="2" t="s">
        <v>15444</v>
      </c>
    </row>
    <row r="4585">
      <c r="A4585" s="2">
        <v>4583.0</v>
      </c>
      <c r="B4585" s="5" t="s">
        <v>6773</v>
      </c>
      <c r="C4585" s="2" t="s">
        <v>6774</v>
      </c>
      <c r="D4585" s="5" t="s">
        <v>6773</v>
      </c>
      <c r="E4585" s="2" t="s">
        <v>15445</v>
      </c>
      <c r="F4585" s="2" t="s">
        <v>15442</v>
      </c>
      <c r="G4585" s="2" t="s">
        <v>15456</v>
      </c>
      <c r="H4585" s="2" t="s">
        <v>15444</v>
      </c>
    </row>
    <row r="4586">
      <c r="A4586" s="2">
        <v>4584.0</v>
      </c>
      <c r="B4586" s="5" t="s">
        <v>6776</v>
      </c>
      <c r="C4586" s="2" t="s">
        <v>6777</v>
      </c>
      <c r="D4586" s="5" t="s">
        <v>6776</v>
      </c>
      <c r="E4586" s="2" t="s">
        <v>15445</v>
      </c>
      <c r="F4586" s="2" t="s">
        <v>15446</v>
      </c>
      <c r="G4586" s="2" t="s">
        <v>15456</v>
      </c>
      <c r="H4586" s="2" t="s">
        <v>15444</v>
      </c>
    </row>
    <row r="4587">
      <c r="A4587" s="2">
        <v>4585.0</v>
      </c>
      <c r="B4587" s="5" t="s">
        <v>6779</v>
      </c>
      <c r="C4587" s="2" t="s">
        <v>6780</v>
      </c>
      <c r="D4587" s="5" t="s">
        <v>6779</v>
      </c>
      <c r="E4587" s="2" t="s">
        <v>15445</v>
      </c>
      <c r="F4587" s="2" t="s">
        <v>15446</v>
      </c>
      <c r="G4587" s="2" t="s">
        <v>15456</v>
      </c>
      <c r="H4587" s="2" t="s">
        <v>15444</v>
      </c>
    </row>
    <row r="4588">
      <c r="A4588" s="2">
        <v>4586.0</v>
      </c>
      <c r="B4588" s="5" t="s">
        <v>13838</v>
      </c>
      <c r="C4588" s="2" t="s">
        <v>13839</v>
      </c>
      <c r="D4588" s="5" t="s">
        <v>13838</v>
      </c>
      <c r="E4588" s="2" t="s">
        <v>15441</v>
      </c>
      <c r="F4588" s="2" t="s">
        <v>15442</v>
      </c>
      <c r="G4588" s="2" t="s">
        <v>15443</v>
      </c>
      <c r="H4588" s="2" t="s">
        <v>15444</v>
      </c>
    </row>
    <row r="4589">
      <c r="A4589" s="2">
        <v>4587.0</v>
      </c>
      <c r="B4589" s="5" t="s">
        <v>6782</v>
      </c>
      <c r="C4589" s="2" t="s">
        <v>6783</v>
      </c>
      <c r="D4589" s="5" t="s">
        <v>6782</v>
      </c>
      <c r="E4589" s="2" t="s">
        <v>15445</v>
      </c>
      <c r="F4589" s="2" t="s">
        <v>15442</v>
      </c>
      <c r="G4589" s="2" t="s">
        <v>15456</v>
      </c>
      <c r="H4589" s="2" t="s">
        <v>15444</v>
      </c>
    </row>
    <row r="4590">
      <c r="A4590" s="2">
        <v>4588.0</v>
      </c>
      <c r="B4590" s="5" t="s">
        <v>6785</v>
      </c>
      <c r="C4590" s="2" t="s">
        <v>6786</v>
      </c>
      <c r="D4590" s="5" t="s">
        <v>6785</v>
      </c>
      <c r="E4590" s="2" t="s">
        <v>15445</v>
      </c>
      <c r="F4590" s="2" t="s">
        <v>15442</v>
      </c>
      <c r="G4590" s="2" t="s">
        <v>15443</v>
      </c>
      <c r="H4590" s="2" t="s">
        <v>15444</v>
      </c>
    </row>
    <row r="4591">
      <c r="A4591" s="2">
        <v>4589.0</v>
      </c>
      <c r="B4591" s="5" t="s">
        <v>6788</v>
      </c>
      <c r="C4591" s="2" t="s">
        <v>6789</v>
      </c>
      <c r="D4591" s="5" t="s">
        <v>6788</v>
      </c>
      <c r="E4591" s="2" t="s">
        <v>15445</v>
      </c>
      <c r="F4591" s="2" t="s">
        <v>15442</v>
      </c>
      <c r="G4591" s="2" t="s">
        <v>15443</v>
      </c>
      <c r="H4591" s="2" t="s">
        <v>15455</v>
      </c>
    </row>
    <row r="4592">
      <c r="A4592" s="2">
        <v>4590.0</v>
      </c>
      <c r="B4592" s="5" t="s">
        <v>6791</v>
      </c>
      <c r="C4592" s="2" t="s">
        <v>6792</v>
      </c>
      <c r="D4592" s="5" t="s">
        <v>6791</v>
      </c>
      <c r="E4592" s="2" t="s">
        <v>15445</v>
      </c>
      <c r="F4592" s="2" t="s">
        <v>15446</v>
      </c>
      <c r="G4592" s="2" t="s">
        <v>15443</v>
      </c>
      <c r="H4592" s="2" t="s">
        <v>15444</v>
      </c>
    </row>
    <row r="4593">
      <c r="A4593" s="2">
        <v>4591.0</v>
      </c>
      <c r="B4593" s="5" t="s">
        <v>6794</v>
      </c>
      <c r="C4593" s="2" t="s">
        <v>6795</v>
      </c>
      <c r="D4593" s="5" t="s">
        <v>6794</v>
      </c>
      <c r="E4593" s="2" t="s">
        <v>15445</v>
      </c>
      <c r="F4593" s="2" t="s">
        <v>15442</v>
      </c>
      <c r="G4593" s="2" t="s">
        <v>15443</v>
      </c>
      <c r="H4593" s="2" t="s">
        <v>15444</v>
      </c>
    </row>
    <row r="4594">
      <c r="A4594" s="2">
        <v>4592.0</v>
      </c>
      <c r="B4594" s="5" t="s">
        <v>13840</v>
      </c>
      <c r="C4594" s="2" t="s">
        <v>13841</v>
      </c>
      <c r="D4594" s="5" t="s">
        <v>13840</v>
      </c>
      <c r="E4594" s="2" t="s">
        <v>15441</v>
      </c>
      <c r="F4594" s="2" t="s">
        <v>15446</v>
      </c>
      <c r="G4594" s="2" t="s">
        <v>15443</v>
      </c>
      <c r="H4594" s="2" t="s">
        <v>15444</v>
      </c>
    </row>
    <row r="4595">
      <c r="A4595" s="2">
        <v>4593.0</v>
      </c>
      <c r="B4595" s="5" t="s">
        <v>6797</v>
      </c>
      <c r="C4595" s="2" t="s">
        <v>6798</v>
      </c>
      <c r="D4595" s="5" t="s">
        <v>6797</v>
      </c>
      <c r="E4595" s="2" t="s">
        <v>15445</v>
      </c>
      <c r="F4595" s="2" t="s">
        <v>15442</v>
      </c>
      <c r="G4595" s="2" t="s">
        <v>15443</v>
      </c>
      <c r="H4595" s="2" t="s">
        <v>15455</v>
      </c>
    </row>
    <row r="4596">
      <c r="A4596" s="2">
        <v>4594.0</v>
      </c>
      <c r="B4596" s="5" t="s">
        <v>13842</v>
      </c>
      <c r="C4596" s="2" t="s">
        <v>13843</v>
      </c>
      <c r="D4596" s="5" t="s">
        <v>13842</v>
      </c>
      <c r="E4596" s="2" t="s">
        <v>15441</v>
      </c>
      <c r="F4596" s="2" t="s">
        <v>15442</v>
      </c>
      <c r="G4596" s="2" t="s">
        <v>15443</v>
      </c>
      <c r="H4596" s="2" t="s">
        <v>15444</v>
      </c>
    </row>
    <row r="4597">
      <c r="A4597" s="2">
        <v>4595.0</v>
      </c>
      <c r="B4597" s="5" t="s">
        <v>6800</v>
      </c>
      <c r="C4597" s="2" t="s">
        <v>6801</v>
      </c>
      <c r="D4597" s="5" t="s">
        <v>6800</v>
      </c>
      <c r="E4597" s="2" t="s">
        <v>15445</v>
      </c>
      <c r="F4597" s="2" t="s">
        <v>15446</v>
      </c>
      <c r="G4597" s="2" t="s">
        <v>15456</v>
      </c>
      <c r="H4597" s="2" t="s">
        <v>15455</v>
      </c>
    </row>
    <row r="4598">
      <c r="A4598" s="2">
        <v>4596.0</v>
      </c>
      <c r="B4598" s="5" t="s">
        <v>13844</v>
      </c>
      <c r="C4598" s="2" t="s">
        <v>13845</v>
      </c>
      <c r="D4598" s="5" t="s">
        <v>13844</v>
      </c>
      <c r="E4598" s="2" t="s">
        <v>15441</v>
      </c>
      <c r="F4598" s="2" t="s">
        <v>15446</v>
      </c>
      <c r="G4598" s="2" t="s">
        <v>15443</v>
      </c>
      <c r="H4598" s="2" t="s">
        <v>15444</v>
      </c>
    </row>
    <row r="4599">
      <c r="A4599" s="2">
        <v>4597.0</v>
      </c>
      <c r="B4599" s="5" t="s">
        <v>13846</v>
      </c>
      <c r="C4599" s="2" t="s">
        <v>13847</v>
      </c>
      <c r="D4599" s="5" t="s">
        <v>13846</v>
      </c>
      <c r="E4599" s="2" t="s">
        <v>15441</v>
      </c>
      <c r="F4599" s="2" t="s">
        <v>15442</v>
      </c>
      <c r="G4599" s="2" t="s">
        <v>15443</v>
      </c>
      <c r="H4599" s="2" t="s">
        <v>15444</v>
      </c>
    </row>
    <row r="4600">
      <c r="A4600" s="2">
        <v>4598.0</v>
      </c>
      <c r="B4600" s="5" t="s">
        <v>6803</v>
      </c>
      <c r="C4600" s="2" t="s">
        <v>6804</v>
      </c>
      <c r="D4600" s="5" t="s">
        <v>6803</v>
      </c>
      <c r="E4600" s="2" t="s">
        <v>15445</v>
      </c>
      <c r="F4600" s="2" t="s">
        <v>15442</v>
      </c>
      <c r="G4600" s="2" t="s">
        <v>15443</v>
      </c>
      <c r="H4600" s="2" t="s">
        <v>15444</v>
      </c>
    </row>
    <row r="4601">
      <c r="A4601" s="2">
        <v>4599.0</v>
      </c>
      <c r="B4601" s="5" t="s">
        <v>13848</v>
      </c>
      <c r="C4601" s="2" t="s">
        <v>13849</v>
      </c>
      <c r="D4601" s="5" t="s">
        <v>13848</v>
      </c>
      <c r="E4601" s="2" t="s">
        <v>15441</v>
      </c>
      <c r="F4601" s="2" t="s">
        <v>15446</v>
      </c>
      <c r="G4601" s="2" t="s">
        <v>15443</v>
      </c>
      <c r="H4601" s="2" t="s">
        <v>15444</v>
      </c>
    </row>
    <row r="4602">
      <c r="A4602" s="2">
        <v>4600.0</v>
      </c>
      <c r="B4602" s="5" t="s">
        <v>6806</v>
      </c>
      <c r="C4602" s="2" t="s">
        <v>6807</v>
      </c>
      <c r="D4602" s="5" t="s">
        <v>6806</v>
      </c>
      <c r="E4602" s="2" t="s">
        <v>15445</v>
      </c>
      <c r="F4602" s="2" t="s">
        <v>15446</v>
      </c>
      <c r="G4602" s="2" t="s">
        <v>15443</v>
      </c>
      <c r="H4602" s="2" t="s">
        <v>15444</v>
      </c>
    </row>
    <row r="4603">
      <c r="A4603" s="2">
        <v>4601.0</v>
      </c>
      <c r="B4603" s="5" t="s">
        <v>13850</v>
      </c>
      <c r="C4603" s="2" t="s">
        <v>13851</v>
      </c>
      <c r="D4603" s="5" t="s">
        <v>13850</v>
      </c>
      <c r="E4603" s="2" t="s">
        <v>15441</v>
      </c>
      <c r="F4603" s="2" t="s">
        <v>15442</v>
      </c>
      <c r="G4603" s="2" t="s">
        <v>15443</v>
      </c>
      <c r="H4603" s="2" t="s">
        <v>15444</v>
      </c>
    </row>
    <row r="4604">
      <c r="A4604" s="2">
        <v>4602.0</v>
      </c>
      <c r="B4604" s="5" t="s">
        <v>6809</v>
      </c>
      <c r="C4604" s="2" t="s">
        <v>6810</v>
      </c>
      <c r="D4604" s="5" t="s">
        <v>6809</v>
      </c>
      <c r="E4604" s="2" t="s">
        <v>15445</v>
      </c>
      <c r="F4604" s="2" t="s">
        <v>15446</v>
      </c>
      <c r="G4604" s="2" t="s">
        <v>15456</v>
      </c>
      <c r="H4604" s="2" t="s">
        <v>15444</v>
      </c>
    </row>
    <row r="4605">
      <c r="A4605" s="2">
        <v>4603.0</v>
      </c>
      <c r="B4605" s="5" t="s">
        <v>6812</v>
      </c>
      <c r="C4605" s="2" t="s">
        <v>6813</v>
      </c>
      <c r="D4605" s="5" t="s">
        <v>6812</v>
      </c>
      <c r="E4605" s="2" t="s">
        <v>15445</v>
      </c>
      <c r="F4605" s="2" t="s">
        <v>15446</v>
      </c>
      <c r="G4605" s="2" t="s">
        <v>15456</v>
      </c>
      <c r="H4605" s="2" t="s">
        <v>15444</v>
      </c>
    </row>
    <row r="4606">
      <c r="A4606" s="2">
        <v>4604.0</v>
      </c>
      <c r="B4606" s="5" t="s">
        <v>13852</v>
      </c>
      <c r="C4606" s="2" t="s">
        <v>13853</v>
      </c>
      <c r="D4606" s="5" t="s">
        <v>13852</v>
      </c>
      <c r="E4606" s="2" t="s">
        <v>15441</v>
      </c>
      <c r="F4606" s="2" t="s">
        <v>15446</v>
      </c>
      <c r="G4606" s="2" t="s">
        <v>15456</v>
      </c>
      <c r="H4606" s="2" t="s">
        <v>15444</v>
      </c>
    </row>
    <row r="4607">
      <c r="A4607" s="2">
        <v>4605.0</v>
      </c>
      <c r="B4607" s="5" t="s">
        <v>6815</v>
      </c>
      <c r="C4607" s="2" t="s">
        <v>6816</v>
      </c>
      <c r="D4607" s="5" t="s">
        <v>6815</v>
      </c>
      <c r="E4607" s="2" t="s">
        <v>15445</v>
      </c>
      <c r="F4607" s="2" t="s">
        <v>15442</v>
      </c>
      <c r="G4607" s="2" t="s">
        <v>15443</v>
      </c>
      <c r="H4607" s="2" t="s">
        <v>15444</v>
      </c>
    </row>
    <row r="4608">
      <c r="A4608" s="2">
        <v>4606.0</v>
      </c>
      <c r="B4608" s="5" t="s">
        <v>6818</v>
      </c>
      <c r="C4608" s="2" t="s">
        <v>6819</v>
      </c>
      <c r="D4608" s="5" t="s">
        <v>6818</v>
      </c>
      <c r="E4608" s="2" t="s">
        <v>15445</v>
      </c>
      <c r="F4608" s="2" t="s">
        <v>15446</v>
      </c>
      <c r="G4608" s="2" t="s">
        <v>15443</v>
      </c>
      <c r="H4608" s="2" t="s">
        <v>15444</v>
      </c>
    </row>
    <row r="4609">
      <c r="A4609" s="2">
        <v>4607.0</v>
      </c>
      <c r="B4609" s="5" t="s">
        <v>6821</v>
      </c>
      <c r="C4609" s="2" t="s">
        <v>6822</v>
      </c>
      <c r="D4609" s="5" t="s">
        <v>6821</v>
      </c>
      <c r="E4609" s="2" t="s">
        <v>15445</v>
      </c>
      <c r="F4609" s="2" t="s">
        <v>15442</v>
      </c>
      <c r="G4609" s="2" t="s">
        <v>15456</v>
      </c>
      <c r="H4609" s="2" t="s">
        <v>15455</v>
      </c>
    </row>
    <row r="4610">
      <c r="A4610" s="2">
        <v>4608.0</v>
      </c>
      <c r="B4610" s="5" t="s">
        <v>13854</v>
      </c>
      <c r="C4610" s="2" t="s">
        <v>13855</v>
      </c>
      <c r="D4610" s="5" t="s">
        <v>13854</v>
      </c>
      <c r="E4610" s="2" t="s">
        <v>15441</v>
      </c>
      <c r="F4610" s="2" t="s">
        <v>15446</v>
      </c>
      <c r="G4610" s="2" t="s">
        <v>15456</v>
      </c>
      <c r="H4610" s="2" t="s">
        <v>15444</v>
      </c>
    </row>
    <row r="4611">
      <c r="A4611" s="2">
        <v>4609.0</v>
      </c>
      <c r="B4611" s="5" t="s">
        <v>13856</v>
      </c>
      <c r="C4611" s="2" t="s">
        <v>13857</v>
      </c>
      <c r="D4611" s="5" t="s">
        <v>13856</v>
      </c>
      <c r="E4611" s="2" t="s">
        <v>15441</v>
      </c>
      <c r="F4611" s="2" t="s">
        <v>15442</v>
      </c>
      <c r="G4611" s="2" t="s">
        <v>15456</v>
      </c>
      <c r="H4611" s="2" t="s">
        <v>15444</v>
      </c>
    </row>
    <row r="4612">
      <c r="A4612" s="2">
        <v>4610.0</v>
      </c>
      <c r="B4612" s="5" t="s">
        <v>6824</v>
      </c>
      <c r="C4612" s="2" t="s">
        <v>6825</v>
      </c>
      <c r="D4612" s="5" t="s">
        <v>6824</v>
      </c>
      <c r="E4612" s="2" t="s">
        <v>15445</v>
      </c>
      <c r="F4612" s="2" t="s">
        <v>15446</v>
      </c>
      <c r="G4612" s="2" t="s">
        <v>15443</v>
      </c>
      <c r="H4612" s="2" t="s">
        <v>15444</v>
      </c>
    </row>
    <row r="4613">
      <c r="A4613" s="2">
        <v>4611.0</v>
      </c>
      <c r="B4613" s="5" t="s">
        <v>6827</v>
      </c>
      <c r="C4613" s="2" t="s">
        <v>6828</v>
      </c>
      <c r="D4613" s="5" t="s">
        <v>6827</v>
      </c>
      <c r="E4613" s="2" t="s">
        <v>15445</v>
      </c>
      <c r="F4613" s="2" t="s">
        <v>15442</v>
      </c>
      <c r="G4613" s="2" t="s">
        <v>15443</v>
      </c>
      <c r="H4613" s="2" t="s">
        <v>15455</v>
      </c>
    </row>
    <row r="4614">
      <c r="A4614" s="2">
        <v>4612.0</v>
      </c>
      <c r="B4614" s="5" t="s">
        <v>6830</v>
      </c>
      <c r="C4614" s="2" t="s">
        <v>6831</v>
      </c>
      <c r="D4614" s="5" t="s">
        <v>6830</v>
      </c>
      <c r="E4614" s="2" t="s">
        <v>15445</v>
      </c>
      <c r="F4614" s="2" t="s">
        <v>15446</v>
      </c>
      <c r="G4614" s="2" t="s">
        <v>15443</v>
      </c>
      <c r="H4614" s="2" t="s">
        <v>15444</v>
      </c>
    </row>
    <row r="4615">
      <c r="A4615" s="2">
        <v>4613.0</v>
      </c>
      <c r="B4615" s="5" t="s">
        <v>13858</v>
      </c>
      <c r="C4615" s="2" t="s">
        <v>13859</v>
      </c>
      <c r="D4615" s="5" t="s">
        <v>13858</v>
      </c>
      <c r="E4615" s="2" t="s">
        <v>15441</v>
      </c>
      <c r="F4615" s="2" t="s">
        <v>15446</v>
      </c>
      <c r="G4615" s="2" t="s">
        <v>15456</v>
      </c>
      <c r="H4615" s="2" t="s">
        <v>15444</v>
      </c>
    </row>
    <row r="4616">
      <c r="A4616" s="2">
        <v>4614.0</v>
      </c>
      <c r="B4616" s="5" t="s">
        <v>6833</v>
      </c>
      <c r="C4616" s="2" t="s">
        <v>6834</v>
      </c>
      <c r="D4616" s="5" t="s">
        <v>6833</v>
      </c>
      <c r="E4616" s="2" t="s">
        <v>15445</v>
      </c>
      <c r="F4616" s="2" t="s">
        <v>15442</v>
      </c>
      <c r="G4616" s="2" t="s">
        <v>15443</v>
      </c>
      <c r="H4616" s="2" t="s">
        <v>15444</v>
      </c>
    </row>
    <row r="4617">
      <c r="A4617" s="2">
        <v>4615.0</v>
      </c>
      <c r="B4617" s="5" t="s">
        <v>13860</v>
      </c>
      <c r="C4617" s="2" t="s">
        <v>13861</v>
      </c>
      <c r="D4617" s="5" t="s">
        <v>13860</v>
      </c>
      <c r="E4617" s="2" t="s">
        <v>15441</v>
      </c>
      <c r="F4617" s="2" t="s">
        <v>15442</v>
      </c>
      <c r="G4617" s="2" t="s">
        <v>15443</v>
      </c>
      <c r="H4617" s="2" t="s">
        <v>15444</v>
      </c>
    </row>
    <row r="4618">
      <c r="A4618" s="2">
        <v>4616.0</v>
      </c>
      <c r="B4618" s="5" t="s">
        <v>13862</v>
      </c>
      <c r="C4618" s="2" t="s">
        <v>13863</v>
      </c>
      <c r="D4618" s="5" t="s">
        <v>13862</v>
      </c>
      <c r="E4618" s="2" t="s">
        <v>15441</v>
      </c>
      <c r="F4618" s="2" t="s">
        <v>15446</v>
      </c>
      <c r="G4618" s="2" t="s">
        <v>15456</v>
      </c>
      <c r="H4618" s="2" t="s">
        <v>15444</v>
      </c>
    </row>
    <row r="4619">
      <c r="A4619" s="2">
        <v>4617.0</v>
      </c>
      <c r="B4619" s="5" t="s">
        <v>13864</v>
      </c>
      <c r="C4619" s="2" t="s">
        <v>13865</v>
      </c>
      <c r="D4619" s="5" t="s">
        <v>13864</v>
      </c>
      <c r="E4619" s="2" t="s">
        <v>15441</v>
      </c>
      <c r="F4619" s="2" t="s">
        <v>15446</v>
      </c>
      <c r="G4619" s="2" t="s">
        <v>15456</v>
      </c>
      <c r="H4619" s="2" t="s">
        <v>15444</v>
      </c>
    </row>
    <row r="4620">
      <c r="A4620" s="2">
        <v>4618.0</v>
      </c>
      <c r="B4620" s="5" t="s">
        <v>6836</v>
      </c>
      <c r="C4620" s="2" t="s">
        <v>6837</v>
      </c>
      <c r="D4620" s="5" t="s">
        <v>6836</v>
      </c>
      <c r="E4620" s="2" t="s">
        <v>15445</v>
      </c>
      <c r="F4620" s="2" t="s">
        <v>15446</v>
      </c>
      <c r="G4620" s="2" t="s">
        <v>15443</v>
      </c>
      <c r="H4620" s="2" t="s">
        <v>15444</v>
      </c>
    </row>
    <row r="4621">
      <c r="A4621" s="2">
        <v>4619.0</v>
      </c>
      <c r="B4621" s="5" t="s">
        <v>6839</v>
      </c>
      <c r="C4621" s="2" t="s">
        <v>6840</v>
      </c>
      <c r="D4621" s="5" t="s">
        <v>6839</v>
      </c>
      <c r="E4621" s="2" t="s">
        <v>15445</v>
      </c>
      <c r="F4621" s="2" t="s">
        <v>15446</v>
      </c>
      <c r="G4621" s="2" t="s">
        <v>15443</v>
      </c>
      <c r="H4621" s="2" t="s">
        <v>15457</v>
      </c>
    </row>
    <row r="4622">
      <c r="A4622" s="2">
        <v>4620.0</v>
      </c>
      <c r="B4622" s="5" t="s">
        <v>13866</v>
      </c>
      <c r="C4622" s="2" t="s">
        <v>13867</v>
      </c>
      <c r="D4622" s="5" t="s">
        <v>13866</v>
      </c>
      <c r="E4622" s="2" t="s">
        <v>15441</v>
      </c>
      <c r="F4622" s="2" t="s">
        <v>15446</v>
      </c>
      <c r="G4622" s="2" t="s">
        <v>15456</v>
      </c>
      <c r="H4622" s="2" t="s">
        <v>15444</v>
      </c>
    </row>
    <row r="4623">
      <c r="A4623" s="2">
        <v>4621.0</v>
      </c>
      <c r="B4623" s="5" t="s">
        <v>13868</v>
      </c>
      <c r="C4623" s="2" t="s">
        <v>13869</v>
      </c>
      <c r="D4623" s="5" t="s">
        <v>13868</v>
      </c>
      <c r="E4623" s="2" t="s">
        <v>15441</v>
      </c>
      <c r="F4623" s="2" t="s">
        <v>15446</v>
      </c>
      <c r="G4623" s="2" t="s">
        <v>15443</v>
      </c>
      <c r="H4623" s="2" t="s">
        <v>15444</v>
      </c>
    </row>
    <row r="4624">
      <c r="A4624" s="2">
        <v>4622.0</v>
      </c>
      <c r="B4624" s="5" t="s">
        <v>6842</v>
      </c>
      <c r="C4624" s="2" t="s">
        <v>6843</v>
      </c>
      <c r="D4624" s="5" t="s">
        <v>6842</v>
      </c>
      <c r="E4624" s="2" t="s">
        <v>15445</v>
      </c>
      <c r="F4624" s="2" t="s">
        <v>15446</v>
      </c>
      <c r="G4624" s="2" t="s">
        <v>15443</v>
      </c>
      <c r="H4624" s="2" t="s">
        <v>15444</v>
      </c>
    </row>
    <row r="4625">
      <c r="A4625" s="2">
        <v>4623.0</v>
      </c>
      <c r="B4625" s="5" t="s">
        <v>13870</v>
      </c>
      <c r="C4625" s="2" t="s">
        <v>13871</v>
      </c>
      <c r="D4625" s="5" t="s">
        <v>13870</v>
      </c>
      <c r="E4625" s="2" t="s">
        <v>15441</v>
      </c>
      <c r="F4625" s="2" t="s">
        <v>15442</v>
      </c>
      <c r="G4625" s="2" t="s">
        <v>15443</v>
      </c>
      <c r="H4625" s="2" t="s">
        <v>15444</v>
      </c>
    </row>
    <row r="4626">
      <c r="A4626" s="2">
        <v>4624.0</v>
      </c>
      <c r="B4626" s="5" t="s">
        <v>13872</v>
      </c>
      <c r="C4626" s="2" t="s">
        <v>13873</v>
      </c>
      <c r="D4626" s="5" t="s">
        <v>13872</v>
      </c>
      <c r="E4626" s="2" t="s">
        <v>15441</v>
      </c>
      <c r="F4626" s="2" t="s">
        <v>15442</v>
      </c>
      <c r="G4626" s="2" t="s">
        <v>15443</v>
      </c>
      <c r="H4626" s="2" t="s">
        <v>15444</v>
      </c>
    </row>
    <row r="4627">
      <c r="A4627" s="2">
        <v>4625.0</v>
      </c>
      <c r="B4627" s="5" t="s">
        <v>6845</v>
      </c>
      <c r="C4627" s="2" t="s">
        <v>6846</v>
      </c>
      <c r="D4627" s="5" t="s">
        <v>6845</v>
      </c>
      <c r="E4627" s="2" t="s">
        <v>15445</v>
      </c>
      <c r="F4627" s="2" t="s">
        <v>15442</v>
      </c>
      <c r="G4627" s="2" t="s">
        <v>15456</v>
      </c>
      <c r="H4627" s="2" t="s">
        <v>15462</v>
      </c>
    </row>
    <row r="4628">
      <c r="A4628" s="2">
        <v>4626.0</v>
      </c>
      <c r="B4628" s="5" t="s">
        <v>13874</v>
      </c>
      <c r="C4628" s="2" t="s">
        <v>13875</v>
      </c>
      <c r="D4628" s="5" t="s">
        <v>13874</v>
      </c>
      <c r="E4628" s="2" t="s">
        <v>15441</v>
      </c>
      <c r="F4628" s="2" t="s">
        <v>15442</v>
      </c>
      <c r="G4628" s="2" t="s">
        <v>15443</v>
      </c>
      <c r="H4628" s="2" t="s">
        <v>15444</v>
      </c>
    </row>
    <row r="4629">
      <c r="A4629" s="2">
        <v>4627.0</v>
      </c>
      <c r="B4629" s="5" t="s">
        <v>13876</v>
      </c>
      <c r="C4629" s="2" t="s">
        <v>13877</v>
      </c>
      <c r="D4629" s="5" t="s">
        <v>13876</v>
      </c>
      <c r="E4629" s="2" t="s">
        <v>15441</v>
      </c>
      <c r="F4629" s="2" t="s">
        <v>15446</v>
      </c>
      <c r="G4629" s="2" t="s">
        <v>15456</v>
      </c>
      <c r="H4629" s="2" t="s">
        <v>15444</v>
      </c>
    </row>
    <row r="4630">
      <c r="A4630" s="2">
        <v>4628.0</v>
      </c>
      <c r="B4630" s="5" t="s">
        <v>6848</v>
      </c>
      <c r="C4630" s="2" t="s">
        <v>6849</v>
      </c>
      <c r="D4630" s="5" t="s">
        <v>6848</v>
      </c>
      <c r="E4630" s="2" t="s">
        <v>15445</v>
      </c>
      <c r="F4630" s="2" t="s">
        <v>15442</v>
      </c>
      <c r="G4630" s="2" t="s">
        <v>15443</v>
      </c>
      <c r="H4630" s="2" t="s">
        <v>15444</v>
      </c>
    </row>
    <row r="4631">
      <c r="A4631" s="2">
        <v>4629.0</v>
      </c>
      <c r="B4631" s="5" t="s">
        <v>6851</v>
      </c>
      <c r="C4631" s="2" t="s">
        <v>6852</v>
      </c>
      <c r="D4631" s="5" t="s">
        <v>6851</v>
      </c>
      <c r="E4631" s="2" t="s">
        <v>15445</v>
      </c>
      <c r="F4631" s="2" t="s">
        <v>15446</v>
      </c>
      <c r="G4631" s="2" t="s">
        <v>15443</v>
      </c>
      <c r="H4631" s="2" t="s">
        <v>15444</v>
      </c>
    </row>
    <row r="4632">
      <c r="A4632" s="2">
        <v>4630.0</v>
      </c>
      <c r="B4632" s="5" t="s">
        <v>13878</v>
      </c>
      <c r="C4632" s="2" t="s">
        <v>13879</v>
      </c>
      <c r="D4632" s="5" t="s">
        <v>13878</v>
      </c>
      <c r="E4632" s="2" t="s">
        <v>15441</v>
      </c>
      <c r="F4632" s="2" t="s">
        <v>15446</v>
      </c>
      <c r="G4632" s="2" t="s">
        <v>15443</v>
      </c>
      <c r="H4632" s="2" t="s">
        <v>15444</v>
      </c>
    </row>
    <row r="4633">
      <c r="A4633" s="2">
        <v>4631.0</v>
      </c>
      <c r="B4633" s="5" t="s">
        <v>13880</v>
      </c>
      <c r="C4633" s="2" t="s">
        <v>13881</v>
      </c>
      <c r="D4633" s="5" t="s">
        <v>13880</v>
      </c>
      <c r="E4633" s="2" t="s">
        <v>15441</v>
      </c>
      <c r="F4633" s="2" t="s">
        <v>15446</v>
      </c>
      <c r="G4633" s="2" t="s">
        <v>15456</v>
      </c>
      <c r="H4633" s="2" t="s">
        <v>15444</v>
      </c>
    </row>
    <row r="4634">
      <c r="A4634" s="2">
        <v>4632.0</v>
      </c>
      <c r="B4634" s="5" t="s">
        <v>13882</v>
      </c>
      <c r="C4634" s="2" t="s">
        <v>13883</v>
      </c>
      <c r="D4634" s="5" t="s">
        <v>13882</v>
      </c>
      <c r="E4634" s="2" t="s">
        <v>15441</v>
      </c>
      <c r="F4634" s="2" t="s">
        <v>15446</v>
      </c>
      <c r="G4634" s="2" t="s">
        <v>15456</v>
      </c>
      <c r="H4634" s="2" t="s">
        <v>15444</v>
      </c>
    </row>
    <row r="4635">
      <c r="A4635" s="2">
        <v>4633.0</v>
      </c>
      <c r="B4635" s="5" t="s">
        <v>6854</v>
      </c>
      <c r="C4635" s="2" t="s">
        <v>6855</v>
      </c>
      <c r="D4635" s="5" t="s">
        <v>6854</v>
      </c>
      <c r="E4635" s="2" t="s">
        <v>15445</v>
      </c>
      <c r="F4635" s="2" t="s">
        <v>15446</v>
      </c>
      <c r="G4635" s="2" t="s">
        <v>15456</v>
      </c>
      <c r="H4635" s="2" t="s">
        <v>15457</v>
      </c>
    </row>
    <row r="4636">
      <c r="A4636" s="2">
        <v>4634.0</v>
      </c>
      <c r="B4636" s="5" t="s">
        <v>6857</v>
      </c>
      <c r="C4636" s="2" t="s">
        <v>6858</v>
      </c>
      <c r="D4636" s="5" t="s">
        <v>6857</v>
      </c>
      <c r="E4636" s="2" t="s">
        <v>15445</v>
      </c>
      <c r="F4636" s="2" t="s">
        <v>15442</v>
      </c>
      <c r="G4636" s="2" t="s">
        <v>15443</v>
      </c>
      <c r="H4636" s="2" t="s">
        <v>15444</v>
      </c>
    </row>
    <row r="4637">
      <c r="A4637" s="2">
        <v>4635.0</v>
      </c>
      <c r="B4637" s="5" t="s">
        <v>6860</v>
      </c>
      <c r="C4637" s="2" t="s">
        <v>6861</v>
      </c>
      <c r="D4637" s="5" t="s">
        <v>6860</v>
      </c>
      <c r="E4637" s="2" t="s">
        <v>15445</v>
      </c>
      <c r="F4637" s="2" t="s">
        <v>15442</v>
      </c>
      <c r="G4637" s="2" t="s">
        <v>15443</v>
      </c>
      <c r="H4637" s="2" t="s">
        <v>15444</v>
      </c>
    </row>
    <row r="4638">
      <c r="A4638" s="2">
        <v>4636.0</v>
      </c>
      <c r="B4638" s="5" t="s">
        <v>6863</v>
      </c>
      <c r="C4638" s="2" t="s">
        <v>6864</v>
      </c>
      <c r="D4638" s="5" t="s">
        <v>6863</v>
      </c>
      <c r="E4638" s="2" t="s">
        <v>15445</v>
      </c>
      <c r="F4638" s="2" t="s">
        <v>15442</v>
      </c>
      <c r="G4638" s="2" t="s">
        <v>15456</v>
      </c>
      <c r="H4638" s="2" t="s">
        <v>15444</v>
      </c>
    </row>
    <row r="4639">
      <c r="A4639" s="2">
        <v>4637.0</v>
      </c>
      <c r="B4639" s="5" t="s">
        <v>13884</v>
      </c>
      <c r="C4639" s="2" t="s">
        <v>13885</v>
      </c>
      <c r="D4639" s="5" t="s">
        <v>13884</v>
      </c>
      <c r="E4639" s="2" t="s">
        <v>15441</v>
      </c>
      <c r="F4639" s="2" t="s">
        <v>15446</v>
      </c>
      <c r="G4639" s="2" t="s">
        <v>15456</v>
      </c>
      <c r="H4639" s="2" t="s">
        <v>15444</v>
      </c>
    </row>
    <row r="4640">
      <c r="A4640" s="2">
        <v>4638.0</v>
      </c>
      <c r="B4640" s="5" t="s">
        <v>13886</v>
      </c>
      <c r="C4640" s="2" t="s">
        <v>13887</v>
      </c>
      <c r="D4640" s="5" t="s">
        <v>13886</v>
      </c>
      <c r="E4640" s="2" t="s">
        <v>15441</v>
      </c>
      <c r="F4640" s="2" t="s">
        <v>15446</v>
      </c>
      <c r="G4640" s="2" t="s">
        <v>15456</v>
      </c>
      <c r="H4640" s="2" t="s">
        <v>15444</v>
      </c>
    </row>
    <row r="4641">
      <c r="A4641" s="2">
        <v>4639.0</v>
      </c>
      <c r="B4641" s="5" t="s">
        <v>6866</v>
      </c>
      <c r="C4641" s="2" t="s">
        <v>6867</v>
      </c>
      <c r="D4641" s="5" t="s">
        <v>6866</v>
      </c>
      <c r="E4641" s="2" t="s">
        <v>15445</v>
      </c>
      <c r="F4641" s="2" t="s">
        <v>15446</v>
      </c>
      <c r="G4641" s="2" t="s">
        <v>15443</v>
      </c>
      <c r="H4641" s="2" t="s">
        <v>15444</v>
      </c>
    </row>
    <row r="4642">
      <c r="A4642" s="2">
        <v>4640.0</v>
      </c>
      <c r="B4642" s="5" t="s">
        <v>13888</v>
      </c>
      <c r="C4642" s="2" t="s">
        <v>13889</v>
      </c>
      <c r="D4642" s="5" t="s">
        <v>13888</v>
      </c>
      <c r="E4642" s="2" t="s">
        <v>15441</v>
      </c>
      <c r="F4642" s="2" t="s">
        <v>15446</v>
      </c>
      <c r="G4642" s="2" t="s">
        <v>15456</v>
      </c>
      <c r="H4642" s="2" t="s">
        <v>15444</v>
      </c>
    </row>
    <row r="4643">
      <c r="A4643" s="2">
        <v>4641.0</v>
      </c>
      <c r="B4643" s="5" t="s">
        <v>6869</v>
      </c>
      <c r="C4643" s="2" t="s">
        <v>6870</v>
      </c>
      <c r="D4643" s="5" t="s">
        <v>6869</v>
      </c>
      <c r="E4643" s="2" t="s">
        <v>15445</v>
      </c>
      <c r="F4643" s="2" t="s">
        <v>15446</v>
      </c>
      <c r="G4643" s="2" t="s">
        <v>15456</v>
      </c>
      <c r="H4643" s="2" t="s">
        <v>15444</v>
      </c>
    </row>
    <row r="4644">
      <c r="A4644" s="2">
        <v>4642.0</v>
      </c>
      <c r="B4644" s="5" t="s">
        <v>13890</v>
      </c>
      <c r="C4644" s="2" t="s">
        <v>13891</v>
      </c>
      <c r="D4644" s="5" t="s">
        <v>13890</v>
      </c>
      <c r="E4644" s="2" t="s">
        <v>15441</v>
      </c>
      <c r="F4644" s="2" t="s">
        <v>15446</v>
      </c>
      <c r="G4644" s="2" t="s">
        <v>15456</v>
      </c>
      <c r="H4644" s="2" t="s">
        <v>15462</v>
      </c>
    </row>
    <row r="4645">
      <c r="A4645" s="2">
        <v>4643.0</v>
      </c>
      <c r="B4645" s="5" t="s">
        <v>6872</v>
      </c>
      <c r="C4645" s="2" t="s">
        <v>6873</v>
      </c>
      <c r="D4645" s="5" t="s">
        <v>6872</v>
      </c>
      <c r="E4645" s="2" t="s">
        <v>15445</v>
      </c>
      <c r="F4645" s="2" t="s">
        <v>15442</v>
      </c>
      <c r="G4645" s="2" t="s">
        <v>15443</v>
      </c>
      <c r="H4645" s="2" t="s">
        <v>15444</v>
      </c>
    </row>
    <row r="4646">
      <c r="A4646" s="2">
        <v>4644.0</v>
      </c>
      <c r="B4646" s="5" t="s">
        <v>6875</v>
      </c>
      <c r="C4646" s="2" t="s">
        <v>6876</v>
      </c>
      <c r="D4646" s="5" t="s">
        <v>6875</v>
      </c>
      <c r="E4646" s="2" t="s">
        <v>15445</v>
      </c>
      <c r="F4646" s="2" t="s">
        <v>15442</v>
      </c>
      <c r="G4646" s="2" t="s">
        <v>15456</v>
      </c>
      <c r="H4646" s="2" t="s">
        <v>15444</v>
      </c>
    </row>
    <row r="4647">
      <c r="A4647" s="2">
        <v>4645.0</v>
      </c>
      <c r="B4647" s="5" t="s">
        <v>13892</v>
      </c>
      <c r="C4647" s="2" t="s">
        <v>13893</v>
      </c>
      <c r="D4647" s="5" t="s">
        <v>13892</v>
      </c>
      <c r="E4647" s="2" t="s">
        <v>15441</v>
      </c>
      <c r="F4647" s="2" t="s">
        <v>15442</v>
      </c>
      <c r="G4647" s="2" t="s">
        <v>15456</v>
      </c>
      <c r="H4647" s="2" t="s">
        <v>15444</v>
      </c>
    </row>
    <row r="4648">
      <c r="A4648" s="2">
        <v>4646.0</v>
      </c>
      <c r="B4648" s="5" t="s">
        <v>13894</v>
      </c>
      <c r="C4648" s="2" t="s">
        <v>13895</v>
      </c>
      <c r="D4648" s="5" t="s">
        <v>13894</v>
      </c>
      <c r="E4648" s="2" t="s">
        <v>15441</v>
      </c>
      <c r="F4648" s="2" t="s">
        <v>15442</v>
      </c>
      <c r="G4648" s="2" t="s">
        <v>15443</v>
      </c>
      <c r="H4648" s="2" t="s">
        <v>15444</v>
      </c>
    </row>
    <row r="4649">
      <c r="A4649" s="2">
        <v>4647.0</v>
      </c>
      <c r="B4649" s="5" t="s">
        <v>13896</v>
      </c>
      <c r="C4649" s="2" t="s">
        <v>13897</v>
      </c>
      <c r="D4649" s="5" t="s">
        <v>13896</v>
      </c>
      <c r="E4649" s="2" t="s">
        <v>15441</v>
      </c>
      <c r="F4649" s="2" t="s">
        <v>15442</v>
      </c>
      <c r="G4649" s="2" t="s">
        <v>15443</v>
      </c>
      <c r="H4649" s="2" t="s">
        <v>15444</v>
      </c>
    </row>
    <row r="4650">
      <c r="A4650" s="2">
        <v>4648.0</v>
      </c>
      <c r="B4650" s="5" t="s">
        <v>6878</v>
      </c>
      <c r="C4650" s="2" t="s">
        <v>6879</v>
      </c>
      <c r="D4650" s="5" t="s">
        <v>6878</v>
      </c>
      <c r="E4650" s="2" t="s">
        <v>15445</v>
      </c>
      <c r="F4650" s="2" t="s">
        <v>15446</v>
      </c>
      <c r="G4650" s="2" t="s">
        <v>15456</v>
      </c>
      <c r="H4650" s="2" t="s">
        <v>15444</v>
      </c>
    </row>
    <row r="4651">
      <c r="A4651" s="2">
        <v>4649.0</v>
      </c>
      <c r="B4651" s="5" t="s">
        <v>13898</v>
      </c>
      <c r="C4651" s="2" t="s">
        <v>13899</v>
      </c>
      <c r="D4651" s="5" t="s">
        <v>13898</v>
      </c>
      <c r="E4651" s="2" t="s">
        <v>15441</v>
      </c>
      <c r="F4651" s="2" t="s">
        <v>15442</v>
      </c>
      <c r="G4651" s="2" t="s">
        <v>15443</v>
      </c>
      <c r="H4651" s="2" t="s">
        <v>15444</v>
      </c>
    </row>
    <row r="4652">
      <c r="A4652" s="2">
        <v>4650.0</v>
      </c>
      <c r="B4652" s="5" t="s">
        <v>13900</v>
      </c>
      <c r="C4652" s="2" t="s">
        <v>13901</v>
      </c>
      <c r="D4652" s="5" t="s">
        <v>13900</v>
      </c>
      <c r="E4652" s="2" t="s">
        <v>15441</v>
      </c>
      <c r="F4652" s="2" t="s">
        <v>15442</v>
      </c>
      <c r="G4652" s="2" t="s">
        <v>15456</v>
      </c>
      <c r="H4652" s="2" t="s">
        <v>15444</v>
      </c>
    </row>
    <row r="4653">
      <c r="A4653" s="2">
        <v>4651.0</v>
      </c>
      <c r="B4653" s="5" t="s">
        <v>6881</v>
      </c>
      <c r="C4653" s="2" t="s">
        <v>6882</v>
      </c>
      <c r="D4653" s="5" t="s">
        <v>6881</v>
      </c>
      <c r="E4653" s="2" t="s">
        <v>15445</v>
      </c>
      <c r="F4653" s="2" t="s">
        <v>15442</v>
      </c>
      <c r="G4653" s="2" t="s">
        <v>15443</v>
      </c>
      <c r="H4653" s="2" t="s">
        <v>15444</v>
      </c>
    </row>
    <row r="4654">
      <c r="A4654" s="2">
        <v>4652.0</v>
      </c>
      <c r="B4654" s="5" t="s">
        <v>6884</v>
      </c>
      <c r="C4654" s="2" t="s">
        <v>6885</v>
      </c>
      <c r="D4654" s="5" t="s">
        <v>6884</v>
      </c>
      <c r="E4654" s="2" t="s">
        <v>15445</v>
      </c>
      <c r="F4654" s="2" t="s">
        <v>15446</v>
      </c>
      <c r="G4654" s="2" t="s">
        <v>15456</v>
      </c>
      <c r="H4654" s="2" t="s">
        <v>15444</v>
      </c>
    </row>
    <row r="4655">
      <c r="A4655" s="2">
        <v>4653.0</v>
      </c>
      <c r="B4655" s="5" t="s">
        <v>13902</v>
      </c>
      <c r="C4655" s="2" t="s">
        <v>13903</v>
      </c>
      <c r="D4655" s="5" t="s">
        <v>13902</v>
      </c>
      <c r="E4655" s="2" t="s">
        <v>15441</v>
      </c>
      <c r="F4655" s="2" t="s">
        <v>15442</v>
      </c>
      <c r="G4655" s="2" t="s">
        <v>15443</v>
      </c>
      <c r="H4655" s="2" t="s">
        <v>15455</v>
      </c>
    </row>
    <row r="4656">
      <c r="A4656" s="2">
        <v>4654.0</v>
      </c>
      <c r="B4656" s="5" t="s">
        <v>6887</v>
      </c>
      <c r="C4656" s="2" t="s">
        <v>6888</v>
      </c>
      <c r="D4656" s="5" t="s">
        <v>6887</v>
      </c>
      <c r="E4656" s="2" t="s">
        <v>15445</v>
      </c>
      <c r="F4656" s="2" t="s">
        <v>15446</v>
      </c>
      <c r="G4656" s="2" t="s">
        <v>15443</v>
      </c>
      <c r="H4656" s="2" t="s">
        <v>15444</v>
      </c>
    </row>
    <row r="4657">
      <c r="A4657" s="2">
        <v>4655.0</v>
      </c>
      <c r="B4657" s="5" t="s">
        <v>6890</v>
      </c>
      <c r="C4657" s="2" t="s">
        <v>6891</v>
      </c>
      <c r="D4657" s="5" t="s">
        <v>6890</v>
      </c>
      <c r="E4657" s="2" t="s">
        <v>15445</v>
      </c>
      <c r="F4657" s="2" t="s">
        <v>15446</v>
      </c>
      <c r="G4657" s="2" t="s">
        <v>15443</v>
      </c>
      <c r="H4657" s="2" t="s">
        <v>15444</v>
      </c>
    </row>
    <row r="4658">
      <c r="A4658" s="2">
        <v>4656.0</v>
      </c>
      <c r="B4658" s="5" t="s">
        <v>13904</v>
      </c>
      <c r="C4658" s="2" t="s">
        <v>13905</v>
      </c>
      <c r="D4658" s="5" t="s">
        <v>13904</v>
      </c>
      <c r="E4658" s="2" t="s">
        <v>15441</v>
      </c>
      <c r="F4658" s="2" t="s">
        <v>15446</v>
      </c>
      <c r="G4658" s="2" t="s">
        <v>15456</v>
      </c>
      <c r="H4658" s="2" t="s">
        <v>15444</v>
      </c>
    </row>
    <row r="4659">
      <c r="A4659" s="2">
        <v>4657.0</v>
      </c>
      <c r="B4659" s="5" t="s">
        <v>6893</v>
      </c>
      <c r="C4659" s="2" t="s">
        <v>6894</v>
      </c>
      <c r="D4659" s="5" t="s">
        <v>6893</v>
      </c>
      <c r="E4659" s="2" t="s">
        <v>15445</v>
      </c>
      <c r="F4659" s="2" t="s">
        <v>15446</v>
      </c>
      <c r="G4659" s="2" t="s">
        <v>15443</v>
      </c>
      <c r="H4659" s="2" t="s">
        <v>15444</v>
      </c>
    </row>
    <row r="4660">
      <c r="A4660" s="2">
        <v>4658.0</v>
      </c>
      <c r="B4660" s="5" t="s">
        <v>13906</v>
      </c>
      <c r="C4660" s="2" t="s">
        <v>13907</v>
      </c>
      <c r="D4660" s="5" t="s">
        <v>13906</v>
      </c>
      <c r="E4660" s="2" t="s">
        <v>15441</v>
      </c>
      <c r="F4660" s="2" t="s">
        <v>15446</v>
      </c>
      <c r="G4660" s="2" t="s">
        <v>15456</v>
      </c>
      <c r="H4660" s="2" t="s">
        <v>15444</v>
      </c>
    </row>
    <row r="4661">
      <c r="A4661" s="2">
        <v>4659.0</v>
      </c>
      <c r="B4661" s="5" t="s">
        <v>6896</v>
      </c>
      <c r="C4661" s="2" t="s">
        <v>6897</v>
      </c>
      <c r="D4661" s="5" t="s">
        <v>6896</v>
      </c>
      <c r="E4661" s="2" t="s">
        <v>15445</v>
      </c>
      <c r="F4661" s="2" t="s">
        <v>15442</v>
      </c>
      <c r="G4661" s="2" t="s">
        <v>15456</v>
      </c>
      <c r="H4661" s="2" t="s">
        <v>15444</v>
      </c>
    </row>
    <row r="4662">
      <c r="A4662" s="2">
        <v>4660.0</v>
      </c>
      <c r="B4662" s="5" t="s">
        <v>13908</v>
      </c>
      <c r="C4662" s="2" t="s">
        <v>13909</v>
      </c>
      <c r="D4662" s="5" t="s">
        <v>13908</v>
      </c>
      <c r="E4662" s="2" t="s">
        <v>15441</v>
      </c>
      <c r="F4662" s="2" t="s">
        <v>15446</v>
      </c>
      <c r="G4662" s="2" t="s">
        <v>15456</v>
      </c>
      <c r="H4662" s="2" t="s">
        <v>15455</v>
      </c>
    </row>
    <row r="4663">
      <c r="A4663" s="2">
        <v>4661.0</v>
      </c>
      <c r="B4663" s="5" t="s">
        <v>13910</v>
      </c>
      <c r="C4663" s="2" t="s">
        <v>13911</v>
      </c>
      <c r="D4663" s="5" t="s">
        <v>13910</v>
      </c>
      <c r="E4663" s="2" t="s">
        <v>15441</v>
      </c>
      <c r="F4663" s="2" t="s">
        <v>15442</v>
      </c>
      <c r="G4663" s="2" t="s">
        <v>15443</v>
      </c>
      <c r="H4663" s="2" t="s">
        <v>15444</v>
      </c>
    </row>
    <row r="4664">
      <c r="A4664" s="2">
        <v>4662.0</v>
      </c>
      <c r="B4664" s="5" t="s">
        <v>6899</v>
      </c>
      <c r="C4664" s="2" t="s">
        <v>6900</v>
      </c>
      <c r="D4664" s="5" t="s">
        <v>6899</v>
      </c>
      <c r="E4664" s="2" t="s">
        <v>15445</v>
      </c>
      <c r="F4664" s="2" t="s">
        <v>15446</v>
      </c>
      <c r="G4664" s="2" t="s">
        <v>15456</v>
      </c>
      <c r="H4664" s="2" t="s">
        <v>15444</v>
      </c>
    </row>
    <row r="4665">
      <c r="A4665" s="2">
        <v>4663.0</v>
      </c>
      <c r="B4665" s="5" t="s">
        <v>13912</v>
      </c>
      <c r="C4665" s="2" t="s">
        <v>13913</v>
      </c>
      <c r="D4665" s="5" t="s">
        <v>13912</v>
      </c>
      <c r="E4665" s="2" t="s">
        <v>15441</v>
      </c>
      <c r="F4665" s="2" t="s">
        <v>15442</v>
      </c>
      <c r="G4665" s="2" t="s">
        <v>15443</v>
      </c>
      <c r="H4665" s="2" t="s">
        <v>15444</v>
      </c>
    </row>
    <row r="4666">
      <c r="A4666" s="2">
        <v>4664.0</v>
      </c>
      <c r="B4666" s="5" t="s">
        <v>15579</v>
      </c>
      <c r="C4666" s="2" t="s">
        <v>15580</v>
      </c>
      <c r="D4666" s="5" t="s">
        <v>15579</v>
      </c>
      <c r="E4666" s="2" t="s">
        <v>15441</v>
      </c>
      <c r="F4666" s="2" t="s">
        <v>15446</v>
      </c>
      <c r="G4666" s="2" t="s">
        <v>15456</v>
      </c>
      <c r="H4666" s="2" t="s">
        <v>15457</v>
      </c>
    </row>
    <row r="4667">
      <c r="A4667" s="2">
        <v>4665.0</v>
      </c>
      <c r="B4667" s="5" t="s">
        <v>13914</v>
      </c>
      <c r="C4667" s="2" t="s">
        <v>13915</v>
      </c>
      <c r="D4667" s="5" t="s">
        <v>13914</v>
      </c>
      <c r="E4667" s="2" t="s">
        <v>15441</v>
      </c>
      <c r="F4667" s="2" t="s">
        <v>15446</v>
      </c>
      <c r="G4667" s="2" t="s">
        <v>15443</v>
      </c>
      <c r="H4667" s="2" t="s">
        <v>15444</v>
      </c>
    </row>
    <row r="4668">
      <c r="A4668" s="2">
        <v>4666.0</v>
      </c>
      <c r="B4668" s="5" t="s">
        <v>6902</v>
      </c>
      <c r="C4668" s="2" t="s">
        <v>6903</v>
      </c>
      <c r="D4668" s="5" t="s">
        <v>6902</v>
      </c>
      <c r="E4668" s="2" t="s">
        <v>15445</v>
      </c>
      <c r="F4668" s="2" t="s">
        <v>15446</v>
      </c>
      <c r="G4668" s="2" t="s">
        <v>15456</v>
      </c>
      <c r="H4668" s="2" t="s">
        <v>15444</v>
      </c>
    </row>
    <row r="4669">
      <c r="A4669" s="2">
        <v>4667.0</v>
      </c>
      <c r="B4669" s="5" t="s">
        <v>13916</v>
      </c>
      <c r="C4669" s="2" t="s">
        <v>13917</v>
      </c>
      <c r="D4669" s="5" t="s">
        <v>13916</v>
      </c>
      <c r="E4669" s="2" t="s">
        <v>15441</v>
      </c>
      <c r="F4669" s="2" t="s">
        <v>15442</v>
      </c>
      <c r="G4669" s="2" t="s">
        <v>15443</v>
      </c>
      <c r="H4669" s="2" t="s">
        <v>15444</v>
      </c>
    </row>
    <row r="4670">
      <c r="A4670" s="2">
        <v>4668.0</v>
      </c>
      <c r="B4670" s="5" t="s">
        <v>6905</v>
      </c>
      <c r="C4670" s="2" t="s">
        <v>6906</v>
      </c>
      <c r="D4670" s="5" t="s">
        <v>6905</v>
      </c>
      <c r="E4670" s="2" t="s">
        <v>15445</v>
      </c>
      <c r="F4670" s="2" t="s">
        <v>15442</v>
      </c>
      <c r="G4670" s="2" t="s">
        <v>15443</v>
      </c>
      <c r="H4670" s="2" t="s">
        <v>15444</v>
      </c>
    </row>
    <row r="4671">
      <c r="A4671" s="2">
        <v>4669.0</v>
      </c>
      <c r="B4671" s="5" t="s">
        <v>13918</v>
      </c>
      <c r="C4671" s="2" t="s">
        <v>13919</v>
      </c>
      <c r="D4671" s="5" t="s">
        <v>13918</v>
      </c>
      <c r="E4671" s="2" t="s">
        <v>15441</v>
      </c>
      <c r="F4671" s="2" t="s">
        <v>15442</v>
      </c>
      <c r="G4671" s="2" t="s">
        <v>15443</v>
      </c>
      <c r="H4671" s="2" t="s">
        <v>15444</v>
      </c>
    </row>
    <row r="4672">
      <c r="A4672" s="2">
        <v>4670.0</v>
      </c>
      <c r="B4672" s="5" t="s">
        <v>13920</v>
      </c>
      <c r="C4672" s="2" t="s">
        <v>13921</v>
      </c>
      <c r="D4672" s="5" t="s">
        <v>13920</v>
      </c>
      <c r="E4672" s="2" t="s">
        <v>15441</v>
      </c>
      <c r="F4672" s="2" t="s">
        <v>15442</v>
      </c>
      <c r="G4672" s="2" t="s">
        <v>15443</v>
      </c>
      <c r="H4672" s="2" t="s">
        <v>15444</v>
      </c>
    </row>
    <row r="4673">
      <c r="A4673" s="2">
        <v>4671.0</v>
      </c>
      <c r="B4673" s="5" t="s">
        <v>13922</v>
      </c>
      <c r="C4673" s="2" t="s">
        <v>13923</v>
      </c>
      <c r="D4673" s="5" t="s">
        <v>13922</v>
      </c>
      <c r="E4673" s="2" t="s">
        <v>15441</v>
      </c>
      <c r="F4673" s="2" t="s">
        <v>15446</v>
      </c>
      <c r="G4673" s="2" t="s">
        <v>15443</v>
      </c>
      <c r="H4673" s="2" t="s">
        <v>15444</v>
      </c>
    </row>
    <row r="4674">
      <c r="A4674" s="2">
        <v>4672.0</v>
      </c>
      <c r="B4674" s="5" t="s">
        <v>6908</v>
      </c>
      <c r="C4674" s="2" t="s">
        <v>6909</v>
      </c>
      <c r="D4674" s="5" t="s">
        <v>6908</v>
      </c>
      <c r="E4674" s="2" t="s">
        <v>15445</v>
      </c>
      <c r="F4674" s="2" t="s">
        <v>15446</v>
      </c>
      <c r="G4674" s="2" t="s">
        <v>15456</v>
      </c>
      <c r="H4674" s="2" t="s">
        <v>15444</v>
      </c>
    </row>
    <row r="4675">
      <c r="A4675" s="2">
        <v>4673.0</v>
      </c>
      <c r="B4675" s="5" t="s">
        <v>13924</v>
      </c>
      <c r="C4675" s="2" t="s">
        <v>13925</v>
      </c>
      <c r="D4675" s="5" t="s">
        <v>13924</v>
      </c>
      <c r="E4675" s="2" t="s">
        <v>15441</v>
      </c>
      <c r="F4675" s="2" t="s">
        <v>15446</v>
      </c>
      <c r="G4675" s="2" t="s">
        <v>15456</v>
      </c>
      <c r="H4675" s="2" t="s">
        <v>15444</v>
      </c>
    </row>
    <row r="4676">
      <c r="A4676" s="2">
        <v>4674.0</v>
      </c>
      <c r="B4676" s="5" t="s">
        <v>6911</v>
      </c>
      <c r="C4676" s="2" t="s">
        <v>6912</v>
      </c>
      <c r="D4676" s="5" t="s">
        <v>6911</v>
      </c>
      <c r="E4676" s="2" t="s">
        <v>15445</v>
      </c>
      <c r="F4676" s="2" t="s">
        <v>15442</v>
      </c>
      <c r="G4676" s="2" t="s">
        <v>15443</v>
      </c>
      <c r="H4676" s="2" t="s">
        <v>15444</v>
      </c>
    </row>
    <row r="4677">
      <c r="A4677" s="2">
        <v>4675.0</v>
      </c>
      <c r="B4677" s="5" t="s">
        <v>15581</v>
      </c>
      <c r="C4677" s="2" t="s">
        <v>15582</v>
      </c>
      <c r="D4677" s="5" t="s">
        <v>15581</v>
      </c>
      <c r="E4677" s="2" t="s">
        <v>15445</v>
      </c>
      <c r="F4677" s="2" t="s">
        <v>15442</v>
      </c>
      <c r="G4677" s="2" t="s">
        <v>15443</v>
      </c>
      <c r="H4677" s="2" t="s">
        <v>15455</v>
      </c>
    </row>
    <row r="4678">
      <c r="A4678" s="2">
        <v>4676.0</v>
      </c>
      <c r="B4678" s="5" t="s">
        <v>6914</v>
      </c>
      <c r="C4678" s="2" t="s">
        <v>6915</v>
      </c>
      <c r="D4678" s="5" t="s">
        <v>6914</v>
      </c>
      <c r="E4678" s="2" t="s">
        <v>15445</v>
      </c>
      <c r="F4678" s="2" t="s">
        <v>15446</v>
      </c>
      <c r="G4678" s="2" t="s">
        <v>15456</v>
      </c>
      <c r="H4678" s="2" t="s">
        <v>15444</v>
      </c>
    </row>
    <row r="4679">
      <c r="A4679" s="2">
        <v>4677.0</v>
      </c>
      <c r="B4679" s="5" t="s">
        <v>13926</v>
      </c>
      <c r="C4679" s="2" t="s">
        <v>13927</v>
      </c>
      <c r="D4679" s="5" t="s">
        <v>13926</v>
      </c>
      <c r="E4679" s="2" t="s">
        <v>15441</v>
      </c>
      <c r="F4679" s="2" t="s">
        <v>15442</v>
      </c>
      <c r="G4679" s="2" t="s">
        <v>15443</v>
      </c>
      <c r="H4679" s="2" t="s">
        <v>15461</v>
      </c>
    </row>
    <row r="4680">
      <c r="A4680" s="2">
        <v>4678.0</v>
      </c>
      <c r="B4680" s="5" t="s">
        <v>6917</v>
      </c>
      <c r="C4680" s="2" t="s">
        <v>6918</v>
      </c>
      <c r="D4680" s="5" t="s">
        <v>6917</v>
      </c>
      <c r="E4680" s="2" t="s">
        <v>15445</v>
      </c>
      <c r="F4680" s="2" t="s">
        <v>15446</v>
      </c>
      <c r="G4680" s="2" t="s">
        <v>15456</v>
      </c>
      <c r="H4680" s="2" t="s">
        <v>15457</v>
      </c>
    </row>
    <row r="4681">
      <c r="A4681" s="2">
        <v>4679.0</v>
      </c>
      <c r="B4681" s="5" t="s">
        <v>13928</v>
      </c>
      <c r="C4681" s="2" t="s">
        <v>13929</v>
      </c>
      <c r="D4681" s="5" t="s">
        <v>13928</v>
      </c>
      <c r="E4681" s="2" t="s">
        <v>15441</v>
      </c>
      <c r="F4681" s="2" t="s">
        <v>15442</v>
      </c>
      <c r="G4681" s="2" t="s">
        <v>15443</v>
      </c>
      <c r="H4681" s="2" t="s">
        <v>15444</v>
      </c>
    </row>
    <row r="4682">
      <c r="A4682" s="2">
        <v>4680.0</v>
      </c>
      <c r="B4682" s="5" t="s">
        <v>13930</v>
      </c>
      <c r="C4682" s="2" t="s">
        <v>13931</v>
      </c>
      <c r="D4682" s="5" t="s">
        <v>13930</v>
      </c>
      <c r="E4682" s="2" t="s">
        <v>15441</v>
      </c>
      <c r="F4682" s="2" t="s">
        <v>15446</v>
      </c>
      <c r="G4682" s="2" t="s">
        <v>15456</v>
      </c>
      <c r="H4682" s="2" t="s">
        <v>15444</v>
      </c>
    </row>
    <row r="4683">
      <c r="A4683" s="2">
        <v>4681.0</v>
      </c>
      <c r="B4683" s="5" t="s">
        <v>6920</v>
      </c>
      <c r="C4683" s="2" t="s">
        <v>6921</v>
      </c>
      <c r="D4683" s="5" t="s">
        <v>6920</v>
      </c>
      <c r="E4683" s="2" t="s">
        <v>15445</v>
      </c>
      <c r="F4683" s="2" t="s">
        <v>15446</v>
      </c>
      <c r="G4683" s="2" t="s">
        <v>15443</v>
      </c>
      <c r="H4683" s="2" t="s">
        <v>15444</v>
      </c>
    </row>
    <row r="4684">
      <c r="A4684" s="2">
        <v>4682.0</v>
      </c>
      <c r="B4684" s="5" t="s">
        <v>6923</v>
      </c>
      <c r="C4684" s="2" t="s">
        <v>6924</v>
      </c>
      <c r="D4684" s="5" t="s">
        <v>6923</v>
      </c>
      <c r="E4684" s="2" t="s">
        <v>15445</v>
      </c>
      <c r="F4684" s="2" t="s">
        <v>15446</v>
      </c>
      <c r="G4684" s="2" t="s">
        <v>15456</v>
      </c>
      <c r="H4684" s="2" t="s">
        <v>15444</v>
      </c>
    </row>
    <row r="4685">
      <c r="A4685" s="2">
        <v>4683.0</v>
      </c>
      <c r="B4685" s="5" t="s">
        <v>13932</v>
      </c>
      <c r="C4685" s="2" t="s">
        <v>13933</v>
      </c>
      <c r="D4685" s="5" t="s">
        <v>13932</v>
      </c>
      <c r="E4685" s="2" t="s">
        <v>15441</v>
      </c>
      <c r="F4685" s="2" t="s">
        <v>15442</v>
      </c>
      <c r="G4685" s="2" t="s">
        <v>15456</v>
      </c>
      <c r="H4685" s="2" t="s">
        <v>15444</v>
      </c>
    </row>
    <row r="4686">
      <c r="A4686" s="2">
        <v>4684.0</v>
      </c>
      <c r="B4686" s="5" t="s">
        <v>13934</v>
      </c>
      <c r="C4686" s="2" t="s">
        <v>13935</v>
      </c>
      <c r="D4686" s="5" t="s">
        <v>13934</v>
      </c>
      <c r="E4686" s="2" t="s">
        <v>15441</v>
      </c>
      <c r="F4686" s="2" t="s">
        <v>15446</v>
      </c>
      <c r="G4686" s="2" t="s">
        <v>15443</v>
      </c>
      <c r="H4686" s="2" t="s">
        <v>15444</v>
      </c>
    </row>
    <row r="4687">
      <c r="A4687" s="2">
        <v>4685.0</v>
      </c>
      <c r="B4687" s="5" t="s">
        <v>6926</v>
      </c>
      <c r="C4687" s="2" t="s">
        <v>6927</v>
      </c>
      <c r="D4687" s="5" t="s">
        <v>6926</v>
      </c>
      <c r="E4687" s="2" t="s">
        <v>15445</v>
      </c>
      <c r="F4687" s="2" t="s">
        <v>15446</v>
      </c>
      <c r="G4687" s="2" t="s">
        <v>15456</v>
      </c>
      <c r="H4687" s="2" t="s">
        <v>15444</v>
      </c>
    </row>
    <row r="4688">
      <c r="A4688" s="2">
        <v>4686.0</v>
      </c>
      <c r="B4688" s="5" t="s">
        <v>13936</v>
      </c>
      <c r="C4688" s="2" t="s">
        <v>13937</v>
      </c>
      <c r="D4688" s="5" t="s">
        <v>13936</v>
      </c>
      <c r="E4688" s="2" t="s">
        <v>15441</v>
      </c>
      <c r="F4688" s="2" t="s">
        <v>15446</v>
      </c>
      <c r="G4688" s="2" t="s">
        <v>15456</v>
      </c>
      <c r="H4688" s="2" t="s">
        <v>15444</v>
      </c>
    </row>
    <row r="4689">
      <c r="A4689" s="2">
        <v>4687.0</v>
      </c>
      <c r="B4689" s="5" t="s">
        <v>6929</v>
      </c>
      <c r="C4689" s="2" t="s">
        <v>6930</v>
      </c>
      <c r="D4689" s="5" t="s">
        <v>6929</v>
      </c>
      <c r="E4689" s="2" t="s">
        <v>15445</v>
      </c>
      <c r="F4689" s="2" t="s">
        <v>15442</v>
      </c>
      <c r="G4689" s="2" t="s">
        <v>15443</v>
      </c>
      <c r="H4689" s="2" t="s">
        <v>15444</v>
      </c>
    </row>
    <row r="4690">
      <c r="A4690" s="2">
        <v>4688.0</v>
      </c>
      <c r="B4690" s="5" t="s">
        <v>6932</v>
      </c>
      <c r="C4690" s="2" t="s">
        <v>6933</v>
      </c>
      <c r="D4690" s="5" t="s">
        <v>6932</v>
      </c>
      <c r="E4690" s="2" t="s">
        <v>15445</v>
      </c>
      <c r="F4690" s="2" t="s">
        <v>15442</v>
      </c>
      <c r="G4690" s="2" t="s">
        <v>15443</v>
      </c>
      <c r="H4690" s="2" t="s">
        <v>15444</v>
      </c>
    </row>
    <row r="4691">
      <c r="A4691" s="2">
        <v>4689.0</v>
      </c>
      <c r="B4691" s="5" t="s">
        <v>6935</v>
      </c>
      <c r="C4691" s="2" t="s">
        <v>6936</v>
      </c>
      <c r="D4691" s="5" t="s">
        <v>6935</v>
      </c>
      <c r="E4691" s="2" t="s">
        <v>15445</v>
      </c>
      <c r="F4691" s="2" t="s">
        <v>15442</v>
      </c>
      <c r="G4691" s="2" t="s">
        <v>15456</v>
      </c>
      <c r="H4691" s="2" t="s">
        <v>15444</v>
      </c>
    </row>
    <row r="4692">
      <c r="A4692" s="2">
        <v>4690.0</v>
      </c>
      <c r="B4692" s="5" t="s">
        <v>13938</v>
      </c>
      <c r="C4692" s="2" t="s">
        <v>13939</v>
      </c>
      <c r="D4692" s="5" t="s">
        <v>13938</v>
      </c>
      <c r="E4692" s="2" t="s">
        <v>15441</v>
      </c>
      <c r="F4692" s="2" t="s">
        <v>15446</v>
      </c>
      <c r="G4692" s="2" t="s">
        <v>15443</v>
      </c>
      <c r="H4692" s="2" t="s">
        <v>15444</v>
      </c>
    </row>
    <row r="4693">
      <c r="A4693" s="2">
        <v>4691.0</v>
      </c>
      <c r="B4693" s="5" t="s">
        <v>13940</v>
      </c>
      <c r="C4693" s="2" t="s">
        <v>13941</v>
      </c>
      <c r="D4693" s="5" t="s">
        <v>13940</v>
      </c>
      <c r="E4693" s="2" t="s">
        <v>15441</v>
      </c>
      <c r="F4693" s="2" t="s">
        <v>15446</v>
      </c>
      <c r="G4693" s="2" t="s">
        <v>15443</v>
      </c>
      <c r="H4693" s="2" t="s">
        <v>15457</v>
      </c>
    </row>
    <row r="4694">
      <c r="A4694" s="2">
        <v>4692.0</v>
      </c>
      <c r="B4694" s="5" t="s">
        <v>6938</v>
      </c>
      <c r="C4694" s="2" t="s">
        <v>6939</v>
      </c>
      <c r="D4694" s="5" t="s">
        <v>6938</v>
      </c>
      <c r="E4694" s="2" t="s">
        <v>15445</v>
      </c>
      <c r="F4694" s="2" t="s">
        <v>15446</v>
      </c>
      <c r="G4694" s="2" t="s">
        <v>15456</v>
      </c>
      <c r="H4694" s="2" t="s">
        <v>15444</v>
      </c>
    </row>
    <row r="4695">
      <c r="A4695" s="2">
        <v>4693.0</v>
      </c>
      <c r="B4695" s="5" t="s">
        <v>13942</v>
      </c>
      <c r="C4695" s="2" t="s">
        <v>13943</v>
      </c>
      <c r="D4695" s="5" t="s">
        <v>13942</v>
      </c>
      <c r="E4695" s="2" t="s">
        <v>15441</v>
      </c>
      <c r="F4695" s="2" t="s">
        <v>15442</v>
      </c>
      <c r="G4695" s="2" t="s">
        <v>15443</v>
      </c>
      <c r="H4695" s="2" t="s">
        <v>15444</v>
      </c>
    </row>
    <row r="4696">
      <c r="A4696" s="2">
        <v>4694.0</v>
      </c>
      <c r="B4696" s="5" t="s">
        <v>13944</v>
      </c>
      <c r="C4696" s="2" t="s">
        <v>13945</v>
      </c>
      <c r="D4696" s="5" t="s">
        <v>13944</v>
      </c>
      <c r="E4696" s="2" t="s">
        <v>15441</v>
      </c>
      <c r="F4696" s="2" t="s">
        <v>15442</v>
      </c>
      <c r="G4696" s="2" t="s">
        <v>15443</v>
      </c>
      <c r="H4696" s="2" t="s">
        <v>15444</v>
      </c>
    </row>
    <row r="4697">
      <c r="A4697" s="2">
        <v>4695.0</v>
      </c>
      <c r="B4697" s="5" t="s">
        <v>13946</v>
      </c>
      <c r="C4697" s="2" t="s">
        <v>13947</v>
      </c>
      <c r="D4697" s="5" t="s">
        <v>13946</v>
      </c>
      <c r="E4697" s="2" t="s">
        <v>15441</v>
      </c>
      <c r="F4697" s="2" t="s">
        <v>15446</v>
      </c>
      <c r="G4697" s="2" t="s">
        <v>15456</v>
      </c>
      <c r="H4697" s="2" t="s">
        <v>15444</v>
      </c>
    </row>
    <row r="4698">
      <c r="A4698" s="2">
        <v>4696.0</v>
      </c>
      <c r="B4698" s="5" t="s">
        <v>6941</v>
      </c>
      <c r="C4698" s="2" t="s">
        <v>6942</v>
      </c>
      <c r="D4698" s="5" t="s">
        <v>6941</v>
      </c>
      <c r="E4698" s="2" t="s">
        <v>15445</v>
      </c>
      <c r="F4698" s="2" t="s">
        <v>15442</v>
      </c>
      <c r="G4698" s="2" t="s">
        <v>15456</v>
      </c>
      <c r="H4698" s="2" t="s">
        <v>15462</v>
      </c>
    </row>
    <row r="4699">
      <c r="A4699" s="2">
        <v>4697.0</v>
      </c>
      <c r="B4699" s="5" t="s">
        <v>13948</v>
      </c>
      <c r="C4699" s="2" t="s">
        <v>13949</v>
      </c>
      <c r="D4699" s="5" t="s">
        <v>13948</v>
      </c>
      <c r="E4699" s="2" t="s">
        <v>15441</v>
      </c>
      <c r="F4699" s="2" t="s">
        <v>15446</v>
      </c>
      <c r="G4699" s="2" t="s">
        <v>15456</v>
      </c>
      <c r="H4699" s="2" t="s">
        <v>15444</v>
      </c>
    </row>
    <row r="4700">
      <c r="A4700" s="2">
        <v>4698.0</v>
      </c>
      <c r="B4700" s="5" t="s">
        <v>13950</v>
      </c>
      <c r="C4700" s="2" t="s">
        <v>13951</v>
      </c>
      <c r="D4700" s="5" t="s">
        <v>13950</v>
      </c>
      <c r="E4700" s="2" t="s">
        <v>15441</v>
      </c>
      <c r="F4700" s="2" t="s">
        <v>15442</v>
      </c>
      <c r="G4700" s="2" t="s">
        <v>15443</v>
      </c>
      <c r="H4700" s="2" t="s">
        <v>15444</v>
      </c>
    </row>
    <row r="4701">
      <c r="A4701" s="2">
        <v>4699.0</v>
      </c>
      <c r="B4701" s="5" t="s">
        <v>13952</v>
      </c>
      <c r="C4701" s="2" t="s">
        <v>13953</v>
      </c>
      <c r="D4701" s="5" t="s">
        <v>13952</v>
      </c>
      <c r="E4701" s="2" t="s">
        <v>15441</v>
      </c>
      <c r="F4701" s="2" t="s">
        <v>15442</v>
      </c>
      <c r="G4701" s="2" t="s">
        <v>15456</v>
      </c>
      <c r="H4701" s="2" t="s">
        <v>15444</v>
      </c>
    </row>
    <row r="4702">
      <c r="A4702" s="2">
        <v>4700.0</v>
      </c>
      <c r="B4702" s="5" t="s">
        <v>6944</v>
      </c>
      <c r="C4702" s="2" t="s">
        <v>6945</v>
      </c>
      <c r="D4702" s="5" t="s">
        <v>6944</v>
      </c>
      <c r="E4702" s="2" t="s">
        <v>15445</v>
      </c>
      <c r="F4702" s="2" t="s">
        <v>15446</v>
      </c>
      <c r="G4702" s="2" t="s">
        <v>15456</v>
      </c>
      <c r="H4702" s="2" t="s">
        <v>15444</v>
      </c>
    </row>
    <row r="4703">
      <c r="A4703" s="2">
        <v>4701.0</v>
      </c>
      <c r="B4703" s="5" t="s">
        <v>13954</v>
      </c>
      <c r="C4703" s="2" t="s">
        <v>13955</v>
      </c>
      <c r="D4703" s="5" t="s">
        <v>13954</v>
      </c>
      <c r="E4703" s="2" t="s">
        <v>15441</v>
      </c>
      <c r="F4703" s="2" t="s">
        <v>15446</v>
      </c>
      <c r="G4703" s="2" t="s">
        <v>15456</v>
      </c>
      <c r="H4703" s="2" t="s">
        <v>15444</v>
      </c>
    </row>
    <row r="4704">
      <c r="A4704" s="2">
        <v>4702.0</v>
      </c>
      <c r="B4704" s="5" t="s">
        <v>6947</v>
      </c>
      <c r="C4704" s="2" t="s">
        <v>6948</v>
      </c>
      <c r="D4704" s="5" t="s">
        <v>6947</v>
      </c>
      <c r="E4704" s="2" t="s">
        <v>15445</v>
      </c>
      <c r="F4704" s="2" t="s">
        <v>15446</v>
      </c>
      <c r="G4704" s="2" t="s">
        <v>15456</v>
      </c>
      <c r="H4704" s="2" t="s">
        <v>15444</v>
      </c>
    </row>
    <row r="4705">
      <c r="A4705" s="2">
        <v>4703.0</v>
      </c>
      <c r="B4705" s="5" t="s">
        <v>6950</v>
      </c>
      <c r="C4705" s="2" t="s">
        <v>6951</v>
      </c>
      <c r="D4705" s="5" t="s">
        <v>6950</v>
      </c>
      <c r="E4705" s="2" t="s">
        <v>15445</v>
      </c>
      <c r="F4705" s="2" t="s">
        <v>15442</v>
      </c>
      <c r="G4705" s="2" t="s">
        <v>15443</v>
      </c>
      <c r="H4705" s="2" t="s">
        <v>15444</v>
      </c>
    </row>
    <row r="4706">
      <c r="A4706" s="2">
        <v>4704.0</v>
      </c>
      <c r="B4706" s="5" t="s">
        <v>6953</v>
      </c>
      <c r="C4706" s="2" t="s">
        <v>6954</v>
      </c>
      <c r="D4706" s="5" t="s">
        <v>6953</v>
      </c>
      <c r="E4706" s="2" t="s">
        <v>15445</v>
      </c>
      <c r="F4706" s="2" t="s">
        <v>15446</v>
      </c>
      <c r="G4706" s="2" t="s">
        <v>15456</v>
      </c>
      <c r="H4706" s="2" t="s">
        <v>15444</v>
      </c>
    </row>
    <row r="4707">
      <c r="A4707" s="2">
        <v>4705.0</v>
      </c>
      <c r="B4707" s="5" t="s">
        <v>6956</v>
      </c>
      <c r="C4707" s="2" t="s">
        <v>6957</v>
      </c>
      <c r="D4707" s="5" t="s">
        <v>6956</v>
      </c>
      <c r="E4707" s="2" t="s">
        <v>15445</v>
      </c>
      <c r="F4707" s="2" t="s">
        <v>15442</v>
      </c>
      <c r="G4707" s="2" t="s">
        <v>15443</v>
      </c>
      <c r="H4707" s="2" t="s">
        <v>15444</v>
      </c>
    </row>
    <row r="4708">
      <c r="A4708" s="2">
        <v>4706.0</v>
      </c>
      <c r="B4708" s="5" t="s">
        <v>13956</v>
      </c>
      <c r="C4708" s="2" t="s">
        <v>13957</v>
      </c>
      <c r="D4708" s="5" t="s">
        <v>13956</v>
      </c>
      <c r="E4708" s="2" t="s">
        <v>15441</v>
      </c>
      <c r="F4708" s="2" t="s">
        <v>15446</v>
      </c>
      <c r="G4708" s="2" t="s">
        <v>15443</v>
      </c>
      <c r="H4708" s="2" t="s">
        <v>15444</v>
      </c>
    </row>
    <row r="4709">
      <c r="A4709" s="2">
        <v>4707.0</v>
      </c>
      <c r="B4709" s="5" t="s">
        <v>6959</v>
      </c>
      <c r="C4709" s="2" t="s">
        <v>6960</v>
      </c>
      <c r="D4709" s="5" t="s">
        <v>6959</v>
      </c>
      <c r="E4709" s="2" t="s">
        <v>15445</v>
      </c>
      <c r="F4709" s="2" t="s">
        <v>15446</v>
      </c>
      <c r="G4709" s="2" t="s">
        <v>15456</v>
      </c>
      <c r="H4709" s="2" t="s">
        <v>15444</v>
      </c>
    </row>
    <row r="4710">
      <c r="A4710" s="2">
        <v>4708.0</v>
      </c>
      <c r="B4710" s="5" t="s">
        <v>6962</v>
      </c>
      <c r="C4710" s="2" t="s">
        <v>6963</v>
      </c>
      <c r="D4710" s="5" t="s">
        <v>6962</v>
      </c>
      <c r="E4710" s="2" t="s">
        <v>15445</v>
      </c>
      <c r="F4710" s="2" t="s">
        <v>15442</v>
      </c>
      <c r="G4710" s="2" t="s">
        <v>15443</v>
      </c>
      <c r="H4710" s="2" t="s">
        <v>15444</v>
      </c>
    </row>
    <row r="4711">
      <c r="A4711" s="2">
        <v>4709.0</v>
      </c>
      <c r="B4711" s="5" t="s">
        <v>15583</v>
      </c>
      <c r="C4711" s="2" t="s">
        <v>15584</v>
      </c>
      <c r="D4711" s="5" t="s">
        <v>15583</v>
      </c>
      <c r="E4711" s="2" t="s">
        <v>15445</v>
      </c>
      <c r="F4711" s="2" t="s">
        <v>15446</v>
      </c>
      <c r="G4711" s="2" t="s">
        <v>15456</v>
      </c>
      <c r="H4711" s="2" t="s">
        <v>15486</v>
      </c>
    </row>
    <row r="4712">
      <c r="A4712" s="2">
        <v>4710.0</v>
      </c>
      <c r="B4712" s="5" t="s">
        <v>13958</v>
      </c>
      <c r="C4712" s="2" t="s">
        <v>13959</v>
      </c>
      <c r="D4712" s="5" t="s">
        <v>13958</v>
      </c>
      <c r="E4712" s="2" t="s">
        <v>15441</v>
      </c>
      <c r="F4712" s="2" t="s">
        <v>15442</v>
      </c>
      <c r="G4712" s="2" t="s">
        <v>15456</v>
      </c>
      <c r="H4712" s="2" t="s">
        <v>15444</v>
      </c>
    </row>
    <row r="4713">
      <c r="A4713" s="2">
        <v>4711.0</v>
      </c>
      <c r="B4713" s="5" t="s">
        <v>13960</v>
      </c>
      <c r="C4713" s="2" t="s">
        <v>13961</v>
      </c>
      <c r="D4713" s="5" t="s">
        <v>13960</v>
      </c>
      <c r="E4713" s="2" t="s">
        <v>15441</v>
      </c>
      <c r="F4713" s="2" t="s">
        <v>15446</v>
      </c>
      <c r="G4713" s="2" t="s">
        <v>15443</v>
      </c>
      <c r="H4713" s="2" t="s">
        <v>15444</v>
      </c>
    </row>
    <row r="4714">
      <c r="A4714" s="2">
        <v>4712.0</v>
      </c>
      <c r="B4714" s="5" t="s">
        <v>6965</v>
      </c>
      <c r="C4714" s="2" t="s">
        <v>6966</v>
      </c>
      <c r="D4714" s="5" t="s">
        <v>6965</v>
      </c>
      <c r="E4714" s="2" t="s">
        <v>15445</v>
      </c>
      <c r="F4714" s="2" t="s">
        <v>15446</v>
      </c>
      <c r="G4714" s="2" t="s">
        <v>15456</v>
      </c>
      <c r="H4714" s="2" t="s">
        <v>15444</v>
      </c>
    </row>
    <row r="4715">
      <c r="A4715" s="2">
        <v>4713.0</v>
      </c>
      <c r="B4715" s="5" t="s">
        <v>13962</v>
      </c>
      <c r="C4715" s="2" t="s">
        <v>13963</v>
      </c>
      <c r="D4715" s="5" t="s">
        <v>13962</v>
      </c>
      <c r="E4715" s="2" t="s">
        <v>15441</v>
      </c>
      <c r="F4715" s="2" t="s">
        <v>15446</v>
      </c>
      <c r="G4715" s="2" t="s">
        <v>15456</v>
      </c>
      <c r="H4715" s="2" t="s">
        <v>15444</v>
      </c>
    </row>
    <row r="4716">
      <c r="A4716" s="2">
        <v>4714.0</v>
      </c>
      <c r="B4716" s="5" t="s">
        <v>6968</v>
      </c>
      <c r="C4716" s="2" t="s">
        <v>6969</v>
      </c>
      <c r="D4716" s="5" t="s">
        <v>6968</v>
      </c>
      <c r="E4716" s="2" t="s">
        <v>15445</v>
      </c>
      <c r="F4716" s="2" t="s">
        <v>15446</v>
      </c>
      <c r="G4716" s="2" t="s">
        <v>15456</v>
      </c>
      <c r="H4716" s="2" t="s">
        <v>15444</v>
      </c>
    </row>
    <row r="4717">
      <c r="A4717" s="2">
        <v>4715.0</v>
      </c>
      <c r="B4717" s="5" t="s">
        <v>13964</v>
      </c>
      <c r="C4717" s="2" t="s">
        <v>13965</v>
      </c>
      <c r="D4717" s="5" t="s">
        <v>13964</v>
      </c>
      <c r="E4717" s="2" t="s">
        <v>15441</v>
      </c>
      <c r="F4717" s="2" t="s">
        <v>15446</v>
      </c>
      <c r="G4717" s="2" t="s">
        <v>15456</v>
      </c>
      <c r="H4717" s="2" t="s">
        <v>15444</v>
      </c>
    </row>
    <row r="4718">
      <c r="A4718" s="2">
        <v>4716.0</v>
      </c>
      <c r="B4718" s="5" t="s">
        <v>6971</v>
      </c>
      <c r="C4718" s="2" t="s">
        <v>6972</v>
      </c>
      <c r="D4718" s="5" t="s">
        <v>6971</v>
      </c>
      <c r="E4718" s="2" t="s">
        <v>15445</v>
      </c>
      <c r="F4718" s="2" t="s">
        <v>15446</v>
      </c>
      <c r="G4718" s="2" t="s">
        <v>15456</v>
      </c>
      <c r="H4718" s="2" t="s">
        <v>15444</v>
      </c>
    </row>
    <row r="4719">
      <c r="A4719" s="2">
        <v>4717.0</v>
      </c>
      <c r="B4719" s="5" t="s">
        <v>6974</v>
      </c>
      <c r="C4719" s="2" t="s">
        <v>6975</v>
      </c>
      <c r="D4719" s="5" t="s">
        <v>6974</v>
      </c>
      <c r="E4719" s="2" t="s">
        <v>15445</v>
      </c>
      <c r="F4719" s="2" t="s">
        <v>15442</v>
      </c>
      <c r="G4719" s="2" t="s">
        <v>15456</v>
      </c>
      <c r="H4719" s="2" t="s">
        <v>15444</v>
      </c>
    </row>
    <row r="4720">
      <c r="A4720" s="2">
        <v>4718.0</v>
      </c>
      <c r="B4720" s="5" t="s">
        <v>6977</v>
      </c>
      <c r="C4720" s="2" t="s">
        <v>6978</v>
      </c>
      <c r="D4720" s="5" t="s">
        <v>6977</v>
      </c>
      <c r="E4720" s="2" t="s">
        <v>15445</v>
      </c>
      <c r="F4720" s="2" t="s">
        <v>15446</v>
      </c>
      <c r="G4720" s="2" t="s">
        <v>15456</v>
      </c>
      <c r="H4720" s="2" t="s">
        <v>15455</v>
      </c>
    </row>
    <row r="4721">
      <c r="A4721" s="2">
        <v>4719.0</v>
      </c>
      <c r="B4721" s="5" t="s">
        <v>13966</v>
      </c>
      <c r="C4721" s="2" t="s">
        <v>13967</v>
      </c>
      <c r="D4721" s="5" t="s">
        <v>13966</v>
      </c>
      <c r="E4721" s="2" t="s">
        <v>15441</v>
      </c>
      <c r="F4721" s="2" t="s">
        <v>15442</v>
      </c>
      <c r="G4721" s="2" t="s">
        <v>15456</v>
      </c>
      <c r="H4721" s="2" t="s">
        <v>15444</v>
      </c>
    </row>
    <row r="4722">
      <c r="A4722" s="2">
        <v>4720.0</v>
      </c>
      <c r="B4722" s="5" t="s">
        <v>6980</v>
      </c>
      <c r="C4722" s="2" t="s">
        <v>6981</v>
      </c>
      <c r="D4722" s="5" t="s">
        <v>6980</v>
      </c>
      <c r="E4722" s="2" t="s">
        <v>15445</v>
      </c>
      <c r="F4722" s="2" t="s">
        <v>15446</v>
      </c>
      <c r="G4722" s="2" t="s">
        <v>15456</v>
      </c>
      <c r="H4722" s="2" t="s">
        <v>15444</v>
      </c>
    </row>
    <row r="4723">
      <c r="A4723" s="2">
        <v>4721.0</v>
      </c>
      <c r="B4723" s="5" t="s">
        <v>6983</v>
      </c>
      <c r="C4723" s="2" t="s">
        <v>6984</v>
      </c>
      <c r="D4723" s="5" t="s">
        <v>6983</v>
      </c>
      <c r="E4723" s="2" t="s">
        <v>15445</v>
      </c>
      <c r="F4723" s="2" t="s">
        <v>15446</v>
      </c>
      <c r="G4723" s="2" t="s">
        <v>15456</v>
      </c>
      <c r="H4723" s="2" t="s">
        <v>15444</v>
      </c>
    </row>
    <row r="4724">
      <c r="A4724" s="2">
        <v>4722.0</v>
      </c>
      <c r="B4724" s="5" t="s">
        <v>13968</v>
      </c>
      <c r="C4724" s="2" t="s">
        <v>13969</v>
      </c>
      <c r="D4724" s="5" t="s">
        <v>13968</v>
      </c>
      <c r="E4724" s="2" t="s">
        <v>15441</v>
      </c>
      <c r="F4724" s="2" t="s">
        <v>15442</v>
      </c>
      <c r="G4724" s="2" t="s">
        <v>15443</v>
      </c>
      <c r="H4724" s="2" t="s">
        <v>15444</v>
      </c>
    </row>
    <row r="4725">
      <c r="A4725" s="2">
        <v>4723.0</v>
      </c>
      <c r="B4725" s="5" t="s">
        <v>6986</v>
      </c>
      <c r="C4725" s="2" t="s">
        <v>6987</v>
      </c>
      <c r="D4725" s="5" t="s">
        <v>6986</v>
      </c>
      <c r="E4725" s="2" t="s">
        <v>15445</v>
      </c>
      <c r="F4725" s="2" t="s">
        <v>15446</v>
      </c>
      <c r="G4725" s="2" t="s">
        <v>15456</v>
      </c>
      <c r="H4725" s="2" t="s">
        <v>15457</v>
      </c>
    </row>
    <row r="4726">
      <c r="A4726" s="2">
        <v>4724.0</v>
      </c>
      <c r="B4726" s="5" t="s">
        <v>6989</v>
      </c>
      <c r="C4726" s="2" t="s">
        <v>6990</v>
      </c>
      <c r="D4726" s="5" t="s">
        <v>6989</v>
      </c>
      <c r="E4726" s="2" t="s">
        <v>15445</v>
      </c>
      <c r="F4726" s="2" t="s">
        <v>15442</v>
      </c>
      <c r="G4726" s="2" t="s">
        <v>15456</v>
      </c>
      <c r="H4726" s="2" t="s">
        <v>15444</v>
      </c>
    </row>
    <row r="4727">
      <c r="A4727" s="2">
        <v>4725.0</v>
      </c>
      <c r="B4727" s="5" t="s">
        <v>13970</v>
      </c>
      <c r="C4727" s="2" t="s">
        <v>13971</v>
      </c>
      <c r="D4727" s="5" t="s">
        <v>13970</v>
      </c>
      <c r="E4727" s="2" t="s">
        <v>15441</v>
      </c>
      <c r="F4727" s="2" t="s">
        <v>15442</v>
      </c>
      <c r="G4727" s="2" t="s">
        <v>15456</v>
      </c>
      <c r="H4727" s="2" t="s">
        <v>15444</v>
      </c>
    </row>
    <row r="4728">
      <c r="A4728" s="2">
        <v>4726.0</v>
      </c>
      <c r="B4728" s="5" t="s">
        <v>6992</v>
      </c>
      <c r="C4728" s="2" t="s">
        <v>6993</v>
      </c>
      <c r="D4728" s="5" t="s">
        <v>6992</v>
      </c>
      <c r="E4728" s="2" t="s">
        <v>15445</v>
      </c>
      <c r="F4728" s="2" t="s">
        <v>15442</v>
      </c>
      <c r="G4728" s="2" t="s">
        <v>15456</v>
      </c>
      <c r="H4728" s="2" t="s">
        <v>15444</v>
      </c>
    </row>
    <row r="4729">
      <c r="A4729" s="2">
        <v>4727.0</v>
      </c>
      <c r="B4729" s="5" t="s">
        <v>6995</v>
      </c>
      <c r="C4729" s="2" t="s">
        <v>6996</v>
      </c>
      <c r="D4729" s="5" t="s">
        <v>6995</v>
      </c>
      <c r="E4729" s="2" t="s">
        <v>15445</v>
      </c>
      <c r="F4729" s="2" t="s">
        <v>15442</v>
      </c>
      <c r="G4729" s="2" t="s">
        <v>15443</v>
      </c>
      <c r="H4729" s="2" t="s">
        <v>15444</v>
      </c>
    </row>
    <row r="4730">
      <c r="A4730" s="2">
        <v>4728.0</v>
      </c>
      <c r="B4730" s="5" t="s">
        <v>13972</v>
      </c>
      <c r="C4730" s="2" t="s">
        <v>13973</v>
      </c>
      <c r="D4730" s="5" t="s">
        <v>13972</v>
      </c>
      <c r="E4730" s="2" t="s">
        <v>15441</v>
      </c>
      <c r="F4730" s="2" t="s">
        <v>15446</v>
      </c>
      <c r="G4730" s="2" t="s">
        <v>15456</v>
      </c>
      <c r="H4730" s="2" t="s">
        <v>15444</v>
      </c>
    </row>
    <row r="4731">
      <c r="A4731" s="2">
        <v>4729.0</v>
      </c>
      <c r="B4731" s="5" t="s">
        <v>13974</v>
      </c>
      <c r="C4731" s="2" t="s">
        <v>13975</v>
      </c>
      <c r="D4731" s="5" t="s">
        <v>13974</v>
      </c>
      <c r="E4731" s="2" t="s">
        <v>15441</v>
      </c>
      <c r="F4731" s="2" t="s">
        <v>15446</v>
      </c>
      <c r="G4731" s="2" t="s">
        <v>15456</v>
      </c>
      <c r="H4731" s="2" t="s">
        <v>15444</v>
      </c>
    </row>
    <row r="4732">
      <c r="A4732" s="2">
        <v>4730.0</v>
      </c>
      <c r="B4732" s="5" t="s">
        <v>6998</v>
      </c>
      <c r="C4732" s="2" t="s">
        <v>6999</v>
      </c>
      <c r="D4732" s="5" t="s">
        <v>6998</v>
      </c>
      <c r="E4732" s="2" t="s">
        <v>15445</v>
      </c>
      <c r="F4732" s="2" t="s">
        <v>15446</v>
      </c>
      <c r="G4732" s="2" t="s">
        <v>15443</v>
      </c>
      <c r="H4732" s="2" t="s">
        <v>15444</v>
      </c>
    </row>
    <row r="4733">
      <c r="A4733" s="2">
        <v>4731.0</v>
      </c>
      <c r="B4733" s="5" t="s">
        <v>13976</v>
      </c>
      <c r="C4733" s="2" t="s">
        <v>13977</v>
      </c>
      <c r="D4733" s="5" t="s">
        <v>13976</v>
      </c>
      <c r="E4733" s="2" t="s">
        <v>15441</v>
      </c>
      <c r="F4733" s="2" t="s">
        <v>15442</v>
      </c>
      <c r="G4733" s="2" t="s">
        <v>15456</v>
      </c>
      <c r="H4733" s="2" t="s">
        <v>15444</v>
      </c>
    </row>
    <row r="4734">
      <c r="A4734" s="2">
        <v>4732.0</v>
      </c>
      <c r="B4734" s="5" t="s">
        <v>13978</v>
      </c>
      <c r="C4734" s="2" t="s">
        <v>13979</v>
      </c>
      <c r="D4734" s="5" t="s">
        <v>13978</v>
      </c>
      <c r="E4734" s="2" t="s">
        <v>15441</v>
      </c>
      <c r="F4734" s="2" t="s">
        <v>15442</v>
      </c>
      <c r="G4734" s="2" t="s">
        <v>15443</v>
      </c>
      <c r="H4734" s="2" t="s">
        <v>15444</v>
      </c>
    </row>
    <row r="4735">
      <c r="A4735" s="2">
        <v>4733.0</v>
      </c>
      <c r="B4735" s="5" t="s">
        <v>7001</v>
      </c>
      <c r="C4735" s="2" t="s">
        <v>7002</v>
      </c>
      <c r="D4735" s="5" t="s">
        <v>7001</v>
      </c>
      <c r="E4735" s="2" t="s">
        <v>15445</v>
      </c>
      <c r="F4735" s="2" t="s">
        <v>15442</v>
      </c>
      <c r="G4735" s="2" t="s">
        <v>15456</v>
      </c>
      <c r="H4735" s="2" t="s">
        <v>15444</v>
      </c>
    </row>
    <row r="4736">
      <c r="A4736" s="2">
        <v>4734.0</v>
      </c>
      <c r="B4736" s="5" t="s">
        <v>7004</v>
      </c>
      <c r="C4736" s="2" t="s">
        <v>7005</v>
      </c>
      <c r="D4736" s="5" t="s">
        <v>7004</v>
      </c>
      <c r="E4736" s="2" t="s">
        <v>15445</v>
      </c>
      <c r="F4736" s="2" t="s">
        <v>15442</v>
      </c>
      <c r="G4736" s="2" t="s">
        <v>15443</v>
      </c>
      <c r="H4736" s="2" t="s">
        <v>15444</v>
      </c>
    </row>
    <row r="4737">
      <c r="A4737" s="2">
        <v>4735.0</v>
      </c>
      <c r="B4737" s="5" t="s">
        <v>13980</v>
      </c>
      <c r="C4737" s="2" t="s">
        <v>13981</v>
      </c>
      <c r="D4737" s="5" t="s">
        <v>13980</v>
      </c>
      <c r="E4737" s="2" t="s">
        <v>15441</v>
      </c>
      <c r="F4737" s="2" t="s">
        <v>15446</v>
      </c>
      <c r="G4737" s="2" t="s">
        <v>15456</v>
      </c>
      <c r="H4737" s="2" t="s">
        <v>15444</v>
      </c>
    </row>
    <row r="4738">
      <c r="A4738" s="2">
        <v>4736.0</v>
      </c>
      <c r="B4738" s="5" t="s">
        <v>13982</v>
      </c>
      <c r="C4738" s="2" t="s">
        <v>13983</v>
      </c>
      <c r="D4738" s="5" t="s">
        <v>13982</v>
      </c>
      <c r="E4738" s="2" t="s">
        <v>15441</v>
      </c>
      <c r="F4738" s="2" t="s">
        <v>15446</v>
      </c>
      <c r="G4738" s="2" t="s">
        <v>15456</v>
      </c>
      <c r="H4738" s="2" t="s">
        <v>15444</v>
      </c>
    </row>
    <row r="4739">
      <c r="A4739" s="2">
        <v>4737.0</v>
      </c>
      <c r="B4739" s="5" t="s">
        <v>13984</v>
      </c>
      <c r="C4739" s="2" t="s">
        <v>13985</v>
      </c>
      <c r="D4739" s="5" t="s">
        <v>13984</v>
      </c>
      <c r="E4739" s="2" t="s">
        <v>15441</v>
      </c>
      <c r="F4739" s="2" t="s">
        <v>15442</v>
      </c>
      <c r="G4739" s="2" t="s">
        <v>15443</v>
      </c>
      <c r="H4739" s="2" t="s">
        <v>15444</v>
      </c>
    </row>
    <row r="4740">
      <c r="A4740" s="2">
        <v>4738.0</v>
      </c>
      <c r="B4740" s="5" t="s">
        <v>7007</v>
      </c>
      <c r="C4740" s="2" t="s">
        <v>7008</v>
      </c>
      <c r="D4740" s="5" t="s">
        <v>7007</v>
      </c>
      <c r="E4740" s="2" t="s">
        <v>15445</v>
      </c>
      <c r="F4740" s="2" t="s">
        <v>15446</v>
      </c>
      <c r="G4740" s="2" t="s">
        <v>15443</v>
      </c>
      <c r="H4740" s="2" t="s">
        <v>15444</v>
      </c>
    </row>
    <row r="4741">
      <c r="A4741" s="2">
        <v>4739.0</v>
      </c>
      <c r="B4741" s="5" t="s">
        <v>7010</v>
      </c>
      <c r="C4741" s="2" t="s">
        <v>7011</v>
      </c>
      <c r="D4741" s="5" t="s">
        <v>7010</v>
      </c>
      <c r="E4741" s="2" t="s">
        <v>15445</v>
      </c>
      <c r="F4741" s="2" t="s">
        <v>15442</v>
      </c>
      <c r="G4741" s="2" t="s">
        <v>15456</v>
      </c>
      <c r="H4741" s="2" t="s">
        <v>15444</v>
      </c>
    </row>
    <row r="4742">
      <c r="A4742" s="2">
        <v>4740.0</v>
      </c>
      <c r="B4742" s="5" t="s">
        <v>7013</v>
      </c>
      <c r="C4742" s="2" t="s">
        <v>7014</v>
      </c>
      <c r="D4742" s="5" t="s">
        <v>7013</v>
      </c>
      <c r="E4742" s="2" t="s">
        <v>15445</v>
      </c>
      <c r="F4742" s="2" t="s">
        <v>15442</v>
      </c>
      <c r="G4742" s="2" t="s">
        <v>15443</v>
      </c>
      <c r="H4742" s="2" t="s">
        <v>15444</v>
      </c>
    </row>
    <row r="4743">
      <c r="A4743" s="2">
        <v>4741.0</v>
      </c>
      <c r="B4743" s="5" t="s">
        <v>7016</v>
      </c>
      <c r="C4743" s="2" t="s">
        <v>7017</v>
      </c>
      <c r="D4743" s="5" t="s">
        <v>7016</v>
      </c>
      <c r="E4743" s="2" t="s">
        <v>15445</v>
      </c>
      <c r="F4743" s="2" t="s">
        <v>15442</v>
      </c>
      <c r="G4743" s="2" t="s">
        <v>15443</v>
      </c>
      <c r="H4743" s="2" t="s">
        <v>15444</v>
      </c>
    </row>
    <row r="4744">
      <c r="A4744" s="2">
        <v>4742.0</v>
      </c>
      <c r="B4744" s="5" t="s">
        <v>13986</v>
      </c>
      <c r="C4744" s="2" t="s">
        <v>13987</v>
      </c>
      <c r="D4744" s="5" t="s">
        <v>13986</v>
      </c>
      <c r="E4744" s="2" t="s">
        <v>15441</v>
      </c>
      <c r="F4744" s="2" t="s">
        <v>15442</v>
      </c>
      <c r="G4744" s="2" t="s">
        <v>15443</v>
      </c>
      <c r="H4744" s="2" t="s">
        <v>15444</v>
      </c>
    </row>
    <row r="4745">
      <c r="A4745" s="2">
        <v>4743.0</v>
      </c>
      <c r="B4745" s="5" t="s">
        <v>13988</v>
      </c>
      <c r="C4745" s="2" t="s">
        <v>13989</v>
      </c>
      <c r="D4745" s="5" t="s">
        <v>13988</v>
      </c>
      <c r="E4745" s="2" t="s">
        <v>15441</v>
      </c>
      <c r="F4745" s="2" t="s">
        <v>15442</v>
      </c>
      <c r="G4745" s="2" t="s">
        <v>15443</v>
      </c>
      <c r="H4745" s="2" t="s">
        <v>15444</v>
      </c>
    </row>
    <row r="4746">
      <c r="A4746" s="2">
        <v>4744.0</v>
      </c>
      <c r="B4746" s="5" t="s">
        <v>13990</v>
      </c>
      <c r="C4746" s="2" t="s">
        <v>13991</v>
      </c>
      <c r="D4746" s="5" t="s">
        <v>13990</v>
      </c>
      <c r="E4746" s="2" t="s">
        <v>15441</v>
      </c>
      <c r="F4746" s="2" t="s">
        <v>15446</v>
      </c>
      <c r="G4746" s="2" t="s">
        <v>15443</v>
      </c>
      <c r="H4746" s="2" t="s">
        <v>15444</v>
      </c>
    </row>
    <row r="4747">
      <c r="A4747" s="2">
        <v>4745.0</v>
      </c>
      <c r="B4747" s="5" t="s">
        <v>13992</v>
      </c>
      <c r="C4747" s="2" t="s">
        <v>13993</v>
      </c>
      <c r="D4747" s="5" t="s">
        <v>13992</v>
      </c>
      <c r="E4747" s="2" t="s">
        <v>15441</v>
      </c>
      <c r="F4747" s="2" t="s">
        <v>15442</v>
      </c>
      <c r="G4747" s="2" t="s">
        <v>15443</v>
      </c>
      <c r="H4747" s="2" t="s">
        <v>15444</v>
      </c>
    </row>
    <row r="4748">
      <c r="A4748" s="2">
        <v>4746.0</v>
      </c>
      <c r="B4748" s="5" t="s">
        <v>7019</v>
      </c>
      <c r="C4748" s="2" t="s">
        <v>7020</v>
      </c>
      <c r="D4748" s="5" t="s">
        <v>7019</v>
      </c>
      <c r="E4748" s="2" t="s">
        <v>15445</v>
      </c>
      <c r="F4748" s="2" t="s">
        <v>15446</v>
      </c>
      <c r="G4748" s="2" t="s">
        <v>15456</v>
      </c>
      <c r="H4748" s="2" t="s">
        <v>15444</v>
      </c>
    </row>
    <row r="4749">
      <c r="A4749" s="2">
        <v>4747.0</v>
      </c>
      <c r="B4749" s="5" t="s">
        <v>7022</v>
      </c>
      <c r="C4749" s="2" t="s">
        <v>7023</v>
      </c>
      <c r="D4749" s="5" t="s">
        <v>7022</v>
      </c>
      <c r="E4749" s="2" t="s">
        <v>15445</v>
      </c>
      <c r="F4749" s="2" t="s">
        <v>15446</v>
      </c>
      <c r="G4749" s="2" t="s">
        <v>15456</v>
      </c>
      <c r="H4749" s="2" t="s">
        <v>15455</v>
      </c>
    </row>
    <row r="4750">
      <c r="A4750" s="2">
        <v>4748.0</v>
      </c>
      <c r="B4750" s="5" t="s">
        <v>13994</v>
      </c>
      <c r="C4750" s="2" t="s">
        <v>13995</v>
      </c>
      <c r="D4750" s="5" t="s">
        <v>13994</v>
      </c>
      <c r="E4750" s="2" t="s">
        <v>15441</v>
      </c>
      <c r="F4750" s="2" t="s">
        <v>15442</v>
      </c>
      <c r="G4750" s="2" t="s">
        <v>15443</v>
      </c>
      <c r="H4750" s="2" t="s">
        <v>15444</v>
      </c>
    </row>
    <row r="4751">
      <c r="A4751" s="2">
        <v>4749.0</v>
      </c>
      <c r="B4751" s="5" t="s">
        <v>13996</v>
      </c>
      <c r="C4751" s="2" t="s">
        <v>13997</v>
      </c>
      <c r="D4751" s="5" t="s">
        <v>13996</v>
      </c>
      <c r="E4751" s="2" t="s">
        <v>15441</v>
      </c>
      <c r="F4751" s="2" t="s">
        <v>15442</v>
      </c>
      <c r="G4751" s="2" t="s">
        <v>15443</v>
      </c>
      <c r="H4751" s="2" t="s">
        <v>15444</v>
      </c>
    </row>
    <row r="4752">
      <c r="A4752" s="2">
        <v>4750.0</v>
      </c>
      <c r="B4752" s="5" t="s">
        <v>13998</v>
      </c>
      <c r="C4752" s="2" t="s">
        <v>13999</v>
      </c>
      <c r="D4752" s="5" t="s">
        <v>13998</v>
      </c>
      <c r="E4752" s="2" t="s">
        <v>15441</v>
      </c>
      <c r="F4752" s="2" t="s">
        <v>15446</v>
      </c>
      <c r="G4752" s="2" t="s">
        <v>15443</v>
      </c>
      <c r="H4752" s="2" t="s">
        <v>15444</v>
      </c>
    </row>
    <row r="4753">
      <c r="A4753" s="2">
        <v>4751.0</v>
      </c>
      <c r="B4753" s="5" t="s">
        <v>14000</v>
      </c>
      <c r="C4753" s="2" t="s">
        <v>14001</v>
      </c>
      <c r="D4753" s="5" t="s">
        <v>14000</v>
      </c>
      <c r="E4753" s="2" t="s">
        <v>15441</v>
      </c>
      <c r="F4753" s="2" t="s">
        <v>15446</v>
      </c>
      <c r="G4753" s="2" t="s">
        <v>15443</v>
      </c>
      <c r="H4753" s="2" t="s">
        <v>15444</v>
      </c>
    </row>
    <row r="4754">
      <c r="A4754" s="2">
        <v>4752.0</v>
      </c>
      <c r="B4754" s="5" t="s">
        <v>15585</v>
      </c>
      <c r="C4754" s="2" t="s">
        <v>15586</v>
      </c>
      <c r="D4754" s="5" t="s">
        <v>15585</v>
      </c>
      <c r="E4754" s="2" t="s">
        <v>15445</v>
      </c>
      <c r="F4754" s="2" t="s">
        <v>15446</v>
      </c>
      <c r="G4754" s="2" t="s">
        <v>15456</v>
      </c>
      <c r="H4754" s="2" t="s">
        <v>15455</v>
      </c>
    </row>
    <row r="4755">
      <c r="A4755" s="2">
        <v>4753.0</v>
      </c>
      <c r="B4755" s="5" t="s">
        <v>7025</v>
      </c>
      <c r="C4755" s="2" t="s">
        <v>7026</v>
      </c>
      <c r="D4755" s="5" t="s">
        <v>7025</v>
      </c>
      <c r="E4755" s="2" t="s">
        <v>15445</v>
      </c>
      <c r="F4755" s="2" t="s">
        <v>15446</v>
      </c>
      <c r="G4755" s="2" t="s">
        <v>15456</v>
      </c>
      <c r="H4755" s="2" t="s">
        <v>15444</v>
      </c>
    </row>
    <row r="4756">
      <c r="A4756" s="2">
        <v>4754.0</v>
      </c>
      <c r="B4756" s="5" t="s">
        <v>7028</v>
      </c>
      <c r="C4756" s="2" t="s">
        <v>3564</v>
      </c>
      <c r="D4756" s="5" t="s">
        <v>7028</v>
      </c>
      <c r="E4756" s="2" t="s">
        <v>15445</v>
      </c>
      <c r="F4756" s="2" t="s">
        <v>15442</v>
      </c>
      <c r="G4756" s="2" t="s">
        <v>15443</v>
      </c>
      <c r="H4756" s="2" t="s">
        <v>15455</v>
      </c>
    </row>
    <row r="4757">
      <c r="A4757" s="2">
        <v>4755.0</v>
      </c>
      <c r="B4757" s="5" t="s">
        <v>14002</v>
      </c>
      <c r="C4757" s="2" t="s">
        <v>14003</v>
      </c>
      <c r="D4757" s="5" t="s">
        <v>14002</v>
      </c>
      <c r="E4757" s="2" t="s">
        <v>15441</v>
      </c>
      <c r="F4757" s="2" t="s">
        <v>15446</v>
      </c>
      <c r="G4757" s="2" t="s">
        <v>15456</v>
      </c>
      <c r="H4757" s="2" t="s">
        <v>15444</v>
      </c>
    </row>
    <row r="4758">
      <c r="A4758" s="2">
        <v>4756.0</v>
      </c>
      <c r="B4758" s="5" t="s">
        <v>7029</v>
      </c>
      <c r="C4758" s="2" t="s">
        <v>7030</v>
      </c>
      <c r="D4758" s="5" t="s">
        <v>7029</v>
      </c>
      <c r="E4758" s="2" t="s">
        <v>15445</v>
      </c>
      <c r="F4758" s="2" t="s">
        <v>15446</v>
      </c>
      <c r="G4758" s="2" t="s">
        <v>15443</v>
      </c>
      <c r="H4758" s="2" t="s">
        <v>15444</v>
      </c>
    </row>
    <row r="4759">
      <c r="A4759" s="2">
        <v>4757.0</v>
      </c>
      <c r="B4759" s="5" t="s">
        <v>14004</v>
      </c>
      <c r="C4759" s="2" t="s">
        <v>14005</v>
      </c>
      <c r="D4759" s="5" t="s">
        <v>14004</v>
      </c>
      <c r="E4759" s="2" t="s">
        <v>15441</v>
      </c>
      <c r="F4759" s="2" t="s">
        <v>15442</v>
      </c>
      <c r="G4759" s="2" t="s">
        <v>15443</v>
      </c>
      <c r="H4759" s="2" t="s">
        <v>15444</v>
      </c>
    </row>
    <row r="4760">
      <c r="A4760" s="2">
        <v>4758.0</v>
      </c>
      <c r="B4760" s="5" t="s">
        <v>7032</v>
      </c>
      <c r="C4760" s="2" t="s">
        <v>7033</v>
      </c>
      <c r="D4760" s="5" t="s">
        <v>7032</v>
      </c>
      <c r="E4760" s="2" t="s">
        <v>15445</v>
      </c>
      <c r="F4760" s="2" t="s">
        <v>15446</v>
      </c>
      <c r="G4760" s="2" t="s">
        <v>15443</v>
      </c>
      <c r="H4760" s="2" t="s">
        <v>15444</v>
      </c>
    </row>
    <row r="4761">
      <c r="A4761" s="2">
        <v>4759.0</v>
      </c>
      <c r="B4761" s="5" t="s">
        <v>7035</v>
      </c>
      <c r="C4761" s="2" t="s">
        <v>7036</v>
      </c>
      <c r="D4761" s="5" t="s">
        <v>7035</v>
      </c>
      <c r="E4761" s="2" t="s">
        <v>15445</v>
      </c>
      <c r="F4761" s="2" t="s">
        <v>15446</v>
      </c>
      <c r="G4761" s="2" t="s">
        <v>15443</v>
      </c>
      <c r="H4761" s="2" t="s">
        <v>15444</v>
      </c>
    </row>
    <row r="4762">
      <c r="A4762" s="2">
        <v>4760.0</v>
      </c>
      <c r="B4762" s="5" t="s">
        <v>14006</v>
      </c>
      <c r="C4762" s="2" t="s">
        <v>14007</v>
      </c>
      <c r="D4762" s="5" t="s">
        <v>14006</v>
      </c>
      <c r="E4762" s="2" t="s">
        <v>15441</v>
      </c>
      <c r="F4762" s="2" t="s">
        <v>15442</v>
      </c>
      <c r="G4762" s="2" t="s">
        <v>15456</v>
      </c>
      <c r="H4762" s="2" t="s">
        <v>15462</v>
      </c>
    </row>
    <row r="4763">
      <c r="A4763" s="2">
        <v>4761.0</v>
      </c>
      <c r="B4763" s="5" t="s">
        <v>14008</v>
      </c>
      <c r="C4763" s="2" t="s">
        <v>14009</v>
      </c>
      <c r="D4763" s="5" t="s">
        <v>14008</v>
      </c>
      <c r="E4763" s="2" t="s">
        <v>15441</v>
      </c>
      <c r="F4763" s="2" t="s">
        <v>15442</v>
      </c>
      <c r="G4763" s="2" t="s">
        <v>15456</v>
      </c>
      <c r="H4763" s="2" t="s">
        <v>15444</v>
      </c>
    </row>
    <row r="4764">
      <c r="A4764" s="2">
        <v>4762.0</v>
      </c>
      <c r="B4764" s="5" t="s">
        <v>7038</v>
      </c>
      <c r="C4764" s="2" t="s">
        <v>7039</v>
      </c>
      <c r="D4764" s="5" t="s">
        <v>7038</v>
      </c>
      <c r="E4764" s="2" t="s">
        <v>15445</v>
      </c>
      <c r="F4764" s="2" t="s">
        <v>15446</v>
      </c>
      <c r="G4764" s="2" t="s">
        <v>15456</v>
      </c>
      <c r="H4764" s="2" t="s">
        <v>15444</v>
      </c>
    </row>
    <row r="4765">
      <c r="A4765" s="2">
        <v>4763.0</v>
      </c>
      <c r="B4765" s="5" t="s">
        <v>14010</v>
      </c>
      <c r="C4765" s="2" t="s">
        <v>14011</v>
      </c>
      <c r="D4765" s="5" t="s">
        <v>14010</v>
      </c>
      <c r="E4765" s="2" t="s">
        <v>15441</v>
      </c>
      <c r="F4765" s="2" t="s">
        <v>15442</v>
      </c>
      <c r="G4765" s="2" t="s">
        <v>15456</v>
      </c>
      <c r="H4765" s="2" t="s">
        <v>15444</v>
      </c>
    </row>
    <row r="4766">
      <c r="A4766" s="2">
        <v>4764.0</v>
      </c>
      <c r="B4766" s="5" t="s">
        <v>14012</v>
      </c>
      <c r="C4766" s="2" t="s">
        <v>14013</v>
      </c>
      <c r="D4766" s="5" t="s">
        <v>14012</v>
      </c>
      <c r="E4766" s="2" t="s">
        <v>15441</v>
      </c>
      <c r="F4766" s="2" t="s">
        <v>15446</v>
      </c>
      <c r="G4766" s="2" t="s">
        <v>15443</v>
      </c>
      <c r="H4766" s="2" t="s">
        <v>15444</v>
      </c>
    </row>
    <row r="4767">
      <c r="A4767" s="2">
        <v>4765.0</v>
      </c>
      <c r="B4767" s="5" t="s">
        <v>14014</v>
      </c>
      <c r="C4767" s="2" t="s">
        <v>14015</v>
      </c>
      <c r="D4767" s="5" t="s">
        <v>14014</v>
      </c>
      <c r="E4767" s="2" t="s">
        <v>15441</v>
      </c>
      <c r="F4767" s="2" t="s">
        <v>15442</v>
      </c>
      <c r="G4767" s="2" t="s">
        <v>15443</v>
      </c>
      <c r="H4767" s="2" t="s">
        <v>15444</v>
      </c>
    </row>
    <row r="4768">
      <c r="A4768" s="2">
        <v>4766.0</v>
      </c>
      <c r="B4768" s="5" t="s">
        <v>14016</v>
      </c>
      <c r="C4768" s="2" t="s">
        <v>14017</v>
      </c>
      <c r="D4768" s="5" t="s">
        <v>14016</v>
      </c>
      <c r="E4768" s="2" t="s">
        <v>15441</v>
      </c>
      <c r="F4768" s="2" t="s">
        <v>15446</v>
      </c>
      <c r="G4768" s="2" t="s">
        <v>15456</v>
      </c>
      <c r="H4768" s="2" t="s">
        <v>15444</v>
      </c>
    </row>
    <row r="4769">
      <c r="A4769" s="2">
        <v>4767.0</v>
      </c>
      <c r="B4769" s="5" t="s">
        <v>7041</v>
      </c>
      <c r="C4769" s="2" t="s">
        <v>7042</v>
      </c>
      <c r="D4769" s="5" t="s">
        <v>7041</v>
      </c>
      <c r="E4769" s="2" t="s">
        <v>15445</v>
      </c>
      <c r="F4769" s="2" t="s">
        <v>15446</v>
      </c>
      <c r="G4769" s="2" t="s">
        <v>15443</v>
      </c>
      <c r="H4769" s="2" t="s">
        <v>15444</v>
      </c>
    </row>
    <row r="4770">
      <c r="A4770" s="2">
        <v>4768.0</v>
      </c>
      <c r="B4770" s="5" t="s">
        <v>7044</v>
      </c>
      <c r="C4770" s="2" t="s">
        <v>7045</v>
      </c>
      <c r="D4770" s="5" t="s">
        <v>7044</v>
      </c>
      <c r="E4770" s="2" t="s">
        <v>15445</v>
      </c>
      <c r="F4770" s="2" t="s">
        <v>15442</v>
      </c>
      <c r="G4770" s="2" t="s">
        <v>15443</v>
      </c>
      <c r="H4770" s="2" t="s">
        <v>15444</v>
      </c>
    </row>
    <row r="4771">
      <c r="A4771" s="2">
        <v>4769.0</v>
      </c>
      <c r="B4771" s="5" t="s">
        <v>14018</v>
      </c>
      <c r="C4771" s="2" t="s">
        <v>14019</v>
      </c>
      <c r="D4771" s="5" t="s">
        <v>14018</v>
      </c>
      <c r="E4771" s="2" t="s">
        <v>15441</v>
      </c>
      <c r="F4771" s="2" t="s">
        <v>15446</v>
      </c>
      <c r="G4771" s="2" t="s">
        <v>15456</v>
      </c>
      <c r="H4771" s="2" t="s">
        <v>15444</v>
      </c>
    </row>
    <row r="4772">
      <c r="A4772" s="2">
        <v>4770.0</v>
      </c>
      <c r="B4772" s="5" t="s">
        <v>7047</v>
      </c>
      <c r="C4772" s="2" t="s">
        <v>7048</v>
      </c>
      <c r="D4772" s="5" t="s">
        <v>7047</v>
      </c>
      <c r="E4772" s="2" t="s">
        <v>15445</v>
      </c>
      <c r="F4772" s="2" t="s">
        <v>15446</v>
      </c>
      <c r="G4772" s="2" t="s">
        <v>15456</v>
      </c>
      <c r="H4772" s="2" t="s">
        <v>15444</v>
      </c>
    </row>
    <row r="4773">
      <c r="A4773" s="2">
        <v>4771.0</v>
      </c>
      <c r="B4773" s="5" t="s">
        <v>7050</v>
      </c>
      <c r="C4773" s="2" t="s">
        <v>7051</v>
      </c>
      <c r="D4773" s="5" t="s">
        <v>7050</v>
      </c>
      <c r="E4773" s="2" t="s">
        <v>15445</v>
      </c>
      <c r="F4773" s="2" t="s">
        <v>15442</v>
      </c>
      <c r="G4773" s="2" t="s">
        <v>15456</v>
      </c>
      <c r="H4773" s="2" t="s">
        <v>15444</v>
      </c>
    </row>
    <row r="4774">
      <c r="A4774" s="2">
        <v>4772.0</v>
      </c>
      <c r="B4774" s="5" t="s">
        <v>7053</v>
      </c>
      <c r="C4774" s="2" t="s">
        <v>7054</v>
      </c>
      <c r="D4774" s="5" t="s">
        <v>7053</v>
      </c>
      <c r="E4774" s="2" t="s">
        <v>15445</v>
      </c>
      <c r="F4774" s="2" t="s">
        <v>15442</v>
      </c>
      <c r="G4774" s="2" t="s">
        <v>15443</v>
      </c>
      <c r="H4774" s="2" t="s">
        <v>15444</v>
      </c>
    </row>
    <row r="4775">
      <c r="A4775" s="2">
        <v>4773.0</v>
      </c>
      <c r="B4775" s="5" t="s">
        <v>14020</v>
      </c>
      <c r="C4775" s="2" t="s">
        <v>14021</v>
      </c>
      <c r="D4775" s="5" t="s">
        <v>14020</v>
      </c>
      <c r="E4775" s="2" t="s">
        <v>15441</v>
      </c>
      <c r="F4775" s="2" t="s">
        <v>15442</v>
      </c>
      <c r="G4775" s="2" t="s">
        <v>15443</v>
      </c>
      <c r="H4775" s="2" t="s">
        <v>15444</v>
      </c>
    </row>
    <row r="4776">
      <c r="A4776" s="2">
        <v>4774.0</v>
      </c>
      <c r="B4776" s="5" t="s">
        <v>14022</v>
      </c>
      <c r="C4776" s="2" t="s">
        <v>14023</v>
      </c>
      <c r="D4776" s="5" t="s">
        <v>14022</v>
      </c>
      <c r="E4776" s="2" t="s">
        <v>15441</v>
      </c>
      <c r="F4776" s="2" t="s">
        <v>15446</v>
      </c>
      <c r="G4776" s="2" t="s">
        <v>15456</v>
      </c>
      <c r="H4776" s="2" t="s">
        <v>15444</v>
      </c>
    </row>
    <row r="4777">
      <c r="A4777" s="2">
        <v>4775.0</v>
      </c>
      <c r="B4777" s="5" t="s">
        <v>7056</v>
      </c>
      <c r="C4777" s="2" t="s">
        <v>7057</v>
      </c>
      <c r="D4777" s="5" t="s">
        <v>7056</v>
      </c>
      <c r="E4777" s="2" t="s">
        <v>15445</v>
      </c>
      <c r="F4777" s="2" t="s">
        <v>15446</v>
      </c>
      <c r="G4777" s="2" t="s">
        <v>15456</v>
      </c>
      <c r="H4777" s="2" t="s">
        <v>15457</v>
      </c>
    </row>
    <row r="4778">
      <c r="A4778" s="2">
        <v>4776.0</v>
      </c>
      <c r="B4778" s="5" t="s">
        <v>7059</v>
      </c>
      <c r="C4778" s="2" t="s">
        <v>7060</v>
      </c>
      <c r="D4778" s="5" t="s">
        <v>7059</v>
      </c>
      <c r="E4778" s="2" t="s">
        <v>15445</v>
      </c>
      <c r="F4778" s="2" t="s">
        <v>15442</v>
      </c>
      <c r="G4778" s="2" t="s">
        <v>15443</v>
      </c>
      <c r="H4778" s="2" t="s">
        <v>15444</v>
      </c>
    </row>
    <row r="4779">
      <c r="A4779" s="2">
        <v>4777.0</v>
      </c>
      <c r="B4779" s="5" t="s">
        <v>14024</v>
      </c>
      <c r="C4779" s="2" t="s">
        <v>14025</v>
      </c>
      <c r="D4779" s="5" t="s">
        <v>14024</v>
      </c>
      <c r="E4779" s="2" t="s">
        <v>15441</v>
      </c>
      <c r="F4779" s="2" t="s">
        <v>15442</v>
      </c>
      <c r="G4779" s="2" t="s">
        <v>15443</v>
      </c>
      <c r="H4779" s="2" t="s">
        <v>15444</v>
      </c>
    </row>
    <row r="4780">
      <c r="A4780" s="2">
        <v>4778.0</v>
      </c>
      <c r="B4780" s="5" t="s">
        <v>7062</v>
      </c>
      <c r="C4780" s="2" t="s">
        <v>7063</v>
      </c>
      <c r="D4780" s="5" t="s">
        <v>7062</v>
      </c>
      <c r="E4780" s="2" t="s">
        <v>15445</v>
      </c>
      <c r="F4780" s="2" t="s">
        <v>15446</v>
      </c>
      <c r="G4780" s="2" t="s">
        <v>15443</v>
      </c>
      <c r="H4780" s="2" t="s">
        <v>15444</v>
      </c>
    </row>
    <row r="4781">
      <c r="A4781" s="2">
        <v>4779.0</v>
      </c>
      <c r="B4781" s="5" t="s">
        <v>7065</v>
      </c>
      <c r="C4781" s="2" t="s">
        <v>7066</v>
      </c>
      <c r="D4781" s="5" t="s">
        <v>7065</v>
      </c>
      <c r="E4781" s="2" t="s">
        <v>15445</v>
      </c>
      <c r="F4781" s="2" t="s">
        <v>15442</v>
      </c>
      <c r="G4781" s="2" t="s">
        <v>15443</v>
      </c>
      <c r="H4781" s="2" t="s">
        <v>15444</v>
      </c>
    </row>
    <row r="4782">
      <c r="A4782" s="2">
        <v>4780.0</v>
      </c>
      <c r="B4782" s="5" t="s">
        <v>7068</v>
      </c>
      <c r="C4782" s="2" t="s">
        <v>7069</v>
      </c>
      <c r="D4782" s="5" t="s">
        <v>7068</v>
      </c>
      <c r="E4782" s="2" t="s">
        <v>15445</v>
      </c>
      <c r="F4782" s="2" t="s">
        <v>15442</v>
      </c>
      <c r="G4782" s="2" t="s">
        <v>15443</v>
      </c>
      <c r="H4782" s="2" t="s">
        <v>15444</v>
      </c>
    </row>
    <row r="4783">
      <c r="A4783" s="2">
        <v>4781.0</v>
      </c>
      <c r="B4783" s="5" t="s">
        <v>7071</v>
      </c>
      <c r="C4783" s="2" t="s">
        <v>7072</v>
      </c>
      <c r="D4783" s="5" t="s">
        <v>7071</v>
      </c>
      <c r="E4783" s="2" t="s">
        <v>15445</v>
      </c>
      <c r="F4783" s="2" t="s">
        <v>15442</v>
      </c>
      <c r="G4783" s="2" t="s">
        <v>15443</v>
      </c>
      <c r="H4783" s="2" t="s">
        <v>15444</v>
      </c>
    </row>
    <row r="4784">
      <c r="A4784" s="2">
        <v>4782.0</v>
      </c>
      <c r="B4784" s="5" t="s">
        <v>14026</v>
      </c>
      <c r="C4784" s="2" t="s">
        <v>14027</v>
      </c>
      <c r="D4784" s="5" t="s">
        <v>14026</v>
      </c>
      <c r="E4784" s="2" t="s">
        <v>15441</v>
      </c>
      <c r="F4784" s="2" t="s">
        <v>15442</v>
      </c>
      <c r="G4784" s="2" t="s">
        <v>15443</v>
      </c>
      <c r="H4784" s="2" t="s">
        <v>15455</v>
      </c>
    </row>
    <row r="4785">
      <c r="A4785" s="2">
        <v>4783.0</v>
      </c>
      <c r="B4785" s="5" t="s">
        <v>7074</v>
      </c>
      <c r="C4785" s="2" t="s">
        <v>7075</v>
      </c>
      <c r="D4785" s="5" t="s">
        <v>7074</v>
      </c>
      <c r="E4785" s="2" t="s">
        <v>15445</v>
      </c>
      <c r="F4785" s="2" t="s">
        <v>15442</v>
      </c>
      <c r="G4785" s="2" t="s">
        <v>15456</v>
      </c>
      <c r="H4785" s="2" t="s">
        <v>15444</v>
      </c>
    </row>
    <row r="4786">
      <c r="A4786" s="2">
        <v>4784.0</v>
      </c>
      <c r="B4786" s="5" t="s">
        <v>7077</v>
      </c>
      <c r="C4786" s="2" t="s">
        <v>7078</v>
      </c>
      <c r="D4786" s="5" t="s">
        <v>7077</v>
      </c>
      <c r="E4786" s="2" t="s">
        <v>15445</v>
      </c>
      <c r="F4786" s="2" t="s">
        <v>15446</v>
      </c>
      <c r="G4786" s="2" t="s">
        <v>15443</v>
      </c>
      <c r="H4786" s="2" t="s">
        <v>15444</v>
      </c>
    </row>
    <row r="4787">
      <c r="A4787" s="2">
        <v>4785.0</v>
      </c>
      <c r="B4787" s="5" t="s">
        <v>7080</v>
      </c>
      <c r="C4787" s="2" t="s">
        <v>7081</v>
      </c>
      <c r="D4787" s="5" t="s">
        <v>7080</v>
      </c>
      <c r="E4787" s="2" t="s">
        <v>15445</v>
      </c>
      <c r="F4787" s="2" t="s">
        <v>15446</v>
      </c>
      <c r="G4787" s="2" t="s">
        <v>15456</v>
      </c>
      <c r="H4787" s="2" t="s">
        <v>15444</v>
      </c>
    </row>
    <row r="4788">
      <c r="A4788" s="2">
        <v>4786.0</v>
      </c>
      <c r="B4788" s="5" t="s">
        <v>7083</v>
      </c>
      <c r="C4788" s="2" t="s">
        <v>7084</v>
      </c>
      <c r="D4788" s="5" t="s">
        <v>7083</v>
      </c>
      <c r="E4788" s="2" t="s">
        <v>15445</v>
      </c>
      <c r="F4788" s="2" t="s">
        <v>15446</v>
      </c>
      <c r="G4788" s="2" t="s">
        <v>15456</v>
      </c>
      <c r="H4788" s="2" t="s">
        <v>15444</v>
      </c>
    </row>
    <row r="4789">
      <c r="A4789" s="2">
        <v>4787.0</v>
      </c>
      <c r="B4789" s="5" t="s">
        <v>14028</v>
      </c>
      <c r="C4789" s="2" t="s">
        <v>14029</v>
      </c>
      <c r="D4789" s="5" t="s">
        <v>14028</v>
      </c>
      <c r="E4789" s="2" t="s">
        <v>15441</v>
      </c>
      <c r="F4789" s="2" t="s">
        <v>15446</v>
      </c>
      <c r="G4789" s="2" t="s">
        <v>15456</v>
      </c>
      <c r="H4789" s="2" t="s">
        <v>15444</v>
      </c>
    </row>
    <row r="4790">
      <c r="A4790" s="2">
        <v>4788.0</v>
      </c>
      <c r="B4790" s="5" t="s">
        <v>7086</v>
      </c>
      <c r="C4790" s="2" t="s">
        <v>7087</v>
      </c>
      <c r="D4790" s="5" t="s">
        <v>7086</v>
      </c>
      <c r="E4790" s="2" t="s">
        <v>15445</v>
      </c>
      <c r="F4790" s="2" t="s">
        <v>15442</v>
      </c>
      <c r="G4790" s="2" t="s">
        <v>15456</v>
      </c>
      <c r="H4790" s="2" t="s">
        <v>15444</v>
      </c>
    </row>
    <row r="4791">
      <c r="A4791" s="2">
        <v>4789.0</v>
      </c>
      <c r="B4791" s="5" t="s">
        <v>14030</v>
      </c>
      <c r="C4791" s="2" t="s">
        <v>14031</v>
      </c>
      <c r="D4791" s="5" t="s">
        <v>14030</v>
      </c>
      <c r="E4791" s="2" t="s">
        <v>15441</v>
      </c>
      <c r="F4791" s="2" t="s">
        <v>15446</v>
      </c>
      <c r="G4791" s="2" t="s">
        <v>15443</v>
      </c>
      <c r="H4791" s="2" t="s">
        <v>15444</v>
      </c>
    </row>
    <row r="4792">
      <c r="A4792" s="2">
        <v>4790.0</v>
      </c>
      <c r="B4792" s="5" t="s">
        <v>7089</v>
      </c>
      <c r="C4792" s="2" t="s">
        <v>7090</v>
      </c>
      <c r="D4792" s="5" t="s">
        <v>7089</v>
      </c>
      <c r="E4792" s="2" t="s">
        <v>15445</v>
      </c>
      <c r="F4792" s="2" t="s">
        <v>15446</v>
      </c>
      <c r="G4792" s="2" t="s">
        <v>15456</v>
      </c>
      <c r="H4792" s="2" t="s">
        <v>15444</v>
      </c>
    </row>
    <row r="4793">
      <c r="A4793" s="2">
        <v>4791.0</v>
      </c>
      <c r="B4793" s="5" t="s">
        <v>7092</v>
      </c>
      <c r="C4793" s="2" t="s">
        <v>7093</v>
      </c>
      <c r="D4793" s="5" t="s">
        <v>7092</v>
      </c>
      <c r="E4793" s="2" t="s">
        <v>15445</v>
      </c>
      <c r="F4793" s="2" t="s">
        <v>15442</v>
      </c>
      <c r="G4793" s="2" t="s">
        <v>15456</v>
      </c>
      <c r="H4793" s="2" t="s">
        <v>15455</v>
      </c>
    </row>
    <row r="4794">
      <c r="A4794" s="2">
        <v>4792.0</v>
      </c>
      <c r="B4794" s="5" t="s">
        <v>14032</v>
      </c>
      <c r="C4794" s="2" t="s">
        <v>14033</v>
      </c>
      <c r="D4794" s="5" t="s">
        <v>14032</v>
      </c>
      <c r="E4794" s="2" t="s">
        <v>15441</v>
      </c>
      <c r="F4794" s="2" t="s">
        <v>15446</v>
      </c>
      <c r="G4794" s="2" t="s">
        <v>15456</v>
      </c>
      <c r="H4794" s="2" t="s">
        <v>15444</v>
      </c>
    </row>
    <row r="4795">
      <c r="A4795" s="2">
        <v>4793.0</v>
      </c>
      <c r="B4795" s="5" t="s">
        <v>14034</v>
      </c>
      <c r="C4795" s="2" t="s">
        <v>14035</v>
      </c>
      <c r="D4795" s="5" t="s">
        <v>14034</v>
      </c>
      <c r="E4795" s="2" t="s">
        <v>15441</v>
      </c>
      <c r="F4795" s="2" t="s">
        <v>15446</v>
      </c>
      <c r="G4795" s="2" t="s">
        <v>15443</v>
      </c>
      <c r="H4795" s="2" t="s">
        <v>15444</v>
      </c>
    </row>
    <row r="4796">
      <c r="A4796" s="2">
        <v>4794.0</v>
      </c>
      <c r="B4796" s="5" t="s">
        <v>7095</v>
      </c>
      <c r="C4796" s="2" t="s">
        <v>7096</v>
      </c>
      <c r="D4796" s="5" t="s">
        <v>7095</v>
      </c>
      <c r="E4796" s="2" t="s">
        <v>15445</v>
      </c>
      <c r="F4796" s="2" t="s">
        <v>15442</v>
      </c>
      <c r="G4796" s="2" t="s">
        <v>15443</v>
      </c>
      <c r="H4796" s="2" t="s">
        <v>15444</v>
      </c>
    </row>
    <row r="4797">
      <c r="A4797" s="2">
        <v>4795.0</v>
      </c>
      <c r="B4797" s="5" t="s">
        <v>7098</v>
      </c>
      <c r="C4797" s="2" t="s">
        <v>7099</v>
      </c>
      <c r="D4797" s="5" t="s">
        <v>7098</v>
      </c>
      <c r="E4797" s="2" t="s">
        <v>15445</v>
      </c>
      <c r="F4797" s="2" t="s">
        <v>15446</v>
      </c>
      <c r="G4797" s="2" t="s">
        <v>15443</v>
      </c>
      <c r="H4797" s="2" t="s">
        <v>15444</v>
      </c>
    </row>
    <row r="4798">
      <c r="A4798" s="2">
        <v>4796.0</v>
      </c>
      <c r="B4798" s="5" t="s">
        <v>14036</v>
      </c>
      <c r="C4798" s="2" t="s">
        <v>14037</v>
      </c>
      <c r="D4798" s="5" t="s">
        <v>14036</v>
      </c>
      <c r="E4798" s="2" t="s">
        <v>15441</v>
      </c>
      <c r="F4798" s="2" t="s">
        <v>15442</v>
      </c>
      <c r="G4798" s="2" t="s">
        <v>15456</v>
      </c>
      <c r="H4798" s="2" t="s">
        <v>15444</v>
      </c>
    </row>
    <row r="4799">
      <c r="A4799" s="2">
        <v>4797.0</v>
      </c>
      <c r="B4799" s="5" t="s">
        <v>7101</v>
      </c>
      <c r="C4799" s="2" t="s">
        <v>7102</v>
      </c>
      <c r="D4799" s="5" t="s">
        <v>7101</v>
      </c>
      <c r="E4799" s="2" t="s">
        <v>15445</v>
      </c>
      <c r="F4799" s="2" t="s">
        <v>15446</v>
      </c>
      <c r="G4799" s="2" t="s">
        <v>15456</v>
      </c>
      <c r="H4799" s="2" t="s">
        <v>15444</v>
      </c>
    </row>
    <row r="4800">
      <c r="A4800" s="2">
        <v>4798.0</v>
      </c>
      <c r="B4800" s="5" t="s">
        <v>14038</v>
      </c>
      <c r="C4800" s="2" t="s">
        <v>14039</v>
      </c>
      <c r="D4800" s="5" t="s">
        <v>14038</v>
      </c>
      <c r="E4800" s="2" t="s">
        <v>15441</v>
      </c>
      <c r="F4800" s="2" t="s">
        <v>15442</v>
      </c>
      <c r="G4800" s="2" t="s">
        <v>15443</v>
      </c>
      <c r="H4800" s="2" t="s">
        <v>15444</v>
      </c>
    </row>
    <row r="4801">
      <c r="A4801" s="2">
        <v>4799.0</v>
      </c>
      <c r="B4801" s="5" t="s">
        <v>7104</v>
      </c>
      <c r="C4801" s="2" t="s">
        <v>7105</v>
      </c>
      <c r="D4801" s="5" t="s">
        <v>7104</v>
      </c>
      <c r="E4801" s="2" t="s">
        <v>15445</v>
      </c>
      <c r="F4801" s="2" t="s">
        <v>15442</v>
      </c>
      <c r="G4801" s="2" t="s">
        <v>15443</v>
      </c>
      <c r="H4801" s="2" t="s">
        <v>15444</v>
      </c>
    </row>
    <row r="4802">
      <c r="A4802" s="2">
        <v>4800.0</v>
      </c>
      <c r="B4802" s="5" t="s">
        <v>7107</v>
      </c>
      <c r="C4802" s="2" t="s">
        <v>7108</v>
      </c>
      <c r="D4802" s="5" t="s">
        <v>7107</v>
      </c>
      <c r="E4802" s="2" t="s">
        <v>15445</v>
      </c>
      <c r="F4802" s="2" t="s">
        <v>15446</v>
      </c>
      <c r="G4802" s="2" t="s">
        <v>15456</v>
      </c>
      <c r="H4802" s="2" t="s">
        <v>15444</v>
      </c>
    </row>
    <row r="4803">
      <c r="A4803" s="2">
        <v>4801.0</v>
      </c>
      <c r="B4803" s="5" t="s">
        <v>7110</v>
      </c>
      <c r="C4803" s="2" t="s">
        <v>7111</v>
      </c>
      <c r="D4803" s="5" t="s">
        <v>7110</v>
      </c>
      <c r="E4803" s="2" t="s">
        <v>15445</v>
      </c>
      <c r="F4803" s="2" t="s">
        <v>15446</v>
      </c>
      <c r="G4803" s="2" t="s">
        <v>15456</v>
      </c>
      <c r="H4803" s="2" t="s">
        <v>15444</v>
      </c>
    </row>
    <row r="4804">
      <c r="A4804" s="2">
        <v>4802.0</v>
      </c>
      <c r="B4804" s="5" t="s">
        <v>7113</v>
      </c>
      <c r="C4804" s="2" t="s">
        <v>7114</v>
      </c>
      <c r="D4804" s="5" t="s">
        <v>7113</v>
      </c>
      <c r="E4804" s="2" t="s">
        <v>15445</v>
      </c>
      <c r="F4804" s="2" t="s">
        <v>15446</v>
      </c>
      <c r="G4804" s="2" t="s">
        <v>15456</v>
      </c>
      <c r="H4804" s="2" t="s">
        <v>15444</v>
      </c>
    </row>
    <row r="4805">
      <c r="A4805" s="2">
        <v>4803.0</v>
      </c>
      <c r="B4805" s="5" t="s">
        <v>7116</v>
      </c>
      <c r="C4805" s="2" t="s">
        <v>7117</v>
      </c>
      <c r="D4805" s="5" t="s">
        <v>7116</v>
      </c>
      <c r="E4805" s="2" t="s">
        <v>15445</v>
      </c>
      <c r="F4805" s="2" t="s">
        <v>15446</v>
      </c>
      <c r="G4805" s="2" t="s">
        <v>15456</v>
      </c>
      <c r="H4805" s="2" t="s">
        <v>15444</v>
      </c>
    </row>
    <row r="4806">
      <c r="A4806" s="2">
        <v>4804.0</v>
      </c>
      <c r="B4806" s="5" t="s">
        <v>7119</v>
      </c>
      <c r="C4806" s="2" t="s">
        <v>7120</v>
      </c>
      <c r="D4806" s="5" t="s">
        <v>7119</v>
      </c>
      <c r="E4806" s="2" t="s">
        <v>15445</v>
      </c>
      <c r="F4806" s="2" t="s">
        <v>15442</v>
      </c>
      <c r="G4806" s="2" t="s">
        <v>15443</v>
      </c>
      <c r="H4806" s="2" t="s">
        <v>15444</v>
      </c>
    </row>
    <row r="4807">
      <c r="A4807" s="2">
        <v>4805.0</v>
      </c>
      <c r="B4807" s="5" t="s">
        <v>7122</v>
      </c>
      <c r="C4807" s="2" t="s">
        <v>7123</v>
      </c>
      <c r="D4807" s="5" t="s">
        <v>7122</v>
      </c>
      <c r="E4807" s="2" t="s">
        <v>15445</v>
      </c>
      <c r="F4807" s="2" t="s">
        <v>15446</v>
      </c>
      <c r="G4807" s="2" t="s">
        <v>15456</v>
      </c>
      <c r="H4807" s="2" t="s">
        <v>15444</v>
      </c>
    </row>
    <row r="4808">
      <c r="A4808" s="2">
        <v>4806.0</v>
      </c>
      <c r="B4808" s="5" t="s">
        <v>7125</v>
      </c>
      <c r="C4808" s="2" t="s">
        <v>7126</v>
      </c>
      <c r="D4808" s="5" t="s">
        <v>7125</v>
      </c>
      <c r="E4808" s="2" t="s">
        <v>15445</v>
      </c>
      <c r="F4808" s="2" t="s">
        <v>15446</v>
      </c>
      <c r="G4808" s="2" t="s">
        <v>15456</v>
      </c>
      <c r="H4808" s="2" t="s">
        <v>15455</v>
      </c>
    </row>
    <row r="4809">
      <c r="A4809" s="2">
        <v>4807.0</v>
      </c>
      <c r="B4809" s="5" t="s">
        <v>14040</v>
      </c>
      <c r="C4809" s="2" t="s">
        <v>14041</v>
      </c>
      <c r="D4809" s="5" t="s">
        <v>14040</v>
      </c>
      <c r="E4809" s="2" t="s">
        <v>15441</v>
      </c>
      <c r="F4809" s="2" t="s">
        <v>15446</v>
      </c>
      <c r="G4809" s="2" t="s">
        <v>15443</v>
      </c>
      <c r="H4809" s="2" t="s">
        <v>15444</v>
      </c>
    </row>
    <row r="4810">
      <c r="A4810" s="2">
        <v>4808.0</v>
      </c>
      <c r="B4810" s="5" t="s">
        <v>14042</v>
      </c>
      <c r="C4810" s="2" t="s">
        <v>14043</v>
      </c>
      <c r="D4810" s="5" t="s">
        <v>14042</v>
      </c>
      <c r="E4810" s="2" t="s">
        <v>15441</v>
      </c>
      <c r="F4810" s="2" t="s">
        <v>15446</v>
      </c>
      <c r="G4810" s="2" t="s">
        <v>15456</v>
      </c>
      <c r="H4810" s="2" t="s">
        <v>15444</v>
      </c>
    </row>
    <row r="4811">
      <c r="A4811" s="2">
        <v>4809.0</v>
      </c>
      <c r="B4811" s="5" t="s">
        <v>7128</v>
      </c>
      <c r="C4811" s="2" t="s">
        <v>7129</v>
      </c>
      <c r="D4811" s="5" t="s">
        <v>7128</v>
      </c>
      <c r="E4811" s="2" t="s">
        <v>15445</v>
      </c>
      <c r="F4811" s="2" t="s">
        <v>15446</v>
      </c>
      <c r="G4811" s="2" t="s">
        <v>15443</v>
      </c>
      <c r="H4811" s="2" t="s">
        <v>15444</v>
      </c>
    </row>
    <row r="4812">
      <c r="A4812" s="2">
        <v>4810.0</v>
      </c>
      <c r="B4812" s="5" t="s">
        <v>7131</v>
      </c>
      <c r="C4812" s="2" t="s">
        <v>7132</v>
      </c>
      <c r="D4812" s="5" t="s">
        <v>7131</v>
      </c>
      <c r="E4812" s="2" t="s">
        <v>15445</v>
      </c>
      <c r="F4812" s="2" t="s">
        <v>15446</v>
      </c>
      <c r="G4812" s="2" t="s">
        <v>15456</v>
      </c>
      <c r="H4812" s="2" t="s">
        <v>15444</v>
      </c>
    </row>
    <row r="4813">
      <c r="A4813" s="2">
        <v>4811.0</v>
      </c>
      <c r="B4813" s="5" t="s">
        <v>15587</v>
      </c>
      <c r="C4813" s="2" t="s">
        <v>15588</v>
      </c>
      <c r="D4813" s="5" t="s">
        <v>15587</v>
      </c>
      <c r="E4813" s="2" t="s">
        <v>15445</v>
      </c>
      <c r="F4813" s="2" t="s">
        <v>15446</v>
      </c>
      <c r="G4813" s="2" t="s">
        <v>15456</v>
      </c>
      <c r="H4813" s="2" t="s">
        <v>15457</v>
      </c>
    </row>
    <row r="4814">
      <c r="A4814" s="2">
        <v>4812.0</v>
      </c>
      <c r="B4814" s="5" t="s">
        <v>14044</v>
      </c>
      <c r="C4814" s="2" t="s">
        <v>14045</v>
      </c>
      <c r="D4814" s="5" t="s">
        <v>14044</v>
      </c>
      <c r="E4814" s="2" t="s">
        <v>15441</v>
      </c>
      <c r="F4814" s="2" t="s">
        <v>15442</v>
      </c>
      <c r="G4814" s="2" t="s">
        <v>15443</v>
      </c>
      <c r="H4814" s="2" t="s">
        <v>15461</v>
      </c>
    </row>
    <row r="4815">
      <c r="A4815" s="2">
        <v>4813.0</v>
      </c>
      <c r="B4815" s="5" t="s">
        <v>7134</v>
      </c>
      <c r="C4815" s="2" t="s">
        <v>7135</v>
      </c>
      <c r="D4815" s="5" t="s">
        <v>7134</v>
      </c>
      <c r="E4815" s="2" t="s">
        <v>15445</v>
      </c>
      <c r="F4815" s="2" t="s">
        <v>15446</v>
      </c>
      <c r="G4815" s="2" t="s">
        <v>15456</v>
      </c>
      <c r="H4815" s="2" t="s">
        <v>15455</v>
      </c>
    </row>
    <row r="4816">
      <c r="A4816" s="2">
        <v>4814.0</v>
      </c>
      <c r="B4816" s="5" t="s">
        <v>7137</v>
      </c>
      <c r="C4816" s="2" t="s">
        <v>7138</v>
      </c>
      <c r="D4816" s="5" t="s">
        <v>7137</v>
      </c>
      <c r="E4816" s="2" t="s">
        <v>15445</v>
      </c>
      <c r="F4816" s="2" t="s">
        <v>15446</v>
      </c>
      <c r="G4816" s="2" t="s">
        <v>15456</v>
      </c>
      <c r="H4816" s="2" t="s">
        <v>15444</v>
      </c>
    </row>
    <row r="4817">
      <c r="A4817" s="2">
        <v>4815.0</v>
      </c>
      <c r="B4817" s="5" t="s">
        <v>7140</v>
      </c>
      <c r="C4817" s="2" t="s">
        <v>7141</v>
      </c>
      <c r="D4817" s="5" t="s">
        <v>7140</v>
      </c>
      <c r="E4817" s="2" t="s">
        <v>15445</v>
      </c>
      <c r="F4817" s="2" t="s">
        <v>15442</v>
      </c>
      <c r="G4817" s="2" t="s">
        <v>15443</v>
      </c>
      <c r="H4817" s="2" t="s">
        <v>15444</v>
      </c>
    </row>
    <row r="4818">
      <c r="A4818" s="2">
        <v>4816.0</v>
      </c>
      <c r="B4818" s="5" t="s">
        <v>14046</v>
      </c>
      <c r="C4818" s="2" t="s">
        <v>14047</v>
      </c>
      <c r="D4818" s="5" t="s">
        <v>14046</v>
      </c>
      <c r="E4818" s="2" t="s">
        <v>15441</v>
      </c>
      <c r="F4818" s="2" t="s">
        <v>15442</v>
      </c>
      <c r="G4818" s="2" t="s">
        <v>15443</v>
      </c>
      <c r="H4818" s="2" t="s">
        <v>15444</v>
      </c>
    </row>
    <row r="4819">
      <c r="A4819" s="2">
        <v>4817.0</v>
      </c>
      <c r="B4819" s="5" t="s">
        <v>7143</v>
      </c>
      <c r="C4819" s="2" t="s">
        <v>7144</v>
      </c>
      <c r="D4819" s="5" t="s">
        <v>7143</v>
      </c>
      <c r="E4819" s="2" t="s">
        <v>15445</v>
      </c>
      <c r="F4819" s="2" t="s">
        <v>15442</v>
      </c>
      <c r="G4819" s="2" t="s">
        <v>15443</v>
      </c>
      <c r="H4819" s="2" t="s">
        <v>15444</v>
      </c>
    </row>
    <row r="4820">
      <c r="A4820" s="2">
        <v>4818.0</v>
      </c>
      <c r="B4820" s="5" t="s">
        <v>14048</v>
      </c>
      <c r="C4820" s="2" t="s">
        <v>14049</v>
      </c>
      <c r="D4820" s="5" t="s">
        <v>14048</v>
      </c>
      <c r="E4820" s="2" t="s">
        <v>15441</v>
      </c>
      <c r="F4820" s="2" t="s">
        <v>15446</v>
      </c>
      <c r="G4820" s="2" t="s">
        <v>15456</v>
      </c>
      <c r="H4820" s="2" t="s">
        <v>15444</v>
      </c>
    </row>
    <row r="4821">
      <c r="A4821" s="2">
        <v>4819.0</v>
      </c>
      <c r="B4821" s="5" t="s">
        <v>7146</v>
      </c>
      <c r="C4821" s="2" t="s">
        <v>7147</v>
      </c>
      <c r="D4821" s="5" t="s">
        <v>7146</v>
      </c>
      <c r="E4821" s="2" t="s">
        <v>15445</v>
      </c>
      <c r="F4821" s="2" t="s">
        <v>15442</v>
      </c>
      <c r="G4821" s="2" t="s">
        <v>15456</v>
      </c>
      <c r="H4821" s="2" t="s">
        <v>15461</v>
      </c>
    </row>
    <row r="4822">
      <c r="A4822" s="2">
        <v>4820.0</v>
      </c>
      <c r="B4822" s="5" t="s">
        <v>7149</v>
      </c>
      <c r="C4822" s="2" t="s">
        <v>7150</v>
      </c>
      <c r="D4822" s="5" t="s">
        <v>7149</v>
      </c>
      <c r="E4822" s="2" t="s">
        <v>15445</v>
      </c>
      <c r="F4822" s="2" t="s">
        <v>15446</v>
      </c>
      <c r="G4822" s="2" t="s">
        <v>15443</v>
      </c>
      <c r="H4822" s="2" t="s">
        <v>15455</v>
      </c>
    </row>
    <row r="4823">
      <c r="A4823" s="2">
        <v>4821.0</v>
      </c>
      <c r="B4823" s="5" t="s">
        <v>7152</v>
      </c>
      <c r="C4823" s="2" t="s">
        <v>7153</v>
      </c>
      <c r="D4823" s="5" t="s">
        <v>7152</v>
      </c>
      <c r="E4823" s="2" t="s">
        <v>15445</v>
      </c>
      <c r="F4823" s="2" t="s">
        <v>15442</v>
      </c>
      <c r="G4823" s="2" t="s">
        <v>15443</v>
      </c>
      <c r="H4823" s="2" t="s">
        <v>15444</v>
      </c>
    </row>
    <row r="4824">
      <c r="A4824" s="2">
        <v>4822.0</v>
      </c>
      <c r="B4824" s="5" t="s">
        <v>14050</v>
      </c>
      <c r="C4824" s="2" t="s">
        <v>14051</v>
      </c>
      <c r="D4824" s="5" t="s">
        <v>14050</v>
      </c>
      <c r="E4824" s="2" t="s">
        <v>15441</v>
      </c>
      <c r="F4824" s="2" t="s">
        <v>15446</v>
      </c>
      <c r="G4824" s="2" t="s">
        <v>15443</v>
      </c>
      <c r="H4824" s="2" t="s">
        <v>15455</v>
      </c>
    </row>
    <row r="4825">
      <c r="A4825" s="2">
        <v>4823.0</v>
      </c>
      <c r="B4825" s="5" t="s">
        <v>14052</v>
      </c>
      <c r="C4825" s="2" t="s">
        <v>14053</v>
      </c>
      <c r="D4825" s="5" t="s">
        <v>14052</v>
      </c>
      <c r="E4825" s="2" t="s">
        <v>15441</v>
      </c>
      <c r="F4825" s="2" t="s">
        <v>15446</v>
      </c>
      <c r="G4825" s="2" t="s">
        <v>15443</v>
      </c>
      <c r="H4825" s="2" t="s">
        <v>15444</v>
      </c>
    </row>
    <row r="4826">
      <c r="A4826" s="2">
        <v>4824.0</v>
      </c>
      <c r="B4826" s="5" t="s">
        <v>7155</v>
      </c>
      <c r="C4826" s="2" t="s">
        <v>7156</v>
      </c>
      <c r="D4826" s="5" t="s">
        <v>7155</v>
      </c>
      <c r="E4826" s="2" t="s">
        <v>15445</v>
      </c>
      <c r="F4826" s="2" t="s">
        <v>15446</v>
      </c>
      <c r="G4826" s="2" t="s">
        <v>15456</v>
      </c>
      <c r="H4826" s="2" t="s">
        <v>15444</v>
      </c>
    </row>
    <row r="4827">
      <c r="A4827" s="2">
        <v>4825.0</v>
      </c>
      <c r="B4827" s="5" t="s">
        <v>7158</v>
      </c>
      <c r="C4827" s="2" t="s">
        <v>7159</v>
      </c>
      <c r="D4827" s="5" t="s">
        <v>7158</v>
      </c>
      <c r="E4827" s="2" t="s">
        <v>15445</v>
      </c>
      <c r="F4827" s="2" t="s">
        <v>15446</v>
      </c>
      <c r="G4827" s="2" t="s">
        <v>15443</v>
      </c>
      <c r="H4827" s="2" t="s">
        <v>15457</v>
      </c>
    </row>
    <row r="4828">
      <c r="A4828" s="2">
        <v>4826.0</v>
      </c>
      <c r="B4828" s="5" t="s">
        <v>7161</v>
      </c>
      <c r="C4828" s="2" t="s">
        <v>7162</v>
      </c>
      <c r="D4828" s="5" t="s">
        <v>7161</v>
      </c>
      <c r="E4828" s="2" t="s">
        <v>15445</v>
      </c>
      <c r="F4828" s="2" t="s">
        <v>15446</v>
      </c>
      <c r="G4828" s="2" t="s">
        <v>15456</v>
      </c>
      <c r="H4828" s="2" t="s">
        <v>15444</v>
      </c>
    </row>
    <row r="4829">
      <c r="A4829" s="2">
        <v>4827.0</v>
      </c>
      <c r="B4829" s="5" t="s">
        <v>7164</v>
      </c>
      <c r="C4829" s="2" t="s">
        <v>7165</v>
      </c>
      <c r="D4829" s="5" t="s">
        <v>7164</v>
      </c>
      <c r="E4829" s="2" t="s">
        <v>15445</v>
      </c>
      <c r="F4829" s="2" t="s">
        <v>15446</v>
      </c>
      <c r="G4829" s="2" t="s">
        <v>15456</v>
      </c>
      <c r="H4829" s="2" t="s">
        <v>15444</v>
      </c>
    </row>
    <row r="4830">
      <c r="A4830" s="2">
        <v>4828.0</v>
      </c>
      <c r="B4830" s="5" t="s">
        <v>7167</v>
      </c>
      <c r="C4830" s="2" t="s">
        <v>7168</v>
      </c>
      <c r="D4830" s="5" t="s">
        <v>7167</v>
      </c>
      <c r="E4830" s="2" t="s">
        <v>15445</v>
      </c>
      <c r="F4830" s="2" t="s">
        <v>15442</v>
      </c>
      <c r="G4830" s="2" t="s">
        <v>15443</v>
      </c>
      <c r="H4830" s="2" t="s">
        <v>15444</v>
      </c>
    </row>
    <row r="4831">
      <c r="A4831" s="2">
        <v>4829.0</v>
      </c>
      <c r="B4831" s="5" t="s">
        <v>7170</v>
      </c>
      <c r="C4831" s="2" t="s">
        <v>7171</v>
      </c>
      <c r="D4831" s="5" t="s">
        <v>7170</v>
      </c>
      <c r="E4831" s="2" t="s">
        <v>15445</v>
      </c>
      <c r="F4831" s="2" t="s">
        <v>15442</v>
      </c>
      <c r="G4831" s="2" t="s">
        <v>15443</v>
      </c>
      <c r="H4831" s="2" t="s">
        <v>15444</v>
      </c>
    </row>
    <row r="4832">
      <c r="A4832" s="2">
        <v>4830.0</v>
      </c>
      <c r="B4832" s="5" t="s">
        <v>14054</v>
      </c>
      <c r="C4832" s="2" t="s">
        <v>14055</v>
      </c>
      <c r="D4832" s="5" t="s">
        <v>14054</v>
      </c>
      <c r="E4832" s="2" t="s">
        <v>15441</v>
      </c>
      <c r="F4832" s="2" t="s">
        <v>15442</v>
      </c>
      <c r="G4832" s="2" t="s">
        <v>15443</v>
      </c>
      <c r="H4832" s="2" t="s">
        <v>15444</v>
      </c>
    </row>
    <row r="4833">
      <c r="A4833" s="2">
        <v>4831.0</v>
      </c>
      <c r="B4833" s="5" t="s">
        <v>14056</v>
      </c>
      <c r="C4833" s="2" t="s">
        <v>14057</v>
      </c>
      <c r="D4833" s="5" t="s">
        <v>14056</v>
      </c>
      <c r="E4833" s="2" t="s">
        <v>15441</v>
      </c>
      <c r="F4833" s="2" t="s">
        <v>15446</v>
      </c>
      <c r="G4833" s="2" t="s">
        <v>15456</v>
      </c>
      <c r="H4833" s="2" t="s">
        <v>15455</v>
      </c>
    </row>
    <row r="4834">
      <c r="A4834" s="2">
        <v>4832.0</v>
      </c>
      <c r="B4834" s="5" t="s">
        <v>7173</v>
      </c>
      <c r="C4834" s="2" t="s">
        <v>7174</v>
      </c>
      <c r="D4834" s="5" t="s">
        <v>7173</v>
      </c>
      <c r="E4834" s="2" t="s">
        <v>15445</v>
      </c>
      <c r="F4834" s="2" t="s">
        <v>15442</v>
      </c>
      <c r="G4834" s="2" t="s">
        <v>15443</v>
      </c>
      <c r="H4834" s="2" t="s">
        <v>15444</v>
      </c>
    </row>
    <row r="4835">
      <c r="A4835" s="2">
        <v>4833.0</v>
      </c>
      <c r="B4835" s="5" t="s">
        <v>7176</v>
      </c>
      <c r="C4835" s="2" t="s">
        <v>7177</v>
      </c>
      <c r="D4835" s="5" t="s">
        <v>7176</v>
      </c>
      <c r="E4835" s="2" t="s">
        <v>15445</v>
      </c>
      <c r="F4835" s="2" t="s">
        <v>15442</v>
      </c>
      <c r="G4835" s="2" t="s">
        <v>15456</v>
      </c>
      <c r="H4835" s="2" t="s">
        <v>15457</v>
      </c>
    </row>
    <row r="4836">
      <c r="A4836" s="2">
        <v>4834.0</v>
      </c>
      <c r="B4836" s="5" t="s">
        <v>7179</v>
      </c>
      <c r="C4836" s="2" t="s">
        <v>7180</v>
      </c>
      <c r="D4836" s="5" t="s">
        <v>7179</v>
      </c>
      <c r="E4836" s="2" t="s">
        <v>15445</v>
      </c>
      <c r="F4836" s="2" t="s">
        <v>15442</v>
      </c>
      <c r="G4836" s="2" t="s">
        <v>15456</v>
      </c>
      <c r="H4836" s="2" t="s">
        <v>15444</v>
      </c>
    </row>
    <row r="4837">
      <c r="A4837" s="2">
        <v>4835.0</v>
      </c>
      <c r="B4837" s="5" t="s">
        <v>7182</v>
      </c>
      <c r="C4837" s="2" t="s">
        <v>7183</v>
      </c>
      <c r="D4837" s="5" t="s">
        <v>7182</v>
      </c>
      <c r="E4837" s="2" t="s">
        <v>15445</v>
      </c>
      <c r="F4837" s="2" t="s">
        <v>15446</v>
      </c>
      <c r="G4837" s="2" t="s">
        <v>15456</v>
      </c>
      <c r="H4837" s="2" t="s">
        <v>15444</v>
      </c>
    </row>
    <row r="4838">
      <c r="A4838" s="2">
        <v>4836.0</v>
      </c>
      <c r="B4838" s="5" t="s">
        <v>7185</v>
      </c>
      <c r="C4838" s="2" t="s">
        <v>7186</v>
      </c>
      <c r="D4838" s="5" t="s">
        <v>7185</v>
      </c>
      <c r="E4838" s="2" t="s">
        <v>15445</v>
      </c>
      <c r="F4838" s="2" t="s">
        <v>15446</v>
      </c>
      <c r="G4838" s="2" t="s">
        <v>15456</v>
      </c>
      <c r="H4838" s="2" t="s">
        <v>15457</v>
      </c>
    </row>
    <row r="4839">
      <c r="A4839" s="2">
        <v>4837.0</v>
      </c>
      <c r="B4839" s="5" t="s">
        <v>14058</v>
      </c>
      <c r="C4839" s="2" t="s">
        <v>14059</v>
      </c>
      <c r="D4839" s="5" t="s">
        <v>14058</v>
      </c>
      <c r="E4839" s="2" t="s">
        <v>15441</v>
      </c>
      <c r="F4839" s="2" t="s">
        <v>15446</v>
      </c>
      <c r="G4839" s="2" t="s">
        <v>15443</v>
      </c>
      <c r="H4839" s="2" t="s">
        <v>15444</v>
      </c>
    </row>
    <row r="4840">
      <c r="A4840" s="2">
        <v>4838.0</v>
      </c>
      <c r="B4840" s="5" t="s">
        <v>14060</v>
      </c>
      <c r="C4840" s="2" t="s">
        <v>14061</v>
      </c>
      <c r="D4840" s="5" t="s">
        <v>14060</v>
      </c>
      <c r="E4840" s="2" t="s">
        <v>15441</v>
      </c>
      <c r="F4840" s="2" t="s">
        <v>15446</v>
      </c>
      <c r="G4840" s="2" t="s">
        <v>15443</v>
      </c>
      <c r="H4840" s="2" t="s">
        <v>15444</v>
      </c>
    </row>
    <row r="4841">
      <c r="A4841" s="2">
        <v>4839.0</v>
      </c>
      <c r="B4841" s="5" t="s">
        <v>14062</v>
      </c>
      <c r="C4841" s="2" t="s">
        <v>14063</v>
      </c>
      <c r="D4841" s="5" t="s">
        <v>14062</v>
      </c>
      <c r="E4841" s="2" t="s">
        <v>15441</v>
      </c>
      <c r="F4841" s="2" t="s">
        <v>15446</v>
      </c>
      <c r="G4841" s="2" t="s">
        <v>15456</v>
      </c>
      <c r="H4841" s="2" t="s">
        <v>15444</v>
      </c>
    </row>
    <row r="4842">
      <c r="A4842" s="2">
        <v>4840.0</v>
      </c>
      <c r="B4842" s="5" t="s">
        <v>14064</v>
      </c>
      <c r="C4842" s="2" t="s">
        <v>14065</v>
      </c>
      <c r="D4842" s="5" t="s">
        <v>14064</v>
      </c>
      <c r="E4842" s="2" t="s">
        <v>15441</v>
      </c>
      <c r="F4842" s="2" t="s">
        <v>15446</v>
      </c>
      <c r="G4842" s="2" t="s">
        <v>15456</v>
      </c>
      <c r="H4842" s="2" t="s">
        <v>15444</v>
      </c>
    </row>
    <row r="4843">
      <c r="A4843" s="2">
        <v>4841.0</v>
      </c>
      <c r="B4843" s="5" t="s">
        <v>7188</v>
      </c>
      <c r="C4843" s="2" t="s">
        <v>7189</v>
      </c>
      <c r="D4843" s="5" t="s">
        <v>7188</v>
      </c>
      <c r="E4843" s="2" t="s">
        <v>15445</v>
      </c>
      <c r="F4843" s="2" t="s">
        <v>15446</v>
      </c>
      <c r="G4843" s="2" t="s">
        <v>15443</v>
      </c>
      <c r="H4843" s="2" t="s">
        <v>15444</v>
      </c>
    </row>
    <row r="4844">
      <c r="A4844" s="2">
        <v>4842.0</v>
      </c>
      <c r="B4844" s="5" t="s">
        <v>7191</v>
      </c>
      <c r="C4844" s="2" t="s">
        <v>7192</v>
      </c>
      <c r="D4844" s="5" t="s">
        <v>7191</v>
      </c>
      <c r="E4844" s="2" t="s">
        <v>15445</v>
      </c>
      <c r="F4844" s="2" t="s">
        <v>15446</v>
      </c>
      <c r="G4844" s="2" t="s">
        <v>15456</v>
      </c>
      <c r="H4844" s="2" t="s">
        <v>15444</v>
      </c>
    </row>
    <row r="4845">
      <c r="A4845" s="2">
        <v>4843.0</v>
      </c>
      <c r="B4845" s="5" t="s">
        <v>14066</v>
      </c>
      <c r="C4845" s="2" t="s">
        <v>14067</v>
      </c>
      <c r="D4845" s="5" t="s">
        <v>14066</v>
      </c>
      <c r="E4845" s="2" t="s">
        <v>15441</v>
      </c>
      <c r="F4845" s="2" t="s">
        <v>15446</v>
      </c>
      <c r="G4845" s="2" t="s">
        <v>15443</v>
      </c>
      <c r="H4845" s="2" t="s">
        <v>15444</v>
      </c>
    </row>
    <row r="4846">
      <c r="A4846" s="2">
        <v>4844.0</v>
      </c>
      <c r="B4846" s="5" t="s">
        <v>7194</v>
      </c>
      <c r="C4846" s="2" t="s">
        <v>7195</v>
      </c>
      <c r="D4846" s="5" t="s">
        <v>7194</v>
      </c>
      <c r="E4846" s="2" t="s">
        <v>15445</v>
      </c>
      <c r="F4846" s="2" t="s">
        <v>15442</v>
      </c>
      <c r="G4846" s="2" t="s">
        <v>15456</v>
      </c>
      <c r="H4846" s="2" t="s">
        <v>15462</v>
      </c>
    </row>
    <row r="4847">
      <c r="A4847" s="2">
        <v>4845.0</v>
      </c>
      <c r="B4847" s="5" t="s">
        <v>14068</v>
      </c>
      <c r="C4847" s="2" t="s">
        <v>14069</v>
      </c>
      <c r="D4847" s="5" t="s">
        <v>14068</v>
      </c>
      <c r="E4847" s="2" t="s">
        <v>15441</v>
      </c>
      <c r="F4847" s="2" t="s">
        <v>15442</v>
      </c>
      <c r="G4847" s="2" t="s">
        <v>15443</v>
      </c>
      <c r="H4847" s="2" t="s">
        <v>15444</v>
      </c>
    </row>
    <row r="4848">
      <c r="A4848" s="2">
        <v>4846.0</v>
      </c>
      <c r="B4848" s="5" t="s">
        <v>7197</v>
      </c>
      <c r="C4848" s="2" t="s">
        <v>7198</v>
      </c>
      <c r="D4848" s="5" t="s">
        <v>7197</v>
      </c>
      <c r="E4848" s="2" t="s">
        <v>15445</v>
      </c>
      <c r="F4848" s="2" t="s">
        <v>15442</v>
      </c>
      <c r="G4848" s="2" t="s">
        <v>15456</v>
      </c>
      <c r="H4848" s="2" t="s">
        <v>15444</v>
      </c>
    </row>
    <row r="4849">
      <c r="A4849" s="2">
        <v>4847.0</v>
      </c>
      <c r="B4849" s="5" t="s">
        <v>14070</v>
      </c>
      <c r="C4849" s="2" t="s">
        <v>14071</v>
      </c>
      <c r="D4849" s="5" t="s">
        <v>14070</v>
      </c>
      <c r="E4849" s="2" t="s">
        <v>15441</v>
      </c>
      <c r="F4849" s="2" t="s">
        <v>15446</v>
      </c>
      <c r="G4849" s="2" t="s">
        <v>15456</v>
      </c>
      <c r="H4849" s="2" t="s">
        <v>15457</v>
      </c>
    </row>
    <row r="4850">
      <c r="A4850" s="2">
        <v>4848.0</v>
      </c>
      <c r="B4850" s="5" t="s">
        <v>7200</v>
      </c>
      <c r="C4850" s="2" t="s">
        <v>7201</v>
      </c>
      <c r="D4850" s="5" t="s">
        <v>7200</v>
      </c>
      <c r="E4850" s="2" t="s">
        <v>15445</v>
      </c>
      <c r="F4850" s="2" t="s">
        <v>15446</v>
      </c>
      <c r="G4850" s="2" t="s">
        <v>15456</v>
      </c>
      <c r="H4850" s="2" t="s">
        <v>15444</v>
      </c>
    </row>
    <row r="4851">
      <c r="A4851" s="2">
        <v>4849.0</v>
      </c>
      <c r="B4851" s="5" t="s">
        <v>7203</v>
      </c>
      <c r="C4851" s="2" t="s">
        <v>7204</v>
      </c>
      <c r="D4851" s="5" t="s">
        <v>7203</v>
      </c>
      <c r="E4851" s="2" t="s">
        <v>15445</v>
      </c>
      <c r="F4851" s="2" t="s">
        <v>15442</v>
      </c>
      <c r="G4851" s="2" t="s">
        <v>15443</v>
      </c>
      <c r="H4851" s="2" t="s">
        <v>15444</v>
      </c>
    </row>
    <row r="4852">
      <c r="A4852" s="2">
        <v>4850.0</v>
      </c>
      <c r="B4852" s="5" t="s">
        <v>7206</v>
      </c>
      <c r="C4852" s="2" t="s">
        <v>7207</v>
      </c>
      <c r="D4852" s="5" t="s">
        <v>7206</v>
      </c>
      <c r="E4852" s="2" t="s">
        <v>15445</v>
      </c>
      <c r="F4852" s="2" t="s">
        <v>15442</v>
      </c>
      <c r="G4852" s="2" t="s">
        <v>15443</v>
      </c>
      <c r="H4852" s="2" t="s">
        <v>15444</v>
      </c>
    </row>
    <row r="4853">
      <c r="A4853" s="2">
        <v>4851.0</v>
      </c>
      <c r="B4853" s="5" t="s">
        <v>7209</v>
      </c>
      <c r="C4853" s="2" t="s">
        <v>7210</v>
      </c>
      <c r="D4853" s="5" t="s">
        <v>7209</v>
      </c>
      <c r="E4853" s="2" t="s">
        <v>15445</v>
      </c>
      <c r="F4853" s="2" t="s">
        <v>15446</v>
      </c>
      <c r="G4853" s="2" t="s">
        <v>15443</v>
      </c>
      <c r="H4853" s="2" t="s">
        <v>15444</v>
      </c>
    </row>
    <row r="4854">
      <c r="A4854" s="2">
        <v>4852.0</v>
      </c>
      <c r="B4854" s="5" t="s">
        <v>7212</v>
      </c>
      <c r="C4854" s="2" t="s">
        <v>7213</v>
      </c>
      <c r="D4854" s="5" t="s">
        <v>7212</v>
      </c>
      <c r="E4854" s="2" t="s">
        <v>15445</v>
      </c>
      <c r="F4854" s="2" t="s">
        <v>15446</v>
      </c>
      <c r="G4854" s="2" t="s">
        <v>15456</v>
      </c>
      <c r="H4854" s="2" t="s">
        <v>15444</v>
      </c>
    </row>
    <row r="4855">
      <c r="A4855" s="2">
        <v>4853.0</v>
      </c>
      <c r="B4855" s="5" t="s">
        <v>7215</v>
      </c>
      <c r="C4855" s="2" t="s">
        <v>7216</v>
      </c>
      <c r="D4855" s="5" t="s">
        <v>7215</v>
      </c>
      <c r="E4855" s="2" t="s">
        <v>15445</v>
      </c>
      <c r="F4855" s="2" t="s">
        <v>15442</v>
      </c>
      <c r="G4855" s="2" t="s">
        <v>15443</v>
      </c>
      <c r="H4855" s="2" t="s">
        <v>15444</v>
      </c>
    </row>
    <row r="4856">
      <c r="A4856" s="2">
        <v>4854.0</v>
      </c>
      <c r="B4856" s="5" t="s">
        <v>14072</v>
      </c>
      <c r="C4856" s="2" t="s">
        <v>14073</v>
      </c>
      <c r="D4856" s="5" t="s">
        <v>14072</v>
      </c>
      <c r="E4856" s="2" t="s">
        <v>15441</v>
      </c>
      <c r="F4856" s="2" t="s">
        <v>15442</v>
      </c>
      <c r="G4856" s="2" t="s">
        <v>15456</v>
      </c>
      <c r="H4856" s="2" t="s">
        <v>15444</v>
      </c>
    </row>
    <row r="4857">
      <c r="A4857" s="2">
        <v>4855.0</v>
      </c>
      <c r="B4857" s="5" t="s">
        <v>7218</v>
      </c>
      <c r="C4857" s="2" t="s">
        <v>7219</v>
      </c>
      <c r="D4857" s="5" t="s">
        <v>7218</v>
      </c>
      <c r="E4857" s="2" t="s">
        <v>15445</v>
      </c>
      <c r="F4857" s="2" t="s">
        <v>15446</v>
      </c>
      <c r="G4857" s="2" t="s">
        <v>15456</v>
      </c>
      <c r="H4857" s="2" t="s">
        <v>15444</v>
      </c>
    </row>
    <row r="4858">
      <c r="A4858" s="2">
        <v>4856.0</v>
      </c>
      <c r="B4858" s="5" t="s">
        <v>7221</v>
      </c>
      <c r="C4858" s="2" t="s">
        <v>7222</v>
      </c>
      <c r="D4858" s="5" t="s">
        <v>7221</v>
      </c>
      <c r="E4858" s="2" t="s">
        <v>15445</v>
      </c>
      <c r="F4858" s="2" t="s">
        <v>15446</v>
      </c>
      <c r="G4858" s="2" t="s">
        <v>15443</v>
      </c>
      <c r="H4858" s="2" t="s">
        <v>15457</v>
      </c>
    </row>
    <row r="4859">
      <c r="A4859" s="2">
        <v>4857.0</v>
      </c>
      <c r="B4859" s="5" t="s">
        <v>7224</v>
      </c>
      <c r="C4859" s="2" t="s">
        <v>7225</v>
      </c>
      <c r="D4859" s="5" t="s">
        <v>7224</v>
      </c>
      <c r="E4859" s="2" t="s">
        <v>15445</v>
      </c>
      <c r="F4859" s="2" t="s">
        <v>15442</v>
      </c>
      <c r="G4859" s="2" t="s">
        <v>15443</v>
      </c>
      <c r="H4859" s="2" t="s">
        <v>15444</v>
      </c>
    </row>
    <row r="4860">
      <c r="A4860" s="2">
        <v>4858.0</v>
      </c>
      <c r="B4860" s="5" t="s">
        <v>14074</v>
      </c>
      <c r="C4860" s="2" t="s">
        <v>14075</v>
      </c>
      <c r="D4860" s="5" t="s">
        <v>14074</v>
      </c>
      <c r="E4860" s="2" t="s">
        <v>15441</v>
      </c>
      <c r="F4860" s="2" t="s">
        <v>15446</v>
      </c>
      <c r="G4860" s="2" t="s">
        <v>15456</v>
      </c>
      <c r="H4860" s="2" t="s">
        <v>15444</v>
      </c>
    </row>
    <row r="4861">
      <c r="A4861" s="2">
        <v>4859.0</v>
      </c>
      <c r="B4861" s="5" t="s">
        <v>14076</v>
      </c>
      <c r="C4861" s="2" t="s">
        <v>14077</v>
      </c>
      <c r="D4861" s="5" t="s">
        <v>14076</v>
      </c>
      <c r="E4861" s="2" t="s">
        <v>15441</v>
      </c>
      <c r="F4861" s="2" t="s">
        <v>15442</v>
      </c>
      <c r="G4861" s="2" t="s">
        <v>15456</v>
      </c>
      <c r="H4861" s="2" t="s">
        <v>15444</v>
      </c>
    </row>
    <row r="4862">
      <c r="A4862" s="2">
        <v>4860.0</v>
      </c>
      <c r="B4862" s="5" t="s">
        <v>14078</v>
      </c>
      <c r="C4862" s="2" t="s">
        <v>14079</v>
      </c>
      <c r="D4862" s="5" t="s">
        <v>14078</v>
      </c>
      <c r="E4862" s="2" t="s">
        <v>15441</v>
      </c>
      <c r="F4862" s="2" t="s">
        <v>15442</v>
      </c>
      <c r="G4862" s="2" t="s">
        <v>15443</v>
      </c>
      <c r="H4862" s="2" t="s">
        <v>15455</v>
      </c>
    </row>
    <row r="4863">
      <c r="A4863" s="2">
        <v>4861.0</v>
      </c>
      <c r="B4863" s="5" t="s">
        <v>7227</v>
      </c>
      <c r="C4863" s="2" t="s">
        <v>7228</v>
      </c>
      <c r="D4863" s="5" t="s">
        <v>7227</v>
      </c>
      <c r="E4863" s="2" t="s">
        <v>15445</v>
      </c>
      <c r="F4863" s="2" t="s">
        <v>15446</v>
      </c>
      <c r="G4863" s="2" t="s">
        <v>15456</v>
      </c>
      <c r="H4863" s="2" t="s">
        <v>15444</v>
      </c>
    </row>
    <row r="4864">
      <c r="A4864" s="2">
        <v>4862.0</v>
      </c>
      <c r="B4864" s="5" t="s">
        <v>14080</v>
      </c>
      <c r="C4864" s="2" t="s">
        <v>14081</v>
      </c>
      <c r="D4864" s="5" t="s">
        <v>14080</v>
      </c>
      <c r="E4864" s="2" t="s">
        <v>15441</v>
      </c>
      <c r="F4864" s="2" t="s">
        <v>15442</v>
      </c>
      <c r="G4864" s="2" t="s">
        <v>15456</v>
      </c>
      <c r="H4864" s="2" t="s">
        <v>15444</v>
      </c>
    </row>
    <row r="4865">
      <c r="A4865" s="2">
        <v>4863.0</v>
      </c>
      <c r="B4865" s="5" t="s">
        <v>14082</v>
      </c>
      <c r="C4865" s="2" t="s">
        <v>14083</v>
      </c>
      <c r="D4865" s="5" t="s">
        <v>14082</v>
      </c>
      <c r="E4865" s="2" t="s">
        <v>15441</v>
      </c>
      <c r="F4865" s="2" t="s">
        <v>15446</v>
      </c>
      <c r="G4865" s="2" t="s">
        <v>15456</v>
      </c>
      <c r="H4865" s="2" t="s">
        <v>15444</v>
      </c>
    </row>
    <row r="4866">
      <c r="A4866" s="2">
        <v>4864.0</v>
      </c>
      <c r="B4866" s="5" t="s">
        <v>14084</v>
      </c>
      <c r="C4866" s="2" t="s">
        <v>14085</v>
      </c>
      <c r="D4866" s="5" t="s">
        <v>14084</v>
      </c>
      <c r="E4866" s="2" t="s">
        <v>15441</v>
      </c>
      <c r="F4866" s="2" t="s">
        <v>15442</v>
      </c>
      <c r="G4866" s="2" t="s">
        <v>15443</v>
      </c>
      <c r="H4866" s="2" t="s">
        <v>15444</v>
      </c>
    </row>
    <row r="4867">
      <c r="A4867" s="2">
        <v>4865.0</v>
      </c>
      <c r="B4867" s="5" t="s">
        <v>7230</v>
      </c>
      <c r="C4867" s="2" t="s">
        <v>7231</v>
      </c>
      <c r="D4867" s="5" t="s">
        <v>7230</v>
      </c>
      <c r="E4867" s="2" t="s">
        <v>15445</v>
      </c>
      <c r="F4867" s="2" t="s">
        <v>15442</v>
      </c>
      <c r="G4867" s="2" t="s">
        <v>15456</v>
      </c>
      <c r="H4867" s="2" t="s">
        <v>15444</v>
      </c>
    </row>
    <row r="4868">
      <c r="A4868" s="2">
        <v>4866.0</v>
      </c>
      <c r="B4868" s="5" t="s">
        <v>7233</v>
      </c>
      <c r="C4868" s="2" t="s">
        <v>7234</v>
      </c>
      <c r="D4868" s="5" t="s">
        <v>7233</v>
      </c>
      <c r="E4868" s="2" t="s">
        <v>15445</v>
      </c>
      <c r="F4868" s="2" t="s">
        <v>15446</v>
      </c>
      <c r="G4868" s="2" t="s">
        <v>15456</v>
      </c>
      <c r="H4868" s="2" t="s">
        <v>15444</v>
      </c>
    </row>
    <row r="4869">
      <c r="A4869" s="2">
        <v>4867.0</v>
      </c>
      <c r="B4869" s="5" t="s">
        <v>14086</v>
      </c>
      <c r="C4869" s="2" t="s">
        <v>14087</v>
      </c>
      <c r="D4869" s="5" t="s">
        <v>14086</v>
      </c>
      <c r="E4869" s="2" t="s">
        <v>15441</v>
      </c>
      <c r="F4869" s="2" t="s">
        <v>15442</v>
      </c>
      <c r="G4869" s="2" t="s">
        <v>15443</v>
      </c>
      <c r="H4869" s="2" t="s">
        <v>15444</v>
      </c>
    </row>
    <row r="4870">
      <c r="A4870" s="2">
        <v>4868.0</v>
      </c>
      <c r="B4870" s="5" t="s">
        <v>14088</v>
      </c>
      <c r="C4870" s="2" t="s">
        <v>14089</v>
      </c>
      <c r="D4870" s="5" t="s">
        <v>14088</v>
      </c>
      <c r="E4870" s="2" t="s">
        <v>15441</v>
      </c>
      <c r="F4870" s="2" t="s">
        <v>15446</v>
      </c>
      <c r="G4870" s="2" t="s">
        <v>15443</v>
      </c>
      <c r="H4870" s="2" t="s">
        <v>15444</v>
      </c>
    </row>
    <row r="4871">
      <c r="A4871" s="2">
        <v>4869.0</v>
      </c>
      <c r="B4871" s="5" t="s">
        <v>14090</v>
      </c>
      <c r="C4871" s="2" t="s">
        <v>14091</v>
      </c>
      <c r="D4871" s="5" t="s">
        <v>14090</v>
      </c>
      <c r="E4871" s="2" t="s">
        <v>15441</v>
      </c>
      <c r="F4871" s="2" t="s">
        <v>15442</v>
      </c>
      <c r="G4871" s="2" t="s">
        <v>15443</v>
      </c>
      <c r="H4871" s="2" t="s">
        <v>15444</v>
      </c>
    </row>
    <row r="4872">
      <c r="A4872" s="2">
        <v>4870.0</v>
      </c>
      <c r="B4872" s="5" t="s">
        <v>14092</v>
      </c>
      <c r="C4872" s="2" t="s">
        <v>14093</v>
      </c>
      <c r="D4872" s="5" t="s">
        <v>14092</v>
      </c>
      <c r="E4872" s="2" t="s">
        <v>15441</v>
      </c>
      <c r="F4872" s="2" t="s">
        <v>15446</v>
      </c>
      <c r="G4872" s="2" t="s">
        <v>15456</v>
      </c>
      <c r="H4872" s="2" t="s">
        <v>15444</v>
      </c>
    </row>
    <row r="4873">
      <c r="A4873" s="2">
        <v>4871.0</v>
      </c>
      <c r="B4873" s="5" t="s">
        <v>14094</v>
      </c>
      <c r="C4873" s="2" t="s">
        <v>14095</v>
      </c>
      <c r="D4873" s="5" t="s">
        <v>14094</v>
      </c>
      <c r="E4873" s="2" t="s">
        <v>15441</v>
      </c>
      <c r="F4873" s="2" t="s">
        <v>15446</v>
      </c>
      <c r="G4873" s="2" t="s">
        <v>15443</v>
      </c>
      <c r="H4873" s="2" t="s">
        <v>15444</v>
      </c>
    </row>
    <row r="4874">
      <c r="A4874" s="2">
        <v>4872.0</v>
      </c>
      <c r="B4874" s="5" t="s">
        <v>14096</v>
      </c>
      <c r="C4874" s="2" t="s">
        <v>14097</v>
      </c>
      <c r="D4874" s="5" t="s">
        <v>14096</v>
      </c>
      <c r="E4874" s="2" t="s">
        <v>15441</v>
      </c>
      <c r="F4874" s="2" t="s">
        <v>15446</v>
      </c>
      <c r="G4874" s="2" t="s">
        <v>15456</v>
      </c>
      <c r="H4874" s="2" t="s">
        <v>15444</v>
      </c>
    </row>
    <row r="4875">
      <c r="A4875" s="2">
        <v>4873.0</v>
      </c>
      <c r="B4875" s="5" t="s">
        <v>7236</v>
      </c>
      <c r="C4875" s="2" t="s">
        <v>7237</v>
      </c>
      <c r="D4875" s="5" t="s">
        <v>7236</v>
      </c>
      <c r="E4875" s="2" t="s">
        <v>15445</v>
      </c>
      <c r="F4875" s="2" t="s">
        <v>15446</v>
      </c>
      <c r="G4875" s="2" t="s">
        <v>15456</v>
      </c>
      <c r="H4875" s="2" t="s">
        <v>15444</v>
      </c>
    </row>
    <row r="4876">
      <c r="A4876" s="2">
        <v>4874.0</v>
      </c>
      <c r="B4876" s="5" t="s">
        <v>7239</v>
      </c>
      <c r="C4876" s="2" t="s">
        <v>7240</v>
      </c>
      <c r="D4876" s="5" t="s">
        <v>7239</v>
      </c>
      <c r="E4876" s="2" t="s">
        <v>15445</v>
      </c>
      <c r="F4876" s="2" t="s">
        <v>15442</v>
      </c>
      <c r="G4876" s="2" t="s">
        <v>15443</v>
      </c>
      <c r="H4876" s="2" t="s">
        <v>15444</v>
      </c>
    </row>
    <row r="4877">
      <c r="A4877" s="2">
        <v>4875.0</v>
      </c>
      <c r="B4877" s="5" t="s">
        <v>14098</v>
      </c>
      <c r="C4877" s="2" t="s">
        <v>14099</v>
      </c>
      <c r="D4877" s="5" t="s">
        <v>14098</v>
      </c>
      <c r="E4877" s="2" t="s">
        <v>15441</v>
      </c>
      <c r="F4877" s="2" t="s">
        <v>15442</v>
      </c>
      <c r="G4877" s="2" t="s">
        <v>15443</v>
      </c>
      <c r="H4877" s="2" t="s">
        <v>15457</v>
      </c>
    </row>
    <row r="4878">
      <c r="A4878" s="2">
        <v>4876.0</v>
      </c>
      <c r="B4878" s="5" t="s">
        <v>14100</v>
      </c>
      <c r="C4878" s="2" t="s">
        <v>14101</v>
      </c>
      <c r="D4878" s="5" t="s">
        <v>14100</v>
      </c>
      <c r="E4878" s="2" t="s">
        <v>15441</v>
      </c>
      <c r="F4878" s="2" t="s">
        <v>15442</v>
      </c>
      <c r="G4878" s="2" t="s">
        <v>15456</v>
      </c>
      <c r="H4878" s="2" t="s">
        <v>15444</v>
      </c>
    </row>
    <row r="4879">
      <c r="A4879" s="2">
        <v>4877.0</v>
      </c>
      <c r="B4879" s="5" t="s">
        <v>7242</v>
      </c>
      <c r="C4879" s="2" t="s">
        <v>7243</v>
      </c>
      <c r="D4879" s="5" t="s">
        <v>7242</v>
      </c>
      <c r="E4879" s="2" t="s">
        <v>15445</v>
      </c>
      <c r="F4879" s="2" t="s">
        <v>15446</v>
      </c>
      <c r="G4879" s="2" t="s">
        <v>15443</v>
      </c>
      <c r="H4879" s="2" t="s">
        <v>15444</v>
      </c>
    </row>
    <row r="4880">
      <c r="A4880" s="2">
        <v>4878.0</v>
      </c>
      <c r="B4880" s="5" t="s">
        <v>14102</v>
      </c>
      <c r="C4880" s="2" t="s">
        <v>14103</v>
      </c>
      <c r="D4880" s="5" t="s">
        <v>14102</v>
      </c>
      <c r="E4880" s="2" t="s">
        <v>15441</v>
      </c>
      <c r="F4880" s="2" t="s">
        <v>15442</v>
      </c>
      <c r="G4880" s="2" t="s">
        <v>15443</v>
      </c>
      <c r="H4880" s="2" t="s">
        <v>15444</v>
      </c>
    </row>
    <row r="4881">
      <c r="A4881" s="2">
        <v>4879.0</v>
      </c>
      <c r="B4881" s="5" t="s">
        <v>7245</v>
      </c>
      <c r="C4881" s="2" t="s">
        <v>7246</v>
      </c>
      <c r="D4881" s="5" t="s">
        <v>7245</v>
      </c>
      <c r="E4881" s="2" t="s">
        <v>15445</v>
      </c>
      <c r="F4881" s="2" t="s">
        <v>15446</v>
      </c>
      <c r="G4881" s="2" t="s">
        <v>15456</v>
      </c>
      <c r="H4881" s="2" t="s">
        <v>15444</v>
      </c>
    </row>
    <row r="4882">
      <c r="A4882" s="2">
        <v>4880.0</v>
      </c>
      <c r="B4882" s="5" t="s">
        <v>7248</v>
      </c>
      <c r="C4882" s="2" t="s">
        <v>7249</v>
      </c>
      <c r="D4882" s="5" t="s">
        <v>7248</v>
      </c>
      <c r="E4882" s="2" t="s">
        <v>15445</v>
      </c>
      <c r="F4882" s="2" t="s">
        <v>15442</v>
      </c>
      <c r="G4882" s="2" t="s">
        <v>15456</v>
      </c>
      <c r="H4882" s="2" t="s">
        <v>15444</v>
      </c>
    </row>
    <row r="4883">
      <c r="A4883" s="2">
        <v>4881.0</v>
      </c>
      <c r="B4883" s="5" t="s">
        <v>7251</v>
      </c>
      <c r="C4883" s="2" t="s">
        <v>7252</v>
      </c>
      <c r="D4883" s="5" t="s">
        <v>7251</v>
      </c>
      <c r="E4883" s="2" t="s">
        <v>15445</v>
      </c>
      <c r="F4883" s="2" t="s">
        <v>15442</v>
      </c>
      <c r="G4883" s="2" t="s">
        <v>15443</v>
      </c>
      <c r="H4883" s="2" t="s">
        <v>15444</v>
      </c>
    </row>
    <row r="4884">
      <c r="A4884" s="2">
        <v>4882.0</v>
      </c>
      <c r="B4884" s="5" t="s">
        <v>14104</v>
      </c>
      <c r="C4884" s="2" t="s">
        <v>14105</v>
      </c>
      <c r="D4884" s="5" t="s">
        <v>14104</v>
      </c>
      <c r="E4884" s="2" t="s">
        <v>15441</v>
      </c>
      <c r="F4884" s="2" t="s">
        <v>15446</v>
      </c>
      <c r="G4884" s="2" t="s">
        <v>15443</v>
      </c>
      <c r="H4884" s="2" t="s">
        <v>15444</v>
      </c>
    </row>
    <row r="4885">
      <c r="A4885" s="2">
        <v>4883.0</v>
      </c>
      <c r="B4885" s="5" t="s">
        <v>14106</v>
      </c>
      <c r="C4885" s="2" t="s">
        <v>14107</v>
      </c>
      <c r="D4885" s="5" t="s">
        <v>14106</v>
      </c>
      <c r="E4885" s="2" t="s">
        <v>15441</v>
      </c>
      <c r="F4885" s="2" t="s">
        <v>15446</v>
      </c>
      <c r="G4885" s="2" t="s">
        <v>15443</v>
      </c>
      <c r="H4885" s="2" t="s">
        <v>15444</v>
      </c>
    </row>
    <row r="4886">
      <c r="A4886" s="2">
        <v>4884.0</v>
      </c>
      <c r="B4886" s="5" t="s">
        <v>14108</v>
      </c>
      <c r="C4886" s="2" t="s">
        <v>14109</v>
      </c>
      <c r="D4886" s="5" t="s">
        <v>14108</v>
      </c>
      <c r="E4886" s="2" t="s">
        <v>15441</v>
      </c>
      <c r="F4886" s="2" t="s">
        <v>15446</v>
      </c>
      <c r="G4886" s="2" t="s">
        <v>15456</v>
      </c>
      <c r="H4886" s="2" t="s">
        <v>15462</v>
      </c>
    </row>
    <row r="4887">
      <c r="A4887" s="2">
        <v>4885.0</v>
      </c>
      <c r="B4887" s="5" t="s">
        <v>14110</v>
      </c>
      <c r="C4887" s="2" t="s">
        <v>14111</v>
      </c>
      <c r="D4887" s="5" t="s">
        <v>14110</v>
      </c>
      <c r="E4887" s="2" t="s">
        <v>15441</v>
      </c>
      <c r="F4887" s="2" t="s">
        <v>15442</v>
      </c>
      <c r="G4887" s="2" t="s">
        <v>15456</v>
      </c>
      <c r="H4887" s="2" t="s">
        <v>15444</v>
      </c>
    </row>
    <row r="4888">
      <c r="A4888" s="2">
        <v>4886.0</v>
      </c>
      <c r="B4888" s="5" t="s">
        <v>14112</v>
      </c>
      <c r="C4888" s="2" t="s">
        <v>14113</v>
      </c>
      <c r="D4888" s="5" t="s">
        <v>14112</v>
      </c>
      <c r="E4888" s="2" t="s">
        <v>15441</v>
      </c>
      <c r="F4888" s="2" t="s">
        <v>15446</v>
      </c>
      <c r="G4888" s="2" t="s">
        <v>15443</v>
      </c>
      <c r="H4888" s="2" t="s">
        <v>15444</v>
      </c>
    </row>
    <row r="4889">
      <c r="A4889" s="2">
        <v>4887.0</v>
      </c>
      <c r="B4889" s="5" t="s">
        <v>14114</v>
      </c>
      <c r="C4889" s="2" t="s">
        <v>14115</v>
      </c>
      <c r="D4889" s="5" t="s">
        <v>14114</v>
      </c>
      <c r="E4889" s="2" t="s">
        <v>15441</v>
      </c>
      <c r="F4889" s="2" t="s">
        <v>15446</v>
      </c>
      <c r="G4889" s="2" t="s">
        <v>15456</v>
      </c>
      <c r="H4889" s="2" t="s">
        <v>15444</v>
      </c>
    </row>
    <row r="4890">
      <c r="A4890" s="2">
        <v>4888.0</v>
      </c>
      <c r="B4890" s="5" t="s">
        <v>7254</v>
      </c>
      <c r="C4890" s="2" t="s">
        <v>7255</v>
      </c>
      <c r="D4890" s="5" t="s">
        <v>7254</v>
      </c>
      <c r="E4890" s="2" t="s">
        <v>15445</v>
      </c>
      <c r="F4890" s="2" t="s">
        <v>15442</v>
      </c>
      <c r="G4890" s="2" t="s">
        <v>15443</v>
      </c>
      <c r="H4890" s="2" t="s">
        <v>15444</v>
      </c>
    </row>
    <row r="4891">
      <c r="A4891" s="2">
        <v>4889.0</v>
      </c>
      <c r="B4891" s="5" t="s">
        <v>7257</v>
      </c>
      <c r="C4891" s="2" t="s">
        <v>7258</v>
      </c>
      <c r="D4891" s="5" t="s">
        <v>7257</v>
      </c>
      <c r="E4891" s="2" t="s">
        <v>15445</v>
      </c>
      <c r="F4891" s="2" t="s">
        <v>15442</v>
      </c>
      <c r="G4891" s="2" t="s">
        <v>15443</v>
      </c>
      <c r="H4891" s="2" t="s">
        <v>15444</v>
      </c>
    </row>
    <row r="4892">
      <c r="A4892" s="2">
        <v>4890.0</v>
      </c>
      <c r="B4892" s="5" t="s">
        <v>7260</v>
      </c>
      <c r="C4892" s="2" t="s">
        <v>7261</v>
      </c>
      <c r="D4892" s="5" t="s">
        <v>7260</v>
      </c>
      <c r="E4892" s="2" t="s">
        <v>15445</v>
      </c>
      <c r="F4892" s="2" t="s">
        <v>15446</v>
      </c>
      <c r="G4892" s="2" t="s">
        <v>15456</v>
      </c>
      <c r="H4892" s="2" t="s">
        <v>15444</v>
      </c>
    </row>
    <row r="4893">
      <c r="A4893" s="2">
        <v>4891.0</v>
      </c>
      <c r="B4893" s="5" t="s">
        <v>14116</v>
      </c>
      <c r="C4893" s="2" t="s">
        <v>14117</v>
      </c>
      <c r="D4893" s="5" t="s">
        <v>14116</v>
      </c>
      <c r="E4893" s="2" t="s">
        <v>15441</v>
      </c>
      <c r="F4893" s="2" t="s">
        <v>15446</v>
      </c>
      <c r="G4893" s="2" t="s">
        <v>15456</v>
      </c>
      <c r="H4893" s="2" t="s">
        <v>15444</v>
      </c>
    </row>
    <row r="4894">
      <c r="A4894" s="2">
        <v>4892.0</v>
      </c>
      <c r="B4894" s="5" t="s">
        <v>14118</v>
      </c>
      <c r="C4894" s="2" t="s">
        <v>14119</v>
      </c>
      <c r="D4894" s="5" t="s">
        <v>14118</v>
      </c>
      <c r="E4894" s="2" t="s">
        <v>15441</v>
      </c>
      <c r="F4894" s="2" t="s">
        <v>15446</v>
      </c>
      <c r="G4894" s="2" t="s">
        <v>15456</v>
      </c>
      <c r="H4894" s="2" t="s">
        <v>15444</v>
      </c>
    </row>
    <row r="4895">
      <c r="A4895" s="2">
        <v>4893.0</v>
      </c>
      <c r="B4895" s="5" t="s">
        <v>7263</v>
      </c>
      <c r="C4895" s="2" t="s">
        <v>7264</v>
      </c>
      <c r="D4895" s="5" t="s">
        <v>7263</v>
      </c>
      <c r="E4895" s="2" t="s">
        <v>15445</v>
      </c>
      <c r="F4895" s="2" t="s">
        <v>15442</v>
      </c>
      <c r="G4895" s="2" t="s">
        <v>15443</v>
      </c>
      <c r="H4895" s="2" t="s">
        <v>15444</v>
      </c>
    </row>
    <row r="4896">
      <c r="A4896" s="2">
        <v>4894.0</v>
      </c>
      <c r="B4896" s="5" t="s">
        <v>14120</v>
      </c>
      <c r="C4896" s="2" t="s">
        <v>14121</v>
      </c>
      <c r="D4896" s="5" t="s">
        <v>14120</v>
      </c>
      <c r="E4896" s="2" t="s">
        <v>15441</v>
      </c>
      <c r="F4896" s="2" t="s">
        <v>15446</v>
      </c>
      <c r="G4896" s="2" t="s">
        <v>15443</v>
      </c>
      <c r="H4896" s="2" t="s">
        <v>15444</v>
      </c>
    </row>
    <row r="4897">
      <c r="A4897" s="2">
        <v>4895.0</v>
      </c>
      <c r="B4897" s="5" t="s">
        <v>7266</v>
      </c>
      <c r="C4897" s="2" t="s">
        <v>7267</v>
      </c>
      <c r="D4897" s="5" t="s">
        <v>7266</v>
      </c>
      <c r="E4897" s="2" t="s">
        <v>15445</v>
      </c>
      <c r="F4897" s="2" t="s">
        <v>15446</v>
      </c>
      <c r="G4897" s="2" t="s">
        <v>15443</v>
      </c>
      <c r="H4897" s="2" t="s">
        <v>15455</v>
      </c>
    </row>
    <row r="4898">
      <c r="A4898" s="2">
        <v>4896.0</v>
      </c>
      <c r="B4898" s="5" t="s">
        <v>14122</v>
      </c>
      <c r="C4898" s="2" t="s">
        <v>14123</v>
      </c>
      <c r="D4898" s="5" t="s">
        <v>14122</v>
      </c>
      <c r="E4898" s="2" t="s">
        <v>15441</v>
      </c>
      <c r="F4898" s="2" t="s">
        <v>15446</v>
      </c>
      <c r="G4898" s="2" t="s">
        <v>15456</v>
      </c>
      <c r="H4898" s="2" t="s">
        <v>15444</v>
      </c>
    </row>
    <row r="4899">
      <c r="A4899" s="2">
        <v>4897.0</v>
      </c>
      <c r="B4899" s="5" t="s">
        <v>7269</v>
      </c>
      <c r="C4899" s="2" t="s">
        <v>7270</v>
      </c>
      <c r="D4899" s="5" t="s">
        <v>7269</v>
      </c>
      <c r="E4899" s="2" t="s">
        <v>15445</v>
      </c>
      <c r="F4899" s="2" t="s">
        <v>15442</v>
      </c>
      <c r="G4899" s="2" t="s">
        <v>15456</v>
      </c>
      <c r="H4899" s="2" t="s">
        <v>15444</v>
      </c>
    </row>
    <row r="4900">
      <c r="A4900" s="2">
        <v>4898.0</v>
      </c>
      <c r="B4900" s="5" t="s">
        <v>14124</v>
      </c>
      <c r="C4900" s="2" t="s">
        <v>14125</v>
      </c>
      <c r="D4900" s="5" t="s">
        <v>14124</v>
      </c>
      <c r="E4900" s="2" t="s">
        <v>15441</v>
      </c>
      <c r="F4900" s="2" t="s">
        <v>15442</v>
      </c>
      <c r="G4900" s="2" t="s">
        <v>15443</v>
      </c>
      <c r="H4900" s="2" t="s">
        <v>15444</v>
      </c>
    </row>
    <row r="4901">
      <c r="A4901" s="2">
        <v>4899.0</v>
      </c>
      <c r="B4901" s="5" t="s">
        <v>14126</v>
      </c>
      <c r="C4901" s="2" t="s">
        <v>14127</v>
      </c>
      <c r="D4901" s="5" t="s">
        <v>14126</v>
      </c>
      <c r="E4901" s="2" t="s">
        <v>15441</v>
      </c>
      <c r="F4901" s="2" t="s">
        <v>15442</v>
      </c>
      <c r="G4901" s="2" t="s">
        <v>15443</v>
      </c>
      <c r="H4901" s="2" t="s">
        <v>15444</v>
      </c>
    </row>
    <row r="4902">
      <c r="A4902" s="2">
        <v>4900.0</v>
      </c>
      <c r="B4902" s="5" t="s">
        <v>14128</v>
      </c>
      <c r="C4902" s="2" t="s">
        <v>14129</v>
      </c>
      <c r="D4902" s="5" t="s">
        <v>14128</v>
      </c>
      <c r="E4902" s="2" t="s">
        <v>15441</v>
      </c>
      <c r="F4902" s="2" t="s">
        <v>15442</v>
      </c>
      <c r="G4902" s="2" t="s">
        <v>15443</v>
      </c>
      <c r="H4902" s="2" t="s">
        <v>15444</v>
      </c>
    </row>
    <row r="4903">
      <c r="A4903" s="2">
        <v>4901.0</v>
      </c>
      <c r="B4903" s="5" t="s">
        <v>14130</v>
      </c>
      <c r="C4903" s="2" t="s">
        <v>14131</v>
      </c>
      <c r="D4903" s="5" t="s">
        <v>14130</v>
      </c>
      <c r="E4903" s="2" t="s">
        <v>15441</v>
      </c>
      <c r="F4903" s="2" t="s">
        <v>15442</v>
      </c>
      <c r="G4903" s="2" t="s">
        <v>15443</v>
      </c>
      <c r="H4903" s="2" t="s">
        <v>15444</v>
      </c>
    </row>
    <row r="4904">
      <c r="A4904" s="2">
        <v>4902.0</v>
      </c>
      <c r="B4904" s="5" t="s">
        <v>14132</v>
      </c>
      <c r="C4904" s="2" t="s">
        <v>14133</v>
      </c>
      <c r="D4904" s="5" t="s">
        <v>14132</v>
      </c>
      <c r="E4904" s="2" t="s">
        <v>15441</v>
      </c>
      <c r="F4904" s="2" t="s">
        <v>15446</v>
      </c>
      <c r="G4904" s="2" t="s">
        <v>15443</v>
      </c>
      <c r="H4904" s="2" t="s">
        <v>15444</v>
      </c>
    </row>
    <row r="4905">
      <c r="A4905" s="2">
        <v>4903.0</v>
      </c>
      <c r="B4905" s="5" t="s">
        <v>14134</v>
      </c>
      <c r="C4905" s="2" t="s">
        <v>14135</v>
      </c>
      <c r="D4905" s="5" t="s">
        <v>14134</v>
      </c>
      <c r="E4905" s="2" t="s">
        <v>15441</v>
      </c>
      <c r="F4905" s="2" t="s">
        <v>15446</v>
      </c>
      <c r="G4905" s="2" t="s">
        <v>15456</v>
      </c>
      <c r="H4905" s="2" t="s">
        <v>15455</v>
      </c>
    </row>
    <row r="4906">
      <c r="A4906" s="2">
        <v>4904.0</v>
      </c>
      <c r="B4906" s="5" t="s">
        <v>7272</v>
      </c>
      <c r="C4906" s="2" t="s">
        <v>7273</v>
      </c>
      <c r="D4906" s="5" t="s">
        <v>7272</v>
      </c>
      <c r="E4906" s="2" t="s">
        <v>15445</v>
      </c>
      <c r="F4906" s="2" t="s">
        <v>15442</v>
      </c>
      <c r="G4906" s="2" t="s">
        <v>15456</v>
      </c>
      <c r="H4906" s="2" t="s">
        <v>15444</v>
      </c>
    </row>
    <row r="4907">
      <c r="A4907" s="2">
        <v>4905.0</v>
      </c>
      <c r="B4907" s="5" t="s">
        <v>7275</v>
      </c>
      <c r="C4907" s="2" t="s">
        <v>7276</v>
      </c>
      <c r="D4907" s="5" t="s">
        <v>7275</v>
      </c>
      <c r="E4907" s="2" t="s">
        <v>15445</v>
      </c>
      <c r="F4907" s="2" t="s">
        <v>15446</v>
      </c>
      <c r="G4907" s="2" t="s">
        <v>15456</v>
      </c>
      <c r="H4907" s="2" t="s">
        <v>15455</v>
      </c>
    </row>
    <row r="4908">
      <c r="A4908" s="2">
        <v>4906.0</v>
      </c>
      <c r="B4908" s="5" t="s">
        <v>14136</v>
      </c>
      <c r="C4908" s="2" t="s">
        <v>14137</v>
      </c>
      <c r="D4908" s="5" t="s">
        <v>14136</v>
      </c>
      <c r="E4908" s="2" t="s">
        <v>15441</v>
      </c>
      <c r="F4908" s="2" t="s">
        <v>15446</v>
      </c>
      <c r="G4908" s="2" t="s">
        <v>15456</v>
      </c>
      <c r="H4908" s="2" t="s">
        <v>15444</v>
      </c>
    </row>
    <row r="4909">
      <c r="A4909" s="2">
        <v>4907.0</v>
      </c>
      <c r="B4909" s="5" t="s">
        <v>14138</v>
      </c>
      <c r="C4909" s="2" t="s">
        <v>14139</v>
      </c>
      <c r="D4909" s="5" t="s">
        <v>14138</v>
      </c>
      <c r="E4909" s="2" t="s">
        <v>15441</v>
      </c>
      <c r="F4909" s="2" t="s">
        <v>15446</v>
      </c>
      <c r="G4909" s="2" t="s">
        <v>15456</v>
      </c>
      <c r="H4909" s="2" t="s">
        <v>15444</v>
      </c>
    </row>
    <row r="4910">
      <c r="A4910" s="2">
        <v>4908.0</v>
      </c>
      <c r="B4910" s="5" t="s">
        <v>14140</v>
      </c>
      <c r="C4910" s="2" t="s">
        <v>14141</v>
      </c>
      <c r="D4910" s="5" t="s">
        <v>14140</v>
      </c>
      <c r="E4910" s="2" t="s">
        <v>15441</v>
      </c>
      <c r="F4910" s="2" t="s">
        <v>15446</v>
      </c>
      <c r="G4910" s="2" t="s">
        <v>15443</v>
      </c>
      <c r="H4910" s="2" t="s">
        <v>15457</v>
      </c>
    </row>
    <row r="4911">
      <c r="A4911" s="2">
        <v>4909.0</v>
      </c>
      <c r="B4911" s="5" t="s">
        <v>7278</v>
      </c>
      <c r="C4911" s="2" t="s">
        <v>7279</v>
      </c>
      <c r="D4911" s="5" t="s">
        <v>7278</v>
      </c>
      <c r="E4911" s="2" t="s">
        <v>15445</v>
      </c>
      <c r="F4911" s="2" t="s">
        <v>15446</v>
      </c>
      <c r="G4911" s="2" t="s">
        <v>15456</v>
      </c>
      <c r="H4911" s="2" t="s">
        <v>15444</v>
      </c>
    </row>
    <row r="4912">
      <c r="A4912" s="2">
        <v>4910.0</v>
      </c>
      <c r="B4912" s="5" t="s">
        <v>7281</v>
      </c>
      <c r="C4912" s="2" t="s">
        <v>7282</v>
      </c>
      <c r="D4912" s="5" t="s">
        <v>7281</v>
      </c>
      <c r="E4912" s="2" t="s">
        <v>15445</v>
      </c>
      <c r="F4912" s="2" t="s">
        <v>15446</v>
      </c>
      <c r="G4912" s="2" t="s">
        <v>15443</v>
      </c>
      <c r="H4912" s="2" t="s">
        <v>15444</v>
      </c>
    </row>
    <row r="4913">
      <c r="A4913" s="2">
        <v>4911.0</v>
      </c>
      <c r="B4913" s="5" t="s">
        <v>7284</v>
      </c>
      <c r="C4913" s="2" t="s">
        <v>7285</v>
      </c>
      <c r="D4913" s="5" t="s">
        <v>7284</v>
      </c>
      <c r="E4913" s="2" t="s">
        <v>15445</v>
      </c>
      <c r="F4913" s="2" t="s">
        <v>15446</v>
      </c>
      <c r="G4913" s="2" t="s">
        <v>15443</v>
      </c>
      <c r="H4913" s="2" t="s">
        <v>15444</v>
      </c>
    </row>
    <row r="4914">
      <c r="A4914" s="2">
        <v>4912.0</v>
      </c>
      <c r="B4914" s="5" t="s">
        <v>7287</v>
      </c>
      <c r="C4914" s="2" t="s">
        <v>7288</v>
      </c>
      <c r="D4914" s="5" t="s">
        <v>7287</v>
      </c>
      <c r="E4914" s="2" t="s">
        <v>15445</v>
      </c>
      <c r="F4914" s="2" t="s">
        <v>15446</v>
      </c>
      <c r="G4914" s="2" t="s">
        <v>15443</v>
      </c>
      <c r="H4914" s="2" t="s">
        <v>15444</v>
      </c>
    </row>
    <row r="4915">
      <c r="A4915" s="2">
        <v>4913.0</v>
      </c>
      <c r="B4915" s="5" t="s">
        <v>14142</v>
      </c>
      <c r="C4915" s="2" t="s">
        <v>14143</v>
      </c>
      <c r="D4915" s="5" t="s">
        <v>14142</v>
      </c>
      <c r="E4915" s="2" t="s">
        <v>15441</v>
      </c>
      <c r="F4915" s="2" t="s">
        <v>15442</v>
      </c>
      <c r="G4915" s="2" t="s">
        <v>15443</v>
      </c>
      <c r="H4915" s="2" t="s">
        <v>15462</v>
      </c>
    </row>
    <row r="4916">
      <c r="A4916" s="2">
        <v>4914.0</v>
      </c>
      <c r="B4916" s="5" t="s">
        <v>7290</v>
      </c>
      <c r="C4916" s="2" t="s">
        <v>7291</v>
      </c>
      <c r="D4916" s="5" t="s">
        <v>7290</v>
      </c>
      <c r="E4916" s="2" t="s">
        <v>15445</v>
      </c>
      <c r="F4916" s="2" t="s">
        <v>15442</v>
      </c>
      <c r="G4916" s="2" t="s">
        <v>15443</v>
      </c>
      <c r="H4916" s="2" t="s">
        <v>15462</v>
      </c>
    </row>
    <row r="4917">
      <c r="A4917" s="2">
        <v>4915.0</v>
      </c>
      <c r="B4917" s="5" t="s">
        <v>14144</v>
      </c>
      <c r="C4917" s="2" t="s">
        <v>14145</v>
      </c>
      <c r="D4917" s="5" t="s">
        <v>14144</v>
      </c>
      <c r="E4917" s="2" t="s">
        <v>15441</v>
      </c>
      <c r="F4917" s="2" t="s">
        <v>15442</v>
      </c>
      <c r="G4917" s="2" t="s">
        <v>15443</v>
      </c>
      <c r="H4917" s="2" t="s">
        <v>15444</v>
      </c>
    </row>
    <row r="4918">
      <c r="A4918" s="2">
        <v>4916.0</v>
      </c>
      <c r="B4918" s="5" t="s">
        <v>14146</v>
      </c>
      <c r="C4918" s="2" t="s">
        <v>14147</v>
      </c>
      <c r="D4918" s="5" t="s">
        <v>14146</v>
      </c>
      <c r="E4918" s="2" t="s">
        <v>15441</v>
      </c>
      <c r="F4918" s="2" t="s">
        <v>15442</v>
      </c>
      <c r="G4918" s="2" t="s">
        <v>15443</v>
      </c>
      <c r="H4918" s="2" t="s">
        <v>15444</v>
      </c>
    </row>
    <row r="4919">
      <c r="A4919" s="2">
        <v>4917.0</v>
      </c>
      <c r="B4919" s="5" t="s">
        <v>7293</v>
      </c>
      <c r="C4919" s="2" t="s">
        <v>7294</v>
      </c>
      <c r="D4919" s="5" t="s">
        <v>7293</v>
      </c>
      <c r="E4919" s="2" t="s">
        <v>15445</v>
      </c>
      <c r="F4919" s="2" t="s">
        <v>15446</v>
      </c>
      <c r="G4919" s="2" t="s">
        <v>15456</v>
      </c>
      <c r="H4919" s="2" t="s">
        <v>15444</v>
      </c>
    </row>
    <row r="4920">
      <c r="A4920" s="2">
        <v>4918.0</v>
      </c>
      <c r="B4920" s="5" t="s">
        <v>14148</v>
      </c>
      <c r="C4920" s="2" t="s">
        <v>14149</v>
      </c>
      <c r="D4920" s="5" t="s">
        <v>14148</v>
      </c>
      <c r="E4920" s="2" t="s">
        <v>15441</v>
      </c>
      <c r="F4920" s="2" t="s">
        <v>15446</v>
      </c>
      <c r="G4920" s="2" t="s">
        <v>15443</v>
      </c>
      <c r="H4920" s="2" t="s">
        <v>15444</v>
      </c>
    </row>
    <row r="4921">
      <c r="A4921" s="2">
        <v>4919.0</v>
      </c>
      <c r="B4921" s="5" t="s">
        <v>14150</v>
      </c>
      <c r="C4921" s="2" t="s">
        <v>14151</v>
      </c>
      <c r="D4921" s="5" t="s">
        <v>14150</v>
      </c>
      <c r="E4921" s="2" t="s">
        <v>15441</v>
      </c>
      <c r="F4921" s="2" t="s">
        <v>15446</v>
      </c>
      <c r="G4921" s="2" t="s">
        <v>15456</v>
      </c>
      <c r="H4921" s="2" t="s">
        <v>15444</v>
      </c>
    </row>
    <row r="4922">
      <c r="A4922" s="2">
        <v>4920.0</v>
      </c>
      <c r="B4922" s="5" t="s">
        <v>7296</v>
      </c>
      <c r="C4922" s="2" t="s">
        <v>7297</v>
      </c>
      <c r="D4922" s="5" t="s">
        <v>7296</v>
      </c>
      <c r="E4922" s="2" t="s">
        <v>15445</v>
      </c>
      <c r="F4922" s="2" t="s">
        <v>15446</v>
      </c>
      <c r="G4922" s="2" t="s">
        <v>15456</v>
      </c>
      <c r="H4922" s="2" t="s">
        <v>15457</v>
      </c>
    </row>
    <row r="4923">
      <c r="A4923" s="2">
        <v>4921.0</v>
      </c>
      <c r="B4923" s="5" t="s">
        <v>7299</v>
      </c>
      <c r="C4923" s="2" t="s">
        <v>7300</v>
      </c>
      <c r="D4923" s="5" t="s">
        <v>7299</v>
      </c>
      <c r="E4923" s="2" t="s">
        <v>15445</v>
      </c>
      <c r="F4923" s="2" t="s">
        <v>15446</v>
      </c>
      <c r="G4923" s="2" t="s">
        <v>15443</v>
      </c>
      <c r="H4923" s="2" t="s">
        <v>15444</v>
      </c>
    </row>
    <row r="4924">
      <c r="A4924" s="2">
        <v>4922.0</v>
      </c>
      <c r="B4924" s="5" t="s">
        <v>7302</v>
      </c>
      <c r="C4924" s="2" t="s">
        <v>7303</v>
      </c>
      <c r="D4924" s="5" t="s">
        <v>7302</v>
      </c>
      <c r="E4924" s="2" t="s">
        <v>15445</v>
      </c>
      <c r="F4924" s="2" t="s">
        <v>15442</v>
      </c>
      <c r="G4924" s="2" t="s">
        <v>15456</v>
      </c>
      <c r="H4924" s="2" t="s">
        <v>15444</v>
      </c>
    </row>
    <row r="4925">
      <c r="A4925" s="2">
        <v>4923.0</v>
      </c>
      <c r="B4925" s="5" t="s">
        <v>7305</v>
      </c>
      <c r="C4925" s="2" t="s">
        <v>7306</v>
      </c>
      <c r="D4925" s="5" t="s">
        <v>7305</v>
      </c>
      <c r="E4925" s="2" t="s">
        <v>15445</v>
      </c>
      <c r="F4925" s="2" t="s">
        <v>15446</v>
      </c>
      <c r="G4925" s="2" t="s">
        <v>15456</v>
      </c>
      <c r="H4925" s="2" t="s">
        <v>15444</v>
      </c>
    </row>
    <row r="4926">
      <c r="A4926" s="2">
        <v>4924.0</v>
      </c>
      <c r="B4926" s="5" t="s">
        <v>7308</v>
      </c>
      <c r="C4926" s="2" t="s">
        <v>7309</v>
      </c>
      <c r="D4926" s="5" t="s">
        <v>7308</v>
      </c>
      <c r="E4926" s="2" t="s">
        <v>15445</v>
      </c>
      <c r="F4926" s="2" t="s">
        <v>15446</v>
      </c>
      <c r="G4926" s="2" t="s">
        <v>15456</v>
      </c>
      <c r="H4926" s="2" t="s">
        <v>15444</v>
      </c>
    </row>
    <row r="4927">
      <c r="A4927" s="2">
        <v>4925.0</v>
      </c>
      <c r="B4927" s="5" t="s">
        <v>14152</v>
      </c>
      <c r="C4927" s="2" t="s">
        <v>14153</v>
      </c>
      <c r="D4927" s="5" t="s">
        <v>14152</v>
      </c>
      <c r="E4927" s="2" t="s">
        <v>15441</v>
      </c>
      <c r="F4927" s="2" t="s">
        <v>15442</v>
      </c>
      <c r="G4927" s="2" t="s">
        <v>15443</v>
      </c>
      <c r="H4927" s="2" t="s">
        <v>15444</v>
      </c>
    </row>
    <row r="4928">
      <c r="A4928" s="2">
        <v>4926.0</v>
      </c>
      <c r="B4928" s="5" t="s">
        <v>14154</v>
      </c>
      <c r="C4928" s="2" t="s">
        <v>14155</v>
      </c>
      <c r="D4928" s="5" t="s">
        <v>14154</v>
      </c>
      <c r="E4928" s="2" t="s">
        <v>15441</v>
      </c>
      <c r="F4928" s="2" t="s">
        <v>15442</v>
      </c>
      <c r="G4928" s="2" t="s">
        <v>15443</v>
      </c>
      <c r="H4928" s="2" t="s">
        <v>15444</v>
      </c>
    </row>
    <row r="4929">
      <c r="A4929" s="2">
        <v>4927.0</v>
      </c>
      <c r="B4929" s="5" t="s">
        <v>14156</v>
      </c>
      <c r="C4929" s="2" t="s">
        <v>14157</v>
      </c>
      <c r="D4929" s="5" t="s">
        <v>14156</v>
      </c>
      <c r="E4929" s="2" t="s">
        <v>15441</v>
      </c>
      <c r="F4929" s="2" t="s">
        <v>15442</v>
      </c>
      <c r="G4929" s="2" t="s">
        <v>15456</v>
      </c>
      <c r="H4929" s="2" t="s">
        <v>15444</v>
      </c>
    </row>
    <row r="4930">
      <c r="A4930" s="2">
        <v>4928.0</v>
      </c>
      <c r="B4930" s="5" t="s">
        <v>14158</v>
      </c>
      <c r="C4930" s="2" t="s">
        <v>14159</v>
      </c>
      <c r="D4930" s="5" t="s">
        <v>14158</v>
      </c>
      <c r="E4930" s="2" t="s">
        <v>15441</v>
      </c>
      <c r="F4930" s="2" t="s">
        <v>15446</v>
      </c>
      <c r="G4930" s="2" t="s">
        <v>15456</v>
      </c>
      <c r="H4930" s="2" t="s">
        <v>15457</v>
      </c>
    </row>
    <row r="4931">
      <c r="A4931" s="2">
        <v>4929.0</v>
      </c>
      <c r="B4931" s="5" t="s">
        <v>7311</v>
      </c>
      <c r="C4931" s="2" t="s">
        <v>7312</v>
      </c>
      <c r="D4931" s="5" t="s">
        <v>7311</v>
      </c>
      <c r="E4931" s="2" t="s">
        <v>15445</v>
      </c>
      <c r="F4931" s="2" t="s">
        <v>15442</v>
      </c>
      <c r="G4931" s="2" t="s">
        <v>15456</v>
      </c>
      <c r="H4931" s="2" t="s">
        <v>15444</v>
      </c>
    </row>
    <row r="4932">
      <c r="A4932" s="2">
        <v>4930.0</v>
      </c>
      <c r="B4932" s="5" t="s">
        <v>14160</v>
      </c>
      <c r="C4932" s="2" t="s">
        <v>14161</v>
      </c>
      <c r="D4932" s="5" t="s">
        <v>14160</v>
      </c>
      <c r="E4932" s="2" t="s">
        <v>15441</v>
      </c>
      <c r="F4932" s="2" t="s">
        <v>15442</v>
      </c>
      <c r="G4932" s="2" t="s">
        <v>15443</v>
      </c>
      <c r="H4932" s="2" t="s">
        <v>15444</v>
      </c>
    </row>
    <row r="4933">
      <c r="A4933" s="2">
        <v>4931.0</v>
      </c>
      <c r="B4933" s="5" t="s">
        <v>14162</v>
      </c>
      <c r="C4933" s="2" t="s">
        <v>14163</v>
      </c>
      <c r="D4933" s="5" t="s">
        <v>14162</v>
      </c>
      <c r="E4933" s="2" t="s">
        <v>15441</v>
      </c>
      <c r="F4933" s="2" t="s">
        <v>15446</v>
      </c>
      <c r="G4933" s="2" t="s">
        <v>15456</v>
      </c>
      <c r="H4933" s="2" t="s">
        <v>15444</v>
      </c>
    </row>
    <row r="4934">
      <c r="A4934" s="2">
        <v>4932.0</v>
      </c>
      <c r="B4934" s="5" t="s">
        <v>7314</v>
      </c>
      <c r="C4934" s="2" t="s">
        <v>7315</v>
      </c>
      <c r="D4934" s="5" t="s">
        <v>7314</v>
      </c>
      <c r="E4934" s="2" t="s">
        <v>15445</v>
      </c>
      <c r="F4934" s="2" t="s">
        <v>15442</v>
      </c>
      <c r="G4934" s="2" t="s">
        <v>15443</v>
      </c>
      <c r="H4934" s="2" t="s">
        <v>15444</v>
      </c>
    </row>
    <row r="4935">
      <c r="A4935" s="2">
        <v>4933.0</v>
      </c>
      <c r="B4935" s="5" t="s">
        <v>7317</v>
      </c>
      <c r="C4935" s="2" t="s">
        <v>7318</v>
      </c>
      <c r="D4935" s="5" t="s">
        <v>7317</v>
      </c>
      <c r="E4935" s="2" t="s">
        <v>15445</v>
      </c>
      <c r="F4935" s="2" t="s">
        <v>15446</v>
      </c>
      <c r="G4935" s="2" t="s">
        <v>15456</v>
      </c>
      <c r="H4935" s="2" t="s">
        <v>15444</v>
      </c>
    </row>
    <row r="4936">
      <c r="A4936" s="2">
        <v>4934.0</v>
      </c>
      <c r="B4936" s="5" t="s">
        <v>7320</v>
      </c>
      <c r="C4936" s="2" t="s">
        <v>7321</v>
      </c>
      <c r="D4936" s="5" t="s">
        <v>7320</v>
      </c>
      <c r="E4936" s="2" t="s">
        <v>15445</v>
      </c>
      <c r="F4936" s="2" t="s">
        <v>15446</v>
      </c>
      <c r="G4936" s="2" t="s">
        <v>15456</v>
      </c>
      <c r="H4936" s="2" t="s">
        <v>15444</v>
      </c>
    </row>
    <row r="4937">
      <c r="A4937" s="2">
        <v>4935.0</v>
      </c>
      <c r="B4937" s="5" t="s">
        <v>14164</v>
      </c>
      <c r="C4937" s="2" t="s">
        <v>14165</v>
      </c>
      <c r="D4937" s="5" t="s">
        <v>14164</v>
      </c>
      <c r="E4937" s="2" t="s">
        <v>15441</v>
      </c>
      <c r="F4937" s="2" t="s">
        <v>15446</v>
      </c>
      <c r="G4937" s="2" t="s">
        <v>15443</v>
      </c>
      <c r="H4937" s="2" t="s">
        <v>15444</v>
      </c>
    </row>
    <row r="4938">
      <c r="A4938" s="2">
        <v>4936.0</v>
      </c>
      <c r="B4938" s="5" t="s">
        <v>14166</v>
      </c>
      <c r="C4938" s="2" t="s">
        <v>14167</v>
      </c>
      <c r="D4938" s="5" t="s">
        <v>14166</v>
      </c>
      <c r="E4938" s="2" t="s">
        <v>15441</v>
      </c>
      <c r="F4938" s="2" t="s">
        <v>15442</v>
      </c>
      <c r="G4938" s="2" t="s">
        <v>15456</v>
      </c>
      <c r="H4938" s="2" t="s">
        <v>15444</v>
      </c>
    </row>
    <row r="4939">
      <c r="A4939" s="2">
        <v>4937.0</v>
      </c>
      <c r="B4939" s="5" t="s">
        <v>7323</v>
      </c>
      <c r="C4939" s="2" t="s">
        <v>7324</v>
      </c>
      <c r="D4939" s="5" t="s">
        <v>7323</v>
      </c>
      <c r="E4939" s="2" t="s">
        <v>15445</v>
      </c>
      <c r="F4939" s="2" t="s">
        <v>15442</v>
      </c>
      <c r="G4939" s="2" t="s">
        <v>15456</v>
      </c>
      <c r="H4939" s="2" t="s">
        <v>15444</v>
      </c>
    </row>
    <row r="4940">
      <c r="A4940" s="2">
        <v>4938.0</v>
      </c>
      <c r="B4940" s="5" t="s">
        <v>14168</v>
      </c>
      <c r="C4940" s="2" t="s">
        <v>14169</v>
      </c>
      <c r="D4940" s="5" t="s">
        <v>14168</v>
      </c>
      <c r="E4940" s="2" t="s">
        <v>15441</v>
      </c>
      <c r="F4940" s="2" t="s">
        <v>15446</v>
      </c>
      <c r="G4940" s="2" t="s">
        <v>15456</v>
      </c>
      <c r="H4940" s="2" t="s">
        <v>15444</v>
      </c>
    </row>
    <row r="4941">
      <c r="A4941" s="2">
        <v>4939.0</v>
      </c>
      <c r="B4941" s="5" t="s">
        <v>14170</v>
      </c>
      <c r="C4941" s="2" t="s">
        <v>14171</v>
      </c>
      <c r="D4941" s="5" t="s">
        <v>14170</v>
      </c>
      <c r="E4941" s="2" t="s">
        <v>15441</v>
      </c>
      <c r="F4941" s="2" t="s">
        <v>15442</v>
      </c>
      <c r="G4941" s="2" t="s">
        <v>15443</v>
      </c>
      <c r="H4941" s="2" t="s">
        <v>15444</v>
      </c>
    </row>
    <row r="4942">
      <c r="A4942" s="2">
        <v>4940.0</v>
      </c>
      <c r="B4942" s="5" t="s">
        <v>14172</v>
      </c>
      <c r="C4942" s="2" t="s">
        <v>14173</v>
      </c>
      <c r="D4942" s="5" t="s">
        <v>14172</v>
      </c>
      <c r="E4942" s="2" t="s">
        <v>15441</v>
      </c>
      <c r="F4942" s="2" t="s">
        <v>15442</v>
      </c>
      <c r="G4942" s="2" t="s">
        <v>15443</v>
      </c>
      <c r="H4942" s="2" t="s">
        <v>15444</v>
      </c>
    </row>
    <row r="4943">
      <c r="A4943" s="2">
        <v>4941.0</v>
      </c>
      <c r="B4943" s="5" t="s">
        <v>7326</v>
      </c>
      <c r="C4943" s="2" t="s">
        <v>7327</v>
      </c>
      <c r="D4943" s="5" t="s">
        <v>7326</v>
      </c>
      <c r="E4943" s="2" t="s">
        <v>15445</v>
      </c>
      <c r="F4943" s="2" t="s">
        <v>15442</v>
      </c>
      <c r="G4943" s="2" t="s">
        <v>15443</v>
      </c>
      <c r="H4943" s="2" t="s">
        <v>15444</v>
      </c>
    </row>
    <row r="4944">
      <c r="A4944" s="2">
        <v>4942.0</v>
      </c>
      <c r="B4944" s="5" t="s">
        <v>7329</v>
      </c>
      <c r="C4944" s="2" t="s">
        <v>7330</v>
      </c>
      <c r="D4944" s="5" t="s">
        <v>7329</v>
      </c>
      <c r="E4944" s="2" t="s">
        <v>15445</v>
      </c>
      <c r="F4944" s="2" t="s">
        <v>15442</v>
      </c>
      <c r="G4944" s="2" t="s">
        <v>15443</v>
      </c>
      <c r="H4944" s="2" t="s">
        <v>15455</v>
      </c>
    </row>
    <row r="4945">
      <c r="A4945" s="2">
        <v>4943.0</v>
      </c>
      <c r="B4945" s="5" t="s">
        <v>14174</v>
      </c>
      <c r="C4945" s="2" t="s">
        <v>14175</v>
      </c>
      <c r="D4945" s="5" t="s">
        <v>14174</v>
      </c>
      <c r="E4945" s="2" t="s">
        <v>15441</v>
      </c>
      <c r="F4945" s="2" t="s">
        <v>15442</v>
      </c>
      <c r="G4945" s="2" t="s">
        <v>15456</v>
      </c>
      <c r="H4945" s="2" t="s">
        <v>15444</v>
      </c>
    </row>
    <row r="4946">
      <c r="A4946" s="2">
        <v>4944.0</v>
      </c>
      <c r="B4946" s="5" t="s">
        <v>14176</v>
      </c>
      <c r="C4946" s="2" t="s">
        <v>14177</v>
      </c>
      <c r="D4946" s="5" t="s">
        <v>14176</v>
      </c>
      <c r="E4946" s="2" t="s">
        <v>15441</v>
      </c>
      <c r="F4946" s="2" t="s">
        <v>15446</v>
      </c>
      <c r="G4946" s="2" t="s">
        <v>15443</v>
      </c>
      <c r="H4946" s="2" t="s">
        <v>15444</v>
      </c>
    </row>
    <row r="4947">
      <c r="A4947" s="2">
        <v>4945.0</v>
      </c>
      <c r="B4947" s="5" t="s">
        <v>14178</v>
      </c>
      <c r="C4947" s="2" t="s">
        <v>14179</v>
      </c>
      <c r="D4947" s="5" t="s">
        <v>14178</v>
      </c>
      <c r="E4947" s="2" t="s">
        <v>15441</v>
      </c>
      <c r="F4947" s="2" t="s">
        <v>15446</v>
      </c>
      <c r="G4947" s="2" t="s">
        <v>15456</v>
      </c>
      <c r="H4947" s="2" t="s">
        <v>15444</v>
      </c>
    </row>
    <row r="4948">
      <c r="A4948" s="2">
        <v>4946.0</v>
      </c>
      <c r="B4948" s="5" t="s">
        <v>14180</v>
      </c>
      <c r="C4948" s="2" t="s">
        <v>14181</v>
      </c>
      <c r="D4948" s="5" t="s">
        <v>14180</v>
      </c>
      <c r="E4948" s="2" t="s">
        <v>15441</v>
      </c>
      <c r="F4948" s="2" t="s">
        <v>15446</v>
      </c>
      <c r="G4948" s="2" t="s">
        <v>15456</v>
      </c>
      <c r="H4948" s="2" t="s">
        <v>15461</v>
      </c>
    </row>
    <row r="4949">
      <c r="A4949" s="2">
        <v>4947.0</v>
      </c>
      <c r="B4949" s="5" t="s">
        <v>14182</v>
      </c>
      <c r="C4949" s="2" t="s">
        <v>14183</v>
      </c>
      <c r="D4949" s="5" t="s">
        <v>14182</v>
      </c>
      <c r="E4949" s="2" t="s">
        <v>15441</v>
      </c>
      <c r="F4949" s="2" t="s">
        <v>15442</v>
      </c>
      <c r="G4949" s="2" t="s">
        <v>15443</v>
      </c>
      <c r="H4949" s="2" t="s">
        <v>15455</v>
      </c>
    </row>
    <row r="4950">
      <c r="A4950" s="2">
        <v>4948.0</v>
      </c>
      <c r="B4950" s="5" t="s">
        <v>14184</v>
      </c>
      <c r="C4950" s="2" t="s">
        <v>14185</v>
      </c>
      <c r="D4950" s="5" t="s">
        <v>14184</v>
      </c>
      <c r="E4950" s="2" t="s">
        <v>15441</v>
      </c>
      <c r="F4950" s="2" t="s">
        <v>15446</v>
      </c>
      <c r="G4950" s="2" t="s">
        <v>15443</v>
      </c>
      <c r="H4950" s="2" t="s">
        <v>15457</v>
      </c>
    </row>
    <row r="4951">
      <c r="A4951" s="2">
        <v>4949.0</v>
      </c>
      <c r="B4951" s="5" t="s">
        <v>15589</v>
      </c>
      <c r="C4951" s="2" t="s">
        <v>15590</v>
      </c>
      <c r="D4951" s="5" t="s">
        <v>15589</v>
      </c>
      <c r="E4951" s="2" t="s">
        <v>15445</v>
      </c>
      <c r="F4951" s="2" t="s">
        <v>15446</v>
      </c>
      <c r="G4951" s="2" t="s">
        <v>15443</v>
      </c>
      <c r="H4951" s="2" t="s">
        <v>15455</v>
      </c>
    </row>
    <row r="4952">
      <c r="A4952" s="2">
        <v>4950.0</v>
      </c>
      <c r="B4952" s="5" t="s">
        <v>14186</v>
      </c>
      <c r="C4952" s="2" t="s">
        <v>14187</v>
      </c>
      <c r="D4952" s="5" t="s">
        <v>14186</v>
      </c>
      <c r="E4952" s="2" t="s">
        <v>15441</v>
      </c>
      <c r="F4952" s="2" t="s">
        <v>15442</v>
      </c>
      <c r="G4952" s="2" t="s">
        <v>15443</v>
      </c>
      <c r="H4952" s="2" t="s">
        <v>15444</v>
      </c>
    </row>
    <row r="4953">
      <c r="A4953" s="2">
        <v>4951.0</v>
      </c>
      <c r="B4953" s="5" t="s">
        <v>7332</v>
      </c>
      <c r="C4953" s="2" t="s">
        <v>7333</v>
      </c>
      <c r="D4953" s="5" t="s">
        <v>7332</v>
      </c>
      <c r="E4953" s="2" t="s">
        <v>15445</v>
      </c>
      <c r="F4953" s="2" t="s">
        <v>15446</v>
      </c>
      <c r="G4953" s="2" t="s">
        <v>15456</v>
      </c>
      <c r="H4953" s="2" t="s">
        <v>15444</v>
      </c>
    </row>
    <row r="4954">
      <c r="A4954" s="2">
        <v>4952.0</v>
      </c>
      <c r="B4954" s="5" t="s">
        <v>14188</v>
      </c>
      <c r="C4954" s="2" t="s">
        <v>14189</v>
      </c>
      <c r="D4954" s="5" t="s">
        <v>14188</v>
      </c>
      <c r="E4954" s="2" t="s">
        <v>15441</v>
      </c>
      <c r="F4954" s="2" t="s">
        <v>15442</v>
      </c>
      <c r="G4954" s="2" t="s">
        <v>15456</v>
      </c>
      <c r="H4954" s="2" t="s">
        <v>15444</v>
      </c>
    </row>
    <row r="4955">
      <c r="A4955" s="2">
        <v>4953.0</v>
      </c>
      <c r="B4955" s="5" t="s">
        <v>7335</v>
      </c>
      <c r="C4955" s="2" t="s">
        <v>7336</v>
      </c>
      <c r="D4955" s="5" t="s">
        <v>7335</v>
      </c>
      <c r="E4955" s="2" t="s">
        <v>15445</v>
      </c>
      <c r="F4955" s="2" t="s">
        <v>15446</v>
      </c>
      <c r="G4955" s="2" t="s">
        <v>15456</v>
      </c>
      <c r="H4955" s="2" t="s">
        <v>15444</v>
      </c>
    </row>
    <row r="4956">
      <c r="A4956" s="2">
        <v>4954.0</v>
      </c>
      <c r="B4956" s="5" t="s">
        <v>7338</v>
      </c>
      <c r="C4956" s="2" t="s">
        <v>7339</v>
      </c>
      <c r="D4956" s="5" t="s">
        <v>7338</v>
      </c>
      <c r="E4956" s="2" t="s">
        <v>15445</v>
      </c>
      <c r="F4956" s="2" t="s">
        <v>15442</v>
      </c>
      <c r="G4956" s="2" t="s">
        <v>15456</v>
      </c>
      <c r="H4956" s="2" t="s">
        <v>15444</v>
      </c>
    </row>
    <row r="4957">
      <c r="A4957" s="2">
        <v>4955.0</v>
      </c>
      <c r="B4957" s="5" t="s">
        <v>7341</v>
      </c>
      <c r="C4957" s="2" t="s">
        <v>7342</v>
      </c>
      <c r="D4957" s="5" t="s">
        <v>7341</v>
      </c>
      <c r="E4957" s="2" t="s">
        <v>15445</v>
      </c>
      <c r="F4957" s="2" t="s">
        <v>15442</v>
      </c>
      <c r="G4957" s="2" t="s">
        <v>15443</v>
      </c>
      <c r="H4957" s="2" t="s">
        <v>15444</v>
      </c>
    </row>
    <row r="4958">
      <c r="A4958" s="2">
        <v>4956.0</v>
      </c>
      <c r="B4958" s="5" t="s">
        <v>7344</v>
      </c>
      <c r="C4958" s="2" t="s">
        <v>7345</v>
      </c>
      <c r="D4958" s="5" t="s">
        <v>7344</v>
      </c>
      <c r="E4958" s="2" t="s">
        <v>15445</v>
      </c>
      <c r="F4958" s="2" t="s">
        <v>15442</v>
      </c>
      <c r="G4958" s="2" t="s">
        <v>15443</v>
      </c>
      <c r="H4958" s="2" t="s">
        <v>15444</v>
      </c>
    </row>
    <row r="4959">
      <c r="A4959" s="2">
        <v>4957.0</v>
      </c>
      <c r="B4959" s="5" t="s">
        <v>14190</v>
      </c>
      <c r="C4959" s="2" t="s">
        <v>14191</v>
      </c>
      <c r="D4959" s="5" t="s">
        <v>14190</v>
      </c>
      <c r="E4959" s="2" t="s">
        <v>15441</v>
      </c>
      <c r="F4959" s="2" t="s">
        <v>15442</v>
      </c>
      <c r="G4959" s="2" t="s">
        <v>15456</v>
      </c>
      <c r="H4959" s="2" t="s">
        <v>15444</v>
      </c>
    </row>
    <row r="4960">
      <c r="A4960" s="2">
        <v>4958.0</v>
      </c>
      <c r="B4960" s="5" t="s">
        <v>7347</v>
      </c>
      <c r="C4960" s="2" t="s">
        <v>7348</v>
      </c>
      <c r="D4960" s="5" t="s">
        <v>7347</v>
      </c>
      <c r="E4960" s="2" t="s">
        <v>15445</v>
      </c>
      <c r="F4960" s="2" t="s">
        <v>15442</v>
      </c>
      <c r="G4960" s="2" t="s">
        <v>15443</v>
      </c>
      <c r="H4960" s="2" t="s">
        <v>15444</v>
      </c>
    </row>
    <row r="4961">
      <c r="A4961" s="2">
        <v>4959.0</v>
      </c>
      <c r="B4961" s="5" t="s">
        <v>14192</v>
      </c>
      <c r="C4961" s="2" t="s">
        <v>14193</v>
      </c>
      <c r="D4961" s="5" t="s">
        <v>14192</v>
      </c>
      <c r="E4961" s="2" t="s">
        <v>15441</v>
      </c>
      <c r="F4961" s="2" t="s">
        <v>15442</v>
      </c>
      <c r="G4961" s="2" t="s">
        <v>15443</v>
      </c>
      <c r="H4961" s="2" t="s">
        <v>15444</v>
      </c>
    </row>
    <row r="4962">
      <c r="A4962" s="2">
        <v>4960.0</v>
      </c>
      <c r="B4962" s="5" t="s">
        <v>7350</v>
      </c>
      <c r="C4962" s="2" t="s">
        <v>7351</v>
      </c>
      <c r="D4962" s="5" t="s">
        <v>7350</v>
      </c>
      <c r="E4962" s="2" t="s">
        <v>15445</v>
      </c>
      <c r="F4962" s="2" t="s">
        <v>15442</v>
      </c>
      <c r="G4962" s="2" t="s">
        <v>15443</v>
      </c>
      <c r="H4962" s="2" t="s">
        <v>15444</v>
      </c>
    </row>
    <row r="4963">
      <c r="A4963" s="2">
        <v>4961.0</v>
      </c>
      <c r="B4963" s="5" t="s">
        <v>14194</v>
      </c>
      <c r="C4963" s="2" t="s">
        <v>14195</v>
      </c>
      <c r="D4963" s="5" t="s">
        <v>14194</v>
      </c>
      <c r="E4963" s="2" t="s">
        <v>15441</v>
      </c>
      <c r="F4963" s="2" t="s">
        <v>15446</v>
      </c>
      <c r="G4963" s="2" t="s">
        <v>15443</v>
      </c>
      <c r="H4963" s="2" t="s">
        <v>15444</v>
      </c>
    </row>
    <row r="4964">
      <c r="A4964" s="2">
        <v>4962.0</v>
      </c>
      <c r="B4964" s="5" t="s">
        <v>14196</v>
      </c>
      <c r="C4964" s="2" t="s">
        <v>14197</v>
      </c>
      <c r="D4964" s="5" t="s">
        <v>14196</v>
      </c>
      <c r="E4964" s="2" t="s">
        <v>15441</v>
      </c>
      <c r="F4964" s="2" t="s">
        <v>15442</v>
      </c>
      <c r="G4964" s="2" t="s">
        <v>15456</v>
      </c>
      <c r="H4964" s="2" t="s">
        <v>15457</v>
      </c>
    </row>
    <row r="4965">
      <c r="A4965" s="2">
        <v>4963.0</v>
      </c>
      <c r="B4965" s="5" t="s">
        <v>7353</v>
      </c>
      <c r="C4965" s="2" t="s">
        <v>7354</v>
      </c>
      <c r="D4965" s="5" t="s">
        <v>7353</v>
      </c>
      <c r="E4965" s="2" t="s">
        <v>15445</v>
      </c>
      <c r="F4965" s="2" t="s">
        <v>15446</v>
      </c>
      <c r="G4965" s="2" t="s">
        <v>15443</v>
      </c>
      <c r="H4965" s="2" t="s">
        <v>15444</v>
      </c>
    </row>
    <row r="4966">
      <c r="A4966" s="2">
        <v>4964.0</v>
      </c>
      <c r="B4966" s="5" t="s">
        <v>14198</v>
      </c>
      <c r="C4966" s="2" t="s">
        <v>14199</v>
      </c>
      <c r="D4966" s="5" t="s">
        <v>14198</v>
      </c>
      <c r="E4966" s="2" t="s">
        <v>15441</v>
      </c>
      <c r="F4966" s="2" t="s">
        <v>15446</v>
      </c>
      <c r="G4966" s="2" t="s">
        <v>15456</v>
      </c>
      <c r="H4966" s="2" t="s">
        <v>15444</v>
      </c>
    </row>
    <row r="4967">
      <c r="A4967" s="2">
        <v>4965.0</v>
      </c>
      <c r="B4967" s="5" t="s">
        <v>7356</v>
      </c>
      <c r="C4967" s="2" t="s">
        <v>7357</v>
      </c>
      <c r="D4967" s="5" t="s">
        <v>7356</v>
      </c>
      <c r="E4967" s="2" t="s">
        <v>15445</v>
      </c>
      <c r="F4967" s="2" t="s">
        <v>15446</v>
      </c>
      <c r="G4967" s="2" t="s">
        <v>15456</v>
      </c>
      <c r="H4967" s="2" t="s">
        <v>15444</v>
      </c>
    </row>
    <row r="4968">
      <c r="A4968" s="2">
        <v>4966.0</v>
      </c>
      <c r="B4968" s="5" t="s">
        <v>14200</v>
      </c>
      <c r="C4968" s="2" t="s">
        <v>14201</v>
      </c>
      <c r="D4968" s="5" t="s">
        <v>14200</v>
      </c>
      <c r="E4968" s="2" t="s">
        <v>15441</v>
      </c>
      <c r="F4968" s="2" t="s">
        <v>15446</v>
      </c>
      <c r="G4968" s="2" t="s">
        <v>15443</v>
      </c>
      <c r="H4968" s="2" t="s">
        <v>15444</v>
      </c>
    </row>
    <row r="4969">
      <c r="A4969" s="2">
        <v>4967.0</v>
      </c>
      <c r="B4969" s="5" t="s">
        <v>14202</v>
      </c>
      <c r="C4969" s="2" t="s">
        <v>14203</v>
      </c>
      <c r="D4969" s="5" t="s">
        <v>14202</v>
      </c>
      <c r="E4969" s="2" t="s">
        <v>15441</v>
      </c>
      <c r="F4969" s="2" t="s">
        <v>15446</v>
      </c>
      <c r="G4969" s="2" t="s">
        <v>15443</v>
      </c>
      <c r="H4969" s="2" t="s">
        <v>15444</v>
      </c>
    </row>
    <row r="4970">
      <c r="A4970" s="2">
        <v>4968.0</v>
      </c>
      <c r="B4970" s="5" t="s">
        <v>14204</v>
      </c>
      <c r="C4970" s="2" t="s">
        <v>14205</v>
      </c>
      <c r="D4970" s="5" t="s">
        <v>14204</v>
      </c>
      <c r="E4970" s="2" t="s">
        <v>15441</v>
      </c>
      <c r="F4970" s="2" t="s">
        <v>15442</v>
      </c>
      <c r="G4970" s="2" t="s">
        <v>15443</v>
      </c>
      <c r="H4970" s="2" t="s">
        <v>15444</v>
      </c>
    </row>
    <row r="4971">
      <c r="A4971" s="2">
        <v>4969.0</v>
      </c>
      <c r="B4971" s="5" t="s">
        <v>7359</v>
      </c>
      <c r="C4971" s="2" t="s">
        <v>7360</v>
      </c>
      <c r="D4971" s="5" t="s">
        <v>7359</v>
      </c>
      <c r="E4971" s="2" t="s">
        <v>15445</v>
      </c>
      <c r="F4971" s="2" t="s">
        <v>15446</v>
      </c>
      <c r="G4971" s="2" t="s">
        <v>15456</v>
      </c>
      <c r="H4971" s="2" t="s">
        <v>15444</v>
      </c>
    </row>
    <row r="4972">
      <c r="A4972" s="2">
        <v>4970.0</v>
      </c>
      <c r="B4972" s="5" t="s">
        <v>7362</v>
      </c>
      <c r="C4972" s="2" t="s">
        <v>7363</v>
      </c>
      <c r="D4972" s="5" t="s">
        <v>7362</v>
      </c>
      <c r="E4972" s="2" t="s">
        <v>15445</v>
      </c>
      <c r="F4972" s="2" t="s">
        <v>15442</v>
      </c>
      <c r="G4972" s="2" t="s">
        <v>15443</v>
      </c>
      <c r="H4972" s="2" t="s">
        <v>15455</v>
      </c>
    </row>
    <row r="4973">
      <c r="A4973" s="2">
        <v>4971.0</v>
      </c>
      <c r="B4973" s="5" t="s">
        <v>14206</v>
      </c>
      <c r="C4973" s="2" t="s">
        <v>14207</v>
      </c>
      <c r="D4973" s="5" t="s">
        <v>14206</v>
      </c>
      <c r="E4973" s="2" t="s">
        <v>15441</v>
      </c>
      <c r="F4973" s="2" t="s">
        <v>15442</v>
      </c>
      <c r="G4973" s="2" t="s">
        <v>15456</v>
      </c>
      <c r="H4973" s="2" t="s">
        <v>15444</v>
      </c>
    </row>
    <row r="4974">
      <c r="A4974" s="2">
        <v>4972.0</v>
      </c>
      <c r="B4974" s="5" t="s">
        <v>14208</v>
      </c>
      <c r="C4974" s="2" t="s">
        <v>14209</v>
      </c>
      <c r="D4974" s="5" t="s">
        <v>14208</v>
      </c>
      <c r="E4974" s="2" t="s">
        <v>15441</v>
      </c>
      <c r="F4974" s="2" t="s">
        <v>15442</v>
      </c>
      <c r="G4974" s="2" t="s">
        <v>15443</v>
      </c>
      <c r="H4974" s="2" t="s">
        <v>15444</v>
      </c>
    </row>
    <row r="4975">
      <c r="A4975" s="2">
        <v>4973.0</v>
      </c>
      <c r="B4975" s="5" t="s">
        <v>14210</v>
      </c>
      <c r="C4975" s="2" t="s">
        <v>14211</v>
      </c>
      <c r="D4975" s="5" t="s">
        <v>14210</v>
      </c>
      <c r="E4975" s="2" t="s">
        <v>15441</v>
      </c>
      <c r="F4975" s="2" t="s">
        <v>15446</v>
      </c>
      <c r="G4975" s="2" t="s">
        <v>15456</v>
      </c>
      <c r="H4975" s="2" t="s">
        <v>15444</v>
      </c>
    </row>
    <row r="4976">
      <c r="A4976" s="2">
        <v>4974.0</v>
      </c>
      <c r="B4976" s="5" t="s">
        <v>7365</v>
      </c>
      <c r="C4976" s="2" t="s">
        <v>7366</v>
      </c>
      <c r="D4976" s="5" t="s">
        <v>7365</v>
      </c>
      <c r="E4976" s="2" t="s">
        <v>15445</v>
      </c>
      <c r="F4976" s="2" t="s">
        <v>15446</v>
      </c>
      <c r="G4976" s="2" t="s">
        <v>15456</v>
      </c>
      <c r="H4976" s="2" t="s">
        <v>15444</v>
      </c>
    </row>
    <row r="4977">
      <c r="A4977" s="2">
        <v>4975.0</v>
      </c>
      <c r="B4977" s="5" t="s">
        <v>7368</v>
      </c>
      <c r="C4977" s="2" t="s">
        <v>7369</v>
      </c>
      <c r="D4977" s="5" t="s">
        <v>7368</v>
      </c>
      <c r="E4977" s="2" t="s">
        <v>15445</v>
      </c>
      <c r="F4977" s="2" t="s">
        <v>15442</v>
      </c>
      <c r="G4977" s="2" t="s">
        <v>15443</v>
      </c>
      <c r="H4977" s="2" t="s">
        <v>15444</v>
      </c>
    </row>
    <row r="4978">
      <c r="A4978" s="2">
        <v>4976.0</v>
      </c>
      <c r="B4978" s="5" t="s">
        <v>14212</v>
      </c>
      <c r="C4978" s="2" t="s">
        <v>14213</v>
      </c>
      <c r="D4978" s="5" t="s">
        <v>14212</v>
      </c>
      <c r="E4978" s="2" t="s">
        <v>15441</v>
      </c>
      <c r="F4978" s="2" t="s">
        <v>15446</v>
      </c>
      <c r="G4978" s="2" t="s">
        <v>15443</v>
      </c>
      <c r="H4978" s="2" t="s">
        <v>15444</v>
      </c>
    </row>
    <row r="4979">
      <c r="A4979" s="2">
        <v>4977.0</v>
      </c>
      <c r="B4979" s="5" t="s">
        <v>7371</v>
      </c>
      <c r="C4979" s="2" t="s">
        <v>7372</v>
      </c>
      <c r="D4979" s="5" t="s">
        <v>7371</v>
      </c>
      <c r="E4979" s="2" t="s">
        <v>15445</v>
      </c>
      <c r="F4979" s="2" t="s">
        <v>15442</v>
      </c>
      <c r="G4979" s="2" t="s">
        <v>15443</v>
      </c>
      <c r="H4979" s="2" t="s">
        <v>15444</v>
      </c>
    </row>
    <row r="4980">
      <c r="A4980" s="2">
        <v>4978.0</v>
      </c>
      <c r="B4980" s="5" t="s">
        <v>14214</v>
      </c>
      <c r="C4980" s="2" t="s">
        <v>14215</v>
      </c>
      <c r="D4980" s="5" t="s">
        <v>14214</v>
      </c>
      <c r="E4980" s="2" t="s">
        <v>15441</v>
      </c>
      <c r="F4980" s="2" t="s">
        <v>15442</v>
      </c>
      <c r="G4980" s="2" t="s">
        <v>15443</v>
      </c>
      <c r="H4980" s="2" t="s">
        <v>15444</v>
      </c>
    </row>
    <row r="4981">
      <c r="A4981" s="2">
        <v>4979.0</v>
      </c>
      <c r="B4981" s="5" t="s">
        <v>7374</v>
      </c>
      <c r="C4981" s="2" t="s">
        <v>7375</v>
      </c>
      <c r="D4981" s="5" t="s">
        <v>7374</v>
      </c>
      <c r="E4981" s="2" t="s">
        <v>15445</v>
      </c>
      <c r="F4981" s="2" t="s">
        <v>15442</v>
      </c>
      <c r="G4981" s="2" t="s">
        <v>15443</v>
      </c>
      <c r="H4981" s="2" t="s">
        <v>15444</v>
      </c>
    </row>
    <row r="4982">
      <c r="A4982" s="2">
        <v>4980.0</v>
      </c>
      <c r="B4982" s="5" t="s">
        <v>14216</v>
      </c>
      <c r="C4982" s="2" t="s">
        <v>14217</v>
      </c>
      <c r="D4982" s="5" t="s">
        <v>14216</v>
      </c>
      <c r="E4982" s="2" t="s">
        <v>15441</v>
      </c>
      <c r="F4982" s="2" t="s">
        <v>15446</v>
      </c>
      <c r="G4982" s="2" t="s">
        <v>15456</v>
      </c>
      <c r="H4982" s="2" t="s">
        <v>15444</v>
      </c>
    </row>
    <row r="4983">
      <c r="A4983" s="2">
        <v>4981.0</v>
      </c>
      <c r="B4983" s="5" t="s">
        <v>14218</v>
      </c>
      <c r="C4983" s="2" t="s">
        <v>14219</v>
      </c>
      <c r="D4983" s="5" t="s">
        <v>14218</v>
      </c>
      <c r="E4983" s="2" t="s">
        <v>15441</v>
      </c>
      <c r="F4983" s="2" t="s">
        <v>15446</v>
      </c>
      <c r="G4983" s="2" t="s">
        <v>15456</v>
      </c>
      <c r="H4983" s="2" t="s">
        <v>15444</v>
      </c>
    </row>
    <row r="4984">
      <c r="A4984" s="2">
        <v>4982.0</v>
      </c>
      <c r="B4984" s="5" t="s">
        <v>14220</v>
      </c>
      <c r="C4984" s="2" t="s">
        <v>14221</v>
      </c>
      <c r="D4984" s="5" t="s">
        <v>14220</v>
      </c>
      <c r="E4984" s="2" t="s">
        <v>15441</v>
      </c>
      <c r="F4984" s="2" t="s">
        <v>15442</v>
      </c>
      <c r="G4984" s="2" t="s">
        <v>15443</v>
      </c>
      <c r="H4984" s="2" t="s">
        <v>15444</v>
      </c>
    </row>
    <row r="4985">
      <c r="A4985" s="2">
        <v>4983.0</v>
      </c>
      <c r="B4985" s="5" t="s">
        <v>7377</v>
      </c>
      <c r="C4985" s="2" t="s">
        <v>7378</v>
      </c>
      <c r="D4985" s="5" t="s">
        <v>7377</v>
      </c>
      <c r="E4985" s="2" t="s">
        <v>15445</v>
      </c>
      <c r="F4985" s="2" t="s">
        <v>15446</v>
      </c>
      <c r="G4985" s="2" t="s">
        <v>15456</v>
      </c>
      <c r="H4985" s="2" t="s">
        <v>15444</v>
      </c>
    </row>
    <row r="4986">
      <c r="A4986" s="2">
        <v>4984.0</v>
      </c>
      <c r="B4986" s="5" t="s">
        <v>7380</v>
      </c>
      <c r="C4986" s="2" t="s">
        <v>7381</v>
      </c>
      <c r="D4986" s="5" t="s">
        <v>7380</v>
      </c>
      <c r="E4986" s="2" t="s">
        <v>15445</v>
      </c>
      <c r="F4986" s="2" t="s">
        <v>15446</v>
      </c>
      <c r="G4986" s="2" t="s">
        <v>15443</v>
      </c>
      <c r="H4986" s="2" t="s">
        <v>15444</v>
      </c>
    </row>
    <row r="4987">
      <c r="A4987" s="2">
        <v>4985.0</v>
      </c>
      <c r="B4987" s="5" t="s">
        <v>14222</v>
      </c>
      <c r="C4987" s="2" t="s">
        <v>14223</v>
      </c>
      <c r="D4987" s="5" t="s">
        <v>14222</v>
      </c>
      <c r="E4987" s="2" t="s">
        <v>15441</v>
      </c>
      <c r="F4987" s="2" t="s">
        <v>15442</v>
      </c>
      <c r="G4987" s="2" t="s">
        <v>15443</v>
      </c>
      <c r="H4987" s="2" t="s">
        <v>15455</v>
      </c>
    </row>
    <row r="4988">
      <c r="A4988" s="2">
        <v>4986.0</v>
      </c>
      <c r="B4988" s="5" t="s">
        <v>7383</v>
      </c>
      <c r="C4988" s="2" t="s">
        <v>7384</v>
      </c>
      <c r="D4988" s="5" t="s">
        <v>7383</v>
      </c>
      <c r="E4988" s="2" t="s">
        <v>15445</v>
      </c>
      <c r="F4988" s="2" t="s">
        <v>15446</v>
      </c>
      <c r="G4988" s="2" t="s">
        <v>15443</v>
      </c>
      <c r="H4988" s="2" t="s">
        <v>15457</v>
      </c>
    </row>
    <row r="4989">
      <c r="A4989" s="2">
        <v>4987.0</v>
      </c>
      <c r="B4989" s="5" t="s">
        <v>7386</v>
      </c>
      <c r="C4989" s="2" t="s">
        <v>7387</v>
      </c>
      <c r="D4989" s="5" t="s">
        <v>7386</v>
      </c>
      <c r="E4989" s="2" t="s">
        <v>15445</v>
      </c>
      <c r="F4989" s="2" t="s">
        <v>15446</v>
      </c>
      <c r="G4989" s="2" t="s">
        <v>15456</v>
      </c>
      <c r="H4989" s="2" t="s">
        <v>15444</v>
      </c>
    </row>
    <row r="4990">
      <c r="A4990" s="2">
        <v>4988.0</v>
      </c>
      <c r="B4990" s="5" t="s">
        <v>14224</v>
      </c>
      <c r="C4990" s="2" t="s">
        <v>14225</v>
      </c>
      <c r="D4990" s="5" t="s">
        <v>14224</v>
      </c>
      <c r="E4990" s="2" t="s">
        <v>15441</v>
      </c>
      <c r="F4990" s="2" t="s">
        <v>15446</v>
      </c>
      <c r="G4990" s="2" t="s">
        <v>15443</v>
      </c>
      <c r="H4990" s="2" t="s">
        <v>15444</v>
      </c>
    </row>
    <row r="4991">
      <c r="A4991" s="2">
        <v>4989.0</v>
      </c>
      <c r="B4991" s="5" t="s">
        <v>14226</v>
      </c>
      <c r="C4991" s="2" t="s">
        <v>14227</v>
      </c>
      <c r="D4991" s="5" t="s">
        <v>14226</v>
      </c>
      <c r="E4991" s="2" t="s">
        <v>15441</v>
      </c>
      <c r="F4991" s="2" t="s">
        <v>15446</v>
      </c>
      <c r="G4991" s="2" t="s">
        <v>15443</v>
      </c>
      <c r="H4991" s="2" t="s">
        <v>15444</v>
      </c>
    </row>
    <row r="4992">
      <c r="A4992" s="2">
        <v>4990.0</v>
      </c>
      <c r="B4992" s="5" t="s">
        <v>7389</v>
      </c>
      <c r="C4992" s="2" t="s">
        <v>7390</v>
      </c>
      <c r="D4992" s="5" t="s">
        <v>7389</v>
      </c>
      <c r="E4992" s="2" t="s">
        <v>15445</v>
      </c>
      <c r="F4992" s="2" t="s">
        <v>15442</v>
      </c>
      <c r="G4992" s="2" t="s">
        <v>15443</v>
      </c>
      <c r="H4992" s="2" t="s">
        <v>15444</v>
      </c>
    </row>
    <row r="4993">
      <c r="A4993" s="2">
        <v>4991.0</v>
      </c>
      <c r="B4993" s="5" t="s">
        <v>7392</v>
      </c>
      <c r="C4993" s="2" t="s">
        <v>7393</v>
      </c>
      <c r="D4993" s="5" t="s">
        <v>7392</v>
      </c>
      <c r="E4993" s="2" t="s">
        <v>15445</v>
      </c>
      <c r="F4993" s="2" t="s">
        <v>15446</v>
      </c>
      <c r="G4993" s="2" t="s">
        <v>15456</v>
      </c>
      <c r="H4993" s="2" t="s">
        <v>15444</v>
      </c>
    </row>
    <row r="4994">
      <c r="A4994" s="2">
        <v>4992.0</v>
      </c>
      <c r="B4994" s="5" t="s">
        <v>14228</v>
      </c>
      <c r="C4994" s="2" t="s">
        <v>14229</v>
      </c>
      <c r="D4994" s="5" t="s">
        <v>14228</v>
      </c>
      <c r="E4994" s="2" t="s">
        <v>15441</v>
      </c>
      <c r="F4994" s="2" t="s">
        <v>15446</v>
      </c>
      <c r="G4994" s="2" t="s">
        <v>15443</v>
      </c>
      <c r="H4994" s="2" t="s">
        <v>15444</v>
      </c>
    </row>
    <row r="4995">
      <c r="A4995" s="2">
        <v>4993.0</v>
      </c>
      <c r="B4995" s="5" t="s">
        <v>14230</v>
      </c>
      <c r="C4995" s="2" t="s">
        <v>14231</v>
      </c>
      <c r="D4995" s="5" t="s">
        <v>14230</v>
      </c>
      <c r="E4995" s="2" t="s">
        <v>15441</v>
      </c>
      <c r="F4995" s="2" t="s">
        <v>15442</v>
      </c>
      <c r="G4995" s="2" t="s">
        <v>15443</v>
      </c>
      <c r="H4995" s="2" t="s">
        <v>15444</v>
      </c>
    </row>
    <row r="4996">
      <c r="A4996" s="2">
        <v>4994.0</v>
      </c>
      <c r="B4996" s="5" t="s">
        <v>14232</v>
      </c>
      <c r="C4996" s="2" t="s">
        <v>14233</v>
      </c>
      <c r="D4996" s="5" t="s">
        <v>14232</v>
      </c>
      <c r="E4996" s="2" t="s">
        <v>15441</v>
      </c>
      <c r="F4996" s="2" t="s">
        <v>15446</v>
      </c>
      <c r="G4996" s="2" t="s">
        <v>15456</v>
      </c>
      <c r="H4996" s="2" t="s">
        <v>15444</v>
      </c>
    </row>
    <row r="4997">
      <c r="A4997" s="2">
        <v>4995.0</v>
      </c>
      <c r="B4997" s="5" t="s">
        <v>7395</v>
      </c>
      <c r="C4997" s="2" t="s">
        <v>7396</v>
      </c>
      <c r="D4997" s="5" t="s">
        <v>7395</v>
      </c>
      <c r="E4997" s="2" t="s">
        <v>15445</v>
      </c>
      <c r="F4997" s="2" t="s">
        <v>15446</v>
      </c>
      <c r="G4997" s="2" t="s">
        <v>15456</v>
      </c>
      <c r="H4997" s="2" t="s">
        <v>15455</v>
      </c>
    </row>
    <row r="4998">
      <c r="A4998" s="2">
        <v>4996.0</v>
      </c>
      <c r="B4998" s="5" t="s">
        <v>7398</v>
      </c>
      <c r="C4998" s="2" t="s">
        <v>7399</v>
      </c>
      <c r="D4998" s="5" t="s">
        <v>7398</v>
      </c>
      <c r="E4998" s="2" t="s">
        <v>15445</v>
      </c>
      <c r="F4998" s="2" t="s">
        <v>15446</v>
      </c>
      <c r="G4998" s="2" t="s">
        <v>15443</v>
      </c>
      <c r="H4998" s="2" t="s">
        <v>15444</v>
      </c>
    </row>
    <row r="4999">
      <c r="A4999" s="2">
        <v>4997.0</v>
      </c>
      <c r="B4999" s="5" t="s">
        <v>14234</v>
      </c>
      <c r="C4999" s="2" t="s">
        <v>14235</v>
      </c>
      <c r="D4999" s="5" t="s">
        <v>14234</v>
      </c>
      <c r="E4999" s="2" t="s">
        <v>15441</v>
      </c>
      <c r="F4999" s="2" t="s">
        <v>15446</v>
      </c>
      <c r="G4999" s="2" t="s">
        <v>15456</v>
      </c>
      <c r="H4999" s="2" t="s">
        <v>15444</v>
      </c>
    </row>
    <row r="5000">
      <c r="A5000" s="2">
        <v>4998.0</v>
      </c>
      <c r="B5000" s="5" t="s">
        <v>15591</v>
      </c>
      <c r="D5000" s="5" t="s">
        <v>15591</v>
      </c>
      <c r="E5000" s="2" t="s">
        <v>15445</v>
      </c>
      <c r="F5000" s="2" t="s">
        <v>15442</v>
      </c>
      <c r="G5000" s="2" t="s">
        <v>15443</v>
      </c>
      <c r="H5000" s="2" t="s">
        <v>15444</v>
      </c>
    </row>
    <row r="5001">
      <c r="A5001" s="2">
        <v>4999.0</v>
      </c>
      <c r="B5001" s="5" t="s">
        <v>7401</v>
      </c>
      <c r="C5001" s="2" t="s">
        <v>7402</v>
      </c>
      <c r="D5001" s="5" t="s">
        <v>7401</v>
      </c>
      <c r="E5001" s="2" t="s">
        <v>15445</v>
      </c>
      <c r="F5001" s="2" t="s">
        <v>15446</v>
      </c>
      <c r="G5001" s="2" t="s">
        <v>15443</v>
      </c>
      <c r="H5001" s="2" t="s">
        <v>15444</v>
      </c>
    </row>
    <row r="5002">
      <c r="A5002" s="2">
        <v>5000.0</v>
      </c>
      <c r="B5002" s="5" t="s">
        <v>14236</v>
      </c>
      <c r="C5002" s="2" t="s">
        <v>14237</v>
      </c>
      <c r="D5002" s="5" t="s">
        <v>14236</v>
      </c>
      <c r="E5002" s="2" t="s">
        <v>15441</v>
      </c>
      <c r="F5002" s="2" t="s">
        <v>15446</v>
      </c>
      <c r="G5002" s="2" t="s">
        <v>15456</v>
      </c>
      <c r="H5002" s="2" t="s">
        <v>15444</v>
      </c>
    </row>
    <row r="5003">
      <c r="A5003" s="2">
        <v>5001.0</v>
      </c>
      <c r="B5003" s="5" t="s">
        <v>7404</v>
      </c>
      <c r="C5003" s="2" t="s">
        <v>7405</v>
      </c>
      <c r="D5003" s="5" t="s">
        <v>7404</v>
      </c>
      <c r="E5003" s="2" t="s">
        <v>15445</v>
      </c>
      <c r="F5003" s="2" t="s">
        <v>15442</v>
      </c>
      <c r="G5003" s="2" t="s">
        <v>15443</v>
      </c>
      <c r="H5003" s="2" t="s">
        <v>15444</v>
      </c>
    </row>
    <row r="5004">
      <c r="A5004" s="2">
        <v>5002.0</v>
      </c>
      <c r="B5004" s="5" t="s">
        <v>7407</v>
      </c>
      <c r="C5004" s="2" t="s">
        <v>7408</v>
      </c>
      <c r="D5004" s="5" t="s">
        <v>7407</v>
      </c>
      <c r="E5004" s="2" t="s">
        <v>15445</v>
      </c>
      <c r="F5004" s="2" t="s">
        <v>15446</v>
      </c>
      <c r="G5004" s="2" t="s">
        <v>15456</v>
      </c>
      <c r="H5004" s="2" t="s">
        <v>15444</v>
      </c>
    </row>
    <row r="5005">
      <c r="A5005" s="2">
        <v>5003.0</v>
      </c>
      <c r="B5005" s="5" t="s">
        <v>14238</v>
      </c>
      <c r="C5005" s="2" t="s">
        <v>14239</v>
      </c>
      <c r="D5005" s="5" t="s">
        <v>14238</v>
      </c>
      <c r="E5005" s="2" t="s">
        <v>15441</v>
      </c>
      <c r="F5005" s="2" t="s">
        <v>15442</v>
      </c>
      <c r="G5005" s="2" t="s">
        <v>15443</v>
      </c>
      <c r="H5005" s="2" t="s">
        <v>15444</v>
      </c>
    </row>
    <row r="5006">
      <c r="A5006" s="2">
        <v>5004.0</v>
      </c>
      <c r="B5006" s="5" t="s">
        <v>14240</v>
      </c>
      <c r="C5006" s="2" t="s">
        <v>14241</v>
      </c>
      <c r="D5006" s="5" t="s">
        <v>14240</v>
      </c>
      <c r="E5006" s="2" t="s">
        <v>15441</v>
      </c>
      <c r="F5006" s="2" t="s">
        <v>15442</v>
      </c>
      <c r="G5006" s="2" t="s">
        <v>15443</v>
      </c>
      <c r="H5006" s="2" t="s">
        <v>15444</v>
      </c>
    </row>
    <row r="5007">
      <c r="A5007" s="2">
        <v>5005.0</v>
      </c>
      <c r="B5007" s="5" t="s">
        <v>7410</v>
      </c>
      <c r="C5007" s="2" t="s">
        <v>7411</v>
      </c>
      <c r="D5007" s="5" t="s">
        <v>7410</v>
      </c>
      <c r="E5007" s="2" t="s">
        <v>15445</v>
      </c>
      <c r="F5007" s="2" t="s">
        <v>15446</v>
      </c>
      <c r="G5007" s="2" t="s">
        <v>15456</v>
      </c>
      <c r="H5007" s="2" t="s">
        <v>15444</v>
      </c>
    </row>
    <row r="5008">
      <c r="A5008" s="2">
        <v>5006.0</v>
      </c>
      <c r="B5008" s="5" t="s">
        <v>14242</v>
      </c>
      <c r="C5008" s="2" t="s">
        <v>14243</v>
      </c>
      <c r="D5008" s="5" t="s">
        <v>14242</v>
      </c>
      <c r="E5008" s="2" t="s">
        <v>15441</v>
      </c>
      <c r="F5008" s="2" t="s">
        <v>15446</v>
      </c>
      <c r="G5008" s="2" t="s">
        <v>15456</v>
      </c>
      <c r="H5008" s="2" t="s">
        <v>15444</v>
      </c>
    </row>
    <row r="5009">
      <c r="A5009" s="2">
        <v>5007.0</v>
      </c>
      <c r="B5009" s="5" t="s">
        <v>7413</v>
      </c>
      <c r="C5009" s="2" t="s">
        <v>7414</v>
      </c>
      <c r="D5009" s="5" t="s">
        <v>7413</v>
      </c>
      <c r="E5009" s="2" t="s">
        <v>15445</v>
      </c>
      <c r="F5009" s="2" t="s">
        <v>15446</v>
      </c>
      <c r="G5009" s="2" t="s">
        <v>15456</v>
      </c>
      <c r="H5009" s="2" t="s">
        <v>15444</v>
      </c>
    </row>
    <row r="5010">
      <c r="A5010" s="2">
        <v>5008.0</v>
      </c>
      <c r="B5010" s="5" t="s">
        <v>7416</v>
      </c>
      <c r="C5010" s="2" t="s">
        <v>7417</v>
      </c>
      <c r="D5010" s="5" t="s">
        <v>7416</v>
      </c>
      <c r="E5010" s="2" t="s">
        <v>15445</v>
      </c>
      <c r="F5010" s="2" t="s">
        <v>15446</v>
      </c>
      <c r="G5010" s="2" t="s">
        <v>15443</v>
      </c>
      <c r="H5010" s="2" t="s">
        <v>15455</v>
      </c>
    </row>
    <row r="5011">
      <c r="A5011" s="2">
        <v>5009.0</v>
      </c>
      <c r="B5011" s="5" t="s">
        <v>14244</v>
      </c>
      <c r="C5011" s="2" t="s">
        <v>14245</v>
      </c>
      <c r="D5011" s="5" t="s">
        <v>14244</v>
      </c>
      <c r="E5011" s="2" t="s">
        <v>15441</v>
      </c>
      <c r="F5011" s="2" t="s">
        <v>15446</v>
      </c>
      <c r="G5011" s="2" t="s">
        <v>15456</v>
      </c>
      <c r="H5011" s="2" t="s">
        <v>15457</v>
      </c>
    </row>
    <row r="5012">
      <c r="A5012" s="2">
        <v>5010.0</v>
      </c>
      <c r="B5012" s="5" t="s">
        <v>14246</v>
      </c>
      <c r="C5012" s="2" t="s">
        <v>14247</v>
      </c>
      <c r="D5012" s="5" t="s">
        <v>14246</v>
      </c>
      <c r="E5012" s="2" t="s">
        <v>15441</v>
      </c>
      <c r="F5012" s="2" t="s">
        <v>15442</v>
      </c>
      <c r="G5012" s="2" t="s">
        <v>15456</v>
      </c>
      <c r="H5012" s="2" t="s">
        <v>15444</v>
      </c>
    </row>
    <row r="5013">
      <c r="A5013" s="2">
        <v>5011.0</v>
      </c>
      <c r="B5013" s="5" t="s">
        <v>14248</v>
      </c>
      <c r="C5013" s="2" t="s">
        <v>14249</v>
      </c>
      <c r="D5013" s="5" t="s">
        <v>14248</v>
      </c>
      <c r="E5013" s="2" t="s">
        <v>15441</v>
      </c>
      <c r="F5013" s="2" t="s">
        <v>15442</v>
      </c>
      <c r="G5013" s="2" t="s">
        <v>15443</v>
      </c>
      <c r="H5013" s="2" t="s">
        <v>15455</v>
      </c>
    </row>
    <row r="5014">
      <c r="A5014" s="2">
        <v>5012.0</v>
      </c>
      <c r="B5014" s="5" t="s">
        <v>7419</v>
      </c>
      <c r="C5014" s="2" t="s">
        <v>7420</v>
      </c>
      <c r="D5014" s="5" t="s">
        <v>7419</v>
      </c>
      <c r="E5014" s="2" t="s">
        <v>15445</v>
      </c>
      <c r="F5014" s="2" t="s">
        <v>15442</v>
      </c>
      <c r="G5014" s="2" t="s">
        <v>15443</v>
      </c>
      <c r="H5014" s="2" t="s">
        <v>15444</v>
      </c>
    </row>
    <row r="5015">
      <c r="A5015" s="2">
        <v>5013.0</v>
      </c>
      <c r="B5015" s="5" t="s">
        <v>7422</v>
      </c>
      <c r="C5015" s="2" t="s">
        <v>7423</v>
      </c>
      <c r="D5015" s="5" t="s">
        <v>7422</v>
      </c>
      <c r="E5015" s="2" t="s">
        <v>15445</v>
      </c>
      <c r="F5015" s="2" t="s">
        <v>15442</v>
      </c>
      <c r="G5015" s="2" t="s">
        <v>15456</v>
      </c>
      <c r="H5015" s="2" t="s">
        <v>15444</v>
      </c>
    </row>
    <row r="5016">
      <c r="A5016" s="2">
        <v>5014.0</v>
      </c>
      <c r="B5016" s="5" t="s">
        <v>14250</v>
      </c>
      <c r="C5016" s="2" t="s">
        <v>14251</v>
      </c>
      <c r="D5016" s="5" t="s">
        <v>14250</v>
      </c>
      <c r="E5016" s="2" t="s">
        <v>15441</v>
      </c>
      <c r="F5016" s="2" t="s">
        <v>15442</v>
      </c>
      <c r="G5016" s="2" t="s">
        <v>15456</v>
      </c>
      <c r="H5016" s="2" t="s">
        <v>15444</v>
      </c>
    </row>
    <row r="5017">
      <c r="A5017" s="2">
        <v>5015.0</v>
      </c>
      <c r="B5017" s="5" t="s">
        <v>7425</v>
      </c>
      <c r="C5017" s="2" t="s">
        <v>7426</v>
      </c>
      <c r="D5017" s="5" t="s">
        <v>7425</v>
      </c>
      <c r="E5017" s="2" t="s">
        <v>15445</v>
      </c>
      <c r="F5017" s="2" t="s">
        <v>15446</v>
      </c>
      <c r="G5017" s="2" t="s">
        <v>15443</v>
      </c>
      <c r="H5017" s="2" t="s">
        <v>15444</v>
      </c>
    </row>
    <row r="5018">
      <c r="A5018" s="2">
        <v>5016.0</v>
      </c>
      <c r="B5018" s="5" t="s">
        <v>7428</v>
      </c>
      <c r="C5018" s="2" t="s">
        <v>7429</v>
      </c>
      <c r="D5018" s="5" t="s">
        <v>7428</v>
      </c>
      <c r="E5018" s="2" t="s">
        <v>15445</v>
      </c>
      <c r="F5018" s="2" t="s">
        <v>15442</v>
      </c>
      <c r="G5018" s="2" t="s">
        <v>15443</v>
      </c>
      <c r="H5018" s="2" t="s">
        <v>15444</v>
      </c>
    </row>
    <row r="5019">
      <c r="A5019" s="2">
        <v>5017.0</v>
      </c>
      <c r="B5019" s="5" t="s">
        <v>14252</v>
      </c>
      <c r="C5019" s="2" t="s">
        <v>14253</v>
      </c>
      <c r="D5019" s="5" t="s">
        <v>14252</v>
      </c>
      <c r="E5019" s="2" t="s">
        <v>15441</v>
      </c>
      <c r="F5019" s="2" t="s">
        <v>15446</v>
      </c>
      <c r="G5019" s="2" t="s">
        <v>15456</v>
      </c>
      <c r="H5019" s="2" t="s">
        <v>15444</v>
      </c>
    </row>
    <row r="5020">
      <c r="A5020" s="2">
        <v>5018.0</v>
      </c>
      <c r="B5020" s="5" t="s">
        <v>7431</v>
      </c>
      <c r="C5020" s="2" t="s">
        <v>7432</v>
      </c>
      <c r="D5020" s="5" t="s">
        <v>7431</v>
      </c>
      <c r="E5020" s="2" t="s">
        <v>15445</v>
      </c>
      <c r="F5020" s="2" t="s">
        <v>15442</v>
      </c>
      <c r="G5020" s="2" t="s">
        <v>15456</v>
      </c>
      <c r="H5020" s="2" t="s">
        <v>15444</v>
      </c>
    </row>
    <row r="5021">
      <c r="A5021" s="2">
        <v>5019.0</v>
      </c>
      <c r="B5021" s="5" t="s">
        <v>7434</v>
      </c>
      <c r="C5021" s="2" t="s">
        <v>7435</v>
      </c>
      <c r="D5021" s="5" t="s">
        <v>7434</v>
      </c>
      <c r="E5021" s="2" t="s">
        <v>15445</v>
      </c>
      <c r="F5021" s="2" t="s">
        <v>15446</v>
      </c>
      <c r="G5021" s="2" t="s">
        <v>15456</v>
      </c>
      <c r="H5021" s="2" t="s">
        <v>15444</v>
      </c>
    </row>
    <row r="5022">
      <c r="A5022" s="2">
        <v>5020.0</v>
      </c>
      <c r="B5022" s="5" t="s">
        <v>14254</v>
      </c>
      <c r="C5022" s="2" t="s">
        <v>14255</v>
      </c>
      <c r="D5022" s="5" t="s">
        <v>14254</v>
      </c>
      <c r="E5022" s="2" t="s">
        <v>15441</v>
      </c>
      <c r="F5022" s="2" t="s">
        <v>15446</v>
      </c>
      <c r="G5022" s="2" t="s">
        <v>15456</v>
      </c>
      <c r="H5022" s="2" t="s">
        <v>15444</v>
      </c>
    </row>
    <row r="5023">
      <c r="A5023" s="2">
        <v>5021.0</v>
      </c>
      <c r="B5023" s="5" t="s">
        <v>7437</v>
      </c>
      <c r="C5023" s="2" t="s">
        <v>7438</v>
      </c>
      <c r="D5023" s="5" t="s">
        <v>7437</v>
      </c>
      <c r="E5023" s="2" t="s">
        <v>15445</v>
      </c>
      <c r="F5023" s="2" t="s">
        <v>15446</v>
      </c>
      <c r="G5023" s="2" t="s">
        <v>15456</v>
      </c>
      <c r="H5023" s="2" t="s">
        <v>15444</v>
      </c>
    </row>
    <row r="5024">
      <c r="A5024" s="2">
        <v>5022.0</v>
      </c>
      <c r="B5024" s="5" t="s">
        <v>7440</v>
      </c>
      <c r="C5024" s="2" t="s">
        <v>7441</v>
      </c>
      <c r="D5024" s="5" t="s">
        <v>7440</v>
      </c>
      <c r="E5024" s="2" t="s">
        <v>15445</v>
      </c>
      <c r="F5024" s="2" t="s">
        <v>15442</v>
      </c>
      <c r="G5024" s="2" t="s">
        <v>15443</v>
      </c>
      <c r="H5024" s="2" t="s">
        <v>15444</v>
      </c>
    </row>
    <row r="5025">
      <c r="A5025" s="2">
        <v>5023.0</v>
      </c>
      <c r="B5025" s="5" t="s">
        <v>14256</v>
      </c>
      <c r="C5025" s="2" t="s">
        <v>14257</v>
      </c>
      <c r="D5025" s="5" t="s">
        <v>14256</v>
      </c>
      <c r="E5025" s="2" t="s">
        <v>15441</v>
      </c>
      <c r="F5025" s="2" t="s">
        <v>15446</v>
      </c>
      <c r="G5025" s="2" t="s">
        <v>15443</v>
      </c>
      <c r="H5025" s="2" t="s">
        <v>15444</v>
      </c>
    </row>
    <row r="5026">
      <c r="A5026" s="2">
        <v>5024.0</v>
      </c>
      <c r="B5026" s="5" t="s">
        <v>7443</v>
      </c>
      <c r="C5026" s="2" t="s">
        <v>7444</v>
      </c>
      <c r="D5026" s="5" t="s">
        <v>7443</v>
      </c>
      <c r="E5026" s="2" t="s">
        <v>15445</v>
      </c>
      <c r="F5026" s="2" t="s">
        <v>15446</v>
      </c>
      <c r="G5026" s="2" t="s">
        <v>15456</v>
      </c>
      <c r="H5026" s="2" t="s">
        <v>15444</v>
      </c>
    </row>
    <row r="5027">
      <c r="A5027" s="2">
        <v>5025.0</v>
      </c>
      <c r="B5027" s="5" t="s">
        <v>14258</v>
      </c>
      <c r="C5027" s="2" t="s">
        <v>14259</v>
      </c>
      <c r="D5027" s="5" t="s">
        <v>14258</v>
      </c>
      <c r="E5027" s="2" t="s">
        <v>15441</v>
      </c>
      <c r="F5027" s="2" t="s">
        <v>15446</v>
      </c>
      <c r="G5027" s="2" t="s">
        <v>15443</v>
      </c>
      <c r="H5027" s="2" t="s">
        <v>15444</v>
      </c>
    </row>
    <row r="5028">
      <c r="A5028" s="2">
        <v>5026.0</v>
      </c>
      <c r="B5028" s="5" t="s">
        <v>7446</v>
      </c>
      <c r="C5028" s="2" t="s">
        <v>7447</v>
      </c>
      <c r="D5028" s="5" t="s">
        <v>7446</v>
      </c>
      <c r="E5028" s="2" t="s">
        <v>15445</v>
      </c>
      <c r="F5028" s="2" t="s">
        <v>15442</v>
      </c>
      <c r="G5028" s="2" t="s">
        <v>15456</v>
      </c>
      <c r="H5028" s="2" t="s">
        <v>15444</v>
      </c>
    </row>
    <row r="5029">
      <c r="A5029" s="2">
        <v>5027.0</v>
      </c>
      <c r="B5029" s="5" t="s">
        <v>15592</v>
      </c>
      <c r="C5029" s="2" t="s">
        <v>15593</v>
      </c>
      <c r="D5029" s="5" t="s">
        <v>15592</v>
      </c>
      <c r="E5029" s="2" t="s">
        <v>15445</v>
      </c>
      <c r="F5029" s="2" t="s">
        <v>15446</v>
      </c>
      <c r="G5029" s="2" t="s">
        <v>15443</v>
      </c>
      <c r="H5029" s="2" t="s">
        <v>15455</v>
      </c>
    </row>
    <row r="5030">
      <c r="A5030" s="2">
        <v>5028.0</v>
      </c>
      <c r="B5030" s="5" t="s">
        <v>14260</v>
      </c>
      <c r="C5030" s="2" t="s">
        <v>14261</v>
      </c>
      <c r="D5030" s="5" t="s">
        <v>14260</v>
      </c>
      <c r="E5030" s="2" t="s">
        <v>15441</v>
      </c>
      <c r="F5030" s="2" t="s">
        <v>15446</v>
      </c>
      <c r="G5030" s="2" t="s">
        <v>15456</v>
      </c>
      <c r="H5030" s="2" t="s">
        <v>15444</v>
      </c>
    </row>
    <row r="5031">
      <c r="A5031" s="2">
        <v>5029.0</v>
      </c>
      <c r="B5031" s="5" t="s">
        <v>7449</v>
      </c>
      <c r="C5031" s="2" t="s">
        <v>7450</v>
      </c>
      <c r="D5031" s="5" t="s">
        <v>7449</v>
      </c>
      <c r="E5031" s="2" t="s">
        <v>15445</v>
      </c>
      <c r="F5031" s="2" t="s">
        <v>15446</v>
      </c>
      <c r="G5031" s="2" t="s">
        <v>15456</v>
      </c>
      <c r="H5031" s="2" t="s">
        <v>15444</v>
      </c>
    </row>
    <row r="5032">
      <c r="A5032" s="2">
        <v>5030.0</v>
      </c>
      <c r="B5032" s="5" t="s">
        <v>14262</v>
      </c>
      <c r="C5032" s="2" t="s">
        <v>14263</v>
      </c>
      <c r="D5032" s="5" t="s">
        <v>14262</v>
      </c>
      <c r="E5032" s="2" t="s">
        <v>15441</v>
      </c>
      <c r="F5032" s="2" t="s">
        <v>15446</v>
      </c>
      <c r="G5032" s="2" t="s">
        <v>15456</v>
      </c>
      <c r="H5032" s="2" t="s">
        <v>15444</v>
      </c>
    </row>
    <row r="5033">
      <c r="A5033" s="2">
        <v>5031.0</v>
      </c>
      <c r="B5033" s="5" t="s">
        <v>7452</v>
      </c>
      <c r="C5033" s="2" t="s">
        <v>7453</v>
      </c>
      <c r="D5033" s="5" t="s">
        <v>7452</v>
      </c>
      <c r="E5033" s="2" t="s">
        <v>15445</v>
      </c>
      <c r="F5033" s="2" t="s">
        <v>15442</v>
      </c>
      <c r="G5033" s="2" t="s">
        <v>15443</v>
      </c>
      <c r="H5033" s="2" t="s">
        <v>15444</v>
      </c>
    </row>
    <row r="5034">
      <c r="A5034" s="2">
        <v>5032.0</v>
      </c>
      <c r="B5034" s="5" t="s">
        <v>7455</v>
      </c>
      <c r="C5034" s="2" t="s">
        <v>7456</v>
      </c>
      <c r="D5034" s="5" t="s">
        <v>7455</v>
      </c>
      <c r="E5034" s="2" t="s">
        <v>15445</v>
      </c>
      <c r="F5034" s="2" t="s">
        <v>15442</v>
      </c>
      <c r="G5034" s="2" t="s">
        <v>15456</v>
      </c>
      <c r="H5034" s="2" t="s">
        <v>15444</v>
      </c>
    </row>
    <row r="5035">
      <c r="A5035" s="2">
        <v>5033.0</v>
      </c>
      <c r="B5035" s="5" t="s">
        <v>7458</v>
      </c>
      <c r="C5035" s="2" t="s">
        <v>7459</v>
      </c>
      <c r="D5035" s="5" t="s">
        <v>7458</v>
      </c>
      <c r="E5035" s="2" t="s">
        <v>15445</v>
      </c>
      <c r="F5035" s="2" t="s">
        <v>15442</v>
      </c>
      <c r="G5035" s="2" t="s">
        <v>15456</v>
      </c>
      <c r="H5035" s="2" t="s">
        <v>15455</v>
      </c>
    </row>
    <row r="5036">
      <c r="A5036" s="2">
        <v>5034.0</v>
      </c>
      <c r="B5036" s="5" t="s">
        <v>14264</v>
      </c>
      <c r="C5036" s="2" t="s">
        <v>14265</v>
      </c>
      <c r="D5036" s="5" t="s">
        <v>14264</v>
      </c>
      <c r="E5036" s="2" t="s">
        <v>15441</v>
      </c>
      <c r="F5036" s="2" t="s">
        <v>15442</v>
      </c>
      <c r="G5036" s="2" t="s">
        <v>15443</v>
      </c>
      <c r="H5036" s="2" t="s">
        <v>15444</v>
      </c>
    </row>
    <row r="5037">
      <c r="A5037" s="2">
        <v>5035.0</v>
      </c>
      <c r="B5037" s="5" t="s">
        <v>14266</v>
      </c>
      <c r="C5037" s="2" t="s">
        <v>14267</v>
      </c>
      <c r="D5037" s="5" t="s">
        <v>14266</v>
      </c>
      <c r="E5037" s="2" t="s">
        <v>15441</v>
      </c>
      <c r="F5037" s="2" t="s">
        <v>15446</v>
      </c>
      <c r="G5037" s="2" t="s">
        <v>15456</v>
      </c>
      <c r="H5037" s="2" t="s">
        <v>15444</v>
      </c>
    </row>
    <row r="5038">
      <c r="A5038" s="2">
        <v>5036.0</v>
      </c>
      <c r="B5038" s="5" t="s">
        <v>7461</v>
      </c>
      <c r="C5038" s="2" t="s">
        <v>7462</v>
      </c>
      <c r="D5038" s="5" t="s">
        <v>7461</v>
      </c>
      <c r="E5038" s="2" t="s">
        <v>15445</v>
      </c>
      <c r="F5038" s="2" t="s">
        <v>15446</v>
      </c>
      <c r="G5038" s="2" t="s">
        <v>15456</v>
      </c>
      <c r="H5038" s="2" t="s">
        <v>15444</v>
      </c>
    </row>
    <row r="5039">
      <c r="A5039" s="2">
        <v>5037.0</v>
      </c>
      <c r="B5039" s="5" t="s">
        <v>7464</v>
      </c>
      <c r="C5039" s="2" t="s">
        <v>7465</v>
      </c>
      <c r="D5039" s="5" t="s">
        <v>7464</v>
      </c>
      <c r="E5039" s="2" t="s">
        <v>15445</v>
      </c>
      <c r="F5039" s="2" t="s">
        <v>15442</v>
      </c>
      <c r="G5039" s="2" t="s">
        <v>15443</v>
      </c>
      <c r="H5039" s="2" t="s">
        <v>15461</v>
      </c>
    </row>
    <row r="5040">
      <c r="A5040" s="2">
        <v>5038.0</v>
      </c>
      <c r="B5040" s="5" t="s">
        <v>7467</v>
      </c>
      <c r="C5040" s="2" t="s">
        <v>7468</v>
      </c>
      <c r="D5040" s="5" t="s">
        <v>7467</v>
      </c>
      <c r="E5040" s="2" t="s">
        <v>15445</v>
      </c>
      <c r="F5040" s="2" t="s">
        <v>15446</v>
      </c>
      <c r="G5040" s="2" t="s">
        <v>15456</v>
      </c>
      <c r="H5040" s="2" t="s">
        <v>15444</v>
      </c>
    </row>
    <row r="5041">
      <c r="A5041" s="2">
        <v>5039.0</v>
      </c>
      <c r="B5041" s="5" t="s">
        <v>14268</v>
      </c>
      <c r="C5041" s="2" t="s">
        <v>14269</v>
      </c>
      <c r="D5041" s="5" t="s">
        <v>14268</v>
      </c>
      <c r="E5041" s="2" t="s">
        <v>15441</v>
      </c>
      <c r="F5041" s="2" t="s">
        <v>15446</v>
      </c>
      <c r="G5041" s="2" t="s">
        <v>15456</v>
      </c>
      <c r="H5041" s="2" t="s">
        <v>15444</v>
      </c>
    </row>
    <row r="5042">
      <c r="A5042" s="2">
        <v>5040.0</v>
      </c>
      <c r="B5042" s="5" t="s">
        <v>14270</v>
      </c>
      <c r="C5042" s="2" t="s">
        <v>14271</v>
      </c>
      <c r="D5042" s="5" t="s">
        <v>14270</v>
      </c>
      <c r="E5042" s="2" t="s">
        <v>15441</v>
      </c>
      <c r="F5042" s="2" t="s">
        <v>15442</v>
      </c>
      <c r="G5042" s="2" t="s">
        <v>15443</v>
      </c>
      <c r="H5042" s="2" t="s">
        <v>15444</v>
      </c>
    </row>
    <row r="5043">
      <c r="A5043" s="2">
        <v>5041.0</v>
      </c>
      <c r="B5043" s="5" t="s">
        <v>14272</v>
      </c>
      <c r="C5043" s="2" t="s">
        <v>14273</v>
      </c>
      <c r="D5043" s="5" t="s">
        <v>14272</v>
      </c>
      <c r="E5043" s="2" t="s">
        <v>15441</v>
      </c>
      <c r="F5043" s="2" t="s">
        <v>15446</v>
      </c>
      <c r="G5043" s="2" t="s">
        <v>15456</v>
      </c>
      <c r="H5043" s="2" t="s">
        <v>15444</v>
      </c>
    </row>
    <row r="5044">
      <c r="A5044" s="2">
        <v>5042.0</v>
      </c>
      <c r="B5044" s="5" t="s">
        <v>7470</v>
      </c>
      <c r="C5044" s="2" t="s">
        <v>7471</v>
      </c>
      <c r="D5044" s="5" t="s">
        <v>7470</v>
      </c>
      <c r="E5044" s="2" t="s">
        <v>15445</v>
      </c>
      <c r="F5044" s="2" t="s">
        <v>15446</v>
      </c>
      <c r="G5044" s="2" t="s">
        <v>15443</v>
      </c>
      <c r="H5044" s="2" t="s">
        <v>15444</v>
      </c>
    </row>
    <row r="5045">
      <c r="A5045" s="2">
        <v>5043.0</v>
      </c>
      <c r="B5045" s="5" t="s">
        <v>7473</v>
      </c>
      <c r="C5045" s="2" t="s">
        <v>7474</v>
      </c>
      <c r="D5045" s="5" t="s">
        <v>7473</v>
      </c>
      <c r="E5045" s="2" t="s">
        <v>15445</v>
      </c>
      <c r="F5045" s="2" t="s">
        <v>15442</v>
      </c>
      <c r="G5045" s="2" t="s">
        <v>15443</v>
      </c>
      <c r="H5045" s="2" t="s">
        <v>15444</v>
      </c>
    </row>
    <row r="5046">
      <c r="A5046" s="2">
        <v>5044.0</v>
      </c>
      <c r="B5046" s="5" t="s">
        <v>7476</v>
      </c>
      <c r="C5046" s="2" t="s">
        <v>7477</v>
      </c>
      <c r="D5046" s="5" t="s">
        <v>7476</v>
      </c>
      <c r="E5046" s="2" t="s">
        <v>15445</v>
      </c>
      <c r="F5046" s="2" t="s">
        <v>15442</v>
      </c>
      <c r="G5046" s="2" t="s">
        <v>15456</v>
      </c>
      <c r="H5046" s="2" t="s">
        <v>15444</v>
      </c>
    </row>
    <row r="5047">
      <c r="A5047" s="2">
        <v>5045.0</v>
      </c>
      <c r="B5047" s="5" t="s">
        <v>14274</v>
      </c>
      <c r="C5047" s="2" t="s">
        <v>14275</v>
      </c>
      <c r="D5047" s="5" t="s">
        <v>14274</v>
      </c>
      <c r="E5047" s="2" t="s">
        <v>15441</v>
      </c>
      <c r="F5047" s="2" t="s">
        <v>15442</v>
      </c>
      <c r="G5047" s="2" t="s">
        <v>15456</v>
      </c>
      <c r="H5047" s="2" t="s">
        <v>15444</v>
      </c>
    </row>
    <row r="5048">
      <c r="A5048" s="2">
        <v>5046.0</v>
      </c>
      <c r="B5048" s="5" t="s">
        <v>7479</v>
      </c>
      <c r="C5048" s="2" t="s">
        <v>7480</v>
      </c>
      <c r="D5048" s="5" t="s">
        <v>7479</v>
      </c>
      <c r="E5048" s="2" t="s">
        <v>15445</v>
      </c>
      <c r="F5048" s="2" t="s">
        <v>15446</v>
      </c>
      <c r="G5048" s="2" t="s">
        <v>15456</v>
      </c>
      <c r="H5048" s="2" t="s">
        <v>15444</v>
      </c>
    </row>
    <row r="5049">
      <c r="A5049" s="2">
        <v>5047.0</v>
      </c>
      <c r="B5049" s="5" t="s">
        <v>7482</v>
      </c>
      <c r="C5049" s="2" t="s">
        <v>7483</v>
      </c>
      <c r="D5049" s="5" t="s">
        <v>7482</v>
      </c>
      <c r="E5049" s="2" t="s">
        <v>15445</v>
      </c>
      <c r="F5049" s="2" t="s">
        <v>15446</v>
      </c>
      <c r="G5049" s="2" t="s">
        <v>15456</v>
      </c>
      <c r="H5049" s="2" t="s">
        <v>15444</v>
      </c>
    </row>
    <row r="5050">
      <c r="A5050" s="2">
        <v>5048.0</v>
      </c>
      <c r="B5050" s="5" t="s">
        <v>14276</v>
      </c>
      <c r="C5050" s="2" t="s">
        <v>14277</v>
      </c>
      <c r="D5050" s="5" t="s">
        <v>14276</v>
      </c>
      <c r="E5050" s="2" t="s">
        <v>15441</v>
      </c>
      <c r="F5050" s="2" t="s">
        <v>15446</v>
      </c>
      <c r="G5050" s="2" t="s">
        <v>15443</v>
      </c>
      <c r="H5050" s="2" t="s">
        <v>15444</v>
      </c>
    </row>
    <row r="5051">
      <c r="A5051" s="2">
        <v>5049.0</v>
      </c>
      <c r="B5051" s="5" t="s">
        <v>14278</v>
      </c>
      <c r="C5051" s="2" t="s">
        <v>14279</v>
      </c>
      <c r="D5051" s="5" t="s">
        <v>14278</v>
      </c>
      <c r="E5051" s="2" t="s">
        <v>15441</v>
      </c>
      <c r="F5051" s="2" t="s">
        <v>15446</v>
      </c>
      <c r="G5051" s="2" t="s">
        <v>15456</v>
      </c>
      <c r="H5051" s="2" t="s">
        <v>15444</v>
      </c>
    </row>
    <row r="5052">
      <c r="A5052" s="2">
        <v>5050.0</v>
      </c>
      <c r="B5052" s="5" t="s">
        <v>7485</v>
      </c>
      <c r="C5052" s="2" t="s">
        <v>7486</v>
      </c>
      <c r="D5052" s="5" t="s">
        <v>7485</v>
      </c>
      <c r="E5052" s="2" t="s">
        <v>15445</v>
      </c>
      <c r="F5052" s="2" t="s">
        <v>15442</v>
      </c>
      <c r="G5052" s="2" t="s">
        <v>15443</v>
      </c>
      <c r="H5052" s="2" t="s">
        <v>15444</v>
      </c>
    </row>
    <row r="5053">
      <c r="A5053" s="2">
        <v>5051.0</v>
      </c>
      <c r="B5053" s="5" t="s">
        <v>7488</v>
      </c>
      <c r="C5053" s="2" t="s">
        <v>7489</v>
      </c>
      <c r="D5053" s="5" t="s">
        <v>7488</v>
      </c>
      <c r="E5053" s="2" t="s">
        <v>15445</v>
      </c>
      <c r="F5053" s="2" t="s">
        <v>15446</v>
      </c>
      <c r="G5053" s="2" t="s">
        <v>15456</v>
      </c>
      <c r="H5053" s="2" t="s">
        <v>15444</v>
      </c>
    </row>
    <row r="5054">
      <c r="A5054" s="2">
        <v>5052.0</v>
      </c>
      <c r="B5054" s="5" t="s">
        <v>7491</v>
      </c>
      <c r="C5054" s="2" t="s">
        <v>7492</v>
      </c>
      <c r="D5054" s="5" t="s">
        <v>7491</v>
      </c>
      <c r="E5054" s="2" t="s">
        <v>15445</v>
      </c>
      <c r="F5054" s="2" t="s">
        <v>15446</v>
      </c>
      <c r="G5054" s="2" t="s">
        <v>15456</v>
      </c>
      <c r="H5054" s="2" t="s">
        <v>15444</v>
      </c>
    </row>
    <row r="5055">
      <c r="A5055" s="2">
        <v>5053.0</v>
      </c>
      <c r="B5055" s="5" t="s">
        <v>7494</v>
      </c>
      <c r="C5055" s="2" t="s">
        <v>7495</v>
      </c>
      <c r="D5055" s="5" t="s">
        <v>7494</v>
      </c>
      <c r="E5055" s="2" t="s">
        <v>15445</v>
      </c>
      <c r="F5055" s="2" t="s">
        <v>15446</v>
      </c>
      <c r="G5055" s="2" t="s">
        <v>15456</v>
      </c>
      <c r="H5055" s="2" t="s">
        <v>15444</v>
      </c>
    </row>
    <row r="5056">
      <c r="A5056" s="2">
        <v>5054.0</v>
      </c>
      <c r="B5056" s="5" t="s">
        <v>14280</v>
      </c>
      <c r="C5056" s="2" t="s">
        <v>14281</v>
      </c>
      <c r="D5056" s="5" t="s">
        <v>14280</v>
      </c>
      <c r="E5056" s="2" t="s">
        <v>15441</v>
      </c>
      <c r="F5056" s="2" t="s">
        <v>15446</v>
      </c>
      <c r="G5056" s="2" t="s">
        <v>15443</v>
      </c>
      <c r="H5056" s="2" t="s">
        <v>15444</v>
      </c>
    </row>
    <row r="5057">
      <c r="A5057" s="2">
        <v>5055.0</v>
      </c>
      <c r="B5057" s="5" t="s">
        <v>7497</v>
      </c>
      <c r="C5057" s="2" t="s">
        <v>7498</v>
      </c>
      <c r="D5057" s="5" t="s">
        <v>7497</v>
      </c>
      <c r="E5057" s="2" t="s">
        <v>15445</v>
      </c>
      <c r="F5057" s="2" t="s">
        <v>15446</v>
      </c>
      <c r="G5057" s="2" t="s">
        <v>15443</v>
      </c>
      <c r="H5057" s="2" t="s">
        <v>15444</v>
      </c>
    </row>
    <row r="5058">
      <c r="A5058" s="2">
        <v>5056.0</v>
      </c>
      <c r="B5058" s="5" t="s">
        <v>14282</v>
      </c>
      <c r="C5058" s="2" t="s">
        <v>14283</v>
      </c>
      <c r="D5058" s="5" t="s">
        <v>14282</v>
      </c>
      <c r="E5058" s="2" t="s">
        <v>15441</v>
      </c>
      <c r="F5058" s="2" t="s">
        <v>15446</v>
      </c>
      <c r="G5058" s="2" t="s">
        <v>15443</v>
      </c>
      <c r="H5058" s="2" t="s">
        <v>15457</v>
      </c>
    </row>
    <row r="5059">
      <c r="A5059" s="2">
        <v>5057.0</v>
      </c>
      <c r="B5059" s="5" t="s">
        <v>14284</v>
      </c>
      <c r="C5059" s="2" t="s">
        <v>14285</v>
      </c>
      <c r="D5059" s="5" t="s">
        <v>14284</v>
      </c>
      <c r="E5059" s="2" t="s">
        <v>15441</v>
      </c>
      <c r="F5059" s="2" t="s">
        <v>15442</v>
      </c>
      <c r="G5059" s="2" t="s">
        <v>15443</v>
      </c>
      <c r="H5059" s="2" t="s">
        <v>15444</v>
      </c>
    </row>
    <row r="5060">
      <c r="A5060" s="2">
        <v>5058.0</v>
      </c>
      <c r="B5060" s="5" t="s">
        <v>7500</v>
      </c>
      <c r="C5060" s="2" t="s">
        <v>7501</v>
      </c>
      <c r="D5060" s="5" t="s">
        <v>7500</v>
      </c>
      <c r="E5060" s="2" t="s">
        <v>15445</v>
      </c>
      <c r="F5060" s="2" t="s">
        <v>15446</v>
      </c>
      <c r="G5060" s="2" t="s">
        <v>15443</v>
      </c>
      <c r="H5060" s="2" t="s">
        <v>15444</v>
      </c>
    </row>
    <row r="5061">
      <c r="A5061" s="2">
        <v>5059.0</v>
      </c>
      <c r="B5061" s="5" t="s">
        <v>7503</v>
      </c>
      <c r="C5061" s="2" t="s">
        <v>7504</v>
      </c>
      <c r="D5061" s="5" t="s">
        <v>7503</v>
      </c>
      <c r="E5061" s="2" t="s">
        <v>15445</v>
      </c>
      <c r="F5061" s="2" t="s">
        <v>15446</v>
      </c>
      <c r="G5061" s="2" t="s">
        <v>15456</v>
      </c>
      <c r="H5061" s="2" t="s">
        <v>15444</v>
      </c>
    </row>
    <row r="5062">
      <c r="A5062" s="2">
        <v>5060.0</v>
      </c>
      <c r="B5062" s="5" t="s">
        <v>14286</v>
      </c>
      <c r="C5062" s="2" t="s">
        <v>14287</v>
      </c>
      <c r="D5062" s="5" t="s">
        <v>14286</v>
      </c>
      <c r="E5062" s="2" t="s">
        <v>15441</v>
      </c>
      <c r="F5062" s="2" t="s">
        <v>15446</v>
      </c>
      <c r="G5062" s="2" t="s">
        <v>15456</v>
      </c>
      <c r="H5062" s="2" t="s">
        <v>15444</v>
      </c>
    </row>
    <row r="5063">
      <c r="A5063" s="2">
        <v>5061.0</v>
      </c>
      <c r="B5063" s="5" t="s">
        <v>7506</v>
      </c>
      <c r="C5063" s="2" t="s">
        <v>7507</v>
      </c>
      <c r="D5063" s="5" t="s">
        <v>7506</v>
      </c>
      <c r="E5063" s="2" t="s">
        <v>15445</v>
      </c>
      <c r="F5063" s="2" t="s">
        <v>15442</v>
      </c>
      <c r="G5063" s="2" t="s">
        <v>15456</v>
      </c>
      <c r="H5063" s="2" t="s">
        <v>15444</v>
      </c>
    </row>
    <row r="5064">
      <c r="A5064" s="2">
        <v>5062.0</v>
      </c>
      <c r="B5064" s="5" t="s">
        <v>14288</v>
      </c>
      <c r="C5064" s="2" t="s">
        <v>14289</v>
      </c>
      <c r="D5064" s="5" t="s">
        <v>14288</v>
      </c>
      <c r="E5064" s="2" t="s">
        <v>15441</v>
      </c>
      <c r="F5064" s="2" t="s">
        <v>15442</v>
      </c>
      <c r="G5064" s="2" t="s">
        <v>15456</v>
      </c>
      <c r="H5064" s="2" t="s">
        <v>15444</v>
      </c>
    </row>
    <row r="5065">
      <c r="A5065" s="2">
        <v>5063.0</v>
      </c>
      <c r="B5065" s="5" t="s">
        <v>7509</v>
      </c>
      <c r="C5065" s="2" t="s">
        <v>7510</v>
      </c>
      <c r="D5065" s="5" t="s">
        <v>7509</v>
      </c>
      <c r="E5065" s="2" t="s">
        <v>15445</v>
      </c>
      <c r="F5065" s="2" t="s">
        <v>15442</v>
      </c>
      <c r="G5065" s="2" t="s">
        <v>15456</v>
      </c>
      <c r="H5065" s="2" t="s">
        <v>15462</v>
      </c>
    </row>
    <row r="5066">
      <c r="A5066" s="2">
        <v>5064.0</v>
      </c>
      <c r="B5066" s="5" t="s">
        <v>15594</v>
      </c>
      <c r="D5066" s="5" t="s">
        <v>15594</v>
      </c>
      <c r="E5066" s="2" t="s">
        <v>15441</v>
      </c>
      <c r="F5066" s="2" t="s">
        <v>15446</v>
      </c>
      <c r="G5066" s="2" t="s">
        <v>15456</v>
      </c>
      <c r="H5066" s="2" t="s">
        <v>15444</v>
      </c>
    </row>
    <row r="5067">
      <c r="A5067" s="2">
        <v>5065.0</v>
      </c>
      <c r="B5067" s="5" t="s">
        <v>7512</v>
      </c>
      <c r="C5067" s="2" t="s">
        <v>7513</v>
      </c>
      <c r="D5067" s="5" t="s">
        <v>7512</v>
      </c>
      <c r="E5067" s="2" t="s">
        <v>15445</v>
      </c>
      <c r="F5067" s="2" t="s">
        <v>15442</v>
      </c>
      <c r="G5067" s="2" t="s">
        <v>15443</v>
      </c>
      <c r="H5067" s="2" t="s">
        <v>15444</v>
      </c>
    </row>
    <row r="5068">
      <c r="A5068" s="2">
        <v>5066.0</v>
      </c>
      <c r="B5068" s="5" t="s">
        <v>7515</v>
      </c>
      <c r="C5068" s="2" t="s">
        <v>7516</v>
      </c>
      <c r="D5068" s="5" t="s">
        <v>7515</v>
      </c>
      <c r="E5068" s="2" t="s">
        <v>15445</v>
      </c>
      <c r="F5068" s="2" t="s">
        <v>15446</v>
      </c>
      <c r="G5068" s="2" t="s">
        <v>15443</v>
      </c>
      <c r="H5068" s="2" t="s">
        <v>15444</v>
      </c>
    </row>
    <row r="5069">
      <c r="A5069" s="2">
        <v>5067.0</v>
      </c>
      <c r="B5069" s="5" t="s">
        <v>14290</v>
      </c>
      <c r="C5069" s="2" t="s">
        <v>14291</v>
      </c>
      <c r="D5069" s="5" t="s">
        <v>14290</v>
      </c>
      <c r="E5069" s="2" t="s">
        <v>15441</v>
      </c>
      <c r="F5069" s="2" t="s">
        <v>15446</v>
      </c>
      <c r="G5069" s="2" t="s">
        <v>15456</v>
      </c>
      <c r="H5069" s="2" t="s">
        <v>15444</v>
      </c>
    </row>
    <row r="5070">
      <c r="A5070" s="2">
        <v>5068.0</v>
      </c>
      <c r="B5070" s="5" t="s">
        <v>7518</v>
      </c>
      <c r="C5070" s="2" t="s">
        <v>7519</v>
      </c>
      <c r="D5070" s="5" t="s">
        <v>7518</v>
      </c>
      <c r="E5070" s="2" t="s">
        <v>15445</v>
      </c>
      <c r="F5070" s="2" t="s">
        <v>15446</v>
      </c>
      <c r="G5070" s="2" t="s">
        <v>15456</v>
      </c>
      <c r="H5070" s="2" t="s">
        <v>15457</v>
      </c>
    </row>
    <row r="5071">
      <c r="A5071" s="2">
        <v>5069.0</v>
      </c>
      <c r="B5071" s="5" t="s">
        <v>14292</v>
      </c>
      <c r="C5071" s="2" t="s">
        <v>14293</v>
      </c>
      <c r="D5071" s="5" t="s">
        <v>14292</v>
      </c>
      <c r="E5071" s="2" t="s">
        <v>15441</v>
      </c>
      <c r="F5071" s="2" t="s">
        <v>15442</v>
      </c>
      <c r="G5071" s="2" t="s">
        <v>15443</v>
      </c>
      <c r="H5071" s="2" t="s">
        <v>15461</v>
      </c>
    </row>
    <row r="5072">
      <c r="A5072" s="2">
        <v>5070.0</v>
      </c>
      <c r="B5072" s="5" t="s">
        <v>14294</v>
      </c>
      <c r="C5072" s="2" t="s">
        <v>14295</v>
      </c>
      <c r="D5072" s="5" t="s">
        <v>14294</v>
      </c>
      <c r="E5072" s="2" t="s">
        <v>15441</v>
      </c>
      <c r="F5072" s="2" t="s">
        <v>15446</v>
      </c>
      <c r="G5072" s="2" t="s">
        <v>15443</v>
      </c>
      <c r="H5072" s="2" t="s">
        <v>15457</v>
      </c>
    </row>
    <row r="5073">
      <c r="A5073" s="2">
        <v>5071.0</v>
      </c>
      <c r="B5073" s="5" t="s">
        <v>7521</v>
      </c>
      <c r="C5073" s="2" t="s">
        <v>7522</v>
      </c>
      <c r="D5073" s="5" t="s">
        <v>7521</v>
      </c>
      <c r="E5073" s="2" t="s">
        <v>15445</v>
      </c>
      <c r="F5073" s="2" t="s">
        <v>15446</v>
      </c>
      <c r="G5073" s="2" t="s">
        <v>15456</v>
      </c>
      <c r="H5073" s="2" t="s">
        <v>15444</v>
      </c>
    </row>
    <row r="5074">
      <c r="A5074" s="2">
        <v>5072.0</v>
      </c>
      <c r="B5074" s="5" t="s">
        <v>7524</v>
      </c>
      <c r="C5074" s="2" t="s">
        <v>7525</v>
      </c>
      <c r="D5074" s="5" t="s">
        <v>7524</v>
      </c>
      <c r="E5074" s="2" t="s">
        <v>15445</v>
      </c>
      <c r="F5074" s="2" t="s">
        <v>15446</v>
      </c>
      <c r="G5074" s="2" t="s">
        <v>15456</v>
      </c>
      <c r="H5074" s="2" t="s">
        <v>15444</v>
      </c>
    </row>
    <row r="5075">
      <c r="A5075" s="2">
        <v>5073.0</v>
      </c>
      <c r="B5075" s="5" t="s">
        <v>7527</v>
      </c>
      <c r="C5075" s="2" t="s">
        <v>7528</v>
      </c>
      <c r="D5075" s="5" t="s">
        <v>7527</v>
      </c>
      <c r="E5075" s="2" t="s">
        <v>15445</v>
      </c>
      <c r="F5075" s="2" t="s">
        <v>15446</v>
      </c>
      <c r="G5075" s="2" t="s">
        <v>15456</v>
      </c>
      <c r="H5075" s="2" t="s">
        <v>15444</v>
      </c>
    </row>
    <row r="5076">
      <c r="A5076" s="2">
        <v>5074.0</v>
      </c>
      <c r="B5076" s="5" t="s">
        <v>7530</v>
      </c>
      <c r="C5076" s="2" t="s">
        <v>7531</v>
      </c>
      <c r="D5076" s="5" t="s">
        <v>7530</v>
      </c>
      <c r="E5076" s="2" t="s">
        <v>15445</v>
      </c>
      <c r="F5076" s="2" t="s">
        <v>15446</v>
      </c>
      <c r="G5076" s="2" t="s">
        <v>15443</v>
      </c>
      <c r="H5076" s="2" t="s">
        <v>15444</v>
      </c>
    </row>
    <row r="5077">
      <c r="A5077" s="2">
        <v>5075.0</v>
      </c>
      <c r="B5077" s="5" t="s">
        <v>14296</v>
      </c>
      <c r="C5077" s="2" t="s">
        <v>14297</v>
      </c>
      <c r="D5077" s="5" t="s">
        <v>14296</v>
      </c>
      <c r="E5077" s="2" t="s">
        <v>15441</v>
      </c>
      <c r="F5077" s="2" t="s">
        <v>15442</v>
      </c>
      <c r="G5077" s="2" t="s">
        <v>15443</v>
      </c>
      <c r="H5077" s="2" t="s">
        <v>15444</v>
      </c>
    </row>
    <row r="5078">
      <c r="A5078" s="2">
        <v>5076.0</v>
      </c>
      <c r="B5078" s="5" t="s">
        <v>14298</v>
      </c>
      <c r="C5078" s="2" t="s">
        <v>14299</v>
      </c>
      <c r="D5078" s="5" t="s">
        <v>14298</v>
      </c>
      <c r="E5078" s="2" t="s">
        <v>15441</v>
      </c>
      <c r="F5078" s="2" t="s">
        <v>15442</v>
      </c>
      <c r="G5078" s="2" t="s">
        <v>15456</v>
      </c>
      <c r="H5078" s="2" t="s">
        <v>15444</v>
      </c>
    </row>
    <row r="5079">
      <c r="A5079" s="2">
        <v>5077.0</v>
      </c>
      <c r="B5079" s="5" t="s">
        <v>7533</v>
      </c>
      <c r="C5079" s="2" t="s">
        <v>7534</v>
      </c>
      <c r="D5079" s="5" t="s">
        <v>7533</v>
      </c>
      <c r="E5079" s="2" t="s">
        <v>15445</v>
      </c>
      <c r="F5079" s="2" t="s">
        <v>15446</v>
      </c>
      <c r="G5079" s="2" t="s">
        <v>15456</v>
      </c>
      <c r="H5079" s="2" t="s">
        <v>15444</v>
      </c>
    </row>
    <row r="5080">
      <c r="A5080" s="2">
        <v>5078.0</v>
      </c>
      <c r="B5080" s="5" t="s">
        <v>7536</v>
      </c>
      <c r="C5080" s="2" t="s">
        <v>7537</v>
      </c>
      <c r="D5080" s="5" t="s">
        <v>7536</v>
      </c>
      <c r="E5080" s="2" t="s">
        <v>15445</v>
      </c>
      <c r="F5080" s="2" t="s">
        <v>15442</v>
      </c>
      <c r="G5080" s="2" t="s">
        <v>15443</v>
      </c>
      <c r="H5080" s="2" t="s">
        <v>15444</v>
      </c>
    </row>
    <row r="5081">
      <c r="A5081" s="2">
        <v>5079.0</v>
      </c>
      <c r="B5081" s="5" t="s">
        <v>7539</v>
      </c>
      <c r="C5081" s="2" t="s">
        <v>7540</v>
      </c>
      <c r="D5081" s="5" t="s">
        <v>7539</v>
      </c>
      <c r="E5081" s="2" t="s">
        <v>15445</v>
      </c>
      <c r="F5081" s="2" t="s">
        <v>15446</v>
      </c>
      <c r="G5081" s="2" t="s">
        <v>15456</v>
      </c>
      <c r="H5081" s="2" t="s">
        <v>15444</v>
      </c>
    </row>
    <row r="5082">
      <c r="A5082" s="2">
        <v>5080.0</v>
      </c>
      <c r="B5082" s="5" t="s">
        <v>7542</v>
      </c>
      <c r="C5082" s="2" t="s">
        <v>7543</v>
      </c>
      <c r="D5082" s="5" t="s">
        <v>7542</v>
      </c>
      <c r="E5082" s="2" t="s">
        <v>15445</v>
      </c>
      <c r="F5082" s="2" t="s">
        <v>15442</v>
      </c>
      <c r="G5082" s="2" t="s">
        <v>15443</v>
      </c>
      <c r="H5082" s="2" t="s">
        <v>15444</v>
      </c>
    </row>
    <row r="5083">
      <c r="A5083" s="2">
        <v>5081.0</v>
      </c>
      <c r="B5083" s="5" t="s">
        <v>14300</v>
      </c>
      <c r="C5083" s="2" t="s">
        <v>14301</v>
      </c>
      <c r="D5083" s="5" t="s">
        <v>14300</v>
      </c>
      <c r="E5083" s="2" t="s">
        <v>15441</v>
      </c>
      <c r="F5083" s="2" t="s">
        <v>15442</v>
      </c>
      <c r="G5083" s="2" t="s">
        <v>15443</v>
      </c>
      <c r="H5083" s="2" t="s">
        <v>15444</v>
      </c>
    </row>
    <row r="5084">
      <c r="A5084" s="2">
        <v>5082.0</v>
      </c>
      <c r="B5084" s="5" t="s">
        <v>7545</v>
      </c>
      <c r="C5084" s="2" t="s">
        <v>7546</v>
      </c>
      <c r="D5084" s="5" t="s">
        <v>7545</v>
      </c>
      <c r="E5084" s="2" t="s">
        <v>15445</v>
      </c>
      <c r="F5084" s="2" t="s">
        <v>15446</v>
      </c>
      <c r="G5084" s="2" t="s">
        <v>15456</v>
      </c>
      <c r="H5084" s="2" t="s">
        <v>15444</v>
      </c>
    </row>
    <row r="5085">
      <c r="A5085" s="2">
        <v>5083.0</v>
      </c>
      <c r="B5085" s="5" t="s">
        <v>7548</v>
      </c>
      <c r="C5085" s="2" t="s">
        <v>7549</v>
      </c>
      <c r="D5085" s="5" t="s">
        <v>7548</v>
      </c>
      <c r="E5085" s="2" t="s">
        <v>15445</v>
      </c>
      <c r="F5085" s="2" t="s">
        <v>15442</v>
      </c>
      <c r="G5085" s="2" t="s">
        <v>15443</v>
      </c>
      <c r="H5085" s="2" t="s">
        <v>15444</v>
      </c>
    </row>
    <row r="5086">
      <c r="A5086" s="2">
        <v>5084.0</v>
      </c>
      <c r="B5086" s="5" t="s">
        <v>14302</v>
      </c>
      <c r="C5086" s="2" t="s">
        <v>14303</v>
      </c>
      <c r="D5086" s="5" t="s">
        <v>14302</v>
      </c>
      <c r="E5086" s="2" t="s">
        <v>15441</v>
      </c>
      <c r="F5086" s="2" t="s">
        <v>15446</v>
      </c>
      <c r="G5086" s="2" t="s">
        <v>15443</v>
      </c>
      <c r="H5086" s="2" t="s">
        <v>15444</v>
      </c>
    </row>
    <row r="5087">
      <c r="A5087" s="2">
        <v>5085.0</v>
      </c>
      <c r="B5087" s="5" t="s">
        <v>14304</v>
      </c>
      <c r="C5087" s="2" t="s">
        <v>14305</v>
      </c>
      <c r="D5087" s="5" t="s">
        <v>14304</v>
      </c>
      <c r="E5087" s="2" t="s">
        <v>15441</v>
      </c>
      <c r="F5087" s="2" t="s">
        <v>15442</v>
      </c>
      <c r="G5087" s="2" t="s">
        <v>15456</v>
      </c>
      <c r="H5087" s="2" t="s">
        <v>15444</v>
      </c>
    </row>
    <row r="5088">
      <c r="A5088" s="2">
        <v>5086.0</v>
      </c>
      <c r="B5088" s="5" t="s">
        <v>7551</v>
      </c>
      <c r="C5088" s="2" t="s">
        <v>7552</v>
      </c>
      <c r="D5088" s="5" t="s">
        <v>7551</v>
      </c>
      <c r="E5088" s="2" t="s">
        <v>15445</v>
      </c>
      <c r="F5088" s="2" t="s">
        <v>15446</v>
      </c>
      <c r="G5088" s="2" t="s">
        <v>15456</v>
      </c>
      <c r="H5088" s="2" t="s">
        <v>15444</v>
      </c>
    </row>
    <row r="5089">
      <c r="A5089" s="2">
        <v>5087.0</v>
      </c>
      <c r="B5089" s="5" t="s">
        <v>7554</v>
      </c>
      <c r="C5089" s="2" t="s">
        <v>7555</v>
      </c>
      <c r="D5089" s="5" t="s">
        <v>7554</v>
      </c>
      <c r="E5089" s="2" t="s">
        <v>15445</v>
      </c>
      <c r="F5089" s="2" t="s">
        <v>15442</v>
      </c>
      <c r="G5089" s="2" t="s">
        <v>15443</v>
      </c>
      <c r="H5089" s="2" t="s">
        <v>15444</v>
      </c>
    </row>
    <row r="5090">
      <c r="A5090" s="2">
        <v>5088.0</v>
      </c>
      <c r="B5090" s="5" t="s">
        <v>14306</v>
      </c>
      <c r="C5090" s="2" t="s">
        <v>14307</v>
      </c>
      <c r="D5090" s="5" t="s">
        <v>14306</v>
      </c>
      <c r="E5090" s="2" t="s">
        <v>15441</v>
      </c>
      <c r="F5090" s="2" t="s">
        <v>15442</v>
      </c>
      <c r="G5090" s="2" t="s">
        <v>15456</v>
      </c>
      <c r="H5090" s="2" t="s">
        <v>15444</v>
      </c>
    </row>
    <row r="5091">
      <c r="A5091" s="2">
        <v>5089.0</v>
      </c>
      <c r="B5091" s="5" t="s">
        <v>7557</v>
      </c>
      <c r="C5091" s="2" t="s">
        <v>7558</v>
      </c>
      <c r="D5091" s="5" t="s">
        <v>7557</v>
      </c>
      <c r="E5091" s="2" t="s">
        <v>15445</v>
      </c>
      <c r="F5091" s="2" t="s">
        <v>15442</v>
      </c>
      <c r="G5091" s="2" t="s">
        <v>15443</v>
      </c>
      <c r="H5091" s="2" t="s">
        <v>15444</v>
      </c>
    </row>
    <row r="5092">
      <c r="A5092" s="2">
        <v>5090.0</v>
      </c>
      <c r="B5092" s="5" t="s">
        <v>14308</v>
      </c>
      <c r="C5092" s="2" t="s">
        <v>14309</v>
      </c>
      <c r="D5092" s="5" t="s">
        <v>14308</v>
      </c>
      <c r="E5092" s="2" t="s">
        <v>15441</v>
      </c>
      <c r="F5092" s="2" t="s">
        <v>15446</v>
      </c>
      <c r="G5092" s="2" t="s">
        <v>15456</v>
      </c>
      <c r="H5092" s="2" t="s">
        <v>15444</v>
      </c>
    </row>
    <row r="5093">
      <c r="A5093" s="2">
        <v>5091.0</v>
      </c>
      <c r="B5093" s="5" t="s">
        <v>14310</v>
      </c>
      <c r="C5093" s="2" t="s">
        <v>14311</v>
      </c>
      <c r="D5093" s="5" t="s">
        <v>14310</v>
      </c>
      <c r="E5093" s="2" t="s">
        <v>15441</v>
      </c>
      <c r="F5093" s="2" t="s">
        <v>15446</v>
      </c>
      <c r="G5093" s="2" t="s">
        <v>15456</v>
      </c>
      <c r="H5093" s="2" t="s">
        <v>15444</v>
      </c>
    </row>
    <row r="5094">
      <c r="A5094" s="2">
        <v>5092.0</v>
      </c>
      <c r="B5094" s="5" t="s">
        <v>7560</v>
      </c>
      <c r="C5094" s="2" t="s">
        <v>7561</v>
      </c>
      <c r="D5094" s="5" t="s">
        <v>7560</v>
      </c>
      <c r="E5094" s="2" t="s">
        <v>15445</v>
      </c>
      <c r="F5094" s="2" t="s">
        <v>15446</v>
      </c>
      <c r="G5094" s="2" t="s">
        <v>15456</v>
      </c>
      <c r="H5094" s="2" t="s">
        <v>15444</v>
      </c>
    </row>
    <row r="5095">
      <c r="A5095" s="2">
        <v>5093.0</v>
      </c>
      <c r="B5095" s="5" t="s">
        <v>7563</v>
      </c>
      <c r="C5095" s="2" t="s">
        <v>7564</v>
      </c>
      <c r="D5095" s="5" t="s">
        <v>7563</v>
      </c>
      <c r="E5095" s="2" t="s">
        <v>15445</v>
      </c>
      <c r="F5095" s="2" t="s">
        <v>15442</v>
      </c>
      <c r="G5095" s="2" t="s">
        <v>15443</v>
      </c>
      <c r="H5095" s="2" t="s">
        <v>15444</v>
      </c>
    </row>
    <row r="5096">
      <c r="A5096" s="2">
        <v>5094.0</v>
      </c>
      <c r="B5096" s="5" t="s">
        <v>7566</v>
      </c>
      <c r="C5096" s="2" t="s">
        <v>7567</v>
      </c>
      <c r="D5096" s="5" t="s">
        <v>7566</v>
      </c>
      <c r="E5096" s="2" t="s">
        <v>15445</v>
      </c>
      <c r="F5096" s="2" t="s">
        <v>15442</v>
      </c>
      <c r="G5096" s="2" t="s">
        <v>15443</v>
      </c>
      <c r="H5096" s="2" t="s">
        <v>15444</v>
      </c>
    </row>
    <row r="5097">
      <c r="A5097" s="2">
        <v>5095.0</v>
      </c>
      <c r="B5097" s="5" t="s">
        <v>14312</v>
      </c>
      <c r="C5097" s="2" t="s">
        <v>14313</v>
      </c>
      <c r="D5097" s="5" t="s">
        <v>14312</v>
      </c>
      <c r="E5097" s="2" t="s">
        <v>15441</v>
      </c>
      <c r="F5097" s="2" t="s">
        <v>15446</v>
      </c>
      <c r="G5097" s="2" t="s">
        <v>15456</v>
      </c>
      <c r="H5097" s="2" t="s">
        <v>15444</v>
      </c>
    </row>
    <row r="5098">
      <c r="A5098" s="2">
        <v>5096.0</v>
      </c>
      <c r="B5098" s="5" t="s">
        <v>14314</v>
      </c>
      <c r="C5098" s="2" t="s">
        <v>14315</v>
      </c>
      <c r="D5098" s="5" t="s">
        <v>14314</v>
      </c>
      <c r="E5098" s="2" t="s">
        <v>15441</v>
      </c>
      <c r="F5098" s="2" t="s">
        <v>15442</v>
      </c>
      <c r="G5098" s="2" t="s">
        <v>15443</v>
      </c>
      <c r="H5098" s="2" t="s">
        <v>15444</v>
      </c>
    </row>
    <row r="5099">
      <c r="A5099" s="2">
        <v>5097.0</v>
      </c>
      <c r="B5099" s="5" t="s">
        <v>7569</v>
      </c>
      <c r="C5099" s="2" t="s">
        <v>7570</v>
      </c>
      <c r="D5099" s="5" t="s">
        <v>7569</v>
      </c>
      <c r="E5099" s="2" t="s">
        <v>15445</v>
      </c>
      <c r="F5099" s="2" t="s">
        <v>15442</v>
      </c>
      <c r="G5099" s="2" t="s">
        <v>15443</v>
      </c>
      <c r="H5099" s="2" t="s">
        <v>15444</v>
      </c>
    </row>
    <row r="5100">
      <c r="A5100" s="2">
        <v>5098.0</v>
      </c>
      <c r="B5100" s="5" t="s">
        <v>7572</v>
      </c>
      <c r="C5100" s="2" t="s">
        <v>7573</v>
      </c>
      <c r="D5100" s="5" t="s">
        <v>7572</v>
      </c>
      <c r="E5100" s="2" t="s">
        <v>15445</v>
      </c>
      <c r="F5100" s="2" t="s">
        <v>15446</v>
      </c>
      <c r="G5100" s="2" t="s">
        <v>15443</v>
      </c>
      <c r="H5100" s="2" t="s">
        <v>15444</v>
      </c>
    </row>
    <row r="5101">
      <c r="A5101" s="2">
        <v>5099.0</v>
      </c>
      <c r="B5101" s="5" t="s">
        <v>7575</v>
      </c>
      <c r="C5101" s="2" t="s">
        <v>7576</v>
      </c>
      <c r="D5101" s="5" t="s">
        <v>7575</v>
      </c>
      <c r="E5101" s="2" t="s">
        <v>15445</v>
      </c>
      <c r="F5101" s="2" t="s">
        <v>15446</v>
      </c>
      <c r="G5101" s="2" t="s">
        <v>15456</v>
      </c>
      <c r="H5101" s="2" t="s">
        <v>15444</v>
      </c>
    </row>
    <row r="5102">
      <c r="A5102" s="2">
        <v>5100.0</v>
      </c>
      <c r="B5102" s="5" t="s">
        <v>14316</v>
      </c>
      <c r="C5102" s="2" t="s">
        <v>14317</v>
      </c>
      <c r="D5102" s="5" t="s">
        <v>14316</v>
      </c>
      <c r="E5102" s="2" t="s">
        <v>15441</v>
      </c>
      <c r="F5102" s="2" t="s">
        <v>15442</v>
      </c>
      <c r="G5102" s="2" t="s">
        <v>15443</v>
      </c>
      <c r="H5102" s="2" t="s">
        <v>15444</v>
      </c>
    </row>
    <row r="5103">
      <c r="A5103" s="2">
        <v>5101.0</v>
      </c>
      <c r="B5103" s="5" t="s">
        <v>15595</v>
      </c>
      <c r="D5103" s="5" t="s">
        <v>15595</v>
      </c>
      <c r="E5103" s="2" t="s">
        <v>15445</v>
      </c>
      <c r="F5103" s="2" t="s">
        <v>15446</v>
      </c>
      <c r="G5103" s="2" t="s">
        <v>15456</v>
      </c>
      <c r="H5103" s="2" t="s">
        <v>15457</v>
      </c>
    </row>
    <row r="5104">
      <c r="A5104" s="2">
        <v>5102.0</v>
      </c>
      <c r="B5104" s="5" t="s">
        <v>7578</v>
      </c>
      <c r="C5104" s="2" t="s">
        <v>7579</v>
      </c>
      <c r="D5104" s="5" t="s">
        <v>7578</v>
      </c>
      <c r="E5104" s="2" t="s">
        <v>15445</v>
      </c>
      <c r="F5104" s="2" t="s">
        <v>15446</v>
      </c>
      <c r="G5104" s="2" t="s">
        <v>15456</v>
      </c>
      <c r="H5104" s="2" t="s">
        <v>15444</v>
      </c>
    </row>
    <row r="5105">
      <c r="A5105" s="2">
        <v>5103.0</v>
      </c>
      <c r="B5105" s="5" t="s">
        <v>14318</v>
      </c>
      <c r="C5105" s="2" t="s">
        <v>14319</v>
      </c>
      <c r="D5105" s="5" t="s">
        <v>14318</v>
      </c>
      <c r="E5105" s="2" t="s">
        <v>15441</v>
      </c>
      <c r="F5105" s="2" t="s">
        <v>15442</v>
      </c>
      <c r="G5105" s="2" t="s">
        <v>15456</v>
      </c>
      <c r="H5105" s="2" t="s">
        <v>15444</v>
      </c>
    </row>
    <row r="5106">
      <c r="A5106" s="2">
        <v>5104.0</v>
      </c>
      <c r="B5106" s="5" t="s">
        <v>7581</v>
      </c>
      <c r="C5106" s="2" t="s">
        <v>7582</v>
      </c>
      <c r="D5106" s="5" t="s">
        <v>7581</v>
      </c>
      <c r="E5106" s="2" t="s">
        <v>15445</v>
      </c>
      <c r="F5106" s="2" t="s">
        <v>15442</v>
      </c>
      <c r="G5106" s="2" t="s">
        <v>15443</v>
      </c>
      <c r="H5106" s="2" t="s">
        <v>15444</v>
      </c>
    </row>
    <row r="5107">
      <c r="A5107" s="2">
        <v>5105.0</v>
      </c>
      <c r="B5107" s="5" t="s">
        <v>14320</v>
      </c>
      <c r="C5107" s="2" t="s">
        <v>14321</v>
      </c>
      <c r="D5107" s="5" t="s">
        <v>14320</v>
      </c>
      <c r="E5107" s="2" t="s">
        <v>15441</v>
      </c>
      <c r="F5107" s="2" t="s">
        <v>15446</v>
      </c>
      <c r="G5107" s="2" t="s">
        <v>15456</v>
      </c>
      <c r="H5107" s="2" t="s">
        <v>15444</v>
      </c>
    </row>
    <row r="5108">
      <c r="A5108" s="2">
        <v>5106.0</v>
      </c>
      <c r="B5108" s="5" t="s">
        <v>7584</v>
      </c>
      <c r="C5108" s="2" t="s">
        <v>7585</v>
      </c>
      <c r="D5108" s="5" t="s">
        <v>7584</v>
      </c>
      <c r="E5108" s="2" t="s">
        <v>15445</v>
      </c>
      <c r="F5108" s="2" t="s">
        <v>15442</v>
      </c>
      <c r="G5108" s="2" t="s">
        <v>15443</v>
      </c>
      <c r="H5108" s="2" t="s">
        <v>15444</v>
      </c>
    </row>
    <row r="5109">
      <c r="A5109" s="2">
        <v>5107.0</v>
      </c>
      <c r="B5109" s="5" t="s">
        <v>14322</v>
      </c>
      <c r="C5109" s="2" t="s">
        <v>14323</v>
      </c>
      <c r="D5109" s="5" t="s">
        <v>14322</v>
      </c>
      <c r="E5109" s="2" t="s">
        <v>15441</v>
      </c>
      <c r="F5109" s="2" t="s">
        <v>15442</v>
      </c>
      <c r="G5109" s="2" t="s">
        <v>15456</v>
      </c>
      <c r="H5109" s="2" t="s">
        <v>15455</v>
      </c>
    </row>
    <row r="5110">
      <c r="A5110" s="2">
        <v>5108.0</v>
      </c>
      <c r="B5110" s="5" t="s">
        <v>7587</v>
      </c>
      <c r="C5110" s="2" t="s">
        <v>7588</v>
      </c>
      <c r="D5110" s="5" t="s">
        <v>7587</v>
      </c>
      <c r="E5110" s="2" t="s">
        <v>15445</v>
      </c>
      <c r="F5110" s="2" t="s">
        <v>15446</v>
      </c>
      <c r="G5110" s="2" t="s">
        <v>15443</v>
      </c>
      <c r="H5110" s="2" t="s">
        <v>15444</v>
      </c>
    </row>
    <row r="5111">
      <c r="A5111" s="2">
        <v>5109.0</v>
      </c>
      <c r="B5111" s="5" t="s">
        <v>14324</v>
      </c>
      <c r="C5111" s="2" t="s">
        <v>14325</v>
      </c>
      <c r="D5111" s="5" t="s">
        <v>14324</v>
      </c>
      <c r="E5111" s="2" t="s">
        <v>15441</v>
      </c>
      <c r="F5111" s="2" t="s">
        <v>15446</v>
      </c>
      <c r="G5111" s="2" t="s">
        <v>15456</v>
      </c>
      <c r="H5111" s="2" t="s">
        <v>15444</v>
      </c>
    </row>
    <row r="5112">
      <c r="A5112" s="2">
        <v>5110.0</v>
      </c>
      <c r="B5112" s="5" t="s">
        <v>7590</v>
      </c>
      <c r="C5112" s="2" t="s">
        <v>7591</v>
      </c>
      <c r="D5112" s="5" t="s">
        <v>7590</v>
      </c>
      <c r="E5112" s="2" t="s">
        <v>15445</v>
      </c>
      <c r="F5112" s="2" t="s">
        <v>15446</v>
      </c>
      <c r="G5112" s="2" t="s">
        <v>15456</v>
      </c>
      <c r="H5112" s="2" t="s">
        <v>15455</v>
      </c>
    </row>
    <row r="5113">
      <c r="A5113" s="2">
        <v>5111.0</v>
      </c>
      <c r="B5113" s="5" t="s">
        <v>7593</v>
      </c>
      <c r="C5113" s="2" t="s">
        <v>7594</v>
      </c>
      <c r="D5113" s="5" t="s">
        <v>7593</v>
      </c>
      <c r="E5113" s="2" t="s">
        <v>15445</v>
      </c>
      <c r="F5113" s="2" t="s">
        <v>15446</v>
      </c>
      <c r="G5113" s="2" t="s">
        <v>15456</v>
      </c>
      <c r="H5113" s="2" t="s">
        <v>15444</v>
      </c>
    </row>
    <row r="5114">
      <c r="A5114" s="2">
        <v>5112.0</v>
      </c>
      <c r="B5114" s="5" t="s">
        <v>14326</v>
      </c>
      <c r="C5114" s="2" t="s">
        <v>14327</v>
      </c>
      <c r="D5114" s="5" t="s">
        <v>14326</v>
      </c>
      <c r="E5114" s="2" t="s">
        <v>15441</v>
      </c>
      <c r="F5114" s="2" t="s">
        <v>15446</v>
      </c>
      <c r="G5114" s="2" t="s">
        <v>15443</v>
      </c>
      <c r="H5114" s="2" t="s">
        <v>15462</v>
      </c>
    </row>
    <row r="5115">
      <c r="A5115" s="2">
        <v>5113.0</v>
      </c>
      <c r="B5115" s="5" t="s">
        <v>7596</v>
      </c>
      <c r="C5115" s="2" t="s">
        <v>7597</v>
      </c>
      <c r="D5115" s="5" t="s">
        <v>7596</v>
      </c>
      <c r="E5115" s="2" t="s">
        <v>15445</v>
      </c>
      <c r="F5115" s="2" t="s">
        <v>15442</v>
      </c>
      <c r="G5115" s="2" t="s">
        <v>15443</v>
      </c>
      <c r="H5115" s="2" t="s">
        <v>15461</v>
      </c>
    </row>
    <row r="5116">
      <c r="A5116" s="2">
        <v>5114.0</v>
      </c>
      <c r="B5116" s="5" t="s">
        <v>14328</v>
      </c>
      <c r="C5116" s="2" t="s">
        <v>14329</v>
      </c>
      <c r="D5116" s="5" t="s">
        <v>14328</v>
      </c>
      <c r="E5116" s="2" t="s">
        <v>15441</v>
      </c>
      <c r="F5116" s="2" t="s">
        <v>15446</v>
      </c>
      <c r="G5116" s="2" t="s">
        <v>15443</v>
      </c>
      <c r="H5116" s="2" t="s">
        <v>15457</v>
      </c>
    </row>
    <row r="5117">
      <c r="A5117" s="2">
        <v>5115.0</v>
      </c>
      <c r="B5117" s="5" t="s">
        <v>14330</v>
      </c>
      <c r="C5117" s="2" t="s">
        <v>14331</v>
      </c>
      <c r="D5117" s="5" t="s">
        <v>14330</v>
      </c>
      <c r="E5117" s="2" t="s">
        <v>15441</v>
      </c>
      <c r="F5117" s="2" t="s">
        <v>15442</v>
      </c>
      <c r="G5117" s="2" t="s">
        <v>15456</v>
      </c>
      <c r="H5117" s="2" t="s">
        <v>15462</v>
      </c>
    </row>
    <row r="5118">
      <c r="A5118" s="2">
        <v>5116.0</v>
      </c>
      <c r="B5118" s="5" t="s">
        <v>7599</v>
      </c>
      <c r="C5118" s="2" t="s">
        <v>7600</v>
      </c>
      <c r="D5118" s="5" t="s">
        <v>7599</v>
      </c>
      <c r="E5118" s="2" t="s">
        <v>15445</v>
      </c>
      <c r="F5118" s="2" t="s">
        <v>15446</v>
      </c>
      <c r="G5118" s="2" t="s">
        <v>15456</v>
      </c>
      <c r="H5118" s="2" t="s">
        <v>15444</v>
      </c>
    </row>
    <row r="5119">
      <c r="A5119" s="2">
        <v>5117.0</v>
      </c>
      <c r="B5119" s="5" t="s">
        <v>7602</v>
      </c>
      <c r="C5119" s="2" t="s">
        <v>7603</v>
      </c>
      <c r="D5119" s="5" t="s">
        <v>7602</v>
      </c>
      <c r="E5119" s="2" t="s">
        <v>15445</v>
      </c>
      <c r="F5119" s="2" t="s">
        <v>15446</v>
      </c>
      <c r="G5119" s="2" t="s">
        <v>15456</v>
      </c>
      <c r="H5119" s="2" t="s">
        <v>15444</v>
      </c>
    </row>
    <row r="5120">
      <c r="A5120" s="2">
        <v>5118.0</v>
      </c>
      <c r="B5120" s="5" t="s">
        <v>14332</v>
      </c>
      <c r="C5120" s="2" t="s">
        <v>14333</v>
      </c>
      <c r="D5120" s="5" t="s">
        <v>14332</v>
      </c>
      <c r="E5120" s="2" t="s">
        <v>15441</v>
      </c>
      <c r="F5120" s="2" t="s">
        <v>15442</v>
      </c>
      <c r="G5120" s="2" t="s">
        <v>15443</v>
      </c>
      <c r="H5120" s="2" t="s">
        <v>15444</v>
      </c>
    </row>
    <row r="5121">
      <c r="A5121" s="2">
        <v>5119.0</v>
      </c>
      <c r="B5121" s="5" t="s">
        <v>7605</v>
      </c>
      <c r="C5121" s="2" t="s">
        <v>7606</v>
      </c>
      <c r="D5121" s="5" t="s">
        <v>7605</v>
      </c>
      <c r="E5121" s="2" t="s">
        <v>15445</v>
      </c>
      <c r="F5121" s="2" t="s">
        <v>15442</v>
      </c>
      <c r="G5121" s="2" t="s">
        <v>15443</v>
      </c>
      <c r="H5121" s="2" t="s">
        <v>15444</v>
      </c>
    </row>
    <row r="5122">
      <c r="A5122" s="2">
        <v>5120.0</v>
      </c>
      <c r="B5122" s="5" t="s">
        <v>14334</v>
      </c>
      <c r="C5122" s="2" t="s">
        <v>14335</v>
      </c>
      <c r="D5122" s="5" t="s">
        <v>14334</v>
      </c>
      <c r="E5122" s="2" t="s">
        <v>15441</v>
      </c>
      <c r="F5122" s="2" t="s">
        <v>15446</v>
      </c>
      <c r="G5122" s="2" t="s">
        <v>15456</v>
      </c>
      <c r="H5122" s="2" t="s">
        <v>15444</v>
      </c>
    </row>
    <row r="5123">
      <c r="A5123" s="2">
        <v>5121.0</v>
      </c>
      <c r="B5123" s="5" t="s">
        <v>7608</v>
      </c>
      <c r="C5123" s="2" t="s">
        <v>7609</v>
      </c>
      <c r="D5123" s="5" t="s">
        <v>7608</v>
      </c>
      <c r="E5123" s="2" t="s">
        <v>15445</v>
      </c>
      <c r="F5123" s="2" t="s">
        <v>15446</v>
      </c>
      <c r="G5123" s="2" t="s">
        <v>15456</v>
      </c>
      <c r="H5123" s="2" t="s">
        <v>15444</v>
      </c>
    </row>
    <row r="5124">
      <c r="A5124" s="2">
        <v>5122.0</v>
      </c>
      <c r="B5124" s="5" t="s">
        <v>14336</v>
      </c>
      <c r="C5124" s="2" t="s">
        <v>14337</v>
      </c>
      <c r="D5124" s="5" t="s">
        <v>14336</v>
      </c>
      <c r="E5124" s="2" t="s">
        <v>15441</v>
      </c>
      <c r="F5124" s="2" t="s">
        <v>15446</v>
      </c>
      <c r="G5124" s="2" t="s">
        <v>15456</v>
      </c>
      <c r="H5124" s="2" t="s">
        <v>15444</v>
      </c>
    </row>
    <row r="5125">
      <c r="A5125" s="2">
        <v>5123.0</v>
      </c>
      <c r="B5125" s="5" t="s">
        <v>14338</v>
      </c>
      <c r="C5125" s="2" t="s">
        <v>14339</v>
      </c>
      <c r="D5125" s="5" t="s">
        <v>14338</v>
      </c>
      <c r="E5125" s="2" t="s">
        <v>15441</v>
      </c>
      <c r="F5125" s="2" t="s">
        <v>15446</v>
      </c>
      <c r="G5125" s="2" t="s">
        <v>15456</v>
      </c>
      <c r="H5125" s="2" t="s">
        <v>15444</v>
      </c>
    </row>
    <row r="5126">
      <c r="A5126" s="2">
        <v>5124.0</v>
      </c>
      <c r="B5126" s="5" t="s">
        <v>7611</v>
      </c>
      <c r="C5126" s="2" t="s">
        <v>7612</v>
      </c>
      <c r="D5126" s="5" t="s">
        <v>7611</v>
      </c>
      <c r="E5126" s="2" t="s">
        <v>15445</v>
      </c>
      <c r="F5126" s="2" t="s">
        <v>15442</v>
      </c>
      <c r="G5126" s="2" t="s">
        <v>15443</v>
      </c>
      <c r="H5126" s="2" t="s">
        <v>15444</v>
      </c>
    </row>
    <row r="5127">
      <c r="A5127" s="2">
        <v>5125.0</v>
      </c>
      <c r="B5127" s="5" t="s">
        <v>14340</v>
      </c>
      <c r="C5127" s="2" t="s">
        <v>14341</v>
      </c>
      <c r="D5127" s="5" t="s">
        <v>14340</v>
      </c>
      <c r="E5127" s="2" t="s">
        <v>15441</v>
      </c>
      <c r="F5127" s="2" t="s">
        <v>15442</v>
      </c>
      <c r="G5127" s="2" t="s">
        <v>15456</v>
      </c>
      <c r="H5127" s="2" t="s">
        <v>15455</v>
      </c>
    </row>
    <row r="5128">
      <c r="A5128" s="2">
        <v>5126.0</v>
      </c>
      <c r="B5128" s="5" t="s">
        <v>14342</v>
      </c>
      <c r="C5128" s="2" t="s">
        <v>14343</v>
      </c>
      <c r="D5128" s="5" t="s">
        <v>14342</v>
      </c>
      <c r="E5128" s="2" t="s">
        <v>15441</v>
      </c>
      <c r="F5128" s="2" t="s">
        <v>15446</v>
      </c>
      <c r="G5128" s="2" t="s">
        <v>15456</v>
      </c>
      <c r="H5128" s="2" t="s">
        <v>15444</v>
      </c>
    </row>
    <row r="5129">
      <c r="A5129" s="2">
        <v>5127.0</v>
      </c>
      <c r="B5129" s="5" t="s">
        <v>14344</v>
      </c>
      <c r="C5129" s="2" t="s">
        <v>14345</v>
      </c>
      <c r="D5129" s="5" t="s">
        <v>14344</v>
      </c>
      <c r="E5129" s="2" t="s">
        <v>15441</v>
      </c>
      <c r="F5129" s="2" t="s">
        <v>15442</v>
      </c>
      <c r="G5129" s="2" t="s">
        <v>15443</v>
      </c>
      <c r="H5129" s="2" t="s">
        <v>15444</v>
      </c>
    </row>
    <row r="5130">
      <c r="A5130" s="2">
        <v>5128.0</v>
      </c>
      <c r="B5130" s="5" t="s">
        <v>7614</v>
      </c>
      <c r="C5130" s="2" t="s">
        <v>7615</v>
      </c>
      <c r="D5130" s="5" t="s">
        <v>7614</v>
      </c>
      <c r="E5130" s="2" t="s">
        <v>15445</v>
      </c>
      <c r="F5130" s="2" t="s">
        <v>15446</v>
      </c>
      <c r="G5130" s="2" t="s">
        <v>15443</v>
      </c>
      <c r="H5130" s="2" t="s">
        <v>15444</v>
      </c>
    </row>
    <row r="5131">
      <c r="A5131" s="2">
        <v>5129.0</v>
      </c>
      <c r="B5131" s="5" t="s">
        <v>7617</v>
      </c>
      <c r="C5131" s="2" t="s">
        <v>7618</v>
      </c>
      <c r="D5131" s="5" t="s">
        <v>7617</v>
      </c>
      <c r="E5131" s="2" t="s">
        <v>15445</v>
      </c>
      <c r="F5131" s="2" t="s">
        <v>15446</v>
      </c>
      <c r="G5131" s="2" t="s">
        <v>15443</v>
      </c>
      <c r="H5131" s="2" t="s">
        <v>15457</v>
      </c>
    </row>
    <row r="5132">
      <c r="A5132" s="2">
        <v>5130.0</v>
      </c>
      <c r="B5132" s="5" t="s">
        <v>14346</v>
      </c>
      <c r="C5132" s="2" t="s">
        <v>14347</v>
      </c>
      <c r="D5132" s="5" t="s">
        <v>14346</v>
      </c>
      <c r="E5132" s="2" t="s">
        <v>15441</v>
      </c>
      <c r="F5132" s="2" t="s">
        <v>15442</v>
      </c>
      <c r="G5132" s="2" t="s">
        <v>15443</v>
      </c>
      <c r="H5132" s="2" t="s">
        <v>15444</v>
      </c>
    </row>
    <row r="5133">
      <c r="A5133" s="2">
        <v>5131.0</v>
      </c>
      <c r="B5133" s="5" t="s">
        <v>7620</v>
      </c>
      <c r="C5133" s="2" t="s">
        <v>7621</v>
      </c>
      <c r="D5133" s="5" t="s">
        <v>7620</v>
      </c>
      <c r="E5133" s="2" t="s">
        <v>15445</v>
      </c>
      <c r="F5133" s="2" t="s">
        <v>15446</v>
      </c>
      <c r="G5133" s="2" t="s">
        <v>15456</v>
      </c>
      <c r="H5133" s="2" t="s">
        <v>15444</v>
      </c>
    </row>
    <row r="5134">
      <c r="A5134" s="2">
        <v>5132.0</v>
      </c>
      <c r="B5134" s="5" t="s">
        <v>7623</v>
      </c>
      <c r="C5134" s="2" t="s">
        <v>7624</v>
      </c>
      <c r="D5134" s="5" t="s">
        <v>7623</v>
      </c>
      <c r="E5134" s="2" t="s">
        <v>15445</v>
      </c>
      <c r="F5134" s="2" t="s">
        <v>15446</v>
      </c>
      <c r="G5134" s="2" t="s">
        <v>15456</v>
      </c>
      <c r="H5134" s="2" t="s">
        <v>15444</v>
      </c>
    </row>
    <row r="5135">
      <c r="A5135" s="2">
        <v>5133.0</v>
      </c>
      <c r="B5135" s="5" t="s">
        <v>14348</v>
      </c>
      <c r="C5135" s="2" t="s">
        <v>14349</v>
      </c>
      <c r="D5135" s="5" t="s">
        <v>14348</v>
      </c>
      <c r="E5135" s="2" t="s">
        <v>15441</v>
      </c>
      <c r="F5135" s="2" t="s">
        <v>15446</v>
      </c>
      <c r="G5135" s="2" t="s">
        <v>15443</v>
      </c>
      <c r="H5135" s="2" t="s">
        <v>15444</v>
      </c>
    </row>
    <row r="5136">
      <c r="A5136" s="2">
        <v>5134.0</v>
      </c>
      <c r="B5136" s="5" t="s">
        <v>7626</v>
      </c>
      <c r="C5136" s="2" t="s">
        <v>7627</v>
      </c>
      <c r="D5136" s="5" t="s">
        <v>7626</v>
      </c>
      <c r="E5136" s="2" t="s">
        <v>15445</v>
      </c>
      <c r="F5136" s="2" t="s">
        <v>15446</v>
      </c>
      <c r="G5136" s="2" t="s">
        <v>15443</v>
      </c>
      <c r="H5136" s="2" t="s">
        <v>15444</v>
      </c>
    </row>
    <row r="5137">
      <c r="A5137" s="2">
        <v>5135.0</v>
      </c>
      <c r="B5137" s="5" t="s">
        <v>14350</v>
      </c>
      <c r="C5137" s="2" t="s">
        <v>14351</v>
      </c>
      <c r="D5137" s="5" t="s">
        <v>14350</v>
      </c>
      <c r="E5137" s="2" t="s">
        <v>15441</v>
      </c>
      <c r="F5137" s="2" t="s">
        <v>15442</v>
      </c>
      <c r="G5137" s="2" t="s">
        <v>15443</v>
      </c>
      <c r="H5137" s="2" t="s">
        <v>15444</v>
      </c>
    </row>
    <row r="5138">
      <c r="A5138" s="2">
        <v>5136.0</v>
      </c>
      <c r="B5138" s="5" t="s">
        <v>14352</v>
      </c>
      <c r="C5138" s="2" t="s">
        <v>14353</v>
      </c>
      <c r="D5138" s="5" t="s">
        <v>14352</v>
      </c>
      <c r="E5138" s="2" t="s">
        <v>15441</v>
      </c>
      <c r="F5138" s="2" t="s">
        <v>15446</v>
      </c>
      <c r="G5138" s="2" t="s">
        <v>15456</v>
      </c>
      <c r="H5138" s="2" t="s">
        <v>15444</v>
      </c>
    </row>
    <row r="5139">
      <c r="A5139" s="2">
        <v>5137.0</v>
      </c>
      <c r="B5139" s="5" t="s">
        <v>14354</v>
      </c>
      <c r="C5139" s="2" t="s">
        <v>14355</v>
      </c>
      <c r="D5139" s="5" t="s">
        <v>14354</v>
      </c>
      <c r="E5139" s="2" t="s">
        <v>15441</v>
      </c>
      <c r="F5139" s="2" t="s">
        <v>15442</v>
      </c>
      <c r="G5139" s="2" t="s">
        <v>15456</v>
      </c>
      <c r="H5139" s="2" t="s">
        <v>15444</v>
      </c>
    </row>
    <row r="5140">
      <c r="A5140" s="2">
        <v>5138.0</v>
      </c>
      <c r="B5140" s="5" t="s">
        <v>7629</v>
      </c>
      <c r="C5140" s="2" t="s">
        <v>7630</v>
      </c>
      <c r="D5140" s="5" t="s">
        <v>7629</v>
      </c>
      <c r="E5140" s="2" t="s">
        <v>15445</v>
      </c>
      <c r="F5140" s="2" t="s">
        <v>15446</v>
      </c>
      <c r="G5140" s="2" t="s">
        <v>15456</v>
      </c>
      <c r="H5140" s="2" t="s">
        <v>15444</v>
      </c>
    </row>
    <row r="5141">
      <c r="A5141" s="2">
        <v>5139.0</v>
      </c>
      <c r="B5141" s="5" t="s">
        <v>7632</v>
      </c>
      <c r="C5141" s="2" t="s">
        <v>7633</v>
      </c>
      <c r="D5141" s="5" t="s">
        <v>7632</v>
      </c>
      <c r="E5141" s="2" t="s">
        <v>15445</v>
      </c>
      <c r="F5141" s="2" t="s">
        <v>15442</v>
      </c>
      <c r="G5141" s="2" t="s">
        <v>15456</v>
      </c>
      <c r="H5141" s="2" t="s">
        <v>15444</v>
      </c>
    </row>
    <row r="5142">
      <c r="A5142" s="2">
        <v>5140.0</v>
      </c>
      <c r="B5142" s="5" t="s">
        <v>14356</v>
      </c>
      <c r="C5142" s="2" t="s">
        <v>14357</v>
      </c>
      <c r="D5142" s="5" t="s">
        <v>14356</v>
      </c>
      <c r="E5142" s="2" t="s">
        <v>15441</v>
      </c>
      <c r="F5142" s="2" t="s">
        <v>15446</v>
      </c>
      <c r="G5142" s="2" t="s">
        <v>15456</v>
      </c>
      <c r="H5142" s="2" t="s">
        <v>15444</v>
      </c>
    </row>
    <row r="5143">
      <c r="A5143" s="2">
        <v>5141.0</v>
      </c>
      <c r="B5143" s="5" t="s">
        <v>14358</v>
      </c>
      <c r="C5143" s="2" t="s">
        <v>14359</v>
      </c>
      <c r="D5143" s="5" t="s">
        <v>14358</v>
      </c>
      <c r="E5143" s="2" t="s">
        <v>15441</v>
      </c>
      <c r="F5143" s="2" t="s">
        <v>15442</v>
      </c>
      <c r="G5143" s="2" t="s">
        <v>15443</v>
      </c>
      <c r="H5143" s="2" t="s">
        <v>15444</v>
      </c>
    </row>
    <row r="5144">
      <c r="A5144" s="2">
        <v>5142.0</v>
      </c>
      <c r="B5144" s="5" t="s">
        <v>14360</v>
      </c>
      <c r="C5144" s="2" t="s">
        <v>14361</v>
      </c>
      <c r="D5144" s="5" t="s">
        <v>14360</v>
      </c>
      <c r="E5144" s="2" t="s">
        <v>15441</v>
      </c>
      <c r="F5144" s="2" t="s">
        <v>15446</v>
      </c>
      <c r="G5144" s="2" t="s">
        <v>15456</v>
      </c>
      <c r="H5144" s="2" t="s">
        <v>15444</v>
      </c>
    </row>
    <row r="5145">
      <c r="A5145" s="2">
        <v>5143.0</v>
      </c>
      <c r="B5145" s="5" t="s">
        <v>7635</v>
      </c>
      <c r="C5145" s="2" t="s">
        <v>7636</v>
      </c>
      <c r="D5145" s="5" t="s">
        <v>7635</v>
      </c>
      <c r="E5145" s="2" t="s">
        <v>15445</v>
      </c>
      <c r="F5145" s="2" t="s">
        <v>15442</v>
      </c>
      <c r="G5145" s="2" t="s">
        <v>15443</v>
      </c>
      <c r="H5145" s="2" t="s">
        <v>15444</v>
      </c>
    </row>
    <row r="5146">
      <c r="A5146" s="2">
        <v>5144.0</v>
      </c>
      <c r="B5146" s="5" t="s">
        <v>7638</v>
      </c>
      <c r="C5146" s="2" t="s">
        <v>7639</v>
      </c>
      <c r="D5146" s="5" t="s">
        <v>7638</v>
      </c>
      <c r="E5146" s="2" t="s">
        <v>15445</v>
      </c>
      <c r="F5146" s="2" t="s">
        <v>15446</v>
      </c>
      <c r="G5146" s="2" t="s">
        <v>15456</v>
      </c>
      <c r="H5146" s="2" t="s">
        <v>15444</v>
      </c>
    </row>
    <row r="5147">
      <c r="A5147" s="2">
        <v>5145.0</v>
      </c>
      <c r="B5147" s="5" t="s">
        <v>14362</v>
      </c>
      <c r="C5147" s="2" t="s">
        <v>14363</v>
      </c>
      <c r="D5147" s="5" t="s">
        <v>14362</v>
      </c>
      <c r="E5147" s="2" t="s">
        <v>15441</v>
      </c>
      <c r="F5147" s="2" t="s">
        <v>15442</v>
      </c>
      <c r="G5147" s="2" t="s">
        <v>15443</v>
      </c>
      <c r="H5147" s="2" t="s">
        <v>15444</v>
      </c>
    </row>
    <row r="5148">
      <c r="A5148" s="2">
        <v>5146.0</v>
      </c>
      <c r="B5148" s="5" t="s">
        <v>14364</v>
      </c>
      <c r="C5148" s="2" t="s">
        <v>14365</v>
      </c>
      <c r="D5148" s="5" t="s">
        <v>14364</v>
      </c>
      <c r="E5148" s="2" t="s">
        <v>15441</v>
      </c>
      <c r="F5148" s="2" t="s">
        <v>15442</v>
      </c>
      <c r="G5148" s="2" t="s">
        <v>15443</v>
      </c>
      <c r="H5148" s="2" t="s">
        <v>15444</v>
      </c>
    </row>
    <row r="5149">
      <c r="A5149" s="2">
        <v>5147.0</v>
      </c>
      <c r="B5149" s="5" t="s">
        <v>7641</v>
      </c>
      <c r="C5149" s="2" t="s">
        <v>7642</v>
      </c>
      <c r="D5149" s="5" t="s">
        <v>7641</v>
      </c>
      <c r="E5149" s="2" t="s">
        <v>15445</v>
      </c>
      <c r="F5149" s="2" t="s">
        <v>15446</v>
      </c>
      <c r="G5149" s="2" t="s">
        <v>15443</v>
      </c>
      <c r="H5149" s="2" t="s">
        <v>15444</v>
      </c>
    </row>
    <row r="5150">
      <c r="A5150" s="2">
        <v>5148.0</v>
      </c>
      <c r="B5150" s="5" t="s">
        <v>7644</v>
      </c>
      <c r="C5150" s="2" t="s">
        <v>7645</v>
      </c>
      <c r="D5150" s="5" t="s">
        <v>7644</v>
      </c>
      <c r="E5150" s="2" t="s">
        <v>15445</v>
      </c>
      <c r="F5150" s="2" t="s">
        <v>15446</v>
      </c>
      <c r="G5150" s="2" t="s">
        <v>15443</v>
      </c>
      <c r="H5150" s="2" t="s">
        <v>15444</v>
      </c>
    </row>
    <row r="5151">
      <c r="A5151" s="2">
        <v>5149.0</v>
      </c>
      <c r="B5151" s="5" t="s">
        <v>7647</v>
      </c>
      <c r="C5151" s="2" t="s">
        <v>7648</v>
      </c>
      <c r="D5151" s="5" t="s">
        <v>7647</v>
      </c>
      <c r="E5151" s="2" t="s">
        <v>15445</v>
      </c>
      <c r="F5151" s="2" t="s">
        <v>15446</v>
      </c>
      <c r="G5151" s="2" t="s">
        <v>15456</v>
      </c>
      <c r="H5151" s="2" t="s">
        <v>15444</v>
      </c>
    </row>
    <row r="5152">
      <c r="A5152" s="2">
        <v>5150.0</v>
      </c>
      <c r="B5152" s="5" t="s">
        <v>7650</v>
      </c>
      <c r="C5152" s="2" t="s">
        <v>7651</v>
      </c>
      <c r="D5152" s="5" t="s">
        <v>7650</v>
      </c>
      <c r="E5152" s="2" t="s">
        <v>15445</v>
      </c>
      <c r="F5152" s="2" t="s">
        <v>15446</v>
      </c>
      <c r="G5152" s="2" t="s">
        <v>15456</v>
      </c>
      <c r="H5152" s="2" t="s">
        <v>15444</v>
      </c>
    </row>
    <row r="5153">
      <c r="A5153" s="2">
        <v>5151.0</v>
      </c>
      <c r="B5153" s="5" t="s">
        <v>14366</v>
      </c>
      <c r="C5153" s="2" t="s">
        <v>14367</v>
      </c>
      <c r="D5153" s="5" t="s">
        <v>14366</v>
      </c>
      <c r="E5153" s="2" t="s">
        <v>15441</v>
      </c>
      <c r="F5153" s="2" t="s">
        <v>15442</v>
      </c>
      <c r="G5153" s="2" t="s">
        <v>15456</v>
      </c>
      <c r="H5153" s="2" t="s">
        <v>15444</v>
      </c>
    </row>
    <row r="5154">
      <c r="A5154" s="2">
        <v>5152.0</v>
      </c>
      <c r="B5154" s="5" t="s">
        <v>14368</v>
      </c>
      <c r="C5154" s="2" t="s">
        <v>14369</v>
      </c>
      <c r="D5154" s="5" t="s">
        <v>14368</v>
      </c>
      <c r="E5154" s="2" t="s">
        <v>15441</v>
      </c>
      <c r="F5154" s="2" t="s">
        <v>15446</v>
      </c>
      <c r="G5154" s="2" t="s">
        <v>15456</v>
      </c>
      <c r="H5154" s="2" t="s">
        <v>15444</v>
      </c>
    </row>
    <row r="5155">
      <c r="A5155" s="2">
        <v>5153.0</v>
      </c>
      <c r="B5155" s="5" t="s">
        <v>14370</v>
      </c>
      <c r="C5155" s="2" t="s">
        <v>14371</v>
      </c>
      <c r="D5155" s="5" t="s">
        <v>14370</v>
      </c>
      <c r="E5155" s="2" t="s">
        <v>15441</v>
      </c>
      <c r="F5155" s="2" t="s">
        <v>15446</v>
      </c>
      <c r="G5155" s="2" t="s">
        <v>15456</v>
      </c>
      <c r="H5155" s="2" t="s">
        <v>15444</v>
      </c>
    </row>
    <row r="5156">
      <c r="A5156" s="2">
        <v>5154.0</v>
      </c>
      <c r="B5156" s="5" t="s">
        <v>7653</v>
      </c>
      <c r="C5156" s="2" t="s">
        <v>7654</v>
      </c>
      <c r="D5156" s="5" t="s">
        <v>7653</v>
      </c>
      <c r="E5156" s="2" t="s">
        <v>15445</v>
      </c>
      <c r="F5156" s="2" t="s">
        <v>15442</v>
      </c>
      <c r="G5156" s="2" t="s">
        <v>15443</v>
      </c>
      <c r="H5156" s="2" t="s">
        <v>15444</v>
      </c>
    </row>
    <row r="5157">
      <c r="A5157" s="2">
        <v>5155.0</v>
      </c>
      <c r="B5157" s="5" t="s">
        <v>7656</v>
      </c>
      <c r="C5157" s="2" t="s">
        <v>7657</v>
      </c>
      <c r="D5157" s="5" t="s">
        <v>7656</v>
      </c>
      <c r="E5157" s="2" t="s">
        <v>15445</v>
      </c>
      <c r="F5157" s="2" t="s">
        <v>15446</v>
      </c>
      <c r="G5157" s="2" t="s">
        <v>15456</v>
      </c>
      <c r="H5157" s="2" t="s">
        <v>15444</v>
      </c>
    </row>
    <row r="5158">
      <c r="A5158" s="2">
        <v>5156.0</v>
      </c>
      <c r="B5158" s="5" t="s">
        <v>7659</v>
      </c>
      <c r="C5158" s="2" t="s">
        <v>7660</v>
      </c>
      <c r="D5158" s="5" t="s">
        <v>7659</v>
      </c>
      <c r="E5158" s="2" t="s">
        <v>15445</v>
      </c>
      <c r="F5158" s="2" t="s">
        <v>15446</v>
      </c>
      <c r="G5158" s="2" t="s">
        <v>15443</v>
      </c>
      <c r="H5158" s="2" t="s">
        <v>15444</v>
      </c>
    </row>
    <row r="5159">
      <c r="A5159" s="2">
        <v>5157.0</v>
      </c>
      <c r="B5159" s="5" t="s">
        <v>14372</v>
      </c>
      <c r="C5159" s="2" t="s">
        <v>14373</v>
      </c>
      <c r="D5159" s="5" t="s">
        <v>14372</v>
      </c>
      <c r="E5159" s="2" t="s">
        <v>15441</v>
      </c>
      <c r="F5159" s="2" t="s">
        <v>15446</v>
      </c>
      <c r="G5159" s="2" t="s">
        <v>15456</v>
      </c>
      <c r="H5159" s="2" t="s">
        <v>15457</v>
      </c>
    </row>
    <row r="5160">
      <c r="A5160" s="2">
        <v>5158.0</v>
      </c>
      <c r="B5160" s="5" t="s">
        <v>7662</v>
      </c>
      <c r="C5160" s="2" t="s">
        <v>7663</v>
      </c>
      <c r="D5160" s="5" t="s">
        <v>7662</v>
      </c>
      <c r="E5160" s="2" t="s">
        <v>15445</v>
      </c>
      <c r="F5160" s="2" t="s">
        <v>15446</v>
      </c>
      <c r="G5160" s="2" t="s">
        <v>15456</v>
      </c>
      <c r="H5160" s="2" t="s">
        <v>15444</v>
      </c>
    </row>
    <row r="5161">
      <c r="A5161" s="2">
        <v>5159.0</v>
      </c>
      <c r="B5161" s="5" t="s">
        <v>7665</v>
      </c>
      <c r="C5161" s="2" t="s">
        <v>7666</v>
      </c>
      <c r="D5161" s="5" t="s">
        <v>7665</v>
      </c>
      <c r="E5161" s="2" t="s">
        <v>15445</v>
      </c>
      <c r="F5161" s="2" t="s">
        <v>15446</v>
      </c>
      <c r="G5161" s="2" t="s">
        <v>15443</v>
      </c>
      <c r="H5161" s="2" t="s">
        <v>15444</v>
      </c>
    </row>
    <row r="5162">
      <c r="A5162" s="2">
        <v>5160.0</v>
      </c>
      <c r="B5162" s="5" t="s">
        <v>14374</v>
      </c>
      <c r="C5162" s="2" t="s">
        <v>14375</v>
      </c>
      <c r="D5162" s="5" t="s">
        <v>14374</v>
      </c>
      <c r="E5162" s="2" t="s">
        <v>15441</v>
      </c>
      <c r="F5162" s="2" t="s">
        <v>15446</v>
      </c>
      <c r="G5162" s="2" t="s">
        <v>15443</v>
      </c>
      <c r="H5162" s="2" t="s">
        <v>15444</v>
      </c>
    </row>
    <row r="5163">
      <c r="A5163" s="2">
        <v>5161.0</v>
      </c>
      <c r="B5163" s="5" t="s">
        <v>14376</v>
      </c>
      <c r="C5163" s="2" t="s">
        <v>14377</v>
      </c>
      <c r="D5163" s="5" t="s">
        <v>14376</v>
      </c>
      <c r="E5163" s="2" t="s">
        <v>15441</v>
      </c>
      <c r="F5163" s="2" t="s">
        <v>15446</v>
      </c>
      <c r="G5163" s="2" t="s">
        <v>15456</v>
      </c>
      <c r="H5163" s="2" t="s">
        <v>15444</v>
      </c>
    </row>
    <row r="5164">
      <c r="A5164" s="2">
        <v>5162.0</v>
      </c>
      <c r="B5164" s="5" t="s">
        <v>7668</v>
      </c>
      <c r="C5164" s="2" t="s">
        <v>7669</v>
      </c>
      <c r="D5164" s="5" t="s">
        <v>7668</v>
      </c>
      <c r="E5164" s="2" t="s">
        <v>15445</v>
      </c>
      <c r="F5164" s="2" t="s">
        <v>15442</v>
      </c>
      <c r="G5164" s="2" t="s">
        <v>15456</v>
      </c>
      <c r="H5164" s="2" t="s">
        <v>15444</v>
      </c>
    </row>
    <row r="5165">
      <c r="A5165" s="2">
        <v>5163.0</v>
      </c>
      <c r="B5165" s="5" t="s">
        <v>7671</v>
      </c>
      <c r="C5165" s="2" t="s">
        <v>7672</v>
      </c>
      <c r="D5165" s="5" t="s">
        <v>7671</v>
      </c>
      <c r="E5165" s="2" t="s">
        <v>15445</v>
      </c>
      <c r="F5165" s="2" t="s">
        <v>15446</v>
      </c>
      <c r="G5165" s="2" t="s">
        <v>15443</v>
      </c>
      <c r="H5165" s="2" t="s">
        <v>15444</v>
      </c>
    </row>
    <row r="5166">
      <c r="A5166" s="2">
        <v>5164.0</v>
      </c>
      <c r="B5166" s="5" t="s">
        <v>7674</v>
      </c>
      <c r="C5166" s="2" t="s">
        <v>7675</v>
      </c>
      <c r="D5166" s="5" t="s">
        <v>7674</v>
      </c>
      <c r="E5166" s="2" t="s">
        <v>15445</v>
      </c>
      <c r="F5166" s="2" t="s">
        <v>15446</v>
      </c>
      <c r="G5166" s="2" t="s">
        <v>15443</v>
      </c>
      <c r="H5166" s="2" t="s">
        <v>15462</v>
      </c>
    </row>
    <row r="5167">
      <c r="A5167" s="2">
        <v>5165.0</v>
      </c>
      <c r="B5167" s="5" t="s">
        <v>7677</v>
      </c>
      <c r="C5167" s="2" t="s">
        <v>7678</v>
      </c>
      <c r="D5167" s="5" t="s">
        <v>7677</v>
      </c>
      <c r="E5167" s="2" t="s">
        <v>15445</v>
      </c>
      <c r="F5167" s="2" t="s">
        <v>15446</v>
      </c>
      <c r="G5167" s="2" t="s">
        <v>15443</v>
      </c>
      <c r="H5167" s="2" t="s">
        <v>15444</v>
      </c>
    </row>
    <row r="5168">
      <c r="A5168" s="2">
        <v>5166.0</v>
      </c>
      <c r="B5168" s="5" t="s">
        <v>14378</v>
      </c>
      <c r="C5168" s="2" t="s">
        <v>14379</v>
      </c>
      <c r="D5168" s="5" t="s">
        <v>14378</v>
      </c>
      <c r="E5168" s="2" t="s">
        <v>15441</v>
      </c>
      <c r="F5168" s="2" t="s">
        <v>15446</v>
      </c>
      <c r="G5168" s="2" t="s">
        <v>15443</v>
      </c>
      <c r="H5168" s="2" t="s">
        <v>15444</v>
      </c>
    </row>
    <row r="5169">
      <c r="A5169" s="2">
        <v>5167.0</v>
      </c>
      <c r="B5169" s="5" t="s">
        <v>7680</v>
      </c>
      <c r="C5169" s="2" t="s">
        <v>7681</v>
      </c>
      <c r="D5169" s="5" t="s">
        <v>7680</v>
      </c>
      <c r="E5169" s="2" t="s">
        <v>15445</v>
      </c>
      <c r="F5169" s="2" t="s">
        <v>15446</v>
      </c>
      <c r="G5169" s="2" t="s">
        <v>15456</v>
      </c>
      <c r="H5169" s="2" t="s">
        <v>15444</v>
      </c>
    </row>
    <row r="5170">
      <c r="A5170" s="2">
        <v>5168.0</v>
      </c>
      <c r="B5170" s="5" t="s">
        <v>7683</v>
      </c>
      <c r="C5170" s="2" t="s">
        <v>7684</v>
      </c>
      <c r="D5170" s="5" t="s">
        <v>7683</v>
      </c>
      <c r="E5170" s="2" t="s">
        <v>15445</v>
      </c>
      <c r="F5170" s="2" t="s">
        <v>15442</v>
      </c>
      <c r="G5170" s="2" t="s">
        <v>15443</v>
      </c>
      <c r="H5170" s="2" t="s">
        <v>15444</v>
      </c>
    </row>
    <row r="5171">
      <c r="A5171" s="2">
        <v>5169.0</v>
      </c>
      <c r="B5171" s="5" t="s">
        <v>7686</v>
      </c>
      <c r="C5171" s="2" t="s">
        <v>7687</v>
      </c>
      <c r="D5171" s="5" t="s">
        <v>7686</v>
      </c>
      <c r="E5171" s="2" t="s">
        <v>15445</v>
      </c>
      <c r="F5171" s="2" t="s">
        <v>15446</v>
      </c>
      <c r="G5171" s="2" t="s">
        <v>15456</v>
      </c>
      <c r="H5171" s="2" t="s">
        <v>15444</v>
      </c>
    </row>
    <row r="5172">
      <c r="A5172" s="2">
        <v>5170.0</v>
      </c>
      <c r="B5172" s="5" t="s">
        <v>7689</v>
      </c>
      <c r="C5172" s="2" t="s">
        <v>7690</v>
      </c>
      <c r="D5172" s="5" t="s">
        <v>7689</v>
      </c>
      <c r="E5172" s="2" t="s">
        <v>15445</v>
      </c>
      <c r="F5172" s="2" t="s">
        <v>15446</v>
      </c>
      <c r="G5172" s="2" t="s">
        <v>15456</v>
      </c>
      <c r="H5172" s="2" t="s">
        <v>15455</v>
      </c>
    </row>
    <row r="5173">
      <c r="A5173" s="2">
        <v>5171.0</v>
      </c>
      <c r="B5173" s="5" t="s">
        <v>14380</v>
      </c>
      <c r="C5173" s="2" t="s">
        <v>14381</v>
      </c>
      <c r="D5173" s="5" t="s">
        <v>14380</v>
      </c>
      <c r="E5173" s="2" t="s">
        <v>15441</v>
      </c>
      <c r="F5173" s="2" t="s">
        <v>15446</v>
      </c>
      <c r="G5173" s="2" t="s">
        <v>15443</v>
      </c>
      <c r="H5173" s="2" t="s">
        <v>15457</v>
      </c>
    </row>
    <row r="5174">
      <c r="A5174" s="2">
        <v>5172.0</v>
      </c>
      <c r="B5174" s="5" t="s">
        <v>14382</v>
      </c>
      <c r="C5174" s="2" t="s">
        <v>14383</v>
      </c>
      <c r="D5174" s="5" t="s">
        <v>14382</v>
      </c>
      <c r="E5174" s="2" t="s">
        <v>15441</v>
      </c>
      <c r="F5174" s="2" t="s">
        <v>15442</v>
      </c>
      <c r="G5174" s="2" t="s">
        <v>15443</v>
      </c>
      <c r="H5174" s="2" t="s">
        <v>15444</v>
      </c>
    </row>
    <row r="5175">
      <c r="A5175" s="2">
        <v>5173.0</v>
      </c>
      <c r="B5175" s="5" t="s">
        <v>7692</v>
      </c>
      <c r="C5175" s="2" t="s">
        <v>7693</v>
      </c>
      <c r="D5175" s="5" t="s">
        <v>7692</v>
      </c>
      <c r="E5175" s="2" t="s">
        <v>15445</v>
      </c>
      <c r="F5175" s="2" t="s">
        <v>15446</v>
      </c>
      <c r="G5175" s="2" t="s">
        <v>15443</v>
      </c>
      <c r="H5175" s="2" t="s">
        <v>15444</v>
      </c>
    </row>
    <row r="5176">
      <c r="A5176" s="2">
        <v>5174.0</v>
      </c>
      <c r="B5176" s="5" t="s">
        <v>7695</v>
      </c>
      <c r="C5176" s="2" t="s">
        <v>7696</v>
      </c>
      <c r="D5176" s="5" t="s">
        <v>7695</v>
      </c>
      <c r="E5176" s="2" t="s">
        <v>15445</v>
      </c>
      <c r="F5176" s="2" t="s">
        <v>15446</v>
      </c>
      <c r="G5176" s="2" t="s">
        <v>15456</v>
      </c>
      <c r="H5176" s="2" t="s">
        <v>15444</v>
      </c>
    </row>
    <row r="5177">
      <c r="A5177" s="2">
        <v>5175.0</v>
      </c>
      <c r="B5177" s="5" t="s">
        <v>7698</v>
      </c>
      <c r="C5177" s="2" t="s">
        <v>7699</v>
      </c>
      <c r="D5177" s="5" t="s">
        <v>7698</v>
      </c>
      <c r="E5177" s="2" t="s">
        <v>15445</v>
      </c>
      <c r="F5177" s="2" t="s">
        <v>15446</v>
      </c>
      <c r="G5177" s="2" t="s">
        <v>15456</v>
      </c>
      <c r="H5177" s="2" t="s">
        <v>15461</v>
      </c>
    </row>
    <row r="5178">
      <c r="A5178" s="2">
        <v>5176.0</v>
      </c>
      <c r="B5178" s="5" t="s">
        <v>7701</v>
      </c>
      <c r="C5178" s="2" t="s">
        <v>7702</v>
      </c>
      <c r="D5178" s="5" t="s">
        <v>7701</v>
      </c>
      <c r="E5178" s="2" t="s">
        <v>15445</v>
      </c>
      <c r="F5178" s="2" t="s">
        <v>15442</v>
      </c>
      <c r="G5178" s="2" t="s">
        <v>15456</v>
      </c>
      <c r="H5178" s="2" t="s">
        <v>15444</v>
      </c>
    </row>
    <row r="5179">
      <c r="A5179" s="2">
        <v>5177.0</v>
      </c>
      <c r="B5179" s="5" t="s">
        <v>7704</v>
      </c>
      <c r="C5179" s="2" t="s">
        <v>7705</v>
      </c>
      <c r="D5179" s="5" t="s">
        <v>7704</v>
      </c>
      <c r="E5179" s="2" t="s">
        <v>15445</v>
      </c>
      <c r="F5179" s="2" t="s">
        <v>15442</v>
      </c>
      <c r="G5179" s="2" t="s">
        <v>15456</v>
      </c>
      <c r="H5179" s="2" t="s">
        <v>15444</v>
      </c>
    </row>
    <row r="5180">
      <c r="A5180" s="2">
        <v>5178.0</v>
      </c>
      <c r="B5180" s="5" t="s">
        <v>14384</v>
      </c>
      <c r="C5180" s="2" t="s">
        <v>14385</v>
      </c>
      <c r="D5180" s="5" t="s">
        <v>14384</v>
      </c>
      <c r="E5180" s="2" t="s">
        <v>15441</v>
      </c>
      <c r="F5180" s="2" t="s">
        <v>15446</v>
      </c>
      <c r="G5180" s="2" t="s">
        <v>15456</v>
      </c>
      <c r="H5180" s="2" t="s">
        <v>15444</v>
      </c>
    </row>
    <row r="5181">
      <c r="A5181" s="2">
        <v>5179.0</v>
      </c>
      <c r="B5181" s="5" t="s">
        <v>14386</v>
      </c>
      <c r="C5181" s="2" t="s">
        <v>14387</v>
      </c>
      <c r="D5181" s="5" t="s">
        <v>14386</v>
      </c>
      <c r="E5181" s="2" t="s">
        <v>15441</v>
      </c>
      <c r="F5181" s="2" t="s">
        <v>15442</v>
      </c>
      <c r="G5181" s="2" t="s">
        <v>15443</v>
      </c>
      <c r="H5181" s="2" t="s">
        <v>15444</v>
      </c>
    </row>
    <row r="5182">
      <c r="A5182" s="2">
        <v>5180.0</v>
      </c>
      <c r="B5182" s="5" t="s">
        <v>14388</v>
      </c>
      <c r="C5182" s="2" t="s">
        <v>14389</v>
      </c>
      <c r="D5182" s="5" t="s">
        <v>14388</v>
      </c>
      <c r="E5182" s="2" t="s">
        <v>15441</v>
      </c>
      <c r="F5182" s="2" t="s">
        <v>15442</v>
      </c>
      <c r="G5182" s="2" t="s">
        <v>15443</v>
      </c>
      <c r="H5182" s="2" t="s">
        <v>15444</v>
      </c>
    </row>
    <row r="5183">
      <c r="A5183" s="2">
        <v>5181.0</v>
      </c>
      <c r="B5183" s="5" t="s">
        <v>7707</v>
      </c>
      <c r="C5183" s="2" t="s">
        <v>7708</v>
      </c>
      <c r="D5183" s="5" t="s">
        <v>7707</v>
      </c>
      <c r="E5183" s="2" t="s">
        <v>15445</v>
      </c>
      <c r="F5183" s="2" t="s">
        <v>15442</v>
      </c>
      <c r="G5183" s="2" t="s">
        <v>15443</v>
      </c>
      <c r="H5183" s="2" t="s">
        <v>15444</v>
      </c>
    </row>
    <row r="5184">
      <c r="A5184" s="2">
        <v>5182.0</v>
      </c>
      <c r="B5184" s="5" t="s">
        <v>7710</v>
      </c>
      <c r="C5184" s="2" t="s">
        <v>7711</v>
      </c>
      <c r="D5184" s="5" t="s">
        <v>7710</v>
      </c>
      <c r="E5184" s="2" t="s">
        <v>15445</v>
      </c>
      <c r="F5184" s="2" t="s">
        <v>15442</v>
      </c>
      <c r="G5184" s="2" t="s">
        <v>15456</v>
      </c>
      <c r="H5184" s="2" t="s">
        <v>15444</v>
      </c>
    </row>
    <row r="5185">
      <c r="A5185" s="2">
        <v>5183.0</v>
      </c>
      <c r="B5185" s="5" t="s">
        <v>7713</v>
      </c>
      <c r="C5185" s="2" t="s">
        <v>7714</v>
      </c>
      <c r="D5185" s="5" t="s">
        <v>7713</v>
      </c>
      <c r="E5185" s="2" t="s">
        <v>15445</v>
      </c>
      <c r="F5185" s="2" t="s">
        <v>15442</v>
      </c>
      <c r="G5185" s="2" t="s">
        <v>15443</v>
      </c>
      <c r="H5185" s="2" t="s">
        <v>15462</v>
      </c>
    </row>
    <row r="5186">
      <c r="A5186" s="2">
        <v>5184.0</v>
      </c>
      <c r="B5186" s="5" t="s">
        <v>14390</v>
      </c>
      <c r="C5186" s="2" t="s">
        <v>14391</v>
      </c>
      <c r="D5186" s="5" t="s">
        <v>14390</v>
      </c>
      <c r="E5186" s="2" t="s">
        <v>15441</v>
      </c>
      <c r="F5186" s="2" t="s">
        <v>15446</v>
      </c>
      <c r="G5186" s="2" t="s">
        <v>15456</v>
      </c>
      <c r="H5186" s="2" t="s">
        <v>15455</v>
      </c>
    </row>
    <row r="5187">
      <c r="A5187" s="2">
        <v>5185.0</v>
      </c>
      <c r="B5187" s="5" t="s">
        <v>14392</v>
      </c>
      <c r="C5187" s="2" t="s">
        <v>14393</v>
      </c>
      <c r="D5187" s="5" t="s">
        <v>14392</v>
      </c>
      <c r="E5187" s="2" t="s">
        <v>15441</v>
      </c>
      <c r="F5187" s="2" t="s">
        <v>15442</v>
      </c>
      <c r="G5187" s="2" t="s">
        <v>15456</v>
      </c>
      <c r="H5187" s="2" t="s">
        <v>15444</v>
      </c>
    </row>
    <row r="5188">
      <c r="A5188" s="2">
        <v>5186.0</v>
      </c>
      <c r="B5188" s="5" t="s">
        <v>14394</v>
      </c>
      <c r="C5188" s="2" t="s">
        <v>14395</v>
      </c>
      <c r="D5188" s="5" t="s">
        <v>14394</v>
      </c>
      <c r="E5188" s="2" t="s">
        <v>15441</v>
      </c>
      <c r="F5188" s="2" t="s">
        <v>15446</v>
      </c>
      <c r="G5188" s="2" t="s">
        <v>15443</v>
      </c>
      <c r="H5188" s="2" t="s">
        <v>15444</v>
      </c>
    </row>
    <row r="5189">
      <c r="A5189" s="2">
        <v>5187.0</v>
      </c>
      <c r="B5189" s="5" t="s">
        <v>7716</v>
      </c>
      <c r="C5189" s="2" t="s">
        <v>7717</v>
      </c>
      <c r="D5189" s="5" t="s">
        <v>7716</v>
      </c>
      <c r="E5189" s="2" t="s">
        <v>15445</v>
      </c>
      <c r="F5189" s="2" t="s">
        <v>15446</v>
      </c>
      <c r="G5189" s="2" t="s">
        <v>15456</v>
      </c>
      <c r="H5189" s="2" t="s">
        <v>15444</v>
      </c>
    </row>
    <row r="5190">
      <c r="A5190" s="2">
        <v>5188.0</v>
      </c>
      <c r="B5190" s="5" t="s">
        <v>14396</v>
      </c>
      <c r="C5190" s="2" t="s">
        <v>14397</v>
      </c>
      <c r="D5190" s="5" t="s">
        <v>14396</v>
      </c>
      <c r="E5190" s="2" t="s">
        <v>15441</v>
      </c>
      <c r="F5190" s="2" t="s">
        <v>15446</v>
      </c>
      <c r="G5190" s="2" t="s">
        <v>15443</v>
      </c>
      <c r="H5190" s="2" t="s">
        <v>15444</v>
      </c>
    </row>
    <row r="5191">
      <c r="A5191" s="2">
        <v>5189.0</v>
      </c>
      <c r="B5191" s="5" t="s">
        <v>14398</v>
      </c>
      <c r="C5191" s="2" t="s">
        <v>14399</v>
      </c>
      <c r="D5191" s="5" t="s">
        <v>14398</v>
      </c>
      <c r="E5191" s="2" t="s">
        <v>15441</v>
      </c>
      <c r="F5191" s="2" t="s">
        <v>15442</v>
      </c>
      <c r="G5191" s="2" t="s">
        <v>15443</v>
      </c>
      <c r="H5191" s="2" t="s">
        <v>15444</v>
      </c>
    </row>
    <row r="5192">
      <c r="A5192" s="2">
        <v>5190.0</v>
      </c>
      <c r="B5192" s="5" t="s">
        <v>14400</v>
      </c>
      <c r="C5192" s="2" t="s">
        <v>14401</v>
      </c>
      <c r="D5192" s="5" t="s">
        <v>14400</v>
      </c>
      <c r="E5192" s="2" t="s">
        <v>15441</v>
      </c>
      <c r="F5192" s="2" t="s">
        <v>15446</v>
      </c>
      <c r="G5192" s="2" t="s">
        <v>15443</v>
      </c>
      <c r="H5192" s="2" t="s">
        <v>15462</v>
      </c>
    </row>
    <row r="5193">
      <c r="A5193" s="2">
        <v>5191.0</v>
      </c>
      <c r="B5193" s="5" t="s">
        <v>14402</v>
      </c>
      <c r="C5193" s="2" t="s">
        <v>14403</v>
      </c>
      <c r="D5193" s="5" t="s">
        <v>14402</v>
      </c>
      <c r="E5193" s="2" t="s">
        <v>15441</v>
      </c>
      <c r="F5193" s="2" t="s">
        <v>15442</v>
      </c>
      <c r="G5193" s="2" t="s">
        <v>15443</v>
      </c>
      <c r="H5193" s="2" t="s">
        <v>15444</v>
      </c>
    </row>
    <row r="5194">
      <c r="A5194" s="2">
        <v>5192.0</v>
      </c>
      <c r="B5194" s="5" t="s">
        <v>14404</v>
      </c>
      <c r="C5194" s="2" t="s">
        <v>14405</v>
      </c>
      <c r="D5194" s="5" t="s">
        <v>14404</v>
      </c>
      <c r="E5194" s="2" t="s">
        <v>15441</v>
      </c>
      <c r="F5194" s="2" t="s">
        <v>15442</v>
      </c>
      <c r="G5194" s="2" t="s">
        <v>15456</v>
      </c>
      <c r="H5194" s="2" t="s">
        <v>15444</v>
      </c>
    </row>
    <row r="5195">
      <c r="A5195" s="2">
        <v>5193.0</v>
      </c>
      <c r="B5195" s="5" t="s">
        <v>14406</v>
      </c>
      <c r="C5195" s="2" t="s">
        <v>14407</v>
      </c>
      <c r="D5195" s="5" t="s">
        <v>14406</v>
      </c>
      <c r="E5195" s="2" t="s">
        <v>15441</v>
      </c>
      <c r="F5195" s="2" t="s">
        <v>15442</v>
      </c>
      <c r="G5195" s="2" t="s">
        <v>15443</v>
      </c>
      <c r="H5195" s="2" t="s">
        <v>15444</v>
      </c>
    </row>
    <row r="5196">
      <c r="A5196" s="2">
        <v>5194.0</v>
      </c>
      <c r="B5196" s="5" t="s">
        <v>7719</v>
      </c>
      <c r="C5196" s="2" t="s">
        <v>7720</v>
      </c>
      <c r="D5196" s="5" t="s">
        <v>7719</v>
      </c>
      <c r="E5196" s="2" t="s">
        <v>15445</v>
      </c>
      <c r="F5196" s="2" t="s">
        <v>15442</v>
      </c>
      <c r="G5196" s="2" t="s">
        <v>15443</v>
      </c>
      <c r="H5196" s="2" t="s">
        <v>15444</v>
      </c>
    </row>
    <row r="5197">
      <c r="A5197" s="2">
        <v>5195.0</v>
      </c>
      <c r="B5197" s="5" t="s">
        <v>7722</v>
      </c>
      <c r="C5197" s="2" t="s">
        <v>7723</v>
      </c>
      <c r="D5197" s="5" t="s">
        <v>7722</v>
      </c>
      <c r="E5197" s="2" t="s">
        <v>15445</v>
      </c>
      <c r="F5197" s="2" t="s">
        <v>15442</v>
      </c>
      <c r="G5197" s="2" t="s">
        <v>15443</v>
      </c>
      <c r="H5197" s="2" t="s">
        <v>15444</v>
      </c>
    </row>
    <row r="5198">
      <c r="A5198" s="2">
        <v>5196.0</v>
      </c>
      <c r="B5198" s="5" t="s">
        <v>7725</v>
      </c>
      <c r="C5198" s="2" t="s">
        <v>7726</v>
      </c>
      <c r="D5198" s="5" t="s">
        <v>7725</v>
      </c>
      <c r="E5198" s="2" t="s">
        <v>15445</v>
      </c>
      <c r="F5198" s="2" t="s">
        <v>15446</v>
      </c>
      <c r="G5198" s="2" t="s">
        <v>15443</v>
      </c>
      <c r="H5198" s="2" t="s">
        <v>15444</v>
      </c>
    </row>
    <row r="5199">
      <c r="A5199" s="2">
        <v>5197.0</v>
      </c>
      <c r="B5199" s="5" t="s">
        <v>7728</v>
      </c>
      <c r="C5199" s="2" t="s">
        <v>7729</v>
      </c>
      <c r="D5199" s="5" t="s">
        <v>7728</v>
      </c>
      <c r="E5199" s="2" t="s">
        <v>15445</v>
      </c>
      <c r="F5199" s="2" t="s">
        <v>15442</v>
      </c>
      <c r="G5199" s="2" t="s">
        <v>15456</v>
      </c>
      <c r="H5199" s="2" t="s">
        <v>15444</v>
      </c>
    </row>
    <row r="5200">
      <c r="A5200" s="2">
        <v>5198.0</v>
      </c>
      <c r="B5200" s="5" t="s">
        <v>7731</v>
      </c>
      <c r="C5200" s="2" t="s">
        <v>7732</v>
      </c>
      <c r="D5200" s="5" t="s">
        <v>7731</v>
      </c>
      <c r="E5200" s="2" t="s">
        <v>15445</v>
      </c>
      <c r="F5200" s="2" t="s">
        <v>15446</v>
      </c>
      <c r="G5200" s="2" t="s">
        <v>15443</v>
      </c>
      <c r="H5200" s="2" t="s">
        <v>15444</v>
      </c>
    </row>
    <row r="5201">
      <c r="A5201" s="2">
        <v>5199.0</v>
      </c>
      <c r="B5201" s="5" t="s">
        <v>7734</v>
      </c>
      <c r="C5201" s="2" t="s">
        <v>7735</v>
      </c>
      <c r="D5201" s="5" t="s">
        <v>7734</v>
      </c>
      <c r="E5201" s="2" t="s">
        <v>15445</v>
      </c>
      <c r="F5201" s="2" t="s">
        <v>15446</v>
      </c>
      <c r="G5201" s="2" t="s">
        <v>15456</v>
      </c>
      <c r="H5201" s="2" t="s">
        <v>15444</v>
      </c>
    </row>
    <row r="5202">
      <c r="A5202" s="2">
        <v>5200.0</v>
      </c>
      <c r="B5202" s="5" t="s">
        <v>7737</v>
      </c>
      <c r="C5202" s="2" t="s">
        <v>7738</v>
      </c>
      <c r="D5202" s="5" t="s">
        <v>7737</v>
      </c>
      <c r="E5202" s="2" t="s">
        <v>15445</v>
      </c>
      <c r="F5202" s="2" t="s">
        <v>15446</v>
      </c>
      <c r="G5202" s="2" t="s">
        <v>15456</v>
      </c>
      <c r="H5202" s="2" t="s">
        <v>15444</v>
      </c>
    </row>
    <row r="5203">
      <c r="A5203" s="2">
        <v>5201.0</v>
      </c>
      <c r="B5203" s="5" t="s">
        <v>14408</v>
      </c>
      <c r="C5203" s="2" t="s">
        <v>14409</v>
      </c>
      <c r="D5203" s="5" t="s">
        <v>14408</v>
      </c>
      <c r="E5203" s="2" t="s">
        <v>15441</v>
      </c>
      <c r="F5203" s="2" t="s">
        <v>15446</v>
      </c>
      <c r="G5203" s="2" t="s">
        <v>15443</v>
      </c>
      <c r="H5203" s="2" t="s">
        <v>15444</v>
      </c>
    </row>
    <row r="5204">
      <c r="A5204" s="2">
        <v>5202.0</v>
      </c>
      <c r="B5204" s="5" t="s">
        <v>7740</v>
      </c>
      <c r="C5204" s="2" t="s">
        <v>7741</v>
      </c>
      <c r="D5204" s="5" t="s">
        <v>7740</v>
      </c>
      <c r="E5204" s="2" t="s">
        <v>15445</v>
      </c>
      <c r="F5204" s="2" t="s">
        <v>15442</v>
      </c>
      <c r="G5204" s="2" t="s">
        <v>15443</v>
      </c>
      <c r="H5204" s="2" t="s">
        <v>15444</v>
      </c>
    </row>
    <row r="5205">
      <c r="A5205" s="2">
        <v>5203.0</v>
      </c>
      <c r="B5205" s="5" t="s">
        <v>7743</v>
      </c>
      <c r="C5205" s="2" t="s">
        <v>7744</v>
      </c>
      <c r="D5205" s="5" t="s">
        <v>7743</v>
      </c>
      <c r="E5205" s="2" t="s">
        <v>15445</v>
      </c>
      <c r="F5205" s="2" t="s">
        <v>15446</v>
      </c>
      <c r="G5205" s="2" t="s">
        <v>15443</v>
      </c>
      <c r="H5205" s="2" t="s">
        <v>15444</v>
      </c>
    </row>
    <row r="5206">
      <c r="A5206" s="2">
        <v>5204.0</v>
      </c>
      <c r="B5206" s="5" t="s">
        <v>14410</v>
      </c>
      <c r="C5206" s="2" t="s">
        <v>14411</v>
      </c>
      <c r="D5206" s="5" t="s">
        <v>14410</v>
      </c>
      <c r="E5206" s="2" t="s">
        <v>15441</v>
      </c>
      <c r="F5206" s="2" t="s">
        <v>15442</v>
      </c>
      <c r="G5206" s="2" t="s">
        <v>15443</v>
      </c>
      <c r="H5206" s="2" t="s">
        <v>15444</v>
      </c>
    </row>
    <row r="5207">
      <c r="A5207" s="2">
        <v>5205.0</v>
      </c>
      <c r="B5207" s="5" t="s">
        <v>14412</v>
      </c>
      <c r="C5207" s="2" t="s">
        <v>14413</v>
      </c>
      <c r="D5207" s="5" t="s">
        <v>14412</v>
      </c>
      <c r="E5207" s="2" t="s">
        <v>15441</v>
      </c>
      <c r="F5207" s="2" t="s">
        <v>15446</v>
      </c>
      <c r="G5207" s="2" t="s">
        <v>15443</v>
      </c>
      <c r="H5207" s="2" t="s">
        <v>15444</v>
      </c>
    </row>
    <row r="5208">
      <c r="A5208" s="2">
        <v>5206.0</v>
      </c>
      <c r="B5208" s="5" t="s">
        <v>14414</v>
      </c>
      <c r="C5208" s="2" t="s">
        <v>14415</v>
      </c>
      <c r="D5208" s="5" t="s">
        <v>14414</v>
      </c>
      <c r="E5208" s="2" t="s">
        <v>15441</v>
      </c>
      <c r="F5208" s="2" t="s">
        <v>15446</v>
      </c>
      <c r="G5208" s="2" t="s">
        <v>15456</v>
      </c>
      <c r="H5208" s="2" t="s">
        <v>15444</v>
      </c>
    </row>
    <row r="5209">
      <c r="A5209" s="2">
        <v>5207.0</v>
      </c>
      <c r="B5209" s="5" t="s">
        <v>7746</v>
      </c>
      <c r="C5209" s="2" t="s">
        <v>7747</v>
      </c>
      <c r="D5209" s="5" t="s">
        <v>7746</v>
      </c>
      <c r="E5209" s="2" t="s">
        <v>15445</v>
      </c>
      <c r="F5209" s="2" t="s">
        <v>15446</v>
      </c>
      <c r="G5209" s="2" t="s">
        <v>15456</v>
      </c>
      <c r="H5209" s="2" t="s">
        <v>15444</v>
      </c>
    </row>
    <row r="5210">
      <c r="A5210" s="2">
        <v>5208.0</v>
      </c>
      <c r="B5210" s="5" t="s">
        <v>7749</v>
      </c>
      <c r="C5210" s="2" t="s">
        <v>7750</v>
      </c>
      <c r="D5210" s="5" t="s">
        <v>7749</v>
      </c>
      <c r="E5210" s="2" t="s">
        <v>15445</v>
      </c>
      <c r="F5210" s="2" t="s">
        <v>15446</v>
      </c>
      <c r="G5210" s="2" t="s">
        <v>15456</v>
      </c>
      <c r="H5210" s="2" t="s">
        <v>15444</v>
      </c>
    </row>
    <row r="5211">
      <c r="A5211" s="2">
        <v>5209.0</v>
      </c>
      <c r="B5211" s="5" t="s">
        <v>7752</v>
      </c>
      <c r="C5211" s="2" t="s">
        <v>7753</v>
      </c>
      <c r="D5211" s="5" t="s">
        <v>7752</v>
      </c>
      <c r="E5211" s="2" t="s">
        <v>15445</v>
      </c>
      <c r="F5211" s="2" t="s">
        <v>15442</v>
      </c>
      <c r="G5211" s="2" t="s">
        <v>15443</v>
      </c>
      <c r="H5211" s="2" t="s">
        <v>15457</v>
      </c>
    </row>
    <row r="5212">
      <c r="A5212" s="2">
        <v>5210.0</v>
      </c>
      <c r="B5212" s="5" t="s">
        <v>14416</v>
      </c>
      <c r="C5212" s="2" t="s">
        <v>14417</v>
      </c>
      <c r="D5212" s="5" t="s">
        <v>14416</v>
      </c>
      <c r="E5212" s="2" t="s">
        <v>15441</v>
      </c>
      <c r="F5212" s="2" t="s">
        <v>15442</v>
      </c>
      <c r="G5212" s="2" t="s">
        <v>15456</v>
      </c>
      <c r="H5212" s="2" t="s">
        <v>15444</v>
      </c>
    </row>
    <row r="5213">
      <c r="A5213" s="2">
        <v>5211.0</v>
      </c>
      <c r="B5213" s="5" t="s">
        <v>14418</v>
      </c>
      <c r="C5213" s="2" t="s">
        <v>14419</v>
      </c>
      <c r="D5213" s="5" t="s">
        <v>14418</v>
      </c>
      <c r="E5213" s="2" t="s">
        <v>15441</v>
      </c>
      <c r="F5213" s="2" t="s">
        <v>15442</v>
      </c>
      <c r="G5213" s="2" t="s">
        <v>15456</v>
      </c>
      <c r="H5213" s="2" t="s">
        <v>15444</v>
      </c>
    </row>
    <row r="5214">
      <c r="A5214" s="2">
        <v>5212.0</v>
      </c>
      <c r="B5214" s="5" t="s">
        <v>14420</v>
      </c>
      <c r="C5214" s="2" t="s">
        <v>14421</v>
      </c>
      <c r="D5214" s="5" t="s">
        <v>14420</v>
      </c>
      <c r="E5214" s="2" t="s">
        <v>15441</v>
      </c>
      <c r="F5214" s="2" t="s">
        <v>15446</v>
      </c>
      <c r="G5214" s="2" t="s">
        <v>15456</v>
      </c>
      <c r="H5214" s="2" t="s">
        <v>15444</v>
      </c>
    </row>
    <row r="5215">
      <c r="A5215" s="2">
        <v>5213.0</v>
      </c>
      <c r="B5215" s="5" t="s">
        <v>7755</v>
      </c>
      <c r="C5215" s="2" t="s">
        <v>7756</v>
      </c>
      <c r="D5215" s="5" t="s">
        <v>7755</v>
      </c>
      <c r="E5215" s="2" t="s">
        <v>15445</v>
      </c>
      <c r="F5215" s="2" t="s">
        <v>15442</v>
      </c>
      <c r="G5215" s="2" t="s">
        <v>15443</v>
      </c>
      <c r="H5215" s="2" t="s">
        <v>15455</v>
      </c>
    </row>
    <row r="5216">
      <c r="A5216" s="2">
        <v>5214.0</v>
      </c>
      <c r="B5216" s="5" t="s">
        <v>14422</v>
      </c>
      <c r="C5216" s="2" t="s">
        <v>14423</v>
      </c>
      <c r="D5216" s="5" t="s">
        <v>14422</v>
      </c>
      <c r="E5216" s="2" t="s">
        <v>15441</v>
      </c>
      <c r="F5216" s="2" t="s">
        <v>15442</v>
      </c>
      <c r="G5216" s="2" t="s">
        <v>15456</v>
      </c>
      <c r="H5216" s="2" t="s">
        <v>15457</v>
      </c>
    </row>
    <row r="5217">
      <c r="A5217" s="2">
        <v>5215.0</v>
      </c>
      <c r="B5217" s="5" t="s">
        <v>7758</v>
      </c>
      <c r="C5217" s="2" t="s">
        <v>7759</v>
      </c>
      <c r="D5217" s="5" t="s">
        <v>7758</v>
      </c>
      <c r="E5217" s="2" t="s">
        <v>15445</v>
      </c>
      <c r="F5217" s="2" t="s">
        <v>15442</v>
      </c>
      <c r="G5217" s="2" t="s">
        <v>15456</v>
      </c>
      <c r="H5217" s="2" t="s">
        <v>15444</v>
      </c>
    </row>
    <row r="5218">
      <c r="A5218" s="2">
        <v>5216.0</v>
      </c>
      <c r="B5218" s="5" t="s">
        <v>7761</v>
      </c>
      <c r="C5218" s="2" t="s">
        <v>7762</v>
      </c>
      <c r="D5218" s="5" t="s">
        <v>7761</v>
      </c>
      <c r="E5218" s="2" t="s">
        <v>15445</v>
      </c>
      <c r="F5218" s="2" t="s">
        <v>15446</v>
      </c>
      <c r="G5218" s="2" t="s">
        <v>15443</v>
      </c>
      <c r="H5218" s="2" t="s">
        <v>15444</v>
      </c>
    </row>
    <row r="5219">
      <c r="A5219" s="2">
        <v>5217.0</v>
      </c>
      <c r="B5219" s="5" t="s">
        <v>7764</v>
      </c>
      <c r="C5219" s="2" t="s">
        <v>7765</v>
      </c>
      <c r="D5219" s="5" t="s">
        <v>7764</v>
      </c>
      <c r="E5219" s="2" t="s">
        <v>15445</v>
      </c>
      <c r="F5219" s="2" t="s">
        <v>15446</v>
      </c>
      <c r="G5219" s="2" t="s">
        <v>15443</v>
      </c>
      <c r="H5219" s="2" t="s">
        <v>15444</v>
      </c>
    </row>
    <row r="5220">
      <c r="A5220" s="2">
        <v>5218.0</v>
      </c>
      <c r="B5220" s="5" t="s">
        <v>7767</v>
      </c>
      <c r="C5220" s="2" t="s">
        <v>7768</v>
      </c>
      <c r="D5220" s="5" t="s">
        <v>7767</v>
      </c>
      <c r="E5220" s="2" t="s">
        <v>15445</v>
      </c>
      <c r="F5220" s="2" t="s">
        <v>15446</v>
      </c>
      <c r="G5220" s="2" t="s">
        <v>15456</v>
      </c>
      <c r="H5220" s="2" t="s">
        <v>15444</v>
      </c>
    </row>
    <row r="5221">
      <c r="A5221" s="2">
        <v>5219.0</v>
      </c>
      <c r="B5221" s="5" t="s">
        <v>14424</v>
      </c>
      <c r="C5221" s="2" t="s">
        <v>14425</v>
      </c>
      <c r="D5221" s="5" t="s">
        <v>14424</v>
      </c>
      <c r="E5221" s="2" t="s">
        <v>15441</v>
      </c>
      <c r="F5221" s="2" t="s">
        <v>15446</v>
      </c>
      <c r="G5221" s="2" t="s">
        <v>15456</v>
      </c>
      <c r="H5221" s="2" t="s">
        <v>15444</v>
      </c>
    </row>
    <row r="5222">
      <c r="A5222" s="2">
        <v>5220.0</v>
      </c>
      <c r="B5222" s="5" t="s">
        <v>7770</v>
      </c>
      <c r="C5222" s="2" t="s">
        <v>7771</v>
      </c>
      <c r="D5222" s="5" t="s">
        <v>7770</v>
      </c>
      <c r="E5222" s="2" t="s">
        <v>15445</v>
      </c>
      <c r="F5222" s="2" t="s">
        <v>15442</v>
      </c>
      <c r="G5222" s="2" t="s">
        <v>15443</v>
      </c>
      <c r="H5222" s="2" t="s">
        <v>15444</v>
      </c>
    </row>
    <row r="5223">
      <c r="A5223" s="2">
        <v>5221.0</v>
      </c>
      <c r="B5223" s="5" t="s">
        <v>14426</v>
      </c>
      <c r="C5223" s="2" t="s">
        <v>14427</v>
      </c>
      <c r="D5223" s="5" t="s">
        <v>14426</v>
      </c>
      <c r="E5223" s="2" t="s">
        <v>15441</v>
      </c>
      <c r="F5223" s="2" t="s">
        <v>15446</v>
      </c>
      <c r="G5223" s="2" t="s">
        <v>15456</v>
      </c>
      <c r="H5223" s="2" t="s">
        <v>15444</v>
      </c>
    </row>
    <row r="5224">
      <c r="A5224" s="2">
        <v>5222.0</v>
      </c>
      <c r="B5224" s="5" t="s">
        <v>14428</v>
      </c>
      <c r="C5224" s="2" t="s">
        <v>14429</v>
      </c>
      <c r="D5224" s="5" t="s">
        <v>14428</v>
      </c>
      <c r="E5224" s="2" t="s">
        <v>15441</v>
      </c>
      <c r="F5224" s="2" t="s">
        <v>15446</v>
      </c>
      <c r="G5224" s="2" t="s">
        <v>15456</v>
      </c>
      <c r="H5224" s="2" t="s">
        <v>15444</v>
      </c>
    </row>
    <row r="5225">
      <c r="A5225" s="2">
        <v>5223.0</v>
      </c>
      <c r="B5225" s="5" t="s">
        <v>7773</v>
      </c>
      <c r="C5225" s="2" t="s">
        <v>7774</v>
      </c>
      <c r="D5225" s="5" t="s">
        <v>7773</v>
      </c>
      <c r="E5225" s="2" t="s">
        <v>15445</v>
      </c>
      <c r="F5225" s="2" t="s">
        <v>15442</v>
      </c>
      <c r="G5225" s="2" t="s">
        <v>15443</v>
      </c>
      <c r="H5225" s="2" t="s">
        <v>15444</v>
      </c>
    </row>
    <row r="5226">
      <c r="A5226" s="2">
        <v>5224.0</v>
      </c>
      <c r="B5226" s="5" t="s">
        <v>14430</v>
      </c>
      <c r="C5226" s="2" t="s">
        <v>14431</v>
      </c>
      <c r="D5226" s="5" t="s">
        <v>14430</v>
      </c>
      <c r="E5226" s="2" t="s">
        <v>15441</v>
      </c>
      <c r="F5226" s="2" t="s">
        <v>15446</v>
      </c>
      <c r="G5226" s="2" t="s">
        <v>15443</v>
      </c>
      <c r="H5226" s="2" t="s">
        <v>15444</v>
      </c>
    </row>
    <row r="5227">
      <c r="A5227" s="2">
        <v>5225.0</v>
      </c>
      <c r="B5227" s="5" t="s">
        <v>7776</v>
      </c>
      <c r="C5227" s="2" t="s">
        <v>7777</v>
      </c>
      <c r="D5227" s="5" t="s">
        <v>7776</v>
      </c>
      <c r="E5227" s="2" t="s">
        <v>15445</v>
      </c>
      <c r="F5227" s="2" t="s">
        <v>15442</v>
      </c>
      <c r="G5227" s="2" t="s">
        <v>15443</v>
      </c>
      <c r="H5227" s="2" t="s">
        <v>15444</v>
      </c>
    </row>
    <row r="5228">
      <c r="A5228" s="2">
        <v>5226.0</v>
      </c>
      <c r="B5228" s="5" t="s">
        <v>7779</v>
      </c>
      <c r="C5228" s="2" t="s">
        <v>7780</v>
      </c>
      <c r="D5228" s="5" t="s">
        <v>7779</v>
      </c>
      <c r="E5228" s="2" t="s">
        <v>15445</v>
      </c>
      <c r="F5228" s="2" t="s">
        <v>15446</v>
      </c>
      <c r="G5228" s="2" t="s">
        <v>15443</v>
      </c>
      <c r="H5228" s="2" t="s">
        <v>15457</v>
      </c>
    </row>
    <row r="5229">
      <c r="A5229" s="2">
        <v>5227.0</v>
      </c>
      <c r="B5229" s="5" t="s">
        <v>7782</v>
      </c>
      <c r="C5229" s="2" t="s">
        <v>7783</v>
      </c>
      <c r="D5229" s="5" t="s">
        <v>7782</v>
      </c>
      <c r="E5229" s="2" t="s">
        <v>15445</v>
      </c>
      <c r="F5229" s="2" t="s">
        <v>15446</v>
      </c>
      <c r="G5229" s="2" t="s">
        <v>15443</v>
      </c>
      <c r="H5229" s="2" t="s">
        <v>15444</v>
      </c>
    </row>
    <row r="5230">
      <c r="A5230" s="2">
        <v>5228.0</v>
      </c>
      <c r="B5230" s="5" t="s">
        <v>7785</v>
      </c>
      <c r="C5230" s="2" t="s">
        <v>7786</v>
      </c>
      <c r="D5230" s="5" t="s">
        <v>7785</v>
      </c>
      <c r="E5230" s="2" t="s">
        <v>15445</v>
      </c>
      <c r="F5230" s="2" t="s">
        <v>15442</v>
      </c>
      <c r="G5230" s="2" t="s">
        <v>15443</v>
      </c>
      <c r="H5230" s="2" t="s">
        <v>15444</v>
      </c>
    </row>
    <row r="5231">
      <c r="A5231" s="2">
        <v>5229.0</v>
      </c>
      <c r="B5231" s="5" t="s">
        <v>7788</v>
      </c>
      <c r="C5231" s="2" t="s">
        <v>7789</v>
      </c>
      <c r="D5231" s="5" t="s">
        <v>7788</v>
      </c>
      <c r="E5231" s="2" t="s">
        <v>15445</v>
      </c>
      <c r="F5231" s="2" t="s">
        <v>15446</v>
      </c>
      <c r="G5231" s="2" t="s">
        <v>15456</v>
      </c>
      <c r="H5231" s="2" t="s">
        <v>15444</v>
      </c>
    </row>
    <row r="5232">
      <c r="A5232" s="2">
        <v>5230.0</v>
      </c>
      <c r="B5232" s="5" t="s">
        <v>7791</v>
      </c>
      <c r="C5232" s="2" t="s">
        <v>7792</v>
      </c>
      <c r="D5232" s="5" t="s">
        <v>7791</v>
      </c>
      <c r="E5232" s="2" t="s">
        <v>15445</v>
      </c>
      <c r="F5232" s="2" t="s">
        <v>15442</v>
      </c>
      <c r="G5232" s="2" t="s">
        <v>15443</v>
      </c>
      <c r="H5232" s="2" t="s">
        <v>15455</v>
      </c>
    </row>
    <row r="5233">
      <c r="A5233" s="2">
        <v>5231.0</v>
      </c>
      <c r="B5233" s="5" t="s">
        <v>14432</v>
      </c>
      <c r="C5233" s="2" t="s">
        <v>14433</v>
      </c>
      <c r="D5233" s="5" t="s">
        <v>14432</v>
      </c>
      <c r="E5233" s="2" t="s">
        <v>15441</v>
      </c>
      <c r="F5233" s="2" t="s">
        <v>15442</v>
      </c>
      <c r="G5233" s="2" t="s">
        <v>15443</v>
      </c>
      <c r="H5233" s="2" t="s">
        <v>15444</v>
      </c>
    </row>
    <row r="5234">
      <c r="A5234" s="2">
        <v>5232.0</v>
      </c>
      <c r="B5234" s="5" t="s">
        <v>14434</v>
      </c>
      <c r="C5234" s="2" t="s">
        <v>14435</v>
      </c>
      <c r="D5234" s="5" t="s">
        <v>14434</v>
      </c>
      <c r="E5234" s="2" t="s">
        <v>15441</v>
      </c>
      <c r="F5234" s="2" t="s">
        <v>15442</v>
      </c>
      <c r="G5234" s="2" t="s">
        <v>15456</v>
      </c>
      <c r="H5234" s="2" t="s">
        <v>15444</v>
      </c>
    </row>
    <row r="5235">
      <c r="A5235" s="2">
        <v>5233.0</v>
      </c>
      <c r="B5235" s="5" t="s">
        <v>14436</v>
      </c>
      <c r="C5235" s="2" t="s">
        <v>14437</v>
      </c>
      <c r="D5235" s="5" t="s">
        <v>14436</v>
      </c>
      <c r="E5235" s="2" t="s">
        <v>15441</v>
      </c>
      <c r="F5235" s="2" t="s">
        <v>15446</v>
      </c>
      <c r="G5235" s="2" t="s">
        <v>15456</v>
      </c>
      <c r="H5235" s="2" t="s">
        <v>15444</v>
      </c>
    </row>
    <row r="5236">
      <c r="A5236" s="2">
        <v>5234.0</v>
      </c>
      <c r="B5236" s="5" t="s">
        <v>7794</v>
      </c>
      <c r="C5236" s="2" t="s">
        <v>7795</v>
      </c>
      <c r="D5236" s="5" t="s">
        <v>7794</v>
      </c>
      <c r="E5236" s="2" t="s">
        <v>15445</v>
      </c>
      <c r="F5236" s="2" t="s">
        <v>15446</v>
      </c>
      <c r="G5236" s="2" t="s">
        <v>15443</v>
      </c>
      <c r="H5236" s="2" t="s">
        <v>15444</v>
      </c>
    </row>
    <row r="5237">
      <c r="A5237" s="2">
        <v>5235.0</v>
      </c>
      <c r="B5237" s="5" t="s">
        <v>7797</v>
      </c>
      <c r="C5237" s="2" t="s">
        <v>7798</v>
      </c>
      <c r="D5237" s="5" t="s">
        <v>7797</v>
      </c>
      <c r="E5237" s="2" t="s">
        <v>15445</v>
      </c>
      <c r="F5237" s="2" t="s">
        <v>15446</v>
      </c>
      <c r="G5237" s="2" t="s">
        <v>15443</v>
      </c>
      <c r="H5237" s="2" t="s">
        <v>15444</v>
      </c>
    </row>
    <row r="5238">
      <c r="A5238" s="2">
        <v>5236.0</v>
      </c>
      <c r="B5238" s="5" t="s">
        <v>7800</v>
      </c>
      <c r="C5238" s="2" t="s">
        <v>7801</v>
      </c>
      <c r="D5238" s="5" t="s">
        <v>7800</v>
      </c>
      <c r="E5238" s="2" t="s">
        <v>15445</v>
      </c>
      <c r="F5238" s="2" t="s">
        <v>15442</v>
      </c>
      <c r="G5238" s="2" t="s">
        <v>15443</v>
      </c>
      <c r="H5238" s="2" t="s">
        <v>15444</v>
      </c>
    </row>
    <row r="5239">
      <c r="A5239" s="2">
        <v>5237.0</v>
      </c>
      <c r="B5239" s="5" t="s">
        <v>7803</v>
      </c>
      <c r="C5239" s="2" t="s">
        <v>7804</v>
      </c>
      <c r="D5239" s="5" t="s">
        <v>7803</v>
      </c>
      <c r="E5239" s="2" t="s">
        <v>15445</v>
      </c>
      <c r="F5239" s="2" t="s">
        <v>15442</v>
      </c>
      <c r="G5239" s="2" t="s">
        <v>15443</v>
      </c>
      <c r="H5239" s="2" t="s">
        <v>15444</v>
      </c>
    </row>
    <row r="5240">
      <c r="A5240" s="2">
        <v>5238.0</v>
      </c>
      <c r="B5240" s="5" t="s">
        <v>14438</v>
      </c>
      <c r="C5240" s="2" t="s">
        <v>14439</v>
      </c>
      <c r="D5240" s="5" t="s">
        <v>14438</v>
      </c>
      <c r="E5240" s="2" t="s">
        <v>15441</v>
      </c>
      <c r="F5240" s="2" t="s">
        <v>15446</v>
      </c>
      <c r="G5240" s="2" t="s">
        <v>15456</v>
      </c>
      <c r="H5240" s="2" t="s">
        <v>15444</v>
      </c>
    </row>
    <row r="5241">
      <c r="A5241" s="2">
        <v>5239.0</v>
      </c>
      <c r="B5241" s="5" t="s">
        <v>7806</v>
      </c>
      <c r="C5241" s="2" t="s">
        <v>7807</v>
      </c>
      <c r="D5241" s="5" t="s">
        <v>7806</v>
      </c>
      <c r="E5241" s="2" t="s">
        <v>15445</v>
      </c>
      <c r="F5241" s="2" t="s">
        <v>15446</v>
      </c>
      <c r="G5241" s="2" t="s">
        <v>15443</v>
      </c>
      <c r="H5241" s="2" t="s">
        <v>15455</v>
      </c>
    </row>
    <row r="5242">
      <c r="A5242" s="2">
        <v>5240.0</v>
      </c>
      <c r="B5242" s="5" t="s">
        <v>7809</v>
      </c>
      <c r="C5242" s="2" t="s">
        <v>7810</v>
      </c>
      <c r="D5242" s="5" t="s">
        <v>7809</v>
      </c>
      <c r="E5242" s="2" t="s">
        <v>15445</v>
      </c>
      <c r="F5242" s="2" t="s">
        <v>15446</v>
      </c>
      <c r="G5242" s="2" t="s">
        <v>15456</v>
      </c>
      <c r="H5242" s="2" t="s">
        <v>15444</v>
      </c>
    </row>
    <row r="5243">
      <c r="A5243" s="2">
        <v>5241.0</v>
      </c>
      <c r="B5243" s="5" t="s">
        <v>14440</v>
      </c>
      <c r="C5243" s="2" t="s">
        <v>14441</v>
      </c>
      <c r="D5243" s="5" t="s">
        <v>14440</v>
      </c>
      <c r="E5243" s="2" t="s">
        <v>15441</v>
      </c>
      <c r="F5243" s="2" t="s">
        <v>15442</v>
      </c>
      <c r="G5243" s="2" t="s">
        <v>15443</v>
      </c>
      <c r="H5243" s="2" t="s">
        <v>15444</v>
      </c>
    </row>
    <row r="5244">
      <c r="A5244" s="2">
        <v>5242.0</v>
      </c>
      <c r="B5244" s="5" t="s">
        <v>14442</v>
      </c>
      <c r="C5244" s="2" t="s">
        <v>14443</v>
      </c>
      <c r="D5244" s="5" t="s">
        <v>14442</v>
      </c>
      <c r="E5244" s="2" t="s">
        <v>15441</v>
      </c>
      <c r="F5244" s="2" t="s">
        <v>15442</v>
      </c>
      <c r="G5244" s="2" t="s">
        <v>15443</v>
      </c>
      <c r="H5244" s="2" t="s">
        <v>15444</v>
      </c>
    </row>
    <row r="5245">
      <c r="A5245" s="2">
        <v>5243.0</v>
      </c>
      <c r="B5245" s="5" t="s">
        <v>14444</v>
      </c>
      <c r="C5245" s="2" t="s">
        <v>14445</v>
      </c>
      <c r="D5245" s="5" t="s">
        <v>14444</v>
      </c>
      <c r="E5245" s="2" t="s">
        <v>15441</v>
      </c>
      <c r="F5245" s="2" t="s">
        <v>15446</v>
      </c>
      <c r="G5245" s="2" t="s">
        <v>15456</v>
      </c>
      <c r="H5245" s="2" t="s">
        <v>15444</v>
      </c>
    </row>
    <row r="5246">
      <c r="A5246" s="2">
        <v>5244.0</v>
      </c>
      <c r="B5246" s="5" t="s">
        <v>14446</v>
      </c>
      <c r="C5246" s="2" t="s">
        <v>14447</v>
      </c>
      <c r="D5246" s="5" t="s">
        <v>14446</v>
      </c>
      <c r="E5246" s="2" t="s">
        <v>15441</v>
      </c>
      <c r="F5246" s="2" t="s">
        <v>15446</v>
      </c>
      <c r="G5246" s="2" t="s">
        <v>15456</v>
      </c>
      <c r="H5246" s="2" t="s">
        <v>15444</v>
      </c>
    </row>
    <row r="5247">
      <c r="A5247" s="2">
        <v>5245.0</v>
      </c>
      <c r="B5247" s="5" t="s">
        <v>7812</v>
      </c>
      <c r="C5247" s="2" t="s">
        <v>7813</v>
      </c>
      <c r="D5247" s="5" t="s">
        <v>7812</v>
      </c>
      <c r="E5247" s="2" t="s">
        <v>15445</v>
      </c>
      <c r="F5247" s="2" t="s">
        <v>15446</v>
      </c>
      <c r="G5247" s="2" t="s">
        <v>15456</v>
      </c>
      <c r="H5247" s="2" t="s">
        <v>15457</v>
      </c>
    </row>
    <row r="5248">
      <c r="A5248" s="2">
        <v>5246.0</v>
      </c>
      <c r="B5248" s="5" t="s">
        <v>14448</v>
      </c>
      <c r="C5248" s="2" t="s">
        <v>14449</v>
      </c>
      <c r="D5248" s="5" t="s">
        <v>14448</v>
      </c>
      <c r="E5248" s="2" t="s">
        <v>15441</v>
      </c>
      <c r="F5248" s="2" t="s">
        <v>15442</v>
      </c>
      <c r="G5248" s="2" t="s">
        <v>15443</v>
      </c>
      <c r="H5248" s="2" t="s">
        <v>15444</v>
      </c>
    </row>
    <row r="5249">
      <c r="A5249" s="2">
        <v>5247.0</v>
      </c>
      <c r="B5249" s="5" t="s">
        <v>14450</v>
      </c>
      <c r="C5249" s="2" t="s">
        <v>14451</v>
      </c>
      <c r="D5249" s="5" t="s">
        <v>14450</v>
      </c>
      <c r="E5249" s="2" t="s">
        <v>15441</v>
      </c>
      <c r="F5249" s="2" t="s">
        <v>15446</v>
      </c>
      <c r="G5249" s="2" t="s">
        <v>15443</v>
      </c>
      <c r="H5249" s="2" t="s">
        <v>15444</v>
      </c>
    </row>
    <row r="5250">
      <c r="A5250" s="2">
        <v>5248.0</v>
      </c>
      <c r="B5250" s="5" t="s">
        <v>7815</v>
      </c>
      <c r="C5250" s="2" t="s">
        <v>7816</v>
      </c>
      <c r="D5250" s="5" t="s">
        <v>7815</v>
      </c>
      <c r="E5250" s="2" t="s">
        <v>15445</v>
      </c>
      <c r="F5250" s="2" t="s">
        <v>15446</v>
      </c>
      <c r="G5250" s="2" t="s">
        <v>15456</v>
      </c>
      <c r="H5250" s="2" t="s">
        <v>15444</v>
      </c>
    </row>
    <row r="5251">
      <c r="A5251" s="2">
        <v>5249.0</v>
      </c>
      <c r="B5251" s="5" t="s">
        <v>14452</v>
      </c>
      <c r="C5251" s="2" t="s">
        <v>14453</v>
      </c>
      <c r="D5251" s="5" t="s">
        <v>14452</v>
      </c>
      <c r="E5251" s="2" t="s">
        <v>15441</v>
      </c>
      <c r="F5251" s="2" t="s">
        <v>15446</v>
      </c>
      <c r="G5251" s="2" t="s">
        <v>15456</v>
      </c>
      <c r="H5251" s="2" t="s">
        <v>15444</v>
      </c>
    </row>
    <row r="5252">
      <c r="A5252" s="2">
        <v>5250.0</v>
      </c>
      <c r="B5252" s="5" t="s">
        <v>7818</v>
      </c>
      <c r="C5252" s="2" t="s">
        <v>7819</v>
      </c>
      <c r="D5252" s="5" t="s">
        <v>7818</v>
      </c>
      <c r="E5252" s="2" t="s">
        <v>15445</v>
      </c>
      <c r="F5252" s="2" t="s">
        <v>15442</v>
      </c>
      <c r="G5252" s="2" t="s">
        <v>15443</v>
      </c>
      <c r="H5252" s="2" t="s">
        <v>15444</v>
      </c>
    </row>
    <row r="5253">
      <c r="A5253" s="2">
        <v>5251.0</v>
      </c>
      <c r="B5253" s="5" t="s">
        <v>7821</v>
      </c>
      <c r="C5253" s="2" t="s">
        <v>7822</v>
      </c>
      <c r="D5253" s="5" t="s">
        <v>7821</v>
      </c>
      <c r="E5253" s="2" t="s">
        <v>15445</v>
      </c>
      <c r="F5253" s="2" t="s">
        <v>15442</v>
      </c>
      <c r="G5253" s="2" t="s">
        <v>15456</v>
      </c>
      <c r="H5253" s="2" t="s">
        <v>15444</v>
      </c>
    </row>
    <row r="5254">
      <c r="A5254" s="2">
        <v>5252.0</v>
      </c>
      <c r="B5254" s="5" t="s">
        <v>7824</v>
      </c>
      <c r="C5254" s="2" t="s">
        <v>7825</v>
      </c>
      <c r="D5254" s="5" t="s">
        <v>7824</v>
      </c>
      <c r="E5254" s="2" t="s">
        <v>15445</v>
      </c>
      <c r="F5254" s="2" t="s">
        <v>15446</v>
      </c>
      <c r="G5254" s="2" t="s">
        <v>15456</v>
      </c>
      <c r="H5254" s="2" t="s">
        <v>15444</v>
      </c>
    </row>
    <row r="5255">
      <c r="A5255" s="2">
        <v>5253.0</v>
      </c>
      <c r="B5255" s="5" t="s">
        <v>14454</v>
      </c>
      <c r="C5255" s="2" t="s">
        <v>14455</v>
      </c>
      <c r="D5255" s="5" t="s">
        <v>14454</v>
      </c>
      <c r="E5255" s="2" t="s">
        <v>15441</v>
      </c>
      <c r="F5255" s="2" t="s">
        <v>15442</v>
      </c>
      <c r="G5255" s="2" t="s">
        <v>15443</v>
      </c>
      <c r="H5255" s="2" t="s">
        <v>15444</v>
      </c>
    </row>
    <row r="5256">
      <c r="A5256" s="2">
        <v>5254.0</v>
      </c>
      <c r="B5256" s="5" t="s">
        <v>7827</v>
      </c>
      <c r="C5256" s="2" t="s">
        <v>7828</v>
      </c>
      <c r="D5256" s="5" t="s">
        <v>7827</v>
      </c>
      <c r="E5256" s="2" t="s">
        <v>15445</v>
      </c>
      <c r="F5256" s="2" t="s">
        <v>15442</v>
      </c>
      <c r="G5256" s="2" t="s">
        <v>15443</v>
      </c>
      <c r="H5256" s="2" t="s">
        <v>15444</v>
      </c>
    </row>
    <row r="5257">
      <c r="A5257" s="2">
        <v>5255.0</v>
      </c>
      <c r="B5257" s="5" t="s">
        <v>7830</v>
      </c>
      <c r="C5257" s="2" t="s">
        <v>7831</v>
      </c>
      <c r="D5257" s="5" t="s">
        <v>7830</v>
      </c>
      <c r="E5257" s="2" t="s">
        <v>15445</v>
      </c>
      <c r="F5257" s="2" t="s">
        <v>15442</v>
      </c>
      <c r="G5257" s="2" t="s">
        <v>15456</v>
      </c>
      <c r="H5257" s="2" t="s">
        <v>15444</v>
      </c>
    </row>
    <row r="5258">
      <c r="A5258" s="2">
        <v>5256.0</v>
      </c>
      <c r="B5258" s="5" t="s">
        <v>14456</v>
      </c>
      <c r="C5258" s="2" t="s">
        <v>14457</v>
      </c>
      <c r="D5258" s="5" t="s">
        <v>14456</v>
      </c>
      <c r="E5258" s="2" t="s">
        <v>15441</v>
      </c>
      <c r="F5258" s="2" t="s">
        <v>15442</v>
      </c>
      <c r="G5258" s="2" t="s">
        <v>15456</v>
      </c>
      <c r="H5258" s="2" t="s">
        <v>15444</v>
      </c>
    </row>
    <row r="5259">
      <c r="A5259" s="2">
        <v>5257.0</v>
      </c>
      <c r="B5259" s="5" t="s">
        <v>7833</v>
      </c>
      <c r="C5259" s="2" t="s">
        <v>7834</v>
      </c>
      <c r="D5259" s="5" t="s">
        <v>7833</v>
      </c>
      <c r="E5259" s="2" t="s">
        <v>15445</v>
      </c>
      <c r="F5259" s="2" t="s">
        <v>15442</v>
      </c>
      <c r="G5259" s="2" t="s">
        <v>15443</v>
      </c>
      <c r="H5259" s="2" t="s">
        <v>15444</v>
      </c>
    </row>
    <row r="5260">
      <c r="A5260" s="2">
        <v>5258.0</v>
      </c>
      <c r="B5260" s="5" t="s">
        <v>14458</v>
      </c>
      <c r="C5260" s="2" t="s">
        <v>14459</v>
      </c>
      <c r="D5260" s="5" t="s">
        <v>14458</v>
      </c>
      <c r="E5260" s="2" t="s">
        <v>15441</v>
      </c>
      <c r="F5260" s="2" t="s">
        <v>15446</v>
      </c>
      <c r="G5260" s="2" t="s">
        <v>15456</v>
      </c>
      <c r="H5260" s="2" t="s">
        <v>15444</v>
      </c>
    </row>
    <row r="5261">
      <c r="A5261" s="2">
        <v>5259.0</v>
      </c>
      <c r="B5261" s="5" t="s">
        <v>7836</v>
      </c>
      <c r="C5261" s="2" t="s">
        <v>7837</v>
      </c>
      <c r="D5261" s="5" t="s">
        <v>7836</v>
      </c>
      <c r="E5261" s="2" t="s">
        <v>15445</v>
      </c>
      <c r="F5261" s="2" t="s">
        <v>15442</v>
      </c>
      <c r="G5261" s="2" t="s">
        <v>15456</v>
      </c>
      <c r="H5261" s="2" t="s">
        <v>15444</v>
      </c>
    </row>
    <row r="5262">
      <c r="A5262" s="2">
        <v>5260.0</v>
      </c>
      <c r="B5262" s="5" t="s">
        <v>7839</v>
      </c>
      <c r="C5262" s="2" t="s">
        <v>7840</v>
      </c>
      <c r="D5262" s="5" t="s">
        <v>7839</v>
      </c>
      <c r="E5262" s="2" t="s">
        <v>15445</v>
      </c>
      <c r="F5262" s="2" t="s">
        <v>15446</v>
      </c>
      <c r="G5262" s="2" t="s">
        <v>15443</v>
      </c>
      <c r="H5262" s="2" t="s">
        <v>15444</v>
      </c>
    </row>
    <row r="5263">
      <c r="A5263" s="2">
        <v>5261.0</v>
      </c>
      <c r="B5263" s="5" t="s">
        <v>7842</v>
      </c>
      <c r="C5263" s="2" t="s">
        <v>7843</v>
      </c>
      <c r="D5263" s="5" t="s">
        <v>7842</v>
      </c>
      <c r="E5263" s="2" t="s">
        <v>15445</v>
      </c>
      <c r="F5263" s="2" t="s">
        <v>15442</v>
      </c>
      <c r="G5263" s="2" t="s">
        <v>15456</v>
      </c>
      <c r="H5263" s="2" t="s">
        <v>15455</v>
      </c>
    </row>
    <row r="5264">
      <c r="A5264" s="2">
        <v>5262.0</v>
      </c>
      <c r="B5264" s="5" t="s">
        <v>7845</v>
      </c>
      <c r="C5264" s="2" t="s">
        <v>7846</v>
      </c>
      <c r="D5264" s="5" t="s">
        <v>7845</v>
      </c>
      <c r="E5264" s="2" t="s">
        <v>15445</v>
      </c>
      <c r="F5264" s="2" t="s">
        <v>15442</v>
      </c>
      <c r="G5264" s="2" t="s">
        <v>15443</v>
      </c>
      <c r="H5264" s="2" t="s">
        <v>15444</v>
      </c>
    </row>
    <row r="5265">
      <c r="A5265" s="2">
        <v>5263.0</v>
      </c>
      <c r="B5265" s="5" t="s">
        <v>7848</v>
      </c>
      <c r="C5265" s="2" t="s">
        <v>7849</v>
      </c>
      <c r="D5265" s="5" t="s">
        <v>7848</v>
      </c>
      <c r="E5265" s="2" t="s">
        <v>15445</v>
      </c>
      <c r="F5265" s="2" t="s">
        <v>15446</v>
      </c>
      <c r="G5265" s="2" t="s">
        <v>15456</v>
      </c>
      <c r="H5265" s="2" t="s">
        <v>15444</v>
      </c>
    </row>
    <row r="5266">
      <c r="A5266" s="2">
        <v>5264.0</v>
      </c>
      <c r="B5266" s="5" t="s">
        <v>7851</v>
      </c>
      <c r="C5266" s="2" t="s">
        <v>7852</v>
      </c>
      <c r="D5266" s="5" t="s">
        <v>7851</v>
      </c>
      <c r="E5266" s="2" t="s">
        <v>15445</v>
      </c>
      <c r="F5266" s="2" t="s">
        <v>15446</v>
      </c>
      <c r="G5266" s="2" t="s">
        <v>15456</v>
      </c>
      <c r="H5266" s="2" t="s">
        <v>15457</v>
      </c>
    </row>
    <row r="5267">
      <c r="A5267" s="2">
        <v>5265.0</v>
      </c>
      <c r="B5267" s="5" t="s">
        <v>14460</v>
      </c>
      <c r="C5267" s="2" t="s">
        <v>14461</v>
      </c>
      <c r="D5267" s="5" t="s">
        <v>14460</v>
      </c>
      <c r="E5267" s="2" t="s">
        <v>15441</v>
      </c>
      <c r="F5267" s="2" t="s">
        <v>15442</v>
      </c>
      <c r="G5267" s="2" t="s">
        <v>15443</v>
      </c>
      <c r="H5267" s="2" t="s">
        <v>15444</v>
      </c>
    </row>
    <row r="5268">
      <c r="A5268" s="2">
        <v>5266.0</v>
      </c>
      <c r="B5268" s="5" t="s">
        <v>7854</v>
      </c>
      <c r="C5268" s="2" t="s">
        <v>7855</v>
      </c>
      <c r="D5268" s="5" t="s">
        <v>7854</v>
      </c>
      <c r="E5268" s="2" t="s">
        <v>15445</v>
      </c>
      <c r="F5268" s="2" t="s">
        <v>15446</v>
      </c>
      <c r="G5268" s="2" t="s">
        <v>15456</v>
      </c>
      <c r="H5268" s="2" t="s">
        <v>15444</v>
      </c>
    </row>
    <row r="5269">
      <c r="A5269" s="2">
        <v>5267.0</v>
      </c>
      <c r="B5269" s="5" t="s">
        <v>7857</v>
      </c>
      <c r="C5269" s="2" t="s">
        <v>7858</v>
      </c>
      <c r="D5269" s="5" t="s">
        <v>7857</v>
      </c>
      <c r="E5269" s="2" t="s">
        <v>15445</v>
      </c>
      <c r="F5269" s="2" t="s">
        <v>15442</v>
      </c>
      <c r="G5269" s="2" t="s">
        <v>15443</v>
      </c>
      <c r="H5269" s="2" t="s">
        <v>15444</v>
      </c>
    </row>
    <row r="5270">
      <c r="A5270" s="2">
        <v>5268.0</v>
      </c>
      <c r="B5270" s="5" t="s">
        <v>14462</v>
      </c>
      <c r="C5270" s="2" t="s">
        <v>14463</v>
      </c>
      <c r="D5270" s="5" t="s">
        <v>14462</v>
      </c>
      <c r="E5270" s="2" t="s">
        <v>15441</v>
      </c>
      <c r="F5270" s="2" t="s">
        <v>15446</v>
      </c>
      <c r="G5270" s="2" t="s">
        <v>15456</v>
      </c>
      <c r="H5270" s="2" t="s">
        <v>15444</v>
      </c>
    </row>
    <row r="5271">
      <c r="A5271" s="2">
        <v>5269.0</v>
      </c>
      <c r="B5271" s="5" t="s">
        <v>7860</v>
      </c>
      <c r="C5271" s="2" t="s">
        <v>7861</v>
      </c>
      <c r="D5271" s="5" t="s">
        <v>7860</v>
      </c>
      <c r="E5271" s="2" t="s">
        <v>15445</v>
      </c>
      <c r="F5271" s="2" t="s">
        <v>15446</v>
      </c>
      <c r="G5271" s="2" t="s">
        <v>15456</v>
      </c>
      <c r="H5271" s="2" t="s">
        <v>15457</v>
      </c>
    </row>
    <row r="5272">
      <c r="A5272" s="2">
        <v>5270.0</v>
      </c>
      <c r="B5272" s="5" t="s">
        <v>14464</v>
      </c>
      <c r="C5272" s="2" t="s">
        <v>14465</v>
      </c>
      <c r="D5272" s="5" t="s">
        <v>14464</v>
      </c>
      <c r="E5272" s="2" t="s">
        <v>15441</v>
      </c>
      <c r="F5272" s="2" t="s">
        <v>15442</v>
      </c>
      <c r="G5272" s="2" t="s">
        <v>15456</v>
      </c>
      <c r="H5272" s="2" t="s">
        <v>15444</v>
      </c>
    </row>
    <row r="5273">
      <c r="A5273" s="2">
        <v>5271.0</v>
      </c>
      <c r="B5273" s="5" t="s">
        <v>7863</v>
      </c>
      <c r="C5273" s="2" t="s">
        <v>7864</v>
      </c>
      <c r="D5273" s="5" t="s">
        <v>7863</v>
      </c>
      <c r="E5273" s="2" t="s">
        <v>15445</v>
      </c>
      <c r="F5273" s="2" t="s">
        <v>15446</v>
      </c>
      <c r="G5273" s="2" t="s">
        <v>15456</v>
      </c>
      <c r="H5273" s="2" t="s">
        <v>15444</v>
      </c>
    </row>
    <row r="5274">
      <c r="A5274" s="2">
        <v>5272.0</v>
      </c>
      <c r="B5274" s="5" t="s">
        <v>14466</v>
      </c>
      <c r="C5274" s="2" t="s">
        <v>14467</v>
      </c>
      <c r="D5274" s="5" t="s">
        <v>14466</v>
      </c>
      <c r="E5274" s="2" t="s">
        <v>15441</v>
      </c>
      <c r="F5274" s="2" t="s">
        <v>15442</v>
      </c>
      <c r="G5274" s="2" t="s">
        <v>15443</v>
      </c>
      <c r="H5274" s="2" t="s">
        <v>15444</v>
      </c>
    </row>
    <row r="5275">
      <c r="A5275" s="2">
        <v>5273.0</v>
      </c>
      <c r="B5275" s="5" t="s">
        <v>14468</v>
      </c>
      <c r="C5275" s="2" t="s">
        <v>14469</v>
      </c>
      <c r="D5275" s="5" t="s">
        <v>14468</v>
      </c>
      <c r="E5275" s="2" t="s">
        <v>15441</v>
      </c>
      <c r="F5275" s="2" t="s">
        <v>15446</v>
      </c>
      <c r="G5275" s="2" t="s">
        <v>15456</v>
      </c>
      <c r="H5275" s="2" t="s">
        <v>15444</v>
      </c>
    </row>
    <row r="5276">
      <c r="A5276" s="2">
        <v>5274.0</v>
      </c>
      <c r="B5276" s="5" t="s">
        <v>7866</v>
      </c>
      <c r="C5276" s="2" t="s">
        <v>7867</v>
      </c>
      <c r="D5276" s="5" t="s">
        <v>7866</v>
      </c>
      <c r="E5276" s="2" t="s">
        <v>15445</v>
      </c>
      <c r="F5276" s="2" t="s">
        <v>15446</v>
      </c>
      <c r="G5276" s="2" t="s">
        <v>15456</v>
      </c>
      <c r="H5276" s="2" t="s">
        <v>15444</v>
      </c>
    </row>
    <row r="5277">
      <c r="A5277" s="2">
        <v>5275.0</v>
      </c>
      <c r="B5277" s="5" t="s">
        <v>7869</v>
      </c>
      <c r="C5277" s="2" t="s">
        <v>7870</v>
      </c>
      <c r="D5277" s="5" t="s">
        <v>7869</v>
      </c>
      <c r="E5277" s="2" t="s">
        <v>15445</v>
      </c>
      <c r="F5277" s="2" t="s">
        <v>15446</v>
      </c>
      <c r="G5277" s="2" t="s">
        <v>15456</v>
      </c>
      <c r="H5277" s="2" t="s">
        <v>15444</v>
      </c>
    </row>
    <row r="5278">
      <c r="A5278" s="2">
        <v>5276.0</v>
      </c>
      <c r="B5278" s="5" t="s">
        <v>7872</v>
      </c>
      <c r="C5278" s="2" t="s">
        <v>7873</v>
      </c>
      <c r="D5278" s="5" t="s">
        <v>7872</v>
      </c>
      <c r="E5278" s="2" t="s">
        <v>15445</v>
      </c>
      <c r="F5278" s="2" t="s">
        <v>15446</v>
      </c>
      <c r="G5278" s="2" t="s">
        <v>15456</v>
      </c>
      <c r="H5278" s="2" t="s">
        <v>15444</v>
      </c>
    </row>
    <row r="5279">
      <c r="A5279" s="2">
        <v>5277.0</v>
      </c>
      <c r="B5279" s="5" t="s">
        <v>14470</v>
      </c>
      <c r="C5279" s="2" t="s">
        <v>14471</v>
      </c>
      <c r="D5279" s="5" t="s">
        <v>14470</v>
      </c>
      <c r="E5279" s="2" t="s">
        <v>15441</v>
      </c>
      <c r="F5279" s="2" t="s">
        <v>15446</v>
      </c>
      <c r="G5279" s="2" t="s">
        <v>15443</v>
      </c>
      <c r="H5279" s="2" t="s">
        <v>15455</v>
      </c>
    </row>
    <row r="5280">
      <c r="A5280" s="2">
        <v>5278.0</v>
      </c>
      <c r="B5280" s="5" t="s">
        <v>14472</v>
      </c>
      <c r="C5280" s="2" t="s">
        <v>14473</v>
      </c>
      <c r="D5280" s="5" t="s">
        <v>14472</v>
      </c>
      <c r="E5280" s="2" t="s">
        <v>15441</v>
      </c>
      <c r="F5280" s="2" t="s">
        <v>15442</v>
      </c>
      <c r="G5280" s="2" t="s">
        <v>15443</v>
      </c>
      <c r="H5280" s="2" t="s">
        <v>15444</v>
      </c>
    </row>
    <row r="5281">
      <c r="A5281" s="2">
        <v>5279.0</v>
      </c>
      <c r="B5281" s="5" t="s">
        <v>7875</v>
      </c>
      <c r="C5281" s="2" t="s">
        <v>7876</v>
      </c>
      <c r="D5281" s="5" t="s">
        <v>7875</v>
      </c>
      <c r="E5281" s="2" t="s">
        <v>15445</v>
      </c>
      <c r="F5281" s="2" t="s">
        <v>15442</v>
      </c>
      <c r="G5281" s="2" t="s">
        <v>15443</v>
      </c>
      <c r="H5281" s="2" t="s">
        <v>15444</v>
      </c>
    </row>
    <row r="5282">
      <c r="A5282" s="2">
        <v>5280.0</v>
      </c>
      <c r="B5282" s="5" t="s">
        <v>14474</v>
      </c>
      <c r="C5282" s="2" t="s">
        <v>14475</v>
      </c>
      <c r="D5282" s="5" t="s">
        <v>14474</v>
      </c>
      <c r="E5282" s="2" t="s">
        <v>15441</v>
      </c>
      <c r="F5282" s="2" t="s">
        <v>15442</v>
      </c>
      <c r="G5282" s="2" t="s">
        <v>15443</v>
      </c>
      <c r="H5282" s="2" t="s">
        <v>15444</v>
      </c>
    </row>
    <row r="5283">
      <c r="A5283" s="2">
        <v>5281.0</v>
      </c>
      <c r="B5283" s="5" t="s">
        <v>14476</v>
      </c>
      <c r="C5283" s="2" t="s">
        <v>14477</v>
      </c>
      <c r="D5283" s="5" t="s">
        <v>14476</v>
      </c>
      <c r="E5283" s="2" t="s">
        <v>15441</v>
      </c>
      <c r="F5283" s="2" t="s">
        <v>15442</v>
      </c>
      <c r="G5283" s="2" t="s">
        <v>15456</v>
      </c>
      <c r="H5283" s="2" t="s">
        <v>15444</v>
      </c>
    </row>
    <row r="5284">
      <c r="A5284" s="2">
        <v>5282.0</v>
      </c>
      <c r="B5284" s="5" t="s">
        <v>14478</v>
      </c>
      <c r="C5284" s="2" t="s">
        <v>14479</v>
      </c>
      <c r="D5284" s="5" t="s">
        <v>14478</v>
      </c>
      <c r="E5284" s="2" t="s">
        <v>15441</v>
      </c>
      <c r="F5284" s="2" t="s">
        <v>15446</v>
      </c>
      <c r="G5284" s="2" t="s">
        <v>15456</v>
      </c>
      <c r="H5284" s="2" t="s">
        <v>15444</v>
      </c>
    </row>
    <row r="5285">
      <c r="A5285" s="2">
        <v>5283.0</v>
      </c>
      <c r="B5285" s="5" t="s">
        <v>14480</v>
      </c>
      <c r="C5285" s="2" t="s">
        <v>14481</v>
      </c>
      <c r="D5285" s="5" t="s">
        <v>14480</v>
      </c>
      <c r="E5285" s="2" t="s">
        <v>15441</v>
      </c>
      <c r="F5285" s="2" t="s">
        <v>15446</v>
      </c>
      <c r="G5285" s="2" t="s">
        <v>15443</v>
      </c>
      <c r="H5285" s="2" t="s">
        <v>15444</v>
      </c>
    </row>
    <row r="5286">
      <c r="A5286" s="2">
        <v>5284.0</v>
      </c>
      <c r="B5286" s="5" t="s">
        <v>7878</v>
      </c>
      <c r="C5286" s="2" t="s">
        <v>7879</v>
      </c>
      <c r="D5286" s="5" t="s">
        <v>7878</v>
      </c>
      <c r="E5286" s="2" t="s">
        <v>15445</v>
      </c>
      <c r="F5286" s="2" t="s">
        <v>15446</v>
      </c>
      <c r="G5286" s="2" t="s">
        <v>15456</v>
      </c>
      <c r="H5286" s="2" t="s">
        <v>15455</v>
      </c>
    </row>
    <row r="5287">
      <c r="A5287" s="2">
        <v>5285.0</v>
      </c>
      <c r="B5287" s="5" t="s">
        <v>7881</v>
      </c>
      <c r="C5287" s="2" t="s">
        <v>7882</v>
      </c>
      <c r="D5287" s="5" t="s">
        <v>7881</v>
      </c>
      <c r="E5287" s="2" t="s">
        <v>15445</v>
      </c>
      <c r="F5287" s="2" t="s">
        <v>15446</v>
      </c>
      <c r="G5287" s="2" t="s">
        <v>15456</v>
      </c>
      <c r="H5287" s="2" t="s">
        <v>15444</v>
      </c>
    </row>
    <row r="5288">
      <c r="A5288" s="2">
        <v>5286.0</v>
      </c>
      <c r="B5288" s="5" t="s">
        <v>14482</v>
      </c>
      <c r="C5288" s="2" t="s">
        <v>14483</v>
      </c>
      <c r="D5288" s="5" t="s">
        <v>14482</v>
      </c>
      <c r="E5288" s="2" t="s">
        <v>15441</v>
      </c>
      <c r="F5288" s="2" t="s">
        <v>15446</v>
      </c>
      <c r="G5288" s="2" t="s">
        <v>15456</v>
      </c>
      <c r="H5288" s="2" t="s">
        <v>15444</v>
      </c>
    </row>
    <row r="5289">
      <c r="A5289" s="2">
        <v>5287.0</v>
      </c>
      <c r="B5289" s="5" t="s">
        <v>14484</v>
      </c>
      <c r="C5289" s="2" t="s">
        <v>14485</v>
      </c>
      <c r="D5289" s="5" t="s">
        <v>14484</v>
      </c>
      <c r="E5289" s="2" t="s">
        <v>15441</v>
      </c>
      <c r="F5289" s="2" t="s">
        <v>15442</v>
      </c>
      <c r="G5289" s="2" t="s">
        <v>15443</v>
      </c>
      <c r="H5289" s="2" t="s">
        <v>15444</v>
      </c>
    </row>
    <row r="5290">
      <c r="A5290" s="2">
        <v>5288.0</v>
      </c>
      <c r="B5290" s="5" t="s">
        <v>14486</v>
      </c>
      <c r="C5290" s="2" t="s">
        <v>14487</v>
      </c>
      <c r="D5290" s="5" t="s">
        <v>14486</v>
      </c>
      <c r="E5290" s="2" t="s">
        <v>15441</v>
      </c>
      <c r="F5290" s="2" t="s">
        <v>15446</v>
      </c>
      <c r="G5290" s="2" t="s">
        <v>15443</v>
      </c>
      <c r="H5290" s="2" t="s">
        <v>15444</v>
      </c>
    </row>
    <row r="5291">
      <c r="A5291" s="2">
        <v>5289.0</v>
      </c>
      <c r="B5291" s="5" t="s">
        <v>14488</v>
      </c>
      <c r="C5291" s="2" t="s">
        <v>14489</v>
      </c>
      <c r="D5291" s="5" t="s">
        <v>14488</v>
      </c>
      <c r="E5291" s="2" t="s">
        <v>15441</v>
      </c>
      <c r="F5291" s="2" t="s">
        <v>15446</v>
      </c>
      <c r="G5291" s="2" t="s">
        <v>15456</v>
      </c>
      <c r="H5291" s="2" t="s">
        <v>15444</v>
      </c>
    </row>
    <row r="5292">
      <c r="A5292" s="2">
        <v>5290.0</v>
      </c>
      <c r="B5292" s="5" t="s">
        <v>7884</v>
      </c>
      <c r="C5292" s="2" t="s">
        <v>7885</v>
      </c>
      <c r="D5292" s="5" t="s">
        <v>7884</v>
      </c>
      <c r="E5292" s="2" t="s">
        <v>15445</v>
      </c>
      <c r="F5292" s="2" t="s">
        <v>15446</v>
      </c>
      <c r="G5292" s="2" t="s">
        <v>15456</v>
      </c>
      <c r="H5292" s="2" t="s">
        <v>15444</v>
      </c>
    </row>
    <row r="5293">
      <c r="A5293" s="2">
        <v>5291.0</v>
      </c>
      <c r="B5293" s="5" t="s">
        <v>14490</v>
      </c>
      <c r="C5293" s="2" t="s">
        <v>14491</v>
      </c>
      <c r="D5293" s="5" t="s">
        <v>14490</v>
      </c>
      <c r="E5293" s="2" t="s">
        <v>15441</v>
      </c>
      <c r="F5293" s="2" t="s">
        <v>15446</v>
      </c>
      <c r="G5293" s="2" t="s">
        <v>15456</v>
      </c>
      <c r="H5293" s="2" t="s">
        <v>15444</v>
      </c>
    </row>
    <row r="5294">
      <c r="A5294" s="2">
        <v>5292.0</v>
      </c>
      <c r="B5294" s="5" t="s">
        <v>14492</v>
      </c>
      <c r="C5294" s="2" t="s">
        <v>14493</v>
      </c>
      <c r="D5294" s="5" t="s">
        <v>14492</v>
      </c>
      <c r="E5294" s="2" t="s">
        <v>15441</v>
      </c>
      <c r="F5294" s="2" t="s">
        <v>15446</v>
      </c>
      <c r="G5294" s="2" t="s">
        <v>15456</v>
      </c>
      <c r="H5294" s="2" t="s">
        <v>15444</v>
      </c>
    </row>
    <row r="5295">
      <c r="A5295" s="2">
        <v>5293.0</v>
      </c>
      <c r="B5295" s="5" t="s">
        <v>7887</v>
      </c>
      <c r="C5295" s="2" t="s">
        <v>7888</v>
      </c>
      <c r="D5295" s="5" t="s">
        <v>7887</v>
      </c>
      <c r="E5295" s="2" t="s">
        <v>15445</v>
      </c>
      <c r="F5295" s="2" t="s">
        <v>15446</v>
      </c>
      <c r="G5295" s="2" t="s">
        <v>15456</v>
      </c>
      <c r="H5295" s="2" t="s">
        <v>15444</v>
      </c>
    </row>
    <row r="5296">
      <c r="A5296" s="2">
        <v>5294.0</v>
      </c>
      <c r="B5296" s="5" t="s">
        <v>14494</v>
      </c>
      <c r="C5296" s="2" t="s">
        <v>14495</v>
      </c>
      <c r="D5296" s="5" t="s">
        <v>14494</v>
      </c>
      <c r="E5296" s="2" t="s">
        <v>15441</v>
      </c>
      <c r="F5296" s="2" t="s">
        <v>15442</v>
      </c>
      <c r="G5296" s="2" t="s">
        <v>15443</v>
      </c>
      <c r="H5296" s="2" t="s">
        <v>15444</v>
      </c>
    </row>
    <row r="5297">
      <c r="A5297" s="2">
        <v>5295.0</v>
      </c>
      <c r="B5297" s="5" t="s">
        <v>7890</v>
      </c>
      <c r="C5297" s="2" t="s">
        <v>7891</v>
      </c>
      <c r="D5297" s="5" t="s">
        <v>7890</v>
      </c>
      <c r="E5297" s="2" t="s">
        <v>15445</v>
      </c>
      <c r="F5297" s="2" t="s">
        <v>15442</v>
      </c>
      <c r="G5297" s="2" t="s">
        <v>15443</v>
      </c>
      <c r="H5297" s="2" t="s">
        <v>15444</v>
      </c>
    </row>
    <row r="5298">
      <c r="A5298" s="2">
        <v>5296.0</v>
      </c>
      <c r="B5298" s="5" t="s">
        <v>14496</v>
      </c>
      <c r="C5298" s="2" t="s">
        <v>14497</v>
      </c>
      <c r="D5298" s="5" t="s">
        <v>14496</v>
      </c>
      <c r="E5298" s="2" t="s">
        <v>15441</v>
      </c>
      <c r="F5298" s="2" t="s">
        <v>15446</v>
      </c>
      <c r="G5298" s="2" t="s">
        <v>15443</v>
      </c>
      <c r="H5298" s="2" t="s">
        <v>15444</v>
      </c>
    </row>
    <row r="5299">
      <c r="A5299" s="2">
        <v>5297.0</v>
      </c>
      <c r="B5299" s="5" t="s">
        <v>14498</v>
      </c>
      <c r="C5299" s="2" t="s">
        <v>14499</v>
      </c>
      <c r="D5299" s="5" t="s">
        <v>14498</v>
      </c>
      <c r="E5299" s="2" t="s">
        <v>15441</v>
      </c>
      <c r="F5299" s="2" t="s">
        <v>15446</v>
      </c>
      <c r="G5299" s="2" t="s">
        <v>15443</v>
      </c>
      <c r="H5299" s="2" t="s">
        <v>15444</v>
      </c>
    </row>
    <row r="5300">
      <c r="A5300" s="2">
        <v>5298.0</v>
      </c>
      <c r="B5300" s="5" t="s">
        <v>7893</v>
      </c>
      <c r="C5300" s="2" t="s">
        <v>7894</v>
      </c>
      <c r="D5300" s="5" t="s">
        <v>7893</v>
      </c>
      <c r="E5300" s="2" t="s">
        <v>15445</v>
      </c>
      <c r="F5300" s="2" t="s">
        <v>15446</v>
      </c>
      <c r="G5300" s="2" t="s">
        <v>15456</v>
      </c>
      <c r="H5300" s="2" t="s">
        <v>15444</v>
      </c>
    </row>
    <row r="5301">
      <c r="A5301" s="2">
        <v>5299.0</v>
      </c>
      <c r="B5301" s="5" t="s">
        <v>7896</v>
      </c>
      <c r="C5301" s="2" t="s">
        <v>7897</v>
      </c>
      <c r="D5301" s="5" t="s">
        <v>7896</v>
      </c>
      <c r="E5301" s="2" t="s">
        <v>15445</v>
      </c>
      <c r="F5301" s="2" t="s">
        <v>15442</v>
      </c>
      <c r="G5301" s="2" t="s">
        <v>15443</v>
      </c>
      <c r="H5301" s="2" t="s">
        <v>15444</v>
      </c>
    </row>
    <row r="5302">
      <c r="A5302" s="2">
        <v>5300.0</v>
      </c>
      <c r="B5302" s="5" t="s">
        <v>7899</v>
      </c>
      <c r="C5302" s="2" t="s">
        <v>7900</v>
      </c>
      <c r="D5302" s="5" t="s">
        <v>7899</v>
      </c>
      <c r="E5302" s="2" t="s">
        <v>15445</v>
      </c>
      <c r="F5302" s="2" t="s">
        <v>15442</v>
      </c>
      <c r="G5302" s="2" t="s">
        <v>15456</v>
      </c>
      <c r="H5302" s="2" t="s">
        <v>15444</v>
      </c>
    </row>
    <row r="5303">
      <c r="A5303" s="2">
        <v>5301.0</v>
      </c>
      <c r="B5303" s="5" t="s">
        <v>7902</v>
      </c>
      <c r="C5303" s="2" t="s">
        <v>7903</v>
      </c>
      <c r="D5303" s="5" t="s">
        <v>7902</v>
      </c>
      <c r="E5303" s="2" t="s">
        <v>15445</v>
      </c>
      <c r="F5303" s="2" t="s">
        <v>15442</v>
      </c>
      <c r="G5303" s="2" t="s">
        <v>15456</v>
      </c>
      <c r="H5303" s="2" t="s">
        <v>15444</v>
      </c>
    </row>
    <row r="5304">
      <c r="A5304" s="2">
        <v>5302.0</v>
      </c>
      <c r="B5304" s="5" t="s">
        <v>14500</v>
      </c>
      <c r="C5304" s="2" t="s">
        <v>14501</v>
      </c>
      <c r="D5304" s="5" t="s">
        <v>14500</v>
      </c>
      <c r="E5304" s="2" t="s">
        <v>15441</v>
      </c>
      <c r="F5304" s="2" t="s">
        <v>15442</v>
      </c>
      <c r="G5304" s="2" t="s">
        <v>15443</v>
      </c>
      <c r="H5304" s="2" t="s">
        <v>15444</v>
      </c>
    </row>
    <row r="5305">
      <c r="A5305" s="2">
        <v>5303.0</v>
      </c>
      <c r="B5305" s="5" t="s">
        <v>7905</v>
      </c>
      <c r="C5305" s="2" t="s">
        <v>7906</v>
      </c>
      <c r="D5305" s="5" t="s">
        <v>7905</v>
      </c>
      <c r="E5305" s="2" t="s">
        <v>15445</v>
      </c>
      <c r="F5305" s="2" t="s">
        <v>15446</v>
      </c>
      <c r="G5305" s="2" t="s">
        <v>15456</v>
      </c>
      <c r="H5305" s="2" t="s">
        <v>15444</v>
      </c>
    </row>
    <row r="5306">
      <c r="A5306" s="2">
        <v>5304.0</v>
      </c>
      <c r="B5306" s="5" t="s">
        <v>7908</v>
      </c>
      <c r="C5306" s="2" t="s">
        <v>7909</v>
      </c>
      <c r="D5306" s="5" t="s">
        <v>7908</v>
      </c>
      <c r="E5306" s="2" t="s">
        <v>15445</v>
      </c>
      <c r="F5306" s="2" t="s">
        <v>15442</v>
      </c>
      <c r="G5306" s="2" t="s">
        <v>15443</v>
      </c>
      <c r="H5306" s="2" t="s">
        <v>15444</v>
      </c>
    </row>
    <row r="5307">
      <c r="A5307" s="2">
        <v>5305.0</v>
      </c>
      <c r="B5307" s="5" t="s">
        <v>7911</v>
      </c>
      <c r="C5307" s="2" t="s">
        <v>7912</v>
      </c>
      <c r="D5307" s="5" t="s">
        <v>7911</v>
      </c>
      <c r="E5307" s="2" t="s">
        <v>15445</v>
      </c>
      <c r="F5307" s="2" t="s">
        <v>15442</v>
      </c>
      <c r="G5307" s="2" t="s">
        <v>15443</v>
      </c>
      <c r="H5307" s="2" t="s">
        <v>15444</v>
      </c>
    </row>
    <row r="5308">
      <c r="A5308" s="2">
        <v>5306.0</v>
      </c>
      <c r="B5308" s="5" t="s">
        <v>7914</v>
      </c>
      <c r="C5308" s="2" t="s">
        <v>7915</v>
      </c>
      <c r="D5308" s="5" t="s">
        <v>7914</v>
      </c>
      <c r="E5308" s="2" t="s">
        <v>15445</v>
      </c>
      <c r="F5308" s="2" t="s">
        <v>15446</v>
      </c>
      <c r="G5308" s="2" t="s">
        <v>15443</v>
      </c>
      <c r="H5308" s="2" t="s">
        <v>15444</v>
      </c>
    </row>
    <row r="5309">
      <c r="A5309" s="2">
        <v>5307.0</v>
      </c>
      <c r="B5309" s="5" t="s">
        <v>7917</v>
      </c>
      <c r="C5309" s="2" t="s">
        <v>7918</v>
      </c>
      <c r="D5309" s="5" t="s">
        <v>7917</v>
      </c>
      <c r="E5309" s="2" t="s">
        <v>15445</v>
      </c>
      <c r="F5309" s="2" t="s">
        <v>15442</v>
      </c>
      <c r="G5309" s="2" t="s">
        <v>15443</v>
      </c>
      <c r="H5309" s="2" t="s">
        <v>15444</v>
      </c>
    </row>
    <row r="5310">
      <c r="A5310" s="2">
        <v>5308.0</v>
      </c>
      <c r="B5310" s="5" t="s">
        <v>7920</v>
      </c>
      <c r="C5310" s="2" t="s">
        <v>7921</v>
      </c>
      <c r="D5310" s="5" t="s">
        <v>7920</v>
      </c>
      <c r="E5310" s="2" t="s">
        <v>15445</v>
      </c>
      <c r="F5310" s="2" t="s">
        <v>15446</v>
      </c>
      <c r="G5310" s="2" t="s">
        <v>15443</v>
      </c>
      <c r="H5310" s="2" t="s">
        <v>15444</v>
      </c>
    </row>
    <row r="5311">
      <c r="A5311" s="2">
        <v>5309.0</v>
      </c>
      <c r="B5311" s="5" t="s">
        <v>7923</v>
      </c>
      <c r="C5311" s="2" t="s">
        <v>7924</v>
      </c>
      <c r="D5311" s="5" t="s">
        <v>7923</v>
      </c>
      <c r="E5311" s="2" t="s">
        <v>15445</v>
      </c>
      <c r="F5311" s="2" t="s">
        <v>15446</v>
      </c>
      <c r="G5311" s="2" t="s">
        <v>15456</v>
      </c>
      <c r="H5311" s="2" t="s">
        <v>15444</v>
      </c>
    </row>
    <row r="5312">
      <c r="A5312" s="2">
        <v>5310.0</v>
      </c>
      <c r="B5312" s="5" t="s">
        <v>7926</v>
      </c>
      <c r="C5312" s="2" t="s">
        <v>7927</v>
      </c>
      <c r="D5312" s="5" t="s">
        <v>7926</v>
      </c>
      <c r="E5312" s="2" t="s">
        <v>15445</v>
      </c>
      <c r="F5312" s="2" t="s">
        <v>15446</v>
      </c>
      <c r="G5312" s="2" t="s">
        <v>15456</v>
      </c>
      <c r="H5312" s="2" t="s">
        <v>15444</v>
      </c>
    </row>
    <row r="5313">
      <c r="A5313" s="2">
        <v>5311.0</v>
      </c>
      <c r="B5313" s="5" t="s">
        <v>14502</v>
      </c>
      <c r="C5313" s="2" t="s">
        <v>14503</v>
      </c>
      <c r="D5313" s="5" t="s">
        <v>14502</v>
      </c>
      <c r="E5313" s="2" t="s">
        <v>15441</v>
      </c>
      <c r="F5313" s="2" t="s">
        <v>15442</v>
      </c>
      <c r="G5313" s="2" t="s">
        <v>15456</v>
      </c>
      <c r="H5313" s="2" t="s">
        <v>15444</v>
      </c>
    </row>
    <row r="5314">
      <c r="A5314" s="2">
        <v>5312.0</v>
      </c>
      <c r="B5314" s="5" t="s">
        <v>14504</v>
      </c>
      <c r="C5314" s="2" t="s">
        <v>14505</v>
      </c>
      <c r="D5314" s="5" t="s">
        <v>14504</v>
      </c>
      <c r="E5314" s="2" t="s">
        <v>15441</v>
      </c>
      <c r="F5314" s="2" t="s">
        <v>15446</v>
      </c>
      <c r="G5314" s="2" t="s">
        <v>15456</v>
      </c>
      <c r="H5314" s="2" t="s">
        <v>15444</v>
      </c>
    </row>
    <row r="5315">
      <c r="A5315" s="2">
        <v>5313.0</v>
      </c>
      <c r="B5315" s="5" t="s">
        <v>7929</v>
      </c>
      <c r="C5315" s="2" t="s">
        <v>7930</v>
      </c>
      <c r="D5315" s="5" t="s">
        <v>7929</v>
      </c>
      <c r="E5315" s="2" t="s">
        <v>15445</v>
      </c>
      <c r="F5315" s="2" t="s">
        <v>15446</v>
      </c>
      <c r="G5315" s="2" t="s">
        <v>15456</v>
      </c>
      <c r="H5315" s="2" t="s">
        <v>15444</v>
      </c>
    </row>
    <row r="5316">
      <c r="A5316" s="2">
        <v>5314.0</v>
      </c>
      <c r="B5316" s="5" t="s">
        <v>14506</v>
      </c>
      <c r="C5316" s="2" t="s">
        <v>14507</v>
      </c>
      <c r="D5316" s="5" t="s">
        <v>14506</v>
      </c>
      <c r="E5316" s="2" t="s">
        <v>15441</v>
      </c>
      <c r="F5316" s="2" t="s">
        <v>15446</v>
      </c>
      <c r="G5316" s="2" t="s">
        <v>15456</v>
      </c>
      <c r="H5316" s="2" t="s">
        <v>15444</v>
      </c>
    </row>
    <row r="5317">
      <c r="A5317" s="2">
        <v>5315.0</v>
      </c>
      <c r="B5317" s="5" t="s">
        <v>14508</v>
      </c>
      <c r="C5317" s="2" t="s">
        <v>14509</v>
      </c>
      <c r="D5317" s="5" t="s">
        <v>14508</v>
      </c>
      <c r="E5317" s="2" t="s">
        <v>15441</v>
      </c>
      <c r="F5317" s="2" t="s">
        <v>15442</v>
      </c>
      <c r="G5317" s="2" t="s">
        <v>15443</v>
      </c>
      <c r="H5317" s="2" t="s">
        <v>15444</v>
      </c>
    </row>
    <row r="5318">
      <c r="A5318" s="2">
        <v>5316.0</v>
      </c>
      <c r="B5318" s="5" t="s">
        <v>7932</v>
      </c>
      <c r="C5318" s="2" t="s">
        <v>7933</v>
      </c>
      <c r="D5318" s="5" t="s">
        <v>7932</v>
      </c>
      <c r="E5318" s="2" t="s">
        <v>15445</v>
      </c>
      <c r="F5318" s="2" t="s">
        <v>15446</v>
      </c>
      <c r="G5318" s="2" t="s">
        <v>15443</v>
      </c>
      <c r="H5318" s="2" t="s">
        <v>15444</v>
      </c>
    </row>
    <row r="5319">
      <c r="A5319" s="2">
        <v>5317.0</v>
      </c>
      <c r="B5319" s="5" t="s">
        <v>7935</v>
      </c>
      <c r="C5319" s="2" t="s">
        <v>7936</v>
      </c>
      <c r="D5319" s="5" t="s">
        <v>7935</v>
      </c>
      <c r="E5319" s="2" t="s">
        <v>15445</v>
      </c>
      <c r="F5319" s="2" t="s">
        <v>15446</v>
      </c>
      <c r="G5319" s="2" t="s">
        <v>15456</v>
      </c>
      <c r="H5319" s="2" t="s">
        <v>15444</v>
      </c>
    </row>
    <row r="5320">
      <c r="A5320" s="2">
        <v>5318.0</v>
      </c>
      <c r="B5320" s="5" t="s">
        <v>14510</v>
      </c>
      <c r="C5320" s="2" t="s">
        <v>14511</v>
      </c>
      <c r="D5320" s="5" t="s">
        <v>14510</v>
      </c>
      <c r="E5320" s="2" t="s">
        <v>15441</v>
      </c>
      <c r="F5320" s="2" t="s">
        <v>15446</v>
      </c>
      <c r="G5320" s="2" t="s">
        <v>15456</v>
      </c>
      <c r="H5320" s="2" t="s">
        <v>15444</v>
      </c>
    </row>
    <row r="5321">
      <c r="A5321" s="2">
        <v>5319.0</v>
      </c>
      <c r="B5321" s="5" t="s">
        <v>14512</v>
      </c>
      <c r="C5321" s="2" t="s">
        <v>14513</v>
      </c>
      <c r="D5321" s="5" t="s">
        <v>14512</v>
      </c>
      <c r="E5321" s="2" t="s">
        <v>15441</v>
      </c>
      <c r="F5321" s="2" t="s">
        <v>15446</v>
      </c>
      <c r="G5321" s="2" t="s">
        <v>15456</v>
      </c>
      <c r="H5321" s="2" t="s">
        <v>15455</v>
      </c>
    </row>
    <row r="5322">
      <c r="A5322" s="2">
        <v>5320.0</v>
      </c>
      <c r="B5322" s="5" t="s">
        <v>7938</v>
      </c>
      <c r="C5322" s="2" t="s">
        <v>7939</v>
      </c>
      <c r="D5322" s="5" t="s">
        <v>7938</v>
      </c>
      <c r="E5322" s="2" t="s">
        <v>15445</v>
      </c>
      <c r="F5322" s="2" t="s">
        <v>15446</v>
      </c>
      <c r="G5322" s="2" t="s">
        <v>15456</v>
      </c>
      <c r="H5322" s="2" t="s">
        <v>15444</v>
      </c>
    </row>
    <row r="5323">
      <c r="A5323" s="2">
        <v>5321.0</v>
      </c>
      <c r="B5323" s="5" t="s">
        <v>7941</v>
      </c>
      <c r="C5323" s="2" t="s">
        <v>7942</v>
      </c>
      <c r="D5323" s="5" t="s">
        <v>7941</v>
      </c>
      <c r="E5323" s="2" t="s">
        <v>15445</v>
      </c>
      <c r="F5323" s="2" t="s">
        <v>15446</v>
      </c>
      <c r="G5323" s="2" t="s">
        <v>15456</v>
      </c>
      <c r="H5323" s="2" t="s">
        <v>15444</v>
      </c>
    </row>
    <row r="5324">
      <c r="A5324" s="2">
        <v>5322.0</v>
      </c>
      <c r="B5324" s="5" t="s">
        <v>14514</v>
      </c>
      <c r="C5324" s="2" t="s">
        <v>14515</v>
      </c>
      <c r="D5324" s="5" t="s">
        <v>14514</v>
      </c>
      <c r="E5324" s="2" t="s">
        <v>15441</v>
      </c>
      <c r="F5324" s="2" t="s">
        <v>15446</v>
      </c>
      <c r="G5324" s="2" t="s">
        <v>15456</v>
      </c>
      <c r="H5324" s="2" t="s">
        <v>15444</v>
      </c>
    </row>
    <row r="5325">
      <c r="A5325" s="2">
        <v>5323.0</v>
      </c>
      <c r="B5325" s="5" t="s">
        <v>7944</v>
      </c>
      <c r="C5325" s="2" t="s">
        <v>7945</v>
      </c>
      <c r="D5325" s="5" t="s">
        <v>7944</v>
      </c>
      <c r="E5325" s="2" t="s">
        <v>15445</v>
      </c>
      <c r="F5325" s="2" t="s">
        <v>15446</v>
      </c>
      <c r="G5325" s="2" t="s">
        <v>15456</v>
      </c>
      <c r="H5325" s="2" t="s">
        <v>15444</v>
      </c>
    </row>
    <row r="5326">
      <c r="A5326" s="2">
        <v>5324.0</v>
      </c>
      <c r="B5326" s="5" t="s">
        <v>7947</v>
      </c>
      <c r="C5326" s="2" t="s">
        <v>7948</v>
      </c>
      <c r="D5326" s="5" t="s">
        <v>7947</v>
      </c>
      <c r="E5326" s="2" t="s">
        <v>15445</v>
      </c>
      <c r="F5326" s="2" t="s">
        <v>15446</v>
      </c>
      <c r="G5326" s="2" t="s">
        <v>15443</v>
      </c>
      <c r="H5326" s="2" t="s">
        <v>15444</v>
      </c>
    </row>
    <row r="5327">
      <c r="A5327" s="2">
        <v>5325.0</v>
      </c>
      <c r="B5327" s="5" t="s">
        <v>14516</v>
      </c>
      <c r="C5327" s="2" t="s">
        <v>14517</v>
      </c>
      <c r="D5327" s="5" t="s">
        <v>14516</v>
      </c>
      <c r="E5327" s="2" t="s">
        <v>15441</v>
      </c>
      <c r="F5327" s="2" t="s">
        <v>15442</v>
      </c>
      <c r="G5327" s="2" t="s">
        <v>15456</v>
      </c>
      <c r="H5327" s="2" t="s">
        <v>15444</v>
      </c>
    </row>
    <row r="5328">
      <c r="A5328" s="2">
        <v>5326.0</v>
      </c>
      <c r="B5328" s="5" t="s">
        <v>7950</v>
      </c>
      <c r="C5328" s="2" t="s">
        <v>7951</v>
      </c>
      <c r="D5328" s="5" t="s">
        <v>7950</v>
      </c>
      <c r="E5328" s="2" t="s">
        <v>15445</v>
      </c>
      <c r="F5328" s="2" t="s">
        <v>15446</v>
      </c>
      <c r="G5328" s="2" t="s">
        <v>15456</v>
      </c>
      <c r="H5328" s="2" t="s">
        <v>15444</v>
      </c>
    </row>
    <row r="5329">
      <c r="A5329" s="2">
        <v>5327.0</v>
      </c>
      <c r="B5329" s="5" t="s">
        <v>14518</v>
      </c>
      <c r="C5329" s="2" t="s">
        <v>14519</v>
      </c>
      <c r="D5329" s="5" t="s">
        <v>14518</v>
      </c>
      <c r="E5329" s="2" t="s">
        <v>15441</v>
      </c>
      <c r="F5329" s="2" t="s">
        <v>15442</v>
      </c>
      <c r="G5329" s="2" t="s">
        <v>15443</v>
      </c>
      <c r="H5329" s="2" t="s">
        <v>15457</v>
      </c>
    </row>
    <row r="5330">
      <c r="A5330" s="2">
        <v>5328.0</v>
      </c>
      <c r="B5330" s="5" t="s">
        <v>14520</v>
      </c>
      <c r="C5330" s="2" t="s">
        <v>14521</v>
      </c>
      <c r="D5330" s="5" t="s">
        <v>14520</v>
      </c>
      <c r="E5330" s="2" t="s">
        <v>15441</v>
      </c>
      <c r="F5330" s="2" t="s">
        <v>15446</v>
      </c>
      <c r="G5330" s="2" t="s">
        <v>15456</v>
      </c>
      <c r="H5330" s="2" t="s">
        <v>15444</v>
      </c>
    </row>
    <row r="5331">
      <c r="A5331" s="2">
        <v>5329.0</v>
      </c>
      <c r="B5331" s="5" t="s">
        <v>7953</v>
      </c>
      <c r="C5331" s="2" t="s">
        <v>7954</v>
      </c>
      <c r="D5331" s="5" t="s">
        <v>7953</v>
      </c>
      <c r="E5331" s="2" t="s">
        <v>15445</v>
      </c>
      <c r="F5331" s="2" t="s">
        <v>15446</v>
      </c>
      <c r="G5331" s="2" t="s">
        <v>15456</v>
      </c>
      <c r="H5331" s="2" t="s">
        <v>15455</v>
      </c>
    </row>
    <row r="5332">
      <c r="A5332" s="2">
        <v>5330.0</v>
      </c>
      <c r="B5332" s="5" t="s">
        <v>7956</v>
      </c>
      <c r="C5332" s="2" t="s">
        <v>7957</v>
      </c>
      <c r="D5332" s="5" t="s">
        <v>7956</v>
      </c>
      <c r="E5332" s="2" t="s">
        <v>15445</v>
      </c>
      <c r="F5332" s="2" t="s">
        <v>15442</v>
      </c>
      <c r="G5332" s="2" t="s">
        <v>15456</v>
      </c>
      <c r="H5332" s="2" t="s">
        <v>15444</v>
      </c>
    </row>
    <row r="5333">
      <c r="A5333" s="2">
        <v>5331.0</v>
      </c>
      <c r="B5333" s="5" t="s">
        <v>7959</v>
      </c>
      <c r="C5333" s="2" t="s">
        <v>7960</v>
      </c>
      <c r="D5333" s="5" t="s">
        <v>7959</v>
      </c>
      <c r="E5333" s="2" t="s">
        <v>15445</v>
      </c>
      <c r="F5333" s="2" t="s">
        <v>15442</v>
      </c>
      <c r="G5333" s="2" t="s">
        <v>15443</v>
      </c>
      <c r="H5333" s="2" t="s">
        <v>15444</v>
      </c>
    </row>
    <row r="5334">
      <c r="A5334" s="2">
        <v>5332.0</v>
      </c>
      <c r="B5334" s="5" t="s">
        <v>7962</v>
      </c>
      <c r="C5334" s="2" t="s">
        <v>7963</v>
      </c>
      <c r="D5334" s="5" t="s">
        <v>7962</v>
      </c>
      <c r="E5334" s="2" t="s">
        <v>15445</v>
      </c>
      <c r="F5334" s="2" t="s">
        <v>15446</v>
      </c>
      <c r="G5334" s="2" t="s">
        <v>15443</v>
      </c>
      <c r="H5334" s="2" t="s">
        <v>15444</v>
      </c>
    </row>
    <row r="5335">
      <c r="A5335" s="2">
        <v>5333.0</v>
      </c>
      <c r="B5335" s="5" t="s">
        <v>7965</v>
      </c>
      <c r="C5335" s="2" t="s">
        <v>7966</v>
      </c>
      <c r="D5335" s="5" t="s">
        <v>7965</v>
      </c>
      <c r="E5335" s="2" t="s">
        <v>15445</v>
      </c>
      <c r="F5335" s="2" t="s">
        <v>15446</v>
      </c>
      <c r="G5335" s="2" t="s">
        <v>15456</v>
      </c>
      <c r="H5335" s="2" t="s">
        <v>15444</v>
      </c>
    </row>
    <row r="5336">
      <c r="A5336" s="2">
        <v>5334.0</v>
      </c>
      <c r="B5336" s="5" t="s">
        <v>14522</v>
      </c>
      <c r="C5336" s="2" t="s">
        <v>14523</v>
      </c>
      <c r="D5336" s="5" t="s">
        <v>14522</v>
      </c>
      <c r="E5336" s="2" t="s">
        <v>15441</v>
      </c>
      <c r="F5336" s="2" t="s">
        <v>15442</v>
      </c>
      <c r="G5336" s="2" t="s">
        <v>15443</v>
      </c>
      <c r="H5336" s="2" t="s">
        <v>15444</v>
      </c>
    </row>
    <row r="5337">
      <c r="A5337" s="2">
        <v>5335.0</v>
      </c>
      <c r="B5337" s="5" t="s">
        <v>15596</v>
      </c>
      <c r="C5337" s="2" t="s">
        <v>15597</v>
      </c>
      <c r="D5337" s="5" t="s">
        <v>15596</v>
      </c>
      <c r="E5337" s="2" t="s">
        <v>15445</v>
      </c>
      <c r="F5337" s="2" t="s">
        <v>15442</v>
      </c>
      <c r="G5337" s="2" t="s">
        <v>15443</v>
      </c>
      <c r="H5337" s="2" t="s">
        <v>15455</v>
      </c>
    </row>
    <row r="5338">
      <c r="A5338" s="2">
        <v>5336.0</v>
      </c>
      <c r="B5338" s="5" t="s">
        <v>14524</v>
      </c>
      <c r="C5338" s="2" t="s">
        <v>14525</v>
      </c>
      <c r="D5338" s="5" t="s">
        <v>14524</v>
      </c>
      <c r="E5338" s="2" t="s">
        <v>15441</v>
      </c>
      <c r="F5338" s="2" t="s">
        <v>15446</v>
      </c>
      <c r="G5338" s="2" t="s">
        <v>15456</v>
      </c>
      <c r="H5338" s="2" t="s">
        <v>15444</v>
      </c>
    </row>
    <row r="5339">
      <c r="A5339" s="2">
        <v>5337.0</v>
      </c>
      <c r="B5339" s="5" t="s">
        <v>7968</v>
      </c>
      <c r="C5339" s="2" t="s">
        <v>7969</v>
      </c>
      <c r="D5339" s="5" t="s">
        <v>7968</v>
      </c>
      <c r="E5339" s="2" t="s">
        <v>15445</v>
      </c>
      <c r="F5339" s="2" t="s">
        <v>15446</v>
      </c>
      <c r="G5339" s="2" t="s">
        <v>15456</v>
      </c>
      <c r="H5339" s="2" t="s">
        <v>15444</v>
      </c>
    </row>
    <row r="5340">
      <c r="A5340" s="2">
        <v>5338.0</v>
      </c>
      <c r="B5340" s="5" t="s">
        <v>7971</v>
      </c>
      <c r="C5340" s="2" t="s">
        <v>7972</v>
      </c>
      <c r="D5340" s="5" t="s">
        <v>7971</v>
      </c>
      <c r="E5340" s="2" t="s">
        <v>15445</v>
      </c>
      <c r="F5340" s="2" t="s">
        <v>15446</v>
      </c>
      <c r="G5340" s="2" t="s">
        <v>15443</v>
      </c>
      <c r="H5340" s="2" t="s">
        <v>15444</v>
      </c>
    </row>
    <row r="5341">
      <c r="A5341" s="2">
        <v>5339.0</v>
      </c>
      <c r="B5341" s="5" t="s">
        <v>7974</v>
      </c>
      <c r="C5341" s="2" t="s">
        <v>7975</v>
      </c>
      <c r="D5341" s="5" t="s">
        <v>7974</v>
      </c>
      <c r="E5341" s="2" t="s">
        <v>15445</v>
      </c>
      <c r="F5341" s="2" t="s">
        <v>15442</v>
      </c>
      <c r="G5341" s="2" t="s">
        <v>15443</v>
      </c>
      <c r="H5341" s="2" t="s">
        <v>15444</v>
      </c>
    </row>
    <row r="5342">
      <c r="A5342" s="2">
        <v>5340.0</v>
      </c>
      <c r="B5342" s="5" t="s">
        <v>14526</v>
      </c>
      <c r="C5342" s="2" t="s">
        <v>14527</v>
      </c>
      <c r="D5342" s="5" t="s">
        <v>14526</v>
      </c>
      <c r="E5342" s="2" t="s">
        <v>15441</v>
      </c>
      <c r="F5342" s="2" t="s">
        <v>15446</v>
      </c>
      <c r="G5342" s="2" t="s">
        <v>15456</v>
      </c>
      <c r="H5342" s="2" t="s">
        <v>15444</v>
      </c>
    </row>
    <row r="5343">
      <c r="A5343" s="2">
        <v>5341.0</v>
      </c>
      <c r="B5343" s="5" t="s">
        <v>15598</v>
      </c>
      <c r="C5343" s="2" t="s">
        <v>15599</v>
      </c>
      <c r="D5343" s="5" t="s">
        <v>15598</v>
      </c>
      <c r="E5343" s="2" t="s">
        <v>15441</v>
      </c>
      <c r="F5343" s="2" t="s">
        <v>15446</v>
      </c>
      <c r="G5343" s="2" t="s">
        <v>15456</v>
      </c>
      <c r="H5343" s="2" t="s">
        <v>15486</v>
      </c>
    </row>
    <row r="5344">
      <c r="A5344" s="2">
        <v>5342.0</v>
      </c>
      <c r="B5344" s="5" t="s">
        <v>14528</v>
      </c>
      <c r="C5344" s="2" t="s">
        <v>14529</v>
      </c>
      <c r="D5344" s="5" t="s">
        <v>14528</v>
      </c>
      <c r="E5344" s="2" t="s">
        <v>15441</v>
      </c>
      <c r="F5344" s="2" t="s">
        <v>15442</v>
      </c>
      <c r="G5344" s="2" t="s">
        <v>15443</v>
      </c>
      <c r="H5344" s="2" t="s">
        <v>15444</v>
      </c>
    </row>
    <row r="5345">
      <c r="A5345" s="2">
        <v>5343.0</v>
      </c>
      <c r="B5345" s="5" t="s">
        <v>7977</v>
      </c>
      <c r="C5345" s="2" t="s">
        <v>7978</v>
      </c>
      <c r="D5345" s="5" t="s">
        <v>7977</v>
      </c>
      <c r="E5345" s="2" t="s">
        <v>15445</v>
      </c>
      <c r="F5345" s="2" t="s">
        <v>15446</v>
      </c>
      <c r="G5345" s="2" t="s">
        <v>15443</v>
      </c>
      <c r="H5345" s="2" t="s">
        <v>15444</v>
      </c>
    </row>
    <row r="5346">
      <c r="A5346" s="2">
        <v>5344.0</v>
      </c>
      <c r="B5346" s="5" t="s">
        <v>14530</v>
      </c>
      <c r="C5346" s="2" t="s">
        <v>14531</v>
      </c>
      <c r="D5346" s="5" t="s">
        <v>14530</v>
      </c>
      <c r="E5346" s="2" t="s">
        <v>15441</v>
      </c>
      <c r="F5346" s="2" t="s">
        <v>15446</v>
      </c>
      <c r="G5346" s="2" t="s">
        <v>15456</v>
      </c>
      <c r="H5346" s="2" t="s">
        <v>15444</v>
      </c>
    </row>
    <row r="5347">
      <c r="A5347" s="2">
        <v>5345.0</v>
      </c>
      <c r="B5347" s="5" t="s">
        <v>7980</v>
      </c>
      <c r="C5347" s="2" t="s">
        <v>7981</v>
      </c>
      <c r="D5347" s="5" t="s">
        <v>7980</v>
      </c>
      <c r="E5347" s="2" t="s">
        <v>15445</v>
      </c>
      <c r="F5347" s="2" t="s">
        <v>15446</v>
      </c>
      <c r="G5347" s="2" t="s">
        <v>15456</v>
      </c>
      <c r="H5347" s="2" t="s">
        <v>15444</v>
      </c>
    </row>
    <row r="5348">
      <c r="A5348" s="2">
        <v>5346.0</v>
      </c>
      <c r="B5348" s="5" t="s">
        <v>7983</v>
      </c>
      <c r="C5348" s="2" t="s">
        <v>7984</v>
      </c>
      <c r="D5348" s="5" t="s">
        <v>7983</v>
      </c>
      <c r="E5348" s="2" t="s">
        <v>15445</v>
      </c>
      <c r="F5348" s="2" t="s">
        <v>15442</v>
      </c>
      <c r="G5348" s="2" t="s">
        <v>15443</v>
      </c>
      <c r="H5348" s="2" t="s">
        <v>15444</v>
      </c>
    </row>
    <row r="5349">
      <c r="A5349" s="2">
        <v>5347.0</v>
      </c>
      <c r="B5349" s="5" t="s">
        <v>7986</v>
      </c>
      <c r="C5349" s="2" t="s">
        <v>7987</v>
      </c>
      <c r="D5349" s="5" t="s">
        <v>7986</v>
      </c>
      <c r="E5349" s="2" t="s">
        <v>15445</v>
      </c>
      <c r="F5349" s="2" t="s">
        <v>15446</v>
      </c>
      <c r="G5349" s="2" t="s">
        <v>15456</v>
      </c>
      <c r="H5349" s="2" t="s">
        <v>15444</v>
      </c>
    </row>
    <row r="5350">
      <c r="A5350" s="2">
        <v>5348.0</v>
      </c>
      <c r="B5350" s="5" t="s">
        <v>14532</v>
      </c>
      <c r="C5350" s="2" t="s">
        <v>14533</v>
      </c>
      <c r="D5350" s="5" t="s">
        <v>14532</v>
      </c>
      <c r="E5350" s="2" t="s">
        <v>15441</v>
      </c>
      <c r="F5350" s="2" t="s">
        <v>15446</v>
      </c>
      <c r="G5350" s="2" t="s">
        <v>15456</v>
      </c>
      <c r="H5350" s="2" t="s">
        <v>15444</v>
      </c>
    </row>
    <row r="5351">
      <c r="A5351" s="2">
        <v>5349.0</v>
      </c>
      <c r="B5351" s="5" t="s">
        <v>14534</v>
      </c>
      <c r="C5351" s="2" t="s">
        <v>14535</v>
      </c>
      <c r="D5351" s="5" t="s">
        <v>14534</v>
      </c>
      <c r="E5351" s="2" t="s">
        <v>15441</v>
      </c>
      <c r="F5351" s="2" t="s">
        <v>15446</v>
      </c>
      <c r="G5351" s="2" t="s">
        <v>15456</v>
      </c>
      <c r="H5351" s="2" t="s">
        <v>15444</v>
      </c>
    </row>
    <row r="5352">
      <c r="A5352" s="2">
        <v>5350.0</v>
      </c>
      <c r="B5352" s="5" t="s">
        <v>7989</v>
      </c>
      <c r="C5352" s="2" t="s">
        <v>7990</v>
      </c>
      <c r="D5352" s="5" t="s">
        <v>7989</v>
      </c>
      <c r="E5352" s="2" t="s">
        <v>15445</v>
      </c>
      <c r="F5352" s="2" t="s">
        <v>15446</v>
      </c>
      <c r="G5352" s="2" t="s">
        <v>15443</v>
      </c>
      <c r="H5352" s="2" t="s">
        <v>15444</v>
      </c>
    </row>
    <row r="5353">
      <c r="A5353" s="2">
        <v>5351.0</v>
      </c>
      <c r="B5353" s="5" t="s">
        <v>14536</v>
      </c>
      <c r="C5353" s="2" t="s">
        <v>14537</v>
      </c>
      <c r="D5353" s="5" t="s">
        <v>14536</v>
      </c>
      <c r="E5353" s="2" t="s">
        <v>15441</v>
      </c>
      <c r="F5353" s="2" t="s">
        <v>15442</v>
      </c>
      <c r="G5353" s="2" t="s">
        <v>15456</v>
      </c>
      <c r="H5353" s="2" t="s">
        <v>15444</v>
      </c>
    </row>
    <row r="5354">
      <c r="A5354" s="2">
        <v>5352.0</v>
      </c>
      <c r="B5354" s="5" t="s">
        <v>14538</v>
      </c>
      <c r="C5354" s="2" t="s">
        <v>14539</v>
      </c>
      <c r="D5354" s="5" t="s">
        <v>14538</v>
      </c>
      <c r="E5354" s="2" t="s">
        <v>15441</v>
      </c>
      <c r="F5354" s="2" t="s">
        <v>15442</v>
      </c>
      <c r="G5354" s="2" t="s">
        <v>15443</v>
      </c>
      <c r="H5354" s="2" t="s">
        <v>15444</v>
      </c>
    </row>
    <row r="5355">
      <c r="A5355" s="2">
        <v>5353.0</v>
      </c>
      <c r="B5355" s="5" t="s">
        <v>7992</v>
      </c>
      <c r="C5355" s="2" t="s">
        <v>7993</v>
      </c>
      <c r="D5355" s="5" t="s">
        <v>7992</v>
      </c>
      <c r="E5355" s="2" t="s">
        <v>15445</v>
      </c>
      <c r="F5355" s="2" t="s">
        <v>15442</v>
      </c>
      <c r="G5355" s="2" t="s">
        <v>15456</v>
      </c>
      <c r="H5355" s="2" t="s">
        <v>15444</v>
      </c>
    </row>
    <row r="5356">
      <c r="A5356" s="2">
        <v>5354.0</v>
      </c>
      <c r="B5356" s="5" t="s">
        <v>14540</v>
      </c>
      <c r="C5356" s="2" t="s">
        <v>14541</v>
      </c>
      <c r="D5356" s="5" t="s">
        <v>14540</v>
      </c>
      <c r="E5356" s="2" t="s">
        <v>15441</v>
      </c>
      <c r="F5356" s="2" t="s">
        <v>15442</v>
      </c>
      <c r="G5356" s="2" t="s">
        <v>15443</v>
      </c>
      <c r="H5356" s="2" t="s">
        <v>15444</v>
      </c>
    </row>
    <row r="5357">
      <c r="A5357" s="2">
        <v>5355.0</v>
      </c>
      <c r="B5357" s="5" t="s">
        <v>14542</v>
      </c>
      <c r="C5357" s="2" t="s">
        <v>14543</v>
      </c>
      <c r="D5357" s="5" t="s">
        <v>14542</v>
      </c>
      <c r="E5357" s="2" t="s">
        <v>15441</v>
      </c>
      <c r="F5357" s="2" t="s">
        <v>15446</v>
      </c>
      <c r="G5357" s="2" t="s">
        <v>15443</v>
      </c>
      <c r="H5357" s="2" t="s">
        <v>15444</v>
      </c>
    </row>
    <row r="5358">
      <c r="A5358" s="2">
        <v>5356.0</v>
      </c>
      <c r="B5358" s="5" t="s">
        <v>14544</v>
      </c>
      <c r="C5358" s="2" t="s">
        <v>14545</v>
      </c>
      <c r="D5358" s="5" t="s">
        <v>14544</v>
      </c>
      <c r="E5358" s="2" t="s">
        <v>15441</v>
      </c>
      <c r="F5358" s="2" t="s">
        <v>15446</v>
      </c>
      <c r="G5358" s="2" t="s">
        <v>15443</v>
      </c>
      <c r="H5358" s="2" t="s">
        <v>15444</v>
      </c>
    </row>
    <row r="5359">
      <c r="A5359" s="2">
        <v>5357.0</v>
      </c>
      <c r="B5359" s="5" t="s">
        <v>7995</v>
      </c>
      <c r="C5359" s="2" t="s">
        <v>7996</v>
      </c>
      <c r="D5359" s="5" t="s">
        <v>7995</v>
      </c>
      <c r="E5359" s="2" t="s">
        <v>15445</v>
      </c>
      <c r="F5359" s="2" t="s">
        <v>15446</v>
      </c>
      <c r="G5359" s="2" t="s">
        <v>15456</v>
      </c>
      <c r="H5359" s="2" t="s">
        <v>15444</v>
      </c>
    </row>
    <row r="5360">
      <c r="A5360" s="2">
        <v>5358.0</v>
      </c>
      <c r="B5360" s="5" t="s">
        <v>14546</v>
      </c>
      <c r="C5360" s="2" t="s">
        <v>14547</v>
      </c>
      <c r="D5360" s="5" t="s">
        <v>14546</v>
      </c>
      <c r="E5360" s="2" t="s">
        <v>15441</v>
      </c>
      <c r="F5360" s="2" t="s">
        <v>15446</v>
      </c>
      <c r="G5360" s="2" t="s">
        <v>15456</v>
      </c>
      <c r="H5360" s="2" t="s">
        <v>15444</v>
      </c>
    </row>
    <row r="5361">
      <c r="A5361" s="2">
        <v>5359.0</v>
      </c>
      <c r="B5361" s="5" t="s">
        <v>14548</v>
      </c>
      <c r="C5361" s="2" t="s">
        <v>14549</v>
      </c>
      <c r="D5361" s="5" t="s">
        <v>14548</v>
      </c>
      <c r="E5361" s="2" t="s">
        <v>15441</v>
      </c>
      <c r="F5361" s="2" t="s">
        <v>15446</v>
      </c>
      <c r="G5361" s="2" t="s">
        <v>15456</v>
      </c>
      <c r="H5361" s="2" t="s">
        <v>15455</v>
      </c>
    </row>
    <row r="5362">
      <c r="A5362" s="2">
        <v>5360.0</v>
      </c>
      <c r="B5362" s="5" t="s">
        <v>7998</v>
      </c>
      <c r="C5362" s="2" t="s">
        <v>7999</v>
      </c>
      <c r="D5362" s="5" t="s">
        <v>7998</v>
      </c>
      <c r="E5362" s="2" t="s">
        <v>15445</v>
      </c>
      <c r="F5362" s="2" t="s">
        <v>15442</v>
      </c>
      <c r="G5362" s="2" t="s">
        <v>15443</v>
      </c>
      <c r="H5362" s="2" t="s">
        <v>15444</v>
      </c>
    </row>
    <row r="5363">
      <c r="A5363" s="2">
        <v>5361.0</v>
      </c>
      <c r="B5363" s="5" t="s">
        <v>8001</v>
      </c>
      <c r="C5363" s="2" t="s">
        <v>8002</v>
      </c>
      <c r="D5363" s="5" t="s">
        <v>8001</v>
      </c>
      <c r="E5363" s="2" t="s">
        <v>15445</v>
      </c>
      <c r="F5363" s="2" t="s">
        <v>15446</v>
      </c>
      <c r="G5363" s="2" t="s">
        <v>15456</v>
      </c>
      <c r="H5363" s="2" t="s">
        <v>15444</v>
      </c>
    </row>
    <row r="5364">
      <c r="A5364" s="2">
        <v>5362.0</v>
      </c>
      <c r="B5364" s="5" t="s">
        <v>14550</v>
      </c>
      <c r="C5364" s="2" t="s">
        <v>14551</v>
      </c>
      <c r="D5364" s="5" t="s">
        <v>14550</v>
      </c>
      <c r="E5364" s="2" t="s">
        <v>15441</v>
      </c>
      <c r="F5364" s="2" t="s">
        <v>15442</v>
      </c>
      <c r="G5364" s="2" t="s">
        <v>15443</v>
      </c>
      <c r="H5364" s="2" t="s">
        <v>15444</v>
      </c>
    </row>
    <row r="5365">
      <c r="A5365" s="2">
        <v>5363.0</v>
      </c>
      <c r="B5365" s="5" t="s">
        <v>14552</v>
      </c>
      <c r="C5365" s="2" t="s">
        <v>14553</v>
      </c>
      <c r="D5365" s="5" t="s">
        <v>14552</v>
      </c>
      <c r="E5365" s="2" t="s">
        <v>15441</v>
      </c>
      <c r="F5365" s="2" t="s">
        <v>15442</v>
      </c>
      <c r="G5365" s="2" t="s">
        <v>15443</v>
      </c>
      <c r="H5365" s="2" t="s">
        <v>15444</v>
      </c>
    </row>
    <row r="5366">
      <c r="A5366" s="2">
        <v>5364.0</v>
      </c>
      <c r="B5366" s="5" t="s">
        <v>14554</v>
      </c>
      <c r="C5366" s="2" t="s">
        <v>14555</v>
      </c>
      <c r="D5366" s="5" t="s">
        <v>14554</v>
      </c>
      <c r="E5366" s="2" t="s">
        <v>15441</v>
      </c>
      <c r="F5366" s="2" t="s">
        <v>15446</v>
      </c>
      <c r="G5366" s="2" t="s">
        <v>15456</v>
      </c>
      <c r="H5366" s="2" t="s">
        <v>15444</v>
      </c>
    </row>
    <row r="5367">
      <c r="A5367" s="2">
        <v>5365.0</v>
      </c>
      <c r="B5367" s="5" t="s">
        <v>14556</v>
      </c>
      <c r="C5367" s="2" t="s">
        <v>14557</v>
      </c>
      <c r="D5367" s="5" t="s">
        <v>14556</v>
      </c>
      <c r="E5367" s="2" t="s">
        <v>15441</v>
      </c>
      <c r="F5367" s="2" t="s">
        <v>15442</v>
      </c>
      <c r="G5367" s="2" t="s">
        <v>15443</v>
      </c>
      <c r="H5367" s="2" t="s">
        <v>15444</v>
      </c>
    </row>
    <row r="5368">
      <c r="A5368" s="2">
        <v>5366.0</v>
      </c>
      <c r="B5368" s="5" t="s">
        <v>14558</v>
      </c>
      <c r="C5368" s="2" t="s">
        <v>14559</v>
      </c>
      <c r="D5368" s="5" t="s">
        <v>14558</v>
      </c>
      <c r="E5368" s="2" t="s">
        <v>15441</v>
      </c>
      <c r="F5368" s="2" t="s">
        <v>15442</v>
      </c>
      <c r="G5368" s="2" t="s">
        <v>15443</v>
      </c>
      <c r="H5368" s="2" t="s">
        <v>15457</v>
      </c>
    </row>
    <row r="5369">
      <c r="A5369" s="2">
        <v>5367.0</v>
      </c>
      <c r="B5369" s="5" t="s">
        <v>14560</v>
      </c>
      <c r="C5369" s="2" t="s">
        <v>14561</v>
      </c>
      <c r="D5369" s="5" t="s">
        <v>14560</v>
      </c>
      <c r="E5369" s="2" t="s">
        <v>15441</v>
      </c>
      <c r="F5369" s="2" t="s">
        <v>15446</v>
      </c>
      <c r="G5369" s="2" t="s">
        <v>15443</v>
      </c>
      <c r="H5369" s="2" t="s">
        <v>15444</v>
      </c>
    </row>
    <row r="5370">
      <c r="A5370" s="2">
        <v>5368.0</v>
      </c>
      <c r="B5370" s="5" t="s">
        <v>8004</v>
      </c>
      <c r="C5370" s="2" t="s">
        <v>8005</v>
      </c>
      <c r="D5370" s="5" t="s">
        <v>8004</v>
      </c>
      <c r="E5370" s="2" t="s">
        <v>15445</v>
      </c>
      <c r="F5370" s="2" t="s">
        <v>15442</v>
      </c>
      <c r="G5370" s="2" t="s">
        <v>15443</v>
      </c>
      <c r="H5370" s="2" t="s">
        <v>15444</v>
      </c>
    </row>
    <row r="5371">
      <c r="A5371" s="2">
        <v>5369.0</v>
      </c>
      <c r="B5371" s="5" t="s">
        <v>14562</v>
      </c>
      <c r="C5371" s="2" t="s">
        <v>14563</v>
      </c>
      <c r="D5371" s="5" t="s">
        <v>14562</v>
      </c>
      <c r="E5371" s="2" t="s">
        <v>15441</v>
      </c>
      <c r="F5371" s="2" t="s">
        <v>15442</v>
      </c>
      <c r="G5371" s="2" t="s">
        <v>15443</v>
      </c>
      <c r="H5371" s="2" t="s">
        <v>15444</v>
      </c>
    </row>
    <row r="5372">
      <c r="A5372" s="2">
        <v>5370.0</v>
      </c>
      <c r="B5372" s="5" t="s">
        <v>8007</v>
      </c>
      <c r="C5372" s="2" t="s">
        <v>8008</v>
      </c>
      <c r="D5372" s="5" t="s">
        <v>8007</v>
      </c>
      <c r="E5372" s="2" t="s">
        <v>15445</v>
      </c>
      <c r="F5372" s="2" t="s">
        <v>15446</v>
      </c>
      <c r="G5372" s="2" t="s">
        <v>15456</v>
      </c>
      <c r="H5372" s="2" t="s">
        <v>15444</v>
      </c>
    </row>
    <row r="5373">
      <c r="A5373" s="2">
        <v>5371.0</v>
      </c>
      <c r="B5373" s="5" t="s">
        <v>8010</v>
      </c>
      <c r="C5373" s="2" t="s">
        <v>8011</v>
      </c>
      <c r="D5373" s="5" t="s">
        <v>8010</v>
      </c>
      <c r="E5373" s="2" t="s">
        <v>15445</v>
      </c>
      <c r="F5373" s="2" t="s">
        <v>15442</v>
      </c>
      <c r="G5373" s="2" t="s">
        <v>15456</v>
      </c>
      <c r="H5373" s="2" t="s">
        <v>15444</v>
      </c>
    </row>
    <row r="5374">
      <c r="A5374" s="2">
        <v>5372.0</v>
      </c>
      <c r="B5374" s="5" t="s">
        <v>14564</v>
      </c>
      <c r="C5374" s="2" t="s">
        <v>14565</v>
      </c>
      <c r="D5374" s="5" t="s">
        <v>14564</v>
      </c>
      <c r="E5374" s="2" t="s">
        <v>15441</v>
      </c>
      <c r="F5374" s="2" t="s">
        <v>15442</v>
      </c>
      <c r="G5374" s="2" t="s">
        <v>15443</v>
      </c>
      <c r="H5374" s="2" t="s">
        <v>15444</v>
      </c>
    </row>
    <row r="5375">
      <c r="A5375" s="2">
        <v>5373.0</v>
      </c>
      <c r="B5375" s="5" t="s">
        <v>8013</v>
      </c>
      <c r="C5375" s="2" t="s">
        <v>8014</v>
      </c>
      <c r="D5375" s="5" t="s">
        <v>8013</v>
      </c>
      <c r="E5375" s="2" t="s">
        <v>15445</v>
      </c>
      <c r="F5375" s="2" t="s">
        <v>15446</v>
      </c>
      <c r="G5375" s="2" t="s">
        <v>15456</v>
      </c>
      <c r="H5375" s="2" t="s">
        <v>15444</v>
      </c>
    </row>
    <row r="5376">
      <c r="A5376" s="2">
        <v>5374.0</v>
      </c>
      <c r="B5376" s="5" t="s">
        <v>8016</v>
      </c>
      <c r="C5376" s="2" t="s">
        <v>8017</v>
      </c>
      <c r="D5376" s="5" t="s">
        <v>8016</v>
      </c>
      <c r="E5376" s="2" t="s">
        <v>15445</v>
      </c>
      <c r="F5376" s="2" t="s">
        <v>15446</v>
      </c>
      <c r="G5376" s="2" t="s">
        <v>15456</v>
      </c>
      <c r="H5376" s="2" t="s">
        <v>15444</v>
      </c>
    </row>
    <row r="5377">
      <c r="A5377" s="2">
        <v>5375.0</v>
      </c>
      <c r="B5377" s="5" t="s">
        <v>8019</v>
      </c>
      <c r="C5377" s="2" t="s">
        <v>8020</v>
      </c>
      <c r="D5377" s="5" t="s">
        <v>8019</v>
      </c>
      <c r="E5377" s="2" t="s">
        <v>15445</v>
      </c>
      <c r="F5377" s="2" t="s">
        <v>15442</v>
      </c>
      <c r="G5377" s="2" t="s">
        <v>15443</v>
      </c>
      <c r="H5377" s="2" t="s">
        <v>15444</v>
      </c>
    </row>
    <row r="5378">
      <c r="A5378" s="2">
        <v>5376.0</v>
      </c>
      <c r="B5378" s="5" t="s">
        <v>14566</v>
      </c>
      <c r="C5378" s="2" t="s">
        <v>14567</v>
      </c>
      <c r="D5378" s="5" t="s">
        <v>14566</v>
      </c>
      <c r="E5378" s="2" t="s">
        <v>15441</v>
      </c>
      <c r="F5378" s="2" t="s">
        <v>15446</v>
      </c>
      <c r="G5378" s="2" t="s">
        <v>15443</v>
      </c>
      <c r="H5378" s="2" t="s">
        <v>15444</v>
      </c>
    </row>
    <row r="5379">
      <c r="A5379" s="2">
        <v>5377.0</v>
      </c>
      <c r="B5379" s="5" t="s">
        <v>8022</v>
      </c>
      <c r="C5379" s="2" t="s">
        <v>8023</v>
      </c>
      <c r="D5379" s="5" t="s">
        <v>8022</v>
      </c>
      <c r="E5379" s="2" t="s">
        <v>15445</v>
      </c>
      <c r="F5379" s="2" t="s">
        <v>15446</v>
      </c>
      <c r="G5379" s="2" t="s">
        <v>15456</v>
      </c>
      <c r="H5379" s="2" t="s">
        <v>15444</v>
      </c>
    </row>
    <row r="5380">
      <c r="A5380" s="2">
        <v>5378.0</v>
      </c>
      <c r="B5380" s="5" t="s">
        <v>14568</v>
      </c>
      <c r="C5380" s="2" t="s">
        <v>14569</v>
      </c>
      <c r="D5380" s="5" t="s">
        <v>14568</v>
      </c>
      <c r="E5380" s="2" t="s">
        <v>15441</v>
      </c>
      <c r="F5380" s="2" t="s">
        <v>15446</v>
      </c>
      <c r="G5380" s="2" t="s">
        <v>15456</v>
      </c>
      <c r="H5380" s="2" t="s">
        <v>15444</v>
      </c>
    </row>
    <row r="5381">
      <c r="A5381" s="2">
        <v>5379.0</v>
      </c>
      <c r="B5381" s="5" t="s">
        <v>14570</v>
      </c>
      <c r="C5381" s="2" t="s">
        <v>14571</v>
      </c>
      <c r="D5381" s="5" t="s">
        <v>14570</v>
      </c>
      <c r="E5381" s="2" t="s">
        <v>15441</v>
      </c>
      <c r="F5381" s="2" t="s">
        <v>15442</v>
      </c>
      <c r="G5381" s="2" t="s">
        <v>15443</v>
      </c>
      <c r="H5381" s="2" t="s">
        <v>15444</v>
      </c>
    </row>
    <row r="5382">
      <c r="A5382" s="2">
        <v>5380.0</v>
      </c>
      <c r="B5382" s="5" t="s">
        <v>14572</v>
      </c>
      <c r="C5382" s="2" t="s">
        <v>14573</v>
      </c>
      <c r="D5382" s="5" t="s">
        <v>14572</v>
      </c>
      <c r="E5382" s="2" t="s">
        <v>15441</v>
      </c>
      <c r="F5382" s="2" t="s">
        <v>15446</v>
      </c>
      <c r="G5382" s="2" t="s">
        <v>15443</v>
      </c>
      <c r="H5382" s="2" t="s">
        <v>15444</v>
      </c>
    </row>
    <row r="5383">
      <c r="A5383" s="2">
        <v>5381.0</v>
      </c>
      <c r="B5383" s="5" t="s">
        <v>14574</v>
      </c>
      <c r="C5383" s="2" t="s">
        <v>14575</v>
      </c>
      <c r="D5383" s="5" t="s">
        <v>14574</v>
      </c>
      <c r="E5383" s="2" t="s">
        <v>15441</v>
      </c>
      <c r="F5383" s="2" t="s">
        <v>15442</v>
      </c>
      <c r="G5383" s="2" t="s">
        <v>15443</v>
      </c>
      <c r="H5383" s="2" t="s">
        <v>15444</v>
      </c>
    </row>
    <row r="5384">
      <c r="A5384" s="2">
        <v>5382.0</v>
      </c>
      <c r="B5384" s="5" t="s">
        <v>8025</v>
      </c>
      <c r="C5384" s="2" t="s">
        <v>8026</v>
      </c>
      <c r="D5384" s="5" t="s">
        <v>8025</v>
      </c>
      <c r="E5384" s="2" t="s">
        <v>15445</v>
      </c>
      <c r="F5384" s="2" t="s">
        <v>15442</v>
      </c>
      <c r="G5384" s="2" t="s">
        <v>15443</v>
      </c>
      <c r="H5384" s="2" t="s">
        <v>15444</v>
      </c>
    </row>
    <row r="5385">
      <c r="A5385" s="2">
        <v>5383.0</v>
      </c>
      <c r="B5385" s="5" t="s">
        <v>8028</v>
      </c>
      <c r="C5385" s="2" t="s">
        <v>8029</v>
      </c>
      <c r="D5385" s="5" t="s">
        <v>8028</v>
      </c>
      <c r="E5385" s="2" t="s">
        <v>15445</v>
      </c>
      <c r="F5385" s="2" t="s">
        <v>15446</v>
      </c>
      <c r="G5385" s="2" t="s">
        <v>15456</v>
      </c>
      <c r="H5385" s="2" t="s">
        <v>15444</v>
      </c>
    </row>
    <row r="5386">
      <c r="A5386" s="2">
        <v>5384.0</v>
      </c>
      <c r="B5386" s="5" t="s">
        <v>14576</v>
      </c>
      <c r="C5386" s="2" t="s">
        <v>14577</v>
      </c>
      <c r="D5386" s="5" t="s">
        <v>14576</v>
      </c>
      <c r="E5386" s="2" t="s">
        <v>15441</v>
      </c>
      <c r="F5386" s="2" t="s">
        <v>15442</v>
      </c>
      <c r="G5386" s="2" t="s">
        <v>15443</v>
      </c>
      <c r="H5386" s="2" t="s">
        <v>15462</v>
      </c>
    </row>
    <row r="5387">
      <c r="A5387" s="2">
        <v>5385.0</v>
      </c>
      <c r="B5387" s="5" t="s">
        <v>14578</v>
      </c>
      <c r="C5387" s="2" t="s">
        <v>14579</v>
      </c>
      <c r="D5387" s="5" t="s">
        <v>14578</v>
      </c>
      <c r="E5387" s="2" t="s">
        <v>15441</v>
      </c>
      <c r="F5387" s="2" t="s">
        <v>15442</v>
      </c>
      <c r="G5387" s="2" t="s">
        <v>15456</v>
      </c>
      <c r="H5387" s="2" t="s">
        <v>15444</v>
      </c>
    </row>
    <row r="5388">
      <c r="A5388" s="2">
        <v>5386.0</v>
      </c>
      <c r="B5388" s="5" t="s">
        <v>8031</v>
      </c>
      <c r="C5388" s="2" t="s">
        <v>8032</v>
      </c>
      <c r="D5388" s="5" t="s">
        <v>8031</v>
      </c>
      <c r="E5388" s="2" t="s">
        <v>15445</v>
      </c>
      <c r="F5388" s="2" t="s">
        <v>15446</v>
      </c>
      <c r="G5388" s="2" t="s">
        <v>15443</v>
      </c>
      <c r="H5388" s="2" t="s">
        <v>15444</v>
      </c>
    </row>
    <row r="5389">
      <c r="A5389" s="2">
        <v>5387.0</v>
      </c>
      <c r="B5389" s="5" t="s">
        <v>8034</v>
      </c>
      <c r="C5389" s="2" t="s">
        <v>8035</v>
      </c>
      <c r="D5389" s="5" t="s">
        <v>8034</v>
      </c>
      <c r="E5389" s="2" t="s">
        <v>15445</v>
      </c>
      <c r="F5389" s="2" t="s">
        <v>15442</v>
      </c>
      <c r="G5389" s="2" t="s">
        <v>15456</v>
      </c>
      <c r="H5389" s="2" t="s">
        <v>15444</v>
      </c>
    </row>
    <row r="5390">
      <c r="A5390" s="2">
        <v>5388.0</v>
      </c>
      <c r="B5390" s="5" t="s">
        <v>14580</v>
      </c>
      <c r="C5390" s="2" t="s">
        <v>14581</v>
      </c>
      <c r="D5390" s="5" t="s">
        <v>14580</v>
      </c>
      <c r="E5390" s="2" t="s">
        <v>15441</v>
      </c>
      <c r="F5390" s="2" t="s">
        <v>15442</v>
      </c>
      <c r="G5390" s="2" t="s">
        <v>15443</v>
      </c>
      <c r="H5390" s="2" t="s">
        <v>15444</v>
      </c>
    </row>
    <row r="5391">
      <c r="A5391" s="2">
        <v>5389.0</v>
      </c>
      <c r="B5391" s="5" t="s">
        <v>14582</v>
      </c>
      <c r="C5391" s="2" t="s">
        <v>14583</v>
      </c>
      <c r="D5391" s="5" t="s">
        <v>14582</v>
      </c>
      <c r="E5391" s="2" t="s">
        <v>15441</v>
      </c>
      <c r="F5391" s="2" t="s">
        <v>15442</v>
      </c>
      <c r="G5391" s="2" t="s">
        <v>15456</v>
      </c>
      <c r="H5391" s="2" t="s">
        <v>15457</v>
      </c>
    </row>
    <row r="5392">
      <c r="A5392" s="2">
        <v>5390.0</v>
      </c>
      <c r="B5392" s="5" t="s">
        <v>8037</v>
      </c>
      <c r="C5392" s="2" t="s">
        <v>8038</v>
      </c>
      <c r="D5392" s="5" t="s">
        <v>8037</v>
      </c>
      <c r="E5392" s="2" t="s">
        <v>15445</v>
      </c>
      <c r="F5392" s="2" t="s">
        <v>15442</v>
      </c>
      <c r="G5392" s="2" t="s">
        <v>15456</v>
      </c>
      <c r="H5392" s="2" t="s">
        <v>15444</v>
      </c>
    </row>
    <row r="5393">
      <c r="A5393" s="2">
        <v>5391.0</v>
      </c>
      <c r="B5393" s="5" t="s">
        <v>8040</v>
      </c>
      <c r="C5393" s="2" t="s">
        <v>8041</v>
      </c>
      <c r="D5393" s="5" t="s">
        <v>8040</v>
      </c>
      <c r="E5393" s="2" t="s">
        <v>15445</v>
      </c>
      <c r="F5393" s="2" t="s">
        <v>15446</v>
      </c>
      <c r="G5393" s="2" t="s">
        <v>15456</v>
      </c>
      <c r="H5393" s="2" t="s">
        <v>15444</v>
      </c>
    </row>
    <row r="5394">
      <c r="A5394" s="2">
        <v>5392.0</v>
      </c>
      <c r="B5394" s="5" t="s">
        <v>14584</v>
      </c>
      <c r="C5394" s="2" t="s">
        <v>14585</v>
      </c>
      <c r="D5394" s="5" t="s">
        <v>14584</v>
      </c>
      <c r="E5394" s="2" t="s">
        <v>15441</v>
      </c>
      <c r="F5394" s="2" t="s">
        <v>15446</v>
      </c>
      <c r="G5394" s="2" t="s">
        <v>15456</v>
      </c>
      <c r="H5394" s="2" t="s">
        <v>15444</v>
      </c>
    </row>
    <row r="5395">
      <c r="A5395" s="2">
        <v>5393.0</v>
      </c>
      <c r="B5395" s="5" t="s">
        <v>14586</v>
      </c>
      <c r="C5395" s="2" t="s">
        <v>14587</v>
      </c>
      <c r="D5395" s="5" t="s">
        <v>14586</v>
      </c>
      <c r="E5395" s="2" t="s">
        <v>15441</v>
      </c>
      <c r="F5395" s="2" t="s">
        <v>15442</v>
      </c>
      <c r="G5395" s="2" t="s">
        <v>15443</v>
      </c>
      <c r="H5395" s="2" t="s">
        <v>15444</v>
      </c>
    </row>
    <row r="5396">
      <c r="A5396" s="2">
        <v>5394.0</v>
      </c>
      <c r="B5396" s="5" t="s">
        <v>14588</v>
      </c>
      <c r="C5396" s="2" t="s">
        <v>14589</v>
      </c>
      <c r="D5396" s="5" t="s">
        <v>14588</v>
      </c>
      <c r="E5396" s="2" t="s">
        <v>15441</v>
      </c>
      <c r="F5396" s="2" t="s">
        <v>15446</v>
      </c>
      <c r="G5396" s="2" t="s">
        <v>15443</v>
      </c>
      <c r="H5396" s="2" t="s">
        <v>15444</v>
      </c>
    </row>
    <row r="5397">
      <c r="A5397" s="2">
        <v>5395.0</v>
      </c>
      <c r="B5397" s="5" t="s">
        <v>14590</v>
      </c>
      <c r="C5397" s="2" t="s">
        <v>14591</v>
      </c>
      <c r="D5397" s="5" t="s">
        <v>14590</v>
      </c>
      <c r="E5397" s="2" t="s">
        <v>15441</v>
      </c>
      <c r="F5397" s="2" t="s">
        <v>15446</v>
      </c>
      <c r="G5397" s="2" t="s">
        <v>15456</v>
      </c>
      <c r="H5397" s="2" t="s">
        <v>15444</v>
      </c>
    </row>
    <row r="5398">
      <c r="A5398" s="2">
        <v>5396.0</v>
      </c>
      <c r="B5398" s="5" t="s">
        <v>8043</v>
      </c>
      <c r="C5398" s="2" t="s">
        <v>8044</v>
      </c>
      <c r="D5398" s="5" t="s">
        <v>8043</v>
      </c>
      <c r="E5398" s="2" t="s">
        <v>15445</v>
      </c>
      <c r="F5398" s="2" t="s">
        <v>15446</v>
      </c>
      <c r="G5398" s="2" t="s">
        <v>15456</v>
      </c>
      <c r="H5398" s="2" t="s">
        <v>15444</v>
      </c>
    </row>
    <row r="5399">
      <c r="A5399" s="2">
        <v>5397.0</v>
      </c>
      <c r="B5399" s="5" t="s">
        <v>14592</v>
      </c>
      <c r="C5399" s="2" t="s">
        <v>14593</v>
      </c>
      <c r="D5399" s="5" t="s">
        <v>14592</v>
      </c>
      <c r="E5399" s="2" t="s">
        <v>15441</v>
      </c>
      <c r="F5399" s="2" t="s">
        <v>15446</v>
      </c>
      <c r="G5399" s="2" t="s">
        <v>15456</v>
      </c>
      <c r="H5399" s="2" t="s">
        <v>15444</v>
      </c>
    </row>
    <row r="5400">
      <c r="A5400" s="2">
        <v>5398.0</v>
      </c>
      <c r="B5400" s="5" t="s">
        <v>8046</v>
      </c>
      <c r="C5400" s="2" t="s">
        <v>8047</v>
      </c>
      <c r="D5400" s="5" t="s">
        <v>8046</v>
      </c>
      <c r="E5400" s="2" t="s">
        <v>15445</v>
      </c>
      <c r="F5400" s="2" t="s">
        <v>15446</v>
      </c>
      <c r="G5400" s="2" t="s">
        <v>15456</v>
      </c>
      <c r="H5400" s="2" t="s">
        <v>15457</v>
      </c>
    </row>
    <row r="5401">
      <c r="A5401" s="2">
        <v>5399.0</v>
      </c>
      <c r="B5401" s="5" t="s">
        <v>14594</v>
      </c>
      <c r="C5401" s="2" t="s">
        <v>14595</v>
      </c>
      <c r="D5401" s="5" t="s">
        <v>14594</v>
      </c>
      <c r="E5401" s="2" t="s">
        <v>15441</v>
      </c>
      <c r="F5401" s="2" t="s">
        <v>15446</v>
      </c>
      <c r="G5401" s="2" t="s">
        <v>15456</v>
      </c>
      <c r="H5401" s="2" t="s">
        <v>15444</v>
      </c>
    </row>
    <row r="5402">
      <c r="A5402" s="2">
        <v>5400.0</v>
      </c>
      <c r="B5402" s="5" t="s">
        <v>8049</v>
      </c>
      <c r="C5402" s="2" t="s">
        <v>8050</v>
      </c>
      <c r="D5402" s="5" t="s">
        <v>8049</v>
      </c>
      <c r="E5402" s="2" t="s">
        <v>15445</v>
      </c>
      <c r="F5402" s="2" t="s">
        <v>15446</v>
      </c>
      <c r="G5402" s="2" t="s">
        <v>15456</v>
      </c>
      <c r="H5402" s="2" t="s">
        <v>15444</v>
      </c>
    </row>
    <row r="5403">
      <c r="A5403" s="2">
        <v>5401.0</v>
      </c>
      <c r="B5403" s="5" t="s">
        <v>14596</v>
      </c>
      <c r="C5403" s="2" t="s">
        <v>14597</v>
      </c>
      <c r="D5403" s="5" t="s">
        <v>14596</v>
      </c>
      <c r="E5403" s="2" t="s">
        <v>15441</v>
      </c>
      <c r="F5403" s="2" t="s">
        <v>15446</v>
      </c>
      <c r="G5403" s="2" t="s">
        <v>15443</v>
      </c>
      <c r="H5403" s="2" t="s">
        <v>15444</v>
      </c>
    </row>
    <row r="5404">
      <c r="A5404" s="2">
        <v>5402.0</v>
      </c>
      <c r="B5404" s="5" t="s">
        <v>14598</v>
      </c>
      <c r="C5404" s="2" t="s">
        <v>14599</v>
      </c>
      <c r="D5404" s="5" t="s">
        <v>14598</v>
      </c>
      <c r="E5404" s="2" t="s">
        <v>15441</v>
      </c>
      <c r="F5404" s="2" t="s">
        <v>15446</v>
      </c>
      <c r="G5404" s="2" t="s">
        <v>15456</v>
      </c>
      <c r="H5404" s="2" t="s">
        <v>15462</v>
      </c>
    </row>
    <row r="5405">
      <c r="A5405" s="2">
        <v>5403.0</v>
      </c>
      <c r="B5405" s="5" t="s">
        <v>14600</v>
      </c>
      <c r="C5405" s="2" t="s">
        <v>14601</v>
      </c>
      <c r="D5405" s="5" t="s">
        <v>14600</v>
      </c>
      <c r="E5405" s="2" t="s">
        <v>15441</v>
      </c>
      <c r="F5405" s="2" t="s">
        <v>15446</v>
      </c>
      <c r="G5405" s="2" t="s">
        <v>15456</v>
      </c>
      <c r="H5405" s="2" t="s">
        <v>15444</v>
      </c>
    </row>
    <row r="5406">
      <c r="A5406" s="2">
        <v>5404.0</v>
      </c>
      <c r="B5406" s="5" t="s">
        <v>14602</v>
      </c>
      <c r="C5406" s="2" t="s">
        <v>14603</v>
      </c>
      <c r="D5406" s="5" t="s">
        <v>14602</v>
      </c>
      <c r="E5406" s="2" t="s">
        <v>15441</v>
      </c>
      <c r="F5406" s="2" t="s">
        <v>15446</v>
      </c>
      <c r="G5406" s="2" t="s">
        <v>15456</v>
      </c>
      <c r="H5406" s="2" t="s">
        <v>15444</v>
      </c>
    </row>
    <row r="5407">
      <c r="A5407" s="2">
        <v>5405.0</v>
      </c>
      <c r="B5407" s="5" t="s">
        <v>8052</v>
      </c>
      <c r="C5407" s="2" t="s">
        <v>8053</v>
      </c>
      <c r="D5407" s="5" t="s">
        <v>8052</v>
      </c>
      <c r="E5407" s="2" t="s">
        <v>15445</v>
      </c>
      <c r="F5407" s="2" t="s">
        <v>15442</v>
      </c>
      <c r="G5407" s="2" t="s">
        <v>15443</v>
      </c>
      <c r="H5407" s="2" t="s">
        <v>15444</v>
      </c>
    </row>
    <row r="5408">
      <c r="A5408" s="2">
        <v>5406.0</v>
      </c>
      <c r="B5408" s="5" t="s">
        <v>14604</v>
      </c>
      <c r="C5408" s="2" t="s">
        <v>14605</v>
      </c>
      <c r="D5408" s="5" t="s">
        <v>14604</v>
      </c>
      <c r="E5408" s="2" t="s">
        <v>15441</v>
      </c>
      <c r="F5408" s="2" t="s">
        <v>15442</v>
      </c>
      <c r="G5408" s="2" t="s">
        <v>15456</v>
      </c>
      <c r="H5408" s="2" t="s">
        <v>15444</v>
      </c>
    </row>
    <row r="5409">
      <c r="A5409" s="2">
        <v>5407.0</v>
      </c>
      <c r="B5409" s="5" t="s">
        <v>14606</v>
      </c>
      <c r="C5409" s="2" t="s">
        <v>14607</v>
      </c>
      <c r="D5409" s="5" t="s">
        <v>14606</v>
      </c>
      <c r="E5409" s="2" t="s">
        <v>15441</v>
      </c>
      <c r="F5409" s="2" t="s">
        <v>15446</v>
      </c>
      <c r="G5409" s="2" t="s">
        <v>15443</v>
      </c>
      <c r="H5409" s="2" t="s">
        <v>15444</v>
      </c>
    </row>
    <row r="5410">
      <c r="A5410" s="2">
        <v>5408.0</v>
      </c>
      <c r="B5410" s="5" t="s">
        <v>8055</v>
      </c>
      <c r="C5410" s="2" t="s">
        <v>8056</v>
      </c>
      <c r="D5410" s="5" t="s">
        <v>8055</v>
      </c>
      <c r="E5410" s="2" t="s">
        <v>15445</v>
      </c>
      <c r="F5410" s="2" t="s">
        <v>15442</v>
      </c>
      <c r="G5410" s="2" t="s">
        <v>15443</v>
      </c>
      <c r="H5410" s="2" t="s">
        <v>15444</v>
      </c>
    </row>
    <row r="5411">
      <c r="A5411" s="2">
        <v>5409.0</v>
      </c>
      <c r="B5411" s="5" t="s">
        <v>14608</v>
      </c>
      <c r="C5411" s="2" t="s">
        <v>14609</v>
      </c>
      <c r="D5411" s="5" t="s">
        <v>14608</v>
      </c>
      <c r="E5411" s="2" t="s">
        <v>15441</v>
      </c>
      <c r="F5411" s="2" t="s">
        <v>15446</v>
      </c>
      <c r="G5411" s="2" t="s">
        <v>15443</v>
      </c>
      <c r="H5411" s="2" t="s">
        <v>15444</v>
      </c>
    </row>
    <row r="5412">
      <c r="A5412" s="2">
        <v>5410.0</v>
      </c>
      <c r="B5412" s="5" t="s">
        <v>8058</v>
      </c>
      <c r="C5412" s="2" t="s">
        <v>8059</v>
      </c>
      <c r="D5412" s="5" t="s">
        <v>8058</v>
      </c>
      <c r="E5412" s="2" t="s">
        <v>15445</v>
      </c>
      <c r="F5412" s="2" t="s">
        <v>15446</v>
      </c>
      <c r="G5412" s="2" t="s">
        <v>15456</v>
      </c>
      <c r="H5412" s="2" t="s">
        <v>15444</v>
      </c>
    </row>
    <row r="5413">
      <c r="A5413" s="2">
        <v>5411.0</v>
      </c>
      <c r="B5413" s="5" t="s">
        <v>8061</v>
      </c>
      <c r="C5413" s="2" t="s">
        <v>8062</v>
      </c>
      <c r="D5413" s="5" t="s">
        <v>8061</v>
      </c>
      <c r="E5413" s="2" t="s">
        <v>15445</v>
      </c>
      <c r="F5413" s="2" t="s">
        <v>15442</v>
      </c>
      <c r="G5413" s="2" t="s">
        <v>15443</v>
      </c>
      <c r="H5413" s="2" t="s">
        <v>15444</v>
      </c>
    </row>
    <row r="5414">
      <c r="A5414" s="2">
        <v>5412.0</v>
      </c>
      <c r="B5414" s="5" t="s">
        <v>14610</v>
      </c>
      <c r="C5414" s="2" t="s">
        <v>14611</v>
      </c>
      <c r="D5414" s="5" t="s">
        <v>14610</v>
      </c>
      <c r="E5414" s="2" t="s">
        <v>15441</v>
      </c>
      <c r="F5414" s="2" t="s">
        <v>15442</v>
      </c>
      <c r="G5414" s="2" t="s">
        <v>15443</v>
      </c>
      <c r="H5414" s="2" t="s">
        <v>15444</v>
      </c>
    </row>
    <row r="5415">
      <c r="A5415" s="2">
        <v>5413.0</v>
      </c>
      <c r="B5415" s="5" t="s">
        <v>14612</v>
      </c>
      <c r="C5415" s="2" t="s">
        <v>14613</v>
      </c>
      <c r="D5415" s="5" t="s">
        <v>14612</v>
      </c>
      <c r="E5415" s="2" t="s">
        <v>15441</v>
      </c>
      <c r="F5415" s="2" t="s">
        <v>15446</v>
      </c>
      <c r="G5415" s="2" t="s">
        <v>15443</v>
      </c>
      <c r="H5415" s="2" t="s">
        <v>15457</v>
      </c>
    </row>
    <row r="5416">
      <c r="A5416" s="2">
        <v>5414.0</v>
      </c>
      <c r="B5416" s="5" t="s">
        <v>8064</v>
      </c>
      <c r="C5416" s="2" t="s">
        <v>8065</v>
      </c>
      <c r="D5416" s="5" t="s">
        <v>8064</v>
      </c>
      <c r="E5416" s="2" t="s">
        <v>15445</v>
      </c>
      <c r="F5416" s="2" t="s">
        <v>15442</v>
      </c>
      <c r="G5416" s="2" t="s">
        <v>15443</v>
      </c>
      <c r="H5416" s="2" t="s">
        <v>15444</v>
      </c>
    </row>
    <row r="5417">
      <c r="A5417" s="2">
        <v>5415.0</v>
      </c>
      <c r="B5417" s="5" t="s">
        <v>14614</v>
      </c>
      <c r="C5417" s="2" t="s">
        <v>14615</v>
      </c>
      <c r="D5417" s="5" t="s">
        <v>14614</v>
      </c>
      <c r="E5417" s="2" t="s">
        <v>15441</v>
      </c>
      <c r="F5417" s="2" t="s">
        <v>15446</v>
      </c>
      <c r="G5417" s="2" t="s">
        <v>15456</v>
      </c>
      <c r="H5417" s="2" t="s">
        <v>15444</v>
      </c>
    </row>
    <row r="5418">
      <c r="A5418" s="2">
        <v>5416.0</v>
      </c>
      <c r="B5418" s="5" t="s">
        <v>8067</v>
      </c>
      <c r="C5418" s="2" t="s">
        <v>8068</v>
      </c>
      <c r="D5418" s="5" t="s">
        <v>8067</v>
      </c>
      <c r="E5418" s="2" t="s">
        <v>15445</v>
      </c>
      <c r="F5418" s="2" t="s">
        <v>15442</v>
      </c>
      <c r="G5418" s="2" t="s">
        <v>15443</v>
      </c>
      <c r="H5418" s="2" t="s">
        <v>15444</v>
      </c>
    </row>
    <row r="5419">
      <c r="A5419" s="2">
        <v>5417.0</v>
      </c>
      <c r="B5419" s="5" t="s">
        <v>14616</v>
      </c>
      <c r="C5419" s="2" t="s">
        <v>14617</v>
      </c>
      <c r="D5419" s="5" t="s">
        <v>14616</v>
      </c>
      <c r="E5419" s="2" t="s">
        <v>15441</v>
      </c>
      <c r="F5419" s="2" t="s">
        <v>15442</v>
      </c>
      <c r="G5419" s="2" t="s">
        <v>15456</v>
      </c>
      <c r="H5419" s="2" t="s">
        <v>15444</v>
      </c>
    </row>
    <row r="5420">
      <c r="A5420" s="2">
        <v>5418.0</v>
      </c>
      <c r="B5420" s="5" t="s">
        <v>8070</v>
      </c>
      <c r="C5420" s="2" t="s">
        <v>8071</v>
      </c>
      <c r="D5420" s="5" t="s">
        <v>8070</v>
      </c>
      <c r="E5420" s="2" t="s">
        <v>15445</v>
      </c>
      <c r="F5420" s="2" t="s">
        <v>15446</v>
      </c>
      <c r="G5420" s="2" t="s">
        <v>15443</v>
      </c>
      <c r="H5420" s="2" t="s">
        <v>15444</v>
      </c>
    </row>
    <row r="5421">
      <c r="A5421" s="2">
        <v>5419.0</v>
      </c>
      <c r="B5421" s="5" t="s">
        <v>14618</v>
      </c>
      <c r="C5421" s="2" t="s">
        <v>14619</v>
      </c>
      <c r="D5421" s="5" t="s">
        <v>14618</v>
      </c>
      <c r="E5421" s="2" t="s">
        <v>15441</v>
      </c>
      <c r="F5421" s="2" t="s">
        <v>15446</v>
      </c>
      <c r="G5421" s="2" t="s">
        <v>15456</v>
      </c>
      <c r="H5421" s="2" t="s">
        <v>15444</v>
      </c>
    </row>
    <row r="5422">
      <c r="A5422" s="2">
        <v>5420.0</v>
      </c>
      <c r="B5422" s="5" t="s">
        <v>8073</v>
      </c>
      <c r="C5422" s="2" t="s">
        <v>8074</v>
      </c>
      <c r="D5422" s="5" t="s">
        <v>8073</v>
      </c>
      <c r="E5422" s="2" t="s">
        <v>15445</v>
      </c>
      <c r="F5422" s="2" t="s">
        <v>15442</v>
      </c>
      <c r="G5422" s="2" t="s">
        <v>15443</v>
      </c>
      <c r="H5422" s="2" t="s">
        <v>15444</v>
      </c>
    </row>
    <row r="5423">
      <c r="A5423" s="2">
        <v>5421.0</v>
      </c>
      <c r="B5423" s="5" t="s">
        <v>14620</v>
      </c>
      <c r="C5423" s="2" t="s">
        <v>14621</v>
      </c>
      <c r="D5423" s="5" t="s">
        <v>14620</v>
      </c>
      <c r="E5423" s="2" t="s">
        <v>15441</v>
      </c>
      <c r="F5423" s="2" t="s">
        <v>15442</v>
      </c>
      <c r="G5423" s="2" t="s">
        <v>15456</v>
      </c>
      <c r="H5423" s="2" t="s">
        <v>15444</v>
      </c>
    </row>
    <row r="5424">
      <c r="A5424" s="2">
        <v>5422.0</v>
      </c>
      <c r="B5424" s="5" t="s">
        <v>14622</v>
      </c>
      <c r="C5424" s="2" t="s">
        <v>14623</v>
      </c>
      <c r="D5424" s="5" t="s">
        <v>14622</v>
      </c>
      <c r="E5424" s="2" t="s">
        <v>15441</v>
      </c>
      <c r="F5424" s="2" t="s">
        <v>15442</v>
      </c>
      <c r="G5424" s="2" t="s">
        <v>15456</v>
      </c>
      <c r="H5424" s="2" t="s">
        <v>15444</v>
      </c>
    </row>
    <row r="5425">
      <c r="A5425" s="2">
        <v>5423.0</v>
      </c>
      <c r="B5425" s="5" t="s">
        <v>14624</v>
      </c>
      <c r="C5425" s="2" t="s">
        <v>14625</v>
      </c>
      <c r="D5425" s="5" t="s">
        <v>14624</v>
      </c>
      <c r="E5425" s="2" t="s">
        <v>15441</v>
      </c>
      <c r="F5425" s="2" t="s">
        <v>15442</v>
      </c>
      <c r="G5425" s="2" t="s">
        <v>15456</v>
      </c>
      <c r="H5425" s="2" t="s">
        <v>15444</v>
      </c>
    </row>
    <row r="5426">
      <c r="A5426" s="2">
        <v>5424.0</v>
      </c>
      <c r="B5426" s="5" t="s">
        <v>14626</v>
      </c>
      <c r="C5426" s="2" t="s">
        <v>14627</v>
      </c>
      <c r="D5426" s="5" t="s">
        <v>14626</v>
      </c>
      <c r="E5426" s="2" t="s">
        <v>15441</v>
      </c>
      <c r="F5426" s="2" t="s">
        <v>15446</v>
      </c>
      <c r="G5426" s="2" t="s">
        <v>15456</v>
      </c>
      <c r="H5426" s="2" t="s">
        <v>15444</v>
      </c>
    </row>
    <row r="5427">
      <c r="A5427" s="2">
        <v>5425.0</v>
      </c>
      <c r="B5427" s="5" t="s">
        <v>14628</v>
      </c>
      <c r="C5427" s="2" t="s">
        <v>14629</v>
      </c>
      <c r="D5427" s="5" t="s">
        <v>14628</v>
      </c>
      <c r="E5427" s="2" t="s">
        <v>15441</v>
      </c>
      <c r="F5427" s="2" t="s">
        <v>15446</v>
      </c>
      <c r="G5427" s="2" t="s">
        <v>15456</v>
      </c>
      <c r="H5427" s="2" t="s">
        <v>15444</v>
      </c>
    </row>
    <row r="5428">
      <c r="A5428" s="2">
        <v>5426.0</v>
      </c>
      <c r="B5428" s="5" t="s">
        <v>14630</v>
      </c>
      <c r="C5428" s="2" t="s">
        <v>14631</v>
      </c>
      <c r="D5428" s="5" t="s">
        <v>14630</v>
      </c>
      <c r="E5428" s="2" t="s">
        <v>15441</v>
      </c>
      <c r="F5428" s="2" t="s">
        <v>15446</v>
      </c>
      <c r="G5428" s="2" t="s">
        <v>15456</v>
      </c>
      <c r="H5428" s="2" t="s">
        <v>15444</v>
      </c>
    </row>
    <row r="5429">
      <c r="A5429" s="2">
        <v>5427.0</v>
      </c>
      <c r="B5429" s="5" t="s">
        <v>8076</v>
      </c>
      <c r="C5429" s="2" t="s">
        <v>8077</v>
      </c>
      <c r="D5429" s="5" t="s">
        <v>8076</v>
      </c>
      <c r="E5429" s="2" t="s">
        <v>15445</v>
      </c>
      <c r="F5429" s="2" t="s">
        <v>15446</v>
      </c>
      <c r="G5429" s="2" t="s">
        <v>15456</v>
      </c>
      <c r="H5429" s="2" t="s">
        <v>15444</v>
      </c>
    </row>
    <row r="5430">
      <c r="A5430" s="2">
        <v>5428.0</v>
      </c>
      <c r="B5430" s="5" t="s">
        <v>14632</v>
      </c>
      <c r="C5430" s="2" t="s">
        <v>14633</v>
      </c>
      <c r="D5430" s="5" t="s">
        <v>14632</v>
      </c>
      <c r="E5430" s="2" t="s">
        <v>15441</v>
      </c>
      <c r="F5430" s="2" t="s">
        <v>15446</v>
      </c>
      <c r="G5430" s="2" t="s">
        <v>15456</v>
      </c>
      <c r="H5430" s="2" t="s">
        <v>15444</v>
      </c>
    </row>
    <row r="5431">
      <c r="A5431" s="2">
        <v>5429.0</v>
      </c>
      <c r="B5431" s="5" t="s">
        <v>8079</v>
      </c>
      <c r="C5431" s="2" t="s">
        <v>8080</v>
      </c>
      <c r="D5431" s="5" t="s">
        <v>8079</v>
      </c>
      <c r="E5431" s="2" t="s">
        <v>15445</v>
      </c>
      <c r="F5431" s="2" t="s">
        <v>15442</v>
      </c>
      <c r="G5431" s="2" t="s">
        <v>15443</v>
      </c>
      <c r="H5431" s="2" t="s">
        <v>15444</v>
      </c>
    </row>
    <row r="5432">
      <c r="A5432" s="2">
        <v>5430.0</v>
      </c>
      <c r="B5432" s="5" t="s">
        <v>14634</v>
      </c>
      <c r="C5432" s="2" t="s">
        <v>14635</v>
      </c>
      <c r="D5432" s="5" t="s">
        <v>14634</v>
      </c>
      <c r="E5432" s="2" t="s">
        <v>15441</v>
      </c>
      <c r="F5432" s="2" t="s">
        <v>15442</v>
      </c>
      <c r="G5432" s="2" t="s">
        <v>15456</v>
      </c>
      <c r="H5432" s="2" t="s">
        <v>15444</v>
      </c>
    </row>
    <row r="5433">
      <c r="A5433" s="2">
        <v>5431.0</v>
      </c>
      <c r="B5433" s="5" t="s">
        <v>14636</v>
      </c>
      <c r="C5433" s="2" t="s">
        <v>14637</v>
      </c>
      <c r="D5433" s="5" t="s">
        <v>14636</v>
      </c>
      <c r="E5433" s="2" t="s">
        <v>15441</v>
      </c>
      <c r="F5433" s="2" t="s">
        <v>15442</v>
      </c>
      <c r="G5433" s="2" t="s">
        <v>15443</v>
      </c>
      <c r="H5433" s="2" t="s">
        <v>15444</v>
      </c>
    </row>
    <row r="5434">
      <c r="A5434" s="2">
        <v>5432.0</v>
      </c>
      <c r="B5434" s="5" t="s">
        <v>8082</v>
      </c>
      <c r="C5434" s="2" t="s">
        <v>8083</v>
      </c>
      <c r="D5434" s="5" t="s">
        <v>8082</v>
      </c>
      <c r="E5434" s="2" t="s">
        <v>15445</v>
      </c>
      <c r="F5434" s="2" t="s">
        <v>15442</v>
      </c>
      <c r="G5434" s="2" t="s">
        <v>15443</v>
      </c>
      <c r="H5434" s="2" t="s">
        <v>15444</v>
      </c>
    </row>
    <row r="5435">
      <c r="A5435" s="2">
        <v>5433.0</v>
      </c>
      <c r="B5435" s="5" t="s">
        <v>14638</v>
      </c>
      <c r="C5435" s="2" t="s">
        <v>14639</v>
      </c>
      <c r="D5435" s="5" t="s">
        <v>14638</v>
      </c>
      <c r="E5435" s="2" t="s">
        <v>15441</v>
      </c>
      <c r="F5435" s="2" t="s">
        <v>15442</v>
      </c>
      <c r="G5435" s="2" t="s">
        <v>15443</v>
      </c>
      <c r="H5435" s="2" t="s">
        <v>15444</v>
      </c>
    </row>
    <row r="5436">
      <c r="A5436" s="2">
        <v>5434.0</v>
      </c>
      <c r="B5436" s="5" t="s">
        <v>14640</v>
      </c>
      <c r="C5436" s="2" t="s">
        <v>14641</v>
      </c>
      <c r="D5436" s="5" t="s">
        <v>14640</v>
      </c>
      <c r="E5436" s="2" t="s">
        <v>15441</v>
      </c>
      <c r="F5436" s="2" t="s">
        <v>15442</v>
      </c>
      <c r="G5436" s="2" t="s">
        <v>15443</v>
      </c>
      <c r="H5436" s="2" t="s">
        <v>15444</v>
      </c>
    </row>
    <row r="5437">
      <c r="A5437" s="2">
        <v>5435.0</v>
      </c>
      <c r="B5437" s="5" t="s">
        <v>8085</v>
      </c>
      <c r="C5437" s="2" t="s">
        <v>8086</v>
      </c>
      <c r="D5437" s="5" t="s">
        <v>8085</v>
      </c>
      <c r="E5437" s="2" t="s">
        <v>15445</v>
      </c>
      <c r="F5437" s="2" t="s">
        <v>15446</v>
      </c>
      <c r="G5437" s="2" t="s">
        <v>15456</v>
      </c>
      <c r="H5437" s="2" t="s">
        <v>15457</v>
      </c>
    </row>
    <row r="5438">
      <c r="A5438" s="2">
        <v>5436.0</v>
      </c>
      <c r="B5438" s="5" t="s">
        <v>8088</v>
      </c>
      <c r="C5438" s="2" t="s">
        <v>8089</v>
      </c>
      <c r="D5438" s="5" t="s">
        <v>8088</v>
      </c>
      <c r="E5438" s="2" t="s">
        <v>15445</v>
      </c>
      <c r="F5438" s="2" t="s">
        <v>15446</v>
      </c>
      <c r="G5438" s="2" t="s">
        <v>15456</v>
      </c>
      <c r="H5438" s="2" t="s">
        <v>15444</v>
      </c>
    </row>
    <row r="5439">
      <c r="A5439" s="2">
        <v>5437.0</v>
      </c>
      <c r="B5439" s="5" t="s">
        <v>8091</v>
      </c>
      <c r="C5439" s="2" t="s">
        <v>8092</v>
      </c>
      <c r="D5439" s="5" t="s">
        <v>8091</v>
      </c>
      <c r="E5439" s="2" t="s">
        <v>15445</v>
      </c>
      <c r="F5439" s="2" t="s">
        <v>15442</v>
      </c>
      <c r="G5439" s="2" t="s">
        <v>15443</v>
      </c>
      <c r="H5439" s="2" t="s">
        <v>15444</v>
      </c>
    </row>
    <row r="5440">
      <c r="A5440" s="2">
        <v>5438.0</v>
      </c>
      <c r="B5440" s="5" t="s">
        <v>14642</v>
      </c>
      <c r="C5440" s="2" t="s">
        <v>14643</v>
      </c>
      <c r="D5440" s="5" t="s">
        <v>14642</v>
      </c>
      <c r="E5440" s="2" t="s">
        <v>15441</v>
      </c>
      <c r="F5440" s="2" t="s">
        <v>15446</v>
      </c>
      <c r="G5440" s="2" t="s">
        <v>15443</v>
      </c>
      <c r="H5440" s="2" t="s">
        <v>15455</v>
      </c>
    </row>
    <row r="5441">
      <c r="A5441" s="2">
        <v>5439.0</v>
      </c>
      <c r="B5441" s="5" t="s">
        <v>14644</v>
      </c>
      <c r="C5441" s="2" t="s">
        <v>14645</v>
      </c>
      <c r="D5441" s="5" t="s">
        <v>14644</v>
      </c>
      <c r="E5441" s="2" t="s">
        <v>15441</v>
      </c>
      <c r="F5441" s="2" t="s">
        <v>15442</v>
      </c>
      <c r="G5441" s="2" t="s">
        <v>15443</v>
      </c>
      <c r="H5441" s="2" t="s">
        <v>15444</v>
      </c>
    </row>
    <row r="5442">
      <c r="A5442" s="2">
        <v>5440.0</v>
      </c>
      <c r="B5442" s="5" t="s">
        <v>14646</v>
      </c>
      <c r="C5442" s="2" t="s">
        <v>14647</v>
      </c>
      <c r="D5442" s="5" t="s">
        <v>14646</v>
      </c>
      <c r="E5442" s="2" t="s">
        <v>15441</v>
      </c>
      <c r="F5442" s="2" t="s">
        <v>15446</v>
      </c>
      <c r="G5442" s="2" t="s">
        <v>15443</v>
      </c>
      <c r="H5442" s="2" t="s">
        <v>15461</v>
      </c>
    </row>
    <row r="5443">
      <c r="A5443" s="2">
        <v>5441.0</v>
      </c>
      <c r="B5443" s="5" t="s">
        <v>14648</v>
      </c>
      <c r="C5443" s="2" t="s">
        <v>14649</v>
      </c>
      <c r="D5443" s="5" t="s">
        <v>14648</v>
      </c>
      <c r="E5443" s="2" t="s">
        <v>15441</v>
      </c>
      <c r="F5443" s="2" t="s">
        <v>15446</v>
      </c>
      <c r="G5443" s="2" t="s">
        <v>15456</v>
      </c>
      <c r="H5443" s="2" t="s">
        <v>15444</v>
      </c>
    </row>
    <row r="5444">
      <c r="A5444" s="2">
        <v>5442.0</v>
      </c>
      <c r="B5444" s="5" t="s">
        <v>14650</v>
      </c>
      <c r="C5444" s="2" t="s">
        <v>14651</v>
      </c>
      <c r="D5444" s="5" t="s">
        <v>14650</v>
      </c>
      <c r="E5444" s="2" t="s">
        <v>15441</v>
      </c>
      <c r="F5444" s="2" t="s">
        <v>15442</v>
      </c>
      <c r="G5444" s="2" t="s">
        <v>15443</v>
      </c>
      <c r="H5444" s="2" t="s">
        <v>15444</v>
      </c>
    </row>
    <row r="5445">
      <c r="A5445" s="2">
        <v>5443.0</v>
      </c>
      <c r="B5445" s="5" t="s">
        <v>14652</v>
      </c>
      <c r="C5445" s="2" t="s">
        <v>14653</v>
      </c>
      <c r="D5445" s="5" t="s">
        <v>14652</v>
      </c>
      <c r="E5445" s="2" t="s">
        <v>15441</v>
      </c>
      <c r="F5445" s="2" t="s">
        <v>15442</v>
      </c>
      <c r="G5445" s="2" t="s">
        <v>15443</v>
      </c>
      <c r="H5445" s="2" t="s">
        <v>15444</v>
      </c>
    </row>
    <row r="5446">
      <c r="A5446" s="2">
        <v>5444.0</v>
      </c>
      <c r="B5446" s="5" t="s">
        <v>14654</v>
      </c>
      <c r="C5446" s="2" t="s">
        <v>14655</v>
      </c>
      <c r="D5446" s="5" t="s">
        <v>14654</v>
      </c>
      <c r="E5446" s="2" t="s">
        <v>15441</v>
      </c>
      <c r="F5446" s="2" t="s">
        <v>15442</v>
      </c>
      <c r="G5446" s="2" t="s">
        <v>15443</v>
      </c>
      <c r="H5446" s="2" t="s">
        <v>15444</v>
      </c>
    </row>
    <row r="5447">
      <c r="A5447" s="2">
        <v>5445.0</v>
      </c>
      <c r="B5447" s="5" t="s">
        <v>14656</v>
      </c>
      <c r="C5447" s="2" t="s">
        <v>14657</v>
      </c>
      <c r="D5447" s="5" t="s">
        <v>14656</v>
      </c>
      <c r="E5447" s="2" t="s">
        <v>15441</v>
      </c>
      <c r="F5447" s="2" t="s">
        <v>15442</v>
      </c>
      <c r="G5447" s="2" t="s">
        <v>15443</v>
      </c>
      <c r="H5447" s="2" t="s">
        <v>15444</v>
      </c>
    </row>
    <row r="5448">
      <c r="A5448" s="2">
        <v>5446.0</v>
      </c>
      <c r="B5448" s="5" t="s">
        <v>8094</v>
      </c>
      <c r="C5448" s="2" t="s">
        <v>8095</v>
      </c>
      <c r="D5448" s="5" t="s">
        <v>8094</v>
      </c>
      <c r="E5448" s="2" t="s">
        <v>15445</v>
      </c>
      <c r="F5448" s="2" t="s">
        <v>15442</v>
      </c>
      <c r="G5448" s="2" t="s">
        <v>15443</v>
      </c>
      <c r="H5448" s="2" t="s">
        <v>15444</v>
      </c>
    </row>
    <row r="5449">
      <c r="A5449" s="2">
        <v>5447.0</v>
      </c>
      <c r="B5449" s="5" t="s">
        <v>14658</v>
      </c>
      <c r="C5449" s="2" t="s">
        <v>14659</v>
      </c>
      <c r="D5449" s="5" t="s">
        <v>14658</v>
      </c>
      <c r="E5449" s="2" t="s">
        <v>15441</v>
      </c>
      <c r="F5449" s="2" t="s">
        <v>15442</v>
      </c>
      <c r="G5449" s="2" t="s">
        <v>15443</v>
      </c>
      <c r="H5449" s="2" t="s">
        <v>15444</v>
      </c>
    </row>
    <row r="5450">
      <c r="A5450" s="2">
        <v>5448.0</v>
      </c>
      <c r="B5450" s="5" t="s">
        <v>8097</v>
      </c>
      <c r="C5450" s="2" t="s">
        <v>8098</v>
      </c>
      <c r="D5450" s="5" t="s">
        <v>8097</v>
      </c>
      <c r="E5450" s="2" t="s">
        <v>15445</v>
      </c>
      <c r="F5450" s="2" t="s">
        <v>15446</v>
      </c>
      <c r="G5450" s="2" t="s">
        <v>15456</v>
      </c>
      <c r="H5450" s="2" t="s">
        <v>15444</v>
      </c>
    </row>
    <row r="5451">
      <c r="A5451" s="2">
        <v>5449.0</v>
      </c>
      <c r="B5451" s="5" t="s">
        <v>8100</v>
      </c>
      <c r="C5451" s="2" t="s">
        <v>8101</v>
      </c>
      <c r="D5451" s="5" t="s">
        <v>8100</v>
      </c>
      <c r="E5451" s="2" t="s">
        <v>15445</v>
      </c>
      <c r="F5451" s="2" t="s">
        <v>15442</v>
      </c>
      <c r="G5451" s="2" t="s">
        <v>15443</v>
      </c>
      <c r="H5451" s="2" t="s">
        <v>15444</v>
      </c>
    </row>
    <row r="5452">
      <c r="A5452" s="2">
        <v>5450.0</v>
      </c>
      <c r="B5452" s="5" t="s">
        <v>8103</v>
      </c>
      <c r="C5452" s="2" t="s">
        <v>8104</v>
      </c>
      <c r="D5452" s="5" t="s">
        <v>8103</v>
      </c>
      <c r="E5452" s="2" t="s">
        <v>15445</v>
      </c>
      <c r="F5452" s="2" t="s">
        <v>15442</v>
      </c>
      <c r="G5452" s="2" t="s">
        <v>15443</v>
      </c>
      <c r="H5452" s="2" t="s">
        <v>15444</v>
      </c>
    </row>
    <row r="5453">
      <c r="A5453" s="2">
        <v>5451.0</v>
      </c>
      <c r="B5453" s="5" t="s">
        <v>8106</v>
      </c>
      <c r="C5453" s="2" t="s">
        <v>8107</v>
      </c>
      <c r="D5453" s="5" t="s">
        <v>8106</v>
      </c>
      <c r="E5453" s="2" t="s">
        <v>15445</v>
      </c>
      <c r="F5453" s="2" t="s">
        <v>15442</v>
      </c>
      <c r="G5453" s="2" t="s">
        <v>15443</v>
      </c>
      <c r="H5453" s="2" t="s">
        <v>15444</v>
      </c>
    </row>
    <row r="5454">
      <c r="A5454" s="2">
        <v>5452.0</v>
      </c>
      <c r="B5454" s="5" t="s">
        <v>14660</v>
      </c>
      <c r="C5454" s="2" t="s">
        <v>14661</v>
      </c>
      <c r="D5454" s="5" t="s">
        <v>14660</v>
      </c>
      <c r="E5454" s="2" t="s">
        <v>15441</v>
      </c>
      <c r="F5454" s="2" t="s">
        <v>15442</v>
      </c>
      <c r="G5454" s="2" t="s">
        <v>15443</v>
      </c>
      <c r="H5454" s="2" t="s">
        <v>15444</v>
      </c>
    </row>
    <row r="5455">
      <c r="A5455" s="2">
        <v>5453.0</v>
      </c>
      <c r="B5455" s="5" t="s">
        <v>14662</v>
      </c>
      <c r="C5455" s="2" t="s">
        <v>14663</v>
      </c>
      <c r="D5455" s="5" t="s">
        <v>14662</v>
      </c>
      <c r="E5455" s="2" t="s">
        <v>15441</v>
      </c>
      <c r="F5455" s="2" t="s">
        <v>15442</v>
      </c>
      <c r="G5455" s="2" t="s">
        <v>15443</v>
      </c>
      <c r="H5455" s="2" t="s">
        <v>15444</v>
      </c>
    </row>
    <row r="5456">
      <c r="A5456" s="2">
        <v>5454.0</v>
      </c>
      <c r="B5456" s="5" t="s">
        <v>14664</v>
      </c>
      <c r="C5456" s="2" t="s">
        <v>14665</v>
      </c>
      <c r="D5456" s="5" t="s">
        <v>14664</v>
      </c>
      <c r="E5456" s="2" t="s">
        <v>15441</v>
      </c>
      <c r="F5456" s="2" t="s">
        <v>15446</v>
      </c>
      <c r="G5456" s="2" t="s">
        <v>15456</v>
      </c>
      <c r="H5456" s="2" t="s">
        <v>15444</v>
      </c>
    </row>
    <row r="5457">
      <c r="A5457" s="2">
        <v>5455.0</v>
      </c>
      <c r="B5457" s="5" t="s">
        <v>14666</v>
      </c>
      <c r="C5457" s="2" t="s">
        <v>14667</v>
      </c>
      <c r="D5457" s="5" t="s">
        <v>14666</v>
      </c>
      <c r="E5457" s="2" t="s">
        <v>15441</v>
      </c>
      <c r="F5457" s="2" t="s">
        <v>15442</v>
      </c>
      <c r="G5457" s="2" t="s">
        <v>15443</v>
      </c>
      <c r="H5457" s="2" t="s">
        <v>15444</v>
      </c>
    </row>
    <row r="5458">
      <c r="A5458" s="2">
        <v>5456.0</v>
      </c>
      <c r="B5458" s="5" t="s">
        <v>8109</v>
      </c>
      <c r="C5458" s="2" t="s">
        <v>8110</v>
      </c>
      <c r="D5458" s="5" t="s">
        <v>8109</v>
      </c>
      <c r="E5458" s="2" t="s">
        <v>15445</v>
      </c>
      <c r="F5458" s="2" t="s">
        <v>15442</v>
      </c>
      <c r="G5458" s="2" t="s">
        <v>15443</v>
      </c>
      <c r="H5458" s="2" t="s">
        <v>15455</v>
      </c>
    </row>
    <row r="5459">
      <c r="A5459" s="2">
        <v>5457.0</v>
      </c>
      <c r="B5459" s="5" t="s">
        <v>8112</v>
      </c>
      <c r="C5459" s="2" t="s">
        <v>8113</v>
      </c>
      <c r="D5459" s="5" t="s">
        <v>8112</v>
      </c>
      <c r="E5459" s="2" t="s">
        <v>15445</v>
      </c>
      <c r="F5459" s="2" t="s">
        <v>15446</v>
      </c>
      <c r="G5459" s="2" t="s">
        <v>15456</v>
      </c>
      <c r="H5459" s="2" t="s">
        <v>15444</v>
      </c>
    </row>
    <row r="5460">
      <c r="A5460" s="2">
        <v>5458.0</v>
      </c>
      <c r="B5460" s="5" t="s">
        <v>14668</v>
      </c>
      <c r="C5460" s="2" t="s">
        <v>14669</v>
      </c>
      <c r="D5460" s="5" t="s">
        <v>14668</v>
      </c>
      <c r="E5460" s="2" t="s">
        <v>15441</v>
      </c>
      <c r="F5460" s="2" t="s">
        <v>15446</v>
      </c>
      <c r="G5460" s="2" t="s">
        <v>15456</v>
      </c>
      <c r="H5460" s="2" t="s">
        <v>15455</v>
      </c>
    </row>
    <row r="5461">
      <c r="A5461" s="2">
        <v>5459.0</v>
      </c>
      <c r="B5461" s="5" t="s">
        <v>15600</v>
      </c>
      <c r="C5461" s="2" t="s">
        <v>15601</v>
      </c>
      <c r="D5461" s="5" t="s">
        <v>15600</v>
      </c>
      <c r="E5461" s="2" t="s">
        <v>15445</v>
      </c>
      <c r="F5461" s="2" t="s">
        <v>15442</v>
      </c>
      <c r="G5461" s="2" t="s">
        <v>15456</v>
      </c>
      <c r="H5461" s="2" t="s">
        <v>15455</v>
      </c>
    </row>
    <row r="5462">
      <c r="A5462" s="2">
        <v>5460.0</v>
      </c>
      <c r="B5462" s="5" t="s">
        <v>14670</v>
      </c>
      <c r="C5462" s="2" t="s">
        <v>14671</v>
      </c>
      <c r="D5462" s="5" t="s">
        <v>14670</v>
      </c>
      <c r="E5462" s="2" t="s">
        <v>15441</v>
      </c>
      <c r="F5462" s="2" t="s">
        <v>15446</v>
      </c>
      <c r="G5462" s="2" t="s">
        <v>15456</v>
      </c>
      <c r="H5462" s="2" t="s">
        <v>15444</v>
      </c>
    </row>
    <row r="5463">
      <c r="A5463" s="2">
        <v>5461.0</v>
      </c>
      <c r="B5463" s="5" t="s">
        <v>14672</v>
      </c>
      <c r="C5463" s="2" t="s">
        <v>14673</v>
      </c>
      <c r="D5463" s="5" t="s">
        <v>14672</v>
      </c>
      <c r="E5463" s="2" t="s">
        <v>15441</v>
      </c>
      <c r="F5463" s="2" t="s">
        <v>15442</v>
      </c>
      <c r="G5463" s="2" t="s">
        <v>15456</v>
      </c>
      <c r="H5463" s="2" t="s">
        <v>15444</v>
      </c>
    </row>
    <row r="5464">
      <c r="A5464" s="2">
        <v>5462.0</v>
      </c>
      <c r="B5464" s="5" t="s">
        <v>8115</v>
      </c>
      <c r="C5464" s="2" t="s">
        <v>8116</v>
      </c>
      <c r="D5464" s="5" t="s">
        <v>8115</v>
      </c>
      <c r="E5464" s="2" t="s">
        <v>15445</v>
      </c>
      <c r="F5464" s="2" t="s">
        <v>15442</v>
      </c>
      <c r="G5464" s="2" t="s">
        <v>15443</v>
      </c>
      <c r="H5464" s="2" t="s">
        <v>15444</v>
      </c>
    </row>
    <row r="5465">
      <c r="A5465" s="2">
        <v>5463.0</v>
      </c>
      <c r="B5465" s="5" t="s">
        <v>14674</v>
      </c>
      <c r="C5465" s="2" t="s">
        <v>14675</v>
      </c>
      <c r="D5465" s="5" t="s">
        <v>14674</v>
      </c>
      <c r="E5465" s="2" t="s">
        <v>15441</v>
      </c>
      <c r="F5465" s="2" t="s">
        <v>15446</v>
      </c>
      <c r="G5465" s="2" t="s">
        <v>15456</v>
      </c>
      <c r="H5465" s="2" t="s">
        <v>15444</v>
      </c>
    </row>
    <row r="5466">
      <c r="A5466" s="2">
        <v>5464.0</v>
      </c>
      <c r="B5466" s="5" t="s">
        <v>8118</v>
      </c>
      <c r="C5466" s="2" t="s">
        <v>8119</v>
      </c>
      <c r="D5466" s="5" t="s">
        <v>8118</v>
      </c>
      <c r="E5466" s="2" t="s">
        <v>15445</v>
      </c>
      <c r="F5466" s="2" t="s">
        <v>15446</v>
      </c>
      <c r="G5466" s="2" t="s">
        <v>15456</v>
      </c>
      <c r="H5466" s="2" t="s">
        <v>15444</v>
      </c>
    </row>
    <row r="5467">
      <c r="A5467" s="2">
        <v>5465.0</v>
      </c>
      <c r="B5467" s="5" t="s">
        <v>14676</v>
      </c>
      <c r="C5467" s="2" t="s">
        <v>14677</v>
      </c>
      <c r="D5467" s="5" t="s">
        <v>14676</v>
      </c>
      <c r="E5467" s="2" t="s">
        <v>15441</v>
      </c>
      <c r="F5467" s="2" t="s">
        <v>15446</v>
      </c>
      <c r="G5467" s="2" t="s">
        <v>15456</v>
      </c>
      <c r="H5467" s="2" t="s">
        <v>15444</v>
      </c>
    </row>
    <row r="5468">
      <c r="A5468" s="2">
        <v>5466.0</v>
      </c>
      <c r="B5468" s="5" t="s">
        <v>14678</v>
      </c>
      <c r="C5468" s="2" t="s">
        <v>14679</v>
      </c>
      <c r="D5468" s="5" t="s">
        <v>14678</v>
      </c>
      <c r="E5468" s="2" t="s">
        <v>15441</v>
      </c>
      <c r="F5468" s="2" t="s">
        <v>15442</v>
      </c>
      <c r="G5468" s="2" t="s">
        <v>15443</v>
      </c>
      <c r="H5468" s="2" t="s">
        <v>15444</v>
      </c>
    </row>
    <row r="5469">
      <c r="A5469" s="2">
        <v>5467.0</v>
      </c>
      <c r="B5469" s="5" t="s">
        <v>8121</v>
      </c>
      <c r="C5469" s="2" t="s">
        <v>8122</v>
      </c>
      <c r="D5469" s="5" t="s">
        <v>8121</v>
      </c>
      <c r="E5469" s="2" t="s">
        <v>15445</v>
      </c>
      <c r="F5469" s="2" t="s">
        <v>15446</v>
      </c>
      <c r="G5469" s="2" t="s">
        <v>15443</v>
      </c>
      <c r="H5469" s="2" t="s">
        <v>15444</v>
      </c>
    </row>
    <row r="5470">
      <c r="A5470" s="2">
        <v>5468.0</v>
      </c>
      <c r="B5470" s="5" t="s">
        <v>14680</v>
      </c>
      <c r="C5470" s="2" t="s">
        <v>14681</v>
      </c>
      <c r="D5470" s="5" t="s">
        <v>14680</v>
      </c>
      <c r="E5470" s="2" t="s">
        <v>15441</v>
      </c>
      <c r="F5470" s="2" t="s">
        <v>15442</v>
      </c>
      <c r="G5470" s="2" t="s">
        <v>15443</v>
      </c>
      <c r="H5470" s="2" t="s">
        <v>15444</v>
      </c>
    </row>
    <row r="5471">
      <c r="A5471" s="2">
        <v>5469.0</v>
      </c>
      <c r="B5471" s="5" t="s">
        <v>14682</v>
      </c>
      <c r="C5471" s="2" t="s">
        <v>14683</v>
      </c>
      <c r="D5471" s="5" t="s">
        <v>14682</v>
      </c>
      <c r="E5471" s="2" t="s">
        <v>15441</v>
      </c>
      <c r="F5471" s="2" t="s">
        <v>15446</v>
      </c>
      <c r="G5471" s="2" t="s">
        <v>15456</v>
      </c>
      <c r="H5471" s="2" t="s">
        <v>15444</v>
      </c>
    </row>
    <row r="5472">
      <c r="A5472" s="2">
        <v>5470.0</v>
      </c>
      <c r="B5472" s="5" t="s">
        <v>8124</v>
      </c>
      <c r="C5472" s="2" t="s">
        <v>8125</v>
      </c>
      <c r="D5472" s="5" t="s">
        <v>8124</v>
      </c>
      <c r="E5472" s="2" t="s">
        <v>15445</v>
      </c>
      <c r="F5472" s="2" t="s">
        <v>15442</v>
      </c>
      <c r="G5472" s="2" t="s">
        <v>15443</v>
      </c>
      <c r="H5472" s="2" t="s">
        <v>15444</v>
      </c>
    </row>
    <row r="5473">
      <c r="A5473" s="2">
        <v>5471.0</v>
      </c>
      <c r="B5473" s="5" t="s">
        <v>14684</v>
      </c>
      <c r="C5473" s="2" t="s">
        <v>14685</v>
      </c>
      <c r="D5473" s="5" t="s">
        <v>14684</v>
      </c>
      <c r="E5473" s="2" t="s">
        <v>15441</v>
      </c>
      <c r="F5473" s="2" t="s">
        <v>15446</v>
      </c>
      <c r="G5473" s="2" t="s">
        <v>15443</v>
      </c>
      <c r="H5473" s="2" t="s">
        <v>15444</v>
      </c>
    </row>
    <row r="5474">
      <c r="A5474" s="2">
        <v>5472.0</v>
      </c>
      <c r="B5474" s="5" t="s">
        <v>14686</v>
      </c>
      <c r="C5474" s="2" t="s">
        <v>14687</v>
      </c>
      <c r="D5474" s="5" t="s">
        <v>14686</v>
      </c>
      <c r="E5474" s="2" t="s">
        <v>15441</v>
      </c>
      <c r="F5474" s="2" t="s">
        <v>15446</v>
      </c>
      <c r="G5474" s="2" t="s">
        <v>15456</v>
      </c>
      <c r="H5474" s="2" t="s">
        <v>15444</v>
      </c>
    </row>
    <row r="5475">
      <c r="A5475" s="2">
        <v>5473.0</v>
      </c>
      <c r="B5475" s="5" t="s">
        <v>14688</v>
      </c>
      <c r="C5475" s="2" t="s">
        <v>14689</v>
      </c>
      <c r="D5475" s="5" t="s">
        <v>14688</v>
      </c>
      <c r="E5475" s="2" t="s">
        <v>15441</v>
      </c>
      <c r="F5475" s="2" t="s">
        <v>15446</v>
      </c>
      <c r="G5475" s="2" t="s">
        <v>15443</v>
      </c>
      <c r="H5475" s="2" t="s">
        <v>15444</v>
      </c>
    </row>
    <row r="5476">
      <c r="A5476" s="2">
        <v>5474.0</v>
      </c>
      <c r="B5476" s="5" t="s">
        <v>8127</v>
      </c>
      <c r="C5476" s="2" t="s">
        <v>8128</v>
      </c>
      <c r="D5476" s="5" t="s">
        <v>8127</v>
      </c>
      <c r="E5476" s="2" t="s">
        <v>15445</v>
      </c>
      <c r="F5476" s="2" t="s">
        <v>15446</v>
      </c>
      <c r="G5476" s="2" t="s">
        <v>15443</v>
      </c>
      <c r="H5476" s="2" t="s">
        <v>15444</v>
      </c>
    </row>
    <row r="5477">
      <c r="A5477" s="2">
        <v>5475.0</v>
      </c>
      <c r="B5477" s="5" t="s">
        <v>14690</v>
      </c>
      <c r="C5477" s="2" t="s">
        <v>14691</v>
      </c>
      <c r="D5477" s="5" t="s">
        <v>14690</v>
      </c>
      <c r="E5477" s="2" t="s">
        <v>15441</v>
      </c>
      <c r="F5477" s="2" t="s">
        <v>15442</v>
      </c>
      <c r="G5477" s="2" t="s">
        <v>15443</v>
      </c>
      <c r="H5477" s="2" t="s">
        <v>15444</v>
      </c>
    </row>
    <row r="5478">
      <c r="A5478" s="2">
        <v>5476.0</v>
      </c>
      <c r="B5478" s="5" t="s">
        <v>14692</v>
      </c>
      <c r="C5478" s="2" t="s">
        <v>14693</v>
      </c>
      <c r="D5478" s="5" t="s">
        <v>14692</v>
      </c>
      <c r="E5478" s="2" t="s">
        <v>15441</v>
      </c>
      <c r="F5478" s="2" t="s">
        <v>15446</v>
      </c>
      <c r="G5478" s="2" t="s">
        <v>15456</v>
      </c>
      <c r="H5478" s="2" t="s">
        <v>15444</v>
      </c>
    </row>
    <row r="5479">
      <c r="A5479" s="2">
        <v>5477.0</v>
      </c>
      <c r="B5479" s="5" t="s">
        <v>14694</v>
      </c>
      <c r="C5479" s="2" t="s">
        <v>14695</v>
      </c>
      <c r="D5479" s="5" t="s">
        <v>14694</v>
      </c>
      <c r="E5479" s="2" t="s">
        <v>15441</v>
      </c>
      <c r="F5479" s="2" t="s">
        <v>15446</v>
      </c>
      <c r="G5479" s="2" t="s">
        <v>15456</v>
      </c>
      <c r="H5479" s="2" t="s">
        <v>15444</v>
      </c>
    </row>
    <row r="5480">
      <c r="A5480" s="2">
        <v>5478.0</v>
      </c>
      <c r="B5480" s="5" t="s">
        <v>14696</v>
      </c>
      <c r="C5480" s="2" t="s">
        <v>14697</v>
      </c>
      <c r="D5480" s="5" t="s">
        <v>14696</v>
      </c>
      <c r="E5480" s="2" t="s">
        <v>15441</v>
      </c>
      <c r="F5480" s="2" t="s">
        <v>15446</v>
      </c>
      <c r="G5480" s="2" t="s">
        <v>15456</v>
      </c>
      <c r="H5480" s="2" t="s">
        <v>15455</v>
      </c>
    </row>
    <row r="5481">
      <c r="A5481" s="2">
        <v>5479.0</v>
      </c>
      <c r="B5481" s="5" t="s">
        <v>8130</v>
      </c>
      <c r="C5481" s="2" t="s">
        <v>8131</v>
      </c>
      <c r="D5481" s="5" t="s">
        <v>8130</v>
      </c>
      <c r="E5481" s="2" t="s">
        <v>15445</v>
      </c>
      <c r="F5481" s="2" t="s">
        <v>15446</v>
      </c>
      <c r="G5481" s="2" t="s">
        <v>15443</v>
      </c>
      <c r="H5481" s="2" t="s">
        <v>15444</v>
      </c>
    </row>
    <row r="5482">
      <c r="A5482" s="2">
        <v>5480.0</v>
      </c>
      <c r="B5482" s="5" t="s">
        <v>14698</v>
      </c>
      <c r="C5482" s="2" t="s">
        <v>14699</v>
      </c>
      <c r="D5482" s="5" t="s">
        <v>14698</v>
      </c>
      <c r="E5482" s="2" t="s">
        <v>15441</v>
      </c>
      <c r="F5482" s="2" t="s">
        <v>15442</v>
      </c>
      <c r="G5482" s="2" t="s">
        <v>15456</v>
      </c>
      <c r="H5482" s="2" t="s">
        <v>15444</v>
      </c>
    </row>
    <row r="5483">
      <c r="A5483" s="2">
        <v>5481.0</v>
      </c>
      <c r="B5483" s="5" t="s">
        <v>14700</v>
      </c>
      <c r="C5483" s="2" t="s">
        <v>14701</v>
      </c>
      <c r="D5483" s="5" t="s">
        <v>14700</v>
      </c>
      <c r="E5483" s="2" t="s">
        <v>15441</v>
      </c>
      <c r="F5483" s="2" t="s">
        <v>15442</v>
      </c>
      <c r="G5483" s="2" t="s">
        <v>15456</v>
      </c>
      <c r="H5483" s="2" t="s">
        <v>15444</v>
      </c>
    </row>
    <row r="5484">
      <c r="A5484" s="2">
        <v>5482.0</v>
      </c>
      <c r="B5484" s="5" t="s">
        <v>8133</v>
      </c>
      <c r="C5484" s="2" t="s">
        <v>8134</v>
      </c>
      <c r="D5484" s="5" t="s">
        <v>8133</v>
      </c>
      <c r="E5484" s="2" t="s">
        <v>15445</v>
      </c>
      <c r="F5484" s="2" t="s">
        <v>15442</v>
      </c>
      <c r="G5484" s="2" t="s">
        <v>15456</v>
      </c>
      <c r="H5484" s="2" t="s">
        <v>15444</v>
      </c>
    </row>
    <row r="5485">
      <c r="A5485" s="2">
        <v>5483.0</v>
      </c>
      <c r="B5485" s="5" t="s">
        <v>8136</v>
      </c>
      <c r="C5485" s="2" t="s">
        <v>8137</v>
      </c>
      <c r="D5485" s="5" t="s">
        <v>8136</v>
      </c>
      <c r="E5485" s="2" t="s">
        <v>15445</v>
      </c>
      <c r="F5485" s="2" t="s">
        <v>15446</v>
      </c>
      <c r="G5485" s="2" t="s">
        <v>15443</v>
      </c>
      <c r="H5485" s="2" t="s">
        <v>15444</v>
      </c>
    </row>
    <row r="5486">
      <c r="A5486" s="2">
        <v>5484.0</v>
      </c>
      <c r="B5486" s="5" t="s">
        <v>14702</v>
      </c>
      <c r="C5486" s="2" t="s">
        <v>14703</v>
      </c>
      <c r="D5486" s="5" t="s">
        <v>14702</v>
      </c>
      <c r="E5486" s="2" t="s">
        <v>15441</v>
      </c>
      <c r="F5486" s="2" t="s">
        <v>15446</v>
      </c>
      <c r="G5486" s="2" t="s">
        <v>15443</v>
      </c>
      <c r="H5486" s="2" t="s">
        <v>15444</v>
      </c>
    </row>
    <row r="5487">
      <c r="A5487" s="2">
        <v>5485.0</v>
      </c>
      <c r="B5487" s="5" t="s">
        <v>14704</v>
      </c>
      <c r="C5487" s="2" t="s">
        <v>14705</v>
      </c>
      <c r="D5487" s="5" t="s">
        <v>14704</v>
      </c>
      <c r="E5487" s="2" t="s">
        <v>15441</v>
      </c>
      <c r="F5487" s="2" t="s">
        <v>15446</v>
      </c>
      <c r="G5487" s="2" t="s">
        <v>15443</v>
      </c>
      <c r="H5487" s="2" t="s">
        <v>15457</v>
      </c>
    </row>
    <row r="5488">
      <c r="A5488" s="2">
        <v>5486.0</v>
      </c>
      <c r="B5488" s="5" t="s">
        <v>8139</v>
      </c>
      <c r="C5488" s="2" t="s">
        <v>8140</v>
      </c>
      <c r="D5488" s="5" t="s">
        <v>8139</v>
      </c>
      <c r="E5488" s="2" t="s">
        <v>15445</v>
      </c>
      <c r="F5488" s="2" t="s">
        <v>15442</v>
      </c>
      <c r="G5488" s="2" t="s">
        <v>15443</v>
      </c>
      <c r="H5488" s="2" t="s">
        <v>15444</v>
      </c>
    </row>
    <row r="5489">
      <c r="A5489" s="2">
        <v>5487.0</v>
      </c>
      <c r="B5489" s="5" t="s">
        <v>14706</v>
      </c>
      <c r="C5489" s="2" t="s">
        <v>14707</v>
      </c>
      <c r="D5489" s="5" t="s">
        <v>14706</v>
      </c>
      <c r="E5489" s="2" t="s">
        <v>15441</v>
      </c>
      <c r="F5489" s="2" t="s">
        <v>15442</v>
      </c>
      <c r="G5489" s="2" t="s">
        <v>15443</v>
      </c>
      <c r="H5489" s="2" t="s">
        <v>15444</v>
      </c>
    </row>
    <row r="5490">
      <c r="A5490" s="2">
        <v>5488.0</v>
      </c>
      <c r="B5490" s="5" t="s">
        <v>8142</v>
      </c>
      <c r="C5490" s="2" t="s">
        <v>8143</v>
      </c>
      <c r="D5490" s="5" t="s">
        <v>8142</v>
      </c>
      <c r="E5490" s="2" t="s">
        <v>15445</v>
      </c>
      <c r="F5490" s="2" t="s">
        <v>15442</v>
      </c>
      <c r="G5490" s="2" t="s">
        <v>15443</v>
      </c>
      <c r="H5490" s="2" t="s">
        <v>15444</v>
      </c>
    </row>
    <row r="5491">
      <c r="A5491" s="2">
        <v>5489.0</v>
      </c>
      <c r="B5491" s="5" t="s">
        <v>8145</v>
      </c>
      <c r="C5491" s="2" t="s">
        <v>8146</v>
      </c>
      <c r="D5491" s="5" t="s">
        <v>8145</v>
      </c>
      <c r="E5491" s="2" t="s">
        <v>15445</v>
      </c>
      <c r="F5491" s="2" t="s">
        <v>15446</v>
      </c>
      <c r="G5491" s="2" t="s">
        <v>15443</v>
      </c>
      <c r="H5491" s="2" t="s">
        <v>15457</v>
      </c>
    </row>
    <row r="5492">
      <c r="A5492" s="2">
        <v>5490.0</v>
      </c>
      <c r="B5492" s="5" t="s">
        <v>14708</v>
      </c>
      <c r="C5492" s="2" t="s">
        <v>14709</v>
      </c>
      <c r="D5492" s="5" t="s">
        <v>14708</v>
      </c>
      <c r="E5492" s="2" t="s">
        <v>15441</v>
      </c>
      <c r="F5492" s="2" t="s">
        <v>15442</v>
      </c>
      <c r="G5492" s="2" t="s">
        <v>15443</v>
      </c>
      <c r="H5492" s="2" t="s">
        <v>15444</v>
      </c>
    </row>
    <row r="5493">
      <c r="A5493" s="2">
        <v>5491.0</v>
      </c>
      <c r="B5493" s="5" t="s">
        <v>8148</v>
      </c>
      <c r="C5493" s="2" t="s">
        <v>8149</v>
      </c>
      <c r="D5493" s="5" t="s">
        <v>8148</v>
      </c>
      <c r="E5493" s="2" t="s">
        <v>15445</v>
      </c>
      <c r="F5493" s="2" t="s">
        <v>15442</v>
      </c>
      <c r="G5493" s="2" t="s">
        <v>15443</v>
      </c>
      <c r="H5493" s="2" t="s">
        <v>15444</v>
      </c>
    </row>
    <row r="5494">
      <c r="A5494" s="2">
        <v>5492.0</v>
      </c>
      <c r="B5494" s="5" t="s">
        <v>14710</v>
      </c>
      <c r="C5494" s="2" t="s">
        <v>14711</v>
      </c>
      <c r="D5494" s="5" t="s">
        <v>14710</v>
      </c>
      <c r="E5494" s="2" t="s">
        <v>15441</v>
      </c>
      <c r="F5494" s="2" t="s">
        <v>15446</v>
      </c>
      <c r="G5494" s="2" t="s">
        <v>15443</v>
      </c>
      <c r="H5494" s="2" t="s">
        <v>15444</v>
      </c>
    </row>
    <row r="5495">
      <c r="A5495" s="2">
        <v>5493.0</v>
      </c>
      <c r="B5495" s="5" t="s">
        <v>8151</v>
      </c>
      <c r="C5495" s="2" t="s">
        <v>8152</v>
      </c>
      <c r="D5495" s="5" t="s">
        <v>8151</v>
      </c>
      <c r="E5495" s="2" t="s">
        <v>15445</v>
      </c>
      <c r="F5495" s="2" t="s">
        <v>15446</v>
      </c>
      <c r="G5495" s="2" t="s">
        <v>15456</v>
      </c>
      <c r="H5495" s="2" t="s">
        <v>15444</v>
      </c>
    </row>
    <row r="5496">
      <c r="A5496" s="2">
        <v>5494.0</v>
      </c>
      <c r="B5496" s="5" t="s">
        <v>14712</v>
      </c>
      <c r="C5496" s="2" t="s">
        <v>14713</v>
      </c>
      <c r="D5496" s="5" t="s">
        <v>14712</v>
      </c>
      <c r="E5496" s="2" t="s">
        <v>15441</v>
      </c>
      <c r="F5496" s="2" t="s">
        <v>15446</v>
      </c>
      <c r="G5496" s="2" t="s">
        <v>15456</v>
      </c>
      <c r="H5496" s="2" t="s">
        <v>15444</v>
      </c>
    </row>
    <row r="5497">
      <c r="A5497" s="2">
        <v>5495.0</v>
      </c>
      <c r="B5497" s="5" t="s">
        <v>14714</v>
      </c>
      <c r="C5497" s="2" t="s">
        <v>14715</v>
      </c>
      <c r="D5497" s="5" t="s">
        <v>14714</v>
      </c>
      <c r="E5497" s="2" t="s">
        <v>15441</v>
      </c>
      <c r="F5497" s="2" t="s">
        <v>15446</v>
      </c>
      <c r="G5497" s="2" t="s">
        <v>15443</v>
      </c>
      <c r="H5497" s="2" t="s">
        <v>15462</v>
      </c>
    </row>
    <row r="5498">
      <c r="A5498" s="2">
        <v>5496.0</v>
      </c>
      <c r="B5498" s="5" t="s">
        <v>14716</v>
      </c>
      <c r="C5498" s="2" t="s">
        <v>14717</v>
      </c>
      <c r="D5498" s="5" t="s">
        <v>14716</v>
      </c>
      <c r="E5498" s="2" t="s">
        <v>15441</v>
      </c>
      <c r="F5498" s="2" t="s">
        <v>15446</v>
      </c>
      <c r="G5498" s="2" t="s">
        <v>15456</v>
      </c>
      <c r="H5498" s="2" t="s">
        <v>15457</v>
      </c>
    </row>
    <row r="5499">
      <c r="A5499" s="2">
        <v>5497.0</v>
      </c>
      <c r="B5499" s="5" t="s">
        <v>14718</v>
      </c>
      <c r="C5499" s="2" t="s">
        <v>14719</v>
      </c>
      <c r="D5499" s="5" t="s">
        <v>14718</v>
      </c>
      <c r="E5499" s="2" t="s">
        <v>15441</v>
      </c>
      <c r="F5499" s="2" t="s">
        <v>15442</v>
      </c>
      <c r="G5499" s="2" t="s">
        <v>15443</v>
      </c>
      <c r="H5499" s="2" t="s">
        <v>15444</v>
      </c>
    </row>
    <row r="5500">
      <c r="A5500" s="2">
        <v>5498.0</v>
      </c>
      <c r="B5500" s="5" t="s">
        <v>8154</v>
      </c>
      <c r="C5500" s="2" t="s">
        <v>8155</v>
      </c>
      <c r="D5500" s="5" t="s">
        <v>8154</v>
      </c>
      <c r="E5500" s="2" t="s">
        <v>15445</v>
      </c>
      <c r="F5500" s="2" t="s">
        <v>15442</v>
      </c>
      <c r="G5500" s="2" t="s">
        <v>15456</v>
      </c>
      <c r="H5500" s="2" t="s">
        <v>15444</v>
      </c>
    </row>
    <row r="5501">
      <c r="A5501" s="2">
        <v>5499.0</v>
      </c>
      <c r="B5501" s="5" t="s">
        <v>14720</v>
      </c>
      <c r="C5501" s="2" t="s">
        <v>14721</v>
      </c>
      <c r="D5501" s="5" t="s">
        <v>14720</v>
      </c>
      <c r="E5501" s="2" t="s">
        <v>15441</v>
      </c>
      <c r="F5501" s="2" t="s">
        <v>15446</v>
      </c>
      <c r="G5501" s="2" t="s">
        <v>15443</v>
      </c>
      <c r="H5501" s="2" t="s">
        <v>15444</v>
      </c>
    </row>
    <row r="5502">
      <c r="A5502" s="2">
        <v>5500.0</v>
      </c>
      <c r="B5502" s="5" t="s">
        <v>8157</v>
      </c>
      <c r="C5502" s="2" t="s">
        <v>8158</v>
      </c>
      <c r="D5502" s="5" t="s">
        <v>8157</v>
      </c>
      <c r="E5502" s="2" t="s">
        <v>15445</v>
      </c>
      <c r="F5502" s="2" t="s">
        <v>15446</v>
      </c>
      <c r="G5502" s="2" t="s">
        <v>15456</v>
      </c>
      <c r="H5502" s="2" t="s">
        <v>15444</v>
      </c>
    </row>
    <row r="5503">
      <c r="A5503" s="2">
        <v>5501.0</v>
      </c>
      <c r="B5503" s="5" t="s">
        <v>14722</v>
      </c>
      <c r="C5503" s="2" t="s">
        <v>14723</v>
      </c>
      <c r="D5503" s="5" t="s">
        <v>14722</v>
      </c>
      <c r="E5503" s="2" t="s">
        <v>15441</v>
      </c>
      <c r="F5503" s="2" t="s">
        <v>15442</v>
      </c>
      <c r="G5503" s="2" t="s">
        <v>15443</v>
      </c>
      <c r="H5503" s="2" t="s">
        <v>15444</v>
      </c>
    </row>
    <row r="5504">
      <c r="A5504" s="2">
        <v>5502.0</v>
      </c>
      <c r="B5504" s="5" t="s">
        <v>14724</v>
      </c>
      <c r="C5504" s="2" t="s">
        <v>14725</v>
      </c>
      <c r="D5504" s="5" t="s">
        <v>14724</v>
      </c>
      <c r="E5504" s="2" t="s">
        <v>15441</v>
      </c>
      <c r="F5504" s="2" t="s">
        <v>15446</v>
      </c>
      <c r="G5504" s="2" t="s">
        <v>15456</v>
      </c>
      <c r="H5504" s="2" t="s">
        <v>15444</v>
      </c>
    </row>
    <row r="5505">
      <c r="A5505" s="2">
        <v>5503.0</v>
      </c>
      <c r="B5505" s="5" t="s">
        <v>14726</v>
      </c>
      <c r="C5505" s="2" t="s">
        <v>14727</v>
      </c>
      <c r="D5505" s="5" t="s">
        <v>14726</v>
      </c>
      <c r="E5505" s="2" t="s">
        <v>15441</v>
      </c>
      <c r="F5505" s="2" t="s">
        <v>15446</v>
      </c>
      <c r="G5505" s="2" t="s">
        <v>15456</v>
      </c>
      <c r="H5505" s="2" t="s">
        <v>15444</v>
      </c>
    </row>
    <row r="5506">
      <c r="A5506" s="2">
        <v>5504.0</v>
      </c>
      <c r="B5506" s="5" t="s">
        <v>14728</v>
      </c>
      <c r="C5506" s="2" t="s">
        <v>14729</v>
      </c>
      <c r="D5506" s="5" t="s">
        <v>14728</v>
      </c>
      <c r="E5506" s="2" t="s">
        <v>15441</v>
      </c>
      <c r="F5506" s="2" t="s">
        <v>15442</v>
      </c>
      <c r="G5506" s="2" t="s">
        <v>15443</v>
      </c>
      <c r="H5506" s="2" t="s">
        <v>15444</v>
      </c>
    </row>
    <row r="5507">
      <c r="A5507" s="2">
        <v>5505.0</v>
      </c>
      <c r="B5507" s="5" t="s">
        <v>8160</v>
      </c>
      <c r="C5507" s="2" t="s">
        <v>8161</v>
      </c>
      <c r="D5507" s="5" t="s">
        <v>8160</v>
      </c>
      <c r="E5507" s="2" t="s">
        <v>15445</v>
      </c>
      <c r="F5507" s="2" t="s">
        <v>15446</v>
      </c>
      <c r="G5507" s="2" t="s">
        <v>15456</v>
      </c>
      <c r="H5507" s="2" t="s">
        <v>15462</v>
      </c>
    </row>
    <row r="5508">
      <c r="A5508" s="2">
        <v>5506.0</v>
      </c>
      <c r="B5508" s="5" t="s">
        <v>14730</v>
      </c>
      <c r="C5508" s="2" t="s">
        <v>14731</v>
      </c>
      <c r="D5508" s="5" t="s">
        <v>14730</v>
      </c>
      <c r="E5508" s="2" t="s">
        <v>15441</v>
      </c>
      <c r="F5508" s="2" t="s">
        <v>15446</v>
      </c>
      <c r="G5508" s="2" t="s">
        <v>15456</v>
      </c>
      <c r="H5508" s="2" t="s">
        <v>15444</v>
      </c>
    </row>
    <row r="5509">
      <c r="A5509" s="2">
        <v>5507.0</v>
      </c>
      <c r="B5509" s="5" t="s">
        <v>8163</v>
      </c>
      <c r="C5509" s="2" t="s">
        <v>8164</v>
      </c>
      <c r="D5509" s="5" t="s">
        <v>8163</v>
      </c>
      <c r="E5509" s="2" t="s">
        <v>15445</v>
      </c>
      <c r="F5509" s="2" t="s">
        <v>15446</v>
      </c>
      <c r="G5509" s="2" t="s">
        <v>15443</v>
      </c>
      <c r="H5509" s="2" t="s">
        <v>15444</v>
      </c>
    </row>
    <row r="5510">
      <c r="A5510" s="2">
        <v>5508.0</v>
      </c>
      <c r="B5510" s="5" t="s">
        <v>14732</v>
      </c>
      <c r="C5510" s="2" t="s">
        <v>14733</v>
      </c>
      <c r="D5510" s="5" t="s">
        <v>14732</v>
      </c>
      <c r="E5510" s="2" t="s">
        <v>15441</v>
      </c>
      <c r="F5510" s="2" t="s">
        <v>15446</v>
      </c>
      <c r="G5510" s="2" t="s">
        <v>15456</v>
      </c>
      <c r="H5510" s="2" t="s">
        <v>15462</v>
      </c>
    </row>
    <row r="5511">
      <c r="A5511" s="2">
        <v>5509.0</v>
      </c>
      <c r="B5511" s="5" t="s">
        <v>8166</v>
      </c>
      <c r="C5511" s="2" t="s">
        <v>8167</v>
      </c>
      <c r="D5511" s="5" t="s">
        <v>8166</v>
      </c>
      <c r="E5511" s="2" t="s">
        <v>15445</v>
      </c>
      <c r="F5511" s="2" t="s">
        <v>15446</v>
      </c>
      <c r="G5511" s="2" t="s">
        <v>15456</v>
      </c>
      <c r="H5511" s="2" t="s">
        <v>15444</v>
      </c>
    </row>
    <row r="5512">
      <c r="A5512" s="2">
        <v>5510.0</v>
      </c>
      <c r="B5512" s="5" t="s">
        <v>14734</v>
      </c>
      <c r="C5512" s="2" t="s">
        <v>14735</v>
      </c>
      <c r="D5512" s="5" t="s">
        <v>14734</v>
      </c>
      <c r="E5512" s="2" t="s">
        <v>15441</v>
      </c>
      <c r="F5512" s="2" t="s">
        <v>15442</v>
      </c>
      <c r="G5512" s="2" t="s">
        <v>15443</v>
      </c>
      <c r="H5512" s="2" t="s">
        <v>15457</v>
      </c>
    </row>
    <row r="5513">
      <c r="A5513" s="2">
        <v>5511.0</v>
      </c>
      <c r="B5513" s="5" t="s">
        <v>8169</v>
      </c>
      <c r="C5513" s="2" t="s">
        <v>8170</v>
      </c>
      <c r="D5513" s="5" t="s">
        <v>8169</v>
      </c>
      <c r="E5513" s="2" t="s">
        <v>15445</v>
      </c>
      <c r="F5513" s="2" t="s">
        <v>15446</v>
      </c>
      <c r="G5513" s="2" t="s">
        <v>15443</v>
      </c>
      <c r="H5513" s="2" t="s">
        <v>15444</v>
      </c>
    </row>
    <row r="5514">
      <c r="A5514" s="2">
        <v>5512.0</v>
      </c>
      <c r="B5514" s="5" t="s">
        <v>8172</v>
      </c>
      <c r="C5514" s="2" t="s">
        <v>8173</v>
      </c>
      <c r="D5514" s="5" t="s">
        <v>8172</v>
      </c>
      <c r="E5514" s="2" t="s">
        <v>15445</v>
      </c>
      <c r="F5514" s="2" t="s">
        <v>15442</v>
      </c>
      <c r="G5514" s="2" t="s">
        <v>15456</v>
      </c>
      <c r="H5514" s="2" t="s">
        <v>15444</v>
      </c>
    </row>
    <row r="5515">
      <c r="A5515" s="2">
        <v>5513.0</v>
      </c>
      <c r="B5515" s="5" t="s">
        <v>8175</v>
      </c>
      <c r="C5515" s="2" t="s">
        <v>8176</v>
      </c>
      <c r="D5515" s="5" t="s">
        <v>8175</v>
      </c>
      <c r="E5515" s="2" t="s">
        <v>15445</v>
      </c>
      <c r="F5515" s="2" t="s">
        <v>15442</v>
      </c>
      <c r="G5515" s="2" t="s">
        <v>15443</v>
      </c>
      <c r="H5515" s="2" t="s">
        <v>15444</v>
      </c>
    </row>
    <row r="5516">
      <c r="A5516" s="2">
        <v>5514.0</v>
      </c>
      <c r="B5516" s="5" t="s">
        <v>14736</v>
      </c>
      <c r="C5516" s="2" t="s">
        <v>14737</v>
      </c>
      <c r="D5516" s="5" t="s">
        <v>14736</v>
      </c>
      <c r="E5516" s="2" t="s">
        <v>15441</v>
      </c>
      <c r="F5516" s="2" t="s">
        <v>15442</v>
      </c>
      <c r="G5516" s="2" t="s">
        <v>15443</v>
      </c>
      <c r="H5516" s="2" t="s">
        <v>15444</v>
      </c>
    </row>
    <row r="5517">
      <c r="A5517" s="2">
        <v>5515.0</v>
      </c>
      <c r="B5517" s="5" t="s">
        <v>14738</v>
      </c>
      <c r="C5517" s="2" t="s">
        <v>14739</v>
      </c>
      <c r="D5517" s="5" t="s">
        <v>14738</v>
      </c>
      <c r="E5517" s="2" t="s">
        <v>15441</v>
      </c>
      <c r="F5517" s="2" t="s">
        <v>15446</v>
      </c>
      <c r="G5517" s="2" t="s">
        <v>15456</v>
      </c>
      <c r="H5517" s="2" t="s">
        <v>15444</v>
      </c>
    </row>
    <row r="5518">
      <c r="A5518" s="2">
        <v>5516.0</v>
      </c>
      <c r="B5518" s="5" t="s">
        <v>14740</v>
      </c>
      <c r="C5518" s="2" t="s">
        <v>14741</v>
      </c>
      <c r="D5518" s="5" t="s">
        <v>14740</v>
      </c>
      <c r="E5518" s="2" t="s">
        <v>15441</v>
      </c>
      <c r="F5518" s="2" t="s">
        <v>15442</v>
      </c>
      <c r="G5518" s="2" t="s">
        <v>15456</v>
      </c>
      <c r="H5518" s="2" t="s">
        <v>15444</v>
      </c>
    </row>
    <row r="5519">
      <c r="A5519" s="2">
        <v>5517.0</v>
      </c>
      <c r="B5519" s="5" t="s">
        <v>8178</v>
      </c>
      <c r="C5519" s="2" t="s">
        <v>8179</v>
      </c>
      <c r="D5519" s="5" t="s">
        <v>8178</v>
      </c>
      <c r="E5519" s="2" t="s">
        <v>15445</v>
      </c>
      <c r="F5519" s="2" t="s">
        <v>15446</v>
      </c>
      <c r="G5519" s="2" t="s">
        <v>15456</v>
      </c>
      <c r="H5519" s="2" t="s">
        <v>15444</v>
      </c>
    </row>
    <row r="5520">
      <c r="A5520" s="2">
        <v>5518.0</v>
      </c>
      <c r="B5520" s="5" t="s">
        <v>8181</v>
      </c>
      <c r="C5520" s="2" t="s">
        <v>8182</v>
      </c>
      <c r="D5520" s="5" t="s">
        <v>8181</v>
      </c>
      <c r="E5520" s="2" t="s">
        <v>15445</v>
      </c>
      <c r="F5520" s="2" t="s">
        <v>15446</v>
      </c>
      <c r="G5520" s="2" t="s">
        <v>15456</v>
      </c>
      <c r="H5520" s="2" t="s">
        <v>15444</v>
      </c>
    </row>
    <row r="5521">
      <c r="A5521" s="2">
        <v>5519.0</v>
      </c>
      <c r="B5521" s="5" t="s">
        <v>14742</v>
      </c>
      <c r="C5521" s="2" t="s">
        <v>14743</v>
      </c>
      <c r="D5521" s="5" t="s">
        <v>14742</v>
      </c>
      <c r="E5521" s="2" t="s">
        <v>15441</v>
      </c>
      <c r="F5521" s="2" t="s">
        <v>15446</v>
      </c>
      <c r="G5521" s="2" t="s">
        <v>15443</v>
      </c>
      <c r="H5521" s="2" t="s">
        <v>15444</v>
      </c>
    </row>
    <row r="5522">
      <c r="A5522" s="2">
        <v>5520.0</v>
      </c>
      <c r="B5522" s="5" t="s">
        <v>14744</v>
      </c>
      <c r="C5522" s="2" t="s">
        <v>14745</v>
      </c>
      <c r="D5522" s="5" t="s">
        <v>14744</v>
      </c>
      <c r="E5522" s="2" t="s">
        <v>15441</v>
      </c>
      <c r="F5522" s="2" t="s">
        <v>15446</v>
      </c>
      <c r="G5522" s="2" t="s">
        <v>15456</v>
      </c>
      <c r="H5522" s="2" t="s">
        <v>15444</v>
      </c>
    </row>
    <row r="5523">
      <c r="A5523" s="2">
        <v>5521.0</v>
      </c>
      <c r="B5523" s="5" t="s">
        <v>14746</v>
      </c>
      <c r="C5523" s="2" t="s">
        <v>14747</v>
      </c>
      <c r="D5523" s="5" t="s">
        <v>14746</v>
      </c>
      <c r="E5523" s="2" t="s">
        <v>15441</v>
      </c>
      <c r="F5523" s="2" t="s">
        <v>15446</v>
      </c>
      <c r="G5523" s="2" t="s">
        <v>15456</v>
      </c>
      <c r="H5523" s="2" t="s">
        <v>15457</v>
      </c>
    </row>
    <row r="5524">
      <c r="A5524" s="2">
        <v>5522.0</v>
      </c>
      <c r="B5524" s="5" t="s">
        <v>14748</v>
      </c>
      <c r="C5524" s="2" t="s">
        <v>14749</v>
      </c>
      <c r="D5524" s="5" t="s">
        <v>14748</v>
      </c>
      <c r="E5524" s="2" t="s">
        <v>15441</v>
      </c>
      <c r="F5524" s="2" t="s">
        <v>15446</v>
      </c>
      <c r="G5524" s="2" t="s">
        <v>15456</v>
      </c>
      <c r="H5524" s="2" t="s">
        <v>15444</v>
      </c>
    </row>
    <row r="5525">
      <c r="A5525" s="2">
        <v>5523.0</v>
      </c>
      <c r="B5525" s="5" t="s">
        <v>14750</v>
      </c>
      <c r="C5525" s="2" t="s">
        <v>14751</v>
      </c>
      <c r="D5525" s="5" t="s">
        <v>14750</v>
      </c>
      <c r="E5525" s="2" t="s">
        <v>15441</v>
      </c>
      <c r="F5525" s="2" t="s">
        <v>15446</v>
      </c>
      <c r="G5525" s="2" t="s">
        <v>15456</v>
      </c>
      <c r="H5525" s="2" t="s">
        <v>15444</v>
      </c>
    </row>
    <row r="5526">
      <c r="A5526" s="2">
        <v>5524.0</v>
      </c>
      <c r="B5526" s="5" t="s">
        <v>8184</v>
      </c>
      <c r="C5526" s="2" t="s">
        <v>8185</v>
      </c>
      <c r="D5526" s="5" t="s">
        <v>8184</v>
      </c>
      <c r="E5526" s="2" t="s">
        <v>15445</v>
      </c>
      <c r="F5526" s="2" t="s">
        <v>15442</v>
      </c>
      <c r="G5526" s="2" t="s">
        <v>15443</v>
      </c>
      <c r="H5526" s="2" t="s">
        <v>15444</v>
      </c>
    </row>
    <row r="5527">
      <c r="A5527" s="2">
        <v>5525.0</v>
      </c>
      <c r="B5527" s="5" t="s">
        <v>14752</v>
      </c>
      <c r="C5527" s="2" t="s">
        <v>14753</v>
      </c>
      <c r="D5527" s="5" t="s">
        <v>14752</v>
      </c>
      <c r="E5527" s="2" t="s">
        <v>15441</v>
      </c>
      <c r="F5527" s="2" t="s">
        <v>15442</v>
      </c>
      <c r="G5527" s="2" t="s">
        <v>15443</v>
      </c>
      <c r="H5527" s="2" t="s">
        <v>15444</v>
      </c>
    </row>
    <row r="5528">
      <c r="A5528" s="2">
        <v>5526.0</v>
      </c>
      <c r="B5528" s="5" t="s">
        <v>8187</v>
      </c>
      <c r="C5528" s="2" t="s">
        <v>8188</v>
      </c>
      <c r="D5528" s="5" t="s">
        <v>8187</v>
      </c>
      <c r="E5528" s="2" t="s">
        <v>15445</v>
      </c>
      <c r="F5528" s="2" t="s">
        <v>15442</v>
      </c>
      <c r="G5528" s="2" t="s">
        <v>15443</v>
      </c>
      <c r="H5528" s="2" t="s">
        <v>15444</v>
      </c>
    </row>
    <row r="5529">
      <c r="A5529" s="2">
        <v>5527.0</v>
      </c>
      <c r="B5529" s="5" t="s">
        <v>8190</v>
      </c>
      <c r="C5529" s="2" t="s">
        <v>8191</v>
      </c>
      <c r="D5529" s="5" t="s">
        <v>8190</v>
      </c>
      <c r="E5529" s="2" t="s">
        <v>15445</v>
      </c>
      <c r="F5529" s="2" t="s">
        <v>15442</v>
      </c>
      <c r="G5529" s="2" t="s">
        <v>15443</v>
      </c>
      <c r="H5529" s="2" t="s">
        <v>15444</v>
      </c>
    </row>
    <row r="5530">
      <c r="A5530" s="2">
        <v>5528.0</v>
      </c>
      <c r="B5530" s="5" t="s">
        <v>14754</v>
      </c>
      <c r="C5530" s="2" t="s">
        <v>14755</v>
      </c>
      <c r="D5530" s="5" t="s">
        <v>14754</v>
      </c>
      <c r="E5530" s="2" t="s">
        <v>15441</v>
      </c>
      <c r="F5530" s="2" t="s">
        <v>15442</v>
      </c>
      <c r="G5530" s="2" t="s">
        <v>15456</v>
      </c>
      <c r="H5530" s="2" t="s">
        <v>15444</v>
      </c>
    </row>
    <row r="5531">
      <c r="A5531" s="2">
        <v>5529.0</v>
      </c>
      <c r="B5531" s="5" t="s">
        <v>8193</v>
      </c>
      <c r="C5531" s="2" t="s">
        <v>8194</v>
      </c>
      <c r="D5531" s="5" t="s">
        <v>8193</v>
      </c>
      <c r="E5531" s="2" t="s">
        <v>15445</v>
      </c>
      <c r="F5531" s="2" t="s">
        <v>15442</v>
      </c>
      <c r="G5531" s="2" t="s">
        <v>15456</v>
      </c>
      <c r="H5531" s="2" t="s">
        <v>15444</v>
      </c>
    </row>
    <row r="5532">
      <c r="A5532" s="2">
        <v>5530.0</v>
      </c>
      <c r="B5532" s="5" t="s">
        <v>8196</v>
      </c>
      <c r="C5532" s="2" t="s">
        <v>8197</v>
      </c>
      <c r="D5532" s="5" t="s">
        <v>8196</v>
      </c>
      <c r="E5532" s="2" t="s">
        <v>15445</v>
      </c>
      <c r="F5532" s="2" t="s">
        <v>15446</v>
      </c>
      <c r="G5532" s="2" t="s">
        <v>15443</v>
      </c>
      <c r="H5532" s="2" t="s">
        <v>15457</v>
      </c>
    </row>
    <row r="5533">
      <c r="A5533" s="2">
        <v>5531.0</v>
      </c>
      <c r="B5533" s="5" t="s">
        <v>8199</v>
      </c>
      <c r="C5533" s="2" t="s">
        <v>8200</v>
      </c>
      <c r="D5533" s="5" t="s">
        <v>8199</v>
      </c>
      <c r="E5533" s="2" t="s">
        <v>15445</v>
      </c>
      <c r="F5533" s="2" t="s">
        <v>15446</v>
      </c>
      <c r="G5533" s="2" t="s">
        <v>15456</v>
      </c>
      <c r="H5533" s="2" t="s">
        <v>15444</v>
      </c>
    </row>
    <row r="5534">
      <c r="A5534" s="2">
        <v>5532.0</v>
      </c>
      <c r="B5534" s="5" t="s">
        <v>14756</v>
      </c>
      <c r="C5534" s="2" t="s">
        <v>14757</v>
      </c>
      <c r="D5534" s="5" t="s">
        <v>14756</v>
      </c>
      <c r="E5534" s="2" t="s">
        <v>15441</v>
      </c>
      <c r="F5534" s="2" t="s">
        <v>15446</v>
      </c>
      <c r="G5534" s="2" t="s">
        <v>15456</v>
      </c>
      <c r="H5534" s="2" t="s">
        <v>15444</v>
      </c>
    </row>
    <row r="5535">
      <c r="A5535" s="2">
        <v>5533.0</v>
      </c>
      <c r="B5535" s="5" t="s">
        <v>14758</v>
      </c>
      <c r="C5535" s="2" t="s">
        <v>14759</v>
      </c>
      <c r="D5535" s="5" t="s">
        <v>14758</v>
      </c>
      <c r="E5535" s="2" t="s">
        <v>15441</v>
      </c>
      <c r="F5535" s="2" t="s">
        <v>15442</v>
      </c>
      <c r="G5535" s="2" t="s">
        <v>15443</v>
      </c>
      <c r="H5535" s="2" t="s">
        <v>15444</v>
      </c>
    </row>
    <row r="5536">
      <c r="A5536" s="2">
        <v>5534.0</v>
      </c>
      <c r="B5536" s="5" t="s">
        <v>8202</v>
      </c>
      <c r="C5536" s="2" t="s">
        <v>8203</v>
      </c>
      <c r="D5536" s="5" t="s">
        <v>8202</v>
      </c>
      <c r="E5536" s="2" t="s">
        <v>15445</v>
      </c>
      <c r="F5536" s="2" t="s">
        <v>15442</v>
      </c>
      <c r="G5536" s="2" t="s">
        <v>15456</v>
      </c>
      <c r="H5536" s="2" t="s">
        <v>15444</v>
      </c>
    </row>
    <row r="5537">
      <c r="A5537" s="2">
        <v>5535.0</v>
      </c>
      <c r="B5537" s="5" t="s">
        <v>14760</v>
      </c>
      <c r="C5537" s="2" t="s">
        <v>14761</v>
      </c>
      <c r="D5537" s="5" t="s">
        <v>14760</v>
      </c>
      <c r="E5537" s="2" t="s">
        <v>15441</v>
      </c>
      <c r="F5537" s="2" t="s">
        <v>15446</v>
      </c>
      <c r="G5537" s="2" t="s">
        <v>15456</v>
      </c>
      <c r="H5537" s="2" t="s">
        <v>15444</v>
      </c>
    </row>
    <row r="5538">
      <c r="A5538" s="2">
        <v>5536.0</v>
      </c>
      <c r="B5538" s="5" t="s">
        <v>8205</v>
      </c>
      <c r="C5538" s="2" t="s">
        <v>8206</v>
      </c>
      <c r="D5538" s="5" t="s">
        <v>8205</v>
      </c>
      <c r="E5538" s="2" t="s">
        <v>15445</v>
      </c>
      <c r="F5538" s="2" t="s">
        <v>15446</v>
      </c>
      <c r="G5538" s="2" t="s">
        <v>15456</v>
      </c>
      <c r="H5538" s="2" t="s">
        <v>15444</v>
      </c>
    </row>
    <row r="5539">
      <c r="A5539" s="2">
        <v>5537.0</v>
      </c>
      <c r="B5539" s="5" t="s">
        <v>8208</v>
      </c>
      <c r="C5539" s="2" t="s">
        <v>8209</v>
      </c>
      <c r="D5539" s="5" t="s">
        <v>8208</v>
      </c>
      <c r="E5539" s="2" t="s">
        <v>15445</v>
      </c>
      <c r="F5539" s="2" t="s">
        <v>15442</v>
      </c>
      <c r="G5539" s="2" t="s">
        <v>15456</v>
      </c>
      <c r="H5539" s="2" t="s">
        <v>15444</v>
      </c>
    </row>
    <row r="5540">
      <c r="A5540" s="2">
        <v>5538.0</v>
      </c>
      <c r="B5540" s="5" t="s">
        <v>14762</v>
      </c>
      <c r="C5540" s="2" t="s">
        <v>14763</v>
      </c>
      <c r="D5540" s="5" t="s">
        <v>14762</v>
      </c>
      <c r="E5540" s="2" t="s">
        <v>15441</v>
      </c>
      <c r="F5540" s="2" t="s">
        <v>15446</v>
      </c>
      <c r="G5540" s="2" t="s">
        <v>15443</v>
      </c>
      <c r="H5540" s="2" t="s">
        <v>15444</v>
      </c>
    </row>
    <row r="5541">
      <c r="A5541" s="2">
        <v>5539.0</v>
      </c>
      <c r="B5541" s="5" t="s">
        <v>14764</v>
      </c>
      <c r="C5541" s="2" t="s">
        <v>14765</v>
      </c>
      <c r="D5541" s="5" t="s">
        <v>14764</v>
      </c>
      <c r="E5541" s="2" t="s">
        <v>15441</v>
      </c>
      <c r="F5541" s="2" t="s">
        <v>15442</v>
      </c>
      <c r="G5541" s="2" t="s">
        <v>15443</v>
      </c>
      <c r="H5541" s="2" t="s">
        <v>15444</v>
      </c>
    </row>
    <row r="5542">
      <c r="A5542" s="2">
        <v>5540.0</v>
      </c>
      <c r="B5542" s="5" t="s">
        <v>14766</v>
      </c>
      <c r="C5542" s="2" t="s">
        <v>14767</v>
      </c>
      <c r="D5542" s="5" t="s">
        <v>14766</v>
      </c>
      <c r="E5542" s="2" t="s">
        <v>15441</v>
      </c>
      <c r="F5542" s="2" t="s">
        <v>15446</v>
      </c>
      <c r="G5542" s="2" t="s">
        <v>15456</v>
      </c>
      <c r="H5542" s="2" t="s">
        <v>15444</v>
      </c>
    </row>
    <row r="5543">
      <c r="A5543" s="2">
        <v>5541.0</v>
      </c>
      <c r="B5543" s="5" t="s">
        <v>14768</v>
      </c>
      <c r="C5543" s="2" t="s">
        <v>14769</v>
      </c>
      <c r="D5543" s="5" t="s">
        <v>14768</v>
      </c>
      <c r="E5543" s="2" t="s">
        <v>15441</v>
      </c>
      <c r="F5543" s="2" t="s">
        <v>15446</v>
      </c>
      <c r="G5543" s="2" t="s">
        <v>15443</v>
      </c>
      <c r="H5543" s="2" t="s">
        <v>15455</v>
      </c>
    </row>
    <row r="5544">
      <c r="A5544" s="2">
        <v>5542.0</v>
      </c>
      <c r="B5544" s="5" t="s">
        <v>14770</v>
      </c>
      <c r="C5544" s="2" t="s">
        <v>14771</v>
      </c>
      <c r="D5544" s="5" t="s">
        <v>14770</v>
      </c>
      <c r="E5544" s="2" t="s">
        <v>15441</v>
      </c>
      <c r="F5544" s="2" t="s">
        <v>15442</v>
      </c>
      <c r="G5544" s="2" t="s">
        <v>15443</v>
      </c>
      <c r="H5544" s="2" t="s">
        <v>15444</v>
      </c>
    </row>
    <row r="5545">
      <c r="A5545" s="2">
        <v>5543.0</v>
      </c>
      <c r="B5545" s="5" t="s">
        <v>8211</v>
      </c>
      <c r="C5545" s="2" t="s">
        <v>8212</v>
      </c>
      <c r="D5545" s="5" t="s">
        <v>8211</v>
      </c>
      <c r="E5545" s="2" t="s">
        <v>15445</v>
      </c>
      <c r="F5545" s="2" t="s">
        <v>15446</v>
      </c>
      <c r="G5545" s="2" t="s">
        <v>15456</v>
      </c>
      <c r="H5545" s="2" t="s">
        <v>15444</v>
      </c>
    </row>
    <row r="5546">
      <c r="A5546" s="2">
        <v>5544.0</v>
      </c>
      <c r="B5546" s="5" t="s">
        <v>14772</v>
      </c>
      <c r="C5546" s="2" t="s">
        <v>14773</v>
      </c>
      <c r="D5546" s="5" t="s">
        <v>14772</v>
      </c>
      <c r="E5546" s="2" t="s">
        <v>15441</v>
      </c>
      <c r="F5546" s="2" t="s">
        <v>15446</v>
      </c>
      <c r="G5546" s="2" t="s">
        <v>15456</v>
      </c>
      <c r="H5546" s="2" t="s">
        <v>15444</v>
      </c>
    </row>
    <row r="5547">
      <c r="A5547" s="2">
        <v>5545.0</v>
      </c>
      <c r="B5547" s="5" t="s">
        <v>8214</v>
      </c>
      <c r="C5547" s="2" t="s">
        <v>8215</v>
      </c>
      <c r="D5547" s="5" t="s">
        <v>8214</v>
      </c>
      <c r="E5547" s="2" t="s">
        <v>15445</v>
      </c>
      <c r="F5547" s="2" t="s">
        <v>15446</v>
      </c>
      <c r="G5547" s="2" t="s">
        <v>15456</v>
      </c>
      <c r="H5547" s="2" t="s">
        <v>15444</v>
      </c>
    </row>
    <row r="5548">
      <c r="A5548" s="2">
        <v>5546.0</v>
      </c>
      <c r="B5548" s="5" t="s">
        <v>14774</v>
      </c>
      <c r="C5548" s="2" t="s">
        <v>14775</v>
      </c>
      <c r="D5548" s="5" t="s">
        <v>14774</v>
      </c>
      <c r="E5548" s="2" t="s">
        <v>15441</v>
      </c>
      <c r="F5548" s="2" t="s">
        <v>15446</v>
      </c>
      <c r="G5548" s="2" t="s">
        <v>15456</v>
      </c>
      <c r="H5548" s="2" t="s">
        <v>15444</v>
      </c>
    </row>
    <row r="5549">
      <c r="A5549" s="2">
        <v>5547.0</v>
      </c>
      <c r="B5549" s="5" t="s">
        <v>8217</v>
      </c>
      <c r="C5549" s="2" t="s">
        <v>8218</v>
      </c>
      <c r="D5549" s="5" t="s">
        <v>8217</v>
      </c>
      <c r="E5549" s="2" t="s">
        <v>15445</v>
      </c>
      <c r="F5549" s="2" t="s">
        <v>15446</v>
      </c>
      <c r="G5549" s="2" t="s">
        <v>15443</v>
      </c>
      <c r="H5549" s="2" t="s">
        <v>15444</v>
      </c>
    </row>
    <row r="5550">
      <c r="A5550" s="2">
        <v>5548.0</v>
      </c>
      <c r="B5550" s="5" t="s">
        <v>14776</v>
      </c>
      <c r="C5550" s="2" t="s">
        <v>14777</v>
      </c>
      <c r="D5550" s="5" t="s">
        <v>14776</v>
      </c>
      <c r="E5550" s="2" t="s">
        <v>15441</v>
      </c>
      <c r="F5550" s="2" t="s">
        <v>15446</v>
      </c>
      <c r="G5550" s="2" t="s">
        <v>15456</v>
      </c>
      <c r="H5550" s="2" t="s">
        <v>15444</v>
      </c>
    </row>
    <row r="5551">
      <c r="A5551" s="2">
        <v>5549.0</v>
      </c>
      <c r="B5551" s="5" t="s">
        <v>14778</v>
      </c>
      <c r="C5551" s="2" t="s">
        <v>14779</v>
      </c>
      <c r="D5551" s="5" t="s">
        <v>14778</v>
      </c>
      <c r="E5551" s="2" t="s">
        <v>15441</v>
      </c>
      <c r="F5551" s="2" t="s">
        <v>15442</v>
      </c>
      <c r="G5551" s="2" t="s">
        <v>15443</v>
      </c>
      <c r="H5551" s="2" t="s">
        <v>15444</v>
      </c>
    </row>
    <row r="5552">
      <c r="A5552" s="2">
        <v>5550.0</v>
      </c>
      <c r="B5552" s="5" t="s">
        <v>8220</v>
      </c>
      <c r="C5552" s="2" t="s">
        <v>8221</v>
      </c>
      <c r="D5552" s="5" t="s">
        <v>8220</v>
      </c>
      <c r="E5552" s="2" t="s">
        <v>15445</v>
      </c>
      <c r="F5552" s="2" t="s">
        <v>15446</v>
      </c>
      <c r="G5552" s="2" t="s">
        <v>15443</v>
      </c>
      <c r="H5552" s="2" t="s">
        <v>15444</v>
      </c>
    </row>
    <row r="5553">
      <c r="A5553" s="2">
        <v>5551.0</v>
      </c>
      <c r="B5553" s="5" t="s">
        <v>8223</v>
      </c>
      <c r="C5553" s="2" t="s">
        <v>8224</v>
      </c>
      <c r="D5553" s="5" t="s">
        <v>8223</v>
      </c>
      <c r="E5553" s="2" t="s">
        <v>15445</v>
      </c>
      <c r="F5553" s="2" t="s">
        <v>15446</v>
      </c>
      <c r="G5553" s="2" t="s">
        <v>15456</v>
      </c>
      <c r="H5553" s="2" t="s">
        <v>15455</v>
      </c>
    </row>
    <row r="5554">
      <c r="A5554" s="2">
        <v>5552.0</v>
      </c>
      <c r="B5554" s="5" t="s">
        <v>14780</v>
      </c>
      <c r="C5554" s="2" t="s">
        <v>14781</v>
      </c>
      <c r="D5554" s="5" t="s">
        <v>14780</v>
      </c>
      <c r="E5554" s="2" t="s">
        <v>15441</v>
      </c>
      <c r="F5554" s="2" t="s">
        <v>15446</v>
      </c>
      <c r="G5554" s="2" t="s">
        <v>15456</v>
      </c>
      <c r="H5554" s="2" t="s">
        <v>15444</v>
      </c>
    </row>
    <row r="5555">
      <c r="A5555" s="2">
        <v>5553.0</v>
      </c>
      <c r="B5555" s="5" t="s">
        <v>14782</v>
      </c>
      <c r="C5555" s="2" t="s">
        <v>14783</v>
      </c>
      <c r="D5555" s="5" t="s">
        <v>14782</v>
      </c>
      <c r="E5555" s="2" t="s">
        <v>15441</v>
      </c>
      <c r="F5555" s="2" t="s">
        <v>15446</v>
      </c>
      <c r="G5555" s="2" t="s">
        <v>15443</v>
      </c>
      <c r="H5555" s="2" t="s">
        <v>15444</v>
      </c>
    </row>
    <row r="5556">
      <c r="A5556" s="2">
        <v>5554.0</v>
      </c>
      <c r="B5556" s="5" t="s">
        <v>8226</v>
      </c>
      <c r="C5556" s="2" t="s">
        <v>8227</v>
      </c>
      <c r="D5556" s="5" t="s">
        <v>8226</v>
      </c>
      <c r="E5556" s="2" t="s">
        <v>15445</v>
      </c>
      <c r="F5556" s="2" t="s">
        <v>15446</v>
      </c>
      <c r="G5556" s="2" t="s">
        <v>15456</v>
      </c>
      <c r="H5556" s="2" t="s">
        <v>15457</v>
      </c>
    </row>
    <row r="5557">
      <c r="A5557" s="2">
        <v>5555.0</v>
      </c>
      <c r="B5557" s="5" t="s">
        <v>14784</v>
      </c>
      <c r="C5557" s="2" t="s">
        <v>14785</v>
      </c>
      <c r="D5557" s="5" t="s">
        <v>14784</v>
      </c>
      <c r="E5557" s="2" t="s">
        <v>15441</v>
      </c>
      <c r="F5557" s="2" t="s">
        <v>15442</v>
      </c>
      <c r="G5557" s="2" t="s">
        <v>15456</v>
      </c>
      <c r="H5557" s="2" t="s">
        <v>15444</v>
      </c>
    </row>
    <row r="5558">
      <c r="A5558" s="2">
        <v>5556.0</v>
      </c>
      <c r="B5558" s="5" t="s">
        <v>8229</v>
      </c>
      <c r="C5558" s="2" t="s">
        <v>8230</v>
      </c>
      <c r="D5558" s="5" t="s">
        <v>8229</v>
      </c>
      <c r="E5558" s="2" t="s">
        <v>15445</v>
      </c>
      <c r="F5558" s="2" t="s">
        <v>15446</v>
      </c>
      <c r="G5558" s="2" t="s">
        <v>15456</v>
      </c>
      <c r="H5558" s="2" t="s">
        <v>15444</v>
      </c>
    </row>
    <row r="5559">
      <c r="A5559" s="2">
        <v>5557.0</v>
      </c>
      <c r="B5559" s="5" t="s">
        <v>8232</v>
      </c>
      <c r="C5559" s="2" t="s">
        <v>8233</v>
      </c>
      <c r="D5559" s="5" t="s">
        <v>8232</v>
      </c>
      <c r="E5559" s="2" t="s">
        <v>15445</v>
      </c>
      <c r="F5559" s="2" t="s">
        <v>15446</v>
      </c>
      <c r="G5559" s="2" t="s">
        <v>15456</v>
      </c>
      <c r="H5559" s="2" t="s">
        <v>15444</v>
      </c>
    </row>
    <row r="5560">
      <c r="A5560" s="2">
        <v>5558.0</v>
      </c>
      <c r="B5560" s="5" t="s">
        <v>8235</v>
      </c>
      <c r="C5560" s="2" t="s">
        <v>8236</v>
      </c>
      <c r="D5560" s="5" t="s">
        <v>8235</v>
      </c>
      <c r="E5560" s="2" t="s">
        <v>15445</v>
      </c>
      <c r="F5560" s="2" t="s">
        <v>15442</v>
      </c>
      <c r="G5560" s="2" t="s">
        <v>15443</v>
      </c>
      <c r="H5560" s="2" t="s">
        <v>15457</v>
      </c>
    </row>
    <row r="5561">
      <c r="A5561" s="2">
        <v>5559.0</v>
      </c>
      <c r="B5561" s="5" t="s">
        <v>14786</v>
      </c>
      <c r="C5561" s="2" t="s">
        <v>14787</v>
      </c>
      <c r="D5561" s="5" t="s">
        <v>14786</v>
      </c>
      <c r="E5561" s="2" t="s">
        <v>15441</v>
      </c>
      <c r="F5561" s="2" t="s">
        <v>15442</v>
      </c>
      <c r="G5561" s="2" t="s">
        <v>15456</v>
      </c>
      <c r="H5561" s="2" t="s">
        <v>15444</v>
      </c>
    </row>
    <row r="5562">
      <c r="A5562" s="2">
        <v>5560.0</v>
      </c>
      <c r="B5562" s="5" t="s">
        <v>8238</v>
      </c>
      <c r="C5562" s="2" t="s">
        <v>8239</v>
      </c>
      <c r="D5562" s="5" t="s">
        <v>8238</v>
      </c>
      <c r="E5562" s="2" t="s">
        <v>15445</v>
      </c>
      <c r="F5562" s="2" t="s">
        <v>15442</v>
      </c>
      <c r="G5562" s="2" t="s">
        <v>15443</v>
      </c>
      <c r="H5562" s="2" t="s">
        <v>15444</v>
      </c>
    </row>
    <row r="5563">
      <c r="A5563" s="2">
        <v>5561.0</v>
      </c>
      <c r="B5563" s="5" t="s">
        <v>14788</v>
      </c>
      <c r="C5563" s="2" t="s">
        <v>14789</v>
      </c>
      <c r="D5563" s="5" t="s">
        <v>14788</v>
      </c>
      <c r="E5563" s="2" t="s">
        <v>15441</v>
      </c>
      <c r="F5563" s="2" t="s">
        <v>15446</v>
      </c>
      <c r="G5563" s="2" t="s">
        <v>15456</v>
      </c>
      <c r="H5563" s="2" t="s">
        <v>15444</v>
      </c>
    </row>
    <row r="5564">
      <c r="A5564" s="2">
        <v>5562.0</v>
      </c>
      <c r="B5564" s="5" t="s">
        <v>8241</v>
      </c>
      <c r="C5564" s="2" t="s">
        <v>8242</v>
      </c>
      <c r="D5564" s="5" t="s">
        <v>8241</v>
      </c>
      <c r="E5564" s="2" t="s">
        <v>15445</v>
      </c>
      <c r="F5564" s="2" t="s">
        <v>15446</v>
      </c>
      <c r="G5564" s="2" t="s">
        <v>15456</v>
      </c>
      <c r="H5564" s="2" t="s">
        <v>15444</v>
      </c>
    </row>
    <row r="5565">
      <c r="A5565" s="2">
        <v>5563.0</v>
      </c>
      <c r="B5565" s="5" t="s">
        <v>8244</v>
      </c>
      <c r="C5565" s="2" t="s">
        <v>8245</v>
      </c>
      <c r="D5565" s="5" t="s">
        <v>8244</v>
      </c>
      <c r="E5565" s="2" t="s">
        <v>15445</v>
      </c>
      <c r="F5565" s="2" t="s">
        <v>15446</v>
      </c>
      <c r="G5565" s="2" t="s">
        <v>15443</v>
      </c>
      <c r="H5565" s="2" t="s">
        <v>15444</v>
      </c>
    </row>
    <row r="5566">
      <c r="A5566" s="2">
        <v>5564.0</v>
      </c>
      <c r="B5566" s="5" t="s">
        <v>14790</v>
      </c>
      <c r="C5566" s="2" t="s">
        <v>14791</v>
      </c>
      <c r="D5566" s="5" t="s">
        <v>14790</v>
      </c>
      <c r="E5566" s="2" t="s">
        <v>15441</v>
      </c>
      <c r="F5566" s="2" t="s">
        <v>15446</v>
      </c>
      <c r="G5566" s="2" t="s">
        <v>15456</v>
      </c>
      <c r="H5566" s="2" t="s">
        <v>15444</v>
      </c>
    </row>
    <row r="5567">
      <c r="A5567" s="2">
        <v>5565.0</v>
      </c>
      <c r="B5567" s="5" t="s">
        <v>8247</v>
      </c>
      <c r="C5567" s="2" t="s">
        <v>8248</v>
      </c>
      <c r="D5567" s="5" t="s">
        <v>8247</v>
      </c>
      <c r="E5567" s="2" t="s">
        <v>15445</v>
      </c>
      <c r="F5567" s="2" t="s">
        <v>15442</v>
      </c>
      <c r="G5567" s="2" t="s">
        <v>15443</v>
      </c>
      <c r="H5567" s="2" t="s">
        <v>15444</v>
      </c>
    </row>
    <row r="5568">
      <c r="A5568" s="2">
        <v>5566.0</v>
      </c>
      <c r="B5568" s="5" t="s">
        <v>8250</v>
      </c>
      <c r="C5568" s="2" t="s">
        <v>8251</v>
      </c>
      <c r="D5568" s="5" t="s">
        <v>8250</v>
      </c>
      <c r="E5568" s="2" t="s">
        <v>15445</v>
      </c>
      <c r="F5568" s="2" t="s">
        <v>15442</v>
      </c>
      <c r="G5568" s="2" t="s">
        <v>15456</v>
      </c>
      <c r="H5568" s="2" t="s">
        <v>15444</v>
      </c>
    </row>
    <row r="5569">
      <c r="A5569" s="2">
        <v>5567.0</v>
      </c>
      <c r="B5569" s="5" t="s">
        <v>8253</v>
      </c>
      <c r="C5569" s="2" t="s">
        <v>8254</v>
      </c>
      <c r="D5569" s="5" t="s">
        <v>8253</v>
      </c>
      <c r="E5569" s="2" t="s">
        <v>15445</v>
      </c>
      <c r="F5569" s="2" t="s">
        <v>15446</v>
      </c>
      <c r="G5569" s="2" t="s">
        <v>15443</v>
      </c>
      <c r="H5569" s="2" t="s">
        <v>15444</v>
      </c>
    </row>
    <row r="5570">
      <c r="A5570" s="2">
        <v>5568.0</v>
      </c>
      <c r="B5570" s="5" t="s">
        <v>14792</v>
      </c>
      <c r="C5570" s="2" t="s">
        <v>14793</v>
      </c>
      <c r="D5570" s="5" t="s">
        <v>14792</v>
      </c>
      <c r="E5570" s="2" t="s">
        <v>15441</v>
      </c>
      <c r="F5570" s="2" t="s">
        <v>15446</v>
      </c>
      <c r="G5570" s="2" t="s">
        <v>15456</v>
      </c>
      <c r="H5570" s="2" t="s">
        <v>15444</v>
      </c>
    </row>
    <row r="5571">
      <c r="A5571" s="2">
        <v>5569.0</v>
      </c>
      <c r="B5571" s="5" t="s">
        <v>8256</v>
      </c>
      <c r="C5571" s="2" t="s">
        <v>8257</v>
      </c>
      <c r="D5571" s="5" t="s">
        <v>8256</v>
      </c>
      <c r="E5571" s="2" t="s">
        <v>15445</v>
      </c>
      <c r="F5571" s="2" t="s">
        <v>15446</v>
      </c>
      <c r="G5571" s="2" t="s">
        <v>15456</v>
      </c>
      <c r="H5571" s="2" t="s">
        <v>15444</v>
      </c>
    </row>
    <row r="5572">
      <c r="A5572" s="2">
        <v>5570.0</v>
      </c>
      <c r="B5572" s="5" t="s">
        <v>14794</v>
      </c>
      <c r="C5572" s="2" t="s">
        <v>14795</v>
      </c>
      <c r="D5572" s="5" t="s">
        <v>14794</v>
      </c>
      <c r="E5572" s="2" t="s">
        <v>15441</v>
      </c>
      <c r="F5572" s="2" t="s">
        <v>15446</v>
      </c>
      <c r="G5572" s="2" t="s">
        <v>15456</v>
      </c>
      <c r="H5572" s="2" t="s">
        <v>15444</v>
      </c>
    </row>
    <row r="5573">
      <c r="A5573" s="2">
        <v>5571.0</v>
      </c>
      <c r="B5573" s="5" t="s">
        <v>14796</v>
      </c>
      <c r="C5573" s="2" t="s">
        <v>14797</v>
      </c>
      <c r="D5573" s="5" t="s">
        <v>14796</v>
      </c>
      <c r="E5573" s="2" t="s">
        <v>15441</v>
      </c>
      <c r="F5573" s="2" t="s">
        <v>15442</v>
      </c>
      <c r="G5573" s="2" t="s">
        <v>15456</v>
      </c>
      <c r="H5573" s="2" t="s">
        <v>15444</v>
      </c>
    </row>
    <row r="5574">
      <c r="A5574" s="2">
        <v>5572.0</v>
      </c>
      <c r="B5574" s="5" t="s">
        <v>14798</v>
      </c>
      <c r="C5574" s="2" t="s">
        <v>14799</v>
      </c>
      <c r="D5574" s="5" t="s">
        <v>14798</v>
      </c>
      <c r="E5574" s="2" t="s">
        <v>15441</v>
      </c>
      <c r="F5574" s="2" t="s">
        <v>15442</v>
      </c>
      <c r="G5574" s="2" t="s">
        <v>15443</v>
      </c>
      <c r="H5574" s="2" t="s">
        <v>15444</v>
      </c>
    </row>
    <row r="5575">
      <c r="A5575" s="2">
        <v>5573.0</v>
      </c>
      <c r="B5575" s="5" t="s">
        <v>14800</v>
      </c>
      <c r="C5575" s="2" t="s">
        <v>14801</v>
      </c>
      <c r="D5575" s="5" t="s">
        <v>14800</v>
      </c>
      <c r="E5575" s="2" t="s">
        <v>15441</v>
      </c>
      <c r="F5575" s="2" t="s">
        <v>15442</v>
      </c>
      <c r="G5575" s="2" t="s">
        <v>15443</v>
      </c>
      <c r="H5575" s="2" t="s">
        <v>15444</v>
      </c>
    </row>
    <row r="5576">
      <c r="A5576" s="2">
        <v>5574.0</v>
      </c>
      <c r="B5576" s="5" t="s">
        <v>14802</v>
      </c>
      <c r="C5576" s="2" t="s">
        <v>14803</v>
      </c>
      <c r="D5576" s="5" t="s">
        <v>14802</v>
      </c>
      <c r="E5576" s="2" t="s">
        <v>15441</v>
      </c>
      <c r="F5576" s="2" t="s">
        <v>15446</v>
      </c>
      <c r="G5576" s="2" t="s">
        <v>15443</v>
      </c>
      <c r="H5576" s="2" t="s">
        <v>15444</v>
      </c>
    </row>
    <row r="5577">
      <c r="A5577" s="2">
        <v>5575.0</v>
      </c>
      <c r="B5577" s="5" t="s">
        <v>8259</v>
      </c>
      <c r="C5577" s="2" t="s">
        <v>8260</v>
      </c>
      <c r="D5577" s="5" t="s">
        <v>8259</v>
      </c>
      <c r="E5577" s="2" t="s">
        <v>15445</v>
      </c>
      <c r="F5577" s="2" t="s">
        <v>15446</v>
      </c>
      <c r="G5577" s="2" t="s">
        <v>15456</v>
      </c>
      <c r="H5577" s="2" t="s">
        <v>15444</v>
      </c>
    </row>
    <row r="5578">
      <c r="A5578" s="2">
        <v>5576.0</v>
      </c>
      <c r="B5578" s="5" t="s">
        <v>8262</v>
      </c>
      <c r="C5578" s="2" t="s">
        <v>8263</v>
      </c>
      <c r="D5578" s="5" t="s">
        <v>8262</v>
      </c>
      <c r="E5578" s="2" t="s">
        <v>15445</v>
      </c>
      <c r="F5578" s="2" t="s">
        <v>15442</v>
      </c>
      <c r="G5578" s="2" t="s">
        <v>15443</v>
      </c>
      <c r="H5578" s="2" t="s">
        <v>15444</v>
      </c>
    </row>
    <row r="5579">
      <c r="A5579" s="2">
        <v>5577.0</v>
      </c>
      <c r="B5579" s="5" t="s">
        <v>8265</v>
      </c>
      <c r="C5579" s="2" t="s">
        <v>8266</v>
      </c>
      <c r="D5579" s="5" t="s">
        <v>8265</v>
      </c>
      <c r="E5579" s="2" t="s">
        <v>15445</v>
      </c>
      <c r="F5579" s="2" t="s">
        <v>15446</v>
      </c>
      <c r="G5579" s="2" t="s">
        <v>15456</v>
      </c>
      <c r="H5579" s="2" t="s">
        <v>15444</v>
      </c>
    </row>
    <row r="5580">
      <c r="A5580" s="2">
        <v>5578.0</v>
      </c>
      <c r="B5580" s="5" t="s">
        <v>14804</v>
      </c>
      <c r="C5580" s="2" t="s">
        <v>14805</v>
      </c>
      <c r="D5580" s="5" t="s">
        <v>14804</v>
      </c>
      <c r="E5580" s="2" t="s">
        <v>15441</v>
      </c>
      <c r="F5580" s="2" t="s">
        <v>15446</v>
      </c>
      <c r="G5580" s="2" t="s">
        <v>15456</v>
      </c>
      <c r="H5580" s="2" t="s">
        <v>15444</v>
      </c>
    </row>
    <row r="5581">
      <c r="A5581" s="2">
        <v>5579.0</v>
      </c>
      <c r="B5581" s="5" t="s">
        <v>14806</v>
      </c>
      <c r="C5581" s="2" t="s">
        <v>14807</v>
      </c>
      <c r="D5581" s="5" t="s">
        <v>14806</v>
      </c>
      <c r="E5581" s="2" t="s">
        <v>15441</v>
      </c>
      <c r="F5581" s="2" t="s">
        <v>15442</v>
      </c>
      <c r="G5581" s="2" t="s">
        <v>15456</v>
      </c>
      <c r="H5581" s="2" t="s">
        <v>15444</v>
      </c>
    </row>
    <row r="5582">
      <c r="A5582" s="2">
        <v>5580.0</v>
      </c>
      <c r="B5582" s="5" t="s">
        <v>8268</v>
      </c>
      <c r="C5582" s="2" t="s">
        <v>8269</v>
      </c>
      <c r="D5582" s="5" t="s">
        <v>8268</v>
      </c>
      <c r="E5582" s="2" t="s">
        <v>15445</v>
      </c>
      <c r="F5582" s="2" t="s">
        <v>15442</v>
      </c>
      <c r="G5582" s="2" t="s">
        <v>15443</v>
      </c>
      <c r="H5582" s="2" t="s">
        <v>15444</v>
      </c>
    </row>
    <row r="5583">
      <c r="A5583" s="2">
        <v>5581.0</v>
      </c>
      <c r="B5583" s="5" t="s">
        <v>8271</v>
      </c>
      <c r="C5583" s="2" t="s">
        <v>8272</v>
      </c>
      <c r="D5583" s="5" t="s">
        <v>8271</v>
      </c>
      <c r="E5583" s="2" t="s">
        <v>15445</v>
      </c>
      <c r="F5583" s="2" t="s">
        <v>15442</v>
      </c>
      <c r="G5583" s="2" t="s">
        <v>15456</v>
      </c>
      <c r="H5583" s="2" t="s">
        <v>15444</v>
      </c>
    </row>
    <row r="5584">
      <c r="A5584" s="2">
        <v>5582.0</v>
      </c>
      <c r="B5584" s="5" t="s">
        <v>8274</v>
      </c>
      <c r="C5584" s="2" t="s">
        <v>8275</v>
      </c>
      <c r="D5584" s="5" t="s">
        <v>8274</v>
      </c>
      <c r="E5584" s="2" t="s">
        <v>15445</v>
      </c>
      <c r="F5584" s="2" t="s">
        <v>15446</v>
      </c>
      <c r="G5584" s="2" t="s">
        <v>15456</v>
      </c>
      <c r="H5584" s="2" t="s">
        <v>15444</v>
      </c>
    </row>
    <row r="5585">
      <c r="A5585" s="2">
        <v>5583.0</v>
      </c>
      <c r="B5585" s="5" t="s">
        <v>14808</v>
      </c>
      <c r="C5585" s="2" t="s">
        <v>14809</v>
      </c>
      <c r="D5585" s="5" t="s">
        <v>14808</v>
      </c>
      <c r="E5585" s="2" t="s">
        <v>15441</v>
      </c>
      <c r="F5585" s="2" t="s">
        <v>15446</v>
      </c>
      <c r="G5585" s="2" t="s">
        <v>15456</v>
      </c>
      <c r="H5585" s="2" t="s">
        <v>15444</v>
      </c>
    </row>
    <row r="5586">
      <c r="A5586" s="2">
        <v>5584.0</v>
      </c>
      <c r="B5586" s="5" t="s">
        <v>8277</v>
      </c>
      <c r="C5586" s="2" t="s">
        <v>8278</v>
      </c>
      <c r="D5586" s="5" t="s">
        <v>8277</v>
      </c>
      <c r="E5586" s="2" t="s">
        <v>15445</v>
      </c>
      <c r="F5586" s="2" t="s">
        <v>15442</v>
      </c>
      <c r="G5586" s="2" t="s">
        <v>15443</v>
      </c>
      <c r="H5586" s="2" t="s">
        <v>15444</v>
      </c>
    </row>
    <row r="5587">
      <c r="A5587" s="2">
        <v>5585.0</v>
      </c>
      <c r="B5587" s="5" t="s">
        <v>8280</v>
      </c>
      <c r="C5587" s="2" t="s">
        <v>8281</v>
      </c>
      <c r="D5587" s="5" t="s">
        <v>8280</v>
      </c>
      <c r="E5587" s="2" t="s">
        <v>15445</v>
      </c>
      <c r="F5587" s="2" t="s">
        <v>15446</v>
      </c>
      <c r="G5587" s="2" t="s">
        <v>15443</v>
      </c>
      <c r="H5587" s="2" t="s">
        <v>15455</v>
      </c>
    </row>
    <row r="5588">
      <c r="A5588" s="2">
        <v>5586.0</v>
      </c>
      <c r="B5588" s="5" t="s">
        <v>14810</v>
      </c>
      <c r="C5588" s="2" t="s">
        <v>14811</v>
      </c>
      <c r="D5588" s="5" t="s">
        <v>14810</v>
      </c>
      <c r="E5588" s="2" t="s">
        <v>15441</v>
      </c>
      <c r="F5588" s="2" t="s">
        <v>15446</v>
      </c>
      <c r="G5588" s="2" t="s">
        <v>15456</v>
      </c>
      <c r="H5588" s="2" t="s">
        <v>15444</v>
      </c>
    </row>
    <row r="5589">
      <c r="A5589" s="2">
        <v>5587.0</v>
      </c>
      <c r="B5589" s="5" t="s">
        <v>8283</v>
      </c>
      <c r="C5589" s="2" t="s">
        <v>8284</v>
      </c>
      <c r="D5589" s="5" t="s">
        <v>8283</v>
      </c>
      <c r="E5589" s="2" t="s">
        <v>15445</v>
      </c>
      <c r="F5589" s="2" t="s">
        <v>15446</v>
      </c>
      <c r="G5589" s="2" t="s">
        <v>15456</v>
      </c>
      <c r="H5589" s="2" t="s">
        <v>15444</v>
      </c>
    </row>
    <row r="5590">
      <c r="A5590" s="2">
        <v>5588.0</v>
      </c>
      <c r="B5590" s="5" t="s">
        <v>14812</v>
      </c>
      <c r="C5590" s="2" t="s">
        <v>14813</v>
      </c>
      <c r="D5590" s="5" t="s">
        <v>14812</v>
      </c>
      <c r="E5590" s="2" t="s">
        <v>15441</v>
      </c>
      <c r="F5590" s="2" t="s">
        <v>15442</v>
      </c>
      <c r="G5590" s="2" t="s">
        <v>15456</v>
      </c>
      <c r="H5590" s="2" t="s">
        <v>15444</v>
      </c>
    </row>
    <row r="5591">
      <c r="A5591" s="2">
        <v>5589.0</v>
      </c>
      <c r="B5591" s="5" t="s">
        <v>8286</v>
      </c>
      <c r="C5591" s="2" t="s">
        <v>8287</v>
      </c>
      <c r="D5591" s="5" t="s">
        <v>8286</v>
      </c>
      <c r="E5591" s="2" t="s">
        <v>15445</v>
      </c>
      <c r="F5591" s="2" t="s">
        <v>15442</v>
      </c>
      <c r="G5591" s="2" t="s">
        <v>15443</v>
      </c>
      <c r="H5591" s="2" t="s">
        <v>15444</v>
      </c>
    </row>
    <row r="5592">
      <c r="A5592" s="2">
        <v>5590.0</v>
      </c>
      <c r="B5592" s="5" t="s">
        <v>8289</v>
      </c>
      <c r="C5592" s="2" t="s">
        <v>8290</v>
      </c>
      <c r="D5592" s="5" t="s">
        <v>8289</v>
      </c>
      <c r="E5592" s="2" t="s">
        <v>15445</v>
      </c>
      <c r="F5592" s="2" t="s">
        <v>15446</v>
      </c>
      <c r="G5592" s="2" t="s">
        <v>15456</v>
      </c>
      <c r="H5592" s="2" t="s">
        <v>15444</v>
      </c>
    </row>
    <row r="5593">
      <c r="A5593" s="2">
        <v>5591.0</v>
      </c>
      <c r="B5593" s="5" t="s">
        <v>8292</v>
      </c>
      <c r="C5593" s="2" t="s">
        <v>8293</v>
      </c>
      <c r="D5593" s="5" t="s">
        <v>8292</v>
      </c>
      <c r="E5593" s="2" t="s">
        <v>15445</v>
      </c>
      <c r="F5593" s="2" t="s">
        <v>15442</v>
      </c>
      <c r="G5593" s="2" t="s">
        <v>15443</v>
      </c>
      <c r="H5593" s="2" t="s">
        <v>15455</v>
      </c>
    </row>
    <row r="5594">
      <c r="A5594" s="2">
        <v>5592.0</v>
      </c>
      <c r="B5594" s="5" t="s">
        <v>8295</v>
      </c>
      <c r="C5594" s="2" t="s">
        <v>8296</v>
      </c>
      <c r="D5594" s="5" t="s">
        <v>8295</v>
      </c>
      <c r="E5594" s="2" t="s">
        <v>15445</v>
      </c>
      <c r="F5594" s="2" t="s">
        <v>15446</v>
      </c>
      <c r="G5594" s="2" t="s">
        <v>15456</v>
      </c>
      <c r="H5594" s="2" t="s">
        <v>15444</v>
      </c>
    </row>
    <row r="5595">
      <c r="A5595" s="2">
        <v>5593.0</v>
      </c>
      <c r="B5595" s="5" t="s">
        <v>14814</v>
      </c>
      <c r="C5595" s="2" t="s">
        <v>14815</v>
      </c>
      <c r="D5595" s="5" t="s">
        <v>14814</v>
      </c>
      <c r="E5595" s="2" t="s">
        <v>15441</v>
      </c>
      <c r="F5595" s="2" t="s">
        <v>15446</v>
      </c>
      <c r="G5595" s="2" t="s">
        <v>15456</v>
      </c>
      <c r="H5595" s="2" t="s">
        <v>15457</v>
      </c>
    </row>
    <row r="5596">
      <c r="A5596" s="2">
        <v>5594.0</v>
      </c>
      <c r="B5596" s="5" t="s">
        <v>14816</v>
      </c>
      <c r="C5596" s="2" t="s">
        <v>14817</v>
      </c>
      <c r="D5596" s="5" t="s">
        <v>14816</v>
      </c>
      <c r="E5596" s="2" t="s">
        <v>15441</v>
      </c>
      <c r="F5596" s="2" t="s">
        <v>15446</v>
      </c>
      <c r="G5596" s="2" t="s">
        <v>15456</v>
      </c>
      <c r="H5596" s="2" t="s">
        <v>15444</v>
      </c>
    </row>
    <row r="5597">
      <c r="A5597" s="2">
        <v>5595.0</v>
      </c>
      <c r="B5597" s="5" t="s">
        <v>15602</v>
      </c>
      <c r="C5597" s="2" t="s">
        <v>15603</v>
      </c>
      <c r="D5597" s="5" t="s">
        <v>15602</v>
      </c>
      <c r="E5597" s="2" t="s">
        <v>15445</v>
      </c>
      <c r="F5597" s="2" t="s">
        <v>15446</v>
      </c>
      <c r="G5597" s="2" t="s">
        <v>15456</v>
      </c>
      <c r="H5597" s="2" t="s">
        <v>15457</v>
      </c>
    </row>
    <row r="5598">
      <c r="A5598" s="2">
        <v>5596.0</v>
      </c>
      <c r="B5598" s="5" t="s">
        <v>8298</v>
      </c>
      <c r="C5598" s="2" t="s">
        <v>8299</v>
      </c>
      <c r="D5598" s="5" t="s">
        <v>8298</v>
      </c>
      <c r="E5598" s="2" t="s">
        <v>15445</v>
      </c>
      <c r="F5598" s="2" t="s">
        <v>15446</v>
      </c>
      <c r="G5598" s="2" t="s">
        <v>15443</v>
      </c>
      <c r="H5598" s="2" t="s">
        <v>15444</v>
      </c>
    </row>
    <row r="5599">
      <c r="A5599" s="2">
        <v>5597.0</v>
      </c>
      <c r="B5599" s="5" t="s">
        <v>8301</v>
      </c>
      <c r="C5599" s="2" t="s">
        <v>8302</v>
      </c>
      <c r="D5599" s="5" t="s">
        <v>8301</v>
      </c>
      <c r="E5599" s="2" t="s">
        <v>15445</v>
      </c>
      <c r="F5599" s="2" t="s">
        <v>15442</v>
      </c>
      <c r="G5599" s="2" t="s">
        <v>15443</v>
      </c>
      <c r="H5599" s="2" t="s">
        <v>15444</v>
      </c>
    </row>
    <row r="5600">
      <c r="A5600" s="2">
        <v>5598.0</v>
      </c>
      <c r="B5600" s="5" t="s">
        <v>8304</v>
      </c>
      <c r="C5600" s="2" t="s">
        <v>8305</v>
      </c>
      <c r="D5600" s="5" t="s">
        <v>8304</v>
      </c>
      <c r="E5600" s="2" t="s">
        <v>15445</v>
      </c>
      <c r="F5600" s="2" t="s">
        <v>15442</v>
      </c>
      <c r="G5600" s="2" t="s">
        <v>15443</v>
      </c>
      <c r="H5600" s="2" t="s">
        <v>15444</v>
      </c>
    </row>
    <row r="5601">
      <c r="A5601" s="2">
        <v>5599.0</v>
      </c>
      <c r="B5601" s="5" t="s">
        <v>8307</v>
      </c>
      <c r="C5601" s="2" t="s">
        <v>8308</v>
      </c>
      <c r="D5601" s="5" t="s">
        <v>8307</v>
      </c>
      <c r="E5601" s="2" t="s">
        <v>15445</v>
      </c>
      <c r="F5601" s="2" t="s">
        <v>15446</v>
      </c>
      <c r="G5601" s="2" t="s">
        <v>15443</v>
      </c>
      <c r="H5601" s="2" t="s">
        <v>15444</v>
      </c>
    </row>
    <row r="5602">
      <c r="A5602" s="2">
        <v>5600.0</v>
      </c>
      <c r="B5602" s="5" t="s">
        <v>8310</v>
      </c>
      <c r="C5602" s="2" t="s">
        <v>8311</v>
      </c>
      <c r="D5602" s="5" t="s">
        <v>8310</v>
      </c>
      <c r="E5602" s="2" t="s">
        <v>15445</v>
      </c>
      <c r="F5602" s="2" t="s">
        <v>15446</v>
      </c>
      <c r="G5602" s="2" t="s">
        <v>15456</v>
      </c>
      <c r="H5602" s="2" t="s">
        <v>15444</v>
      </c>
    </row>
    <row r="5603">
      <c r="A5603" s="2">
        <v>5601.0</v>
      </c>
      <c r="B5603" s="5" t="s">
        <v>14818</v>
      </c>
      <c r="C5603" s="2" t="s">
        <v>14819</v>
      </c>
      <c r="D5603" s="5" t="s">
        <v>14818</v>
      </c>
      <c r="E5603" s="2" t="s">
        <v>15441</v>
      </c>
      <c r="F5603" s="2" t="s">
        <v>15446</v>
      </c>
      <c r="G5603" s="2" t="s">
        <v>15456</v>
      </c>
      <c r="H5603" s="2" t="s">
        <v>15462</v>
      </c>
    </row>
    <row r="5604">
      <c r="A5604" s="2">
        <v>5602.0</v>
      </c>
      <c r="B5604" s="5" t="s">
        <v>15604</v>
      </c>
      <c r="C5604" s="2" t="s">
        <v>15605</v>
      </c>
      <c r="D5604" s="5" t="s">
        <v>15604</v>
      </c>
      <c r="E5604" s="2" t="s">
        <v>15445</v>
      </c>
      <c r="F5604" s="2" t="s">
        <v>15446</v>
      </c>
      <c r="G5604" s="2" t="s">
        <v>15456</v>
      </c>
      <c r="H5604" s="2" t="s">
        <v>15457</v>
      </c>
    </row>
    <row r="5605">
      <c r="A5605" s="2">
        <v>5603.0</v>
      </c>
      <c r="B5605" s="5" t="s">
        <v>14820</v>
      </c>
      <c r="C5605" s="2" t="s">
        <v>14821</v>
      </c>
      <c r="D5605" s="5" t="s">
        <v>14820</v>
      </c>
      <c r="E5605" s="2" t="s">
        <v>15441</v>
      </c>
      <c r="F5605" s="2" t="s">
        <v>15442</v>
      </c>
      <c r="G5605" s="2" t="s">
        <v>15456</v>
      </c>
      <c r="H5605" s="2" t="s">
        <v>15444</v>
      </c>
    </row>
    <row r="5606">
      <c r="A5606" s="2">
        <v>5604.0</v>
      </c>
      <c r="B5606" s="5" t="s">
        <v>8313</v>
      </c>
      <c r="C5606" s="2" t="s">
        <v>8314</v>
      </c>
      <c r="D5606" s="5" t="s">
        <v>8313</v>
      </c>
      <c r="E5606" s="2" t="s">
        <v>15445</v>
      </c>
      <c r="F5606" s="2" t="s">
        <v>15442</v>
      </c>
      <c r="G5606" s="2" t="s">
        <v>15443</v>
      </c>
      <c r="H5606" s="2" t="s">
        <v>15444</v>
      </c>
    </row>
    <row r="5607">
      <c r="A5607" s="2">
        <v>5605.0</v>
      </c>
      <c r="B5607" s="5" t="s">
        <v>15606</v>
      </c>
      <c r="C5607" s="2" t="s">
        <v>15607</v>
      </c>
      <c r="D5607" s="5" t="s">
        <v>15606</v>
      </c>
      <c r="E5607" s="2" t="s">
        <v>15441</v>
      </c>
      <c r="F5607" s="2" t="s">
        <v>15446</v>
      </c>
      <c r="G5607" s="2" t="s">
        <v>15456</v>
      </c>
      <c r="H5607" s="2" t="s">
        <v>15486</v>
      </c>
    </row>
    <row r="5608">
      <c r="A5608" s="2">
        <v>5606.0</v>
      </c>
      <c r="B5608" s="5" t="s">
        <v>14822</v>
      </c>
      <c r="C5608" s="2" t="s">
        <v>14823</v>
      </c>
      <c r="D5608" s="5" t="s">
        <v>14822</v>
      </c>
      <c r="E5608" s="2" t="s">
        <v>15441</v>
      </c>
      <c r="F5608" s="2" t="s">
        <v>15442</v>
      </c>
      <c r="G5608" s="2" t="s">
        <v>15443</v>
      </c>
      <c r="H5608" s="2" t="s">
        <v>15444</v>
      </c>
    </row>
    <row r="5609">
      <c r="A5609" s="2">
        <v>5607.0</v>
      </c>
      <c r="B5609" s="5" t="s">
        <v>8316</v>
      </c>
      <c r="C5609" s="2" t="s">
        <v>8317</v>
      </c>
      <c r="D5609" s="5" t="s">
        <v>8316</v>
      </c>
      <c r="E5609" s="2" t="s">
        <v>15445</v>
      </c>
      <c r="F5609" s="2" t="s">
        <v>15446</v>
      </c>
      <c r="G5609" s="2" t="s">
        <v>15456</v>
      </c>
      <c r="H5609" s="2" t="s">
        <v>15444</v>
      </c>
    </row>
    <row r="5610">
      <c r="A5610" s="2">
        <v>5608.0</v>
      </c>
      <c r="B5610" s="5" t="s">
        <v>14824</v>
      </c>
      <c r="C5610" s="2" t="s">
        <v>14825</v>
      </c>
      <c r="D5610" s="5" t="s">
        <v>14824</v>
      </c>
      <c r="E5610" s="2" t="s">
        <v>15441</v>
      </c>
      <c r="F5610" s="2" t="s">
        <v>15442</v>
      </c>
      <c r="G5610" s="2" t="s">
        <v>15443</v>
      </c>
      <c r="H5610" s="2" t="s">
        <v>15444</v>
      </c>
    </row>
    <row r="5611">
      <c r="A5611" s="2">
        <v>5609.0</v>
      </c>
      <c r="B5611" s="5" t="s">
        <v>14826</v>
      </c>
      <c r="C5611" s="2" t="s">
        <v>14827</v>
      </c>
      <c r="D5611" s="5" t="s">
        <v>14826</v>
      </c>
      <c r="E5611" s="2" t="s">
        <v>15441</v>
      </c>
      <c r="F5611" s="2" t="s">
        <v>15446</v>
      </c>
      <c r="G5611" s="2" t="s">
        <v>15456</v>
      </c>
      <c r="H5611" s="2" t="s">
        <v>15444</v>
      </c>
    </row>
    <row r="5612">
      <c r="A5612" s="2">
        <v>5610.0</v>
      </c>
      <c r="B5612" s="5" t="s">
        <v>8319</v>
      </c>
      <c r="C5612" s="2" t="s">
        <v>8320</v>
      </c>
      <c r="D5612" s="5" t="s">
        <v>8319</v>
      </c>
      <c r="E5612" s="2" t="s">
        <v>15445</v>
      </c>
      <c r="F5612" s="2" t="s">
        <v>15446</v>
      </c>
      <c r="G5612" s="2" t="s">
        <v>15456</v>
      </c>
      <c r="H5612" s="2" t="s">
        <v>15444</v>
      </c>
    </row>
    <row r="5613">
      <c r="A5613" s="2">
        <v>5611.0</v>
      </c>
      <c r="B5613" s="5" t="s">
        <v>14828</v>
      </c>
      <c r="C5613" s="2" t="s">
        <v>14829</v>
      </c>
      <c r="D5613" s="5" t="s">
        <v>14828</v>
      </c>
      <c r="E5613" s="2" t="s">
        <v>15441</v>
      </c>
      <c r="F5613" s="2" t="s">
        <v>15446</v>
      </c>
      <c r="G5613" s="2" t="s">
        <v>15456</v>
      </c>
      <c r="H5613" s="2" t="s">
        <v>15444</v>
      </c>
    </row>
    <row r="5614">
      <c r="A5614" s="2">
        <v>5612.0</v>
      </c>
      <c r="B5614" s="5" t="s">
        <v>14830</v>
      </c>
      <c r="C5614" s="2" t="s">
        <v>14831</v>
      </c>
      <c r="D5614" s="5" t="s">
        <v>14830</v>
      </c>
      <c r="E5614" s="2" t="s">
        <v>15441</v>
      </c>
      <c r="F5614" s="2" t="s">
        <v>15446</v>
      </c>
      <c r="G5614" s="2" t="s">
        <v>15456</v>
      </c>
      <c r="H5614" s="2" t="s">
        <v>15444</v>
      </c>
    </row>
    <row r="5615">
      <c r="A5615" s="2">
        <v>5613.0</v>
      </c>
      <c r="B5615" s="5" t="s">
        <v>14832</v>
      </c>
      <c r="C5615" s="2" t="s">
        <v>14833</v>
      </c>
      <c r="D5615" s="5" t="s">
        <v>14832</v>
      </c>
      <c r="E5615" s="2" t="s">
        <v>15441</v>
      </c>
      <c r="F5615" s="2" t="s">
        <v>15446</v>
      </c>
      <c r="G5615" s="2" t="s">
        <v>15443</v>
      </c>
      <c r="H5615" s="2" t="s">
        <v>15444</v>
      </c>
    </row>
    <row r="5616">
      <c r="A5616" s="2">
        <v>5614.0</v>
      </c>
      <c r="B5616" s="5" t="s">
        <v>14834</v>
      </c>
      <c r="C5616" s="2" t="s">
        <v>14835</v>
      </c>
      <c r="D5616" s="5" t="s">
        <v>14834</v>
      </c>
      <c r="E5616" s="2" t="s">
        <v>15441</v>
      </c>
      <c r="F5616" s="2" t="s">
        <v>15446</v>
      </c>
      <c r="G5616" s="2" t="s">
        <v>15456</v>
      </c>
      <c r="H5616" s="2" t="s">
        <v>15444</v>
      </c>
    </row>
    <row r="5617">
      <c r="A5617" s="2">
        <v>5615.0</v>
      </c>
      <c r="B5617" s="5" t="s">
        <v>8322</v>
      </c>
      <c r="C5617" s="2" t="s">
        <v>8323</v>
      </c>
      <c r="D5617" s="5" t="s">
        <v>8322</v>
      </c>
      <c r="E5617" s="2" t="s">
        <v>15445</v>
      </c>
      <c r="F5617" s="2" t="s">
        <v>15442</v>
      </c>
      <c r="G5617" s="2" t="s">
        <v>15443</v>
      </c>
      <c r="H5617" s="2" t="s">
        <v>15444</v>
      </c>
    </row>
    <row r="5618">
      <c r="A5618" s="2">
        <v>5616.0</v>
      </c>
      <c r="B5618" s="5" t="s">
        <v>8325</v>
      </c>
      <c r="C5618" s="2" t="s">
        <v>8326</v>
      </c>
      <c r="D5618" s="5" t="s">
        <v>8325</v>
      </c>
      <c r="E5618" s="2" t="s">
        <v>15445</v>
      </c>
      <c r="F5618" s="2" t="s">
        <v>15446</v>
      </c>
      <c r="G5618" s="2" t="s">
        <v>15443</v>
      </c>
      <c r="H5618" s="2" t="s">
        <v>15455</v>
      </c>
    </row>
    <row r="5619">
      <c r="A5619" s="2">
        <v>5617.0</v>
      </c>
      <c r="B5619" s="5" t="s">
        <v>14836</v>
      </c>
      <c r="C5619" s="2" t="s">
        <v>14837</v>
      </c>
      <c r="D5619" s="5" t="s">
        <v>14836</v>
      </c>
      <c r="E5619" s="2" t="s">
        <v>15441</v>
      </c>
      <c r="F5619" s="2" t="s">
        <v>15446</v>
      </c>
      <c r="G5619" s="2" t="s">
        <v>15443</v>
      </c>
      <c r="H5619" s="2" t="s">
        <v>15455</v>
      </c>
    </row>
    <row r="5620">
      <c r="A5620" s="2">
        <v>5618.0</v>
      </c>
      <c r="B5620" s="5" t="s">
        <v>15608</v>
      </c>
      <c r="C5620" s="2" t="s">
        <v>15609</v>
      </c>
      <c r="D5620" s="5" t="s">
        <v>15608</v>
      </c>
      <c r="E5620" s="2" t="s">
        <v>15445</v>
      </c>
      <c r="F5620" s="2" t="s">
        <v>15446</v>
      </c>
      <c r="G5620" s="2" t="s">
        <v>15456</v>
      </c>
      <c r="H5620" s="2" t="s">
        <v>15486</v>
      </c>
    </row>
    <row r="5621">
      <c r="A5621" s="2">
        <v>5619.0</v>
      </c>
      <c r="B5621" s="5" t="s">
        <v>8328</v>
      </c>
      <c r="C5621" s="2" t="s">
        <v>8329</v>
      </c>
      <c r="D5621" s="5" t="s">
        <v>8328</v>
      </c>
      <c r="E5621" s="2" t="s">
        <v>15445</v>
      </c>
      <c r="F5621" s="2" t="s">
        <v>15442</v>
      </c>
      <c r="G5621" s="2" t="s">
        <v>15443</v>
      </c>
      <c r="H5621" s="2" t="s">
        <v>15457</v>
      </c>
    </row>
    <row r="5622">
      <c r="A5622" s="2">
        <v>5620.0</v>
      </c>
      <c r="B5622" s="5" t="s">
        <v>8331</v>
      </c>
      <c r="C5622" s="2" t="s">
        <v>8332</v>
      </c>
      <c r="D5622" s="5" t="s">
        <v>8331</v>
      </c>
      <c r="E5622" s="2" t="s">
        <v>15445</v>
      </c>
      <c r="F5622" s="2" t="s">
        <v>15446</v>
      </c>
      <c r="G5622" s="2" t="s">
        <v>15443</v>
      </c>
      <c r="H5622" s="2" t="s">
        <v>15444</v>
      </c>
    </row>
    <row r="5623">
      <c r="A5623" s="2">
        <v>5621.0</v>
      </c>
      <c r="B5623" s="5" t="s">
        <v>14838</v>
      </c>
      <c r="C5623" s="2" t="s">
        <v>14839</v>
      </c>
      <c r="D5623" s="5" t="s">
        <v>14838</v>
      </c>
      <c r="E5623" s="2" t="s">
        <v>15441</v>
      </c>
      <c r="F5623" s="2" t="s">
        <v>15446</v>
      </c>
      <c r="G5623" s="2" t="s">
        <v>15443</v>
      </c>
      <c r="H5623" s="2" t="s">
        <v>15444</v>
      </c>
    </row>
    <row r="5624">
      <c r="A5624" s="2">
        <v>5622.0</v>
      </c>
      <c r="B5624" s="5" t="s">
        <v>14840</v>
      </c>
      <c r="C5624" s="2" t="s">
        <v>14841</v>
      </c>
      <c r="D5624" s="5" t="s">
        <v>14840</v>
      </c>
      <c r="E5624" s="2" t="s">
        <v>15441</v>
      </c>
      <c r="F5624" s="2" t="s">
        <v>15446</v>
      </c>
      <c r="G5624" s="2" t="s">
        <v>15443</v>
      </c>
      <c r="H5624" s="2" t="s">
        <v>15444</v>
      </c>
    </row>
    <row r="5625">
      <c r="A5625" s="2">
        <v>5623.0</v>
      </c>
      <c r="B5625" s="5" t="s">
        <v>8334</v>
      </c>
      <c r="C5625" s="2" t="s">
        <v>8335</v>
      </c>
      <c r="D5625" s="5" t="s">
        <v>8334</v>
      </c>
      <c r="E5625" s="2" t="s">
        <v>15445</v>
      </c>
      <c r="F5625" s="2" t="s">
        <v>15446</v>
      </c>
      <c r="G5625" s="2" t="s">
        <v>15456</v>
      </c>
      <c r="H5625" s="2" t="s">
        <v>15444</v>
      </c>
    </row>
    <row r="5626">
      <c r="A5626" s="2">
        <v>5624.0</v>
      </c>
      <c r="B5626" s="5" t="s">
        <v>8337</v>
      </c>
      <c r="C5626" s="2" t="s">
        <v>8338</v>
      </c>
      <c r="D5626" s="5" t="s">
        <v>8337</v>
      </c>
      <c r="E5626" s="2" t="s">
        <v>15445</v>
      </c>
      <c r="F5626" s="2" t="s">
        <v>15446</v>
      </c>
      <c r="G5626" s="2" t="s">
        <v>15456</v>
      </c>
      <c r="H5626" s="2" t="s">
        <v>15444</v>
      </c>
    </row>
    <row r="5627">
      <c r="A5627" s="2">
        <v>5625.0</v>
      </c>
      <c r="B5627" s="5" t="s">
        <v>14842</v>
      </c>
      <c r="C5627" s="2" t="s">
        <v>14843</v>
      </c>
      <c r="D5627" s="5" t="s">
        <v>14842</v>
      </c>
      <c r="E5627" s="2" t="s">
        <v>15441</v>
      </c>
      <c r="F5627" s="2" t="s">
        <v>15442</v>
      </c>
      <c r="G5627" s="2" t="s">
        <v>15456</v>
      </c>
      <c r="H5627" s="2" t="s">
        <v>15461</v>
      </c>
    </row>
    <row r="5628">
      <c r="A5628" s="2">
        <v>5626.0</v>
      </c>
      <c r="B5628" s="5" t="s">
        <v>8340</v>
      </c>
      <c r="C5628" s="2" t="s">
        <v>8341</v>
      </c>
      <c r="D5628" s="5" t="s">
        <v>8340</v>
      </c>
      <c r="E5628" s="2" t="s">
        <v>15445</v>
      </c>
      <c r="F5628" s="2" t="s">
        <v>15442</v>
      </c>
      <c r="G5628" s="2" t="s">
        <v>15443</v>
      </c>
      <c r="H5628" s="2" t="s">
        <v>15444</v>
      </c>
    </row>
    <row r="5629">
      <c r="A5629" s="2">
        <v>5627.0</v>
      </c>
      <c r="B5629" s="5" t="s">
        <v>14844</v>
      </c>
      <c r="C5629" s="2" t="s">
        <v>14845</v>
      </c>
      <c r="D5629" s="5" t="s">
        <v>14844</v>
      </c>
      <c r="E5629" s="2" t="s">
        <v>15441</v>
      </c>
      <c r="F5629" s="2" t="s">
        <v>15442</v>
      </c>
      <c r="G5629" s="2" t="s">
        <v>15456</v>
      </c>
      <c r="H5629" s="2" t="s">
        <v>15444</v>
      </c>
    </row>
    <row r="5630">
      <c r="A5630" s="2">
        <v>5628.0</v>
      </c>
      <c r="B5630" s="5" t="s">
        <v>8343</v>
      </c>
      <c r="C5630" s="2" t="s">
        <v>8344</v>
      </c>
      <c r="D5630" s="5" t="s">
        <v>8343</v>
      </c>
      <c r="E5630" s="2" t="s">
        <v>15445</v>
      </c>
      <c r="F5630" s="2" t="s">
        <v>15446</v>
      </c>
      <c r="G5630" s="2" t="s">
        <v>15456</v>
      </c>
      <c r="H5630" s="2" t="s">
        <v>15444</v>
      </c>
    </row>
    <row r="5631">
      <c r="A5631" s="2">
        <v>5629.0</v>
      </c>
      <c r="B5631" s="5" t="s">
        <v>14846</v>
      </c>
      <c r="C5631" s="2" t="s">
        <v>14847</v>
      </c>
      <c r="D5631" s="5" t="s">
        <v>14846</v>
      </c>
      <c r="E5631" s="2" t="s">
        <v>15441</v>
      </c>
      <c r="F5631" s="2" t="s">
        <v>15446</v>
      </c>
      <c r="G5631" s="2" t="s">
        <v>15443</v>
      </c>
      <c r="H5631" s="2" t="s">
        <v>15444</v>
      </c>
    </row>
    <row r="5632">
      <c r="A5632" s="2">
        <v>5630.0</v>
      </c>
      <c r="B5632" s="5" t="s">
        <v>14848</v>
      </c>
      <c r="C5632" s="2" t="s">
        <v>14849</v>
      </c>
      <c r="D5632" s="5" t="s">
        <v>14848</v>
      </c>
      <c r="E5632" s="2" t="s">
        <v>15441</v>
      </c>
      <c r="F5632" s="2" t="s">
        <v>15442</v>
      </c>
      <c r="G5632" s="2" t="s">
        <v>15443</v>
      </c>
      <c r="H5632" s="2" t="s">
        <v>15444</v>
      </c>
    </row>
    <row r="5633">
      <c r="A5633" s="2">
        <v>5631.0</v>
      </c>
      <c r="B5633" s="5" t="s">
        <v>14850</v>
      </c>
      <c r="C5633" s="2" t="s">
        <v>14851</v>
      </c>
      <c r="D5633" s="5" t="s">
        <v>14850</v>
      </c>
      <c r="E5633" s="2" t="s">
        <v>15441</v>
      </c>
      <c r="F5633" s="2" t="s">
        <v>15446</v>
      </c>
      <c r="G5633" s="2" t="s">
        <v>15456</v>
      </c>
      <c r="H5633" s="2" t="s">
        <v>15444</v>
      </c>
    </row>
    <row r="5634">
      <c r="A5634" s="2">
        <v>5632.0</v>
      </c>
      <c r="B5634" s="5" t="s">
        <v>8346</v>
      </c>
      <c r="C5634" s="2" t="s">
        <v>8347</v>
      </c>
      <c r="D5634" s="5" t="s">
        <v>8346</v>
      </c>
      <c r="E5634" s="2" t="s">
        <v>15445</v>
      </c>
      <c r="F5634" s="2" t="s">
        <v>15446</v>
      </c>
      <c r="G5634" s="2" t="s">
        <v>15456</v>
      </c>
      <c r="H5634" s="2" t="s">
        <v>15444</v>
      </c>
    </row>
    <row r="5635">
      <c r="A5635" s="2">
        <v>5633.0</v>
      </c>
      <c r="B5635" s="5" t="s">
        <v>8349</v>
      </c>
      <c r="C5635" s="2" t="s">
        <v>8350</v>
      </c>
      <c r="D5635" s="5" t="s">
        <v>8349</v>
      </c>
      <c r="E5635" s="2" t="s">
        <v>15445</v>
      </c>
      <c r="F5635" s="2" t="s">
        <v>15442</v>
      </c>
      <c r="G5635" s="2" t="s">
        <v>15456</v>
      </c>
      <c r="H5635" s="2" t="s">
        <v>15444</v>
      </c>
    </row>
    <row r="5636">
      <c r="A5636" s="2">
        <v>5634.0</v>
      </c>
      <c r="B5636" s="5" t="s">
        <v>14852</v>
      </c>
      <c r="C5636" s="2" t="s">
        <v>14853</v>
      </c>
      <c r="D5636" s="5" t="s">
        <v>14852</v>
      </c>
      <c r="E5636" s="2" t="s">
        <v>15441</v>
      </c>
      <c r="F5636" s="2" t="s">
        <v>15442</v>
      </c>
      <c r="G5636" s="2" t="s">
        <v>15443</v>
      </c>
      <c r="H5636" s="2" t="s">
        <v>15444</v>
      </c>
    </row>
    <row r="5637">
      <c r="A5637" s="2">
        <v>5635.0</v>
      </c>
      <c r="B5637" s="5" t="s">
        <v>8352</v>
      </c>
      <c r="C5637" s="2" t="s">
        <v>8353</v>
      </c>
      <c r="D5637" s="5" t="s">
        <v>8352</v>
      </c>
      <c r="E5637" s="2" t="s">
        <v>15445</v>
      </c>
      <c r="F5637" s="2" t="s">
        <v>15442</v>
      </c>
      <c r="G5637" s="2" t="s">
        <v>15443</v>
      </c>
      <c r="H5637" s="2" t="s">
        <v>15444</v>
      </c>
    </row>
    <row r="5638">
      <c r="A5638" s="2">
        <v>5636.0</v>
      </c>
      <c r="B5638" s="5" t="s">
        <v>8355</v>
      </c>
      <c r="C5638" s="2" t="s">
        <v>8356</v>
      </c>
      <c r="D5638" s="5" t="s">
        <v>8355</v>
      </c>
      <c r="E5638" s="2" t="s">
        <v>15445</v>
      </c>
      <c r="F5638" s="2" t="s">
        <v>15442</v>
      </c>
      <c r="G5638" s="2" t="s">
        <v>15456</v>
      </c>
      <c r="H5638" s="2" t="s">
        <v>15457</v>
      </c>
    </row>
    <row r="5639">
      <c r="A5639" s="2">
        <v>5637.0</v>
      </c>
      <c r="B5639" s="5" t="s">
        <v>8358</v>
      </c>
      <c r="C5639" s="2" t="s">
        <v>8359</v>
      </c>
      <c r="D5639" s="5" t="s">
        <v>8358</v>
      </c>
      <c r="E5639" s="2" t="s">
        <v>15445</v>
      </c>
      <c r="F5639" s="2" t="s">
        <v>15442</v>
      </c>
      <c r="G5639" s="2" t="s">
        <v>15443</v>
      </c>
      <c r="H5639" s="2" t="s">
        <v>15444</v>
      </c>
    </row>
    <row r="5640">
      <c r="A5640" s="2">
        <v>5638.0</v>
      </c>
      <c r="B5640" s="5" t="s">
        <v>14854</v>
      </c>
      <c r="C5640" s="2" t="s">
        <v>14855</v>
      </c>
      <c r="D5640" s="5" t="s">
        <v>14854</v>
      </c>
      <c r="E5640" s="2" t="s">
        <v>15441</v>
      </c>
      <c r="F5640" s="2" t="s">
        <v>15446</v>
      </c>
      <c r="G5640" s="2" t="s">
        <v>15456</v>
      </c>
      <c r="H5640" s="2" t="s">
        <v>15444</v>
      </c>
    </row>
    <row r="5641">
      <c r="A5641" s="2">
        <v>5639.0</v>
      </c>
      <c r="B5641" s="5" t="s">
        <v>14856</v>
      </c>
      <c r="C5641" s="2" t="s">
        <v>14857</v>
      </c>
      <c r="D5641" s="5" t="s">
        <v>14856</v>
      </c>
      <c r="E5641" s="2" t="s">
        <v>15441</v>
      </c>
      <c r="F5641" s="2" t="s">
        <v>15446</v>
      </c>
      <c r="G5641" s="2" t="s">
        <v>15443</v>
      </c>
      <c r="H5641" s="2" t="s">
        <v>15444</v>
      </c>
    </row>
    <row r="5642">
      <c r="A5642" s="2">
        <v>5640.0</v>
      </c>
      <c r="B5642" s="5" t="s">
        <v>8361</v>
      </c>
      <c r="C5642" s="2" t="s">
        <v>8362</v>
      </c>
      <c r="D5642" s="5" t="s">
        <v>8361</v>
      </c>
      <c r="E5642" s="2" t="s">
        <v>15445</v>
      </c>
      <c r="F5642" s="2" t="s">
        <v>15446</v>
      </c>
      <c r="G5642" s="2" t="s">
        <v>15456</v>
      </c>
      <c r="H5642" s="2" t="s">
        <v>15444</v>
      </c>
    </row>
    <row r="5643">
      <c r="A5643" s="2">
        <v>5641.0</v>
      </c>
      <c r="B5643" s="5" t="s">
        <v>8364</v>
      </c>
      <c r="C5643" s="2" t="s">
        <v>8365</v>
      </c>
      <c r="D5643" s="5" t="s">
        <v>8364</v>
      </c>
      <c r="E5643" s="2" t="s">
        <v>15445</v>
      </c>
      <c r="F5643" s="2" t="s">
        <v>15446</v>
      </c>
      <c r="G5643" s="2" t="s">
        <v>15443</v>
      </c>
      <c r="H5643" s="2" t="s">
        <v>15444</v>
      </c>
    </row>
    <row r="5644">
      <c r="A5644" s="2">
        <v>5642.0</v>
      </c>
      <c r="B5644" s="5" t="s">
        <v>14858</v>
      </c>
      <c r="C5644" s="2" t="s">
        <v>14859</v>
      </c>
      <c r="D5644" s="5" t="s">
        <v>14858</v>
      </c>
      <c r="E5644" s="2" t="s">
        <v>15441</v>
      </c>
      <c r="F5644" s="2" t="s">
        <v>15446</v>
      </c>
      <c r="G5644" s="2" t="s">
        <v>15456</v>
      </c>
      <c r="H5644" s="2" t="s">
        <v>15444</v>
      </c>
    </row>
    <row r="5645">
      <c r="A5645" s="2">
        <v>5643.0</v>
      </c>
      <c r="B5645" s="5" t="s">
        <v>8367</v>
      </c>
      <c r="C5645" s="2" t="s">
        <v>8368</v>
      </c>
      <c r="D5645" s="5" t="s">
        <v>8367</v>
      </c>
      <c r="E5645" s="2" t="s">
        <v>15445</v>
      </c>
      <c r="F5645" s="2" t="s">
        <v>15446</v>
      </c>
      <c r="G5645" s="2" t="s">
        <v>15456</v>
      </c>
      <c r="H5645" s="2" t="s">
        <v>15444</v>
      </c>
    </row>
    <row r="5646">
      <c r="A5646" s="2">
        <v>5644.0</v>
      </c>
      <c r="B5646" s="5" t="s">
        <v>8370</v>
      </c>
      <c r="C5646" s="2" t="s">
        <v>8371</v>
      </c>
      <c r="D5646" s="5" t="s">
        <v>8370</v>
      </c>
      <c r="E5646" s="2" t="s">
        <v>15445</v>
      </c>
      <c r="F5646" s="2" t="s">
        <v>15442</v>
      </c>
      <c r="G5646" s="2" t="s">
        <v>15443</v>
      </c>
      <c r="H5646" s="2" t="s">
        <v>15444</v>
      </c>
    </row>
    <row r="5647">
      <c r="A5647" s="2">
        <v>5645.0</v>
      </c>
      <c r="B5647" s="5" t="s">
        <v>8373</v>
      </c>
      <c r="C5647" s="2" t="s">
        <v>8374</v>
      </c>
      <c r="D5647" s="5" t="s">
        <v>8373</v>
      </c>
      <c r="E5647" s="2" t="s">
        <v>15445</v>
      </c>
      <c r="F5647" s="2" t="s">
        <v>15442</v>
      </c>
      <c r="G5647" s="2" t="s">
        <v>15443</v>
      </c>
      <c r="H5647" s="2" t="s">
        <v>15444</v>
      </c>
    </row>
    <row r="5648">
      <c r="A5648" s="2">
        <v>5646.0</v>
      </c>
      <c r="B5648" s="5" t="s">
        <v>8376</v>
      </c>
      <c r="C5648" s="2" t="s">
        <v>8377</v>
      </c>
      <c r="D5648" s="5" t="s">
        <v>8376</v>
      </c>
      <c r="E5648" s="2" t="s">
        <v>15445</v>
      </c>
      <c r="F5648" s="2" t="s">
        <v>15442</v>
      </c>
      <c r="G5648" s="2" t="s">
        <v>15443</v>
      </c>
      <c r="H5648" s="2" t="s">
        <v>15444</v>
      </c>
    </row>
    <row r="5649">
      <c r="A5649" s="2">
        <v>5647.0</v>
      </c>
      <c r="B5649" s="5" t="s">
        <v>8379</v>
      </c>
      <c r="C5649" s="2" t="s">
        <v>8380</v>
      </c>
      <c r="D5649" s="5" t="s">
        <v>8379</v>
      </c>
      <c r="E5649" s="2" t="s">
        <v>15445</v>
      </c>
      <c r="F5649" s="2" t="s">
        <v>15442</v>
      </c>
      <c r="G5649" s="2" t="s">
        <v>15456</v>
      </c>
      <c r="H5649" s="2" t="s">
        <v>15444</v>
      </c>
    </row>
    <row r="5650">
      <c r="A5650" s="2">
        <v>5648.0</v>
      </c>
      <c r="B5650" s="5" t="s">
        <v>14860</v>
      </c>
      <c r="C5650" s="2" t="s">
        <v>14861</v>
      </c>
      <c r="D5650" s="5" t="s">
        <v>14860</v>
      </c>
      <c r="E5650" s="2" t="s">
        <v>15441</v>
      </c>
      <c r="F5650" s="2" t="s">
        <v>15442</v>
      </c>
      <c r="G5650" s="2" t="s">
        <v>15443</v>
      </c>
      <c r="H5650" s="2" t="s">
        <v>15444</v>
      </c>
    </row>
    <row r="5651">
      <c r="A5651" s="2">
        <v>5649.0</v>
      </c>
      <c r="B5651" s="5" t="s">
        <v>8382</v>
      </c>
      <c r="C5651" s="2" t="s">
        <v>8383</v>
      </c>
      <c r="D5651" s="5" t="s">
        <v>8382</v>
      </c>
      <c r="E5651" s="2" t="s">
        <v>15445</v>
      </c>
      <c r="F5651" s="2" t="s">
        <v>15442</v>
      </c>
      <c r="G5651" s="2" t="s">
        <v>15456</v>
      </c>
      <c r="H5651" s="2" t="s">
        <v>15444</v>
      </c>
    </row>
    <row r="5652">
      <c r="A5652" s="2">
        <v>5650.0</v>
      </c>
      <c r="B5652" s="5" t="s">
        <v>8385</v>
      </c>
      <c r="C5652" s="2" t="s">
        <v>8386</v>
      </c>
      <c r="D5652" s="5" t="s">
        <v>8385</v>
      </c>
      <c r="E5652" s="2" t="s">
        <v>15445</v>
      </c>
      <c r="F5652" s="2" t="s">
        <v>15442</v>
      </c>
      <c r="G5652" s="2" t="s">
        <v>15443</v>
      </c>
      <c r="H5652" s="2" t="s">
        <v>15444</v>
      </c>
    </row>
    <row r="5653">
      <c r="A5653" s="2">
        <v>5651.0</v>
      </c>
      <c r="B5653" s="5" t="s">
        <v>8388</v>
      </c>
      <c r="C5653" s="2" t="s">
        <v>8389</v>
      </c>
      <c r="D5653" s="5" t="s">
        <v>8388</v>
      </c>
      <c r="E5653" s="2" t="s">
        <v>15445</v>
      </c>
      <c r="F5653" s="2" t="s">
        <v>15446</v>
      </c>
      <c r="G5653" s="2" t="s">
        <v>15456</v>
      </c>
      <c r="H5653" s="2" t="s">
        <v>15444</v>
      </c>
    </row>
    <row r="5654">
      <c r="A5654" s="2">
        <v>5652.0</v>
      </c>
      <c r="B5654" s="5" t="s">
        <v>8391</v>
      </c>
      <c r="C5654" s="2" t="s">
        <v>8392</v>
      </c>
      <c r="D5654" s="5" t="s">
        <v>8391</v>
      </c>
      <c r="E5654" s="2" t="s">
        <v>15445</v>
      </c>
      <c r="F5654" s="2" t="s">
        <v>15446</v>
      </c>
      <c r="G5654" s="2" t="s">
        <v>15443</v>
      </c>
      <c r="H5654" s="2" t="s">
        <v>15444</v>
      </c>
    </row>
    <row r="5655">
      <c r="A5655" s="2">
        <v>5653.0</v>
      </c>
      <c r="B5655" s="5" t="s">
        <v>8394</v>
      </c>
      <c r="C5655" s="2" t="s">
        <v>8395</v>
      </c>
      <c r="D5655" s="5" t="s">
        <v>8394</v>
      </c>
      <c r="E5655" s="2" t="s">
        <v>15445</v>
      </c>
      <c r="F5655" s="2" t="s">
        <v>15446</v>
      </c>
      <c r="G5655" s="2" t="s">
        <v>15456</v>
      </c>
      <c r="H5655" s="2" t="s">
        <v>15444</v>
      </c>
    </row>
    <row r="5656">
      <c r="A5656" s="2">
        <v>5654.0</v>
      </c>
      <c r="B5656" s="5" t="s">
        <v>14862</v>
      </c>
      <c r="C5656" s="2" t="s">
        <v>14863</v>
      </c>
      <c r="D5656" s="5" t="s">
        <v>14862</v>
      </c>
      <c r="E5656" s="2" t="s">
        <v>15441</v>
      </c>
      <c r="F5656" s="2" t="s">
        <v>15442</v>
      </c>
      <c r="G5656" s="2" t="s">
        <v>15443</v>
      </c>
      <c r="H5656" s="2" t="s">
        <v>15444</v>
      </c>
    </row>
    <row r="5657">
      <c r="A5657" s="2">
        <v>5655.0</v>
      </c>
      <c r="B5657" s="5" t="s">
        <v>8397</v>
      </c>
      <c r="C5657" s="2" t="s">
        <v>8398</v>
      </c>
      <c r="D5657" s="5" t="s">
        <v>8397</v>
      </c>
      <c r="E5657" s="2" t="s">
        <v>15445</v>
      </c>
      <c r="F5657" s="2" t="s">
        <v>15442</v>
      </c>
      <c r="G5657" s="2" t="s">
        <v>15443</v>
      </c>
      <c r="H5657" s="2" t="s">
        <v>15444</v>
      </c>
    </row>
    <row r="5658">
      <c r="A5658" s="2">
        <v>5656.0</v>
      </c>
      <c r="B5658" s="5" t="s">
        <v>8400</v>
      </c>
      <c r="C5658" s="2" t="s">
        <v>8401</v>
      </c>
      <c r="D5658" s="5" t="s">
        <v>8400</v>
      </c>
      <c r="E5658" s="2" t="s">
        <v>15445</v>
      </c>
      <c r="F5658" s="2" t="s">
        <v>15442</v>
      </c>
      <c r="G5658" s="2" t="s">
        <v>15443</v>
      </c>
      <c r="H5658" s="2" t="s">
        <v>15444</v>
      </c>
    </row>
    <row r="5659">
      <c r="A5659" s="2">
        <v>5657.0</v>
      </c>
      <c r="B5659" s="5" t="s">
        <v>14864</v>
      </c>
      <c r="C5659" s="2" t="s">
        <v>14865</v>
      </c>
      <c r="D5659" s="5" t="s">
        <v>14864</v>
      </c>
      <c r="E5659" s="2" t="s">
        <v>15441</v>
      </c>
      <c r="F5659" s="2" t="s">
        <v>15446</v>
      </c>
      <c r="G5659" s="2" t="s">
        <v>15443</v>
      </c>
      <c r="H5659" s="2" t="s">
        <v>15444</v>
      </c>
    </row>
    <row r="5660">
      <c r="A5660" s="2">
        <v>5658.0</v>
      </c>
      <c r="B5660" s="5" t="s">
        <v>8403</v>
      </c>
      <c r="C5660" s="2" t="s">
        <v>8404</v>
      </c>
      <c r="D5660" s="5" t="s">
        <v>8403</v>
      </c>
      <c r="E5660" s="2" t="s">
        <v>15445</v>
      </c>
      <c r="F5660" s="2" t="s">
        <v>15446</v>
      </c>
      <c r="G5660" s="2" t="s">
        <v>15456</v>
      </c>
      <c r="H5660" s="2" t="s">
        <v>15444</v>
      </c>
    </row>
    <row r="5661">
      <c r="A5661" s="2">
        <v>5659.0</v>
      </c>
      <c r="B5661" s="5" t="s">
        <v>14866</v>
      </c>
      <c r="C5661" s="2" t="s">
        <v>14867</v>
      </c>
      <c r="D5661" s="5" t="s">
        <v>14866</v>
      </c>
      <c r="E5661" s="2" t="s">
        <v>15441</v>
      </c>
      <c r="F5661" s="2" t="s">
        <v>15442</v>
      </c>
      <c r="G5661" s="2" t="s">
        <v>15443</v>
      </c>
      <c r="H5661" s="2" t="s">
        <v>15444</v>
      </c>
    </row>
    <row r="5662">
      <c r="A5662" s="2">
        <v>5660.0</v>
      </c>
      <c r="B5662" s="5" t="s">
        <v>8406</v>
      </c>
      <c r="C5662" s="2" t="s">
        <v>8407</v>
      </c>
      <c r="D5662" s="5" t="s">
        <v>8406</v>
      </c>
      <c r="E5662" s="2" t="s">
        <v>15445</v>
      </c>
      <c r="F5662" s="2" t="s">
        <v>15446</v>
      </c>
      <c r="G5662" s="2" t="s">
        <v>15456</v>
      </c>
      <c r="H5662" s="2" t="s">
        <v>15444</v>
      </c>
    </row>
    <row r="5663">
      <c r="A5663" s="2">
        <v>5661.0</v>
      </c>
      <c r="B5663" s="5" t="s">
        <v>14868</v>
      </c>
      <c r="C5663" s="2" t="s">
        <v>14869</v>
      </c>
      <c r="D5663" s="5" t="s">
        <v>14868</v>
      </c>
      <c r="E5663" s="2" t="s">
        <v>15441</v>
      </c>
      <c r="F5663" s="2" t="s">
        <v>15446</v>
      </c>
      <c r="G5663" s="2" t="s">
        <v>15443</v>
      </c>
      <c r="H5663" s="2" t="s">
        <v>15444</v>
      </c>
    </row>
    <row r="5664">
      <c r="A5664" s="2">
        <v>5662.0</v>
      </c>
      <c r="B5664" s="5" t="s">
        <v>8409</v>
      </c>
      <c r="C5664" s="2" t="s">
        <v>8410</v>
      </c>
      <c r="D5664" s="5" t="s">
        <v>8409</v>
      </c>
      <c r="E5664" s="2" t="s">
        <v>15445</v>
      </c>
      <c r="F5664" s="2" t="s">
        <v>15442</v>
      </c>
      <c r="G5664" s="2" t="s">
        <v>15443</v>
      </c>
      <c r="H5664" s="2" t="s">
        <v>15444</v>
      </c>
    </row>
    <row r="5665">
      <c r="A5665" s="2">
        <v>5663.0</v>
      </c>
      <c r="B5665" s="5" t="s">
        <v>8412</v>
      </c>
      <c r="C5665" s="2" t="s">
        <v>8413</v>
      </c>
      <c r="D5665" s="5" t="s">
        <v>8412</v>
      </c>
      <c r="E5665" s="2" t="s">
        <v>15445</v>
      </c>
      <c r="F5665" s="2" t="s">
        <v>15446</v>
      </c>
      <c r="G5665" s="2" t="s">
        <v>15456</v>
      </c>
      <c r="H5665" s="2" t="s">
        <v>15444</v>
      </c>
    </row>
    <row r="5666">
      <c r="A5666" s="2">
        <v>5664.0</v>
      </c>
      <c r="B5666" s="5" t="s">
        <v>8415</v>
      </c>
      <c r="C5666" s="2" t="s">
        <v>8416</v>
      </c>
      <c r="D5666" s="5" t="s">
        <v>8415</v>
      </c>
      <c r="E5666" s="2" t="s">
        <v>15445</v>
      </c>
      <c r="F5666" s="2" t="s">
        <v>15442</v>
      </c>
      <c r="G5666" s="2" t="s">
        <v>15443</v>
      </c>
      <c r="H5666" s="2" t="s">
        <v>15444</v>
      </c>
    </row>
    <row r="5667">
      <c r="A5667" s="2">
        <v>5665.0</v>
      </c>
      <c r="B5667" s="5" t="s">
        <v>14870</v>
      </c>
      <c r="C5667" s="2" t="s">
        <v>14871</v>
      </c>
      <c r="D5667" s="5" t="s">
        <v>14870</v>
      </c>
      <c r="E5667" s="2" t="s">
        <v>15441</v>
      </c>
      <c r="F5667" s="2" t="s">
        <v>15442</v>
      </c>
      <c r="G5667" s="2" t="s">
        <v>15443</v>
      </c>
      <c r="H5667" s="2" t="s">
        <v>15455</v>
      </c>
    </row>
    <row r="5668">
      <c r="A5668" s="2">
        <v>5666.0</v>
      </c>
      <c r="B5668" s="5" t="s">
        <v>8418</v>
      </c>
      <c r="C5668" s="2" t="s">
        <v>8419</v>
      </c>
      <c r="D5668" s="5" t="s">
        <v>8418</v>
      </c>
      <c r="E5668" s="2" t="s">
        <v>15445</v>
      </c>
      <c r="F5668" s="2" t="s">
        <v>15446</v>
      </c>
      <c r="G5668" s="2" t="s">
        <v>15456</v>
      </c>
      <c r="H5668" s="2" t="s">
        <v>15444</v>
      </c>
    </row>
    <row r="5669">
      <c r="A5669" s="2">
        <v>5667.0</v>
      </c>
      <c r="B5669" s="5" t="s">
        <v>14872</v>
      </c>
      <c r="C5669" s="2" t="s">
        <v>14873</v>
      </c>
      <c r="D5669" s="5" t="s">
        <v>14872</v>
      </c>
      <c r="E5669" s="2" t="s">
        <v>15441</v>
      </c>
      <c r="F5669" s="2" t="s">
        <v>15446</v>
      </c>
      <c r="G5669" s="2" t="s">
        <v>15456</v>
      </c>
      <c r="H5669" s="2" t="s">
        <v>15457</v>
      </c>
    </row>
    <row r="5670">
      <c r="A5670" s="2">
        <v>5668.0</v>
      </c>
      <c r="B5670" s="5" t="s">
        <v>14874</v>
      </c>
      <c r="C5670" s="2" t="s">
        <v>14875</v>
      </c>
      <c r="D5670" s="5" t="s">
        <v>14874</v>
      </c>
      <c r="E5670" s="2" t="s">
        <v>15441</v>
      </c>
      <c r="F5670" s="2" t="s">
        <v>15446</v>
      </c>
      <c r="G5670" s="2" t="s">
        <v>15456</v>
      </c>
      <c r="H5670" s="2" t="s">
        <v>15444</v>
      </c>
    </row>
    <row r="5671">
      <c r="A5671" s="2">
        <v>5669.0</v>
      </c>
      <c r="B5671" s="5" t="s">
        <v>8421</v>
      </c>
      <c r="C5671" s="2" t="s">
        <v>8422</v>
      </c>
      <c r="D5671" s="5" t="s">
        <v>8421</v>
      </c>
      <c r="E5671" s="2" t="s">
        <v>15445</v>
      </c>
      <c r="F5671" s="2" t="s">
        <v>15442</v>
      </c>
      <c r="G5671" s="2" t="s">
        <v>15443</v>
      </c>
      <c r="H5671" s="2" t="s">
        <v>15462</v>
      </c>
    </row>
    <row r="5672">
      <c r="A5672" s="2">
        <v>5670.0</v>
      </c>
      <c r="B5672" s="5" t="s">
        <v>8424</v>
      </c>
      <c r="C5672" s="2" t="s">
        <v>8425</v>
      </c>
      <c r="D5672" s="5" t="s">
        <v>8424</v>
      </c>
      <c r="E5672" s="2" t="s">
        <v>15445</v>
      </c>
      <c r="F5672" s="2" t="s">
        <v>15446</v>
      </c>
      <c r="G5672" s="2" t="s">
        <v>15443</v>
      </c>
      <c r="H5672" s="2" t="s">
        <v>15457</v>
      </c>
    </row>
    <row r="5673">
      <c r="A5673" s="2">
        <v>5671.0</v>
      </c>
      <c r="B5673" s="5" t="s">
        <v>8427</v>
      </c>
      <c r="C5673" s="2" t="s">
        <v>8428</v>
      </c>
      <c r="D5673" s="5" t="s">
        <v>8427</v>
      </c>
      <c r="E5673" s="2" t="s">
        <v>15445</v>
      </c>
      <c r="F5673" s="2" t="s">
        <v>15442</v>
      </c>
      <c r="G5673" s="2" t="s">
        <v>15443</v>
      </c>
      <c r="H5673" s="2" t="s">
        <v>15444</v>
      </c>
    </row>
    <row r="5674">
      <c r="A5674" s="2">
        <v>5672.0</v>
      </c>
      <c r="B5674" s="5" t="s">
        <v>14876</v>
      </c>
      <c r="C5674" s="2" t="s">
        <v>14877</v>
      </c>
      <c r="D5674" s="5" t="s">
        <v>14876</v>
      </c>
      <c r="E5674" s="2" t="s">
        <v>15441</v>
      </c>
      <c r="F5674" s="2" t="s">
        <v>15442</v>
      </c>
      <c r="G5674" s="2" t="s">
        <v>15456</v>
      </c>
      <c r="H5674" s="2" t="s">
        <v>15444</v>
      </c>
    </row>
    <row r="5675">
      <c r="A5675" s="2">
        <v>5673.0</v>
      </c>
      <c r="B5675" s="5" t="s">
        <v>14878</v>
      </c>
      <c r="C5675" s="2" t="s">
        <v>14879</v>
      </c>
      <c r="D5675" s="5" t="s">
        <v>14878</v>
      </c>
      <c r="E5675" s="2" t="s">
        <v>15441</v>
      </c>
      <c r="F5675" s="2" t="s">
        <v>15446</v>
      </c>
      <c r="G5675" s="2" t="s">
        <v>15443</v>
      </c>
      <c r="H5675" s="2" t="s">
        <v>15457</v>
      </c>
    </row>
    <row r="5676">
      <c r="A5676" s="2">
        <v>5674.0</v>
      </c>
      <c r="B5676" s="5" t="s">
        <v>8430</v>
      </c>
      <c r="C5676" s="2" t="s">
        <v>8431</v>
      </c>
      <c r="D5676" s="5" t="s">
        <v>8430</v>
      </c>
      <c r="E5676" s="2" t="s">
        <v>15445</v>
      </c>
      <c r="F5676" s="2" t="s">
        <v>15446</v>
      </c>
      <c r="G5676" s="2" t="s">
        <v>15456</v>
      </c>
      <c r="H5676" s="2" t="s">
        <v>15444</v>
      </c>
    </row>
    <row r="5677">
      <c r="A5677" s="2">
        <v>5675.0</v>
      </c>
      <c r="B5677" s="5" t="s">
        <v>8433</v>
      </c>
      <c r="C5677" s="2" t="s">
        <v>8434</v>
      </c>
      <c r="D5677" s="5" t="s">
        <v>8433</v>
      </c>
      <c r="E5677" s="2" t="s">
        <v>15445</v>
      </c>
      <c r="F5677" s="2" t="s">
        <v>15442</v>
      </c>
      <c r="G5677" s="2" t="s">
        <v>15443</v>
      </c>
      <c r="H5677" s="2" t="s">
        <v>15444</v>
      </c>
    </row>
    <row r="5678">
      <c r="A5678" s="2">
        <v>5676.0</v>
      </c>
      <c r="B5678" s="5" t="s">
        <v>14880</v>
      </c>
      <c r="C5678" s="2" t="s">
        <v>14881</v>
      </c>
      <c r="D5678" s="5" t="s">
        <v>14880</v>
      </c>
      <c r="E5678" s="2" t="s">
        <v>15441</v>
      </c>
      <c r="F5678" s="2" t="s">
        <v>15446</v>
      </c>
      <c r="G5678" s="2" t="s">
        <v>15456</v>
      </c>
      <c r="H5678" s="2" t="s">
        <v>15444</v>
      </c>
    </row>
    <row r="5679">
      <c r="A5679" s="2">
        <v>5677.0</v>
      </c>
      <c r="B5679" s="5" t="s">
        <v>8436</v>
      </c>
      <c r="C5679" s="2" t="s">
        <v>8437</v>
      </c>
      <c r="D5679" s="5" t="s">
        <v>8436</v>
      </c>
      <c r="E5679" s="2" t="s">
        <v>15445</v>
      </c>
      <c r="F5679" s="2" t="s">
        <v>15442</v>
      </c>
      <c r="G5679" s="2" t="s">
        <v>15443</v>
      </c>
      <c r="H5679" s="2" t="s">
        <v>15444</v>
      </c>
    </row>
    <row r="5680">
      <c r="A5680" s="2">
        <v>5678.0</v>
      </c>
      <c r="B5680" s="5" t="s">
        <v>8439</v>
      </c>
      <c r="C5680" s="2" t="s">
        <v>8440</v>
      </c>
      <c r="D5680" s="5" t="s">
        <v>8439</v>
      </c>
      <c r="E5680" s="2" t="s">
        <v>15445</v>
      </c>
      <c r="F5680" s="2" t="s">
        <v>15446</v>
      </c>
      <c r="G5680" s="2" t="s">
        <v>15456</v>
      </c>
      <c r="H5680" s="2" t="s">
        <v>15444</v>
      </c>
    </row>
    <row r="5681">
      <c r="A5681" s="2">
        <v>5679.0</v>
      </c>
      <c r="B5681" s="5" t="s">
        <v>14882</v>
      </c>
      <c r="C5681" s="2" t="s">
        <v>14883</v>
      </c>
      <c r="D5681" s="5" t="s">
        <v>14882</v>
      </c>
      <c r="E5681" s="2" t="s">
        <v>15441</v>
      </c>
      <c r="F5681" s="2" t="s">
        <v>15442</v>
      </c>
      <c r="G5681" s="2" t="s">
        <v>15443</v>
      </c>
      <c r="H5681" s="2" t="s">
        <v>15444</v>
      </c>
    </row>
    <row r="5682">
      <c r="A5682" s="2">
        <v>5680.0</v>
      </c>
      <c r="B5682" s="5" t="s">
        <v>8442</v>
      </c>
      <c r="C5682" s="2" t="s">
        <v>8443</v>
      </c>
      <c r="D5682" s="5" t="s">
        <v>8442</v>
      </c>
      <c r="E5682" s="2" t="s">
        <v>15445</v>
      </c>
      <c r="F5682" s="2" t="s">
        <v>15442</v>
      </c>
      <c r="G5682" s="2" t="s">
        <v>15456</v>
      </c>
      <c r="H5682" s="2" t="s">
        <v>15444</v>
      </c>
    </row>
    <row r="5683">
      <c r="A5683" s="2">
        <v>5681.0</v>
      </c>
      <c r="B5683" s="5" t="s">
        <v>14884</v>
      </c>
      <c r="C5683" s="2" t="s">
        <v>14885</v>
      </c>
      <c r="D5683" s="5" t="s">
        <v>14884</v>
      </c>
      <c r="E5683" s="2" t="s">
        <v>15441</v>
      </c>
      <c r="F5683" s="2" t="s">
        <v>15446</v>
      </c>
      <c r="G5683" s="2" t="s">
        <v>15443</v>
      </c>
      <c r="H5683" s="2" t="s">
        <v>15444</v>
      </c>
    </row>
    <row r="5684">
      <c r="A5684" s="2">
        <v>5682.0</v>
      </c>
      <c r="B5684" s="5" t="s">
        <v>14886</v>
      </c>
      <c r="C5684" s="2" t="s">
        <v>14887</v>
      </c>
      <c r="D5684" s="5" t="s">
        <v>14886</v>
      </c>
      <c r="E5684" s="2" t="s">
        <v>15441</v>
      </c>
      <c r="F5684" s="2" t="s">
        <v>15446</v>
      </c>
      <c r="G5684" s="2" t="s">
        <v>15443</v>
      </c>
      <c r="H5684" s="2" t="s">
        <v>15444</v>
      </c>
    </row>
    <row r="5685">
      <c r="A5685" s="2">
        <v>5683.0</v>
      </c>
      <c r="B5685" s="5" t="s">
        <v>14888</v>
      </c>
      <c r="C5685" s="2" t="s">
        <v>14889</v>
      </c>
      <c r="D5685" s="5" t="s">
        <v>14888</v>
      </c>
      <c r="E5685" s="2" t="s">
        <v>15441</v>
      </c>
      <c r="F5685" s="2" t="s">
        <v>15442</v>
      </c>
      <c r="G5685" s="2" t="s">
        <v>15443</v>
      </c>
      <c r="H5685" s="2" t="s">
        <v>15444</v>
      </c>
    </row>
    <row r="5686">
      <c r="A5686" s="2">
        <v>5684.0</v>
      </c>
      <c r="B5686" s="5" t="s">
        <v>14890</v>
      </c>
      <c r="C5686" s="2" t="s">
        <v>14891</v>
      </c>
      <c r="D5686" s="5" t="s">
        <v>14890</v>
      </c>
      <c r="E5686" s="2" t="s">
        <v>15441</v>
      </c>
      <c r="F5686" s="2" t="s">
        <v>15446</v>
      </c>
      <c r="G5686" s="2" t="s">
        <v>15456</v>
      </c>
      <c r="H5686" s="2" t="s">
        <v>15444</v>
      </c>
    </row>
    <row r="5687">
      <c r="A5687" s="2">
        <v>5685.0</v>
      </c>
      <c r="B5687" s="5" t="s">
        <v>8445</v>
      </c>
      <c r="C5687" s="2" t="s">
        <v>8446</v>
      </c>
      <c r="D5687" s="5" t="s">
        <v>8445</v>
      </c>
      <c r="E5687" s="2" t="s">
        <v>15445</v>
      </c>
      <c r="F5687" s="2" t="s">
        <v>15446</v>
      </c>
      <c r="G5687" s="2" t="s">
        <v>15443</v>
      </c>
      <c r="H5687" s="2" t="s">
        <v>15461</v>
      </c>
    </row>
    <row r="5688">
      <c r="A5688" s="2">
        <v>5686.0</v>
      </c>
      <c r="B5688" s="5" t="s">
        <v>8448</v>
      </c>
      <c r="C5688" s="2" t="s">
        <v>8449</v>
      </c>
      <c r="D5688" s="5" t="s">
        <v>8448</v>
      </c>
      <c r="E5688" s="2" t="s">
        <v>15445</v>
      </c>
      <c r="F5688" s="2" t="s">
        <v>15446</v>
      </c>
      <c r="G5688" s="2" t="s">
        <v>15456</v>
      </c>
      <c r="H5688" s="2" t="s">
        <v>15444</v>
      </c>
    </row>
    <row r="5689">
      <c r="A5689" s="2">
        <v>5687.0</v>
      </c>
      <c r="B5689" s="5" t="s">
        <v>8451</v>
      </c>
      <c r="C5689" s="2" t="s">
        <v>8452</v>
      </c>
      <c r="D5689" s="5" t="s">
        <v>8451</v>
      </c>
      <c r="E5689" s="2" t="s">
        <v>15445</v>
      </c>
      <c r="F5689" s="2" t="s">
        <v>15446</v>
      </c>
      <c r="G5689" s="2" t="s">
        <v>15456</v>
      </c>
      <c r="H5689" s="2" t="s">
        <v>15444</v>
      </c>
    </row>
    <row r="5690">
      <c r="A5690" s="2">
        <v>5688.0</v>
      </c>
      <c r="B5690" s="5" t="s">
        <v>8454</v>
      </c>
      <c r="C5690" s="2" t="s">
        <v>8455</v>
      </c>
      <c r="D5690" s="5" t="s">
        <v>8454</v>
      </c>
      <c r="E5690" s="2" t="s">
        <v>15445</v>
      </c>
      <c r="F5690" s="2" t="s">
        <v>15442</v>
      </c>
      <c r="G5690" s="2" t="s">
        <v>15443</v>
      </c>
      <c r="H5690" s="2" t="s">
        <v>15444</v>
      </c>
    </row>
    <row r="5691">
      <c r="A5691" s="2">
        <v>5689.0</v>
      </c>
      <c r="B5691" s="5" t="s">
        <v>14892</v>
      </c>
      <c r="C5691" s="2" t="s">
        <v>14893</v>
      </c>
      <c r="D5691" s="5" t="s">
        <v>14892</v>
      </c>
      <c r="E5691" s="2" t="s">
        <v>15441</v>
      </c>
      <c r="F5691" s="2" t="s">
        <v>15446</v>
      </c>
      <c r="G5691" s="2" t="s">
        <v>15443</v>
      </c>
      <c r="H5691" s="2" t="s">
        <v>15444</v>
      </c>
    </row>
    <row r="5692">
      <c r="A5692" s="2">
        <v>5690.0</v>
      </c>
      <c r="B5692" s="5" t="s">
        <v>14894</v>
      </c>
      <c r="C5692" s="2" t="s">
        <v>14895</v>
      </c>
      <c r="D5692" s="5" t="s">
        <v>14894</v>
      </c>
      <c r="E5692" s="2" t="s">
        <v>15441</v>
      </c>
      <c r="F5692" s="2" t="s">
        <v>15446</v>
      </c>
      <c r="G5692" s="2" t="s">
        <v>15456</v>
      </c>
      <c r="H5692" s="2" t="s">
        <v>15444</v>
      </c>
    </row>
    <row r="5693">
      <c r="A5693" s="2">
        <v>5691.0</v>
      </c>
      <c r="B5693" s="5" t="s">
        <v>14896</v>
      </c>
      <c r="C5693" s="2" t="s">
        <v>14897</v>
      </c>
      <c r="D5693" s="5" t="s">
        <v>14896</v>
      </c>
      <c r="E5693" s="2" t="s">
        <v>15441</v>
      </c>
      <c r="F5693" s="2" t="s">
        <v>15446</v>
      </c>
      <c r="G5693" s="2" t="s">
        <v>15456</v>
      </c>
      <c r="H5693" s="2" t="s">
        <v>15444</v>
      </c>
    </row>
    <row r="5694">
      <c r="A5694" s="2">
        <v>5692.0</v>
      </c>
      <c r="B5694" s="5" t="s">
        <v>8457</v>
      </c>
      <c r="C5694" s="2" t="s">
        <v>8458</v>
      </c>
      <c r="D5694" s="5" t="s">
        <v>8457</v>
      </c>
      <c r="E5694" s="2" t="s">
        <v>15445</v>
      </c>
      <c r="F5694" s="2" t="s">
        <v>15446</v>
      </c>
      <c r="G5694" s="2" t="s">
        <v>15443</v>
      </c>
      <c r="H5694" s="2" t="s">
        <v>15444</v>
      </c>
    </row>
    <row r="5695">
      <c r="A5695" s="2">
        <v>5693.0</v>
      </c>
      <c r="B5695" s="5" t="s">
        <v>14898</v>
      </c>
      <c r="C5695" s="2" t="s">
        <v>14899</v>
      </c>
      <c r="D5695" s="5" t="s">
        <v>14898</v>
      </c>
      <c r="E5695" s="2" t="s">
        <v>15441</v>
      </c>
      <c r="F5695" s="2" t="s">
        <v>15446</v>
      </c>
      <c r="G5695" s="2" t="s">
        <v>15456</v>
      </c>
      <c r="H5695" s="2" t="s">
        <v>15444</v>
      </c>
    </row>
    <row r="5696">
      <c r="A5696" s="2">
        <v>5694.0</v>
      </c>
      <c r="B5696" s="5" t="s">
        <v>14900</v>
      </c>
      <c r="C5696" s="2" t="s">
        <v>14901</v>
      </c>
      <c r="D5696" s="5" t="s">
        <v>14900</v>
      </c>
      <c r="E5696" s="2" t="s">
        <v>15441</v>
      </c>
      <c r="F5696" s="2" t="s">
        <v>15446</v>
      </c>
      <c r="G5696" s="2" t="s">
        <v>15456</v>
      </c>
      <c r="H5696" s="2" t="s">
        <v>15444</v>
      </c>
    </row>
    <row r="5697">
      <c r="A5697" s="2">
        <v>5695.0</v>
      </c>
      <c r="B5697" s="5" t="s">
        <v>8460</v>
      </c>
      <c r="C5697" s="2" t="s">
        <v>8461</v>
      </c>
      <c r="D5697" s="5" t="s">
        <v>8460</v>
      </c>
      <c r="E5697" s="2" t="s">
        <v>15445</v>
      </c>
      <c r="F5697" s="2" t="s">
        <v>15446</v>
      </c>
      <c r="G5697" s="2" t="s">
        <v>15456</v>
      </c>
      <c r="H5697" s="2" t="s">
        <v>15444</v>
      </c>
    </row>
    <row r="5698">
      <c r="A5698" s="2">
        <v>5696.0</v>
      </c>
      <c r="B5698" s="5" t="s">
        <v>14902</v>
      </c>
      <c r="C5698" s="2" t="s">
        <v>14903</v>
      </c>
      <c r="D5698" s="5" t="s">
        <v>14902</v>
      </c>
      <c r="E5698" s="2" t="s">
        <v>15441</v>
      </c>
      <c r="F5698" s="2" t="s">
        <v>15442</v>
      </c>
      <c r="G5698" s="2" t="s">
        <v>15456</v>
      </c>
      <c r="H5698" s="2" t="s">
        <v>15444</v>
      </c>
    </row>
    <row r="5699">
      <c r="A5699" s="2">
        <v>5697.0</v>
      </c>
      <c r="B5699" s="5" t="s">
        <v>8463</v>
      </c>
      <c r="C5699" s="2" t="s">
        <v>8464</v>
      </c>
      <c r="D5699" s="5" t="s">
        <v>8463</v>
      </c>
      <c r="E5699" s="2" t="s">
        <v>15445</v>
      </c>
      <c r="F5699" s="2" t="s">
        <v>15446</v>
      </c>
      <c r="G5699" s="2" t="s">
        <v>15456</v>
      </c>
      <c r="H5699" s="2" t="s">
        <v>15444</v>
      </c>
    </row>
    <row r="5700">
      <c r="A5700" s="2">
        <v>5698.0</v>
      </c>
      <c r="B5700" s="5" t="s">
        <v>14904</v>
      </c>
      <c r="C5700" s="2" t="s">
        <v>14905</v>
      </c>
      <c r="D5700" s="5" t="s">
        <v>14904</v>
      </c>
      <c r="E5700" s="2" t="s">
        <v>15441</v>
      </c>
      <c r="F5700" s="2" t="s">
        <v>15446</v>
      </c>
      <c r="G5700" s="2" t="s">
        <v>15456</v>
      </c>
      <c r="H5700" s="2" t="s">
        <v>15444</v>
      </c>
    </row>
    <row r="5701">
      <c r="A5701" s="2">
        <v>5699.0</v>
      </c>
      <c r="B5701" s="5" t="s">
        <v>8466</v>
      </c>
      <c r="C5701" s="2" t="s">
        <v>8467</v>
      </c>
      <c r="D5701" s="5" t="s">
        <v>8466</v>
      </c>
      <c r="E5701" s="2" t="s">
        <v>15445</v>
      </c>
      <c r="F5701" s="2" t="s">
        <v>15442</v>
      </c>
      <c r="G5701" s="2" t="s">
        <v>15456</v>
      </c>
      <c r="H5701" s="2" t="s">
        <v>15444</v>
      </c>
    </row>
    <row r="5702">
      <c r="A5702" s="2">
        <v>5700.0</v>
      </c>
      <c r="B5702" s="5" t="s">
        <v>14906</v>
      </c>
      <c r="C5702" s="2" t="s">
        <v>14907</v>
      </c>
      <c r="D5702" s="5" t="s">
        <v>14906</v>
      </c>
      <c r="E5702" s="2" t="s">
        <v>15441</v>
      </c>
      <c r="F5702" s="2" t="s">
        <v>15446</v>
      </c>
      <c r="G5702" s="2" t="s">
        <v>15443</v>
      </c>
      <c r="H5702" s="2" t="s">
        <v>15462</v>
      </c>
    </row>
    <row r="5703">
      <c r="A5703" s="2">
        <v>5701.0</v>
      </c>
      <c r="B5703" s="5" t="s">
        <v>14908</v>
      </c>
      <c r="C5703" s="2" t="s">
        <v>14909</v>
      </c>
      <c r="D5703" s="5" t="s">
        <v>14908</v>
      </c>
      <c r="E5703" s="2" t="s">
        <v>15441</v>
      </c>
      <c r="F5703" s="2" t="s">
        <v>15446</v>
      </c>
      <c r="G5703" s="2" t="s">
        <v>15456</v>
      </c>
      <c r="H5703" s="2" t="s">
        <v>15444</v>
      </c>
    </row>
    <row r="5704">
      <c r="A5704" s="2">
        <v>5702.0</v>
      </c>
      <c r="B5704" s="5" t="s">
        <v>14910</v>
      </c>
      <c r="C5704" s="2" t="s">
        <v>14911</v>
      </c>
      <c r="D5704" s="5" t="s">
        <v>14910</v>
      </c>
      <c r="E5704" s="2" t="s">
        <v>15441</v>
      </c>
      <c r="F5704" s="2" t="s">
        <v>15442</v>
      </c>
      <c r="G5704" s="2" t="s">
        <v>15456</v>
      </c>
      <c r="H5704" s="2" t="s">
        <v>15444</v>
      </c>
    </row>
    <row r="5705">
      <c r="A5705" s="2">
        <v>5703.0</v>
      </c>
      <c r="B5705" s="5" t="s">
        <v>14912</v>
      </c>
      <c r="C5705" s="2" t="s">
        <v>14913</v>
      </c>
      <c r="D5705" s="5" t="s">
        <v>14912</v>
      </c>
      <c r="E5705" s="2" t="s">
        <v>15441</v>
      </c>
      <c r="F5705" s="2" t="s">
        <v>15446</v>
      </c>
      <c r="G5705" s="2" t="s">
        <v>15456</v>
      </c>
      <c r="H5705" s="2" t="s">
        <v>15444</v>
      </c>
    </row>
    <row r="5706">
      <c r="A5706" s="2">
        <v>5704.0</v>
      </c>
      <c r="B5706" s="5" t="s">
        <v>8469</v>
      </c>
      <c r="C5706" s="2" t="s">
        <v>8470</v>
      </c>
      <c r="D5706" s="5" t="s">
        <v>8469</v>
      </c>
      <c r="E5706" s="2" t="s">
        <v>15445</v>
      </c>
      <c r="F5706" s="2" t="s">
        <v>15446</v>
      </c>
      <c r="G5706" s="2" t="s">
        <v>15443</v>
      </c>
      <c r="H5706" s="2" t="s">
        <v>15444</v>
      </c>
    </row>
    <row r="5707">
      <c r="A5707" s="2">
        <v>5705.0</v>
      </c>
      <c r="B5707" s="5" t="s">
        <v>8472</v>
      </c>
      <c r="C5707" s="2" t="s">
        <v>8473</v>
      </c>
      <c r="D5707" s="5" t="s">
        <v>8472</v>
      </c>
      <c r="E5707" s="2" t="s">
        <v>15445</v>
      </c>
      <c r="F5707" s="2" t="s">
        <v>15442</v>
      </c>
      <c r="G5707" s="2" t="s">
        <v>15456</v>
      </c>
      <c r="H5707" s="2" t="s">
        <v>15457</v>
      </c>
    </row>
    <row r="5708">
      <c r="A5708" s="2">
        <v>5706.0</v>
      </c>
      <c r="B5708" s="5" t="s">
        <v>14914</v>
      </c>
      <c r="C5708" s="2" t="s">
        <v>14915</v>
      </c>
      <c r="D5708" s="5" t="s">
        <v>14914</v>
      </c>
      <c r="E5708" s="2" t="s">
        <v>15441</v>
      </c>
      <c r="F5708" s="2" t="s">
        <v>15446</v>
      </c>
      <c r="G5708" s="2" t="s">
        <v>15456</v>
      </c>
      <c r="H5708" s="2" t="s">
        <v>15444</v>
      </c>
    </row>
    <row r="5709">
      <c r="A5709" s="2">
        <v>5707.0</v>
      </c>
      <c r="B5709" s="5" t="s">
        <v>14916</v>
      </c>
      <c r="C5709" s="2" t="s">
        <v>14917</v>
      </c>
      <c r="D5709" s="5" t="s">
        <v>14916</v>
      </c>
      <c r="E5709" s="2" t="s">
        <v>15441</v>
      </c>
      <c r="F5709" s="2" t="s">
        <v>15446</v>
      </c>
      <c r="G5709" s="2" t="s">
        <v>15456</v>
      </c>
      <c r="H5709" s="2" t="s">
        <v>15444</v>
      </c>
    </row>
    <row r="5710">
      <c r="A5710" s="2">
        <v>5708.0</v>
      </c>
      <c r="B5710" s="5" t="s">
        <v>8475</v>
      </c>
      <c r="C5710" s="2" t="s">
        <v>8476</v>
      </c>
      <c r="D5710" s="5" t="s">
        <v>8475</v>
      </c>
      <c r="E5710" s="2" t="s">
        <v>15445</v>
      </c>
      <c r="F5710" s="2" t="s">
        <v>15446</v>
      </c>
      <c r="G5710" s="2" t="s">
        <v>15456</v>
      </c>
      <c r="H5710" s="2" t="s">
        <v>15444</v>
      </c>
    </row>
    <row r="5711">
      <c r="A5711" s="2">
        <v>5709.0</v>
      </c>
      <c r="B5711" s="5" t="s">
        <v>14918</v>
      </c>
      <c r="C5711" s="2" t="s">
        <v>14919</v>
      </c>
      <c r="D5711" s="5" t="s">
        <v>14918</v>
      </c>
      <c r="E5711" s="2" t="s">
        <v>15441</v>
      </c>
      <c r="F5711" s="2" t="s">
        <v>15442</v>
      </c>
      <c r="G5711" s="2" t="s">
        <v>15443</v>
      </c>
      <c r="H5711" s="2" t="s">
        <v>15444</v>
      </c>
    </row>
    <row r="5712">
      <c r="A5712" s="2">
        <v>5710.0</v>
      </c>
      <c r="B5712" s="5" t="s">
        <v>8478</v>
      </c>
      <c r="C5712" s="2" t="s">
        <v>8479</v>
      </c>
      <c r="D5712" s="5" t="s">
        <v>8478</v>
      </c>
      <c r="E5712" s="2" t="s">
        <v>15445</v>
      </c>
      <c r="F5712" s="2" t="s">
        <v>15442</v>
      </c>
      <c r="G5712" s="2" t="s">
        <v>15443</v>
      </c>
      <c r="H5712" s="2" t="s">
        <v>15444</v>
      </c>
    </row>
    <row r="5713">
      <c r="A5713" s="2">
        <v>5711.0</v>
      </c>
      <c r="B5713" s="5" t="s">
        <v>8481</v>
      </c>
      <c r="C5713" s="2" t="s">
        <v>8482</v>
      </c>
      <c r="D5713" s="5" t="s">
        <v>8481</v>
      </c>
      <c r="E5713" s="2" t="s">
        <v>15445</v>
      </c>
      <c r="F5713" s="2" t="s">
        <v>15446</v>
      </c>
      <c r="G5713" s="2" t="s">
        <v>15456</v>
      </c>
      <c r="H5713" s="2" t="s">
        <v>15444</v>
      </c>
    </row>
    <row r="5714">
      <c r="A5714" s="2">
        <v>5712.0</v>
      </c>
      <c r="B5714" s="5" t="s">
        <v>8484</v>
      </c>
      <c r="C5714" s="2" t="s">
        <v>8485</v>
      </c>
      <c r="D5714" s="5" t="s">
        <v>8484</v>
      </c>
      <c r="E5714" s="2" t="s">
        <v>15445</v>
      </c>
      <c r="F5714" s="2" t="s">
        <v>15446</v>
      </c>
      <c r="G5714" s="2" t="s">
        <v>15456</v>
      </c>
      <c r="H5714" s="2" t="s">
        <v>15444</v>
      </c>
    </row>
    <row r="5715">
      <c r="A5715" s="2">
        <v>5713.0</v>
      </c>
      <c r="B5715" s="5" t="s">
        <v>14920</v>
      </c>
      <c r="C5715" s="2" t="s">
        <v>14921</v>
      </c>
      <c r="D5715" s="5" t="s">
        <v>14920</v>
      </c>
      <c r="E5715" s="2" t="s">
        <v>15441</v>
      </c>
      <c r="F5715" s="2" t="s">
        <v>15442</v>
      </c>
      <c r="G5715" s="2" t="s">
        <v>15443</v>
      </c>
      <c r="H5715" s="2" t="s">
        <v>15444</v>
      </c>
    </row>
    <row r="5716">
      <c r="A5716" s="2">
        <v>5714.0</v>
      </c>
      <c r="B5716" s="5" t="s">
        <v>8487</v>
      </c>
      <c r="C5716" s="2" t="s">
        <v>8488</v>
      </c>
      <c r="D5716" s="5" t="s">
        <v>8487</v>
      </c>
      <c r="E5716" s="2" t="s">
        <v>15445</v>
      </c>
      <c r="F5716" s="2" t="s">
        <v>15446</v>
      </c>
      <c r="G5716" s="2" t="s">
        <v>15443</v>
      </c>
      <c r="H5716" s="2" t="s">
        <v>15444</v>
      </c>
    </row>
    <row r="5717">
      <c r="A5717" s="2">
        <v>5715.0</v>
      </c>
      <c r="B5717" s="5" t="s">
        <v>14922</v>
      </c>
      <c r="C5717" s="2" t="s">
        <v>14923</v>
      </c>
      <c r="D5717" s="5" t="s">
        <v>14922</v>
      </c>
      <c r="E5717" s="2" t="s">
        <v>15441</v>
      </c>
      <c r="F5717" s="2" t="s">
        <v>15442</v>
      </c>
      <c r="G5717" s="2" t="s">
        <v>15456</v>
      </c>
      <c r="H5717" s="2" t="s">
        <v>15462</v>
      </c>
    </row>
    <row r="5718">
      <c r="A5718" s="2">
        <v>5716.0</v>
      </c>
      <c r="B5718" s="5" t="s">
        <v>14924</v>
      </c>
      <c r="C5718" s="2" t="s">
        <v>14925</v>
      </c>
      <c r="D5718" s="5" t="s">
        <v>14924</v>
      </c>
      <c r="E5718" s="2" t="s">
        <v>15441</v>
      </c>
      <c r="F5718" s="2" t="s">
        <v>15446</v>
      </c>
      <c r="G5718" s="2" t="s">
        <v>15456</v>
      </c>
      <c r="H5718" s="2" t="s">
        <v>15444</v>
      </c>
    </row>
    <row r="5719">
      <c r="A5719" s="2">
        <v>5717.0</v>
      </c>
      <c r="B5719" s="5" t="s">
        <v>14926</v>
      </c>
      <c r="C5719" s="2" t="s">
        <v>14927</v>
      </c>
      <c r="D5719" s="5" t="s">
        <v>14926</v>
      </c>
      <c r="E5719" s="2" t="s">
        <v>15441</v>
      </c>
      <c r="F5719" s="2" t="s">
        <v>15446</v>
      </c>
      <c r="G5719" s="2" t="s">
        <v>15456</v>
      </c>
      <c r="H5719" s="2" t="s">
        <v>15444</v>
      </c>
    </row>
    <row r="5720">
      <c r="A5720" s="2">
        <v>5718.0</v>
      </c>
      <c r="B5720" s="5" t="s">
        <v>14928</v>
      </c>
      <c r="C5720" s="2" t="s">
        <v>14929</v>
      </c>
      <c r="D5720" s="5" t="s">
        <v>14928</v>
      </c>
      <c r="E5720" s="2" t="s">
        <v>15441</v>
      </c>
      <c r="F5720" s="2" t="s">
        <v>15446</v>
      </c>
      <c r="G5720" s="2" t="s">
        <v>15456</v>
      </c>
      <c r="H5720" s="2" t="s">
        <v>15444</v>
      </c>
    </row>
    <row r="5721">
      <c r="A5721" s="2">
        <v>5719.0</v>
      </c>
      <c r="B5721" s="5" t="s">
        <v>14930</v>
      </c>
      <c r="C5721" s="2" t="s">
        <v>14931</v>
      </c>
      <c r="D5721" s="5" t="s">
        <v>14930</v>
      </c>
      <c r="E5721" s="2" t="s">
        <v>15441</v>
      </c>
      <c r="F5721" s="2" t="s">
        <v>15442</v>
      </c>
      <c r="G5721" s="2" t="s">
        <v>15443</v>
      </c>
      <c r="H5721" s="2" t="s">
        <v>15444</v>
      </c>
    </row>
    <row r="5722">
      <c r="A5722" s="2">
        <v>5720.0</v>
      </c>
      <c r="B5722" s="5" t="s">
        <v>8490</v>
      </c>
      <c r="C5722" s="2" t="s">
        <v>8491</v>
      </c>
      <c r="D5722" s="5" t="s">
        <v>8490</v>
      </c>
      <c r="E5722" s="2" t="s">
        <v>15445</v>
      </c>
      <c r="F5722" s="2" t="s">
        <v>15446</v>
      </c>
      <c r="G5722" s="2" t="s">
        <v>15443</v>
      </c>
      <c r="H5722" s="2" t="s">
        <v>15444</v>
      </c>
    </row>
    <row r="5723">
      <c r="A5723" s="2">
        <v>5721.0</v>
      </c>
      <c r="B5723" s="5" t="s">
        <v>14932</v>
      </c>
      <c r="C5723" s="2" t="s">
        <v>14933</v>
      </c>
      <c r="D5723" s="5" t="s">
        <v>14932</v>
      </c>
      <c r="E5723" s="2" t="s">
        <v>15441</v>
      </c>
      <c r="F5723" s="2" t="s">
        <v>15446</v>
      </c>
      <c r="G5723" s="2" t="s">
        <v>15443</v>
      </c>
      <c r="H5723" s="2" t="s">
        <v>15444</v>
      </c>
    </row>
    <row r="5724">
      <c r="A5724" s="2">
        <v>5722.0</v>
      </c>
      <c r="B5724" s="5" t="s">
        <v>8493</v>
      </c>
      <c r="C5724" s="2" t="s">
        <v>8494</v>
      </c>
      <c r="D5724" s="5" t="s">
        <v>8493</v>
      </c>
      <c r="E5724" s="2" t="s">
        <v>15445</v>
      </c>
      <c r="F5724" s="2" t="s">
        <v>15442</v>
      </c>
      <c r="G5724" s="2" t="s">
        <v>15443</v>
      </c>
      <c r="H5724" s="2" t="s">
        <v>15444</v>
      </c>
    </row>
    <row r="5725">
      <c r="A5725" s="2">
        <v>5723.0</v>
      </c>
      <c r="B5725" s="5" t="s">
        <v>8496</v>
      </c>
      <c r="C5725" s="2" t="s">
        <v>8497</v>
      </c>
      <c r="D5725" s="5" t="s">
        <v>8496</v>
      </c>
      <c r="E5725" s="2" t="s">
        <v>15445</v>
      </c>
      <c r="F5725" s="2" t="s">
        <v>15446</v>
      </c>
      <c r="G5725" s="2" t="s">
        <v>15456</v>
      </c>
      <c r="H5725" s="2" t="s">
        <v>15444</v>
      </c>
    </row>
    <row r="5726">
      <c r="A5726" s="2">
        <v>5724.0</v>
      </c>
      <c r="B5726" s="5" t="s">
        <v>8499</v>
      </c>
      <c r="C5726" s="2" t="s">
        <v>8500</v>
      </c>
      <c r="D5726" s="5" t="s">
        <v>8499</v>
      </c>
      <c r="E5726" s="2" t="s">
        <v>15445</v>
      </c>
      <c r="F5726" s="2" t="s">
        <v>15446</v>
      </c>
      <c r="G5726" s="2" t="s">
        <v>15443</v>
      </c>
      <c r="H5726" s="2" t="s">
        <v>15444</v>
      </c>
    </row>
    <row r="5727">
      <c r="A5727" s="2">
        <v>5725.0</v>
      </c>
      <c r="B5727" s="5" t="s">
        <v>14934</v>
      </c>
      <c r="C5727" s="2" t="s">
        <v>14935</v>
      </c>
      <c r="D5727" s="5" t="s">
        <v>14934</v>
      </c>
      <c r="E5727" s="2" t="s">
        <v>15441</v>
      </c>
      <c r="F5727" s="2" t="s">
        <v>15442</v>
      </c>
      <c r="G5727" s="2" t="s">
        <v>15456</v>
      </c>
      <c r="H5727" s="2" t="s">
        <v>15444</v>
      </c>
    </row>
    <row r="5728">
      <c r="A5728" s="2">
        <v>5726.0</v>
      </c>
      <c r="B5728" s="5" t="s">
        <v>8502</v>
      </c>
      <c r="C5728" s="2" t="s">
        <v>8503</v>
      </c>
      <c r="D5728" s="5" t="s">
        <v>8502</v>
      </c>
      <c r="E5728" s="2" t="s">
        <v>15445</v>
      </c>
      <c r="F5728" s="2" t="s">
        <v>15442</v>
      </c>
      <c r="G5728" s="2" t="s">
        <v>15443</v>
      </c>
      <c r="H5728" s="2" t="s">
        <v>15444</v>
      </c>
    </row>
    <row r="5729">
      <c r="A5729" s="2">
        <v>5727.0</v>
      </c>
      <c r="B5729" s="5" t="s">
        <v>14936</v>
      </c>
      <c r="C5729" s="2" t="s">
        <v>14937</v>
      </c>
      <c r="D5729" s="5" t="s">
        <v>14936</v>
      </c>
      <c r="E5729" s="2" t="s">
        <v>15441</v>
      </c>
      <c r="F5729" s="2" t="s">
        <v>15442</v>
      </c>
      <c r="G5729" s="2" t="s">
        <v>15443</v>
      </c>
      <c r="H5729" s="2" t="s">
        <v>15444</v>
      </c>
    </row>
    <row r="5730">
      <c r="A5730" s="2">
        <v>5728.0</v>
      </c>
      <c r="B5730" s="5" t="s">
        <v>8505</v>
      </c>
      <c r="C5730" s="2" t="s">
        <v>8506</v>
      </c>
      <c r="D5730" s="5" t="s">
        <v>8505</v>
      </c>
      <c r="E5730" s="2" t="s">
        <v>15445</v>
      </c>
      <c r="F5730" s="2" t="s">
        <v>15446</v>
      </c>
      <c r="G5730" s="2" t="s">
        <v>15443</v>
      </c>
      <c r="H5730" s="2" t="s">
        <v>15444</v>
      </c>
    </row>
    <row r="5731">
      <c r="A5731" s="2">
        <v>5729.0</v>
      </c>
      <c r="B5731" s="5" t="s">
        <v>14938</v>
      </c>
      <c r="C5731" s="2" t="s">
        <v>14939</v>
      </c>
      <c r="D5731" s="5" t="s">
        <v>14938</v>
      </c>
      <c r="E5731" s="2" t="s">
        <v>15441</v>
      </c>
      <c r="F5731" s="2" t="s">
        <v>15442</v>
      </c>
      <c r="G5731" s="2" t="s">
        <v>15443</v>
      </c>
      <c r="H5731" s="2" t="s">
        <v>15444</v>
      </c>
    </row>
    <row r="5732">
      <c r="A5732" s="2">
        <v>5730.0</v>
      </c>
      <c r="B5732" s="5" t="s">
        <v>14940</v>
      </c>
      <c r="C5732" s="2" t="s">
        <v>14941</v>
      </c>
      <c r="D5732" s="5" t="s">
        <v>14940</v>
      </c>
      <c r="E5732" s="2" t="s">
        <v>15441</v>
      </c>
      <c r="F5732" s="2" t="s">
        <v>15446</v>
      </c>
      <c r="G5732" s="2" t="s">
        <v>15456</v>
      </c>
      <c r="H5732" s="2" t="s">
        <v>15444</v>
      </c>
    </row>
    <row r="5733">
      <c r="A5733" s="2">
        <v>5731.0</v>
      </c>
      <c r="B5733" s="5" t="s">
        <v>8508</v>
      </c>
      <c r="C5733" s="2" t="s">
        <v>8509</v>
      </c>
      <c r="D5733" s="5" t="s">
        <v>8508</v>
      </c>
      <c r="E5733" s="2" t="s">
        <v>15445</v>
      </c>
      <c r="F5733" s="2" t="s">
        <v>15446</v>
      </c>
      <c r="G5733" s="2" t="s">
        <v>15456</v>
      </c>
      <c r="H5733" s="2" t="s">
        <v>15444</v>
      </c>
    </row>
    <row r="5734">
      <c r="A5734" s="2">
        <v>5732.0</v>
      </c>
      <c r="B5734" s="5" t="s">
        <v>8511</v>
      </c>
      <c r="C5734" s="2" t="s">
        <v>8512</v>
      </c>
      <c r="D5734" s="5" t="s">
        <v>8511</v>
      </c>
      <c r="E5734" s="2" t="s">
        <v>15445</v>
      </c>
      <c r="F5734" s="2" t="s">
        <v>15446</v>
      </c>
      <c r="G5734" s="2" t="s">
        <v>15443</v>
      </c>
      <c r="H5734" s="2" t="s">
        <v>15444</v>
      </c>
    </row>
    <row r="5735">
      <c r="A5735" s="2">
        <v>5733.0</v>
      </c>
      <c r="B5735" s="5" t="s">
        <v>8514</v>
      </c>
      <c r="C5735" s="2" t="s">
        <v>8515</v>
      </c>
      <c r="D5735" s="5" t="s">
        <v>8514</v>
      </c>
      <c r="E5735" s="2" t="s">
        <v>15445</v>
      </c>
      <c r="F5735" s="2" t="s">
        <v>15446</v>
      </c>
      <c r="G5735" s="2" t="s">
        <v>15456</v>
      </c>
      <c r="H5735" s="2" t="s">
        <v>15444</v>
      </c>
    </row>
    <row r="5736">
      <c r="A5736" s="2">
        <v>5734.0</v>
      </c>
      <c r="B5736" s="5" t="s">
        <v>8517</v>
      </c>
      <c r="C5736" s="2" t="s">
        <v>8518</v>
      </c>
      <c r="D5736" s="5" t="s">
        <v>8517</v>
      </c>
      <c r="E5736" s="2" t="s">
        <v>15445</v>
      </c>
      <c r="F5736" s="2" t="s">
        <v>15442</v>
      </c>
      <c r="G5736" s="2" t="s">
        <v>15443</v>
      </c>
      <c r="H5736" s="2" t="s">
        <v>15444</v>
      </c>
    </row>
    <row r="5737">
      <c r="A5737" s="2">
        <v>5735.0</v>
      </c>
      <c r="B5737" s="5" t="s">
        <v>8520</v>
      </c>
      <c r="C5737" s="2" t="s">
        <v>8521</v>
      </c>
      <c r="D5737" s="5" t="s">
        <v>8520</v>
      </c>
      <c r="E5737" s="2" t="s">
        <v>15445</v>
      </c>
      <c r="F5737" s="2" t="s">
        <v>15446</v>
      </c>
      <c r="G5737" s="2" t="s">
        <v>15443</v>
      </c>
      <c r="H5737" s="2" t="s">
        <v>15444</v>
      </c>
    </row>
    <row r="5738">
      <c r="A5738" s="2">
        <v>5736.0</v>
      </c>
      <c r="B5738" s="5" t="s">
        <v>14942</v>
      </c>
      <c r="C5738" s="2" t="s">
        <v>14943</v>
      </c>
      <c r="D5738" s="5" t="s">
        <v>14942</v>
      </c>
      <c r="E5738" s="2" t="s">
        <v>15441</v>
      </c>
      <c r="F5738" s="2" t="s">
        <v>15446</v>
      </c>
      <c r="G5738" s="2" t="s">
        <v>15443</v>
      </c>
      <c r="H5738" s="2" t="s">
        <v>15444</v>
      </c>
    </row>
    <row r="5739">
      <c r="A5739" s="2">
        <v>5737.0</v>
      </c>
      <c r="B5739" s="5" t="s">
        <v>8523</v>
      </c>
      <c r="C5739" s="2" t="s">
        <v>8524</v>
      </c>
      <c r="D5739" s="5" t="s">
        <v>8523</v>
      </c>
      <c r="E5739" s="2" t="s">
        <v>15445</v>
      </c>
      <c r="F5739" s="2" t="s">
        <v>15446</v>
      </c>
      <c r="G5739" s="2" t="s">
        <v>15456</v>
      </c>
      <c r="H5739" s="2" t="s">
        <v>15444</v>
      </c>
    </row>
    <row r="5740">
      <c r="A5740" s="2">
        <v>5738.0</v>
      </c>
      <c r="B5740" s="5" t="s">
        <v>14944</v>
      </c>
      <c r="C5740" s="2" t="s">
        <v>14945</v>
      </c>
      <c r="D5740" s="5" t="s">
        <v>14944</v>
      </c>
      <c r="E5740" s="2" t="s">
        <v>15441</v>
      </c>
      <c r="F5740" s="2" t="s">
        <v>15446</v>
      </c>
      <c r="G5740" s="2" t="s">
        <v>15456</v>
      </c>
      <c r="H5740" s="2" t="s">
        <v>15444</v>
      </c>
    </row>
    <row r="5741">
      <c r="A5741" s="2">
        <v>5739.0</v>
      </c>
      <c r="B5741" s="5" t="s">
        <v>14946</v>
      </c>
      <c r="C5741" s="2" t="s">
        <v>14947</v>
      </c>
      <c r="D5741" s="5" t="s">
        <v>14946</v>
      </c>
      <c r="E5741" s="2" t="s">
        <v>15441</v>
      </c>
      <c r="F5741" s="2" t="s">
        <v>15446</v>
      </c>
      <c r="G5741" s="2" t="s">
        <v>15456</v>
      </c>
      <c r="H5741" s="2" t="s">
        <v>15444</v>
      </c>
    </row>
    <row r="5742">
      <c r="A5742" s="2">
        <v>5740.0</v>
      </c>
      <c r="B5742" s="5" t="s">
        <v>8526</v>
      </c>
      <c r="C5742" s="2" t="s">
        <v>8527</v>
      </c>
      <c r="D5742" s="5" t="s">
        <v>8526</v>
      </c>
      <c r="E5742" s="2" t="s">
        <v>15445</v>
      </c>
      <c r="F5742" s="2" t="s">
        <v>15442</v>
      </c>
      <c r="G5742" s="2" t="s">
        <v>15443</v>
      </c>
      <c r="H5742" s="2" t="s">
        <v>15444</v>
      </c>
    </row>
    <row r="5743">
      <c r="A5743" s="2">
        <v>5741.0</v>
      </c>
      <c r="B5743" s="5" t="s">
        <v>14948</v>
      </c>
      <c r="C5743" s="2" t="s">
        <v>14949</v>
      </c>
      <c r="D5743" s="5" t="s">
        <v>14948</v>
      </c>
      <c r="E5743" s="2" t="s">
        <v>15441</v>
      </c>
      <c r="F5743" s="2" t="s">
        <v>15442</v>
      </c>
      <c r="G5743" s="2" t="s">
        <v>15443</v>
      </c>
      <c r="H5743" s="2" t="s">
        <v>15444</v>
      </c>
    </row>
    <row r="5744">
      <c r="A5744" s="2">
        <v>5742.0</v>
      </c>
      <c r="B5744" s="5" t="s">
        <v>8529</v>
      </c>
      <c r="C5744" s="2" t="s">
        <v>8530</v>
      </c>
      <c r="D5744" s="5" t="s">
        <v>8529</v>
      </c>
      <c r="E5744" s="2" t="s">
        <v>15445</v>
      </c>
      <c r="F5744" s="2" t="s">
        <v>15442</v>
      </c>
      <c r="G5744" s="2" t="s">
        <v>15456</v>
      </c>
      <c r="H5744" s="2" t="s">
        <v>15444</v>
      </c>
    </row>
    <row r="5745">
      <c r="A5745" s="2">
        <v>5743.0</v>
      </c>
      <c r="B5745" s="5" t="s">
        <v>8532</v>
      </c>
      <c r="C5745" s="2" t="s">
        <v>8533</v>
      </c>
      <c r="D5745" s="5" t="s">
        <v>8532</v>
      </c>
      <c r="E5745" s="2" t="s">
        <v>15445</v>
      </c>
      <c r="F5745" s="2" t="s">
        <v>15446</v>
      </c>
      <c r="G5745" s="2" t="s">
        <v>15443</v>
      </c>
      <c r="H5745" s="2" t="s">
        <v>15462</v>
      </c>
    </row>
    <row r="5746">
      <c r="A5746" s="2">
        <v>5744.0</v>
      </c>
      <c r="B5746" s="5" t="s">
        <v>8535</v>
      </c>
      <c r="C5746" s="2" t="s">
        <v>8536</v>
      </c>
      <c r="D5746" s="5" t="s">
        <v>8535</v>
      </c>
      <c r="E5746" s="2" t="s">
        <v>15445</v>
      </c>
      <c r="F5746" s="2" t="s">
        <v>15446</v>
      </c>
      <c r="G5746" s="2" t="s">
        <v>15456</v>
      </c>
      <c r="H5746" s="2" t="s">
        <v>15444</v>
      </c>
    </row>
    <row r="5747">
      <c r="A5747" s="2">
        <v>5745.0</v>
      </c>
      <c r="B5747" s="5" t="s">
        <v>14950</v>
      </c>
      <c r="C5747" s="2" t="s">
        <v>14951</v>
      </c>
      <c r="D5747" s="5" t="s">
        <v>14950</v>
      </c>
      <c r="E5747" s="2" t="s">
        <v>15441</v>
      </c>
      <c r="F5747" s="2" t="s">
        <v>15446</v>
      </c>
      <c r="G5747" s="2" t="s">
        <v>15456</v>
      </c>
      <c r="H5747" s="2" t="s">
        <v>15444</v>
      </c>
    </row>
    <row r="5748">
      <c r="A5748" s="2">
        <v>5746.0</v>
      </c>
      <c r="B5748" s="5" t="s">
        <v>8538</v>
      </c>
      <c r="C5748" s="2" t="s">
        <v>8539</v>
      </c>
      <c r="D5748" s="5" t="s">
        <v>8538</v>
      </c>
      <c r="E5748" s="2" t="s">
        <v>15445</v>
      </c>
      <c r="F5748" s="2" t="s">
        <v>15446</v>
      </c>
      <c r="G5748" s="2" t="s">
        <v>15456</v>
      </c>
      <c r="H5748" s="2" t="s">
        <v>15444</v>
      </c>
    </row>
    <row r="5749">
      <c r="A5749" s="2">
        <v>5747.0</v>
      </c>
      <c r="B5749" s="5" t="s">
        <v>14952</v>
      </c>
      <c r="C5749" s="2" t="s">
        <v>14953</v>
      </c>
      <c r="D5749" s="5" t="s">
        <v>14952</v>
      </c>
      <c r="E5749" s="2" t="s">
        <v>15441</v>
      </c>
      <c r="F5749" s="2" t="s">
        <v>15442</v>
      </c>
      <c r="G5749" s="2" t="s">
        <v>15443</v>
      </c>
      <c r="H5749" s="2" t="s">
        <v>15444</v>
      </c>
    </row>
    <row r="5750">
      <c r="A5750" s="2">
        <v>5748.0</v>
      </c>
      <c r="B5750" s="5" t="s">
        <v>14954</v>
      </c>
      <c r="C5750" s="2" t="s">
        <v>14955</v>
      </c>
      <c r="D5750" s="5" t="s">
        <v>14954</v>
      </c>
      <c r="E5750" s="2" t="s">
        <v>15441</v>
      </c>
      <c r="F5750" s="2" t="s">
        <v>15442</v>
      </c>
      <c r="G5750" s="2" t="s">
        <v>15443</v>
      </c>
      <c r="H5750" s="2" t="s">
        <v>15444</v>
      </c>
    </row>
    <row r="5751">
      <c r="A5751" s="2">
        <v>5749.0</v>
      </c>
      <c r="B5751" s="5" t="s">
        <v>8541</v>
      </c>
      <c r="C5751" s="2" t="s">
        <v>8542</v>
      </c>
      <c r="D5751" s="5" t="s">
        <v>8541</v>
      </c>
      <c r="E5751" s="2" t="s">
        <v>15445</v>
      </c>
      <c r="F5751" s="2" t="s">
        <v>15442</v>
      </c>
      <c r="G5751" s="2" t="s">
        <v>15443</v>
      </c>
      <c r="H5751" s="2" t="s">
        <v>15444</v>
      </c>
    </row>
    <row r="5752">
      <c r="A5752" s="2">
        <v>5750.0</v>
      </c>
      <c r="B5752" s="5" t="s">
        <v>8544</v>
      </c>
      <c r="C5752" s="2" t="s">
        <v>8545</v>
      </c>
      <c r="D5752" s="5" t="s">
        <v>8544</v>
      </c>
      <c r="E5752" s="2" t="s">
        <v>15445</v>
      </c>
      <c r="F5752" s="2" t="s">
        <v>15442</v>
      </c>
      <c r="G5752" s="2" t="s">
        <v>15443</v>
      </c>
      <c r="H5752" s="2" t="s">
        <v>15444</v>
      </c>
    </row>
    <row r="5753">
      <c r="A5753" s="2">
        <v>5751.0</v>
      </c>
      <c r="B5753" s="5" t="s">
        <v>14956</v>
      </c>
      <c r="C5753" s="2" t="s">
        <v>14957</v>
      </c>
      <c r="D5753" s="5" t="s">
        <v>14956</v>
      </c>
      <c r="E5753" s="2" t="s">
        <v>15441</v>
      </c>
      <c r="F5753" s="2" t="s">
        <v>15446</v>
      </c>
      <c r="G5753" s="2" t="s">
        <v>15456</v>
      </c>
      <c r="H5753" s="2" t="s">
        <v>15444</v>
      </c>
    </row>
    <row r="5754">
      <c r="A5754" s="2">
        <v>5752.0</v>
      </c>
      <c r="B5754" s="5" t="s">
        <v>14958</v>
      </c>
      <c r="C5754" s="2" t="s">
        <v>14959</v>
      </c>
      <c r="D5754" s="5" t="s">
        <v>14958</v>
      </c>
      <c r="E5754" s="2" t="s">
        <v>15441</v>
      </c>
      <c r="F5754" s="2" t="s">
        <v>15442</v>
      </c>
      <c r="G5754" s="2" t="s">
        <v>15443</v>
      </c>
      <c r="H5754" s="2" t="s">
        <v>15444</v>
      </c>
    </row>
    <row r="5755">
      <c r="A5755" s="2">
        <v>5753.0</v>
      </c>
      <c r="B5755" s="5" t="s">
        <v>8547</v>
      </c>
      <c r="C5755" s="2" t="s">
        <v>8548</v>
      </c>
      <c r="D5755" s="5" t="s">
        <v>8547</v>
      </c>
      <c r="E5755" s="2" t="s">
        <v>15445</v>
      </c>
      <c r="F5755" s="2" t="s">
        <v>15442</v>
      </c>
      <c r="G5755" s="2" t="s">
        <v>15443</v>
      </c>
      <c r="H5755" s="2" t="s">
        <v>15444</v>
      </c>
    </row>
    <row r="5756">
      <c r="A5756" s="2">
        <v>5754.0</v>
      </c>
      <c r="B5756" s="5" t="s">
        <v>8550</v>
      </c>
      <c r="C5756" s="2" t="s">
        <v>8551</v>
      </c>
      <c r="D5756" s="5" t="s">
        <v>8550</v>
      </c>
      <c r="E5756" s="2" t="s">
        <v>15445</v>
      </c>
      <c r="F5756" s="2" t="s">
        <v>15446</v>
      </c>
      <c r="G5756" s="2" t="s">
        <v>15456</v>
      </c>
      <c r="H5756" s="2" t="s">
        <v>15457</v>
      </c>
    </row>
    <row r="5757">
      <c r="A5757" s="2">
        <v>5755.0</v>
      </c>
      <c r="B5757" s="5" t="s">
        <v>14960</v>
      </c>
      <c r="C5757" s="2" t="s">
        <v>14961</v>
      </c>
      <c r="D5757" s="5" t="s">
        <v>14960</v>
      </c>
      <c r="E5757" s="2" t="s">
        <v>15441</v>
      </c>
      <c r="F5757" s="2" t="s">
        <v>15446</v>
      </c>
      <c r="G5757" s="2" t="s">
        <v>15456</v>
      </c>
      <c r="H5757" s="2" t="s">
        <v>15444</v>
      </c>
    </row>
    <row r="5758">
      <c r="A5758" s="2">
        <v>5756.0</v>
      </c>
      <c r="B5758" s="5" t="s">
        <v>14962</v>
      </c>
      <c r="C5758" s="2" t="s">
        <v>14963</v>
      </c>
      <c r="D5758" s="5" t="s">
        <v>14962</v>
      </c>
      <c r="E5758" s="2" t="s">
        <v>15441</v>
      </c>
      <c r="F5758" s="2" t="s">
        <v>15446</v>
      </c>
      <c r="G5758" s="2" t="s">
        <v>15456</v>
      </c>
      <c r="H5758" s="2" t="s">
        <v>15444</v>
      </c>
    </row>
    <row r="5759">
      <c r="A5759" s="2">
        <v>5757.0</v>
      </c>
      <c r="B5759" s="5" t="s">
        <v>8553</v>
      </c>
      <c r="C5759" s="2" t="s">
        <v>8554</v>
      </c>
      <c r="D5759" s="5" t="s">
        <v>8553</v>
      </c>
      <c r="E5759" s="2" t="s">
        <v>15445</v>
      </c>
      <c r="F5759" s="2" t="s">
        <v>15446</v>
      </c>
      <c r="G5759" s="2" t="s">
        <v>15456</v>
      </c>
      <c r="H5759" s="2" t="s">
        <v>15455</v>
      </c>
    </row>
    <row r="5760">
      <c r="A5760" s="2">
        <v>5758.0</v>
      </c>
      <c r="B5760" s="5" t="s">
        <v>8556</v>
      </c>
      <c r="C5760" s="2" t="s">
        <v>8557</v>
      </c>
      <c r="D5760" s="5" t="s">
        <v>8556</v>
      </c>
      <c r="E5760" s="2" t="s">
        <v>15445</v>
      </c>
      <c r="F5760" s="2" t="s">
        <v>15442</v>
      </c>
      <c r="G5760" s="2" t="s">
        <v>15443</v>
      </c>
      <c r="H5760" s="2" t="s">
        <v>15444</v>
      </c>
    </row>
    <row r="5761">
      <c r="A5761" s="2">
        <v>5759.0</v>
      </c>
      <c r="B5761" s="5" t="s">
        <v>14964</v>
      </c>
      <c r="C5761" s="2" t="s">
        <v>14965</v>
      </c>
      <c r="D5761" s="5" t="s">
        <v>14964</v>
      </c>
      <c r="E5761" s="2" t="s">
        <v>15441</v>
      </c>
      <c r="F5761" s="2" t="s">
        <v>15446</v>
      </c>
      <c r="G5761" s="2" t="s">
        <v>15456</v>
      </c>
      <c r="H5761" s="2" t="s">
        <v>15444</v>
      </c>
    </row>
    <row r="5762">
      <c r="A5762" s="2">
        <v>5760.0</v>
      </c>
      <c r="B5762" s="5" t="s">
        <v>8559</v>
      </c>
      <c r="C5762" s="2" t="s">
        <v>8560</v>
      </c>
      <c r="D5762" s="5" t="s">
        <v>8559</v>
      </c>
      <c r="E5762" s="2" t="s">
        <v>15445</v>
      </c>
      <c r="F5762" s="2" t="s">
        <v>15446</v>
      </c>
      <c r="G5762" s="2" t="s">
        <v>15443</v>
      </c>
      <c r="H5762" s="2" t="s">
        <v>15457</v>
      </c>
    </row>
    <row r="5763">
      <c r="A5763" s="2">
        <v>5761.0</v>
      </c>
      <c r="B5763" s="5" t="s">
        <v>8562</v>
      </c>
      <c r="C5763" s="2" t="s">
        <v>8563</v>
      </c>
      <c r="D5763" s="5" t="s">
        <v>8562</v>
      </c>
      <c r="E5763" s="2" t="s">
        <v>15445</v>
      </c>
      <c r="F5763" s="2" t="s">
        <v>15442</v>
      </c>
      <c r="G5763" s="2" t="s">
        <v>15443</v>
      </c>
      <c r="H5763" s="2" t="s">
        <v>15444</v>
      </c>
    </row>
    <row r="5764">
      <c r="A5764" s="2">
        <v>5762.0</v>
      </c>
      <c r="B5764" s="5" t="s">
        <v>8565</v>
      </c>
      <c r="C5764" s="2" t="s">
        <v>8566</v>
      </c>
      <c r="D5764" s="5" t="s">
        <v>8565</v>
      </c>
      <c r="E5764" s="2" t="s">
        <v>15445</v>
      </c>
      <c r="F5764" s="2" t="s">
        <v>15442</v>
      </c>
      <c r="G5764" s="2" t="s">
        <v>15456</v>
      </c>
      <c r="H5764" s="2" t="s">
        <v>15444</v>
      </c>
    </row>
    <row r="5765">
      <c r="A5765" s="2">
        <v>5763.0</v>
      </c>
      <c r="B5765" s="5" t="s">
        <v>14966</v>
      </c>
      <c r="C5765" s="2" t="s">
        <v>14967</v>
      </c>
      <c r="D5765" s="5" t="s">
        <v>14966</v>
      </c>
      <c r="E5765" s="2" t="s">
        <v>15441</v>
      </c>
      <c r="F5765" s="2" t="s">
        <v>15442</v>
      </c>
      <c r="G5765" s="2" t="s">
        <v>15443</v>
      </c>
      <c r="H5765" s="2" t="s">
        <v>15444</v>
      </c>
    </row>
    <row r="5766">
      <c r="A5766" s="2">
        <v>5764.0</v>
      </c>
      <c r="B5766" s="5" t="s">
        <v>14968</v>
      </c>
      <c r="C5766" s="2" t="s">
        <v>14969</v>
      </c>
      <c r="D5766" s="5" t="s">
        <v>14968</v>
      </c>
      <c r="E5766" s="2" t="s">
        <v>15441</v>
      </c>
      <c r="F5766" s="2" t="s">
        <v>15446</v>
      </c>
      <c r="G5766" s="2" t="s">
        <v>15456</v>
      </c>
      <c r="H5766" s="2" t="s">
        <v>15444</v>
      </c>
    </row>
    <row r="5767">
      <c r="A5767" s="2">
        <v>5765.0</v>
      </c>
      <c r="B5767" s="5" t="s">
        <v>14970</v>
      </c>
      <c r="C5767" s="2" t="s">
        <v>14971</v>
      </c>
      <c r="D5767" s="5" t="s">
        <v>14970</v>
      </c>
      <c r="E5767" s="2" t="s">
        <v>15441</v>
      </c>
      <c r="F5767" s="2" t="s">
        <v>15446</v>
      </c>
      <c r="G5767" s="2" t="s">
        <v>15443</v>
      </c>
      <c r="H5767" s="2" t="s">
        <v>15444</v>
      </c>
    </row>
    <row r="5768">
      <c r="A5768" s="2">
        <v>5766.0</v>
      </c>
      <c r="B5768" s="5" t="s">
        <v>14972</v>
      </c>
      <c r="C5768" s="2" t="s">
        <v>14973</v>
      </c>
      <c r="D5768" s="5" t="s">
        <v>14972</v>
      </c>
      <c r="E5768" s="2" t="s">
        <v>15441</v>
      </c>
      <c r="F5768" s="2" t="s">
        <v>15446</v>
      </c>
      <c r="G5768" s="2" t="s">
        <v>15443</v>
      </c>
      <c r="H5768" s="2" t="s">
        <v>15444</v>
      </c>
    </row>
    <row r="5769">
      <c r="A5769" s="2">
        <v>5767.0</v>
      </c>
      <c r="B5769" s="5" t="s">
        <v>8568</v>
      </c>
      <c r="C5769" s="2" t="s">
        <v>8569</v>
      </c>
      <c r="D5769" s="5" t="s">
        <v>8568</v>
      </c>
      <c r="E5769" s="2" t="s">
        <v>15445</v>
      </c>
      <c r="F5769" s="2" t="s">
        <v>15442</v>
      </c>
      <c r="G5769" s="2" t="s">
        <v>15443</v>
      </c>
      <c r="H5769" s="2" t="s">
        <v>15444</v>
      </c>
    </row>
    <row r="5770">
      <c r="A5770" s="2">
        <v>5768.0</v>
      </c>
      <c r="B5770" s="5" t="s">
        <v>8571</v>
      </c>
      <c r="C5770" s="2" t="s">
        <v>8572</v>
      </c>
      <c r="D5770" s="5" t="s">
        <v>8571</v>
      </c>
      <c r="E5770" s="2" t="s">
        <v>15445</v>
      </c>
      <c r="F5770" s="2" t="s">
        <v>15442</v>
      </c>
      <c r="G5770" s="2" t="s">
        <v>15456</v>
      </c>
      <c r="H5770" s="2" t="s">
        <v>15444</v>
      </c>
    </row>
    <row r="5771">
      <c r="A5771" s="2">
        <v>5769.0</v>
      </c>
      <c r="B5771" s="5" t="s">
        <v>8574</v>
      </c>
      <c r="C5771" s="2" t="s">
        <v>8575</v>
      </c>
      <c r="D5771" s="5" t="s">
        <v>8574</v>
      </c>
      <c r="E5771" s="2" t="s">
        <v>15445</v>
      </c>
      <c r="F5771" s="2" t="s">
        <v>15446</v>
      </c>
      <c r="G5771" s="2" t="s">
        <v>15443</v>
      </c>
      <c r="H5771" s="2" t="s">
        <v>15444</v>
      </c>
    </row>
    <row r="5772">
      <c r="A5772" s="2">
        <v>5770.0</v>
      </c>
      <c r="B5772" s="5" t="s">
        <v>8577</v>
      </c>
      <c r="C5772" s="2" t="s">
        <v>8578</v>
      </c>
      <c r="D5772" s="5" t="s">
        <v>8577</v>
      </c>
      <c r="E5772" s="2" t="s">
        <v>15445</v>
      </c>
      <c r="F5772" s="2" t="s">
        <v>15446</v>
      </c>
      <c r="G5772" s="2" t="s">
        <v>15456</v>
      </c>
      <c r="H5772" s="2" t="s">
        <v>15444</v>
      </c>
    </row>
    <row r="5773">
      <c r="A5773" s="2">
        <v>5771.0</v>
      </c>
      <c r="B5773" s="5" t="s">
        <v>8580</v>
      </c>
      <c r="C5773" s="2" t="s">
        <v>8581</v>
      </c>
      <c r="D5773" s="5" t="s">
        <v>8580</v>
      </c>
      <c r="E5773" s="2" t="s">
        <v>15445</v>
      </c>
      <c r="F5773" s="2" t="s">
        <v>15446</v>
      </c>
      <c r="G5773" s="2" t="s">
        <v>15456</v>
      </c>
      <c r="H5773" s="2" t="s">
        <v>15444</v>
      </c>
    </row>
    <row r="5774">
      <c r="A5774" s="2">
        <v>5772.0</v>
      </c>
      <c r="B5774" s="5" t="s">
        <v>8583</v>
      </c>
      <c r="C5774" s="2" t="s">
        <v>8584</v>
      </c>
      <c r="D5774" s="5" t="s">
        <v>8583</v>
      </c>
      <c r="E5774" s="2" t="s">
        <v>15445</v>
      </c>
      <c r="F5774" s="2" t="s">
        <v>15446</v>
      </c>
      <c r="G5774" s="2" t="s">
        <v>15443</v>
      </c>
      <c r="H5774" s="2" t="s">
        <v>15444</v>
      </c>
    </row>
    <row r="5775">
      <c r="A5775" s="2">
        <v>5773.0</v>
      </c>
      <c r="B5775" s="5" t="s">
        <v>14974</v>
      </c>
      <c r="C5775" s="2" t="s">
        <v>14975</v>
      </c>
      <c r="D5775" s="5" t="s">
        <v>14974</v>
      </c>
      <c r="E5775" s="2" t="s">
        <v>15441</v>
      </c>
      <c r="F5775" s="2" t="s">
        <v>15446</v>
      </c>
      <c r="G5775" s="2" t="s">
        <v>15443</v>
      </c>
      <c r="H5775" s="2" t="s">
        <v>15444</v>
      </c>
    </row>
    <row r="5776">
      <c r="A5776" s="2">
        <v>5774.0</v>
      </c>
      <c r="B5776" s="5" t="s">
        <v>8586</v>
      </c>
      <c r="C5776" s="2" t="s">
        <v>8587</v>
      </c>
      <c r="D5776" s="5" t="s">
        <v>8586</v>
      </c>
      <c r="E5776" s="2" t="s">
        <v>15445</v>
      </c>
      <c r="F5776" s="2" t="s">
        <v>15442</v>
      </c>
      <c r="G5776" s="2" t="s">
        <v>15443</v>
      </c>
      <c r="H5776" s="2" t="s">
        <v>15461</v>
      </c>
    </row>
    <row r="5777">
      <c r="A5777" s="2">
        <v>5775.0</v>
      </c>
      <c r="B5777" s="5" t="s">
        <v>14976</v>
      </c>
      <c r="C5777" s="2" t="s">
        <v>14977</v>
      </c>
      <c r="D5777" s="5" t="s">
        <v>14976</v>
      </c>
      <c r="E5777" s="2" t="s">
        <v>15441</v>
      </c>
      <c r="F5777" s="2" t="s">
        <v>15446</v>
      </c>
      <c r="G5777" s="2" t="s">
        <v>15456</v>
      </c>
      <c r="H5777" s="2" t="s">
        <v>15444</v>
      </c>
    </row>
    <row r="5778">
      <c r="A5778" s="2">
        <v>5776.0</v>
      </c>
      <c r="B5778" s="5" t="s">
        <v>8588</v>
      </c>
      <c r="C5778" s="2" t="s">
        <v>8589</v>
      </c>
      <c r="D5778" s="5" t="s">
        <v>8588</v>
      </c>
      <c r="E5778" s="2" t="s">
        <v>15445</v>
      </c>
      <c r="F5778" s="2" t="s">
        <v>15446</v>
      </c>
      <c r="G5778" s="2" t="s">
        <v>15443</v>
      </c>
      <c r="H5778" s="2" t="s">
        <v>15444</v>
      </c>
    </row>
    <row r="5779">
      <c r="A5779" s="2">
        <v>5777.0</v>
      </c>
      <c r="B5779" s="5" t="s">
        <v>8591</v>
      </c>
      <c r="C5779" s="2" t="s">
        <v>8592</v>
      </c>
      <c r="D5779" s="5" t="s">
        <v>8591</v>
      </c>
      <c r="E5779" s="2" t="s">
        <v>15445</v>
      </c>
      <c r="F5779" s="2" t="s">
        <v>15446</v>
      </c>
      <c r="G5779" s="2" t="s">
        <v>15456</v>
      </c>
      <c r="H5779" s="2" t="s">
        <v>15444</v>
      </c>
    </row>
    <row r="5780">
      <c r="A5780" s="2">
        <v>5778.0</v>
      </c>
      <c r="B5780" s="5" t="s">
        <v>14978</v>
      </c>
      <c r="C5780" s="2" t="s">
        <v>14979</v>
      </c>
      <c r="D5780" s="5" t="s">
        <v>14978</v>
      </c>
      <c r="E5780" s="2" t="s">
        <v>15441</v>
      </c>
      <c r="F5780" s="2" t="s">
        <v>15442</v>
      </c>
      <c r="G5780" s="2" t="s">
        <v>15443</v>
      </c>
      <c r="H5780" s="2" t="s">
        <v>15444</v>
      </c>
    </row>
    <row r="5781">
      <c r="A5781" s="2">
        <v>5779.0</v>
      </c>
      <c r="B5781" s="5" t="s">
        <v>14980</v>
      </c>
      <c r="C5781" s="2" t="s">
        <v>14981</v>
      </c>
      <c r="D5781" s="5" t="s">
        <v>14980</v>
      </c>
      <c r="E5781" s="2" t="s">
        <v>15441</v>
      </c>
      <c r="F5781" s="2" t="s">
        <v>15442</v>
      </c>
      <c r="G5781" s="2" t="s">
        <v>15443</v>
      </c>
      <c r="H5781" s="2" t="s">
        <v>15462</v>
      </c>
    </row>
    <row r="5782">
      <c r="A5782" s="2">
        <v>5780.0</v>
      </c>
      <c r="B5782" s="5" t="s">
        <v>8594</v>
      </c>
      <c r="C5782" s="2" t="s">
        <v>8595</v>
      </c>
      <c r="D5782" s="5" t="s">
        <v>8594</v>
      </c>
      <c r="E5782" s="2" t="s">
        <v>15445</v>
      </c>
      <c r="F5782" s="2" t="s">
        <v>15442</v>
      </c>
      <c r="G5782" s="2" t="s">
        <v>15456</v>
      </c>
      <c r="H5782" s="2" t="s">
        <v>15444</v>
      </c>
    </row>
    <row r="5783">
      <c r="A5783" s="2">
        <v>5781.0</v>
      </c>
      <c r="B5783" s="5" t="s">
        <v>14982</v>
      </c>
      <c r="C5783" s="2" t="s">
        <v>14983</v>
      </c>
      <c r="D5783" s="5" t="s">
        <v>14982</v>
      </c>
      <c r="E5783" s="2" t="s">
        <v>15441</v>
      </c>
      <c r="F5783" s="2" t="s">
        <v>15446</v>
      </c>
      <c r="G5783" s="2" t="s">
        <v>15456</v>
      </c>
      <c r="H5783" s="2" t="s">
        <v>15444</v>
      </c>
    </row>
    <row r="5784">
      <c r="A5784" s="2">
        <v>5782.0</v>
      </c>
      <c r="B5784" s="5" t="s">
        <v>8597</v>
      </c>
      <c r="C5784" s="2" t="s">
        <v>8598</v>
      </c>
      <c r="D5784" s="5" t="s">
        <v>8597</v>
      </c>
      <c r="E5784" s="2" t="s">
        <v>15445</v>
      </c>
      <c r="F5784" s="2" t="s">
        <v>15446</v>
      </c>
      <c r="G5784" s="2" t="s">
        <v>15443</v>
      </c>
      <c r="H5784" s="2" t="s">
        <v>15444</v>
      </c>
    </row>
    <row r="5785">
      <c r="A5785" s="2">
        <v>5783.0</v>
      </c>
      <c r="B5785" s="5" t="s">
        <v>14984</v>
      </c>
      <c r="C5785" s="2" t="s">
        <v>14985</v>
      </c>
      <c r="D5785" s="5" t="s">
        <v>14984</v>
      </c>
      <c r="E5785" s="2" t="s">
        <v>15441</v>
      </c>
      <c r="F5785" s="2" t="s">
        <v>15446</v>
      </c>
      <c r="G5785" s="2" t="s">
        <v>15456</v>
      </c>
      <c r="H5785" s="2" t="s">
        <v>15444</v>
      </c>
    </row>
    <row r="5786">
      <c r="A5786" s="2">
        <v>5784.0</v>
      </c>
      <c r="B5786" s="5" t="s">
        <v>8600</v>
      </c>
      <c r="C5786" s="2" t="s">
        <v>8601</v>
      </c>
      <c r="D5786" s="5" t="s">
        <v>8600</v>
      </c>
      <c r="E5786" s="2" t="s">
        <v>15445</v>
      </c>
      <c r="F5786" s="2" t="s">
        <v>15442</v>
      </c>
      <c r="G5786" s="2" t="s">
        <v>15443</v>
      </c>
      <c r="H5786" s="2" t="s">
        <v>15444</v>
      </c>
    </row>
    <row r="5787">
      <c r="A5787" s="2">
        <v>5785.0</v>
      </c>
      <c r="B5787" s="5" t="s">
        <v>14986</v>
      </c>
      <c r="C5787" s="2" t="s">
        <v>14987</v>
      </c>
      <c r="D5787" s="5" t="s">
        <v>14986</v>
      </c>
      <c r="E5787" s="2" t="s">
        <v>15441</v>
      </c>
      <c r="F5787" s="2" t="s">
        <v>15446</v>
      </c>
      <c r="G5787" s="2" t="s">
        <v>15456</v>
      </c>
      <c r="H5787" s="2" t="s">
        <v>15444</v>
      </c>
    </row>
    <row r="5788">
      <c r="A5788" s="2">
        <v>5786.0</v>
      </c>
      <c r="B5788" s="5" t="s">
        <v>14988</v>
      </c>
      <c r="C5788" s="2" t="s">
        <v>14989</v>
      </c>
      <c r="D5788" s="5" t="s">
        <v>14988</v>
      </c>
      <c r="E5788" s="2" t="s">
        <v>15441</v>
      </c>
      <c r="F5788" s="2" t="s">
        <v>15442</v>
      </c>
      <c r="G5788" s="2" t="s">
        <v>15456</v>
      </c>
      <c r="H5788" s="2" t="s">
        <v>15444</v>
      </c>
    </row>
    <row r="5789">
      <c r="A5789" s="2">
        <v>5787.0</v>
      </c>
      <c r="B5789" s="5" t="s">
        <v>8603</v>
      </c>
      <c r="C5789" s="2" t="s">
        <v>8604</v>
      </c>
      <c r="D5789" s="5" t="s">
        <v>8603</v>
      </c>
      <c r="E5789" s="2" t="s">
        <v>15445</v>
      </c>
      <c r="F5789" s="2" t="s">
        <v>15442</v>
      </c>
      <c r="G5789" s="2" t="s">
        <v>15443</v>
      </c>
      <c r="H5789" s="2" t="s">
        <v>15444</v>
      </c>
    </row>
    <row r="5790">
      <c r="A5790" s="2">
        <v>5788.0</v>
      </c>
      <c r="B5790" s="5" t="s">
        <v>8606</v>
      </c>
      <c r="C5790" s="2" t="s">
        <v>8607</v>
      </c>
      <c r="D5790" s="5" t="s">
        <v>8606</v>
      </c>
      <c r="E5790" s="2" t="s">
        <v>15445</v>
      </c>
      <c r="F5790" s="2" t="s">
        <v>15442</v>
      </c>
      <c r="G5790" s="2" t="s">
        <v>15443</v>
      </c>
      <c r="H5790" s="2" t="s">
        <v>15444</v>
      </c>
    </row>
    <row r="5791">
      <c r="A5791" s="2">
        <v>5789.0</v>
      </c>
      <c r="B5791" s="5" t="s">
        <v>14990</v>
      </c>
      <c r="C5791" s="2" t="s">
        <v>14991</v>
      </c>
      <c r="D5791" s="5" t="s">
        <v>14990</v>
      </c>
      <c r="E5791" s="2" t="s">
        <v>15441</v>
      </c>
      <c r="F5791" s="2" t="s">
        <v>15446</v>
      </c>
      <c r="G5791" s="2" t="s">
        <v>15456</v>
      </c>
      <c r="H5791" s="2" t="s">
        <v>15444</v>
      </c>
    </row>
    <row r="5792">
      <c r="A5792" s="2">
        <v>5790.0</v>
      </c>
      <c r="B5792" s="5" t="s">
        <v>14992</v>
      </c>
      <c r="C5792" s="2" t="s">
        <v>14993</v>
      </c>
      <c r="D5792" s="5" t="s">
        <v>14992</v>
      </c>
      <c r="E5792" s="2" t="s">
        <v>15441</v>
      </c>
      <c r="F5792" s="2" t="s">
        <v>15442</v>
      </c>
      <c r="G5792" s="2" t="s">
        <v>15443</v>
      </c>
      <c r="H5792" s="2" t="s">
        <v>15444</v>
      </c>
    </row>
    <row r="5793">
      <c r="A5793" s="2">
        <v>5791.0</v>
      </c>
      <c r="B5793" s="5" t="s">
        <v>8609</v>
      </c>
      <c r="C5793" s="2" t="s">
        <v>8610</v>
      </c>
      <c r="D5793" s="5" t="s">
        <v>8609</v>
      </c>
      <c r="E5793" s="2" t="s">
        <v>15445</v>
      </c>
      <c r="F5793" s="2" t="s">
        <v>15446</v>
      </c>
      <c r="G5793" s="2" t="s">
        <v>15456</v>
      </c>
      <c r="H5793" s="2" t="s">
        <v>15444</v>
      </c>
    </row>
    <row r="5794">
      <c r="A5794" s="2">
        <v>5792.0</v>
      </c>
      <c r="B5794" s="5" t="s">
        <v>14994</v>
      </c>
      <c r="C5794" s="2" t="s">
        <v>14995</v>
      </c>
      <c r="D5794" s="5" t="s">
        <v>14994</v>
      </c>
      <c r="E5794" s="2" t="s">
        <v>15441</v>
      </c>
      <c r="F5794" s="2" t="s">
        <v>15446</v>
      </c>
      <c r="G5794" s="2" t="s">
        <v>15443</v>
      </c>
      <c r="H5794" s="2" t="s">
        <v>15457</v>
      </c>
    </row>
    <row r="5795">
      <c r="A5795" s="2">
        <v>5793.0</v>
      </c>
      <c r="B5795" s="5" t="s">
        <v>8612</v>
      </c>
      <c r="C5795" s="2" t="s">
        <v>8613</v>
      </c>
      <c r="D5795" s="5" t="s">
        <v>8612</v>
      </c>
      <c r="E5795" s="2" t="s">
        <v>15445</v>
      </c>
      <c r="F5795" s="2" t="s">
        <v>15446</v>
      </c>
      <c r="G5795" s="2" t="s">
        <v>15443</v>
      </c>
      <c r="H5795" s="2" t="s">
        <v>15444</v>
      </c>
    </row>
    <row r="5796">
      <c r="A5796" s="2">
        <v>5794.0</v>
      </c>
      <c r="B5796" s="5" t="s">
        <v>8615</v>
      </c>
      <c r="C5796" s="2" t="s">
        <v>8616</v>
      </c>
      <c r="D5796" s="5" t="s">
        <v>8615</v>
      </c>
      <c r="E5796" s="2" t="s">
        <v>15445</v>
      </c>
      <c r="F5796" s="2" t="s">
        <v>15446</v>
      </c>
      <c r="G5796" s="2" t="s">
        <v>15456</v>
      </c>
      <c r="H5796" s="2" t="s">
        <v>15457</v>
      </c>
    </row>
    <row r="5797">
      <c r="A5797" s="2">
        <v>5795.0</v>
      </c>
      <c r="B5797" s="5" t="s">
        <v>14996</v>
      </c>
      <c r="C5797" s="2" t="s">
        <v>14997</v>
      </c>
      <c r="D5797" s="5" t="s">
        <v>14996</v>
      </c>
      <c r="E5797" s="2" t="s">
        <v>15441</v>
      </c>
      <c r="F5797" s="2" t="s">
        <v>15446</v>
      </c>
      <c r="G5797" s="2" t="s">
        <v>15443</v>
      </c>
      <c r="H5797" s="2" t="s">
        <v>15444</v>
      </c>
    </row>
    <row r="5798">
      <c r="A5798" s="2">
        <v>5796.0</v>
      </c>
      <c r="B5798" s="5" t="s">
        <v>8618</v>
      </c>
      <c r="C5798" s="2" t="s">
        <v>8619</v>
      </c>
      <c r="D5798" s="5" t="s">
        <v>8618</v>
      </c>
      <c r="E5798" s="2" t="s">
        <v>15445</v>
      </c>
      <c r="F5798" s="2" t="s">
        <v>15446</v>
      </c>
      <c r="G5798" s="2" t="s">
        <v>15456</v>
      </c>
      <c r="H5798" s="2" t="s">
        <v>15444</v>
      </c>
    </row>
    <row r="5799">
      <c r="A5799" s="2">
        <v>5797.0</v>
      </c>
      <c r="B5799" s="5" t="s">
        <v>8621</v>
      </c>
      <c r="C5799" s="2" t="s">
        <v>8622</v>
      </c>
      <c r="D5799" s="5" t="s">
        <v>8621</v>
      </c>
      <c r="E5799" s="2" t="s">
        <v>15445</v>
      </c>
      <c r="F5799" s="2" t="s">
        <v>15446</v>
      </c>
      <c r="G5799" s="2" t="s">
        <v>15456</v>
      </c>
      <c r="H5799" s="2" t="s">
        <v>15444</v>
      </c>
    </row>
    <row r="5800">
      <c r="A5800" s="2">
        <v>5798.0</v>
      </c>
      <c r="B5800" s="5" t="s">
        <v>14998</v>
      </c>
      <c r="C5800" s="2" t="s">
        <v>14999</v>
      </c>
      <c r="D5800" s="5" t="s">
        <v>14998</v>
      </c>
      <c r="E5800" s="2" t="s">
        <v>15441</v>
      </c>
      <c r="F5800" s="2" t="s">
        <v>15442</v>
      </c>
      <c r="G5800" s="2" t="s">
        <v>15443</v>
      </c>
      <c r="H5800" s="2" t="s">
        <v>15444</v>
      </c>
    </row>
    <row r="5801">
      <c r="A5801" s="2">
        <v>5799.0</v>
      </c>
      <c r="B5801" s="5" t="s">
        <v>15000</v>
      </c>
      <c r="C5801" s="2" t="s">
        <v>15001</v>
      </c>
      <c r="D5801" s="5" t="s">
        <v>15000</v>
      </c>
      <c r="E5801" s="2" t="s">
        <v>15441</v>
      </c>
      <c r="F5801" s="2" t="s">
        <v>15446</v>
      </c>
      <c r="G5801" s="2" t="s">
        <v>15443</v>
      </c>
      <c r="H5801" s="2" t="s">
        <v>15444</v>
      </c>
    </row>
    <row r="5802">
      <c r="A5802" s="2">
        <v>5800.0</v>
      </c>
      <c r="B5802" s="5" t="s">
        <v>8624</v>
      </c>
      <c r="C5802" s="2" t="s">
        <v>8625</v>
      </c>
      <c r="D5802" s="5" t="s">
        <v>8624</v>
      </c>
      <c r="E5802" s="2" t="s">
        <v>15445</v>
      </c>
      <c r="F5802" s="2" t="s">
        <v>15446</v>
      </c>
      <c r="G5802" s="2" t="s">
        <v>15456</v>
      </c>
      <c r="H5802" s="2" t="s">
        <v>15444</v>
      </c>
    </row>
    <row r="5803">
      <c r="A5803" s="2">
        <v>5801.0</v>
      </c>
      <c r="B5803" s="5" t="s">
        <v>15002</v>
      </c>
      <c r="C5803" s="2" t="s">
        <v>15003</v>
      </c>
      <c r="D5803" s="5" t="s">
        <v>15002</v>
      </c>
      <c r="E5803" s="2" t="s">
        <v>15441</v>
      </c>
      <c r="F5803" s="2" t="s">
        <v>15442</v>
      </c>
      <c r="G5803" s="2" t="s">
        <v>15443</v>
      </c>
      <c r="H5803" s="2" t="s">
        <v>15444</v>
      </c>
    </row>
    <row r="5804">
      <c r="A5804" s="2">
        <v>5802.0</v>
      </c>
      <c r="B5804" s="5" t="s">
        <v>8627</v>
      </c>
      <c r="C5804" s="2" t="s">
        <v>8628</v>
      </c>
      <c r="D5804" s="5" t="s">
        <v>8627</v>
      </c>
      <c r="E5804" s="2" t="s">
        <v>15445</v>
      </c>
      <c r="F5804" s="2" t="s">
        <v>15446</v>
      </c>
      <c r="G5804" s="2" t="s">
        <v>15456</v>
      </c>
      <c r="H5804" s="2" t="s">
        <v>15444</v>
      </c>
    </row>
    <row r="5805">
      <c r="A5805" s="2">
        <v>5803.0</v>
      </c>
      <c r="B5805" s="5" t="s">
        <v>15004</v>
      </c>
      <c r="C5805" s="2" t="s">
        <v>15005</v>
      </c>
      <c r="D5805" s="5" t="s">
        <v>15004</v>
      </c>
      <c r="E5805" s="2" t="s">
        <v>15441</v>
      </c>
      <c r="F5805" s="2" t="s">
        <v>15442</v>
      </c>
      <c r="G5805" s="2" t="s">
        <v>15443</v>
      </c>
      <c r="H5805" s="2" t="s">
        <v>15444</v>
      </c>
    </row>
    <row r="5806">
      <c r="A5806" s="2">
        <v>5804.0</v>
      </c>
      <c r="B5806" s="5" t="s">
        <v>15006</v>
      </c>
      <c r="C5806" s="2" t="s">
        <v>15007</v>
      </c>
      <c r="D5806" s="5" t="s">
        <v>15006</v>
      </c>
      <c r="E5806" s="2" t="s">
        <v>15441</v>
      </c>
      <c r="F5806" s="2" t="s">
        <v>15446</v>
      </c>
      <c r="G5806" s="2" t="s">
        <v>15443</v>
      </c>
      <c r="H5806" s="2" t="s">
        <v>15462</v>
      </c>
    </row>
    <row r="5807">
      <c r="A5807" s="2">
        <v>5805.0</v>
      </c>
      <c r="B5807" s="5" t="s">
        <v>15008</v>
      </c>
      <c r="C5807" s="2" t="s">
        <v>15009</v>
      </c>
      <c r="D5807" s="5" t="s">
        <v>15008</v>
      </c>
      <c r="E5807" s="2" t="s">
        <v>15441</v>
      </c>
      <c r="F5807" s="2" t="s">
        <v>15446</v>
      </c>
      <c r="G5807" s="2" t="s">
        <v>15443</v>
      </c>
      <c r="H5807" s="2" t="s">
        <v>15457</v>
      </c>
    </row>
    <row r="5808">
      <c r="A5808" s="2">
        <v>5806.0</v>
      </c>
      <c r="B5808" s="5" t="s">
        <v>8630</v>
      </c>
      <c r="C5808" s="2" t="s">
        <v>8631</v>
      </c>
      <c r="D5808" s="5" t="s">
        <v>8630</v>
      </c>
      <c r="E5808" s="2" t="s">
        <v>15445</v>
      </c>
      <c r="F5808" s="2" t="s">
        <v>15446</v>
      </c>
      <c r="G5808" s="2" t="s">
        <v>15456</v>
      </c>
      <c r="H5808" s="2" t="s">
        <v>15444</v>
      </c>
    </row>
    <row r="5809">
      <c r="A5809" s="2">
        <v>5807.0</v>
      </c>
      <c r="B5809" s="5" t="s">
        <v>15010</v>
      </c>
      <c r="C5809" s="2" t="s">
        <v>15011</v>
      </c>
      <c r="D5809" s="5" t="s">
        <v>15010</v>
      </c>
      <c r="E5809" s="2" t="s">
        <v>15441</v>
      </c>
      <c r="F5809" s="2" t="s">
        <v>15446</v>
      </c>
      <c r="G5809" s="2" t="s">
        <v>15456</v>
      </c>
      <c r="H5809" s="2" t="s">
        <v>15444</v>
      </c>
    </row>
    <row r="5810">
      <c r="A5810" s="2">
        <v>5808.0</v>
      </c>
      <c r="B5810" s="5" t="s">
        <v>8633</v>
      </c>
      <c r="C5810" s="2" t="s">
        <v>8634</v>
      </c>
      <c r="D5810" s="5" t="s">
        <v>8633</v>
      </c>
      <c r="E5810" s="2" t="s">
        <v>15445</v>
      </c>
      <c r="F5810" s="2" t="s">
        <v>15442</v>
      </c>
      <c r="G5810" s="2" t="s">
        <v>15443</v>
      </c>
      <c r="H5810" s="2" t="s">
        <v>15444</v>
      </c>
    </row>
    <row r="5811">
      <c r="A5811" s="2">
        <v>5809.0</v>
      </c>
      <c r="B5811" s="5" t="s">
        <v>15012</v>
      </c>
      <c r="C5811" s="2" t="s">
        <v>15013</v>
      </c>
      <c r="D5811" s="5" t="s">
        <v>15012</v>
      </c>
      <c r="E5811" s="2" t="s">
        <v>15441</v>
      </c>
      <c r="F5811" s="2" t="s">
        <v>15446</v>
      </c>
      <c r="G5811" s="2" t="s">
        <v>15443</v>
      </c>
      <c r="H5811" s="2" t="s">
        <v>15444</v>
      </c>
    </row>
    <row r="5812">
      <c r="A5812" s="2">
        <v>5810.0</v>
      </c>
      <c r="B5812" s="5" t="s">
        <v>15014</v>
      </c>
      <c r="C5812" s="2" t="s">
        <v>15015</v>
      </c>
      <c r="D5812" s="5" t="s">
        <v>15014</v>
      </c>
      <c r="E5812" s="2" t="s">
        <v>15441</v>
      </c>
      <c r="F5812" s="2" t="s">
        <v>15446</v>
      </c>
      <c r="G5812" s="2" t="s">
        <v>15456</v>
      </c>
      <c r="H5812" s="2" t="s">
        <v>15455</v>
      </c>
    </row>
    <row r="5813">
      <c r="A5813" s="2">
        <v>5811.0</v>
      </c>
      <c r="B5813" s="5" t="s">
        <v>8636</v>
      </c>
      <c r="C5813" s="2" t="s">
        <v>8637</v>
      </c>
      <c r="D5813" s="5" t="s">
        <v>8636</v>
      </c>
      <c r="E5813" s="2" t="s">
        <v>15445</v>
      </c>
      <c r="F5813" s="2" t="s">
        <v>15446</v>
      </c>
      <c r="G5813" s="2" t="s">
        <v>15443</v>
      </c>
      <c r="H5813" s="2" t="s">
        <v>15444</v>
      </c>
    </row>
    <row r="5814">
      <c r="A5814" s="2">
        <v>5812.0</v>
      </c>
      <c r="B5814" s="5" t="s">
        <v>8639</v>
      </c>
      <c r="C5814" s="2" t="s">
        <v>8640</v>
      </c>
      <c r="D5814" s="5" t="s">
        <v>8639</v>
      </c>
      <c r="E5814" s="2" t="s">
        <v>15445</v>
      </c>
      <c r="F5814" s="2" t="s">
        <v>15446</v>
      </c>
      <c r="G5814" s="2" t="s">
        <v>15443</v>
      </c>
      <c r="H5814" s="2" t="s">
        <v>15444</v>
      </c>
    </row>
    <row r="5815">
      <c r="A5815" s="2">
        <v>5813.0</v>
      </c>
      <c r="B5815" s="5" t="s">
        <v>8642</v>
      </c>
      <c r="C5815" s="2" t="s">
        <v>8643</v>
      </c>
      <c r="D5815" s="5" t="s">
        <v>8642</v>
      </c>
      <c r="E5815" s="2" t="s">
        <v>15445</v>
      </c>
      <c r="F5815" s="2" t="s">
        <v>15446</v>
      </c>
      <c r="G5815" s="2" t="s">
        <v>15443</v>
      </c>
      <c r="H5815" s="2" t="s">
        <v>15444</v>
      </c>
    </row>
    <row r="5816">
      <c r="A5816" s="2">
        <v>5814.0</v>
      </c>
      <c r="B5816" s="5" t="s">
        <v>8645</v>
      </c>
      <c r="C5816" s="2" t="s">
        <v>8646</v>
      </c>
      <c r="D5816" s="5" t="s">
        <v>8645</v>
      </c>
      <c r="E5816" s="2" t="s">
        <v>15445</v>
      </c>
      <c r="F5816" s="2" t="s">
        <v>15446</v>
      </c>
      <c r="G5816" s="2" t="s">
        <v>15443</v>
      </c>
      <c r="H5816" s="2" t="s">
        <v>15444</v>
      </c>
    </row>
    <row r="5817">
      <c r="A5817" s="2">
        <v>5815.0</v>
      </c>
      <c r="B5817" s="5" t="s">
        <v>8648</v>
      </c>
      <c r="C5817" s="2" t="s">
        <v>8649</v>
      </c>
      <c r="D5817" s="5" t="s">
        <v>8648</v>
      </c>
      <c r="E5817" s="2" t="s">
        <v>15445</v>
      </c>
      <c r="F5817" s="2" t="s">
        <v>15446</v>
      </c>
      <c r="G5817" s="2" t="s">
        <v>15443</v>
      </c>
      <c r="H5817" s="2" t="s">
        <v>15444</v>
      </c>
    </row>
    <row r="5818">
      <c r="A5818" s="2">
        <v>5816.0</v>
      </c>
      <c r="B5818" s="5" t="s">
        <v>15016</v>
      </c>
      <c r="C5818" s="2" t="s">
        <v>15017</v>
      </c>
      <c r="D5818" s="5" t="s">
        <v>15016</v>
      </c>
      <c r="E5818" s="2" t="s">
        <v>15441</v>
      </c>
      <c r="F5818" s="2" t="s">
        <v>15446</v>
      </c>
      <c r="G5818" s="2" t="s">
        <v>15456</v>
      </c>
      <c r="H5818" s="2" t="s">
        <v>15444</v>
      </c>
    </row>
    <row r="5819">
      <c r="A5819" s="2">
        <v>5817.0</v>
      </c>
      <c r="B5819" s="5" t="s">
        <v>15018</v>
      </c>
      <c r="C5819" s="2" t="s">
        <v>15019</v>
      </c>
      <c r="D5819" s="5" t="s">
        <v>15018</v>
      </c>
      <c r="E5819" s="2" t="s">
        <v>15441</v>
      </c>
      <c r="F5819" s="2" t="s">
        <v>15446</v>
      </c>
      <c r="G5819" s="2" t="s">
        <v>15456</v>
      </c>
      <c r="H5819" s="2" t="s">
        <v>15444</v>
      </c>
    </row>
    <row r="5820">
      <c r="A5820" s="2">
        <v>5818.0</v>
      </c>
      <c r="B5820" s="5" t="s">
        <v>15020</v>
      </c>
      <c r="C5820" s="2" t="s">
        <v>15021</v>
      </c>
      <c r="D5820" s="5" t="s">
        <v>15020</v>
      </c>
      <c r="E5820" s="2" t="s">
        <v>15441</v>
      </c>
      <c r="F5820" s="2" t="s">
        <v>15446</v>
      </c>
      <c r="G5820" s="2" t="s">
        <v>15443</v>
      </c>
      <c r="H5820" s="2" t="s">
        <v>15444</v>
      </c>
    </row>
    <row r="5821">
      <c r="A5821" s="2">
        <v>5819.0</v>
      </c>
      <c r="B5821" s="5" t="s">
        <v>15022</v>
      </c>
      <c r="C5821" s="2" t="s">
        <v>15023</v>
      </c>
      <c r="D5821" s="5" t="s">
        <v>15022</v>
      </c>
      <c r="E5821" s="2" t="s">
        <v>15441</v>
      </c>
      <c r="F5821" s="2" t="s">
        <v>15446</v>
      </c>
      <c r="G5821" s="2" t="s">
        <v>15456</v>
      </c>
      <c r="H5821" s="2" t="s">
        <v>15444</v>
      </c>
    </row>
    <row r="5822">
      <c r="A5822" s="2">
        <v>5820.0</v>
      </c>
      <c r="B5822" s="5" t="s">
        <v>15024</v>
      </c>
      <c r="C5822" s="2" t="s">
        <v>15025</v>
      </c>
      <c r="D5822" s="5" t="s">
        <v>15024</v>
      </c>
      <c r="E5822" s="2" t="s">
        <v>15441</v>
      </c>
      <c r="F5822" s="2" t="s">
        <v>15446</v>
      </c>
      <c r="G5822" s="2" t="s">
        <v>15456</v>
      </c>
      <c r="H5822" s="2" t="s">
        <v>15444</v>
      </c>
    </row>
    <row r="5823">
      <c r="A5823" s="2">
        <v>5821.0</v>
      </c>
      <c r="B5823" s="5" t="s">
        <v>8651</v>
      </c>
      <c r="C5823" s="2" t="s">
        <v>8652</v>
      </c>
      <c r="D5823" s="5" t="s">
        <v>8651</v>
      </c>
      <c r="E5823" s="2" t="s">
        <v>15445</v>
      </c>
      <c r="F5823" s="2" t="s">
        <v>15446</v>
      </c>
      <c r="G5823" s="2" t="s">
        <v>15456</v>
      </c>
      <c r="H5823" s="2" t="s">
        <v>15444</v>
      </c>
    </row>
    <row r="5824">
      <c r="A5824" s="2">
        <v>5822.0</v>
      </c>
      <c r="B5824" s="5" t="s">
        <v>8654</v>
      </c>
      <c r="C5824" s="2" t="s">
        <v>8655</v>
      </c>
      <c r="D5824" s="5" t="s">
        <v>8654</v>
      </c>
      <c r="E5824" s="2" t="s">
        <v>15445</v>
      </c>
      <c r="F5824" s="2" t="s">
        <v>15442</v>
      </c>
      <c r="G5824" s="2" t="s">
        <v>15443</v>
      </c>
      <c r="H5824" s="2" t="s">
        <v>15444</v>
      </c>
    </row>
    <row r="5825">
      <c r="A5825" s="2">
        <v>5823.0</v>
      </c>
      <c r="B5825" s="5" t="s">
        <v>15026</v>
      </c>
      <c r="C5825" s="2" t="s">
        <v>15027</v>
      </c>
      <c r="D5825" s="5" t="s">
        <v>15026</v>
      </c>
      <c r="E5825" s="2" t="s">
        <v>15441</v>
      </c>
      <c r="F5825" s="2" t="s">
        <v>15442</v>
      </c>
      <c r="G5825" s="2" t="s">
        <v>15443</v>
      </c>
      <c r="H5825" s="2" t="s">
        <v>15444</v>
      </c>
    </row>
    <row r="5826">
      <c r="A5826" s="2">
        <v>5824.0</v>
      </c>
      <c r="B5826" s="5" t="s">
        <v>8657</v>
      </c>
      <c r="C5826" s="2" t="s">
        <v>8658</v>
      </c>
      <c r="D5826" s="5" t="s">
        <v>8657</v>
      </c>
      <c r="E5826" s="2" t="s">
        <v>15445</v>
      </c>
      <c r="F5826" s="2" t="s">
        <v>15446</v>
      </c>
      <c r="G5826" s="2" t="s">
        <v>15456</v>
      </c>
      <c r="H5826" s="2" t="s">
        <v>15444</v>
      </c>
    </row>
    <row r="5827">
      <c r="A5827" s="2">
        <v>5825.0</v>
      </c>
      <c r="B5827" s="5" t="s">
        <v>8660</v>
      </c>
      <c r="C5827" s="2" t="s">
        <v>8661</v>
      </c>
      <c r="D5827" s="5" t="s">
        <v>8660</v>
      </c>
      <c r="E5827" s="2" t="s">
        <v>15445</v>
      </c>
      <c r="F5827" s="2" t="s">
        <v>15442</v>
      </c>
      <c r="G5827" s="2" t="s">
        <v>15443</v>
      </c>
      <c r="H5827" s="2" t="s">
        <v>15444</v>
      </c>
    </row>
    <row r="5828">
      <c r="A5828" s="2">
        <v>5826.0</v>
      </c>
      <c r="B5828" s="5" t="s">
        <v>8663</v>
      </c>
      <c r="C5828" s="2" t="s">
        <v>8664</v>
      </c>
      <c r="D5828" s="5" t="s">
        <v>8663</v>
      </c>
      <c r="E5828" s="2" t="s">
        <v>15445</v>
      </c>
      <c r="F5828" s="2" t="s">
        <v>15446</v>
      </c>
      <c r="G5828" s="2" t="s">
        <v>15443</v>
      </c>
      <c r="H5828" s="2" t="s">
        <v>15455</v>
      </c>
    </row>
    <row r="5829">
      <c r="A5829" s="2">
        <v>5827.0</v>
      </c>
      <c r="B5829" s="5" t="s">
        <v>15028</v>
      </c>
      <c r="C5829" s="2" t="s">
        <v>15029</v>
      </c>
      <c r="D5829" s="5" t="s">
        <v>15028</v>
      </c>
      <c r="E5829" s="2" t="s">
        <v>15441</v>
      </c>
      <c r="F5829" s="2" t="s">
        <v>15442</v>
      </c>
      <c r="G5829" s="2" t="s">
        <v>15443</v>
      </c>
      <c r="H5829" s="2" t="s">
        <v>15444</v>
      </c>
    </row>
    <row r="5830">
      <c r="A5830" s="2">
        <v>5828.0</v>
      </c>
      <c r="B5830" s="5" t="s">
        <v>15030</v>
      </c>
      <c r="C5830" s="2" t="s">
        <v>15031</v>
      </c>
      <c r="D5830" s="5" t="s">
        <v>15030</v>
      </c>
      <c r="E5830" s="2" t="s">
        <v>15441</v>
      </c>
      <c r="F5830" s="2" t="s">
        <v>15442</v>
      </c>
      <c r="G5830" s="2" t="s">
        <v>15443</v>
      </c>
      <c r="H5830" s="2" t="s">
        <v>15444</v>
      </c>
    </row>
    <row r="5831">
      <c r="A5831" s="2">
        <v>5829.0</v>
      </c>
      <c r="B5831" s="5" t="s">
        <v>15032</v>
      </c>
      <c r="C5831" s="2" t="s">
        <v>15033</v>
      </c>
      <c r="D5831" s="5" t="s">
        <v>15032</v>
      </c>
      <c r="E5831" s="2" t="s">
        <v>15441</v>
      </c>
      <c r="F5831" s="2" t="s">
        <v>15442</v>
      </c>
      <c r="G5831" s="2" t="s">
        <v>15443</v>
      </c>
      <c r="H5831" s="2" t="s">
        <v>15444</v>
      </c>
    </row>
    <row r="5832">
      <c r="A5832" s="2">
        <v>5830.0</v>
      </c>
      <c r="B5832" s="5" t="s">
        <v>15034</v>
      </c>
      <c r="C5832" s="2" t="s">
        <v>15035</v>
      </c>
      <c r="D5832" s="5" t="s">
        <v>15034</v>
      </c>
      <c r="E5832" s="2" t="s">
        <v>15441</v>
      </c>
      <c r="F5832" s="2" t="s">
        <v>15442</v>
      </c>
      <c r="G5832" s="2" t="s">
        <v>15443</v>
      </c>
      <c r="H5832" s="2" t="s">
        <v>15444</v>
      </c>
    </row>
    <row r="5833">
      <c r="A5833" s="2">
        <v>5831.0</v>
      </c>
      <c r="B5833" s="5" t="s">
        <v>15036</v>
      </c>
      <c r="C5833" s="2" t="s">
        <v>15037</v>
      </c>
      <c r="D5833" s="5" t="s">
        <v>15036</v>
      </c>
      <c r="E5833" s="2" t="s">
        <v>15441</v>
      </c>
      <c r="F5833" s="2" t="s">
        <v>15442</v>
      </c>
      <c r="G5833" s="2" t="s">
        <v>15456</v>
      </c>
      <c r="H5833" s="2" t="s">
        <v>15444</v>
      </c>
    </row>
    <row r="5834">
      <c r="A5834" s="2">
        <v>5832.0</v>
      </c>
      <c r="B5834" s="5" t="s">
        <v>8666</v>
      </c>
      <c r="C5834" s="2" t="s">
        <v>8667</v>
      </c>
      <c r="D5834" s="5" t="s">
        <v>8666</v>
      </c>
      <c r="E5834" s="2" t="s">
        <v>15445</v>
      </c>
      <c r="F5834" s="2" t="s">
        <v>15446</v>
      </c>
      <c r="G5834" s="2" t="s">
        <v>15456</v>
      </c>
      <c r="H5834" s="2" t="s">
        <v>15444</v>
      </c>
    </row>
    <row r="5835">
      <c r="A5835" s="2">
        <v>5833.0</v>
      </c>
      <c r="B5835" s="5" t="s">
        <v>8669</v>
      </c>
      <c r="C5835" s="2" t="s">
        <v>8670</v>
      </c>
      <c r="D5835" s="5" t="s">
        <v>8669</v>
      </c>
      <c r="E5835" s="2" t="s">
        <v>15445</v>
      </c>
      <c r="F5835" s="2" t="s">
        <v>15442</v>
      </c>
      <c r="G5835" s="2" t="s">
        <v>15456</v>
      </c>
      <c r="H5835" s="2" t="s">
        <v>15444</v>
      </c>
    </row>
    <row r="5836">
      <c r="A5836" s="2">
        <v>5834.0</v>
      </c>
      <c r="B5836" s="5" t="s">
        <v>15038</v>
      </c>
      <c r="C5836" s="2" t="s">
        <v>15039</v>
      </c>
      <c r="D5836" s="5" t="s">
        <v>15038</v>
      </c>
      <c r="E5836" s="2" t="s">
        <v>15441</v>
      </c>
      <c r="F5836" s="2" t="s">
        <v>15446</v>
      </c>
      <c r="G5836" s="2" t="s">
        <v>15456</v>
      </c>
      <c r="H5836" s="2" t="s">
        <v>15444</v>
      </c>
    </row>
    <row r="5837">
      <c r="A5837" s="2">
        <v>5835.0</v>
      </c>
      <c r="B5837" s="5" t="s">
        <v>15610</v>
      </c>
      <c r="D5837" s="5" t="s">
        <v>15610</v>
      </c>
      <c r="E5837" s="2" t="s">
        <v>15441</v>
      </c>
      <c r="F5837" s="2" t="s">
        <v>15442</v>
      </c>
      <c r="G5837" s="2" t="s">
        <v>15443</v>
      </c>
      <c r="H5837" s="2" t="s">
        <v>15611</v>
      </c>
    </row>
    <row r="5838">
      <c r="A5838" s="2">
        <v>5836.0</v>
      </c>
      <c r="B5838" s="5" t="s">
        <v>15612</v>
      </c>
      <c r="C5838" s="2" t="s">
        <v>15613</v>
      </c>
      <c r="D5838" s="5" t="s">
        <v>15612</v>
      </c>
      <c r="E5838" s="2" t="s">
        <v>15445</v>
      </c>
      <c r="F5838" s="2" t="s">
        <v>15446</v>
      </c>
      <c r="G5838" s="2" t="s">
        <v>15456</v>
      </c>
      <c r="H5838" s="2" t="s">
        <v>15486</v>
      </c>
    </row>
    <row r="5839">
      <c r="A5839" s="2">
        <v>5837.0</v>
      </c>
      <c r="B5839" s="5" t="s">
        <v>15040</v>
      </c>
      <c r="C5839" s="2" t="s">
        <v>15041</v>
      </c>
      <c r="D5839" s="5" t="s">
        <v>15040</v>
      </c>
      <c r="E5839" s="2" t="s">
        <v>15441</v>
      </c>
      <c r="F5839" s="2" t="s">
        <v>15442</v>
      </c>
      <c r="G5839" s="2" t="s">
        <v>15456</v>
      </c>
      <c r="H5839" s="2" t="s">
        <v>15444</v>
      </c>
    </row>
    <row r="5840">
      <c r="A5840" s="2">
        <v>5838.0</v>
      </c>
      <c r="B5840" s="5" t="s">
        <v>15042</v>
      </c>
      <c r="C5840" s="2" t="s">
        <v>15043</v>
      </c>
      <c r="D5840" s="5" t="s">
        <v>15042</v>
      </c>
      <c r="E5840" s="2" t="s">
        <v>15441</v>
      </c>
      <c r="F5840" s="2" t="s">
        <v>15446</v>
      </c>
      <c r="G5840" s="2" t="s">
        <v>15443</v>
      </c>
      <c r="H5840" s="2" t="s">
        <v>15444</v>
      </c>
    </row>
    <row r="5841">
      <c r="A5841" s="2">
        <v>5839.0</v>
      </c>
      <c r="B5841" s="5" t="s">
        <v>8672</v>
      </c>
      <c r="C5841" s="2" t="s">
        <v>8673</v>
      </c>
      <c r="D5841" s="5" t="s">
        <v>8672</v>
      </c>
      <c r="E5841" s="2" t="s">
        <v>15445</v>
      </c>
      <c r="F5841" s="2" t="s">
        <v>15446</v>
      </c>
      <c r="G5841" s="2" t="s">
        <v>15456</v>
      </c>
      <c r="H5841" s="2" t="s">
        <v>15444</v>
      </c>
    </row>
    <row r="5842">
      <c r="A5842" s="2">
        <v>5840.0</v>
      </c>
      <c r="B5842" s="5" t="s">
        <v>15044</v>
      </c>
      <c r="C5842" s="2" t="s">
        <v>15045</v>
      </c>
      <c r="D5842" s="5" t="s">
        <v>15044</v>
      </c>
      <c r="E5842" s="2" t="s">
        <v>15441</v>
      </c>
      <c r="F5842" s="2" t="s">
        <v>15442</v>
      </c>
      <c r="G5842" s="2" t="s">
        <v>15456</v>
      </c>
      <c r="H5842" s="2" t="s">
        <v>15444</v>
      </c>
    </row>
    <row r="5843">
      <c r="A5843" s="2">
        <v>5841.0</v>
      </c>
      <c r="B5843" s="5" t="s">
        <v>15046</v>
      </c>
      <c r="C5843" s="2" t="s">
        <v>15047</v>
      </c>
      <c r="D5843" s="5" t="s">
        <v>15046</v>
      </c>
      <c r="E5843" s="2" t="s">
        <v>15441</v>
      </c>
      <c r="F5843" s="2" t="s">
        <v>15442</v>
      </c>
      <c r="G5843" s="2" t="s">
        <v>15456</v>
      </c>
      <c r="H5843" s="2" t="s">
        <v>15457</v>
      </c>
    </row>
    <row r="5844">
      <c r="A5844" s="2">
        <v>5842.0</v>
      </c>
      <c r="B5844" s="5" t="s">
        <v>8675</v>
      </c>
      <c r="C5844" s="2" t="s">
        <v>8676</v>
      </c>
      <c r="D5844" s="5" t="s">
        <v>8675</v>
      </c>
      <c r="E5844" s="2" t="s">
        <v>15445</v>
      </c>
      <c r="F5844" s="2" t="s">
        <v>15446</v>
      </c>
      <c r="G5844" s="2" t="s">
        <v>15456</v>
      </c>
      <c r="H5844" s="2" t="s">
        <v>15444</v>
      </c>
    </row>
    <row r="5845">
      <c r="A5845" s="2">
        <v>5843.0</v>
      </c>
      <c r="B5845" s="5" t="s">
        <v>15048</v>
      </c>
      <c r="C5845" s="2" t="s">
        <v>15049</v>
      </c>
      <c r="D5845" s="5" t="s">
        <v>15048</v>
      </c>
      <c r="E5845" s="2" t="s">
        <v>15441</v>
      </c>
      <c r="F5845" s="2" t="s">
        <v>15446</v>
      </c>
      <c r="G5845" s="2" t="s">
        <v>15456</v>
      </c>
      <c r="H5845" s="2" t="s">
        <v>15444</v>
      </c>
    </row>
    <row r="5846">
      <c r="A5846" s="2">
        <v>5844.0</v>
      </c>
      <c r="B5846" s="5" t="s">
        <v>15050</v>
      </c>
      <c r="C5846" s="2" t="s">
        <v>15051</v>
      </c>
      <c r="D5846" s="5" t="s">
        <v>15050</v>
      </c>
      <c r="E5846" s="2" t="s">
        <v>15441</v>
      </c>
      <c r="F5846" s="2" t="s">
        <v>15446</v>
      </c>
      <c r="G5846" s="2" t="s">
        <v>15456</v>
      </c>
      <c r="H5846" s="2" t="s">
        <v>15457</v>
      </c>
    </row>
    <row r="5847">
      <c r="A5847" s="2">
        <v>5845.0</v>
      </c>
      <c r="B5847" s="5" t="s">
        <v>8678</v>
      </c>
      <c r="C5847" s="2" t="s">
        <v>8679</v>
      </c>
      <c r="D5847" s="5" t="s">
        <v>8678</v>
      </c>
      <c r="E5847" s="2" t="s">
        <v>15445</v>
      </c>
      <c r="F5847" s="2" t="s">
        <v>15446</v>
      </c>
      <c r="G5847" s="2" t="s">
        <v>15443</v>
      </c>
      <c r="H5847" s="2" t="s">
        <v>15444</v>
      </c>
    </row>
    <row r="5848">
      <c r="A5848" s="2">
        <v>5846.0</v>
      </c>
      <c r="B5848" s="5" t="s">
        <v>15052</v>
      </c>
      <c r="C5848" s="2" t="s">
        <v>15053</v>
      </c>
      <c r="D5848" s="5" t="s">
        <v>15052</v>
      </c>
      <c r="E5848" s="2" t="s">
        <v>15441</v>
      </c>
      <c r="F5848" s="2" t="s">
        <v>15442</v>
      </c>
      <c r="G5848" s="2" t="s">
        <v>15443</v>
      </c>
      <c r="H5848" s="2" t="s">
        <v>15444</v>
      </c>
    </row>
    <row r="5849">
      <c r="A5849" s="2">
        <v>5847.0</v>
      </c>
      <c r="B5849" s="5" t="s">
        <v>8681</v>
      </c>
      <c r="C5849" s="2" t="s">
        <v>8682</v>
      </c>
      <c r="D5849" s="5" t="s">
        <v>8681</v>
      </c>
      <c r="E5849" s="2" t="s">
        <v>15445</v>
      </c>
      <c r="F5849" s="2" t="s">
        <v>15446</v>
      </c>
      <c r="G5849" s="2" t="s">
        <v>15456</v>
      </c>
      <c r="H5849" s="2" t="s">
        <v>15444</v>
      </c>
    </row>
    <row r="5850">
      <c r="A5850" s="2">
        <v>5848.0</v>
      </c>
      <c r="B5850" s="5" t="s">
        <v>8684</v>
      </c>
      <c r="C5850" s="2" t="s">
        <v>8685</v>
      </c>
      <c r="D5850" s="5" t="s">
        <v>8684</v>
      </c>
      <c r="E5850" s="2" t="s">
        <v>15445</v>
      </c>
      <c r="F5850" s="2" t="s">
        <v>15442</v>
      </c>
      <c r="G5850" s="2" t="s">
        <v>15443</v>
      </c>
      <c r="H5850" s="2" t="s">
        <v>15444</v>
      </c>
    </row>
    <row r="5851">
      <c r="A5851" s="2">
        <v>5849.0</v>
      </c>
      <c r="B5851" s="5" t="s">
        <v>8687</v>
      </c>
      <c r="C5851" s="2" t="s">
        <v>8688</v>
      </c>
      <c r="D5851" s="5" t="s">
        <v>8687</v>
      </c>
      <c r="E5851" s="2" t="s">
        <v>15445</v>
      </c>
      <c r="F5851" s="2" t="s">
        <v>15442</v>
      </c>
      <c r="G5851" s="2" t="s">
        <v>15443</v>
      </c>
      <c r="H5851" s="2" t="s">
        <v>15444</v>
      </c>
    </row>
    <row r="5852">
      <c r="A5852" s="2">
        <v>5850.0</v>
      </c>
      <c r="B5852" s="5" t="s">
        <v>15054</v>
      </c>
      <c r="C5852" s="2" t="s">
        <v>15055</v>
      </c>
      <c r="D5852" s="5" t="s">
        <v>15054</v>
      </c>
      <c r="E5852" s="2" t="s">
        <v>15441</v>
      </c>
      <c r="F5852" s="2" t="s">
        <v>15446</v>
      </c>
      <c r="G5852" s="2" t="s">
        <v>15456</v>
      </c>
      <c r="H5852" s="2" t="s">
        <v>15455</v>
      </c>
    </row>
    <row r="5853">
      <c r="A5853" s="2">
        <v>5851.0</v>
      </c>
      <c r="B5853" s="5" t="s">
        <v>15056</v>
      </c>
      <c r="C5853" s="2" t="s">
        <v>15057</v>
      </c>
      <c r="D5853" s="5" t="s">
        <v>15056</v>
      </c>
      <c r="E5853" s="2" t="s">
        <v>15441</v>
      </c>
      <c r="F5853" s="2" t="s">
        <v>15446</v>
      </c>
      <c r="G5853" s="2" t="s">
        <v>15456</v>
      </c>
      <c r="H5853" s="2" t="s">
        <v>15455</v>
      </c>
    </row>
    <row r="5854">
      <c r="A5854" s="2">
        <v>5852.0</v>
      </c>
      <c r="B5854" s="5" t="s">
        <v>15058</v>
      </c>
      <c r="C5854" s="2" t="s">
        <v>15059</v>
      </c>
      <c r="D5854" s="5" t="s">
        <v>15058</v>
      </c>
      <c r="E5854" s="2" t="s">
        <v>15441</v>
      </c>
      <c r="F5854" s="2" t="s">
        <v>15442</v>
      </c>
      <c r="G5854" s="2" t="s">
        <v>15443</v>
      </c>
      <c r="H5854" s="2" t="s">
        <v>15444</v>
      </c>
    </row>
    <row r="5855">
      <c r="A5855" s="2">
        <v>5853.0</v>
      </c>
      <c r="B5855" s="5" t="s">
        <v>15060</v>
      </c>
      <c r="C5855" s="2" t="s">
        <v>15061</v>
      </c>
      <c r="D5855" s="5" t="s">
        <v>15060</v>
      </c>
      <c r="E5855" s="2" t="s">
        <v>15441</v>
      </c>
      <c r="F5855" s="2" t="s">
        <v>15446</v>
      </c>
      <c r="G5855" s="2" t="s">
        <v>15456</v>
      </c>
      <c r="H5855" s="2" t="s">
        <v>15444</v>
      </c>
    </row>
    <row r="5856">
      <c r="A5856" s="2">
        <v>5854.0</v>
      </c>
      <c r="B5856" s="5" t="s">
        <v>8690</v>
      </c>
      <c r="C5856" s="2" t="s">
        <v>8691</v>
      </c>
      <c r="D5856" s="5" t="s">
        <v>8690</v>
      </c>
      <c r="E5856" s="2" t="s">
        <v>15445</v>
      </c>
      <c r="F5856" s="2" t="s">
        <v>15442</v>
      </c>
      <c r="G5856" s="2" t="s">
        <v>15456</v>
      </c>
      <c r="H5856" s="2" t="s">
        <v>15444</v>
      </c>
    </row>
    <row r="5857">
      <c r="A5857" s="2">
        <v>5855.0</v>
      </c>
      <c r="B5857" s="5" t="s">
        <v>8693</v>
      </c>
      <c r="C5857" s="2" t="s">
        <v>8694</v>
      </c>
      <c r="D5857" s="5" t="s">
        <v>8693</v>
      </c>
      <c r="E5857" s="2" t="s">
        <v>15445</v>
      </c>
      <c r="F5857" s="2" t="s">
        <v>15442</v>
      </c>
      <c r="G5857" s="2" t="s">
        <v>15443</v>
      </c>
      <c r="H5857" s="2" t="s">
        <v>15444</v>
      </c>
    </row>
    <row r="5858">
      <c r="A5858" s="2">
        <v>5856.0</v>
      </c>
      <c r="B5858" s="5" t="s">
        <v>15062</v>
      </c>
      <c r="C5858" s="2" t="s">
        <v>15063</v>
      </c>
      <c r="D5858" s="5" t="s">
        <v>15062</v>
      </c>
      <c r="E5858" s="2" t="s">
        <v>15441</v>
      </c>
      <c r="F5858" s="2" t="s">
        <v>15446</v>
      </c>
      <c r="G5858" s="2" t="s">
        <v>15443</v>
      </c>
      <c r="H5858" s="2" t="s">
        <v>15444</v>
      </c>
    </row>
    <row r="5859">
      <c r="A5859" s="2">
        <v>5857.0</v>
      </c>
      <c r="B5859" s="5" t="s">
        <v>15064</v>
      </c>
      <c r="C5859" s="2" t="s">
        <v>15065</v>
      </c>
      <c r="D5859" s="5" t="s">
        <v>15064</v>
      </c>
      <c r="E5859" s="2" t="s">
        <v>15441</v>
      </c>
      <c r="F5859" s="2" t="s">
        <v>15442</v>
      </c>
      <c r="G5859" s="2" t="s">
        <v>15443</v>
      </c>
      <c r="H5859" s="2" t="s">
        <v>15444</v>
      </c>
    </row>
    <row r="5860">
      <c r="A5860" s="2">
        <v>5858.0</v>
      </c>
      <c r="B5860" s="5" t="s">
        <v>8696</v>
      </c>
      <c r="C5860" s="2" t="s">
        <v>8697</v>
      </c>
      <c r="D5860" s="5" t="s">
        <v>8696</v>
      </c>
      <c r="E5860" s="2" t="s">
        <v>15445</v>
      </c>
      <c r="F5860" s="2" t="s">
        <v>15442</v>
      </c>
      <c r="G5860" s="2" t="s">
        <v>15456</v>
      </c>
      <c r="H5860" s="2" t="s">
        <v>15462</v>
      </c>
    </row>
    <row r="5861">
      <c r="A5861" s="2">
        <v>5859.0</v>
      </c>
      <c r="B5861" s="5" t="s">
        <v>8699</v>
      </c>
      <c r="C5861" s="2" t="s">
        <v>8700</v>
      </c>
      <c r="D5861" s="5" t="s">
        <v>8699</v>
      </c>
      <c r="E5861" s="2" t="s">
        <v>15445</v>
      </c>
      <c r="F5861" s="2" t="s">
        <v>15446</v>
      </c>
      <c r="G5861" s="2" t="s">
        <v>15456</v>
      </c>
      <c r="H5861" s="2" t="s">
        <v>15444</v>
      </c>
    </row>
    <row r="5862">
      <c r="A5862" s="2">
        <v>5860.0</v>
      </c>
      <c r="B5862" s="5" t="s">
        <v>8702</v>
      </c>
      <c r="C5862" s="2" t="s">
        <v>8703</v>
      </c>
      <c r="D5862" s="5" t="s">
        <v>8702</v>
      </c>
      <c r="E5862" s="2" t="s">
        <v>15445</v>
      </c>
      <c r="F5862" s="2" t="s">
        <v>15446</v>
      </c>
      <c r="G5862" s="2" t="s">
        <v>15443</v>
      </c>
      <c r="H5862" s="2" t="s">
        <v>15444</v>
      </c>
    </row>
    <row r="5863">
      <c r="A5863" s="2">
        <v>5861.0</v>
      </c>
      <c r="B5863" s="5" t="s">
        <v>8705</v>
      </c>
      <c r="C5863" s="2" t="s">
        <v>8706</v>
      </c>
      <c r="D5863" s="5" t="s">
        <v>8705</v>
      </c>
      <c r="E5863" s="2" t="s">
        <v>15445</v>
      </c>
      <c r="F5863" s="2" t="s">
        <v>15446</v>
      </c>
      <c r="G5863" s="2" t="s">
        <v>15456</v>
      </c>
      <c r="H5863" s="2" t="s">
        <v>15444</v>
      </c>
    </row>
    <row r="5864">
      <c r="A5864" s="2">
        <v>5862.0</v>
      </c>
      <c r="B5864" s="5" t="s">
        <v>15066</v>
      </c>
      <c r="C5864" s="2" t="s">
        <v>15067</v>
      </c>
      <c r="D5864" s="5" t="s">
        <v>15066</v>
      </c>
      <c r="E5864" s="2" t="s">
        <v>15441</v>
      </c>
      <c r="F5864" s="2" t="s">
        <v>15446</v>
      </c>
      <c r="G5864" s="2" t="s">
        <v>15443</v>
      </c>
      <c r="H5864" s="2" t="s">
        <v>15455</v>
      </c>
    </row>
    <row r="5865">
      <c r="A5865" s="2">
        <v>5863.0</v>
      </c>
      <c r="B5865" s="5" t="s">
        <v>15068</v>
      </c>
      <c r="C5865" s="2" t="s">
        <v>15069</v>
      </c>
      <c r="D5865" s="5" t="s">
        <v>15068</v>
      </c>
      <c r="E5865" s="2" t="s">
        <v>15441</v>
      </c>
      <c r="F5865" s="2" t="s">
        <v>15446</v>
      </c>
      <c r="G5865" s="2" t="s">
        <v>15443</v>
      </c>
      <c r="H5865" s="2" t="s">
        <v>15444</v>
      </c>
    </row>
    <row r="5866">
      <c r="A5866" s="2">
        <v>5864.0</v>
      </c>
      <c r="B5866" s="5" t="s">
        <v>15070</v>
      </c>
      <c r="C5866" s="2" t="s">
        <v>15071</v>
      </c>
      <c r="D5866" s="5" t="s">
        <v>15070</v>
      </c>
      <c r="E5866" s="2" t="s">
        <v>15441</v>
      </c>
      <c r="F5866" s="2" t="s">
        <v>15442</v>
      </c>
      <c r="G5866" s="2" t="s">
        <v>15443</v>
      </c>
      <c r="H5866" s="2" t="s">
        <v>15444</v>
      </c>
    </row>
    <row r="5867">
      <c r="A5867" s="2">
        <v>5865.0</v>
      </c>
      <c r="B5867" s="5" t="s">
        <v>15072</v>
      </c>
      <c r="C5867" s="2" t="s">
        <v>15073</v>
      </c>
      <c r="D5867" s="5" t="s">
        <v>15072</v>
      </c>
      <c r="E5867" s="2" t="s">
        <v>15441</v>
      </c>
      <c r="F5867" s="2" t="s">
        <v>15442</v>
      </c>
      <c r="G5867" s="2" t="s">
        <v>15443</v>
      </c>
      <c r="H5867" s="2" t="s">
        <v>15444</v>
      </c>
    </row>
    <row r="5868">
      <c r="A5868" s="2">
        <v>5866.0</v>
      </c>
      <c r="B5868" s="5" t="s">
        <v>8708</v>
      </c>
      <c r="C5868" s="2" t="s">
        <v>8709</v>
      </c>
      <c r="D5868" s="5" t="s">
        <v>8708</v>
      </c>
      <c r="E5868" s="2" t="s">
        <v>15445</v>
      </c>
      <c r="F5868" s="2" t="s">
        <v>15446</v>
      </c>
      <c r="G5868" s="2" t="s">
        <v>15443</v>
      </c>
      <c r="H5868" s="2" t="s">
        <v>15444</v>
      </c>
    </row>
    <row r="5869">
      <c r="A5869" s="2">
        <v>5867.0</v>
      </c>
      <c r="B5869" s="5" t="s">
        <v>8711</v>
      </c>
      <c r="C5869" s="2" t="s">
        <v>8712</v>
      </c>
      <c r="D5869" s="5" t="s">
        <v>8711</v>
      </c>
      <c r="E5869" s="2" t="s">
        <v>15445</v>
      </c>
      <c r="F5869" s="2" t="s">
        <v>15446</v>
      </c>
      <c r="G5869" s="2" t="s">
        <v>15456</v>
      </c>
      <c r="H5869" s="2" t="s">
        <v>15444</v>
      </c>
    </row>
    <row r="5870">
      <c r="A5870" s="2">
        <v>5868.0</v>
      </c>
      <c r="B5870" s="5" t="s">
        <v>8714</v>
      </c>
      <c r="C5870" s="2" t="s">
        <v>8715</v>
      </c>
      <c r="D5870" s="5" t="s">
        <v>8714</v>
      </c>
      <c r="E5870" s="2" t="s">
        <v>15445</v>
      </c>
      <c r="F5870" s="2" t="s">
        <v>15442</v>
      </c>
      <c r="G5870" s="2" t="s">
        <v>15443</v>
      </c>
      <c r="H5870" s="2" t="s">
        <v>15444</v>
      </c>
    </row>
    <row r="5871">
      <c r="A5871" s="2">
        <v>5869.0</v>
      </c>
      <c r="B5871" s="5" t="s">
        <v>15074</v>
      </c>
      <c r="C5871" s="2" t="s">
        <v>15075</v>
      </c>
      <c r="D5871" s="5" t="s">
        <v>15074</v>
      </c>
      <c r="E5871" s="2" t="s">
        <v>15441</v>
      </c>
      <c r="F5871" s="2" t="s">
        <v>15446</v>
      </c>
      <c r="G5871" s="2" t="s">
        <v>15443</v>
      </c>
      <c r="H5871" s="2" t="s">
        <v>15444</v>
      </c>
    </row>
    <row r="5872">
      <c r="A5872" s="2">
        <v>5870.0</v>
      </c>
      <c r="B5872" s="5" t="s">
        <v>8717</v>
      </c>
      <c r="C5872" s="2" t="s">
        <v>8718</v>
      </c>
      <c r="D5872" s="5" t="s">
        <v>8717</v>
      </c>
      <c r="E5872" s="2" t="s">
        <v>15445</v>
      </c>
      <c r="F5872" s="2" t="s">
        <v>15442</v>
      </c>
      <c r="G5872" s="2" t="s">
        <v>15443</v>
      </c>
      <c r="H5872" s="2" t="s">
        <v>15455</v>
      </c>
    </row>
    <row r="5873">
      <c r="A5873" s="2">
        <v>5871.0</v>
      </c>
      <c r="B5873" s="5" t="s">
        <v>8720</v>
      </c>
      <c r="C5873" s="2" t="s">
        <v>8721</v>
      </c>
      <c r="D5873" s="5" t="s">
        <v>8720</v>
      </c>
      <c r="E5873" s="2" t="s">
        <v>15445</v>
      </c>
      <c r="F5873" s="2" t="s">
        <v>15446</v>
      </c>
      <c r="G5873" s="2" t="s">
        <v>15443</v>
      </c>
      <c r="H5873" s="2" t="s">
        <v>15444</v>
      </c>
    </row>
    <row r="5874">
      <c r="A5874" s="2">
        <v>5872.0</v>
      </c>
      <c r="B5874" s="5" t="s">
        <v>8723</v>
      </c>
      <c r="C5874" s="2" t="s">
        <v>8724</v>
      </c>
      <c r="D5874" s="5" t="s">
        <v>8723</v>
      </c>
      <c r="E5874" s="2" t="s">
        <v>15445</v>
      </c>
      <c r="F5874" s="2" t="s">
        <v>15446</v>
      </c>
      <c r="G5874" s="2" t="s">
        <v>15456</v>
      </c>
      <c r="H5874" s="2" t="s">
        <v>15444</v>
      </c>
    </row>
    <row r="5875">
      <c r="A5875" s="2">
        <v>5873.0</v>
      </c>
      <c r="B5875" s="5" t="s">
        <v>8726</v>
      </c>
      <c r="C5875" s="2" t="s">
        <v>8727</v>
      </c>
      <c r="D5875" s="5" t="s">
        <v>8726</v>
      </c>
      <c r="E5875" s="2" t="s">
        <v>15445</v>
      </c>
      <c r="F5875" s="2" t="s">
        <v>15442</v>
      </c>
      <c r="G5875" s="2" t="s">
        <v>15456</v>
      </c>
      <c r="H5875" s="2" t="s">
        <v>15457</v>
      </c>
    </row>
    <row r="5876">
      <c r="A5876" s="2">
        <v>5874.0</v>
      </c>
      <c r="B5876" s="5" t="s">
        <v>15076</v>
      </c>
      <c r="C5876" s="2" t="s">
        <v>15077</v>
      </c>
      <c r="D5876" s="5" t="s">
        <v>15076</v>
      </c>
      <c r="E5876" s="2" t="s">
        <v>15441</v>
      </c>
      <c r="F5876" s="2" t="s">
        <v>15446</v>
      </c>
      <c r="G5876" s="2" t="s">
        <v>15443</v>
      </c>
      <c r="H5876" s="2" t="s">
        <v>15444</v>
      </c>
    </row>
    <row r="5877">
      <c r="A5877" s="2">
        <v>5875.0</v>
      </c>
      <c r="B5877" s="5" t="s">
        <v>15078</v>
      </c>
      <c r="C5877" s="2" t="s">
        <v>15079</v>
      </c>
      <c r="D5877" s="5" t="s">
        <v>15078</v>
      </c>
      <c r="E5877" s="2" t="s">
        <v>15441</v>
      </c>
      <c r="F5877" s="2" t="s">
        <v>15442</v>
      </c>
      <c r="G5877" s="2" t="s">
        <v>15456</v>
      </c>
      <c r="H5877" s="2" t="s">
        <v>15444</v>
      </c>
    </row>
    <row r="5878">
      <c r="A5878" s="2">
        <v>5876.0</v>
      </c>
      <c r="B5878" s="5" t="s">
        <v>8729</v>
      </c>
      <c r="C5878" s="2" t="s">
        <v>8730</v>
      </c>
      <c r="D5878" s="5" t="s">
        <v>8729</v>
      </c>
      <c r="E5878" s="2" t="s">
        <v>15445</v>
      </c>
      <c r="F5878" s="2" t="s">
        <v>15442</v>
      </c>
      <c r="G5878" s="2" t="s">
        <v>15443</v>
      </c>
      <c r="H5878" s="2" t="s">
        <v>15457</v>
      </c>
    </row>
    <row r="5879">
      <c r="A5879" s="2">
        <v>5877.0</v>
      </c>
      <c r="B5879" s="5" t="s">
        <v>8732</v>
      </c>
      <c r="C5879" s="2" t="s">
        <v>8733</v>
      </c>
      <c r="D5879" s="5" t="s">
        <v>8732</v>
      </c>
      <c r="E5879" s="2" t="s">
        <v>15445</v>
      </c>
      <c r="F5879" s="2" t="s">
        <v>15446</v>
      </c>
      <c r="G5879" s="2" t="s">
        <v>15456</v>
      </c>
      <c r="H5879" s="2" t="s">
        <v>15444</v>
      </c>
    </row>
    <row r="5880">
      <c r="A5880" s="2">
        <v>5878.0</v>
      </c>
      <c r="B5880" s="5" t="s">
        <v>15080</v>
      </c>
      <c r="C5880" s="2" t="s">
        <v>15081</v>
      </c>
      <c r="D5880" s="5" t="s">
        <v>15080</v>
      </c>
      <c r="E5880" s="2" t="s">
        <v>15441</v>
      </c>
      <c r="F5880" s="2" t="s">
        <v>15446</v>
      </c>
      <c r="G5880" s="2" t="s">
        <v>15456</v>
      </c>
      <c r="H5880" s="2" t="s">
        <v>15444</v>
      </c>
    </row>
    <row r="5881">
      <c r="A5881" s="2">
        <v>5879.0</v>
      </c>
      <c r="B5881" s="5" t="s">
        <v>15082</v>
      </c>
      <c r="C5881" s="2" t="s">
        <v>15083</v>
      </c>
      <c r="D5881" s="5" t="s">
        <v>15082</v>
      </c>
      <c r="E5881" s="2" t="s">
        <v>15441</v>
      </c>
      <c r="F5881" s="2" t="s">
        <v>15442</v>
      </c>
      <c r="G5881" s="2" t="s">
        <v>15443</v>
      </c>
      <c r="H5881" s="2" t="s">
        <v>15444</v>
      </c>
    </row>
    <row r="5882">
      <c r="A5882" s="2">
        <v>5880.0</v>
      </c>
      <c r="B5882" s="5" t="s">
        <v>8735</v>
      </c>
      <c r="C5882" s="2" t="s">
        <v>8736</v>
      </c>
      <c r="D5882" s="5" t="s">
        <v>8735</v>
      </c>
      <c r="E5882" s="2" t="s">
        <v>15445</v>
      </c>
      <c r="F5882" s="2" t="s">
        <v>15446</v>
      </c>
      <c r="G5882" s="2" t="s">
        <v>15456</v>
      </c>
      <c r="H5882" s="2" t="s">
        <v>15444</v>
      </c>
    </row>
    <row r="5883">
      <c r="A5883" s="2">
        <v>5881.0</v>
      </c>
      <c r="B5883" s="5" t="s">
        <v>8738</v>
      </c>
      <c r="C5883" s="2" t="s">
        <v>8739</v>
      </c>
      <c r="D5883" s="5" t="s">
        <v>8738</v>
      </c>
      <c r="E5883" s="2" t="s">
        <v>15445</v>
      </c>
      <c r="F5883" s="2" t="s">
        <v>15442</v>
      </c>
      <c r="G5883" s="2" t="s">
        <v>15443</v>
      </c>
      <c r="H5883" s="2" t="s">
        <v>15444</v>
      </c>
    </row>
    <row r="5884">
      <c r="A5884" s="2">
        <v>5882.0</v>
      </c>
      <c r="B5884" s="5" t="s">
        <v>8741</v>
      </c>
      <c r="C5884" s="2" t="s">
        <v>8742</v>
      </c>
      <c r="D5884" s="5" t="s">
        <v>8741</v>
      </c>
      <c r="E5884" s="2" t="s">
        <v>15445</v>
      </c>
      <c r="F5884" s="2" t="s">
        <v>15446</v>
      </c>
      <c r="G5884" s="2" t="s">
        <v>15443</v>
      </c>
      <c r="H5884" s="2" t="s">
        <v>15444</v>
      </c>
    </row>
    <row r="5885">
      <c r="A5885" s="2">
        <v>5883.0</v>
      </c>
      <c r="B5885" s="5" t="s">
        <v>15084</v>
      </c>
      <c r="C5885" s="2" t="s">
        <v>15085</v>
      </c>
      <c r="D5885" s="5" t="s">
        <v>15084</v>
      </c>
      <c r="E5885" s="2" t="s">
        <v>15441</v>
      </c>
      <c r="F5885" s="2" t="s">
        <v>15446</v>
      </c>
      <c r="G5885" s="2" t="s">
        <v>15456</v>
      </c>
      <c r="H5885" s="2" t="s">
        <v>15444</v>
      </c>
    </row>
    <row r="5886">
      <c r="A5886" s="2">
        <v>5884.0</v>
      </c>
      <c r="B5886" s="5" t="s">
        <v>15086</v>
      </c>
      <c r="C5886" s="2" t="s">
        <v>15087</v>
      </c>
      <c r="D5886" s="5" t="s">
        <v>15086</v>
      </c>
      <c r="E5886" s="2" t="s">
        <v>15441</v>
      </c>
      <c r="F5886" s="2" t="s">
        <v>15446</v>
      </c>
      <c r="G5886" s="2" t="s">
        <v>15443</v>
      </c>
      <c r="H5886" s="2" t="s">
        <v>15444</v>
      </c>
    </row>
    <row r="5887">
      <c r="A5887" s="2">
        <v>5885.0</v>
      </c>
      <c r="B5887" s="5" t="s">
        <v>8744</v>
      </c>
      <c r="C5887" s="2" t="s">
        <v>8745</v>
      </c>
      <c r="D5887" s="5" t="s">
        <v>8744</v>
      </c>
      <c r="E5887" s="2" t="s">
        <v>15445</v>
      </c>
      <c r="F5887" s="2" t="s">
        <v>15442</v>
      </c>
      <c r="G5887" s="2" t="s">
        <v>15443</v>
      </c>
      <c r="H5887" s="2" t="s">
        <v>15444</v>
      </c>
    </row>
    <row r="5888">
      <c r="A5888" s="2">
        <v>5886.0</v>
      </c>
      <c r="B5888" s="5" t="s">
        <v>8747</v>
      </c>
      <c r="C5888" s="2" t="s">
        <v>8748</v>
      </c>
      <c r="D5888" s="5" t="s">
        <v>8747</v>
      </c>
      <c r="E5888" s="2" t="s">
        <v>15445</v>
      </c>
      <c r="F5888" s="2" t="s">
        <v>15442</v>
      </c>
      <c r="G5888" s="2" t="s">
        <v>15443</v>
      </c>
      <c r="H5888" s="2" t="s">
        <v>15444</v>
      </c>
    </row>
    <row r="5889">
      <c r="A5889" s="2">
        <v>5887.0</v>
      </c>
      <c r="B5889" s="5" t="s">
        <v>15088</v>
      </c>
      <c r="C5889" s="2" t="s">
        <v>15089</v>
      </c>
      <c r="D5889" s="5" t="s">
        <v>15088</v>
      </c>
      <c r="E5889" s="2" t="s">
        <v>15441</v>
      </c>
      <c r="F5889" s="2" t="s">
        <v>15442</v>
      </c>
      <c r="G5889" s="2" t="s">
        <v>15443</v>
      </c>
      <c r="H5889" s="2" t="s">
        <v>15444</v>
      </c>
    </row>
    <row r="5890">
      <c r="A5890" s="2">
        <v>5888.0</v>
      </c>
      <c r="B5890" s="5" t="s">
        <v>8750</v>
      </c>
      <c r="C5890" s="2" t="s">
        <v>8751</v>
      </c>
      <c r="D5890" s="5" t="s">
        <v>8750</v>
      </c>
      <c r="E5890" s="2" t="s">
        <v>15445</v>
      </c>
      <c r="F5890" s="2" t="s">
        <v>15446</v>
      </c>
      <c r="G5890" s="2" t="s">
        <v>15443</v>
      </c>
      <c r="H5890" s="2" t="s">
        <v>15462</v>
      </c>
    </row>
    <row r="5891">
      <c r="A5891" s="2">
        <v>5889.0</v>
      </c>
      <c r="B5891" s="5" t="s">
        <v>8753</v>
      </c>
      <c r="C5891" s="2" t="s">
        <v>8754</v>
      </c>
      <c r="D5891" s="5" t="s">
        <v>8753</v>
      </c>
      <c r="E5891" s="2" t="s">
        <v>15445</v>
      </c>
      <c r="F5891" s="2" t="s">
        <v>15442</v>
      </c>
      <c r="G5891" s="2" t="s">
        <v>15443</v>
      </c>
      <c r="H5891" s="2" t="s">
        <v>15444</v>
      </c>
    </row>
    <row r="5892">
      <c r="A5892" s="2">
        <v>5890.0</v>
      </c>
      <c r="B5892" s="5" t="s">
        <v>8756</v>
      </c>
      <c r="C5892" s="2" t="s">
        <v>8757</v>
      </c>
      <c r="D5892" s="5" t="s">
        <v>8756</v>
      </c>
      <c r="E5892" s="2" t="s">
        <v>15445</v>
      </c>
      <c r="F5892" s="2" t="s">
        <v>15442</v>
      </c>
      <c r="G5892" s="2" t="s">
        <v>15443</v>
      </c>
      <c r="H5892" s="2" t="s">
        <v>15444</v>
      </c>
    </row>
    <row r="5893">
      <c r="A5893" s="2">
        <v>5891.0</v>
      </c>
      <c r="B5893" s="5" t="s">
        <v>15090</v>
      </c>
      <c r="C5893" s="2" t="s">
        <v>15091</v>
      </c>
      <c r="D5893" s="5" t="s">
        <v>15090</v>
      </c>
      <c r="E5893" s="2" t="s">
        <v>15441</v>
      </c>
      <c r="F5893" s="2" t="s">
        <v>15446</v>
      </c>
      <c r="G5893" s="2" t="s">
        <v>15456</v>
      </c>
      <c r="H5893" s="2" t="s">
        <v>15444</v>
      </c>
    </row>
    <row r="5894">
      <c r="A5894" s="2">
        <v>5892.0</v>
      </c>
      <c r="B5894" s="5" t="s">
        <v>8759</v>
      </c>
      <c r="C5894" s="2" t="s">
        <v>8760</v>
      </c>
      <c r="D5894" s="5" t="s">
        <v>8759</v>
      </c>
      <c r="E5894" s="2" t="s">
        <v>15445</v>
      </c>
      <c r="F5894" s="2" t="s">
        <v>15442</v>
      </c>
      <c r="G5894" s="2" t="s">
        <v>15443</v>
      </c>
      <c r="H5894" s="2" t="s">
        <v>15444</v>
      </c>
    </row>
    <row r="5895">
      <c r="A5895" s="2">
        <v>5893.0</v>
      </c>
      <c r="B5895" s="5" t="s">
        <v>15092</v>
      </c>
      <c r="C5895" s="2" t="s">
        <v>15093</v>
      </c>
      <c r="D5895" s="5" t="s">
        <v>15092</v>
      </c>
      <c r="E5895" s="2" t="s">
        <v>15441</v>
      </c>
      <c r="F5895" s="2" t="s">
        <v>15446</v>
      </c>
      <c r="G5895" s="2" t="s">
        <v>15443</v>
      </c>
      <c r="H5895" s="2" t="s">
        <v>15444</v>
      </c>
    </row>
    <row r="5896">
      <c r="A5896" s="2">
        <v>5894.0</v>
      </c>
      <c r="B5896" s="5" t="s">
        <v>15094</v>
      </c>
      <c r="C5896" s="2" t="s">
        <v>15095</v>
      </c>
      <c r="D5896" s="5" t="s">
        <v>15094</v>
      </c>
      <c r="E5896" s="2" t="s">
        <v>15441</v>
      </c>
      <c r="F5896" s="2" t="s">
        <v>15442</v>
      </c>
      <c r="G5896" s="2" t="s">
        <v>15443</v>
      </c>
      <c r="H5896" s="2" t="s">
        <v>15444</v>
      </c>
    </row>
    <row r="5897">
      <c r="A5897" s="2">
        <v>5895.0</v>
      </c>
      <c r="B5897" s="5" t="s">
        <v>15096</v>
      </c>
      <c r="C5897" s="2" t="s">
        <v>15097</v>
      </c>
      <c r="D5897" s="5" t="s">
        <v>15096</v>
      </c>
      <c r="E5897" s="2" t="s">
        <v>15441</v>
      </c>
      <c r="F5897" s="2" t="s">
        <v>15446</v>
      </c>
      <c r="G5897" s="2" t="s">
        <v>15443</v>
      </c>
      <c r="H5897" s="2" t="s">
        <v>15457</v>
      </c>
    </row>
    <row r="5898">
      <c r="A5898" s="2">
        <v>5896.0</v>
      </c>
      <c r="B5898" s="5" t="s">
        <v>8762</v>
      </c>
      <c r="C5898" s="2" t="s">
        <v>8763</v>
      </c>
      <c r="D5898" s="5" t="s">
        <v>8762</v>
      </c>
      <c r="E5898" s="2" t="s">
        <v>15445</v>
      </c>
      <c r="F5898" s="2" t="s">
        <v>15442</v>
      </c>
      <c r="G5898" s="2" t="s">
        <v>15456</v>
      </c>
      <c r="H5898" s="2" t="s">
        <v>15444</v>
      </c>
    </row>
    <row r="5899">
      <c r="A5899" s="2">
        <v>5897.0</v>
      </c>
      <c r="B5899" s="5" t="s">
        <v>8765</v>
      </c>
      <c r="C5899" s="2" t="s">
        <v>8766</v>
      </c>
      <c r="D5899" s="5" t="s">
        <v>8765</v>
      </c>
      <c r="E5899" s="2" t="s">
        <v>15445</v>
      </c>
      <c r="F5899" s="2" t="s">
        <v>15442</v>
      </c>
      <c r="G5899" s="2" t="s">
        <v>15443</v>
      </c>
      <c r="H5899" s="2" t="s">
        <v>15444</v>
      </c>
    </row>
    <row r="5900">
      <c r="A5900" s="2">
        <v>5898.0</v>
      </c>
      <c r="B5900" s="5" t="s">
        <v>15098</v>
      </c>
      <c r="C5900" s="2" t="s">
        <v>15099</v>
      </c>
      <c r="D5900" s="5" t="s">
        <v>15098</v>
      </c>
      <c r="E5900" s="2" t="s">
        <v>15441</v>
      </c>
      <c r="F5900" s="2" t="s">
        <v>15446</v>
      </c>
      <c r="G5900" s="2" t="s">
        <v>15443</v>
      </c>
      <c r="H5900" s="2" t="s">
        <v>15444</v>
      </c>
    </row>
    <row r="5901">
      <c r="A5901" s="2">
        <v>5899.0</v>
      </c>
      <c r="B5901" s="5" t="s">
        <v>8768</v>
      </c>
      <c r="C5901" s="2" t="s">
        <v>8769</v>
      </c>
      <c r="D5901" s="5" t="s">
        <v>8768</v>
      </c>
      <c r="E5901" s="2" t="s">
        <v>15445</v>
      </c>
      <c r="F5901" s="2" t="s">
        <v>15446</v>
      </c>
      <c r="G5901" s="2" t="s">
        <v>15456</v>
      </c>
      <c r="H5901" s="2" t="s">
        <v>15444</v>
      </c>
    </row>
    <row r="5902">
      <c r="A5902" s="2">
        <v>5900.0</v>
      </c>
      <c r="B5902" s="5" t="s">
        <v>15100</v>
      </c>
      <c r="C5902" s="2" t="s">
        <v>15101</v>
      </c>
      <c r="D5902" s="5" t="s">
        <v>15100</v>
      </c>
      <c r="E5902" s="2" t="s">
        <v>15441</v>
      </c>
      <c r="F5902" s="2" t="s">
        <v>15442</v>
      </c>
      <c r="G5902" s="2" t="s">
        <v>15456</v>
      </c>
      <c r="H5902" s="2" t="s">
        <v>15444</v>
      </c>
    </row>
    <row r="5903">
      <c r="A5903" s="2">
        <v>5901.0</v>
      </c>
      <c r="B5903" s="5" t="s">
        <v>8771</v>
      </c>
      <c r="C5903" s="2" t="s">
        <v>8772</v>
      </c>
      <c r="D5903" s="5" t="s">
        <v>8771</v>
      </c>
      <c r="E5903" s="2" t="s">
        <v>15445</v>
      </c>
      <c r="F5903" s="2" t="s">
        <v>15446</v>
      </c>
      <c r="G5903" s="2" t="s">
        <v>15456</v>
      </c>
      <c r="H5903" s="2" t="s">
        <v>15444</v>
      </c>
    </row>
    <row r="5904">
      <c r="A5904" s="2">
        <v>5902.0</v>
      </c>
      <c r="B5904" s="5" t="s">
        <v>15102</v>
      </c>
      <c r="C5904" s="2" t="s">
        <v>15103</v>
      </c>
      <c r="D5904" s="5" t="s">
        <v>15102</v>
      </c>
      <c r="E5904" s="2" t="s">
        <v>15441</v>
      </c>
      <c r="F5904" s="2" t="s">
        <v>15442</v>
      </c>
      <c r="G5904" s="2" t="s">
        <v>15443</v>
      </c>
      <c r="H5904" s="2" t="s">
        <v>15444</v>
      </c>
    </row>
    <row r="5905">
      <c r="A5905" s="2">
        <v>5903.0</v>
      </c>
      <c r="B5905" s="5" t="s">
        <v>15104</v>
      </c>
      <c r="C5905" s="2" t="s">
        <v>15105</v>
      </c>
      <c r="D5905" s="5" t="s">
        <v>15104</v>
      </c>
      <c r="E5905" s="2" t="s">
        <v>15441</v>
      </c>
      <c r="F5905" s="2" t="s">
        <v>15446</v>
      </c>
      <c r="G5905" s="2" t="s">
        <v>15456</v>
      </c>
      <c r="H5905" s="2" t="s">
        <v>15444</v>
      </c>
    </row>
    <row r="5906">
      <c r="A5906" s="2">
        <v>5904.0</v>
      </c>
      <c r="B5906" s="5" t="s">
        <v>15106</v>
      </c>
      <c r="C5906" s="2" t="s">
        <v>15107</v>
      </c>
      <c r="D5906" s="5" t="s">
        <v>15106</v>
      </c>
      <c r="E5906" s="2" t="s">
        <v>15441</v>
      </c>
      <c r="F5906" s="2" t="s">
        <v>15446</v>
      </c>
      <c r="G5906" s="2" t="s">
        <v>15443</v>
      </c>
      <c r="H5906" s="2" t="s">
        <v>15444</v>
      </c>
    </row>
    <row r="5907">
      <c r="A5907" s="2">
        <v>5905.0</v>
      </c>
      <c r="B5907" s="5" t="s">
        <v>8774</v>
      </c>
      <c r="C5907" s="2" t="s">
        <v>8775</v>
      </c>
      <c r="D5907" s="5" t="s">
        <v>8774</v>
      </c>
      <c r="E5907" s="2" t="s">
        <v>15445</v>
      </c>
      <c r="F5907" s="2" t="s">
        <v>15446</v>
      </c>
      <c r="G5907" s="2" t="s">
        <v>15456</v>
      </c>
      <c r="H5907" s="2" t="s">
        <v>15444</v>
      </c>
    </row>
    <row r="5908">
      <c r="A5908" s="2">
        <v>5906.0</v>
      </c>
      <c r="B5908" s="5" t="s">
        <v>15108</v>
      </c>
      <c r="C5908" s="2" t="s">
        <v>15109</v>
      </c>
      <c r="D5908" s="5" t="s">
        <v>15108</v>
      </c>
      <c r="E5908" s="2" t="s">
        <v>15441</v>
      </c>
      <c r="F5908" s="2" t="s">
        <v>15442</v>
      </c>
      <c r="G5908" s="2" t="s">
        <v>15443</v>
      </c>
      <c r="H5908" s="2" t="s">
        <v>15457</v>
      </c>
    </row>
    <row r="5909">
      <c r="A5909" s="2">
        <v>5907.0</v>
      </c>
      <c r="B5909" s="5" t="s">
        <v>8777</v>
      </c>
      <c r="C5909" s="2" t="s">
        <v>8778</v>
      </c>
      <c r="D5909" s="5" t="s">
        <v>8777</v>
      </c>
      <c r="E5909" s="2" t="s">
        <v>15445</v>
      </c>
      <c r="F5909" s="2" t="s">
        <v>15442</v>
      </c>
      <c r="G5909" s="2" t="s">
        <v>15456</v>
      </c>
      <c r="H5909" s="2" t="s">
        <v>15444</v>
      </c>
    </row>
    <row r="5910">
      <c r="A5910" s="2">
        <v>5908.0</v>
      </c>
      <c r="B5910" s="5" t="s">
        <v>15110</v>
      </c>
      <c r="C5910" s="2" t="s">
        <v>15111</v>
      </c>
      <c r="D5910" s="5" t="s">
        <v>15110</v>
      </c>
      <c r="E5910" s="2" t="s">
        <v>15441</v>
      </c>
      <c r="F5910" s="2" t="s">
        <v>15446</v>
      </c>
      <c r="G5910" s="2" t="s">
        <v>15443</v>
      </c>
      <c r="H5910" s="2" t="s">
        <v>15455</v>
      </c>
    </row>
    <row r="5911">
      <c r="A5911" s="2">
        <v>5909.0</v>
      </c>
      <c r="B5911" s="5" t="s">
        <v>8780</v>
      </c>
      <c r="C5911" s="2" t="s">
        <v>8781</v>
      </c>
      <c r="D5911" s="5" t="s">
        <v>8780</v>
      </c>
      <c r="E5911" s="2" t="s">
        <v>15445</v>
      </c>
      <c r="F5911" s="2" t="s">
        <v>15446</v>
      </c>
      <c r="G5911" s="2" t="s">
        <v>15456</v>
      </c>
      <c r="H5911" s="2" t="s">
        <v>15444</v>
      </c>
    </row>
    <row r="5912">
      <c r="A5912" s="2">
        <v>5910.0</v>
      </c>
      <c r="B5912" s="5" t="s">
        <v>8783</v>
      </c>
      <c r="C5912" s="2" t="s">
        <v>8784</v>
      </c>
      <c r="D5912" s="5" t="s">
        <v>8783</v>
      </c>
      <c r="E5912" s="2" t="s">
        <v>15445</v>
      </c>
      <c r="F5912" s="2" t="s">
        <v>15446</v>
      </c>
      <c r="G5912" s="2" t="s">
        <v>15443</v>
      </c>
      <c r="H5912" s="2" t="s">
        <v>15444</v>
      </c>
    </row>
    <row r="5913">
      <c r="A5913" s="2">
        <v>5911.0</v>
      </c>
      <c r="B5913" s="5" t="s">
        <v>8786</v>
      </c>
      <c r="C5913" s="2" t="s">
        <v>8787</v>
      </c>
      <c r="D5913" s="5" t="s">
        <v>8786</v>
      </c>
      <c r="E5913" s="2" t="s">
        <v>15445</v>
      </c>
      <c r="F5913" s="2" t="s">
        <v>15442</v>
      </c>
      <c r="G5913" s="2" t="s">
        <v>15443</v>
      </c>
      <c r="H5913" s="2" t="s">
        <v>15444</v>
      </c>
    </row>
    <row r="5914">
      <c r="A5914" s="2">
        <v>5912.0</v>
      </c>
      <c r="B5914" s="5" t="s">
        <v>15112</v>
      </c>
      <c r="C5914" s="2" t="s">
        <v>15113</v>
      </c>
      <c r="D5914" s="5" t="s">
        <v>15112</v>
      </c>
      <c r="E5914" s="2" t="s">
        <v>15441</v>
      </c>
      <c r="F5914" s="2" t="s">
        <v>15442</v>
      </c>
      <c r="G5914" s="2" t="s">
        <v>15443</v>
      </c>
      <c r="H5914" s="2" t="s">
        <v>15444</v>
      </c>
    </row>
    <row r="5915">
      <c r="A5915" s="2">
        <v>5913.0</v>
      </c>
      <c r="B5915" s="5" t="s">
        <v>15114</v>
      </c>
      <c r="C5915" s="2" t="s">
        <v>15115</v>
      </c>
      <c r="D5915" s="5" t="s">
        <v>15114</v>
      </c>
      <c r="E5915" s="2" t="s">
        <v>15441</v>
      </c>
      <c r="F5915" s="2" t="s">
        <v>15442</v>
      </c>
      <c r="G5915" s="2" t="s">
        <v>15443</v>
      </c>
      <c r="H5915" s="2" t="s">
        <v>15444</v>
      </c>
    </row>
    <row r="5916">
      <c r="A5916" s="2">
        <v>5914.0</v>
      </c>
      <c r="B5916" s="5" t="s">
        <v>15116</v>
      </c>
      <c r="C5916" s="2" t="s">
        <v>15117</v>
      </c>
      <c r="D5916" s="5" t="s">
        <v>15116</v>
      </c>
      <c r="E5916" s="2" t="s">
        <v>15441</v>
      </c>
      <c r="F5916" s="2" t="s">
        <v>15446</v>
      </c>
      <c r="G5916" s="2" t="s">
        <v>15443</v>
      </c>
      <c r="H5916" s="2" t="s">
        <v>15444</v>
      </c>
    </row>
    <row r="5917">
      <c r="A5917" s="2">
        <v>5915.0</v>
      </c>
      <c r="B5917" s="5" t="s">
        <v>8789</v>
      </c>
      <c r="C5917" s="2" t="s">
        <v>8790</v>
      </c>
      <c r="D5917" s="5" t="s">
        <v>8789</v>
      </c>
      <c r="E5917" s="2" t="s">
        <v>15445</v>
      </c>
      <c r="F5917" s="2" t="s">
        <v>15442</v>
      </c>
      <c r="G5917" s="2" t="s">
        <v>15456</v>
      </c>
      <c r="H5917" s="2" t="s">
        <v>15444</v>
      </c>
    </row>
    <row r="5918">
      <c r="A5918" s="2">
        <v>5916.0</v>
      </c>
      <c r="B5918" s="5" t="s">
        <v>15118</v>
      </c>
      <c r="C5918" s="2" t="s">
        <v>15119</v>
      </c>
      <c r="D5918" s="5" t="s">
        <v>15118</v>
      </c>
      <c r="E5918" s="2" t="s">
        <v>15441</v>
      </c>
      <c r="F5918" s="2" t="s">
        <v>15446</v>
      </c>
      <c r="G5918" s="2" t="s">
        <v>15456</v>
      </c>
      <c r="H5918" s="2" t="s">
        <v>15444</v>
      </c>
    </row>
    <row r="5919">
      <c r="A5919" s="2">
        <v>5917.0</v>
      </c>
      <c r="B5919" s="5" t="s">
        <v>8792</v>
      </c>
      <c r="C5919" s="2" t="s">
        <v>8793</v>
      </c>
      <c r="D5919" s="5" t="s">
        <v>8792</v>
      </c>
      <c r="E5919" s="2" t="s">
        <v>15445</v>
      </c>
      <c r="F5919" s="2" t="s">
        <v>15446</v>
      </c>
      <c r="G5919" s="2" t="s">
        <v>15456</v>
      </c>
      <c r="H5919" s="2" t="s">
        <v>15444</v>
      </c>
    </row>
    <row r="5920">
      <c r="A5920" s="2">
        <v>5918.0</v>
      </c>
      <c r="B5920" s="5" t="s">
        <v>15120</v>
      </c>
      <c r="C5920" s="2" t="s">
        <v>15121</v>
      </c>
      <c r="D5920" s="5" t="s">
        <v>15120</v>
      </c>
      <c r="E5920" s="2" t="s">
        <v>15441</v>
      </c>
      <c r="F5920" s="2" t="s">
        <v>15442</v>
      </c>
      <c r="G5920" s="2" t="s">
        <v>15456</v>
      </c>
      <c r="H5920" s="2" t="s">
        <v>15444</v>
      </c>
    </row>
    <row r="5921">
      <c r="A5921" s="2">
        <v>5919.0</v>
      </c>
      <c r="B5921" s="5" t="s">
        <v>8795</v>
      </c>
      <c r="C5921" s="2" t="s">
        <v>8796</v>
      </c>
      <c r="D5921" s="5" t="s">
        <v>8795</v>
      </c>
      <c r="E5921" s="2" t="s">
        <v>15445</v>
      </c>
      <c r="F5921" s="2" t="s">
        <v>15442</v>
      </c>
      <c r="G5921" s="2" t="s">
        <v>15456</v>
      </c>
      <c r="H5921" s="2" t="s">
        <v>15444</v>
      </c>
    </row>
    <row r="5922">
      <c r="A5922" s="2">
        <v>5920.0</v>
      </c>
      <c r="B5922" s="5" t="s">
        <v>8798</v>
      </c>
      <c r="C5922" s="2" t="s">
        <v>8799</v>
      </c>
      <c r="D5922" s="5" t="s">
        <v>8798</v>
      </c>
      <c r="E5922" s="2" t="s">
        <v>15445</v>
      </c>
      <c r="F5922" s="2" t="s">
        <v>15442</v>
      </c>
      <c r="G5922" s="2" t="s">
        <v>15443</v>
      </c>
      <c r="H5922" s="2" t="s">
        <v>15444</v>
      </c>
    </row>
    <row r="5923">
      <c r="A5923" s="2">
        <v>5921.0</v>
      </c>
      <c r="B5923" s="5" t="s">
        <v>8801</v>
      </c>
      <c r="C5923" s="2" t="s">
        <v>8802</v>
      </c>
      <c r="D5923" s="5" t="s">
        <v>8801</v>
      </c>
      <c r="E5923" s="2" t="s">
        <v>15445</v>
      </c>
      <c r="F5923" s="2" t="s">
        <v>15446</v>
      </c>
      <c r="G5923" s="2" t="s">
        <v>15456</v>
      </c>
      <c r="H5923" s="2" t="s">
        <v>15444</v>
      </c>
    </row>
    <row r="5924">
      <c r="A5924" s="2">
        <v>5922.0</v>
      </c>
      <c r="B5924" s="5" t="s">
        <v>8804</v>
      </c>
      <c r="C5924" s="2" t="s">
        <v>8805</v>
      </c>
      <c r="D5924" s="5" t="s">
        <v>8804</v>
      </c>
      <c r="E5924" s="2" t="s">
        <v>15445</v>
      </c>
      <c r="F5924" s="2" t="s">
        <v>15442</v>
      </c>
      <c r="G5924" s="2" t="s">
        <v>15443</v>
      </c>
      <c r="H5924" s="2" t="s">
        <v>15444</v>
      </c>
    </row>
    <row r="5925">
      <c r="A5925" s="2">
        <v>5923.0</v>
      </c>
      <c r="B5925" s="5" t="s">
        <v>15122</v>
      </c>
      <c r="C5925" s="2" t="s">
        <v>15123</v>
      </c>
      <c r="D5925" s="5" t="s">
        <v>15122</v>
      </c>
      <c r="E5925" s="2" t="s">
        <v>15441</v>
      </c>
      <c r="F5925" s="2" t="s">
        <v>15446</v>
      </c>
      <c r="G5925" s="2" t="s">
        <v>15456</v>
      </c>
      <c r="H5925" s="2" t="s">
        <v>15444</v>
      </c>
    </row>
    <row r="5926">
      <c r="A5926" s="2">
        <v>5924.0</v>
      </c>
      <c r="B5926" s="5" t="s">
        <v>8807</v>
      </c>
      <c r="C5926" s="2" t="s">
        <v>8808</v>
      </c>
      <c r="D5926" s="5" t="s">
        <v>8807</v>
      </c>
      <c r="E5926" s="2" t="s">
        <v>15445</v>
      </c>
      <c r="F5926" s="2" t="s">
        <v>15442</v>
      </c>
      <c r="G5926" s="2" t="s">
        <v>15456</v>
      </c>
      <c r="H5926" s="2" t="s">
        <v>15444</v>
      </c>
    </row>
    <row r="5927">
      <c r="A5927" s="2">
        <v>5925.0</v>
      </c>
      <c r="B5927" s="5" t="s">
        <v>15124</v>
      </c>
      <c r="C5927" s="2" t="s">
        <v>15125</v>
      </c>
      <c r="D5927" s="5" t="s">
        <v>15124</v>
      </c>
      <c r="E5927" s="2" t="s">
        <v>15441</v>
      </c>
      <c r="F5927" s="2" t="s">
        <v>15446</v>
      </c>
      <c r="G5927" s="2" t="s">
        <v>15456</v>
      </c>
      <c r="H5927" s="2" t="s">
        <v>15444</v>
      </c>
    </row>
    <row r="5928">
      <c r="A5928" s="2">
        <v>5926.0</v>
      </c>
      <c r="B5928" s="5" t="s">
        <v>8810</v>
      </c>
      <c r="C5928" s="2" t="s">
        <v>8811</v>
      </c>
      <c r="D5928" s="5" t="s">
        <v>8810</v>
      </c>
      <c r="E5928" s="2" t="s">
        <v>15445</v>
      </c>
      <c r="F5928" s="2" t="s">
        <v>15442</v>
      </c>
      <c r="G5928" s="2" t="s">
        <v>15456</v>
      </c>
      <c r="H5928" s="2" t="s">
        <v>15444</v>
      </c>
    </row>
    <row r="5929">
      <c r="A5929" s="2">
        <v>5927.0</v>
      </c>
      <c r="B5929" s="5" t="s">
        <v>8813</v>
      </c>
      <c r="C5929" s="2" t="s">
        <v>8814</v>
      </c>
      <c r="D5929" s="5" t="s">
        <v>8813</v>
      </c>
      <c r="E5929" s="2" t="s">
        <v>15445</v>
      </c>
      <c r="F5929" s="2" t="s">
        <v>15446</v>
      </c>
      <c r="G5929" s="2" t="s">
        <v>15456</v>
      </c>
      <c r="H5929" s="2" t="s">
        <v>15444</v>
      </c>
    </row>
    <row r="5930">
      <c r="A5930" s="2">
        <v>5928.0</v>
      </c>
      <c r="B5930" s="5" t="s">
        <v>8816</v>
      </c>
      <c r="C5930" s="2" t="s">
        <v>8817</v>
      </c>
      <c r="D5930" s="5" t="s">
        <v>8816</v>
      </c>
      <c r="E5930" s="2" t="s">
        <v>15445</v>
      </c>
      <c r="F5930" s="2" t="s">
        <v>15446</v>
      </c>
      <c r="G5930" s="2" t="s">
        <v>15456</v>
      </c>
      <c r="H5930" s="2" t="s">
        <v>15455</v>
      </c>
    </row>
    <row r="5931">
      <c r="A5931" s="2">
        <v>5929.0</v>
      </c>
      <c r="B5931" s="5" t="s">
        <v>15126</v>
      </c>
      <c r="C5931" s="2" t="s">
        <v>15127</v>
      </c>
      <c r="D5931" s="5" t="s">
        <v>15126</v>
      </c>
      <c r="E5931" s="2" t="s">
        <v>15441</v>
      </c>
      <c r="F5931" s="2" t="s">
        <v>15446</v>
      </c>
      <c r="G5931" s="2" t="s">
        <v>15456</v>
      </c>
      <c r="H5931" s="2" t="s">
        <v>15455</v>
      </c>
    </row>
    <row r="5932">
      <c r="A5932" s="2">
        <v>5930.0</v>
      </c>
      <c r="B5932" s="5" t="s">
        <v>8819</v>
      </c>
      <c r="C5932" s="2" t="s">
        <v>8820</v>
      </c>
      <c r="D5932" s="5" t="s">
        <v>8819</v>
      </c>
      <c r="E5932" s="2" t="s">
        <v>15445</v>
      </c>
      <c r="F5932" s="2" t="s">
        <v>15442</v>
      </c>
      <c r="G5932" s="2" t="s">
        <v>15456</v>
      </c>
      <c r="H5932" s="2" t="s">
        <v>15444</v>
      </c>
    </row>
    <row r="5933">
      <c r="A5933" s="2">
        <v>5931.0</v>
      </c>
      <c r="B5933" s="5" t="s">
        <v>15128</v>
      </c>
      <c r="C5933" s="2" t="s">
        <v>15129</v>
      </c>
      <c r="D5933" s="5" t="s">
        <v>15128</v>
      </c>
      <c r="E5933" s="2" t="s">
        <v>15441</v>
      </c>
      <c r="F5933" s="2" t="s">
        <v>15446</v>
      </c>
      <c r="G5933" s="2" t="s">
        <v>15456</v>
      </c>
      <c r="H5933" s="2" t="s">
        <v>15444</v>
      </c>
    </row>
    <row r="5934">
      <c r="A5934" s="2">
        <v>5932.0</v>
      </c>
      <c r="B5934" s="5" t="s">
        <v>15130</v>
      </c>
      <c r="C5934" s="2" t="s">
        <v>15131</v>
      </c>
      <c r="D5934" s="5" t="s">
        <v>15130</v>
      </c>
      <c r="E5934" s="2" t="s">
        <v>15441</v>
      </c>
      <c r="F5934" s="2" t="s">
        <v>15446</v>
      </c>
      <c r="G5934" s="2" t="s">
        <v>15456</v>
      </c>
      <c r="H5934" s="2" t="s">
        <v>15455</v>
      </c>
    </row>
    <row r="5935">
      <c r="A5935" s="2">
        <v>5933.0</v>
      </c>
      <c r="B5935" s="5" t="s">
        <v>8822</v>
      </c>
      <c r="C5935" s="2" t="s">
        <v>8823</v>
      </c>
      <c r="D5935" s="5" t="s">
        <v>8822</v>
      </c>
      <c r="E5935" s="2" t="s">
        <v>15445</v>
      </c>
      <c r="F5935" s="2" t="s">
        <v>15446</v>
      </c>
      <c r="G5935" s="2" t="s">
        <v>15456</v>
      </c>
      <c r="H5935" s="2" t="s">
        <v>15444</v>
      </c>
    </row>
    <row r="5936">
      <c r="A5936" s="2">
        <v>5934.0</v>
      </c>
      <c r="B5936" s="5" t="s">
        <v>15132</v>
      </c>
      <c r="C5936" s="2" t="s">
        <v>15133</v>
      </c>
      <c r="D5936" s="5" t="s">
        <v>15132</v>
      </c>
      <c r="E5936" s="2" t="s">
        <v>15441</v>
      </c>
      <c r="F5936" s="2" t="s">
        <v>15442</v>
      </c>
      <c r="G5936" s="2" t="s">
        <v>15443</v>
      </c>
      <c r="H5936" s="2" t="s">
        <v>15461</v>
      </c>
    </row>
    <row r="5937">
      <c r="A5937" s="2">
        <v>5935.0</v>
      </c>
      <c r="B5937" s="5" t="s">
        <v>15134</v>
      </c>
      <c r="C5937" s="2" t="s">
        <v>15135</v>
      </c>
      <c r="D5937" s="5" t="s">
        <v>15134</v>
      </c>
      <c r="E5937" s="2" t="s">
        <v>15441</v>
      </c>
      <c r="F5937" s="2" t="s">
        <v>15446</v>
      </c>
      <c r="G5937" s="2" t="s">
        <v>15456</v>
      </c>
      <c r="H5937" s="2" t="s">
        <v>15444</v>
      </c>
    </row>
    <row r="5938">
      <c r="A5938" s="2">
        <v>5936.0</v>
      </c>
      <c r="B5938" s="5" t="s">
        <v>8825</v>
      </c>
      <c r="C5938" s="2" t="s">
        <v>8826</v>
      </c>
      <c r="D5938" s="5" t="s">
        <v>8825</v>
      </c>
      <c r="E5938" s="2" t="s">
        <v>15445</v>
      </c>
      <c r="F5938" s="2" t="s">
        <v>15442</v>
      </c>
      <c r="G5938" s="2" t="s">
        <v>15456</v>
      </c>
      <c r="H5938" s="2" t="s">
        <v>15444</v>
      </c>
    </row>
    <row r="5939">
      <c r="A5939" s="2">
        <v>5937.0</v>
      </c>
      <c r="B5939" s="5" t="s">
        <v>15136</v>
      </c>
      <c r="C5939" s="2" t="s">
        <v>15137</v>
      </c>
      <c r="D5939" s="5" t="s">
        <v>15136</v>
      </c>
      <c r="E5939" s="2" t="s">
        <v>15441</v>
      </c>
      <c r="F5939" s="2" t="s">
        <v>15442</v>
      </c>
      <c r="G5939" s="2" t="s">
        <v>15443</v>
      </c>
      <c r="H5939" s="2" t="s">
        <v>15444</v>
      </c>
    </row>
    <row r="5940">
      <c r="A5940" s="2">
        <v>5938.0</v>
      </c>
      <c r="B5940" s="5" t="s">
        <v>15138</v>
      </c>
      <c r="C5940" s="2" t="s">
        <v>15139</v>
      </c>
      <c r="D5940" s="5" t="s">
        <v>15138</v>
      </c>
      <c r="E5940" s="2" t="s">
        <v>15441</v>
      </c>
      <c r="F5940" s="2" t="s">
        <v>15446</v>
      </c>
      <c r="G5940" s="2" t="s">
        <v>15443</v>
      </c>
      <c r="H5940" s="2" t="s">
        <v>15444</v>
      </c>
    </row>
    <row r="5941">
      <c r="A5941" s="2">
        <v>5939.0</v>
      </c>
      <c r="B5941" s="5" t="s">
        <v>8828</v>
      </c>
      <c r="C5941" s="2" t="s">
        <v>8829</v>
      </c>
      <c r="D5941" s="5" t="s">
        <v>8828</v>
      </c>
      <c r="E5941" s="2" t="s">
        <v>15445</v>
      </c>
      <c r="F5941" s="2" t="s">
        <v>15446</v>
      </c>
      <c r="G5941" s="2" t="s">
        <v>15443</v>
      </c>
      <c r="H5941" s="2" t="s">
        <v>15455</v>
      </c>
    </row>
    <row r="5942">
      <c r="A5942" s="2">
        <v>5940.0</v>
      </c>
      <c r="B5942" s="5" t="s">
        <v>15140</v>
      </c>
      <c r="C5942" s="2" t="s">
        <v>15141</v>
      </c>
      <c r="D5942" s="5" t="s">
        <v>15140</v>
      </c>
      <c r="E5942" s="2" t="s">
        <v>15441</v>
      </c>
      <c r="F5942" s="2" t="s">
        <v>15446</v>
      </c>
      <c r="G5942" s="2" t="s">
        <v>15456</v>
      </c>
      <c r="H5942" s="2" t="s">
        <v>15444</v>
      </c>
    </row>
    <row r="5943">
      <c r="A5943" s="2">
        <v>5941.0</v>
      </c>
      <c r="B5943" s="5" t="s">
        <v>8831</v>
      </c>
      <c r="C5943" s="2" t="s">
        <v>8832</v>
      </c>
      <c r="D5943" s="5" t="s">
        <v>8831</v>
      </c>
      <c r="E5943" s="2" t="s">
        <v>15445</v>
      </c>
      <c r="F5943" s="2" t="s">
        <v>15442</v>
      </c>
      <c r="G5943" s="2" t="s">
        <v>15456</v>
      </c>
      <c r="H5943" s="2" t="s">
        <v>15444</v>
      </c>
    </row>
    <row r="5944">
      <c r="A5944" s="2">
        <v>5942.0</v>
      </c>
      <c r="B5944" s="5" t="s">
        <v>8834</v>
      </c>
      <c r="C5944" s="2" t="s">
        <v>8835</v>
      </c>
      <c r="D5944" s="5" t="s">
        <v>8834</v>
      </c>
      <c r="E5944" s="2" t="s">
        <v>15445</v>
      </c>
      <c r="F5944" s="2" t="s">
        <v>15446</v>
      </c>
      <c r="G5944" s="2" t="s">
        <v>15443</v>
      </c>
      <c r="H5944" s="2" t="s">
        <v>15444</v>
      </c>
    </row>
    <row r="5945">
      <c r="A5945" s="2">
        <v>5943.0</v>
      </c>
      <c r="B5945" s="5" t="s">
        <v>15142</v>
      </c>
      <c r="C5945" s="2" t="s">
        <v>15143</v>
      </c>
      <c r="D5945" s="5" t="s">
        <v>15142</v>
      </c>
      <c r="E5945" s="2" t="s">
        <v>15441</v>
      </c>
      <c r="F5945" s="2" t="s">
        <v>15442</v>
      </c>
      <c r="G5945" s="2" t="s">
        <v>15443</v>
      </c>
      <c r="H5945" s="2" t="s">
        <v>15444</v>
      </c>
    </row>
    <row r="5946">
      <c r="A5946" s="2">
        <v>5944.0</v>
      </c>
      <c r="B5946" s="5" t="s">
        <v>8837</v>
      </c>
      <c r="C5946" s="2" t="s">
        <v>8838</v>
      </c>
      <c r="D5946" s="5" t="s">
        <v>8837</v>
      </c>
      <c r="E5946" s="2" t="s">
        <v>15445</v>
      </c>
      <c r="F5946" s="2" t="s">
        <v>15442</v>
      </c>
      <c r="G5946" s="2" t="s">
        <v>15443</v>
      </c>
      <c r="H5946" s="2" t="s">
        <v>15461</v>
      </c>
    </row>
    <row r="5947">
      <c r="A5947" s="2">
        <v>5945.0</v>
      </c>
      <c r="B5947" s="5" t="s">
        <v>15144</v>
      </c>
      <c r="C5947" s="2" t="s">
        <v>15145</v>
      </c>
      <c r="D5947" s="5" t="s">
        <v>15144</v>
      </c>
      <c r="E5947" s="2" t="s">
        <v>15441</v>
      </c>
      <c r="F5947" s="2" t="s">
        <v>15442</v>
      </c>
      <c r="G5947" s="2" t="s">
        <v>15456</v>
      </c>
      <c r="H5947" s="2" t="s">
        <v>15444</v>
      </c>
    </row>
    <row r="5948">
      <c r="A5948" s="2">
        <v>5946.0</v>
      </c>
      <c r="B5948" s="5" t="s">
        <v>15146</v>
      </c>
      <c r="C5948" s="2" t="s">
        <v>15147</v>
      </c>
      <c r="D5948" s="5" t="s">
        <v>15146</v>
      </c>
      <c r="E5948" s="2" t="s">
        <v>15441</v>
      </c>
      <c r="F5948" s="2" t="s">
        <v>15446</v>
      </c>
      <c r="G5948" s="2" t="s">
        <v>15456</v>
      </c>
      <c r="H5948" s="2" t="s">
        <v>15444</v>
      </c>
    </row>
    <row r="5949">
      <c r="A5949" s="2">
        <v>5947.0</v>
      </c>
      <c r="B5949" s="5" t="s">
        <v>8839</v>
      </c>
      <c r="C5949" s="2" t="s">
        <v>8840</v>
      </c>
      <c r="D5949" s="5" t="s">
        <v>8839</v>
      </c>
      <c r="E5949" s="2" t="s">
        <v>15445</v>
      </c>
      <c r="F5949" s="2" t="s">
        <v>15446</v>
      </c>
      <c r="G5949" s="2" t="s">
        <v>15443</v>
      </c>
      <c r="H5949" s="2" t="s">
        <v>15444</v>
      </c>
    </row>
    <row r="5950">
      <c r="A5950" s="2">
        <v>5948.0</v>
      </c>
      <c r="B5950" s="5" t="s">
        <v>15148</v>
      </c>
      <c r="C5950" s="2" t="s">
        <v>15149</v>
      </c>
      <c r="D5950" s="5" t="s">
        <v>15148</v>
      </c>
      <c r="E5950" s="2" t="s">
        <v>15441</v>
      </c>
      <c r="F5950" s="2" t="s">
        <v>15446</v>
      </c>
      <c r="G5950" s="2" t="s">
        <v>15456</v>
      </c>
      <c r="H5950" s="2" t="s">
        <v>15444</v>
      </c>
    </row>
    <row r="5951">
      <c r="A5951" s="2">
        <v>5949.0</v>
      </c>
      <c r="B5951" s="5" t="s">
        <v>8842</v>
      </c>
      <c r="C5951" s="2" t="s">
        <v>8843</v>
      </c>
      <c r="D5951" s="5" t="s">
        <v>8842</v>
      </c>
      <c r="E5951" s="2" t="s">
        <v>15445</v>
      </c>
      <c r="F5951" s="2" t="s">
        <v>15446</v>
      </c>
      <c r="G5951" s="2" t="s">
        <v>15456</v>
      </c>
      <c r="H5951" s="2" t="s">
        <v>15444</v>
      </c>
    </row>
    <row r="5952">
      <c r="A5952" s="2">
        <v>5950.0</v>
      </c>
      <c r="B5952" s="5" t="s">
        <v>15150</v>
      </c>
      <c r="C5952" s="2" t="s">
        <v>15151</v>
      </c>
      <c r="D5952" s="5" t="s">
        <v>15150</v>
      </c>
      <c r="E5952" s="2" t="s">
        <v>15441</v>
      </c>
      <c r="F5952" s="2" t="s">
        <v>15442</v>
      </c>
      <c r="G5952" s="2" t="s">
        <v>15456</v>
      </c>
      <c r="H5952" s="2" t="s">
        <v>15444</v>
      </c>
    </row>
    <row r="5953">
      <c r="A5953" s="2">
        <v>5951.0</v>
      </c>
      <c r="B5953" s="5" t="s">
        <v>8845</v>
      </c>
      <c r="C5953" s="2" t="s">
        <v>8846</v>
      </c>
      <c r="D5953" s="5" t="s">
        <v>8845</v>
      </c>
      <c r="E5953" s="2" t="s">
        <v>15445</v>
      </c>
      <c r="F5953" s="2" t="s">
        <v>15446</v>
      </c>
      <c r="G5953" s="2" t="s">
        <v>15456</v>
      </c>
      <c r="H5953" s="2" t="s">
        <v>15444</v>
      </c>
    </row>
    <row r="5954">
      <c r="A5954" s="2">
        <v>5952.0</v>
      </c>
      <c r="B5954" s="5" t="s">
        <v>15152</v>
      </c>
      <c r="C5954" s="2" t="s">
        <v>15153</v>
      </c>
      <c r="D5954" s="5" t="s">
        <v>15152</v>
      </c>
      <c r="E5954" s="2" t="s">
        <v>15441</v>
      </c>
      <c r="F5954" s="2" t="s">
        <v>15442</v>
      </c>
      <c r="G5954" s="2" t="s">
        <v>15456</v>
      </c>
      <c r="H5954" s="2" t="s">
        <v>15444</v>
      </c>
    </row>
    <row r="5955">
      <c r="A5955" s="2">
        <v>5953.0</v>
      </c>
      <c r="B5955" s="5" t="s">
        <v>15154</v>
      </c>
      <c r="C5955" s="2" t="s">
        <v>15155</v>
      </c>
      <c r="D5955" s="5" t="s">
        <v>15154</v>
      </c>
      <c r="E5955" s="2" t="s">
        <v>15441</v>
      </c>
      <c r="F5955" s="2" t="s">
        <v>15446</v>
      </c>
      <c r="G5955" s="2" t="s">
        <v>15443</v>
      </c>
      <c r="H5955" s="2" t="s">
        <v>15457</v>
      </c>
    </row>
    <row r="5956">
      <c r="A5956" s="2">
        <v>5954.0</v>
      </c>
      <c r="B5956" s="5" t="s">
        <v>15156</v>
      </c>
      <c r="C5956" s="2" t="s">
        <v>15157</v>
      </c>
      <c r="D5956" s="5" t="s">
        <v>15156</v>
      </c>
      <c r="E5956" s="2" t="s">
        <v>15441</v>
      </c>
      <c r="F5956" s="2" t="s">
        <v>15446</v>
      </c>
      <c r="G5956" s="2" t="s">
        <v>15456</v>
      </c>
      <c r="H5956" s="2" t="s">
        <v>15444</v>
      </c>
    </row>
    <row r="5957">
      <c r="A5957" s="2">
        <v>5955.0</v>
      </c>
      <c r="B5957" s="5" t="s">
        <v>8848</v>
      </c>
      <c r="C5957" s="2" t="s">
        <v>8849</v>
      </c>
      <c r="D5957" s="5" t="s">
        <v>8848</v>
      </c>
      <c r="E5957" s="2" t="s">
        <v>15445</v>
      </c>
      <c r="F5957" s="2" t="s">
        <v>15446</v>
      </c>
      <c r="G5957" s="2" t="s">
        <v>15456</v>
      </c>
      <c r="H5957" s="2" t="s">
        <v>15444</v>
      </c>
    </row>
    <row r="5958">
      <c r="A5958" s="2">
        <v>5956.0</v>
      </c>
      <c r="B5958" s="5" t="s">
        <v>8851</v>
      </c>
      <c r="C5958" s="2" t="s">
        <v>8852</v>
      </c>
      <c r="D5958" s="5" t="s">
        <v>8851</v>
      </c>
      <c r="E5958" s="2" t="s">
        <v>15445</v>
      </c>
      <c r="F5958" s="2" t="s">
        <v>15446</v>
      </c>
      <c r="G5958" s="2" t="s">
        <v>15456</v>
      </c>
      <c r="H5958" s="2" t="s">
        <v>15444</v>
      </c>
    </row>
    <row r="5959">
      <c r="A5959" s="2">
        <v>5957.0</v>
      </c>
      <c r="B5959" s="5" t="s">
        <v>15158</v>
      </c>
      <c r="C5959" s="2" t="s">
        <v>15159</v>
      </c>
      <c r="D5959" s="5" t="s">
        <v>15158</v>
      </c>
      <c r="E5959" s="2" t="s">
        <v>15441</v>
      </c>
      <c r="F5959" s="2" t="s">
        <v>15446</v>
      </c>
      <c r="G5959" s="2" t="s">
        <v>15456</v>
      </c>
      <c r="H5959" s="2" t="s">
        <v>15444</v>
      </c>
    </row>
    <row r="5960">
      <c r="A5960" s="2">
        <v>5958.0</v>
      </c>
      <c r="B5960" s="5" t="s">
        <v>8854</v>
      </c>
      <c r="C5960" s="2" t="s">
        <v>8855</v>
      </c>
      <c r="D5960" s="5" t="s">
        <v>8854</v>
      </c>
      <c r="E5960" s="2" t="s">
        <v>15445</v>
      </c>
      <c r="F5960" s="2" t="s">
        <v>15446</v>
      </c>
      <c r="G5960" s="2" t="s">
        <v>15456</v>
      </c>
      <c r="H5960" s="2" t="s">
        <v>15444</v>
      </c>
    </row>
    <row r="5961">
      <c r="A5961" s="2">
        <v>5959.0</v>
      </c>
      <c r="B5961" s="5" t="s">
        <v>15160</v>
      </c>
      <c r="C5961" s="2" t="s">
        <v>15161</v>
      </c>
      <c r="D5961" s="5" t="s">
        <v>15160</v>
      </c>
      <c r="E5961" s="2" t="s">
        <v>15441</v>
      </c>
      <c r="F5961" s="2" t="s">
        <v>15446</v>
      </c>
      <c r="G5961" s="2" t="s">
        <v>15443</v>
      </c>
      <c r="H5961" s="2" t="s">
        <v>15444</v>
      </c>
    </row>
    <row r="5962">
      <c r="A5962" s="2">
        <v>5960.0</v>
      </c>
      <c r="B5962" s="5" t="s">
        <v>15162</v>
      </c>
      <c r="C5962" s="2" t="s">
        <v>15163</v>
      </c>
      <c r="D5962" s="5" t="s">
        <v>15162</v>
      </c>
      <c r="E5962" s="2" t="s">
        <v>15441</v>
      </c>
      <c r="F5962" s="2" t="s">
        <v>15446</v>
      </c>
      <c r="G5962" s="2" t="s">
        <v>15456</v>
      </c>
      <c r="H5962" s="2" t="s">
        <v>15444</v>
      </c>
    </row>
    <row r="5963">
      <c r="A5963" s="2">
        <v>5961.0</v>
      </c>
      <c r="B5963" s="5" t="s">
        <v>8857</v>
      </c>
      <c r="C5963" s="2" t="s">
        <v>8858</v>
      </c>
      <c r="D5963" s="5" t="s">
        <v>8857</v>
      </c>
      <c r="E5963" s="2" t="s">
        <v>15445</v>
      </c>
      <c r="F5963" s="2" t="s">
        <v>15446</v>
      </c>
      <c r="G5963" s="2" t="s">
        <v>15443</v>
      </c>
      <c r="H5963" s="2" t="s">
        <v>15444</v>
      </c>
    </row>
    <row r="5964">
      <c r="A5964" s="2">
        <v>5962.0</v>
      </c>
      <c r="B5964" s="5" t="s">
        <v>15164</v>
      </c>
      <c r="C5964" s="2" t="s">
        <v>15165</v>
      </c>
      <c r="D5964" s="5" t="s">
        <v>15164</v>
      </c>
      <c r="E5964" s="2" t="s">
        <v>15441</v>
      </c>
      <c r="F5964" s="2" t="s">
        <v>15446</v>
      </c>
      <c r="G5964" s="2" t="s">
        <v>15456</v>
      </c>
      <c r="H5964" s="2" t="s">
        <v>15455</v>
      </c>
    </row>
    <row r="5965">
      <c r="A5965" s="2">
        <v>5963.0</v>
      </c>
      <c r="B5965" s="5" t="s">
        <v>8860</v>
      </c>
      <c r="C5965" s="2" t="s">
        <v>8861</v>
      </c>
      <c r="D5965" s="5" t="s">
        <v>8860</v>
      </c>
      <c r="E5965" s="2" t="s">
        <v>15445</v>
      </c>
      <c r="F5965" s="2" t="s">
        <v>15446</v>
      </c>
      <c r="G5965" s="2" t="s">
        <v>15456</v>
      </c>
      <c r="H5965" s="2" t="s">
        <v>15444</v>
      </c>
    </row>
    <row r="5966">
      <c r="A5966" s="2">
        <v>5964.0</v>
      </c>
      <c r="B5966" s="5" t="s">
        <v>15166</v>
      </c>
      <c r="C5966" s="2" t="s">
        <v>15167</v>
      </c>
      <c r="D5966" s="5" t="s">
        <v>15166</v>
      </c>
      <c r="E5966" s="2" t="s">
        <v>15441</v>
      </c>
      <c r="F5966" s="2" t="s">
        <v>15446</v>
      </c>
      <c r="G5966" s="2" t="s">
        <v>15456</v>
      </c>
      <c r="H5966" s="2" t="s">
        <v>15444</v>
      </c>
    </row>
    <row r="5967">
      <c r="A5967" s="2">
        <v>5965.0</v>
      </c>
      <c r="B5967" s="5" t="s">
        <v>8863</v>
      </c>
      <c r="C5967" s="2" t="s">
        <v>8864</v>
      </c>
      <c r="D5967" s="5" t="s">
        <v>8863</v>
      </c>
      <c r="E5967" s="2" t="s">
        <v>15445</v>
      </c>
      <c r="F5967" s="2" t="s">
        <v>15446</v>
      </c>
      <c r="G5967" s="2" t="s">
        <v>15456</v>
      </c>
      <c r="H5967" s="2" t="s">
        <v>15457</v>
      </c>
    </row>
    <row r="5968">
      <c r="A5968" s="2">
        <v>5966.0</v>
      </c>
      <c r="B5968" s="5" t="s">
        <v>8866</v>
      </c>
      <c r="C5968" s="2" t="s">
        <v>8867</v>
      </c>
      <c r="D5968" s="5" t="s">
        <v>8866</v>
      </c>
      <c r="E5968" s="2" t="s">
        <v>15445</v>
      </c>
      <c r="F5968" s="2" t="s">
        <v>15442</v>
      </c>
      <c r="G5968" s="2" t="s">
        <v>15443</v>
      </c>
      <c r="H5968" s="2" t="s">
        <v>15444</v>
      </c>
    </row>
    <row r="5969">
      <c r="A5969" s="2">
        <v>5967.0</v>
      </c>
      <c r="B5969" s="5" t="s">
        <v>15168</v>
      </c>
      <c r="C5969" s="2" t="s">
        <v>15169</v>
      </c>
      <c r="D5969" s="5" t="s">
        <v>15168</v>
      </c>
      <c r="E5969" s="2" t="s">
        <v>15441</v>
      </c>
      <c r="F5969" s="2" t="s">
        <v>15446</v>
      </c>
      <c r="G5969" s="2" t="s">
        <v>15443</v>
      </c>
      <c r="H5969" s="2" t="s">
        <v>15444</v>
      </c>
    </row>
    <row r="5970">
      <c r="A5970" s="2">
        <v>5968.0</v>
      </c>
      <c r="B5970" s="5" t="s">
        <v>8869</v>
      </c>
      <c r="C5970" s="2" t="s">
        <v>8870</v>
      </c>
      <c r="D5970" s="5" t="s">
        <v>8869</v>
      </c>
      <c r="E5970" s="2" t="s">
        <v>15445</v>
      </c>
      <c r="F5970" s="2" t="s">
        <v>15446</v>
      </c>
      <c r="G5970" s="2" t="s">
        <v>15456</v>
      </c>
      <c r="H5970" s="2" t="s">
        <v>15444</v>
      </c>
    </row>
    <row r="5971">
      <c r="A5971" s="2">
        <v>5969.0</v>
      </c>
      <c r="B5971" s="5" t="s">
        <v>8872</v>
      </c>
      <c r="C5971" s="2" t="s">
        <v>8873</v>
      </c>
      <c r="D5971" s="5" t="s">
        <v>8872</v>
      </c>
      <c r="E5971" s="2" t="s">
        <v>15445</v>
      </c>
      <c r="F5971" s="2" t="s">
        <v>15446</v>
      </c>
      <c r="G5971" s="2" t="s">
        <v>15443</v>
      </c>
      <c r="H5971" s="2" t="s">
        <v>15444</v>
      </c>
    </row>
    <row r="5972">
      <c r="A5972" s="2">
        <v>5970.0</v>
      </c>
      <c r="B5972" s="5" t="s">
        <v>8875</v>
      </c>
      <c r="C5972" s="2" t="s">
        <v>8876</v>
      </c>
      <c r="D5972" s="5" t="s">
        <v>8875</v>
      </c>
      <c r="E5972" s="2" t="s">
        <v>15445</v>
      </c>
      <c r="F5972" s="2" t="s">
        <v>15442</v>
      </c>
      <c r="G5972" s="2" t="s">
        <v>15456</v>
      </c>
      <c r="H5972" s="2" t="s">
        <v>15444</v>
      </c>
    </row>
    <row r="5973">
      <c r="A5973" s="2">
        <v>5971.0</v>
      </c>
      <c r="B5973" s="5" t="s">
        <v>8878</v>
      </c>
      <c r="C5973" s="2" t="s">
        <v>8879</v>
      </c>
      <c r="D5973" s="5" t="s">
        <v>8878</v>
      </c>
      <c r="E5973" s="2" t="s">
        <v>15445</v>
      </c>
      <c r="F5973" s="2" t="s">
        <v>15442</v>
      </c>
      <c r="G5973" s="2" t="s">
        <v>15443</v>
      </c>
      <c r="H5973" s="2" t="s">
        <v>15444</v>
      </c>
    </row>
    <row r="5974">
      <c r="A5974" s="2">
        <v>5972.0</v>
      </c>
      <c r="B5974" s="5" t="s">
        <v>15170</v>
      </c>
      <c r="C5974" s="2" t="s">
        <v>15171</v>
      </c>
      <c r="D5974" s="5" t="s">
        <v>15170</v>
      </c>
      <c r="E5974" s="2" t="s">
        <v>15441</v>
      </c>
      <c r="F5974" s="2" t="s">
        <v>15442</v>
      </c>
      <c r="G5974" s="2" t="s">
        <v>15456</v>
      </c>
      <c r="H5974" s="2" t="s">
        <v>15444</v>
      </c>
    </row>
    <row r="5975">
      <c r="A5975" s="2">
        <v>5973.0</v>
      </c>
      <c r="B5975" s="5" t="s">
        <v>15172</v>
      </c>
      <c r="C5975" s="2" t="s">
        <v>15173</v>
      </c>
      <c r="D5975" s="5" t="s">
        <v>15172</v>
      </c>
      <c r="E5975" s="2" t="s">
        <v>15441</v>
      </c>
      <c r="F5975" s="2" t="s">
        <v>15442</v>
      </c>
      <c r="G5975" s="2" t="s">
        <v>15456</v>
      </c>
      <c r="H5975" s="2" t="s">
        <v>15444</v>
      </c>
    </row>
    <row r="5976">
      <c r="A5976" s="2">
        <v>5974.0</v>
      </c>
      <c r="B5976" s="5" t="s">
        <v>8881</v>
      </c>
      <c r="C5976" s="2" t="s">
        <v>8882</v>
      </c>
      <c r="D5976" s="5" t="s">
        <v>8881</v>
      </c>
      <c r="E5976" s="2" t="s">
        <v>15445</v>
      </c>
      <c r="F5976" s="2" t="s">
        <v>15446</v>
      </c>
      <c r="G5976" s="2" t="s">
        <v>15456</v>
      </c>
      <c r="H5976" s="2" t="s">
        <v>15444</v>
      </c>
    </row>
    <row r="5977">
      <c r="A5977" s="2">
        <v>5975.0</v>
      </c>
      <c r="B5977" s="5" t="s">
        <v>8884</v>
      </c>
      <c r="C5977" s="2" t="s">
        <v>8885</v>
      </c>
      <c r="D5977" s="5" t="s">
        <v>8884</v>
      </c>
      <c r="E5977" s="2" t="s">
        <v>15445</v>
      </c>
      <c r="F5977" s="2" t="s">
        <v>15446</v>
      </c>
      <c r="G5977" s="2" t="s">
        <v>15456</v>
      </c>
      <c r="H5977" s="2" t="s">
        <v>15444</v>
      </c>
    </row>
    <row r="5978">
      <c r="A5978" s="2">
        <v>5976.0</v>
      </c>
      <c r="B5978" s="5" t="s">
        <v>8887</v>
      </c>
      <c r="C5978" s="2" t="s">
        <v>8888</v>
      </c>
      <c r="D5978" s="5" t="s">
        <v>8887</v>
      </c>
      <c r="E5978" s="2" t="s">
        <v>15445</v>
      </c>
      <c r="F5978" s="2" t="s">
        <v>15442</v>
      </c>
      <c r="G5978" s="2" t="s">
        <v>15456</v>
      </c>
      <c r="H5978" s="2" t="s">
        <v>15444</v>
      </c>
    </row>
    <row r="5979">
      <c r="A5979" s="2">
        <v>5977.0</v>
      </c>
      <c r="B5979" s="5" t="s">
        <v>15174</v>
      </c>
      <c r="C5979" s="2" t="s">
        <v>15175</v>
      </c>
      <c r="D5979" s="5" t="s">
        <v>15174</v>
      </c>
      <c r="E5979" s="2" t="s">
        <v>15441</v>
      </c>
      <c r="F5979" s="2" t="s">
        <v>15442</v>
      </c>
      <c r="G5979" s="2" t="s">
        <v>15456</v>
      </c>
      <c r="H5979" s="2" t="s">
        <v>15444</v>
      </c>
    </row>
    <row r="5980">
      <c r="A5980" s="2">
        <v>5978.0</v>
      </c>
      <c r="B5980" s="5" t="s">
        <v>15176</v>
      </c>
      <c r="C5980" s="2" t="s">
        <v>15177</v>
      </c>
      <c r="D5980" s="5" t="s">
        <v>15176</v>
      </c>
      <c r="E5980" s="2" t="s">
        <v>15441</v>
      </c>
      <c r="F5980" s="2" t="s">
        <v>15442</v>
      </c>
      <c r="G5980" s="2" t="s">
        <v>15443</v>
      </c>
      <c r="H5980" s="2" t="s">
        <v>15444</v>
      </c>
    </row>
    <row r="5981">
      <c r="A5981" s="2">
        <v>5979.0</v>
      </c>
      <c r="B5981" s="5" t="s">
        <v>8890</v>
      </c>
      <c r="C5981" s="2" t="s">
        <v>8891</v>
      </c>
      <c r="D5981" s="5" t="s">
        <v>8890</v>
      </c>
      <c r="E5981" s="2" t="s">
        <v>15445</v>
      </c>
      <c r="F5981" s="2" t="s">
        <v>15442</v>
      </c>
      <c r="G5981" s="2" t="s">
        <v>15443</v>
      </c>
      <c r="H5981" s="2" t="s">
        <v>15444</v>
      </c>
    </row>
    <row r="5982">
      <c r="A5982" s="2">
        <v>5980.0</v>
      </c>
      <c r="B5982" s="5" t="s">
        <v>8893</v>
      </c>
      <c r="C5982" s="2" t="s">
        <v>8894</v>
      </c>
      <c r="D5982" s="5" t="s">
        <v>8893</v>
      </c>
      <c r="E5982" s="2" t="s">
        <v>15445</v>
      </c>
      <c r="F5982" s="2" t="s">
        <v>15446</v>
      </c>
      <c r="G5982" s="2" t="s">
        <v>15443</v>
      </c>
      <c r="H5982" s="2" t="s">
        <v>15444</v>
      </c>
    </row>
    <row r="5983">
      <c r="A5983" s="2">
        <v>5981.0</v>
      </c>
      <c r="B5983" s="5" t="s">
        <v>8896</v>
      </c>
      <c r="C5983" s="2" t="s">
        <v>8897</v>
      </c>
      <c r="D5983" s="5" t="s">
        <v>8896</v>
      </c>
      <c r="E5983" s="2" t="s">
        <v>15445</v>
      </c>
      <c r="F5983" s="2" t="s">
        <v>15446</v>
      </c>
      <c r="G5983" s="2" t="s">
        <v>15456</v>
      </c>
      <c r="H5983" s="2" t="s">
        <v>15444</v>
      </c>
    </row>
    <row r="5984">
      <c r="A5984" s="2">
        <v>5982.0</v>
      </c>
      <c r="B5984" s="5" t="s">
        <v>15178</v>
      </c>
      <c r="C5984" s="2" t="s">
        <v>15179</v>
      </c>
      <c r="D5984" s="5" t="s">
        <v>15178</v>
      </c>
      <c r="E5984" s="2" t="s">
        <v>15441</v>
      </c>
      <c r="F5984" s="2" t="s">
        <v>15446</v>
      </c>
      <c r="G5984" s="2" t="s">
        <v>15456</v>
      </c>
      <c r="H5984" s="2" t="s">
        <v>15444</v>
      </c>
    </row>
    <row r="5985">
      <c r="A5985" s="2">
        <v>5983.0</v>
      </c>
      <c r="B5985" s="5" t="s">
        <v>8899</v>
      </c>
      <c r="C5985" s="2" t="s">
        <v>8900</v>
      </c>
      <c r="D5985" s="5" t="s">
        <v>8899</v>
      </c>
      <c r="E5985" s="2" t="s">
        <v>15445</v>
      </c>
      <c r="F5985" s="2" t="s">
        <v>15446</v>
      </c>
      <c r="G5985" s="2" t="s">
        <v>15456</v>
      </c>
      <c r="H5985" s="2" t="s">
        <v>15444</v>
      </c>
    </row>
    <row r="5986">
      <c r="A5986" s="2">
        <v>5984.0</v>
      </c>
      <c r="B5986" s="5" t="s">
        <v>15180</v>
      </c>
      <c r="C5986" s="2" t="s">
        <v>15181</v>
      </c>
      <c r="D5986" s="5" t="s">
        <v>15180</v>
      </c>
      <c r="E5986" s="2" t="s">
        <v>15441</v>
      </c>
      <c r="F5986" s="2" t="s">
        <v>15442</v>
      </c>
      <c r="G5986" s="2" t="s">
        <v>15443</v>
      </c>
      <c r="H5986" s="2" t="s">
        <v>15444</v>
      </c>
    </row>
    <row r="5987">
      <c r="A5987" s="2">
        <v>5985.0</v>
      </c>
      <c r="B5987" s="5" t="s">
        <v>15614</v>
      </c>
      <c r="C5987" s="2" t="s">
        <v>15615</v>
      </c>
      <c r="D5987" s="5" t="s">
        <v>15614</v>
      </c>
      <c r="E5987" s="2" t="s">
        <v>15445</v>
      </c>
      <c r="F5987" s="2" t="s">
        <v>15442</v>
      </c>
      <c r="G5987" s="2" t="s">
        <v>15443</v>
      </c>
      <c r="H5987" s="2" t="s">
        <v>15455</v>
      </c>
    </row>
    <row r="5988">
      <c r="A5988" s="2">
        <v>5986.0</v>
      </c>
      <c r="B5988" s="5" t="s">
        <v>15182</v>
      </c>
      <c r="C5988" s="2" t="s">
        <v>15183</v>
      </c>
      <c r="D5988" s="5" t="s">
        <v>15182</v>
      </c>
      <c r="E5988" s="2" t="s">
        <v>15441</v>
      </c>
      <c r="F5988" s="2" t="s">
        <v>15442</v>
      </c>
      <c r="G5988" s="2" t="s">
        <v>15456</v>
      </c>
      <c r="H5988" s="2" t="s">
        <v>15444</v>
      </c>
    </row>
    <row r="5989">
      <c r="A5989" s="2">
        <v>5987.0</v>
      </c>
      <c r="B5989" s="5" t="s">
        <v>15184</v>
      </c>
      <c r="C5989" s="2" t="s">
        <v>15185</v>
      </c>
      <c r="D5989" s="5" t="s">
        <v>15184</v>
      </c>
      <c r="E5989" s="2" t="s">
        <v>15441</v>
      </c>
      <c r="F5989" s="2" t="s">
        <v>15442</v>
      </c>
      <c r="G5989" s="2" t="s">
        <v>15443</v>
      </c>
      <c r="H5989" s="2" t="s">
        <v>15444</v>
      </c>
    </row>
    <row r="5990">
      <c r="A5990" s="2">
        <v>5988.0</v>
      </c>
      <c r="B5990" s="5" t="s">
        <v>8902</v>
      </c>
      <c r="C5990" s="2" t="s">
        <v>8903</v>
      </c>
      <c r="D5990" s="5" t="s">
        <v>8902</v>
      </c>
      <c r="E5990" s="2" t="s">
        <v>15445</v>
      </c>
      <c r="F5990" s="2" t="s">
        <v>15446</v>
      </c>
      <c r="G5990" s="2" t="s">
        <v>15456</v>
      </c>
      <c r="H5990" s="2" t="s">
        <v>15444</v>
      </c>
    </row>
    <row r="5991">
      <c r="A5991" s="2">
        <v>5989.0</v>
      </c>
      <c r="B5991" s="5" t="s">
        <v>15186</v>
      </c>
      <c r="C5991" s="2" t="s">
        <v>15187</v>
      </c>
      <c r="D5991" s="5" t="s">
        <v>15186</v>
      </c>
      <c r="E5991" s="2" t="s">
        <v>15441</v>
      </c>
      <c r="F5991" s="2" t="s">
        <v>15446</v>
      </c>
      <c r="G5991" s="2" t="s">
        <v>15456</v>
      </c>
      <c r="H5991" s="2" t="s">
        <v>15444</v>
      </c>
    </row>
    <row r="5992">
      <c r="A5992" s="2">
        <v>5990.0</v>
      </c>
      <c r="B5992" s="5" t="s">
        <v>15188</v>
      </c>
      <c r="C5992" s="2" t="s">
        <v>15189</v>
      </c>
      <c r="D5992" s="5" t="s">
        <v>15188</v>
      </c>
      <c r="E5992" s="2" t="s">
        <v>15441</v>
      </c>
      <c r="F5992" s="2" t="s">
        <v>15446</v>
      </c>
      <c r="G5992" s="2" t="s">
        <v>15456</v>
      </c>
      <c r="H5992" s="2" t="s">
        <v>15444</v>
      </c>
    </row>
    <row r="5993">
      <c r="A5993" s="2">
        <v>5991.0</v>
      </c>
      <c r="B5993" s="5" t="s">
        <v>8905</v>
      </c>
      <c r="C5993" s="2" t="s">
        <v>8906</v>
      </c>
      <c r="D5993" s="5" t="s">
        <v>8905</v>
      </c>
      <c r="E5993" s="2" t="s">
        <v>15445</v>
      </c>
      <c r="F5993" s="2" t="s">
        <v>15446</v>
      </c>
      <c r="G5993" s="2" t="s">
        <v>15456</v>
      </c>
      <c r="H5993" s="2" t="s">
        <v>15444</v>
      </c>
    </row>
    <row r="5994">
      <c r="A5994" s="2">
        <v>5992.0</v>
      </c>
      <c r="B5994" s="5" t="s">
        <v>8908</v>
      </c>
      <c r="C5994" s="2" t="s">
        <v>8909</v>
      </c>
      <c r="D5994" s="5" t="s">
        <v>8908</v>
      </c>
      <c r="E5994" s="2" t="s">
        <v>15445</v>
      </c>
      <c r="F5994" s="2" t="s">
        <v>15446</v>
      </c>
      <c r="G5994" s="2" t="s">
        <v>15456</v>
      </c>
      <c r="H5994" s="2" t="s">
        <v>15444</v>
      </c>
    </row>
    <row r="5995">
      <c r="A5995" s="2">
        <v>5993.0</v>
      </c>
      <c r="B5995" s="5" t="s">
        <v>8911</v>
      </c>
      <c r="C5995" s="2" t="s">
        <v>8912</v>
      </c>
      <c r="D5995" s="5" t="s">
        <v>8911</v>
      </c>
      <c r="E5995" s="2" t="s">
        <v>15445</v>
      </c>
      <c r="F5995" s="2" t="s">
        <v>15446</v>
      </c>
      <c r="G5995" s="2" t="s">
        <v>15456</v>
      </c>
      <c r="H5995" s="2" t="s">
        <v>15444</v>
      </c>
    </row>
    <row r="5996">
      <c r="A5996" s="2">
        <v>5994.0</v>
      </c>
      <c r="B5996" s="5" t="s">
        <v>15190</v>
      </c>
      <c r="C5996" s="2" t="s">
        <v>15191</v>
      </c>
      <c r="D5996" s="5" t="s">
        <v>15190</v>
      </c>
      <c r="E5996" s="2" t="s">
        <v>15441</v>
      </c>
      <c r="F5996" s="2" t="s">
        <v>15446</v>
      </c>
      <c r="G5996" s="2" t="s">
        <v>15456</v>
      </c>
      <c r="H5996" s="2" t="s">
        <v>15444</v>
      </c>
    </row>
    <row r="5997">
      <c r="A5997" s="2">
        <v>5995.0</v>
      </c>
      <c r="B5997" s="5" t="s">
        <v>15192</v>
      </c>
      <c r="C5997" s="2" t="s">
        <v>15193</v>
      </c>
      <c r="D5997" s="5" t="s">
        <v>15192</v>
      </c>
      <c r="E5997" s="2" t="s">
        <v>15441</v>
      </c>
      <c r="F5997" s="2" t="s">
        <v>15442</v>
      </c>
      <c r="G5997" s="2" t="s">
        <v>15443</v>
      </c>
      <c r="H5997" s="2" t="s">
        <v>15444</v>
      </c>
    </row>
    <row r="5998">
      <c r="A5998" s="2">
        <v>5996.0</v>
      </c>
      <c r="B5998" s="5" t="s">
        <v>15194</v>
      </c>
      <c r="C5998" s="2" t="s">
        <v>15195</v>
      </c>
      <c r="D5998" s="5" t="s">
        <v>15194</v>
      </c>
      <c r="E5998" s="2" t="s">
        <v>15441</v>
      </c>
      <c r="F5998" s="2" t="s">
        <v>15446</v>
      </c>
      <c r="G5998" s="2" t="s">
        <v>15456</v>
      </c>
      <c r="H5998" s="2" t="s">
        <v>15444</v>
      </c>
    </row>
    <row r="5999">
      <c r="A5999" s="2">
        <v>5997.0</v>
      </c>
      <c r="B5999" s="5" t="s">
        <v>8914</v>
      </c>
      <c r="C5999" s="2" t="s">
        <v>8915</v>
      </c>
      <c r="D5999" s="5" t="s">
        <v>8914</v>
      </c>
      <c r="E5999" s="2" t="s">
        <v>15445</v>
      </c>
      <c r="F5999" s="2" t="s">
        <v>15442</v>
      </c>
      <c r="G5999" s="2" t="s">
        <v>15443</v>
      </c>
      <c r="H5999" s="2" t="s">
        <v>15444</v>
      </c>
    </row>
    <row r="6000">
      <c r="A6000" s="2">
        <v>5998.0</v>
      </c>
      <c r="B6000" s="5" t="s">
        <v>8917</v>
      </c>
      <c r="C6000" s="2" t="s">
        <v>8918</v>
      </c>
      <c r="D6000" s="5" t="s">
        <v>8917</v>
      </c>
      <c r="E6000" s="2" t="s">
        <v>15445</v>
      </c>
      <c r="F6000" s="2" t="s">
        <v>15446</v>
      </c>
      <c r="G6000" s="2" t="s">
        <v>15456</v>
      </c>
      <c r="H6000" s="2" t="s">
        <v>15444</v>
      </c>
    </row>
    <row r="6001">
      <c r="A6001" s="2">
        <v>5999.0</v>
      </c>
      <c r="B6001" s="5" t="s">
        <v>15196</v>
      </c>
      <c r="C6001" s="2" t="s">
        <v>15197</v>
      </c>
      <c r="D6001" s="5" t="s">
        <v>15196</v>
      </c>
      <c r="E6001" s="2" t="s">
        <v>15441</v>
      </c>
      <c r="F6001" s="2" t="s">
        <v>15446</v>
      </c>
      <c r="G6001" s="2" t="s">
        <v>15443</v>
      </c>
      <c r="H6001" s="2" t="s">
        <v>15444</v>
      </c>
    </row>
    <row r="6002">
      <c r="A6002" s="2">
        <v>6000.0</v>
      </c>
      <c r="B6002" s="5" t="s">
        <v>8920</v>
      </c>
      <c r="C6002" s="2" t="s">
        <v>8921</v>
      </c>
      <c r="D6002" s="5" t="s">
        <v>8920</v>
      </c>
      <c r="E6002" s="2" t="s">
        <v>15445</v>
      </c>
      <c r="F6002" s="2" t="s">
        <v>15442</v>
      </c>
      <c r="G6002" s="2" t="s">
        <v>15443</v>
      </c>
      <c r="H6002" s="2" t="s">
        <v>15444</v>
      </c>
    </row>
    <row r="6003">
      <c r="A6003" s="2">
        <v>6001.0</v>
      </c>
      <c r="B6003" s="5" t="s">
        <v>15198</v>
      </c>
      <c r="C6003" s="2" t="s">
        <v>15199</v>
      </c>
      <c r="D6003" s="5" t="s">
        <v>15198</v>
      </c>
      <c r="E6003" s="2" t="s">
        <v>15441</v>
      </c>
      <c r="F6003" s="2" t="s">
        <v>15446</v>
      </c>
      <c r="G6003" s="2" t="s">
        <v>15443</v>
      </c>
      <c r="H6003" s="2" t="s">
        <v>15444</v>
      </c>
    </row>
    <row r="6004">
      <c r="A6004" s="2">
        <v>6002.0</v>
      </c>
      <c r="B6004" s="5" t="s">
        <v>8923</v>
      </c>
      <c r="C6004" s="2" t="s">
        <v>8924</v>
      </c>
      <c r="D6004" s="5" t="s">
        <v>8923</v>
      </c>
      <c r="E6004" s="2" t="s">
        <v>15445</v>
      </c>
      <c r="F6004" s="2" t="s">
        <v>15446</v>
      </c>
      <c r="G6004" s="2" t="s">
        <v>15456</v>
      </c>
      <c r="H6004" s="2" t="s">
        <v>15444</v>
      </c>
    </row>
    <row r="6005">
      <c r="A6005" s="2">
        <v>6003.0</v>
      </c>
      <c r="B6005" s="5" t="s">
        <v>8926</v>
      </c>
      <c r="C6005" s="2" t="s">
        <v>8927</v>
      </c>
      <c r="D6005" s="5" t="s">
        <v>8926</v>
      </c>
      <c r="E6005" s="2" t="s">
        <v>15445</v>
      </c>
      <c r="F6005" s="2" t="s">
        <v>15442</v>
      </c>
      <c r="G6005" s="2" t="s">
        <v>15443</v>
      </c>
      <c r="H6005" s="2" t="s">
        <v>15444</v>
      </c>
    </row>
    <row r="6006">
      <c r="A6006" s="2">
        <v>6004.0</v>
      </c>
      <c r="B6006" s="5" t="s">
        <v>8929</v>
      </c>
      <c r="C6006" s="2" t="s">
        <v>8930</v>
      </c>
      <c r="D6006" s="5" t="s">
        <v>8929</v>
      </c>
      <c r="E6006" s="2" t="s">
        <v>15445</v>
      </c>
      <c r="F6006" s="2" t="s">
        <v>15446</v>
      </c>
      <c r="G6006" s="2" t="s">
        <v>15443</v>
      </c>
      <c r="H6006" s="2" t="s">
        <v>15444</v>
      </c>
    </row>
    <row r="6007">
      <c r="A6007" s="2">
        <v>6005.0</v>
      </c>
      <c r="B6007" s="5" t="s">
        <v>15200</v>
      </c>
      <c r="C6007" s="2" t="s">
        <v>15201</v>
      </c>
      <c r="D6007" s="5" t="s">
        <v>15200</v>
      </c>
      <c r="E6007" s="2" t="s">
        <v>15441</v>
      </c>
      <c r="F6007" s="2" t="s">
        <v>15446</v>
      </c>
      <c r="G6007" s="2" t="s">
        <v>15456</v>
      </c>
      <c r="H6007" s="2" t="s">
        <v>15444</v>
      </c>
    </row>
    <row r="6008">
      <c r="A6008" s="2">
        <v>6006.0</v>
      </c>
      <c r="B6008" s="5" t="s">
        <v>8932</v>
      </c>
      <c r="C6008" s="2" t="s">
        <v>8933</v>
      </c>
      <c r="D6008" s="5" t="s">
        <v>8932</v>
      </c>
      <c r="E6008" s="2" t="s">
        <v>15445</v>
      </c>
      <c r="F6008" s="2" t="s">
        <v>15442</v>
      </c>
      <c r="G6008" s="2" t="s">
        <v>15443</v>
      </c>
      <c r="H6008" s="2" t="s">
        <v>15444</v>
      </c>
    </row>
    <row r="6009">
      <c r="A6009" s="2">
        <v>6007.0</v>
      </c>
      <c r="B6009" s="5" t="s">
        <v>15202</v>
      </c>
      <c r="C6009" s="2" t="s">
        <v>15203</v>
      </c>
      <c r="D6009" s="5" t="s">
        <v>15202</v>
      </c>
      <c r="E6009" s="2" t="s">
        <v>15441</v>
      </c>
      <c r="F6009" s="2" t="s">
        <v>15446</v>
      </c>
      <c r="G6009" s="2" t="s">
        <v>15456</v>
      </c>
      <c r="H6009" s="2" t="s">
        <v>15444</v>
      </c>
    </row>
    <row r="6010">
      <c r="A6010" s="2">
        <v>6008.0</v>
      </c>
      <c r="B6010" s="5" t="s">
        <v>15204</v>
      </c>
      <c r="C6010" s="2" t="s">
        <v>15205</v>
      </c>
      <c r="D6010" s="5" t="s">
        <v>15204</v>
      </c>
      <c r="E6010" s="2" t="s">
        <v>15441</v>
      </c>
      <c r="F6010" s="2" t="s">
        <v>15442</v>
      </c>
      <c r="G6010" s="2" t="s">
        <v>15443</v>
      </c>
      <c r="H6010" s="2" t="s">
        <v>15444</v>
      </c>
    </row>
    <row r="6011">
      <c r="A6011" s="2">
        <v>6009.0</v>
      </c>
      <c r="B6011" s="5" t="s">
        <v>8935</v>
      </c>
      <c r="C6011" s="2" t="s">
        <v>8936</v>
      </c>
      <c r="D6011" s="5" t="s">
        <v>8935</v>
      </c>
      <c r="E6011" s="2" t="s">
        <v>15445</v>
      </c>
      <c r="F6011" s="2" t="s">
        <v>15442</v>
      </c>
      <c r="G6011" s="2" t="s">
        <v>15443</v>
      </c>
      <c r="H6011" s="2" t="s">
        <v>15444</v>
      </c>
    </row>
    <row r="6012">
      <c r="A6012" s="2">
        <v>6010.0</v>
      </c>
      <c r="B6012" s="5" t="s">
        <v>8938</v>
      </c>
      <c r="C6012" s="2" t="s">
        <v>8939</v>
      </c>
      <c r="D6012" s="5" t="s">
        <v>8938</v>
      </c>
      <c r="E6012" s="2" t="s">
        <v>15445</v>
      </c>
      <c r="F6012" s="2" t="s">
        <v>15442</v>
      </c>
      <c r="G6012" s="2" t="s">
        <v>15456</v>
      </c>
      <c r="H6012" s="2" t="s">
        <v>15444</v>
      </c>
    </row>
    <row r="6013">
      <c r="A6013" s="2">
        <v>6011.0</v>
      </c>
      <c r="B6013" s="5" t="s">
        <v>15206</v>
      </c>
      <c r="C6013" s="2" t="s">
        <v>15207</v>
      </c>
      <c r="D6013" s="5" t="s">
        <v>15206</v>
      </c>
      <c r="E6013" s="2" t="s">
        <v>15441</v>
      </c>
      <c r="F6013" s="2" t="s">
        <v>15446</v>
      </c>
      <c r="G6013" s="2" t="s">
        <v>15456</v>
      </c>
      <c r="H6013" s="2" t="s">
        <v>15444</v>
      </c>
    </row>
    <row r="6014">
      <c r="A6014" s="2">
        <v>6012.0</v>
      </c>
      <c r="B6014" s="5" t="s">
        <v>15208</v>
      </c>
      <c r="C6014" s="2" t="s">
        <v>15209</v>
      </c>
      <c r="D6014" s="5" t="s">
        <v>15208</v>
      </c>
      <c r="E6014" s="2" t="s">
        <v>15441</v>
      </c>
      <c r="F6014" s="2" t="s">
        <v>15446</v>
      </c>
      <c r="G6014" s="2" t="s">
        <v>15456</v>
      </c>
      <c r="H6014" s="2" t="s">
        <v>15444</v>
      </c>
    </row>
    <row r="6015">
      <c r="A6015" s="2">
        <v>6013.0</v>
      </c>
      <c r="B6015" s="5" t="s">
        <v>15210</v>
      </c>
      <c r="C6015" s="2" t="s">
        <v>15211</v>
      </c>
      <c r="D6015" s="5" t="s">
        <v>15210</v>
      </c>
      <c r="E6015" s="2" t="s">
        <v>15441</v>
      </c>
      <c r="F6015" s="2" t="s">
        <v>15446</v>
      </c>
      <c r="G6015" s="2" t="s">
        <v>15456</v>
      </c>
      <c r="H6015" s="2" t="s">
        <v>15444</v>
      </c>
    </row>
    <row r="6016">
      <c r="A6016" s="2">
        <v>6014.0</v>
      </c>
      <c r="B6016" s="5" t="s">
        <v>15212</v>
      </c>
      <c r="C6016" s="2" t="s">
        <v>15213</v>
      </c>
      <c r="D6016" s="5" t="s">
        <v>15212</v>
      </c>
      <c r="E6016" s="2" t="s">
        <v>15441</v>
      </c>
      <c r="F6016" s="2" t="s">
        <v>15442</v>
      </c>
      <c r="G6016" s="2" t="s">
        <v>15443</v>
      </c>
      <c r="H6016" s="2" t="s">
        <v>15444</v>
      </c>
    </row>
    <row r="6017">
      <c r="A6017" s="2">
        <v>6015.0</v>
      </c>
      <c r="B6017" s="5" t="s">
        <v>8941</v>
      </c>
      <c r="C6017" s="2" t="s">
        <v>8942</v>
      </c>
      <c r="D6017" s="5" t="s">
        <v>8941</v>
      </c>
      <c r="E6017" s="2" t="s">
        <v>15445</v>
      </c>
      <c r="F6017" s="2" t="s">
        <v>15446</v>
      </c>
      <c r="G6017" s="2" t="s">
        <v>15456</v>
      </c>
      <c r="H6017" s="2" t="s">
        <v>15444</v>
      </c>
    </row>
    <row r="6018">
      <c r="A6018" s="2">
        <v>6016.0</v>
      </c>
      <c r="B6018" s="5" t="s">
        <v>15616</v>
      </c>
      <c r="C6018" s="2" t="s">
        <v>15617</v>
      </c>
      <c r="D6018" s="5" t="s">
        <v>15616</v>
      </c>
      <c r="E6018" s="2" t="s">
        <v>15445</v>
      </c>
      <c r="F6018" s="2" t="s">
        <v>15446</v>
      </c>
      <c r="G6018" s="2" t="s">
        <v>15443</v>
      </c>
      <c r="H6018" s="2" t="s">
        <v>15455</v>
      </c>
    </row>
    <row r="6019">
      <c r="A6019" s="2">
        <v>6017.0</v>
      </c>
      <c r="B6019" s="5" t="s">
        <v>8944</v>
      </c>
      <c r="C6019" s="2" t="s">
        <v>8945</v>
      </c>
      <c r="D6019" s="5" t="s">
        <v>8944</v>
      </c>
      <c r="E6019" s="2" t="s">
        <v>15445</v>
      </c>
      <c r="F6019" s="2" t="s">
        <v>15442</v>
      </c>
      <c r="G6019" s="2" t="s">
        <v>15443</v>
      </c>
      <c r="H6019" s="2" t="s">
        <v>15444</v>
      </c>
    </row>
    <row r="6020">
      <c r="A6020" s="2">
        <v>6018.0</v>
      </c>
      <c r="B6020" s="5" t="s">
        <v>8947</v>
      </c>
      <c r="C6020" s="2" t="s">
        <v>8948</v>
      </c>
      <c r="D6020" s="5" t="s">
        <v>8947</v>
      </c>
      <c r="E6020" s="2" t="s">
        <v>15445</v>
      </c>
      <c r="F6020" s="2" t="s">
        <v>15446</v>
      </c>
      <c r="G6020" s="2" t="s">
        <v>15456</v>
      </c>
      <c r="H6020" s="2" t="s">
        <v>15457</v>
      </c>
    </row>
    <row r="6021">
      <c r="A6021" s="2">
        <v>6019.0</v>
      </c>
      <c r="B6021" s="5" t="s">
        <v>15214</v>
      </c>
      <c r="C6021" s="2" t="s">
        <v>15215</v>
      </c>
      <c r="D6021" s="5" t="s">
        <v>15214</v>
      </c>
      <c r="E6021" s="2" t="s">
        <v>15441</v>
      </c>
      <c r="F6021" s="2" t="s">
        <v>15446</v>
      </c>
      <c r="G6021" s="2" t="s">
        <v>15456</v>
      </c>
      <c r="H6021" s="2" t="s">
        <v>15444</v>
      </c>
    </row>
    <row r="6022">
      <c r="A6022" s="2">
        <v>6020.0</v>
      </c>
      <c r="B6022" s="5" t="s">
        <v>8950</v>
      </c>
      <c r="C6022" s="2" t="s">
        <v>8951</v>
      </c>
      <c r="D6022" s="5" t="s">
        <v>8950</v>
      </c>
      <c r="E6022" s="2" t="s">
        <v>15445</v>
      </c>
      <c r="F6022" s="2" t="s">
        <v>15446</v>
      </c>
      <c r="G6022" s="2" t="s">
        <v>15443</v>
      </c>
      <c r="H6022" s="2" t="s">
        <v>15444</v>
      </c>
    </row>
    <row r="6023">
      <c r="A6023" s="2">
        <v>6021.0</v>
      </c>
      <c r="B6023" s="5" t="s">
        <v>15216</v>
      </c>
      <c r="C6023" s="2" t="s">
        <v>15217</v>
      </c>
      <c r="D6023" s="5" t="s">
        <v>15216</v>
      </c>
      <c r="E6023" s="2" t="s">
        <v>15441</v>
      </c>
      <c r="F6023" s="2" t="s">
        <v>15446</v>
      </c>
      <c r="G6023" s="2" t="s">
        <v>15456</v>
      </c>
      <c r="H6023" s="2" t="s">
        <v>15444</v>
      </c>
    </row>
    <row r="6024">
      <c r="A6024" s="2">
        <v>6022.0</v>
      </c>
      <c r="B6024" s="5" t="s">
        <v>8953</v>
      </c>
      <c r="C6024" s="2" t="s">
        <v>8954</v>
      </c>
      <c r="D6024" s="5" t="s">
        <v>8953</v>
      </c>
      <c r="E6024" s="2" t="s">
        <v>15445</v>
      </c>
      <c r="F6024" s="2" t="s">
        <v>15442</v>
      </c>
      <c r="G6024" s="2" t="s">
        <v>15443</v>
      </c>
      <c r="H6024" s="2" t="s">
        <v>15444</v>
      </c>
    </row>
    <row r="6025">
      <c r="A6025" s="2">
        <v>6023.0</v>
      </c>
      <c r="B6025" s="5" t="s">
        <v>15218</v>
      </c>
      <c r="C6025" s="2" t="s">
        <v>15219</v>
      </c>
      <c r="D6025" s="5" t="s">
        <v>15218</v>
      </c>
      <c r="E6025" s="2" t="s">
        <v>15441</v>
      </c>
      <c r="F6025" s="2" t="s">
        <v>15442</v>
      </c>
      <c r="G6025" s="2" t="s">
        <v>15456</v>
      </c>
      <c r="H6025" s="2" t="s">
        <v>15444</v>
      </c>
    </row>
    <row r="6026">
      <c r="A6026" s="2">
        <v>6024.0</v>
      </c>
      <c r="B6026" s="5" t="s">
        <v>8956</v>
      </c>
      <c r="C6026" s="2" t="s">
        <v>8957</v>
      </c>
      <c r="D6026" s="5" t="s">
        <v>8956</v>
      </c>
      <c r="E6026" s="2" t="s">
        <v>15445</v>
      </c>
      <c r="F6026" s="2" t="s">
        <v>15446</v>
      </c>
      <c r="G6026" s="2" t="s">
        <v>15443</v>
      </c>
      <c r="H6026" s="2" t="s">
        <v>15444</v>
      </c>
    </row>
    <row r="6027">
      <c r="A6027" s="2">
        <v>6025.0</v>
      </c>
      <c r="B6027" s="5" t="s">
        <v>15220</v>
      </c>
      <c r="C6027" s="2" t="s">
        <v>15221</v>
      </c>
      <c r="D6027" s="5" t="s">
        <v>15220</v>
      </c>
      <c r="E6027" s="2" t="s">
        <v>15441</v>
      </c>
      <c r="F6027" s="2" t="s">
        <v>15446</v>
      </c>
      <c r="G6027" s="2" t="s">
        <v>15456</v>
      </c>
      <c r="H6027" s="2" t="s">
        <v>15444</v>
      </c>
    </row>
    <row r="6028">
      <c r="A6028" s="2">
        <v>6026.0</v>
      </c>
      <c r="B6028" s="5" t="s">
        <v>15222</v>
      </c>
      <c r="C6028" s="2" t="s">
        <v>15223</v>
      </c>
      <c r="D6028" s="5" t="s">
        <v>15222</v>
      </c>
      <c r="E6028" s="2" t="s">
        <v>15441</v>
      </c>
      <c r="F6028" s="2" t="s">
        <v>15442</v>
      </c>
      <c r="G6028" s="2" t="s">
        <v>15443</v>
      </c>
      <c r="H6028" s="2" t="s">
        <v>15444</v>
      </c>
    </row>
    <row r="6029">
      <c r="A6029" s="2">
        <v>6027.0</v>
      </c>
      <c r="B6029" s="5" t="s">
        <v>8959</v>
      </c>
      <c r="C6029" s="2" t="s">
        <v>8960</v>
      </c>
      <c r="D6029" s="5" t="s">
        <v>8959</v>
      </c>
      <c r="E6029" s="2" t="s">
        <v>15445</v>
      </c>
      <c r="F6029" s="2" t="s">
        <v>15442</v>
      </c>
      <c r="G6029" s="2" t="s">
        <v>15443</v>
      </c>
      <c r="H6029" s="2" t="s">
        <v>15444</v>
      </c>
    </row>
    <row r="6030">
      <c r="A6030" s="2">
        <v>6028.0</v>
      </c>
      <c r="B6030" s="5" t="s">
        <v>15224</v>
      </c>
      <c r="C6030" s="2" t="s">
        <v>15225</v>
      </c>
      <c r="D6030" s="5" t="s">
        <v>15224</v>
      </c>
      <c r="E6030" s="2" t="s">
        <v>15441</v>
      </c>
      <c r="F6030" s="2" t="s">
        <v>15442</v>
      </c>
      <c r="G6030" s="2" t="s">
        <v>15456</v>
      </c>
      <c r="H6030" s="2" t="s">
        <v>15462</v>
      </c>
    </row>
    <row r="6031">
      <c r="A6031" s="2">
        <v>6029.0</v>
      </c>
      <c r="B6031" s="5" t="s">
        <v>8962</v>
      </c>
      <c r="C6031" s="2" t="s">
        <v>8963</v>
      </c>
      <c r="D6031" s="5" t="s">
        <v>8962</v>
      </c>
      <c r="E6031" s="2" t="s">
        <v>15445</v>
      </c>
      <c r="F6031" s="2" t="s">
        <v>15442</v>
      </c>
      <c r="G6031" s="2" t="s">
        <v>15443</v>
      </c>
      <c r="H6031" s="2" t="s">
        <v>15455</v>
      </c>
    </row>
    <row r="6032">
      <c r="A6032" s="2">
        <v>6030.0</v>
      </c>
      <c r="B6032" s="5" t="s">
        <v>15226</v>
      </c>
      <c r="C6032" s="2" t="s">
        <v>15227</v>
      </c>
      <c r="D6032" s="5" t="s">
        <v>15226</v>
      </c>
      <c r="E6032" s="2" t="s">
        <v>15441</v>
      </c>
      <c r="F6032" s="2" t="s">
        <v>15446</v>
      </c>
      <c r="G6032" s="2" t="s">
        <v>15443</v>
      </c>
      <c r="H6032" s="2" t="s">
        <v>15444</v>
      </c>
    </row>
    <row r="6033">
      <c r="A6033" s="2">
        <v>6031.0</v>
      </c>
      <c r="B6033" s="5" t="s">
        <v>15228</v>
      </c>
      <c r="C6033" s="2" t="s">
        <v>15229</v>
      </c>
      <c r="D6033" s="5" t="s">
        <v>15228</v>
      </c>
      <c r="E6033" s="2" t="s">
        <v>15441</v>
      </c>
      <c r="F6033" s="2" t="s">
        <v>15446</v>
      </c>
      <c r="G6033" s="2" t="s">
        <v>15456</v>
      </c>
      <c r="H6033" s="2" t="s">
        <v>15457</v>
      </c>
    </row>
    <row r="6034">
      <c r="A6034" s="2">
        <v>6032.0</v>
      </c>
      <c r="B6034" s="5" t="s">
        <v>8965</v>
      </c>
      <c r="C6034" s="2" t="s">
        <v>8966</v>
      </c>
      <c r="D6034" s="5" t="s">
        <v>8965</v>
      </c>
      <c r="E6034" s="2" t="s">
        <v>15445</v>
      </c>
      <c r="F6034" s="2" t="s">
        <v>15446</v>
      </c>
      <c r="G6034" s="2" t="s">
        <v>15456</v>
      </c>
      <c r="H6034" s="2" t="s">
        <v>15444</v>
      </c>
    </row>
    <row r="6035">
      <c r="A6035" s="2">
        <v>6033.0</v>
      </c>
      <c r="B6035" s="5" t="s">
        <v>8968</v>
      </c>
      <c r="C6035" s="2" t="s">
        <v>8969</v>
      </c>
      <c r="D6035" s="5" t="s">
        <v>8968</v>
      </c>
      <c r="E6035" s="2" t="s">
        <v>15445</v>
      </c>
      <c r="F6035" s="2" t="s">
        <v>15446</v>
      </c>
      <c r="G6035" s="2" t="s">
        <v>15456</v>
      </c>
      <c r="H6035" s="2" t="s">
        <v>15444</v>
      </c>
    </row>
    <row r="6036">
      <c r="A6036" s="2">
        <v>6034.0</v>
      </c>
      <c r="B6036" s="5" t="s">
        <v>15230</v>
      </c>
      <c r="C6036" s="2" t="s">
        <v>15231</v>
      </c>
      <c r="D6036" s="5" t="s">
        <v>15230</v>
      </c>
      <c r="E6036" s="2" t="s">
        <v>15441</v>
      </c>
      <c r="F6036" s="2" t="s">
        <v>15446</v>
      </c>
      <c r="G6036" s="2" t="s">
        <v>15456</v>
      </c>
      <c r="H6036" s="2" t="s">
        <v>15444</v>
      </c>
    </row>
    <row r="6037">
      <c r="A6037" s="2">
        <v>6035.0</v>
      </c>
      <c r="B6037" s="5" t="s">
        <v>15232</v>
      </c>
      <c r="C6037" s="2" t="s">
        <v>15233</v>
      </c>
      <c r="D6037" s="5" t="s">
        <v>15232</v>
      </c>
      <c r="E6037" s="2" t="s">
        <v>15441</v>
      </c>
      <c r="F6037" s="2" t="s">
        <v>15442</v>
      </c>
      <c r="G6037" s="2" t="s">
        <v>15443</v>
      </c>
      <c r="H6037" s="2" t="s">
        <v>15444</v>
      </c>
    </row>
    <row r="6038">
      <c r="A6038" s="2">
        <v>6036.0</v>
      </c>
      <c r="B6038" s="5" t="s">
        <v>15234</v>
      </c>
      <c r="C6038" s="2" t="s">
        <v>15235</v>
      </c>
      <c r="D6038" s="5" t="s">
        <v>15234</v>
      </c>
      <c r="E6038" s="2" t="s">
        <v>15441</v>
      </c>
      <c r="F6038" s="2" t="s">
        <v>15442</v>
      </c>
      <c r="G6038" s="2" t="s">
        <v>15443</v>
      </c>
      <c r="H6038" s="2" t="s">
        <v>15444</v>
      </c>
    </row>
    <row r="6039">
      <c r="A6039" s="2">
        <v>6037.0</v>
      </c>
      <c r="B6039" s="5" t="s">
        <v>8971</v>
      </c>
      <c r="C6039" s="2" t="s">
        <v>8972</v>
      </c>
      <c r="D6039" s="5" t="s">
        <v>8971</v>
      </c>
      <c r="E6039" s="2" t="s">
        <v>15445</v>
      </c>
      <c r="F6039" s="2" t="s">
        <v>15442</v>
      </c>
      <c r="G6039" s="2" t="s">
        <v>15456</v>
      </c>
      <c r="H6039" s="2" t="s">
        <v>15444</v>
      </c>
    </row>
    <row r="6040">
      <c r="A6040" s="2">
        <v>6038.0</v>
      </c>
      <c r="B6040" s="5" t="s">
        <v>8974</v>
      </c>
      <c r="C6040" s="2" t="s">
        <v>8975</v>
      </c>
      <c r="D6040" s="5" t="s">
        <v>8974</v>
      </c>
      <c r="E6040" s="2" t="s">
        <v>15445</v>
      </c>
      <c r="F6040" s="2" t="s">
        <v>15442</v>
      </c>
      <c r="G6040" s="2" t="s">
        <v>15456</v>
      </c>
      <c r="H6040" s="2" t="s">
        <v>15444</v>
      </c>
    </row>
    <row r="6041">
      <c r="A6041" s="2">
        <v>6039.0</v>
      </c>
      <c r="B6041" s="5" t="s">
        <v>8977</v>
      </c>
      <c r="C6041" s="2" t="s">
        <v>8978</v>
      </c>
      <c r="D6041" s="5" t="s">
        <v>8977</v>
      </c>
      <c r="E6041" s="2" t="s">
        <v>15445</v>
      </c>
      <c r="F6041" s="2" t="s">
        <v>15442</v>
      </c>
      <c r="G6041" s="2" t="s">
        <v>15456</v>
      </c>
      <c r="H6041" s="2" t="s">
        <v>15444</v>
      </c>
    </row>
    <row r="6042">
      <c r="A6042" s="2">
        <v>6040.0</v>
      </c>
      <c r="B6042" s="5" t="s">
        <v>15236</v>
      </c>
      <c r="C6042" s="2" t="s">
        <v>15237</v>
      </c>
      <c r="D6042" s="5" t="s">
        <v>15236</v>
      </c>
      <c r="E6042" s="2" t="s">
        <v>15441</v>
      </c>
      <c r="F6042" s="2" t="s">
        <v>15446</v>
      </c>
      <c r="G6042" s="2" t="s">
        <v>15443</v>
      </c>
      <c r="H6042" s="2" t="s">
        <v>15444</v>
      </c>
    </row>
    <row r="6043">
      <c r="A6043" s="2">
        <v>6041.0</v>
      </c>
      <c r="B6043" s="5" t="s">
        <v>15238</v>
      </c>
      <c r="C6043" s="2" t="s">
        <v>15239</v>
      </c>
      <c r="D6043" s="5" t="s">
        <v>15238</v>
      </c>
      <c r="E6043" s="2" t="s">
        <v>15441</v>
      </c>
      <c r="F6043" s="2" t="s">
        <v>15446</v>
      </c>
      <c r="G6043" s="2" t="s">
        <v>15456</v>
      </c>
      <c r="H6043" s="2" t="s">
        <v>15444</v>
      </c>
    </row>
    <row r="6044">
      <c r="A6044" s="2">
        <v>6042.0</v>
      </c>
      <c r="B6044" s="5" t="s">
        <v>8980</v>
      </c>
      <c r="C6044" s="2" t="s">
        <v>8981</v>
      </c>
      <c r="D6044" s="5" t="s">
        <v>8980</v>
      </c>
      <c r="E6044" s="2" t="s">
        <v>15445</v>
      </c>
      <c r="F6044" s="2" t="s">
        <v>15446</v>
      </c>
      <c r="G6044" s="2" t="s">
        <v>15456</v>
      </c>
      <c r="H6044" s="2" t="s">
        <v>15444</v>
      </c>
    </row>
    <row r="6045">
      <c r="A6045" s="2">
        <v>6043.0</v>
      </c>
      <c r="B6045" s="5" t="s">
        <v>15240</v>
      </c>
      <c r="C6045" s="2" t="s">
        <v>15241</v>
      </c>
      <c r="D6045" s="5" t="s">
        <v>15240</v>
      </c>
      <c r="E6045" s="2" t="s">
        <v>15441</v>
      </c>
      <c r="F6045" s="2" t="s">
        <v>15442</v>
      </c>
      <c r="G6045" s="2" t="s">
        <v>15443</v>
      </c>
      <c r="H6045" s="2" t="s">
        <v>15455</v>
      </c>
    </row>
    <row r="6046">
      <c r="A6046" s="2">
        <v>6044.0</v>
      </c>
      <c r="B6046" s="5" t="s">
        <v>8983</v>
      </c>
      <c r="C6046" s="2" t="s">
        <v>8984</v>
      </c>
      <c r="D6046" s="5" t="s">
        <v>8983</v>
      </c>
      <c r="E6046" s="2" t="s">
        <v>15445</v>
      </c>
      <c r="F6046" s="2" t="s">
        <v>15442</v>
      </c>
      <c r="G6046" s="2" t="s">
        <v>15456</v>
      </c>
      <c r="H6046" s="2" t="s">
        <v>15444</v>
      </c>
    </row>
    <row r="6047">
      <c r="A6047" s="2">
        <v>6045.0</v>
      </c>
      <c r="B6047" s="5" t="s">
        <v>8986</v>
      </c>
      <c r="C6047" s="2" t="s">
        <v>8987</v>
      </c>
      <c r="D6047" s="5" t="s">
        <v>8986</v>
      </c>
      <c r="E6047" s="2" t="s">
        <v>15445</v>
      </c>
      <c r="F6047" s="2" t="s">
        <v>15442</v>
      </c>
      <c r="G6047" s="2" t="s">
        <v>15443</v>
      </c>
      <c r="H6047" s="2" t="s">
        <v>15444</v>
      </c>
    </row>
    <row r="6048">
      <c r="A6048" s="2">
        <v>6046.0</v>
      </c>
      <c r="B6048" s="5" t="s">
        <v>15242</v>
      </c>
      <c r="C6048" s="2" t="s">
        <v>15243</v>
      </c>
      <c r="D6048" s="5" t="s">
        <v>15242</v>
      </c>
      <c r="E6048" s="2" t="s">
        <v>15441</v>
      </c>
      <c r="F6048" s="2" t="s">
        <v>15442</v>
      </c>
      <c r="G6048" s="2" t="s">
        <v>15443</v>
      </c>
      <c r="H6048" s="2" t="s">
        <v>15444</v>
      </c>
    </row>
    <row r="6049">
      <c r="A6049" s="2">
        <v>6047.0</v>
      </c>
      <c r="B6049" s="5" t="s">
        <v>15244</v>
      </c>
      <c r="C6049" s="2" t="s">
        <v>15245</v>
      </c>
      <c r="D6049" s="5" t="s">
        <v>15244</v>
      </c>
      <c r="E6049" s="2" t="s">
        <v>15441</v>
      </c>
      <c r="F6049" s="2" t="s">
        <v>15446</v>
      </c>
      <c r="G6049" s="2" t="s">
        <v>15443</v>
      </c>
      <c r="H6049" s="2" t="s">
        <v>15457</v>
      </c>
    </row>
    <row r="6050">
      <c r="A6050" s="2">
        <v>6048.0</v>
      </c>
      <c r="B6050" s="5" t="s">
        <v>15246</v>
      </c>
      <c r="C6050" s="2" t="s">
        <v>15247</v>
      </c>
      <c r="D6050" s="5" t="s">
        <v>15246</v>
      </c>
      <c r="E6050" s="2" t="s">
        <v>15441</v>
      </c>
      <c r="F6050" s="2" t="s">
        <v>15446</v>
      </c>
      <c r="G6050" s="2" t="s">
        <v>15456</v>
      </c>
      <c r="H6050" s="2" t="s">
        <v>15444</v>
      </c>
    </row>
    <row r="6051">
      <c r="A6051" s="2">
        <v>6049.0</v>
      </c>
      <c r="B6051" s="5" t="s">
        <v>15248</v>
      </c>
      <c r="C6051" s="2" t="s">
        <v>15249</v>
      </c>
      <c r="D6051" s="5" t="s">
        <v>15248</v>
      </c>
      <c r="E6051" s="2" t="s">
        <v>15441</v>
      </c>
      <c r="F6051" s="2" t="s">
        <v>15442</v>
      </c>
      <c r="G6051" s="2" t="s">
        <v>15443</v>
      </c>
      <c r="H6051" s="2" t="s">
        <v>15444</v>
      </c>
    </row>
    <row r="6052">
      <c r="A6052" s="2">
        <v>6050.0</v>
      </c>
      <c r="B6052" s="5" t="s">
        <v>8989</v>
      </c>
      <c r="C6052" s="2" t="s">
        <v>8990</v>
      </c>
      <c r="D6052" s="5" t="s">
        <v>8989</v>
      </c>
      <c r="E6052" s="2" t="s">
        <v>15445</v>
      </c>
      <c r="F6052" s="2" t="s">
        <v>15446</v>
      </c>
      <c r="G6052" s="2" t="s">
        <v>15456</v>
      </c>
      <c r="H6052" s="2" t="s">
        <v>15444</v>
      </c>
    </row>
    <row r="6053">
      <c r="A6053" s="2">
        <v>6051.0</v>
      </c>
      <c r="B6053" s="5" t="s">
        <v>15250</v>
      </c>
      <c r="C6053" s="2" t="s">
        <v>15251</v>
      </c>
      <c r="D6053" s="5" t="s">
        <v>15250</v>
      </c>
      <c r="E6053" s="2" t="s">
        <v>15441</v>
      </c>
      <c r="F6053" s="2" t="s">
        <v>15442</v>
      </c>
      <c r="G6053" s="2" t="s">
        <v>15443</v>
      </c>
      <c r="H6053" s="2" t="s">
        <v>15444</v>
      </c>
    </row>
    <row r="6054">
      <c r="A6054" s="2">
        <v>6052.0</v>
      </c>
      <c r="B6054" s="5" t="s">
        <v>15252</v>
      </c>
      <c r="C6054" s="2" t="s">
        <v>15253</v>
      </c>
      <c r="D6054" s="5" t="s">
        <v>15252</v>
      </c>
      <c r="E6054" s="2" t="s">
        <v>15441</v>
      </c>
      <c r="F6054" s="2" t="s">
        <v>15446</v>
      </c>
      <c r="G6054" s="2" t="s">
        <v>15456</v>
      </c>
      <c r="H6054" s="2" t="s">
        <v>15444</v>
      </c>
    </row>
    <row r="6055">
      <c r="A6055" s="2">
        <v>6053.0</v>
      </c>
      <c r="B6055" s="5" t="s">
        <v>8992</v>
      </c>
      <c r="C6055" s="2" t="s">
        <v>8993</v>
      </c>
      <c r="D6055" s="5" t="s">
        <v>8992</v>
      </c>
      <c r="E6055" s="2" t="s">
        <v>15445</v>
      </c>
      <c r="F6055" s="2" t="s">
        <v>15446</v>
      </c>
      <c r="G6055" s="2" t="s">
        <v>15443</v>
      </c>
      <c r="H6055" s="2" t="s">
        <v>15455</v>
      </c>
    </row>
    <row r="6056">
      <c r="A6056" s="2">
        <v>6054.0</v>
      </c>
      <c r="B6056" s="5" t="s">
        <v>15254</v>
      </c>
      <c r="C6056" s="2" t="s">
        <v>15255</v>
      </c>
      <c r="D6056" s="5" t="s">
        <v>15254</v>
      </c>
      <c r="E6056" s="2" t="s">
        <v>15441</v>
      </c>
      <c r="F6056" s="2" t="s">
        <v>15446</v>
      </c>
      <c r="G6056" s="2" t="s">
        <v>15456</v>
      </c>
      <c r="H6056" s="2" t="s">
        <v>15444</v>
      </c>
    </row>
    <row r="6057">
      <c r="A6057" s="2">
        <v>6055.0</v>
      </c>
      <c r="B6057" s="5" t="s">
        <v>8995</v>
      </c>
      <c r="C6057" s="2" t="s">
        <v>8996</v>
      </c>
      <c r="D6057" s="5" t="s">
        <v>8995</v>
      </c>
      <c r="E6057" s="2" t="s">
        <v>15445</v>
      </c>
      <c r="F6057" s="2" t="s">
        <v>15446</v>
      </c>
      <c r="G6057" s="2" t="s">
        <v>15456</v>
      </c>
      <c r="H6057" s="2" t="s">
        <v>15444</v>
      </c>
    </row>
    <row r="6058">
      <c r="A6058" s="2">
        <v>6056.0</v>
      </c>
      <c r="B6058" s="5" t="s">
        <v>8998</v>
      </c>
      <c r="C6058" s="2" t="s">
        <v>8999</v>
      </c>
      <c r="D6058" s="5" t="s">
        <v>8998</v>
      </c>
      <c r="E6058" s="2" t="s">
        <v>15445</v>
      </c>
      <c r="F6058" s="2" t="s">
        <v>15442</v>
      </c>
      <c r="G6058" s="2" t="s">
        <v>15456</v>
      </c>
      <c r="H6058" s="2" t="s">
        <v>15444</v>
      </c>
    </row>
    <row r="6059">
      <c r="A6059" s="2">
        <v>6057.0</v>
      </c>
      <c r="B6059" s="5" t="s">
        <v>9001</v>
      </c>
      <c r="C6059" s="2" t="s">
        <v>9002</v>
      </c>
      <c r="D6059" s="5" t="s">
        <v>9001</v>
      </c>
      <c r="E6059" s="2" t="s">
        <v>15445</v>
      </c>
      <c r="F6059" s="2" t="s">
        <v>15442</v>
      </c>
      <c r="G6059" s="2" t="s">
        <v>15443</v>
      </c>
      <c r="H6059" s="2" t="s">
        <v>15444</v>
      </c>
    </row>
    <row r="6060">
      <c r="A6060" s="2">
        <v>6058.0</v>
      </c>
      <c r="B6060" s="5" t="s">
        <v>15256</v>
      </c>
      <c r="C6060" s="2" t="s">
        <v>15257</v>
      </c>
      <c r="D6060" s="5" t="s">
        <v>15256</v>
      </c>
      <c r="E6060" s="2" t="s">
        <v>15441</v>
      </c>
      <c r="F6060" s="2" t="s">
        <v>15442</v>
      </c>
      <c r="G6060" s="2" t="s">
        <v>15443</v>
      </c>
      <c r="H6060" s="2" t="s">
        <v>15461</v>
      </c>
    </row>
    <row r="6061">
      <c r="A6061" s="2">
        <v>6059.0</v>
      </c>
      <c r="B6061" s="5" t="s">
        <v>9004</v>
      </c>
      <c r="C6061" s="2" t="s">
        <v>9005</v>
      </c>
      <c r="D6061" s="5" t="s">
        <v>9004</v>
      </c>
      <c r="E6061" s="2" t="s">
        <v>15445</v>
      </c>
      <c r="F6061" s="2" t="s">
        <v>15442</v>
      </c>
      <c r="G6061" s="2" t="s">
        <v>15456</v>
      </c>
      <c r="H6061" s="2" t="s">
        <v>15444</v>
      </c>
    </row>
    <row r="6062">
      <c r="A6062" s="2">
        <v>6060.0</v>
      </c>
      <c r="B6062" s="5" t="s">
        <v>15258</v>
      </c>
      <c r="C6062" s="2" t="s">
        <v>15259</v>
      </c>
      <c r="D6062" s="5" t="s">
        <v>15258</v>
      </c>
      <c r="E6062" s="2" t="s">
        <v>15441</v>
      </c>
      <c r="F6062" s="2" t="s">
        <v>15446</v>
      </c>
      <c r="G6062" s="2" t="s">
        <v>15443</v>
      </c>
      <c r="H6062" s="2" t="s">
        <v>15444</v>
      </c>
    </row>
    <row r="6063">
      <c r="A6063" s="2">
        <v>6061.0</v>
      </c>
      <c r="B6063" s="5" t="s">
        <v>15260</v>
      </c>
      <c r="C6063" s="2" t="s">
        <v>15261</v>
      </c>
      <c r="D6063" s="5" t="s">
        <v>15260</v>
      </c>
      <c r="E6063" s="2" t="s">
        <v>15441</v>
      </c>
      <c r="F6063" s="2" t="s">
        <v>15446</v>
      </c>
      <c r="G6063" s="2" t="s">
        <v>15456</v>
      </c>
      <c r="H6063" s="2" t="s">
        <v>15444</v>
      </c>
    </row>
    <row r="6064">
      <c r="A6064" s="2">
        <v>6062.0</v>
      </c>
      <c r="B6064" s="5" t="s">
        <v>15262</v>
      </c>
      <c r="C6064" s="2" t="s">
        <v>15263</v>
      </c>
      <c r="D6064" s="5" t="s">
        <v>15262</v>
      </c>
      <c r="E6064" s="2" t="s">
        <v>15441</v>
      </c>
      <c r="F6064" s="2" t="s">
        <v>15442</v>
      </c>
      <c r="G6064" s="2" t="s">
        <v>15443</v>
      </c>
      <c r="H6064" s="2" t="s">
        <v>15444</v>
      </c>
    </row>
    <row r="6065">
      <c r="A6065" s="2">
        <v>6063.0</v>
      </c>
      <c r="B6065" s="5" t="s">
        <v>15264</v>
      </c>
      <c r="C6065" s="2" t="s">
        <v>15265</v>
      </c>
      <c r="D6065" s="5" t="s">
        <v>15264</v>
      </c>
      <c r="E6065" s="2" t="s">
        <v>15441</v>
      </c>
      <c r="F6065" s="2" t="s">
        <v>15446</v>
      </c>
      <c r="G6065" s="2" t="s">
        <v>15443</v>
      </c>
      <c r="H6065" s="2" t="s">
        <v>15444</v>
      </c>
    </row>
    <row r="6066">
      <c r="A6066" s="2">
        <v>6064.0</v>
      </c>
      <c r="B6066" s="5" t="s">
        <v>15266</v>
      </c>
      <c r="C6066" s="2" t="s">
        <v>15267</v>
      </c>
      <c r="D6066" s="5" t="s">
        <v>15266</v>
      </c>
      <c r="E6066" s="2" t="s">
        <v>15441</v>
      </c>
      <c r="F6066" s="2" t="s">
        <v>15442</v>
      </c>
      <c r="G6066" s="2" t="s">
        <v>15443</v>
      </c>
      <c r="H6066" s="2" t="s">
        <v>15444</v>
      </c>
    </row>
    <row r="6067">
      <c r="A6067" s="2">
        <v>6065.0</v>
      </c>
      <c r="B6067" s="5" t="s">
        <v>9007</v>
      </c>
      <c r="C6067" s="2" t="s">
        <v>9008</v>
      </c>
      <c r="D6067" s="5" t="s">
        <v>9007</v>
      </c>
      <c r="E6067" s="2" t="s">
        <v>15445</v>
      </c>
      <c r="F6067" s="2" t="s">
        <v>15446</v>
      </c>
      <c r="G6067" s="2" t="s">
        <v>15456</v>
      </c>
      <c r="H6067" s="2" t="s">
        <v>15444</v>
      </c>
    </row>
    <row r="6068">
      <c r="A6068" s="2">
        <v>6066.0</v>
      </c>
      <c r="B6068" s="5" t="s">
        <v>9010</v>
      </c>
      <c r="C6068" s="2" t="s">
        <v>9011</v>
      </c>
      <c r="D6068" s="5" t="s">
        <v>9010</v>
      </c>
      <c r="E6068" s="2" t="s">
        <v>15445</v>
      </c>
      <c r="F6068" s="2" t="s">
        <v>15442</v>
      </c>
      <c r="G6068" s="2" t="s">
        <v>15443</v>
      </c>
      <c r="H6068" s="2" t="s">
        <v>15455</v>
      </c>
    </row>
    <row r="6069">
      <c r="A6069" s="2">
        <v>6067.0</v>
      </c>
      <c r="B6069" s="5" t="s">
        <v>15268</v>
      </c>
      <c r="C6069" s="2" t="s">
        <v>15269</v>
      </c>
      <c r="D6069" s="5" t="s">
        <v>15268</v>
      </c>
      <c r="E6069" s="2" t="s">
        <v>15441</v>
      </c>
      <c r="F6069" s="2" t="s">
        <v>15442</v>
      </c>
      <c r="G6069" s="2" t="s">
        <v>15443</v>
      </c>
      <c r="H6069" s="2" t="s">
        <v>15444</v>
      </c>
    </row>
    <row r="6070">
      <c r="A6070" s="2">
        <v>6068.0</v>
      </c>
      <c r="B6070" s="5" t="s">
        <v>15270</v>
      </c>
      <c r="C6070" s="2" t="s">
        <v>15271</v>
      </c>
      <c r="D6070" s="5" t="s">
        <v>15270</v>
      </c>
      <c r="E6070" s="2" t="s">
        <v>15441</v>
      </c>
      <c r="F6070" s="2" t="s">
        <v>15446</v>
      </c>
      <c r="G6070" s="2" t="s">
        <v>15456</v>
      </c>
      <c r="H6070" s="2" t="s">
        <v>15444</v>
      </c>
    </row>
    <row r="6071">
      <c r="A6071" s="2">
        <v>6069.0</v>
      </c>
      <c r="B6071" s="5" t="s">
        <v>15272</v>
      </c>
      <c r="C6071" s="2" t="s">
        <v>15273</v>
      </c>
      <c r="D6071" s="5" t="s">
        <v>15272</v>
      </c>
      <c r="E6071" s="2" t="s">
        <v>15441</v>
      </c>
      <c r="F6071" s="2" t="s">
        <v>15442</v>
      </c>
      <c r="G6071" s="2" t="s">
        <v>15456</v>
      </c>
      <c r="H6071" s="2" t="s">
        <v>15444</v>
      </c>
    </row>
    <row r="6072">
      <c r="A6072" s="2">
        <v>6070.0</v>
      </c>
      <c r="B6072" s="5" t="s">
        <v>9013</v>
      </c>
      <c r="C6072" s="2" t="s">
        <v>9014</v>
      </c>
      <c r="D6072" s="5" t="s">
        <v>9013</v>
      </c>
      <c r="E6072" s="2" t="s">
        <v>15445</v>
      </c>
      <c r="F6072" s="2" t="s">
        <v>15442</v>
      </c>
      <c r="G6072" s="2" t="s">
        <v>15443</v>
      </c>
      <c r="H6072" s="2" t="s">
        <v>15444</v>
      </c>
    </row>
    <row r="6073">
      <c r="A6073" s="2">
        <v>6071.0</v>
      </c>
      <c r="B6073" s="5" t="s">
        <v>15274</v>
      </c>
      <c r="C6073" s="2" t="s">
        <v>15275</v>
      </c>
      <c r="D6073" s="5" t="s">
        <v>15274</v>
      </c>
      <c r="E6073" s="2" t="s">
        <v>15441</v>
      </c>
      <c r="F6073" s="2" t="s">
        <v>15446</v>
      </c>
      <c r="G6073" s="2" t="s">
        <v>15456</v>
      </c>
      <c r="H6073" s="2" t="s">
        <v>15444</v>
      </c>
    </row>
    <row r="6074">
      <c r="A6074" s="2">
        <v>6072.0</v>
      </c>
      <c r="B6074" s="5" t="s">
        <v>15276</v>
      </c>
      <c r="C6074" s="2" t="s">
        <v>15277</v>
      </c>
      <c r="D6074" s="5" t="s">
        <v>15276</v>
      </c>
      <c r="E6074" s="2" t="s">
        <v>15441</v>
      </c>
      <c r="F6074" s="2" t="s">
        <v>15446</v>
      </c>
      <c r="G6074" s="2" t="s">
        <v>15443</v>
      </c>
      <c r="H6074" s="2" t="s">
        <v>15444</v>
      </c>
    </row>
    <row r="6075">
      <c r="A6075" s="2">
        <v>6073.0</v>
      </c>
      <c r="B6075" s="5" t="s">
        <v>15278</v>
      </c>
      <c r="C6075" s="2" t="s">
        <v>15279</v>
      </c>
      <c r="D6075" s="5" t="s">
        <v>15278</v>
      </c>
      <c r="E6075" s="2" t="s">
        <v>15441</v>
      </c>
      <c r="F6075" s="2" t="s">
        <v>15442</v>
      </c>
      <c r="G6075" s="2" t="s">
        <v>15456</v>
      </c>
      <c r="H6075" s="2" t="s">
        <v>15444</v>
      </c>
    </row>
    <row r="6076">
      <c r="A6076" s="2">
        <v>6074.0</v>
      </c>
      <c r="B6076" s="5" t="s">
        <v>9016</v>
      </c>
      <c r="C6076" s="2" t="s">
        <v>9017</v>
      </c>
      <c r="D6076" s="5" t="s">
        <v>9016</v>
      </c>
      <c r="E6076" s="2" t="s">
        <v>15445</v>
      </c>
      <c r="F6076" s="2" t="s">
        <v>15446</v>
      </c>
      <c r="G6076" s="2" t="s">
        <v>15456</v>
      </c>
      <c r="H6076" s="2" t="s">
        <v>15444</v>
      </c>
    </row>
    <row r="6077">
      <c r="A6077" s="2">
        <v>6075.0</v>
      </c>
      <c r="B6077" s="5" t="s">
        <v>9019</v>
      </c>
      <c r="C6077" s="2" t="s">
        <v>9020</v>
      </c>
      <c r="D6077" s="5" t="s">
        <v>9019</v>
      </c>
      <c r="E6077" s="2" t="s">
        <v>15445</v>
      </c>
      <c r="F6077" s="2" t="s">
        <v>15446</v>
      </c>
      <c r="G6077" s="2" t="s">
        <v>15456</v>
      </c>
      <c r="H6077" s="2" t="s">
        <v>15444</v>
      </c>
    </row>
    <row r="6078">
      <c r="A6078" s="2">
        <v>6076.0</v>
      </c>
      <c r="B6078" s="5" t="s">
        <v>9022</v>
      </c>
      <c r="C6078" s="2" t="s">
        <v>9023</v>
      </c>
      <c r="D6078" s="5" t="s">
        <v>9022</v>
      </c>
      <c r="E6078" s="2" t="s">
        <v>15445</v>
      </c>
      <c r="F6078" s="2" t="s">
        <v>15442</v>
      </c>
      <c r="G6078" s="2" t="s">
        <v>15443</v>
      </c>
      <c r="H6078" s="2" t="s">
        <v>15455</v>
      </c>
    </row>
    <row r="6079">
      <c r="A6079" s="2">
        <v>6077.0</v>
      </c>
      <c r="B6079" s="5" t="s">
        <v>15280</v>
      </c>
      <c r="C6079" s="2" t="s">
        <v>15281</v>
      </c>
      <c r="D6079" s="5" t="s">
        <v>15280</v>
      </c>
      <c r="E6079" s="2" t="s">
        <v>15441</v>
      </c>
      <c r="F6079" s="2" t="s">
        <v>15442</v>
      </c>
      <c r="G6079" s="2" t="s">
        <v>15443</v>
      </c>
      <c r="H6079" s="2" t="s">
        <v>15444</v>
      </c>
    </row>
    <row r="6080">
      <c r="A6080" s="2">
        <v>6078.0</v>
      </c>
      <c r="B6080" s="5" t="s">
        <v>15618</v>
      </c>
      <c r="D6080" s="5" t="s">
        <v>15618</v>
      </c>
      <c r="E6080" s="2" t="s">
        <v>15441</v>
      </c>
      <c r="F6080" s="2" t="s">
        <v>15442</v>
      </c>
      <c r="G6080" s="2" t="s">
        <v>15456</v>
      </c>
      <c r="H6080" s="2" t="s">
        <v>15444</v>
      </c>
    </row>
    <row r="6081">
      <c r="A6081" s="2">
        <v>6079.0</v>
      </c>
      <c r="B6081" s="5" t="s">
        <v>15282</v>
      </c>
      <c r="C6081" s="2" t="s">
        <v>15283</v>
      </c>
      <c r="D6081" s="5" t="s">
        <v>15282</v>
      </c>
      <c r="E6081" s="2" t="s">
        <v>15441</v>
      </c>
      <c r="F6081" s="2" t="s">
        <v>15446</v>
      </c>
      <c r="G6081" s="2" t="s">
        <v>15456</v>
      </c>
      <c r="H6081" s="2" t="s">
        <v>15444</v>
      </c>
    </row>
    <row r="6082">
      <c r="A6082" s="2">
        <v>6080.0</v>
      </c>
      <c r="B6082" s="5" t="s">
        <v>9025</v>
      </c>
      <c r="C6082" s="2" t="s">
        <v>9026</v>
      </c>
      <c r="D6082" s="5" t="s">
        <v>9025</v>
      </c>
      <c r="E6082" s="2" t="s">
        <v>15445</v>
      </c>
      <c r="F6082" s="2" t="s">
        <v>15446</v>
      </c>
      <c r="G6082" s="2" t="s">
        <v>15456</v>
      </c>
      <c r="H6082" s="2" t="s">
        <v>15457</v>
      </c>
    </row>
    <row r="6083">
      <c r="A6083" s="2">
        <v>6081.0</v>
      </c>
      <c r="B6083" s="5" t="s">
        <v>9028</v>
      </c>
      <c r="C6083" s="2" t="s">
        <v>9029</v>
      </c>
      <c r="D6083" s="5" t="s">
        <v>9028</v>
      </c>
      <c r="E6083" s="2" t="s">
        <v>15445</v>
      </c>
      <c r="F6083" s="2" t="s">
        <v>15442</v>
      </c>
      <c r="G6083" s="2" t="s">
        <v>15443</v>
      </c>
      <c r="H6083" s="2" t="s">
        <v>15444</v>
      </c>
    </row>
    <row r="6084">
      <c r="A6084" s="2">
        <v>6082.0</v>
      </c>
      <c r="B6084" s="5" t="s">
        <v>15284</v>
      </c>
      <c r="C6084" s="2" t="s">
        <v>15285</v>
      </c>
      <c r="D6084" s="5" t="s">
        <v>15284</v>
      </c>
      <c r="E6084" s="2" t="s">
        <v>15441</v>
      </c>
      <c r="F6084" s="2" t="s">
        <v>15446</v>
      </c>
      <c r="G6084" s="2" t="s">
        <v>15456</v>
      </c>
      <c r="H6084" s="2" t="s">
        <v>15444</v>
      </c>
    </row>
    <row r="6085">
      <c r="A6085" s="2">
        <v>6083.0</v>
      </c>
      <c r="B6085" s="5" t="s">
        <v>9031</v>
      </c>
      <c r="C6085" s="2" t="s">
        <v>9032</v>
      </c>
      <c r="D6085" s="5" t="s">
        <v>9031</v>
      </c>
      <c r="E6085" s="2" t="s">
        <v>15445</v>
      </c>
      <c r="F6085" s="2" t="s">
        <v>15442</v>
      </c>
      <c r="G6085" s="2" t="s">
        <v>15456</v>
      </c>
      <c r="H6085" s="2" t="s">
        <v>15444</v>
      </c>
    </row>
    <row r="6086">
      <c r="A6086" s="2">
        <v>6084.0</v>
      </c>
      <c r="B6086" s="5" t="s">
        <v>9034</v>
      </c>
      <c r="C6086" s="2" t="s">
        <v>9035</v>
      </c>
      <c r="D6086" s="5" t="s">
        <v>9034</v>
      </c>
      <c r="E6086" s="2" t="s">
        <v>15445</v>
      </c>
      <c r="F6086" s="2" t="s">
        <v>15446</v>
      </c>
      <c r="G6086" s="2" t="s">
        <v>15456</v>
      </c>
      <c r="H6086" s="2" t="s">
        <v>15457</v>
      </c>
    </row>
    <row r="6087">
      <c r="A6087" s="2">
        <v>6085.0</v>
      </c>
      <c r="B6087" s="5" t="s">
        <v>9037</v>
      </c>
      <c r="C6087" s="2" t="s">
        <v>9038</v>
      </c>
      <c r="D6087" s="5" t="s">
        <v>9037</v>
      </c>
      <c r="E6087" s="2" t="s">
        <v>15445</v>
      </c>
      <c r="F6087" s="2" t="s">
        <v>15442</v>
      </c>
      <c r="G6087" s="2" t="s">
        <v>15443</v>
      </c>
      <c r="H6087" s="2" t="s">
        <v>15444</v>
      </c>
    </row>
    <row r="6088">
      <c r="A6088" s="2">
        <v>6086.0</v>
      </c>
      <c r="B6088" s="5" t="s">
        <v>9040</v>
      </c>
      <c r="C6088" s="2" t="s">
        <v>9041</v>
      </c>
      <c r="D6088" s="5" t="s">
        <v>9040</v>
      </c>
      <c r="E6088" s="2" t="s">
        <v>15445</v>
      </c>
      <c r="F6088" s="2" t="s">
        <v>15446</v>
      </c>
      <c r="G6088" s="2" t="s">
        <v>15443</v>
      </c>
      <c r="H6088" s="2" t="s">
        <v>15444</v>
      </c>
    </row>
    <row r="6089">
      <c r="A6089" s="2">
        <v>6087.0</v>
      </c>
      <c r="B6089" s="5" t="s">
        <v>9043</v>
      </c>
      <c r="C6089" s="2" t="s">
        <v>9044</v>
      </c>
      <c r="D6089" s="5" t="s">
        <v>9043</v>
      </c>
      <c r="E6089" s="2" t="s">
        <v>15445</v>
      </c>
      <c r="F6089" s="2" t="s">
        <v>15442</v>
      </c>
      <c r="G6089" s="2" t="s">
        <v>15443</v>
      </c>
      <c r="H6089" s="2" t="s">
        <v>15444</v>
      </c>
    </row>
    <row r="6090">
      <c r="A6090" s="2">
        <v>6088.0</v>
      </c>
      <c r="B6090" s="5" t="s">
        <v>9046</v>
      </c>
      <c r="C6090" s="2" t="s">
        <v>9047</v>
      </c>
      <c r="D6090" s="5" t="s">
        <v>9046</v>
      </c>
      <c r="E6090" s="2" t="s">
        <v>15445</v>
      </c>
      <c r="F6090" s="2" t="s">
        <v>15446</v>
      </c>
      <c r="G6090" s="2" t="s">
        <v>15456</v>
      </c>
      <c r="H6090" s="2" t="s">
        <v>15444</v>
      </c>
    </row>
    <row r="6091">
      <c r="A6091" s="2">
        <v>6089.0</v>
      </c>
      <c r="B6091" s="5" t="s">
        <v>9049</v>
      </c>
      <c r="C6091" s="2" t="s">
        <v>9050</v>
      </c>
      <c r="D6091" s="5" t="s">
        <v>9049</v>
      </c>
      <c r="E6091" s="2" t="s">
        <v>15445</v>
      </c>
      <c r="F6091" s="2" t="s">
        <v>15442</v>
      </c>
      <c r="G6091" s="2" t="s">
        <v>15443</v>
      </c>
      <c r="H6091" s="2" t="s">
        <v>15457</v>
      </c>
    </row>
    <row r="6092">
      <c r="A6092" s="2">
        <v>6090.0</v>
      </c>
      <c r="B6092" s="5" t="s">
        <v>9052</v>
      </c>
      <c r="C6092" s="2" t="s">
        <v>9053</v>
      </c>
      <c r="D6092" s="5" t="s">
        <v>9052</v>
      </c>
      <c r="E6092" s="2" t="s">
        <v>15445</v>
      </c>
      <c r="F6092" s="2" t="s">
        <v>15442</v>
      </c>
      <c r="G6092" s="2" t="s">
        <v>15443</v>
      </c>
      <c r="H6092" s="2" t="s">
        <v>15444</v>
      </c>
    </row>
    <row r="6093">
      <c r="A6093" s="2">
        <v>6091.0</v>
      </c>
      <c r="B6093" s="5" t="s">
        <v>9055</v>
      </c>
      <c r="C6093" s="2" t="s">
        <v>9056</v>
      </c>
      <c r="D6093" s="5" t="s">
        <v>9055</v>
      </c>
      <c r="E6093" s="2" t="s">
        <v>15445</v>
      </c>
      <c r="F6093" s="2" t="s">
        <v>15446</v>
      </c>
      <c r="G6093" s="2" t="s">
        <v>15456</v>
      </c>
      <c r="H6093" s="2" t="s">
        <v>15444</v>
      </c>
    </row>
    <row r="6094">
      <c r="A6094" s="2">
        <v>6092.0</v>
      </c>
      <c r="B6094" s="5" t="s">
        <v>9058</v>
      </c>
      <c r="C6094" s="2" t="s">
        <v>9059</v>
      </c>
      <c r="D6094" s="5" t="s">
        <v>9058</v>
      </c>
      <c r="E6094" s="2" t="s">
        <v>15445</v>
      </c>
      <c r="F6094" s="2" t="s">
        <v>15446</v>
      </c>
      <c r="G6094" s="2" t="s">
        <v>15456</v>
      </c>
      <c r="H6094" s="2" t="s">
        <v>15444</v>
      </c>
    </row>
    <row r="6095">
      <c r="A6095" s="2">
        <v>6093.0</v>
      </c>
      <c r="B6095" s="5" t="s">
        <v>9061</v>
      </c>
      <c r="C6095" s="2" t="s">
        <v>9062</v>
      </c>
      <c r="D6095" s="5" t="s">
        <v>9061</v>
      </c>
      <c r="E6095" s="2" t="s">
        <v>15445</v>
      </c>
      <c r="F6095" s="2" t="s">
        <v>15446</v>
      </c>
      <c r="G6095" s="2" t="s">
        <v>15443</v>
      </c>
      <c r="H6095" s="2" t="s">
        <v>15444</v>
      </c>
    </row>
    <row r="6096">
      <c r="A6096" s="2">
        <v>6094.0</v>
      </c>
      <c r="B6096" s="5" t="s">
        <v>9064</v>
      </c>
      <c r="C6096" s="2" t="s">
        <v>9065</v>
      </c>
      <c r="D6096" s="5" t="s">
        <v>9064</v>
      </c>
      <c r="E6096" s="2" t="s">
        <v>15445</v>
      </c>
      <c r="F6096" s="2" t="s">
        <v>15442</v>
      </c>
      <c r="G6096" s="2" t="s">
        <v>15456</v>
      </c>
      <c r="H6096" s="2" t="s">
        <v>15444</v>
      </c>
    </row>
    <row r="6097">
      <c r="A6097" s="2">
        <v>6095.0</v>
      </c>
      <c r="B6097" s="5" t="s">
        <v>9067</v>
      </c>
      <c r="C6097" s="2" t="s">
        <v>9068</v>
      </c>
      <c r="D6097" s="5" t="s">
        <v>9067</v>
      </c>
      <c r="E6097" s="2" t="s">
        <v>15445</v>
      </c>
      <c r="F6097" s="2" t="s">
        <v>15446</v>
      </c>
      <c r="G6097" s="2" t="s">
        <v>15456</v>
      </c>
      <c r="H6097" s="2" t="s">
        <v>15444</v>
      </c>
    </row>
    <row r="6098">
      <c r="A6098" s="2">
        <v>6096.0</v>
      </c>
      <c r="B6098" s="5" t="s">
        <v>15286</v>
      </c>
      <c r="C6098" s="2" t="s">
        <v>15287</v>
      </c>
      <c r="D6098" s="5" t="s">
        <v>15286</v>
      </c>
      <c r="E6098" s="2" t="s">
        <v>15441</v>
      </c>
      <c r="F6098" s="2" t="s">
        <v>15446</v>
      </c>
      <c r="G6098" s="2" t="s">
        <v>15456</v>
      </c>
      <c r="H6098" s="2" t="s">
        <v>15444</v>
      </c>
    </row>
    <row r="6099">
      <c r="A6099" s="2">
        <v>6097.0</v>
      </c>
      <c r="B6099" s="5" t="s">
        <v>9070</v>
      </c>
      <c r="C6099" s="2" t="s">
        <v>9071</v>
      </c>
      <c r="D6099" s="5" t="s">
        <v>9070</v>
      </c>
      <c r="E6099" s="2" t="s">
        <v>15445</v>
      </c>
      <c r="F6099" s="2" t="s">
        <v>15446</v>
      </c>
      <c r="G6099" s="2" t="s">
        <v>15456</v>
      </c>
      <c r="H6099" s="2" t="s">
        <v>15444</v>
      </c>
    </row>
    <row r="6100">
      <c r="A6100" s="2">
        <v>6098.0</v>
      </c>
      <c r="B6100" s="5" t="s">
        <v>15288</v>
      </c>
      <c r="C6100" s="2" t="s">
        <v>15289</v>
      </c>
      <c r="D6100" s="5" t="s">
        <v>15288</v>
      </c>
      <c r="E6100" s="2" t="s">
        <v>15441</v>
      </c>
      <c r="F6100" s="2" t="s">
        <v>15446</v>
      </c>
      <c r="G6100" s="2" t="s">
        <v>15456</v>
      </c>
      <c r="H6100" s="2" t="s">
        <v>15444</v>
      </c>
    </row>
    <row r="6101">
      <c r="A6101" s="2">
        <v>6099.0</v>
      </c>
      <c r="B6101" s="5" t="s">
        <v>15290</v>
      </c>
      <c r="C6101" s="2" t="s">
        <v>15291</v>
      </c>
      <c r="D6101" s="5" t="s">
        <v>15290</v>
      </c>
      <c r="E6101" s="2" t="s">
        <v>15441</v>
      </c>
      <c r="F6101" s="2" t="s">
        <v>15442</v>
      </c>
      <c r="G6101" s="2" t="s">
        <v>15443</v>
      </c>
      <c r="H6101" s="2" t="s">
        <v>15444</v>
      </c>
    </row>
    <row r="6102">
      <c r="A6102" s="2">
        <v>6100.0</v>
      </c>
      <c r="B6102" s="5" t="s">
        <v>15292</v>
      </c>
      <c r="C6102" s="2" t="s">
        <v>15293</v>
      </c>
      <c r="D6102" s="5" t="s">
        <v>15292</v>
      </c>
      <c r="E6102" s="2" t="s">
        <v>15441</v>
      </c>
      <c r="F6102" s="2" t="s">
        <v>15446</v>
      </c>
      <c r="G6102" s="2" t="s">
        <v>15443</v>
      </c>
      <c r="H6102" s="2" t="s">
        <v>15444</v>
      </c>
    </row>
    <row r="6103">
      <c r="A6103" s="2">
        <v>6101.0</v>
      </c>
      <c r="B6103" s="5" t="s">
        <v>15294</v>
      </c>
      <c r="C6103" s="2" t="s">
        <v>15295</v>
      </c>
      <c r="D6103" s="5" t="s">
        <v>15294</v>
      </c>
      <c r="E6103" s="2" t="s">
        <v>15441</v>
      </c>
      <c r="F6103" s="2" t="s">
        <v>15446</v>
      </c>
      <c r="G6103" s="2" t="s">
        <v>15456</v>
      </c>
      <c r="H6103" s="2" t="s">
        <v>15444</v>
      </c>
    </row>
    <row r="6104">
      <c r="A6104" s="2">
        <v>6102.0</v>
      </c>
      <c r="B6104" s="5" t="s">
        <v>9073</v>
      </c>
      <c r="C6104" s="2" t="s">
        <v>9074</v>
      </c>
      <c r="D6104" s="5" t="s">
        <v>9073</v>
      </c>
      <c r="E6104" s="2" t="s">
        <v>15445</v>
      </c>
      <c r="F6104" s="2" t="s">
        <v>15446</v>
      </c>
      <c r="G6104" s="2" t="s">
        <v>15443</v>
      </c>
      <c r="H6104" s="2" t="s">
        <v>15455</v>
      </c>
    </row>
    <row r="6105">
      <c r="A6105" s="2">
        <v>6103.0</v>
      </c>
      <c r="B6105" s="5" t="s">
        <v>9076</v>
      </c>
      <c r="C6105" s="2" t="s">
        <v>9077</v>
      </c>
      <c r="D6105" s="5" t="s">
        <v>9076</v>
      </c>
      <c r="E6105" s="2" t="s">
        <v>15445</v>
      </c>
      <c r="F6105" s="2" t="s">
        <v>15442</v>
      </c>
      <c r="G6105" s="2" t="s">
        <v>15456</v>
      </c>
      <c r="H6105" s="2" t="s">
        <v>15444</v>
      </c>
    </row>
    <row r="6106">
      <c r="A6106" s="2">
        <v>6104.0</v>
      </c>
      <c r="B6106" s="5" t="s">
        <v>15296</v>
      </c>
      <c r="C6106" s="2" t="s">
        <v>15297</v>
      </c>
      <c r="D6106" s="5" t="s">
        <v>15296</v>
      </c>
      <c r="E6106" s="2" t="s">
        <v>15441</v>
      </c>
      <c r="F6106" s="2" t="s">
        <v>15446</v>
      </c>
      <c r="G6106" s="2" t="s">
        <v>15443</v>
      </c>
      <c r="H6106" s="2" t="s">
        <v>15444</v>
      </c>
    </row>
    <row r="6107">
      <c r="A6107" s="2">
        <v>6105.0</v>
      </c>
      <c r="B6107" s="5" t="s">
        <v>15298</v>
      </c>
      <c r="C6107" s="2" t="s">
        <v>15299</v>
      </c>
      <c r="D6107" s="5" t="s">
        <v>15298</v>
      </c>
      <c r="E6107" s="2" t="s">
        <v>15441</v>
      </c>
      <c r="F6107" s="2" t="s">
        <v>15442</v>
      </c>
      <c r="G6107" s="2" t="s">
        <v>15456</v>
      </c>
      <c r="H6107" s="2" t="s">
        <v>15444</v>
      </c>
    </row>
    <row r="6108">
      <c r="A6108" s="2">
        <v>6106.0</v>
      </c>
      <c r="B6108" s="5" t="s">
        <v>9079</v>
      </c>
      <c r="C6108" s="2" t="s">
        <v>9080</v>
      </c>
      <c r="D6108" s="5" t="s">
        <v>9079</v>
      </c>
      <c r="E6108" s="2" t="s">
        <v>15445</v>
      </c>
      <c r="F6108" s="2" t="s">
        <v>15442</v>
      </c>
      <c r="G6108" s="2" t="s">
        <v>15443</v>
      </c>
      <c r="H6108" s="2" t="s">
        <v>15444</v>
      </c>
    </row>
    <row r="6109">
      <c r="A6109" s="2">
        <v>6107.0</v>
      </c>
      <c r="B6109" s="5" t="s">
        <v>15300</v>
      </c>
      <c r="C6109" s="2" t="s">
        <v>15301</v>
      </c>
      <c r="D6109" s="5" t="s">
        <v>15300</v>
      </c>
      <c r="E6109" s="2" t="s">
        <v>15441</v>
      </c>
      <c r="F6109" s="2" t="s">
        <v>15442</v>
      </c>
      <c r="G6109" s="2" t="s">
        <v>15456</v>
      </c>
      <c r="H6109" s="2" t="s">
        <v>15444</v>
      </c>
    </row>
    <row r="6110">
      <c r="A6110" s="2">
        <v>6108.0</v>
      </c>
      <c r="B6110" s="5" t="s">
        <v>9082</v>
      </c>
      <c r="C6110" s="2" t="s">
        <v>9083</v>
      </c>
      <c r="D6110" s="5" t="s">
        <v>9082</v>
      </c>
      <c r="E6110" s="2" t="s">
        <v>15445</v>
      </c>
      <c r="F6110" s="2" t="s">
        <v>15442</v>
      </c>
      <c r="G6110" s="2" t="s">
        <v>15443</v>
      </c>
      <c r="H6110" s="2" t="s">
        <v>15444</v>
      </c>
    </row>
    <row r="6111">
      <c r="A6111" s="2">
        <v>6109.0</v>
      </c>
      <c r="B6111" s="5" t="s">
        <v>9085</v>
      </c>
      <c r="C6111" s="2" t="s">
        <v>9086</v>
      </c>
      <c r="D6111" s="5" t="s">
        <v>9085</v>
      </c>
      <c r="E6111" s="2" t="s">
        <v>15445</v>
      </c>
      <c r="F6111" s="2" t="s">
        <v>15446</v>
      </c>
      <c r="G6111" s="2" t="s">
        <v>15443</v>
      </c>
      <c r="H6111" s="2" t="s">
        <v>15457</v>
      </c>
    </row>
    <row r="6112">
      <c r="A6112" s="2">
        <v>6110.0</v>
      </c>
      <c r="B6112" s="5" t="s">
        <v>15302</v>
      </c>
      <c r="C6112" s="2" t="s">
        <v>15303</v>
      </c>
      <c r="D6112" s="5" t="s">
        <v>15302</v>
      </c>
      <c r="E6112" s="2" t="s">
        <v>15441</v>
      </c>
      <c r="F6112" s="2" t="s">
        <v>15446</v>
      </c>
      <c r="G6112" s="2" t="s">
        <v>15456</v>
      </c>
      <c r="H6112" s="2" t="s">
        <v>15461</v>
      </c>
    </row>
    <row r="6113">
      <c r="A6113" s="2">
        <v>6111.0</v>
      </c>
      <c r="B6113" s="5" t="s">
        <v>15304</v>
      </c>
      <c r="C6113" s="2" t="s">
        <v>15305</v>
      </c>
      <c r="D6113" s="5" t="s">
        <v>15304</v>
      </c>
      <c r="E6113" s="2" t="s">
        <v>15441</v>
      </c>
      <c r="F6113" s="2" t="s">
        <v>15442</v>
      </c>
      <c r="G6113" s="2" t="s">
        <v>15456</v>
      </c>
      <c r="H6113" s="2" t="s">
        <v>15444</v>
      </c>
    </row>
    <row r="6114">
      <c r="A6114" s="2">
        <v>6112.0</v>
      </c>
      <c r="B6114" s="5" t="s">
        <v>9088</v>
      </c>
      <c r="C6114" s="2" t="s">
        <v>9089</v>
      </c>
      <c r="D6114" s="5" t="s">
        <v>9088</v>
      </c>
      <c r="E6114" s="2" t="s">
        <v>15445</v>
      </c>
      <c r="F6114" s="2" t="s">
        <v>15442</v>
      </c>
      <c r="G6114" s="2" t="s">
        <v>15443</v>
      </c>
      <c r="H6114" s="2" t="s">
        <v>15444</v>
      </c>
    </row>
    <row r="6115">
      <c r="A6115" s="2">
        <v>6113.0</v>
      </c>
      <c r="B6115" s="5" t="s">
        <v>15306</v>
      </c>
      <c r="C6115" s="2" t="s">
        <v>15307</v>
      </c>
      <c r="D6115" s="5" t="s">
        <v>15306</v>
      </c>
      <c r="E6115" s="2" t="s">
        <v>15441</v>
      </c>
      <c r="F6115" s="2" t="s">
        <v>15446</v>
      </c>
      <c r="G6115" s="2" t="s">
        <v>15456</v>
      </c>
      <c r="H6115" s="2" t="s">
        <v>15444</v>
      </c>
    </row>
    <row r="6116">
      <c r="A6116" s="2">
        <v>6114.0</v>
      </c>
      <c r="B6116" s="5" t="s">
        <v>9091</v>
      </c>
      <c r="C6116" s="2" t="s">
        <v>9092</v>
      </c>
      <c r="D6116" s="5" t="s">
        <v>9091</v>
      </c>
      <c r="E6116" s="2" t="s">
        <v>15445</v>
      </c>
      <c r="F6116" s="2" t="s">
        <v>15442</v>
      </c>
      <c r="G6116" s="2" t="s">
        <v>15443</v>
      </c>
      <c r="H6116" s="2" t="s">
        <v>15444</v>
      </c>
    </row>
    <row r="6117">
      <c r="A6117" s="2">
        <v>6115.0</v>
      </c>
      <c r="B6117" s="5" t="s">
        <v>15308</v>
      </c>
      <c r="C6117" s="2" t="s">
        <v>15309</v>
      </c>
      <c r="D6117" s="5" t="s">
        <v>15308</v>
      </c>
      <c r="E6117" s="2" t="s">
        <v>15441</v>
      </c>
      <c r="F6117" s="2" t="s">
        <v>15446</v>
      </c>
      <c r="G6117" s="2" t="s">
        <v>15443</v>
      </c>
      <c r="H6117" s="2" t="s">
        <v>15444</v>
      </c>
    </row>
    <row r="6118">
      <c r="A6118" s="2">
        <v>6116.0</v>
      </c>
      <c r="B6118" s="5" t="s">
        <v>9094</v>
      </c>
      <c r="C6118" s="2" t="s">
        <v>9095</v>
      </c>
      <c r="D6118" s="5" t="s">
        <v>9094</v>
      </c>
      <c r="E6118" s="2" t="s">
        <v>15445</v>
      </c>
      <c r="F6118" s="2" t="s">
        <v>15446</v>
      </c>
      <c r="G6118" s="2" t="s">
        <v>15456</v>
      </c>
      <c r="H6118" s="2" t="s">
        <v>15444</v>
      </c>
    </row>
    <row r="6119">
      <c r="A6119" s="2">
        <v>6117.0</v>
      </c>
      <c r="B6119" s="5" t="s">
        <v>9097</v>
      </c>
      <c r="C6119" s="2" t="s">
        <v>9098</v>
      </c>
      <c r="D6119" s="5" t="s">
        <v>9097</v>
      </c>
      <c r="E6119" s="2" t="s">
        <v>15445</v>
      </c>
      <c r="F6119" s="2" t="s">
        <v>15446</v>
      </c>
      <c r="G6119" s="2" t="s">
        <v>15456</v>
      </c>
      <c r="H6119" s="2" t="s">
        <v>15444</v>
      </c>
    </row>
    <row r="6120">
      <c r="A6120" s="2">
        <v>6118.0</v>
      </c>
      <c r="B6120" s="5" t="s">
        <v>9100</v>
      </c>
      <c r="C6120" s="2" t="s">
        <v>9101</v>
      </c>
      <c r="D6120" s="5" t="s">
        <v>9100</v>
      </c>
      <c r="E6120" s="2" t="s">
        <v>15445</v>
      </c>
      <c r="F6120" s="2" t="s">
        <v>15446</v>
      </c>
      <c r="G6120" s="2" t="s">
        <v>15443</v>
      </c>
      <c r="H6120" s="2" t="s">
        <v>15444</v>
      </c>
    </row>
    <row r="6121">
      <c r="A6121" s="2">
        <v>6119.0</v>
      </c>
      <c r="B6121" s="5" t="s">
        <v>15310</v>
      </c>
      <c r="C6121" s="2" t="s">
        <v>15311</v>
      </c>
      <c r="D6121" s="5" t="s">
        <v>15310</v>
      </c>
      <c r="E6121" s="2" t="s">
        <v>15441</v>
      </c>
      <c r="F6121" s="2" t="s">
        <v>15446</v>
      </c>
      <c r="G6121" s="2" t="s">
        <v>15443</v>
      </c>
      <c r="H6121" s="2" t="s">
        <v>15444</v>
      </c>
    </row>
    <row r="6122">
      <c r="A6122" s="2">
        <v>6120.0</v>
      </c>
      <c r="B6122" s="5" t="s">
        <v>15312</v>
      </c>
      <c r="C6122" s="2" t="s">
        <v>15313</v>
      </c>
      <c r="D6122" s="5" t="s">
        <v>15312</v>
      </c>
      <c r="E6122" s="2" t="s">
        <v>15441</v>
      </c>
      <c r="F6122" s="2" t="s">
        <v>15446</v>
      </c>
      <c r="G6122" s="2" t="s">
        <v>15456</v>
      </c>
      <c r="H6122" s="2" t="s">
        <v>15461</v>
      </c>
    </row>
    <row r="6123">
      <c r="A6123" s="2">
        <v>6121.0</v>
      </c>
      <c r="B6123" s="5" t="s">
        <v>15314</v>
      </c>
      <c r="C6123" s="2" t="s">
        <v>15315</v>
      </c>
      <c r="D6123" s="5" t="s">
        <v>15314</v>
      </c>
      <c r="E6123" s="2" t="s">
        <v>15441</v>
      </c>
      <c r="F6123" s="2" t="s">
        <v>15446</v>
      </c>
      <c r="G6123" s="2" t="s">
        <v>15456</v>
      </c>
      <c r="H6123" s="2" t="s">
        <v>15444</v>
      </c>
    </row>
    <row r="6124">
      <c r="A6124" s="2">
        <v>6122.0</v>
      </c>
      <c r="B6124" s="5" t="s">
        <v>9103</v>
      </c>
      <c r="C6124" s="2" t="s">
        <v>9104</v>
      </c>
      <c r="D6124" s="5" t="s">
        <v>9103</v>
      </c>
      <c r="E6124" s="2" t="s">
        <v>15445</v>
      </c>
      <c r="F6124" s="2" t="s">
        <v>15442</v>
      </c>
      <c r="G6124" s="2" t="s">
        <v>15443</v>
      </c>
      <c r="H6124" s="2" t="s">
        <v>15444</v>
      </c>
    </row>
    <row r="6125">
      <c r="A6125" s="2">
        <v>6123.0</v>
      </c>
      <c r="B6125" s="5" t="s">
        <v>9106</v>
      </c>
      <c r="C6125" s="2" t="s">
        <v>9107</v>
      </c>
      <c r="D6125" s="5" t="s">
        <v>9106</v>
      </c>
      <c r="E6125" s="2" t="s">
        <v>15445</v>
      </c>
      <c r="F6125" s="2" t="s">
        <v>15446</v>
      </c>
      <c r="G6125" s="2" t="s">
        <v>15443</v>
      </c>
      <c r="H6125" s="2" t="s">
        <v>15444</v>
      </c>
    </row>
    <row r="6126">
      <c r="A6126" s="2">
        <v>6124.0</v>
      </c>
      <c r="B6126" s="5" t="s">
        <v>15316</v>
      </c>
      <c r="C6126" s="2" t="s">
        <v>15317</v>
      </c>
      <c r="D6126" s="5" t="s">
        <v>15316</v>
      </c>
      <c r="E6126" s="2" t="s">
        <v>15441</v>
      </c>
      <c r="F6126" s="2" t="s">
        <v>15446</v>
      </c>
      <c r="G6126" s="2" t="s">
        <v>15443</v>
      </c>
      <c r="H6126" s="2" t="s">
        <v>15444</v>
      </c>
    </row>
    <row r="6127">
      <c r="A6127" s="2">
        <v>6125.0</v>
      </c>
      <c r="B6127" s="5" t="s">
        <v>15619</v>
      </c>
      <c r="C6127" s="2" t="s">
        <v>15620</v>
      </c>
      <c r="D6127" s="5" t="s">
        <v>15619</v>
      </c>
      <c r="E6127" s="2" t="s">
        <v>15445</v>
      </c>
      <c r="F6127" s="2" t="s">
        <v>15446</v>
      </c>
      <c r="G6127" s="2" t="s">
        <v>15456</v>
      </c>
      <c r="H6127" s="2" t="s">
        <v>15457</v>
      </c>
    </row>
    <row r="6128">
      <c r="A6128" s="2">
        <v>6126.0</v>
      </c>
      <c r="B6128" s="5" t="s">
        <v>9109</v>
      </c>
      <c r="C6128" s="2" t="s">
        <v>9110</v>
      </c>
      <c r="D6128" s="5" t="s">
        <v>9109</v>
      </c>
      <c r="E6128" s="2" t="s">
        <v>15445</v>
      </c>
      <c r="F6128" s="2" t="s">
        <v>15446</v>
      </c>
      <c r="G6128" s="2" t="s">
        <v>15456</v>
      </c>
      <c r="H6128" s="2" t="s">
        <v>15444</v>
      </c>
    </row>
    <row r="6129">
      <c r="A6129" s="2">
        <v>6127.0</v>
      </c>
      <c r="B6129" s="5" t="s">
        <v>9112</v>
      </c>
      <c r="C6129" s="2" t="s">
        <v>9113</v>
      </c>
      <c r="D6129" s="5" t="s">
        <v>9112</v>
      </c>
      <c r="E6129" s="2" t="s">
        <v>15445</v>
      </c>
      <c r="F6129" s="2" t="s">
        <v>15442</v>
      </c>
      <c r="G6129" s="2" t="s">
        <v>15443</v>
      </c>
      <c r="H6129" s="2" t="s">
        <v>15444</v>
      </c>
    </row>
    <row r="6130">
      <c r="A6130" s="2">
        <v>6128.0</v>
      </c>
      <c r="B6130" s="5" t="s">
        <v>15318</v>
      </c>
      <c r="C6130" s="2" t="s">
        <v>15319</v>
      </c>
      <c r="D6130" s="5" t="s">
        <v>15318</v>
      </c>
      <c r="E6130" s="2" t="s">
        <v>15441</v>
      </c>
      <c r="F6130" s="2" t="s">
        <v>15446</v>
      </c>
      <c r="G6130" s="2" t="s">
        <v>15443</v>
      </c>
      <c r="H6130" s="2" t="s">
        <v>15444</v>
      </c>
    </row>
    <row r="6131">
      <c r="A6131" s="2">
        <v>6129.0</v>
      </c>
      <c r="B6131" s="5" t="s">
        <v>15320</v>
      </c>
      <c r="C6131" s="2" t="s">
        <v>15321</v>
      </c>
      <c r="D6131" s="5" t="s">
        <v>15320</v>
      </c>
      <c r="E6131" s="2" t="s">
        <v>15441</v>
      </c>
      <c r="F6131" s="2" t="s">
        <v>15446</v>
      </c>
      <c r="G6131" s="2" t="s">
        <v>15456</v>
      </c>
      <c r="H6131" s="2" t="s">
        <v>15457</v>
      </c>
    </row>
    <row r="6132">
      <c r="A6132" s="2">
        <v>6130.0</v>
      </c>
      <c r="B6132" s="5" t="s">
        <v>9115</v>
      </c>
      <c r="C6132" s="2" t="s">
        <v>9116</v>
      </c>
      <c r="D6132" s="5" t="s">
        <v>9115</v>
      </c>
      <c r="E6132" s="2" t="s">
        <v>15445</v>
      </c>
      <c r="F6132" s="2" t="s">
        <v>15442</v>
      </c>
      <c r="G6132" s="2" t="s">
        <v>15443</v>
      </c>
      <c r="H6132" s="2" t="s">
        <v>15444</v>
      </c>
    </row>
    <row r="6133">
      <c r="A6133" s="2">
        <v>6131.0</v>
      </c>
      <c r="B6133" s="5" t="s">
        <v>9118</v>
      </c>
      <c r="C6133" s="2" t="s">
        <v>9119</v>
      </c>
      <c r="D6133" s="5" t="s">
        <v>9118</v>
      </c>
      <c r="E6133" s="2" t="s">
        <v>15445</v>
      </c>
      <c r="F6133" s="2" t="s">
        <v>15446</v>
      </c>
      <c r="G6133" s="2" t="s">
        <v>15443</v>
      </c>
      <c r="H6133" s="2" t="s">
        <v>15444</v>
      </c>
    </row>
    <row r="6134">
      <c r="A6134" s="2">
        <v>6132.0</v>
      </c>
      <c r="B6134" s="5" t="s">
        <v>15322</v>
      </c>
      <c r="C6134" s="2" t="s">
        <v>15323</v>
      </c>
      <c r="D6134" s="5" t="s">
        <v>15322</v>
      </c>
      <c r="E6134" s="2" t="s">
        <v>15441</v>
      </c>
      <c r="F6134" s="2" t="s">
        <v>15442</v>
      </c>
      <c r="G6134" s="2" t="s">
        <v>15443</v>
      </c>
      <c r="H6134" s="2" t="s">
        <v>15444</v>
      </c>
    </row>
    <row r="6135">
      <c r="A6135" s="2">
        <v>6133.0</v>
      </c>
      <c r="B6135" s="5" t="s">
        <v>15324</v>
      </c>
      <c r="C6135" s="2" t="s">
        <v>15325</v>
      </c>
      <c r="D6135" s="5" t="s">
        <v>15324</v>
      </c>
      <c r="E6135" s="2" t="s">
        <v>15441</v>
      </c>
      <c r="F6135" s="2" t="s">
        <v>15442</v>
      </c>
      <c r="G6135" s="2" t="s">
        <v>15443</v>
      </c>
      <c r="H6135" s="2" t="s">
        <v>15444</v>
      </c>
    </row>
    <row r="6136">
      <c r="A6136" s="2">
        <v>6134.0</v>
      </c>
      <c r="B6136" s="5" t="s">
        <v>15326</v>
      </c>
      <c r="C6136" s="2" t="s">
        <v>15327</v>
      </c>
      <c r="D6136" s="5" t="s">
        <v>15326</v>
      </c>
      <c r="E6136" s="2" t="s">
        <v>15441</v>
      </c>
      <c r="F6136" s="2" t="s">
        <v>15446</v>
      </c>
      <c r="G6136" s="2" t="s">
        <v>15443</v>
      </c>
      <c r="H6136" s="2" t="s">
        <v>15455</v>
      </c>
    </row>
    <row r="6137">
      <c r="A6137" s="2">
        <v>6135.0</v>
      </c>
      <c r="B6137" s="5" t="s">
        <v>15328</v>
      </c>
      <c r="C6137" s="2" t="s">
        <v>15329</v>
      </c>
      <c r="D6137" s="5" t="s">
        <v>15328</v>
      </c>
      <c r="E6137" s="2" t="s">
        <v>15441</v>
      </c>
      <c r="F6137" s="2" t="s">
        <v>15446</v>
      </c>
      <c r="G6137" s="2" t="s">
        <v>15456</v>
      </c>
      <c r="H6137" s="2" t="s">
        <v>15444</v>
      </c>
    </row>
    <row r="6138">
      <c r="A6138" s="2">
        <v>6136.0</v>
      </c>
      <c r="B6138" s="5" t="s">
        <v>9121</v>
      </c>
      <c r="C6138" s="2" t="s">
        <v>9122</v>
      </c>
      <c r="D6138" s="5" t="s">
        <v>9121</v>
      </c>
      <c r="E6138" s="2" t="s">
        <v>15445</v>
      </c>
      <c r="F6138" s="2" t="s">
        <v>15446</v>
      </c>
      <c r="G6138" s="2" t="s">
        <v>15456</v>
      </c>
      <c r="H6138" s="2" t="s">
        <v>15444</v>
      </c>
    </row>
    <row r="6139">
      <c r="A6139" s="2">
        <v>6137.0</v>
      </c>
      <c r="B6139" s="5" t="s">
        <v>9124</v>
      </c>
      <c r="C6139" s="2" t="s">
        <v>9125</v>
      </c>
      <c r="D6139" s="5" t="s">
        <v>9124</v>
      </c>
      <c r="E6139" s="2" t="s">
        <v>15445</v>
      </c>
      <c r="F6139" s="2" t="s">
        <v>15442</v>
      </c>
      <c r="G6139" s="2" t="s">
        <v>15443</v>
      </c>
      <c r="H6139" s="2" t="s">
        <v>15444</v>
      </c>
    </row>
    <row r="6140">
      <c r="A6140" s="2">
        <v>6138.0</v>
      </c>
      <c r="B6140" s="5" t="s">
        <v>15621</v>
      </c>
      <c r="C6140" s="2" t="s">
        <v>15622</v>
      </c>
      <c r="D6140" s="5" t="s">
        <v>15621</v>
      </c>
      <c r="E6140" s="2" t="s">
        <v>15441</v>
      </c>
      <c r="F6140" s="2" t="s">
        <v>15446</v>
      </c>
      <c r="G6140" s="2" t="s">
        <v>15456</v>
      </c>
      <c r="H6140" s="2" t="s">
        <v>15457</v>
      </c>
    </row>
    <row r="6141">
      <c r="A6141" s="2">
        <v>6139.0</v>
      </c>
      <c r="B6141" s="5" t="s">
        <v>15330</v>
      </c>
      <c r="C6141" s="2" t="s">
        <v>15331</v>
      </c>
      <c r="D6141" s="5" t="s">
        <v>15330</v>
      </c>
      <c r="E6141" s="2" t="s">
        <v>15441</v>
      </c>
      <c r="F6141" s="2" t="s">
        <v>15442</v>
      </c>
      <c r="G6141" s="2" t="s">
        <v>15443</v>
      </c>
      <c r="H6141" s="2" t="s">
        <v>15457</v>
      </c>
    </row>
    <row r="6142">
      <c r="A6142" s="2">
        <v>6140.0</v>
      </c>
      <c r="B6142" s="5" t="s">
        <v>15332</v>
      </c>
      <c r="C6142" s="2" t="s">
        <v>15333</v>
      </c>
      <c r="D6142" s="5" t="s">
        <v>15332</v>
      </c>
      <c r="E6142" s="2" t="s">
        <v>15441</v>
      </c>
      <c r="F6142" s="2" t="s">
        <v>15446</v>
      </c>
      <c r="G6142" s="2" t="s">
        <v>15456</v>
      </c>
      <c r="H6142" s="2" t="s">
        <v>15444</v>
      </c>
    </row>
    <row r="6143">
      <c r="A6143" s="2">
        <v>6141.0</v>
      </c>
      <c r="B6143" s="5" t="s">
        <v>9127</v>
      </c>
      <c r="C6143" s="2" t="s">
        <v>9128</v>
      </c>
      <c r="D6143" s="5" t="s">
        <v>9127</v>
      </c>
      <c r="E6143" s="2" t="s">
        <v>15445</v>
      </c>
      <c r="F6143" s="2" t="s">
        <v>15446</v>
      </c>
      <c r="G6143" s="2" t="s">
        <v>15443</v>
      </c>
      <c r="H6143" s="2" t="s">
        <v>15444</v>
      </c>
    </row>
    <row r="6144">
      <c r="A6144" s="2">
        <v>6142.0</v>
      </c>
      <c r="B6144" s="5" t="s">
        <v>15334</v>
      </c>
      <c r="C6144" s="2" t="s">
        <v>15335</v>
      </c>
      <c r="D6144" s="5" t="s">
        <v>15334</v>
      </c>
      <c r="E6144" s="2" t="s">
        <v>15441</v>
      </c>
      <c r="F6144" s="2" t="s">
        <v>15446</v>
      </c>
      <c r="G6144" s="2" t="s">
        <v>15456</v>
      </c>
      <c r="H6144" s="2" t="s">
        <v>15444</v>
      </c>
    </row>
    <row r="6145">
      <c r="A6145" s="2">
        <v>6143.0</v>
      </c>
      <c r="B6145" s="5" t="s">
        <v>9130</v>
      </c>
      <c r="C6145" s="2" t="s">
        <v>9131</v>
      </c>
      <c r="D6145" s="5" t="s">
        <v>9130</v>
      </c>
      <c r="E6145" s="2" t="s">
        <v>15445</v>
      </c>
      <c r="F6145" s="2" t="s">
        <v>15442</v>
      </c>
      <c r="G6145" s="2" t="s">
        <v>15443</v>
      </c>
      <c r="H6145" s="2" t="s">
        <v>15444</v>
      </c>
    </row>
    <row r="6146">
      <c r="A6146" s="2">
        <v>6144.0</v>
      </c>
      <c r="B6146" s="5" t="s">
        <v>9133</v>
      </c>
      <c r="C6146" s="2" t="s">
        <v>9134</v>
      </c>
      <c r="D6146" s="5" t="s">
        <v>9133</v>
      </c>
      <c r="E6146" s="2" t="s">
        <v>15445</v>
      </c>
      <c r="F6146" s="2" t="s">
        <v>15442</v>
      </c>
      <c r="G6146" s="2" t="s">
        <v>15456</v>
      </c>
      <c r="H6146" s="2" t="s">
        <v>15455</v>
      </c>
    </row>
    <row r="6147">
      <c r="A6147" s="2">
        <v>6145.0</v>
      </c>
      <c r="B6147" s="5" t="s">
        <v>15336</v>
      </c>
      <c r="C6147" s="2" t="s">
        <v>15337</v>
      </c>
      <c r="D6147" s="5" t="s">
        <v>15336</v>
      </c>
      <c r="E6147" s="2" t="s">
        <v>15441</v>
      </c>
      <c r="F6147" s="2" t="s">
        <v>15442</v>
      </c>
      <c r="G6147" s="2" t="s">
        <v>15443</v>
      </c>
      <c r="H6147" s="2" t="s">
        <v>15444</v>
      </c>
    </row>
    <row r="6148">
      <c r="A6148" s="2">
        <v>6146.0</v>
      </c>
      <c r="B6148" s="5" t="s">
        <v>15338</v>
      </c>
      <c r="C6148" s="2" t="s">
        <v>15339</v>
      </c>
      <c r="D6148" s="5" t="s">
        <v>15338</v>
      </c>
      <c r="E6148" s="2" t="s">
        <v>15441</v>
      </c>
      <c r="F6148" s="2" t="s">
        <v>15446</v>
      </c>
      <c r="G6148" s="2" t="s">
        <v>15456</v>
      </c>
      <c r="H6148" s="2" t="s">
        <v>15457</v>
      </c>
    </row>
    <row r="6149">
      <c r="A6149" s="2">
        <v>6147.0</v>
      </c>
      <c r="B6149" s="5" t="s">
        <v>9136</v>
      </c>
      <c r="C6149" s="2" t="s">
        <v>9137</v>
      </c>
      <c r="D6149" s="5" t="s">
        <v>9136</v>
      </c>
      <c r="E6149" s="2" t="s">
        <v>15445</v>
      </c>
      <c r="F6149" s="2" t="s">
        <v>15446</v>
      </c>
      <c r="G6149" s="2" t="s">
        <v>15443</v>
      </c>
      <c r="H6149" s="2" t="s">
        <v>15444</v>
      </c>
    </row>
    <row r="6150">
      <c r="A6150" s="2">
        <v>6148.0</v>
      </c>
      <c r="B6150" s="5" t="s">
        <v>9139</v>
      </c>
      <c r="C6150" s="2" t="s">
        <v>9140</v>
      </c>
      <c r="D6150" s="5" t="s">
        <v>9139</v>
      </c>
      <c r="E6150" s="2" t="s">
        <v>15445</v>
      </c>
      <c r="F6150" s="2" t="s">
        <v>15442</v>
      </c>
      <c r="G6150" s="2" t="s">
        <v>15443</v>
      </c>
      <c r="H6150" s="2" t="s">
        <v>15444</v>
      </c>
    </row>
    <row r="6151">
      <c r="A6151" s="2">
        <v>6149.0</v>
      </c>
      <c r="B6151" s="5" t="s">
        <v>15340</v>
      </c>
      <c r="C6151" s="2" t="s">
        <v>15341</v>
      </c>
      <c r="D6151" s="5" t="s">
        <v>15340</v>
      </c>
      <c r="E6151" s="2" t="s">
        <v>15441</v>
      </c>
      <c r="F6151" s="2" t="s">
        <v>15442</v>
      </c>
      <c r="G6151" s="2" t="s">
        <v>15443</v>
      </c>
      <c r="H6151" s="2" t="s">
        <v>15444</v>
      </c>
    </row>
    <row r="6152">
      <c r="A6152" s="2">
        <v>6150.0</v>
      </c>
      <c r="B6152" s="5" t="s">
        <v>9142</v>
      </c>
      <c r="C6152" s="2" t="s">
        <v>9143</v>
      </c>
      <c r="D6152" s="5" t="s">
        <v>9142</v>
      </c>
      <c r="E6152" s="2" t="s">
        <v>15445</v>
      </c>
      <c r="F6152" s="2" t="s">
        <v>15446</v>
      </c>
      <c r="G6152" s="2" t="s">
        <v>15456</v>
      </c>
      <c r="H6152" s="2" t="s">
        <v>15444</v>
      </c>
    </row>
    <row r="6153">
      <c r="A6153" s="2">
        <v>6151.0</v>
      </c>
      <c r="B6153" s="5" t="s">
        <v>9145</v>
      </c>
      <c r="C6153" s="2" t="s">
        <v>9146</v>
      </c>
      <c r="D6153" s="5" t="s">
        <v>9145</v>
      </c>
      <c r="E6153" s="2" t="s">
        <v>15445</v>
      </c>
      <c r="F6153" s="2" t="s">
        <v>15442</v>
      </c>
      <c r="G6153" s="2" t="s">
        <v>15443</v>
      </c>
      <c r="H6153" s="2" t="s">
        <v>15444</v>
      </c>
    </row>
    <row r="6154">
      <c r="A6154" s="2">
        <v>6152.0</v>
      </c>
      <c r="B6154" s="5" t="s">
        <v>15342</v>
      </c>
      <c r="C6154" s="2" t="s">
        <v>15343</v>
      </c>
      <c r="D6154" s="5" t="s">
        <v>15342</v>
      </c>
      <c r="E6154" s="2" t="s">
        <v>15441</v>
      </c>
      <c r="F6154" s="2" t="s">
        <v>15446</v>
      </c>
      <c r="G6154" s="2" t="s">
        <v>15443</v>
      </c>
      <c r="H6154" s="2" t="s">
        <v>15444</v>
      </c>
    </row>
    <row r="6155">
      <c r="A6155" s="2">
        <v>6153.0</v>
      </c>
      <c r="B6155" s="5" t="s">
        <v>9148</v>
      </c>
      <c r="C6155" s="2" t="s">
        <v>9149</v>
      </c>
      <c r="D6155" s="5" t="s">
        <v>9148</v>
      </c>
      <c r="E6155" s="2" t="s">
        <v>15445</v>
      </c>
      <c r="F6155" s="2" t="s">
        <v>15446</v>
      </c>
      <c r="G6155" s="2" t="s">
        <v>15456</v>
      </c>
      <c r="H6155" s="2" t="s">
        <v>15444</v>
      </c>
    </row>
    <row r="6156">
      <c r="A6156" s="2">
        <v>6154.0</v>
      </c>
      <c r="B6156" s="5" t="s">
        <v>9151</v>
      </c>
      <c r="C6156" s="2" t="s">
        <v>9152</v>
      </c>
      <c r="D6156" s="5" t="s">
        <v>9151</v>
      </c>
      <c r="E6156" s="2" t="s">
        <v>15445</v>
      </c>
      <c r="F6156" s="2" t="s">
        <v>15446</v>
      </c>
      <c r="G6156" s="2" t="s">
        <v>15443</v>
      </c>
      <c r="H6156" s="2" t="s">
        <v>15444</v>
      </c>
    </row>
    <row r="6157">
      <c r="A6157" s="2">
        <v>6155.0</v>
      </c>
      <c r="B6157" s="5" t="s">
        <v>9154</v>
      </c>
      <c r="C6157" s="2" t="s">
        <v>9155</v>
      </c>
      <c r="D6157" s="5" t="s">
        <v>9154</v>
      </c>
      <c r="E6157" s="2" t="s">
        <v>15445</v>
      </c>
      <c r="F6157" s="2" t="s">
        <v>15446</v>
      </c>
      <c r="G6157" s="2" t="s">
        <v>15443</v>
      </c>
      <c r="H6157" s="2" t="s">
        <v>15444</v>
      </c>
    </row>
    <row r="6158">
      <c r="A6158" s="2">
        <v>6156.0</v>
      </c>
      <c r="B6158" s="5" t="s">
        <v>9157</v>
      </c>
      <c r="C6158" s="2" t="s">
        <v>9158</v>
      </c>
      <c r="D6158" s="5" t="s">
        <v>9157</v>
      </c>
      <c r="E6158" s="2" t="s">
        <v>15445</v>
      </c>
      <c r="F6158" s="2" t="s">
        <v>15446</v>
      </c>
      <c r="G6158" s="2" t="s">
        <v>15443</v>
      </c>
      <c r="H6158" s="2" t="s">
        <v>15444</v>
      </c>
    </row>
    <row r="6159">
      <c r="A6159" s="2">
        <v>6157.0</v>
      </c>
      <c r="B6159" s="5" t="s">
        <v>15344</v>
      </c>
      <c r="C6159" s="2" t="s">
        <v>15345</v>
      </c>
      <c r="D6159" s="5" t="s">
        <v>15344</v>
      </c>
      <c r="E6159" s="2" t="s">
        <v>15441</v>
      </c>
      <c r="F6159" s="2" t="s">
        <v>15442</v>
      </c>
      <c r="G6159" s="2" t="s">
        <v>15443</v>
      </c>
      <c r="H6159" s="2" t="s">
        <v>15444</v>
      </c>
    </row>
    <row r="6160">
      <c r="A6160" s="2">
        <v>6158.0</v>
      </c>
      <c r="B6160" s="5" t="s">
        <v>15346</v>
      </c>
      <c r="C6160" s="2" t="s">
        <v>15347</v>
      </c>
      <c r="D6160" s="5" t="s">
        <v>15346</v>
      </c>
      <c r="E6160" s="2" t="s">
        <v>15441</v>
      </c>
      <c r="F6160" s="2" t="s">
        <v>15446</v>
      </c>
      <c r="G6160" s="2" t="s">
        <v>15456</v>
      </c>
      <c r="H6160" s="2" t="s">
        <v>15455</v>
      </c>
    </row>
    <row r="6161">
      <c r="A6161" s="2">
        <v>6159.0</v>
      </c>
      <c r="B6161" s="5" t="s">
        <v>9160</v>
      </c>
      <c r="C6161" s="2" t="s">
        <v>9161</v>
      </c>
      <c r="D6161" s="5" t="s">
        <v>9160</v>
      </c>
      <c r="E6161" s="2" t="s">
        <v>15445</v>
      </c>
      <c r="F6161" s="2" t="s">
        <v>15446</v>
      </c>
      <c r="G6161" s="2" t="s">
        <v>15456</v>
      </c>
      <c r="H6161" s="2" t="s">
        <v>15457</v>
      </c>
    </row>
    <row r="6162">
      <c r="A6162" s="2">
        <v>6160.0</v>
      </c>
      <c r="B6162" s="5" t="s">
        <v>9163</v>
      </c>
      <c r="C6162" s="2" t="s">
        <v>9164</v>
      </c>
      <c r="D6162" s="5" t="s">
        <v>9163</v>
      </c>
      <c r="E6162" s="2" t="s">
        <v>15445</v>
      </c>
      <c r="F6162" s="2" t="s">
        <v>15446</v>
      </c>
      <c r="G6162" s="2" t="s">
        <v>15456</v>
      </c>
      <c r="H6162" s="2" t="s">
        <v>15444</v>
      </c>
    </row>
    <row r="6163">
      <c r="A6163" s="2">
        <v>6161.0</v>
      </c>
      <c r="B6163" s="5" t="s">
        <v>15348</v>
      </c>
      <c r="C6163" s="2" t="s">
        <v>15349</v>
      </c>
      <c r="D6163" s="5" t="s">
        <v>15348</v>
      </c>
      <c r="E6163" s="2" t="s">
        <v>15441</v>
      </c>
      <c r="F6163" s="2" t="s">
        <v>15446</v>
      </c>
      <c r="G6163" s="2" t="s">
        <v>15456</v>
      </c>
      <c r="H6163" s="2" t="s">
        <v>15444</v>
      </c>
    </row>
    <row r="6164">
      <c r="A6164" s="2">
        <v>6162.0</v>
      </c>
      <c r="B6164" s="5" t="s">
        <v>15350</v>
      </c>
      <c r="C6164" s="2" t="s">
        <v>15351</v>
      </c>
      <c r="D6164" s="5" t="s">
        <v>15350</v>
      </c>
      <c r="E6164" s="2" t="s">
        <v>15441</v>
      </c>
      <c r="F6164" s="2" t="s">
        <v>15442</v>
      </c>
      <c r="G6164" s="2" t="s">
        <v>15456</v>
      </c>
      <c r="H6164" s="2" t="s">
        <v>15444</v>
      </c>
    </row>
    <row r="6165">
      <c r="A6165" s="2">
        <v>6163.0</v>
      </c>
      <c r="B6165" s="5" t="s">
        <v>15352</v>
      </c>
      <c r="C6165" s="2" t="s">
        <v>15353</v>
      </c>
      <c r="D6165" s="5" t="s">
        <v>15352</v>
      </c>
      <c r="E6165" s="2" t="s">
        <v>15441</v>
      </c>
      <c r="F6165" s="2" t="s">
        <v>15446</v>
      </c>
      <c r="G6165" s="2" t="s">
        <v>15456</v>
      </c>
      <c r="H6165" s="2" t="s">
        <v>15444</v>
      </c>
    </row>
    <row r="6166">
      <c r="A6166" s="2">
        <v>6164.0</v>
      </c>
      <c r="B6166" s="5" t="s">
        <v>9166</v>
      </c>
      <c r="C6166" s="2" t="s">
        <v>9167</v>
      </c>
      <c r="D6166" s="5" t="s">
        <v>9166</v>
      </c>
      <c r="E6166" s="2" t="s">
        <v>15445</v>
      </c>
      <c r="F6166" s="2" t="s">
        <v>15446</v>
      </c>
      <c r="G6166" s="2" t="s">
        <v>15443</v>
      </c>
      <c r="H6166" s="2" t="s">
        <v>15444</v>
      </c>
    </row>
    <row r="6167">
      <c r="A6167" s="2">
        <v>6165.0</v>
      </c>
      <c r="B6167" s="5" t="s">
        <v>15354</v>
      </c>
      <c r="C6167" s="2" t="s">
        <v>15355</v>
      </c>
      <c r="D6167" s="5" t="s">
        <v>15354</v>
      </c>
      <c r="E6167" s="2" t="s">
        <v>15441</v>
      </c>
      <c r="F6167" s="2" t="s">
        <v>15442</v>
      </c>
      <c r="G6167" s="2" t="s">
        <v>15443</v>
      </c>
      <c r="H6167" s="2" t="s">
        <v>15444</v>
      </c>
    </row>
    <row r="6168">
      <c r="A6168" s="2">
        <v>6166.0</v>
      </c>
      <c r="B6168" s="5" t="s">
        <v>9169</v>
      </c>
      <c r="C6168" s="2" t="s">
        <v>9170</v>
      </c>
      <c r="D6168" s="5" t="s">
        <v>9169</v>
      </c>
      <c r="E6168" s="2" t="s">
        <v>15445</v>
      </c>
      <c r="F6168" s="2" t="s">
        <v>15446</v>
      </c>
      <c r="G6168" s="2" t="s">
        <v>15456</v>
      </c>
      <c r="H6168" s="2" t="s">
        <v>15444</v>
      </c>
    </row>
    <row r="6169">
      <c r="A6169" s="2">
        <v>6167.0</v>
      </c>
      <c r="B6169" s="5" t="s">
        <v>9172</v>
      </c>
      <c r="C6169" s="2" t="s">
        <v>9173</v>
      </c>
      <c r="D6169" s="5" t="s">
        <v>9172</v>
      </c>
      <c r="E6169" s="2" t="s">
        <v>15445</v>
      </c>
      <c r="F6169" s="2" t="s">
        <v>15442</v>
      </c>
      <c r="G6169" s="2" t="s">
        <v>15443</v>
      </c>
      <c r="H6169" s="2" t="s">
        <v>15444</v>
      </c>
    </row>
    <row r="6170">
      <c r="A6170" s="2">
        <v>6168.0</v>
      </c>
      <c r="B6170" s="5" t="s">
        <v>9175</v>
      </c>
      <c r="C6170" s="2" t="s">
        <v>9176</v>
      </c>
      <c r="D6170" s="5" t="s">
        <v>9175</v>
      </c>
      <c r="E6170" s="2" t="s">
        <v>15445</v>
      </c>
      <c r="F6170" s="2" t="s">
        <v>15446</v>
      </c>
      <c r="G6170" s="2" t="s">
        <v>15456</v>
      </c>
      <c r="H6170" s="2" t="s">
        <v>15444</v>
      </c>
    </row>
    <row r="6171">
      <c r="A6171" s="2">
        <v>6169.0</v>
      </c>
      <c r="B6171" s="5" t="s">
        <v>9178</v>
      </c>
      <c r="C6171" s="2" t="s">
        <v>9179</v>
      </c>
      <c r="D6171" s="5" t="s">
        <v>9178</v>
      </c>
      <c r="E6171" s="2" t="s">
        <v>15445</v>
      </c>
      <c r="F6171" s="2" t="s">
        <v>15446</v>
      </c>
      <c r="G6171" s="2" t="s">
        <v>15443</v>
      </c>
      <c r="H6171" s="2" t="s">
        <v>15444</v>
      </c>
    </row>
    <row r="6172">
      <c r="A6172" s="2">
        <v>6170.0</v>
      </c>
      <c r="B6172" s="5" t="s">
        <v>15356</v>
      </c>
      <c r="C6172" s="2" t="s">
        <v>15357</v>
      </c>
      <c r="D6172" s="5" t="s">
        <v>15356</v>
      </c>
      <c r="E6172" s="2" t="s">
        <v>15441</v>
      </c>
      <c r="F6172" s="2" t="s">
        <v>15442</v>
      </c>
      <c r="G6172" s="2" t="s">
        <v>15456</v>
      </c>
      <c r="H6172" s="2" t="s">
        <v>15444</v>
      </c>
    </row>
    <row r="6173">
      <c r="A6173" s="2">
        <v>6171.0</v>
      </c>
      <c r="B6173" s="5" t="s">
        <v>9181</v>
      </c>
      <c r="C6173" s="2" t="s">
        <v>9182</v>
      </c>
      <c r="D6173" s="5" t="s">
        <v>9181</v>
      </c>
      <c r="E6173" s="2" t="s">
        <v>15445</v>
      </c>
      <c r="F6173" s="2" t="s">
        <v>15442</v>
      </c>
      <c r="G6173" s="2" t="s">
        <v>15443</v>
      </c>
      <c r="H6173" s="2" t="s">
        <v>15444</v>
      </c>
    </row>
    <row r="6174">
      <c r="A6174" s="2">
        <v>6172.0</v>
      </c>
      <c r="B6174" s="5" t="s">
        <v>15358</v>
      </c>
      <c r="C6174" s="2" t="s">
        <v>15359</v>
      </c>
      <c r="D6174" s="5" t="s">
        <v>15358</v>
      </c>
      <c r="E6174" s="2" t="s">
        <v>15441</v>
      </c>
      <c r="F6174" s="2" t="s">
        <v>15442</v>
      </c>
      <c r="G6174" s="2" t="s">
        <v>15456</v>
      </c>
      <c r="H6174" s="2" t="s">
        <v>15444</v>
      </c>
    </row>
    <row r="6175">
      <c r="A6175" s="2">
        <v>6173.0</v>
      </c>
      <c r="B6175" s="5" t="s">
        <v>9184</v>
      </c>
      <c r="C6175" s="2" t="s">
        <v>9185</v>
      </c>
      <c r="D6175" s="5" t="s">
        <v>9184</v>
      </c>
      <c r="E6175" s="2" t="s">
        <v>15445</v>
      </c>
      <c r="F6175" s="2" t="s">
        <v>15442</v>
      </c>
      <c r="G6175" s="2" t="s">
        <v>15443</v>
      </c>
      <c r="H6175" s="2" t="s">
        <v>15444</v>
      </c>
    </row>
    <row r="6176">
      <c r="A6176" s="2">
        <v>6174.0</v>
      </c>
      <c r="B6176" s="5" t="s">
        <v>15360</v>
      </c>
      <c r="C6176" s="2" t="s">
        <v>15361</v>
      </c>
      <c r="D6176" s="5" t="s">
        <v>15360</v>
      </c>
      <c r="E6176" s="2" t="s">
        <v>15441</v>
      </c>
      <c r="F6176" s="2" t="s">
        <v>15442</v>
      </c>
      <c r="G6176" s="2" t="s">
        <v>15443</v>
      </c>
      <c r="H6176" s="2" t="s">
        <v>15444</v>
      </c>
    </row>
    <row r="6177">
      <c r="A6177" s="2">
        <v>6175.0</v>
      </c>
      <c r="B6177" s="5" t="s">
        <v>9187</v>
      </c>
      <c r="C6177" s="2" t="s">
        <v>9188</v>
      </c>
      <c r="D6177" s="5" t="s">
        <v>9187</v>
      </c>
      <c r="E6177" s="2" t="s">
        <v>15445</v>
      </c>
      <c r="F6177" s="2" t="s">
        <v>15446</v>
      </c>
      <c r="G6177" s="2" t="s">
        <v>15443</v>
      </c>
      <c r="H6177" s="2" t="s">
        <v>15444</v>
      </c>
    </row>
    <row r="6178">
      <c r="A6178" s="2">
        <v>6176.0</v>
      </c>
      <c r="B6178" s="5" t="s">
        <v>15362</v>
      </c>
      <c r="C6178" s="2" t="s">
        <v>15363</v>
      </c>
      <c r="D6178" s="5" t="s">
        <v>15362</v>
      </c>
      <c r="E6178" s="2" t="s">
        <v>15441</v>
      </c>
      <c r="F6178" s="2" t="s">
        <v>15446</v>
      </c>
      <c r="G6178" s="2" t="s">
        <v>15456</v>
      </c>
      <c r="H6178" s="2" t="s">
        <v>15444</v>
      </c>
    </row>
    <row r="6179">
      <c r="A6179" s="2">
        <v>6177.0</v>
      </c>
      <c r="B6179" s="5" t="s">
        <v>9190</v>
      </c>
      <c r="C6179" s="2" t="s">
        <v>9191</v>
      </c>
      <c r="D6179" s="5" t="s">
        <v>9190</v>
      </c>
      <c r="E6179" s="2" t="s">
        <v>15445</v>
      </c>
      <c r="F6179" s="2" t="s">
        <v>15446</v>
      </c>
      <c r="G6179" s="2" t="s">
        <v>15443</v>
      </c>
      <c r="H6179" s="2" t="s">
        <v>15444</v>
      </c>
    </row>
    <row r="6180">
      <c r="A6180" s="2">
        <v>6178.0</v>
      </c>
      <c r="B6180" s="5" t="s">
        <v>9193</v>
      </c>
      <c r="C6180" s="2" t="s">
        <v>9194</v>
      </c>
      <c r="D6180" s="5" t="s">
        <v>9193</v>
      </c>
      <c r="E6180" s="2" t="s">
        <v>15445</v>
      </c>
      <c r="F6180" s="2" t="s">
        <v>15442</v>
      </c>
      <c r="G6180" s="2" t="s">
        <v>15443</v>
      </c>
      <c r="H6180" s="2" t="s">
        <v>15444</v>
      </c>
    </row>
    <row r="6181">
      <c r="A6181" s="2">
        <v>6179.0</v>
      </c>
      <c r="B6181" s="5" t="s">
        <v>15364</v>
      </c>
      <c r="C6181" s="2" t="s">
        <v>15365</v>
      </c>
      <c r="D6181" s="5" t="s">
        <v>15364</v>
      </c>
      <c r="E6181" s="2" t="s">
        <v>15441</v>
      </c>
      <c r="F6181" s="2" t="s">
        <v>15442</v>
      </c>
      <c r="G6181" s="2" t="s">
        <v>15443</v>
      </c>
      <c r="H6181" s="2" t="s">
        <v>15444</v>
      </c>
    </row>
    <row r="6182">
      <c r="A6182" s="2">
        <v>6180.0</v>
      </c>
      <c r="B6182" s="5" t="s">
        <v>9196</v>
      </c>
      <c r="C6182" s="2" t="s">
        <v>9197</v>
      </c>
      <c r="D6182" s="5" t="s">
        <v>9196</v>
      </c>
      <c r="E6182" s="2" t="s">
        <v>15445</v>
      </c>
      <c r="F6182" s="2" t="s">
        <v>15442</v>
      </c>
      <c r="G6182" s="2" t="s">
        <v>15443</v>
      </c>
      <c r="H6182" s="2" t="s">
        <v>15444</v>
      </c>
    </row>
    <row r="6183">
      <c r="A6183" s="2">
        <v>6181.0</v>
      </c>
      <c r="B6183" s="5" t="s">
        <v>9199</v>
      </c>
      <c r="C6183" s="2" t="s">
        <v>9200</v>
      </c>
      <c r="D6183" s="5" t="s">
        <v>9199</v>
      </c>
      <c r="E6183" s="2" t="s">
        <v>15445</v>
      </c>
      <c r="F6183" s="2" t="s">
        <v>15446</v>
      </c>
      <c r="G6183" s="2" t="s">
        <v>15456</v>
      </c>
      <c r="H6183" s="2" t="s">
        <v>15444</v>
      </c>
    </row>
    <row r="6184">
      <c r="A6184" s="2">
        <v>6182.0</v>
      </c>
      <c r="B6184" s="5" t="s">
        <v>9202</v>
      </c>
      <c r="C6184" s="2" t="s">
        <v>9203</v>
      </c>
      <c r="D6184" s="5" t="s">
        <v>9202</v>
      </c>
      <c r="E6184" s="2" t="s">
        <v>15445</v>
      </c>
      <c r="F6184" s="2" t="s">
        <v>15446</v>
      </c>
      <c r="G6184" s="2" t="s">
        <v>15456</v>
      </c>
      <c r="H6184" s="2" t="s">
        <v>15444</v>
      </c>
    </row>
    <row r="6185">
      <c r="A6185" s="2">
        <v>6183.0</v>
      </c>
      <c r="B6185" s="5" t="s">
        <v>15366</v>
      </c>
      <c r="C6185" s="2" t="s">
        <v>15367</v>
      </c>
      <c r="D6185" s="5" t="s">
        <v>15366</v>
      </c>
      <c r="E6185" s="2" t="s">
        <v>15441</v>
      </c>
      <c r="F6185" s="2" t="s">
        <v>15442</v>
      </c>
      <c r="G6185" s="2" t="s">
        <v>15443</v>
      </c>
      <c r="H6185" s="2" t="s">
        <v>15444</v>
      </c>
    </row>
    <row r="6186">
      <c r="A6186" s="2">
        <v>6184.0</v>
      </c>
      <c r="B6186" s="5" t="s">
        <v>9205</v>
      </c>
      <c r="C6186" s="2" t="s">
        <v>9206</v>
      </c>
      <c r="D6186" s="5" t="s">
        <v>9205</v>
      </c>
      <c r="E6186" s="2" t="s">
        <v>15445</v>
      </c>
      <c r="F6186" s="2" t="s">
        <v>15442</v>
      </c>
      <c r="G6186" s="2" t="s">
        <v>15443</v>
      </c>
      <c r="H6186" s="2" t="s">
        <v>15444</v>
      </c>
    </row>
    <row r="6187">
      <c r="A6187" s="2">
        <v>6185.0</v>
      </c>
      <c r="B6187" s="5" t="s">
        <v>15368</v>
      </c>
      <c r="C6187" s="2" t="s">
        <v>15369</v>
      </c>
      <c r="D6187" s="5" t="s">
        <v>15368</v>
      </c>
      <c r="E6187" s="2" t="s">
        <v>15441</v>
      </c>
      <c r="F6187" s="2" t="s">
        <v>15446</v>
      </c>
      <c r="G6187" s="2" t="s">
        <v>15443</v>
      </c>
      <c r="H6187" s="2" t="s">
        <v>15444</v>
      </c>
    </row>
    <row r="6188">
      <c r="A6188" s="2">
        <v>6186.0</v>
      </c>
      <c r="B6188" s="5" t="s">
        <v>9208</v>
      </c>
      <c r="C6188" s="2" t="s">
        <v>9209</v>
      </c>
      <c r="D6188" s="5" t="s">
        <v>9208</v>
      </c>
      <c r="E6188" s="2" t="s">
        <v>15445</v>
      </c>
      <c r="F6188" s="2" t="s">
        <v>15442</v>
      </c>
      <c r="G6188" s="2" t="s">
        <v>15443</v>
      </c>
      <c r="H6188" s="2" t="s">
        <v>15444</v>
      </c>
    </row>
    <row r="6189">
      <c r="A6189" s="2">
        <v>6187.0</v>
      </c>
      <c r="B6189" s="5" t="s">
        <v>9211</v>
      </c>
      <c r="C6189" s="2" t="s">
        <v>9212</v>
      </c>
      <c r="D6189" s="5" t="s">
        <v>9211</v>
      </c>
      <c r="E6189" s="2" t="s">
        <v>15445</v>
      </c>
      <c r="F6189" s="2" t="s">
        <v>15442</v>
      </c>
      <c r="G6189" s="2" t="s">
        <v>15456</v>
      </c>
      <c r="H6189" s="2" t="s">
        <v>15455</v>
      </c>
    </row>
    <row r="6190">
      <c r="A6190" s="2">
        <v>6188.0</v>
      </c>
      <c r="B6190" s="5" t="s">
        <v>15370</v>
      </c>
      <c r="C6190" s="2" t="s">
        <v>15371</v>
      </c>
      <c r="D6190" s="5" t="s">
        <v>15370</v>
      </c>
      <c r="E6190" s="2" t="s">
        <v>15441</v>
      </c>
      <c r="F6190" s="2" t="s">
        <v>15446</v>
      </c>
      <c r="G6190" s="2" t="s">
        <v>15456</v>
      </c>
      <c r="H6190" s="2" t="s">
        <v>15444</v>
      </c>
    </row>
    <row r="6191">
      <c r="A6191" s="2">
        <v>6189.0</v>
      </c>
      <c r="B6191" s="5" t="s">
        <v>9214</v>
      </c>
      <c r="C6191" s="2" t="s">
        <v>9215</v>
      </c>
      <c r="D6191" s="5" t="s">
        <v>9214</v>
      </c>
      <c r="E6191" s="2" t="s">
        <v>15445</v>
      </c>
      <c r="F6191" s="2" t="s">
        <v>15442</v>
      </c>
      <c r="G6191" s="2" t="s">
        <v>15443</v>
      </c>
      <c r="H6191" s="2" t="s">
        <v>15444</v>
      </c>
    </row>
    <row r="6192">
      <c r="A6192" s="2">
        <v>6190.0</v>
      </c>
      <c r="B6192" s="5" t="s">
        <v>15372</v>
      </c>
      <c r="C6192" s="2" t="s">
        <v>15373</v>
      </c>
      <c r="D6192" s="5" t="s">
        <v>15372</v>
      </c>
      <c r="E6192" s="2" t="s">
        <v>15441</v>
      </c>
      <c r="F6192" s="2" t="s">
        <v>15442</v>
      </c>
      <c r="G6192" s="2" t="s">
        <v>15443</v>
      </c>
      <c r="H6192" s="2" t="s">
        <v>15457</v>
      </c>
    </row>
    <row r="6193">
      <c r="A6193" s="2">
        <v>6191.0</v>
      </c>
      <c r="B6193" s="5" t="s">
        <v>9217</v>
      </c>
      <c r="C6193" s="2" t="s">
        <v>9218</v>
      </c>
      <c r="D6193" s="5" t="s">
        <v>9217</v>
      </c>
      <c r="E6193" s="2" t="s">
        <v>15445</v>
      </c>
      <c r="F6193" s="2" t="s">
        <v>15446</v>
      </c>
      <c r="G6193" s="2" t="s">
        <v>15456</v>
      </c>
      <c r="H6193" s="2" t="s">
        <v>15457</v>
      </c>
    </row>
    <row r="6194">
      <c r="A6194" s="2">
        <v>6192.0</v>
      </c>
      <c r="B6194" s="5" t="s">
        <v>15374</v>
      </c>
      <c r="C6194" s="2" t="s">
        <v>15375</v>
      </c>
      <c r="D6194" s="5" t="s">
        <v>15374</v>
      </c>
      <c r="E6194" s="2" t="s">
        <v>15441</v>
      </c>
      <c r="F6194" s="2" t="s">
        <v>15446</v>
      </c>
      <c r="G6194" s="2" t="s">
        <v>15443</v>
      </c>
      <c r="H6194" s="2" t="s">
        <v>15444</v>
      </c>
    </row>
    <row r="6195">
      <c r="A6195" s="2">
        <v>6193.0</v>
      </c>
      <c r="B6195" s="5" t="s">
        <v>15376</v>
      </c>
      <c r="C6195" s="2" t="s">
        <v>15377</v>
      </c>
      <c r="D6195" s="5" t="s">
        <v>15376</v>
      </c>
      <c r="E6195" s="2" t="s">
        <v>15441</v>
      </c>
      <c r="F6195" s="2" t="s">
        <v>15442</v>
      </c>
      <c r="G6195" s="2" t="s">
        <v>15443</v>
      </c>
      <c r="H6195" s="2" t="s">
        <v>15444</v>
      </c>
    </row>
    <row r="6196">
      <c r="A6196" s="2">
        <v>6194.0</v>
      </c>
      <c r="B6196" s="5" t="s">
        <v>15378</v>
      </c>
      <c r="C6196" s="2" t="s">
        <v>15379</v>
      </c>
      <c r="D6196" s="5" t="s">
        <v>15378</v>
      </c>
      <c r="E6196" s="2" t="s">
        <v>15441</v>
      </c>
      <c r="F6196" s="2" t="s">
        <v>15446</v>
      </c>
      <c r="G6196" s="2" t="s">
        <v>15443</v>
      </c>
      <c r="H6196" s="2" t="s">
        <v>15444</v>
      </c>
    </row>
    <row r="6197">
      <c r="A6197" s="2">
        <v>6195.0</v>
      </c>
      <c r="B6197" s="5" t="s">
        <v>9220</v>
      </c>
      <c r="C6197" s="2" t="s">
        <v>9221</v>
      </c>
      <c r="D6197" s="5" t="s">
        <v>9220</v>
      </c>
      <c r="E6197" s="2" t="s">
        <v>15445</v>
      </c>
      <c r="F6197" s="2" t="s">
        <v>15442</v>
      </c>
      <c r="G6197" s="2" t="s">
        <v>15456</v>
      </c>
      <c r="H6197" s="2" t="s">
        <v>15444</v>
      </c>
    </row>
    <row r="6198">
      <c r="A6198" s="2">
        <v>6196.0</v>
      </c>
      <c r="B6198" s="5" t="s">
        <v>15380</v>
      </c>
      <c r="C6198" s="2" t="s">
        <v>15381</v>
      </c>
      <c r="D6198" s="5" t="s">
        <v>15380</v>
      </c>
      <c r="E6198" s="2" t="s">
        <v>15441</v>
      </c>
      <c r="F6198" s="2" t="s">
        <v>15442</v>
      </c>
      <c r="G6198" s="2" t="s">
        <v>15443</v>
      </c>
      <c r="H6198" s="2" t="s">
        <v>15444</v>
      </c>
    </row>
    <row r="6199">
      <c r="A6199" s="2">
        <v>6197.0</v>
      </c>
      <c r="B6199" s="5" t="s">
        <v>9223</v>
      </c>
      <c r="C6199" s="2" t="s">
        <v>9224</v>
      </c>
      <c r="D6199" s="5" t="s">
        <v>9223</v>
      </c>
      <c r="E6199" s="2" t="s">
        <v>15445</v>
      </c>
      <c r="F6199" s="2" t="s">
        <v>15442</v>
      </c>
      <c r="G6199" s="2" t="s">
        <v>15443</v>
      </c>
      <c r="H6199" s="2" t="s">
        <v>15444</v>
      </c>
    </row>
    <row r="6200">
      <c r="A6200" s="2">
        <v>6198.0</v>
      </c>
      <c r="B6200" s="5" t="s">
        <v>9226</v>
      </c>
      <c r="C6200" s="2" t="s">
        <v>9227</v>
      </c>
      <c r="D6200" s="5" t="s">
        <v>9226</v>
      </c>
      <c r="E6200" s="2" t="s">
        <v>15445</v>
      </c>
      <c r="F6200" s="2" t="s">
        <v>15442</v>
      </c>
      <c r="G6200" s="2" t="s">
        <v>15456</v>
      </c>
      <c r="H6200" s="2" t="s">
        <v>15444</v>
      </c>
    </row>
    <row r="6201">
      <c r="A6201" s="2">
        <v>6199.0</v>
      </c>
      <c r="B6201" s="5" t="s">
        <v>15382</v>
      </c>
      <c r="C6201" s="2" t="s">
        <v>15383</v>
      </c>
      <c r="D6201" s="5" t="s">
        <v>15382</v>
      </c>
      <c r="E6201" s="2" t="s">
        <v>15441</v>
      </c>
      <c r="F6201" s="2" t="s">
        <v>15446</v>
      </c>
      <c r="G6201" s="2" t="s">
        <v>15456</v>
      </c>
      <c r="H6201" s="2" t="s">
        <v>15444</v>
      </c>
    </row>
    <row r="6202">
      <c r="A6202" s="2">
        <v>6200.0</v>
      </c>
      <c r="B6202" s="5" t="s">
        <v>15384</v>
      </c>
      <c r="C6202" s="2" t="s">
        <v>15385</v>
      </c>
      <c r="D6202" s="5" t="s">
        <v>15384</v>
      </c>
      <c r="E6202" s="2" t="s">
        <v>15441</v>
      </c>
      <c r="F6202" s="2" t="s">
        <v>15446</v>
      </c>
      <c r="G6202" s="2" t="s">
        <v>15456</v>
      </c>
      <c r="H6202" s="2" t="s">
        <v>15444</v>
      </c>
    </row>
    <row r="6203">
      <c r="A6203" s="2">
        <v>6201.0</v>
      </c>
      <c r="B6203" s="5" t="s">
        <v>15386</v>
      </c>
      <c r="C6203" s="2" t="s">
        <v>15387</v>
      </c>
      <c r="D6203" s="5" t="s">
        <v>15386</v>
      </c>
      <c r="E6203" s="2" t="s">
        <v>15441</v>
      </c>
      <c r="F6203" s="2" t="s">
        <v>15446</v>
      </c>
      <c r="G6203" s="2" t="s">
        <v>15443</v>
      </c>
      <c r="H6203" s="2" t="s">
        <v>15444</v>
      </c>
    </row>
    <row r="6204">
      <c r="A6204" s="2">
        <v>6202.0</v>
      </c>
      <c r="B6204" s="5" t="s">
        <v>9229</v>
      </c>
      <c r="C6204" s="2" t="s">
        <v>9230</v>
      </c>
      <c r="D6204" s="5" t="s">
        <v>9229</v>
      </c>
      <c r="E6204" s="2" t="s">
        <v>15445</v>
      </c>
      <c r="F6204" s="2" t="s">
        <v>15446</v>
      </c>
      <c r="G6204" s="2" t="s">
        <v>15456</v>
      </c>
      <c r="H6204" s="2" t="s">
        <v>15444</v>
      </c>
    </row>
    <row r="6205">
      <c r="A6205" s="2">
        <v>6203.0</v>
      </c>
      <c r="B6205" s="5" t="s">
        <v>15388</v>
      </c>
      <c r="C6205" s="2" t="s">
        <v>15389</v>
      </c>
      <c r="D6205" s="5" t="s">
        <v>15388</v>
      </c>
      <c r="E6205" s="2" t="s">
        <v>15441</v>
      </c>
      <c r="F6205" s="2" t="s">
        <v>15446</v>
      </c>
      <c r="G6205" s="2" t="s">
        <v>15443</v>
      </c>
      <c r="H6205" s="2" t="s">
        <v>15444</v>
      </c>
    </row>
    <row r="6206">
      <c r="A6206" s="2">
        <v>6204.0</v>
      </c>
      <c r="B6206" s="5" t="s">
        <v>9232</v>
      </c>
      <c r="C6206" s="2" t="s">
        <v>9233</v>
      </c>
      <c r="D6206" s="5" t="s">
        <v>9232</v>
      </c>
      <c r="E6206" s="2" t="s">
        <v>15445</v>
      </c>
      <c r="F6206" s="2" t="s">
        <v>15446</v>
      </c>
      <c r="G6206" s="2" t="s">
        <v>15443</v>
      </c>
      <c r="H6206" s="2" t="s">
        <v>15444</v>
      </c>
    </row>
    <row r="6207">
      <c r="A6207" s="2">
        <v>6205.0</v>
      </c>
      <c r="B6207" s="5" t="s">
        <v>9235</v>
      </c>
      <c r="C6207" s="2" t="s">
        <v>9236</v>
      </c>
      <c r="D6207" s="5" t="s">
        <v>9235</v>
      </c>
      <c r="E6207" s="2" t="s">
        <v>15445</v>
      </c>
      <c r="F6207" s="2" t="s">
        <v>15446</v>
      </c>
      <c r="G6207" s="2" t="s">
        <v>15456</v>
      </c>
      <c r="H6207" s="2" t="s">
        <v>15444</v>
      </c>
    </row>
    <row r="6208">
      <c r="A6208" s="2">
        <v>6206.0</v>
      </c>
      <c r="B6208" s="5" t="s">
        <v>9238</v>
      </c>
      <c r="C6208" s="2" t="s">
        <v>9239</v>
      </c>
      <c r="D6208" s="5" t="s">
        <v>9238</v>
      </c>
      <c r="E6208" s="2" t="s">
        <v>15445</v>
      </c>
      <c r="F6208" s="2" t="s">
        <v>15442</v>
      </c>
      <c r="G6208" s="2" t="s">
        <v>15456</v>
      </c>
      <c r="H6208" s="2" t="s">
        <v>15444</v>
      </c>
    </row>
    <row r="6209">
      <c r="A6209" s="2">
        <v>6207.0</v>
      </c>
      <c r="B6209" s="5" t="s">
        <v>9241</v>
      </c>
      <c r="C6209" s="2" t="s">
        <v>9242</v>
      </c>
      <c r="D6209" s="5" t="s">
        <v>9241</v>
      </c>
      <c r="E6209" s="2" t="s">
        <v>15445</v>
      </c>
      <c r="F6209" s="2" t="s">
        <v>15446</v>
      </c>
      <c r="G6209" s="2" t="s">
        <v>15443</v>
      </c>
      <c r="H6209" s="2" t="s">
        <v>15444</v>
      </c>
    </row>
    <row r="6210">
      <c r="A6210" s="2">
        <v>6208.0</v>
      </c>
      <c r="B6210" s="5" t="s">
        <v>15390</v>
      </c>
      <c r="C6210" s="2" t="s">
        <v>15391</v>
      </c>
      <c r="D6210" s="5" t="s">
        <v>15390</v>
      </c>
      <c r="E6210" s="2" t="s">
        <v>15441</v>
      </c>
      <c r="F6210" s="2" t="s">
        <v>15442</v>
      </c>
      <c r="G6210" s="2" t="s">
        <v>15443</v>
      </c>
      <c r="H6210" s="2" t="s">
        <v>15444</v>
      </c>
    </row>
    <row r="6211">
      <c r="A6211" s="2">
        <v>6209.0</v>
      </c>
      <c r="B6211" s="5" t="s">
        <v>15392</v>
      </c>
      <c r="C6211" s="2" t="s">
        <v>15393</v>
      </c>
      <c r="D6211" s="5" t="s">
        <v>15392</v>
      </c>
      <c r="E6211" s="2" t="s">
        <v>15441</v>
      </c>
      <c r="F6211" s="2" t="s">
        <v>15446</v>
      </c>
      <c r="G6211" s="2" t="s">
        <v>15456</v>
      </c>
      <c r="H6211" s="2" t="s">
        <v>15444</v>
      </c>
    </row>
    <row r="6212">
      <c r="A6212" s="2">
        <v>6210.0</v>
      </c>
      <c r="B6212" s="5" t="s">
        <v>9244</v>
      </c>
      <c r="C6212" s="2" t="s">
        <v>9245</v>
      </c>
      <c r="D6212" s="5" t="s">
        <v>9244</v>
      </c>
      <c r="E6212" s="2" t="s">
        <v>15445</v>
      </c>
      <c r="F6212" s="2" t="s">
        <v>15442</v>
      </c>
      <c r="G6212" s="2" t="s">
        <v>15443</v>
      </c>
      <c r="H6212" s="2" t="s">
        <v>15444</v>
      </c>
    </row>
    <row r="6213">
      <c r="A6213" s="2">
        <v>6211.0</v>
      </c>
      <c r="B6213" s="5" t="s">
        <v>9247</v>
      </c>
      <c r="C6213" s="2" t="s">
        <v>9248</v>
      </c>
      <c r="D6213" s="5" t="s">
        <v>9247</v>
      </c>
      <c r="E6213" s="2" t="s">
        <v>15445</v>
      </c>
      <c r="F6213" s="2" t="s">
        <v>15446</v>
      </c>
      <c r="G6213" s="2" t="s">
        <v>15456</v>
      </c>
      <c r="H6213" s="2" t="s">
        <v>15444</v>
      </c>
    </row>
    <row r="6214">
      <c r="A6214" s="2">
        <v>6212.0</v>
      </c>
      <c r="B6214" s="5" t="s">
        <v>9250</v>
      </c>
      <c r="C6214" s="2" t="s">
        <v>9251</v>
      </c>
      <c r="D6214" s="5" t="s">
        <v>9250</v>
      </c>
      <c r="E6214" s="2" t="s">
        <v>15445</v>
      </c>
      <c r="F6214" s="2" t="s">
        <v>15446</v>
      </c>
      <c r="G6214" s="2" t="s">
        <v>15456</v>
      </c>
      <c r="H6214" s="2" t="s">
        <v>15457</v>
      </c>
    </row>
    <row r="6215">
      <c r="A6215" s="2">
        <v>6213.0</v>
      </c>
      <c r="B6215" s="5" t="s">
        <v>9253</v>
      </c>
      <c r="C6215" s="2" t="s">
        <v>9254</v>
      </c>
      <c r="D6215" s="5" t="s">
        <v>9253</v>
      </c>
      <c r="E6215" s="2" t="s">
        <v>15445</v>
      </c>
      <c r="F6215" s="2" t="s">
        <v>15446</v>
      </c>
      <c r="G6215" s="2" t="s">
        <v>15443</v>
      </c>
      <c r="H6215" s="2" t="s">
        <v>15444</v>
      </c>
    </row>
    <row r="6216">
      <c r="A6216" s="2">
        <v>6214.0</v>
      </c>
      <c r="B6216" s="5" t="s">
        <v>9256</v>
      </c>
      <c r="C6216" s="2" t="s">
        <v>9257</v>
      </c>
      <c r="D6216" s="5" t="s">
        <v>9256</v>
      </c>
      <c r="E6216" s="2" t="s">
        <v>15445</v>
      </c>
      <c r="F6216" s="2" t="s">
        <v>15442</v>
      </c>
      <c r="G6216" s="2" t="s">
        <v>15443</v>
      </c>
      <c r="H6216" s="2" t="s">
        <v>15444</v>
      </c>
    </row>
    <row r="6217">
      <c r="A6217" s="2">
        <v>6215.0</v>
      </c>
      <c r="B6217" s="5" t="s">
        <v>9259</v>
      </c>
      <c r="C6217" s="2" t="s">
        <v>9260</v>
      </c>
      <c r="D6217" s="5" t="s">
        <v>9259</v>
      </c>
      <c r="E6217" s="2" t="s">
        <v>15445</v>
      </c>
      <c r="F6217" s="2" t="s">
        <v>15442</v>
      </c>
      <c r="G6217" s="2" t="s">
        <v>15456</v>
      </c>
      <c r="H6217" s="2" t="s">
        <v>15444</v>
      </c>
    </row>
    <row r="6218">
      <c r="A6218" s="2">
        <v>6216.0</v>
      </c>
      <c r="B6218" s="5" t="s">
        <v>15394</v>
      </c>
      <c r="C6218" s="2" t="s">
        <v>15395</v>
      </c>
      <c r="D6218" s="5" t="s">
        <v>15394</v>
      </c>
      <c r="E6218" s="2" t="s">
        <v>15441</v>
      </c>
      <c r="F6218" s="2" t="s">
        <v>15446</v>
      </c>
      <c r="G6218" s="2" t="s">
        <v>15443</v>
      </c>
      <c r="H6218" s="2" t="s">
        <v>15444</v>
      </c>
    </row>
    <row r="6219">
      <c r="A6219" s="2">
        <v>6217.0</v>
      </c>
      <c r="B6219" s="5" t="s">
        <v>9262</v>
      </c>
      <c r="C6219" s="2" t="s">
        <v>9263</v>
      </c>
      <c r="D6219" s="5" t="s">
        <v>9262</v>
      </c>
      <c r="E6219" s="2" t="s">
        <v>15445</v>
      </c>
      <c r="F6219" s="2" t="s">
        <v>15442</v>
      </c>
      <c r="G6219" s="2" t="s">
        <v>15456</v>
      </c>
      <c r="H6219" s="2" t="s">
        <v>15444</v>
      </c>
    </row>
    <row r="6220">
      <c r="A6220" s="2">
        <v>6218.0</v>
      </c>
      <c r="B6220" s="5" t="s">
        <v>9265</v>
      </c>
      <c r="C6220" s="2" t="s">
        <v>9266</v>
      </c>
      <c r="D6220" s="5" t="s">
        <v>9265</v>
      </c>
      <c r="E6220" s="2" t="s">
        <v>15445</v>
      </c>
      <c r="F6220" s="2" t="s">
        <v>15442</v>
      </c>
      <c r="G6220" s="2" t="s">
        <v>15443</v>
      </c>
      <c r="H6220" s="2" t="s">
        <v>15444</v>
      </c>
    </row>
    <row r="6221">
      <c r="A6221" s="2">
        <v>6219.0</v>
      </c>
      <c r="B6221" s="5" t="s">
        <v>15396</v>
      </c>
      <c r="C6221" s="2" t="s">
        <v>15397</v>
      </c>
      <c r="D6221" s="5" t="s">
        <v>15396</v>
      </c>
      <c r="E6221" s="2" t="s">
        <v>15441</v>
      </c>
      <c r="F6221" s="2" t="s">
        <v>15446</v>
      </c>
      <c r="G6221" s="2" t="s">
        <v>15456</v>
      </c>
      <c r="H6221" s="2" t="s">
        <v>15444</v>
      </c>
    </row>
    <row r="6222">
      <c r="A6222" s="2">
        <v>6220.0</v>
      </c>
      <c r="B6222" s="5" t="s">
        <v>9268</v>
      </c>
      <c r="C6222" s="2" t="s">
        <v>9269</v>
      </c>
      <c r="D6222" s="5" t="s">
        <v>9268</v>
      </c>
      <c r="E6222" s="2" t="s">
        <v>15445</v>
      </c>
      <c r="F6222" s="2" t="s">
        <v>15446</v>
      </c>
      <c r="G6222" s="2" t="s">
        <v>15456</v>
      </c>
      <c r="H6222" s="2" t="s">
        <v>15444</v>
      </c>
    </row>
    <row r="6223">
      <c r="A6223" s="2">
        <v>6221.0</v>
      </c>
      <c r="B6223" s="5" t="s">
        <v>9271</v>
      </c>
      <c r="C6223" s="2" t="s">
        <v>9272</v>
      </c>
      <c r="D6223" s="5" t="s">
        <v>9271</v>
      </c>
      <c r="E6223" s="2" t="s">
        <v>15445</v>
      </c>
      <c r="F6223" s="2" t="s">
        <v>15442</v>
      </c>
      <c r="G6223" s="2" t="s">
        <v>15456</v>
      </c>
      <c r="H6223" s="2" t="s">
        <v>15461</v>
      </c>
    </row>
    <row r="6224">
      <c r="A6224" s="2">
        <v>6222.0</v>
      </c>
      <c r="B6224" s="5" t="s">
        <v>15398</v>
      </c>
      <c r="C6224" s="2" t="s">
        <v>15399</v>
      </c>
      <c r="D6224" s="5" t="s">
        <v>15398</v>
      </c>
      <c r="E6224" s="2" t="s">
        <v>15441</v>
      </c>
      <c r="F6224" s="2" t="s">
        <v>15446</v>
      </c>
      <c r="G6224" s="2" t="s">
        <v>15456</v>
      </c>
      <c r="H6224" s="2" t="s">
        <v>15444</v>
      </c>
    </row>
    <row r="6225">
      <c r="A6225" s="2">
        <v>6223.0</v>
      </c>
      <c r="B6225" s="5" t="s">
        <v>9273</v>
      </c>
      <c r="C6225" s="2" t="s">
        <v>9274</v>
      </c>
      <c r="D6225" s="5" t="s">
        <v>9273</v>
      </c>
      <c r="E6225" s="2" t="s">
        <v>15445</v>
      </c>
      <c r="F6225" s="2" t="s">
        <v>15442</v>
      </c>
      <c r="G6225" s="2" t="s">
        <v>15456</v>
      </c>
      <c r="H6225" s="2" t="s">
        <v>15444</v>
      </c>
    </row>
    <row r="6226">
      <c r="A6226" s="2">
        <v>6224.0</v>
      </c>
      <c r="B6226" s="5" t="s">
        <v>15400</v>
      </c>
      <c r="C6226" s="2" t="s">
        <v>15401</v>
      </c>
      <c r="D6226" s="5" t="s">
        <v>15400</v>
      </c>
      <c r="E6226" s="2" t="s">
        <v>15441</v>
      </c>
      <c r="F6226" s="2" t="s">
        <v>15446</v>
      </c>
      <c r="G6226" s="2" t="s">
        <v>15456</v>
      </c>
      <c r="H6226" s="2" t="s">
        <v>15444</v>
      </c>
    </row>
    <row r="6227">
      <c r="A6227" s="2">
        <v>6225.0</v>
      </c>
      <c r="B6227" s="5" t="s">
        <v>15402</v>
      </c>
      <c r="C6227" s="2" t="s">
        <v>15403</v>
      </c>
      <c r="D6227" s="5" t="s">
        <v>15402</v>
      </c>
      <c r="E6227" s="2" t="s">
        <v>15441</v>
      </c>
      <c r="F6227" s="2" t="s">
        <v>15442</v>
      </c>
      <c r="G6227" s="2" t="s">
        <v>15456</v>
      </c>
      <c r="H6227" s="2" t="s">
        <v>15444</v>
      </c>
    </row>
    <row r="6228">
      <c r="A6228" s="2">
        <v>6226.0</v>
      </c>
      <c r="B6228" s="5" t="s">
        <v>9276</v>
      </c>
      <c r="C6228" s="2" t="s">
        <v>9277</v>
      </c>
      <c r="D6228" s="5" t="s">
        <v>9276</v>
      </c>
      <c r="E6228" s="2" t="s">
        <v>15445</v>
      </c>
      <c r="F6228" s="2" t="s">
        <v>15446</v>
      </c>
      <c r="G6228" s="2" t="s">
        <v>15456</v>
      </c>
      <c r="H6228" s="2" t="s">
        <v>15444</v>
      </c>
    </row>
    <row r="6229">
      <c r="A6229" s="2">
        <v>6227.0</v>
      </c>
      <c r="B6229" s="5" t="s">
        <v>15404</v>
      </c>
      <c r="C6229" s="2" t="s">
        <v>15405</v>
      </c>
      <c r="D6229" s="5" t="s">
        <v>15404</v>
      </c>
      <c r="E6229" s="2" t="s">
        <v>15441</v>
      </c>
      <c r="F6229" s="2" t="s">
        <v>15446</v>
      </c>
      <c r="G6229" s="2" t="s">
        <v>15456</v>
      </c>
      <c r="H6229" s="2" t="s">
        <v>15444</v>
      </c>
    </row>
    <row r="6230">
      <c r="A6230" s="2">
        <v>6228.0</v>
      </c>
      <c r="B6230" s="5" t="s">
        <v>9279</v>
      </c>
      <c r="C6230" s="2" t="s">
        <v>9280</v>
      </c>
      <c r="D6230" s="5" t="s">
        <v>9279</v>
      </c>
      <c r="E6230" s="2" t="s">
        <v>15445</v>
      </c>
      <c r="F6230" s="2" t="s">
        <v>15442</v>
      </c>
      <c r="G6230" s="2" t="s">
        <v>15443</v>
      </c>
      <c r="H6230" s="2" t="s">
        <v>15455</v>
      </c>
    </row>
    <row r="6231">
      <c r="A6231" s="2">
        <v>6229.0</v>
      </c>
      <c r="B6231" s="5" t="s">
        <v>15406</v>
      </c>
      <c r="C6231" s="2" t="s">
        <v>15407</v>
      </c>
      <c r="D6231" s="5" t="s">
        <v>15406</v>
      </c>
      <c r="E6231" s="2" t="s">
        <v>15441</v>
      </c>
      <c r="F6231" s="2" t="s">
        <v>15442</v>
      </c>
      <c r="G6231" s="2" t="s">
        <v>15456</v>
      </c>
      <c r="H6231" s="2" t="s">
        <v>15444</v>
      </c>
    </row>
    <row r="6232">
      <c r="A6232" s="2">
        <v>6230.0</v>
      </c>
      <c r="B6232" s="5" t="s">
        <v>9282</v>
      </c>
      <c r="C6232" s="2" t="s">
        <v>9283</v>
      </c>
      <c r="D6232" s="5" t="s">
        <v>9282</v>
      </c>
      <c r="E6232" s="2" t="s">
        <v>15445</v>
      </c>
      <c r="F6232" s="2" t="s">
        <v>15446</v>
      </c>
      <c r="G6232" s="2" t="s">
        <v>15443</v>
      </c>
      <c r="H6232" s="2" t="s">
        <v>15444</v>
      </c>
    </row>
    <row r="6233">
      <c r="A6233" s="2">
        <v>6231.0</v>
      </c>
      <c r="B6233" s="5" t="s">
        <v>15408</v>
      </c>
      <c r="C6233" s="2" t="s">
        <v>15409</v>
      </c>
      <c r="D6233" s="5" t="s">
        <v>15408</v>
      </c>
      <c r="E6233" s="2" t="s">
        <v>15441</v>
      </c>
      <c r="F6233" s="2" t="s">
        <v>15442</v>
      </c>
      <c r="G6233" s="2" t="s">
        <v>15443</v>
      </c>
      <c r="H6233" s="2" t="s">
        <v>15444</v>
      </c>
    </row>
    <row r="6234">
      <c r="A6234" s="2">
        <v>6232.0</v>
      </c>
      <c r="B6234" s="5" t="s">
        <v>9285</v>
      </c>
      <c r="C6234" s="2" t="s">
        <v>9286</v>
      </c>
      <c r="D6234" s="5" t="s">
        <v>9285</v>
      </c>
      <c r="E6234" s="2" t="s">
        <v>15445</v>
      </c>
      <c r="F6234" s="2" t="s">
        <v>15442</v>
      </c>
      <c r="G6234" s="2" t="s">
        <v>15456</v>
      </c>
      <c r="H6234" s="2" t="s">
        <v>15444</v>
      </c>
    </row>
    <row r="6235">
      <c r="A6235" s="2">
        <v>6233.0</v>
      </c>
      <c r="B6235" s="5" t="s">
        <v>9288</v>
      </c>
      <c r="C6235" s="2" t="s">
        <v>9289</v>
      </c>
      <c r="D6235" s="5" t="s">
        <v>9288</v>
      </c>
      <c r="E6235" s="2" t="s">
        <v>15445</v>
      </c>
      <c r="F6235" s="2" t="s">
        <v>15446</v>
      </c>
      <c r="G6235" s="2" t="s">
        <v>15456</v>
      </c>
      <c r="H6235" s="2" t="s">
        <v>15444</v>
      </c>
    </row>
    <row r="6236">
      <c r="A6236" s="2">
        <v>6234.0</v>
      </c>
      <c r="B6236" s="5" t="s">
        <v>9291</v>
      </c>
      <c r="C6236" s="2" t="s">
        <v>9292</v>
      </c>
      <c r="D6236" s="5" t="s">
        <v>9291</v>
      </c>
      <c r="E6236" s="2" t="s">
        <v>15445</v>
      </c>
      <c r="F6236" s="2" t="s">
        <v>15446</v>
      </c>
      <c r="G6236" s="2" t="s">
        <v>15443</v>
      </c>
      <c r="H6236" s="2" t="s">
        <v>15444</v>
      </c>
    </row>
    <row r="6237">
      <c r="A6237" s="2">
        <v>6235.0</v>
      </c>
      <c r="B6237" s="5" t="s">
        <v>15410</v>
      </c>
      <c r="C6237" s="2" t="s">
        <v>15411</v>
      </c>
      <c r="D6237" s="5" t="s">
        <v>15410</v>
      </c>
      <c r="E6237" s="2" t="s">
        <v>15441</v>
      </c>
      <c r="F6237" s="2" t="s">
        <v>15446</v>
      </c>
      <c r="G6237" s="2" t="s">
        <v>15443</v>
      </c>
      <c r="H6237" s="2" t="s">
        <v>15444</v>
      </c>
    </row>
    <row r="6238">
      <c r="A6238" s="2">
        <v>6236.0</v>
      </c>
      <c r="B6238" s="5" t="s">
        <v>15412</v>
      </c>
      <c r="C6238" s="2" t="s">
        <v>15413</v>
      </c>
      <c r="D6238" s="5" t="s">
        <v>15412</v>
      </c>
      <c r="E6238" s="2" t="s">
        <v>15441</v>
      </c>
      <c r="F6238" s="2" t="s">
        <v>15442</v>
      </c>
      <c r="G6238" s="2" t="s">
        <v>15443</v>
      </c>
      <c r="H6238" s="2" t="s">
        <v>15444</v>
      </c>
    </row>
    <row r="6239">
      <c r="A6239" s="2">
        <v>6237.0</v>
      </c>
      <c r="B6239" s="5" t="s">
        <v>15414</v>
      </c>
      <c r="C6239" s="2" t="s">
        <v>15415</v>
      </c>
      <c r="D6239" s="5" t="s">
        <v>15414</v>
      </c>
      <c r="E6239" s="2" t="s">
        <v>15441</v>
      </c>
      <c r="F6239" s="2" t="s">
        <v>15442</v>
      </c>
      <c r="G6239" s="2" t="s">
        <v>15456</v>
      </c>
      <c r="H6239" s="2" t="s">
        <v>15444</v>
      </c>
    </row>
    <row r="6240">
      <c r="A6240" s="2">
        <v>6238.0</v>
      </c>
      <c r="B6240" s="5" t="s">
        <v>9294</v>
      </c>
      <c r="C6240" s="2" t="s">
        <v>9295</v>
      </c>
      <c r="D6240" s="5" t="s">
        <v>9294</v>
      </c>
      <c r="E6240" s="2" t="s">
        <v>15445</v>
      </c>
      <c r="F6240" s="2" t="s">
        <v>15442</v>
      </c>
      <c r="G6240" s="2" t="s">
        <v>15443</v>
      </c>
      <c r="H6240" s="2" t="s">
        <v>15455</v>
      </c>
    </row>
    <row r="6241">
      <c r="A6241" s="2">
        <v>6239.0</v>
      </c>
      <c r="B6241" s="5" t="s">
        <v>9297</v>
      </c>
      <c r="C6241" s="2" t="s">
        <v>9298</v>
      </c>
      <c r="D6241" s="5" t="s">
        <v>9297</v>
      </c>
      <c r="E6241" s="2" t="s">
        <v>15445</v>
      </c>
      <c r="F6241" s="2" t="s">
        <v>15446</v>
      </c>
      <c r="G6241" s="2" t="s">
        <v>15456</v>
      </c>
      <c r="H6241" s="2" t="s">
        <v>15444</v>
      </c>
    </row>
    <row r="6242">
      <c r="A6242" s="2">
        <v>6240.0</v>
      </c>
      <c r="B6242" s="5" t="s">
        <v>15416</v>
      </c>
      <c r="C6242" s="2" t="s">
        <v>15417</v>
      </c>
      <c r="D6242" s="5" t="s">
        <v>15416</v>
      </c>
      <c r="E6242" s="2" t="s">
        <v>15441</v>
      </c>
      <c r="F6242" s="2" t="s">
        <v>15446</v>
      </c>
      <c r="G6242" s="2" t="s">
        <v>15456</v>
      </c>
      <c r="H6242" s="2" t="s">
        <v>15444</v>
      </c>
    </row>
    <row r="6243">
      <c r="A6243" s="2">
        <v>6241.0</v>
      </c>
      <c r="B6243" s="5" t="s">
        <v>9300</v>
      </c>
      <c r="C6243" s="2" t="s">
        <v>9301</v>
      </c>
      <c r="D6243" s="5" t="s">
        <v>9300</v>
      </c>
      <c r="E6243" s="2" t="s">
        <v>15445</v>
      </c>
      <c r="F6243" s="2" t="s">
        <v>15446</v>
      </c>
      <c r="G6243" s="2" t="s">
        <v>15456</v>
      </c>
      <c r="H6243" s="2" t="s">
        <v>15444</v>
      </c>
    </row>
    <row r="6244">
      <c r="A6244" s="2">
        <v>6242.0</v>
      </c>
      <c r="B6244" s="5" t="s">
        <v>15418</v>
      </c>
      <c r="C6244" s="2" t="s">
        <v>15419</v>
      </c>
      <c r="D6244" s="5" t="s">
        <v>15418</v>
      </c>
      <c r="E6244" s="2" t="s">
        <v>15441</v>
      </c>
      <c r="F6244" s="2" t="s">
        <v>15446</v>
      </c>
      <c r="G6244" s="2" t="s">
        <v>15456</v>
      </c>
      <c r="H6244" s="2" t="s">
        <v>15444</v>
      </c>
    </row>
    <row r="6245">
      <c r="A6245" s="2">
        <v>6243.0</v>
      </c>
      <c r="B6245" s="5" t="s">
        <v>15420</v>
      </c>
      <c r="C6245" s="2" t="s">
        <v>15421</v>
      </c>
      <c r="D6245" s="5" t="s">
        <v>15420</v>
      </c>
      <c r="E6245" s="2" t="s">
        <v>15441</v>
      </c>
      <c r="F6245" s="2" t="s">
        <v>15446</v>
      </c>
      <c r="G6245" s="2" t="s">
        <v>15456</v>
      </c>
      <c r="H6245" s="2" t="s">
        <v>15444</v>
      </c>
    </row>
    <row r="6246">
      <c r="A6246" s="2">
        <v>6244.0</v>
      </c>
      <c r="B6246" s="5" t="s">
        <v>9303</v>
      </c>
      <c r="C6246" s="2" t="s">
        <v>9304</v>
      </c>
      <c r="D6246" s="5" t="s">
        <v>9303</v>
      </c>
      <c r="E6246" s="2" t="s">
        <v>15445</v>
      </c>
      <c r="F6246" s="2" t="s">
        <v>15446</v>
      </c>
      <c r="G6246" s="2" t="s">
        <v>15456</v>
      </c>
      <c r="H6246" s="2" t="s">
        <v>15444</v>
      </c>
    </row>
    <row r="6247">
      <c r="A6247" s="2">
        <v>6245.0</v>
      </c>
      <c r="B6247" s="5" t="s">
        <v>9306</v>
      </c>
      <c r="C6247" s="2" t="s">
        <v>9307</v>
      </c>
      <c r="D6247" s="5" t="s">
        <v>9306</v>
      </c>
      <c r="E6247" s="2" t="s">
        <v>15445</v>
      </c>
      <c r="F6247" s="2" t="s">
        <v>15442</v>
      </c>
      <c r="G6247" s="2" t="s">
        <v>15443</v>
      </c>
      <c r="H6247" s="2" t="s">
        <v>15444</v>
      </c>
    </row>
    <row r="6248">
      <c r="A6248" s="2">
        <v>6246.0</v>
      </c>
      <c r="B6248" s="5" t="s">
        <v>15422</v>
      </c>
      <c r="C6248" s="2" t="s">
        <v>15423</v>
      </c>
      <c r="D6248" s="5" t="s">
        <v>15422</v>
      </c>
      <c r="E6248" s="2" t="s">
        <v>15441</v>
      </c>
      <c r="F6248" s="2" t="s">
        <v>15442</v>
      </c>
      <c r="G6248" s="2" t="s">
        <v>15443</v>
      </c>
      <c r="H6248" s="2" t="s">
        <v>15444</v>
      </c>
    </row>
    <row r="6249">
      <c r="A6249" s="2">
        <v>6247.0</v>
      </c>
      <c r="B6249" s="5" t="s">
        <v>9309</v>
      </c>
      <c r="C6249" s="2" t="s">
        <v>9310</v>
      </c>
      <c r="D6249" s="5" t="s">
        <v>9309</v>
      </c>
      <c r="E6249" s="2" t="s">
        <v>15445</v>
      </c>
      <c r="F6249" s="2" t="s">
        <v>15442</v>
      </c>
      <c r="G6249" s="2" t="s">
        <v>15443</v>
      </c>
      <c r="H6249" s="2" t="s">
        <v>15444</v>
      </c>
    </row>
    <row r="6250">
      <c r="A6250" s="2">
        <v>6248.0</v>
      </c>
      <c r="B6250" s="5" t="s">
        <v>15424</v>
      </c>
      <c r="C6250" s="2" t="s">
        <v>15425</v>
      </c>
      <c r="D6250" s="5" t="s">
        <v>15424</v>
      </c>
      <c r="E6250" s="2" t="s">
        <v>15441</v>
      </c>
      <c r="F6250" s="2" t="s">
        <v>15442</v>
      </c>
      <c r="G6250" s="2" t="s">
        <v>15456</v>
      </c>
      <c r="H6250" s="2" t="s">
        <v>15444</v>
      </c>
    </row>
    <row r="6251">
      <c r="A6251" s="2">
        <v>6249.0</v>
      </c>
      <c r="B6251" s="5" t="s">
        <v>15426</v>
      </c>
      <c r="C6251" s="2" t="s">
        <v>15427</v>
      </c>
      <c r="D6251" s="5" t="s">
        <v>15426</v>
      </c>
      <c r="E6251" s="2" t="s">
        <v>15441</v>
      </c>
      <c r="F6251" s="2" t="s">
        <v>15446</v>
      </c>
      <c r="G6251" s="2" t="s">
        <v>15456</v>
      </c>
      <c r="H6251" s="2" t="s">
        <v>15457</v>
      </c>
    </row>
    <row r="6252">
      <c r="A6252" s="2">
        <v>6250.0</v>
      </c>
      <c r="B6252" s="5" t="s">
        <v>9312</v>
      </c>
      <c r="C6252" s="2" t="s">
        <v>9313</v>
      </c>
      <c r="D6252" s="5" t="s">
        <v>9312</v>
      </c>
      <c r="E6252" s="2" t="s">
        <v>15445</v>
      </c>
      <c r="F6252" s="2" t="s">
        <v>15446</v>
      </c>
      <c r="G6252" s="2" t="s">
        <v>15443</v>
      </c>
      <c r="H6252" s="2" t="s">
        <v>15444</v>
      </c>
    </row>
    <row r="6253">
      <c r="A6253" s="2">
        <v>6251.0</v>
      </c>
      <c r="B6253" s="5" t="s">
        <v>15428</v>
      </c>
      <c r="C6253" s="2" t="s">
        <v>15429</v>
      </c>
      <c r="D6253" s="5" t="s">
        <v>15428</v>
      </c>
      <c r="E6253" s="2" t="s">
        <v>15441</v>
      </c>
      <c r="F6253" s="2" t="s">
        <v>15446</v>
      </c>
      <c r="G6253" s="2" t="s">
        <v>15456</v>
      </c>
      <c r="H6253" s="2" t="s">
        <v>15444</v>
      </c>
    </row>
    <row r="6254">
      <c r="A6254" s="2">
        <v>6252.0</v>
      </c>
      <c r="B6254" s="5" t="s">
        <v>9315</v>
      </c>
      <c r="C6254" s="2" t="s">
        <v>9316</v>
      </c>
      <c r="D6254" s="5" t="s">
        <v>9315</v>
      </c>
      <c r="E6254" s="2" t="s">
        <v>15445</v>
      </c>
      <c r="F6254" s="2" t="s">
        <v>15446</v>
      </c>
      <c r="G6254" s="2" t="s">
        <v>15456</v>
      </c>
      <c r="H6254" s="2" t="s">
        <v>15444</v>
      </c>
    </row>
    <row r="6255">
      <c r="A6255" s="2">
        <v>6253.0</v>
      </c>
      <c r="B6255" s="5" t="s">
        <v>15430</v>
      </c>
      <c r="C6255" s="2" t="s">
        <v>15431</v>
      </c>
      <c r="D6255" s="5" t="s">
        <v>15430</v>
      </c>
      <c r="E6255" s="2" t="s">
        <v>15441</v>
      </c>
      <c r="F6255" s="2" t="s">
        <v>15446</v>
      </c>
      <c r="G6255" s="2" t="s">
        <v>15456</v>
      </c>
      <c r="H6255" s="2" t="s">
        <v>15444</v>
      </c>
    </row>
    <row r="6256">
      <c r="A6256" s="2">
        <v>6254.0</v>
      </c>
      <c r="B6256" s="5" t="s">
        <v>9318</v>
      </c>
      <c r="C6256" s="2" t="s">
        <v>9319</v>
      </c>
      <c r="D6256" s="5" t="s">
        <v>9318</v>
      </c>
      <c r="E6256" s="2" t="s">
        <v>15445</v>
      </c>
      <c r="F6256" s="2" t="s">
        <v>15446</v>
      </c>
      <c r="G6256" s="2" t="s">
        <v>15456</v>
      </c>
      <c r="H6256" s="2" t="s">
        <v>15444</v>
      </c>
    </row>
    <row r="6257">
      <c r="A6257" s="2">
        <v>6255.0</v>
      </c>
      <c r="B6257" s="5" t="s">
        <v>15432</v>
      </c>
      <c r="C6257" s="2" t="s">
        <v>15433</v>
      </c>
      <c r="D6257" s="5" t="s">
        <v>15432</v>
      </c>
      <c r="E6257" s="2" t="s">
        <v>15441</v>
      </c>
      <c r="F6257" s="2" t="s">
        <v>15446</v>
      </c>
      <c r="G6257" s="2" t="s">
        <v>15443</v>
      </c>
      <c r="H6257" s="2" t="s">
        <v>15444</v>
      </c>
    </row>
    <row r="6258">
      <c r="A6258" s="2">
        <v>6256.0</v>
      </c>
      <c r="B6258" s="5" t="s">
        <v>15434</v>
      </c>
      <c r="C6258" s="2" t="s">
        <v>15435</v>
      </c>
      <c r="D6258" s="5" t="s">
        <v>15434</v>
      </c>
      <c r="E6258" s="2" t="s">
        <v>15441</v>
      </c>
      <c r="F6258" s="2" t="s">
        <v>15446</v>
      </c>
      <c r="G6258" s="2" t="s">
        <v>15456</v>
      </c>
      <c r="H6258" s="2" t="s">
        <v>15444</v>
      </c>
    </row>
    <row r="6259">
      <c r="A6259" s="2">
        <v>6257.0</v>
      </c>
      <c r="B6259" s="5" t="s">
        <v>15436</v>
      </c>
      <c r="C6259" s="2" t="s">
        <v>15437</v>
      </c>
      <c r="D6259" s="5" t="s">
        <v>15436</v>
      </c>
      <c r="E6259" s="2" t="s">
        <v>15441</v>
      </c>
      <c r="F6259" s="2" t="s">
        <v>15442</v>
      </c>
      <c r="G6259" s="2" t="s">
        <v>15443</v>
      </c>
      <c r="H6259" s="2" t="s">
        <v>15444</v>
      </c>
    </row>
    <row r="6260">
      <c r="A6260" s="2">
        <v>6258.0</v>
      </c>
      <c r="B6260" s="5" t="s">
        <v>9321</v>
      </c>
      <c r="C6260" s="2" t="s">
        <v>9322</v>
      </c>
      <c r="D6260" s="5" t="s">
        <v>9321</v>
      </c>
      <c r="E6260" s="2" t="s">
        <v>15445</v>
      </c>
      <c r="F6260" s="2" t="s">
        <v>15446</v>
      </c>
      <c r="G6260" s="2" t="s">
        <v>15443</v>
      </c>
      <c r="H6260" s="2" t="s">
        <v>15444</v>
      </c>
    </row>
    <row r="6261">
      <c r="A6261" s="2">
        <v>6259.0</v>
      </c>
      <c r="B6261" s="5" t="s">
        <v>9324</v>
      </c>
      <c r="C6261" s="2" t="s">
        <v>9325</v>
      </c>
      <c r="D6261" s="5" t="s">
        <v>9324</v>
      </c>
      <c r="E6261" s="2" t="s">
        <v>15445</v>
      </c>
      <c r="F6261" s="2" t="s">
        <v>15446</v>
      </c>
      <c r="G6261" s="2" t="s">
        <v>15443</v>
      </c>
      <c r="H6261" s="2" t="s">
        <v>15444</v>
      </c>
    </row>
  </sheetData>
  <hyperlinks>
    <hyperlink r:id="rId1" ref="B2"/>
    <hyperlink r:id="rId2" ref="D2"/>
    <hyperlink r:id="rId3" ref="B3"/>
    <hyperlink r:id="rId4" ref="D3"/>
    <hyperlink r:id="rId5" ref="B4"/>
    <hyperlink r:id="rId6" ref="D4"/>
    <hyperlink r:id="rId7" ref="B5"/>
    <hyperlink r:id="rId8" ref="D5"/>
    <hyperlink r:id="rId9" ref="B6"/>
    <hyperlink r:id="rId10" ref="D6"/>
    <hyperlink r:id="rId11" ref="B7"/>
    <hyperlink r:id="rId12" ref="D7"/>
    <hyperlink r:id="rId13" ref="B8"/>
    <hyperlink r:id="rId14" ref="D8"/>
    <hyperlink r:id="rId15" ref="B9"/>
    <hyperlink r:id="rId16" ref="D9"/>
    <hyperlink r:id="rId17" ref="B10"/>
    <hyperlink r:id="rId18" ref="D10"/>
    <hyperlink r:id="rId19" ref="B11"/>
    <hyperlink r:id="rId20" ref="D11"/>
    <hyperlink r:id="rId21" ref="B12"/>
    <hyperlink r:id="rId22" ref="D12"/>
    <hyperlink r:id="rId23" ref="B13"/>
    <hyperlink r:id="rId24" ref="D13"/>
    <hyperlink r:id="rId25" ref="B14"/>
    <hyperlink r:id="rId26" ref="D14"/>
    <hyperlink r:id="rId27" ref="B15"/>
    <hyperlink r:id="rId28" ref="D15"/>
    <hyperlink r:id="rId29" ref="B16"/>
    <hyperlink r:id="rId30" ref="D16"/>
    <hyperlink r:id="rId31" ref="B17"/>
    <hyperlink r:id="rId32" ref="D17"/>
    <hyperlink r:id="rId33" ref="B18"/>
    <hyperlink r:id="rId34" ref="D18"/>
    <hyperlink r:id="rId35" ref="B19"/>
    <hyperlink r:id="rId36" ref="D19"/>
    <hyperlink r:id="rId37" ref="B20"/>
    <hyperlink r:id="rId38" ref="D20"/>
    <hyperlink r:id="rId39" ref="B21"/>
    <hyperlink r:id="rId40" ref="D21"/>
    <hyperlink r:id="rId41" ref="B22"/>
    <hyperlink r:id="rId42" ref="D22"/>
    <hyperlink r:id="rId43" ref="B23"/>
    <hyperlink r:id="rId44" ref="D23"/>
    <hyperlink r:id="rId45" ref="B24"/>
    <hyperlink r:id="rId46" ref="D24"/>
    <hyperlink r:id="rId47" ref="B25"/>
    <hyperlink r:id="rId48" ref="D25"/>
    <hyperlink r:id="rId49" ref="B26"/>
    <hyperlink r:id="rId50" ref="D26"/>
    <hyperlink r:id="rId51" ref="B27"/>
    <hyperlink r:id="rId52" ref="D27"/>
    <hyperlink r:id="rId53" ref="B28"/>
    <hyperlink r:id="rId54" ref="D28"/>
    <hyperlink r:id="rId55" ref="B29"/>
    <hyperlink r:id="rId56" ref="D29"/>
    <hyperlink r:id="rId57" ref="B30"/>
    <hyperlink r:id="rId58" ref="D30"/>
    <hyperlink r:id="rId59" ref="B31"/>
    <hyperlink r:id="rId60" ref="D31"/>
    <hyperlink r:id="rId61" ref="B32"/>
    <hyperlink r:id="rId62" ref="D32"/>
    <hyperlink r:id="rId63" ref="B33"/>
    <hyperlink r:id="rId64" ref="D33"/>
    <hyperlink r:id="rId65" ref="B34"/>
    <hyperlink r:id="rId66" ref="D34"/>
    <hyperlink r:id="rId67" ref="B35"/>
    <hyperlink r:id="rId68" ref="D35"/>
    <hyperlink r:id="rId69" ref="B36"/>
    <hyperlink r:id="rId70" ref="D36"/>
    <hyperlink r:id="rId71" ref="B37"/>
    <hyperlink r:id="rId72" ref="D37"/>
    <hyperlink r:id="rId73" ref="B38"/>
    <hyperlink r:id="rId74" ref="D38"/>
    <hyperlink r:id="rId75" ref="B39"/>
    <hyperlink r:id="rId76" ref="D39"/>
    <hyperlink r:id="rId77" ref="B40"/>
    <hyperlink r:id="rId78" ref="D40"/>
    <hyperlink r:id="rId79" ref="B41"/>
    <hyperlink r:id="rId80" ref="D41"/>
    <hyperlink r:id="rId81" ref="B42"/>
    <hyperlink r:id="rId82" ref="D42"/>
    <hyperlink r:id="rId83" ref="B43"/>
    <hyperlink r:id="rId84" ref="D43"/>
    <hyperlink r:id="rId85" ref="B44"/>
    <hyperlink r:id="rId86" ref="D44"/>
    <hyperlink r:id="rId87" ref="B45"/>
    <hyperlink r:id="rId88" ref="D45"/>
    <hyperlink r:id="rId89" ref="B46"/>
    <hyperlink r:id="rId90" ref="D46"/>
    <hyperlink r:id="rId91" ref="B47"/>
    <hyperlink r:id="rId92" ref="D47"/>
    <hyperlink r:id="rId93" ref="B48"/>
    <hyperlink r:id="rId94" ref="D48"/>
    <hyperlink r:id="rId95" ref="B49"/>
    <hyperlink r:id="rId96" ref="D49"/>
    <hyperlink r:id="rId97" ref="B50"/>
    <hyperlink r:id="rId98" ref="D50"/>
    <hyperlink r:id="rId99" ref="B51"/>
    <hyperlink r:id="rId100" ref="D51"/>
    <hyperlink r:id="rId101" ref="B52"/>
    <hyperlink r:id="rId102" ref="D52"/>
    <hyperlink r:id="rId103" ref="B53"/>
    <hyperlink r:id="rId104" ref="D53"/>
    <hyperlink r:id="rId105" ref="B54"/>
    <hyperlink r:id="rId106" ref="D54"/>
    <hyperlink r:id="rId107" ref="B55"/>
    <hyperlink r:id="rId108" ref="D55"/>
    <hyperlink r:id="rId109" ref="B56"/>
    <hyperlink r:id="rId110" ref="D56"/>
    <hyperlink r:id="rId111" ref="B57"/>
    <hyperlink r:id="rId112" ref="D57"/>
    <hyperlink r:id="rId113" ref="B58"/>
    <hyperlink r:id="rId114" ref="D58"/>
    <hyperlink r:id="rId115" ref="B59"/>
    <hyperlink r:id="rId116" ref="D59"/>
    <hyperlink r:id="rId117" ref="B60"/>
    <hyperlink r:id="rId118" ref="D60"/>
    <hyperlink r:id="rId119" ref="B61"/>
    <hyperlink r:id="rId120" ref="D61"/>
    <hyperlink r:id="rId121" ref="B62"/>
    <hyperlink r:id="rId122" ref="D62"/>
    <hyperlink r:id="rId123" ref="B63"/>
    <hyperlink r:id="rId124" ref="D63"/>
    <hyperlink r:id="rId125" ref="B64"/>
    <hyperlink r:id="rId126" ref="D64"/>
    <hyperlink r:id="rId127" ref="B65"/>
    <hyperlink r:id="rId128" ref="D65"/>
    <hyperlink r:id="rId129" ref="B66"/>
    <hyperlink r:id="rId130" ref="D66"/>
    <hyperlink r:id="rId131" ref="B67"/>
    <hyperlink r:id="rId132" ref="D67"/>
    <hyperlink r:id="rId133" ref="B68"/>
    <hyperlink r:id="rId134" ref="D68"/>
    <hyperlink r:id="rId135" ref="B69"/>
    <hyperlink r:id="rId136" ref="D69"/>
    <hyperlink r:id="rId137" ref="B70"/>
    <hyperlink r:id="rId138" ref="D70"/>
    <hyperlink r:id="rId139" ref="B71"/>
    <hyperlink r:id="rId140" ref="D71"/>
    <hyperlink r:id="rId141" ref="B72"/>
    <hyperlink r:id="rId142" ref="D72"/>
    <hyperlink r:id="rId143" ref="B73"/>
    <hyperlink r:id="rId144" ref="D73"/>
    <hyperlink r:id="rId145" ref="B74"/>
    <hyperlink r:id="rId146" ref="D74"/>
    <hyperlink r:id="rId147" ref="B75"/>
    <hyperlink r:id="rId148" ref="D75"/>
    <hyperlink r:id="rId149" ref="B76"/>
    <hyperlink r:id="rId150" ref="D76"/>
    <hyperlink r:id="rId151" ref="B77"/>
    <hyperlink r:id="rId152" ref="D77"/>
    <hyperlink r:id="rId153" ref="B78"/>
    <hyperlink r:id="rId154" ref="D78"/>
    <hyperlink r:id="rId155" ref="B79"/>
    <hyperlink r:id="rId156" ref="D79"/>
    <hyperlink r:id="rId157" ref="B80"/>
    <hyperlink r:id="rId158" ref="D80"/>
    <hyperlink r:id="rId159" ref="B81"/>
    <hyperlink r:id="rId160" ref="D81"/>
    <hyperlink r:id="rId161" ref="B82"/>
    <hyperlink r:id="rId162" ref="D82"/>
    <hyperlink r:id="rId163" ref="B83"/>
    <hyperlink r:id="rId164" ref="D83"/>
    <hyperlink r:id="rId165" ref="B84"/>
    <hyperlink r:id="rId166" ref="D84"/>
    <hyperlink r:id="rId167" ref="B85"/>
    <hyperlink r:id="rId168" ref="D85"/>
    <hyperlink r:id="rId169" ref="B86"/>
    <hyperlink r:id="rId170" ref="D86"/>
    <hyperlink r:id="rId171" ref="B87"/>
    <hyperlink r:id="rId172" ref="D87"/>
    <hyperlink r:id="rId173" ref="B88"/>
    <hyperlink r:id="rId174" ref="D88"/>
    <hyperlink r:id="rId175" ref="B89"/>
    <hyperlink r:id="rId176" ref="D89"/>
    <hyperlink r:id="rId177" ref="B90"/>
    <hyperlink r:id="rId178" ref="D90"/>
    <hyperlink r:id="rId179" ref="B91"/>
    <hyperlink r:id="rId180" ref="D91"/>
    <hyperlink r:id="rId181" ref="B92"/>
    <hyperlink r:id="rId182" ref="D92"/>
    <hyperlink r:id="rId183" ref="B93"/>
    <hyperlink r:id="rId184" ref="D93"/>
    <hyperlink r:id="rId185" ref="B94"/>
    <hyperlink r:id="rId186" ref="D94"/>
    <hyperlink r:id="rId187" ref="B95"/>
    <hyperlink r:id="rId188" ref="D95"/>
    <hyperlink r:id="rId189" ref="B96"/>
    <hyperlink r:id="rId190" ref="D96"/>
    <hyperlink r:id="rId191" ref="B97"/>
    <hyperlink r:id="rId192" ref="D97"/>
    <hyperlink r:id="rId193" ref="B98"/>
    <hyperlink r:id="rId194" ref="D98"/>
    <hyperlink r:id="rId195" ref="B99"/>
    <hyperlink r:id="rId196" ref="D99"/>
    <hyperlink r:id="rId197" ref="B100"/>
    <hyperlink r:id="rId198" ref="D100"/>
    <hyperlink r:id="rId199" ref="B101"/>
    <hyperlink r:id="rId200" ref="D101"/>
    <hyperlink r:id="rId201" ref="B102"/>
    <hyperlink r:id="rId202" ref="D102"/>
    <hyperlink r:id="rId203" ref="B103"/>
    <hyperlink r:id="rId204" ref="D103"/>
    <hyperlink r:id="rId205" ref="B104"/>
    <hyperlink r:id="rId206" ref="D104"/>
    <hyperlink r:id="rId207" ref="B105"/>
    <hyperlink r:id="rId208" ref="D105"/>
    <hyperlink r:id="rId209" ref="B106"/>
    <hyperlink r:id="rId210" ref="D106"/>
    <hyperlink r:id="rId211" ref="B107"/>
    <hyperlink r:id="rId212" ref="D107"/>
    <hyperlink r:id="rId213" ref="B108"/>
    <hyperlink r:id="rId214" ref="D108"/>
    <hyperlink r:id="rId215" ref="B109"/>
    <hyperlink r:id="rId216" ref="D109"/>
    <hyperlink r:id="rId217" ref="B110"/>
    <hyperlink r:id="rId218" ref="D110"/>
    <hyperlink r:id="rId219" ref="B111"/>
    <hyperlink r:id="rId220" ref="D111"/>
    <hyperlink r:id="rId221" ref="B112"/>
    <hyperlink r:id="rId222" ref="D112"/>
    <hyperlink r:id="rId223" ref="B113"/>
    <hyperlink r:id="rId224" ref="D113"/>
    <hyperlink r:id="rId225" ref="B114"/>
    <hyperlink r:id="rId226" ref="D114"/>
    <hyperlink r:id="rId227" ref="B115"/>
    <hyperlink r:id="rId228" ref="D115"/>
    <hyperlink r:id="rId229" ref="B116"/>
    <hyperlink r:id="rId230" ref="D116"/>
    <hyperlink r:id="rId231" ref="B117"/>
    <hyperlink r:id="rId232" ref="D117"/>
    <hyperlink r:id="rId233" ref="B118"/>
    <hyperlink r:id="rId234" ref="D118"/>
    <hyperlink r:id="rId235" ref="B119"/>
    <hyperlink r:id="rId236" ref="D119"/>
    <hyperlink r:id="rId237" ref="B120"/>
    <hyperlink r:id="rId238" ref="D120"/>
    <hyperlink r:id="rId239" ref="B121"/>
    <hyperlink r:id="rId240" ref="D121"/>
    <hyperlink r:id="rId241" ref="B122"/>
    <hyperlink r:id="rId242" ref="D122"/>
    <hyperlink r:id="rId243" ref="B123"/>
    <hyperlink r:id="rId244" ref="D123"/>
    <hyperlink r:id="rId245" ref="B124"/>
    <hyperlink r:id="rId246" ref="D124"/>
    <hyperlink r:id="rId247" ref="B125"/>
    <hyperlink r:id="rId248" ref="D125"/>
    <hyperlink r:id="rId249" ref="B126"/>
    <hyperlink r:id="rId250" ref="D126"/>
    <hyperlink r:id="rId251" ref="B127"/>
    <hyperlink r:id="rId252" ref="D127"/>
    <hyperlink r:id="rId253" ref="B128"/>
    <hyperlink r:id="rId254" ref="D128"/>
    <hyperlink r:id="rId255" ref="B129"/>
    <hyperlink r:id="rId256" ref="D129"/>
    <hyperlink r:id="rId257" ref="B130"/>
    <hyperlink r:id="rId258" ref="D130"/>
    <hyperlink r:id="rId259" ref="B131"/>
    <hyperlink r:id="rId260" ref="D131"/>
    <hyperlink r:id="rId261" ref="B132"/>
    <hyperlink r:id="rId262" ref="D132"/>
    <hyperlink r:id="rId263" ref="B133"/>
    <hyperlink r:id="rId264" ref="D133"/>
    <hyperlink r:id="rId265" ref="B134"/>
    <hyperlink r:id="rId266" ref="D134"/>
    <hyperlink r:id="rId267" ref="B135"/>
    <hyperlink r:id="rId268" ref="D135"/>
    <hyperlink r:id="rId269" ref="B136"/>
    <hyperlink r:id="rId270" ref="D136"/>
    <hyperlink r:id="rId271" ref="B137"/>
    <hyperlink r:id="rId272" ref="D137"/>
    <hyperlink r:id="rId273" ref="B138"/>
    <hyperlink r:id="rId274" ref="D138"/>
    <hyperlink r:id="rId275" ref="B139"/>
    <hyperlink r:id="rId276" ref="D139"/>
    <hyperlink r:id="rId277" ref="B140"/>
    <hyperlink r:id="rId278" ref="D140"/>
    <hyperlink r:id="rId279" ref="B141"/>
    <hyperlink r:id="rId280" ref="D141"/>
    <hyperlink r:id="rId281" ref="B142"/>
    <hyperlink r:id="rId282" ref="D142"/>
    <hyperlink r:id="rId283" ref="B143"/>
    <hyperlink r:id="rId284" ref="D143"/>
    <hyperlink r:id="rId285" ref="B144"/>
    <hyperlink r:id="rId286" ref="D144"/>
    <hyperlink r:id="rId287" ref="B145"/>
    <hyperlink r:id="rId288" ref="D145"/>
    <hyperlink r:id="rId289" ref="B146"/>
    <hyperlink r:id="rId290" ref="D146"/>
    <hyperlink r:id="rId291" ref="B147"/>
    <hyperlink r:id="rId292" ref="D147"/>
    <hyperlink r:id="rId293" ref="B148"/>
    <hyperlink r:id="rId294" ref="D148"/>
    <hyperlink r:id="rId295" ref="B149"/>
    <hyperlink r:id="rId296" ref="D149"/>
    <hyperlink r:id="rId297" ref="B150"/>
    <hyperlink r:id="rId298" ref="D150"/>
    <hyperlink r:id="rId299" ref="B151"/>
    <hyperlink r:id="rId300" ref="D151"/>
    <hyperlink r:id="rId301" ref="B152"/>
    <hyperlink r:id="rId302" ref="D152"/>
    <hyperlink r:id="rId303" ref="B153"/>
    <hyperlink r:id="rId304" ref="D153"/>
    <hyperlink r:id="rId305" ref="B154"/>
    <hyperlink r:id="rId306" ref="D154"/>
    <hyperlink r:id="rId307" ref="B155"/>
    <hyperlink r:id="rId308" ref="D155"/>
    <hyperlink r:id="rId309" ref="B156"/>
    <hyperlink r:id="rId310" ref="D156"/>
    <hyperlink r:id="rId311" ref="B157"/>
    <hyperlink r:id="rId312" ref="D157"/>
    <hyperlink r:id="rId313" ref="B158"/>
    <hyperlink r:id="rId314" ref="D158"/>
    <hyperlink r:id="rId315" ref="B159"/>
    <hyperlink r:id="rId316" ref="D159"/>
    <hyperlink r:id="rId317" ref="B160"/>
    <hyperlink r:id="rId318" ref="D160"/>
    <hyperlink r:id="rId319" ref="B161"/>
    <hyperlink r:id="rId320" ref="D161"/>
    <hyperlink r:id="rId321" ref="B162"/>
    <hyperlink r:id="rId322" ref="D162"/>
    <hyperlink r:id="rId323" ref="B163"/>
    <hyperlink r:id="rId324" ref="D163"/>
    <hyperlink r:id="rId325" ref="B164"/>
    <hyperlink r:id="rId326" ref="D164"/>
    <hyperlink r:id="rId327" ref="B165"/>
    <hyperlink r:id="rId328" ref="D165"/>
    <hyperlink r:id="rId329" ref="B166"/>
    <hyperlink r:id="rId330" ref="D166"/>
    <hyperlink r:id="rId331" ref="B167"/>
    <hyperlink r:id="rId332" ref="D167"/>
    <hyperlink r:id="rId333" ref="B168"/>
    <hyperlink r:id="rId334" ref="D168"/>
    <hyperlink r:id="rId335" ref="B169"/>
    <hyperlink r:id="rId336" ref="D169"/>
    <hyperlink r:id="rId337" ref="B170"/>
    <hyperlink r:id="rId338" ref="D170"/>
    <hyperlink r:id="rId339" ref="B171"/>
    <hyperlink r:id="rId340" ref="D171"/>
    <hyperlink r:id="rId341" ref="B172"/>
    <hyperlink r:id="rId342" ref="D172"/>
    <hyperlink r:id="rId343" ref="B173"/>
    <hyperlink r:id="rId344" ref="D173"/>
    <hyperlink r:id="rId345" ref="B174"/>
    <hyperlink r:id="rId346" ref="D174"/>
    <hyperlink r:id="rId347" ref="B175"/>
    <hyperlink r:id="rId348" ref="D175"/>
    <hyperlink r:id="rId349" ref="B176"/>
    <hyperlink r:id="rId350" ref="D176"/>
    <hyperlink r:id="rId351" ref="B177"/>
    <hyperlink r:id="rId352" ref="D177"/>
    <hyperlink r:id="rId353" ref="B178"/>
    <hyperlink r:id="rId354" ref="D178"/>
    <hyperlink r:id="rId355" ref="B179"/>
    <hyperlink r:id="rId356" ref="D179"/>
    <hyperlink r:id="rId357" ref="B180"/>
    <hyperlink r:id="rId358" ref="D180"/>
    <hyperlink r:id="rId359" ref="B181"/>
    <hyperlink r:id="rId360" ref="D181"/>
    <hyperlink r:id="rId361" ref="B182"/>
    <hyperlink r:id="rId362" ref="D182"/>
    <hyperlink r:id="rId363" ref="B183"/>
    <hyperlink r:id="rId364" ref="D183"/>
    <hyperlink r:id="rId365" ref="B184"/>
    <hyperlink r:id="rId366" ref="D184"/>
    <hyperlink r:id="rId367" ref="B185"/>
    <hyperlink r:id="rId368" ref="D185"/>
    <hyperlink r:id="rId369" ref="B186"/>
    <hyperlink r:id="rId370" ref="D186"/>
    <hyperlink r:id="rId371" ref="B187"/>
    <hyperlink r:id="rId372" ref="D187"/>
    <hyperlink r:id="rId373" ref="B188"/>
    <hyperlink r:id="rId374" ref="D188"/>
    <hyperlink r:id="rId375" ref="B189"/>
    <hyperlink r:id="rId376" ref="D189"/>
    <hyperlink r:id="rId377" ref="B190"/>
    <hyperlink r:id="rId378" ref="D190"/>
    <hyperlink r:id="rId379" ref="B191"/>
    <hyperlink r:id="rId380" ref="D191"/>
    <hyperlink r:id="rId381" ref="B192"/>
    <hyperlink r:id="rId382" ref="D192"/>
    <hyperlink r:id="rId383" ref="B193"/>
    <hyperlink r:id="rId384" ref="D193"/>
    <hyperlink r:id="rId385" ref="B194"/>
    <hyperlink r:id="rId386" ref="D194"/>
    <hyperlink r:id="rId387" ref="B195"/>
    <hyperlink r:id="rId388" ref="D195"/>
    <hyperlink r:id="rId389" ref="B196"/>
    <hyperlink r:id="rId390" ref="D196"/>
    <hyperlink r:id="rId391" ref="B197"/>
    <hyperlink r:id="rId392" ref="D197"/>
    <hyperlink r:id="rId393" ref="B198"/>
    <hyperlink r:id="rId394" ref="D198"/>
    <hyperlink r:id="rId395" ref="B199"/>
    <hyperlink r:id="rId396" ref="D199"/>
    <hyperlink r:id="rId397" ref="B200"/>
    <hyperlink r:id="rId398" ref="D200"/>
    <hyperlink r:id="rId399" ref="B201"/>
    <hyperlink r:id="rId400" ref="D201"/>
    <hyperlink r:id="rId401" ref="B202"/>
    <hyperlink r:id="rId402" ref="D202"/>
    <hyperlink r:id="rId403" ref="B203"/>
    <hyperlink r:id="rId404" ref="D203"/>
    <hyperlink r:id="rId405" ref="B204"/>
    <hyperlink r:id="rId406" ref="D204"/>
    <hyperlink r:id="rId407" ref="B205"/>
    <hyperlink r:id="rId408" ref="D205"/>
    <hyperlink r:id="rId409" ref="B206"/>
    <hyperlink r:id="rId410" ref="D206"/>
    <hyperlink r:id="rId411" ref="B207"/>
    <hyperlink r:id="rId412" ref="D207"/>
    <hyperlink r:id="rId413" ref="B208"/>
    <hyperlink r:id="rId414" ref="D208"/>
    <hyperlink r:id="rId415" ref="B209"/>
    <hyperlink r:id="rId416" ref="D209"/>
    <hyperlink r:id="rId417" ref="B210"/>
    <hyperlink r:id="rId418" ref="D210"/>
    <hyperlink r:id="rId419" ref="B211"/>
    <hyperlink r:id="rId420" ref="D211"/>
    <hyperlink r:id="rId421" ref="B212"/>
    <hyperlink r:id="rId422" ref="D212"/>
    <hyperlink r:id="rId423" ref="B213"/>
    <hyperlink r:id="rId424" ref="D213"/>
    <hyperlink r:id="rId425" ref="B214"/>
    <hyperlink r:id="rId426" ref="D214"/>
    <hyperlink r:id="rId427" ref="B215"/>
    <hyperlink r:id="rId428" ref="D215"/>
    <hyperlink r:id="rId429" ref="B216"/>
    <hyperlink r:id="rId430" ref="D216"/>
    <hyperlink r:id="rId431" ref="B217"/>
    <hyperlink r:id="rId432" ref="D217"/>
    <hyperlink r:id="rId433" ref="B218"/>
    <hyperlink r:id="rId434" ref="D218"/>
    <hyperlink r:id="rId435" ref="B219"/>
    <hyperlink r:id="rId436" ref="D219"/>
    <hyperlink r:id="rId437" ref="B220"/>
    <hyperlink r:id="rId438" ref="D220"/>
    <hyperlink r:id="rId439" ref="B221"/>
    <hyperlink r:id="rId440" ref="D221"/>
    <hyperlink r:id="rId441" ref="B222"/>
    <hyperlink r:id="rId442" ref="D222"/>
    <hyperlink r:id="rId443" ref="B223"/>
    <hyperlink r:id="rId444" ref="D223"/>
    <hyperlink r:id="rId445" ref="B224"/>
    <hyperlink r:id="rId446" ref="D224"/>
    <hyperlink r:id="rId447" ref="B225"/>
    <hyperlink r:id="rId448" ref="D225"/>
    <hyperlink r:id="rId449" ref="B226"/>
    <hyperlink r:id="rId450" ref="D226"/>
    <hyperlink r:id="rId451" ref="B227"/>
    <hyperlink r:id="rId452" ref="D227"/>
    <hyperlink r:id="rId453" ref="B228"/>
    <hyperlink r:id="rId454" ref="D228"/>
    <hyperlink r:id="rId455" ref="B229"/>
    <hyperlink r:id="rId456" ref="D229"/>
    <hyperlink r:id="rId457" ref="B230"/>
    <hyperlink r:id="rId458" ref="D230"/>
    <hyperlink r:id="rId459" ref="B231"/>
    <hyperlink r:id="rId460" ref="D231"/>
    <hyperlink r:id="rId461" ref="B232"/>
    <hyperlink r:id="rId462" ref="D232"/>
    <hyperlink r:id="rId463" ref="B233"/>
    <hyperlink r:id="rId464" ref="D233"/>
    <hyperlink r:id="rId465" ref="B234"/>
    <hyperlink r:id="rId466" ref="D234"/>
    <hyperlink r:id="rId467" ref="B235"/>
    <hyperlink r:id="rId468" ref="D235"/>
    <hyperlink r:id="rId469" ref="B236"/>
    <hyperlink r:id="rId470" ref="D236"/>
    <hyperlink r:id="rId471" ref="B237"/>
    <hyperlink r:id="rId472" ref="D237"/>
    <hyperlink r:id="rId473" ref="B238"/>
    <hyperlink r:id="rId474" ref="D238"/>
    <hyperlink r:id="rId475" ref="B239"/>
    <hyperlink r:id="rId476" ref="D239"/>
    <hyperlink r:id="rId477" ref="B240"/>
    <hyperlink r:id="rId478" ref="D240"/>
    <hyperlink r:id="rId479" ref="B241"/>
    <hyperlink r:id="rId480" ref="D241"/>
    <hyperlink r:id="rId481" ref="B242"/>
    <hyperlink r:id="rId482" ref="D242"/>
    <hyperlink r:id="rId483" ref="B243"/>
    <hyperlink r:id="rId484" ref="D243"/>
    <hyperlink r:id="rId485" ref="B244"/>
    <hyperlink r:id="rId486" ref="D244"/>
    <hyperlink r:id="rId487" ref="B245"/>
    <hyperlink r:id="rId488" ref="D245"/>
    <hyperlink r:id="rId489" ref="B246"/>
    <hyperlink r:id="rId490" ref="D246"/>
    <hyperlink r:id="rId491" ref="B247"/>
    <hyperlink r:id="rId492" ref="D247"/>
    <hyperlink r:id="rId493" ref="B248"/>
    <hyperlink r:id="rId494" ref="D248"/>
    <hyperlink r:id="rId495" ref="B249"/>
    <hyperlink r:id="rId496" ref="D249"/>
    <hyperlink r:id="rId497" ref="B250"/>
    <hyperlink r:id="rId498" ref="D250"/>
    <hyperlink r:id="rId499" ref="B251"/>
    <hyperlink r:id="rId500" ref="D251"/>
    <hyperlink r:id="rId501" ref="B252"/>
    <hyperlink r:id="rId502" ref="D252"/>
    <hyperlink r:id="rId503" ref="B253"/>
    <hyperlink r:id="rId504" ref="D253"/>
    <hyperlink r:id="rId505" ref="B254"/>
    <hyperlink r:id="rId506" ref="D254"/>
    <hyperlink r:id="rId507" ref="B255"/>
    <hyperlink r:id="rId508" ref="D255"/>
    <hyperlink r:id="rId509" ref="B256"/>
    <hyperlink r:id="rId510" ref="D256"/>
    <hyperlink r:id="rId511" ref="B257"/>
    <hyperlink r:id="rId512" ref="D257"/>
    <hyperlink r:id="rId513" ref="B258"/>
    <hyperlink r:id="rId514" ref="D258"/>
    <hyperlink r:id="rId515" ref="B259"/>
    <hyperlink r:id="rId516" ref="D259"/>
    <hyperlink r:id="rId517" ref="B260"/>
    <hyperlink r:id="rId518" ref="D260"/>
    <hyperlink r:id="rId519" ref="B261"/>
    <hyperlink r:id="rId520" ref="D261"/>
    <hyperlink r:id="rId521" ref="B262"/>
    <hyperlink r:id="rId522" ref="D262"/>
    <hyperlink r:id="rId523" ref="B263"/>
    <hyperlink r:id="rId524" ref="D263"/>
    <hyperlink r:id="rId525" ref="B264"/>
    <hyperlink r:id="rId526" ref="D264"/>
    <hyperlink r:id="rId527" ref="B265"/>
    <hyperlink r:id="rId528" ref="D265"/>
    <hyperlink r:id="rId529" ref="B266"/>
    <hyperlink r:id="rId530" ref="D266"/>
    <hyperlink r:id="rId531" ref="B267"/>
    <hyperlink r:id="rId532" ref="D267"/>
    <hyperlink r:id="rId533" ref="B268"/>
    <hyperlink r:id="rId534" ref="D268"/>
    <hyperlink r:id="rId535" ref="B269"/>
    <hyperlink r:id="rId536" ref="D269"/>
    <hyperlink r:id="rId537" ref="B270"/>
    <hyperlink r:id="rId538" ref="D270"/>
    <hyperlink r:id="rId539" ref="B271"/>
    <hyperlink r:id="rId540" ref="D271"/>
    <hyperlink r:id="rId541" ref="B272"/>
    <hyperlink r:id="rId542" ref="D272"/>
    <hyperlink r:id="rId543" ref="B273"/>
    <hyperlink r:id="rId544" ref="D273"/>
    <hyperlink r:id="rId545" ref="B274"/>
    <hyperlink r:id="rId546" ref="D274"/>
    <hyperlink r:id="rId547" ref="B275"/>
    <hyperlink r:id="rId548" ref="D275"/>
    <hyperlink r:id="rId549" ref="B276"/>
    <hyperlink r:id="rId550" ref="D276"/>
    <hyperlink r:id="rId551" ref="B277"/>
    <hyperlink r:id="rId552" ref="D277"/>
    <hyperlink r:id="rId553" ref="B278"/>
    <hyperlink r:id="rId554" ref="D278"/>
    <hyperlink r:id="rId555" ref="B279"/>
    <hyperlink r:id="rId556" ref="D279"/>
    <hyperlink r:id="rId557" ref="B280"/>
    <hyperlink r:id="rId558" ref="D280"/>
    <hyperlink r:id="rId559" ref="B281"/>
    <hyperlink r:id="rId560" ref="D281"/>
    <hyperlink r:id="rId561" ref="B282"/>
    <hyperlink r:id="rId562" ref="D282"/>
    <hyperlink r:id="rId563" ref="B283"/>
    <hyperlink r:id="rId564" ref="D283"/>
    <hyperlink r:id="rId565" ref="B284"/>
    <hyperlink r:id="rId566" ref="D284"/>
    <hyperlink r:id="rId567" ref="B285"/>
    <hyperlink r:id="rId568" ref="D285"/>
    <hyperlink r:id="rId569" ref="B286"/>
    <hyperlink r:id="rId570" ref="D286"/>
    <hyperlink r:id="rId571" ref="B287"/>
    <hyperlink r:id="rId572" ref="D287"/>
    <hyperlink r:id="rId573" ref="B288"/>
    <hyperlink r:id="rId574" ref="D288"/>
    <hyperlink r:id="rId575" ref="B289"/>
    <hyperlink r:id="rId576" ref="D289"/>
    <hyperlink r:id="rId577" ref="B290"/>
    <hyperlink r:id="rId578" ref="D290"/>
    <hyperlink r:id="rId579" ref="B291"/>
    <hyperlink r:id="rId580" ref="D291"/>
    <hyperlink r:id="rId581" ref="B292"/>
    <hyperlink r:id="rId582" ref="D292"/>
    <hyperlink r:id="rId583" ref="B293"/>
    <hyperlink r:id="rId584" ref="D293"/>
    <hyperlink r:id="rId585" ref="B294"/>
    <hyperlink r:id="rId586" ref="D294"/>
    <hyperlink r:id="rId587" ref="B295"/>
    <hyperlink r:id="rId588" ref="D295"/>
    <hyperlink r:id="rId589" ref="B296"/>
    <hyperlink r:id="rId590" ref="D296"/>
    <hyperlink r:id="rId591" ref="B297"/>
    <hyperlink r:id="rId592" ref="D297"/>
    <hyperlink r:id="rId593" ref="B298"/>
    <hyperlink r:id="rId594" ref="D298"/>
    <hyperlink r:id="rId595" ref="B299"/>
    <hyperlink r:id="rId596" ref="D299"/>
    <hyperlink r:id="rId597" ref="B300"/>
    <hyperlink r:id="rId598" ref="D300"/>
    <hyperlink r:id="rId599" ref="B301"/>
    <hyperlink r:id="rId600" ref="D301"/>
    <hyperlink r:id="rId601" ref="B302"/>
    <hyperlink r:id="rId602" ref="D302"/>
    <hyperlink r:id="rId603" ref="B303"/>
    <hyperlink r:id="rId604" ref="D303"/>
    <hyperlink r:id="rId605" ref="B304"/>
    <hyperlink r:id="rId606" ref="D304"/>
    <hyperlink r:id="rId607" ref="B305"/>
    <hyperlink r:id="rId608" ref="D305"/>
    <hyperlink r:id="rId609" ref="B306"/>
    <hyperlink r:id="rId610" ref="D306"/>
    <hyperlink r:id="rId611" ref="B307"/>
    <hyperlink r:id="rId612" ref="D307"/>
    <hyperlink r:id="rId613" ref="B308"/>
    <hyperlink r:id="rId614" ref="D308"/>
    <hyperlink r:id="rId615" ref="B309"/>
    <hyperlink r:id="rId616" ref="D309"/>
    <hyperlink r:id="rId617" ref="B310"/>
    <hyperlink r:id="rId618" ref="D310"/>
    <hyperlink r:id="rId619" ref="B311"/>
    <hyperlink r:id="rId620" ref="D311"/>
    <hyperlink r:id="rId621" ref="B312"/>
    <hyperlink r:id="rId622" ref="D312"/>
    <hyperlink r:id="rId623" ref="B313"/>
    <hyperlink r:id="rId624" ref="D313"/>
    <hyperlink r:id="rId625" ref="B314"/>
    <hyperlink r:id="rId626" ref="D314"/>
    <hyperlink r:id="rId627" ref="B315"/>
    <hyperlink r:id="rId628" ref="D315"/>
    <hyperlink r:id="rId629" ref="B316"/>
    <hyperlink r:id="rId630" ref="D316"/>
    <hyperlink r:id="rId631" ref="B317"/>
    <hyperlink r:id="rId632" ref="D317"/>
    <hyperlink r:id="rId633" ref="B318"/>
    <hyperlink r:id="rId634" ref="D318"/>
    <hyperlink r:id="rId635" ref="B319"/>
    <hyperlink r:id="rId636" ref="D319"/>
    <hyperlink r:id="rId637" ref="B320"/>
    <hyperlink r:id="rId638" ref="D320"/>
    <hyperlink r:id="rId639" ref="B321"/>
    <hyperlink r:id="rId640" ref="D321"/>
    <hyperlink r:id="rId641" ref="B322"/>
    <hyperlink r:id="rId642" ref="D322"/>
    <hyperlink r:id="rId643" ref="B323"/>
    <hyperlink r:id="rId644" ref="D323"/>
    <hyperlink r:id="rId645" ref="B324"/>
    <hyperlink r:id="rId646" ref="D324"/>
    <hyperlink r:id="rId647" ref="B325"/>
    <hyperlink r:id="rId648" ref="D325"/>
    <hyperlink r:id="rId649" ref="B326"/>
    <hyperlink r:id="rId650" ref="D326"/>
    <hyperlink r:id="rId651" ref="B327"/>
    <hyperlink r:id="rId652" ref="D327"/>
    <hyperlink r:id="rId653" ref="B328"/>
    <hyperlink r:id="rId654" ref="D328"/>
    <hyperlink r:id="rId655" ref="B329"/>
    <hyperlink r:id="rId656" ref="D329"/>
    <hyperlink r:id="rId657" ref="B330"/>
    <hyperlink r:id="rId658" ref="D330"/>
    <hyperlink r:id="rId659" ref="B331"/>
    <hyperlink r:id="rId660" ref="D331"/>
    <hyperlink r:id="rId661" ref="B332"/>
    <hyperlink r:id="rId662" ref="D332"/>
    <hyperlink r:id="rId663" ref="B333"/>
    <hyperlink r:id="rId664" ref="D333"/>
    <hyperlink r:id="rId665" ref="B334"/>
    <hyperlink r:id="rId666" ref="D334"/>
    <hyperlink r:id="rId667" ref="B335"/>
    <hyperlink r:id="rId668" ref="D335"/>
    <hyperlink r:id="rId669" ref="B336"/>
    <hyperlink r:id="rId670" ref="D336"/>
    <hyperlink r:id="rId671" ref="B337"/>
    <hyperlink r:id="rId672" ref="D337"/>
    <hyperlink r:id="rId673" ref="B338"/>
    <hyperlink r:id="rId674" ref="D338"/>
    <hyperlink r:id="rId675" ref="B339"/>
    <hyperlink r:id="rId676" ref="D339"/>
    <hyperlink r:id="rId677" ref="B340"/>
    <hyperlink r:id="rId678" ref="D340"/>
    <hyperlink r:id="rId679" ref="B341"/>
    <hyperlink r:id="rId680" ref="D341"/>
    <hyperlink r:id="rId681" ref="B342"/>
    <hyperlink r:id="rId682" ref="D342"/>
    <hyperlink r:id="rId683" ref="B343"/>
    <hyperlink r:id="rId684" ref="D343"/>
    <hyperlink r:id="rId685" ref="B344"/>
    <hyperlink r:id="rId686" ref="D344"/>
    <hyperlink r:id="rId687" ref="B345"/>
    <hyperlink r:id="rId688" ref="D345"/>
    <hyperlink r:id="rId689" ref="B346"/>
    <hyperlink r:id="rId690" ref="D346"/>
    <hyperlink r:id="rId691" ref="B347"/>
    <hyperlink r:id="rId692" ref="D347"/>
    <hyperlink r:id="rId693" ref="B348"/>
    <hyperlink r:id="rId694" ref="D348"/>
    <hyperlink r:id="rId695" ref="B349"/>
    <hyperlink r:id="rId696" ref="D349"/>
    <hyperlink r:id="rId697" ref="B350"/>
    <hyperlink r:id="rId698" ref="D350"/>
    <hyperlink r:id="rId699" ref="B351"/>
    <hyperlink r:id="rId700" ref="D351"/>
    <hyperlink r:id="rId701" ref="B352"/>
    <hyperlink r:id="rId702" ref="D352"/>
    <hyperlink r:id="rId703" ref="B353"/>
    <hyperlink r:id="rId704" ref="D353"/>
    <hyperlink r:id="rId705" ref="B354"/>
    <hyperlink r:id="rId706" ref="D354"/>
    <hyperlink r:id="rId707" ref="B355"/>
    <hyperlink r:id="rId708" ref="D355"/>
    <hyperlink r:id="rId709" ref="B356"/>
    <hyperlink r:id="rId710" ref="D356"/>
    <hyperlink r:id="rId711" ref="B357"/>
    <hyperlink r:id="rId712" ref="D357"/>
    <hyperlink r:id="rId713" ref="B358"/>
    <hyperlink r:id="rId714" ref="D358"/>
    <hyperlink r:id="rId715" ref="B359"/>
    <hyperlink r:id="rId716" ref="D359"/>
    <hyperlink r:id="rId717" ref="B360"/>
    <hyperlink r:id="rId718" ref="D360"/>
    <hyperlink r:id="rId719" ref="B361"/>
    <hyperlink r:id="rId720" ref="D361"/>
    <hyperlink r:id="rId721" ref="B362"/>
    <hyperlink r:id="rId722" ref="D362"/>
    <hyperlink r:id="rId723" ref="B363"/>
    <hyperlink r:id="rId724" ref="D363"/>
    <hyperlink r:id="rId725" ref="B364"/>
    <hyperlink r:id="rId726" ref="D364"/>
    <hyperlink r:id="rId727" ref="B365"/>
    <hyperlink r:id="rId728" ref="D365"/>
    <hyperlink r:id="rId729" ref="B366"/>
    <hyperlink r:id="rId730" ref="D366"/>
    <hyperlink r:id="rId731" ref="B367"/>
    <hyperlink r:id="rId732" ref="D367"/>
    <hyperlink r:id="rId733" ref="B368"/>
    <hyperlink r:id="rId734" ref="D368"/>
    <hyperlink r:id="rId735" ref="B369"/>
    <hyperlink r:id="rId736" ref="D369"/>
    <hyperlink r:id="rId737" ref="B370"/>
    <hyperlink r:id="rId738" ref="D370"/>
    <hyperlink r:id="rId739" ref="B371"/>
    <hyperlink r:id="rId740" ref="D371"/>
    <hyperlink r:id="rId741" ref="B372"/>
    <hyperlink r:id="rId742" ref="D372"/>
    <hyperlink r:id="rId743" ref="B373"/>
    <hyperlink r:id="rId744" ref="D373"/>
    <hyperlink r:id="rId745" ref="B374"/>
    <hyperlink r:id="rId746" ref="D374"/>
    <hyperlink r:id="rId747" ref="B375"/>
    <hyperlink r:id="rId748" ref="D375"/>
    <hyperlink r:id="rId749" ref="B376"/>
    <hyperlink r:id="rId750" ref="D376"/>
    <hyperlink r:id="rId751" ref="B377"/>
    <hyperlink r:id="rId752" ref="D377"/>
    <hyperlink r:id="rId753" ref="B378"/>
    <hyperlink r:id="rId754" ref="D378"/>
    <hyperlink r:id="rId755" ref="B379"/>
    <hyperlink r:id="rId756" ref="D379"/>
    <hyperlink r:id="rId757" ref="B380"/>
    <hyperlink r:id="rId758" ref="D380"/>
    <hyperlink r:id="rId759" ref="B381"/>
    <hyperlink r:id="rId760" ref="D381"/>
    <hyperlink r:id="rId761" ref="B382"/>
    <hyperlink r:id="rId762" ref="D382"/>
    <hyperlink r:id="rId763" ref="B383"/>
    <hyperlink r:id="rId764" ref="D383"/>
    <hyperlink r:id="rId765" ref="B384"/>
    <hyperlink r:id="rId766" ref="D384"/>
    <hyperlink r:id="rId767" ref="B385"/>
    <hyperlink r:id="rId768" ref="D385"/>
    <hyperlink r:id="rId769" ref="B386"/>
    <hyperlink r:id="rId770" ref="D386"/>
    <hyperlink r:id="rId771" ref="B387"/>
    <hyperlink r:id="rId772" ref="D387"/>
    <hyperlink r:id="rId773" ref="B388"/>
    <hyperlink r:id="rId774" ref="D388"/>
    <hyperlink r:id="rId775" ref="B389"/>
    <hyperlink r:id="rId776" ref="D389"/>
    <hyperlink r:id="rId777" ref="B390"/>
    <hyperlink r:id="rId778" ref="D390"/>
    <hyperlink r:id="rId779" ref="B391"/>
    <hyperlink r:id="rId780" ref="D391"/>
    <hyperlink r:id="rId781" ref="B392"/>
    <hyperlink r:id="rId782" ref="D392"/>
    <hyperlink r:id="rId783" ref="B393"/>
    <hyperlink r:id="rId784" ref="D393"/>
    <hyperlink r:id="rId785" ref="B394"/>
    <hyperlink r:id="rId786" ref="D394"/>
    <hyperlink r:id="rId787" ref="B395"/>
    <hyperlink r:id="rId788" ref="D395"/>
    <hyperlink r:id="rId789" ref="B396"/>
    <hyperlink r:id="rId790" ref="D396"/>
    <hyperlink r:id="rId791" ref="B397"/>
    <hyperlink r:id="rId792" ref="D397"/>
    <hyperlink r:id="rId793" ref="B398"/>
    <hyperlink r:id="rId794" ref="D398"/>
    <hyperlink r:id="rId795" ref="B399"/>
    <hyperlink r:id="rId796" ref="D399"/>
    <hyperlink r:id="rId797" ref="B400"/>
    <hyperlink r:id="rId798" ref="D400"/>
    <hyperlink r:id="rId799" ref="B401"/>
    <hyperlink r:id="rId800" ref="D401"/>
    <hyperlink r:id="rId801" ref="B402"/>
    <hyperlink r:id="rId802" ref="D402"/>
    <hyperlink r:id="rId803" ref="B403"/>
    <hyperlink r:id="rId804" ref="D403"/>
    <hyperlink r:id="rId805" ref="B404"/>
    <hyperlink r:id="rId806" ref="D404"/>
    <hyperlink r:id="rId807" ref="B405"/>
    <hyperlink r:id="rId808" ref="D405"/>
    <hyperlink r:id="rId809" ref="B406"/>
    <hyperlink r:id="rId810" ref="D406"/>
    <hyperlink r:id="rId811" ref="B407"/>
    <hyperlink r:id="rId812" ref="D407"/>
    <hyperlink r:id="rId813" ref="B408"/>
    <hyperlink r:id="rId814" ref="D408"/>
    <hyperlink r:id="rId815" ref="B409"/>
    <hyperlink r:id="rId816" ref="D409"/>
    <hyperlink r:id="rId817" ref="B410"/>
    <hyperlink r:id="rId818" ref="D410"/>
    <hyperlink r:id="rId819" ref="B411"/>
    <hyperlink r:id="rId820" ref="D411"/>
    <hyperlink r:id="rId821" ref="B412"/>
    <hyperlink r:id="rId822" ref="D412"/>
    <hyperlink r:id="rId823" ref="B413"/>
    <hyperlink r:id="rId824" ref="D413"/>
    <hyperlink r:id="rId825" ref="B414"/>
    <hyperlink r:id="rId826" ref="D414"/>
    <hyperlink r:id="rId827" ref="B415"/>
    <hyperlink r:id="rId828" ref="D415"/>
    <hyperlink r:id="rId829" ref="B416"/>
    <hyperlink r:id="rId830" ref="D416"/>
    <hyperlink r:id="rId831" ref="B417"/>
    <hyperlink r:id="rId832" ref="D417"/>
    <hyperlink r:id="rId833" ref="B418"/>
    <hyperlink r:id="rId834" ref="D418"/>
    <hyperlink r:id="rId835" ref="B419"/>
    <hyperlink r:id="rId836" ref="D419"/>
    <hyperlink r:id="rId837" ref="B420"/>
    <hyperlink r:id="rId838" ref="D420"/>
    <hyperlink r:id="rId839" ref="B421"/>
    <hyperlink r:id="rId840" ref="D421"/>
    <hyperlink r:id="rId841" ref="B422"/>
    <hyperlink r:id="rId842" ref="D422"/>
    <hyperlink r:id="rId843" ref="B423"/>
    <hyperlink r:id="rId844" ref="D423"/>
    <hyperlink r:id="rId845" ref="B424"/>
    <hyperlink r:id="rId846" ref="D424"/>
    <hyperlink r:id="rId847" ref="B425"/>
    <hyperlink r:id="rId848" ref="D425"/>
    <hyperlink r:id="rId849" ref="B426"/>
    <hyperlink r:id="rId850" ref="D426"/>
    <hyperlink r:id="rId851" ref="B427"/>
    <hyperlink r:id="rId852" ref="D427"/>
    <hyperlink r:id="rId853" ref="B428"/>
    <hyperlink r:id="rId854" ref="D428"/>
    <hyperlink r:id="rId855" ref="B429"/>
    <hyperlink r:id="rId856" ref="D429"/>
    <hyperlink r:id="rId857" ref="B430"/>
    <hyperlink r:id="rId858" ref="D430"/>
    <hyperlink r:id="rId859" ref="B431"/>
    <hyperlink r:id="rId860" ref="D431"/>
    <hyperlink r:id="rId861" ref="B432"/>
    <hyperlink r:id="rId862" ref="D432"/>
    <hyperlink r:id="rId863" ref="B433"/>
    <hyperlink r:id="rId864" ref="D433"/>
    <hyperlink r:id="rId865" ref="B434"/>
    <hyperlink r:id="rId866" ref="D434"/>
    <hyperlink r:id="rId867" ref="B435"/>
    <hyperlink r:id="rId868" ref="D435"/>
    <hyperlink r:id="rId869" ref="B436"/>
    <hyperlink r:id="rId870" ref="D436"/>
    <hyperlink r:id="rId871" ref="B437"/>
    <hyperlink r:id="rId872" ref="D437"/>
    <hyperlink r:id="rId873" ref="B438"/>
    <hyperlink r:id="rId874" ref="D438"/>
    <hyperlink r:id="rId875" ref="B439"/>
    <hyperlink r:id="rId876" ref="D439"/>
    <hyperlink r:id="rId877" ref="B440"/>
    <hyperlink r:id="rId878" ref="D440"/>
    <hyperlink r:id="rId879" ref="B441"/>
    <hyperlink r:id="rId880" ref="D441"/>
    <hyperlink r:id="rId881" ref="B442"/>
    <hyperlink r:id="rId882" ref="D442"/>
    <hyperlink r:id="rId883" ref="B443"/>
    <hyperlink r:id="rId884" ref="D443"/>
    <hyperlink r:id="rId885" ref="B444"/>
    <hyperlink r:id="rId886" ref="D444"/>
    <hyperlink r:id="rId887" ref="B445"/>
    <hyperlink r:id="rId888" ref="D445"/>
    <hyperlink r:id="rId889" ref="B446"/>
    <hyperlink r:id="rId890" ref="D446"/>
    <hyperlink r:id="rId891" ref="B447"/>
    <hyperlink r:id="rId892" ref="D447"/>
    <hyperlink r:id="rId893" ref="B448"/>
    <hyperlink r:id="rId894" ref="D448"/>
    <hyperlink r:id="rId895" ref="B449"/>
    <hyperlink r:id="rId896" ref="D449"/>
    <hyperlink r:id="rId897" ref="B450"/>
    <hyperlink r:id="rId898" ref="D450"/>
    <hyperlink r:id="rId899" ref="B451"/>
    <hyperlink r:id="rId900" ref="D451"/>
    <hyperlink r:id="rId901" ref="B452"/>
    <hyperlink r:id="rId902" ref="D452"/>
    <hyperlink r:id="rId903" ref="B453"/>
    <hyperlink r:id="rId904" ref="D453"/>
    <hyperlink r:id="rId905" ref="B454"/>
    <hyperlink r:id="rId906" ref="D454"/>
    <hyperlink r:id="rId907" ref="B455"/>
    <hyperlink r:id="rId908" ref="D455"/>
    <hyperlink r:id="rId909" ref="B456"/>
    <hyperlink r:id="rId910" ref="D456"/>
    <hyperlink r:id="rId911" ref="B457"/>
    <hyperlink r:id="rId912" ref="D457"/>
    <hyperlink r:id="rId913" ref="B458"/>
    <hyperlink r:id="rId914" ref="D458"/>
    <hyperlink r:id="rId915" ref="B459"/>
    <hyperlink r:id="rId916" ref="D459"/>
    <hyperlink r:id="rId917" ref="B460"/>
    <hyperlink r:id="rId918" ref="D460"/>
    <hyperlink r:id="rId919" ref="B461"/>
    <hyperlink r:id="rId920" ref="D461"/>
    <hyperlink r:id="rId921" ref="B462"/>
    <hyperlink r:id="rId922" ref="D462"/>
    <hyperlink r:id="rId923" ref="B463"/>
    <hyperlink r:id="rId924" ref="D463"/>
    <hyperlink r:id="rId925" ref="B464"/>
    <hyperlink r:id="rId926" ref="D464"/>
    <hyperlink r:id="rId927" ref="B465"/>
    <hyperlink r:id="rId928" ref="D465"/>
    <hyperlink r:id="rId929" ref="B466"/>
    <hyperlink r:id="rId930" ref="D466"/>
    <hyperlink r:id="rId931" ref="B467"/>
    <hyperlink r:id="rId932" ref="D467"/>
    <hyperlink r:id="rId933" ref="B468"/>
    <hyperlink r:id="rId934" ref="D468"/>
    <hyperlink r:id="rId935" ref="B469"/>
    <hyperlink r:id="rId936" ref="D469"/>
    <hyperlink r:id="rId937" ref="B470"/>
    <hyperlink r:id="rId938" ref="D470"/>
    <hyperlink r:id="rId939" ref="B471"/>
    <hyperlink r:id="rId940" ref="D471"/>
    <hyperlink r:id="rId941" ref="B472"/>
    <hyperlink r:id="rId942" ref="D472"/>
    <hyperlink r:id="rId943" ref="B473"/>
    <hyperlink r:id="rId944" ref="D473"/>
    <hyperlink r:id="rId945" ref="B474"/>
    <hyperlink r:id="rId946" ref="D474"/>
    <hyperlink r:id="rId947" ref="B475"/>
    <hyperlink r:id="rId948" ref="D475"/>
    <hyperlink r:id="rId949" ref="B476"/>
    <hyperlink r:id="rId950" ref="D476"/>
    <hyperlink r:id="rId951" ref="B477"/>
    <hyperlink r:id="rId952" ref="D477"/>
    <hyperlink r:id="rId953" ref="B478"/>
    <hyperlink r:id="rId954" ref="D478"/>
    <hyperlink r:id="rId955" ref="B479"/>
    <hyperlink r:id="rId956" ref="D479"/>
    <hyperlink r:id="rId957" ref="B480"/>
    <hyperlink r:id="rId958" ref="D480"/>
    <hyperlink r:id="rId959" ref="B481"/>
    <hyperlink r:id="rId960" ref="D481"/>
    <hyperlink r:id="rId961" ref="B482"/>
    <hyperlink r:id="rId962" ref="D482"/>
    <hyperlink r:id="rId963" ref="B483"/>
    <hyperlink r:id="rId964" ref="D483"/>
    <hyperlink r:id="rId965" ref="B484"/>
    <hyperlink r:id="rId966" ref="D484"/>
    <hyperlink r:id="rId967" ref="B485"/>
    <hyperlink r:id="rId968" ref="D485"/>
    <hyperlink r:id="rId969" ref="B486"/>
    <hyperlink r:id="rId970" ref="D486"/>
    <hyperlink r:id="rId971" ref="B487"/>
    <hyperlink r:id="rId972" ref="D487"/>
    <hyperlink r:id="rId973" ref="B488"/>
    <hyperlink r:id="rId974" ref="D488"/>
    <hyperlink r:id="rId975" ref="B489"/>
    <hyperlink r:id="rId976" ref="D489"/>
    <hyperlink r:id="rId977" ref="B490"/>
    <hyperlink r:id="rId978" ref="D490"/>
    <hyperlink r:id="rId979" ref="B491"/>
    <hyperlink r:id="rId980" ref="D491"/>
    <hyperlink r:id="rId981" ref="B492"/>
    <hyperlink r:id="rId982" ref="D492"/>
    <hyperlink r:id="rId983" ref="B493"/>
    <hyperlink r:id="rId984" ref="D493"/>
    <hyperlink r:id="rId985" ref="B494"/>
    <hyperlink r:id="rId986" ref="D494"/>
    <hyperlink r:id="rId987" ref="B495"/>
    <hyperlink r:id="rId988" ref="D495"/>
    <hyperlink r:id="rId989" ref="B496"/>
    <hyperlink r:id="rId990" ref="D496"/>
    <hyperlink r:id="rId991" ref="B497"/>
    <hyperlink r:id="rId992" ref="D497"/>
    <hyperlink r:id="rId993" ref="B498"/>
    <hyperlink r:id="rId994" ref="D498"/>
    <hyperlink r:id="rId995" ref="B499"/>
    <hyperlink r:id="rId996" ref="D499"/>
    <hyperlink r:id="rId997" ref="B500"/>
    <hyperlink r:id="rId998" ref="D500"/>
    <hyperlink r:id="rId999" ref="B501"/>
    <hyperlink r:id="rId1000" ref="D501"/>
    <hyperlink r:id="rId1001" ref="B502"/>
    <hyperlink r:id="rId1002" ref="D502"/>
    <hyperlink r:id="rId1003" ref="B503"/>
    <hyperlink r:id="rId1004" ref="D503"/>
    <hyperlink r:id="rId1005" ref="B504"/>
    <hyperlink r:id="rId1006" ref="D504"/>
    <hyperlink r:id="rId1007" ref="B505"/>
    <hyperlink r:id="rId1008" ref="D505"/>
    <hyperlink r:id="rId1009" ref="B506"/>
    <hyperlink r:id="rId1010" ref="D506"/>
    <hyperlink r:id="rId1011" ref="B507"/>
    <hyperlink r:id="rId1012" ref="D507"/>
    <hyperlink r:id="rId1013" ref="B508"/>
    <hyperlink r:id="rId1014" ref="D508"/>
    <hyperlink r:id="rId1015" ref="B509"/>
    <hyperlink r:id="rId1016" ref="D509"/>
    <hyperlink r:id="rId1017" ref="B510"/>
    <hyperlink r:id="rId1018" ref="D510"/>
    <hyperlink r:id="rId1019" ref="B511"/>
    <hyperlink r:id="rId1020" ref="D511"/>
    <hyperlink r:id="rId1021" ref="B512"/>
    <hyperlink r:id="rId1022" ref="D512"/>
    <hyperlink r:id="rId1023" ref="B513"/>
    <hyperlink r:id="rId1024" ref="D513"/>
    <hyperlink r:id="rId1025" ref="B514"/>
    <hyperlink r:id="rId1026" ref="D514"/>
    <hyperlink r:id="rId1027" ref="B515"/>
    <hyperlink r:id="rId1028" ref="D515"/>
    <hyperlink r:id="rId1029" ref="B516"/>
    <hyperlink r:id="rId1030" ref="D516"/>
    <hyperlink r:id="rId1031" ref="B517"/>
    <hyperlink r:id="rId1032" ref="D517"/>
    <hyperlink r:id="rId1033" ref="B518"/>
    <hyperlink r:id="rId1034" ref="D518"/>
    <hyperlink r:id="rId1035" ref="B519"/>
    <hyperlink r:id="rId1036" ref="D519"/>
    <hyperlink r:id="rId1037" ref="B520"/>
    <hyperlink r:id="rId1038" ref="D520"/>
    <hyperlink r:id="rId1039" ref="B521"/>
    <hyperlink r:id="rId1040" ref="D521"/>
    <hyperlink r:id="rId1041" ref="B522"/>
    <hyperlink r:id="rId1042" ref="D522"/>
    <hyperlink r:id="rId1043" ref="B523"/>
    <hyperlink r:id="rId1044" ref="D523"/>
    <hyperlink r:id="rId1045" ref="B524"/>
    <hyperlink r:id="rId1046" ref="D524"/>
    <hyperlink r:id="rId1047" ref="B525"/>
    <hyperlink r:id="rId1048" ref="D525"/>
    <hyperlink r:id="rId1049" ref="B526"/>
    <hyperlink r:id="rId1050" ref="D526"/>
    <hyperlink r:id="rId1051" ref="B527"/>
    <hyperlink r:id="rId1052" ref="D527"/>
    <hyperlink r:id="rId1053" ref="B528"/>
    <hyperlink r:id="rId1054" ref="D528"/>
    <hyperlink r:id="rId1055" ref="B529"/>
    <hyperlink r:id="rId1056" ref="D529"/>
    <hyperlink r:id="rId1057" ref="B530"/>
    <hyperlink r:id="rId1058" ref="D530"/>
    <hyperlink r:id="rId1059" ref="B531"/>
    <hyperlink r:id="rId1060" ref="D531"/>
    <hyperlink r:id="rId1061" ref="B532"/>
    <hyperlink r:id="rId1062" ref="D532"/>
    <hyperlink r:id="rId1063" ref="B533"/>
    <hyperlink r:id="rId1064" ref="D533"/>
    <hyperlink r:id="rId1065" ref="B534"/>
    <hyperlink r:id="rId1066" ref="D534"/>
    <hyperlink r:id="rId1067" ref="B535"/>
    <hyperlink r:id="rId1068" ref="D535"/>
    <hyperlink r:id="rId1069" ref="B536"/>
    <hyperlink r:id="rId1070" ref="D536"/>
    <hyperlink r:id="rId1071" ref="B537"/>
    <hyperlink r:id="rId1072" ref="D537"/>
    <hyperlink r:id="rId1073" ref="B538"/>
    <hyperlink r:id="rId1074" ref="D538"/>
    <hyperlink r:id="rId1075" ref="B539"/>
    <hyperlink r:id="rId1076" ref="D539"/>
    <hyperlink r:id="rId1077" ref="B540"/>
    <hyperlink r:id="rId1078" ref="D540"/>
    <hyperlink r:id="rId1079" ref="B541"/>
    <hyperlink r:id="rId1080" ref="D541"/>
    <hyperlink r:id="rId1081" ref="B542"/>
    <hyperlink r:id="rId1082" ref="D542"/>
    <hyperlink r:id="rId1083" ref="B543"/>
    <hyperlink r:id="rId1084" ref="D543"/>
    <hyperlink r:id="rId1085" ref="B544"/>
    <hyperlink r:id="rId1086" ref="D544"/>
    <hyperlink r:id="rId1087" ref="B545"/>
    <hyperlink r:id="rId1088" ref="D545"/>
    <hyperlink r:id="rId1089" ref="B546"/>
    <hyperlink r:id="rId1090" ref="D546"/>
    <hyperlink r:id="rId1091" ref="B547"/>
    <hyperlink r:id="rId1092" ref="D547"/>
    <hyperlink r:id="rId1093" ref="B548"/>
    <hyperlink r:id="rId1094" ref="D548"/>
    <hyperlink r:id="rId1095" ref="B549"/>
    <hyperlink r:id="rId1096" ref="D549"/>
    <hyperlink r:id="rId1097" ref="B550"/>
    <hyperlink r:id="rId1098" ref="D550"/>
    <hyperlink r:id="rId1099" ref="B551"/>
    <hyperlink r:id="rId1100" ref="D551"/>
    <hyperlink r:id="rId1101" ref="B552"/>
    <hyperlink r:id="rId1102" ref="D552"/>
    <hyperlink r:id="rId1103" ref="B553"/>
    <hyperlink r:id="rId1104" ref="D553"/>
    <hyperlink r:id="rId1105" ref="B554"/>
    <hyperlink r:id="rId1106" ref="D554"/>
    <hyperlink r:id="rId1107" ref="B555"/>
    <hyperlink r:id="rId1108" ref="D555"/>
    <hyperlink r:id="rId1109" ref="B556"/>
    <hyperlink r:id="rId1110" ref="D556"/>
    <hyperlink r:id="rId1111" ref="B557"/>
    <hyperlink r:id="rId1112" ref="D557"/>
    <hyperlink r:id="rId1113" ref="B558"/>
    <hyperlink r:id="rId1114" ref="D558"/>
    <hyperlink r:id="rId1115" ref="B559"/>
    <hyperlink r:id="rId1116" ref="D559"/>
    <hyperlink r:id="rId1117" ref="B560"/>
    <hyperlink r:id="rId1118" ref="D560"/>
    <hyperlink r:id="rId1119" ref="B561"/>
    <hyperlink r:id="rId1120" ref="D561"/>
    <hyperlink r:id="rId1121" ref="B562"/>
    <hyperlink r:id="rId1122" ref="D562"/>
    <hyperlink r:id="rId1123" ref="B563"/>
    <hyperlink r:id="rId1124" ref="D563"/>
    <hyperlink r:id="rId1125" ref="B564"/>
    <hyperlink r:id="rId1126" ref="D564"/>
    <hyperlink r:id="rId1127" ref="B565"/>
    <hyperlink r:id="rId1128" ref="D565"/>
    <hyperlink r:id="rId1129" ref="B566"/>
    <hyperlink r:id="rId1130" ref="D566"/>
    <hyperlink r:id="rId1131" ref="B567"/>
    <hyperlink r:id="rId1132" ref="D567"/>
    <hyperlink r:id="rId1133" ref="B568"/>
    <hyperlink r:id="rId1134" ref="D568"/>
    <hyperlink r:id="rId1135" ref="B569"/>
    <hyperlink r:id="rId1136" ref="D569"/>
    <hyperlink r:id="rId1137" ref="B570"/>
    <hyperlink r:id="rId1138" ref="D570"/>
    <hyperlink r:id="rId1139" ref="B571"/>
    <hyperlink r:id="rId1140" ref="D571"/>
    <hyperlink r:id="rId1141" ref="B572"/>
    <hyperlink r:id="rId1142" ref="D572"/>
    <hyperlink r:id="rId1143" ref="B573"/>
    <hyperlink r:id="rId1144" ref="D573"/>
    <hyperlink r:id="rId1145" ref="B574"/>
    <hyperlink r:id="rId1146" ref="D574"/>
    <hyperlink r:id="rId1147" ref="B575"/>
    <hyperlink r:id="rId1148" ref="D575"/>
    <hyperlink r:id="rId1149" ref="B576"/>
    <hyperlink r:id="rId1150" ref="D576"/>
    <hyperlink r:id="rId1151" ref="B577"/>
    <hyperlink r:id="rId1152" ref="D577"/>
    <hyperlink r:id="rId1153" ref="B578"/>
    <hyperlink r:id="rId1154" ref="D578"/>
    <hyperlink r:id="rId1155" ref="B579"/>
    <hyperlink r:id="rId1156" ref="D579"/>
    <hyperlink r:id="rId1157" ref="B580"/>
    <hyperlink r:id="rId1158" ref="D580"/>
    <hyperlink r:id="rId1159" ref="B581"/>
    <hyperlink r:id="rId1160" ref="D581"/>
    <hyperlink r:id="rId1161" ref="B582"/>
    <hyperlink r:id="rId1162" ref="D582"/>
    <hyperlink r:id="rId1163" ref="B583"/>
    <hyperlink r:id="rId1164" ref="D583"/>
    <hyperlink r:id="rId1165" ref="B584"/>
    <hyperlink r:id="rId1166" ref="D584"/>
    <hyperlink r:id="rId1167" ref="B585"/>
    <hyperlink r:id="rId1168" ref="D585"/>
    <hyperlink r:id="rId1169" ref="B586"/>
    <hyperlink r:id="rId1170" ref="D586"/>
    <hyperlink r:id="rId1171" ref="B587"/>
    <hyperlink r:id="rId1172" ref="D587"/>
    <hyperlink r:id="rId1173" ref="B588"/>
    <hyperlink r:id="rId1174" ref="D588"/>
    <hyperlink r:id="rId1175" ref="B589"/>
    <hyperlink r:id="rId1176" ref="D589"/>
    <hyperlink r:id="rId1177" ref="B590"/>
    <hyperlink r:id="rId1178" ref="D590"/>
    <hyperlink r:id="rId1179" ref="B591"/>
    <hyperlink r:id="rId1180" ref="D591"/>
    <hyperlink r:id="rId1181" ref="B592"/>
    <hyperlink r:id="rId1182" ref="D592"/>
    <hyperlink r:id="rId1183" ref="B593"/>
    <hyperlink r:id="rId1184" ref="D593"/>
    <hyperlink r:id="rId1185" ref="B594"/>
    <hyperlink r:id="rId1186" ref="D594"/>
    <hyperlink r:id="rId1187" ref="B595"/>
    <hyperlink r:id="rId1188" ref="D595"/>
    <hyperlink r:id="rId1189" ref="B596"/>
    <hyperlink r:id="rId1190" ref="D596"/>
    <hyperlink r:id="rId1191" ref="B597"/>
    <hyperlink r:id="rId1192" ref="D597"/>
    <hyperlink r:id="rId1193" ref="B598"/>
    <hyperlink r:id="rId1194" ref="D598"/>
    <hyperlink r:id="rId1195" ref="B599"/>
    <hyperlink r:id="rId1196" ref="D599"/>
    <hyperlink r:id="rId1197" ref="B600"/>
    <hyperlink r:id="rId1198" ref="D600"/>
    <hyperlink r:id="rId1199" ref="B601"/>
    <hyperlink r:id="rId1200" ref="D601"/>
    <hyperlink r:id="rId1201" ref="B602"/>
    <hyperlink r:id="rId1202" ref="D602"/>
    <hyperlink r:id="rId1203" ref="B603"/>
    <hyperlink r:id="rId1204" ref="D603"/>
    <hyperlink r:id="rId1205" ref="B604"/>
    <hyperlink r:id="rId1206" ref="D604"/>
    <hyperlink r:id="rId1207" ref="B605"/>
    <hyperlink r:id="rId1208" ref="D605"/>
    <hyperlink r:id="rId1209" ref="B606"/>
    <hyperlink r:id="rId1210" ref="D606"/>
    <hyperlink r:id="rId1211" ref="B607"/>
    <hyperlink r:id="rId1212" ref="D607"/>
    <hyperlink r:id="rId1213" ref="B608"/>
    <hyperlink r:id="rId1214" ref="D608"/>
    <hyperlink r:id="rId1215" ref="B609"/>
    <hyperlink r:id="rId1216" ref="D609"/>
    <hyperlink r:id="rId1217" ref="B610"/>
    <hyperlink r:id="rId1218" ref="D610"/>
    <hyperlink r:id="rId1219" ref="B611"/>
    <hyperlink r:id="rId1220" ref="D611"/>
    <hyperlink r:id="rId1221" ref="B612"/>
    <hyperlink r:id="rId1222" ref="D612"/>
    <hyperlink r:id="rId1223" ref="B613"/>
    <hyperlink r:id="rId1224" ref="D613"/>
    <hyperlink r:id="rId1225" ref="B614"/>
    <hyperlink r:id="rId1226" ref="D614"/>
    <hyperlink r:id="rId1227" ref="B615"/>
    <hyperlink r:id="rId1228" ref="D615"/>
    <hyperlink r:id="rId1229" ref="B616"/>
    <hyperlink r:id="rId1230" ref="D616"/>
    <hyperlink r:id="rId1231" ref="B617"/>
    <hyperlink r:id="rId1232" ref="D617"/>
    <hyperlink r:id="rId1233" ref="B618"/>
    <hyperlink r:id="rId1234" ref="D618"/>
    <hyperlink r:id="rId1235" ref="B619"/>
    <hyperlink r:id="rId1236" ref="D619"/>
    <hyperlink r:id="rId1237" ref="B620"/>
    <hyperlink r:id="rId1238" ref="D620"/>
    <hyperlink r:id="rId1239" ref="B621"/>
    <hyperlink r:id="rId1240" ref="D621"/>
    <hyperlink r:id="rId1241" ref="B622"/>
    <hyperlink r:id="rId1242" ref="D622"/>
    <hyperlink r:id="rId1243" ref="B623"/>
    <hyperlink r:id="rId1244" ref="D623"/>
    <hyperlink r:id="rId1245" ref="B624"/>
    <hyperlink r:id="rId1246" ref="D624"/>
    <hyperlink r:id="rId1247" ref="B625"/>
    <hyperlink r:id="rId1248" ref="D625"/>
    <hyperlink r:id="rId1249" ref="B626"/>
    <hyperlink r:id="rId1250" ref="D626"/>
    <hyperlink r:id="rId1251" ref="B627"/>
    <hyperlink r:id="rId1252" ref="D627"/>
    <hyperlink r:id="rId1253" ref="B628"/>
    <hyperlink r:id="rId1254" ref="D628"/>
    <hyperlink r:id="rId1255" ref="B629"/>
    <hyperlink r:id="rId1256" ref="D629"/>
    <hyperlink r:id="rId1257" ref="B630"/>
    <hyperlink r:id="rId1258" ref="D630"/>
    <hyperlink r:id="rId1259" ref="B631"/>
    <hyperlink r:id="rId1260" ref="D631"/>
    <hyperlink r:id="rId1261" ref="B632"/>
    <hyperlink r:id="rId1262" ref="D632"/>
    <hyperlink r:id="rId1263" ref="B633"/>
    <hyperlink r:id="rId1264" ref="D633"/>
    <hyperlink r:id="rId1265" ref="B634"/>
    <hyperlink r:id="rId1266" ref="D634"/>
    <hyperlink r:id="rId1267" ref="B635"/>
    <hyperlink r:id="rId1268" ref="D635"/>
    <hyperlink r:id="rId1269" ref="B636"/>
    <hyperlink r:id="rId1270" ref="D636"/>
    <hyperlink r:id="rId1271" ref="B637"/>
    <hyperlink r:id="rId1272" ref="D637"/>
    <hyperlink r:id="rId1273" ref="B638"/>
    <hyperlink r:id="rId1274" ref="D638"/>
    <hyperlink r:id="rId1275" ref="B639"/>
    <hyperlink r:id="rId1276" ref="D639"/>
    <hyperlink r:id="rId1277" ref="B640"/>
    <hyperlink r:id="rId1278" ref="D640"/>
    <hyperlink r:id="rId1279" ref="B641"/>
    <hyperlink r:id="rId1280" ref="D641"/>
    <hyperlink r:id="rId1281" ref="B642"/>
    <hyperlink r:id="rId1282" ref="D642"/>
    <hyperlink r:id="rId1283" ref="B643"/>
    <hyperlink r:id="rId1284" ref="D643"/>
    <hyperlink r:id="rId1285" ref="B644"/>
    <hyperlink r:id="rId1286" ref="D644"/>
    <hyperlink r:id="rId1287" ref="B645"/>
    <hyperlink r:id="rId1288" ref="D645"/>
    <hyperlink r:id="rId1289" ref="B646"/>
    <hyperlink r:id="rId1290" ref="D646"/>
    <hyperlink r:id="rId1291" ref="B647"/>
    <hyperlink r:id="rId1292" ref="D647"/>
    <hyperlink r:id="rId1293" ref="B648"/>
    <hyperlink r:id="rId1294" ref="D648"/>
    <hyperlink r:id="rId1295" ref="B649"/>
    <hyperlink r:id="rId1296" ref="D649"/>
    <hyperlink r:id="rId1297" ref="B650"/>
    <hyperlink r:id="rId1298" ref="D650"/>
    <hyperlink r:id="rId1299" ref="B651"/>
    <hyperlink r:id="rId1300" ref="D651"/>
    <hyperlink r:id="rId1301" ref="B652"/>
    <hyperlink r:id="rId1302" ref="D652"/>
    <hyperlink r:id="rId1303" ref="B653"/>
    <hyperlink r:id="rId1304" ref="D653"/>
    <hyperlink r:id="rId1305" ref="B654"/>
    <hyperlink r:id="rId1306" ref="D654"/>
    <hyperlink r:id="rId1307" ref="B655"/>
    <hyperlink r:id="rId1308" ref="D655"/>
    <hyperlink r:id="rId1309" ref="B656"/>
    <hyperlink r:id="rId1310" ref="D656"/>
    <hyperlink r:id="rId1311" ref="B657"/>
    <hyperlink r:id="rId1312" ref="D657"/>
    <hyperlink r:id="rId1313" ref="B658"/>
    <hyperlink r:id="rId1314" ref="D658"/>
    <hyperlink r:id="rId1315" ref="B659"/>
    <hyperlink r:id="rId1316" ref="D659"/>
    <hyperlink r:id="rId1317" ref="B660"/>
    <hyperlink r:id="rId1318" ref="D660"/>
    <hyperlink r:id="rId1319" ref="B661"/>
    <hyperlink r:id="rId1320" ref="D661"/>
    <hyperlink r:id="rId1321" ref="B662"/>
    <hyperlink r:id="rId1322" ref="D662"/>
    <hyperlink r:id="rId1323" ref="B663"/>
    <hyperlink r:id="rId1324" ref="D663"/>
    <hyperlink r:id="rId1325" ref="B664"/>
    <hyperlink r:id="rId1326" ref="D664"/>
    <hyperlink r:id="rId1327" ref="B665"/>
    <hyperlink r:id="rId1328" ref="D665"/>
    <hyperlink r:id="rId1329" ref="B666"/>
    <hyperlink r:id="rId1330" ref="D666"/>
    <hyperlink r:id="rId1331" ref="B667"/>
    <hyperlink r:id="rId1332" ref="D667"/>
    <hyperlink r:id="rId1333" ref="B668"/>
    <hyperlink r:id="rId1334" ref="D668"/>
    <hyperlink r:id="rId1335" ref="B669"/>
    <hyperlink r:id="rId1336" ref="D669"/>
    <hyperlink r:id="rId1337" ref="B670"/>
    <hyperlink r:id="rId1338" ref="D670"/>
    <hyperlink r:id="rId1339" ref="B671"/>
    <hyperlink r:id="rId1340" ref="D671"/>
    <hyperlink r:id="rId1341" ref="B672"/>
    <hyperlink r:id="rId1342" ref="D672"/>
    <hyperlink r:id="rId1343" ref="B673"/>
    <hyperlink r:id="rId1344" ref="D673"/>
    <hyperlink r:id="rId1345" ref="B674"/>
    <hyperlink r:id="rId1346" ref="D674"/>
    <hyperlink r:id="rId1347" ref="B675"/>
    <hyperlink r:id="rId1348" ref="D675"/>
    <hyperlink r:id="rId1349" ref="B676"/>
    <hyperlink r:id="rId1350" ref="D676"/>
    <hyperlink r:id="rId1351" ref="B677"/>
    <hyperlink r:id="rId1352" ref="D677"/>
    <hyperlink r:id="rId1353" ref="B678"/>
    <hyperlink r:id="rId1354" ref="D678"/>
    <hyperlink r:id="rId1355" ref="B679"/>
    <hyperlink r:id="rId1356" ref="D679"/>
    <hyperlink r:id="rId1357" ref="B680"/>
    <hyperlink r:id="rId1358" ref="D680"/>
    <hyperlink r:id="rId1359" ref="B681"/>
    <hyperlink r:id="rId1360" ref="D681"/>
    <hyperlink r:id="rId1361" ref="B682"/>
    <hyperlink r:id="rId1362" ref="D682"/>
    <hyperlink r:id="rId1363" ref="B683"/>
    <hyperlink r:id="rId1364" ref="D683"/>
    <hyperlink r:id="rId1365" ref="B684"/>
    <hyperlink r:id="rId1366" ref="D684"/>
    <hyperlink r:id="rId1367" ref="B685"/>
    <hyperlink r:id="rId1368" ref="D685"/>
    <hyperlink r:id="rId1369" ref="B686"/>
    <hyperlink r:id="rId1370" ref="D686"/>
    <hyperlink r:id="rId1371" ref="B687"/>
    <hyperlink r:id="rId1372" ref="D687"/>
    <hyperlink r:id="rId1373" ref="B688"/>
    <hyperlink r:id="rId1374" ref="D688"/>
    <hyperlink r:id="rId1375" ref="B689"/>
    <hyperlink r:id="rId1376" ref="D689"/>
    <hyperlink r:id="rId1377" ref="B690"/>
    <hyperlink r:id="rId1378" ref="D690"/>
    <hyperlink r:id="rId1379" ref="B691"/>
    <hyperlink r:id="rId1380" ref="D691"/>
    <hyperlink r:id="rId1381" ref="B692"/>
    <hyperlink r:id="rId1382" ref="D692"/>
    <hyperlink r:id="rId1383" ref="B693"/>
    <hyperlink r:id="rId1384" ref="D693"/>
    <hyperlink r:id="rId1385" ref="B694"/>
    <hyperlink r:id="rId1386" ref="D694"/>
    <hyperlink r:id="rId1387" ref="B695"/>
    <hyperlink r:id="rId1388" ref="D695"/>
    <hyperlink r:id="rId1389" ref="B696"/>
    <hyperlink r:id="rId1390" ref="D696"/>
    <hyperlink r:id="rId1391" ref="B697"/>
    <hyperlink r:id="rId1392" ref="D697"/>
    <hyperlink r:id="rId1393" ref="B698"/>
    <hyperlink r:id="rId1394" ref="D698"/>
    <hyperlink r:id="rId1395" ref="B699"/>
    <hyperlink r:id="rId1396" ref="D699"/>
    <hyperlink r:id="rId1397" ref="B700"/>
    <hyperlink r:id="rId1398" ref="D700"/>
    <hyperlink r:id="rId1399" ref="B701"/>
    <hyperlink r:id="rId1400" ref="D701"/>
    <hyperlink r:id="rId1401" ref="B702"/>
    <hyperlink r:id="rId1402" ref="D702"/>
    <hyperlink r:id="rId1403" ref="B703"/>
    <hyperlink r:id="rId1404" ref="D703"/>
    <hyperlink r:id="rId1405" ref="B704"/>
    <hyperlink r:id="rId1406" ref="D704"/>
    <hyperlink r:id="rId1407" ref="B705"/>
    <hyperlink r:id="rId1408" ref="D705"/>
    <hyperlink r:id="rId1409" ref="B706"/>
    <hyperlink r:id="rId1410" ref="D706"/>
    <hyperlink r:id="rId1411" ref="B707"/>
    <hyperlink r:id="rId1412" ref="D707"/>
    <hyperlink r:id="rId1413" ref="B708"/>
    <hyperlink r:id="rId1414" ref="D708"/>
    <hyperlink r:id="rId1415" ref="B709"/>
    <hyperlink r:id="rId1416" ref="D709"/>
    <hyperlink r:id="rId1417" ref="B710"/>
    <hyperlink r:id="rId1418" ref="D710"/>
    <hyperlink r:id="rId1419" ref="B711"/>
    <hyperlink r:id="rId1420" ref="D711"/>
    <hyperlink r:id="rId1421" ref="B712"/>
    <hyperlink r:id="rId1422" ref="D712"/>
    <hyperlink r:id="rId1423" ref="B713"/>
    <hyperlink r:id="rId1424" ref="D713"/>
    <hyperlink r:id="rId1425" ref="B714"/>
    <hyperlink r:id="rId1426" ref="D714"/>
    <hyperlink r:id="rId1427" ref="B715"/>
    <hyperlink r:id="rId1428" ref="D715"/>
    <hyperlink r:id="rId1429" ref="B716"/>
    <hyperlink r:id="rId1430" ref="D716"/>
    <hyperlink r:id="rId1431" ref="B717"/>
    <hyperlink r:id="rId1432" ref="D717"/>
    <hyperlink r:id="rId1433" ref="B718"/>
    <hyperlink r:id="rId1434" ref="D718"/>
    <hyperlink r:id="rId1435" ref="B719"/>
    <hyperlink r:id="rId1436" ref="D719"/>
    <hyperlink r:id="rId1437" ref="B720"/>
    <hyperlink r:id="rId1438" ref="D720"/>
    <hyperlink r:id="rId1439" ref="B721"/>
    <hyperlink r:id="rId1440" ref="D721"/>
    <hyperlink r:id="rId1441" ref="B722"/>
    <hyperlink r:id="rId1442" ref="D722"/>
    <hyperlink r:id="rId1443" ref="B723"/>
    <hyperlink r:id="rId1444" ref="D723"/>
    <hyperlink r:id="rId1445" ref="B724"/>
    <hyperlink r:id="rId1446" ref="D724"/>
    <hyperlink r:id="rId1447" ref="B725"/>
    <hyperlink r:id="rId1448" ref="D725"/>
    <hyperlink r:id="rId1449" ref="B726"/>
    <hyperlink r:id="rId1450" ref="D726"/>
    <hyperlink r:id="rId1451" ref="B727"/>
    <hyperlink r:id="rId1452" ref="D727"/>
    <hyperlink r:id="rId1453" ref="B728"/>
    <hyperlink r:id="rId1454" ref="D728"/>
    <hyperlink r:id="rId1455" ref="B729"/>
    <hyperlink r:id="rId1456" ref="D729"/>
    <hyperlink r:id="rId1457" ref="B730"/>
    <hyperlink r:id="rId1458" ref="D730"/>
    <hyperlink r:id="rId1459" ref="B731"/>
    <hyperlink r:id="rId1460" ref="D731"/>
    <hyperlink r:id="rId1461" ref="B732"/>
    <hyperlink r:id="rId1462" ref="D732"/>
    <hyperlink r:id="rId1463" ref="B733"/>
    <hyperlink r:id="rId1464" ref="D733"/>
    <hyperlink r:id="rId1465" ref="B734"/>
    <hyperlink r:id="rId1466" ref="D734"/>
    <hyperlink r:id="rId1467" ref="B735"/>
    <hyperlink r:id="rId1468" ref="D735"/>
    <hyperlink r:id="rId1469" ref="B736"/>
    <hyperlink r:id="rId1470" ref="D736"/>
    <hyperlink r:id="rId1471" ref="B737"/>
    <hyperlink r:id="rId1472" ref="D737"/>
    <hyperlink r:id="rId1473" ref="B738"/>
    <hyperlink r:id="rId1474" ref="D738"/>
    <hyperlink r:id="rId1475" ref="B739"/>
    <hyperlink r:id="rId1476" ref="D739"/>
    <hyperlink r:id="rId1477" ref="B740"/>
    <hyperlink r:id="rId1478" ref="D740"/>
    <hyperlink r:id="rId1479" ref="B741"/>
    <hyperlink r:id="rId1480" ref="D741"/>
    <hyperlink r:id="rId1481" ref="B742"/>
    <hyperlink r:id="rId1482" ref="D742"/>
    <hyperlink r:id="rId1483" ref="B743"/>
    <hyperlink r:id="rId1484" ref="D743"/>
    <hyperlink r:id="rId1485" ref="B744"/>
    <hyperlink r:id="rId1486" ref="D744"/>
    <hyperlink r:id="rId1487" ref="B745"/>
    <hyperlink r:id="rId1488" ref="D745"/>
    <hyperlink r:id="rId1489" ref="B746"/>
    <hyperlink r:id="rId1490" ref="D746"/>
    <hyperlink r:id="rId1491" ref="B747"/>
    <hyperlink r:id="rId1492" ref="D747"/>
    <hyperlink r:id="rId1493" ref="B748"/>
    <hyperlink r:id="rId1494" ref="D748"/>
    <hyperlink r:id="rId1495" ref="B749"/>
    <hyperlink r:id="rId1496" ref="D749"/>
    <hyperlink r:id="rId1497" ref="B750"/>
    <hyperlink r:id="rId1498" ref="D750"/>
    <hyperlink r:id="rId1499" ref="B751"/>
    <hyperlink r:id="rId1500" ref="D751"/>
    <hyperlink r:id="rId1501" ref="B752"/>
    <hyperlink r:id="rId1502" ref="D752"/>
    <hyperlink r:id="rId1503" ref="B753"/>
    <hyperlink r:id="rId1504" ref="D753"/>
    <hyperlink r:id="rId1505" ref="B754"/>
    <hyperlink r:id="rId1506" ref="D754"/>
    <hyperlink r:id="rId1507" ref="B755"/>
    <hyperlink r:id="rId1508" ref="D755"/>
    <hyperlink r:id="rId1509" ref="B756"/>
    <hyperlink r:id="rId1510" ref="D756"/>
    <hyperlink r:id="rId1511" ref="B757"/>
    <hyperlink r:id="rId1512" ref="D757"/>
    <hyperlink r:id="rId1513" ref="B758"/>
    <hyperlink r:id="rId1514" ref="D758"/>
    <hyperlink r:id="rId1515" ref="B759"/>
    <hyperlink r:id="rId1516" ref="D759"/>
    <hyperlink r:id="rId1517" ref="B760"/>
    <hyperlink r:id="rId1518" ref="D760"/>
    <hyperlink r:id="rId1519" ref="B761"/>
    <hyperlink r:id="rId1520" ref="D761"/>
    <hyperlink r:id="rId1521" ref="B762"/>
    <hyperlink r:id="rId1522" ref="D762"/>
    <hyperlink r:id="rId1523" ref="B763"/>
    <hyperlink r:id="rId1524" ref="D763"/>
    <hyperlink r:id="rId1525" ref="B764"/>
    <hyperlink r:id="rId1526" ref="D764"/>
    <hyperlink r:id="rId1527" ref="B765"/>
    <hyperlink r:id="rId1528" ref="D765"/>
    <hyperlink r:id="rId1529" ref="B766"/>
    <hyperlink r:id="rId1530" ref="D766"/>
    <hyperlink r:id="rId1531" ref="B767"/>
    <hyperlink r:id="rId1532" ref="D767"/>
    <hyperlink r:id="rId1533" ref="B768"/>
    <hyperlink r:id="rId1534" ref="D768"/>
    <hyperlink r:id="rId1535" ref="B769"/>
    <hyperlink r:id="rId1536" ref="D769"/>
    <hyperlink r:id="rId1537" ref="B770"/>
    <hyperlink r:id="rId1538" ref="D770"/>
    <hyperlink r:id="rId1539" ref="B771"/>
    <hyperlink r:id="rId1540" ref="D771"/>
    <hyperlink r:id="rId1541" ref="B772"/>
    <hyperlink r:id="rId1542" ref="D772"/>
    <hyperlink r:id="rId1543" ref="B773"/>
    <hyperlink r:id="rId1544" ref="D773"/>
    <hyperlink r:id="rId1545" ref="B774"/>
    <hyperlink r:id="rId1546" ref="D774"/>
    <hyperlink r:id="rId1547" ref="B775"/>
    <hyperlink r:id="rId1548" ref="D775"/>
    <hyperlink r:id="rId1549" ref="B776"/>
    <hyperlink r:id="rId1550" ref="D776"/>
    <hyperlink r:id="rId1551" ref="B777"/>
    <hyperlink r:id="rId1552" ref="D777"/>
    <hyperlink r:id="rId1553" ref="B778"/>
    <hyperlink r:id="rId1554" ref="D778"/>
    <hyperlink r:id="rId1555" ref="B779"/>
    <hyperlink r:id="rId1556" ref="D779"/>
    <hyperlink r:id="rId1557" ref="B780"/>
    <hyperlink r:id="rId1558" ref="D780"/>
    <hyperlink r:id="rId1559" ref="B781"/>
    <hyperlink r:id="rId1560" ref="D781"/>
    <hyperlink r:id="rId1561" ref="B782"/>
    <hyperlink r:id="rId1562" ref="D782"/>
    <hyperlink r:id="rId1563" ref="B783"/>
    <hyperlink r:id="rId1564" ref="D783"/>
    <hyperlink r:id="rId1565" ref="B784"/>
    <hyperlink r:id="rId1566" ref="D784"/>
    <hyperlink r:id="rId1567" ref="B785"/>
    <hyperlink r:id="rId1568" ref="D785"/>
    <hyperlink r:id="rId1569" ref="B786"/>
    <hyperlink r:id="rId1570" ref="D786"/>
    <hyperlink r:id="rId1571" ref="B787"/>
    <hyperlink r:id="rId1572" ref="D787"/>
    <hyperlink r:id="rId1573" ref="B788"/>
    <hyperlink r:id="rId1574" ref="D788"/>
    <hyperlink r:id="rId1575" ref="B789"/>
    <hyperlink r:id="rId1576" ref="D789"/>
    <hyperlink r:id="rId1577" ref="B790"/>
    <hyperlink r:id="rId1578" ref="D790"/>
    <hyperlink r:id="rId1579" ref="B791"/>
    <hyperlink r:id="rId1580" ref="D791"/>
    <hyperlink r:id="rId1581" ref="B792"/>
    <hyperlink r:id="rId1582" ref="D792"/>
    <hyperlink r:id="rId1583" ref="B793"/>
    <hyperlink r:id="rId1584" ref="D793"/>
    <hyperlink r:id="rId1585" ref="B794"/>
    <hyperlink r:id="rId1586" ref="D794"/>
    <hyperlink r:id="rId1587" ref="B795"/>
    <hyperlink r:id="rId1588" ref="D795"/>
    <hyperlink r:id="rId1589" ref="B796"/>
    <hyperlink r:id="rId1590" ref="D796"/>
    <hyperlink r:id="rId1591" ref="B797"/>
    <hyperlink r:id="rId1592" ref="D797"/>
    <hyperlink r:id="rId1593" ref="B798"/>
    <hyperlink r:id="rId1594" ref="D798"/>
    <hyperlink r:id="rId1595" ref="B799"/>
    <hyperlink r:id="rId1596" ref="D799"/>
    <hyperlink r:id="rId1597" ref="B800"/>
    <hyperlink r:id="rId1598" ref="D800"/>
    <hyperlink r:id="rId1599" ref="B801"/>
    <hyperlink r:id="rId1600" ref="D801"/>
    <hyperlink r:id="rId1601" ref="B802"/>
    <hyperlink r:id="rId1602" ref="D802"/>
    <hyperlink r:id="rId1603" ref="B803"/>
    <hyperlink r:id="rId1604" ref="D803"/>
    <hyperlink r:id="rId1605" ref="B804"/>
    <hyperlink r:id="rId1606" ref="D804"/>
    <hyperlink r:id="rId1607" ref="B805"/>
    <hyperlink r:id="rId1608" ref="D805"/>
    <hyperlink r:id="rId1609" ref="B806"/>
    <hyperlink r:id="rId1610" ref="D806"/>
    <hyperlink r:id="rId1611" ref="B807"/>
    <hyperlink r:id="rId1612" ref="D807"/>
    <hyperlink r:id="rId1613" ref="B808"/>
    <hyperlink r:id="rId1614" ref="D808"/>
    <hyperlink r:id="rId1615" ref="B809"/>
    <hyperlink r:id="rId1616" ref="D809"/>
    <hyperlink r:id="rId1617" ref="B810"/>
    <hyperlink r:id="rId1618" ref="D810"/>
    <hyperlink r:id="rId1619" ref="B811"/>
    <hyperlink r:id="rId1620" ref="D811"/>
    <hyperlink r:id="rId1621" ref="B812"/>
    <hyperlink r:id="rId1622" ref="D812"/>
    <hyperlink r:id="rId1623" ref="B813"/>
    <hyperlink r:id="rId1624" ref="D813"/>
    <hyperlink r:id="rId1625" ref="B814"/>
    <hyperlink r:id="rId1626" ref="D814"/>
    <hyperlink r:id="rId1627" ref="B815"/>
    <hyperlink r:id="rId1628" ref="D815"/>
    <hyperlink r:id="rId1629" ref="B816"/>
    <hyperlink r:id="rId1630" ref="D816"/>
    <hyperlink r:id="rId1631" ref="B817"/>
    <hyperlink r:id="rId1632" ref="D817"/>
    <hyperlink r:id="rId1633" ref="B818"/>
    <hyperlink r:id="rId1634" ref="D818"/>
    <hyperlink r:id="rId1635" ref="B819"/>
    <hyperlink r:id="rId1636" ref="D819"/>
    <hyperlink r:id="rId1637" ref="B820"/>
    <hyperlink r:id="rId1638" ref="D820"/>
    <hyperlink r:id="rId1639" ref="B821"/>
    <hyperlink r:id="rId1640" ref="D821"/>
    <hyperlink r:id="rId1641" ref="B822"/>
    <hyperlink r:id="rId1642" ref="D822"/>
    <hyperlink r:id="rId1643" ref="B823"/>
    <hyperlink r:id="rId1644" ref="D823"/>
    <hyperlink r:id="rId1645" ref="B824"/>
    <hyperlink r:id="rId1646" ref="D824"/>
    <hyperlink r:id="rId1647" ref="B825"/>
    <hyperlink r:id="rId1648" ref="D825"/>
    <hyperlink r:id="rId1649" ref="B826"/>
    <hyperlink r:id="rId1650" ref="D826"/>
    <hyperlink r:id="rId1651" ref="B827"/>
    <hyperlink r:id="rId1652" ref="D827"/>
    <hyperlink r:id="rId1653" ref="B828"/>
    <hyperlink r:id="rId1654" ref="D828"/>
    <hyperlink r:id="rId1655" ref="B829"/>
    <hyperlink r:id="rId1656" ref="D829"/>
    <hyperlink r:id="rId1657" ref="B830"/>
    <hyperlink r:id="rId1658" ref="D830"/>
    <hyperlink r:id="rId1659" ref="B831"/>
    <hyperlink r:id="rId1660" ref="D831"/>
    <hyperlink r:id="rId1661" ref="B832"/>
    <hyperlink r:id="rId1662" ref="D832"/>
    <hyperlink r:id="rId1663" ref="B833"/>
    <hyperlink r:id="rId1664" ref="D833"/>
    <hyperlink r:id="rId1665" ref="B834"/>
    <hyperlink r:id="rId1666" ref="D834"/>
    <hyperlink r:id="rId1667" ref="B835"/>
    <hyperlink r:id="rId1668" ref="D835"/>
    <hyperlink r:id="rId1669" ref="B836"/>
    <hyperlink r:id="rId1670" ref="D836"/>
    <hyperlink r:id="rId1671" ref="B837"/>
    <hyperlink r:id="rId1672" ref="D837"/>
    <hyperlink r:id="rId1673" ref="B838"/>
    <hyperlink r:id="rId1674" ref="D838"/>
    <hyperlink r:id="rId1675" ref="B839"/>
    <hyperlink r:id="rId1676" ref="D839"/>
    <hyperlink r:id="rId1677" ref="B840"/>
    <hyperlink r:id="rId1678" ref="D840"/>
    <hyperlink r:id="rId1679" ref="B841"/>
    <hyperlink r:id="rId1680" ref="D841"/>
    <hyperlink r:id="rId1681" ref="B842"/>
    <hyperlink r:id="rId1682" ref="D842"/>
    <hyperlink r:id="rId1683" ref="B843"/>
    <hyperlink r:id="rId1684" ref="D843"/>
    <hyperlink r:id="rId1685" ref="B844"/>
    <hyperlink r:id="rId1686" ref="D844"/>
    <hyperlink r:id="rId1687" ref="B845"/>
    <hyperlink r:id="rId1688" ref="D845"/>
    <hyperlink r:id="rId1689" ref="B846"/>
    <hyperlink r:id="rId1690" ref="D846"/>
    <hyperlink r:id="rId1691" ref="B847"/>
    <hyperlink r:id="rId1692" ref="D847"/>
    <hyperlink r:id="rId1693" ref="B848"/>
    <hyperlink r:id="rId1694" ref="D848"/>
    <hyperlink r:id="rId1695" ref="B849"/>
    <hyperlink r:id="rId1696" ref="D849"/>
    <hyperlink r:id="rId1697" ref="B850"/>
    <hyperlink r:id="rId1698" ref="D850"/>
    <hyperlink r:id="rId1699" ref="B851"/>
    <hyperlink r:id="rId1700" ref="D851"/>
    <hyperlink r:id="rId1701" ref="B852"/>
    <hyperlink r:id="rId1702" ref="D852"/>
    <hyperlink r:id="rId1703" ref="B853"/>
    <hyperlink r:id="rId1704" ref="D853"/>
    <hyperlink r:id="rId1705" ref="B854"/>
    <hyperlink r:id="rId1706" ref="D854"/>
    <hyperlink r:id="rId1707" ref="B855"/>
    <hyperlink r:id="rId1708" ref="D855"/>
    <hyperlink r:id="rId1709" ref="B856"/>
    <hyperlink r:id="rId1710" ref="D856"/>
    <hyperlink r:id="rId1711" ref="B857"/>
    <hyperlink r:id="rId1712" ref="D857"/>
    <hyperlink r:id="rId1713" ref="B858"/>
    <hyperlink r:id="rId1714" ref="D858"/>
    <hyperlink r:id="rId1715" ref="B859"/>
    <hyperlink r:id="rId1716" ref="D859"/>
    <hyperlink r:id="rId1717" ref="B860"/>
    <hyperlink r:id="rId1718" ref="D860"/>
    <hyperlink r:id="rId1719" ref="B861"/>
    <hyperlink r:id="rId1720" ref="D861"/>
    <hyperlink r:id="rId1721" ref="B862"/>
    <hyperlink r:id="rId1722" ref="D862"/>
    <hyperlink r:id="rId1723" ref="B863"/>
    <hyperlink r:id="rId1724" ref="D863"/>
    <hyperlink r:id="rId1725" ref="B864"/>
    <hyperlink r:id="rId1726" ref="D864"/>
    <hyperlink r:id="rId1727" ref="B865"/>
    <hyperlink r:id="rId1728" ref="D865"/>
    <hyperlink r:id="rId1729" ref="B866"/>
    <hyperlink r:id="rId1730" ref="D866"/>
    <hyperlink r:id="rId1731" ref="B867"/>
    <hyperlink r:id="rId1732" ref="D867"/>
    <hyperlink r:id="rId1733" ref="B868"/>
    <hyperlink r:id="rId1734" ref="D868"/>
    <hyperlink r:id="rId1735" ref="B869"/>
    <hyperlink r:id="rId1736" ref="D869"/>
    <hyperlink r:id="rId1737" ref="B870"/>
    <hyperlink r:id="rId1738" ref="D870"/>
    <hyperlink r:id="rId1739" ref="B871"/>
    <hyperlink r:id="rId1740" ref="D871"/>
    <hyperlink r:id="rId1741" ref="B872"/>
    <hyperlink r:id="rId1742" ref="D872"/>
    <hyperlink r:id="rId1743" ref="B873"/>
    <hyperlink r:id="rId1744" ref="D873"/>
    <hyperlink r:id="rId1745" ref="B874"/>
    <hyperlink r:id="rId1746" ref="D874"/>
    <hyperlink r:id="rId1747" ref="B875"/>
    <hyperlink r:id="rId1748" ref="D875"/>
    <hyperlink r:id="rId1749" ref="B876"/>
    <hyperlink r:id="rId1750" ref="D876"/>
    <hyperlink r:id="rId1751" ref="B877"/>
    <hyperlink r:id="rId1752" ref="D877"/>
    <hyperlink r:id="rId1753" ref="B878"/>
    <hyperlink r:id="rId1754" ref="D878"/>
    <hyperlink r:id="rId1755" ref="B879"/>
    <hyperlink r:id="rId1756" ref="D879"/>
    <hyperlink r:id="rId1757" ref="B880"/>
    <hyperlink r:id="rId1758" ref="D880"/>
    <hyperlink r:id="rId1759" ref="B881"/>
    <hyperlink r:id="rId1760" ref="D881"/>
    <hyperlink r:id="rId1761" ref="B882"/>
    <hyperlink r:id="rId1762" ref="D882"/>
    <hyperlink r:id="rId1763" ref="B883"/>
    <hyperlink r:id="rId1764" ref="D883"/>
    <hyperlink r:id="rId1765" ref="B884"/>
    <hyperlink r:id="rId1766" ref="D884"/>
    <hyperlink r:id="rId1767" ref="B885"/>
    <hyperlink r:id="rId1768" ref="D885"/>
    <hyperlink r:id="rId1769" ref="B886"/>
    <hyperlink r:id="rId1770" ref="D886"/>
    <hyperlink r:id="rId1771" ref="B887"/>
    <hyperlink r:id="rId1772" ref="D887"/>
    <hyperlink r:id="rId1773" ref="B888"/>
    <hyperlink r:id="rId1774" ref="D888"/>
    <hyperlink r:id="rId1775" ref="B889"/>
    <hyperlink r:id="rId1776" ref="D889"/>
    <hyperlink r:id="rId1777" ref="B890"/>
    <hyperlink r:id="rId1778" ref="D890"/>
    <hyperlink r:id="rId1779" ref="B891"/>
    <hyperlink r:id="rId1780" ref="D891"/>
    <hyperlink r:id="rId1781" ref="B892"/>
    <hyperlink r:id="rId1782" ref="D892"/>
    <hyperlink r:id="rId1783" ref="B893"/>
    <hyperlink r:id="rId1784" ref="D893"/>
    <hyperlink r:id="rId1785" ref="B894"/>
    <hyperlink r:id="rId1786" ref="D894"/>
    <hyperlink r:id="rId1787" ref="B895"/>
    <hyperlink r:id="rId1788" ref="D895"/>
    <hyperlink r:id="rId1789" ref="B896"/>
    <hyperlink r:id="rId1790" ref="D896"/>
    <hyperlink r:id="rId1791" ref="B897"/>
    <hyperlink r:id="rId1792" ref="D897"/>
    <hyperlink r:id="rId1793" ref="B898"/>
    <hyperlink r:id="rId1794" ref="D898"/>
    <hyperlink r:id="rId1795" ref="B899"/>
    <hyperlink r:id="rId1796" ref="D899"/>
    <hyperlink r:id="rId1797" ref="B900"/>
    <hyperlink r:id="rId1798" ref="D900"/>
    <hyperlink r:id="rId1799" ref="B901"/>
    <hyperlink r:id="rId1800" ref="D901"/>
    <hyperlink r:id="rId1801" ref="B902"/>
    <hyperlink r:id="rId1802" ref="D902"/>
    <hyperlink r:id="rId1803" ref="B903"/>
    <hyperlink r:id="rId1804" ref="D903"/>
    <hyperlink r:id="rId1805" ref="B904"/>
    <hyperlink r:id="rId1806" ref="D904"/>
    <hyperlink r:id="rId1807" ref="B905"/>
    <hyperlink r:id="rId1808" ref="D905"/>
    <hyperlink r:id="rId1809" ref="B906"/>
    <hyperlink r:id="rId1810" ref="D906"/>
    <hyperlink r:id="rId1811" ref="B907"/>
    <hyperlink r:id="rId1812" ref="D907"/>
    <hyperlink r:id="rId1813" ref="B908"/>
    <hyperlink r:id="rId1814" ref="D908"/>
    <hyperlink r:id="rId1815" ref="B909"/>
    <hyperlink r:id="rId1816" ref="D909"/>
    <hyperlink r:id="rId1817" ref="B910"/>
    <hyperlink r:id="rId1818" ref="D910"/>
    <hyperlink r:id="rId1819" ref="B911"/>
    <hyperlink r:id="rId1820" ref="D911"/>
    <hyperlink r:id="rId1821" ref="B912"/>
    <hyperlink r:id="rId1822" ref="D912"/>
    <hyperlink r:id="rId1823" ref="B913"/>
    <hyperlink r:id="rId1824" ref="D913"/>
    <hyperlink r:id="rId1825" ref="B914"/>
    <hyperlink r:id="rId1826" ref="D914"/>
    <hyperlink r:id="rId1827" ref="B915"/>
    <hyperlink r:id="rId1828" ref="D915"/>
    <hyperlink r:id="rId1829" ref="B916"/>
    <hyperlink r:id="rId1830" ref="D916"/>
    <hyperlink r:id="rId1831" ref="B917"/>
    <hyperlink r:id="rId1832" ref="D917"/>
    <hyperlink r:id="rId1833" ref="B918"/>
    <hyperlink r:id="rId1834" ref="D918"/>
    <hyperlink r:id="rId1835" ref="B919"/>
    <hyperlink r:id="rId1836" ref="D919"/>
    <hyperlink r:id="rId1837" ref="B920"/>
    <hyperlink r:id="rId1838" ref="D920"/>
    <hyperlink r:id="rId1839" ref="B921"/>
    <hyperlink r:id="rId1840" ref="D921"/>
    <hyperlink r:id="rId1841" ref="B922"/>
    <hyperlink r:id="rId1842" ref="D922"/>
    <hyperlink r:id="rId1843" ref="B923"/>
    <hyperlink r:id="rId1844" ref="D923"/>
    <hyperlink r:id="rId1845" ref="B924"/>
    <hyperlink r:id="rId1846" ref="D924"/>
    <hyperlink r:id="rId1847" ref="B925"/>
    <hyperlink r:id="rId1848" ref="D925"/>
    <hyperlink r:id="rId1849" ref="B926"/>
    <hyperlink r:id="rId1850" ref="D926"/>
    <hyperlink r:id="rId1851" ref="B927"/>
    <hyperlink r:id="rId1852" ref="D927"/>
    <hyperlink r:id="rId1853" ref="B928"/>
    <hyperlink r:id="rId1854" ref="D928"/>
    <hyperlink r:id="rId1855" ref="B929"/>
    <hyperlink r:id="rId1856" ref="D929"/>
    <hyperlink r:id="rId1857" ref="B930"/>
    <hyperlink r:id="rId1858" ref="D930"/>
    <hyperlink r:id="rId1859" ref="B931"/>
    <hyperlink r:id="rId1860" ref="D931"/>
    <hyperlink r:id="rId1861" ref="B932"/>
    <hyperlink r:id="rId1862" ref="D932"/>
    <hyperlink r:id="rId1863" ref="B933"/>
    <hyperlink r:id="rId1864" ref="D933"/>
    <hyperlink r:id="rId1865" ref="B934"/>
    <hyperlink r:id="rId1866" ref="D934"/>
    <hyperlink r:id="rId1867" ref="B935"/>
    <hyperlink r:id="rId1868" ref="D935"/>
    <hyperlink r:id="rId1869" ref="B936"/>
    <hyperlink r:id="rId1870" ref="D936"/>
    <hyperlink r:id="rId1871" ref="B937"/>
    <hyperlink r:id="rId1872" ref="D937"/>
    <hyperlink r:id="rId1873" ref="B938"/>
    <hyperlink r:id="rId1874" ref="D938"/>
    <hyperlink r:id="rId1875" ref="B939"/>
    <hyperlink r:id="rId1876" ref="D939"/>
    <hyperlink r:id="rId1877" ref="B940"/>
    <hyperlink r:id="rId1878" ref="D940"/>
    <hyperlink r:id="rId1879" ref="B941"/>
    <hyperlink r:id="rId1880" ref="D941"/>
    <hyperlink r:id="rId1881" ref="B942"/>
    <hyperlink r:id="rId1882" ref="D942"/>
    <hyperlink r:id="rId1883" ref="B943"/>
    <hyperlink r:id="rId1884" ref="D943"/>
    <hyperlink r:id="rId1885" ref="B944"/>
    <hyperlink r:id="rId1886" ref="D944"/>
    <hyperlink r:id="rId1887" ref="B945"/>
    <hyperlink r:id="rId1888" ref="D945"/>
    <hyperlink r:id="rId1889" ref="B946"/>
    <hyperlink r:id="rId1890" ref="D946"/>
    <hyperlink r:id="rId1891" ref="B947"/>
    <hyperlink r:id="rId1892" ref="D947"/>
    <hyperlink r:id="rId1893" ref="B948"/>
    <hyperlink r:id="rId1894" ref="D948"/>
    <hyperlink r:id="rId1895" ref="B949"/>
    <hyperlink r:id="rId1896" ref="D949"/>
    <hyperlink r:id="rId1897" ref="B950"/>
    <hyperlink r:id="rId1898" ref="D950"/>
    <hyperlink r:id="rId1899" ref="B951"/>
    <hyperlink r:id="rId1900" ref="D951"/>
    <hyperlink r:id="rId1901" ref="B952"/>
    <hyperlink r:id="rId1902" ref="D952"/>
    <hyperlink r:id="rId1903" ref="B953"/>
    <hyperlink r:id="rId1904" ref="D953"/>
    <hyperlink r:id="rId1905" ref="B954"/>
    <hyperlink r:id="rId1906" ref="D954"/>
    <hyperlink r:id="rId1907" ref="B955"/>
    <hyperlink r:id="rId1908" ref="D955"/>
    <hyperlink r:id="rId1909" ref="B956"/>
    <hyperlink r:id="rId1910" ref="D956"/>
    <hyperlink r:id="rId1911" ref="B957"/>
    <hyperlink r:id="rId1912" ref="D957"/>
    <hyperlink r:id="rId1913" ref="B958"/>
    <hyperlink r:id="rId1914" ref="D958"/>
    <hyperlink r:id="rId1915" ref="B959"/>
    <hyperlink r:id="rId1916" ref="D959"/>
    <hyperlink r:id="rId1917" ref="B960"/>
    <hyperlink r:id="rId1918" ref="D960"/>
    <hyperlink r:id="rId1919" ref="B961"/>
    <hyperlink r:id="rId1920" ref="D961"/>
    <hyperlink r:id="rId1921" ref="B962"/>
    <hyperlink r:id="rId1922" ref="D962"/>
    <hyperlink r:id="rId1923" ref="B963"/>
    <hyperlink r:id="rId1924" ref="D963"/>
    <hyperlink r:id="rId1925" ref="B964"/>
    <hyperlink r:id="rId1926" ref="D964"/>
    <hyperlink r:id="rId1927" ref="B965"/>
    <hyperlink r:id="rId1928" ref="D965"/>
    <hyperlink r:id="rId1929" ref="B966"/>
    <hyperlink r:id="rId1930" ref="D966"/>
    <hyperlink r:id="rId1931" ref="B967"/>
    <hyperlink r:id="rId1932" ref="D967"/>
    <hyperlink r:id="rId1933" ref="B968"/>
    <hyperlink r:id="rId1934" ref="D968"/>
    <hyperlink r:id="rId1935" ref="B969"/>
    <hyperlink r:id="rId1936" ref="D969"/>
    <hyperlink r:id="rId1937" ref="B970"/>
    <hyperlink r:id="rId1938" ref="D970"/>
    <hyperlink r:id="rId1939" ref="B971"/>
    <hyperlink r:id="rId1940" ref="D971"/>
    <hyperlink r:id="rId1941" ref="B972"/>
    <hyperlink r:id="rId1942" ref="D972"/>
    <hyperlink r:id="rId1943" ref="B973"/>
    <hyperlink r:id="rId1944" ref="D973"/>
    <hyperlink r:id="rId1945" ref="B974"/>
    <hyperlink r:id="rId1946" ref="D974"/>
    <hyperlink r:id="rId1947" ref="B975"/>
    <hyperlink r:id="rId1948" ref="D975"/>
    <hyperlink r:id="rId1949" ref="B976"/>
    <hyperlink r:id="rId1950" ref="D976"/>
    <hyperlink r:id="rId1951" ref="B977"/>
    <hyperlink r:id="rId1952" ref="D977"/>
    <hyperlink r:id="rId1953" ref="B978"/>
    <hyperlink r:id="rId1954" ref="D978"/>
    <hyperlink r:id="rId1955" ref="B979"/>
    <hyperlink r:id="rId1956" ref="D979"/>
    <hyperlink r:id="rId1957" ref="B980"/>
    <hyperlink r:id="rId1958" ref="D980"/>
    <hyperlink r:id="rId1959" ref="B981"/>
    <hyperlink r:id="rId1960" ref="D981"/>
    <hyperlink r:id="rId1961" ref="B982"/>
    <hyperlink r:id="rId1962" ref="D982"/>
    <hyperlink r:id="rId1963" ref="B983"/>
    <hyperlink r:id="rId1964" ref="D983"/>
    <hyperlink r:id="rId1965" ref="B984"/>
    <hyperlink r:id="rId1966" ref="D984"/>
    <hyperlink r:id="rId1967" ref="B985"/>
    <hyperlink r:id="rId1968" ref="D985"/>
    <hyperlink r:id="rId1969" ref="B986"/>
    <hyperlink r:id="rId1970" ref="D986"/>
    <hyperlink r:id="rId1971" ref="B987"/>
    <hyperlink r:id="rId1972" ref="D987"/>
    <hyperlink r:id="rId1973" ref="B988"/>
    <hyperlink r:id="rId1974" ref="D988"/>
    <hyperlink r:id="rId1975" ref="B989"/>
    <hyperlink r:id="rId1976" ref="D989"/>
    <hyperlink r:id="rId1977" ref="B990"/>
    <hyperlink r:id="rId1978" ref="D990"/>
    <hyperlink r:id="rId1979" ref="B991"/>
    <hyperlink r:id="rId1980" ref="D991"/>
    <hyperlink r:id="rId1981" ref="B992"/>
    <hyperlink r:id="rId1982" ref="D992"/>
    <hyperlink r:id="rId1983" ref="B993"/>
    <hyperlink r:id="rId1984" ref="D993"/>
    <hyperlink r:id="rId1985" ref="B994"/>
    <hyperlink r:id="rId1986" ref="D994"/>
    <hyperlink r:id="rId1987" ref="B995"/>
    <hyperlink r:id="rId1988" ref="D995"/>
    <hyperlink r:id="rId1989" ref="B996"/>
    <hyperlink r:id="rId1990" ref="D996"/>
    <hyperlink r:id="rId1991" ref="B997"/>
    <hyperlink r:id="rId1992" ref="D997"/>
    <hyperlink r:id="rId1993" ref="B998"/>
    <hyperlink r:id="rId1994" ref="D998"/>
    <hyperlink r:id="rId1995" ref="B999"/>
    <hyperlink r:id="rId1996" ref="D999"/>
    <hyperlink r:id="rId1997" ref="B1000"/>
    <hyperlink r:id="rId1998" ref="D1000"/>
    <hyperlink r:id="rId1999" ref="B1001"/>
    <hyperlink r:id="rId2000" ref="D1001"/>
    <hyperlink r:id="rId2001" ref="B1002"/>
    <hyperlink r:id="rId2002" ref="D1002"/>
    <hyperlink r:id="rId2003" ref="B1003"/>
    <hyperlink r:id="rId2004" ref="D1003"/>
    <hyperlink r:id="rId2005" ref="B1004"/>
    <hyperlink r:id="rId2006" ref="D1004"/>
    <hyperlink r:id="rId2007" ref="B1005"/>
    <hyperlink r:id="rId2008" ref="D1005"/>
    <hyperlink r:id="rId2009" ref="B1006"/>
    <hyperlink r:id="rId2010" ref="D1006"/>
    <hyperlink r:id="rId2011" ref="B1007"/>
    <hyperlink r:id="rId2012" ref="D1007"/>
    <hyperlink r:id="rId2013" ref="B1008"/>
    <hyperlink r:id="rId2014" ref="D1008"/>
    <hyperlink r:id="rId2015" ref="B1009"/>
    <hyperlink r:id="rId2016" ref="D1009"/>
    <hyperlink r:id="rId2017" ref="B1010"/>
    <hyperlink r:id="rId2018" ref="D1010"/>
    <hyperlink r:id="rId2019" ref="B1011"/>
    <hyperlink r:id="rId2020" ref="D1011"/>
    <hyperlink r:id="rId2021" ref="B1012"/>
    <hyperlink r:id="rId2022" ref="D1012"/>
    <hyperlink r:id="rId2023" ref="B1013"/>
    <hyperlink r:id="rId2024" ref="D1013"/>
    <hyperlink r:id="rId2025" ref="B1014"/>
    <hyperlink r:id="rId2026" ref="D1014"/>
    <hyperlink r:id="rId2027" ref="B1015"/>
    <hyperlink r:id="rId2028" ref="D1015"/>
    <hyperlink r:id="rId2029" ref="B1016"/>
    <hyperlink r:id="rId2030" ref="D1016"/>
    <hyperlink r:id="rId2031" ref="B1017"/>
    <hyperlink r:id="rId2032" ref="D1017"/>
    <hyperlink r:id="rId2033" ref="B1018"/>
    <hyperlink r:id="rId2034" ref="D1018"/>
    <hyperlink r:id="rId2035" ref="B1019"/>
    <hyperlink r:id="rId2036" ref="D1019"/>
    <hyperlink r:id="rId2037" ref="B1020"/>
    <hyperlink r:id="rId2038" ref="D1020"/>
    <hyperlink r:id="rId2039" ref="B1021"/>
    <hyperlink r:id="rId2040" ref="D1021"/>
    <hyperlink r:id="rId2041" ref="B1022"/>
    <hyperlink r:id="rId2042" ref="D1022"/>
    <hyperlink r:id="rId2043" ref="B1023"/>
    <hyperlink r:id="rId2044" ref="D1023"/>
    <hyperlink r:id="rId2045" ref="B1024"/>
    <hyperlink r:id="rId2046" ref="D1024"/>
    <hyperlink r:id="rId2047" ref="B1025"/>
    <hyperlink r:id="rId2048" ref="D1025"/>
    <hyperlink r:id="rId2049" ref="B1026"/>
    <hyperlink r:id="rId2050" ref="D1026"/>
    <hyperlink r:id="rId2051" ref="B1027"/>
    <hyperlink r:id="rId2052" ref="D1027"/>
    <hyperlink r:id="rId2053" ref="B1028"/>
    <hyperlink r:id="rId2054" ref="D1028"/>
    <hyperlink r:id="rId2055" ref="B1029"/>
    <hyperlink r:id="rId2056" ref="D1029"/>
    <hyperlink r:id="rId2057" ref="B1030"/>
    <hyperlink r:id="rId2058" ref="D1030"/>
    <hyperlink r:id="rId2059" ref="B1031"/>
    <hyperlink r:id="rId2060" ref="D1031"/>
    <hyperlink r:id="rId2061" ref="B1032"/>
    <hyperlink r:id="rId2062" ref="D1032"/>
    <hyperlink r:id="rId2063" ref="B1033"/>
    <hyperlink r:id="rId2064" ref="D1033"/>
    <hyperlink r:id="rId2065" ref="B1034"/>
    <hyperlink r:id="rId2066" ref="D1034"/>
    <hyperlink r:id="rId2067" ref="B1035"/>
    <hyperlink r:id="rId2068" ref="D1035"/>
    <hyperlink r:id="rId2069" ref="B1036"/>
    <hyperlink r:id="rId2070" ref="D1036"/>
    <hyperlink r:id="rId2071" ref="B1037"/>
    <hyperlink r:id="rId2072" ref="D1037"/>
    <hyperlink r:id="rId2073" ref="B1038"/>
    <hyperlink r:id="rId2074" ref="D1038"/>
    <hyperlink r:id="rId2075" ref="B1039"/>
    <hyperlink r:id="rId2076" ref="D1039"/>
    <hyperlink r:id="rId2077" ref="B1040"/>
    <hyperlink r:id="rId2078" ref="D1040"/>
    <hyperlink r:id="rId2079" ref="B1041"/>
    <hyperlink r:id="rId2080" ref="D1041"/>
    <hyperlink r:id="rId2081" ref="B1042"/>
    <hyperlink r:id="rId2082" ref="D1042"/>
    <hyperlink r:id="rId2083" ref="B1043"/>
    <hyperlink r:id="rId2084" ref="D1043"/>
    <hyperlink r:id="rId2085" ref="B1044"/>
    <hyperlink r:id="rId2086" ref="D1044"/>
    <hyperlink r:id="rId2087" ref="B1045"/>
    <hyperlink r:id="rId2088" ref="D1045"/>
    <hyperlink r:id="rId2089" ref="B1046"/>
    <hyperlink r:id="rId2090" ref="D1046"/>
    <hyperlink r:id="rId2091" ref="B1047"/>
    <hyperlink r:id="rId2092" ref="D1047"/>
    <hyperlink r:id="rId2093" ref="B1048"/>
    <hyperlink r:id="rId2094" ref="D1048"/>
    <hyperlink r:id="rId2095" ref="B1049"/>
    <hyperlink r:id="rId2096" ref="D1049"/>
    <hyperlink r:id="rId2097" ref="B1050"/>
    <hyperlink r:id="rId2098" ref="D1050"/>
    <hyperlink r:id="rId2099" ref="B1051"/>
    <hyperlink r:id="rId2100" ref="D1051"/>
    <hyperlink r:id="rId2101" ref="B1052"/>
    <hyperlink r:id="rId2102" ref="D1052"/>
    <hyperlink r:id="rId2103" ref="B1053"/>
    <hyperlink r:id="rId2104" ref="D1053"/>
    <hyperlink r:id="rId2105" ref="B1054"/>
    <hyperlink r:id="rId2106" ref="D1054"/>
    <hyperlink r:id="rId2107" ref="B1055"/>
    <hyperlink r:id="rId2108" ref="D1055"/>
    <hyperlink r:id="rId2109" ref="B1056"/>
    <hyperlink r:id="rId2110" ref="D1056"/>
    <hyperlink r:id="rId2111" ref="B1057"/>
    <hyperlink r:id="rId2112" ref="D1057"/>
    <hyperlink r:id="rId2113" ref="B1058"/>
    <hyperlink r:id="rId2114" ref="D1058"/>
    <hyperlink r:id="rId2115" ref="B1059"/>
    <hyperlink r:id="rId2116" ref="D1059"/>
    <hyperlink r:id="rId2117" ref="B1060"/>
    <hyperlink r:id="rId2118" ref="D1060"/>
    <hyperlink r:id="rId2119" ref="B1061"/>
    <hyperlink r:id="rId2120" ref="D1061"/>
    <hyperlink r:id="rId2121" ref="B1062"/>
    <hyperlink r:id="rId2122" ref="D1062"/>
    <hyperlink r:id="rId2123" ref="B1063"/>
    <hyperlink r:id="rId2124" ref="D1063"/>
    <hyperlink r:id="rId2125" ref="B1064"/>
    <hyperlink r:id="rId2126" ref="D1064"/>
    <hyperlink r:id="rId2127" ref="B1065"/>
    <hyperlink r:id="rId2128" ref="D1065"/>
    <hyperlink r:id="rId2129" ref="B1066"/>
    <hyperlink r:id="rId2130" ref="D1066"/>
    <hyperlink r:id="rId2131" ref="B1067"/>
    <hyperlink r:id="rId2132" ref="D1067"/>
    <hyperlink r:id="rId2133" ref="B1068"/>
    <hyperlink r:id="rId2134" ref="D1068"/>
    <hyperlink r:id="rId2135" ref="B1069"/>
    <hyperlink r:id="rId2136" ref="D1069"/>
    <hyperlink r:id="rId2137" ref="B1070"/>
    <hyperlink r:id="rId2138" ref="D1070"/>
    <hyperlink r:id="rId2139" ref="B1071"/>
    <hyperlink r:id="rId2140" ref="D1071"/>
    <hyperlink r:id="rId2141" ref="B1072"/>
    <hyperlink r:id="rId2142" ref="D1072"/>
    <hyperlink r:id="rId2143" ref="B1073"/>
    <hyperlink r:id="rId2144" ref="D1073"/>
    <hyperlink r:id="rId2145" ref="B1074"/>
    <hyperlink r:id="rId2146" ref="D1074"/>
    <hyperlink r:id="rId2147" ref="B1075"/>
    <hyperlink r:id="rId2148" ref="D1075"/>
    <hyperlink r:id="rId2149" ref="B1076"/>
    <hyperlink r:id="rId2150" ref="D1076"/>
    <hyperlink r:id="rId2151" ref="B1077"/>
    <hyperlink r:id="rId2152" ref="D1077"/>
    <hyperlink r:id="rId2153" ref="B1078"/>
    <hyperlink r:id="rId2154" ref="D1078"/>
    <hyperlink r:id="rId2155" ref="B1079"/>
    <hyperlink r:id="rId2156" ref="D1079"/>
    <hyperlink r:id="rId2157" ref="B1080"/>
    <hyperlink r:id="rId2158" ref="D1080"/>
    <hyperlink r:id="rId2159" ref="B1081"/>
    <hyperlink r:id="rId2160" ref="D1081"/>
    <hyperlink r:id="rId2161" ref="B1082"/>
    <hyperlink r:id="rId2162" ref="D1082"/>
    <hyperlink r:id="rId2163" ref="B1083"/>
    <hyperlink r:id="rId2164" ref="D1083"/>
    <hyperlink r:id="rId2165" ref="B1084"/>
    <hyperlink r:id="rId2166" ref="D1084"/>
    <hyperlink r:id="rId2167" ref="B1085"/>
    <hyperlink r:id="rId2168" ref="D1085"/>
    <hyperlink r:id="rId2169" ref="B1086"/>
    <hyperlink r:id="rId2170" ref="D1086"/>
    <hyperlink r:id="rId2171" ref="B1087"/>
    <hyperlink r:id="rId2172" ref="D1087"/>
    <hyperlink r:id="rId2173" ref="B1088"/>
    <hyperlink r:id="rId2174" ref="D1088"/>
    <hyperlink r:id="rId2175" ref="B1089"/>
    <hyperlink r:id="rId2176" ref="D1089"/>
    <hyperlink r:id="rId2177" ref="B1090"/>
    <hyperlink r:id="rId2178" ref="D1090"/>
    <hyperlink r:id="rId2179" ref="B1091"/>
    <hyperlink r:id="rId2180" ref="D1091"/>
    <hyperlink r:id="rId2181" ref="B1092"/>
    <hyperlink r:id="rId2182" ref="D1092"/>
    <hyperlink r:id="rId2183" ref="B1093"/>
    <hyperlink r:id="rId2184" ref="D1093"/>
    <hyperlink r:id="rId2185" ref="B1094"/>
    <hyperlink r:id="rId2186" ref="D1094"/>
    <hyperlink r:id="rId2187" ref="B1095"/>
    <hyperlink r:id="rId2188" ref="D1095"/>
    <hyperlink r:id="rId2189" ref="B1096"/>
    <hyperlink r:id="rId2190" ref="D1096"/>
    <hyperlink r:id="rId2191" ref="B1097"/>
    <hyperlink r:id="rId2192" ref="D1097"/>
    <hyperlink r:id="rId2193" ref="B1098"/>
    <hyperlink r:id="rId2194" ref="D1098"/>
    <hyperlink r:id="rId2195" ref="B1099"/>
    <hyperlink r:id="rId2196" ref="D1099"/>
    <hyperlink r:id="rId2197" ref="B1100"/>
    <hyperlink r:id="rId2198" ref="D1100"/>
    <hyperlink r:id="rId2199" ref="B1101"/>
    <hyperlink r:id="rId2200" ref="D1101"/>
    <hyperlink r:id="rId2201" ref="B1102"/>
    <hyperlink r:id="rId2202" ref="D1102"/>
    <hyperlink r:id="rId2203" ref="B1103"/>
    <hyperlink r:id="rId2204" ref="D1103"/>
    <hyperlink r:id="rId2205" ref="B1104"/>
    <hyperlink r:id="rId2206" ref="D1104"/>
    <hyperlink r:id="rId2207" ref="B1105"/>
    <hyperlink r:id="rId2208" ref="D1105"/>
    <hyperlink r:id="rId2209" ref="B1106"/>
    <hyperlink r:id="rId2210" ref="D1106"/>
    <hyperlink r:id="rId2211" ref="B1107"/>
    <hyperlink r:id="rId2212" ref="D1107"/>
    <hyperlink r:id="rId2213" ref="B1108"/>
    <hyperlink r:id="rId2214" ref="D1108"/>
    <hyperlink r:id="rId2215" ref="B1109"/>
    <hyperlink r:id="rId2216" ref="D1109"/>
    <hyperlink r:id="rId2217" ref="B1110"/>
    <hyperlink r:id="rId2218" ref="D1110"/>
    <hyperlink r:id="rId2219" ref="B1111"/>
    <hyperlink r:id="rId2220" ref="D1111"/>
    <hyperlink r:id="rId2221" ref="B1112"/>
    <hyperlink r:id="rId2222" ref="D1112"/>
    <hyperlink r:id="rId2223" ref="B1113"/>
    <hyperlink r:id="rId2224" ref="D1113"/>
    <hyperlink r:id="rId2225" ref="B1114"/>
    <hyperlink r:id="rId2226" ref="D1114"/>
    <hyperlink r:id="rId2227" ref="B1115"/>
    <hyperlink r:id="rId2228" ref="D1115"/>
    <hyperlink r:id="rId2229" ref="B1116"/>
    <hyperlink r:id="rId2230" ref="D1116"/>
    <hyperlink r:id="rId2231" ref="B1117"/>
    <hyperlink r:id="rId2232" ref="D1117"/>
    <hyperlink r:id="rId2233" ref="B1118"/>
    <hyperlink r:id="rId2234" ref="D1118"/>
    <hyperlink r:id="rId2235" ref="B1119"/>
    <hyperlink r:id="rId2236" ref="D1119"/>
    <hyperlink r:id="rId2237" ref="B1120"/>
    <hyperlink r:id="rId2238" ref="D1120"/>
    <hyperlink r:id="rId2239" ref="B1121"/>
    <hyperlink r:id="rId2240" ref="D1121"/>
    <hyperlink r:id="rId2241" ref="B1122"/>
    <hyperlink r:id="rId2242" ref="D1122"/>
    <hyperlink r:id="rId2243" ref="B1123"/>
    <hyperlink r:id="rId2244" ref="D1123"/>
    <hyperlink r:id="rId2245" ref="B1124"/>
    <hyperlink r:id="rId2246" ref="D1124"/>
    <hyperlink r:id="rId2247" ref="B1125"/>
    <hyperlink r:id="rId2248" ref="D1125"/>
    <hyperlink r:id="rId2249" ref="B1126"/>
    <hyperlink r:id="rId2250" ref="D1126"/>
    <hyperlink r:id="rId2251" ref="B1127"/>
    <hyperlink r:id="rId2252" ref="D1127"/>
    <hyperlink r:id="rId2253" ref="B1128"/>
    <hyperlink r:id="rId2254" ref="D1128"/>
    <hyperlink r:id="rId2255" ref="B1129"/>
    <hyperlink r:id="rId2256" ref="D1129"/>
    <hyperlink r:id="rId2257" ref="B1130"/>
    <hyperlink r:id="rId2258" ref="D1130"/>
    <hyperlink r:id="rId2259" ref="B1131"/>
    <hyperlink r:id="rId2260" ref="D1131"/>
    <hyperlink r:id="rId2261" ref="B1132"/>
    <hyperlink r:id="rId2262" ref="D1132"/>
    <hyperlink r:id="rId2263" ref="B1133"/>
    <hyperlink r:id="rId2264" ref="D1133"/>
    <hyperlink r:id="rId2265" ref="B1134"/>
    <hyperlink r:id="rId2266" ref="D1134"/>
    <hyperlink r:id="rId2267" ref="B1135"/>
    <hyperlink r:id="rId2268" ref="D1135"/>
    <hyperlink r:id="rId2269" ref="B1136"/>
    <hyperlink r:id="rId2270" ref="D1136"/>
    <hyperlink r:id="rId2271" ref="B1137"/>
    <hyperlink r:id="rId2272" ref="D1137"/>
    <hyperlink r:id="rId2273" ref="B1138"/>
    <hyperlink r:id="rId2274" ref="D1138"/>
    <hyperlink r:id="rId2275" ref="B1139"/>
    <hyperlink r:id="rId2276" ref="D1139"/>
    <hyperlink r:id="rId2277" ref="B1140"/>
    <hyperlink r:id="rId2278" ref="D1140"/>
    <hyperlink r:id="rId2279" ref="B1141"/>
    <hyperlink r:id="rId2280" ref="D1141"/>
    <hyperlink r:id="rId2281" ref="B1142"/>
    <hyperlink r:id="rId2282" ref="D1142"/>
    <hyperlink r:id="rId2283" ref="B1143"/>
    <hyperlink r:id="rId2284" ref="D1143"/>
    <hyperlink r:id="rId2285" ref="B1144"/>
    <hyperlink r:id="rId2286" ref="D1144"/>
    <hyperlink r:id="rId2287" ref="B1145"/>
    <hyperlink r:id="rId2288" ref="D1145"/>
    <hyperlink r:id="rId2289" ref="B1146"/>
    <hyperlink r:id="rId2290" ref="D1146"/>
    <hyperlink r:id="rId2291" ref="B1147"/>
    <hyperlink r:id="rId2292" ref="D1147"/>
    <hyperlink r:id="rId2293" ref="B1148"/>
    <hyperlink r:id="rId2294" ref="D1148"/>
    <hyperlink r:id="rId2295" ref="B1149"/>
    <hyperlink r:id="rId2296" ref="D1149"/>
    <hyperlink r:id="rId2297" ref="B1150"/>
    <hyperlink r:id="rId2298" ref="D1150"/>
    <hyperlink r:id="rId2299" ref="B1151"/>
    <hyperlink r:id="rId2300" ref="D1151"/>
    <hyperlink r:id="rId2301" ref="B1152"/>
    <hyperlink r:id="rId2302" ref="D1152"/>
    <hyperlink r:id="rId2303" ref="B1153"/>
    <hyperlink r:id="rId2304" ref="D1153"/>
    <hyperlink r:id="rId2305" ref="B1154"/>
    <hyperlink r:id="rId2306" ref="D1154"/>
    <hyperlink r:id="rId2307" ref="B1155"/>
    <hyperlink r:id="rId2308" ref="D1155"/>
    <hyperlink r:id="rId2309" ref="B1156"/>
    <hyperlink r:id="rId2310" ref="D1156"/>
    <hyperlink r:id="rId2311" ref="B1157"/>
    <hyperlink r:id="rId2312" ref="D1157"/>
    <hyperlink r:id="rId2313" ref="B1158"/>
    <hyperlink r:id="rId2314" ref="D1158"/>
    <hyperlink r:id="rId2315" ref="B1159"/>
    <hyperlink r:id="rId2316" ref="D1159"/>
    <hyperlink r:id="rId2317" ref="B1160"/>
    <hyperlink r:id="rId2318" ref="D1160"/>
    <hyperlink r:id="rId2319" ref="B1161"/>
    <hyperlink r:id="rId2320" ref="D1161"/>
    <hyperlink r:id="rId2321" ref="B1162"/>
    <hyperlink r:id="rId2322" ref="D1162"/>
    <hyperlink r:id="rId2323" ref="B1163"/>
    <hyperlink r:id="rId2324" ref="D1163"/>
    <hyperlink r:id="rId2325" ref="B1164"/>
    <hyperlink r:id="rId2326" ref="D1164"/>
    <hyperlink r:id="rId2327" ref="B1165"/>
    <hyperlink r:id="rId2328" ref="D1165"/>
    <hyperlink r:id="rId2329" ref="B1166"/>
    <hyperlink r:id="rId2330" ref="D1166"/>
    <hyperlink r:id="rId2331" ref="B1167"/>
    <hyperlink r:id="rId2332" ref="D1167"/>
    <hyperlink r:id="rId2333" ref="B1168"/>
    <hyperlink r:id="rId2334" ref="D1168"/>
    <hyperlink r:id="rId2335" ref="B1169"/>
    <hyperlink r:id="rId2336" ref="D1169"/>
    <hyperlink r:id="rId2337" ref="B1170"/>
    <hyperlink r:id="rId2338" ref="D1170"/>
    <hyperlink r:id="rId2339" ref="B1171"/>
    <hyperlink r:id="rId2340" ref="D1171"/>
    <hyperlink r:id="rId2341" ref="B1172"/>
    <hyperlink r:id="rId2342" ref="D1172"/>
    <hyperlink r:id="rId2343" ref="B1173"/>
    <hyperlink r:id="rId2344" ref="D1173"/>
    <hyperlink r:id="rId2345" ref="B1174"/>
    <hyperlink r:id="rId2346" ref="D1174"/>
    <hyperlink r:id="rId2347" ref="B1175"/>
    <hyperlink r:id="rId2348" ref="D1175"/>
    <hyperlink r:id="rId2349" ref="B1176"/>
    <hyperlink r:id="rId2350" ref="D1176"/>
    <hyperlink r:id="rId2351" ref="B1177"/>
    <hyperlink r:id="rId2352" ref="D1177"/>
    <hyperlink r:id="rId2353" ref="B1178"/>
    <hyperlink r:id="rId2354" ref="D1178"/>
    <hyperlink r:id="rId2355" ref="B1179"/>
    <hyperlink r:id="rId2356" ref="D1179"/>
    <hyperlink r:id="rId2357" ref="B1180"/>
    <hyperlink r:id="rId2358" ref="D1180"/>
    <hyperlink r:id="rId2359" ref="B1181"/>
    <hyperlink r:id="rId2360" ref="D1181"/>
    <hyperlink r:id="rId2361" ref="B1182"/>
    <hyperlink r:id="rId2362" ref="D1182"/>
    <hyperlink r:id="rId2363" ref="B1183"/>
    <hyperlink r:id="rId2364" ref="D1183"/>
    <hyperlink r:id="rId2365" ref="B1184"/>
    <hyperlink r:id="rId2366" ref="D1184"/>
    <hyperlink r:id="rId2367" ref="B1185"/>
    <hyperlink r:id="rId2368" ref="D1185"/>
    <hyperlink r:id="rId2369" ref="B1186"/>
    <hyperlink r:id="rId2370" ref="D1186"/>
    <hyperlink r:id="rId2371" ref="B1187"/>
    <hyperlink r:id="rId2372" ref="D1187"/>
    <hyperlink r:id="rId2373" ref="B1188"/>
    <hyperlink r:id="rId2374" ref="D1188"/>
    <hyperlink r:id="rId2375" ref="B1189"/>
    <hyperlink r:id="rId2376" ref="D1189"/>
    <hyperlink r:id="rId2377" ref="B1190"/>
    <hyperlink r:id="rId2378" ref="D1190"/>
    <hyperlink r:id="rId2379" ref="B1191"/>
    <hyperlink r:id="rId2380" ref="D1191"/>
    <hyperlink r:id="rId2381" ref="B1192"/>
    <hyperlink r:id="rId2382" ref="D1192"/>
    <hyperlink r:id="rId2383" ref="B1193"/>
    <hyperlink r:id="rId2384" ref="D1193"/>
    <hyperlink r:id="rId2385" ref="B1194"/>
    <hyperlink r:id="rId2386" ref="D1194"/>
    <hyperlink r:id="rId2387" ref="B1195"/>
    <hyperlink r:id="rId2388" ref="D1195"/>
    <hyperlink r:id="rId2389" ref="B1196"/>
    <hyperlink r:id="rId2390" ref="D1196"/>
    <hyperlink r:id="rId2391" ref="B1197"/>
    <hyperlink r:id="rId2392" ref="D1197"/>
    <hyperlink r:id="rId2393" ref="B1198"/>
    <hyperlink r:id="rId2394" ref="D1198"/>
    <hyperlink r:id="rId2395" ref="B1199"/>
    <hyperlink r:id="rId2396" ref="D1199"/>
    <hyperlink r:id="rId2397" ref="B1200"/>
    <hyperlink r:id="rId2398" ref="D1200"/>
    <hyperlink r:id="rId2399" ref="B1201"/>
    <hyperlink r:id="rId2400" ref="D1201"/>
    <hyperlink r:id="rId2401" ref="B1202"/>
    <hyperlink r:id="rId2402" ref="D1202"/>
    <hyperlink r:id="rId2403" ref="B1203"/>
    <hyperlink r:id="rId2404" ref="D1203"/>
    <hyperlink r:id="rId2405" ref="B1204"/>
    <hyperlink r:id="rId2406" ref="D1204"/>
    <hyperlink r:id="rId2407" ref="B1205"/>
    <hyperlink r:id="rId2408" ref="D1205"/>
    <hyperlink r:id="rId2409" ref="B1206"/>
    <hyperlink r:id="rId2410" ref="D1206"/>
    <hyperlink r:id="rId2411" ref="B1207"/>
    <hyperlink r:id="rId2412" ref="D1207"/>
    <hyperlink r:id="rId2413" ref="B1208"/>
    <hyperlink r:id="rId2414" ref="D1208"/>
    <hyperlink r:id="rId2415" ref="B1209"/>
    <hyperlink r:id="rId2416" ref="D1209"/>
    <hyperlink r:id="rId2417" ref="B1210"/>
    <hyperlink r:id="rId2418" ref="D1210"/>
    <hyperlink r:id="rId2419" ref="B1211"/>
    <hyperlink r:id="rId2420" ref="D1211"/>
    <hyperlink r:id="rId2421" ref="B1212"/>
    <hyperlink r:id="rId2422" ref="D1212"/>
    <hyperlink r:id="rId2423" ref="B1213"/>
    <hyperlink r:id="rId2424" ref="D1213"/>
    <hyperlink r:id="rId2425" ref="B1214"/>
    <hyperlink r:id="rId2426" ref="D1214"/>
    <hyperlink r:id="rId2427" ref="B1215"/>
    <hyperlink r:id="rId2428" ref="D1215"/>
    <hyperlink r:id="rId2429" ref="B1216"/>
    <hyperlink r:id="rId2430" ref="D1216"/>
    <hyperlink r:id="rId2431" ref="B1217"/>
    <hyperlink r:id="rId2432" ref="D1217"/>
    <hyperlink r:id="rId2433" ref="B1218"/>
    <hyperlink r:id="rId2434" ref="D1218"/>
    <hyperlink r:id="rId2435" ref="B1219"/>
    <hyperlink r:id="rId2436" ref="D1219"/>
    <hyperlink r:id="rId2437" ref="B1220"/>
    <hyperlink r:id="rId2438" ref="D1220"/>
    <hyperlink r:id="rId2439" ref="B1221"/>
    <hyperlink r:id="rId2440" ref="D1221"/>
    <hyperlink r:id="rId2441" ref="B1222"/>
    <hyperlink r:id="rId2442" ref="D1222"/>
    <hyperlink r:id="rId2443" ref="B1223"/>
    <hyperlink r:id="rId2444" ref="D1223"/>
    <hyperlink r:id="rId2445" ref="B1224"/>
    <hyperlink r:id="rId2446" ref="D1224"/>
    <hyperlink r:id="rId2447" ref="B1225"/>
    <hyperlink r:id="rId2448" ref="D1225"/>
    <hyperlink r:id="rId2449" ref="B1226"/>
    <hyperlink r:id="rId2450" ref="D1226"/>
    <hyperlink r:id="rId2451" ref="B1227"/>
    <hyperlink r:id="rId2452" ref="D1227"/>
    <hyperlink r:id="rId2453" ref="B1228"/>
    <hyperlink r:id="rId2454" ref="D1228"/>
    <hyperlink r:id="rId2455" ref="B1229"/>
    <hyperlink r:id="rId2456" ref="D1229"/>
    <hyperlink r:id="rId2457" ref="B1230"/>
    <hyperlink r:id="rId2458" ref="D1230"/>
    <hyperlink r:id="rId2459" ref="B1231"/>
    <hyperlink r:id="rId2460" ref="D1231"/>
    <hyperlink r:id="rId2461" ref="B1232"/>
    <hyperlink r:id="rId2462" ref="D1232"/>
    <hyperlink r:id="rId2463" ref="B1233"/>
    <hyperlink r:id="rId2464" ref="D1233"/>
    <hyperlink r:id="rId2465" ref="B1234"/>
    <hyperlink r:id="rId2466" ref="D1234"/>
    <hyperlink r:id="rId2467" ref="B1235"/>
    <hyperlink r:id="rId2468" ref="D1235"/>
    <hyperlink r:id="rId2469" ref="B1236"/>
    <hyperlink r:id="rId2470" ref="D1236"/>
    <hyperlink r:id="rId2471" ref="B1237"/>
    <hyperlink r:id="rId2472" ref="D1237"/>
    <hyperlink r:id="rId2473" ref="B1238"/>
    <hyperlink r:id="rId2474" ref="D1238"/>
    <hyperlink r:id="rId2475" ref="B1239"/>
    <hyperlink r:id="rId2476" ref="D1239"/>
    <hyperlink r:id="rId2477" ref="B1240"/>
    <hyperlink r:id="rId2478" ref="D1240"/>
    <hyperlink r:id="rId2479" ref="B1241"/>
    <hyperlink r:id="rId2480" ref="D1241"/>
    <hyperlink r:id="rId2481" ref="B1242"/>
    <hyperlink r:id="rId2482" ref="D1242"/>
    <hyperlink r:id="rId2483" ref="B1243"/>
    <hyperlink r:id="rId2484" ref="D1243"/>
    <hyperlink r:id="rId2485" ref="B1244"/>
    <hyperlink r:id="rId2486" ref="D1244"/>
    <hyperlink r:id="rId2487" ref="B1245"/>
    <hyperlink r:id="rId2488" ref="D1245"/>
    <hyperlink r:id="rId2489" ref="B1246"/>
    <hyperlink r:id="rId2490" ref="D1246"/>
    <hyperlink r:id="rId2491" ref="B1247"/>
    <hyperlink r:id="rId2492" ref="D1247"/>
    <hyperlink r:id="rId2493" ref="B1248"/>
    <hyperlink r:id="rId2494" ref="D1248"/>
    <hyperlink r:id="rId2495" ref="B1249"/>
    <hyperlink r:id="rId2496" ref="D1249"/>
    <hyperlink r:id="rId2497" ref="B1250"/>
    <hyperlink r:id="rId2498" ref="D1250"/>
    <hyperlink r:id="rId2499" ref="B1251"/>
    <hyperlink r:id="rId2500" ref="D1251"/>
    <hyperlink r:id="rId2501" ref="B1252"/>
    <hyperlink r:id="rId2502" ref="D1252"/>
    <hyperlink r:id="rId2503" ref="B1253"/>
    <hyperlink r:id="rId2504" ref="D1253"/>
    <hyperlink r:id="rId2505" ref="B1254"/>
    <hyperlink r:id="rId2506" ref="D1254"/>
    <hyperlink r:id="rId2507" ref="B1255"/>
    <hyperlink r:id="rId2508" ref="D1255"/>
    <hyperlink r:id="rId2509" ref="B1256"/>
    <hyperlink r:id="rId2510" ref="D1256"/>
    <hyperlink r:id="rId2511" ref="B1257"/>
    <hyperlink r:id="rId2512" ref="D1257"/>
    <hyperlink r:id="rId2513" ref="B1258"/>
    <hyperlink r:id="rId2514" ref="D1258"/>
    <hyperlink r:id="rId2515" ref="B1259"/>
    <hyperlink r:id="rId2516" ref="D1259"/>
    <hyperlink r:id="rId2517" ref="B1260"/>
    <hyperlink r:id="rId2518" ref="D1260"/>
    <hyperlink r:id="rId2519" ref="B1261"/>
    <hyperlink r:id="rId2520" ref="D1261"/>
    <hyperlink r:id="rId2521" ref="B1262"/>
    <hyperlink r:id="rId2522" ref="D1262"/>
    <hyperlink r:id="rId2523" ref="B1263"/>
    <hyperlink r:id="rId2524" ref="D1263"/>
    <hyperlink r:id="rId2525" ref="B1264"/>
    <hyperlink r:id="rId2526" ref="D1264"/>
    <hyperlink r:id="rId2527" ref="B1265"/>
    <hyperlink r:id="rId2528" ref="D1265"/>
    <hyperlink r:id="rId2529" ref="B1266"/>
    <hyperlink r:id="rId2530" ref="D1266"/>
    <hyperlink r:id="rId2531" ref="B1267"/>
    <hyperlink r:id="rId2532" ref="D1267"/>
    <hyperlink r:id="rId2533" ref="B1268"/>
    <hyperlink r:id="rId2534" ref="D1268"/>
    <hyperlink r:id="rId2535" ref="B1269"/>
    <hyperlink r:id="rId2536" ref="D1269"/>
    <hyperlink r:id="rId2537" ref="B1270"/>
    <hyperlink r:id="rId2538" ref="D1270"/>
    <hyperlink r:id="rId2539" ref="B1271"/>
    <hyperlink r:id="rId2540" ref="D1271"/>
    <hyperlink r:id="rId2541" ref="B1272"/>
    <hyperlink r:id="rId2542" ref="D1272"/>
    <hyperlink r:id="rId2543" ref="B1273"/>
    <hyperlink r:id="rId2544" ref="D1273"/>
    <hyperlink r:id="rId2545" ref="B1274"/>
    <hyperlink r:id="rId2546" ref="D1274"/>
    <hyperlink r:id="rId2547" ref="B1275"/>
    <hyperlink r:id="rId2548" ref="D1275"/>
    <hyperlink r:id="rId2549" ref="B1276"/>
    <hyperlink r:id="rId2550" ref="D1276"/>
    <hyperlink r:id="rId2551" ref="B1277"/>
    <hyperlink r:id="rId2552" ref="D1277"/>
    <hyperlink r:id="rId2553" ref="B1278"/>
    <hyperlink r:id="rId2554" ref="D1278"/>
    <hyperlink r:id="rId2555" ref="B1279"/>
    <hyperlink r:id="rId2556" ref="D1279"/>
    <hyperlink r:id="rId2557" ref="B1280"/>
    <hyperlink r:id="rId2558" ref="D1280"/>
    <hyperlink r:id="rId2559" ref="B1281"/>
    <hyperlink r:id="rId2560" ref="D1281"/>
    <hyperlink r:id="rId2561" ref="B1282"/>
    <hyperlink r:id="rId2562" ref="D1282"/>
    <hyperlink r:id="rId2563" ref="B1283"/>
    <hyperlink r:id="rId2564" ref="D1283"/>
    <hyperlink r:id="rId2565" ref="B1284"/>
    <hyperlink r:id="rId2566" ref="D1284"/>
    <hyperlink r:id="rId2567" ref="B1285"/>
    <hyperlink r:id="rId2568" ref="D1285"/>
    <hyperlink r:id="rId2569" ref="B1286"/>
    <hyperlink r:id="rId2570" ref="D1286"/>
    <hyperlink r:id="rId2571" ref="B1287"/>
    <hyperlink r:id="rId2572" ref="D1287"/>
    <hyperlink r:id="rId2573" ref="B1288"/>
    <hyperlink r:id="rId2574" ref="D1288"/>
    <hyperlink r:id="rId2575" ref="B1289"/>
    <hyperlink r:id="rId2576" ref="D1289"/>
    <hyperlink r:id="rId2577" ref="B1290"/>
    <hyperlink r:id="rId2578" ref="D1290"/>
    <hyperlink r:id="rId2579" ref="B1291"/>
    <hyperlink r:id="rId2580" ref="D1291"/>
    <hyperlink r:id="rId2581" ref="B1292"/>
    <hyperlink r:id="rId2582" ref="D1292"/>
    <hyperlink r:id="rId2583" ref="B1293"/>
    <hyperlink r:id="rId2584" ref="D1293"/>
    <hyperlink r:id="rId2585" ref="B1294"/>
    <hyperlink r:id="rId2586" ref="D1294"/>
    <hyperlink r:id="rId2587" ref="B1295"/>
    <hyperlink r:id="rId2588" ref="D1295"/>
    <hyperlink r:id="rId2589" ref="B1296"/>
    <hyperlink r:id="rId2590" ref="D1296"/>
    <hyperlink r:id="rId2591" ref="B1297"/>
    <hyperlink r:id="rId2592" ref="D1297"/>
    <hyperlink r:id="rId2593" ref="B1298"/>
    <hyperlink r:id="rId2594" ref="D1298"/>
    <hyperlink r:id="rId2595" ref="B1299"/>
    <hyperlink r:id="rId2596" ref="D1299"/>
    <hyperlink r:id="rId2597" ref="B1300"/>
    <hyperlink r:id="rId2598" ref="D1300"/>
    <hyperlink r:id="rId2599" ref="B1301"/>
    <hyperlink r:id="rId2600" ref="D1301"/>
    <hyperlink r:id="rId2601" ref="B1302"/>
    <hyperlink r:id="rId2602" ref="D1302"/>
    <hyperlink r:id="rId2603" ref="B1303"/>
    <hyperlink r:id="rId2604" ref="D1303"/>
    <hyperlink r:id="rId2605" ref="B1304"/>
    <hyperlink r:id="rId2606" ref="D1304"/>
    <hyperlink r:id="rId2607" ref="B1305"/>
    <hyperlink r:id="rId2608" ref="D1305"/>
    <hyperlink r:id="rId2609" ref="B1306"/>
    <hyperlink r:id="rId2610" ref="D1306"/>
    <hyperlink r:id="rId2611" ref="B1307"/>
    <hyperlink r:id="rId2612" ref="D1307"/>
    <hyperlink r:id="rId2613" ref="B1308"/>
    <hyperlink r:id="rId2614" ref="D1308"/>
    <hyperlink r:id="rId2615" ref="B1309"/>
    <hyperlink r:id="rId2616" ref="D1309"/>
    <hyperlink r:id="rId2617" ref="B1310"/>
    <hyperlink r:id="rId2618" ref="D1310"/>
    <hyperlink r:id="rId2619" ref="B1311"/>
    <hyperlink r:id="rId2620" ref="D1311"/>
    <hyperlink r:id="rId2621" ref="B1312"/>
    <hyperlink r:id="rId2622" ref="D1312"/>
    <hyperlink r:id="rId2623" ref="B1313"/>
    <hyperlink r:id="rId2624" ref="D1313"/>
    <hyperlink r:id="rId2625" ref="B1314"/>
    <hyperlink r:id="rId2626" ref="D1314"/>
    <hyperlink r:id="rId2627" ref="B1315"/>
    <hyperlink r:id="rId2628" ref="D1315"/>
    <hyperlink r:id="rId2629" ref="B1316"/>
    <hyperlink r:id="rId2630" ref="D1316"/>
    <hyperlink r:id="rId2631" ref="B1317"/>
    <hyperlink r:id="rId2632" ref="D1317"/>
    <hyperlink r:id="rId2633" ref="B1318"/>
    <hyperlink r:id="rId2634" ref="D1318"/>
    <hyperlink r:id="rId2635" ref="B1319"/>
    <hyperlink r:id="rId2636" ref="D1319"/>
    <hyperlink r:id="rId2637" ref="B1320"/>
    <hyperlink r:id="rId2638" ref="D1320"/>
    <hyperlink r:id="rId2639" ref="B1321"/>
    <hyperlink r:id="rId2640" ref="D1321"/>
    <hyperlink r:id="rId2641" ref="B1322"/>
    <hyperlink r:id="rId2642" ref="D1322"/>
    <hyperlink r:id="rId2643" ref="B1323"/>
    <hyperlink r:id="rId2644" ref="D1323"/>
    <hyperlink r:id="rId2645" ref="B1324"/>
    <hyperlink r:id="rId2646" ref="D1324"/>
    <hyperlink r:id="rId2647" ref="B1325"/>
    <hyperlink r:id="rId2648" ref="D1325"/>
    <hyperlink r:id="rId2649" ref="B1326"/>
    <hyperlink r:id="rId2650" ref="D1326"/>
    <hyperlink r:id="rId2651" ref="B1327"/>
    <hyperlink r:id="rId2652" ref="D1327"/>
    <hyperlink r:id="rId2653" ref="B1328"/>
    <hyperlink r:id="rId2654" ref="D1328"/>
    <hyperlink r:id="rId2655" ref="B1329"/>
    <hyperlink r:id="rId2656" ref="D1329"/>
    <hyperlink r:id="rId2657" ref="B1330"/>
    <hyperlink r:id="rId2658" ref="D1330"/>
    <hyperlink r:id="rId2659" ref="B1331"/>
    <hyperlink r:id="rId2660" ref="D1331"/>
    <hyperlink r:id="rId2661" ref="B1332"/>
    <hyperlink r:id="rId2662" ref="D1332"/>
    <hyperlink r:id="rId2663" ref="B1333"/>
    <hyperlink r:id="rId2664" ref="D1333"/>
    <hyperlink r:id="rId2665" ref="B1334"/>
    <hyperlink r:id="rId2666" ref="D1334"/>
    <hyperlink r:id="rId2667" ref="B1335"/>
    <hyperlink r:id="rId2668" ref="D1335"/>
    <hyperlink r:id="rId2669" ref="B1336"/>
    <hyperlink r:id="rId2670" ref="D1336"/>
    <hyperlink r:id="rId2671" ref="B1337"/>
    <hyperlink r:id="rId2672" ref="D1337"/>
    <hyperlink r:id="rId2673" ref="B1338"/>
    <hyperlink r:id="rId2674" ref="D1338"/>
    <hyperlink r:id="rId2675" ref="B1339"/>
    <hyperlink r:id="rId2676" ref="D1339"/>
    <hyperlink r:id="rId2677" ref="B1340"/>
    <hyperlink r:id="rId2678" ref="D1340"/>
    <hyperlink r:id="rId2679" ref="B1341"/>
    <hyperlink r:id="rId2680" ref="D1341"/>
    <hyperlink r:id="rId2681" ref="B1342"/>
    <hyperlink r:id="rId2682" ref="D1342"/>
    <hyperlink r:id="rId2683" ref="B1343"/>
    <hyperlink r:id="rId2684" ref="D1343"/>
    <hyperlink r:id="rId2685" ref="B1344"/>
    <hyperlink r:id="rId2686" ref="D1344"/>
    <hyperlink r:id="rId2687" ref="B1345"/>
    <hyperlink r:id="rId2688" ref="D1345"/>
    <hyperlink r:id="rId2689" ref="B1346"/>
    <hyperlink r:id="rId2690" ref="D1346"/>
    <hyperlink r:id="rId2691" ref="B1347"/>
    <hyperlink r:id="rId2692" ref="D1347"/>
    <hyperlink r:id="rId2693" ref="B1348"/>
    <hyperlink r:id="rId2694" ref="D1348"/>
    <hyperlink r:id="rId2695" ref="B1349"/>
    <hyperlink r:id="rId2696" ref="D1349"/>
    <hyperlink r:id="rId2697" ref="B1350"/>
    <hyperlink r:id="rId2698" ref="D1350"/>
    <hyperlink r:id="rId2699" ref="B1351"/>
    <hyperlink r:id="rId2700" ref="D1351"/>
    <hyperlink r:id="rId2701" ref="B1352"/>
    <hyperlink r:id="rId2702" ref="D1352"/>
    <hyperlink r:id="rId2703" ref="B1353"/>
    <hyperlink r:id="rId2704" ref="D1353"/>
    <hyperlink r:id="rId2705" ref="B1354"/>
    <hyperlink r:id="rId2706" ref="D1354"/>
    <hyperlink r:id="rId2707" ref="B1355"/>
    <hyperlink r:id="rId2708" ref="D1355"/>
    <hyperlink r:id="rId2709" ref="B1356"/>
    <hyperlink r:id="rId2710" ref="D1356"/>
    <hyperlink r:id="rId2711" ref="B1357"/>
    <hyperlink r:id="rId2712" ref="D1357"/>
    <hyperlink r:id="rId2713" ref="B1358"/>
    <hyperlink r:id="rId2714" ref="D1358"/>
    <hyperlink r:id="rId2715" ref="B1359"/>
    <hyperlink r:id="rId2716" ref="D1359"/>
    <hyperlink r:id="rId2717" ref="B1360"/>
    <hyperlink r:id="rId2718" ref="D1360"/>
    <hyperlink r:id="rId2719" ref="B1361"/>
    <hyperlink r:id="rId2720" ref="D1361"/>
    <hyperlink r:id="rId2721" ref="B1362"/>
    <hyperlink r:id="rId2722" ref="D1362"/>
    <hyperlink r:id="rId2723" ref="B1363"/>
    <hyperlink r:id="rId2724" ref="D1363"/>
    <hyperlink r:id="rId2725" ref="B1364"/>
    <hyperlink r:id="rId2726" ref="D1364"/>
    <hyperlink r:id="rId2727" ref="B1365"/>
    <hyperlink r:id="rId2728" ref="D1365"/>
    <hyperlink r:id="rId2729" ref="B1366"/>
    <hyperlink r:id="rId2730" ref="D1366"/>
    <hyperlink r:id="rId2731" ref="B1367"/>
    <hyperlink r:id="rId2732" ref="D1367"/>
    <hyperlink r:id="rId2733" ref="B1368"/>
    <hyperlink r:id="rId2734" ref="D1368"/>
    <hyperlink r:id="rId2735" ref="B1369"/>
    <hyperlink r:id="rId2736" ref="D1369"/>
    <hyperlink r:id="rId2737" ref="B1370"/>
    <hyperlink r:id="rId2738" ref="D1370"/>
    <hyperlink r:id="rId2739" ref="B1371"/>
    <hyperlink r:id="rId2740" ref="D1371"/>
    <hyperlink r:id="rId2741" ref="B1372"/>
    <hyperlink r:id="rId2742" ref="D1372"/>
    <hyperlink r:id="rId2743" ref="B1373"/>
    <hyperlink r:id="rId2744" ref="D1373"/>
    <hyperlink r:id="rId2745" ref="B1374"/>
    <hyperlink r:id="rId2746" ref="D1374"/>
    <hyperlink r:id="rId2747" ref="B1375"/>
    <hyperlink r:id="rId2748" ref="D1375"/>
    <hyperlink r:id="rId2749" ref="B1376"/>
    <hyperlink r:id="rId2750" ref="D1376"/>
    <hyperlink r:id="rId2751" ref="B1377"/>
    <hyperlink r:id="rId2752" ref="D1377"/>
    <hyperlink r:id="rId2753" ref="B1378"/>
    <hyperlink r:id="rId2754" ref="D1378"/>
    <hyperlink r:id="rId2755" ref="B1379"/>
    <hyperlink r:id="rId2756" ref="D1379"/>
    <hyperlink r:id="rId2757" ref="B1380"/>
    <hyperlink r:id="rId2758" ref="D1380"/>
    <hyperlink r:id="rId2759" ref="B1381"/>
    <hyperlink r:id="rId2760" ref="D1381"/>
    <hyperlink r:id="rId2761" ref="B1382"/>
    <hyperlink r:id="rId2762" ref="D1382"/>
    <hyperlink r:id="rId2763" ref="B1383"/>
    <hyperlink r:id="rId2764" ref="D1383"/>
    <hyperlink r:id="rId2765" ref="B1384"/>
    <hyperlink r:id="rId2766" ref="D1384"/>
    <hyperlink r:id="rId2767" ref="B1385"/>
    <hyperlink r:id="rId2768" ref="D1385"/>
    <hyperlink r:id="rId2769" ref="B1386"/>
    <hyperlink r:id="rId2770" ref="D1386"/>
    <hyperlink r:id="rId2771" ref="B1387"/>
    <hyperlink r:id="rId2772" ref="D1387"/>
    <hyperlink r:id="rId2773" ref="B1388"/>
    <hyperlink r:id="rId2774" ref="D1388"/>
    <hyperlink r:id="rId2775" ref="B1389"/>
    <hyperlink r:id="rId2776" ref="D1389"/>
    <hyperlink r:id="rId2777" ref="B1390"/>
    <hyperlink r:id="rId2778" ref="D1390"/>
    <hyperlink r:id="rId2779" ref="B1391"/>
    <hyperlink r:id="rId2780" ref="D1391"/>
    <hyperlink r:id="rId2781" ref="B1392"/>
    <hyperlink r:id="rId2782" ref="D1392"/>
    <hyperlink r:id="rId2783" ref="B1393"/>
    <hyperlink r:id="rId2784" ref="D1393"/>
    <hyperlink r:id="rId2785" ref="B1394"/>
    <hyperlink r:id="rId2786" ref="D1394"/>
    <hyperlink r:id="rId2787" ref="B1395"/>
    <hyperlink r:id="rId2788" ref="D1395"/>
    <hyperlink r:id="rId2789" ref="B1396"/>
    <hyperlink r:id="rId2790" ref="D1396"/>
    <hyperlink r:id="rId2791" ref="B1397"/>
    <hyperlink r:id="rId2792" ref="D1397"/>
    <hyperlink r:id="rId2793" ref="B1398"/>
    <hyperlink r:id="rId2794" ref="D1398"/>
    <hyperlink r:id="rId2795" ref="B1399"/>
    <hyperlink r:id="rId2796" ref="D1399"/>
    <hyperlink r:id="rId2797" ref="B1400"/>
    <hyperlink r:id="rId2798" ref="D1400"/>
    <hyperlink r:id="rId2799" ref="B1401"/>
    <hyperlink r:id="rId2800" ref="D1401"/>
    <hyperlink r:id="rId2801" ref="B1402"/>
    <hyperlink r:id="rId2802" ref="D1402"/>
    <hyperlink r:id="rId2803" ref="B1403"/>
    <hyperlink r:id="rId2804" ref="D1403"/>
    <hyperlink r:id="rId2805" ref="B1404"/>
    <hyperlink r:id="rId2806" ref="D1404"/>
    <hyperlink r:id="rId2807" ref="B1405"/>
    <hyperlink r:id="rId2808" ref="D1405"/>
    <hyperlink r:id="rId2809" ref="B1406"/>
    <hyperlink r:id="rId2810" ref="D1406"/>
    <hyperlink r:id="rId2811" ref="B1407"/>
    <hyperlink r:id="rId2812" ref="D1407"/>
    <hyperlink r:id="rId2813" ref="B1408"/>
    <hyperlink r:id="rId2814" ref="D1408"/>
    <hyperlink r:id="rId2815" ref="B1409"/>
    <hyperlink r:id="rId2816" ref="D1409"/>
    <hyperlink r:id="rId2817" ref="B1410"/>
    <hyperlink r:id="rId2818" ref="D1410"/>
    <hyperlink r:id="rId2819" ref="B1411"/>
    <hyperlink r:id="rId2820" ref="D1411"/>
    <hyperlink r:id="rId2821" ref="B1412"/>
    <hyperlink r:id="rId2822" ref="D1412"/>
    <hyperlink r:id="rId2823" ref="B1413"/>
    <hyperlink r:id="rId2824" ref="D1413"/>
    <hyperlink r:id="rId2825" ref="B1414"/>
    <hyperlink r:id="rId2826" ref="D1414"/>
    <hyperlink r:id="rId2827" ref="B1415"/>
    <hyperlink r:id="rId2828" ref="D1415"/>
    <hyperlink r:id="rId2829" ref="B1416"/>
    <hyperlink r:id="rId2830" ref="D1416"/>
    <hyperlink r:id="rId2831" ref="B1417"/>
    <hyperlink r:id="rId2832" ref="D1417"/>
    <hyperlink r:id="rId2833" ref="B1418"/>
    <hyperlink r:id="rId2834" ref="D1418"/>
    <hyperlink r:id="rId2835" ref="B1419"/>
    <hyperlink r:id="rId2836" ref="D1419"/>
    <hyperlink r:id="rId2837" ref="B1420"/>
    <hyperlink r:id="rId2838" ref="D1420"/>
    <hyperlink r:id="rId2839" ref="B1421"/>
    <hyperlink r:id="rId2840" ref="D1421"/>
    <hyperlink r:id="rId2841" ref="B1422"/>
    <hyperlink r:id="rId2842" ref="D1422"/>
    <hyperlink r:id="rId2843" ref="B1423"/>
    <hyperlink r:id="rId2844" ref="D1423"/>
    <hyperlink r:id="rId2845" ref="B1424"/>
    <hyperlink r:id="rId2846" ref="D1424"/>
    <hyperlink r:id="rId2847" ref="B1425"/>
    <hyperlink r:id="rId2848" ref="D1425"/>
    <hyperlink r:id="rId2849" ref="B1426"/>
    <hyperlink r:id="rId2850" ref="D1426"/>
    <hyperlink r:id="rId2851" ref="B1427"/>
    <hyperlink r:id="rId2852" ref="D1427"/>
    <hyperlink r:id="rId2853" ref="B1428"/>
    <hyperlink r:id="rId2854" ref="D1428"/>
    <hyperlink r:id="rId2855" ref="B1429"/>
    <hyperlink r:id="rId2856" ref="D1429"/>
    <hyperlink r:id="rId2857" ref="B1430"/>
    <hyperlink r:id="rId2858" ref="D1430"/>
    <hyperlink r:id="rId2859" ref="B1431"/>
    <hyperlink r:id="rId2860" ref="D1431"/>
    <hyperlink r:id="rId2861" ref="B1432"/>
    <hyperlink r:id="rId2862" ref="D1432"/>
    <hyperlink r:id="rId2863" ref="B1433"/>
    <hyperlink r:id="rId2864" ref="D1433"/>
    <hyperlink r:id="rId2865" ref="B1434"/>
    <hyperlink r:id="rId2866" ref="D1434"/>
    <hyperlink r:id="rId2867" ref="B1435"/>
    <hyperlink r:id="rId2868" ref="D1435"/>
    <hyperlink r:id="rId2869" ref="B1436"/>
    <hyperlink r:id="rId2870" ref="D1436"/>
    <hyperlink r:id="rId2871" ref="B1437"/>
    <hyperlink r:id="rId2872" ref="D1437"/>
    <hyperlink r:id="rId2873" ref="B1438"/>
    <hyperlink r:id="rId2874" ref="D1438"/>
    <hyperlink r:id="rId2875" ref="B1439"/>
    <hyperlink r:id="rId2876" ref="D1439"/>
    <hyperlink r:id="rId2877" ref="B1440"/>
    <hyperlink r:id="rId2878" ref="D1440"/>
    <hyperlink r:id="rId2879" ref="B1441"/>
    <hyperlink r:id="rId2880" ref="D1441"/>
    <hyperlink r:id="rId2881" ref="B1442"/>
    <hyperlink r:id="rId2882" ref="D1442"/>
    <hyperlink r:id="rId2883" ref="B1443"/>
    <hyperlink r:id="rId2884" ref="D1443"/>
    <hyperlink r:id="rId2885" ref="B1444"/>
    <hyperlink r:id="rId2886" ref="D1444"/>
    <hyperlink r:id="rId2887" ref="B1445"/>
    <hyperlink r:id="rId2888" ref="D1445"/>
    <hyperlink r:id="rId2889" ref="B1446"/>
    <hyperlink r:id="rId2890" ref="D1446"/>
    <hyperlink r:id="rId2891" ref="B1447"/>
    <hyperlink r:id="rId2892" ref="D1447"/>
    <hyperlink r:id="rId2893" ref="B1448"/>
    <hyperlink r:id="rId2894" ref="D1448"/>
    <hyperlink r:id="rId2895" ref="B1449"/>
    <hyperlink r:id="rId2896" ref="D1449"/>
    <hyperlink r:id="rId2897" ref="B1450"/>
    <hyperlink r:id="rId2898" ref="D1450"/>
    <hyperlink r:id="rId2899" ref="B1451"/>
    <hyperlink r:id="rId2900" ref="D1451"/>
    <hyperlink r:id="rId2901" ref="B1452"/>
    <hyperlink r:id="rId2902" ref="D1452"/>
    <hyperlink r:id="rId2903" ref="B1453"/>
    <hyperlink r:id="rId2904" ref="D1453"/>
    <hyperlink r:id="rId2905" ref="B1454"/>
    <hyperlink r:id="rId2906" ref="D1454"/>
    <hyperlink r:id="rId2907" ref="B1455"/>
    <hyperlink r:id="rId2908" ref="D1455"/>
    <hyperlink r:id="rId2909" ref="B1456"/>
    <hyperlink r:id="rId2910" ref="D1456"/>
    <hyperlink r:id="rId2911" ref="B1457"/>
    <hyperlink r:id="rId2912" ref="D1457"/>
    <hyperlink r:id="rId2913" ref="B1458"/>
    <hyperlink r:id="rId2914" ref="D1458"/>
    <hyperlink r:id="rId2915" ref="B1459"/>
    <hyperlink r:id="rId2916" ref="D1459"/>
    <hyperlink r:id="rId2917" ref="B1460"/>
    <hyperlink r:id="rId2918" ref="D1460"/>
    <hyperlink r:id="rId2919" ref="B1461"/>
    <hyperlink r:id="rId2920" ref="D1461"/>
    <hyperlink r:id="rId2921" ref="B1462"/>
    <hyperlink r:id="rId2922" ref="D1462"/>
    <hyperlink r:id="rId2923" ref="B1463"/>
    <hyperlink r:id="rId2924" ref="D1463"/>
    <hyperlink r:id="rId2925" ref="B1464"/>
    <hyperlink r:id="rId2926" ref="D1464"/>
    <hyperlink r:id="rId2927" ref="B1465"/>
    <hyperlink r:id="rId2928" ref="D1465"/>
    <hyperlink r:id="rId2929" ref="B1466"/>
    <hyperlink r:id="rId2930" ref="D1466"/>
    <hyperlink r:id="rId2931" ref="B1467"/>
    <hyperlink r:id="rId2932" ref="D1467"/>
    <hyperlink r:id="rId2933" ref="B1468"/>
    <hyperlink r:id="rId2934" ref="D1468"/>
    <hyperlink r:id="rId2935" ref="B1469"/>
    <hyperlink r:id="rId2936" ref="D1469"/>
    <hyperlink r:id="rId2937" ref="B1470"/>
    <hyperlink r:id="rId2938" ref="D1470"/>
    <hyperlink r:id="rId2939" ref="B1471"/>
    <hyperlink r:id="rId2940" ref="D1471"/>
    <hyperlink r:id="rId2941" ref="B1472"/>
    <hyperlink r:id="rId2942" ref="D1472"/>
    <hyperlink r:id="rId2943" ref="B1473"/>
    <hyperlink r:id="rId2944" ref="D1473"/>
    <hyperlink r:id="rId2945" ref="B1474"/>
    <hyperlink r:id="rId2946" ref="D1474"/>
    <hyperlink r:id="rId2947" ref="B1475"/>
    <hyperlink r:id="rId2948" ref="D1475"/>
    <hyperlink r:id="rId2949" ref="B1476"/>
    <hyperlink r:id="rId2950" ref="D1476"/>
    <hyperlink r:id="rId2951" ref="B1477"/>
    <hyperlink r:id="rId2952" ref="D1477"/>
    <hyperlink r:id="rId2953" ref="B1478"/>
    <hyperlink r:id="rId2954" ref="D1478"/>
    <hyperlink r:id="rId2955" ref="B1479"/>
    <hyperlink r:id="rId2956" ref="D1479"/>
    <hyperlink r:id="rId2957" ref="B1480"/>
    <hyperlink r:id="rId2958" ref="D1480"/>
    <hyperlink r:id="rId2959" ref="B1481"/>
    <hyperlink r:id="rId2960" ref="D1481"/>
    <hyperlink r:id="rId2961" ref="B1482"/>
    <hyperlink r:id="rId2962" ref="D1482"/>
    <hyperlink r:id="rId2963" ref="B1483"/>
    <hyperlink r:id="rId2964" ref="D1483"/>
    <hyperlink r:id="rId2965" ref="B1484"/>
    <hyperlink r:id="rId2966" ref="D1484"/>
    <hyperlink r:id="rId2967" ref="B1485"/>
    <hyperlink r:id="rId2968" ref="D1485"/>
    <hyperlink r:id="rId2969" ref="B1486"/>
    <hyperlink r:id="rId2970" ref="D1486"/>
    <hyperlink r:id="rId2971" ref="B1487"/>
    <hyperlink r:id="rId2972" ref="D1487"/>
    <hyperlink r:id="rId2973" ref="B1488"/>
    <hyperlink r:id="rId2974" ref="D1488"/>
    <hyperlink r:id="rId2975" ref="B1489"/>
    <hyperlink r:id="rId2976" ref="D1489"/>
    <hyperlink r:id="rId2977" ref="B1490"/>
    <hyperlink r:id="rId2978" ref="D1490"/>
    <hyperlink r:id="rId2979" ref="B1491"/>
    <hyperlink r:id="rId2980" ref="D1491"/>
    <hyperlink r:id="rId2981" ref="B1492"/>
    <hyperlink r:id="rId2982" ref="D1492"/>
    <hyperlink r:id="rId2983" ref="B1493"/>
    <hyperlink r:id="rId2984" ref="D1493"/>
    <hyperlink r:id="rId2985" ref="B1494"/>
    <hyperlink r:id="rId2986" ref="D1494"/>
    <hyperlink r:id="rId2987" ref="B1495"/>
    <hyperlink r:id="rId2988" ref="D1495"/>
    <hyperlink r:id="rId2989" ref="B1496"/>
    <hyperlink r:id="rId2990" ref="D1496"/>
    <hyperlink r:id="rId2991" ref="B1497"/>
    <hyperlink r:id="rId2992" ref="D1497"/>
    <hyperlink r:id="rId2993" ref="B1498"/>
    <hyperlink r:id="rId2994" ref="D1498"/>
    <hyperlink r:id="rId2995" ref="B1499"/>
    <hyperlink r:id="rId2996" ref="D1499"/>
    <hyperlink r:id="rId2997" ref="B1500"/>
    <hyperlink r:id="rId2998" ref="D1500"/>
    <hyperlink r:id="rId2999" ref="B1501"/>
    <hyperlink r:id="rId3000" ref="D1501"/>
    <hyperlink r:id="rId3001" ref="B1502"/>
    <hyperlink r:id="rId3002" ref="D1502"/>
    <hyperlink r:id="rId3003" ref="B1503"/>
    <hyperlink r:id="rId3004" ref="D1503"/>
    <hyperlink r:id="rId3005" ref="B1504"/>
    <hyperlink r:id="rId3006" ref="D1504"/>
    <hyperlink r:id="rId3007" ref="B1505"/>
    <hyperlink r:id="rId3008" ref="D1505"/>
    <hyperlink r:id="rId3009" ref="B1506"/>
    <hyperlink r:id="rId3010" ref="D1506"/>
    <hyperlink r:id="rId3011" ref="B1507"/>
    <hyperlink r:id="rId3012" ref="D1507"/>
    <hyperlink r:id="rId3013" ref="B1508"/>
    <hyperlink r:id="rId3014" ref="D1508"/>
    <hyperlink r:id="rId3015" ref="B1509"/>
    <hyperlink r:id="rId3016" ref="D1509"/>
    <hyperlink r:id="rId3017" ref="B1510"/>
    <hyperlink r:id="rId3018" ref="D1510"/>
    <hyperlink r:id="rId3019" ref="B1511"/>
    <hyperlink r:id="rId3020" ref="D1511"/>
    <hyperlink r:id="rId3021" ref="B1512"/>
    <hyperlink r:id="rId3022" ref="D1512"/>
    <hyperlink r:id="rId3023" ref="B1513"/>
    <hyperlink r:id="rId3024" ref="D1513"/>
    <hyperlink r:id="rId3025" ref="B1514"/>
    <hyperlink r:id="rId3026" ref="D1514"/>
    <hyperlink r:id="rId3027" ref="B1515"/>
    <hyperlink r:id="rId3028" ref="D1515"/>
    <hyperlink r:id="rId3029" ref="B1516"/>
    <hyperlink r:id="rId3030" ref="D1516"/>
    <hyperlink r:id="rId3031" ref="B1517"/>
    <hyperlink r:id="rId3032" ref="D1517"/>
    <hyperlink r:id="rId3033" ref="B1518"/>
    <hyperlink r:id="rId3034" ref="D1518"/>
    <hyperlink r:id="rId3035" ref="B1519"/>
    <hyperlink r:id="rId3036" ref="D1519"/>
    <hyperlink r:id="rId3037" ref="B1520"/>
    <hyperlink r:id="rId3038" ref="D1520"/>
    <hyperlink r:id="rId3039" ref="B1521"/>
    <hyperlink r:id="rId3040" ref="D1521"/>
    <hyperlink r:id="rId3041" ref="B1522"/>
    <hyperlink r:id="rId3042" ref="D1522"/>
    <hyperlink r:id="rId3043" ref="B1523"/>
    <hyperlink r:id="rId3044" ref="D1523"/>
    <hyperlink r:id="rId3045" ref="B1524"/>
    <hyperlink r:id="rId3046" ref="D1524"/>
    <hyperlink r:id="rId3047" ref="B1525"/>
    <hyperlink r:id="rId3048" ref="D1525"/>
    <hyperlink r:id="rId3049" ref="B1526"/>
    <hyperlink r:id="rId3050" ref="D1526"/>
    <hyperlink r:id="rId3051" ref="B1527"/>
    <hyperlink r:id="rId3052" ref="D1527"/>
    <hyperlink r:id="rId3053" ref="B1528"/>
    <hyperlink r:id="rId3054" ref="D1528"/>
    <hyperlink r:id="rId3055" ref="B1529"/>
    <hyperlink r:id="rId3056" ref="D1529"/>
    <hyperlink r:id="rId3057" ref="B1530"/>
    <hyperlink r:id="rId3058" ref="D1530"/>
    <hyperlink r:id="rId3059" ref="B1531"/>
    <hyperlink r:id="rId3060" ref="D1531"/>
    <hyperlink r:id="rId3061" ref="B1532"/>
    <hyperlink r:id="rId3062" ref="D1532"/>
    <hyperlink r:id="rId3063" ref="B1533"/>
    <hyperlink r:id="rId3064" ref="D1533"/>
    <hyperlink r:id="rId3065" ref="B1534"/>
    <hyperlink r:id="rId3066" ref="D1534"/>
    <hyperlink r:id="rId3067" ref="B1535"/>
    <hyperlink r:id="rId3068" ref="D1535"/>
    <hyperlink r:id="rId3069" ref="B1536"/>
    <hyperlink r:id="rId3070" ref="D1536"/>
    <hyperlink r:id="rId3071" ref="B1537"/>
    <hyperlink r:id="rId3072" ref="D1537"/>
    <hyperlink r:id="rId3073" ref="B1538"/>
    <hyperlink r:id="rId3074" ref="D1538"/>
    <hyperlink r:id="rId3075" ref="B1539"/>
    <hyperlink r:id="rId3076" ref="D1539"/>
    <hyperlink r:id="rId3077" ref="B1540"/>
    <hyperlink r:id="rId3078" ref="D1540"/>
    <hyperlink r:id="rId3079" ref="B1541"/>
    <hyperlink r:id="rId3080" ref="D1541"/>
    <hyperlink r:id="rId3081" ref="B1542"/>
    <hyperlink r:id="rId3082" ref="D1542"/>
    <hyperlink r:id="rId3083" ref="B1543"/>
    <hyperlink r:id="rId3084" ref="D1543"/>
    <hyperlink r:id="rId3085" ref="B1544"/>
    <hyperlink r:id="rId3086" ref="D1544"/>
    <hyperlink r:id="rId3087" ref="B1545"/>
    <hyperlink r:id="rId3088" ref="D1545"/>
    <hyperlink r:id="rId3089" ref="B1546"/>
    <hyperlink r:id="rId3090" ref="D1546"/>
    <hyperlink r:id="rId3091" ref="B1547"/>
    <hyperlink r:id="rId3092" ref="D1547"/>
    <hyperlink r:id="rId3093" ref="B1548"/>
    <hyperlink r:id="rId3094" ref="D1548"/>
    <hyperlink r:id="rId3095" ref="B1549"/>
    <hyperlink r:id="rId3096" ref="D1549"/>
    <hyperlink r:id="rId3097" ref="B1550"/>
    <hyperlink r:id="rId3098" ref="D1550"/>
    <hyperlink r:id="rId3099" ref="B1551"/>
    <hyperlink r:id="rId3100" ref="D1551"/>
    <hyperlink r:id="rId3101" ref="B1552"/>
    <hyperlink r:id="rId3102" ref="D1552"/>
    <hyperlink r:id="rId3103" ref="B1553"/>
    <hyperlink r:id="rId3104" ref="D1553"/>
    <hyperlink r:id="rId3105" ref="B1554"/>
    <hyperlink r:id="rId3106" ref="D1554"/>
    <hyperlink r:id="rId3107" ref="B1555"/>
    <hyperlink r:id="rId3108" ref="D1555"/>
    <hyperlink r:id="rId3109" ref="B1556"/>
    <hyperlink r:id="rId3110" ref="D1556"/>
    <hyperlink r:id="rId3111" ref="B1557"/>
    <hyperlink r:id="rId3112" ref="D1557"/>
    <hyperlink r:id="rId3113" ref="B1558"/>
    <hyperlink r:id="rId3114" ref="D1558"/>
    <hyperlink r:id="rId3115" ref="B1559"/>
    <hyperlink r:id="rId3116" ref="D1559"/>
    <hyperlink r:id="rId3117" ref="B1560"/>
    <hyperlink r:id="rId3118" ref="D1560"/>
    <hyperlink r:id="rId3119" ref="B1561"/>
    <hyperlink r:id="rId3120" ref="D1561"/>
    <hyperlink r:id="rId3121" ref="B1562"/>
    <hyperlink r:id="rId3122" ref="D1562"/>
    <hyperlink r:id="rId3123" ref="B1563"/>
    <hyperlink r:id="rId3124" ref="D1563"/>
    <hyperlink r:id="rId3125" ref="B1564"/>
    <hyperlink r:id="rId3126" ref="D1564"/>
    <hyperlink r:id="rId3127" ref="B1565"/>
    <hyperlink r:id="rId3128" ref="D1565"/>
    <hyperlink r:id="rId3129" ref="B1566"/>
    <hyperlink r:id="rId3130" ref="D1566"/>
    <hyperlink r:id="rId3131" ref="B1567"/>
    <hyperlink r:id="rId3132" ref="D1567"/>
    <hyperlink r:id="rId3133" ref="B1568"/>
    <hyperlink r:id="rId3134" ref="D1568"/>
    <hyperlink r:id="rId3135" ref="B1569"/>
    <hyperlink r:id="rId3136" ref="D1569"/>
    <hyperlink r:id="rId3137" ref="B1570"/>
    <hyperlink r:id="rId3138" ref="D1570"/>
    <hyperlink r:id="rId3139" ref="B1571"/>
    <hyperlink r:id="rId3140" ref="D1571"/>
    <hyperlink r:id="rId3141" ref="B1572"/>
    <hyperlink r:id="rId3142" ref="D1572"/>
    <hyperlink r:id="rId3143" ref="B1573"/>
    <hyperlink r:id="rId3144" ref="D1573"/>
    <hyperlink r:id="rId3145" ref="B1574"/>
    <hyperlink r:id="rId3146" ref="D1574"/>
    <hyperlink r:id="rId3147" ref="B1575"/>
    <hyperlink r:id="rId3148" ref="D1575"/>
    <hyperlink r:id="rId3149" ref="B1576"/>
    <hyperlink r:id="rId3150" ref="D1576"/>
    <hyperlink r:id="rId3151" ref="B1577"/>
    <hyperlink r:id="rId3152" ref="D1577"/>
    <hyperlink r:id="rId3153" ref="B1578"/>
    <hyperlink r:id="rId3154" ref="D1578"/>
    <hyperlink r:id="rId3155" ref="B1579"/>
    <hyperlink r:id="rId3156" ref="D1579"/>
    <hyperlink r:id="rId3157" ref="B1580"/>
    <hyperlink r:id="rId3158" ref="D1580"/>
    <hyperlink r:id="rId3159" ref="B1581"/>
    <hyperlink r:id="rId3160" ref="D1581"/>
    <hyperlink r:id="rId3161" ref="B1582"/>
    <hyperlink r:id="rId3162" ref="D1582"/>
    <hyperlink r:id="rId3163" ref="B1583"/>
    <hyperlink r:id="rId3164" ref="D1583"/>
    <hyperlink r:id="rId3165" ref="B1584"/>
    <hyperlink r:id="rId3166" ref="D1584"/>
    <hyperlink r:id="rId3167" ref="B1585"/>
    <hyperlink r:id="rId3168" ref="D1585"/>
    <hyperlink r:id="rId3169" ref="B1586"/>
    <hyperlink r:id="rId3170" ref="D1586"/>
    <hyperlink r:id="rId3171" ref="B1587"/>
    <hyperlink r:id="rId3172" ref="D1587"/>
    <hyperlink r:id="rId3173" ref="B1588"/>
    <hyperlink r:id="rId3174" ref="D1588"/>
    <hyperlink r:id="rId3175" ref="B1589"/>
    <hyperlink r:id="rId3176" ref="D1589"/>
    <hyperlink r:id="rId3177" ref="B1590"/>
    <hyperlink r:id="rId3178" ref="D1590"/>
    <hyperlink r:id="rId3179" ref="B1591"/>
    <hyperlink r:id="rId3180" ref="D1591"/>
    <hyperlink r:id="rId3181" ref="B1592"/>
    <hyperlink r:id="rId3182" ref="D1592"/>
    <hyperlink r:id="rId3183" ref="B1593"/>
    <hyperlink r:id="rId3184" ref="D1593"/>
    <hyperlink r:id="rId3185" ref="B1594"/>
    <hyperlink r:id="rId3186" ref="D1594"/>
    <hyperlink r:id="rId3187" ref="B1595"/>
    <hyperlink r:id="rId3188" ref="D1595"/>
    <hyperlink r:id="rId3189" ref="B1596"/>
    <hyperlink r:id="rId3190" ref="D1596"/>
    <hyperlink r:id="rId3191" ref="B1597"/>
    <hyperlink r:id="rId3192" ref="D1597"/>
    <hyperlink r:id="rId3193" ref="B1598"/>
    <hyperlink r:id="rId3194" ref="D1598"/>
    <hyperlink r:id="rId3195" ref="B1599"/>
    <hyperlink r:id="rId3196" ref="D1599"/>
    <hyperlink r:id="rId3197" ref="B1600"/>
    <hyperlink r:id="rId3198" ref="D1600"/>
    <hyperlink r:id="rId3199" ref="B1601"/>
    <hyperlink r:id="rId3200" ref="D1601"/>
    <hyperlink r:id="rId3201" ref="B1602"/>
    <hyperlink r:id="rId3202" ref="D1602"/>
    <hyperlink r:id="rId3203" ref="B1603"/>
    <hyperlink r:id="rId3204" ref="D1603"/>
    <hyperlink r:id="rId3205" ref="B1604"/>
    <hyperlink r:id="rId3206" ref="D1604"/>
    <hyperlink r:id="rId3207" ref="B1605"/>
    <hyperlink r:id="rId3208" ref="D1605"/>
    <hyperlink r:id="rId3209" ref="B1606"/>
    <hyperlink r:id="rId3210" ref="D1606"/>
    <hyperlink r:id="rId3211" ref="B1607"/>
    <hyperlink r:id="rId3212" ref="D1607"/>
    <hyperlink r:id="rId3213" ref="B1608"/>
    <hyperlink r:id="rId3214" ref="D1608"/>
    <hyperlink r:id="rId3215" ref="B1609"/>
    <hyperlink r:id="rId3216" ref="D1609"/>
    <hyperlink r:id="rId3217" ref="B1610"/>
    <hyperlink r:id="rId3218" ref="D1610"/>
    <hyperlink r:id="rId3219" ref="B1611"/>
    <hyperlink r:id="rId3220" ref="D1611"/>
    <hyperlink r:id="rId3221" ref="B1612"/>
    <hyperlink r:id="rId3222" ref="D1612"/>
    <hyperlink r:id="rId3223" ref="B1613"/>
    <hyperlink r:id="rId3224" ref="D1613"/>
    <hyperlink r:id="rId3225" ref="B1614"/>
    <hyperlink r:id="rId3226" ref="D1614"/>
    <hyperlink r:id="rId3227" ref="B1615"/>
    <hyperlink r:id="rId3228" ref="D1615"/>
    <hyperlink r:id="rId3229" ref="B1616"/>
    <hyperlink r:id="rId3230" ref="D1616"/>
    <hyperlink r:id="rId3231" ref="B1617"/>
    <hyperlink r:id="rId3232" ref="D1617"/>
    <hyperlink r:id="rId3233" ref="B1618"/>
    <hyperlink r:id="rId3234" ref="D1618"/>
    <hyperlink r:id="rId3235" ref="B1619"/>
    <hyperlink r:id="rId3236" ref="D1619"/>
    <hyperlink r:id="rId3237" ref="B1620"/>
    <hyperlink r:id="rId3238" ref="D1620"/>
    <hyperlink r:id="rId3239" ref="B1621"/>
    <hyperlink r:id="rId3240" ref="D1621"/>
    <hyperlink r:id="rId3241" ref="B1622"/>
    <hyperlink r:id="rId3242" ref="D1622"/>
    <hyperlink r:id="rId3243" ref="B1623"/>
    <hyperlink r:id="rId3244" ref="D1623"/>
    <hyperlink r:id="rId3245" ref="B1624"/>
    <hyperlink r:id="rId3246" ref="D1624"/>
    <hyperlink r:id="rId3247" ref="B1625"/>
    <hyperlink r:id="rId3248" ref="D1625"/>
    <hyperlink r:id="rId3249" ref="B1626"/>
    <hyperlink r:id="rId3250" ref="D1626"/>
    <hyperlink r:id="rId3251" ref="B1627"/>
    <hyperlink r:id="rId3252" ref="D1627"/>
    <hyperlink r:id="rId3253" ref="B1628"/>
    <hyperlink r:id="rId3254" ref="D1628"/>
    <hyperlink r:id="rId3255" ref="B1629"/>
    <hyperlink r:id="rId3256" ref="D1629"/>
    <hyperlink r:id="rId3257" ref="B1630"/>
    <hyperlink r:id="rId3258" ref="D1630"/>
    <hyperlink r:id="rId3259" ref="B1631"/>
    <hyperlink r:id="rId3260" ref="D1631"/>
    <hyperlink r:id="rId3261" ref="B1632"/>
    <hyperlink r:id="rId3262" ref="D1632"/>
    <hyperlink r:id="rId3263" ref="B1633"/>
    <hyperlink r:id="rId3264" ref="D1633"/>
    <hyperlink r:id="rId3265" ref="B1634"/>
    <hyperlink r:id="rId3266" ref="D1634"/>
    <hyperlink r:id="rId3267" ref="B1635"/>
    <hyperlink r:id="rId3268" ref="D1635"/>
    <hyperlink r:id="rId3269" ref="B1636"/>
    <hyperlink r:id="rId3270" ref="D1636"/>
    <hyperlink r:id="rId3271" ref="B1637"/>
    <hyperlink r:id="rId3272" ref="D1637"/>
    <hyperlink r:id="rId3273" ref="B1638"/>
    <hyperlink r:id="rId3274" ref="D1638"/>
    <hyperlink r:id="rId3275" ref="B1639"/>
    <hyperlink r:id="rId3276" ref="D1639"/>
    <hyperlink r:id="rId3277" ref="B1640"/>
    <hyperlink r:id="rId3278" ref="D1640"/>
    <hyperlink r:id="rId3279" ref="B1641"/>
    <hyperlink r:id="rId3280" ref="D1641"/>
    <hyperlink r:id="rId3281" ref="B1642"/>
    <hyperlink r:id="rId3282" ref="D1642"/>
    <hyperlink r:id="rId3283" ref="B1643"/>
    <hyperlink r:id="rId3284" ref="D1643"/>
    <hyperlink r:id="rId3285" ref="B1644"/>
    <hyperlink r:id="rId3286" ref="D1644"/>
    <hyperlink r:id="rId3287" ref="B1645"/>
    <hyperlink r:id="rId3288" ref="D1645"/>
    <hyperlink r:id="rId3289" ref="B1646"/>
    <hyperlink r:id="rId3290" ref="D1646"/>
    <hyperlink r:id="rId3291" ref="B1647"/>
    <hyperlink r:id="rId3292" ref="D1647"/>
    <hyperlink r:id="rId3293" ref="B1648"/>
    <hyperlink r:id="rId3294" ref="D1648"/>
    <hyperlink r:id="rId3295" ref="B1649"/>
    <hyperlink r:id="rId3296" ref="D1649"/>
    <hyperlink r:id="rId3297" ref="B1650"/>
    <hyperlink r:id="rId3298" ref="D1650"/>
    <hyperlink r:id="rId3299" ref="B1651"/>
    <hyperlink r:id="rId3300" ref="D1651"/>
    <hyperlink r:id="rId3301" ref="B1652"/>
    <hyperlink r:id="rId3302" ref="D1652"/>
    <hyperlink r:id="rId3303" ref="B1653"/>
    <hyperlink r:id="rId3304" ref="D1653"/>
    <hyperlink r:id="rId3305" ref="B1654"/>
    <hyperlink r:id="rId3306" ref="D1654"/>
    <hyperlink r:id="rId3307" ref="B1655"/>
    <hyperlink r:id="rId3308" ref="D1655"/>
    <hyperlink r:id="rId3309" ref="B1656"/>
    <hyperlink r:id="rId3310" ref="D1656"/>
    <hyperlink r:id="rId3311" ref="B1657"/>
    <hyperlink r:id="rId3312" ref="D1657"/>
    <hyperlink r:id="rId3313" ref="B1658"/>
    <hyperlink r:id="rId3314" ref="D1658"/>
    <hyperlink r:id="rId3315" ref="B1659"/>
    <hyperlink r:id="rId3316" ref="D1659"/>
    <hyperlink r:id="rId3317" ref="B1660"/>
    <hyperlink r:id="rId3318" ref="D1660"/>
    <hyperlink r:id="rId3319" ref="B1661"/>
    <hyperlink r:id="rId3320" ref="D1661"/>
    <hyperlink r:id="rId3321" ref="B1662"/>
    <hyperlink r:id="rId3322" ref="D1662"/>
    <hyperlink r:id="rId3323" ref="B1663"/>
    <hyperlink r:id="rId3324" ref="D1663"/>
    <hyperlink r:id="rId3325" ref="B1664"/>
    <hyperlink r:id="rId3326" ref="D1664"/>
    <hyperlink r:id="rId3327" ref="B1665"/>
    <hyperlink r:id="rId3328" ref="D1665"/>
    <hyperlink r:id="rId3329" ref="B1666"/>
    <hyperlink r:id="rId3330" ref="D1666"/>
    <hyperlink r:id="rId3331" ref="B1667"/>
    <hyperlink r:id="rId3332" ref="D1667"/>
    <hyperlink r:id="rId3333" ref="B1668"/>
    <hyperlink r:id="rId3334" ref="D1668"/>
    <hyperlink r:id="rId3335" ref="B1669"/>
    <hyperlink r:id="rId3336" ref="D1669"/>
    <hyperlink r:id="rId3337" ref="B1670"/>
    <hyperlink r:id="rId3338" ref="D1670"/>
    <hyperlink r:id="rId3339" ref="B1671"/>
    <hyperlink r:id="rId3340" ref="D1671"/>
    <hyperlink r:id="rId3341" ref="B1672"/>
    <hyperlink r:id="rId3342" ref="D1672"/>
    <hyperlink r:id="rId3343" ref="B1673"/>
    <hyperlink r:id="rId3344" ref="D1673"/>
    <hyperlink r:id="rId3345" ref="B1674"/>
    <hyperlink r:id="rId3346" ref="D1674"/>
    <hyperlink r:id="rId3347" ref="B1675"/>
    <hyperlink r:id="rId3348" ref="D1675"/>
    <hyperlink r:id="rId3349" ref="B1676"/>
    <hyperlink r:id="rId3350" ref="D1676"/>
    <hyperlink r:id="rId3351" ref="B1677"/>
    <hyperlink r:id="rId3352" ref="D1677"/>
    <hyperlink r:id="rId3353" ref="B1678"/>
    <hyperlink r:id="rId3354" ref="D1678"/>
    <hyperlink r:id="rId3355" ref="B1679"/>
    <hyperlink r:id="rId3356" ref="D1679"/>
    <hyperlink r:id="rId3357" ref="B1680"/>
    <hyperlink r:id="rId3358" ref="D1680"/>
    <hyperlink r:id="rId3359" ref="B1681"/>
    <hyperlink r:id="rId3360" ref="D1681"/>
    <hyperlink r:id="rId3361" ref="B1682"/>
    <hyperlink r:id="rId3362" ref="D1682"/>
    <hyperlink r:id="rId3363" ref="B1683"/>
    <hyperlink r:id="rId3364" ref="D1683"/>
    <hyperlink r:id="rId3365" ref="B1684"/>
    <hyperlink r:id="rId3366" ref="D1684"/>
    <hyperlink r:id="rId3367" ref="B1685"/>
    <hyperlink r:id="rId3368" ref="D1685"/>
    <hyperlink r:id="rId3369" ref="B1686"/>
    <hyperlink r:id="rId3370" ref="D1686"/>
    <hyperlink r:id="rId3371" ref="B1687"/>
    <hyperlink r:id="rId3372" ref="D1687"/>
    <hyperlink r:id="rId3373" ref="B1688"/>
    <hyperlink r:id="rId3374" ref="D1688"/>
    <hyperlink r:id="rId3375" ref="B1689"/>
    <hyperlink r:id="rId3376" ref="D1689"/>
    <hyperlink r:id="rId3377" ref="B1690"/>
    <hyperlink r:id="rId3378" ref="D1690"/>
    <hyperlink r:id="rId3379" ref="B1691"/>
    <hyperlink r:id="rId3380" ref="D1691"/>
    <hyperlink r:id="rId3381" ref="B1692"/>
    <hyperlink r:id="rId3382" ref="D1692"/>
    <hyperlink r:id="rId3383" ref="B1693"/>
    <hyperlink r:id="rId3384" ref="D1693"/>
    <hyperlink r:id="rId3385" ref="B1694"/>
    <hyperlink r:id="rId3386" ref="D1694"/>
    <hyperlink r:id="rId3387" ref="B1695"/>
    <hyperlink r:id="rId3388" ref="D1695"/>
    <hyperlink r:id="rId3389" ref="B1696"/>
    <hyperlink r:id="rId3390" ref="D1696"/>
    <hyperlink r:id="rId3391" ref="B1697"/>
    <hyperlink r:id="rId3392" ref="D1697"/>
    <hyperlink r:id="rId3393" ref="B1698"/>
    <hyperlink r:id="rId3394" ref="D1698"/>
    <hyperlink r:id="rId3395" ref="B1699"/>
    <hyperlink r:id="rId3396" ref="D1699"/>
    <hyperlink r:id="rId3397" ref="B1700"/>
    <hyperlink r:id="rId3398" ref="D1700"/>
    <hyperlink r:id="rId3399" ref="B1701"/>
    <hyperlink r:id="rId3400" ref="D1701"/>
    <hyperlink r:id="rId3401" ref="B1702"/>
    <hyperlink r:id="rId3402" ref="D1702"/>
    <hyperlink r:id="rId3403" ref="B1703"/>
    <hyperlink r:id="rId3404" ref="D1703"/>
    <hyperlink r:id="rId3405" ref="B1704"/>
    <hyperlink r:id="rId3406" ref="D1704"/>
    <hyperlink r:id="rId3407" ref="B1705"/>
    <hyperlink r:id="rId3408" ref="D1705"/>
    <hyperlink r:id="rId3409" ref="B1706"/>
    <hyperlink r:id="rId3410" ref="D1706"/>
    <hyperlink r:id="rId3411" ref="B1707"/>
    <hyperlink r:id="rId3412" ref="D1707"/>
    <hyperlink r:id="rId3413" ref="B1708"/>
    <hyperlink r:id="rId3414" ref="D1708"/>
    <hyperlink r:id="rId3415" ref="B1709"/>
    <hyperlink r:id="rId3416" ref="D1709"/>
    <hyperlink r:id="rId3417" ref="B1710"/>
    <hyperlink r:id="rId3418" ref="D1710"/>
    <hyperlink r:id="rId3419" ref="B1711"/>
    <hyperlink r:id="rId3420" ref="D1711"/>
    <hyperlink r:id="rId3421" ref="B1712"/>
    <hyperlink r:id="rId3422" ref="D1712"/>
    <hyperlink r:id="rId3423" ref="B1713"/>
    <hyperlink r:id="rId3424" ref="D1713"/>
    <hyperlink r:id="rId3425" ref="B1714"/>
    <hyperlink r:id="rId3426" ref="D1714"/>
    <hyperlink r:id="rId3427" ref="B1715"/>
    <hyperlink r:id="rId3428" ref="D1715"/>
    <hyperlink r:id="rId3429" ref="B1716"/>
    <hyperlink r:id="rId3430" ref="D1716"/>
    <hyperlink r:id="rId3431" ref="B1717"/>
    <hyperlink r:id="rId3432" ref="D1717"/>
    <hyperlink r:id="rId3433" ref="B1718"/>
    <hyperlink r:id="rId3434" ref="D1718"/>
    <hyperlink r:id="rId3435" ref="B1719"/>
    <hyperlink r:id="rId3436" ref="D1719"/>
    <hyperlink r:id="rId3437" ref="B1720"/>
    <hyperlink r:id="rId3438" ref="D1720"/>
    <hyperlink r:id="rId3439" ref="B1721"/>
    <hyperlink r:id="rId3440" ref="D1721"/>
    <hyperlink r:id="rId3441" ref="B1722"/>
    <hyperlink r:id="rId3442" ref="D1722"/>
    <hyperlink r:id="rId3443" ref="B1723"/>
    <hyperlink r:id="rId3444" ref="D1723"/>
    <hyperlink r:id="rId3445" ref="B1724"/>
    <hyperlink r:id="rId3446" ref="D1724"/>
    <hyperlink r:id="rId3447" ref="B1725"/>
    <hyperlink r:id="rId3448" ref="D1725"/>
    <hyperlink r:id="rId3449" ref="B1726"/>
    <hyperlink r:id="rId3450" ref="D1726"/>
    <hyperlink r:id="rId3451" ref="B1727"/>
    <hyperlink r:id="rId3452" ref="D1727"/>
    <hyperlink r:id="rId3453" ref="B1728"/>
    <hyperlink r:id="rId3454" ref="D1728"/>
    <hyperlink r:id="rId3455" ref="B1729"/>
    <hyperlink r:id="rId3456" ref="D1729"/>
    <hyperlink r:id="rId3457" ref="B1730"/>
    <hyperlink r:id="rId3458" ref="D1730"/>
    <hyperlink r:id="rId3459" ref="B1731"/>
    <hyperlink r:id="rId3460" ref="D1731"/>
    <hyperlink r:id="rId3461" ref="B1732"/>
    <hyperlink r:id="rId3462" ref="D1732"/>
    <hyperlink r:id="rId3463" ref="B1733"/>
    <hyperlink r:id="rId3464" ref="D1733"/>
    <hyperlink r:id="rId3465" ref="B1734"/>
    <hyperlink r:id="rId3466" ref="D1734"/>
    <hyperlink r:id="rId3467" ref="B1735"/>
    <hyperlink r:id="rId3468" ref="D1735"/>
    <hyperlink r:id="rId3469" ref="B1736"/>
    <hyperlink r:id="rId3470" ref="D1736"/>
    <hyperlink r:id="rId3471" ref="B1737"/>
    <hyperlink r:id="rId3472" ref="D1737"/>
    <hyperlink r:id="rId3473" ref="B1738"/>
    <hyperlink r:id="rId3474" ref="D1738"/>
    <hyperlink r:id="rId3475" ref="B1739"/>
    <hyperlink r:id="rId3476" ref="D1739"/>
    <hyperlink r:id="rId3477" ref="B1740"/>
    <hyperlink r:id="rId3478" ref="D1740"/>
    <hyperlink r:id="rId3479" ref="B1741"/>
    <hyperlink r:id="rId3480" ref="D1741"/>
    <hyperlink r:id="rId3481" ref="B1742"/>
    <hyperlink r:id="rId3482" ref="D1742"/>
    <hyperlink r:id="rId3483" ref="B1743"/>
    <hyperlink r:id="rId3484" ref="D1743"/>
    <hyperlink r:id="rId3485" ref="B1744"/>
    <hyperlink r:id="rId3486" ref="D1744"/>
    <hyperlink r:id="rId3487" ref="B1745"/>
    <hyperlink r:id="rId3488" ref="D1745"/>
    <hyperlink r:id="rId3489" ref="B1746"/>
    <hyperlink r:id="rId3490" ref="D1746"/>
    <hyperlink r:id="rId3491" ref="B1747"/>
    <hyperlink r:id="rId3492" ref="D1747"/>
    <hyperlink r:id="rId3493" ref="B1748"/>
    <hyperlink r:id="rId3494" ref="D1748"/>
    <hyperlink r:id="rId3495" ref="B1749"/>
    <hyperlink r:id="rId3496" ref="D1749"/>
    <hyperlink r:id="rId3497" ref="B1750"/>
    <hyperlink r:id="rId3498" ref="D1750"/>
    <hyperlink r:id="rId3499" ref="B1751"/>
    <hyperlink r:id="rId3500" ref="D1751"/>
    <hyperlink r:id="rId3501" ref="B1752"/>
    <hyperlink r:id="rId3502" ref="D1752"/>
    <hyperlink r:id="rId3503" ref="B1753"/>
    <hyperlink r:id="rId3504" ref="D1753"/>
    <hyperlink r:id="rId3505" ref="B1754"/>
    <hyperlink r:id="rId3506" ref="D1754"/>
    <hyperlink r:id="rId3507" ref="B1755"/>
    <hyperlink r:id="rId3508" ref="D1755"/>
    <hyperlink r:id="rId3509" ref="B1756"/>
    <hyperlink r:id="rId3510" ref="D1756"/>
    <hyperlink r:id="rId3511" ref="B1757"/>
    <hyperlink r:id="rId3512" ref="D1757"/>
    <hyperlink r:id="rId3513" ref="B1758"/>
    <hyperlink r:id="rId3514" ref="D1758"/>
    <hyperlink r:id="rId3515" ref="B1759"/>
    <hyperlink r:id="rId3516" ref="D1759"/>
    <hyperlink r:id="rId3517" ref="B1760"/>
    <hyperlink r:id="rId3518" ref="D1760"/>
    <hyperlink r:id="rId3519" ref="B1761"/>
    <hyperlink r:id="rId3520" ref="D1761"/>
    <hyperlink r:id="rId3521" ref="B1762"/>
    <hyperlink r:id="rId3522" ref="D1762"/>
    <hyperlink r:id="rId3523" ref="B1763"/>
    <hyperlink r:id="rId3524" ref="D1763"/>
    <hyperlink r:id="rId3525" ref="B1764"/>
    <hyperlink r:id="rId3526" ref="D1764"/>
    <hyperlink r:id="rId3527" ref="B1765"/>
    <hyperlink r:id="rId3528" ref="D1765"/>
    <hyperlink r:id="rId3529" ref="B1766"/>
    <hyperlink r:id="rId3530" ref="D1766"/>
    <hyperlink r:id="rId3531" ref="B1767"/>
    <hyperlink r:id="rId3532" ref="D1767"/>
    <hyperlink r:id="rId3533" ref="B1768"/>
    <hyperlink r:id="rId3534" ref="D1768"/>
    <hyperlink r:id="rId3535" ref="B1769"/>
    <hyperlink r:id="rId3536" ref="D1769"/>
    <hyperlink r:id="rId3537" ref="B1770"/>
    <hyperlink r:id="rId3538" ref="D1770"/>
    <hyperlink r:id="rId3539" ref="B1771"/>
    <hyperlink r:id="rId3540" ref="D1771"/>
    <hyperlink r:id="rId3541" ref="B1772"/>
    <hyperlink r:id="rId3542" ref="D1772"/>
    <hyperlink r:id="rId3543" ref="B1773"/>
    <hyperlink r:id="rId3544" ref="D1773"/>
    <hyperlink r:id="rId3545" ref="B1774"/>
    <hyperlink r:id="rId3546" ref="D1774"/>
    <hyperlink r:id="rId3547" ref="B1775"/>
    <hyperlink r:id="rId3548" ref="D1775"/>
    <hyperlink r:id="rId3549" ref="B1776"/>
    <hyperlink r:id="rId3550" ref="D1776"/>
    <hyperlink r:id="rId3551" ref="B1777"/>
    <hyperlink r:id="rId3552" ref="D1777"/>
    <hyperlink r:id="rId3553" ref="B1778"/>
    <hyperlink r:id="rId3554" ref="D1778"/>
    <hyperlink r:id="rId3555" ref="B1779"/>
    <hyperlink r:id="rId3556" ref="D1779"/>
    <hyperlink r:id="rId3557" ref="B1780"/>
    <hyperlink r:id="rId3558" ref="D1780"/>
    <hyperlink r:id="rId3559" ref="B1781"/>
    <hyperlink r:id="rId3560" ref="D1781"/>
    <hyperlink r:id="rId3561" ref="B1782"/>
    <hyperlink r:id="rId3562" ref="D1782"/>
    <hyperlink r:id="rId3563" ref="B1783"/>
    <hyperlink r:id="rId3564" ref="D1783"/>
    <hyperlink r:id="rId3565" ref="B1784"/>
    <hyperlink r:id="rId3566" ref="D1784"/>
    <hyperlink r:id="rId3567" ref="B1785"/>
    <hyperlink r:id="rId3568" ref="D1785"/>
    <hyperlink r:id="rId3569" ref="B1786"/>
    <hyperlink r:id="rId3570" ref="D1786"/>
    <hyperlink r:id="rId3571" ref="B1787"/>
    <hyperlink r:id="rId3572" ref="D1787"/>
    <hyperlink r:id="rId3573" ref="B1788"/>
    <hyperlink r:id="rId3574" ref="D1788"/>
    <hyperlink r:id="rId3575" ref="B1789"/>
    <hyperlink r:id="rId3576" ref="D1789"/>
    <hyperlink r:id="rId3577" ref="B1790"/>
    <hyperlink r:id="rId3578" ref="D1790"/>
    <hyperlink r:id="rId3579" ref="B1791"/>
    <hyperlink r:id="rId3580" ref="D1791"/>
    <hyperlink r:id="rId3581" ref="B1792"/>
    <hyperlink r:id="rId3582" ref="D1792"/>
    <hyperlink r:id="rId3583" ref="B1793"/>
    <hyperlink r:id="rId3584" ref="D1793"/>
    <hyperlink r:id="rId3585" ref="B1794"/>
    <hyperlink r:id="rId3586" ref="D1794"/>
    <hyperlink r:id="rId3587" ref="B1795"/>
    <hyperlink r:id="rId3588" ref="D1795"/>
    <hyperlink r:id="rId3589" ref="B1796"/>
    <hyperlink r:id="rId3590" ref="D1796"/>
    <hyperlink r:id="rId3591" ref="B1797"/>
    <hyperlink r:id="rId3592" ref="D1797"/>
    <hyperlink r:id="rId3593" ref="B1798"/>
    <hyperlink r:id="rId3594" ref="D1798"/>
    <hyperlink r:id="rId3595" ref="B1799"/>
    <hyperlink r:id="rId3596" ref="D1799"/>
    <hyperlink r:id="rId3597" ref="B1800"/>
    <hyperlink r:id="rId3598" ref="D1800"/>
    <hyperlink r:id="rId3599" ref="B1801"/>
    <hyperlink r:id="rId3600" ref="D1801"/>
    <hyperlink r:id="rId3601" ref="B1802"/>
    <hyperlink r:id="rId3602" ref="D1802"/>
    <hyperlink r:id="rId3603" ref="B1803"/>
    <hyperlink r:id="rId3604" ref="D1803"/>
    <hyperlink r:id="rId3605" ref="B1804"/>
    <hyperlink r:id="rId3606" ref="D1804"/>
    <hyperlink r:id="rId3607" ref="B1805"/>
    <hyperlink r:id="rId3608" ref="D1805"/>
    <hyperlink r:id="rId3609" ref="B1806"/>
    <hyperlink r:id="rId3610" ref="D1806"/>
    <hyperlink r:id="rId3611" ref="B1807"/>
    <hyperlink r:id="rId3612" ref="D1807"/>
    <hyperlink r:id="rId3613" ref="B1808"/>
    <hyperlink r:id="rId3614" ref="D1808"/>
    <hyperlink r:id="rId3615" ref="B1809"/>
    <hyperlink r:id="rId3616" ref="D1809"/>
    <hyperlink r:id="rId3617" ref="B1810"/>
    <hyperlink r:id="rId3618" ref="D1810"/>
    <hyperlink r:id="rId3619" ref="B1811"/>
    <hyperlink r:id="rId3620" ref="D1811"/>
    <hyperlink r:id="rId3621" ref="B1812"/>
    <hyperlink r:id="rId3622" ref="D1812"/>
    <hyperlink r:id="rId3623" ref="B1813"/>
    <hyperlink r:id="rId3624" ref="D1813"/>
    <hyperlink r:id="rId3625" ref="B1814"/>
    <hyperlink r:id="rId3626" ref="D1814"/>
    <hyperlink r:id="rId3627" ref="B1815"/>
    <hyperlink r:id="rId3628" ref="D1815"/>
    <hyperlink r:id="rId3629" ref="B1816"/>
    <hyperlink r:id="rId3630" ref="D1816"/>
    <hyperlink r:id="rId3631" ref="B1817"/>
    <hyperlink r:id="rId3632" ref="D1817"/>
    <hyperlink r:id="rId3633" ref="B1818"/>
    <hyperlink r:id="rId3634" ref="D1818"/>
    <hyperlink r:id="rId3635" ref="B1819"/>
    <hyperlink r:id="rId3636" ref="D1819"/>
    <hyperlink r:id="rId3637" ref="B1820"/>
    <hyperlink r:id="rId3638" ref="D1820"/>
    <hyperlink r:id="rId3639" ref="B1821"/>
    <hyperlink r:id="rId3640" ref="D1821"/>
    <hyperlink r:id="rId3641" ref="B1822"/>
    <hyperlink r:id="rId3642" ref="D1822"/>
    <hyperlink r:id="rId3643" ref="B1823"/>
    <hyperlink r:id="rId3644" ref="D1823"/>
    <hyperlink r:id="rId3645" ref="B1824"/>
    <hyperlink r:id="rId3646" ref="D1824"/>
    <hyperlink r:id="rId3647" ref="B1825"/>
    <hyperlink r:id="rId3648" ref="D1825"/>
    <hyperlink r:id="rId3649" ref="B1826"/>
    <hyperlink r:id="rId3650" ref="D1826"/>
    <hyperlink r:id="rId3651" ref="B1827"/>
    <hyperlink r:id="rId3652" ref="D1827"/>
    <hyperlink r:id="rId3653" ref="B1828"/>
    <hyperlink r:id="rId3654" ref="D1828"/>
    <hyperlink r:id="rId3655" ref="B1829"/>
    <hyperlink r:id="rId3656" ref="D1829"/>
    <hyperlink r:id="rId3657" ref="B1830"/>
    <hyperlink r:id="rId3658" ref="D1830"/>
    <hyperlink r:id="rId3659" ref="B1831"/>
    <hyperlink r:id="rId3660" ref="D1831"/>
    <hyperlink r:id="rId3661" ref="B1832"/>
    <hyperlink r:id="rId3662" ref="D1832"/>
    <hyperlink r:id="rId3663" ref="B1833"/>
    <hyperlink r:id="rId3664" ref="D1833"/>
    <hyperlink r:id="rId3665" ref="B1834"/>
    <hyperlink r:id="rId3666" ref="D1834"/>
    <hyperlink r:id="rId3667" ref="B1835"/>
    <hyperlink r:id="rId3668" ref="D1835"/>
    <hyperlink r:id="rId3669" ref="B1836"/>
    <hyperlink r:id="rId3670" ref="D1836"/>
    <hyperlink r:id="rId3671" ref="B1837"/>
    <hyperlink r:id="rId3672" ref="D1837"/>
    <hyperlink r:id="rId3673" ref="B1838"/>
    <hyperlink r:id="rId3674" ref="D1838"/>
    <hyperlink r:id="rId3675" ref="B1839"/>
    <hyperlink r:id="rId3676" ref="D1839"/>
    <hyperlink r:id="rId3677" ref="B1840"/>
    <hyperlink r:id="rId3678" ref="D1840"/>
    <hyperlink r:id="rId3679" ref="B1841"/>
    <hyperlink r:id="rId3680" ref="D1841"/>
    <hyperlink r:id="rId3681" ref="B1842"/>
    <hyperlink r:id="rId3682" ref="D1842"/>
    <hyperlink r:id="rId3683" ref="B1843"/>
    <hyperlink r:id="rId3684" ref="D1843"/>
    <hyperlink r:id="rId3685" ref="B1844"/>
    <hyperlink r:id="rId3686" ref="D1844"/>
    <hyperlink r:id="rId3687" ref="B1845"/>
    <hyperlink r:id="rId3688" ref="D1845"/>
    <hyperlink r:id="rId3689" ref="B1846"/>
    <hyperlink r:id="rId3690" ref="D1846"/>
    <hyperlink r:id="rId3691" ref="B1847"/>
    <hyperlink r:id="rId3692" ref="D1847"/>
    <hyperlink r:id="rId3693" ref="B1848"/>
    <hyperlink r:id="rId3694" ref="D1848"/>
    <hyperlink r:id="rId3695" ref="B1849"/>
    <hyperlink r:id="rId3696" ref="D1849"/>
    <hyperlink r:id="rId3697" ref="B1850"/>
    <hyperlink r:id="rId3698" ref="D1850"/>
    <hyperlink r:id="rId3699" ref="B1851"/>
    <hyperlink r:id="rId3700" ref="D1851"/>
    <hyperlink r:id="rId3701" ref="B1852"/>
    <hyperlink r:id="rId3702" ref="D1852"/>
    <hyperlink r:id="rId3703" ref="B1853"/>
    <hyperlink r:id="rId3704" ref="D1853"/>
    <hyperlink r:id="rId3705" ref="B1854"/>
    <hyperlink r:id="rId3706" ref="D1854"/>
    <hyperlink r:id="rId3707" ref="B1855"/>
    <hyperlink r:id="rId3708" ref="D1855"/>
    <hyperlink r:id="rId3709" ref="B1856"/>
    <hyperlink r:id="rId3710" ref="D1856"/>
    <hyperlink r:id="rId3711" ref="B1857"/>
    <hyperlink r:id="rId3712" ref="D1857"/>
    <hyperlink r:id="rId3713" ref="B1858"/>
    <hyperlink r:id="rId3714" ref="D1858"/>
    <hyperlink r:id="rId3715" ref="B1859"/>
    <hyperlink r:id="rId3716" ref="D1859"/>
    <hyperlink r:id="rId3717" ref="B1860"/>
    <hyperlink r:id="rId3718" ref="D1860"/>
    <hyperlink r:id="rId3719" ref="B1861"/>
    <hyperlink r:id="rId3720" ref="D1861"/>
    <hyperlink r:id="rId3721" ref="B1862"/>
    <hyperlink r:id="rId3722" ref="D1862"/>
    <hyperlink r:id="rId3723" ref="B1863"/>
    <hyperlink r:id="rId3724" ref="D1863"/>
    <hyperlink r:id="rId3725" ref="B1864"/>
    <hyperlink r:id="rId3726" ref="D1864"/>
    <hyperlink r:id="rId3727" ref="B1865"/>
    <hyperlink r:id="rId3728" ref="D1865"/>
    <hyperlink r:id="rId3729" ref="B1866"/>
    <hyperlink r:id="rId3730" ref="D1866"/>
    <hyperlink r:id="rId3731" ref="B1867"/>
    <hyperlink r:id="rId3732" ref="D1867"/>
    <hyperlink r:id="rId3733" ref="B1868"/>
    <hyperlink r:id="rId3734" ref="D1868"/>
    <hyperlink r:id="rId3735" ref="B1869"/>
    <hyperlink r:id="rId3736" ref="D1869"/>
    <hyperlink r:id="rId3737" ref="B1870"/>
    <hyperlink r:id="rId3738" ref="D1870"/>
    <hyperlink r:id="rId3739" ref="B1871"/>
    <hyperlink r:id="rId3740" ref="D1871"/>
    <hyperlink r:id="rId3741" ref="B1872"/>
    <hyperlink r:id="rId3742" ref="D1872"/>
    <hyperlink r:id="rId3743" ref="B1873"/>
    <hyperlink r:id="rId3744" ref="D1873"/>
    <hyperlink r:id="rId3745" ref="B1874"/>
    <hyperlink r:id="rId3746" ref="D1874"/>
    <hyperlink r:id="rId3747" ref="B1875"/>
    <hyperlink r:id="rId3748" ref="D1875"/>
    <hyperlink r:id="rId3749" ref="B1876"/>
    <hyperlink r:id="rId3750" ref="D1876"/>
    <hyperlink r:id="rId3751" ref="B1877"/>
    <hyperlink r:id="rId3752" ref="D1877"/>
    <hyperlink r:id="rId3753" ref="B1878"/>
    <hyperlink r:id="rId3754" ref="D1878"/>
    <hyperlink r:id="rId3755" ref="B1879"/>
    <hyperlink r:id="rId3756" ref="D1879"/>
    <hyperlink r:id="rId3757" ref="B1880"/>
    <hyperlink r:id="rId3758" ref="D1880"/>
    <hyperlink r:id="rId3759" ref="B1881"/>
    <hyperlink r:id="rId3760" ref="D1881"/>
    <hyperlink r:id="rId3761" ref="B1882"/>
    <hyperlink r:id="rId3762" ref="D1882"/>
    <hyperlink r:id="rId3763" ref="B1883"/>
    <hyperlink r:id="rId3764" ref="D1883"/>
    <hyperlink r:id="rId3765" ref="B1884"/>
    <hyperlink r:id="rId3766" ref="D1884"/>
    <hyperlink r:id="rId3767" ref="B1885"/>
    <hyperlink r:id="rId3768" ref="D1885"/>
    <hyperlink r:id="rId3769" ref="B1886"/>
    <hyperlink r:id="rId3770" ref="D1886"/>
    <hyperlink r:id="rId3771" ref="B1887"/>
    <hyperlink r:id="rId3772" ref="D1887"/>
    <hyperlink r:id="rId3773" ref="B1888"/>
    <hyperlink r:id="rId3774" ref="D1888"/>
    <hyperlink r:id="rId3775" ref="B1889"/>
    <hyperlink r:id="rId3776" ref="D1889"/>
    <hyperlink r:id="rId3777" ref="B1890"/>
    <hyperlink r:id="rId3778" ref="D1890"/>
    <hyperlink r:id="rId3779" ref="B1891"/>
    <hyperlink r:id="rId3780" ref="D1891"/>
    <hyperlink r:id="rId3781" ref="B1892"/>
    <hyperlink r:id="rId3782" ref="D1892"/>
    <hyperlink r:id="rId3783" ref="B1893"/>
    <hyperlink r:id="rId3784" ref="D1893"/>
    <hyperlink r:id="rId3785" ref="B1894"/>
    <hyperlink r:id="rId3786" ref="D1894"/>
    <hyperlink r:id="rId3787" ref="B1895"/>
    <hyperlink r:id="rId3788" ref="D1895"/>
    <hyperlink r:id="rId3789" ref="B1896"/>
    <hyperlink r:id="rId3790" ref="D1896"/>
    <hyperlink r:id="rId3791" ref="B1897"/>
    <hyperlink r:id="rId3792" ref="D1897"/>
    <hyperlink r:id="rId3793" ref="B1898"/>
    <hyperlink r:id="rId3794" ref="D1898"/>
    <hyperlink r:id="rId3795" ref="B1899"/>
    <hyperlink r:id="rId3796" ref="D1899"/>
    <hyperlink r:id="rId3797" ref="B1900"/>
    <hyperlink r:id="rId3798" ref="D1900"/>
    <hyperlink r:id="rId3799" ref="B1901"/>
    <hyperlink r:id="rId3800" ref="D1901"/>
    <hyperlink r:id="rId3801" ref="B1902"/>
    <hyperlink r:id="rId3802" ref="D1902"/>
    <hyperlink r:id="rId3803" ref="B1903"/>
    <hyperlink r:id="rId3804" ref="D1903"/>
    <hyperlink r:id="rId3805" ref="B1904"/>
    <hyperlink r:id="rId3806" ref="D1904"/>
    <hyperlink r:id="rId3807" ref="B1905"/>
    <hyperlink r:id="rId3808" ref="D1905"/>
    <hyperlink r:id="rId3809" ref="B1906"/>
    <hyperlink r:id="rId3810" ref="D1906"/>
    <hyperlink r:id="rId3811" ref="B1907"/>
    <hyperlink r:id="rId3812" ref="D1907"/>
    <hyperlink r:id="rId3813" ref="B1908"/>
    <hyperlink r:id="rId3814" ref="D1908"/>
    <hyperlink r:id="rId3815" ref="B1909"/>
    <hyperlink r:id="rId3816" ref="D1909"/>
    <hyperlink r:id="rId3817" ref="B1910"/>
    <hyperlink r:id="rId3818" ref="D1910"/>
    <hyperlink r:id="rId3819" ref="B1911"/>
    <hyperlink r:id="rId3820" ref="D1911"/>
    <hyperlink r:id="rId3821" ref="B1912"/>
    <hyperlink r:id="rId3822" ref="D1912"/>
    <hyperlink r:id="rId3823" ref="B1913"/>
    <hyperlink r:id="rId3824" ref="D1913"/>
    <hyperlink r:id="rId3825" ref="B1914"/>
    <hyperlink r:id="rId3826" ref="D1914"/>
    <hyperlink r:id="rId3827" ref="B1915"/>
    <hyperlink r:id="rId3828" ref="D1915"/>
    <hyperlink r:id="rId3829" ref="B1916"/>
    <hyperlink r:id="rId3830" ref="D1916"/>
    <hyperlink r:id="rId3831" ref="B1917"/>
    <hyperlink r:id="rId3832" ref="D1917"/>
    <hyperlink r:id="rId3833" ref="B1918"/>
    <hyperlink r:id="rId3834" ref="D1918"/>
    <hyperlink r:id="rId3835" ref="B1919"/>
    <hyperlink r:id="rId3836" ref="D1919"/>
    <hyperlink r:id="rId3837" ref="B1920"/>
    <hyperlink r:id="rId3838" ref="D1920"/>
    <hyperlink r:id="rId3839" ref="B1921"/>
    <hyperlink r:id="rId3840" ref="D1921"/>
    <hyperlink r:id="rId3841" ref="B1922"/>
    <hyperlink r:id="rId3842" ref="D1922"/>
    <hyperlink r:id="rId3843" ref="B1923"/>
    <hyperlink r:id="rId3844" ref="D1923"/>
    <hyperlink r:id="rId3845" ref="B1924"/>
    <hyperlink r:id="rId3846" ref="D1924"/>
    <hyperlink r:id="rId3847" ref="B1925"/>
    <hyperlink r:id="rId3848" ref="D1925"/>
    <hyperlink r:id="rId3849" ref="B1926"/>
    <hyperlink r:id="rId3850" ref="D1926"/>
    <hyperlink r:id="rId3851" ref="B1927"/>
    <hyperlink r:id="rId3852" ref="D1927"/>
    <hyperlink r:id="rId3853" ref="B1928"/>
    <hyperlink r:id="rId3854" ref="D1928"/>
    <hyperlink r:id="rId3855" ref="B1929"/>
    <hyperlink r:id="rId3856" ref="D1929"/>
    <hyperlink r:id="rId3857" ref="B1930"/>
    <hyperlink r:id="rId3858" ref="D1930"/>
    <hyperlink r:id="rId3859" ref="B1931"/>
    <hyperlink r:id="rId3860" ref="D1931"/>
    <hyperlink r:id="rId3861" ref="B1932"/>
    <hyperlink r:id="rId3862" ref="D1932"/>
    <hyperlink r:id="rId3863" ref="B1933"/>
    <hyperlink r:id="rId3864" ref="D1933"/>
    <hyperlink r:id="rId3865" ref="B1934"/>
    <hyperlink r:id="rId3866" ref="D1934"/>
    <hyperlink r:id="rId3867" ref="B1935"/>
    <hyperlink r:id="rId3868" ref="D1935"/>
    <hyperlink r:id="rId3869" ref="B1936"/>
    <hyperlink r:id="rId3870" ref="D1936"/>
    <hyperlink r:id="rId3871" ref="B1937"/>
    <hyperlink r:id="rId3872" ref="D1937"/>
    <hyperlink r:id="rId3873" ref="B1938"/>
    <hyperlink r:id="rId3874" ref="D1938"/>
    <hyperlink r:id="rId3875" ref="B1939"/>
    <hyperlink r:id="rId3876" ref="D1939"/>
    <hyperlink r:id="rId3877" ref="B1940"/>
    <hyperlink r:id="rId3878" ref="D1940"/>
    <hyperlink r:id="rId3879" ref="B1941"/>
    <hyperlink r:id="rId3880" ref="D1941"/>
    <hyperlink r:id="rId3881" ref="B1942"/>
    <hyperlink r:id="rId3882" ref="D1942"/>
    <hyperlink r:id="rId3883" ref="B1943"/>
    <hyperlink r:id="rId3884" ref="D1943"/>
    <hyperlink r:id="rId3885" ref="B1944"/>
    <hyperlink r:id="rId3886" ref="D1944"/>
    <hyperlink r:id="rId3887" ref="B1945"/>
    <hyperlink r:id="rId3888" ref="D1945"/>
    <hyperlink r:id="rId3889" ref="B1946"/>
    <hyperlink r:id="rId3890" ref="D1946"/>
    <hyperlink r:id="rId3891" ref="B1947"/>
    <hyperlink r:id="rId3892" ref="D1947"/>
    <hyperlink r:id="rId3893" ref="B1948"/>
    <hyperlink r:id="rId3894" ref="D1948"/>
    <hyperlink r:id="rId3895" ref="B1949"/>
    <hyperlink r:id="rId3896" ref="D1949"/>
    <hyperlink r:id="rId3897" ref="B1950"/>
    <hyperlink r:id="rId3898" ref="D1950"/>
    <hyperlink r:id="rId3899" ref="B1951"/>
    <hyperlink r:id="rId3900" ref="D1951"/>
    <hyperlink r:id="rId3901" ref="B1952"/>
    <hyperlink r:id="rId3902" ref="D1952"/>
    <hyperlink r:id="rId3903" ref="B1953"/>
    <hyperlink r:id="rId3904" ref="D1953"/>
    <hyperlink r:id="rId3905" ref="B1954"/>
    <hyperlink r:id="rId3906" ref="D1954"/>
    <hyperlink r:id="rId3907" ref="B1955"/>
    <hyperlink r:id="rId3908" ref="D1955"/>
    <hyperlink r:id="rId3909" ref="B1956"/>
    <hyperlink r:id="rId3910" ref="D1956"/>
    <hyperlink r:id="rId3911" ref="B1957"/>
    <hyperlink r:id="rId3912" ref="D1957"/>
    <hyperlink r:id="rId3913" ref="B1958"/>
    <hyperlink r:id="rId3914" ref="D1958"/>
    <hyperlink r:id="rId3915" ref="B1959"/>
    <hyperlink r:id="rId3916" ref="D1959"/>
    <hyperlink r:id="rId3917" ref="B1960"/>
    <hyperlink r:id="rId3918" ref="D1960"/>
    <hyperlink r:id="rId3919" ref="B1961"/>
    <hyperlink r:id="rId3920" ref="D1961"/>
    <hyperlink r:id="rId3921" ref="B1962"/>
    <hyperlink r:id="rId3922" ref="D1962"/>
    <hyperlink r:id="rId3923" ref="B1963"/>
    <hyperlink r:id="rId3924" ref="D1963"/>
    <hyperlink r:id="rId3925" ref="B1964"/>
    <hyperlink r:id="rId3926" ref="D1964"/>
    <hyperlink r:id="rId3927" ref="B1965"/>
    <hyperlink r:id="rId3928" ref="D1965"/>
    <hyperlink r:id="rId3929" ref="B1966"/>
    <hyperlink r:id="rId3930" ref="D1966"/>
    <hyperlink r:id="rId3931" ref="B1967"/>
    <hyperlink r:id="rId3932" ref="D1967"/>
    <hyperlink r:id="rId3933" ref="B1968"/>
    <hyperlink r:id="rId3934" ref="D1968"/>
    <hyperlink r:id="rId3935" ref="B1969"/>
    <hyperlink r:id="rId3936" ref="D1969"/>
    <hyperlink r:id="rId3937" ref="B1970"/>
    <hyperlink r:id="rId3938" ref="D1970"/>
    <hyperlink r:id="rId3939" ref="B1971"/>
    <hyperlink r:id="rId3940" ref="D1971"/>
    <hyperlink r:id="rId3941" ref="B1972"/>
    <hyperlink r:id="rId3942" ref="D1972"/>
    <hyperlink r:id="rId3943" ref="B1973"/>
    <hyperlink r:id="rId3944" ref="D1973"/>
    <hyperlink r:id="rId3945" ref="B1974"/>
    <hyperlink r:id="rId3946" ref="D1974"/>
    <hyperlink r:id="rId3947" ref="B1975"/>
    <hyperlink r:id="rId3948" ref="D1975"/>
    <hyperlink r:id="rId3949" ref="B1976"/>
    <hyperlink r:id="rId3950" ref="D1976"/>
    <hyperlink r:id="rId3951" ref="B1977"/>
    <hyperlink r:id="rId3952" ref="D1977"/>
    <hyperlink r:id="rId3953" ref="B1978"/>
    <hyperlink r:id="rId3954" ref="D1978"/>
    <hyperlink r:id="rId3955" ref="B1979"/>
    <hyperlink r:id="rId3956" ref="D1979"/>
    <hyperlink r:id="rId3957" ref="B1980"/>
    <hyperlink r:id="rId3958" ref="D1980"/>
    <hyperlink r:id="rId3959" ref="B1981"/>
    <hyperlink r:id="rId3960" ref="D1981"/>
    <hyperlink r:id="rId3961" ref="B1982"/>
    <hyperlink r:id="rId3962" ref="D1982"/>
    <hyperlink r:id="rId3963" ref="B1983"/>
    <hyperlink r:id="rId3964" ref="D1983"/>
    <hyperlink r:id="rId3965" ref="B1984"/>
    <hyperlink r:id="rId3966" ref="D1984"/>
    <hyperlink r:id="rId3967" ref="B1985"/>
    <hyperlink r:id="rId3968" ref="D1985"/>
    <hyperlink r:id="rId3969" ref="B1986"/>
    <hyperlink r:id="rId3970" ref="D1986"/>
    <hyperlink r:id="rId3971" ref="B1987"/>
    <hyperlink r:id="rId3972" ref="D1987"/>
    <hyperlink r:id="rId3973" ref="B1988"/>
    <hyperlink r:id="rId3974" ref="D1988"/>
    <hyperlink r:id="rId3975" ref="B1989"/>
    <hyperlink r:id="rId3976" ref="D1989"/>
    <hyperlink r:id="rId3977" ref="B1990"/>
    <hyperlink r:id="rId3978" ref="D1990"/>
    <hyperlink r:id="rId3979" ref="B1991"/>
    <hyperlink r:id="rId3980" ref="D1991"/>
    <hyperlink r:id="rId3981" ref="B1992"/>
    <hyperlink r:id="rId3982" ref="D1992"/>
    <hyperlink r:id="rId3983" ref="B1993"/>
    <hyperlink r:id="rId3984" ref="D1993"/>
    <hyperlink r:id="rId3985" ref="B1994"/>
    <hyperlink r:id="rId3986" ref="D1994"/>
    <hyperlink r:id="rId3987" ref="B1995"/>
    <hyperlink r:id="rId3988" ref="D1995"/>
    <hyperlink r:id="rId3989" ref="B1996"/>
    <hyperlink r:id="rId3990" ref="D1996"/>
    <hyperlink r:id="rId3991" ref="B1997"/>
    <hyperlink r:id="rId3992" ref="D1997"/>
    <hyperlink r:id="rId3993" ref="B1998"/>
    <hyperlink r:id="rId3994" ref="D1998"/>
    <hyperlink r:id="rId3995" ref="B1999"/>
    <hyperlink r:id="rId3996" ref="D1999"/>
    <hyperlink r:id="rId3997" ref="B2000"/>
    <hyperlink r:id="rId3998" ref="D2000"/>
    <hyperlink r:id="rId3999" ref="B2001"/>
    <hyperlink r:id="rId4000" ref="D2001"/>
    <hyperlink r:id="rId4001" ref="B2002"/>
    <hyperlink r:id="rId4002" ref="D2002"/>
    <hyperlink r:id="rId4003" ref="B2003"/>
    <hyperlink r:id="rId4004" ref="D2003"/>
    <hyperlink r:id="rId4005" ref="B2004"/>
    <hyperlink r:id="rId4006" ref="D2004"/>
    <hyperlink r:id="rId4007" ref="B2005"/>
    <hyperlink r:id="rId4008" ref="D2005"/>
    <hyperlink r:id="rId4009" ref="B2006"/>
    <hyperlink r:id="rId4010" ref="D2006"/>
    <hyperlink r:id="rId4011" ref="B2007"/>
    <hyperlink r:id="rId4012" ref="D2007"/>
    <hyperlink r:id="rId4013" ref="B2008"/>
    <hyperlink r:id="rId4014" ref="D2008"/>
    <hyperlink r:id="rId4015" ref="B2009"/>
    <hyperlink r:id="rId4016" ref="D2009"/>
    <hyperlink r:id="rId4017" ref="B2010"/>
    <hyperlink r:id="rId4018" ref="D2010"/>
    <hyperlink r:id="rId4019" ref="B2011"/>
    <hyperlink r:id="rId4020" ref="D2011"/>
    <hyperlink r:id="rId4021" ref="B2012"/>
    <hyperlink r:id="rId4022" ref="D2012"/>
    <hyperlink r:id="rId4023" ref="B2013"/>
    <hyperlink r:id="rId4024" ref="D2013"/>
    <hyperlink r:id="rId4025" ref="B2014"/>
    <hyperlink r:id="rId4026" ref="D2014"/>
    <hyperlink r:id="rId4027" ref="B2015"/>
    <hyperlink r:id="rId4028" ref="D2015"/>
    <hyperlink r:id="rId4029" ref="B2016"/>
    <hyperlink r:id="rId4030" ref="D2016"/>
    <hyperlink r:id="rId4031" ref="B2017"/>
    <hyperlink r:id="rId4032" ref="D2017"/>
    <hyperlink r:id="rId4033" ref="B2018"/>
    <hyperlink r:id="rId4034" ref="D2018"/>
    <hyperlink r:id="rId4035" ref="B2019"/>
    <hyperlink r:id="rId4036" ref="D2019"/>
    <hyperlink r:id="rId4037" ref="B2020"/>
    <hyperlink r:id="rId4038" ref="D2020"/>
    <hyperlink r:id="rId4039" ref="B2021"/>
    <hyperlink r:id="rId4040" ref="D2021"/>
    <hyperlink r:id="rId4041" ref="B2022"/>
    <hyperlink r:id="rId4042" ref="D2022"/>
    <hyperlink r:id="rId4043" ref="B2023"/>
    <hyperlink r:id="rId4044" ref="D2023"/>
    <hyperlink r:id="rId4045" ref="B2024"/>
    <hyperlink r:id="rId4046" ref="D2024"/>
    <hyperlink r:id="rId4047" ref="B2025"/>
    <hyperlink r:id="rId4048" ref="D2025"/>
    <hyperlink r:id="rId4049" ref="B2026"/>
    <hyperlink r:id="rId4050" ref="D2026"/>
    <hyperlink r:id="rId4051" ref="B2027"/>
    <hyperlink r:id="rId4052" ref="D2027"/>
    <hyperlink r:id="rId4053" ref="B2028"/>
    <hyperlink r:id="rId4054" ref="D2028"/>
    <hyperlink r:id="rId4055" ref="B2029"/>
    <hyperlink r:id="rId4056" ref="D2029"/>
    <hyperlink r:id="rId4057" ref="B2030"/>
    <hyperlink r:id="rId4058" ref="D2030"/>
    <hyperlink r:id="rId4059" ref="B2031"/>
    <hyperlink r:id="rId4060" ref="D2031"/>
    <hyperlink r:id="rId4061" ref="B2032"/>
    <hyperlink r:id="rId4062" ref="D2032"/>
    <hyperlink r:id="rId4063" ref="B2033"/>
    <hyperlink r:id="rId4064" ref="D2033"/>
    <hyperlink r:id="rId4065" ref="B2034"/>
    <hyperlink r:id="rId4066" ref="D2034"/>
    <hyperlink r:id="rId4067" ref="B2035"/>
    <hyperlink r:id="rId4068" ref="D2035"/>
    <hyperlink r:id="rId4069" ref="B2036"/>
    <hyperlink r:id="rId4070" ref="D2036"/>
    <hyperlink r:id="rId4071" ref="B2037"/>
    <hyperlink r:id="rId4072" ref="D2037"/>
    <hyperlink r:id="rId4073" ref="B2038"/>
    <hyperlink r:id="rId4074" ref="D2038"/>
    <hyperlink r:id="rId4075" ref="B2039"/>
    <hyperlink r:id="rId4076" ref="D2039"/>
    <hyperlink r:id="rId4077" ref="B2040"/>
    <hyperlink r:id="rId4078" ref="D2040"/>
    <hyperlink r:id="rId4079" ref="B2041"/>
    <hyperlink r:id="rId4080" ref="D2041"/>
    <hyperlink r:id="rId4081" ref="B2042"/>
    <hyperlink r:id="rId4082" ref="D2042"/>
    <hyperlink r:id="rId4083" ref="B2043"/>
    <hyperlink r:id="rId4084" ref="D2043"/>
    <hyperlink r:id="rId4085" ref="B2044"/>
    <hyperlink r:id="rId4086" ref="D2044"/>
    <hyperlink r:id="rId4087" ref="B2045"/>
    <hyperlink r:id="rId4088" ref="D2045"/>
    <hyperlink r:id="rId4089" ref="B2046"/>
    <hyperlink r:id="rId4090" ref="D2046"/>
    <hyperlink r:id="rId4091" ref="B2047"/>
    <hyperlink r:id="rId4092" ref="D2047"/>
    <hyperlink r:id="rId4093" ref="B2048"/>
    <hyperlink r:id="rId4094" ref="D2048"/>
    <hyperlink r:id="rId4095" ref="B2049"/>
    <hyperlink r:id="rId4096" ref="D2049"/>
    <hyperlink r:id="rId4097" ref="B2050"/>
    <hyperlink r:id="rId4098" ref="D2050"/>
    <hyperlink r:id="rId4099" ref="B2051"/>
    <hyperlink r:id="rId4100" ref="D2051"/>
    <hyperlink r:id="rId4101" ref="B2052"/>
    <hyperlink r:id="rId4102" ref="D2052"/>
    <hyperlink r:id="rId4103" ref="B2053"/>
    <hyperlink r:id="rId4104" ref="D2053"/>
    <hyperlink r:id="rId4105" ref="B2054"/>
    <hyperlink r:id="rId4106" ref="D2054"/>
    <hyperlink r:id="rId4107" ref="B2055"/>
    <hyperlink r:id="rId4108" ref="D2055"/>
    <hyperlink r:id="rId4109" ref="B2056"/>
    <hyperlink r:id="rId4110" ref="D2056"/>
    <hyperlink r:id="rId4111" ref="B2057"/>
    <hyperlink r:id="rId4112" ref="D2057"/>
    <hyperlink r:id="rId4113" ref="B2058"/>
    <hyperlink r:id="rId4114" ref="D2058"/>
    <hyperlink r:id="rId4115" ref="B2059"/>
    <hyperlink r:id="rId4116" ref="D2059"/>
    <hyperlink r:id="rId4117" ref="B2060"/>
    <hyperlink r:id="rId4118" ref="D2060"/>
    <hyperlink r:id="rId4119" ref="B2061"/>
    <hyperlink r:id="rId4120" ref="D2061"/>
    <hyperlink r:id="rId4121" ref="B2062"/>
    <hyperlink r:id="rId4122" ref="D2062"/>
    <hyperlink r:id="rId4123" ref="B2063"/>
    <hyperlink r:id="rId4124" ref="D2063"/>
    <hyperlink r:id="rId4125" ref="B2064"/>
    <hyperlink r:id="rId4126" ref="D2064"/>
    <hyperlink r:id="rId4127" ref="B2065"/>
    <hyperlink r:id="rId4128" ref="D2065"/>
    <hyperlink r:id="rId4129" ref="B2066"/>
    <hyperlink r:id="rId4130" ref="D2066"/>
    <hyperlink r:id="rId4131" ref="B2067"/>
    <hyperlink r:id="rId4132" ref="D2067"/>
    <hyperlink r:id="rId4133" ref="B2068"/>
    <hyperlink r:id="rId4134" ref="D2068"/>
    <hyperlink r:id="rId4135" ref="B2069"/>
    <hyperlink r:id="rId4136" ref="D2069"/>
    <hyperlink r:id="rId4137" ref="B2070"/>
    <hyperlink r:id="rId4138" ref="D2070"/>
    <hyperlink r:id="rId4139" ref="B2071"/>
    <hyperlink r:id="rId4140" ref="D2071"/>
    <hyperlink r:id="rId4141" ref="B2072"/>
    <hyperlink r:id="rId4142" ref="D2072"/>
    <hyperlink r:id="rId4143" ref="B2073"/>
    <hyperlink r:id="rId4144" ref="D2073"/>
    <hyperlink r:id="rId4145" ref="B2074"/>
    <hyperlink r:id="rId4146" ref="D2074"/>
    <hyperlink r:id="rId4147" ref="B2075"/>
    <hyperlink r:id="rId4148" ref="D2075"/>
    <hyperlink r:id="rId4149" ref="B2076"/>
    <hyperlink r:id="rId4150" ref="D2076"/>
    <hyperlink r:id="rId4151" ref="B2077"/>
    <hyperlink r:id="rId4152" ref="D2077"/>
    <hyperlink r:id="rId4153" ref="B2078"/>
    <hyperlink r:id="rId4154" ref="D2078"/>
    <hyperlink r:id="rId4155" ref="B2079"/>
    <hyperlink r:id="rId4156" ref="D2079"/>
    <hyperlink r:id="rId4157" ref="B2080"/>
    <hyperlink r:id="rId4158" ref="D2080"/>
    <hyperlink r:id="rId4159" ref="B2081"/>
    <hyperlink r:id="rId4160" ref="D2081"/>
    <hyperlink r:id="rId4161" ref="B2082"/>
    <hyperlink r:id="rId4162" ref="D2082"/>
    <hyperlink r:id="rId4163" ref="B2083"/>
    <hyperlink r:id="rId4164" ref="D2083"/>
    <hyperlink r:id="rId4165" ref="B2084"/>
    <hyperlink r:id="rId4166" ref="D2084"/>
    <hyperlink r:id="rId4167" ref="B2085"/>
    <hyperlink r:id="rId4168" ref="D2085"/>
    <hyperlink r:id="rId4169" ref="B2086"/>
    <hyperlink r:id="rId4170" ref="D2086"/>
    <hyperlink r:id="rId4171" ref="B2087"/>
    <hyperlink r:id="rId4172" ref="D2087"/>
    <hyperlink r:id="rId4173" ref="B2088"/>
    <hyperlink r:id="rId4174" ref="D2088"/>
    <hyperlink r:id="rId4175" ref="B2089"/>
    <hyperlink r:id="rId4176" ref="D2089"/>
    <hyperlink r:id="rId4177" ref="B2090"/>
    <hyperlink r:id="rId4178" ref="D2090"/>
    <hyperlink r:id="rId4179" ref="B2091"/>
    <hyperlink r:id="rId4180" ref="D2091"/>
    <hyperlink r:id="rId4181" ref="B2092"/>
    <hyperlink r:id="rId4182" ref="D2092"/>
    <hyperlink r:id="rId4183" ref="B2093"/>
    <hyperlink r:id="rId4184" ref="D2093"/>
    <hyperlink r:id="rId4185" ref="B2094"/>
    <hyperlink r:id="rId4186" ref="D2094"/>
    <hyperlink r:id="rId4187" ref="B2095"/>
    <hyperlink r:id="rId4188" ref="D2095"/>
    <hyperlink r:id="rId4189" ref="B2096"/>
    <hyperlink r:id="rId4190" ref="D2096"/>
    <hyperlink r:id="rId4191" ref="B2097"/>
    <hyperlink r:id="rId4192" ref="D2097"/>
    <hyperlink r:id="rId4193" ref="B2098"/>
    <hyperlink r:id="rId4194" ref="D2098"/>
    <hyperlink r:id="rId4195" ref="B2099"/>
    <hyperlink r:id="rId4196" ref="D2099"/>
    <hyperlink r:id="rId4197" ref="B2100"/>
    <hyperlink r:id="rId4198" ref="D2100"/>
    <hyperlink r:id="rId4199" ref="B2101"/>
    <hyperlink r:id="rId4200" ref="D2101"/>
    <hyperlink r:id="rId4201" ref="B2102"/>
    <hyperlink r:id="rId4202" ref="D2102"/>
    <hyperlink r:id="rId4203" ref="B2103"/>
    <hyperlink r:id="rId4204" ref="D2103"/>
    <hyperlink r:id="rId4205" ref="B2104"/>
    <hyperlink r:id="rId4206" ref="D2104"/>
    <hyperlink r:id="rId4207" ref="B2105"/>
    <hyperlink r:id="rId4208" ref="D2105"/>
    <hyperlink r:id="rId4209" ref="B2106"/>
    <hyperlink r:id="rId4210" ref="D2106"/>
    <hyperlink r:id="rId4211" ref="B2107"/>
    <hyperlink r:id="rId4212" ref="D2107"/>
    <hyperlink r:id="rId4213" ref="B2108"/>
    <hyperlink r:id="rId4214" ref="D2108"/>
    <hyperlink r:id="rId4215" ref="B2109"/>
    <hyperlink r:id="rId4216" ref="D2109"/>
    <hyperlink r:id="rId4217" ref="B2110"/>
    <hyperlink r:id="rId4218" ref="D2110"/>
    <hyperlink r:id="rId4219" ref="B2111"/>
    <hyperlink r:id="rId4220" ref="D2111"/>
    <hyperlink r:id="rId4221" ref="B2112"/>
    <hyperlink r:id="rId4222" ref="D2112"/>
    <hyperlink r:id="rId4223" ref="B2113"/>
    <hyperlink r:id="rId4224" ref="D2113"/>
    <hyperlink r:id="rId4225" ref="B2114"/>
    <hyperlink r:id="rId4226" ref="D2114"/>
    <hyperlink r:id="rId4227" ref="B2115"/>
    <hyperlink r:id="rId4228" ref="D2115"/>
    <hyperlink r:id="rId4229" ref="B2116"/>
    <hyperlink r:id="rId4230" ref="D2116"/>
    <hyperlink r:id="rId4231" ref="B2117"/>
    <hyperlink r:id="rId4232" ref="D2117"/>
    <hyperlink r:id="rId4233" ref="B2118"/>
    <hyperlink r:id="rId4234" ref="D2118"/>
    <hyperlink r:id="rId4235" ref="B2119"/>
    <hyperlink r:id="rId4236" ref="D2119"/>
    <hyperlink r:id="rId4237" ref="B2120"/>
    <hyperlink r:id="rId4238" ref="D2120"/>
    <hyperlink r:id="rId4239" ref="B2121"/>
    <hyperlink r:id="rId4240" ref="D2121"/>
    <hyperlink r:id="rId4241" ref="B2122"/>
    <hyperlink r:id="rId4242" ref="D2122"/>
    <hyperlink r:id="rId4243" ref="B2123"/>
    <hyperlink r:id="rId4244" ref="D2123"/>
    <hyperlink r:id="rId4245" ref="B2124"/>
    <hyperlink r:id="rId4246" ref="D2124"/>
    <hyperlink r:id="rId4247" ref="B2125"/>
    <hyperlink r:id="rId4248" ref="D2125"/>
    <hyperlink r:id="rId4249" ref="B2126"/>
    <hyperlink r:id="rId4250" ref="D2126"/>
    <hyperlink r:id="rId4251" ref="B2127"/>
    <hyperlink r:id="rId4252" ref="D2127"/>
    <hyperlink r:id="rId4253" ref="B2128"/>
    <hyperlink r:id="rId4254" ref="D2128"/>
    <hyperlink r:id="rId4255" ref="B2129"/>
    <hyperlink r:id="rId4256" ref="D2129"/>
    <hyperlink r:id="rId4257" ref="B2130"/>
    <hyperlink r:id="rId4258" ref="D2130"/>
    <hyperlink r:id="rId4259" ref="B2131"/>
    <hyperlink r:id="rId4260" ref="D2131"/>
    <hyperlink r:id="rId4261" ref="B2132"/>
    <hyperlink r:id="rId4262" ref="D2132"/>
    <hyperlink r:id="rId4263" ref="B2133"/>
    <hyperlink r:id="rId4264" ref="D2133"/>
    <hyperlink r:id="rId4265" ref="B2134"/>
    <hyperlink r:id="rId4266" ref="D2134"/>
    <hyperlink r:id="rId4267" ref="B2135"/>
    <hyperlink r:id="rId4268" ref="D2135"/>
    <hyperlink r:id="rId4269" ref="B2136"/>
    <hyperlink r:id="rId4270" ref="D2136"/>
    <hyperlink r:id="rId4271" ref="B2137"/>
    <hyperlink r:id="rId4272" ref="D2137"/>
    <hyperlink r:id="rId4273" ref="B2138"/>
    <hyperlink r:id="rId4274" ref="D2138"/>
    <hyperlink r:id="rId4275" ref="B2139"/>
    <hyperlink r:id="rId4276" ref="D2139"/>
    <hyperlink r:id="rId4277" ref="B2140"/>
    <hyperlink r:id="rId4278" ref="D2140"/>
    <hyperlink r:id="rId4279" ref="B2141"/>
    <hyperlink r:id="rId4280" ref="D2141"/>
    <hyperlink r:id="rId4281" ref="B2142"/>
    <hyperlink r:id="rId4282" ref="D2142"/>
    <hyperlink r:id="rId4283" ref="B2143"/>
    <hyperlink r:id="rId4284" ref="D2143"/>
    <hyperlink r:id="rId4285" ref="B2144"/>
    <hyperlink r:id="rId4286" ref="D2144"/>
    <hyperlink r:id="rId4287" ref="B2145"/>
    <hyperlink r:id="rId4288" ref="D2145"/>
    <hyperlink r:id="rId4289" ref="B2146"/>
    <hyperlink r:id="rId4290" ref="D2146"/>
    <hyperlink r:id="rId4291" ref="B2147"/>
    <hyperlink r:id="rId4292" ref="D2147"/>
    <hyperlink r:id="rId4293" ref="B2148"/>
    <hyperlink r:id="rId4294" ref="D2148"/>
    <hyperlink r:id="rId4295" ref="B2149"/>
    <hyperlink r:id="rId4296" ref="D2149"/>
    <hyperlink r:id="rId4297" ref="B2150"/>
    <hyperlink r:id="rId4298" ref="D2150"/>
    <hyperlink r:id="rId4299" ref="B2151"/>
    <hyperlink r:id="rId4300" ref="D2151"/>
    <hyperlink r:id="rId4301" ref="B2152"/>
    <hyperlink r:id="rId4302" ref="D2152"/>
    <hyperlink r:id="rId4303" ref="B2153"/>
    <hyperlink r:id="rId4304" ref="D2153"/>
    <hyperlink r:id="rId4305" ref="B2154"/>
    <hyperlink r:id="rId4306" ref="D2154"/>
    <hyperlink r:id="rId4307" ref="B2155"/>
    <hyperlink r:id="rId4308" ref="D2155"/>
    <hyperlink r:id="rId4309" ref="B2156"/>
    <hyperlink r:id="rId4310" ref="D2156"/>
    <hyperlink r:id="rId4311" ref="B2157"/>
    <hyperlink r:id="rId4312" ref="D2157"/>
    <hyperlink r:id="rId4313" ref="B2158"/>
    <hyperlink r:id="rId4314" ref="D2158"/>
    <hyperlink r:id="rId4315" ref="B2159"/>
    <hyperlink r:id="rId4316" ref="D2159"/>
    <hyperlink r:id="rId4317" ref="B2160"/>
    <hyperlink r:id="rId4318" ref="D2160"/>
    <hyperlink r:id="rId4319" ref="B2161"/>
    <hyperlink r:id="rId4320" ref="D2161"/>
    <hyperlink r:id="rId4321" ref="B2162"/>
    <hyperlink r:id="rId4322" ref="D2162"/>
    <hyperlink r:id="rId4323" ref="B2163"/>
    <hyperlink r:id="rId4324" ref="D2163"/>
    <hyperlink r:id="rId4325" ref="B2164"/>
    <hyperlink r:id="rId4326" ref="D2164"/>
    <hyperlink r:id="rId4327" ref="B2165"/>
    <hyperlink r:id="rId4328" ref="D2165"/>
    <hyperlink r:id="rId4329" ref="B2166"/>
    <hyperlink r:id="rId4330" ref="D2166"/>
    <hyperlink r:id="rId4331" ref="B2167"/>
    <hyperlink r:id="rId4332" ref="D2167"/>
    <hyperlink r:id="rId4333" ref="B2168"/>
    <hyperlink r:id="rId4334" ref="D2168"/>
    <hyperlink r:id="rId4335" ref="B2169"/>
    <hyperlink r:id="rId4336" ref="D2169"/>
    <hyperlink r:id="rId4337" ref="B2170"/>
    <hyperlink r:id="rId4338" ref="D2170"/>
    <hyperlink r:id="rId4339" ref="B2171"/>
    <hyperlink r:id="rId4340" ref="D2171"/>
    <hyperlink r:id="rId4341" ref="B2172"/>
    <hyperlink r:id="rId4342" ref="D2172"/>
    <hyperlink r:id="rId4343" ref="B2173"/>
    <hyperlink r:id="rId4344" ref="D2173"/>
    <hyperlink r:id="rId4345" ref="B2174"/>
    <hyperlink r:id="rId4346" ref="D2174"/>
    <hyperlink r:id="rId4347" ref="B2175"/>
    <hyperlink r:id="rId4348" ref="D2175"/>
    <hyperlink r:id="rId4349" ref="B2176"/>
    <hyperlink r:id="rId4350" ref="D2176"/>
    <hyperlink r:id="rId4351" ref="B2177"/>
    <hyperlink r:id="rId4352" ref="D2177"/>
    <hyperlink r:id="rId4353" ref="B2178"/>
    <hyperlink r:id="rId4354" ref="D2178"/>
    <hyperlink r:id="rId4355" ref="B2179"/>
    <hyperlink r:id="rId4356" ref="D2179"/>
    <hyperlink r:id="rId4357" ref="B2180"/>
    <hyperlink r:id="rId4358" ref="D2180"/>
    <hyperlink r:id="rId4359" ref="B2181"/>
    <hyperlink r:id="rId4360" ref="D2181"/>
    <hyperlink r:id="rId4361" ref="B2182"/>
    <hyperlink r:id="rId4362" ref="D2182"/>
    <hyperlink r:id="rId4363" ref="B2183"/>
    <hyperlink r:id="rId4364" ref="D2183"/>
    <hyperlink r:id="rId4365" ref="B2184"/>
    <hyperlink r:id="rId4366" ref="D2184"/>
    <hyperlink r:id="rId4367" ref="B2185"/>
    <hyperlink r:id="rId4368" ref="D2185"/>
    <hyperlink r:id="rId4369" ref="B2186"/>
    <hyperlink r:id="rId4370" ref="D2186"/>
    <hyperlink r:id="rId4371" ref="B2187"/>
    <hyperlink r:id="rId4372" ref="D2187"/>
    <hyperlink r:id="rId4373" ref="B2188"/>
    <hyperlink r:id="rId4374" ref="D2188"/>
    <hyperlink r:id="rId4375" ref="B2189"/>
    <hyperlink r:id="rId4376" ref="D2189"/>
    <hyperlink r:id="rId4377" ref="B2190"/>
    <hyperlink r:id="rId4378" ref="D2190"/>
    <hyperlink r:id="rId4379" ref="B2191"/>
    <hyperlink r:id="rId4380" ref="D2191"/>
    <hyperlink r:id="rId4381" ref="B2192"/>
    <hyperlink r:id="rId4382" ref="D2192"/>
    <hyperlink r:id="rId4383" ref="B2193"/>
    <hyperlink r:id="rId4384" ref="D2193"/>
    <hyperlink r:id="rId4385" ref="B2194"/>
    <hyperlink r:id="rId4386" ref="D2194"/>
    <hyperlink r:id="rId4387" ref="B2195"/>
    <hyperlink r:id="rId4388" ref="D2195"/>
    <hyperlink r:id="rId4389" ref="B2196"/>
    <hyperlink r:id="rId4390" ref="D2196"/>
    <hyperlink r:id="rId4391" ref="B2197"/>
    <hyperlink r:id="rId4392" ref="D2197"/>
    <hyperlink r:id="rId4393" ref="B2198"/>
    <hyperlink r:id="rId4394" ref="D2198"/>
    <hyperlink r:id="rId4395" ref="B2199"/>
    <hyperlink r:id="rId4396" ref="D2199"/>
    <hyperlink r:id="rId4397" ref="B2200"/>
    <hyperlink r:id="rId4398" ref="D2200"/>
    <hyperlink r:id="rId4399" ref="B2201"/>
    <hyperlink r:id="rId4400" ref="D2201"/>
    <hyperlink r:id="rId4401" ref="B2202"/>
    <hyperlink r:id="rId4402" ref="D2202"/>
    <hyperlink r:id="rId4403" ref="B2203"/>
    <hyperlink r:id="rId4404" ref="D2203"/>
    <hyperlink r:id="rId4405" ref="B2204"/>
    <hyperlink r:id="rId4406" ref="D2204"/>
    <hyperlink r:id="rId4407" ref="B2205"/>
    <hyperlink r:id="rId4408" ref="D2205"/>
    <hyperlink r:id="rId4409" ref="B2206"/>
    <hyperlink r:id="rId4410" ref="D2206"/>
    <hyperlink r:id="rId4411" ref="B2207"/>
    <hyperlink r:id="rId4412" ref="D2207"/>
    <hyperlink r:id="rId4413" ref="B2208"/>
    <hyperlink r:id="rId4414" ref="D2208"/>
    <hyperlink r:id="rId4415" ref="B2209"/>
    <hyperlink r:id="rId4416" ref="D2209"/>
    <hyperlink r:id="rId4417" ref="B2210"/>
    <hyperlink r:id="rId4418" ref="D2210"/>
    <hyperlink r:id="rId4419" ref="B2211"/>
    <hyperlink r:id="rId4420" ref="D2211"/>
    <hyperlink r:id="rId4421" ref="B2212"/>
    <hyperlink r:id="rId4422" ref="D2212"/>
    <hyperlink r:id="rId4423" ref="B2213"/>
    <hyperlink r:id="rId4424" ref="D2213"/>
    <hyperlink r:id="rId4425" ref="B2214"/>
    <hyperlink r:id="rId4426" ref="D2214"/>
    <hyperlink r:id="rId4427" ref="B2215"/>
    <hyperlink r:id="rId4428" ref="D2215"/>
    <hyperlink r:id="rId4429" ref="B2216"/>
    <hyperlink r:id="rId4430" ref="D2216"/>
    <hyperlink r:id="rId4431" ref="B2217"/>
    <hyperlink r:id="rId4432" ref="D2217"/>
    <hyperlink r:id="rId4433" ref="B2218"/>
    <hyperlink r:id="rId4434" ref="D2218"/>
    <hyperlink r:id="rId4435" ref="B2219"/>
    <hyperlink r:id="rId4436" ref="D2219"/>
    <hyperlink r:id="rId4437" ref="B2220"/>
    <hyperlink r:id="rId4438" ref="D2220"/>
    <hyperlink r:id="rId4439" ref="B2221"/>
    <hyperlink r:id="rId4440" ref="D2221"/>
    <hyperlink r:id="rId4441" ref="B2222"/>
    <hyperlink r:id="rId4442" ref="D2222"/>
    <hyperlink r:id="rId4443" ref="B2223"/>
    <hyperlink r:id="rId4444" ref="D2223"/>
    <hyperlink r:id="rId4445" ref="B2224"/>
    <hyperlink r:id="rId4446" ref="D2224"/>
    <hyperlink r:id="rId4447" ref="B2225"/>
    <hyperlink r:id="rId4448" ref="D2225"/>
    <hyperlink r:id="rId4449" ref="B2226"/>
    <hyperlink r:id="rId4450" ref="D2226"/>
    <hyperlink r:id="rId4451" ref="B2227"/>
    <hyperlink r:id="rId4452" ref="D2227"/>
    <hyperlink r:id="rId4453" ref="B2228"/>
    <hyperlink r:id="rId4454" ref="D2228"/>
    <hyperlink r:id="rId4455" ref="B2229"/>
    <hyperlink r:id="rId4456" ref="D2229"/>
    <hyperlink r:id="rId4457" ref="B2230"/>
    <hyperlink r:id="rId4458" ref="D2230"/>
    <hyperlink r:id="rId4459" ref="B2231"/>
    <hyperlink r:id="rId4460" ref="D2231"/>
    <hyperlink r:id="rId4461" ref="B2232"/>
    <hyperlink r:id="rId4462" ref="D2232"/>
    <hyperlink r:id="rId4463" ref="B2233"/>
    <hyperlink r:id="rId4464" ref="D2233"/>
    <hyperlink r:id="rId4465" ref="B2234"/>
    <hyperlink r:id="rId4466" ref="D2234"/>
    <hyperlink r:id="rId4467" ref="B2235"/>
    <hyperlink r:id="rId4468" ref="D2235"/>
    <hyperlink r:id="rId4469" ref="B2236"/>
    <hyperlink r:id="rId4470" ref="D2236"/>
    <hyperlink r:id="rId4471" ref="B2237"/>
    <hyperlink r:id="rId4472" ref="D2237"/>
    <hyperlink r:id="rId4473" ref="B2238"/>
    <hyperlink r:id="rId4474" ref="D2238"/>
    <hyperlink r:id="rId4475" ref="B2239"/>
    <hyperlink r:id="rId4476" ref="D2239"/>
    <hyperlink r:id="rId4477" ref="B2240"/>
    <hyperlink r:id="rId4478" ref="D2240"/>
    <hyperlink r:id="rId4479" ref="B2241"/>
    <hyperlink r:id="rId4480" ref="D2241"/>
    <hyperlink r:id="rId4481" ref="B2242"/>
    <hyperlink r:id="rId4482" ref="D2242"/>
    <hyperlink r:id="rId4483" ref="B2243"/>
    <hyperlink r:id="rId4484" ref="D2243"/>
    <hyperlink r:id="rId4485" ref="B2244"/>
    <hyperlink r:id="rId4486" ref="D2244"/>
    <hyperlink r:id="rId4487" ref="B2245"/>
    <hyperlink r:id="rId4488" ref="D2245"/>
    <hyperlink r:id="rId4489" ref="B2246"/>
    <hyperlink r:id="rId4490" ref="D2246"/>
    <hyperlink r:id="rId4491" ref="B2247"/>
    <hyperlink r:id="rId4492" ref="D2247"/>
    <hyperlink r:id="rId4493" ref="B2248"/>
    <hyperlink r:id="rId4494" ref="D2248"/>
    <hyperlink r:id="rId4495" ref="B2249"/>
    <hyperlink r:id="rId4496" ref="D2249"/>
    <hyperlink r:id="rId4497" ref="B2250"/>
    <hyperlink r:id="rId4498" ref="D2250"/>
    <hyperlink r:id="rId4499" ref="B2251"/>
    <hyperlink r:id="rId4500" ref="D2251"/>
    <hyperlink r:id="rId4501" ref="B2252"/>
    <hyperlink r:id="rId4502" ref="D2252"/>
    <hyperlink r:id="rId4503" ref="B2253"/>
    <hyperlink r:id="rId4504" ref="D2253"/>
    <hyperlink r:id="rId4505" ref="B2254"/>
    <hyperlink r:id="rId4506" ref="D2254"/>
    <hyperlink r:id="rId4507" ref="B2255"/>
    <hyperlink r:id="rId4508" ref="D2255"/>
    <hyperlink r:id="rId4509" ref="B2256"/>
    <hyperlink r:id="rId4510" ref="D2256"/>
    <hyperlink r:id="rId4511" ref="B2257"/>
    <hyperlink r:id="rId4512" ref="D2257"/>
    <hyperlink r:id="rId4513" ref="B2258"/>
    <hyperlink r:id="rId4514" ref="D2258"/>
    <hyperlink r:id="rId4515" ref="B2259"/>
    <hyperlink r:id="rId4516" ref="D2259"/>
    <hyperlink r:id="rId4517" ref="B2260"/>
    <hyperlink r:id="rId4518" ref="D2260"/>
    <hyperlink r:id="rId4519" ref="B2261"/>
    <hyperlink r:id="rId4520" ref="D2261"/>
    <hyperlink r:id="rId4521" ref="B2262"/>
    <hyperlink r:id="rId4522" ref="D2262"/>
    <hyperlink r:id="rId4523" ref="B2263"/>
    <hyperlink r:id="rId4524" ref="D2263"/>
    <hyperlink r:id="rId4525" ref="B2264"/>
    <hyperlink r:id="rId4526" ref="D2264"/>
    <hyperlink r:id="rId4527" ref="B2265"/>
    <hyperlink r:id="rId4528" ref="D2265"/>
    <hyperlink r:id="rId4529" ref="B2266"/>
    <hyperlink r:id="rId4530" ref="D2266"/>
    <hyperlink r:id="rId4531" ref="B2267"/>
    <hyperlink r:id="rId4532" ref="D2267"/>
    <hyperlink r:id="rId4533" ref="B2268"/>
    <hyperlink r:id="rId4534" ref="D2268"/>
    <hyperlink r:id="rId4535" ref="B2269"/>
    <hyperlink r:id="rId4536" ref="D2269"/>
    <hyperlink r:id="rId4537" ref="B2270"/>
    <hyperlink r:id="rId4538" ref="D2270"/>
    <hyperlink r:id="rId4539" ref="B2271"/>
    <hyperlink r:id="rId4540" ref="D2271"/>
    <hyperlink r:id="rId4541" ref="B2272"/>
    <hyperlink r:id="rId4542" ref="D2272"/>
    <hyperlink r:id="rId4543" ref="B2273"/>
    <hyperlink r:id="rId4544" ref="D2273"/>
    <hyperlink r:id="rId4545" ref="B2274"/>
    <hyperlink r:id="rId4546" ref="D2274"/>
    <hyperlink r:id="rId4547" ref="B2275"/>
    <hyperlink r:id="rId4548" ref="D2275"/>
    <hyperlink r:id="rId4549" ref="B2276"/>
    <hyperlink r:id="rId4550" ref="D2276"/>
    <hyperlink r:id="rId4551" ref="B2277"/>
    <hyperlink r:id="rId4552" ref="D2277"/>
    <hyperlink r:id="rId4553" ref="B2278"/>
    <hyperlink r:id="rId4554" ref="D2278"/>
    <hyperlink r:id="rId4555" ref="B2279"/>
    <hyperlink r:id="rId4556" ref="D2279"/>
    <hyperlink r:id="rId4557" ref="B2280"/>
    <hyperlink r:id="rId4558" ref="D2280"/>
    <hyperlink r:id="rId4559" ref="B2281"/>
    <hyperlink r:id="rId4560" ref="D2281"/>
    <hyperlink r:id="rId4561" ref="B2282"/>
    <hyperlink r:id="rId4562" ref="D2282"/>
    <hyperlink r:id="rId4563" ref="B2283"/>
    <hyperlink r:id="rId4564" ref="D2283"/>
    <hyperlink r:id="rId4565" ref="B2284"/>
    <hyperlink r:id="rId4566" ref="D2284"/>
    <hyperlink r:id="rId4567" ref="B2285"/>
    <hyperlink r:id="rId4568" ref="D2285"/>
    <hyperlink r:id="rId4569" ref="B2286"/>
    <hyperlink r:id="rId4570" ref="D2286"/>
    <hyperlink r:id="rId4571" ref="B2287"/>
    <hyperlink r:id="rId4572" ref="D2287"/>
    <hyperlink r:id="rId4573" ref="B2288"/>
    <hyperlink r:id="rId4574" ref="D2288"/>
    <hyperlink r:id="rId4575" ref="B2289"/>
    <hyperlink r:id="rId4576" ref="D2289"/>
    <hyperlink r:id="rId4577" ref="B2290"/>
    <hyperlink r:id="rId4578" ref="D2290"/>
    <hyperlink r:id="rId4579" ref="B2291"/>
    <hyperlink r:id="rId4580" ref="D2291"/>
    <hyperlink r:id="rId4581" ref="B2292"/>
    <hyperlink r:id="rId4582" ref="D2292"/>
    <hyperlink r:id="rId4583" ref="B2293"/>
    <hyperlink r:id="rId4584" ref="D2293"/>
    <hyperlink r:id="rId4585" ref="B2294"/>
    <hyperlink r:id="rId4586" ref="D2294"/>
    <hyperlink r:id="rId4587" ref="B2295"/>
    <hyperlink r:id="rId4588" ref="D2295"/>
    <hyperlink r:id="rId4589" ref="B2296"/>
    <hyperlink r:id="rId4590" ref="D2296"/>
    <hyperlink r:id="rId4591" ref="B2297"/>
    <hyperlink r:id="rId4592" ref="D2297"/>
    <hyperlink r:id="rId4593" ref="B2298"/>
    <hyperlink r:id="rId4594" ref="D2298"/>
    <hyperlink r:id="rId4595" ref="B2299"/>
    <hyperlink r:id="rId4596" ref="D2299"/>
    <hyperlink r:id="rId4597" ref="B2300"/>
    <hyperlink r:id="rId4598" ref="D2300"/>
    <hyperlink r:id="rId4599" ref="B2301"/>
    <hyperlink r:id="rId4600" ref="D2301"/>
    <hyperlink r:id="rId4601" ref="B2302"/>
    <hyperlink r:id="rId4602" ref="D2302"/>
    <hyperlink r:id="rId4603" ref="B2303"/>
    <hyperlink r:id="rId4604" ref="D2303"/>
    <hyperlink r:id="rId4605" ref="B2304"/>
    <hyperlink r:id="rId4606" ref="D2304"/>
    <hyperlink r:id="rId4607" ref="B2305"/>
    <hyperlink r:id="rId4608" ref="D2305"/>
    <hyperlink r:id="rId4609" ref="B2306"/>
    <hyperlink r:id="rId4610" ref="D2306"/>
    <hyperlink r:id="rId4611" ref="B2307"/>
    <hyperlink r:id="rId4612" ref="D2307"/>
    <hyperlink r:id="rId4613" ref="B2308"/>
    <hyperlink r:id="rId4614" ref="D2308"/>
    <hyperlink r:id="rId4615" ref="B2309"/>
    <hyperlink r:id="rId4616" ref="D2309"/>
    <hyperlink r:id="rId4617" ref="B2310"/>
    <hyperlink r:id="rId4618" ref="D2310"/>
    <hyperlink r:id="rId4619" ref="B2311"/>
    <hyperlink r:id="rId4620" ref="D2311"/>
    <hyperlink r:id="rId4621" ref="B2312"/>
    <hyperlink r:id="rId4622" ref="D2312"/>
    <hyperlink r:id="rId4623" ref="B2313"/>
    <hyperlink r:id="rId4624" ref="D2313"/>
    <hyperlink r:id="rId4625" ref="B2314"/>
    <hyperlink r:id="rId4626" ref="D2314"/>
    <hyperlink r:id="rId4627" ref="B2315"/>
    <hyperlink r:id="rId4628" ref="D2315"/>
    <hyperlink r:id="rId4629" ref="B2316"/>
    <hyperlink r:id="rId4630" ref="D2316"/>
    <hyperlink r:id="rId4631" ref="B2317"/>
    <hyperlink r:id="rId4632" ref="D2317"/>
    <hyperlink r:id="rId4633" ref="B2318"/>
    <hyperlink r:id="rId4634" ref="D2318"/>
    <hyperlink r:id="rId4635" ref="B2319"/>
    <hyperlink r:id="rId4636" ref="D2319"/>
    <hyperlink r:id="rId4637" ref="B2320"/>
    <hyperlink r:id="rId4638" ref="D2320"/>
    <hyperlink r:id="rId4639" ref="B2321"/>
    <hyperlink r:id="rId4640" ref="D2321"/>
    <hyperlink r:id="rId4641" ref="B2322"/>
    <hyperlink r:id="rId4642" ref="D2322"/>
    <hyperlink r:id="rId4643" ref="B2323"/>
    <hyperlink r:id="rId4644" ref="D2323"/>
    <hyperlink r:id="rId4645" ref="B2324"/>
    <hyperlink r:id="rId4646" ref="D2324"/>
    <hyperlink r:id="rId4647" ref="B2325"/>
    <hyperlink r:id="rId4648" ref="D2325"/>
    <hyperlink r:id="rId4649" ref="B2326"/>
    <hyperlink r:id="rId4650" ref="D2326"/>
    <hyperlink r:id="rId4651" ref="B2327"/>
    <hyperlink r:id="rId4652" ref="D2327"/>
    <hyperlink r:id="rId4653" ref="B2328"/>
    <hyperlink r:id="rId4654" ref="D2328"/>
    <hyperlink r:id="rId4655" ref="B2329"/>
    <hyperlink r:id="rId4656" ref="D2329"/>
    <hyperlink r:id="rId4657" ref="B2330"/>
    <hyperlink r:id="rId4658" ref="D2330"/>
    <hyperlink r:id="rId4659" ref="B2331"/>
    <hyperlink r:id="rId4660" ref="D2331"/>
    <hyperlink r:id="rId4661" ref="B2332"/>
    <hyperlink r:id="rId4662" ref="D2332"/>
    <hyperlink r:id="rId4663" ref="B2333"/>
    <hyperlink r:id="rId4664" ref="D2333"/>
    <hyperlink r:id="rId4665" ref="B2334"/>
    <hyperlink r:id="rId4666" ref="D2334"/>
    <hyperlink r:id="rId4667" ref="B2335"/>
    <hyperlink r:id="rId4668" ref="D2335"/>
    <hyperlink r:id="rId4669" ref="B2336"/>
    <hyperlink r:id="rId4670" ref="D2336"/>
    <hyperlink r:id="rId4671" ref="B2337"/>
    <hyperlink r:id="rId4672" ref="D2337"/>
    <hyperlink r:id="rId4673" ref="B2338"/>
    <hyperlink r:id="rId4674" ref="D2338"/>
    <hyperlink r:id="rId4675" ref="B2339"/>
    <hyperlink r:id="rId4676" ref="D2339"/>
    <hyperlink r:id="rId4677" ref="B2340"/>
    <hyperlink r:id="rId4678" ref="D2340"/>
    <hyperlink r:id="rId4679" ref="B2341"/>
    <hyperlink r:id="rId4680" ref="D2341"/>
    <hyperlink r:id="rId4681" ref="B2342"/>
    <hyperlink r:id="rId4682" ref="D2342"/>
    <hyperlink r:id="rId4683" ref="B2343"/>
    <hyperlink r:id="rId4684" ref="D2343"/>
    <hyperlink r:id="rId4685" ref="B2344"/>
    <hyperlink r:id="rId4686" ref="D2344"/>
    <hyperlink r:id="rId4687" ref="B2345"/>
    <hyperlink r:id="rId4688" ref="D2345"/>
    <hyperlink r:id="rId4689" ref="B2346"/>
    <hyperlink r:id="rId4690" ref="D2346"/>
    <hyperlink r:id="rId4691" ref="B2347"/>
    <hyperlink r:id="rId4692" ref="D2347"/>
    <hyperlink r:id="rId4693" ref="B2348"/>
    <hyperlink r:id="rId4694" ref="D2348"/>
    <hyperlink r:id="rId4695" ref="B2349"/>
    <hyperlink r:id="rId4696" ref="D2349"/>
    <hyperlink r:id="rId4697" ref="B2350"/>
    <hyperlink r:id="rId4698" ref="D2350"/>
    <hyperlink r:id="rId4699" ref="B2351"/>
    <hyperlink r:id="rId4700" ref="D2351"/>
    <hyperlink r:id="rId4701" ref="B2352"/>
    <hyperlink r:id="rId4702" ref="D2352"/>
    <hyperlink r:id="rId4703" ref="B2353"/>
    <hyperlink r:id="rId4704" ref="D2353"/>
    <hyperlink r:id="rId4705" ref="B2354"/>
    <hyperlink r:id="rId4706" ref="D2354"/>
    <hyperlink r:id="rId4707" ref="B2355"/>
    <hyperlink r:id="rId4708" ref="D2355"/>
    <hyperlink r:id="rId4709" ref="B2356"/>
    <hyperlink r:id="rId4710" ref="D2356"/>
    <hyperlink r:id="rId4711" ref="B2357"/>
    <hyperlink r:id="rId4712" ref="D2357"/>
    <hyperlink r:id="rId4713" ref="B2358"/>
    <hyperlink r:id="rId4714" ref="D2358"/>
    <hyperlink r:id="rId4715" ref="B2359"/>
    <hyperlink r:id="rId4716" ref="D2359"/>
    <hyperlink r:id="rId4717" ref="B2360"/>
    <hyperlink r:id="rId4718" ref="D2360"/>
    <hyperlink r:id="rId4719" ref="B2361"/>
    <hyperlink r:id="rId4720" ref="D2361"/>
    <hyperlink r:id="rId4721" ref="B2362"/>
    <hyperlink r:id="rId4722" ref="D2362"/>
    <hyperlink r:id="rId4723" ref="B2363"/>
    <hyperlink r:id="rId4724" ref="D2363"/>
    <hyperlink r:id="rId4725" ref="B2364"/>
    <hyperlink r:id="rId4726" ref="D2364"/>
    <hyperlink r:id="rId4727" ref="B2365"/>
    <hyperlink r:id="rId4728" ref="D2365"/>
    <hyperlink r:id="rId4729" ref="B2366"/>
    <hyperlink r:id="rId4730" ref="D2366"/>
    <hyperlink r:id="rId4731" ref="B2367"/>
    <hyperlink r:id="rId4732" ref="D2367"/>
    <hyperlink r:id="rId4733" ref="B2368"/>
    <hyperlink r:id="rId4734" ref="D2368"/>
    <hyperlink r:id="rId4735" ref="B2369"/>
    <hyperlink r:id="rId4736" ref="D2369"/>
    <hyperlink r:id="rId4737" ref="B2370"/>
    <hyperlink r:id="rId4738" ref="D2370"/>
    <hyperlink r:id="rId4739" ref="B2371"/>
    <hyperlink r:id="rId4740" ref="D2371"/>
    <hyperlink r:id="rId4741" ref="B2372"/>
    <hyperlink r:id="rId4742" ref="D2372"/>
    <hyperlink r:id="rId4743" ref="B2373"/>
    <hyperlink r:id="rId4744" ref="D2373"/>
    <hyperlink r:id="rId4745" ref="B2374"/>
    <hyperlink r:id="rId4746" ref="D2374"/>
    <hyperlink r:id="rId4747" ref="B2375"/>
    <hyperlink r:id="rId4748" ref="D2375"/>
    <hyperlink r:id="rId4749" ref="B2376"/>
    <hyperlink r:id="rId4750" ref="D2376"/>
    <hyperlink r:id="rId4751" ref="B2377"/>
    <hyperlink r:id="rId4752" ref="D2377"/>
    <hyperlink r:id="rId4753" ref="B2378"/>
    <hyperlink r:id="rId4754" ref="D2378"/>
    <hyperlink r:id="rId4755" ref="B2379"/>
    <hyperlink r:id="rId4756" ref="D2379"/>
    <hyperlink r:id="rId4757" ref="B2380"/>
    <hyperlink r:id="rId4758" ref="D2380"/>
    <hyperlink r:id="rId4759" ref="B2381"/>
    <hyperlink r:id="rId4760" ref="D2381"/>
    <hyperlink r:id="rId4761" ref="B2382"/>
    <hyperlink r:id="rId4762" ref="D2382"/>
    <hyperlink r:id="rId4763" ref="B2383"/>
    <hyperlink r:id="rId4764" ref="D2383"/>
    <hyperlink r:id="rId4765" ref="B2384"/>
    <hyperlink r:id="rId4766" ref="D2384"/>
    <hyperlink r:id="rId4767" ref="B2385"/>
    <hyperlink r:id="rId4768" ref="D2385"/>
    <hyperlink r:id="rId4769" ref="B2386"/>
    <hyperlink r:id="rId4770" ref="D2386"/>
    <hyperlink r:id="rId4771" ref="B2387"/>
    <hyperlink r:id="rId4772" ref="D2387"/>
    <hyperlink r:id="rId4773" ref="B2388"/>
    <hyperlink r:id="rId4774" ref="D2388"/>
    <hyperlink r:id="rId4775" ref="B2389"/>
    <hyperlink r:id="rId4776" ref="D2389"/>
    <hyperlink r:id="rId4777" ref="B2390"/>
    <hyperlink r:id="rId4778" ref="D2390"/>
    <hyperlink r:id="rId4779" ref="B2391"/>
    <hyperlink r:id="rId4780" ref="D2391"/>
    <hyperlink r:id="rId4781" ref="B2392"/>
    <hyperlink r:id="rId4782" ref="D2392"/>
    <hyperlink r:id="rId4783" ref="B2393"/>
    <hyperlink r:id="rId4784" ref="D2393"/>
    <hyperlink r:id="rId4785" ref="B2394"/>
    <hyperlink r:id="rId4786" ref="D2394"/>
    <hyperlink r:id="rId4787" ref="B2395"/>
    <hyperlink r:id="rId4788" ref="D2395"/>
    <hyperlink r:id="rId4789" ref="B2396"/>
    <hyperlink r:id="rId4790" ref="D2396"/>
    <hyperlink r:id="rId4791" ref="B2397"/>
    <hyperlink r:id="rId4792" ref="D2397"/>
    <hyperlink r:id="rId4793" ref="B2398"/>
    <hyperlink r:id="rId4794" ref="D2398"/>
    <hyperlink r:id="rId4795" ref="B2399"/>
    <hyperlink r:id="rId4796" ref="D2399"/>
    <hyperlink r:id="rId4797" ref="B2400"/>
    <hyperlink r:id="rId4798" ref="D2400"/>
    <hyperlink r:id="rId4799" ref="B2401"/>
    <hyperlink r:id="rId4800" ref="D2401"/>
    <hyperlink r:id="rId4801" ref="B2402"/>
    <hyperlink r:id="rId4802" ref="D2402"/>
    <hyperlink r:id="rId4803" ref="B2403"/>
    <hyperlink r:id="rId4804" ref="D2403"/>
    <hyperlink r:id="rId4805" ref="B2404"/>
    <hyperlink r:id="rId4806" ref="D2404"/>
    <hyperlink r:id="rId4807" ref="B2405"/>
    <hyperlink r:id="rId4808" ref="D2405"/>
    <hyperlink r:id="rId4809" ref="B2406"/>
    <hyperlink r:id="rId4810" ref="D2406"/>
    <hyperlink r:id="rId4811" ref="B2407"/>
    <hyperlink r:id="rId4812" ref="D2407"/>
    <hyperlink r:id="rId4813" ref="B2408"/>
    <hyperlink r:id="rId4814" ref="D2408"/>
    <hyperlink r:id="rId4815" ref="B2409"/>
    <hyperlink r:id="rId4816" ref="D2409"/>
    <hyperlink r:id="rId4817" ref="B2410"/>
    <hyperlink r:id="rId4818" ref="D2410"/>
    <hyperlink r:id="rId4819" ref="B2411"/>
    <hyperlink r:id="rId4820" ref="D2411"/>
    <hyperlink r:id="rId4821" ref="B2412"/>
    <hyperlink r:id="rId4822" ref="D2412"/>
    <hyperlink r:id="rId4823" ref="B2413"/>
    <hyperlink r:id="rId4824" ref="D2413"/>
    <hyperlink r:id="rId4825" ref="B2414"/>
    <hyperlink r:id="rId4826" ref="D2414"/>
    <hyperlink r:id="rId4827" ref="B2415"/>
    <hyperlink r:id="rId4828" ref="D2415"/>
    <hyperlink r:id="rId4829" ref="B2416"/>
    <hyperlink r:id="rId4830" ref="D2416"/>
    <hyperlink r:id="rId4831" ref="B2417"/>
    <hyperlink r:id="rId4832" ref="D2417"/>
    <hyperlink r:id="rId4833" ref="B2418"/>
    <hyperlink r:id="rId4834" ref="D2418"/>
    <hyperlink r:id="rId4835" ref="B2419"/>
    <hyperlink r:id="rId4836" ref="D2419"/>
    <hyperlink r:id="rId4837" ref="B2420"/>
    <hyperlink r:id="rId4838" ref="D2420"/>
    <hyperlink r:id="rId4839" ref="B2421"/>
    <hyperlink r:id="rId4840" ref="D2421"/>
    <hyperlink r:id="rId4841" ref="B2422"/>
    <hyperlink r:id="rId4842" ref="D2422"/>
    <hyperlink r:id="rId4843" ref="B2423"/>
    <hyperlink r:id="rId4844" ref="D2423"/>
    <hyperlink r:id="rId4845" ref="B2424"/>
    <hyperlink r:id="rId4846" ref="D2424"/>
    <hyperlink r:id="rId4847" ref="B2425"/>
    <hyperlink r:id="rId4848" ref="D2425"/>
    <hyperlink r:id="rId4849" ref="B2426"/>
    <hyperlink r:id="rId4850" ref="D2426"/>
    <hyperlink r:id="rId4851" ref="B2427"/>
    <hyperlink r:id="rId4852" ref="D2427"/>
    <hyperlink r:id="rId4853" ref="B2428"/>
    <hyperlink r:id="rId4854" ref="D2428"/>
    <hyperlink r:id="rId4855" ref="B2429"/>
    <hyperlink r:id="rId4856" ref="D2429"/>
    <hyperlink r:id="rId4857" ref="B2430"/>
    <hyperlink r:id="rId4858" ref="D2430"/>
    <hyperlink r:id="rId4859" ref="B2431"/>
    <hyperlink r:id="rId4860" ref="D2431"/>
    <hyperlink r:id="rId4861" ref="B2432"/>
    <hyperlink r:id="rId4862" ref="D2432"/>
    <hyperlink r:id="rId4863" ref="B2433"/>
    <hyperlink r:id="rId4864" ref="D2433"/>
    <hyperlink r:id="rId4865" ref="B2434"/>
    <hyperlink r:id="rId4866" ref="D2434"/>
    <hyperlink r:id="rId4867" ref="B2435"/>
    <hyperlink r:id="rId4868" ref="D2435"/>
    <hyperlink r:id="rId4869" ref="B2436"/>
    <hyperlink r:id="rId4870" ref="D2436"/>
    <hyperlink r:id="rId4871" ref="B2437"/>
    <hyperlink r:id="rId4872" ref="D2437"/>
    <hyperlink r:id="rId4873" ref="B2438"/>
    <hyperlink r:id="rId4874" ref="D2438"/>
    <hyperlink r:id="rId4875" ref="B2439"/>
    <hyperlink r:id="rId4876" ref="D2439"/>
    <hyperlink r:id="rId4877" ref="B2440"/>
    <hyperlink r:id="rId4878" ref="D2440"/>
    <hyperlink r:id="rId4879" ref="B2441"/>
    <hyperlink r:id="rId4880" ref="D2441"/>
    <hyperlink r:id="rId4881" ref="B2442"/>
    <hyperlink r:id="rId4882" ref="D2442"/>
    <hyperlink r:id="rId4883" ref="B2443"/>
    <hyperlink r:id="rId4884" ref="D2443"/>
    <hyperlink r:id="rId4885" ref="B2444"/>
    <hyperlink r:id="rId4886" ref="D2444"/>
    <hyperlink r:id="rId4887" ref="B2445"/>
    <hyperlink r:id="rId4888" ref="D2445"/>
    <hyperlink r:id="rId4889" ref="B2446"/>
    <hyperlink r:id="rId4890" ref="D2446"/>
    <hyperlink r:id="rId4891" ref="B2447"/>
    <hyperlink r:id="rId4892" ref="D2447"/>
    <hyperlink r:id="rId4893" ref="B2448"/>
    <hyperlink r:id="rId4894" ref="D2448"/>
    <hyperlink r:id="rId4895" ref="B2449"/>
    <hyperlink r:id="rId4896" ref="D2449"/>
    <hyperlink r:id="rId4897" ref="B2450"/>
    <hyperlink r:id="rId4898" ref="D2450"/>
    <hyperlink r:id="rId4899" ref="B2451"/>
    <hyperlink r:id="rId4900" ref="D2451"/>
    <hyperlink r:id="rId4901" ref="B2452"/>
    <hyperlink r:id="rId4902" ref="D2452"/>
    <hyperlink r:id="rId4903" ref="B2453"/>
    <hyperlink r:id="rId4904" ref="D2453"/>
    <hyperlink r:id="rId4905" ref="B2454"/>
    <hyperlink r:id="rId4906" ref="D2454"/>
    <hyperlink r:id="rId4907" ref="B2455"/>
    <hyperlink r:id="rId4908" ref="D2455"/>
    <hyperlink r:id="rId4909" ref="B2456"/>
    <hyperlink r:id="rId4910" ref="D2456"/>
    <hyperlink r:id="rId4911" ref="B2457"/>
    <hyperlink r:id="rId4912" ref="D2457"/>
    <hyperlink r:id="rId4913" ref="B2458"/>
    <hyperlink r:id="rId4914" ref="D2458"/>
    <hyperlink r:id="rId4915" ref="B2459"/>
    <hyperlink r:id="rId4916" ref="D2459"/>
    <hyperlink r:id="rId4917" ref="B2460"/>
    <hyperlink r:id="rId4918" ref="D2460"/>
    <hyperlink r:id="rId4919" ref="B2461"/>
    <hyperlink r:id="rId4920" ref="D2461"/>
    <hyperlink r:id="rId4921" ref="B2462"/>
    <hyperlink r:id="rId4922" ref="D2462"/>
    <hyperlink r:id="rId4923" ref="B2463"/>
    <hyperlink r:id="rId4924" ref="D2463"/>
    <hyperlink r:id="rId4925" ref="B2464"/>
    <hyperlink r:id="rId4926" ref="D2464"/>
    <hyperlink r:id="rId4927" ref="B2465"/>
    <hyperlink r:id="rId4928" ref="D2465"/>
    <hyperlink r:id="rId4929" ref="B2466"/>
    <hyperlink r:id="rId4930" ref="D2466"/>
    <hyperlink r:id="rId4931" ref="B2467"/>
    <hyperlink r:id="rId4932" ref="D2467"/>
    <hyperlink r:id="rId4933" ref="B2468"/>
    <hyperlink r:id="rId4934" ref="D2468"/>
    <hyperlink r:id="rId4935" ref="B2469"/>
    <hyperlink r:id="rId4936" ref="D2469"/>
    <hyperlink r:id="rId4937" ref="B2470"/>
    <hyperlink r:id="rId4938" ref="D2470"/>
    <hyperlink r:id="rId4939" ref="B2471"/>
    <hyperlink r:id="rId4940" ref="D2471"/>
    <hyperlink r:id="rId4941" ref="B2472"/>
    <hyperlink r:id="rId4942" ref="D2472"/>
    <hyperlink r:id="rId4943" ref="B2473"/>
    <hyperlink r:id="rId4944" ref="D2473"/>
    <hyperlink r:id="rId4945" ref="B2474"/>
    <hyperlink r:id="rId4946" ref="D2474"/>
    <hyperlink r:id="rId4947" ref="B2475"/>
    <hyperlink r:id="rId4948" ref="D2475"/>
    <hyperlink r:id="rId4949" ref="B2476"/>
    <hyperlink r:id="rId4950" ref="D2476"/>
    <hyperlink r:id="rId4951" ref="B2477"/>
    <hyperlink r:id="rId4952" ref="D2477"/>
    <hyperlink r:id="rId4953" ref="B2478"/>
    <hyperlink r:id="rId4954" ref="D2478"/>
    <hyperlink r:id="rId4955" ref="B2479"/>
    <hyperlink r:id="rId4956" ref="D2479"/>
    <hyperlink r:id="rId4957" ref="B2480"/>
    <hyperlink r:id="rId4958" ref="D2480"/>
    <hyperlink r:id="rId4959" ref="B2481"/>
    <hyperlink r:id="rId4960" ref="D2481"/>
    <hyperlink r:id="rId4961" ref="B2482"/>
    <hyperlink r:id="rId4962" ref="D2482"/>
    <hyperlink r:id="rId4963" ref="B2483"/>
    <hyperlink r:id="rId4964" ref="D2483"/>
    <hyperlink r:id="rId4965" ref="B2484"/>
    <hyperlink r:id="rId4966" ref="D2484"/>
    <hyperlink r:id="rId4967" ref="B2485"/>
    <hyperlink r:id="rId4968" ref="D2485"/>
    <hyperlink r:id="rId4969" ref="B2486"/>
    <hyperlink r:id="rId4970" ref="D2486"/>
    <hyperlink r:id="rId4971" ref="B2487"/>
    <hyperlink r:id="rId4972" ref="D2487"/>
    <hyperlink r:id="rId4973" ref="B2488"/>
    <hyperlink r:id="rId4974" ref="D2488"/>
    <hyperlink r:id="rId4975" ref="B2489"/>
    <hyperlink r:id="rId4976" ref="D2489"/>
    <hyperlink r:id="rId4977" ref="B2490"/>
    <hyperlink r:id="rId4978" ref="D2490"/>
    <hyperlink r:id="rId4979" ref="B2491"/>
    <hyperlink r:id="rId4980" ref="D2491"/>
    <hyperlink r:id="rId4981" ref="B2492"/>
    <hyperlink r:id="rId4982" ref="D2492"/>
    <hyperlink r:id="rId4983" ref="B2493"/>
    <hyperlink r:id="rId4984" ref="D2493"/>
    <hyperlink r:id="rId4985" ref="B2494"/>
    <hyperlink r:id="rId4986" ref="D2494"/>
    <hyperlink r:id="rId4987" ref="B2495"/>
    <hyperlink r:id="rId4988" ref="D2495"/>
    <hyperlink r:id="rId4989" ref="B2496"/>
    <hyperlink r:id="rId4990" ref="D2496"/>
    <hyperlink r:id="rId4991" ref="B2497"/>
    <hyperlink r:id="rId4992" ref="D2497"/>
    <hyperlink r:id="rId4993" ref="B2498"/>
    <hyperlink r:id="rId4994" ref="D2498"/>
    <hyperlink r:id="rId4995" ref="B2499"/>
    <hyperlink r:id="rId4996" ref="D2499"/>
    <hyperlink r:id="rId4997" ref="B2500"/>
    <hyperlink r:id="rId4998" ref="D2500"/>
    <hyperlink r:id="rId4999" ref="B2501"/>
    <hyperlink r:id="rId5000" ref="D2501"/>
    <hyperlink r:id="rId5001" ref="B2502"/>
    <hyperlink r:id="rId5002" ref="D2502"/>
    <hyperlink r:id="rId5003" ref="B2503"/>
    <hyperlink r:id="rId5004" ref="D2503"/>
    <hyperlink r:id="rId5005" ref="B2504"/>
    <hyperlink r:id="rId5006" ref="D2504"/>
    <hyperlink r:id="rId5007" ref="B2505"/>
    <hyperlink r:id="rId5008" ref="D2505"/>
    <hyperlink r:id="rId5009" ref="B2506"/>
    <hyperlink r:id="rId5010" ref="D2506"/>
    <hyperlink r:id="rId5011" ref="B2507"/>
    <hyperlink r:id="rId5012" ref="D2507"/>
    <hyperlink r:id="rId5013" ref="B2508"/>
    <hyperlink r:id="rId5014" ref="D2508"/>
    <hyperlink r:id="rId5015" ref="B2509"/>
    <hyperlink r:id="rId5016" ref="D2509"/>
    <hyperlink r:id="rId5017" ref="B2510"/>
    <hyperlink r:id="rId5018" ref="D2510"/>
    <hyperlink r:id="rId5019" ref="B2511"/>
    <hyperlink r:id="rId5020" ref="D2511"/>
    <hyperlink r:id="rId5021" ref="B2512"/>
    <hyperlink r:id="rId5022" ref="D2512"/>
    <hyperlink r:id="rId5023" ref="B2513"/>
    <hyperlink r:id="rId5024" ref="D2513"/>
    <hyperlink r:id="rId5025" ref="B2514"/>
    <hyperlink r:id="rId5026" ref="D2514"/>
    <hyperlink r:id="rId5027" ref="B2515"/>
    <hyperlink r:id="rId5028" ref="D2515"/>
    <hyperlink r:id="rId5029" ref="B2516"/>
    <hyperlink r:id="rId5030" ref="D2516"/>
    <hyperlink r:id="rId5031" ref="B2517"/>
    <hyperlink r:id="rId5032" ref="D2517"/>
    <hyperlink r:id="rId5033" ref="B2518"/>
    <hyperlink r:id="rId5034" ref="D2518"/>
    <hyperlink r:id="rId5035" ref="B2519"/>
    <hyperlink r:id="rId5036" ref="D2519"/>
    <hyperlink r:id="rId5037" ref="B2520"/>
    <hyperlink r:id="rId5038" ref="D2520"/>
    <hyperlink r:id="rId5039" ref="B2521"/>
    <hyperlink r:id="rId5040" ref="D2521"/>
    <hyperlink r:id="rId5041" ref="B2522"/>
    <hyperlink r:id="rId5042" ref="D2522"/>
    <hyperlink r:id="rId5043" ref="B2523"/>
    <hyperlink r:id="rId5044" ref="D2523"/>
    <hyperlink r:id="rId5045" ref="B2524"/>
    <hyperlink r:id="rId5046" ref="D2524"/>
    <hyperlink r:id="rId5047" ref="B2525"/>
    <hyperlink r:id="rId5048" ref="D2525"/>
    <hyperlink r:id="rId5049" ref="B2526"/>
    <hyperlink r:id="rId5050" ref="D2526"/>
    <hyperlink r:id="rId5051" ref="B2527"/>
    <hyperlink r:id="rId5052" ref="D2527"/>
    <hyperlink r:id="rId5053" ref="B2528"/>
    <hyperlink r:id="rId5054" ref="D2528"/>
    <hyperlink r:id="rId5055" ref="B2529"/>
    <hyperlink r:id="rId5056" ref="D2529"/>
    <hyperlink r:id="rId5057" ref="B2530"/>
    <hyperlink r:id="rId5058" ref="D2530"/>
    <hyperlink r:id="rId5059" ref="B2531"/>
    <hyperlink r:id="rId5060" ref="D2531"/>
    <hyperlink r:id="rId5061" ref="B2532"/>
    <hyperlink r:id="rId5062" ref="D2532"/>
    <hyperlink r:id="rId5063" ref="B2533"/>
    <hyperlink r:id="rId5064" ref="D2533"/>
    <hyperlink r:id="rId5065" ref="B2534"/>
    <hyperlink r:id="rId5066" ref="D2534"/>
    <hyperlink r:id="rId5067" ref="B2535"/>
    <hyperlink r:id="rId5068" ref="D2535"/>
    <hyperlink r:id="rId5069" ref="B2536"/>
    <hyperlink r:id="rId5070" ref="D2536"/>
    <hyperlink r:id="rId5071" ref="B2537"/>
    <hyperlink r:id="rId5072" ref="D2537"/>
    <hyperlink r:id="rId5073" ref="B2538"/>
    <hyperlink r:id="rId5074" ref="D2538"/>
    <hyperlink r:id="rId5075" ref="B2539"/>
    <hyperlink r:id="rId5076" ref="D2539"/>
    <hyperlink r:id="rId5077" ref="B2540"/>
    <hyperlink r:id="rId5078" ref="D2540"/>
    <hyperlink r:id="rId5079" ref="B2541"/>
    <hyperlink r:id="rId5080" ref="D2541"/>
    <hyperlink r:id="rId5081" ref="B2542"/>
    <hyperlink r:id="rId5082" ref="D2542"/>
    <hyperlink r:id="rId5083" ref="B2543"/>
    <hyperlink r:id="rId5084" ref="D2543"/>
    <hyperlink r:id="rId5085" ref="B2544"/>
    <hyperlink r:id="rId5086" ref="D2544"/>
    <hyperlink r:id="rId5087" ref="B2545"/>
    <hyperlink r:id="rId5088" ref="D2545"/>
    <hyperlink r:id="rId5089" ref="B2546"/>
    <hyperlink r:id="rId5090" ref="D2546"/>
    <hyperlink r:id="rId5091" ref="B2547"/>
    <hyperlink r:id="rId5092" ref="D2547"/>
    <hyperlink r:id="rId5093" ref="B2548"/>
    <hyperlink r:id="rId5094" ref="D2548"/>
    <hyperlink r:id="rId5095" ref="B2549"/>
    <hyperlink r:id="rId5096" ref="D2549"/>
    <hyperlink r:id="rId5097" ref="B2550"/>
    <hyperlink r:id="rId5098" ref="D2550"/>
    <hyperlink r:id="rId5099" ref="B2551"/>
    <hyperlink r:id="rId5100" ref="D2551"/>
    <hyperlink r:id="rId5101" ref="B2552"/>
    <hyperlink r:id="rId5102" ref="D2552"/>
    <hyperlink r:id="rId5103" ref="B2553"/>
    <hyperlink r:id="rId5104" ref="D2553"/>
    <hyperlink r:id="rId5105" ref="B2554"/>
    <hyperlink r:id="rId5106" ref="D2554"/>
    <hyperlink r:id="rId5107" ref="B2555"/>
    <hyperlink r:id="rId5108" ref="D2555"/>
    <hyperlink r:id="rId5109" ref="B2556"/>
    <hyperlink r:id="rId5110" ref="D2556"/>
    <hyperlink r:id="rId5111" ref="B2557"/>
    <hyperlink r:id="rId5112" ref="D2557"/>
    <hyperlink r:id="rId5113" ref="B2558"/>
    <hyperlink r:id="rId5114" ref="D2558"/>
    <hyperlink r:id="rId5115" ref="B2559"/>
    <hyperlink r:id="rId5116" ref="D2559"/>
    <hyperlink r:id="rId5117" ref="B2560"/>
    <hyperlink r:id="rId5118" ref="D2560"/>
    <hyperlink r:id="rId5119" ref="B2561"/>
    <hyperlink r:id="rId5120" ref="D2561"/>
    <hyperlink r:id="rId5121" ref="B2562"/>
    <hyperlink r:id="rId5122" ref="D2562"/>
    <hyperlink r:id="rId5123" ref="B2563"/>
    <hyperlink r:id="rId5124" ref="D2563"/>
    <hyperlink r:id="rId5125" ref="B2564"/>
    <hyperlink r:id="rId5126" ref="D2564"/>
    <hyperlink r:id="rId5127" ref="B2565"/>
    <hyperlink r:id="rId5128" ref="D2565"/>
    <hyperlink r:id="rId5129" ref="B2566"/>
    <hyperlink r:id="rId5130" ref="D2566"/>
    <hyperlink r:id="rId5131" ref="B2567"/>
    <hyperlink r:id="rId5132" ref="D2567"/>
    <hyperlink r:id="rId5133" ref="B2568"/>
    <hyperlink r:id="rId5134" ref="D2568"/>
    <hyperlink r:id="rId5135" ref="B2569"/>
    <hyperlink r:id="rId5136" ref="D2569"/>
    <hyperlink r:id="rId5137" ref="B2570"/>
    <hyperlink r:id="rId5138" ref="D2570"/>
    <hyperlink r:id="rId5139" ref="B2571"/>
    <hyperlink r:id="rId5140" ref="D2571"/>
    <hyperlink r:id="rId5141" ref="B2572"/>
    <hyperlink r:id="rId5142" ref="D2572"/>
    <hyperlink r:id="rId5143" ref="B2573"/>
    <hyperlink r:id="rId5144" ref="D2573"/>
    <hyperlink r:id="rId5145" ref="B2574"/>
    <hyperlink r:id="rId5146" ref="D2574"/>
    <hyperlink r:id="rId5147" ref="B2575"/>
    <hyperlink r:id="rId5148" ref="D2575"/>
    <hyperlink r:id="rId5149" ref="B2576"/>
    <hyperlink r:id="rId5150" ref="D2576"/>
    <hyperlink r:id="rId5151" ref="B2577"/>
    <hyperlink r:id="rId5152" ref="D2577"/>
    <hyperlink r:id="rId5153" ref="B2578"/>
    <hyperlink r:id="rId5154" ref="D2578"/>
    <hyperlink r:id="rId5155" ref="B2579"/>
    <hyperlink r:id="rId5156" ref="D2579"/>
    <hyperlink r:id="rId5157" ref="B2580"/>
    <hyperlink r:id="rId5158" ref="D2580"/>
    <hyperlink r:id="rId5159" ref="B2581"/>
    <hyperlink r:id="rId5160" ref="D2581"/>
    <hyperlink r:id="rId5161" ref="B2582"/>
    <hyperlink r:id="rId5162" ref="D2582"/>
    <hyperlink r:id="rId5163" ref="B2583"/>
    <hyperlink r:id="rId5164" ref="D2583"/>
    <hyperlink r:id="rId5165" ref="B2584"/>
    <hyperlink r:id="rId5166" ref="D2584"/>
    <hyperlink r:id="rId5167" ref="B2585"/>
    <hyperlink r:id="rId5168" ref="D2585"/>
    <hyperlink r:id="rId5169" ref="B2586"/>
    <hyperlink r:id="rId5170" ref="D2586"/>
    <hyperlink r:id="rId5171" ref="B2587"/>
    <hyperlink r:id="rId5172" ref="D2587"/>
    <hyperlink r:id="rId5173" ref="B2588"/>
    <hyperlink r:id="rId5174" ref="D2588"/>
    <hyperlink r:id="rId5175" ref="B2589"/>
    <hyperlink r:id="rId5176" ref="D2589"/>
    <hyperlink r:id="rId5177" ref="B2590"/>
    <hyperlink r:id="rId5178" ref="D2590"/>
    <hyperlink r:id="rId5179" ref="B2591"/>
    <hyperlink r:id="rId5180" ref="D2591"/>
    <hyperlink r:id="rId5181" ref="B2592"/>
    <hyperlink r:id="rId5182" ref="D2592"/>
    <hyperlink r:id="rId5183" ref="B2593"/>
    <hyperlink r:id="rId5184" ref="D2593"/>
    <hyperlink r:id="rId5185" ref="B2594"/>
    <hyperlink r:id="rId5186" ref="D2594"/>
    <hyperlink r:id="rId5187" ref="B2595"/>
    <hyperlink r:id="rId5188" ref="D2595"/>
    <hyperlink r:id="rId5189" ref="B2596"/>
    <hyperlink r:id="rId5190" ref="D2596"/>
    <hyperlink r:id="rId5191" ref="B2597"/>
    <hyperlink r:id="rId5192" ref="D2597"/>
    <hyperlink r:id="rId5193" ref="B2598"/>
    <hyperlink r:id="rId5194" ref="D2598"/>
    <hyperlink r:id="rId5195" ref="B2599"/>
    <hyperlink r:id="rId5196" ref="D2599"/>
    <hyperlink r:id="rId5197" ref="B2600"/>
    <hyperlink r:id="rId5198" ref="D2600"/>
    <hyperlink r:id="rId5199" ref="B2601"/>
    <hyperlink r:id="rId5200" ref="D2601"/>
    <hyperlink r:id="rId5201" ref="B2602"/>
    <hyperlink r:id="rId5202" ref="D2602"/>
    <hyperlink r:id="rId5203" ref="B2603"/>
    <hyperlink r:id="rId5204" ref="D2603"/>
    <hyperlink r:id="rId5205" ref="B2604"/>
    <hyperlink r:id="rId5206" ref="D2604"/>
    <hyperlink r:id="rId5207" ref="B2605"/>
    <hyperlink r:id="rId5208" ref="D2605"/>
    <hyperlink r:id="rId5209" ref="B2606"/>
    <hyperlink r:id="rId5210" ref="D2606"/>
    <hyperlink r:id="rId5211" ref="B2607"/>
    <hyperlink r:id="rId5212" ref="D2607"/>
    <hyperlink r:id="rId5213" ref="B2608"/>
    <hyperlink r:id="rId5214" ref="D2608"/>
    <hyperlink r:id="rId5215" ref="B2609"/>
    <hyperlink r:id="rId5216" ref="D2609"/>
    <hyperlink r:id="rId5217" ref="B2610"/>
    <hyperlink r:id="rId5218" ref="D2610"/>
    <hyperlink r:id="rId5219" ref="B2611"/>
    <hyperlink r:id="rId5220" ref="D2611"/>
    <hyperlink r:id="rId5221" ref="B2612"/>
    <hyperlink r:id="rId5222" ref="D2612"/>
    <hyperlink r:id="rId5223" ref="B2613"/>
    <hyperlink r:id="rId5224" ref="D2613"/>
    <hyperlink r:id="rId5225" ref="B2614"/>
    <hyperlink r:id="rId5226" ref="D2614"/>
    <hyperlink r:id="rId5227" ref="B2615"/>
    <hyperlink r:id="rId5228" ref="D2615"/>
    <hyperlink r:id="rId5229" ref="B2616"/>
    <hyperlink r:id="rId5230" ref="D2616"/>
    <hyperlink r:id="rId5231" ref="B2617"/>
    <hyperlink r:id="rId5232" ref="D2617"/>
    <hyperlink r:id="rId5233" ref="B2618"/>
    <hyperlink r:id="rId5234" ref="D2618"/>
    <hyperlink r:id="rId5235" ref="B2619"/>
    <hyperlink r:id="rId5236" ref="D2619"/>
    <hyperlink r:id="rId5237" ref="B2620"/>
    <hyperlink r:id="rId5238" ref="D2620"/>
    <hyperlink r:id="rId5239" ref="B2621"/>
    <hyperlink r:id="rId5240" ref="D2621"/>
    <hyperlink r:id="rId5241" ref="B2622"/>
    <hyperlink r:id="rId5242" ref="D2622"/>
    <hyperlink r:id="rId5243" ref="B2623"/>
    <hyperlink r:id="rId5244" ref="D2623"/>
    <hyperlink r:id="rId5245" ref="B2624"/>
    <hyperlink r:id="rId5246" ref="D2624"/>
    <hyperlink r:id="rId5247" ref="B2625"/>
    <hyperlink r:id="rId5248" ref="D2625"/>
    <hyperlink r:id="rId5249" ref="B2626"/>
    <hyperlink r:id="rId5250" ref="D2626"/>
    <hyperlink r:id="rId5251" ref="B2627"/>
    <hyperlink r:id="rId5252" ref="D2627"/>
    <hyperlink r:id="rId5253" ref="B2628"/>
    <hyperlink r:id="rId5254" ref="D2628"/>
    <hyperlink r:id="rId5255" ref="B2629"/>
    <hyperlink r:id="rId5256" ref="D2629"/>
    <hyperlink r:id="rId5257" ref="B2630"/>
    <hyperlink r:id="rId5258" ref="D2630"/>
    <hyperlink r:id="rId5259" ref="B2631"/>
    <hyperlink r:id="rId5260" ref="D2631"/>
    <hyperlink r:id="rId5261" ref="B2632"/>
    <hyperlink r:id="rId5262" ref="D2632"/>
    <hyperlink r:id="rId5263" ref="B2633"/>
    <hyperlink r:id="rId5264" ref="D2633"/>
    <hyperlink r:id="rId5265" ref="B2634"/>
    <hyperlink r:id="rId5266" ref="D2634"/>
    <hyperlink r:id="rId5267" ref="B2635"/>
    <hyperlink r:id="rId5268" ref="D2635"/>
    <hyperlink r:id="rId5269" ref="B2636"/>
    <hyperlink r:id="rId5270" ref="D2636"/>
    <hyperlink r:id="rId5271" ref="B2637"/>
    <hyperlink r:id="rId5272" ref="D2637"/>
    <hyperlink r:id="rId5273" ref="B2638"/>
    <hyperlink r:id="rId5274" ref="D2638"/>
    <hyperlink r:id="rId5275" ref="B2639"/>
    <hyperlink r:id="rId5276" ref="D2639"/>
    <hyperlink r:id="rId5277" ref="B2640"/>
    <hyperlink r:id="rId5278" ref="D2640"/>
    <hyperlink r:id="rId5279" ref="B2641"/>
    <hyperlink r:id="rId5280" ref="D2641"/>
    <hyperlink r:id="rId5281" ref="B2642"/>
    <hyperlink r:id="rId5282" ref="D2642"/>
    <hyperlink r:id="rId5283" ref="B2643"/>
    <hyperlink r:id="rId5284" ref="D2643"/>
    <hyperlink r:id="rId5285" ref="B2644"/>
    <hyperlink r:id="rId5286" ref="D2644"/>
    <hyperlink r:id="rId5287" ref="B2645"/>
    <hyperlink r:id="rId5288" ref="D2645"/>
    <hyperlink r:id="rId5289" ref="B2646"/>
    <hyperlink r:id="rId5290" ref="D2646"/>
    <hyperlink r:id="rId5291" ref="B2647"/>
    <hyperlink r:id="rId5292" ref="D2647"/>
    <hyperlink r:id="rId5293" ref="B2648"/>
    <hyperlink r:id="rId5294" ref="D2648"/>
    <hyperlink r:id="rId5295" ref="B2649"/>
    <hyperlink r:id="rId5296" ref="D2649"/>
    <hyperlink r:id="rId5297" ref="B2650"/>
    <hyperlink r:id="rId5298" ref="D2650"/>
    <hyperlink r:id="rId5299" ref="B2651"/>
    <hyperlink r:id="rId5300" ref="D2651"/>
    <hyperlink r:id="rId5301" ref="B2652"/>
    <hyperlink r:id="rId5302" ref="D2652"/>
    <hyperlink r:id="rId5303" ref="B2653"/>
    <hyperlink r:id="rId5304" ref="D2653"/>
    <hyperlink r:id="rId5305" ref="B2654"/>
    <hyperlink r:id="rId5306" ref="D2654"/>
    <hyperlink r:id="rId5307" ref="B2655"/>
    <hyperlink r:id="rId5308" ref="D2655"/>
    <hyperlink r:id="rId5309" ref="B2656"/>
    <hyperlink r:id="rId5310" ref="D2656"/>
    <hyperlink r:id="rId5311" ref="B2657"/>
    <hyperlink r:id="rId5312" ref="D2657"/>
    <hyperlink r:id="rId5313" ref="B2658"/>
    <hyperlink r:id="rId5314" ref="D2658"/>
    <hyperlink r:id="rId5315" ref="B2659"/>
    <hyperlink r:id="rId5316" ref="D2659"/>
    <hyperlink r:id="rId5317" ref="B2660"/>
    <hyperlink r:id="rId5318" ref="D2660"/>
    <hyperlink r:id="rId5319" ref="B2661"/>
    <hyperlink r:id="rId5320" ref="D2661"/>
    <hyperlink r:id="rId5321" ref="B2662"/>
    <hyperlink r:id="rId5322" ref="D2662"/>
    <hyperlink r:id="rId5323" ref="B2663"/>
    <hyperlink r:id="rId5324" ref="D2663"/>
    <hyperlink r:id="rId5325" ref="B2664"/>
    <hyperlink r:id="rId5326" ref="D2664"/>
    <hyperlink r:id="rId5327" ref="B2665"/>
    <hyperlink r:id="rId5328" ref="D2665"/>
    <hyperlink r:id="rId5329" ref="B2666"/>
    <hyperlink r:id="rId5330" ref="D2666"/>
    <hyperlink r:id="rId5331" ref="B2667"/>
    <hyperlink r:id="rId5332" ref="D2667"/>
    <hyperlink r:id="rId5333" ref="B2668"/>
    <hyperlink r:id="rId5334" ref="D2668"/>
    <hyperlink r:id="rId5335" ref="B2669"/>
    <hyperlink r:id="rId5336" ref="D2669"/>
    <hyperlink r:id="rId5337" ref="B2670"/>
    <hyperlink r:id="rId5338" ref="D2670"/>
    <hyperlink r:id="rId5339" ref="B2671"/>
    <hyperlink r:id="rId5340" ref="D2671"/>
    <hyperlink r:id="rId5341" ref="B2672"/>
    <hyperlink r:id="rId5342" ref="D2672"/>
    <hyperlink r:id="rId5343" ref="B2673"/>
    <hyperlink r:id="rId5344" ref="D2673"/>
    <hyperlink r:id="rId5345" ref="B2674"/>
    <hyperlink r:id="rId5346" ref="D2674"/>
    <hyperlink r:id="rId5347" ref="B2675"/>
    <hyperlink r:id="rId5348" ref="D2675"/>
    <hyperlink r:id="rId5349" ref="B2676"/>
    <hyperlink r:id="rId5350" ref="D2676"/>
    <hyperlink r:id="rId5351" ref="B2677"/>
    <hyperlink r:id="rId5352" ref="D2677"/>
    <hyperlink r:id="rId5353" ref="B2678"/>
    <hyperlink r:id="rId5354" ref="D2678"/>
    <hyperlink r:id="rId5355" ref="B2679"/>
    <hyperlink r:id="rId5356" ref="D2679"/>
    <hyperlink r:id="rId5357" ref="B2680"/>
    <hyperlink r:id="rId5358" ref="D2680"/>
    <hyperlink r:id="rId5359" ref="B2681"/>
    <hyperlink r:id="rId5360" ref="D2681"/>
    <hyperlink r:id="rId5361" ref="B2682"/>
    <hyperlink r:id="rId5362" ref="D2682"/>
    <hyperlink r:id="rId5363" ref="B2683"/>
    <hyperlink r:id="rId5364" ref="D2683"/>
    <hyperlink r:id="rId5365" ref="B2684"/>
    <hyperlink r:id="rId5366" ref="D2684"/>
    <hyperlink r:id="rId5367" ref="B2685"/>
    <hyperlink r:id="rId5368" ref="D2685"/>
    <hyperlink r:id="rId5369" ref="B2686"/>
    <hyperlink r:id="rId5370" ref="D2686"/>
    <hyperlink r:id="rId5371" ref="B2687"/>
    <hyperlink r:id="rId5372" ref="D2687"/>
    <hyperlink r:id="rId5373" ref="B2688"/>
    <hyperlink r:id="rId5374" ref="D2688"/>
    <hyperlink r:id="rId5375" ref="B2689"/>
    <hyperlink r:id="rId5376" ref="D2689"/>
    <hyperlink r:id="rId5377" ref="B2690"/>
    <hyperlink r:id="rId5378" ref="D2690"/>
    <hyperlink r:id="rId5379" ref="B2691"/>
    <hyperlink r:id="rId5380" ref="D2691"/>
    <hyperlink r:id="rId5381" ref="B2692"/>
    <hyperlink r:id="rId5382" ref="D2692"/>
    <hyperlink r:id="rId5383" ref="B2693"/>
    <hyperlink r:id="rId5384" ref="D2693"/>
    <hyperlink r:id="rId5385" ref="B2694"/>
    <hyperlink r:id="rId5386" ref="D2694"/>
    <hyperlink r:id="rId5387" ref="B2695"/>
    <hyperlink r:id="rId5388" ref="D2695"/>
    <hyperlink r:id="rId5389" ref="B2696"/>
    <hyperlink r:id="rId5390" ref="D2696"/>
    <hyperlink r:id="rId5391" ref="B2697"/>
    <hyperlink r:id="rId5392" ref="D2697"/>
    <hyperlink r:id="rId5393" ref="B2698"/>
    <hyperlink r:id="rId5394" ref="D2698"/>
    <hyperlink r:id="rId5395" ref="B2699"/>
    <hyperlink r:id="rId5396" ref="D2699"/>
    <hyperlink r:id="rId5397" ref="B2700"/>
    <hyperlink r:id="rId5398" ref="D2700"/>
    <hyperlink r:id="rId5399" ref="B2701"/>
    <hyperlink r:id="rId5400" ref="D2701"/>
    <hyperlink r:id="rId5401" ref="B2702"/>
    <hyperlink r:id="rId5402" ref="D2702"/>
    <hyperlink r:id="rId5403" ref="B2703"/>
    <hyperlink r:id="rId5404" ref="D2703"/>
    <hyperlink r:id="rId5405" ref="B2704"/>
    <hyperlink r:id="rId5406" ref="D2704"/>
    <hyperlink r:id="rId5407" ref="B2705"/>
    <hyperlink r:id="rId5408" ref="D2705"/>
    <hyperlink r:id="rId5409" ref="B2706"/>
    <hyperlink r:id="rId5410" ref="D2706"/>
    <hyperlink r:id="rId5411" ref="B2707"/>
    <hyperlink r:id="rId5412" ref="D2707"/>
    <hyperlink r:id="rId5413" ref="B2708"/>
    <hyperlink r:id="rId5414" ref="D2708"/>
    <hyperlink r:id="rId5415" ref="B2709"/>
    <hyperlink r:id="rId5416" ref="D2709"/>
    <hyperlink r:id="rId5417" ref="B2710"/>
    <hyperlink r:id="rId5418" ref="D2710"/>
    <hyperlink r:id="rId5419" ref="B2711"/>
    <hyperlink r:id="rId5420" ref="D2711"/>
    <hyperlink r:id="rId5421" ref="B2712"/>
    <hyperlink r:id="rId5422" ref="D2712"/>
    <hyperlink r:id="rId5423" ref="B2713"/>
    <hyperlink r:id="rId5424" ref="D2713"/>
    <hyperlink r:id="rId5425" ref="B2714"/>
    <hyperlink r:id="rId5426" ref="D2714"/>
    <hyperlink r:id="rId5427" ref="B2715"/>
    <hyperlink r:id="rId5428" ref="D2715"/>
    <hyperlink r:id="rId5429" ref="B2716"/>
    <hyperlink r:id="rId5430" ref="D2716"/>
    <hyperlink r:id="rId5431" ref="B2717"/>
    <hyperlink r:id="rId5432" ref="D2717"/>
    <hyperlink r:id="rId5433" ref="B2718"/>
    <hyperlink r:id="rId5434" ref="D2718"/>
    <hyperlink r:id="rId5435" ref="B2719"/>
    <hyperlink r:id="rId5436" ref="D2719"/>
    <hyperlink r:id="rId5437" ref="B2720"/>
    <hyperlink r:id="rId5438" ref="D2720"/>
    <hyperlink r:id="rId5439" ref="B2721"/>
    <hyperlink r:id="rId5440" ref="D2721"/>
    <hyperlink r:id="rId5441" ref="B2722"/>
    <hyperlink r:id="rId5442" ref="D2722"/>
    <hyperlink r:id="rId5443" ref="B2723"/>
    <hyperlink r:id="rId5444" ref="D2723"/>
    <hyperlink r:id="rId5445" ref="B2724"/>
    <hyperlink r:id="rId5446" ref="D2724"/>
    <hyperlink r:id="rId5447" ref="B2725"/>
    <hyperlink r:id="rId5448" ref="D2725"/>
    <hyperlink r:id="rId5449" ref="B2726"/>
    <hyperlink r:id="rId5450" ref="D2726"/>
    <hyperlink r:id="rId5451" ref="B2727"/>
    <hyperlink r:id="rId5452" ref="D2727"/>
    <hyperlink r:id="rId5453" ref="B2728"/>
    <hyperlink r:id="rId5454" ref="D2728"/>
    <hyperlink r:id="rId5455" ref="B2729"/>
    <hyperlink r:id="rId5456" ref="D2729"/>
    <hyperlink r:id="rId5457" ref="B2730"/>
    <hyperlink r:id="rId5458" ref="D2730"/>
    <hyperlink r:id="rId5459" ref="B2731"/>
    <hyperlink r:id="rId5460" ref="D2731"/>
    <hyperlink r:id="rId5461" ref="B2732"/>
    <hyperlink r:id="rId5462" ref="D2732"/>
    <hyperlink r:id="rId5463" ref="B2733"/>
    <hyperlink r:id="rId5464" ref="D2733"/>
    <hyperlink r:id="rId5465" ref="B2734"/>
    <hyperlink r:id="rId5466" ref="D2734"/>
    <hyperlink r:id="rId5467" ref="B2735"/>
    <hyperlink r:id="rId5468" ref="D2735"/>
    <hyperlink r:id="rId5469" ref="B2736"/>
    <hyperlink r:id="rId5470" ref="D2736"/>
    <hyperlink r:id="rId5471" ref="B2737"/>
    <hyperlink r:id="rId5472" ref="D2737"/>
    <hyperlink r:id="rId5473" ref="B2738"/>
    <hyperlink r:id="rId5474" ref="D2738"/>
    <hyperlink r:id="rId5475" ref="B2739"/>
    <hyperlink r:id="rId5476" ref="D2739"/>
    <hyperlink r:id="rId5477" ref="B2740"/>
    <hyperlink r:id="rId5478" ref="D2740"/>
    <hyperlink r:id="rId5479" ref="B2741"/>
    <hyperlink r:id="rId5480" ref="D2741"/>
    <hyperlink r:id="rId5481" ref="B2742"/>
    <hyperlink r:id="rId5482" ref="D2742"/>
    <hyperlink r:id="rId5483" ref="B2743"/>
    <hyperlink r:id="rId5484" ref="D2743"/>
    <hyperlink r:id="rId5485" ref="B2744"/>
    <hyperlink r:id="rId5486" ref="D2744"/>
    <hyperlink r:id="rId5487" ref="B2745"/>
    <hyperlink r:id="rId5488" ref="D2745"/>
    <hyperlink r:id="rId5489" ref="B2746"/>
    <hyperlink r:id="rId5490" ref="D2746"/>
    <hyperlink r:id="rId5491" ref="B2747"/>
    <hyperlink r:id="rId5492" ref="D2747"/>
    <hyperlink r:id="rId5493" ref="B2748"/>
    <hyperlink r:id="rId5494" ref="D2748"/>
    <hyperlink r:id="rId5495" ref="B2749"/>
    <hyperlink r:id="rId5496" ref="D2749"/>
    <hyperlink r:id="rId5497" ref="B2750"/>
    <hyperlink r:id="rId5498" ref="D2750"/>
    <hyperlink r:id="rId5499" ref="B2751"/>
    <hyperlink r:id="rId5500" ref="D2751"/>
    <hyperlink r:id="rId5501" ref="B2752"/>
    <hyperlink r:id="rId5502" ref="D2752"/>
    <hyperlink r:id="rId5503" ref="B2753"/>
    <hyperlink r:id="rId5504" ref="D2753"/>
    <hyperlink r:id="rId5505" ref="B2754"/>
    <hyperlink r:id="rId5506" ref="D2754"/>
    <hyperlink r:id="rId5507" ref="B2755"/>
    <hyperlink r:id="rId5508" ref="D2755"/>
    <hyperlink r:id="rId5509" ref="B2756"/>
    <hyperlink r:id="rId5510" ref="D2756"/>
    <hyperlink r:id="rId5511" ref="B2757"/>
    <hyperlink r:id="rId5512" ref="D2757"/>
    <hyperlink r:id="rId5513" ref="B2758"/>
    <hyperlink r:id="rId5514" ref="D2758"/>
    <hyperlink r:id="rId5515" ref="B2759"/>
    <hyperlink r:id="rId5516" ref="D2759"/>
    <hyperlink r:id="rId5517" ref="B2760"/>
    <hyperlink r:id="rId5518" ref="D2760"/>
    <hyperlink r:id="rId5519" ref="B2761"/>
    <hyperlink r:id="rId5520" ref="D2761"/>
    <hyperlink r:id="rId5521" ref="B2762"/>
    <hyperlink r:id="rId5522" ref="D2762"/>
    <hyperlink r:id="rId5523" ref="B2763"/>
    <hyperlink r:id="rId5524" ref="D2763"/>
    <hyperlink r:id="rId5525" ref="B2764"/>
    <hyperlink r:id="rId5526" ref="D2764"/>
    <hyperlink r:id="rId5527" ref="B2765"/>
    <hyperlink r:id="rId5528" ref="D2765"/>
    <hyperlink r:id="rId5529" ref="B2766"/>
    <hyperlink r:id="rId5530" ref="D2766"/>
    <hyperlink r:id="rId5531" ref="B2767"/>
    <hyperlink r:id="rId5532" ref="D2767"/>
    <hyperlink r:id="rId5533" ref="B2768"/>
    <hyperlink r:id="rId5534" ref="D2768"/>
    <hyperlink r:id="rId5535" ref="B2769"/>
    <hyperlink r:id="rId5536" ref="D2769"/>
    <hyperlink r:id="rId5537" ref="B2770"/>
    <hyperlink r:id="rId5538" ref="D2770"/>
    <hyperlink r:id="rId5539" ref="B2771"/>
    <hyperlink r:id="rId5540" ref="D2771"/>
    <hyperlink r:id="rId5541" ref="B2772"/>
    <hyperlink r:id="rId5542" ref="D2772"/>
    <hyperlink r:id="rId5543" ref="B2773"/>
    <hyperlink r:id="rId5544" ref="D2773"/>
    <hyperlink r:id="rId5545" ref="B2774"/>
    <hyperlink r:id="rId5546" ref="D2774"/>
    <hyperlink r:id="rId5547" ref="B2775"/>
    <hyperlink r:id="rId5548" ref="D2775"/>
    <hyperlink r:id="rId5549" ref="B2776"/>
    <hyperlink r:id="rId5550" ref="D2776"/>
    <hyperlink r:id="rId5551" ref="B2777"/>
    <hyperlink r:id="rId5552" ref="D2777"/>
    <hyperlink r:id="rId5553" ref="B2778"/>
    <hyperlink r:id="rId5554" ref="D2778"/>
    <hyperlink r:id="rId5555" ref="B2779"/>
    <hyperlink r:id="rId5556" ref="D2779"/>
    <hyperlink r:id="rId5557" ref="B2780"/>
    <hyperlink r:id="rId5558" ref="D2780"/>
    <hyperlink r:id="rId5559" ref="B2781"/>
    <hyperlink r:id="rId5560" ref="D2781"/>
    <hyperlink r:id="rId5561" ref="B2782"/>
    <hyperlink r:id="rId5562" ref="D2782"/>
    <hyperlink r:id="rId5563" ref="B2783"/>
    <hyperlink r:id="rId5564" ref="D2783"/>
    <hyperlink r:id="rId5565" ref="B2784"/>
    <hyperlink r:id="rId5566" ref="D2784"/>
    <hyperlink r:id="rId5567" ref="B2785"/>
    <hyperlink r:id="rId5568" ref="D2785"/>
    <hyperlink r:id="rId5569" ref="B2786"/>
    <hyperlink r:id="rId5570" ref="D2786"/>
    <hyperlink r:id="rId5571" ref="B2787"/>
    <hyperlink r:id="rId5572" ref="D2787"/>
    <hyperlink r:id="rId5573" ref="B2788"/>
    <hyperlink r:id="rId5574" ref="D2788"/>
    <hyperlink r:id="rId5575" ref="B2789"/>
    <hyperlink r:id="rId5576" ref="D2789"/>
    <hyperlink r:id="rId5577" ref="B2790"/>
    <hyperlink r:id="rId5578" ref="D2790"/>
    <hyperlink r:id="rId5579" ref="B2791"/>
    <hyperlink r:id="rId5580" ref="D2791"/>
    <hyperlink r:id="rId5581" ref="B2792"/>
    <hyperlink r:id="rId5582" ref="D2792"/>
    <hyperlink r:id="rId5583" ref="B2793"/>
    <hyperlink r:id="rId5584" ref="D2793"/>
    <hyperlink r:id="rId5585" ref="B2794"/>
    <hyperlink r:id="rId5586" ref="D2794"/>
    <hyperlink r:id="rId5587" ref="B2795"/>
    <hyperlink r:id="rId5588" ref="D2795"/>
    <hyperlink r:id="rId5589" ref="B2796"/>
    <hyperlink r:id="rId5590" ref="D2796"/>
    <hyperlink r:id="rId5591" ref="B2797"/>
    <hyperlink r:id="rId5592" ref="D2797"/>
    <hyperlink r:id="rId5593" ref="B2798"/>
    <hyperlink r:id="rId5594" ref="D2798"/>
    <hyperlink r:id="rId5595" ref="B2799"/>
    <hyperlink r:id="rId5596" ref="D2799"/>
    <hyperlink r:id="rId5597" ref="B2800"/>
    <hyperlink r:id="rId5598" ref="D2800"/>
    <hyperlink r:id="rId5599" ref="B2801"/>
    <hyperlink r:id="rId5600" ref="D2801"/>
    <hyperlink r:id="rId5601" ref="B2802"/>
    <hyperlink r:id="rId5602" ref="D2802"/>
    <hyperlink r:id="rId5603" ref="B2803"/>
    <hyperlink r:id="rId5604" ref="D2803"/>
    <hyperlink r:id="rId5605" ref="B2804"/>
    <hyperlink r:id="rId5606" ref="D2804"/>
    <hyperlink r:id="rId5607" ref="B2805"/>
    <hyperlink r:id="rId5608" ref="D2805"/>
    <hyperlink r:id="rId5609" ref="B2806"/>
    <hyperlink r:id="rId5610" ref="D2806"/>
    <hyperlink r:id="rId5611" ref="B2807"/>
    <hyperlink r:id="rId5612" ref="D2807"/>
    <hyperlink r:id="rId5613" ref="B2808"/>
    <hyperlink r:id="rId5614" ref="D2808"/>
    <hyperlink r:id="rId5615" ref="B2809"/>
    <hyperlink r:id="rId5616" ref="D2809"/>
    <hyperlink r:id="rId5617" ref="B2810"/>
    <hyperlink r:id="rId5618" ref="D2810"/>
    <hyperlink r:id="rId5619" ref="B2811"/>
    <hyperlink r:id="rId5620" ref="D2811"/>
    <hyperlink r:id="rId5621" ref="B2812"/>
    <hyperlink r:id="rId5622" ref="D2812"/>
    <hyperlink r:id="rId5623" ref="B2813"/>
    <hyperlink r:id="rId5624" ref="D2813"/>
    <hyperlink r:id="rId5625" ref="B2814"/>
    <hyperlink r:id="rId5626" ref="D2814"/>
    <hyperlink r:id="rId5627" ref="B2815"/>
    <hyperlink r:id="rId5628" ref="D2815"/>
    <hyperlink r:id="rId5629" ref="B2816"/>
    <hyperlink r:id="rId5630" ref="D2816"/>
    <hyperlink r:id="rId5631" ref="B2817"/>
    <hyperlink r:id="rId5632" ref="D2817"/>
    <hyperlink r:id="rId5633" ref="B2818"/>
    <hyperlink r:id="rId5634" ref="D2818"/>
    <hyperlink r:id="rId5635" ref="B2819"/>
    <hyperlink r:id="rId5636" ref="D2819"/>
    <hyperlink r:id="rId5637" ref="B2820"/>
    <hyperlink r:id="rId5638" ref="D2820"/>
    <hyperlink r:id="rId5639" ref="B2821"/>
    <hyperlink r:id="rId5640" ref="D2821"/>
    <hyperlink r:id="rId5641" ref="B2822"/>
    <hyperlink r:id="rId5642" ref="D2822"/>
    <hyperlink r:id="rId5643" ref="B2823"/>
    <hyperlink r:id="rId5644" ref="D2823"/>
    <hyperlink r:id="rId5645" ref="B2824"/>
    <hyperlink r:id="rId5646" ref="D2824"/>
    <hyperlink r:id="rId5647" ref="B2825"/>
    <hyperlink r:id="rId5648" ref="D2825"/>
    <hyperlink r:id="rId5649" ref="B2826"/>
    <hyperlink r:id="rId5650" ref="D2826"/>
    <hyperlink r:id="rId5651" ref="B2827"/>
    <hyperlink r:id="rId5652" ref="D2827"/>
    <hyperlink r:id="rId5653" ref="B2828"/>
    <hyperlink r:id="rId5654" ref="D2828"/>
    <hyperlink r:id="rId5655" ref="B2829"/>
    <hyperlink r:id="rId5656" ref="D2829"/>
    <hyperlink r:id="rId5657" ref="B2830"/>
    <hyperlink r:id="rId5658" ref="D2830"/>
    <hyperlink r:id="rId5659" ref="B2831"/>
    <hyperlink r:id="rId5660" ref="D2831"/>
    <hyperlink r:id="rId5661" ref="B2832"/>
    <hyperlink r:id="rId5662" ref="D2832"/>
    <hyperlink r:id="rId5663" ref="B2833"/>
    <hyperlink r:id="rId5664" ref="D2833"/>
    <hyperlink r:id="rId5665" ref="B2834"/>
    <hyperlink r:id="rId5666" ref="D2834"/>
    <hyperlink r:id="rId5667" ref="B2835"/>
    <hyperlink r:id="rId5668" ref="D2835"/>
    <hyperlink r:id="rId5669" ref="B2836"/>
    <hyperlink r:id="rId5670" ref="D2836"/>
    <hyperlink r:id="rId5671" ref="B2837"/>
    <hyperlink r:id="rId5672" ref="D2837"/>
    <hyperlink r:id="rId5673" ref="B2838"/>
    <hyperlink r:id="rId5674" ref="D2838"/>
    <hyperlink r:id="rId5675" ref="B2839"/>
    <hyperlink r:id="rId5676" ref="D2839"/>
    <hyperlink r:id="rId5677" ref="B2840"/>
    <hyperlink r:id="rId5678" ref="D2840"/>
    <hyperlink r:id="rId5679" ref="B2841"/>
    <hyperlink r:id="rId5680" ref="D2841"/>
    <hyperlink r:id="rId5681" ref="B2842"/>
    <hyperlink r:id="rId5682" ref="D2842"/>
    <hyperlink r:id="rId5683" ref="B2843"/>
    <hyperlink r:id="rId5684" ref="D2843"/>
    <hyperlink r:id="rId5685" ref="B2844"/>
    <hyperlink r:id="rId5686" ref="D2844"/>
    <hyperlink r:id="rId5687" ref="B2845"/>
    <hyperlink r:id="rId5688" ref="D2845"/>
    <hyperlink r:id="rId5689" ref="B2846"/>
    <hyperlink r:id="rId5690" ref="D2846"/>
    <hyperlink r:id="rId5691" ref="B2847"/>
    <hyperlink r:id="rId5692" ref="D2847"/>
    <hyperlink r:id="rId5693" ref="B2848"/>
    <hyperlink r:id="rId5694" ref="D2848"/>
    <hyperlink r:id="rId5695" ref="B2849"/>
    <hyperlink r:id="rId5696" ref="D2849"/>
    <hyperlink r:id="rId5697" ref="B2850"/>
    <hyperlink r:id="rId5698" ref="D2850"/>
    <hyperlink r:id="rId5699" ref="B2851"/>
    <hyperlink r:id="rId5700" ref="D2851"/>
    <hyperlink r:id="rId5701" ref="B2852"/>
    <hyperlink r:id="rId5702" ref="D2852"/>
    <hyperlink r:id="rId5703" ref="B2853"/>
    <hyperlink r:id="rId5704" ref="D2853"/>
    <hyperlink r:id="rId5705" ref="B2854"/>
    <hyperlink r:id="rId5706" ref="D2854"/>
    <hyperlink r:id="rId5707" ref="B2855"/>
    <hyperlink r:id="rId5708" ref="D2855"/>
    <hyperlink r:id="rId5709" ref="B2856"/>
    <hyperlink r:id="rId5710" ref="D2856"/>
    <hyperlink r:id="rId5711" ref="B2857"/>
    <hyperlink r:id="rId5712" ref="D2857"/>
    <hyperlink r:id="rId5713" ref="B2858"/>
    <hyperlink r:id="rId5714" ref="D2858"/>
    <hyperlink r:id="rId5715" ref="B2859"/>
    <hyperlink r:id="rId5716" ref="D2859"/>
    <hyperlink r:id="rId5717" ref="B2860"/>
    <hyperlink r:id="rId5718" ref="D2860"/>
    <hyperlink r:id="rId5719" ref="B2861"/>
    <hyperlink r:id="rId5720" ref="D2861"/>
    <hyperlink r:id="rId5721" ref="B2862"/>
    <hyperlink r:id="rId5722" ref="D2862"/>
    <hyperlink r:id="rId5723" ref="B2863"/>
    <hyperlink r:id="rId5724" ref="D2863"/>
    <hyperlink r:id="rId5725" ref="B2864"/>
    <hyperlink r:id="rId5726" ref="D2864"/>
    <hyperlink r:id="rId5727" ref="B2865"/>
    <hyperlink r:id="rId5728" ref="D2865"/>
    <hyperlink r:id="rId5729" ref="B2866"/>
    <hyperlink r:id="rId5730" ref="D2866"/>
    <hyperlink r:id="rId5731" ref="B2867"/>
    <hyperlink r:id="rId5732" ref="D2867"/>
    <hyperlink r:id="rId5733" ref="B2868"/>
    <hyperlink r:id="rId5734" ref="D2868"/>
    <hyperlink r:id="rId5735" ref="B2869"/>
    <hyperlink r:id="rId5736" ref="D2869"/>
    <hyperlink r:id="rId5737" ref="B2870"/>
    <hyperlink r:id="rId5738" ref="D2870"/>
    <hyperlink r:id="rId5739" ref="B2871"/>
    <hyperlink r:id="rId5740" ref="D2871"/>
    <hyperlink r:id="rId5741" ref="B2872"/>
    <hyperlink r:id="rId5742" ref="D2872"/>
    <hyperlink r:id="rId5743" ref="B2873"/>
    <hyperlink r:id="rId5744" ref="D2873"/>
    <hyperlink r:id="rId5745" ref="B2874"/>
    <hyperlink r:id="rId5746" ref="D2874"/>
    <hyperlink r:id="rId5747" ref="B2875"/>
    <hyperlink r:id="rId5748" ref="D2875"/>
    <hyperlink r:id="rId5749" ref="B2876"/>
    <hyperlink r:id="rId5750" ref="D2876"/>
    <hyperlink r:id="rId5751" ref="B2877"/>
    <hyperlink r:id="rId5752" ref="D2877"/>
    <hyperlink r:id="rId5753" ref="B2878"/>
    <hyperlink r:id="rId5754" ref="D2878"/>
    <hyperlink r:id="rId5755" ref="B2879"/>
    <hyperlink r:id="rId5756" ref="D2879"/>
    <hyperlink r:id="rId5757" ref="B2880"/>
    <hyperlink r:id="rId5758" ref="D2880"/>
    <hyperlink r:id="rId5759" ref="B2881"/>
    <hyperlink r:id="rId5760" ref="D2881"/>
    <hyperlink r:id="rId5761" ref="B2882"/>
    <hyperlink r:id="rId5762" ref="D2882"/>
    <hyperlink r:id="rId5763" ref="B2883"/>
    <hyperlink r:id="rId5764" ref="D2883"/>
    <hyperlink r:id="rId5765" ref="B2884"/>
    <hyperlink r:id="rId5766" ref="D2884"/>
    <hyperlink r:id="rId5767" ref="B2885"/>
    <hyperlink r:id="rId5768" ref="D2885"/>
    <hyperlink r:id="rId5769" ref="B2886"/>
    <hyperlink r:id="rId5770" ref="D2886"/>
    <hyperlink r:id="rId5771" ref="B2887"/>
    <hyperlink r:id="rId5772" ref="D2887"/>
    <hyperlink r:id="rId5773" ref="B2888"/>
    <hyperlink r:id="rId5774" ref="D2888"/>
    <hyperlink r:id="rId5775" ref="B2889"/>
    <hyperlink r:id="rId5776" ref="D2889"/>
    <hyperlink r:id="rId5777" ref="B2890"/>
    <hyperlink r:id="rId5778" ref="D2890"/>
    <hyperlink r:id="rId5779" ref="B2891"/>
    <hyperlink r:id="rId5780" ref="D2891"/>
    <hyperlink r:id="rId5781" ref="B2892"/>
    <hyperlink r:id="rId5782" ref="D2892"/>
    <hyperlink r:id="rId5783" ref="B2893"/>
    <hyperlink r:id="rId5784" ref="D2893"/>
    <hyperlink r:id="rId5785" ref="B2894"/>
    <hyperlink r:id="rId5786" ref="D2894"/>
    <hyperlink r:id="rId5787" ref="B2895"/>
    <hyperlink r:id="rId5788" ref="D2895"/>
    <hyperlink r:id="rId5789" ref="B2896"/>
    <hyperlink r:id="rId5790" ref="D2896"/>
    <hyperlink r:id="rId5791" ref="B2897"/>
    <hyperlink r:id="rId5792" ref="D2897"/>
    <hyperlink r:id="rId5793" ref="B2898"/>
    <hyperlink r:id="rId5794" ref="D2898"/>
    <hyperlink r:id="rId5795" ref="B2899"/>
    <hyperlink r:id="rId5796" ref="D2899"/>
    <hyperlink r:id="rId5797" ref="B2900"/>
    <hyperlink r:id="rId5798" ref="D2900"/>
    <hyperlink r:id="rId5799" ref="B2901"/>
    <hyperlink r:id="rId5800" ref="D2901"/>
    <hyperlink r:id="rId5801" ref="B2902"/>
    <hyperlink r:id="rId5802" ref="D2902"/>
    <hyperlink r:id="rId5803" ref="B2903"/>
    <hyperlink r:id="rId5804" ref="D2903"/>
    <hyperlink r:id="rId5805" ref="B2904"/>
    <hyperlink r:id="rId5806" ref="D2904"/>
    <hyperlink r:id="rId5807" ref="B2905"/>
    <hyperlink r:id="rId5808" ref="D2905"/>
    <hyperlink r:id="rId5809" ref="B2906"/>
    <hyperlink r:id="rId5810" ref="D2906"/>
    <hyperlink r:id="rId5811" ref="B2907"/>
    <hyperlink r:id="rId5812" ref="D2907"/>
    <hyperlink r:id="rId5813" ref="B2908"/>
    <hyperlink r:id="rId5814" ref="D2908"/>
    <hyperlink r:id="rId5815" ref="B2909"/>
    <hyperlink r:id="rId5816" ref="D2909"/>
    <hyperlink r:id="rId5817" ref="B2910"/>
    <hyperlink r:id="rId5818" ref="D2910"/>
    <hyperlink r:id="rId5819" ref="B2911"/>
    <hyperlink r:id="rId5820" ref="D2911"/>
    <hyperlink r:id="rId5821" ref="B2912"/>
    <hyperlink r:id="rId5822" ref="D2912"/>
    <hyperlink r:id="rId5823" ref="B2913"/>
    <hyperlink r:id="rId5824" ref="D2913"/>
    <hyperlink r:id="rId5825" ref="B2914"/>
    <hyperlink r:id="rId5826" ref="D2914"/>
    <hyperlink r:id="rId5827" ref="B2915"/>
    <hyperlink r:id="rId5828" ref="D2915"/>
    <hyperlink r:id="rId5829" ref="B2916"/>
    <hyperlink r:id="rId5830" ref="D2916"/>
    <hyperlink r:id="rId5831" ref="B2917"/>
    <hyperlink r:id="rId5832" ref="D2917"/>
    <hyperlink r:id="rId5833" ref="B2918"/>
    <hyperlink r:id="rId5834" ref="D2918"/>
    <hyperlink r:id="rId5835" ref="B2919"/>
    <hyperlink r:id="rId5836" ref="D2919"/>
    <hyperlink r:id="rId5837" ref="B2920"/>
    <hyperlink r:id="rId5838" ref="D2920"/>
    <hyperlink r:id="rId5839" ref="B2921"/>
    <hyperlink r:id="rId5840" ref="D2921"/>
    <hyperlink r:id="rId5841" ref="B2922"/>
    <hyperlink r:id="rId5842" ref="D2922"/>
    <hyperlink r:id="rId5843" ref="B2923"/>
    <hyperlink r:id="rId5844" ref="D2923"/>
    <hyperlink r:id="rId5845" ref="B2924"/>
    <hyperlink r:id="rId5846" ref="D2924"/>
    <hyperlink r:id="rId5847" ref="B2925"/>
    <hyperlink r:id="rId5848" ref="D2925"/>
    <hyperlink r:id="rId5849" ref="B2926"/>
    <hyperlink r:id="rId5850" ref="D2926"/>
    <hyperlink r:id="rId5851" ref="B2927"/>
    <hyperlink r:id="rId5852" ref="D2927"/>
    <hyperlink r:id="rId5853" ref="B2928"/>
    <hyperlink r:id="rId5854" ref="D2928"/>
    <hyperlink r:id="rId5855" ref="B2929"/>
    <hyperlink r:id="rId5856" ref="D2929"/>
    <hyperlink r:id="rId5857" ref="B2930"/>
    <hyperlink r:id="rId5858" ref="D2930"/>
    <hyperlink r:id="rId5859" ref="B2931"/>
    <hyperlink r:id="rId5860" ref="D2931"/>
    <hyperlink r:id="rId5861" ref="B2932"/>
    <hyperlink r:id="rId5862" ref="D2932"/>
    <hyperlink r:id="rId5863" ref="B2933"/>
    <hyperlink r:id="rId5864" ref="D2933"/>
    <hyperlink r:id="rId5865" ref="B2934"/>
    <hyperlink r:id="rId5866" ref="D2934"/>
    <hyperlink r:id="rId5867" ref="B2935"/>
    <hyperlink r:id="rId5868" ref="D2935"/>
    <hyperlink r:id="rId5869" ref="B2936"/>
    <hyperlink r:id="rId5870" ref="D2936"/>
    <hyperlink r:id="rId5871" ref="B2937"/>
    <hyperlink r:id="rId5872" ref="D2937"/>
    <hyperlink r:id="rId5873" ref="B2938"/>
    <hyperlink r:id="rId5874" ref="D2938"/>
    <hyperlink r:id="rId5875" ref="B2939"/>
    <hyperlink r:id="rId5876" ref="D2939"/>
    <hyperlink r:id="rId5877" ref="B2940"/>
    <hyperlink r:id="rId5878" ref="D2940"/>
    <hyperlink r:id="rId5879" ref="B2941"/>
    <hyperlink r:id="rId5880" ref="D2941"/>
    <hyperlink r:id="rId5881" ref="B2942"/>
    <hyperlink r:id="rId5882" ref="D2942"/>
    <hyperlink r:id="rId5883" ref="B2943"/>
    <hyperlink r:id="rId5884" ref="D2943"/>
    <hyperlink r:id="rId5885" ref="B2944"/>
    <hyperlink r:id="rId5886" ref="D2944"/>
    <hyperlink r:id="rId5887" ref="B2945"/>
    <hyperlink r:id="rId5888" ref="D2945"/>
    <hyperlink r:id="rId5889" ref="B2946"/>
    <hyperlink r:id="rId5890" ref="D2946"/>
    <hyperlink r:id="rId5891" ref="B2947"/>
    <hyperlink r:id="rId5892" ref="D2947"/>
    <hyperlink r:id="rId5893" ref="B2948"/>
    <hyperlink r:id="rId5894" ref="D2948"/>
    <hyperlink r:id="rId5895" ref="B2949"/>
    <hyperlink r:id="rId5896" ref="D2949"/>
    <hyperlink r:id="rId5897" ref="B2950"/>
    <hyperlink r:id="rId5898" ref="D2950"/>
    <hyperlink r:id="rId5899" ref="B2951"/>
    <hyperlink r:id="rId5900" ref="D2951"/>
    <hyperlink r:id="rId5901" ref="B2952"/>
    <hyperlink r:id="rId5902" ref="D2952"/>
    <hyperlink r:id="rId5903" ref="B2953"/>
    <hyperlink r:id="rId5904" ref="D2953"/>
    <hyperlink r:id="rId5905" ref="B2954"/>
    <hyperlink r:id="rId5906" ref="D2954"/>
    <hyperlink r:id="rId5907" ref="B2955"/>
    <hyperlink r:id="rId5908" ref="D2955"/>
    <hyperlink r:id="rId5909" ref="B2956"/>
    <hyperlink r:id="rId5910" ref="D2956"/>
    <hyperlink r:id="rId5911" ref="B2957"/>
    <hyperlink r:id="rId5912" ref="D2957"/>
    <hyperlink r:id="rId5913" ref="B2958"/>
    <hyperlink r:id="rId5914" ref="D2958"/>
    <hyperlink r:id="rId5915" ref="B2959"/>
    <hyperlink r:id="rId5916" ref="D2959"/>
    <hyperlink r:id="rId5917" ref="B2960"/>
    <hyperlink r:id="rId5918" ref="D2960"/>
    <hyperlink r:id="rId5919" ref="B2961"/>
    <hyperlink r:id="rId5920" ref="D2961"/>
    <hyperlink r:id="rId5921" ref="B2962"/>
    <hyperlink r:id="rId5922" ref="D2962"/>
    <hyperlink r:id="rId5923" ref="B2963"/>
    <hyperlink r:id="rId5924" ref="D2963"/>
    <hyperlink r:id="rId5925" ref="B2964"/>
    <hyperlink r:id="rId5926" ref="D2964"/>
    <hyperlink r:id="rId5927" ref="B2965"/>
    <hyperlink r:id="rId5928" ref="D2965"/>
    <hyperlink r:id="rId5929" ref="B2966"/>
    <hyperlink r:id="rId5930" ref="D2966"/>
    <hyperlink r:id="rId5931" ref="B2967"/>
    <hyperlink r:id="rId5932" ref="D2967"/>
    <hyperlink r:id="rId5933" ref="B2968"/>
    <hyperlink r:id="rId5934" ref="D2968"/>
    <hyperlink r:id="rId5935" ref="B2969"/>
    <hyperlink r:id="rId5936" ref="D2969"/>
    <hyperlink r:id="rId5937" ref="B2970"/>
    <hyperlink r:id="rId5938" ref="D2970"/>
    <hyperlink r:id="rId5939" ref="B2971"/>
    <hyperlink r:id="rId5940" ref="D2971"/>
    <hyperlink r:id="rId5941" ref="B2972"/>
    <hyperlink r:id="rId5942" ref="D2972"/>
    <hyperlink r:id="rId5943" ref="B2973"/>
    <hyperlink r:id="rId5944" ref="D2973"/>
    <hyperlink r:id="rId5945" ref="B2974"/>
    <hyperlink r:id="rId5946" ref="D2974"/>
    <hyperlink r:id="rId5947" ref="B2975"/>
    <hyperlink r:id="rId5948" ref="D2975"/>
    <hyperlink r:id="rId5949" ref="B2976"/>
    <hyperlink r:id="rId5950" ref="D2976"/>
    <hyperlink r:id="rId5951" ref="B2977"/>
    <hyperlink r:id="rId5952" ref="D2977"/>
    <hyperlink r:id="rId5953" ref="B2978"/>
    <hyperlink r:id="rId5954" ref="D2978"/>
    <hyperlink r:id="rId5955" ref="B2979"/>
    <hyperlink r:id="rId5956" ref="D2979"/>
    <hyperlink r:id="rId5957" ref="B2980"/>
    <hyperlink r:id="rId5958" ref="D2980"/>
    <hyperlink r:id="rId5959" ref="B2981"/>
    <hyperlink r:id="rId5960" ref="D2981"/>
    <hyperlink r:id="rId5961" ref="B2982"/>
    <hyperlink r:id="rId5962" ref="D2982"/>
    <hyperlink r:id="rId5963" ref="B2983"/>
    <hyperlink r:id="rId5964" ref="D2983"/>
    <hyperlink r:id="rId5965" ref="B2984"/>
    <hyperlink r:id="rId5966" ref="D2984"/>
    <hyperlink r:id="rId5967" ref="B2985"/>
    <hyperlink r:id="rId5968" ref="D2985"/>
    <hyperlink r:id="rId5969" ref="B2986"/>
    <hyperlink r:id="rId5970" ref="D2986"/>
    <hyperlink r:id="rId5971" ref="B2987"/>
    <hyperlink r:id="rId5972" ref="D2987"/>
    <hyperlink r:id="rId5973" ref="B2988"/>
    <hyperlink r:id="rId5974" ref="D2988"/>
    <hyperlink r:id="rId5975" ref="B2989"/>
    <hyperlink r:id="rId5976" ref="D2989"/>
    <hyperlink r:id="rId5977" ref="B2990"/>
    <hyperlink r:id="rId5978" ref="D2990"/>
    <hyperlink r:id="rId5979" ref="B2991"/>
    <hyperlink r:id="rId5980" ref="D2991"/>
    <hyperlink r:id="rId5981" ref="B2992"/>
    <hyperlink r:id="rId5982" ref="D2992"/>
    <hyperlink r:id="rId5983" ref="B2993"/>
    <hyperlink r:id="rId5984" ref="D2993"/>
    <hyperlink r:id="rId5985" ref="B2994"/>
    <hyperlink r:id="rId5986" ref="D2994"/>
    <hyperlink r:id="rId5987" ref="B2995"/>
    <hyperlink r:id="rId5988" ref="D2995"/>
    <hyperlink r:id="rId5989" ref="B2996"/>
    <hyperlink r:id="rId5990" ref="D2996"/>
    <hyperlink r:id="rId5991" ref="B2997"/>
    <hyperlink r:id="rId5992" ref="D2997"/>
    <hyperlink r:id="rId5993" ref="B2998"/>
    <hyperlink r:id="rId5994" ref="D2998"/>
    <hyperlink r:id="rId5995" ref="B2999"/>
    <hyperlink r:id="rId5996" ref="D2999"/>
    <hyperlink r:id="rId5997" ref="B3000"/>
    <hyperlink r:id="rId5998" ref="D3000"/>
    <hyperlink r:id="rId5999" ref="B3001"/>
    <hyperlink r:id="rId6000" ref="D3001"/>
    <hyperlink r:id="rId6001" ref="B3002"/>
    <hyperlink r:id="rId6002" ref="D3002"/>
    <hyperlink r:id="rId6003" ref="B3003"/>
    <hyperlink r:id="rId6004" ref="D3003"/>
    <hyperlink r:id="rId6005" ref="B3004"/>
    <hyperlink r:id="rId6006" ref="D3004"/>
    <hyperlink r:id="rId6007" ref="B3005"/>
    <hyperlink r:id="rId6008" ref="D3005"/>
    <hyperlink r:id="rId6009" ref="B3006"/>
    <hyperlink r:id="rId6010" ref="D3006"/>
    <hyperlink r:id="rId6011" ref="B3007"/>
    <hyperlink r:id="rId6012" ref="D3007"/>
    <hyperlink r:id="rId6013" ref="B3008"/>
    <hyperlink r:id="rId6014" ref="D3008"/>
    <hyperlink r:id="rId6015" ref="B3009"/>
    <hyperlink r:id="rId6016" ref="D3009"/>
    <hyperlink r:id="rId6017" ref="B3010"/>
    <hyperlink r:id="rId6018" ref="D3010"/>
    <hyperlink r:id="rId6019" ref="B3011"/>
    <hyperlink r:id="rId6020" ref="D3011"/>
    <hyperlink r:id="rId6021" ref="B3012"/>
    <hyperlink r:id="rId6022" ref="D3012"/>
    <hyperlink r:id="rId6023" ref="B3013"/>
    <hyperlink r:id="rId6024" ref="D3013"/>
    <hyperlink r:id="rId6025" ref="B3014"/>
    <hyperlink r:id="rId6026" ref="D3014"/>
    <hyperlink r:id="rId6027" ref="B3015"/>
    <hyperlink r:id="rId6028" ref="D3015"/>
    <hyperlink r:id="rId6029" ref="B3016"/>
    <hyperlink r:id="rId6030" ref="D3016"/>
    <hyperlink r:id="rId6031" ref="B3017"/>
    <hyperlink r:id="rId6032" ref="D3017"/>
    <hyperlink r:id="rId6033" ref="B3018"/>
    <hyperlink r:id="rId6034" ref="D3018"/>
    <hyperlink r:id="rId6035" ref="B3019"/>
    <hyperlink r:id="rId6036" ref="D3019"/>
    <hyperlink r:id="rId6037" ref="B3020"/>
    <hyperlink r:id="rId6038" ref="D3020"/>
    <hyperlink r:id="rId6039" ref="B3021"/>
    <hyperlink r:id="rId6040" ref="D3021"/>
    <hyperlink r:id="rId6041" ref="B3022"/>
    <hyperlink r:id="rId6042" ref="D3022"/>
    <hyperlink r:id="rId6043" ref="B3023"/>
    <hyperlink r:id="rId6044" ref="D3023"/>
    <hyperlink r:id="rId6045" ref="B3024"/>
    <hyperlink r:id="rId6046" ref="D3024"/>
    <hyperlink r:id="rId6047" ref="B3025"/>
    <hyperlink r:id="rId6048" ref="D3025"/>
    <hyperlink r:id="rId6049" ref="B3026"/>
    <hyperlink r:id="rId6050" ref="D3026"/>
    <hyperlink r:id="rId6051" ref="B3027"/>
    <hyperlink r:id="rId6052" ref="D3027"/>
    <hyperlink r:id="rId6053" ref="B3028"/>
    <hyperlink r:id="rId6054" ref="D3028"/>
    <hyperlink r:id="rId6055" ref="B3029"/>
    <hyperlink r:id="rId6056" ref="D3029"/>
    <hyperlink r:id="rId6057" ref="B3030"/>
    <hyperlink r:id="rId6058" ref="D3030"/>
    <hyperlink r:id="rId6059" ref="B3031"/>
    <hyperlink r:id="rId6060" ref="D3031"/>
    <hyperlink r:id="rId6061" ref="B3032"/>
    <hyperlink r:id="rId6062" ref="D3032"/>
    <hyperlink r:id="rId6063" ref="B3033"/>
    <hyperlink r:id="rId6064" ref="D3033"/>
    <hyperlink r:id="rId6065" ref="B3034"/>
    <hyperlink r:id="rId6066" ref="D3034"/>
    <hyperlink r:id="rId6067" ref="B3035"/>
    <hyperlink r:id="rId6068" ref="D3035"/>
    <hyperlink r:id="rId6069" ref="B3036"/>
    <hyperlink r:id="rId6070" ref="D3036"/>
    <hyperlink r:id="rId6071" ref="B3037"/>
    <hyperlink r:id="rId6072" ref="D3037"/>
    <hyperlink r:id="rId6073" ref="B3038"/>
    <hyperlink r:id="rId6074" ref="D3038"/>
    <hyperlink r:id="rId6075" ref="B3039"/>
    <hyperlink r:id="rId6076" ref="D3039"/>
    <hyperlink r:id="rId6077" ref="B3040"/>
    <hyperlink r:id="rId6078" ref="D3040"/>
    <hyperlink r:id="rId6079" ref="B3041"/>
    <hyperlink r:id="rId6080" ref="D3041"/>
    <hyperlink r:id="rId6081" ref="B3042"/>
    <hyperlink r:id="rId6082" ref="D3042"/>
    <hyperlink r:id="rId6083" ref="B3043"/>
    <hyperlink r:id="rId6084" ref="D3043"/>
    <hyperlink r:id="rId6085" ref="B3044"/>
    <hyperlink r:id="rId6086" ref="D3044"/>
    <hyperlink r:id="rId6087" ref="B3045"/>
    <hyperlink r:id="rId6088" ref="D3045"/>
    <hyperlink r:id="rId6089" ref="B3046"/>
    <hyperlink r:id="rId6090" ref="D3046"/>
    <hyperlink r:id="rId6091" ref="B3047"/>
    <hyperlink r:id="rId6092" ref="D3047"/>
    <hyperlink r:id="rId6093" ref="B3048"/>
    <hyperlink r:id="rId6094" ref="D3048"/>
    <hyperlink r:id="rId6095" ref="B3049"/>
    <hyperlink r:id="rId6096" ref="D3049"/>
    <hyperlink r:id="rId6097" ref="B3050"/>
    <hyperlink r:id="rId6098" ref="D3050"/>
    <hyperlink r:id="rId6099" ref="B3051"/>
    <hyperlink r:id="rId6100" ref="D3051"/>
    <hyperlink r:id="rId6101" ref="B3052"/>
    <hyperlink r:id="rId6102" ref="D3052"/>
    <hyperlink r:id="rId6103" ref="B3053"/>
    <hyperlink r:id="rId6104" ref="D3053"/>
    <hyperlink r:id="rId6105" ref="B3054"/>
    <hyperlink r:id="rId6106" ref="D3054"/>
    <hyperlink r:id="rId6107" ref="B3055"/>
    <hyperlink r:id="rId6108" ref="D3055"/>
    <hyperlink r:id="rId6109" ref="B3056"/>
    <hyperlink r:id="rId6110" ref="D3056"/>
    <hyperlink r:id="rId6111" ref="B3057"/>
    <hyperlink r:id="rId6112" ref="D3057"/>
    <hyperlink r:id="rId6113" ref="B3058"/>
    <hyperlink r:id="rId6114" ref="D3058"/>
    <hyperlink r:id="rId6115" ref="B3059"/>
    <hyperlink r:id="rId6116" ref="D3059"/>
    <hyperlink r:id="rId6117" ref="B3060"/>
    <hyperlink r:id="rId6118" ref="D3060"/>
    <hyperlink r:id="rId6119" ref="B3061"/>
    <hyperlink r:id="rId6120" ref="D3061"/>
    <hyperlink r:id="rId6121" ref="B3062"/>
    <hyperlink r:id="rId6122" ref="D3062"/>
    <hyperlink r:id="rId6123" ref="B3063"/>
    <hyperlink r:id="rId6124" ref="D3063"/>
    <hyperlink r:id="rId6125" ref="B3064"/>
    <hyperlink r:id="rId6126" ref="D3064"/>
    <hyperlink r:id="rId6127" ref="B3065"/>
    <hyperlink r:id="rId6128" ref="D3065"/>
    <hyperlink r:id="rId6129" ref="B3066"/>
    <hyperlink r:id="rId6130" ref="D3066"/>
    <hyperlink r:id="rId6131" ref="B3067"/>
    <hyperlink r:id="rId6132" ref="D3067"/>
    <hyperlink r:id="rId6133" ref="B3068"/>
    <hyperlink r:id="rId6134" ref="D3068"/>
    <hyperlink r:id="rId6135" ref="B3069"/>
    <hyperlink r:id="rId6136" ref="D3069"/>
    <hyperlink r:id="rId6137" ref="B3070"/>
    <hyperlink r:id="rId6138" ref="D3070"/>
    <hyperlink r:id="rId6139" ref="B3071"/>
    <hyperlink r:id="rId6140" ref="D3071"/>
    <hyperlink r:id="rId6141" ref="B3072"/>
    <hyperlink r:id="rId6142" ref="D3072"/>
    <hyperlink r:id="rId6143" ref="B3073"/>
    <hyperlink r:id="rId6144" ref="D3073"/>
    <hyperlink r:id="rId6145" ref="B3074"/>
    <hyperlink r:id="rId6146" ref="D3074"/>
    <hyperlink r:id="rId6147" ref="B3075"/>
    <hyperlink r:id="rId6148" ref="D3075"/>
    <hyperlink r:id="rId6149" ref="B3076"/>
    <hyperlink r:id="rId6150" ref="D3076"/>
    <hyperlink r:id="rId6151" ref="B3077"/>
    <hyperlink r:id="rId6152" ref="D3077"/>
    <hyperlink r:id="rId6153" ref="B3078"/>
    <hyperlink r:id="rId6154" ref="D3078"/>
    <hyperlink r:id="rId6155" ref="B3079"/>
    <hyperlink r:id="rId6156" ref="D3079"/>
    <hyperlink r:id="rId6157" ref="B3080"/>
    <hyperlink r:id="rId6158" ref="D3080"/>
    <hyperlink r:id="rId6159" ref="B3081"/>
    <hyperlink r:id="rId6160" ref="D3081"/>
    <hyperlink r:id="rId6161" ref="B3082"/>
    <hyperlink r:id="rId6162" ref="D3082"/>
    <hyperlink r:id="rId6163" ref="B3083"/>
    <hyperlink r:id="rId6164" ref="D3083"/>
    <hyperlink r:id="rId6165" ref="B3084"/>
    <hyperlink r:id="rId6166" ref="D3084"/>
    <hyperlink r:id="rId6167" ref="B3085"/>
    <hyperlink r:id="rId6168" ref="D3085"/>
    <hyperlink r:id="rId6169" ref="B3086"/>
    <hyperlink r:id="rId6170" ref="D3086"/>
    <hyperlink r:id="rId6171" ref="B3087"/>
    <hyperlink r:id="rId6172" ref="D3087"/>
    <hyperlink r:id="rId6173" ref="B3088"/>
    <hyperlink r:id="rId6174" ref="D3088"/>
    <hyperlink r:id="rId6175" ref="B3089"/>
    <hyperlink r:id="rId6176" ref="D3089"/>
    <hyperlink r:id="rId6177" ref="B3090"/>
    <hyperlink r:id="rId6178" ref="D3090"/>
    <hyperlink r:id="rId6179" ref="B3091"/>
    <hyperlink r:id="rId6180" ref="D3091"/>
    <hyperlink r:id="rId6181" ref="B3092"/>
    <hyperlink r:id="rId6182" ref="D3092"/>
    <hyperlink r:id="rId6183" ref="B3093"/>
    <hyperlink r:id="rId6184" ref="D3093"/>
    <hyperlink r:id="rId6185" ref="B3094"/>
    <hyperlink r:id="rId6186" ref="D3094"/>
    <hyperlink r:id="rId6187" ref="B3095"/>
    <hyperlink r:id="rId6188" ref="D3095"/>
    <hyperlink r:id="rId6189" ref="B3096"/>
    <hyperlink r:id="rId6190" ref="D3096"/>
    <hyperlink r:id="rId6191" ref="B3097"/>
    <hyperlink r:id="rId6192" ref="D3097"/>
    <hyperlink r:id="rId6193" ref="B3098"/>
    <hyperlink r:id="rId6194" ref="D3098"/>
    <hyperlink r:id="rId6195" ref="B3099"/>
    <hyperlink r:id="rId6196" ref="D3099"/>
    <hyperlink r:id="rId6197" ref="B3100"/>
    <hyperlink r:id="rId6198" ref="D3100"/>
    <hyperlink r:id="rId6199" ref="B3101"/>
    <hyperlink r:id="rId6200" ref="D3101"/>
    <hyperlink r:id="rId6201" ref="B3102"/>
    <hyperlink r:id="rId6202" ref="D3102"/>
    <hyperlink r:id="rId6203" ref="B3103"/>
    <hyperlink r:id="rId6204" ref="D3103"/>
    <hyperlink r:id="rId6205" ref="B3104"/>
    <hyperlink r:id="rId6206" ref="D3104"/>
    <hyperlink r:id="rId6207" ref="B3105"/>
    <hyperlink r:id="rId6208" ref="D3105"/>
    <hyperlink r:id="rId6209" ref="B3106"/>
    <hyperlink r:id="rId6210" ref="D3106"/>
    <hyperlink r:id="rId6211" ref="B3107"/>
    <hyperlink r:id="rId6212" ref="D3107"/>
    <hyperlink r:id="rId6213" ref="B3108"/>
    <hyperlink r:id="rId6214" ref="D3108"/>
    <hyperlink r:id="rId6215" ref="B3109"/>
    <hyperlink r:id="rId6216" ref="D3109"/>
    <hyperlink r:id="rId6217" ref="B3110"/>
    <hyperlink r:id="rId6218" ref="D3110"/>
    <hyperlink r:id="rId6219" ref="B3111"/>
    <hyperlink r:id="rId6220" ref="D3111"/>
    <hyperlink r:id="rId6221" ref="B3112"/>
    <hyperlink r:id="rId6222" ref="D3112"/>
    <hyperlink r:id="rId6223" ref="B3113"/>
    <hyperlink r:id="rId6224" ref="D3113"/>
    <hyperlink r:id="rId6225" ref="B3114"/>
    <hyperlink r:id="rId6226" ref="D3114"/>
    <hyperlink r:id="rId6227" ref="B3115"/>
    <hyperlink r:id="rId6228" ref="D3115"/>
    <hyperlink r:id="rId6229" ref="B3116"/>
    <hyperlink r:id="rId6230" ref="D3116"/>
    <hyperlink r:id="rId6231" ref="B3117"/>
    <hyperlink r:id="rId6232" ref="D3117"/>
    <hyperlink r:id="rId6233" ref="B3118"/>
    <hyperlink r:id="rId6234" ref="D3118"/>
    <hyperlink r:id="rId6235" ref="B3119"/>
    <hyperlink r:id="rId6236" ref="D3119"/>
    <hyperlink r:id="rId6237" ref="B3120"/>
    <hyperlink r:id="rId6238" ref="D3120"/>
    <hyperlink r:id="rId6239" ref="B3121"/>
    <hyperlink r:id="rId6240" ref="D3121"/>
    <hyperlink r:id="rId6241" ref="B3122"/>
    <hyperlink r:id="rId6242" ref="D3122"/>
    <hyperlink r:id="rId6243" ref="B3123"/>
    <hyperlink r:id="rId6244" ref="D3123"/>
    <hyperlink r:id="rId6245" ref="B3124"/>
    <hyperlink r:id="rId6246" ref="D3124"/>
    <hyperlink r:id="rId6247" ref="B3125"/>
    <hyperlink r:id="rId6248" ref="D3125"/>
    <hyperlink r:id="rId6249" ref="B3126"/>
    <hyperlink r:id="rId6250" ref="D3126"/>
    <hyperlink r:id="rId6251" ref="B3127"/>
    <hyperlink r:id="rId6252" ref="D3127"/>
    <hyperlink r:id="rId6253" ref="B3128"/>
    <hyperlink r:id="rId6254" ref="D3128"/>
    <hyperlink r:id="rId6255" ref="B3129"/>
    <hyperlink r:id="rId6256" ref="D3129"/>
    <hyperlink r:id="rId6257" ref="B3130"/>
    <hyperlink r:id="rId6258" ref="D3130"/>
    <hyperlink r:id="rId6259" ref="B3131"/>
    <hyperlink r:id="rId6260" ref="D3131"/>
    <hyperlink r:id="rId6261" ref="B3132"/>
    <hyperlink r:id="rId6262" ref="D3132"/>
    <hyperlink r:id="rId6263" ref="B3133"/>
    <hyperlink r:id="rId6264" ref="D3133"/>
    <hyperlink r:id="rId6265" ref="B3134"/>
    <hyperlink r:id="rId6266" ref="D3134"/>
    <hyperlink r:id="rId6267" ref="B3135"/>
    <hyperlink r:id="rId6268" ref="D3135"/>
    <hyperlink r:id="rId6269" ref="B3136"/>
    <hyperlink r:id="rId6270" ref="D3136"/>
    <hyperlink r:id="rId6271" ref="B3137"/>
    <hyperlink r:id="rId6272" ref="D3137"/>
    <hyperlink r:id="rId6273" ref="B3138"/>
    <hyperlink r:id="rId6274" ref="D3138"/>
    <hyperlink r:id="rId6275" ref="B3139"/>
    <hyperlink r:id="rId6276" ref="D3139"/>
    <hyperlink r:id="rId6277" ref="B3140"/>
    <hyperlink r:id="rId6278" ref="D3140"/>
    <hyperlink r:id="rId6279" ref="B3141"/>
    <hyperlink r:id="rId6280" ref="D3141"/>
    <hyperlink r:id="rId6281" ref="B3142"/>
    <hyperlink r:id="rId6282" ref="D3142"/>
    <hyperlink r:id="rId6283" ref="B3143"/>
    <hyperlink r:id="rId6284" ref="D3143"/>
    <hyperlink r:id="rId6285" ref="B3144"/>
    <hyperlink r:id="rId6286" ref="D3144"/>
    <hyperlink r:id="rId6287" ref="B3145"/>
    <hyperlink r:id="rId6288" ref="D3145"/>
    <hyperlink r:id="rId6289" ref="B3146"/>
    <hyperlink r:id="rId6290" ref="D3146"/>
    <hyperlink r:id="rId6291" ref="B3147"/>
    <hyperlink r:id="rId6292" ref="D3147"/>
    <hyperlink r:id="rId6293" ref="B3148"/>
    <hyperlink r:id="rId6294" ref="D3148"/>
    <hyperlink r:id="rId6295" ref="B3149"/>
    <hyperlink r:id="rId6296" ref="D3149"/>
    <hyperlink r:id="rId6297" ref="B3150"/>
    <hyperlink r:id="rId6298" ref="D3150"/>
    <hyperlink r:id="rId6299" ref="B3151"/>
    <hyperlink r:id="rId6300" ref="D3151"/>
    <hyperlink r:id="rId6301" ref="B3152"/>
    <hyperlink r:id="rId6302" ref="D3152"/>
    <hyperlink r:id="rId6303" ref="B3153"/>
    <hyperlink r:id="rId6304" ref="D3153"/>
    <hyperlink r:id="rId6305" ref="B3154"/>
    <hyperlink r:id="rId6306" ref="D3154"/>
    <hyperlink r:id="rId6307" ref="B3155"/>
    <hyperlink r:id="rId6308" ref="D3155"/>
    <hyperlink r:id="rId6309" ref="B3156"/>
    <hyperlink r:id="rId6310" ref="D3156"/>
    <hyperlink r:id="rId6311" ref="B3157"/>
    <hyperlink r:id="rId6312" ref="D3157"/>
    <hyperlink r:id="rId6313" ref="B3158"/>
    <hyperlink r:id="rId6314" ref="D3158"/>
    <hyperlink r:id="rId6315" ref="B3159"/>
    <hyperlink r:id="rId6316" ref="D3159"/>
    <hyperlink r:id="rId6317" ref="B3160"/>
    <hyperlink r:id="rId6318" ref="D3160"/>
    <hyperlink r:id="rId6319" ref="B3161"/>
    <hyperlink r:id="rId6320" ref="D3161"/>
    <hyperlink r:id="rId6321" ref="B3162"/>
    <hyperlink r:id="rId6322" ref="D3162"/>
    <hyperlink r:id="rId6323" ref="B3163"/>
    <hyperlink r:id="rId6324" ref="D3163"/>
    <hyperlink r:id="rId6325" ref="B3164"/>
    <hyperlink r:id="rId6326" ref="D3164"/>
    <hyperlink r:id="rId6327" ref="B3165"/>
    <hyperlink r:id="rId6328" ref="D3165"/>
    <hyperlink r:id="rId6329" ref="B3166"/>
    <hyperlink r:id="rId6330" ref="D3166"/>
    <hyperlink r:id="rId6331" ref="B3167"/>
    <hyperlink r:id="rId6332" ref="D3167"/>
    <hyperlink r:id="rId6333" ref="B3168"/>
    <hyperlink r:id="rId6334" ref="D3168"/>
    <hyperlink r:id="rId6335" ref="B3169"/>
    <hyperlink r:id="rId6336" ref="D3169"/>
    <hyperlink r:id="rId6337" ref="B3170"/>
    <hyperlink r:id="rId6338" ref="D3170"/>
    <hyperlink r:id="rId6339" ref="B3171"/>
    <hyperlink r:id="rId6340" ref="D3171"/>
    <hyperlink r:id="rId6341" ref="B3172"/>
    <hyperlink r:id="rId6342" ref="D3172"/>
    <hyperlink r:id="rId6343" ref="B3173"/>
    <hyperlink r:id="rId6344" ref="D3173"/>
    <hyperlink r:id="rId6345" ref="B3174"/>
    <hyperlink r:id="rId6346" ref="D3174"/>
    <hyperlink r:id="rId6347" ref="B3175"/>
    <hyperlink r:id="rId6348" ref="D3175"/>
    <hyperlink r:id="rId6349" ref="B3176"/>
    <hyperlink r:id="rId6350" ref="D3176"/>
    <hyperlink r:id="rId6351" ref="B3177"/>
    <hyperlink r:id="rId6352" ref="D3177"/>
    <hyperlink r:id="rId6353" ref="B3178"/>
    <hyperlink r:id="rId6354" ref="D3178"/>
    <hyperlink r:id="rId6355" ref="B3179"/>
    <hyperlink r:id="rId6356" ref="D3179"/>
    <hyperlink r:id="rId6357" ref="B3180"/>
    <hyperlink r:id="rId6358" ref="D3180"/>
    <hyperlink r:id="rId6359" ref="B3181"/>
    <hyperlink r:id="rId6360" ref="D3181"/>
    <hyperlink r:id="rId6361" ref="B3182"/>
    <hyperlink r:id="rId6362" ref="D3182"/>
    <hyperlink r:id="rId6363" ref="B3183"/>
    <hyperlink r:id="rId6364" ref="D3183"/>
    <hyperlink r:id="rId6365" ref="B3184"/>
    <hyperlink r:id="rId6366" ref="D3184"/>
    <hyperlink r:id="rId6367" ref="B3185"/>
    <hyperlink r:id="rId6368" ref="D3185"/>
    <hyperlink r:id="rId6369" ref="B3186"/>
    <hyperlink r:id="rId6370" ref="D3186"/>
    <hyperlink r:id="rId6371" ref="B3187"/>
    <hyperlink r:id="rId6372" ref="D3187"/>
    <hyperlink r:id="rId6373" ref="B3188"/>
    <hyperlink r:id="rId6374" ref="D3188"/>
    <hyperlink r:id="rId6375" ref="B3189"/>
    <hyperlink r:id="rId6376" ref="D3189"/>
    <hyperlink r:id="rId6377" ref="B3190"/>
    <hyperlink r:id="rId6378" ref="D3190"/>
    <hyperlink r:id="rId6379" ref="B3191"/>
    <hyperlink r:id="rId6380" ref="D3191"/>
    <hyperlink r:id="rId6381" ref="B3192"/>
    <hyperlink r:id="rId6382" ref="D3192"/>
    <hyperlink r:id="rId6383" ref="B3193"/>
    <hyperlink r:id="rId6384" ref="D3193"/>
    <hyperlink r:id="rId6385" ref="B3194"/>
    <hyperlink r:id="rId6386" ref="D3194"/>
    <hyperlink r:id="rId6387" ref="B3195"/>
    <hyperlink r:id="rId6388" ref="D3195"/>
    <hyperlink r:id="rId6389" ref="B3196"/>
    <hyperlink r:id="rId6390" ref="D3196"/>
    <hyperlink r:id="rId6391" ref="B3197"/>
    <hyperlink r:id="rId6392" ref="D3197"/>
    <hyperlink r:id="rId6393" ref="B3198"/>
    <hyperlink r:id="rId6394" ref="D3198"/>
    <hyperlink r:id="rId6395" ref="B3199"/>
    <hyperlink r:id="rId6396" ref="D3199"/>
    <hyperlink r:id="rId6397" ref="B3200"/>
    <hyperlink r:id="rId6398" ref="D3200"/>
    <hyperlink r:id="rId6399" ref="B3201"/>
    <hyperlink r:id="rId6400" ref="D3201"/>
    <hyperlink r:id="rId6401" ref="B3202"/>
    <hyperlink r:id="rId6402" ref="D3202"/>
    <hyperlink r:id="rId6403" ref="B3203"/>
    <hyperlink r:id="rId6404" ref="D3203"/>
    <hyperlink r:id="rId6405" ref="B3204"/>
    <hyperlink r:id="rId6406" ref="D3204"/>
    <hyperlink r:id="rId6407" ref="B3205"/>
    <hyperlink r:id="rId6408" ref="D3205"/>
    <hyperlink r:id="rId6409" ref="B3206"/>
    <hyperlink r:id="rId6410" ref="D3206"/>
    <hyperlink r:id="rId6411" ref="B3207"/>
    <hyperlink r:id="rId6412" ref="D3207"/>
    <hyperlink r:id="rId6413" ref="B3208"/>
    <hyperlink r:id="rId6414" ref="D3208"/>
    <hyperlink r:id="rId6415" ref="B3209"/>
    <hyperlink r:id="rId6416" ref="D3209"/>
    <hyperlink r:id="rId6417" ref="B3210"/>
    <hyperlink r:id="rId6418" ref="D3210"/>
    <hyperlink r:id="rId6419" ref="B3211"/>
    <hyperlink r:id="rId6420" ref="D3211"/>
    <hyperlink r:id="rId6421" ref="B3212"/>
    <hyperlink r:id="rId6422" ref="D3212"/>
    <hyperlink r:id="rId6423" ref="B3213"/>
    <hyperlink r:id="rId6424" ref="D3213"/>
    <hyperlink r:id="rId6425" ref="B3214"/>
    <hyperlink r:id="rId6426" ref="D3214"/>
    <hyperlink r:id="rId6427" ref="B3215"/>
    <hyperlink r:id="rId6428" ref="D3215"/>
    <hyperlink r:id="rId6429" ref="B3216"/>
    <hyperlink r:id="rId6430" ref="D3216"/>
    <hyperlink r:id="rId6431" ref="B3217"/>
    <hyperlink r:id="rId6432" ref="D3217"/>
    <hyperlink r:id="rId6433" ref="B3218"/>
    <hyperlink r:id="rId6434" ref="D3218"/>
    <hyperlink r:id="rId6435" ref="B3219"/>
    <hyperlink r:id="rId6436" ref="D3219"/>
    <hyperlink r:id="rId6437" ref="B3220"/>
    <hyperlink r:id="rId6438" ref="D3220"/>
    <hyperlink r:id="rId6439" ref="B3221"/>
    <hyperlink r:id="rId6440" ref="D3221"/>
    <hyperlink r:id="rId6441" ref="B3222"/>
    <hyperlink r:id="rId6442" ref="D3222"/>
    <hyperlink r:id="rId6443" ref="B3223"/>
    <hyperlink r:id="rId6444" ref="D3223"/>
    <hyperlink r:id="rId6445" ref="B3224"/>
    <hyperlink r:id="rId6446" ref="D3224"/>
    <hyperlink r:id="rId6447" ref="B3225"/>
    <hyperlink r:id="rId6448" ref="D3225"/>
    <hyperlink r:id="rId6449" ref="B3226"/>
    <hyperlink r:id="rId6450" ref="D3226"/>
    <hyperlink r:id="rId6451" ref="B3227"/>
    <hyperlink r:id="rId6452" ref="D3227"/>
    <hyperlink r:id="rId6453" ref="B3228"/>
    <hyperlink r:id="rId6454" ref="D3228"/>
    <hyperlink r:id="rId6455" ref="B3229"/>
    <hyperlink r:id="rId6456" ref="D3229"/>
    <hyperlink r:id="rId6457" ref="B3230"/>
    <hyperlink r:id="rId6458" ref="D3230"/>
    <hyperlink r:id="rId6459" ref="B3231"/>
    <hyperlink r:id="rId6460" ref="D3231"/>
    <hyperlink r:id="rId6461" ref="B3232"/>
    <hyperlink r:id="rId6462" ref="D3232"/>
    <hyperlink r:id="rId6463" ref="B3233"/>
    <hyperlink r:id="rId6464" ref="D3233"/>
    <hyperlink r:id="rId6465" ref="B3234"/>
    <hyperlink r:id="rId6466" ref="D3234"/>
    <hyperlink r:id="rId6467" ref="B3235"/>
    <hyperlink r:id="rId6468" ref="D3235"/>
    <hyperlink r:id="rId6469" ref="B3236"/>
    <hyperlink r:id="rId6470" ref="D3236"/>
    <hyperlink r:id="rId6471" ref="B3237"/>
    <hyperlink r:id="rId6472" ref="D3237"/>
    <hyperlink r:id="rId6473" ref="B3238"/>
    <hyperlink r:id="rId6474" ref="D3238"/>
    <hyperlink r:id="rId6475" ref="B3239"/>
    <hyperlink r:id="rId6476" ref="D3239"/>
    <hyperlink r:id="rId6477" ref="B3240"/>
    <hyperlink r:id="rId6478" ref="D3240"/>
    <hyperlink r:id="rId6479" ref="B3241"/>
    <hyperlink r:id="rId6480" ref="D3241"/>
    <hyperlink r:id="rId6481" ref="B3242"/>
    <hyperlink r:id="rId6482" ref="D3242"/>
    <hyperlink r:id="rId6483" ref="B3243"/>
    <hyperlink r:id="rId6484" ref="D3243"/>
    <hyperlink r:id="rId6485" ref="B3244"/>
    <hyperlink r:id="rId6486" ref="D3244"/>
    <hyperlink r:id="rId6487" ref="B3245"/>
    <hyperlink r:id="rId6488" ref="D3245"/>
    <hyperlink r:id="rId6489" ref="B3246"/>
    <hyperlink r:id="rId6490" ref="D3246"/>
    <hyperlink r:id="rId6491" ref="B3247"/>
    <hyperlink r:id="rId6492" ref="D3247"/>
    <hyperlink r:id="rId6493" ref="B3248"/>
    <hyperlink r:id="rId6494" ref="D3248"/>
    <hyperlink r:id="rId6495" ref="B3249"/>
    <hyperlink r:id="rId6496" ref="D3249"/>
    <hyperlink r:id="rId6497" ref="B3250"/>
    <hyperlink r:id="rId6498" ref="D3250"/>
    <hyperlink r:id="rId6499" ref="B3251"/>
    <hyperlink r:id="rId6500" ref="D3251"/>
    <hyperlink r:id="rId6501" ref="B3252"/>
    <hyperlink r:id="rId6502" ref="D3252"/>
    <hyperlink r:id="rId6503" ref="B3253"/>
    <hyperlink r:id="rId6504" ref="D3253"/>
    <hyperlink r:id="rId6505" ref="B3254"/>
    <hyperlink r:id="rId6506" ref="D3254"/>
    <hyperlink r:id="rId6507" ref="B3255"/>
    <hyperlink r:id="rId6508" ref="D3255"/>
    <hyperlink r:id="rId6509" ref="B3256"/>
    <hyperlink r:id="rId6510" ref="D3256"/>
    <hyperlink r:id="rId6511" ref="B3257"/>
    <hyperlink r:id="rId6512" ref="D3257"/>
    <hyperlink r:id="rId6513" ref="B3258"/>
    <hyperlink r:id="rId6514" ref="D3258"/>
    <hyperlink r:id="rId6515" ref="B3259"/>
    <hyperlink r:id="rId6516" ref="D3259"/>
    <hyperlink r:id="rId6517" ref="B3260"/>
    <hyperlink r:id="rId6518" ref="D3260"/>
    <hyperlink r:id="rId6519" ref="B3261"/>
    <hyperlink r:id="rId6520" ref="D3261"/>
    <hyperlink r:id="rId6521" ref="B3262"/>
    <hyperlink r:id="rId6522" ref="D3262"/>
    <hyperlink r:id="rId6523" ref="B3263"/>
    <hyperlink r:id="rId6524" ref="D3263"/>
    <hyperlink r:id="rId6525" ref="B3264"/>
    <hyperlink r:id="rId6526" ref="D3264"/>
    <hyperlink r:id="rId6527" ref="B3265"/>
    <hyperlink r:id="rId6528" ref="D3265"/>
    <hyperlink r:id="rId6529" ref="B3266"/>
    <hyperlink r:id="rId6530" ref="D3266"/>
    <hyperlink r:id="rId6531" ref="B3267"/>
    <hyperlink r:id="rId6532" ref="D3267"/>
    <hyperlink r:id="rId6533" ref="B3268"/>
    <hyperlink r:id="rId6534" ref="D3268"/>
    <hyperlink r:id="rId6535" ref="B3269"/>
    <hyperlink r:id="rId6536" ref="D3269"/>
    <hyperlink r:id="rId6537" ref="B3270"/>
    <hyperlink r:id="rId6538" ref="D3270"/>
    <hyperlink r:id="rId6539" ref="B3271"/>
    <hyperlink r:id="rId6540" ref="D3271"/>
    <hyperlink r:id="rId6541" ref="B3272"/>
    <hyperlink r:id="rId6542" ref="D3272"/>
    <hyperlink r:id="rId6543" ref="B3273"/>
    <hyperlink r:id="rId6544" ref="D3273"/>
    <hyperlink r:id="rId6545" ref="B3274"/>
    <hyperlink r:id="rId6546" ref="D3274"/>
    <hyperlink r:id="rId6547" ref="B3275"/>
    <hyperlink r:id="rId6548" ref="D3275"/>
    <hyperlink r:id="rId6549" ref="B3276"/>
    <hyperlink r:id="rId6550" ref="D3276"/>
    <hyperlink r:id="rId6551" ref="B3277"/>
    <hyperlink r:id="rId6552" ref="D3277"/>
    <hyperlink r:id="rId6553" ref="B3278"/>
    <hyperlink r:id="rId6554" ref="D3278"/>
    <hyperlink r:id="rId6555" ref="B3279"/>
    <hyperlink r:id="rId6556" ref="D3279"/>
    <hyperlink r:id="rId6557" ref="B3280"/>
    <hyperlink r:id="rId6558" ref="D3280"/>
    <hyperlink r:id="rId6559" ref="B3281"/>
    <hyperlink r:id="rId6560" ref="D3281"/>
    <hyperlink r:id="rId6561" ref="B3282"/>
    <hyperlink r:id="rId6562" ref="D3282"/>
    <hyperlink r:id="rId6563" ref="B3283"/>
    <hyperlink r:id="rId6564" ref="D3283"/>
    <hyperlink r:id="rId6565" ref="B3284"/>
    <hyperlink r:id="rId6566" ref="D3284"/>
    <hyperlink r:id="rId6567" ref="B3285"/>
    <hyperlink r:id="rId6568" ref="D3285"/>
    <hyperlink r:id="rId6569" ref="B3286"/>
    <hyperlink r:id="rId6570" ref="D3286"/>
    <hyperlink r:id="rId6571" ref="B3287"/>
    <hyperlink r:id="rId6572" ref="D3287"/>
    <hyperlink r:id="rId6573" ref="B3288"/>
    <hyperlink r:id="rId6574" ref="D3288"/>
    <hyperlink r:id="rId6575" ref="B3289"/>
    <hyperlink r:id="rId6576" ref="D3289"/>
    <hyperlink r:id="rId6577" ref="B3290"/>
    <hyperlink r:id="rId6578" ref="D3290"/>
    <hyperlink r:id="rId6579" ref="B3291"/>
    <hyperlink r:id="rId6580" ref="D3291"/>
    <hyperlink r:id="rId6581" ref="B3292"/>
    <hyperlink r:id="rId6582" ref="D3292"/>
    <hyperlink r:id="rId6583" ref="B3293"/>
    <hyperlink r:id="rId6584" ref="D3293"/>
    <hyperlink r:id="rId6585" ref="B3294"/>
    <hyperlink r:id="rId6586" ref="D3294"/>
    <hyperlink r:id="rId6587" ref="B3295"/>
    <hyperlink r:id="rId6588" ref="D3295"/>
    <hyperlink r:id="rId6589" ref="B3296"/>
    <hyperlink r:id="rId6590" ref="D3296"/>
    <hyperlink r:id="rId6591" ref="B3297"/>
    <hyperlink r:id="rId6592" ref="D3297"/>
    <hyperlink r:id="rId6593" ref="B3298"/>
    <hyperlink r:id="rId6594" ref="D3298"/>
    <hyperlink r:id="rId6595" ref="B3299"/>
    <hyperlink r:id="rId6596" ref="D3299"/>
    <hyperlink r:id="rId6597" ref="B3300"/>
    <hyperlink r:id="rId6598" ref="D3300"/>
    <hyperlink r:id="rId6599" ref="B3301"/>
    <hyperlink r:id="rId6600" ref="D3301"/>
    <hyperlink r:id="rId6601" ref="B3302"/>
    <hyperlink r:id="rId6602" ref="D3302"/>
    <hyperlink r:id="rId6603" ref="B3303"/>
    <hyperlink r:id="rId6604" ref="D3303"/>
    <hyperlink r:id="rId6605" ref="B3304"/>
    <hyperlink r:id="rId6606" ref="D3304"/>
    <hyperlink r:id="rId6607" ref="B3305"/>
    <hyperlink r:id="rId6608" ref="D3305"/>
    <hyperlink r:id="rId6609" ref="B3306"/>
    <hyperlink r:id="rId6610" ref="D3306"/>
    <hyperlink r:id="rId6611" ref="B3307"/>
    <hyperlink r:id="rId6612" ref="D3307"/>
    <hyperlink r:id="rId6613" ref="B3308"/>
    <hyperlink r:id="rId6614" ref="D3308"/>
    <hyperlink r:id="rId6615" ref="B3309"/>
    <hyperlink r:id="rId6616" ref="D3309"/>
    <hyperlink r:id="rId6617" ref="B3310"/>
    <hyperlink r:id="rId6618" ref="D3310"/>
    <hyperlink r:id="rId6619" ref="B3311"/>
    <hyperlink r:id="rId6620" ref="D3311"/>
    <hyperlink r:id="rId6621" ref="B3312"/>
    <hyperlink r:id="rId6622" ref="D3312"/>
    <hyperlink r:id="rId6623" ref="B3313"/>
    <hyperlink r:id="rId6624" ref="D3313"/>
    <hyperlink r:id="rId6625" ref="B3314"/>
    <hyperlink r:id="rId6626" ref="D3314"/>
    <hyperlink r:id="rId6627" ref="B3315"/>
    <hyperlink r:id="rId6628" ref="D3315"/>
    <hyperlink r:id="rId6629" ref="B3316"/>
    <hyperlink r:id="rId6630" ref="D3316"/>
    <hyperlink r:id="rId6631" ref="B3317"/>
    <hyperlink r:id="rId6632" ref="D3317"/>
    <hyperlink r:id="rId6633" ref="B3318"/>
    <hyperlink r:id="rId6634" ref="D3318"/>
    <hyperlink r:id="rId6635" ref="B3319"/>
    <hyperlink r:id="rId6636" ref="D3319"/>
    <hyperlink r:id="rId6637" ref="B3320"/>
    <hyperlink r:id="rId6638" ref="D3320"/>
    <hyperlink r:id="rId6639" ref="B3321"/>
    <hyperlink r:id="rId6640" ref="D3321"/>
    <hyperlink r:id="rId6641" ref="B3322"/>
    <hyperlink r:id="rId6642" ref="D3322"/>
    <hyperlink r:id="rId6643" ref="B3323"/>
    <hyperlink r:id="rId6644" ref="D3323"/>
    <hyperlink r:id="rId6645" ref="B3324"/>
    <hyperlink r:id="rId6646" ref="D3324"/>
    <hyperlink r:id="rId6647" ref="B3325"/>
    <hyperlink r:id="rId6648" ref="D3325"/>
    <hyperlink r:id="rId6649" ref="B3326"/>
    <hyperlink r:id="rId6650" ref="D3326"/>
    <hyperlink r:id="rId6651" ref="B3327"/>
    <hyperlink r:id="rId6652" ref="D3327"/>
    <hyperlink r:id="rId6653" ref="B3328"/>
    <hyperlink r:id="rId6654" ref="D3328"/>
    <hyperlink r:id="rId6655" ref="B3329"/>
    <hyperlink r:id="rId6656" ref="D3329"/>
    <hyperlink r:id="rId6657" ref="B3330"/>
    <hyperlink r:id="rId6658" ref="D3330"/>
    <hyperlink r:id="rId6659" ref="B3331"/>
    <hyperlink r:id="rId6660" ref="D3331"/>
    <hyperlink r:id="rId6661" ref="B3332"/>
    <hyperlink r:id="rId6662" ref="D3332"/>
    <hyperlink r:id="rId6663" ref="B3333"/>
    <hyperlink r:id="rId6664" ref="D3333"/>
    <hyperlink r:id="rId6665" ref="B3334"/>
    <hyperlink r:id="rId6666" ref="D3334"/>
    <hyperlink r:id="rId6667" ref="B3335"/>
    <hyperlink r:id="rId6668" ref="D3335"/>
    <hyperlink r:id="rId6669" ref="B3336"/>
    <hyperlink r:id="rId6670" ref="D3336"/>
    <hyperlink r:id="rId6671" ref="B3337"/>
    <hyperlink r:id="rId6672" ref="D3337"/>
    <hyperlink r:id="rId6673" ref="B3338"/>
    <hyperlink r:id="rId6674" ref="D3338"/>
    <hyperlink r:id="rId6675" ref="B3339"/>
    <hyperlink r:id="rId6676" ref="D3339"/>
    <hyperlink r:id="rId6677" ref="B3340"/>
    <hyperlink r:id="rId6678" ref="D3340"/>
    <hyperlink r:id="rId6679" ref="B3341"/>
    <hyperlink r:id="rId6680" ref="D3341"/>
    <hyperlink r:id="rId6681" ref="B3342"/>
    <hyperlink r:id="rId6682" ref="D3342"/>
    <hyperlink r:id="rId6683" ref="B3343"/>
    <hyperlink r:id="rId6684" ref="D3343"/>
    <hyperlink r:id="rId6685" ref="B3344"/>
    <hyperlink r:id="rId6686" ref="D3344"/>
    <hyperlink r:id="rId6687" ref="B3345"/>
    <hyperlink r:id="rId6688" ref="D3345"/>
    <hyperlink r:id="rId6689" ref="B3346"/>
    <hyperlink r:id="rId6690" ref="D3346"/>
    <hyperlink r:id="rId6691" ref="B3347"/>
    <hyperlink r:id="rId6692" ref="D3347"/>
    <hyperlink r:id="rId6693" ref="B3348"/>
    <hyperlink r:id="rId6694" ref="D3348"/>
    <hyperlink r:id="rId6695" ref="B3349"/>
    <hyperlink r:id="rId6696" ref="D3349"/>
    <hyperlink r:id="rId6697" ref="B3350"/>
    <hyperlink r:id="rId6698" ref="D3350"/>
    <hyperlink r:id="rId6699" ref="B3351"/>
    <hyperlink r:id="rId6700" ref="D3351"/>
    <hyperlink r:id="rId6701" ref="B3352"/>
    <hyperlink r:id="rId6702" ref="D3352"/>
    <hyperlink r:id="rId6703" ref="B3353"/>
    <hyperlink r:id="rId6704" ref="D3353"/>
    <hyperlink r:id="rId6705" ref="B3354"/>
    <hyperlink r:id="rId6706" ref="D3354"/>
    <hyperlink r:id="rId6707" ref="B3355"/>
    <hyperlink r:id="rId6708" ref="D3355"/>
    <hyperlink r:id="rId6709" ref="B3356"/>
    <hyperlink r:id="rId6710" ref="D3356"/>
    <hyperlink r:id="rId6711" ref="B3357"/>
    <hyperlink r:id="rId6712" ref="D3357"/>
    <hyperlink r:id="rId6713" ref="B3358"/>
    <hyperlink r:id="rId6714" ref="D3358"/>
    <hyperlink r:id="rId6715" ref="B3359"/>
    <hyperlink r:id="rId6716" ref="D3359"/>
    <hyperlink r:id="rId6717" ref="B3360"/>
    <hyperlink r:id="rId6718" ref="D3360"/>
    <hyperlink r:id="rId6719" ref="B3361"/>
    <hyperlink r:id="rId6720" ref="D3361"/>
    <hyperlink r:id="rId6721" ref="B3362"/>
    <hyperlink r:id="rId6722" ref="D3362"/>
    <hyperlink r:id="rId6723" ref="B3363"/>
    <hyperlink r:id="rId6724" ref="D3363"/>
    <hyperlink r:id="rId6725" ref="B3364"/>
    <hyperlink r:id="rId6726" ref="D3364"/>
    <hyperlink r:id="rId6727" ref="B3365"/>
    <hyperlink r:id="rId6728" ref="D3365"/>
    <hyperlink r:id="rId6729" ref="B3366"/>
    <hyperlink r:id="rId6730" ref="D3366"/>
    <hyperlink r:id="rId6731" ref="B3367"/>
    <hyperlink r:id="rId6732" ref="D3367"/>
    <hyperlink r:id="rId6733" ref="B3368"/>
    <hyperlink r:id="rId6734" ref="D3368"/>
    <hyperlink r:id="rId6735" ref="B3369"/>
    <hyperlink r:id="rId6736" ref="D3369"/>
    <hyperlink r:id="rId6737" ref="B3370"/>
    <hyperlink r:id="rId6738" ref="D3370"/>
    <hyperlink r:id="rId6739" ref="B3371"/>
    <hyperlink r:id="rId6740" ref="D3371"/>
    <hyperlink r:id="rId6741" ref="B3372"/>
    <hyperlink r:id="rId6742" ref="D3372"/>
    <hyperlink r:id="rId6743" ref="B3373"/>
    <hyperlink r:id="rId6744" ref="D3373"/>
    <hyperlink r:id="rId6745" ref="B3374"/>
    <hyperlink r:id="rId6746" ref="D3374"/>
    <hyperlink r:id="rId6747" ref="B3375"/>
    <hyperlink r:id="rId6748" ref="D3375"/>
    <hyperlink r:id="rId6749" ref="B3376"/>
    <hyperlink r:id="rId6750" ref="D3376"/>
    <hyperlink r:id="rId6751" ref="B3377"/>
    <hyperlink r:id="rId6752" ref="D3377"/>
    <hyperlink r:id="rId6753" ref="B3378"/>
    <hyperlink r:id="rId6754" ref="D3378"/>
    <hyperlink r:id="rId6755" ref="B3379"/>
    <hyperlink r:id="rId6756" ref="D3379"/>
    <hyperlink r:id="rId6757" ref="B3380"/>
    <hyperlink r:id="rId6758" ref="D3380"/>
    <hyperlink r:id="rId6759" ref="B3381"/>
    <hyperlink r:id="rId6760" ref="D3381"/>
    <hyperlink r:id="rId6761" ref="B3382"/>
    <hyperlink r:id="rId6762" ref="D3382"/>
    <hyperlink r:id="rId6763" ref="B3383"/>
    <hyperlink r:id="rId6764" ref="D3383"/>
    <hyperlink r:id="rId6765" ref="B3384"/>
    <hyperlink r:id="rId6766" ref="D3384"/>
    <hyperlink r:id="rId6767" ref="B3385"/>
    <hyperlink r:id="rId6768" ref="D3385"/>
    <hyperlink r:id="rId6769" ref="B3386"/>
    <hyperlink r:id="rId6770" ref="D3386"/>
    <hyperlink r:id="rId6771" ref="B3387"/>
    <hyperlink r:id="rId6772" ref="D3387"/>
    <hyperlink r:id="rId6773" ref="B3388"/>
    <hyperlink r:id="rId6774" ref="D3388"/>
    <hyperlink r:id="rId6775" ref="B3389"/>
    <hyperlink r:id="rId6776" ref="D3389"/>
    <hyperlink r:id="rId6777" ref="B3390"/>
    <hyperlink r:id="rId6778" ref="D3390"/>
    <hyperlink r:id="rId6779" ref="B3391"/>
    <hyperlink r:id="rId6780" ref="D3391"/>
    <hyperlink r:id="rId6781" ref="B3392"/>
    <hyperlink r:id="rId6782" ref="D3392"/>
    <hyperlink r:id="rId6783" ref="B3393"/>
    <hyperlink r:id="rId6784" ref="D3393"/>
    <hyperlink r:id="rId6785" ref="B3394"/>
    <hyperlink r:id="rId6786" ref="D3394"/>
    <hyperlink r:id="rId6787" ref="B3395"/>
    <hyperlink r:id="rId6788" ref="D3395"/>
    <hyperlink r:id="rId6789" ref="B3396"/>
    <hyperlink r:id="rId6790" ref="D3396"/>
    <hyperlink r:id="rId6791" ref="B3397"/>
    <hyperlink r:id="rId6792" ref="D3397"/>
    <hyperlink r:id="rId6793" ref="B3398"/>
    <hyperlink r:id="rId6794" ref="D3398"/>
    <hyperlink r:id="rId6795" ref="B3399"/>
    <hyperlink r:id="rId6796" ref="D3399"/>
    <hyperlink r:id="rId6797" ref="B3400"/>
    <hyperlink r:id="rId6798" ref="D3400"/>
    <hyperlink r:id="rId6799" ref="B3401"/>
    <hyperlink r:id="rId6800" ref="D3401"/>
    <hyperlink r:id="rId6801" ref="B3402"/>
    <hyperlink r:id="rId6802" ref="D3402"/>
    <hyperlink r:id="rId6803" ref="B3403"/>
    <hyperlink r:id="rId6804" ref="D3403"/>
    <hyperlink r:id="rId6805" ref="B3404"/>
    <hyperlink r:id="rId6806" ref="D3404"/>
    <hyperlink r:id="rId6807" ref="B3405"/>
    <hyperlink r:id="rId6808" ref="D3405"/>
    <hyperlink r:id="rId6809" ref="B3406"/>
    <hyperlink r:id="rId6810" ref="D3406"/>
    <hyperlink r:id="rId6811" ref="B3407"/>
    <hyperlink r:id="rId6812" ref="D3407"/>
    <hyperlink r:id="rId6813" ref="B3408"/>
    <hyperlink r:id="rId6814" ref="D3408"/>
    <hyperlink r:id="rId6815" ref="B3409"/>
    <hyperlink r:id="rId6816" ref="D3409"/>
    <hyperlink r:id="rId6817" ref="B3410"/>
    <hyperlink r:id="rId6818" ref="D3410"/>
    <hyperlink r:id="rId6819" ref="B3411"/>
    <hyperlink r:id="rId6820" ref="D3411"/>
    <hyperlink r:id="rId6821" ref="B3412"/>
    <hyperlink r:id="rId6822" ref="D3412"/>
    <hyperlink r:id="rId6823" ref="B3413"/>
    <hyperlink r:id="rId6824" ref="D3413"/>
    <hyperlink r:id="rId6825" ref="B3414"/>
    <hyperlink r:id="rId6826" ref="D3414"/>
    <hyperlink r:id="rId6827" ref="B3415"/>
    <hyperlink r:id="rId6828" ref="D3415"/>
    <hyperlink r:id="rId6829" ref="B3416"/>
    <hyperlink r:id="rId6830" ref="D3416"/>
    <hyperlink r:id="rId6831" ref="B3417"/>
    <hyperlink r:id="rId6832" ref="D3417"/>
    <hyperlink r:id="rId6833" ref="B3418"/>
    <hyperlink r:id="rId6834" ref="D3418"/>
    <hyperlink r:id="rId6835" ref="B3419"/>
    <hyperlink r:id="rId6836" ref="D3419"/>
    <hyperlink r:id="rId6837" ref="B3420"/>
    <hyperlink r:id="rId6838" ref="D3420"/>
    <hyperlink r:id="rId6839" ref="B3421"/>
    <hyperlink r:id="rId6840" ref="D3421"/>
    <hyperlink r:id="rId6841" ref="B3422"/>
    <hyperlink r:id="rId6842" ref="D3422"/>
    <hyperlink r:id="rId6843" ref="B3423"/>
    <hyperlink r:id="rId6844" ref="D3423"/>
    <hyperlink r:id="rId6845" ref="B3424"/>
    <hyperlink r:id="rId6846" ref="D3424"/>
    <hyperlink r:id="rId6847" ref="B3425"/>
    <hyperlink r:id="rId6848" ref="D3425"/>
    <hyperlink r:id="rId6849" ref="B3426"/>
    <hyperlink r:id="rId6850" ref="D3426"/>
    <hyperlink r:id="rId6851" ref="B3427"/>
    <hyperlink r:id="rId6852" ref="D3427"/>
    <hyperlink r:id="rId6853" ref="B3428"/>
    <hyperlink r:id="rId6854" ref="D3428"/>
    <hyperlink r:id="rId6855" ref="B3429"/>
    <hyperlink r:id="rId6856" ref="D3429"/>
    <hyperlink r:id="rId6857" ref="B3430"/>
    <hyperlink r:id="rId6858" ref="D3430"/>
    <hyperlink r:id="rId6859" ref="B3431"/>
    <hyperlink r:id="rId6860" ref="D3431"/>
    <hyperlink r:id="rId6861" ref="B3432"/>
    <hyperlink r:id="rId6862" ref="D3432"/>
    <hyperlink r:id="rId6863" ref="B3433"/>
    <hyperlink r:id="rId6864" ref="D3433"/>
    <hyperlink r:id="rId6865" ref="B3434"/>
    <hyperlink r:id="rId6866" ref="D3434"/>
    <hyperlink r:id="rId6867" ref="B3435"/>
    <hyperlink r:id="rId6868" ref="D3435"/>
    <hyperlink r:id="rId6869" ref="B3436"/>
    <hyperlink r:id="rId6870" ref="D3436"/>
    <hyperlink r:id="rId6871" ref="B3437"/>
    <hyperlink r:id="rId6872" ref="D3437"/>
    <hyperlink r:id="rId6873" ref="B3438"/>
    <hyperlink r:id="rId6874" ref="D3438"/>
    <hyperlink r:id="rId6875" ref="B3439"/>
    <hyperlink r:id="rId6876" ref="D3439"/>
    <hyperlink r:id="rId6877" ref="B3440"/>
    <hyperlink r:id="rId6878" ref="D3440"/>
    <hyperlink r:id="rId6879" ref="B3441"/>
    <hyperlink r:id="rId6880" ref="D3441"/>
    <hyperlink r:id="rId6881" ref="B3442"/>
    <hyperlink r:id="rId6882" ref="D3442"/>
    <hyperlink r:id="rId6883" ref="B3443"/>
    <hyperlink r:id="rId6884" ref="D3443"/>
    <hyperlink r:id="rId6885" ref="B3444"/>
    <hyperlink r:id="rId6886" ref="D3444"/>
    <hyperlink r:id="rId6887" ref="B3445"/>
    <hyperlink r:id="rId6888" ref="D3445"/>
    <hyperlink r:id="rId6889" ref="B3446"/>
    <hyperlink r:id="rId6890" ref="D3446"/>
    <hyperlink r:id="rId6891" ref="B3447"/>
    <hyperlink r:id="rId6892" ref="D3447"/>
    <hyperlink r:id="rId6893" ref="B3448"/>
    <hyperlink r:id="rId6894" ref="D3448"/>
    <hyperlink r:id="rId6895" ref="B3449"/>
    <hyperlink r:id="rId6896" ref="D3449"/>
    <hyperlink r:id="rId6897" ref="B3450"/>
    <hyperlink r:id="rId6898" ref="D3450"/>
    <hyperlink r:id="rId6899" ref="B3451"/>
    <hyperlink r:id="rId6900" ref="D3451"/>
    <hyperlink r:id="rId6901" ref="B3452"/>
    <hyperlink r:id="rId6902" ref="D3452"/>
    <hyperlink r:id="rId6903" ref="B3453"/>
    <hyperlink r:id="rId6904" ref="D3453"/>
    <hyperlink r:id="rId6905" ref="B3454"/>
    <hyperlink r:id="rId6906" ref="D3454"/>
    <hyperlink r:id="rId6907" ref="B3455"/>
    <hyperlink r:id="rId6908" ref="D3455"/>
    <hyperlink r:id="rId6909" ref="B3456"/>
    <hyperlink r:id="rId6910" ref="D3456"/>
    <hyperlink r:id="rId6911" ref="B3457"/>
    <hyperlink r:id="rId6912" ref="D3457"/>
    <hyperlink r:id="rId6913" ref="B3458"/>
    <hyperlink r:id="rId6914" ref="D3458"/>
    <hyperlink r:id="rId6915" ref="B3459"/>
    <hyperlink r:id="rId6916" ref="D3459"/>
    <hyperlink r:id="rId6917" ref="B3460"/>
    <hyperlink r:id="rId6918" ref="D3460"/>
    <hyperlink r:id="rId6919" ref="B3461"/>
    <hyperlink r:id="rId6920" ref="D3461"/>
    <hyperlink r:id="rId6921" ref="B3462"/>
    <hyperlink r:id="rId6922" ref="D3462"/>
    <hyperlink r:id="rId6923" ref="B3463"/>
    <hyperlink r:id="rId6924" ref="D3463"/>
    <hyperlink r:id="rId6925" ref="B3464"/>
    <hyperlink r:id="rId6926" ref="D3464"/>
    <hyperlink r:id="rId6927" ref="B3465"/>
    <hyperlink r:id="rId6928" ref="D3465"/>
    <hyperlink r:id="rId6929" ref="B3466"/>
    <hyperlink r:id="rId6930" ref="D3466"/>
    <hyperlink r:id="rId6931" ref="B3467"/>
    <hyperlink r:id="rId6932" ref="D3467"/>
    <hyperlink r:id="rId6933" ref="B3468"/>
    <hyperlink r:id="rId6934" ref="D3468"/>
    <hyperlink r:id="rId6935" ref="B3469"/>
    <hyperlink r:id="rId6936" ref="D3469"/>
    <hyperlink r:id="rId6937" ref="B3470"/>
    <hyperlink r:id="rId6938" ref="D3470"/>
    <hyperlink r:id="rId6939" ref="B3471"/>
    <hyperlink r:id="rId6940" ref="D3471"/>
    <hyperlink r:id="rId6941" ref="B3472"/>
    <hyperlink r:id="rId6942" ref="D3472"/>
    <hyperlink r:id="rId6943" ref="B3473"/>
    <hyperlink r:id="rId6944" ref="D3473"/>
    <hyperlink r:id="rId6945" ref="B3474"/>
    <hyperlink r:id="rId6946" ref="D3474"/>
    <hyperlink r:id="rId6947" ref="B3475"/>
    <hyperlink r:id="rId6948" ref="D3475"/>
    <hyperlink r:id="rId6949" ref="B3476"/>
    <hyperlink r:id="rId6950" ref="D3476"/>
    <hyperlink r:id="rId6951" ref="B3477"/>
    <hyperlink r:id="rId6952" ref="D3477"/>
    <hyperlink r:id="rId6953" ref="B3478"/>
    <hyperlink r:id="rId6954" ref="D3478"/>
    <hyperlink r:id="rId6955" ref="B3479"/>
    <hyperlink r:id="rId6956" ref="D3479"/>
    <hyperlink r:id="rId6957" ref="B3480"/>
    <hyperlink r:id="rId6958" ref="D3480"/>
    <hyperlink r:id="rId6959" ref="B3481"/>
    <hyperlink r:id="rId6960" ref="D3481"/>
    <hyperlink r:id="rId6961" ref="B3482"/>
    <hyperlink r:id="rId6962" ref="D3482"/>
    <hyperlink r:id="rId6963" ref="B3483"/>
    <hyperlink r:id="rId6964" ref="D3483"/>
    <hyperlink r:id="rId6965" ref="B3484"/>
    <hyperlink r:id="rId6966" ref="D3484"/>
    <hyperlink r:id="rId6967" ref="B3485"/>
    <hyperlink r:id="rId6968" ref="D3485"/>
    <hyperlink r:id="rId6969" ref="B3486"/>
    <hyperlink r:id="rId6970" ref="D3486"/>
    <hyperlink r:id="rId6971" ref="B3487"/>
    <hyperlink r:id="rId6972" ref="D3487"/>
    <hyperlink r:id="rId6973" ref="B3488"/>
    <hyperlink r:id="rId6974" ref="D3488"/>
    <hyperlink r:id="rId6975" ref="B3489"/>
    <hyperlink r:id="rId6976" ref="D3489"/>
    <hyperlink r:id="rId6977" ref="B3490"/>
    <hyperlink r:id="rId6978" ref="D3490"/>
    <hyperlink r:id="rId6979" ref="B3491"/>
    <hyperlink r:id="rId6980" ref="D3491"/>
    <hyperlink r:id="rId6981" ref="B3492"/>
    <hyperlink r:id="rId6982" ref="D3492"/>
    <hyperlink r:id="rId6983" ref="B3493"/>
    <hyperlink r:id="rId6984" ref="D3493"/>
    <hyperlink r:id="rId6985" ref="B3494"/>
    <hyperlink r:id="rId6986" ref="D3494"/>
    <hyperlink r:id="rId6987" ref="B3495"/>
    <hyperlink r:id="rId6988" ref="D3495"/>
    <hyperlink r:id="rId6989" ref="B3496"/>
    <hyperlink r:id="rId6990" ref="D3496"/>
    <hyperlink r:id="rId6991" ref="B3497"/>
    <hyperlink r:id="rId6992" ref="D3497"/>
    <hyperlink r:id="rId6993" ref="B3498"/>
    <hyperlink r:id="rId6994" ref="D3498"/>
    <hyperlink r:id="rId6995" ref="B3499"/>
    <hyperlink r:id="rId6996" ref="D3499"/>
    <hyperlink r:id="rId6997" ref="B3500"/>
    <hyperlink r:id="rId6998" ref="D3500"/>
    <hyperlink r:id="rId6999" ref="B3501"/>
    <hyperlink r:id="rId7000" ref="D3501"/>
    <hyperlink r:id="rId7001" ref="B3502"/>
    <hyperlink r:id="rId7002" ref="D3502"/>
    <hyperlink r:id="rId7003" ref="B3503"/>
    <hyperlink r:id="rId7004" ref="D3503"/>
    <hyperlink r:id="rId7005" ref="B3504"/>
    <hyperlink r:id="rId7006" ref="D3504"/>
    <hyperlink r:id="rId7007" ref="B3505"/>
    <hyperlink r:id="rId7008" ref="D3505"/>
    <hyperlink r:id="rId7009" ref="B3506"/>
    <hyperlink r:id="rId7010" ref="D3506"/>
    <hyperlink r:id="rId7011" ref="B3507"/>
    <hyperlink r:id="rId7012" ref="D3507"/>
    <hyperlink r:id="rId7013" ref="B3508"/>
    <hyperlink r:id="rId7014" ref="D3508"/>
    <hyperlink r:id="rId7015" ref="B3509"/>
    <hyperlink r:id="rId7016" ref="D3509"/>
    <hyperlink r:id="rId7017" ref="B3510"/>
    <hyperlink r:id="rId7018" ref="D3510"/>
    <hyperlink r:id="rId7019" ref="B3511"/>
    <hyperlink r:id="rId7020" ref="D3511"/>
    <hyperlink r:id="rId7021" ref="B3512"/>
    <hyperlink r:id="rId7022" ref="D3512"/>
    <hyperlink r:id="rId7023" ref="B3513"/>
    <hyperlink r:id="rId7024" ref="D3513"/>
    <hyperlink r:id="rId7025" ref="B3514"/>
    <hyperlink r:id="rId7026" ref="D3514"/>
    <hyperlink r:id="rId7027" ref="B3515"/>
    <hyperlink r:id="rId7028" ref="D3515"/>
    <hyperlink r:id="rId7029" ref="B3516"/>
    <hyperlink r:id="rId7030" ref="D3516"/>
    <hyperlink r:id="rId7031" ref="B3517"/>
    <hyperlink r:id="rId7032" ref="D3517"/>
    <hyperlink r:id="rId7033" ref="B3518"/>
    <hyperlink r:id="rId7034" ref="D3518"/>
    <hyperlink r:id="rId7035" ref="B3519"/>
    <hyperlink r:id="rId7036" ref="D3519"/>
    <hyperlink r:id="rId7037" ref="B3520"/>
    <hyperlink r:id="rId7038" ref="D3520"/>
    <hyperlink r:id="rId7039" ref="B3521"/>
    <hyperlink r:id="rId7040" ref="D3521"/>
    <hyperlink r:id="rId7041" ref="B3522"/>
    <hyperlink r:id="rId7042" ref="D3522"/>
    <hyperlink r:id="rId7043" ref="B3523"/>
    <hyperlink r:id="rId7044" ref="D3523"/>
    <hyperlink r:id="rId7045" ref="B3524"/>
    <hyperlink r:id="rId7046" ref="D3524"/>
    <hyperlink r:id="rId7047" ref="B3525"/>
    <hyperlink r:id="rId7048" ref="D3525"/>
    <hyperlink r:id="rId7049" ref="B3526"/>
    <hyperlink r:id="rId7050" ref="D3526"/>
    <hyperlink r:id="rId7051" ref="B3527"/>
    <hyperlink r:id="rId7052" ref="D3527"/>
    <hyperlink r:id="rId7053" ref="B3528"/>
    <hyperlink r:id="rId7054" ref="D3528"/>
    <hyperlink r:id="rId7055" ref="B3529"/>
    <hyperlink r:id="rId7056" ref="D3529"/>
    <hyperlink r:id="rId7057" ref="B3530"/>
    <hyperlink r:id="rId7058" ref="D3530"/>
    <hyperlink r:id="rId7059" ref="B3531"/>
    <hyperlink r:id="rId7060" ref="D3531"/>
    <hyperlink r:id="rId7061" ref="B3532"/>
    <hyperlink r:id="rId7062" ref="D3532"/>
    <hyperlink r:id="rId7063" ref="B3533"/>
    <hyperlink r:id="rId7064" ref="D3533"/>
    <hyperlink r:id="rId7065" ref="B3534"/>
    <hyperlink r:id="rId7066" ref="D3534"/>
    <hyperlink r:id="rId7067" ref="B3535"/>
    <hyperlink r:id="rId7068" ref="D3535"/>
    <hyperlink r:id="rId7069" ref="B3536"/>
    <hyperlink r:id="rId7070" ref="D3536"/>
    <hyperlink r:id="rId7071" ref="B3537"/>
    <hyperlink r:id="rId7072" ref="D3537"/>
    <hyperlink r:id="rId7073" ref="B3538"/>
    <hyperlink r:id="rId7074" ref="D3538"/>
    <hyperlink r:id="rId7075" ref="B3539"/>
    <hyperlink r:id="rId7076" ref="D3539"/>
    <hyperlink r:id="rId7077" ref="B3540"/>
    <hyperlink r:id="rId7078" ref="D3540"/>
    <hyperlink r:id="rId7079" ref="B3541"/>
    <hyperlink r:id="rId7080" ref="D3541"/>
    <hyperlink r:id="rId7081" ref="B3542"/>
    <hyperlink r:id="rId7082" ref="D3542"/>
    <hyperlink r:id="rId7083" ref="B3543"/>
    <hyperlink r:id="rId7084" ref="D3543"/>
    <hyperlink r:id="rId7085" ref="B3544"/>
    <hyperlink r:id="rId7086" ref="D3544"/>
    <hyperlink r:id="rId7087" ref="B3545"/>
    <hyperlink r:id="rId7088" ref="D3545"/>
    <hyperlink r:id="rId7089" ref="B3546"/>
    <hyperlink r:id="rId7090" ref="D3546"/>
    <hyperlink r:id="rId7091" ref="B3547"/>
    <hyperlink r:id="rId7092" ref="D3547"/>
    <hyperlink r:id="rId7093" ref="B3548"/>
    <hyperlink r:id="rId7094" ref="D3548"/>
    <hyperlink r:id="rId7095" ref="B3549"/>
    <hyperlink r:id="rId7096" ref="D3549"/>
    <hyperlink r:id="rId7097" ref="B3550"/>
    <hyperlink r:id="rId7098" ref="D3550"/>
    <hyperlink r:id="rId7099" ref="B3551"/>
    <hyperlink r:id="rId7100" ref="D3551"/>
    <hyperlink r:id="rId7101" ref="B3552"/>
    <hyperlink r:id="rId7102" ref="D3552"/>
    <hyperlink r:id="rId7103" ref="B3553"/>
    <hyperlink r:id="rId7104" ref="D3553"/>
    <hyperlink r:id="rId7105" ref="B3554"/>
    <hyperlink r:id="rId7106" ref="D3554"/>
    <hyperlink r:id="rId7107" ref="B3555"/>
    <hyperlink r:id="rId7108" ref="D3555"/>
    <hyperlink r:id="rId7109" ref="B3556"/>
    <hyperlink r:id="rId7110" ref="D3556"/>
    <hyperlink r:id="rId7111" ref="B3557"/>
    <hyperlink r:id="rId7112" ref="D3557"/>
    <hyperlink r:id="rId7113" ref="B3558"/>
    <hyperlink r:id="rId7114" ref="D3558"/>
    <hyperlink r:id="rId7115" ref="B3559"/>
    <hyperlink r:id="rId7116" ref="D3559"/>
    <hyperlink r:id="rId7117" ref="B3560"/>
    <hyperlink r:id="rId7118" ref="D3560"/>
    <hyperlink r:id="rId7119" ref="B3561"/>
    <hyperlink r:id="rId7120" ref="D3561"/>
    <hyperlink r:id="rId7121" ref="B3562"/>
    <hyperlink r:id="rId7122" ref="D3562"/>
    <hyperlink r:id="rId7123" ref="B3563"/>
    <hyperlink r:id="rId7124" ref="D3563"/>
    <hyperlink r:id="rId7125" ref="B3564"/>
    <hyperlink r:id="rId7126" ref="D3564"/>
    <hyperlink r:id="rId7127" ref="B3565"/>
    <hyperlink r:id="rId7128" ref="D3565"/>
    <hyperlink r:id="rId7129" ref="B3566"/>
    <hyperlink r:id="rId7130" ref="D3566"/>
    <hyperlink r:id="rId7131" ref="B3567"/>
    <hyperlink r:id="rId7132" ref="D3567"/>
    <hyperlink r:id="rId7133" ref="B3568"/>
    <hyperlink r:id="rId7134" ref="D3568"/>
    <hyperlink r:id="rId7135" ref="B3569"/>
    <hyperlink r:id="rId7136" ref="D3569"/>
    <hyperlink r:id="rId7137" ref="B3570"/>
    <hyperlink r:id="rId7138" ref="D3570"/>
    <hyperlink r:id="rId7139" ref="B3571"/>
    <hyperlink r:id="rId7140" ref="D3571"/>
    <hyperlink r:id="rId7141" ref="B3572"/>
    <hyperlink r:id="rId7142" ref="D3572"/>
    <hyperlink r:id="rId7143" ref="B3573"/>
    <hyperlink r:id="rId7144" ref="D3573"/>
    <hyperlink r:id="rId7145" ref="B3574"/>
    <hyperlink r:id="rId7146" ref="D3574"/>
    <hyperlink r:id="rId7147" ref="B3575"/>
    <hyperlink r:id="rId7148" ref="D3575"/>
    <hyperlink r:id="rId7149" ref="B3576"/>
    <hyperlink r:id="rId7150" ref="D3576"/>
    <hyperlink r:id="rId7151" ref="B3577"/>
    <hyperlink r:id="rId7152" ref="D3577"/>
    <hyperlink r:id="rId7153" ref="B3578"/>
    <hyperlink r:id="rId7154" ref="D3578"/>
    <hyperlink r:id="rId7155" ref="B3579"/>
    <hyperlink r:id="rId7156" ref="D3579"/>
    <hyperlink r:id="rId7157" ref="B3580"/>
    <hyperlink r:id="rId7158" ref="D3580"/>
    <hyperlink r:id="rId7159" ref="B3581"/>
    <hyperlink r:id="rId7160" ref="D3581"/>
    <hyperlink r:id="rId7161" ref="B3582"/>
    <hyperlink r:id="rId7162" ref="D3582"/>
    <hyperlink r:id="rId7163" ref="B3583"/>
    <hyperlink r:id="rId7164" ref="D3583"/>
    <hyperlink r:id="rId7165" ref="B3584"/>
    <hyperlink r:id="rId7166" ref="D3584"/>
    <hyperlink r:id="rId7167" ref="B3585"/>
    <hyperlink r:id="rId7168" ref="D3585"/>
    <hyperlink r:id="rId7169" ref="B3586"/>
    <hyperlink r:id="rId7170" ref="D3586"/>
    <hyperlink r:id="rId7171" ref="B3587"/>
    <hyperlink r:id="rId7172" ref="D3587"/>
    <hyperlink r:id="rId7173" ref="B3588"/>
    <hyperlink r:id="rId7174" ref="D3588"/>
    <hyperlink r:id="rId7175" ref="B3589"/>
    <hyperlink r:id="rId7176" ref="D3589"/>
    <hyperlink r:id="rId7177" ref="B3590"/>
    <hyperlink r:id="rId7178" ref="D3590"/>
    <hyperlink r:id="rId7179" ref="B3591"/>
    <hyperlink r:id="rId7180" ref="D3591"/>
    <hyperlink r:id="rId7181" ref="B3592"/>
    <hyperlink r:id="rId7182" ref="D3592"/>
    <hyperlink r:id="rId7183" ref="B3593"/>
    <hyperlink r:id="rId7184" ref="D3593"/>
    <hyperlink r:id="rId7185" ref="B3594"/>
    <hyperlink r:id="rId7186" ref="D3594"/>
    <hyperlink r:id="rId7187" ref="B3595"/>
    <hyperlink r:id="rId7188" ref="D3595"/>
    <hyperlink r:id="rId7189" ref="B3596"/>
    <hyperlink r:id="rId7190" ref="D3596"/>
    <hyperlink r:id="rId7191" ref="B3597"/>
    <hyperlink r:id="rId7192" ref="D3597"/>
    <hyperlink r:id="rId7193" ref="B3598"/>
    <hyperlink r:id="rId7194" ref="D3598"/>
    <hyperlink r:id="rId7195" ref="B3599"/>
    <hyperlink r:id="rId7196" ref="D3599"/>
    <hyperlink r:id="rId7197" ref="B3600"/>
    <hyperlink r:id="rId7198" ref="D3600"/>
    <hyperlink r:id="rId7199" ref="B3601"/>
    <hyperlink r:id="rId7200" ref="D3601"/>
    <hyperlink r:id="rId7201" ref="B3602"/>
    <hyperlink r:id="rId7202" ref="D3602"/>
    <hyperlink r:id="rId7203" ref="B3603"/>
    <hyperlink r:id="rId7204" ref="D3603"/>
    <hyperlink r:id="rId7205" ref="B3604"/>
    <hyperlink r:id="rId7206" ref="D3604"/>
    <hyperlink r:id="rId7207" ref="B3605"/>
    <hyperlink r:id="rId7208" ref="D3605"/>
    <hyperlink r:id="rId7209" ref="B3606"/>
    <hyperlink r:id="rId7210" ref="D3606"/>
    <hyperlink r:id="rId7211" ref="B3607"/>
    <hyperlink r:id="rId7212" ref="D3607"/>
    <hyperlink r:id="rId7213" ref="B3608"/>
    <hyperlink r:id="rId7214" ref="D3608"/>
    <hyperlink r:id="rId7215" ref="B3609"/>
    <hyperlink r:id="rId7216" ref="D3609"/>
    <hyperlink r:id="rId7217" ref="B3610"/>
    <hyperlink r:id="rId7218" ref="D3610"/>
    <hyperlink r:id="rId7219" ref="B3611"/>
    <hyperlink r:id="rId7220" ref="D3611"/>
    <hyperlink r:id="rId7221" ref="B3612"/>
    <hyperlink r:id="rId7222" ref="D3612"/>
    <hyperlink r:id="rId7223" ref="B3613"/>
    <hyperlink r:id="rId7224" ref="D3613"/>
    <hyperlink r:id="rId7225" ref="B3614"/>
    <hyperlink r:id="rId7226" ref="D3614"/>
    <hyperlink r:id="rId7227" ref="B3615"/>
    <hyperlink r:id="rId7228" ref="D3615"/>
    <hyperlink r:id="rId7229" ref="B3616"/>
    <hyperlink r:id="rId7230" ref="D3616"/>
    <hyperlink r:id="rId7231" ref="B3617"/>
    <hyperlink r:id="rId7232" ref="D3617"/>
    <hyperlink r:id="rId7233" ref="B3618"/>
    <hyperlink r:id="rId7234" ref="D3618"/>
    <hyperlink r:id="rId7235" ref="B3619"/>
    <hyperlink r:id="rId7236" ref="D3619"/>
    <hyperlink r:id="rId7237" ref="B3620"/>
    <hyperlink r:id="rId7238" ref="D3620"/>
    <hyperlink r:id="rId7239" ref="B3621"/>
    <hyperlink r:id="rId7240" ref="D3621"/>
    <hyperlink r:id="rId7241" ref="B3622"/>
    <hyperlink r:id="rId7242" ref="D3622"/>
    <hyperlink r:id="rId7243" ref="B3623"/>
    <hyperlink r:id="rId7244" ref="D3623"/>
    <hyperlink r:id="rId7245" ref="B3624"/>
    <hyperlink r:id="rId7246" ref="D3624"/>
    <hyperlink r:id="rId7247" ref="B3625"/>
    <hyperlink r:id="rId7248" ref="D3625"/>
    <hyperlink r:id="rId7249" ref="B3626"/>
    <hyperlink r:id="rId7250" ref="D3626"/>
    <hyperlink r:id="rId7251" ref="B3627"/>
    <hyperlink r:id="rId7252" ref="D3627"/>
    <hyperlink r:id="rId7253" ref="B3628"/>
    <hyperlink r:id="rId7254" ref="D3628"/>
    <hyperlink r:id="rId7255" ref="B3629"/>
    <hyperlink r:id="rId7256" ref="D3629"/>
    <hyperlink r:id="rId7257" ref="B3630"/>
    <hyperlink r:id="rId7258" ref="D3630"/>
    <hyperlink r:id="rId7259" ref="B3631"/>
    <hyperlink r:id="rId7260" ref="D3631"/>
    <hyperlink r:id="rId7261" ref="B3632"/>
    <hyperlink r:id="rId7262" ref="D3632"/>
    <hyperlink r:id="rId7263" ref="B3633"/>
    <hyperlink r:id="rId7264" ref="D3633"/>
    <hyperlink r:id="rId7265" ref="B3634"/>
    <hyperlink r:id="rId7266" ref="D3634"/>
    <hyperlink r:id="rId7267" ref="B3635"/>
    <hyperlink r:id="rId7268" ref="D3635"/>
    <hyperlink r:id="rId7269" ref="B3636"/>
    <hyperlink r:id="rId7270" ref="D3636"/>
    <hyperlink r:id="rId7271" ref="B3637"/>
    <hyperlink r:id="rId7272" ref="D3637"/>
    <hyperlink r:id="rId7273" ref="B3638"/>
    <hyperlink r:id="rId7274" ref="D3638"/>
    <hyperlink r:id="rId7275" ref="B3639"/>
    <hyperlink r:id="rId7276" ref="D3639"/>
    <hyperlink r:id="rId7277" ref="B3640"/>
    <hyperlink r:id="rId7278" ref="D3640"/>
    <hyperlink r:id="rId7279" ref="B3641"/>
    <hyperlink r:id="rId7280" ref="D3641"/>
    <hyperlink r:id="rId7281" ref="B3642"/>
    <hyperlink r:id="rId7282" ref="D3642"/>
    <hyperlink r:id="rId7283" ref="B3643"/>
    <hyperlink r:id="rId7284" ref="D3643"/>
    <hyperlink r:id="rId7285" ref="B3644"/>
    <hyperlink r:id="rId7286" ref="D3644"/>
    <hyperlink r:id="rId7287" ref="B3645"/>
    <hyperlink r:id="rId7288" ref="D3645"/>
    <hyperlink r:id="rId7289" ref="B3646"/>
    <hyperlink r:id="rId7290" ref="D3646"/>
    <hyperlink r:id="rId7291" ref="B3647"/>
    <hyperlink r:id="rId7292" ref="D3647"/>
    <hyperlink r:id="rId7293" ref="B3648"/>
    <hyperlink r:id="rId7294" ref="D3648"/>
    <hyperlink r:id="rId7295" ref="B3649"/>
    <hyperlink r:id="rId7296" ref="D3649"/>
    <hyperlink r:id="rId7297" ref="B3650"/>
    <hyperlink r:id="rId7298" ref="D3650"/>
    <hyperlink r:id="rId7299" ref="B3651"/>
    <hyperlink r:id="rId7300" ref="D3651"/>
    <hyperlink r:id="rId7301" ref="B3652"/>
    <hyperlink r:id="rId7302" ref="D3652"/>
    <hyperlink r:id="rId7303" ref="B3653"/>
    <hyperlink r:id="rId7304" ref="D3653"/>
    <hyperlink r:id="rId7305" ref="B3654"/>
    <hyperlink r:id="rId7306" ref="D3654"/>
    <hyperlink r:id="rId7307" ref="B3655"/>
    <hyperlink r:id="rId7308" ref="D3655"/>
    <hyperlink r:id="rId7309" ref="B3656"/>
    <hyperlink r:id="rId7310" ref="D3656"/>
    <hyperlink r:id="rId7311" ref="B3657"/>
    <hyperlink r:id="rId7312" ref="D3657"/>
    <hyperlink r:id="rId7313" ref="B3658"/>
    <hyperlink r:id="rId7314" ref="D3658"/>
    <hyperlink r:id="rId7315" ref="B3659"/>
    <hyperlink r:id="rId7316" ref="D3659"/>
    <hyperlink r:id="rId7317" ref="B3660"/>
    <hyperlink r:id="rId7318" ref="D3660"/>
    <hyperlink r:id="rId7319" ref="B3661"/>
    <hyperlink r:id="rId7320" ref="D3661"/>
    <hyperlink r:id="rId7321" ref="B3662"/>
    <hyperlink r:id="rId7322" ref="D3662"/>
    <hyperlink r:id="rId7323" ref="B3663"/>
    <hyperlink r:id="rId7324" ref="D3663"/>
    <hyperlink r:id="rId7325" ref="B3664"/>
    <hyperlink r:id="rId7326" ref="D3664"/>
    <hyperlink r:id="rId7327" ref="B3665"/>
    <hyperlink r:id="rId7328" ref="D3665"/>
    <hyperlink r:id="rId7329" ref="B3666"/>
    <hyperlink r:id="rId7330" ref="D3666"/>
    <hyperlink r:id="rId7331" ref="B3667"/>
    <hyperlink r:id="rId7332" ref="D3667"/>
    <hyperlink r:id="rId7333" ref="B3668"/>
    <hyperlink r:id="rId7334" ref="D3668"/>
    <hyperlink r:id="rId7335" ref="B3669"/>
    <hyperlink r:id="rId7336" ref="D3669"/>
    <hyperlink r:id="rId7337" ref="B3670"/>
    <hyperlink r:id="rId7338" ref="D3670"/>
    <hyperlink r:id="rId7339" ref="B3671"/>
    <hyperlink r:id="rId7340" ref="D3671"/>
    <hyperlink r:id="rId7341" ref="B3672"/>
    <hyperlink r:id="rId7342" ref="D3672"/>
    <hyperlink r:id="rId7343" ref="B3673"/>
    <hyperlink r:id="rId7344" ref="D3673"/>
    <hyperlink r:id="rId7345" ref="B3674"/>
    <hyperlink r:id="rId7346" ref="D3674"/>
    <hyperlink r:id="rId7347" ref="B3675"/>
    <hyperlink r:id="rId7348" ref="D3675"/>
    <hyperlink r:id="rId7349" ref="B3676"/>
    <hyperlink r:id="rId7350" ref="D3676"/>
    <hyperlink r:id="rId7351" ref="B3677"/>
    <hyperlink r:id="rId7352" ref="D3677"/>
    <hyperlink r:id="rId7353" ref="B3678"/>
    <hyperlink r:id="rId7354" ref="D3678"/>
    <hyperlink r:id="rId7355" ref="B3679"/>
    <hyperlink r:id="rId7356" ref="D3679"/>
    <hyperlink r:id="rId7357" ref="B3680"/>
    <hyperlink r:id="rId7358" ref="D3680"/>
    <hyperlink r:id="rId7359" ref="B3681"/>
    <hyperlink r:id="rId7360" ref="D3681"/>
    <hyperlink r:id="rId7361" ref="B3682"/>
    <hyperlink r:id="rId7362" ref="D3682"/>
    <hyperlink r:id="rId7363" ref="B3683"/>
    <hyperlink r:id="rId7364" ref="D3683"/>
    <hyperlink r:id="rId7365" ref="B3684"/>
    <hyperlink r:id="rId7366" ref="D3684"/>
    <hyperlink r:id="rId7367" ref="B3685"/>
    <hyperlink r:id="rId7368" ref="D3685"/>
    <hyperlink r:id="rId7369" ref="B3686"/>
    <hyperlink r:id="rId7370" ref="D3686"/>
    <hyperlink r:id="rId7371" ref="B3687"/>
    <hyperlink r:id="rId7372" ref="D3687"/>
    <hyperlink r:id="rId7373" ref="B3688"/>
    <hyperlink r:id="rId7374" ref="D3688"/>
    <hyperlink r:id="rId7375" ref="B3689"/>
    <hyperlink r:id="rId7376" ref="D3689"/>
    <hyperlink r:id="rId7377" ref="B3690"/>
    <hyperlink r:id="rId7378" ref="D3690"/>
    <hyperlink r:id="rId7379" ref="B3691"/>
    <hyperlink r:id="rId7380" ref="D3691"/>
    <hyperlink r:id="rId7381" ref="B3692"/>
    <hyperlink r:id="rId7382" ref="D3692"/>
    <hyperlink r:id="rId7383" ref="B3693"/>
    <hyperlink r:id="rId7384" ref="D3693"/>
    <hyperlink r:id="rId7385" ref="B3694"/>
    <hyperlink r:id="rId7386" ref="D3694"/>
    <hyperlink r:id="rId7387" ref="B3695"/>
    <hyperlink r:id="rId7388" ref="D3695"/>
    <hyperlink r:id="rId7389" ref="B3696"/>
    <hyperlink r:id="rId7390" ref="D3696"/>
    <hyperlink r:id="rId7391" ref="B3697"/>
    <hyperlink r:id="rId7392" ref="D3697"/>
    <hyperlink r:id="rId7393" ref="B3698"/>
    <hyperlink r:id="rId7394" ref="D3698"/>
    <hyperlink r:id="rId7395" ref="B3699"/>
    <hyperlink r:id="rId7396" ref="D3699"/>
    <hyperlink r:id="rId7397" ref="B3700"/>
    <hyperlink r:id="rId7398" ref="D3700"/>
    <hyperlink r:id="rId7399" ref="B3701"/>
    <hyperlink r:id="rId7400" ref="D3701"/>
    <hyperlink r:id="rId7401" ref="B3702"/>
    <hyperlink r:id="rId7402" ref="D3702"/>
    <hyperlink r:id="rId7403" ref="B3703"/>
    <hyperlink r:id="rId7404" ref="D3703"/>
    <hyperlink r:id="rId7405" ref="B3704"/>
    <hyperlink r:id="rId7406" ref="D3704"/>
    <hyperlink r:id="rId7407" ref="B3705"/>
    <hyperlink r:id="rId7408" ref="D3705"/>
    <hyperlink r:id="rId7409" ref="B3706"/>
    <hyperlink r:id="rId7410" ref="D3706"/>
    <hyperlink r:id="rId7411" ref="B3707"/>
    <hyperlink r:id="rId7412" ref="D3707"/>
    <hyperlink r:id="rId7413" ref="B3708"/>
    <hyperlink r:id="rId7414" ref="D3708"/>
    <hyperlink r:id="rId7415" ref="B3709"/>
    <hyperlink r:id="rId7416" ref="D3709"/>
    <hyperlink r:id="rId7417" ref="B3710"/>
    <hyperlink r:id="rId7418" ref="D3710"/>
    <hyperlink r:id="rId7419" ref="B3711"/>
    <hyperlink r:id="rId7420" ref="D3711"/>
    <hyperlink r:id="rId7421" ref="B3712"/>
    <hyperlink r:id="rId7422" ref="D3712"/>
    <hyperlink r:id="rId7423" ref="B3713"/>
    <hyperlink r:id="rId7424" ref="D3713"/>
    <hyperlink r:id="rId7425" ref="B3714"/>
    <hyperlink r:id="rId7426" ref="D3714"/>
    <hyperlink r:id="rId7427" ref="B3715"/>
    <hyperlink r:id="rId7428" ref="D3715"/>
    <hyperlink r:id="rId7429" ref="B3716"/>
    <hyperlink r:id="rId7430" ref="D3716"/>
    <hyperlink r:id="rId7431" ref="B3717"/>
    <hyperlink r:id="rId7432" ref="D3717"/>
    <hyperlink r:id="rId7433" ref="B3718"/>
    <hyperlink r:id="rId7434" ref="D3718"/>
    <hyperlink r:id="rId7435" ref="B3719"/>
    <hyperlink r:id="rId7436" ref="D3719"/>
    <hyperlink r:id="rId7437" ref="B3720"/>
    <hyperlink r:id="rId7438" ref="D3720"/>
    <hyperlink r:id="rId7439" ref="B3721"/>
    <hyperlink r:id="rId7440" ref="D3721"/>
    <hyperlink r:id="rId7441" ref="B3722"/>
    <hyperlink r:id="rId7442" ref="D3722"/>
    <hyperlink r:id="rId7443" ref="B3723"/>
    <hyperlink r:id="rId7444" ref="D3723"/>
    <hyperlink r:id="rId7445" ref="B3724"/>
    <hyperlink r:id="rId7446" ref="D3724"/>
    <hyperlink r:id="rId7447" ref="B3725"/>
    <hyperlink r:id="rId7448" ref="D3725"/>
    <hyperlink r:id="rId7449" ref="B3726"/>
    <hyperlink r:id="rId7450" ref="D3726"/>
    <hyperlink r:id="rId7451" ref="B3727"/>
    <hyperlink r:id="rId7452" ref="D3727"/>
    <hyperlink r:id="rId7453" ref="B3728"/>
    <hyperlink r:id="rId7454" ref="D3728"/>
    <hyperlink r:id="rId7455" ref="B3729"/>
    <hyperlink r:id="rId7456" ref="D3729"/>
    <hyperlink r:id="rId7457" ref="B3730"/>
    <hyperlink r:id="rId7458" ref="D3730"/>
    <hyperlink r:id="rId7459" ref="B3731"/>
    <hyperlink r:id="rId7460" ref="D3731"/>
    <hyperlink r:id="rId7461" ref="B3732"/>
    <hyperlink r:id="rId7462" ref="D3732"/>
    <hyperlink r:id="rId7463" ref="B3733"/>
    <hyperlink r:id="rId7464" ref="D3733"/>
    <hyperlink r:id="rId7465" ref="B3734"/>
    <hyperlink r:id="rId7466" ref="D3734"/>
    <hyperlink r:id="rId7467" ref="B3735"/>
    <hyperlink r:id="rId7468" ref="D3735"/>
    <hyperlink r:id="rId7469" ref="B3736"/>
    <hyperlink r:id="rId7470" ref="D3736"/>
    <hyperlink r:id="rId7471" ref="B3737"/>
    <hyperlink r:id="rId7472" ref="D3737"/>
    <hyperlink r:id="rId7473" ref="B3738"/>
    <hyperlink r:id="rId7474" ref="D3738"/>
    <hyperlink r:id="rId7475" ref="B3739"/>
    <hyperlink r:id="rId7476" ref="D3739"/>
    <hyperlink r:id="rId7477" ref="B3740"/>
    <hyperlink r:id="rId7478" ref="D3740"/>
    <hyperlink r:id="rId7479" ref="B3741"/>
    <hyperlink r:id="rId7480" ref="D3741"/>
    <hyperlink r:id="rId7481" ref="B3742"/>
    <hyperlink r:id="rId7482" ref="D3742"/>
    <hyperlink r:id="rId7483" ref="B3743"/>
    <hyperlink r:id="rId7484" ref="D3743"/>
    <hyperlink r:id="rId7485" ref="B3744"/>
    <hyperlink r:id="rId7486" ref="D3744"/>
    <hyperlink r:id="rId7487" ref="B3745"/>
    <hyperlink r:id="rId7488" ref="D3745"/>
    <hyperlink r:id="rId7489" ref="B3746"/>
    <hyperlink r:id="rId7490" ref="D3746"/>
    <hyperlink r:id="rId7491" ref="B3747"/>
    <hyperlink r:id="rId7492" ref="D3747"/>
    <hyperlink r:id="rId7493" ref="B3748"/>
    <hyperlink r:id="rId7494" ref="D3748"/>
    <hyperlink r:id="rId7495" ref="B3749"/>
    <hyperlink r:id="rId7496" ref="D3749"/>
    <hyperlink r:id="rId7497" ref="B3750"/>
    <hyperlink r:id="rId7498" ref="D3750"/>
    <hyperlink r:id="rId7499" ref="B3751"/>
    <hyperlink r:id="rId7500" ref="D3751"/>
    <hyperlink r:id="rId7501" ref="B3752"/>
    <hyperlink r:id="rId7502" ref="D3752"/>
    <hyperlink r:id="rId7503" ref="B3753"/>
    <hyperlink r:id="rId7504" ref="D3753"/>
    <hyperlink r:id="rId7505" ref="B3754"/>
    <hyperlink r:id="rId7506" ref="D3754"/>
    <hyperlink r:id="rId7507" ref="B3755"/>
    <hyperlink r:id="rId7508" ref="D3755"/>
    <hyperlink r:id="rId7509" ref="B3756"/>
    <hyperlink r:id="rId7510" ref="D3756"/>
    <hyperlink r:id="rId7511" ref="B3757"/>
    <hyperlink r:id="rId7512" ref="D3757"/>
    <hyperlink r:id="rId7513" ref="B3758"/>
    <hyperlink r:id="rId7514" ref="D3758"/>
    <hyperlink r:id="rId7515" ref="B3759"/>
    <hyperlink r:id="rId7516" ref="D3759"/>
    <hyperlink r:id="rId7517" ref="B3760"/>
    <hyperlink r:id="rId7518" ref="D3760"/>
    <hyperlink r:id="rId7519" ref="B3761"/>
    <hyperlink r:id="rId7520" ref="D3761"/>
    <hyperlink r:id="rId7521" ref="B3762"/>
    <hyperlink r:id="rId7522" ref="D3762"/>
    <hyperlink r:id="rId7523" ref="B3763"/>
    <hyperlink r:id="rId7524" ref="D3763"/>
    <hyperlink r:id="rId7525" ref="B3764"/>
    <hyperlink r:id="rId7526" ref="D3764"/>
    <hyperlink r:id="rId7527" ref="B3765"/>
    <hyperlink r:id="rId7528" ref="D3765"/>
    <hyperlink r:id="rId7529" ref="B3766"/>
    <hyperlink r:id="rId7530" ref="D3766"/>
    <hyperlink r:id="rId7531" ref="B3767"/>
    <hyperlink r:id="rId7532" ref="D3767"/>
    <hyperlink r:id="rId7533" ref="B3768"/>
    <hyperlink r:id="rId7534" ref="D3768"/>
    <hyperlink r:id="rId7535" ref="B3769"/>
    <hyperlink r:id="rId7536" ref="D3769"/>
    <hyperlink r:id="rId7537" ref="B3770"/>
    <hyperlink r:id="rId7538" ref="D3770"/>
    <hyperlink r:id="rId7539" ref="B3771"/>
    <hyperlink r:id="rId7540" ref="D3771"/>
    <hyperlink r:id="rId7541" ref="B3772"/>
    <hyperlink r:id="rId7542" ref="D3772"/>
    <hyperlink r:id="rId7543" ref="B3773"/>
    <hyperlink r:id="rId7544" ref="D3773"/>
    <hyperlink r:id="rId7545" ref="B3774"/>
    <hyperlink r:id="rId7546" ref="D3774"/>
    <hyperlink r:id="rId7547" ref="B3775"/>
    <hyperlink r:id="rId7548" ref="D3775"/>
    <hyperlink r:id="rId7549" ref="B3776"/>
    <hyperlink r:id="rId7550" ref="D3776"/>
    <hyperlink r:id="rId7551" ref="B3777"/>
    <hyperlink r:id="rId7552" ref="D3777"/>
    <hyperlink r:id="rId7553" ref="B3778"/>
    <hyperlink r:id="rId7554" ref="D3778"/>
    <hyperlink r:id="rId7555" ref="B3779"/>
    <hyperlink r:id="rId7556" ref="D3779"/>
    <hyperlink r:id="rId7557" ref="B3780"/>
    <hyperlink r:id="rId7558" ref="D3780"/>
    <hyperlink r:id="rId7559" ref="B3781"/>
    <hyperlink r:id="rId7560" ref="D3781"/>
    <hyperlink r:id="rId7561" ref="B3782"/>
    <hyperlink r:id="rId7562" ref="D3782"/>
    <hyperlink r:id="rId7563" ref="B3783"/>
    <hyperlink r:id="rId7564" ref="D3783"/>
    <hyperlink r:id="rId7565" ref="B3784"/>
    <hyperlink r:id="rId7566" ref="D3784"/>
    <hyperlink r:id="rId7567" ref="B3785"/>
    <hyperlink r:id="rId7568" ref="D3785"/>
    <hyperlink r:id="rId7569" ref="B3786"/>
    <hyperlink r:id="rId7570" ref="D3786"/>
    <hyperlink r:id="rId7571" ref="B3787"/>
    <hyperlink r:id="rId7572" ref="D3787"/>
    <hyperlink r:id="rId7573" ref="B3788"/>
    <hyperlink r:id="rId7574" ref="D3788"/>
    <hyperlink r:id="rId7575" ref="B3789"/>
    <hyperlink r:id="rId7576" ref="D3789"/>
    <hyperlink r:id="rId7577" ref="B3790"/>
    <hyperlink r:id="rId7578" ref="D3790"/>
    <hyperlink r:id="rId7579" ref="B3791"/>
    <hyperlink r:id="rId7580" ref="D3791"/>
    <hyperlink r:id="rId7581" ref="B3792"/>
    <hyperlink r:id="rId7582" ref="D3792"/>
    <hyperlink r:id="rId7583" ref="B3793"/>
    <hyperlink r:id="rId7584" ref="D3793"/>
    <hyperlink r:id="rId7585" ref="B3794"/>
    <hyperlink r:id="rId7586" ref="D3794"/>
    <hyperlink r:id="rId7587" ref="B3795"/>
    <hyperlink r:id="rId7588" ref="D3795"/>
    <hyperlink r:id="rId7589" ref="B3796"/>
    <hyperlink r:id="rId7590" ref="D3796"/>
    <hyperlink r:id="rId7591" ref="B3797"/>
    <hyperlink r:id="rId7592" ref="D3797"/>
    <hyperlink r:id="rId7593" ref="B3798"/>
    <hyperlink r:id="rId7594" ref="D3798"/>
    <hyperlink r:id="rId7595" ref="B3799"/>
    <hyperlink r:id="rId7596" ref="D3799"/>
    <hyperlink r:id="rId7597" ref="B3800"/>
    <hyperlink r:id="rId7598" ref="D3800"/>
    <hyperlink r:id="rId7599" ref="B3801"/>
    <hyperlink r:id="rId7600" ref="D3801"/>
    <hyperlink r:id="rId7601" ref="B3802"/>
    <hyperlink r:id="rId7602" ref="D3802"/>
    <hyperlink r:id="rId7603" ref="B3803"/>
    <hyperlink r:id="rId7604" ref="D3803"/>
    <hyperlink r:id="rId7605" ref="B3804"/>
    <hyperlink r:id="rId7606" ref="D3804"/>
    <hyperlink r:id="rId7607" ref="B3805"/>
    <hyperlink r:id="rId7608" ref="D3805"/>
    <hyperlink r:id="rId7609" ref="B3806"/>
    <hyperlink r:id="rId7610" ref="D3806"/>
    <hyperlink r:id="rId7611" ref="B3807"/>
    <hyperlink r:id="rId7612" ref="D3807"/>
    <hyperlink r:id="rId7613" ref="B3808"/>
    <hyperlink r:id="rId7614" ref="D3808"/>
    <hyperlink r:id="rId7615" ref="B3809"/>
    <hyperlink r:id="rId7616" ref="D3809"/>
    <hyperlink r:id="rId7617" ref="B3810"/>
    <hyperlink r:id="rId7618" ref="D3810"/>
    <hyperlink r:id="rId7619" ref="B3811"/>
    <hyperlink r:id="rId7620" ref="D3811"/>
    <hyperlink r:id="rId7621" ref="B3812"/>
    <hyperlink r:id="rId7622" ref="D3812"/>
    <hyperlink r:id="rId7623" ref="B3813"/>
    <hyperlink r:id="rId7624" ref="D3813"/>
    <hyperlink r:id="rId7625" ref="B3814"/>
    <hyperlink r:id="rId7626" ref="D3814"/>
    <hyperlink r:id="rId7627" ref="B3815"/>
    <hyperlink r:id="rId7628" ref="D3815"/>
    <hyperlink r:id="rId7629" ref="B3816"/>
    <hyperlink r:id="rId7630" ref="D3816"/>
    <hyperlink r:id="rId7631" ref="B3817"/>
    <hyperlink r:id="rId7632" ref="D3817"/>
    <hyperlink r:id="rId7633" ref="B3818"/>
    <hyperlink r:id="rId7634" ref="D3818"/>
    <hyperlink r:id="rId7635" ref="B3819"/>
    <hyperlink r:id="rId7636" ref="D3819"/>
    <hyperlink r:id="rId7637" ref="B3820"/>
    <hyperlink r:id="rId7638" ref="D3820"/>
    <hyperlink r:id="rId7639" ref="B3821"/>
    <hyperlink r:id="rId7640" ref="D3821"/>
    <hyperlink r:id="rId7641" ref="B3822"/>
    <hyperlink r:id="rId7642" ref="D3822"/>
    <hyperlink r:id="rId7643" ref="B3823"/>
    <hyperlink r:id="rId7644" ref="D3823"/>
    <hyperlink r:id="rId7645" ref="B3824"/>
    <hyperlink r:id="rId7646" ref="D3824"/>
    <hyperlink r:id="rId7647" ref="B3825"/>
    <hyperlink r:id="rId7648" ref="D3825"/>
    <hyperlink r:id="rId7649" ref="B3826"/>
    <hyperlink r:id="rId7650" ref="D3826"/>
    <hyperlink r:id="rId7651" ref="B3827"/>
    <hyperlink r:id="rId7652" ref="D3827"/>
    <hyperlink r:id="rId7653" ref="B3828"/>
    <hyperlink r:id="rId7654" ref="D3828"/>
    <hyperlink r:id="rId7655" ref="B3829"/>
    <hyperlink r:id="rId7656" ref="D3829"/>
    <hyperlink r:id="rId7657" ref="B3830"/>
    <hyperlink r:id="rId7658" ref="D3830"/>
    <hyperlink r:id="rId7659" ref="B3831"/>
    <hyperlink r:id="rId7660" ref="D3831"/>
    <hyperlink r:id="rId7661" ref="B3832"/>
    <hyperlink r:id="rId7662" ref="D3832"/>
    <hyperlink r:id="rId7663" ref="B3833"/>
    <hyperlink r:id="rId7664" ref="D3833"/>
    <hyperlink r:id="rId7665" ref="B3834"/>
    <hyperlink r:id="rId7666" ref="D3834"/>
    <hyperlink r:id="rId7667" ref="B3835"/>
    <hyperlink r:id="rId7668" ref="D3835"/>
    <hyperlink r:id="rId7669" ref="B3836"/>
    <hyperlink r:id="rId7670" ref="D3836"/>
    <hyperlink r:id="rId7671" ref="B3837"/>
    <hyperlink r:id="rId7672" ref="D3837"/>
    <hyperlink r:id="rId7673" ref="B3838"/>
    <hyperlink r:id="rId7674" ref="D3838"/>
    <hyperlink r:id="rId7675" ref="B3839"/>
    <hyperlink r:id="rId7676" ref="D3839"/>
    <hyperlink r:id="rId7677" ref="B3840"/>
    <hyperlink r:id="rId7678" ref="D3840"/>
    <hyperlink r:id="rId7679" ref="B3841"/>
    <hyperlink r:id="rId7680" ref="D3841"/>
    <hyperlink r:id="rId7681" ref="B3842"/>
    <hyperlink r:id="rId7682" ref="D3842"/>
    <hyperlink r:id="rId7683" ref="B3843"/>
    <hyperlink r:id="rId7684" ref="D3843"/>
    <hyperlink r:id="rId7685" ref="B3844"/>
    <hyperlink r:id="rId7686" ref="D3844"/>
    <hyperlink r:id="rId7687" ref="B3845"/>
    <hyperlink r:id="rId7688" ref="D3845"/>
    <hyperlink r:id="rId7689" ref="B3846"/>
    <hyperlink r:id="rId7690" ref="D3846"/>
    <hyperlink r:id="rId7691" ref="B3847"/>
    <hyperlink r:id="rId7692" ref="D3847"/>
    <hyperlink r:id="rId7693" ref="B3848"/>
    <hyperlink r:id="rId7694" ref="D3848"/>
    <hyperlink r:id="rId7695" ref="B3849"/>
    <hyperlink r:id="rId7696" ref="D3849"/>
    <hyperlink r:id="rId7697" ref="B3850"/>
    <hyperlink r:id="rId7698" ref="D3850"/>
    <hyperlink r:id="rId7699" ref="B3851"/>
    <hyperlink r:id="rId7700" ref="D3851"/>
    <hyperlink r:id="rId7701" ref="B3852"/>
    <hyperlink r:id="rId7702" ref="D3852"/>
    <hyperlink r:id="rId7703" ref="B3853"/>
    <hyperlink r:id="rId7704" ref="D3853"/>
    <hyperlink r:id="rId7705" ref="B3854"/>
    <hyperlink r:id="rId7706" ref="D3854"/>
    <hyperlink r:id="rId7707" ref="B3855"/>
    <hyperlink r:id="rId7708" ref="D3855"/>
    <hyperlink r:id="rId7709" ref="B3856"/>
    <hyperlink r:id="rId7710" ref="D3856"/>
    <hyperlink r:id="rId7711" ref="B3857"/>
    <hyperlink r:id="rId7712" ref="D3857"/>
    <hyperlink r:id="rId7713" ref="B3858"/>
    <hyperlink r:id="rId7714" ref="D3858"/>
    <hyperlink r:id="rId7715" ref="B3859"/>
    <hyperlink r:id="rId7716" ref="D3859"/>
    <hyperlink r:id="rId7717" ref="B3860"/>
    <hyperlink r:id="rId7718" ref="D3860"/>
    <hyperlink r:id="rId7719" ref="B3861"/>
    <hyperlink r:id="rId7720" ref="D3861"/>
    <hyperlink r:id="rId7721" ref="B3862"/>
    <hyperlink r:id="rId7722" ref="D3862"/>
    <hyperlink r:id="rId7723" ref="B3863"/>
    <hyperlink r:id="rId7724" ref="D3863"/>
    <hyperlink r:id="rId7725" ref="B3864"/>
    <hyperlink r:id="rId7726" ref="D3864"/>
    <hyperlink r:id="rId7727" ref="B3865"/>
    <hyperlink r:id="rId7728" ref="D3865"/>
    <hyperlink r:id="rId7729" ref="B3866"/>
    <hyperlink r:id="rId7730" ref="D3866"/>
    <hyperlink r:id="rId7731" ref="B3867"/>
    <hyperlink r:id="rId7732" ref="D3867"/>
    <hyperlink r:id="rId7733" ref="B3868"/>
    <hyperlink r:id="rId7734" ref="D3868"/>
    <hyperlink r:id="rId7735" ref="B3869"/>
    <hyperlink r:id="rId7736" ref="D3869"/>
    <hyperlink r:id="rId7737" ref="B3870"/>
    <hyperlink r:id="rId7738" ref="D3870"/>
    <hyperlink r:id="rId7739" ref="B3871"/>
    <hyperlink r:id="rId7740" ref="D3871"/>
    <hyperlink r:id="rId7741" ref="B3872"/>
    <hyperlink r:id="rId7742" ref="D3872"/>
    <hyperlink r:id="rId7743" ref="B3873"/>
    <hyperlink r:id="rId7744" ref="D3873"/>
    <hyperlink r:id="rId7745" ref="B3874"/>
    <hyperlink r:id="rId7746" ref="D3874"/>
    <hyperlink r:id="rId7747" ref="B3875"/>
    <hyperlink r:id="rId7748" ref="D3875"/>
    <hyperlink r:id="rId7749" ref="B3876"/>
    <hyperlink r:id="rId7750" ref="D3876"/>
    <hyperlink r:id="rId7751" ref="B3877"/>
    <hyperlink r:id="rId7752" ref="D3877"/>
    <hyperlink r:id="rId7753" ref="B3878"/>
    <hyperlink r:id="rId7754" ref="D3878"/>
    <hyperlink r:id="rId7755" ref="B3879"/>
    <hyperlink r:id="rId7756" ref="D3879"/>
    <hyperlink r:id="rId7757" ref="B3880"/>
    <hyperlink r:id="rId7758" ref="D3880"/>
    <hyperlink r:id="rId7759" ref="B3881"/>
    <hyperlink r:id="rId7760" ref="D3881"/>
    <hyperlink r:id="rId7761" ref="B3882"/>
    <hyperlink r:id="rId7762" ref="D3882"/>
    <hyperlink r:id="rId7763" ref="B3883"/>
    <hyperlink r:id="rId7764" ref="D3883"/>
    <hyperlink r:id="rId7765" ref="B3884"/>
    <hyperlink r:id="rId7766" ref="D3884"/>
    <hyperlink r:id="rId7767" ref="B3885"/>
    <hyperlink r:id="rId7768" ref="D3885"/>
    <hyperlink r:id="rId7769" ref="B3886"/>
    <hyperlink r:id="rId7770" ref="D3886"/>
    <hyperlink r:id="rId7771" ref="B3887"/>
    <hyperlink r:id="rId7772" ref="D3887"/>
    <hyperlink r:id="rId7773" ref="B3888"/>
    <hyperlink r:id="rId7774" ref="D3888"/>
    <hyperlink r:id="rId7775" ref="B3889"/>
    <hyperlink r:id="rId7776" ref="D3889"/>
    <hyperlink r:id="rId7777" ref="B3890"/>
    <hyperlink r:id="rId7778" ref="D3890"/>
    <hyperlink r:id="rId7779" ref="B3891"/>
    <hyperlink r:id="rId7780" ref="D3891"/>
    <hyperlink r:id="rId7781" ref="B3892"/>
    <hyperlink r:id="rId7782" ref="D3892"/>
    <hyperlink r:id="rId7783" ref="B3893"/>
    <hyperlink r:id="rId7784" ref="D3893"/>
    <hyperlink r:id="rId7785" ref="B3894"/>
    <hyperlink r:id="rId7786" ref="D3894"/>
    <hyperlink r:id="rId7787" ref="B3895"/>
    <hyperlink r:id="rId7788" ref="D3895"/>
    <hyperlink r:id="rId7789" ref="B3896"/>
    <hyperlink r:id="rId7790" ref="D3896"/>
    <hyperlink r:id="rId7791" ref="B3897"/>
    <hyperlink r:id="rId7792" ref="D3897"/>
    <hyperlink r:id="rId7793" ref="B3898"/>
    <hyperlink r:id="rId7794" ref="D3898"/>
    <hyperlink r:id="rId7795" ref="B3899"/>
    <hyperlink r:id="rId7796" ref="D3899"/>
    <hyperlink r:id="rId7797" ref="B3900"/>
    <hyperlink r:id="rId7798" ref="D3900"/>
    <hyperlink r:id="rId7799" ref="B3901"/>
    <hyperlink r:id="rId7800" ref="D3901"/>
    <hyperlink r:id="rId7801" ref="B3902"/>
    <hyperlink r:id="rId7802" ref="D3902"/>
    <hyperlink r:id="rId7803" ref="B3903"/>
    <hyperlink r:id="rId7804" ref="D3903"/>
    <hyperlink r:id="rId7805" ref="B3904"/>
    <hyperlink r:id="rId7806" ref="D3904"/>
    <hyperlink r:id="rId7807" ref="B3905"/>
    <hyperlink r:id="rId7808" ref="D3905"/>
    <hyperlink r:id="rId7809" ref="B3906"/>
    <hyperlink r:id="rId7810" ref="D3906"/>
    <hyperlink r:id="rId7811" ref="B3907"/>
    <hyperlink r:id="rId7812" ref="D3907"/>
    <hyperlink r:id="rId7813" ref="B3908"/>
    <hyperlink r:id="rId7814" ref="D3908"/>
    <hyperlink r:id="rId7815" ref="B3909"/>
    <hyperlink r:id="rId7816" ref="D3909"/>
    <hyperlink r:id="rId7817" ref="B3910"/>
    <hyperlink r:id="rId7818" ref="D3910"/>
    <hyperlink r:id="rId7819" ref="B3911"/>
    <hyperlink r:id="rId7820" ref="D3911"/>
    <hyperlink r:id="rId7821" ref="B3912"/>
    <hyperlink r:id="rId7822" ref="D3912"/>
    <hyperlink r:id="rId7823" ref="B3913"/>
    <hyperlink r:id="rId7824" ref="D3913"/>
    <hyperlink r:id="rId7825" ref="B3914"/>
    <hyperlink r:id="rId7826" ref="D3914"/>
    <hyperlink r:id="rId7827" ref="B3915"/>
    <hyperlink r:id="rId7828" ref="D3915"/>
    <hyperlink r:id="rId7829" ref="B3916"/>
    <hyperlink r:id="rId7830" ref="D3916"/>
    <hyperlink r:id="rId7831" ref="B3917"/>
    <hyperlink r:id="rId7832" ref="D3917"/>
    <hyperlink r:id="rId7833" ref="B3918"/>
    <hyperlink r:id="rId7834" ref="D3918"/>
    <hyperlink r:id="rId7835" ref="B3919"/>
    <hyperlink r:id="rId7836" ref="D3919"/>
    <hyperlink r:id="rId7837" ref="B3920"/>
    <hyperlink r:id="rId7838" ref="D3920"/>
    <hyperlink r:id="rId7839" ref="B3921"/>
    <hyperlink r:id="rId7840" ref="D3921"/>
    <hyperlink r:id="rId7841" ref="B3922"/>
    <hyperlink r:id="rId7842" ref="D3922"/>
    <hyperlink r:id="rId7843" ref="B3923"/>
    <hyperlink r:id="rId7844" ref="D3923"/>
    <hyperlink r:id="rId7845" ref="B3924"/>
    <hyperlink r:id="rId7846" ref="D3924"/>
    <hyperlink r:id="rId7847" ref="B3925"/>
    <hyperlink r:id="rId7848" ref="D3925"/>
    <hyperlink r:id="rId7849" ref="B3926"/>
    <hyperlink r:id="rId7850" ref="D3926"/>
    <hyperlink r:id="rId7851" ref="B3927"/>
    <hyperlink r:id="rId7852" ref="D3927"/>
    <hyperlink r:id="rId7853" ref="B3928"/>
    <hyperlink r:id="rId7854" ref="D3928"/>
    <hyperlink r:id="rId7855" ref="B3929"/>
    <hyperlink r:id="rId7856" ref="D3929"/>
    <hyperlink r:id="rId7857" ref="B3930"/>
    <hyperlink r:id="rId7858" ref="D3930"/>
    <hyperlink r:id="rId7859" ref="B3931"/>
    <hyperlink r:id="rId7860" ref="D3931"/>
    <hyperlink r:id="rId7861" ref="B3932"/>
    <hyperlink r:id="rId7862" ref="D3932"/>
    <hyperlink r:id="rId7863" ref="B3933"/>
    <hyperlink r:id="rId7864" ref="D3933"/>
    <hyperlink r:id="rId7865" ref="B3934"/>
    <hyperlink r:id="rId7866" ref="D3934"/>
    <hyperlink r:id="rId7867" ref="B3935"/>
    <hyperlink r:id="rId7868" ref="D3935"/>
    <hyperlink r:id="rId7869" ref="B3936"/>
    <hyperlink r:id="rId7870" ref="D3936"/>
    <hyperlink r:id="rId7871" ref="B3937"/>
    <hyperlink r:id="rId7872" ref="D3937"/>
    <hyperlink r:id="rId7873" ref="B3938"/>
    <hyperlink r:id="rId7874" ref="D3938"/>
    <hyperlink r:id="rId7875" ref="B3939"/>
    <hyperlink r:id="rId7876" ref="D3939"/>
    <hyperlink r:id="rId7877" ref="B3940"/>
    <hyperlink r:id="rId7878" ref="D3940"/>
    <hyperlink r:id="rId7879" ref="B3941"/>
    <hyperlink r:id="rId7880" ref="D3941"/>
    <hyperlink r:id="rId7881" ref="B3942"/>
    <hyperlink r:id="rId7882" ref="D3942"/>
    <hyperlink r:id="rId7883" ref="B3943"/>
    <hyperlink r:id="rId7884" ref="D3943"/>
    <hyperlink r:id="rId7885" ref="B3944"/>
    <hyperlink r:id="rId7886" ref="D3944"/>
    <hyperlink r:id="rId7887" ref="B3945"/>
    <hyperlink r:id="rId7888" ref="D3945"/>
    <hyperlink r:id="rId7889" ref="B3946"/>
    <hyperlink r:id="rId7890" ref="D3946"/>
    <hyperlink r:id="rId7891" ref="B3947"/>
    <hyperlink r:id="rId7892" ref="D3947"/>
    <hyperlink r:id="rId7893" ref="B3948"/>
    <hyperlink r:id="rId7894" ref="D3948"/>
    <hyperlink r:id="rId7895" ref="B3949"/>
    <hyperlink r:id="rId7896" ref="D3949"/>
    <hyperlink r:id="rId7897" ref="B3950"/>
    <hyperlink r:id="rId7898" ref="D3950"/>
    <hyperlink r:id="rId7899" ref="B3951"/>
    <hyperlink r:id="rId7900" ref="D3951"/>
    <hyperlink r:id="rId7901" ref="B3952"/>
    <hyperlink r:id="rId7902" ref="D3952"/>
    <hyperlink r:id="rId7903" ref="B3953"/>
    <hyperlink r:id="rId7904" ref="D3953"/>
    <hyperlink r:id="rId7905" ref="B3954"/>
    <hyperlink r:id="rId7906" ref="D3954"/>
    <hyperlink r:id="rId7907" ref="B3955"/>
    <hyperlink r:id="rId7908" ref="D3955"/>
    <hyperlink r:id="rId7909" ref="B3956"/>
    <hyperlink r:id="rId7910" ref="D3956"/>
    <hyperlink r:id="rId7911" ref="B3957"/>
    <hyperlink r:id="rId7912" ref="D3957"/>
    <hyperlink r:id="rId7913" ref="B3958"/>
    <hyperlink r:id="rId7914" ref="D3958"/>
    <hyperlink r:id="rId7915" ref="B3959"/>
    <hyperlink r:id="rId7916" ref="D3959"/>
    <hyperlink r:id="rId7917" ref="B3960"/>
    <hyperlink r:id="rId7918" ref="D3960"/>
    <hyperlink r:id="rId7919" ref="B3961"/>
    <hyperlink r:id="rId7920" ref="D3961"/>
    <hyperlink r:id="rId7921" ref="B3962"/>
    <hyperlink r:id="rId7922" ref="D3962"/>
    <hyperlink r:id="rId7923" ref="B3963"/>
    <hyperlink r:id="rId7924" ref="D3963"/>
    <hyperlink r:id="rId7925" ref="B3964"/>
    <hyperlink r:id="rId7926" ref="D3964"/>
    <hyperlink r:id="rId7927" ref="B3965"/>
    <hyperlink r:id="rId7928" ref="D3965"/>
    <hyperlink r:id="rId7929" ref="B3966"/>
    <hyperlink r:id="rId7930" ref="D3966"/>
    <hyperlink r:id="rId7931" ref="B3967"/>
    <hyperlink r:id="rId7932" ref="D3967"/>
    <hyperlink r:id="rId7933" ref="B3968"/>
    <hyperlink r:id="rId7934" ref="D3968"/>
    <hyperlink r:id="rId7935" ref="B3969"/>
    <hyperlink r:id="rId7936" ref="D3969"/>
    <hyperlink r:id="rId7937" ref="B3970"/>
    <hyperlink r:id="rId7938" ref="D3970"/>
    <hyperlink r:id="rId7939" ref="B3971"/>
    <hyperlink r:id="rId7940" ref="D3971"/>
    <hyperlink r:id="rId7941" ref="B3972"/>
    <hyperlink r:id="rId7942" ref="D3972"/>
    <hyperlink r:id="rId7943" ref="B3973"/>
    <hyperlink r:id="rId7944" ref="D3973"/>
    <hyperlink r:id="rId7945" ref="B3974"/>
    <hyperlink r:id="rId7946" ref="D3974"/>
    <hyperlink r:id="rId7947" ref="B3975"/>
    <hyperlink r:id="rId7948" ref="D3975"/>
    <hyperlink r:id="rId7949" ref="B3976"/>
    <hyperlink r:id="rId7950" ref="D3976"/>
    <hyperlink r:id="rId7951" ref="B3977"/>
    <hyperlink r:id="rId7952" ref="D3977"/>
    <hyperlink r:id="rId7953" ref="B3978"/>
    <hyperlink r:id="rId7954" ref="D3978"/>
    <hyperlink r:id="rId7955" ref="B3979"/>
    <hyperlink r:id="rId7956" ref="D3979"/>
    <hyperlink r:id="rId7957" ref="B3980"/>
    <hyperlink r:id="rId7958" ref="D3980"/>
    <hyperlink r:id="rId7959" ref="B3981"/>
    <hyperlink r:id="rId7960" ref="D3981"/>
    <hyperlink r:id="rId7961" ref="B3982"/>
    <hyperlink r:id="rId7962" ref="D3982"/>
    <hyperlink r:id="rId7963" ref="B3983"/>
    <hyperlink r:id="rId7964" ref="D3983"/>
    <hyperlink r:id="rId7965" ref="B3984"/>
    <hyperlink r:id="rId7966" ref="D3984"/>
    <hyperlink r:id="rId7967" ref="B3985"/>
    <hyperlink r:id="rId7968" ref="D3985"/>
    <hyperlink r:id="rId7969" ref="B3986"/>
    <hyperlink r:id="rId7970" ref="D3986"/>
    <hyperlink r:id="rId7971" ref="B3987"/>
    <hyperlink r:id="rId7972" ref="D3987"/>
    <hyperlink r:id="rId7973" ref="B3988"/>
    <hyperlink r:id="rId7974" ref="D3988"/>
    <hyperlink r:id="rId7975" ref="B3989"/>
    <hyperlink r:id="rId7976" ref="D3989"/>
    <hyperlink r:id="rId7977" ref="B3990"/>
    <hyperlink r:id="rId7978" ref="D3990"/>
    <hyperlink r:id="rId7979" ref="B3991"/>
    <hyperlink r:id="rId7980" ref="D3991"/>
    <hyperlink r:id="rId7981" ref="B3992"/>
    <hyperlink r:id="rId7982" ref="D3992"/>
    <hyperlink r:id="rId7983" ref="B3993"/>
    <hyperlink r:id="rId7984" ref="D3993"/>
    <hyperlink r:id="rId7985" ref="B3994"/>
    <hyperlink r:id="rId7986" ref="D3994"/>
    <hyperlink r:id="rId7987" ref="B3995"/>
    <hyperlink r:id="rId7988" ref="D3995"/>
    <hyperlink r:id="rId7989" ref="B3996"/>
    <hyperlink r:id="rId7990" ref="D3996"/>
    <hyperlink r:id="rId7991" ref="B3997"/>
    <hyperlink r:id="rId7992" ref="D3997"/>
    <hyperlink r:id="rId7993" ref="B3998"/>
    <hyperlink r:id="rId7994" ref="D3998"/>
    <hyperlink r:id="rId7995" ref="B3999"/>
    <hyperlink r:id="rId7996" ref="D3999"/>
    <hyperlink r:id="rId7997" ref="B4000"/>
    <hyperlink r:id="rId7998" ref="D4000"/>
    <hyperlink r:id="rId7999" ref="B4001"/>
    <hyperlink r:id="rId8000" ref="D4001"/>
    <hyperlink r:id="rId8001" ref="B4002"/>
    <hyperlink r:id="rId8002" ref="D4002"/>
    <hyperlink r:id="rId8003" ref="B4003"/>
    <hyperlink r:id="rId8004" ref="D4003"/>
    <hyperlink r:id="rId8005" ref="B4004"/>
    <hyperlink r:id="rId8006" ref="D4004"/>
    <hyperlink r:id="rId8007" ref="B4005"/>
    <hyperlink r:id="rId8008" ref="D4005"/>
    <hyperlink r:id="rId8009" ref="B4006"/>
    <hyperlink r:id="rId8010" ref="D4006"/>
    <hyperlink r:id="rId8011" ref="B4007"/>
    <hyperlink r:id="rId8012" ref="D4007"/>
    <hyperlink r:id="rId8013" ref="B4008"/>
    <hyperlink r:id="rId8014" ref="D4008"/>
    <hyperlink r:id="rId8015" ref="B4009"/>
    <hyperlink r:id="rId8016" ref="D4009"/>
    <hyperlink r:id="rId8017" ref="B4010"/>
    <hyperlink r:id="rId8018" ref="D4010"/>
    <hyperlink r:id="rId8019" ref="B4011"/>
    <hyperlink r:id="rId8020" ref="D4011"/>
    <hyperlink r:id="rId8021" ref="B4012"/>
    <hyperlink r:id="rId8022" ref="D4012"/>
    <hyperlink r:id="rId8023" ref="B4013"/>
    <hyperlink r:id="rId8024" ref="D4013"/>
    <hyperlink r:id="rId8025" ref="B4014"/>
    <hyperlink r:id="rId8026" ref="D4014"/>
    <hyperlink r:id="rId8027" ref="B4015"/>
    <hyperlink r:id="rId8028" ref="D4015"/>
    <hyperlink r:id="rId8029" ref="B4016"/>
    <hyperlink r:id="rId8030" ref="D4016"/>
    <hyperlink r:id="rId8031" ref="B4017"/>
    <hyperlink r:id="rId8032" ref="D4017"/>
    <hyperlink r:id="rId8033" ref="B4018"/>
    <hyperlink r:id="rId8034" ref="D4018"/>
    <hyperlink r:id="rId8035" ref="B4019"/>
    <hyperlink r:id="rId8036" ref="D4019"/>
    <hyperlink r:id="rId8037" ref="B4020"/>
    <hyperlink r:id="rId8038" ref="D4020"/>
    <hyperlink r:id="rId8039" ref="B4021"/>
    <hyperlink r:id="rId8040" ref="D4021"/>
    <hyperlink r:id="rId8041" ref="B4022"/>
    <hyperlink r:id="rId8042" ref="D4022"/>
    <hyperlink r:id="rId8043" ref="B4023"/>
    <hyperlink r:id="rId8044" ref="D4023"/>
    <hyperlink r:id="rId8045" ref="B4024"/>
    <hyperlink r:id="rId8046" ref="D4024"/>
    <hyperlink r:id="rId8047" ref="B4025"/>
    <hyperlink r:id="rId8048" ref="D4025"/>
    <hyperlink r:id="rId8049" ref="B4026"/>
    <hyperlink r:id="rId8050" ref="D4026"/>
    <hyperlink r:id="rId8051" ref="B4027"/>
    <hyperlink r:id="rId8052" ref="D4027"/>
    <hyperlink r:id="rId8053" ref="B4028"/>
    <hyperlink r:id="rId8054" ref="D4028"/>
    <hyperlink r:id="rId8055" ref="B4029"/>
    <hyperlink r:id="rId8056" ref="D4029"/>
    <hyperlink r:id="rId8057" ref="B4030"/>
    <hyperlink r:id="rId8058" ref="D4030"/>
    <hyperlink r:id="rId8059" ref="B4031"/>
    <hyperlink r:id="rId8060" ref="D4031"/>
    <hyperlink r:id="rId8061" ref="B4032"/>
    <hyperlink r:id="rId8062" ref="D4032"/>
    <hyperlink r:id="rId8063" ref="B4033"/>
    <hyperlink r:id="rId8064" ref="D4033"/>
    <hyperlink r:id="rId8065" ref="B4034"/>
    <hyperlink r:id="rId8066" ref="D4034"/>
    <hyperlink r:id="rId8067" ref="B4035"/>
    <hyperlink r:id="rId8068" ref="D4035"/>
    <hyperlink r:id="rId8069" ref="B4036"/>
    <hyperlink r:id="rId8070" ref="D4036"/>
    <hyperlink r:id="rId8071" ref="B4037"/>
    <hyperlink r:id="rId8072" ref="D4037"/>
    <hyperlink r:id="rId8073" ref="B4038"/>
    <hyperlink r:id="rId8074" ref="D4038"/>
    <hyperlink r:id="rId8075" ref="B4039"/>
    <hyperlink r:id="rId8076" ref="D4039"/>
    <hyperlink r:id="rId8077" ref="B4040"/>
    <hyperlink r:id="rId8078" ref="D4040"/>
    <hyperlink r:id="rId8079" ref="B4041"/>
    <hyperlink r:id="rId8080" ref="D4041"/>
    <hyperlink r:id="rId8081" ref="B4042"/>
    <hyperlink r:id="rId8082" ref="D4042"/>
    <hyperlink r:id="rId8083" ref="B4043"/>
    <hyperlink r:id="rId8084" ref="D4043"/>
    <hyperlink r:id="rId8085" ref="B4044"/>
    <hyperlink r:id="rId8086" ref="D4044"/>
    <hyperlink r:id="rId8087" ref="B4045"/>
    <hyperlink r:id="rId8088" ref="D4045"/>
    <hyperlink r:id="rId8089" ref="B4046"/>
    <hyperlink r:id="rId8090" ref="D4046"/>
    <hyperlink r:id="rId8091" ref="B4047"/>
    <hyperlink r:id="rId8092" ref="D4047"/>
    <hyperlink r:id="rId8093" ref="B4048"/>
    <hyperlink r:id="rId8094" ref="D4048"/>
    <hyperlink r:id="rId8095" ref="B4049"/>
    <hyperlink r:id="rId8096" ref="D4049"/>
    <hyperlink r:id="rId8097" ref="B4050"/>
    <hyperlink r:id="rId8098" ref="D4050"/>
    <hyperlink r:id="rId8099" ref="B4051"/>
    <hyperlink r:id="rId8100" ref="D4051"/>
    <hyperlink r:id="rId8101" ref="B4052"/>
    <hyperlink r:id="rId8102" ref="D4052"/>
    <hyperlink r:id="rId8103" ref="B4053"/>
    <hyperlink r:id="rId8104" ref="D4053"/>
    <hyperlink r:id="rId8105" ref="B4054"/>
    <hyperlink r:id="rId8106" ref="D4054"/>
    <hyperlink r:id="rId8107" ref="B4055"/>
    <hyperlink r:id="rId8108" ref="D4055"/>
    <hyperlink r:id="rId8109" ref="B4056"/>
    <hyperlink r:id="rId8110" ref="D4056"/>
    <hyperlink r:id="rId8111" ref="B4057"/>
    <hyperlink r:id="rId8112" ref="D4057"/>
    <hyperlink r:id="rId8113" ref="B4058"/>
    <hyperlink r:id="rId8114" ref="D4058"/>
    <hyperlink r:id="rId8115" ref="B4059"/>
    <hyperlink r:id="rId8116" ref="D4059"/>
    <hyperlink r:id="rId8117" ref="B4060"/>
    <hyperlink r:id="rId8118" ref="D4060"/>
    <hyperlink r:id="rId8119" ref="B4061"/>
    <hyperlink r:id="rId8120" ref="D4061"/>
    <hyperlink r:id="rId8121" ref="B4062"/>
    <hyperlink r:id="rId8122" ref="D4062"/>
    <hyperlink r:id="rId8123" ref="B4063"/>
    <hyperlink r:id="rId8124" ref="D4063"/>
    <hyperlink r:id="rId8125" ref="B4064"/>
    <hyperlink r:id="rId8126" ref="D4064"/>
    <hyperlink r:id="rId8127" ref="B4065"/>
    <hyperlink r:id="rId8128" ref="D4065"/>
    <hyperlink r:id="rId8129" ref="B4066"/>
    <hyperlink r:id="rId8130" ref="D4066"/>
    <hyperlink r:id="rId8131" ref="B4067"/>
    <hyperlink r:id="rId8132" ref="D4067"/>
    <hyperlink r:id="rId8133" ref="B4068"/>
    <hyperlink r:id="rId8134" ref="D4068"/>
    <hyperlink r:id="rId8135" ref="B4069"/>
    <hyperlink r:id="rId8136" ref="D4069"/>
    <hyperlink r:id="rId8137" ref="B4070"/>
    <hyperlink r:id="rId8138" ref="D4070"/>
    <hyperlink r:id="rId8139" ref="B4071"/>
    <hyperlink r:id="rId8140" ref="D4071"/>
    <hyperlink r:id="rId8141" ref="B4072"/>
    <hyperlink r:id="rId8142" ref="D4072"/>
    <hyperlink r:id="rId8143" ref="B4073"/>
    <hyperlink r:id="rId8144" ref="D4073"/>
    <hyperlink r:id="rId8145" ref="B4074"/>
    <hyperlink r:id="rId8146" ref="D4074"/>
    <hyperlink r:id="rId8147" ref="B4075"/>
    <hyperlink r:id="rId8148" ref="D4075"/>
    <hyperlink r:id="rId8149" ref="B4076"/>
    <hyperlink r:id="rId8150" ref="D4076"/>
    <hyperlink r:id="rId8151" ref="B4077"/>
    <hyperlink r:id="rId8152" ref="D4077"/>
    <hyperlink r:id="rId8153" ref="B4078"/>
    <hyperlink r:id="rId8154" ref="D4078"/>
    <hyperlink r:id="rId8155" ref="B4079"/>
    <hyperlink r:id="rId8156" ref="D4079"/>
    <hyperlink r:id="rId8157" ref="B4080"/>
    <hyperlink r:id="rId8158" ref="D4080"/>
    <hyperlink r:id="rId8159" ref="B4081"/>
    <hyperlink r:id="rId8160" ref="D4081"/>
    <hyperlink r:id="rId8161" ref="B4082"/>
    <hyperlink r:id="rId8162" ref="D4082"/>
    <hyperlink r:id="rId8163" ref="B4083"/>
    <hyperlink r:id="rId8164" ref="D4083"/>
    <hyperlink r:id="rId8165" ref="B4084"/>
    <hyperlink r:id="rId8166" ref="D4084"/>
    <hyperlink r:id="rId8167" ref="B4085"/>
    <hyperlink r:id="rId8168" ref="D4085"/>
    <hyperlink r:id="rId8169" ref="B4086"/>
    <hyperlink r:id="rId8170" ref="D4086"/>
    <hyperlink r:id="rId8171" ref="B4087"/>
    <hyperlink r:id="rId8172" ref="D4087"/>
    <hyperlink r:id="rId8173" ref="B4088"/>
    <hyperlink r:id="rId8174" ref="D4088"/>
    <hyperlink r:id="rId8175" ref="B4089"/>
    <hyperlink r:id="rId8176" ref="D4089"/>
    <hyperlink r:id="rId8177" ref="B4090"/>
    <hyperlink r:id="rId8178" ref="D4090"/>
    <hyperlink r:id="rId8179" ref="B4091"/>
    <hyperlink r:id="rId8180" ref="D4091"/>
    <hyperlink r:id="rId8181" ref="B4092"/>
    <hyperlink r:id="rId8182" ref="D4092"/>
    <hyperlink r:id="rId8183" ref="B4093"/>
    <hyperlink r:id="rId8184" ref="D4093"/>
    <hyperlink r:id="rId8185" ref="B4094"/>
    <hyperlink r:id="rId8186" ref="D4094"/>
    <hyperlink r:id="rId8187" ref="B4095"/>
    <hyperlink r:id="rId8188" ref="D4095"/>
    <hyperlink r:id="rId8189" ref="B4096"/>
    <hyperlink r:id="rId8190" ref="D4096"/>
    <hyperlink r:id="rId8191" ref="B4097"/>
    <hyperlink r:id="rId8192" ref="D4097"/>
    <hyperlink r:id="rId8193" ref="B4098"/>
    <hyperlink r:id="rId8194" ref="D4098"/>
    <hyperlink r:id="rId8195" ref="B4099"/>
    <hyperlink r:id="rId8196" ref="D4099"/>
    <hyperlink r:id="rId8197" ref="B4100"/>
    <hyperlink r:id="rId8198" ref="D4100"/>
    <hyperlink r:id="rId8199" ref="B4101"/>
    <hyperlink r:id="rId8200" ref="D4101"/>
    <hyperlink r:id="rId8201" ref="B4102"/>
    <hyperlink r:id="rId8202" ref="D4102"/>
    <hyperlink r:id="rId8203" ref="B4103"/>
    <hyperlink r:id="rId8204" ref="D4103"/>
    <hyperlink r:id="rId8205" ref="B4104"/>
    <hyperlink r:id="rId8206" ref="D4104"/>
    <hyperlink r:id="rId8207" ref="B4105"/>
    <hyperlink r:id="rId8208" ref="D4105"/>
    <hyperlink r:id="rId8209" ref="B4106"/>
    <hyperlink r:id="rId8210" ref="D4106"/>
    <hyperlink r:id="rId8211" ref="B4107"/>
    <hyperlink r:id="rId8212" ref="D4107"/>
    <hyperlink r:id="rId8213" ref="B4108"/>
    <hyperlink r:id="rId8214" ref="D4108"/>
    <hyperlink r:id="rId8215" ref="B4109"/>
    <hyperlink r:id="rId8216" ref="D4109"/>
    <hyperlink r:id="rId8217" ref="B4110"/>
    <hyperlink r:id="rId8218" ref="D4110"/>
    <hyperlink r:id="rId8219" ref="B4111"/>
    <hyperlink r:id="rId8220" ref="D4111"/>
    <hyperlink r:id="rId8221" ref="B4112"/>
    <hyperlink r:id="rId8222" ref="D4112"/>
    <hyperlink r:id="rId8223" ref="B4113"/>
    <hyperlink r:id="rId8224" ref="D4113"/>
    <hyperlink r:id="rId8225" ref="B4114"/>
    <hyperlink r:id="rId8226" ref="D4114"/>
    <hyperlink r:id="rId8227" ref="B4115"/>
    <hyperlink r:id="rId8228" ref="D4115"/>
    <hyperlink r:id="rId8229" ref="B4116"/>
    <hyperlink r:id="rId8230" ref="D4116"/>
    <hyperlink r:id="rId8231" ref="B4117"/>
    <hyperlink r:id="rId8232" ref="D4117"/>
    <hyperlink r:id="rId8233" ref="B4118"/>
    <hyperlink r:id="rId8234" ref="D4118"/>
    <hyperlink r:id="rId8235" ref="B4119"/>
    <hyperlink r:id="rId8236" ref="D4119"/>
    <hyperlink r:id="rId8237" ref="B4120"/>
    <hyperlink r:id="rId8238" ref="D4120"/>
    <hyperlink r:id="rId8239" ref="B4121"/>
    <hyperlink r:id="rId8240" ref="D4121"/>
    <hyperlink r:id="rId8241" ref="B4122"/>
    <hyperlink r:id="rId8242" ref="D4122"/>
    <hyperlink r:id="rId8243" ref="B4123"/>
    <hyperlink r:id="rId8244" ref="D4123"/>
    <hyperlink r:id="rId8245" ref="B4124"/>
    <hyperlink r:id="rId8246" ref="D4124"/>
    <hyperlink r:id="rId8247" ref="B4125"/>
    <hyperlink r:id="rId8248" ref="D4125"/>
    <hyperlink r:id="rId8249" ref="B4126"/>
    <hyperlink r:id="rId8250" ref="D4126"/>
    <hyperlink r:id="rId8251" ref="B4127"/>
    <hyperlink r:id="rId8252" ref="D4127"/>
    <hyperlink r:id="rId8253" ref="B4128"/>
    <hyperlink r:id="rId8254" ref="D4128"/>
    <hyperlink r:id="rId8255" ref="B4129"/>
    <hyperlink r:id="rId8256" ref="D4129"/>
    <hyperlink r:id="rId8257" ref="B4130"/>
    <hyperlink r:id="rId8258" ref="D4130"/>
    <hyperlink r:id="rId8259" ref="B4131"/>
    <hyperlink r:id="rId8260" ref="D4131"/>
    <hyperlink r:id="rId8261" ref="B4132"/>
    <hyperlink r:id="rId8262" ref="D4132"/>
    <hyperlink r:id="rId8263" ref="B4133"/>
    <hyperlink r:id="rId8264" ref="D4133"/>
    <hyperlink r:id="rId8265" ref="B4134"/>
    <hyperlink r:id="rId8266" ref="D4134"/>
    <hyperlink r:id="rId8267" ref="B4135"/>
    <hyperlink r:id="rId8268" ref="D4135"/>
    <hyperlink r:id="rId8269" ref="B4136"/>
    <hyperlink r:id="rId8270" ref="D4136"/>
    <hyperlink r:id="rId8271" ref="B4137"/>
    <hyperlink r:id="rId8272" ref="D4137"/>
    <hyperlink r:id="rId8273" ref="B4138"/>
    <hyperlink r:id="rId8274" ref="D4138"/>
    <hyperlink r:id="rId8275" ref="B4139"/>
    <hyperlink r:id="rId8276" ref="D4139"/>
    <hyperlink r:id="rId8277" ref="B4140"/>
    <hyperlink r:id="rId8278" ref="D4140"/>
    <hyperlink r:id="rId8279" ref="B4141"/>
    <hyperlink r:id="rId8280" ref="D4141"/>
    <hyperlink r:id="rId8281" ref="B4142"/>
    <hyperlink r:id="rId8282" ref="D4142"/>
    <hyperlink r:id="rId8283" ref="B4143"/>
    <hyperlink r:id="rId8284" ref="D4143"/>
    <hyperlink r:id="rId8285" ref="B4144"/>
    <hyperlink r:id="rId8286" ref="D4144"/>
    <hyperlink r:id="rId8287" ref="B4145"/>
    <hyperlink r:id="rId8288" ref="D4145"/>
    <hyperlink r:id="rId8289" ref="B4146"/>
    <hyperlink r:id="rId8290" ref="D4146"/>
    <hyperlink r:id="rId8291" ref="B4147"/>
    <hyperlink r:id="rId8292" ref="D4147"/>
    <hyperlink r:id="rId8293" ref="B4148"/>
    <hyperlink r:id="rId8294" ref="D4148"/>
    <hyperlink r:id="rId8295" ref="B4149"/>
    <hyperlink r:id="rId8296" ref="D4149"/>
    <hyperlink r:id="rId8297" ref="B4150"/>
    <hyperlink r:id="rId8298" ref="D4150"/>
    <hyperlink r:id="rId8299" ref="B4151"/>
    <hyperlink r:id="rId8300" ref="D4151"/>
    <hyperlink r:id="rId8301" ref="B4152"/>
    <hyperlink r:id="rId8302" ref="D4152"/>
    <hyperlink r:id="rId8303" ref="B4153"/>
    <hyperlink r:id="rId8304" ref="D4153"/>
    <hyperlink r:id="rId8305" ref="B4154"/>
    <hyperlink r:id="rId8306" ref="D4154"/>
    <hyperlink r:id="rId8307" ref="B4155"/>
    <hyperlink r:id="rId8308" ref="D4155"/>
    <hyperlink r:id="rId8309" ref="B4156"/>
    <hyperlink r:id="rId8310" ref="D4156"/>
    <hyperlink r:id="rId8311" ref="B4157"/>
    <hyperlink r:id="rId8312" ref="D4157"/>
    <hyperlink r:id="rId8313" ref="B4158"/>
    <hyperlink r:id="rId8314" ref="D4158"/>
    <hyperlink r:id="rId8315" ref="B4159"/>
    <hyperlink r:id="rId8316" ref="D4159"/>
    <hyperlink r:id="rId8317" ref="B4160"/>
    <hyperlink r:id="rId8318" ref="D4160"/>
    <hyperlink r:id="rId8319" ref="B4161"/>
    <hyperlink r:id="rId8320" ref="D4161"/>
    <hyperlink r:id="rId8321" ref="B4162"/>
    <hyperlink r:id="rId8322" ref="D4162"/>
    <hyperlink r:id="rId8323" ref="B4163"/>
    <hyperlink r:id="rId8324" ref="D4163"/>
    <hyperlink r:id="rId8325" ref="B4164"/>
    <hyperlink r:id="rId8326" ref="D4164"/>
    <hyperlink r:id="rId8327" ref="B4165"/>
    <hyperlink r:id="rId8328" ref="D4165"/>
    <hyperlink r:id="rId8329" ref="B4166"/>
    <hyperlink r:id="rId8330" ref="D4166"/>
    <hyperlink r:id="rId8331" ref="B4167"/>
    <hyperlink r:id="rId8332" ref="D4167"/>
    <hyperlink r:id="rId8333" ref="B4168"/>
    <hyperlink r:id="rId8334" ref="D4168"/>
    <hyperlink r:id="rId8335" ref="B4169"/>
    <hyperlink r:id="rId8336" ref="D4169"/>
    <hyperlink r:id="rId8337" ref="B4170"/>
    <hyperlink r:id="rId8338" ref="D4170"/>
    <hyperlink r:id="rId8339" ref="B4171"/>
    <hyperlink r:id="rId8340" ref="D4171"/>
    <hyperlink r:id="rId8341" ref="B4172"/>
    <hyperlink r:id="rId8342" ref="D4172"/>
    <hyperlink r:id="rId8343" ref="B4173"/>
    <hyperlink r:id="rId8344" ref="D4173"/>
    <hyperlink r:id="rId8345" ref="B4174"/>
    <hyperlink r:id="rId8346" ref="D4174"/>
    <hyperlink r:id="rId8347" ref="B4175"/>
    <hyperlink r:id="rId8348" ref="D4175"/>
    <hyperlink r:id="rId8349" ref="B4176"/>
    <hyperlink r:id="rId8350" ref="D4176"/>
    <hyperlink r:id="rId8351" ref="B4177"/>
    <hyperlink r:id="rId8352" ref="D4177"/>
    <hyperlink r:id="rId8353" ref="B4178"/>
    <hyperlink r:id="rId8354" ref="D4178"/>
    <hyperlink r:id="rId8355" ref="B4179"/>
    <hyperlink r:id="rId8356" ref="D4179"/>
    <hyperlink r:id="rId8357" ref="B4180"/>
    <hyperlink r:id="rId8358" ref="D4180"/>
    <hyperlink r:id="rId8359" ref="B4181"/>
    <hyperlink r:id="rId8360" ref="D4181"/>
    <hyperlink r:id="rId8361" ref="B4182"/>
    <hyperlink r:id="rId8362" ref="D4182"/>
    <hyperlink r:id="rId8363" ref="B4183"/>
    <hyperlink r:id="rId8364" ref="D4183"/>
    <hyperlink r:id="rId8365" ref="B4184"/>
    <hyperlink r:id="rId8366" ref="D4184"/>
    <hyperlink r:id="rId8367" ref="B4185"/>
    <hyperlink r:id="rId8368" ref="D4185"/>
    <hyperlink r:id="rId8369" ref="B4186"/>
    <hyperlink r:id="rId8370" ref="D4186"/>
    <hyperlink r:id="rId8371" ref="B4187"/>
    <hyperlink r:id="rId8372" ref="D4187"/>
    <hyperlink r:id="rId8373" ref="B4188"/>
    <hyperlink r:id="rId8374" ref="D4188"/>
    <hyperlink r:id="rId8375" ref="B4189"/>
    <hyperlink r:id="rId8376" ref="D4189"/>
    <hyperlink r:id="rId8377" ref="B4190"/>
    <hyperlink r:id="rId8378" ref="D4190"/>
    <hyperlink r:id="rId8379" ref="B4191"/>
    <hyperlink r:id="rId8380" ref="D4191"/>
    <hyperlink r:id="rId8381" ref="B4192"/>
    <hyperlink r:id="rId8382" ref="D4192"/>
    <hyperlink r:id="rId8383" ref="B4193"/>
    <hyperlink r:id="rId8384" ref="D4193"/>
    <hyperlink r:id="rId8385" ref="B4194"/>
    <hyperlink r:id="rId8386" ref="D4194"/>
    <hyperlink r:id="rId8387" ref="B4195"/>
    <hyperlink r:id="rId8388" ref="D4195"/>
    <hyperlink r:id="rId8389" ref="B4196"/>
    <hyperlink r:id="rId8390" ref="D4196"/>
    <hyperlink r:id="rId8391" ref="B4197"/>
    <hyperlink r:id="rId8392" ref="D4197"/>
    <hyperlink r:id="rId8393" ref="B4198"/>
    <hyperlink r:id="rId8394" ref="D4198"/>
    <hyperlink r:id="rId8395" ref="B4199"/>
    <hyperlink r:id="rId8396" ref="D4199"/>
    <hyperlink r:id="rId8397" ref="B4200"/>
    <hyperlink r:id="rId8398" ref="D4200"/>
    <hyperlink r:id="rId8399" ref="B4201"/>
    <hyperlink r:id="rId8400" ref="D4201"/>
    <hyperlink r:id="rId8401" ref="B4202"/>
    <hyperlink r:id="rId8402" ref="D4202"/>
    <hyperlink r:id="rId8403" ref="B4203"/>
    <hyperlink r:id="rId8404" ref="D4203"/>
    <hyperlink r:id="rId8405" ref="B4204"/>
    <hyperlink r:id="rId8406" ref="D4204"/>
    <hyperlink r:id="rId8407" ref="B4205"/>
    <hyperlink r:id="rId8408" ref="D4205"/>
    <hyperlink r:id="rId8409" ref="B4206"/>
    <hyperlink r:id="rId8410" ref="D4206"/>
    <hyperlink r:id="rId8411" ref="B4207"/>
    <hyperlink r:id="rId8412" ref="D4207"/>
    <hyperlink r:id="rId8413" ref="B4208"/>
    <hyperlink r:id="rId8414" ref="D4208"/>
    <hyperlink r:id="rId8415" ref="B4209"/>
    <hyperlink r:id="rId8416" ref="D4209"/>
    <hyperlink r:id="rId8417" ref="B4210"/>
    <hyperlink r:id="rId8418" ref="D4210"/>
    <hyperlink r:id="rId8419" ref="B4211"/>
    <hyperlink r:id="rId8420" ref="D4211"/>
    <hyperlink r:id="rId8421" ref="B4212"/>
    <hyperlink r:id="rId8422" ref="D4212"/>
    <hyperlink r:id="rId8423" ref="B4213"/>
    <hyperlink r:id="rId8424" ref="D4213"/>
    <hyperlink r:id="rId8425" ref="B4214"/>
    <hyperlink r:id="rId8426" ref="D4214"/>
    <hyperlink r:id="rId8427" ref="B4215"/>
    <hyperlink r:id="rId8428" ref="D4215"/>
    <hyperlink r:id="rId8429" ref="B4216"/>
    <hyperlink r:id="rId8430" ref="D4216"/>
    <hyperlink r:id="rId8431" ref="B4217"/>
    <hyperlink r:id="rId8432" ref="D4217"/>
    <hyperlink r:id="rId8433" ref="B4218"/>
    <hyperlink r:id="rId8434" ref="D4218"/>
    <hyperlink r:id="rId8435" ref="B4219"/>
    <hyperlink r:id="rId8436" ref="D4219"/>
    <hyperlink r:id="rId8437" ref="B4220"/>
    <hyperlink r:id="rId8438" ref="D4220"/>
    <hyperlink r:id="rId8439" ref="B4221"/>
    <hyperlink r:id="rId8440" ref="D4221"/>
    <hyperlink r:id="rId8441" ref="B4222"/>
    <hyperlink r:id="rId8442" ref="D4222"/>
    <hyperlink r:id="rId8443" ref="B4223"/>
    <hyperlink r:id="rId8444" ref="D4223"/>
    <hyperlink r:id="rId8445" ref="B4224"/>
    <hyperlink r:id="rId8446" ref="D4224"/>
    <hyperlink r:id="rId8447" ref="B4225"/>
    <hyperlink r:id="rId8448" ref="D4225"/>
    <hyperlink r:id="rId8449" ref="B4226"/>
    <hyperlink r:id="rId8450" ref="D4226"/>
    <hyperlink r:id="rId8451" ref="B4227"/>
    <hyperlink r:id="rId8452" ref="D4227"/>
    <hyperlink r:id="rId8453" ref="B4228"/>
    <hyperlink r:id="rId8454" ref="D4228"/>
    <hyperlink r:id="rId8455" ref="B4229"/>
    <hyperlink r:id="rId8456" ref="D4229"/>
    <hyperlink r:id="rId8457" ref="B4230"/>
    <hyperlink r:id="rId8458" ref="D4230"/>
    <hyperlink r:id="rId8459" ref="B4231"/>
    <hyperlink r:id="rId8460" ref="D4231"/>
    <hyperlink r:id="rId8461" ref="B4232"/>
    <hyperlink r:id="rId8462" ref="D4232"/>
    <hyperlink r:id="rId8463" ref="B4233"/>
    <hyperlink r:id="rId8464" ref="D4233"/>
    <hyperlink r:id="rId8465" ref="B4234"/>
    <hyperlink r:id="rId8466" ref="D4234"/>
    <hyperlink r:id="rId8467" ref="B4235"/>
    <hyperlink r:id="rId8468" ref="D4235"/>
    <hyperlink r:id="rId8469" ref="B4236"/>
    <hyperlink r:id="rId8470" ref="D4236"/>
    <hyperlink r:id="rId8471" ref="B4237"/>
    <hyperlink r:id="rId8472" ref="D4237"/>
    <hyperlink r:id="rId8473" ref="B4238"/>
    <hyperlink r:id="rId8474" ref="D4238"/>
    <hyperlink r:id="rId8475" ref="B4239"/>
    <hyperlink r:id="rId8476" ref="D4239"/>
    <hyperlink r:id="rId8477" ref="B4240"/>
    <hyperlink r:id="rId8478" ref="D4240"/>
    <hyperlink r:id="rId8479" ref="B4241"/>
    <hyperlink r:id="rId8480" ref="D4241"/>
    <hyperlink r:id="rId8481" ref="B4242"/>
    <hyperlink r:id="rId8482" ref="D4242"/>
    <hyperlink r:id="rId8483" ref="B4243"/>
    <hyperlink r:id="rId8484" ref="D4243"/>
    <hyperlink r:id="rId8485" ref="B4244"/>
    <hyperlink r:id="rId8486" ref="D4244"/>
    <hyperlink r:id="rId8487" ref="B4245"/>
    <hyperlink r:id="rId8488" ref="D4245"/>
    <hyperlink r:id="rId8489" ref="B4246"/>
    <hyperlink r:id="rId8490" ref="D4246"/>
    <hyperlink r:id="rId8491" ref="B4247"/>
    <hyperlink r:id="rId8492" ref="D4247"/>
    <hyperlink r:id="rId8493" ref="B4248"/>
    <hyperlink r:id="rId8494" ref="D4248"/>
    <hyperlink r:id="rId8495" ref="B4249"/>
    <hyperlink r:id="rId8496" ref="D4249"/>
    <hyperlink r:id="rId8497" ref="B4250"/>
    <hyperlink r:id="rId8498" ref="D4250"/>
    <hyperlink r:id="rId8499" ref="B4251"/>
    <hyperlink r:id="rId8500" ref="D4251"/>
    <hyperlink r:id="rId8501" ref="B4252"/>
    <hyperlink r:id="rId8502" ref="D4252"/>
    <hyperlink r:id="rId8503" ref="B4253"/>
    <hyperlink r:id="rId8504" ref="D4253"/>
    <hyperlink r:id="rId8505" ref="B4254"/>
    <hyperlink r:id="rId8506" ref="D4254"/>
    <hyperlink r:id="rId8507" ref="B4255"/>
    <hyperlink r:id="rId8508" ref="D4255"/>
    <hyperlink r:id="rId8509" ref="B4256"/>
    <hyperlink r:id="rId8510" ref="D4256"/>
    <hyperlink r:id="rId8511" ref="B4257"/>
    <hyperlink r:id="rId8512" ref="D4257"/>
    <hyperlink r:id="rId8513" ref="B4258"/>
    <hyperlink r:id="rId8514" ref="D4258"/>
    <hyperlink r:id="rId8515" ref="B4259"/>
    <hyperlink r:id="rId8516" ref="D4259"/>
    <hyperlink r:id="rId8517" ref="B4260"/>
    <hyperlink r:id="rId8518" ref="D4260"/>
    <hyperlink r:id="rId8519" ref="B4261"/>
    <hyperlink r:id="rId8520" ref="D4261"/>
    <hyperlink r:id="rId8521" ref="B4262"/>
    <hyperlink r:id="rId8522" ref="D4262"/>
    <hyperlink r:id="rId8523" ref="B4263"/>
    <hyperlink r:id="rId8524" ref="D4263"/>
    <hyperlink r:id="rId8525" ref="B4264"/>
    <hyperlink r:id="rId8526" ref="D4264"/>
    <hyperlink r:id="rId8527" ref="B4265"/>
    <hyperlink r:id="rId8528" ref="D4265"/>
    <hyperlink r:id="rId8529" ref="B4266"/>
    <hyperlink r:id="rId8530" ref="D4266"/>
    <hyperlink r:id="rId8531" ref="B4267"/>
    <hyperlink r:id="rId8532" ref="D4267"/>
    <hyperlink r:id="rId8533" ref="B4268"/>
    <hyperlink r:id="rId8534" ref="D4268"/>
    <hyperlink r:id="rId8535" ref="B4269"/>
    <hyperlink r:id="rId8536" ref="D4269"/>
    <hyperlink r:id="rId8537" ref="B4270"/>
    <hyperlink r:id="rId8538" ref="D4270"/>
    <hyperlink r:id="rId8539" ref="B4271"/>
    <hyperlink r:id="rId8540" ref="D4271"/>
    <hyperlink r:id="rId8541" ref="B4272"/>
    <hyperlink r:id="rId8542" ref="D4272"/>
    <hyperlink r:id="rId8543" ref="B4273"/>
    <hyperlink r:id="rId8544" ref="D4273"/>
    <hyperlink r:id="rId8545" ref="B4274"/>
    <hyperlink r:id="rId8546" ref="D4274"/>
    <hyperlink r:id="rId8547" ref="B4275"/>
    <hyperlink r:id="rId8548" ref="D4275"/>
    <hyperlink r:id="rId8549" ref="B4276"/>
    <hyperlink r:id="rId8550" ref="D4276"/>
    <hyperlink r:id="rId8551" ref="B4277"/>
    <hyperlink r:id="rId8552" ref="D4277"/>
    <hyperlink r:id="rId8553" ref="B4278"/>
    <hyperlink r:id="rId8554" ref="D4278"/>
    <hyperlink r:id="rId8555" ref="B4279"/>
    <hyperlink r:id="rId8556" ref="D4279"/>
    <hyperlink r:id="rId8557" ref="B4280"/>
    <hyperlink r:id="rId8558" ref="D4280"/>
    <hyperlink r:id="rId8559" ref="B4281"/>
    <hyperlink r:id="rId8560" ref="D4281"/>
    <hyperlink r:id="rId8561" ref="B4282"/>
    <hyperlink r:id="rId8562" ref="D4282"/>
    <hyperlink r:id="rId8563" ref="B4283"/>
    <hyperlink r:id="rId8564" ref="D4283"/>
    <hyperlink r:id="rId8565" ref="B4284"/>
    <hyperlink r:id="rId8566" ref="D4284"/>
    <hyperlink r:id="rId8567" ref="B4285"/>
    <hyperlink r:id="rId8568" ref="D4285"/>
    <hyperlink r:id="rId8569" ref="B4286"/>
    <hyperlink r:id="rId8570" ref="D4286"/>
    <hyperlink r:id="rId8571" ref="B4287"/>
    <hyperlink r:id="rId8572" ref="D4287"/>
    <hyperlink r:id="rId8573" ref="B4288"/>
    <hyperlink r:id="rId8574" ref="D4288"/>
    <hyperlink r:id="rId8575" ref="B4289"/>
    <hyperlink r:id="rId8576" ref="D4289"/>
    <hyperlink r:id="rId8577" ref="B4290"/>
    <hyperlink r:id="rId8578" ref="D4290"/>
    <hyperlink r:id="rId8579" ref="B4291"/>
    <hyperlink r:id="rId8580" ref="D4291"/>
    <hyperlink r:id="rId8581" ref="B4292"/>
    <hyperlink r:id="rId8582" ref="D4292"/>
    <hyperlink r:id="rId8583" ref="B4293"/>
    <hyperlink r:id="rId8584" ref="D4293"/>
    <hyperlink r:id="rId8585" ref="B4294"/>
    <hyperlink r:id="rId8586" ref="D4294"/>
    <hyperlink r:id="rId8587" ref="B4295"/>
    <hyperlink r:id="rId8588" ref="D4295"/>
    <hyperlink r:id="rId8589" ref="B4296"/>
    <hyperlink r:id="rId8590" ref="D4296"/>
    <hyperlink r:id="rId8591" ref="B4297"/>
    <hyperlink r:id="rId8592" ref="D4297"/>
    <hyperlink r:id="rId8593" ref="B4298"/>
    <hyperlink r:id="rId8594" ref="D4298"/>
    <hyperlink r:id="rId8595" ref="B4299"/>
    <hyperlink r:id="rId8596" ref="D4299"/>
    <hyperlink r:id="rId8597" ref="B4300"/>
    <hyperlink r:id="rId8598" ref="D4300"/>
    <hyperlink r:id="rId8599" ref="B4301"/>
    <hyperlink r:id="rId8600" ref="D4301"/>
    <hyperlink r:id="rId8601" ref="B4302"/>
    <hyperlink r:id="rId8602" ref="D4302"/>
    <hyperlink r:id="rId8603" ref="B4303"/>
    <hyperlink r:id="rId8604" ref="D4303"/>
    <hyperlink r:id="rId8605" ref="B4304"/>
    <hyperlink r:id="rId8606" ref="D4304"/>
    <hyperlink r:id="rId8607" ref="B4305"/>
    <hyperlink r:id="rId8608" ref="D4305"/>
    <hyperlink r:id="rId8609" ref="B4306"/>
    <hyperlink r:id="rId8610" ref="D4306"/>
    <hyperlink r:id="rId8611" ref="B4307"/>
    <hyperlink r:id="rId8612" ref="D4307"/>
    <hyperlink r:id="rId8613" ref="B4308"/>
    <hyperlink r:id="rId8614" ref="D4308"/>
    <hyperlink r:id="rId8615" ref="B4309"/>
    <hyperlink r:id="rId8616" ref="D4309"/>
    <hyperlink r:id="rId8617" ref="B4310"/>
    <hyperlink r:id="rId8618" ref="D4310"/>
    <hyperlink r:id="rId8619" ref="B4311"/>
    <hyperlink r:id="rId8620" ref="D4311"/>
    <hyperlink r:id="rId8621" ref="B4312"/>
    <hyperlink r:id="rId8622" ref="D4312"/>
    <hyperlink r:id="rId8623" ref="B4313"/>
    <hyperlink r:id="rId8624" ref="D4313"/>
    <hyperlink r:id="rId8625" ref="B4314"/>
    <hyperlink r:id="rId8626" ref="D4314"/>
    <hyperlink r:id="rId8627" ref="B4315"/>
    <hyperlink r:id="rId8628" ref="D4315"/>
    <hyperlink r:id="rId8629" ref="B4316"/>
    <hyperlink r:id="rId8630" ref="D4316"/>
    <hyperlink r:id="rId8631" ref="B4317"/>
    <hyperlink r:id="rId8632" ref="D4317"/>
    <hyperlink r:id="rId8633" ref="B4318"/>
    <hyperlink r:id="rId8634" ref="D4318"/>
    <hyperlink r:id="rId8635" ref="B4319"/>
    <hyperlink r:id="rId8636" ref="D4319"/>
    <hyperlink r:id="rId8637" ref="B4320"/>
    <hyperlink r:id="rId8638" ref="D4320"/>
    <hyperlink r:id="rId8639" ref="B4321"/>
    <hyperlink r:id="rId8640" ref="D4321"/>
    <hyperlink r:id="rId8641" ref="B4322"/>
    <hyperlink r:id="rId8642" ref="D4322"/>
    <hyperlink r:id="rId8643" ref="B4323"/>
    <hyperlink r:id="rId8644" ref="D4323"/>
    <hyperlink r:id="rId8645" ref="B4324"/>
    <hyperlink r:id="rId8646" ref="D4324"/>
    <hyperlink r:id="rId8647" ref="B4325"/>
    <hyperlink r:id="rId8648" ref="D4325"/>
    <hyperlink r:id="rId8649" ref="B4326"/>
    <hyperlink r:id="rId8650" ref="D4326"/>
    <hyperlink r:id="rId8651" ref="B4327"/>
    <hyperlink r:id="rId8652" ref="D4327"/>
    <hyperlink r:id="rId8653" ref="B4328"/>
    <hyperlink r:id="rId8654" ref="D4328"/>
    <hyperlink r:id="rId8655" ref="B4329"/>
    <hyperlink r:id="rId8656" ref="D4329"/>
    <hyperlink r:id="rId8657" ref="B4330"/>
    <hyperlink r:id="rId8658" ref="D4330"/>
    <hyperlink r:id="rId8659" ref="B4331"/>
    <hyperlink r:id="rId8660" ref="D4331"/>
    <hyperlink r:id="rId8661" ref="B4332"/>
    <hyperlink r:id="rId8662" ref="D4332"/>
    <hyperlink r:id="rId8663" ref="B4333"/>
    <hyperlink r:id="rId8664" ref="D4333"/>
    <hyperlink r:id="rId8665" ref="B4334"/>
    <hyperlink r:id="rId8666" ref="D4334"/>
    <hyperlink r:id="rId8667" ref="B4335"/>
    <hyperlink r:id="rId8668" ref="D4335"/>
    <hyperlink r:id="rId8669" ref="B4336"/>
    <hyperlink r:id="rId8670" ref="D4336"/>
    <hyperlink r:id="rId8671" ref="B4337"/>
    <hyperlink r:id="rId8672" ref="D4337"/>
    <hyperlink r:id="rId8673" ref="B4338"/>
    <hyperlink r:id="rId8674" ref="D4338"/>
    <hyperlink r:id="rId8675" ref="B4339"/>
    <hyperlink r:id="rId8676" ref="D4339"/>
    <hyperlink r:id="rId8677" ref="B4340"/>
    <hyperlink r:id="rId8678" ref="D4340"/>
    <hyperlink r:id="rId8679" ref="B4341"/>
    <hyperlink r:id="rId8680" ref="D4341"/>
    <hyperlink r:id="rId8681" ref="B4342"/>
    <hyperlink r:id="rId8682" ref="D4342"/>
    <hyperlink r:id="rId8683" ref="B4343"/>
    <hyperlink r:id="rId8684" ref="D4343"/>
    <hyperlink r:id="rId8685" ref="B4344"/>
    <hyperlink r:id="rId8686" ref="D4344"/>
    <hyperlink r:id="rId8687" ref="B4345"/>
    <hyperlink r:id="rId8688" ref="D4345"/>
    <hyperlink r:id="rId8689" ref="B4346"/>
    <hyperlink r:id="rId8690" ref="D4346"/>
    <hyperlink r:id="rId8691" ref="B4347"/>
    <hyperlink r:id="rId8692" ref="D4347"/>
    <hyperlink r:id="rId8693" ref="B4348"/>
    <hyperlink r:id="rId8694" ref="D4348"/>
    <hyperlink r:id="rId8695" ref="B4349"/>
    <hyperlink r:id="rId8696" ref="D4349"/>
    <hyperlink r:id="rId8697" ref="B4350"/>
    <hyperlink r:id="rId8698" ref="D4350"/>
    <hyperlink r:id="rId8699" ref="B4351"/>
    <hyperlink r:id="rId8700" ref="D4351"/>
    <hyperlink r:id="rId8701" ref="B4352"/>
    <hyperlink r:id="rId8702" ref="D4352"/>
    <hyperlink r:id="rId8703" ref="B4353"/>
    <hyperlink r:id="rId8704" ref="D4353"/>
    <hyperlink r:id="rId8705" ref="B4354"/>
    <hyperlink r:id="rId8706" ref="D4354"/>
    <hyperlink r:id="rId8707" ref="B4355"/>
    <hyperlink r:id="rId8708" ref="D4355"/>
    <hyperlink r:id="rId8709" ref="B4356"/>
    <hyperlink r:id="rId8710" ref="D4356"/>
    <hyperlink r:id="rId8711" ref="B4357"/>
    <hyperlink r:id="rId8712" ref="D4357"/>
    <hyperlink r:id="rId8713" ref="B4358"/>
    <hyperlink r:id="rId8714" ref="D4358"/>
    <hyperlink r:id="rId8715" ref="B4359"/>
    <hyperlink r:id="rId8716" ref="D4359"/>
    <hyperlink r:id="rId8717" ref="B4360"/>
    <hyperlink r:id="rId8718" ref="D4360"/>
    <hyperlink r:id="rId8719" ref="B4361"/>
    <hyperlink r:id="rId8720" ref="D4361"/>
    <hyperlink r:id="rId8721" ref="B4362"/>
    <hyperlink r:id="rId8722" ref="D4362"/>
    <hyperlink r:id="rId8723" ref="B4363"/>
    <hyperlink r:id="rId8724" ref="D4363"/>
    <hyperlink r:id="rId8725" ref="B4364"/>
    <hyperlink r:id="rId8726" ref="D4364"/>
    <hyperlink r:id="rId8727" ref="B4365"/>
    <hyperlink r:id="rId8728" ref="D4365"/>
    <hyperlink r:id="rId8729" ref="B4366"/>
    <hyperlink r:id="rId8730" ref="D4366"/>
    <hyperlink r:id="rId8731" ref="B4367"/>
    <hyperlink r:id="rId8732" ref="D4367"/>
    <hyperlink r:id="rId8733" ref="B4368"/>
    <hyperlink r:id="rId8734" ref="D4368"/>
    <hyperlink r:id="rId8735" ref="B4369"/>
    <hyperlink r:id="rId8736" ref="D4369"/>
    <hyperlink r:id="rId8737" ref="B4370"/>
    <hyperlink r:id="rId8738" ref="D4370"/>
    <hyperlink r:id="rId8739" ref="B4371"/>
    <hyperlink r:id="rId8740" ref="D4371"/>
    <hyperlink r:id="rId8741" ref="B4372"/>
    <hyperlink r:id="rId8742" ref="D4372"/>
    <hyperlink r:id="rId8743" ref="B4373"/>
    <hyperlink r:id="rId8744" ref="D4373"/>
    <hyperlink r:id="rId8745" ref="B4374"/>
    <hyperlink r:id="rId8746" ref="D4374"/>
    <hyperlink r:id="rId8747" ref="B4375"/>
    <hyperlink r:id="rId8748" ref="D4375"/>
    <hyperlink r:id="rId8749" ref="B4376"/>
    <hyperlink r:id="rId8750" ref="D4376"/>
    <hyperlink r:id="rId8751" ref="B4377"/>
    <hyperlink r:id="rId8752" ref="D4377"/>
    <hyperlink r:id="rId8753" ref="B4378"/>
    <hyperlink r:id="rId8754" ref="D4378"/>
    <hyperlink r:id="rId8755" ref="B4379"/>
    <hyperlink r:id="rId8756" ref="D4379"/>
    <hyperlink r:id="rId8757" ref="B4380"/>
    <hyperlink r:id="rId8758" ref="D4380"/>
    <hyperlink r:id="rId8759" ref="B4381"/>
    <hyperlink r:id="rId8760" ref="D4381"/>
    <hyperlink r:id="rId8761" ref="B4382"/>
    <hyperlink r:id="rId8762" ref="D4382"/>
    <hyperlink r:id="rId8763" ref="B4383"/>
    <hyperlink r:id="rId8764" ref="D4383"/>
    <hyperlink r:id="rId8765" ref="B4384"/>
    <hyperlink r:id="rId8766" ref="D4384"/>
    <hyperlink r:id="rId8767" ref="B4385"/>
    <hyperlink r:id="rId8768" ref="D4385"/>
    <hyperlink r:id="rId8769" ref="B4386"/>
    <hyperlink r:id="rId8770" ref="D4386"/>
    <hyperlink r:id="rId8771" ref="B4387"/>
    <hyperlink r:id="rId8772" ref="D4387"/>
    <hyperlink r:id="rId8773" ref="B4388"/>
    <hyperlink r:id="rId8774" ref="D4388"/>
    <hyperlink r:id="rId8775" ref="B4389"/>
    <hyperlink r:id="rId8776" ref="D4389"/>
    <hyperlink r:id="rId8777" ref="B4390"/>
    <hyperlink r:id="rId8778" ref="D4390"/>
    <hyperlink r:id="rId8779" ref="B4391"/>
    <hyperlink r:id="rId8780" ref="D4391"/>
    <hyperlink r:id="rId8781" ref="B4392"/>
    <hyperlink r:id="rId8782" ref="D4392"/>
    <hyperlink r:id="rId8783" ref="B4393"/>
    <hyperlink r:id="rId8784" ref="D4393"/>
    <hyperlink r:id="rId8785" ref="B4394"/>
    <hyperlink r:id="rId8786" ref="D4394"/>
    <hyperlink r:id="rId8787" ref="B4395"/>
    <hyperlink r:id="rId8788" ref="D4395"/>
    <hyperlink r:id="rId8789" ref="B4396"/>
    <hyperlink r:id="rId8790" ref="D4396"/>
    <hyperlink r:id="rId8791" ref="B4397"/>
    <hyperlink r:id="rId8792" ref="D4397"/>
    <hyperlink r:id="rId8793" ref="B4398"/>
    <hyperlink r:id="rId8794" ref="D4398"/>
    <hyperlink r:id="rId8795" ref="B4399"/>
    <hyperlink r:id="rId8796" ref="D4399"/>
    <hyperlink r:id="rId8797" ref="B4400"/>
    <hyperlink r:id="rId8798" ref="D4400"/>
    <hyperlink r:id="rId8799" ref="B4401"/>
    <hyperlink r:id="rId8800" ref="D4401"/>
    <hyperlink r:id="rId8801" ref="B4402"/>
    <hyperlink r:id="rId8802" ref="D4402"/>
    <hyperlink r:id="rId8803" ref="B4403"/>
    <hyperlink r:id="rId8804" ref="D4403"/>
    <hyperlink r:id="rId8805" ref="B4404"/>
    <hyperlink r:id="rId8806" ref="D4404"/>
    <hyperlink r:id="rId8807" ref="B4405"/>
    <hyperlink r:id="rId8808" ref="D4405"/>
    <hyperlink r:id="rId8809" ref="B4406"/>
    <hyperlink r:id="rId8810" ref="D4406"/>
    <hyperlink r:id="rId8811" ref="B4407"/>
    <hyperlink r:id="rId8812" ref="D4407"/>
    <hyperlink r:id="rId8813" ref="B4408"/>
    <hyperlink r:id="rId8814" ref="D4408"/>
    <hyperlink r:id="rId8815" ref="B4409"/>
    <hyperlink r:id="rId8816" ref="D4409"/>
    <hyperlink r:id="rId8817" ref="B4410"/>
    <hyperlink r:id="rId8818" ref="D4410"/>
    <hyperlink r:id="rId8819" ref="B4411"/>
    <hyperlink r:id="rId8820" ref="D4411"/>
    <hyperlink r:id="rId8821" ref="B4412"/>
    <hyperlink r:id="rId8822" ref="D4412"/>
    <hyperlink r:id="rId8823" ref="B4413"/>
    <hyperlink r:id="rId8824" ref="D4413"/>
    <hyperlink r:id="rId8825" ref="B4414"/>
    <hyperlink r:id="rId8826" ref="D4414"/>
    <hyperlink r:id="rId8827" ref="B4415"/>
    <hyperlink r:id="rId8828" ref="D4415"/>
    <hyperlink r:id="rId8829" ref="B4416"/>
    <hyperlink r:id="rId8830" ref="D4416"/>
    <hyperlink r:id="rId8831" ref="B4417"/>
    <hyperlink r:id="rId8832" ref="D4417"/>
    <hyperlink r:id="rId8833" ref="B4418"/>
    <hyperlink r:id="rId8834" ref="D4418"/>
    <hyperlink r:id="rId8835" ref="B4419"/>
    <hyperlink r:id="rId8836" ref="D4419"/>
    <hyperlink r:id="rId8837" ref="B4420"/>
    <hyperlink r:id="rId8838" ref="D4420"/>
    <hyperlink r:id="rId8839" ref="B4421"/>
    <hyperlink r:id="rId8840" ref="D4421"/>
    <hyperlink r:id="rId8841" ref="B4422"/>
    <hyperlink r:id="rId8842" ref="D4422"/>
    <hyperlink r:id="rId8843" ref="B4423"/>
    <hyperlink r:id="rId8844" ref="D4423"/>
    <hyperlink r:id="rId8845" ref="B4424"/>
    <hyperlink r:id="rId8846" ref="D4424"/>
    <hyperlink r:id="rId8847" ref="B4425"/>
    <hyperlink r:id="rId8848" ref="D4425"/>
    <hyperlink r:id="rId8849" ref="B4426"/>
    <hyperlink r:id="rId8850" ref="D4426"/>
    <hyperlink r:id="rId8851" ref="B4427"/>
    <hyperlink r:id="rId8852" ref="D4427"/>
    <hyperlink r:id="rId8853" ref="B4428"/>
    <hyperlink r:id="rId8854" ref="D4428"/>
    <hyperlink r:id="rId8855" ref="B4429"/>
    <hyperlink r:id="rId8856" ref="D4429"/>
    <hyperlink r:id="rId8857" ref="B4430"/>
    <hyperlink r:id="rId8858" ref="D4430"/>
    <hyperlink r:id="rId8859" ref="B4431"/>
    <hyperlink r:id="rId8860" ref="D4431"/>
    <hyperlink r:id="rId8861" ref="B4432"/>
    <hyperlink r:id="rId8862" ref="D4432"/>
    <hyperlink r:id="rId8863" ref="B4433"/>
    <hyperlink r:id="rId8864" ref="D4433"/>
    <hyperlink r:id="rId8865" ref="B4434"/>
    <hyperlink r:id="rId8866" ref="D4434"/>
    <hyperlink r:id="rId8867" ref="B4435"/>
    <hyperlink r:id="rId8868" ref="D4435"/>
    <hyperlink r:id="rId8869" ref="B4436"/>
    <hyperlink r:id="rId8870" ref="D4436"/>
    <hyperlink r:id="rId8871" ref="B4437"/>
    <hyperlink r:id="rId8872" ref="D4437"/>
    <hyperlink r:id="rId8873" ref="B4438"/>
    <hyperlink r:id="rId8874" ref="D4438"/>
    <hyperlink r:id="rId8875" ref="B4439"/>
    <hyperlink r:id="rId8876" ref="D4439"/>
    <hyperlink r:id="rId8877" ref="B4440"/>
    <hyperlink r:id="rId8878" ref="D4440"/>
    <hyperlink r:id="rId8879" ref="B4441"/>
    <hyperlink r:id="rId8880" ref="D4441"/>
    <hyperlink r:id="rId8881" ref="B4442"/>
    <hyperlink r:id="rId8882" ref="D4442"/>
    <hyperlink r:id="rId8883" ref="B4443"/>
    <hyperlink r:id="rId8884" ref="D4443"/>
    <hyperlink r:id="rId8885" ref="B4444"/>
    <hyperlink r:id="rId8886" ref="D4444"/>
    <hyperlink r:id="rId8887" ref="B4445"/>
    <hyperlink r:id="rId8888" ref="D4445"/>
    <hyperlink r:id="rId8889" ref="B4446"/>
    <hyperlink r:id="rId8890" ref="D4446"/>
    <hyperlink r:id="rId8891" ref="B4447"/>
    <hyperlink r:id="rId8892" ref="D4447"/>
    <hyperlink r:id="rId8893" ref="B4448"/>
    <hyperlink r:id="rId8894" ref="D4448"/>
    <hyperlink r:id="rId8895" ref="B4449"/>
    <hyperlink r:id="rId8896" ref="D4449"/>
    <hyperlink r:id="rId8897" ref="B4450"/>
    <hyperlink r:id="rId8898" ref="D4450"/>
    <hyperlink r:id="rId8899" ref="B4451"/>
    <hyperlink r:id="rId8900" ref="D4451"/>
    <hyperlink r:id="rId8901" ref="B4452"/>
    <hyperlink r:id="rId8902" ref="D4452"/>
    <hyperlink r:id="rId8903" ref="B4453"/>
    <hyperlink r:id="rId8904" ref="D4453"/>
    <hyperlink r:id="rId8905" ref="B4454"/>
    <hyperlink r:id="rId8906" ref="D4454"/>
    <hyperlink r:id="rId8907" ref="B4455"/>
    <hyperlink r:id="rId8908" ref="D4455"/>
    <hyperlink r:id="rId8909" ref="B4456"/>
    <hyperlink r:id="rId8910" ref="D4456"/>
    <hyperlink r:id="rId8911" ref="B4457"/>
    <hyperlink r:id="rId8912" ref="D4457"/>
    <hyperlink r:id="rId8913" ref="B4458"/>
    <hyperlink r:id="rId8914" ref="D4458"/>
    <hyperlink r:id="rId8915" ref="B4459"/>
    <hyperlink r:id="rId8916" ref="D4459"/>
    <hyperlink r:id="rId8917" ref="B4460"/>
    <hyperlink r:id="rId8918" ref="D4460"/>
    <hyperlink r:id="rId8919" ref="B4461"/>
    <hyperlink r:id="rId8920" ref="D4461"/>
    <hyperlink r:id="rId8921" ref="B4462"/>
    <hyperlink r:id="rId8922" ref="D4462"/>
    <hyperlink r:id="rId8923" ref="B4463"/>
    <hyperlink r:id="rId8924" ref="D4463"/>
    <hyperlink r:id="rId8925" ref="B4464"/>
    <hyperlink r:id="rId8926" ref="D4464"/>
    <hyperlink r:id="rId8927" ref="B4465"/>
    <hyperlink r:id="rId8928" ref="D4465"/>
    <hyperlink r:id="rId8929" ref="B4466"/>
    <hyperlink r:id="rId8930" ref="D4466"/>
    <hyperlink r:id="rId8931" ref="B4467"/>
    <hyperlink r:id="rId8932" ref="D4467"/>
    <hyperlink r:id="rId8933" ref="B4468"/>
    <hyperlink r:id="rId8934" ref="D4468"/>
    <hyperlink r:id="rId8935" ref="B4469"/>
    <hyperlink r:id="rId8936" ref="D4469"/>
    <hyperlink r:id="rId8937" ref="B4470"/>
    <hyperlink r:id="rId8938" ref="D4470"/>
    <hyperlink r:id="rId8939" ref="B4471"/>
    <hyperlink r:id="rId8940" ref="D4471"/>
    <hyperlink r:id="rId8941" ref="B4472"/>
    <hyperlink r:id="rId8942" ref="D4472"/>
    <hyperlink r:id="rId8943" ref="B4473"/>
    <hyperlink r:id="rId8944" ref="D4473"/>
    <hyperlink r:id="rId8945" ref="B4474"/>
    <hyperlink r:id="rId8946" ref="D4474"/>
    <hyperlink r:id="rId8947" ref="B4475"/>
    <hyperlink r:id="rId8948" ref="D4475"/>
    <hyperlink r:id="rId8949" ref="B4476"/>
    <hyperlink r:id="rId8950" ref="D4476"/>
    <hyperlink r:id="rId8951" ref="B4477"/>
    <hyperlink r:id="rId8952" ref="D4477"/>
    <hyperlink r:id="rId8953" ref="B4478"/>
    <hyperlink r:id="rId8954" ref="D4478"/>
    <hyperlink r:id="rId8955" ref="B4479"/>
    <hyperlink r:id="rId8956" ref="D4479"/>
    <hyperlink r:id="rId8957" ref="B4480"/>
    <hyperlink r:id="rId8958" ref="D4480"/>
    <hyperlink r:id="rId8959" ref="B4481"/>
    <hyperlink r:id="rId8960" ref="D4481"/>
    <hyperlink r:id="rId8961" ref="B4482"/>
    <hyperlink r:id="rId8962" ref="D4482"/>
    <hyperlink r:id="rId8963" ref="B4483"/>
    <hyperlink r:id="rId8964" ref="D4483"/>
    <hyperlink r:id="rId8965" ref="B4484"/>
    <hyperlink r:id="rId8966" ref="D4484"/>
    <hyperlink r:id="rId8967" ref="B4485"/>
    <hyperlink r:id="rId8968" ref="D4485"/>
    <hyperlink r:id="rId8969" ref="B4486"/>
    <hyperlink r:id="rId8970" ref="D4486"/>
    <hyperlink r:id="rId8971" ref="B4487"/>
    <hyperlink r:id="rId8972" ref="D4487"/>
    <hyperlink r:id="rId8973" ref="B4488"/>
    <hyperlink r:id="rId8974" ref="D4488"/>
    <hyperlink r:id="rId8975" ref="B4489"/>
    <hyperlink r:id="rId8976" ref="D4489"/>
    <hyperlink r:id="rId8977" ref="B4490"/>
    <hyperlink r:id="rId8978" ref="D4490"/>
    <hyperlink r:id="rId8979" ref="B4491"/>
    <hyperlink r:id="rId8980" ref="D4491"/>
    <hyperlink r:id="rId8981" ref="B4492"/>
    <hyperlink r:id="rId8982" ref="D4492"/>
    <hyperlink r:id="rId8983" ref="B4493"/>
    <hyperlink r:id="rId8984" ref="D4493"/>
    <hyperlink r:id="rId8985" ref="B4494"/>
    <hyperlink r:id="rId8986" ref="D4494"/>
    <hyperlink r:id="rId8987" ref="B4495"/>
    <hyperlink r:id="rId8988" ref="D4495"/>
    <hyperlink r:id="rId8989" ref="B4496"/>
    <hyperlink r:id="rId8990" ref="D4496"/>
    <hyperlink r:id="rId8991" ref="B4497"/>
    <hyperlink r:id="rId8992" ref="D4497"/>
    <hyperlink r:id="rId8993" ref="B4498"/>
    <hyperlink r:id="rId8994" ref="D4498"/>
    <hyperlink r:id="rId8995" ref="B4499"/>
    <hyperlink r:id="rId8996" ref="D4499"/>
    <hyperlink r:id="rId8997" ref="B4500"/>
    <hyperlink r:id="rId8998" ref="D4500"/>
    <hyperlink r:id="rId8999" ref="B4501"/>
    <hyperlink r:id="rId9000" ref="D4501"/>
    <hyperlink r:id="rId9001" ref="B4502"/>
    <hyperlink r:id="rId9002" ref="D4502"/>
    <hyperlink r:id="rId9003" ref="B4503"/>
    <hyperlink r:id="rId9004" ref="D4503"/>
    <hyperlink r:id="rId9005" ref="B4504"/>
    <hyperlink r:id="rId9006" ref="D4504"/>
    <hyperlink r:id="rId9007" ref="B4505"/>
    <hyperlink r:id="rId9008" ref="D4505"/>
    <hyperlink r:id="rId9009" ref="B4506"/>
    <hyperlink r:id="rId9010" ref="D4506"/>
    <hyperlink r:id="rId9011" ref="B4507"/>
    <hyperlink r:id="rId9012" ref="D4507"/>
    <hyperlink r:id="rId9013" ref="B4508"/>
    <hyperlink r:id="rId9014" ref="D4508"/>
    <hyperlink r:id="rId9015" ref="B4509"/>
    <hyperlink r:id="rId9016" ref="D4509"/>
    <hyperlink r:id="rId9017" ref="B4510"/>
    <hyperlink r:id="rId9018" ref="D4510"/>
    <hyperlink r:id="rId9019" ref="B4511"/>
    <hyperlink r:id="rId9020" ref="D4511"/>
    <hyperlink r:id="rId9021" ref="B4512"/>
    <hyperlink r:id="rId9022" ref="D4512"/>
    <hyperlink r:id="rId9023" ref="B4513"/>
    <hyperlink r:id="rId9024" ref="D4513"/>
    <hyperlink r:id="rId9025" ref="B4514"/>
    <hyperlink r:id="rId9026" ref="D4514"/>
    <hyperlink r:id="rId9027" ref="B4515"/>
    <hyperlink r:id="rId9028" ref="D4515"/>
    <hyperlink r:id="rId9029" ref="B4516"/>
    <hyperlink r:id="rId9030" ref="D4516"/>
    <hyperlink r:id="rId9031" ref="B4517"/>
    <hyperlink r:id="rId9032" ref="D4517"/>
    <hyperlink r:id="rId9033" ref="B4518"/>
    <hyperlink r:id="rId9034" ref="D4518"/>
    <hyperlink r:id="rId9035" ref="B4519"/>
    <hyperlink r:id="rId9036" ref="D4519"/>
    <hyperlink r:id="rId9037" ref="B4520"/>
    <hyperlink r:id="rId9038" ref="D4520"/>
    <hyperlink r:id="rId9039" ref="B4521"/>
    <hyperlink r:id="rId9040" ref="D4521"/>
    <hyperlink r:id="rId9041" ref="B4522"/>
    <hyperlink r:id="rId9042" ref="D4522"/>
    <hyperlink r:id="rId9043" ref="B4523"/>
    <hyperlink r:id="rId9044" ref="D4523"/>
    <hyperlink r:id="rId9045" ref="B4524"/>
    <hyperlink r:id="rId9046" ref="D4524"/>
    <hyperlink r:id="rId9047" ref="B4525"/>
    <hyperlink r:id="rId9048" ref="D4525"/>
    <hyperlink r:id="rId9049" ref="B4526"/>
    <hyperlink r:id="rId9050" ref="D4526"/>
    <hyperlink r:id="rId9051" ref="B4527"/>
    <hyperlink r:id="rId9052" ref="D4527"/>
    <hyperlink r:id="rId9053" ref="B4528"/>
    <hyperlink r:id="rId9054" ref="D4528"/>
    <hyperlink r:id="rId9055" ref="B4529"/>
    <hyperlink r:id="rId9056" ref="D4529"/>
    <hyperlink r:id="rId9057" ref="B4530"/>
    <hyperlink r:id="rId9058" ref="D4530"/>
    <hyperlink r:id="rId9059" ref="B4531"/>
    <hyperlink r:id="rId9060" ref="D4531"/>
    <hyperlink r:id="rId9061" ref="B4532"/>
    <hyperlink r:id="rId9062" ref="D4532"/>
    <hyperlink r:id="rId9063" ref="B4533"/>
    <hyperlink r:id="rId9064" ref="D4533"/>
    <hyperlink r:id="rId9065" ref="B4534"/>
    <hyperlink r:id="rId9066" ref="D4534"/>
    <hyperlink r:id="rId9067" ref="B4535"/>
    <hyperlink r:id="rId9068" ref="D4535"/>
    <hyperlink r:id="rId9069" ref="B4536"/>
    <hyperlink r:id="rId9070" ref="D4536"/>
    <hyperlink r:id="rId9071" ref="B4537"/>
    <hyperlink r:id="rId9072" ref="D4537"/>
    <hyperlink r:id="rId9073" ref="B4538"/>
    <hyperlink r:id="rId9074" ref="D4538"/>
    <hyperlink r:id="rId9075" ref="B4539"/>
    <hyperlink r:id="rId9076" ref="D4539"/>
    <hyperlink r:id="rId9077" ref="B4540"/>
    <hyperlink r:id="rId9078" ref="D4540"/>
    <hyperlink r:id="rId9079" ref="B4541"/>
    <hyperlink r:id="rId9080" ref="D4541"/>
    <hyperlink r:id="rId9081" ref="B4542"/>
    <hyperlink r:id="rId9082" ref="D4542"/>
    <hyperlink r:id="rId9083" ref="B4543"/>
    <hyperlink r:id="rId9084" ref="D4543"/>
    <hyperlink r:id="rId9085" ref="B4544"/>
    <hyperlink r:id="rId9086" ref="D4544"/>
    <hyperlink r:id="rId9087" ref="B4545"/>
    <hyperlink r:id="rId9088" ref="D4545"/>
    <hyperlink r:id="rId9089" ref="B4546"/>
    <hyperlink r:id="rId9090" ref="D4546"/>
    <hyperlink r:id="rId9091" ref="B4547"/>
    <hyperlink r:id="rId9092" ref="D4547"/>
    <hyperlink r:id="rId9093" ref="B4548"/>
    <hyperlink r:id="rId9094" ref="D4548"/>
    <hyperlink r:id="rId9095" ref="B4549"/>
    <hyperlink r:id="rId9096" ref="D4549"/>
    <hyperlink r:id="rId9097" ref="B4550"/>
    <hyperlink r:id="rId9098" ref="D4550"/>
    <hyperlink r:id="rId9099" ref="B4551"/>
    <hyperlink r:id="rId9100" ref="D4551"/>
    <hyperlink r:id="rId9101" ref="B4552"/>
    <hyperlink r:id="rId9102" ref="D4552"/>
    <hyperlink r:id="rId9103" ref="B4553"/>
    <hyperlink r:id="rId9104" ref="D4553"/>
    <hyperlink r:id="rId9105" ref="B4554"/>
    <hyperlink r:id="rId9106" ref="D4554"/>
    <hyperlink r:id="rId9107" ref="B4555"/>
    <hyperlink r:id="rId9108" ref="D4555"/>
    <hyperlink r:id="rId9109" ref="B4556"/>
    <hyperlink r:id="rId9110" ref="D4556"/>
    <hyperlink r:id="rId9111" ref="B4557"/>
    <hyperlink r:id="rId9112" ref="D4557"/>
    <hyperlink r:id="rId9113" ref="B4558"/>
    <hyperlink r:id="rId9114" ref="D4558"/>
    <hyperlink r:id="rId9115" ref="B4559"/>
    <hyperlink r:id="rId9116" ref="D4559"/>
    <hyperlink r:id="rId9117" ref="B4560"/>
    <hyperlink r:id="rId9118" ref="D4560"/>
    <hyperlink r:id="rId9119" ref="B4561"/>
    <hyperlink r:id="rId9120" ref="D4561"/>
    <hyperlink r:id="rId9121" ref="B4562"/>
    <hyperlink r:id="rId9122" ref="D4562"/>
    <hyperlink r:id="rId9123" ref="B4563"/>
    <hyperlink r:id="rId9124" ref="D4563"/>
    <hyperlink r:id="rId9125" ref="B4564"/>
    <hyperlink r:id="rId9126" ref="D4564"/>
    <hyperlink r:id="rId9127" ref="B4565"/>
    <hyperlink r:id="rId9128" ref="D4565"/>
    <hyperlink r:id="rId9129" ref="B4566"/>
    <hyperlink r:id="rId9130" ref="D4566"/>
    <hyperlink r:id="rId9131" ref="B4567"/>
    <hyperlink r:id="rId9132" ref="D4567"/>
    <hyperlink r:id="rId9133" ref="B4568"/>
    <hyperlink r:id="rId9134" ref="D4568"/>
    <hyperlink r:id="rId9135" ref="B4569"/>
    <hyperlink r:id="rId9136" ref="D4569"/>
    <hyperlink r:id="rId9137" ref="B4570"/>
    <hyperlink r:id="rId9138" ref="D4570"/>
    <hyperlink r:id="rId9139" ref="B4571"/>
    <hyperlink r:id="rId9140" ref="D4571"/>
    <hyperlink r:id="rId9141" ref="B4572"/>
    <hyperlink r:id="rId9142" ref="D4572"/>
    <hyperlink r:id="rId9143" ref="B4573"/>
    <hyperlink r:id="rId9144" ref="D4573"/>
    <hyperlink r:id="rId9145" ref="B4574"/>
    <hyperlink r:id="rId9146" ref="D4574"/>
    <hyperlink r:id="rId9147" ref="B4575"/>
    <hyperlink r:id="rId9148" ref="D4575"/>
    <hyperlink r:id="rId9149" ref="B4576"/>
    <hyperlink r:id="rId9150" ref="D4576"/>
    <hyperlink r:id="rId9151" ref="B4577"/>
    <hyperlink r:id="rId9152" ref="D4577"/>
    <hyperlink r:id="rId9153" ref="B4578"/>
    <hyperlink r:id="rId9154" ref="D4578"/>
    <hyperlink r:id="rId9155" ref="B4579"/>
    <hyperlink r:id="rId9156" ref="D4579"/>
    <hyperlink r:id="rId9157" ref="B4580"/>
    <hyperlink r:id="rId9158" ref="D4580"/>
    <hyperlink r:id="rId9159" ref="B4581"/>
    <hyperlink r:id="rId9160" ref="D4581"/>
    <hyperlink r:id="rId9161" ref="B4582"/>
    <hyperlink r:id="rId9162" ref="D4582"/>
    <hyperlink r:id="rId9163" ref="B4583"/>
    <hyperlink r:id="rId9164" ref="D4583"/>
    <hyperlink r:id="rId9165" ref="B4584"/>
    <hyperlink r:id="rId9166" ref="D4584"/>
    <hyperlink r:id="rId9167" ref="B4585"/>
    <hyperlink r:id="rId9168" ref="D4585"/>
    <hyperlink r:id="rId9169" ref="B4586"/>
    <hyperlink r:id="rId9170" ref="D4586"/>
    <hyperlink r:id="rId9171" ref="B4587"/>
    <hyperlink r:id="rId9172" ref="D4587"/>
    <hyperlink r:id="rId9173" ref="B4588"/>
    <hyperlink r:id="rId9174" ref="D4588"/>
    <hyperlink r:id="rId9175" ref="B4589"/>
    <hyperlink r:id="rId9176" ref="D4589"/>
    <hyperlink r:id="rId9177" ref="B4590"/>
    <hyperlink r:id="rId9178" ref="D4590"/>
    <hyperlink r:id="rId9179" ref="B4591"/>
    <hyperlink r:id="rId9180" ref="D4591"/>
    <hyperlink r:id="rId9181" ref="B4592"/>
    <hyperlink r:id="rId9182" ref="D4592"/>
    <hyperlink r:id="rId9183" ref="B4593"/>
    <hyperlink r:id="rId9184" ref="D4593"/>
    <hyperlink r:id="rId9185" ref="B4594"/>
    <hyperlink r:id="rId9186" ref="D4594"/>
    <hyperlink r:id="rId9187" ref="B4595"/>
    <hyperlink r:id="rId9188" ref="D4595"/>
    <hyperlink r:id="rId9189" ref="B4596"/>
    <hyperlink r:id="rId9190" ref="D4596"/>
    <hyperlink r:id="rId9191" ref="B4597"/>
    <hyperlink r:id="rId9192" ref="D4597"/>
    <hyperlink r:id="rId9193" ref="B4598"/>
    <hyperlink r:id="rId9194" ref="D4598"/>
    <hyperlink r:id="rId9195" ref="B4599"/>
    <hyperlink r:id="rId9196" ref="D4599"/>
    <hyperlink r:id="rId9197" ref="B4600"/>
    <hyperlink r:id="rId9198" ref="D4600"/>
    <hyperlink r:id="rId9199" ref="B4601"/>
    <hyperlink r:id="rId9200" ref="D4601"/>
    <hyperlink r:id="rId9201" ref="B4602"/>
    <hyperlink r:id="rId9202" ref="D4602"/>
    <hyperlink r:id="rId9203" ref="B4603"/>
    <hyperlink r:id="rId9204" ref="D4603"/>
    <hyperlink r:id="rId9205" ref="B4604"/>
    <hyperlink r:id="rId9206" ref="D4604"/>
    <hyperlink r:id="rId9207" ref="B4605"/>
    <hyperlink r:id="rId9208" ref="D4605"/>
    <hyperlink r:id="rId9209" ref="B4606"/>
    <hyperlink r:id="rId9210" ref="D4606"/>
    <hyperlink r:id="rId9211" ref="B4607"/>
    <hyperlink r:id="rId9212" ref="D4607"/>
    <hyperlink r:id="rId9213" ref="B4608"/>
    <hyperlink r:id="rId9214" ref="D4608"/>
    <hyperlink r:id="rId9215" ref="B4609"/>
    <hyperlink r:id="rId9216" ref="D4609"/>
    <hyperlink r:id="rId9217" ref="B4610"/>
    <hyperlink r:id="rId9218" ref="D4610"/>
    <hyperlink r:id="rId9219" ref="B4611"/>
    <hyperlink r:id="rId9220" ref="D4611"/>
    <hyperlink r:id="rId9221" ref="B4612"/>
    <hyperlink r:id="rId9222" ref="D4612"/>
    <hyperlink r:id="rId9223" ref="B4613"/>
    <hyperlink r:id="rId9224" ref="D4613"/>
    <hyperlink r:id="rId9225" ref="B4614"/>
    <hyperlink r:id="rId9226" ref="D4614"/>
    <hyperlink r:id="rId9227" ref="B4615"/>
    <hyperlink r:id="rId9228" ref="D4615"/>
    <hyperlink r:id="rId9229" ref="B4616"/>
    <hyperlink r:id="rId9230" ref="D4616"/>
    <hyperlink r:id="rId9231" ref="B4617"/>
    <hyperlink r:id="rId9232" ref="D4617"/>
    <hyperlink r:id="rId9233" ref="B4618"/>
    <hyperlink r:id="rId9234" ref="D4618"/>
    <hyperlink r:id="rId9235" ref="B4619"/>
    <hyperlink r:id="rId9236" ref="D4619"/>
    <hyperlink r:id="rId9237" ref="B4620"/>
    <hyperlink r:id="rId9238" ref="D4620"/>
    <hyperlink r:id="rId9239" ref="B4621"/>
    <hyperlink r:id="rId9240" ref="D4621"/>
    <hyperlink r:id="rId9241" ref="B4622"/>
    <hyperlink r:id="rId9242" ref="D4622"/>
    <hyperlink r:id="rId9243" ref="B4623"/>
    <hyperlink r:id="rId9244" ref="D4623"/>
    <hyperlink r:id="rId9245" ref="B4624"/>
    <hyperlink r:id="rId9246" ref="D4624"/>
    <hyperlink r:id="rId9247" ref="B4625"/>
    <hyperlink r:id="rId9248" ref="D4625"/>
    <hyperlink r:id="rId9249" ref="B4626"/>
    <hyperlink r:id="rId9250" ref="D4626"/>
    <hyperlink r:id="rId9251" ref="B4627"/>
    <hyperlink r:id="rId9252" ref="D4627"/>
    <hyperlink r:id="rId9253" ref="B4628"/>
    <hyperlink r:id="rId9254" ref="D4628"/>
    <hyperlink r:id="rId9255" ref="B4629"/>
    <hyperlink r:id="rId9256" ref="D4629"/>
    <hyperlink r:id="rId9257" ref="B4630"/>
    <hyperlink r:id="rId9258" ref="D4630"/>
    <hyperlink r:id="rId9259" ref="B4631"/>
    <hyperlink r:id="rId9260" ref="D4631"/>
    <hyperlink r:id="rId9261" ref="B4632"/>
    <hyperlink r:id="rId9262" ref="D4632"/>
    <hyperlink r:id="rId9263" ref="B4633"/>
    <hyperlink r:id="rId9264" ref="D4633"/>
    <hyperlink r:id="rId9265" ref="B4634"/>
    <hyperlink r:id="rId9266" ref="D4634"/>
    <hyperlink r:id="rId9267" ref="B4635"/>
    <hyperlink r:id="rId9268" ref="D4635"/>
    <hyperlink r:id="rId9269" ref="B4636"/>
    <hyperlink r:id="rId9270" ref="D4636"/>
    <hyperlink r:id="rId9271" ref="B4637"/>
    <hyperlink r:id="rId9272" ref="D4637"/>
    <hyperlink r:id="rId9273" ref="B4638"/>
    <hyperlink r:id="rId9274" ref="D4638"/>
    <hyperlink r:id="rId9275" ref="B4639"/>
    <hyperlink r:id="rId9276" ref="D4639"/>
    <hyperlink r:id="rId9277" ref="B4640"/>
    <hyperlink r:id="rId9278" ref="D4640"/>
    <hyperlink r:id="rId9279" ref="B4641"/>
    <hyperlink r:id="rId9280" ref="D4641"/>
    <hyperlink r:id="rId9281" ref="B4642"/>
    <hyperlink r:id="rId9282" ref="D4642"/>
    <hyperlink r:id="rId9283" ref="B4643"/>
    <hyperlink r:id="rId9284" ref="D4643"/>
    <hyperlink r:id="rId9285" ref="B4644"/>
    <hyperlink r:id="rId9286" ref="D4644"/>
    <hyperlink r:id="rId9287" ref="B4645"/>
    <hyperlink r:id="rId9288" ref="D4645"/>
    <hyperlink r:id="rId9289" ref="B4646"/>
    <hyperlink r:id="rId9290" ref="D4646"/>
    <hyperlink r:id="rId9291" ref="B4647"/>
    <hyperlink r:id="rId9292" ref="D4647"/>
    <hyperlink r:id="rId9293" ref="B4648"/>
    <hyperlink r:id="rId9294" ref="D4648"/>
    <hyperlink r:id="rId9295" ref="B4649"/>
    <hyperlink r:id="rId9296" ref="D4649"/>
    <hyperlink r:id="rId9297" ref="B4650"/>
    <hyperlink r:id="rId9298" ref="D4650"/>
    <hyperlink r:id="rId9299" ref="B4651"/>
    <hyperlink r:id="rId9300" ref="D4651"/>
    <hyperlink r:id="rId9301" ref="B4652"/>
    <hyperlink r:id="rId9302" ref="D4652"/>
    <hyperlink r:id="rId9303" ref="B4653"/>
    <hyperlink r:id="rId9304" ref="D4653"/>
    <hyperlink r:id="rId9305" ref="B4654"/>
    <hyperlink r:id="rId9306" ref="D4654"/>
    <hyperlink r:id="rId9307" ref="B4655"/>
    <hyperlink r:id="rId9308" ref="D4655"/>
    <hyperlink r:id="rId9309" ref="B4656"/>
    <hyperlink r:id="rId9310" ref="D4656"/>
    <hyperlink r:id="rId9311" ref="B4657"/>
    <hyperlink r:id="rId9312" ref="D4657"/>
    <hyperlink r:id="rId9313" ref="B4658"/>
    <hyperlink r:id="rId9314" ref="D4658"/>
    <hyperlink r:id="rId9315" ref="B4659"/>
    <hyperlink r:id="rId9316" ref="D4659"/>
    <hyperlink r:id="rId9317" ref="B4660"/>
    <hyperlink r:id="rId9318" ref="D4660"/>
    <hyperlink r:id="rId9319" ref="B4661"/>
    <hyperlink r:id="rId9320" ref="D4661"/>
    <hyperlink r:id="rId9321" ref="B4662"/>
    <hyperlink r:id="rId9322" ref="D4662"/>
    <hyperlink r:id="rId9323" ref="B4663"/>
    <hyperlink r:id="rId9324" ref="D4663"/>
    <hyperlink r:id="rId9325" ref="B4664"/>
    <hyperlink r:id="rId9326" ref="D4664"/>
    <hyperlink r:id="rId9327" ref="B4665"/>
    <hyperlink r:id="rId9328" ref="D4665"/>
    <hyperlink r:id="rId9329" ref="B4666"/>
    <hyperlink r:id="rId9330" ref="D4666"/>
    <hyperlink r:id="rId9331" ref="B4667"/>
    <hyperlink r:id="rId9332" ref="D4667"/>
    <hyperlink r:id="rId9333" ref="B4668"/>
    <hyperlink r:id="rId9334" ref="D4668"/>
    <hyperlink r:id="rId9335" ref="B4669"/>
    <hyperlink r:id="rId9336" ref="D4669"/>
    <hyperlink r:id="rId9337" ref="B4670"/>
    <hyperlink r:id="rId9338" ref="D4670"/>
    <hyperlink r:id="rId9339" ref="B4671"/>
    <hyperlink r:id="rId9340" ref="D4671"/>
    <hyperlink r:id="rId9341" ref="B4672"/>
    <hyperlink r:id="rId9342" ref="D4672"/>
    <hyperlink r:id="rId9343" ref="B4673"/>
    <hyperlink r:id="rId9344" ref="D4673"/>
    <hyperlink r:id="rId9345" ref="B4674"/>
    <hyperlink r:id="rId9346" ref="D4674"/>
    <hyperlink r:id="rId9347" ref="B4675"/>
    <hyperlink r:id="rId9348" ref="D4675"/>
    <hyperlink r:id="rId9349" ref="B4676"/>
    <hyperlink r:id="rId9350" ref="D4676"/>
    <hyperlink r:id="rId9351" ref="B4677"/>
    <hyperlink r:id="rId9352" ref="D4677"/>
    <hyperlink r:id="rId9353" ref="B4678"/>
    <hyperlink r:id="rId9354" ref="D4678"/>
    <hyperlink r:id="rId9355" ref="B4679"/>
    <hyperlink r:id="rId9356" ref="D4679"/>
    <hyperlink r:id="rId9357" ref="B4680"/>
    <hyperlink r:id="rId9358" ref="D4680"/>
    <hyperlink r:id="rId9359" ref="B4681"/>
    <hyperlink r:id="rId9360" ref="D4681"/>
    <hyperlink r:id="rId9361" ref="B4682"/>
    <hyperlink r:id="rId9362" ref="D4682"/>
    <hyperlink r:id="rId9363" ref="B4683"/>
    <hyperlink r:id="rId9364" ref="D4683"/>
    <hyperlink r:id="rId9365" ref="B4684"/>
    <hyperlink r:id="rId9366" ref="D4684"/>
    <hyperlink r:id="rId9367" ref="B4685"/>
    <hyperlink r:id="rId9368" ref="D4685"/>
    <hyperlink r:id="rId9369" ref="B4686"/>
    <hyperlink r:id="rId9370" ref="D4686"/>
    <hyperlink r:id="rId9371" ref="B4687"/>
    <hyperlink r:id="rId9372" ref="D4687"/>
    <hyperlink r:id="rId9373" ref="B4688"/>
    <hyperlink r:id="rId9374" ref="D4688"/>
    <hyperlink r:id="rId9375" ref="B4689"/>
    <hyperlink r:id="rId9376" ref="D4689"/>
    <hyperlink r:id="rId9377" ref="B4690"/>
    <hyperlink r:id="rId9378" ref="D4690"/>
    <hyperlink r:id="rId9379" ref="B4691"/>
    <hyperlink r:id="rId9380" ref="D4691"/>
    <hyperlink r:id="rId9381" ref="B4692"/>
    <hyperlink r:id="rId9382" ref="D4692"/>
    <hyperlink r:id="rId9383" ref="B4693"/>
    <hyperlink r:id="rId9384" ref="D4693"/>
    <hyperlink r:id="rId9385" ref="B4694"/>
    <hyperlink r:id="rId9386" ref="D4694"/>
    <hyperlink r:id="rId9387" ref="B4695"/>
    <hyperlink r:id="rId9388" ref="D4695"/>
    <hyperlink r:id="rId9389" ref="B4696"/>
    <hyperlink r:id="rId9390" ref="D4696"/>
    <hyperlink r:id="rId9391" ref="B4697"/>
    <hyperlink r:id="rId9392" ref="D4697"/>
    <hyperlink r:id="rId9393" ref="B4698"/>
    <hyperlink r:id="rId9394" ref="D4698"/>
    <hyperlink r:id="rId9395" ref="B4699"/>
    <hyperlink r:id="rId9396" ref="D4699"/>
    <hyperlink r:id="rId9397" ref="B4700"/>
    <hyperlink r:id="rId9398" ref="D4700"/>
    <hyperlink r:id="rId9399" ref="B4701"/>
    <hyperlink r:id="rId9400" ref="D4701"/>
    <hyperlink r:id="rId9401" ref="B4702"/>
    <hyperlink r:id="rId9402" ref="D4702"/>
    <hyperlink r:id="rId9403" ref="B4703"/>
    <hyperlink r:id="rId9404" ref="D4703"/>
    <hyperlink r:id="rId9405" ref="B4704"/>
    <hyperlink r:id="rId9406" ref="D4704"/>
    <hyperlink r:id="rId9407" ref="B4705"/>
    <hyperlink r:id="rId9408" ref="D4705"/>
    <hyperlink r:id="rId9409" ref="B4706"/>
    <hyperlink r:id="rId9410" ref="D4706"/>
    <hyperlink r:id="rId9411" ref="B4707"/>
    <hyperlink r:id="rId9412" ref="D4707"/>
    <hyperlink r:id="rId9413" ref="B4708"/>
    <hyperlink r:id="rId9414" ref="D4708"/>
    <hyperlink r:id="rId9415" ref="B4709"/>
    <hyperlink r:id="rId9416" ref="D4709"/>
    <hyperlink r:id="rId9417" ref="B4710"/>
    <hyperlink r:id="rId9418" ref="D4710"/>
    <hyperlink r:id="rId9419" ref="B4711"/>
    <hyperlink r:id="rId9420" ref="D4711"/>
    <hyperlink r:id="rId9421" ref="B4712"/>
    <hyperlink r:id="rId9422" ref="D4712"/>
    <hyperlink r:id="rId9423" ref="B4713"/>
    <hyperlink r:id="rId9424" ref="D4713"/>
    <hyperlink r:id="rId9425" ref="B4714"/>
    <hyperlink r:id="rId9426" ref="D4714"/>
    <hyperlink r:id="rId9427" ref="B4715"/>
    <hyperlink r:id="rId9428" ref="D4715"/>
    <hyperlink r:id="rId9429" ref="B4716"/>
    <hyperlink r:id="rId9430" ref="D4716"/>
    <hyperlink r:id="rId9431" ref="B4717"/>
    <hyperlink r:id="rId9432" ref="D4717"/>
    <hyperlink r:id="rId9433" ref="B4718"/>
    <hyperlink r:id="rId9434" ref="D4718"/>
    <hyperlink r:id="rId9435" ref="B4719"/>
    <hyperlink r:id="rId9436" ref="D4719"/>
    <hyperlink r:id="rId9437" ref="B4720"/>
    <hyperlink r:id="rId9438" ref="D4720"/>
    <hyperlink r:id="rId9439" ref="B4721"/>
    <hyperlink r:id="rId9440" ref="D4721"/>
    <hyperlink r:id="rId9441" ref="B4722"/>
    <hyperlink r:id="rId9442" ref="D4722"/>
    <hyperlink r:id="rId9443" ref="B4723"/>
    <hyperlink r:id="rId9444" ref="D4723"/>
    <hyperlink r:id="rId9445" ref="B4724"/>
    <hyperlink r:id="rId9446" ref="D4724"/>
    <hyperlink r:id="rId9447" ref="B4725"/>
    <hyperlink r:id="rId9448" ref="D4725"/>
    <hyperlink r:id="rId9449" ref="B4726"/>
    <hyperlink r:id="rId9450" ref="D4726"/>
    <hyperlink r:id="rId9451" ref="B4727"/>
    <hyperlink r:id="rId9452" ref="D4727"/>
    <hyperlink r:id="rId9453" ref="B4728"/>
    <hyperlink r:id="rId9454" ref="D4728"/>
    <hyperlink r:id="rId9455" ref="B4729"/>
    <hyperlink r:id="rId9456" ref="D4729"/>
    <hyperlink r:id="rId9457" ref="B4730"/>
    <hyperlink r:id="rId9458" ref="D4730"/>
    <hyperlink r:id="rId9459" ref="B4731"/>
    <hyperlink r:id="rId9460" ref="D4731"/>
    <hyperlink r:id="rId9461" ref="B4732"/>
    <hyperlink r:id="rId9462" ref="D4732"/>
    <hyperlink r:id="rId9463" ref="B4733"/>
    <hyperlink r:id="rId9464" ref="D4733"/>
    <hyperlink r:id="rId9465" ref="B4734"/>
    <hyperlink r:id="rId9466" ref="D4734"/>
    <hyperlink r:id="rId9467" ref="B4735"/>
    <hyperlink r:id="rId9468" ref="D4735"/>
    <hyperlink r:id="rId9469" ref="B4736"/>
    <hyperlink r:id="rId9470" ref="D4736"/>
    <hyperlink r:id="rId9471" ref="B4737"/>
    <hyperlink r:id="rId9472" ref="D4737"/>
    <hyperlink r:id="rId9473" ref="B4738"/>
    <hyperlink r:id="rId9474" ref="D4738"/>
    <hyperlink r:id="rId9475" ref="B4739"/>
    <hyperlink r:id="rId9476" ref="D4739"/>
    <hyperlink r:id="rId9477" ref="B4740"/>
    <hyperlink r:id="rId9478" ref="D4740"/>
    <hyperlink r:id="rId9479" ref="B4741"/>
    <hyperlink r:id="rId9480" ref="D4741"/>
    <hyperlink r:id="rId9481" ref="B4742"/>
    <hyperlink r:id="rId9482" ref="D4742"/>
    <hyperlink r:id="rId9483" ref="B4743"/>
    <hyperlink r:id="rId9484" ref="D4743"/>
    <hyperlink r:id="rId9485" ref="B4744"/>
    <hyperlink r:id="rId9486" ref="D4744"/>
    <hyperlink r:id="rId9487" ref="B4745"/>
    <hyperlink r:id="rId9488" ref="D4745"/>
    <hyperlink r:id="rId9489" ref="B4746"/>
    <hyperlink r:id="rId9490" ref="D4746"/>
    <hyperlink r:id="rId9491" ref="B4747"/>
    <hyperlink r:id="rId9492" ref="D4747"/>
    <hyperlink r:id="rId9493" ref="B4748"/>
    <hyperlink r:id="rId9494" ref="D4748"/>
    <hyperlink r:id="rId9495" ref="B4749"/>
    <hyperlink r:id="rId9496" ref="D4749"/>
    <hyperlink r:id="rId9497" ref="B4750"/>
    <hyperlink r:id="rId9498" ref="D4750"/>
    <hyperlink r:id="rId9499" ref="B4751"/>
    <hyperlink r:id="rId9500" ref="D4751"/>
    <hyperlink r:id="rId9501" ref="B4752"/>
    <hyperlink r:id="rId9502" ref="D4752"/>
    <hyperlink r:id="rId9503" ref="B4753"/>
    <hyperlink r:id="rId9504" ref="D4753"/>
    <hyperlink r:id="rId9505" ref="B4754"/>
    <hyperlink r:id="rId9506" ref="D4754"/>
    <hyperlink r:id="rId9507" ref="B4755"/>
    <hyperlink r:id="rId9508" ref="D4755"/>
    <hyperlink r:id="rId9509" ref="B4756"/>
    <hyperlink r:id="rId9510" ref="D4756"/>
    <hyperlink r:id="rId9511" ref="B4757"/>
    <hyperlink r:id="rId9512" ref="D4757"/>
    <hyperlink r:id="rId9513" ref="B4758"/>
    <hyperlink r:id="rId9514" ref="D4758"/>
    <hyperlink r:id="rId9515" ref="B4759"/>
    <hyperlink r:id="rId9516" ref="D4759"/>
    <hyperlink r:id="rId9517" ref="B4760"/>
    <hyperlink r:id="rId9518" ref="D4760"/>
    <hyperlink r:id="rId9519" ref="B4761"/>
    <hyperlink r:id="rId9520" ref="D4761"/>
    <hyperlink r:id="rId9521" ref="B4762"/>
    <hyperlink r:id="rId9522" ref="D4762"/>
    <hyperlink r:id="rId9523" ref="B4763"/>
    <hyperlink r:id="rId9524" ref="D4763"/>
    <hyperlink r:id="rId9525" ref="B4764"/>
    <hyperlink r:id="rId9526" ref="D4764"/>
    <hyperlink r:id="rId9527" ref="B4765"/>
    <hyperlink r:id="rId9528" ref="D4765"/>
    <hyperlink r:id="rId9529" ref="B4766"/>
    <hyperlink r:id="rId9530" ref="D4766"/>
    <hyperlink r:id="rId9531" ref="B4767"/>
    <hyperlink r:id="rId9532" ref="D4767"/>
    <hyperlink r:id="rId9533" ref="B4768"/>
    <hyperlink r:id="rId9534" ref="D4768"/>
    <hyperlink r:id="rId9535" ref="B4769"/>
    <hyperlink r:id="rId9536" ref="D4769"/>
    <hyperlink r:id="rId9537" ref="B4770"/>
    <hyperlink r:id="rId9538" ref="D4770"/>
    <hyperlink r:id="rId9539" ref="B4771"/>
    <hyperlink r:id="rId9540" ref="D4771"/>
    <hyperlink r:id="rId9541" ref="B4772"/>
    <hyperlink r:id="rId9542" ref="D4772"/>
    <hyperlink r:id="rId9543" ref="B4773"/>
    <hyperlink r:id="rId9544" ref="D4773"/>
    <hyperlink r:id="rId9545" ref="B4774"/>
    <hyperlink r:id="rId9546" ref="D4774"/>
    <hyperlink r:id="rId9547" ref="B4775"/>
    <hyperlink r:id="rId9548" ref="D4775"/>
    <hyperlink r:id="rId9549" ref="B4776"/>
    <hyperlink r:id="rId9550" ref="D4776"/>
    <hyperlink r:id="rId9551" ref="B4777"/>
    <hyperlink r:id="rId9552" ref="D4777"/>
    <hyperlink r:id="rId9553" ref="B4778"/>
    <hyperlink r:id="rId9554" ref="D4778"/>
    <hyperlink r:id="rId9555" ref="B4779"/>
    <hyperlink r:id="rId9556" ref="D4779"/>
    <hyperlink r:id="rId9557" ref="B4780"/>
    <hyperlink r:id="rId9558" ref="D4780"/>
    <hyperlink r:id="rId9559" ref="B4781"/>
    <hyperlink r:id="rId9560" ref="D4781"/>
    <hyperlink r:id="rId9561" ref="B4782"/>
    <hyperlink r:id="rId9562" ref="D4782"/>
    <hyperlink r:id="rId9563" ref="B4783"/>
    <hyperlink r:id="rId9564" ref="D4783"/>
    <hyperlink r:id="rId9565" ref="B4784"/>
    <hyperlink r:id="rId9566" ref="D4784"/>
    <hyperlink r:id="rId9567" ref="B4785"/>
    <hyperlink r:id="rId9568" ref="D4785"/>
    <hyperlink r:id="rId9569" ref="B4786"/>
    <hyperlink r:id="rId9570" ref="D4786"/>
    <hyperlink r:id="rId9571" ref="B4787"/>
    <hyperlink r:id="rId9572" ref="D4787"/>
    <hyperlink r:id="rId9573" ref="B4788"/>
    <hyperlink r:id="rId9574" ref="D4788"/>
    <hyperlink r:id="rId9575" ref="B4789"/>
    <hyperlink r:id="rId9576" ref="D4789"/>
    <hyperlink r:id="rId9577" ref="B4790"/>
    <hyperlink r:id="rId9578" ref="D4790"/>
    <hyperlink r:id="rId9579" ref="B4791"/>
    <hyperlink r:id="rId9580" ref="D4791"/>
    <hyperlink r:id="rId9581" ref="B4792"/>
    <hyperlink r:id="rId9582" ref="D4792"/>
    <hyperlink r:id="rId9583" ref="B4793"/>
    <hyperlink r:id="rId9584" ref="D4793"/>
    <hyperlink r:id="rId9585" ref="B4794"/>
    <hyperlink r:id="rId9586" ref="D4794"/>
    <hyperlink r:id="rId9587" ref="B4795"/>
    <hyperlink r:id="rId9588" ref="D4795"/>
    <hyperlink r:id="rId9589" ref="B4796"/>
    <hyperlink r:id="rId9590" ref="D4796"/>
    <hyperlink r:id="rId9591" ref="B4797"/>
    <hyperlink r:id="rId9592" ref="D4797"/>
    <hyperlink r:id="rId9593" ref="B4798"/>
    <hyperlink r:id="rId9594" ref="D4798"/>
    <hyperlink r:id="rId9595" ref="B4799"/>
    <hyperlink r:id="rId9596" ref="D4799"/>
    <hyperlink r:id="rId9597" ref="B4800"/>
    <hyperlink r:id="rId9598" ref="D4800"/>
    <hyperlink r:id="rId9599" ref="B4801"/>
    <hyperlink r:id="rId9600" ref="D4801"/>
    <hyperlink r:id="rId9601" ref="B4802"/>
    <hyperlink r:id="rId9602" ref="D4802"/>
    <hyperlink r:id="rId9603" ref="B4803"/>
    <hyperlink r:id="rId9604" ref="D4803"/>
    <hyperlink r:id="rId9605" ref="B4804"/>
    <hyperlink r:id="rId9606" ref="D4804"/>
    <hyperlink r:id="rId9607" ref="B4805"/>
    <hyperlink r:id="rId9608" ref="D4805"/>
    <hyperlink r:id="rId9609" ref="B4806"/>
    <hyperlink r:id="rId9610" ref="D4806"/>
    <hyperlink r:id="rId9611" ref="B4807"/>
    <hyperlink r:id="rId9612" ref="D4807"/>
    <hyperlink r:id="rId9613" ref="B4808"/>
    <hyperlink r:id="rId9614" ref="D4808"/>
    <hyperlink r:id="rId9615" ref="B4809"/>
    <hyperlink r:id="rId9616" ref="D4809"/>
    <hyperlink r:id="rId9617" ref="B4810"/>
    <hyperlink r:id="rId9618" ref="D4810"/>
    <hyperlink r:id="rId9619" ref="B4811"/>
    <hyperlink r:id="rId9620" ref="D4811"/>
    <hyperlink r:id="rId9621" ref="B4812"/>
    <hyperlink r:id="rId9622" ref="D4812"/>
    <hyperlink r:id="rId9623" ref="B4813"/>
    <hyperlink r:id="rId9624" ref="D4813"/>
    <hyperlink r:id="rId9625" ref="B4814"/>
    <hyperlink r:id="rId9626" ref="D4814"/>
    <hyperlink r:id="rId9627" ref="B4815"/>
    <hyperlink r:id="rId9628" ref="D4815"/>
    <hyperlink r:id="rId9629" ref="B4816"/>
    <hyperlink r:id="rId9630" ref="D4816"/>
    <hyperlink r:id="rId9631" ref="B4817"/>
    <hyperlink r:id="rId9632" ref="D4817"/>
    <hyperlink r:id="rId9633" ref="B4818"/>
    <hyperlink r:id="rId9634" ref="D4818"/>
    <hyperlink r:id="rId9635" ref="B4819"/>
    <hyperlink r:id="rId9636" ref="D4819"/>
    <hyperlink r:id="rId9637" ref="B4820"/>
    <hyperlink r:id="rId9638" ref="D4820"/>
    <hyperlink r:id="rId9639" ref="B4821"/>
    <hyperlink r:id="rId9640" ref="D4821"/>
    <hyperlink r:id="rId9641" ref="B4822"/>
    <hyperlink r:id="rId9642" ref="D4822"/>
    <hyperlink r:id="rId9643" ref="B4823"/>
    <hyperlink r:id="rId9644" ref="D4823"/>
    <hyperlink r:id="rId9645" ref="B4824"/>
    <hyperlink r:id="rId9646" ref="D4824"/>
    <hyperlink r:id="rId9647" ref="B4825"/>
    <hyperlink r:id="rId9648" ref="D4825"/>
    <hyperlink r:id="rId9649" ref="B4826"/>
    <hyperlink r:id="rId9650" ref="D4826"/>
    <hyperlink r:id="rId9651" ref="B4827"/>
    <hyperlink r:id="rId9652" ref="D4827"/>
    <hyperlink r:id="rId9653" ref="B4828"/>
    <hyperlink r:id="rId9654" ref="D4828"/>
    <hyperlink r:id="rId9655" ref="B4829"/>
    <hyperlink r:id="rId9656" ref="D4829"/>
    <hyperlink r:id="rId9657" ref="B4830"/>
    <hyperlink r:id="rId9658" ref="D4830"/>
    <hyperlink r:id="rId9659" ref="B4831"/>
    <hyperlink r:id="rId9660" ref="D4831"/>
    <hyperlink r:id="rId9661" ref="B4832"/>
    <hyperlink r:id="rId9662" ref="D4832"/>
    <hyperlink r:id="rId9663" ref="B4833"/>
    <hyperlink r:id="rId9664" ref="D4833"/>
    <hyperlink r:id="rId9665" ref="B4834"/>
    <hyperlink r:id="rId9666" ref="D4834"/>
    <hyperlink r:id="rId9667" ref="B4835"/>
    <hyperlink r:id="rId9668" ref="D4835"/>
    <hyperlink r:id="rId9669" ref="B4836"/>
    <hyperlink r:id="rId9670" ref="D4836"/>
    <hyperlink r:id="rId9671" ref="B4837"/>
    <hyperlink r:id="rId9672" ref="D4837"/>
    <hyperlink r:id="rId9673" ref="B4838"/>
    <hyperlink r:id="rId9674" ref="D4838"/>
    <hyperlink r:id="rId9675" ref="B4839"/>
    <hyperlink r:id="rId9676" ref="D4839"/>
    <hyperlink r:id="rId9677" ref="B4840"/>
    <hyperlink r:id="rId9678" ref="D4840"/>
    <hyperlink r:id="rId9679" ref="B4841"/>
    <hyperlink r:id="rId9680" ref="D4841"/>
    <hyperlink r:id="rId9681" ref="B4842"/>
    <hyperlink r:id="rId9682" ref="D4842"/>
    <hyperlink r:id="rId9683" ref="B4843"/>
    <hyperlink r:id="rId9684" ref="D4843"/>
    <hyperlink r:id="rId9685" ref="B4844"/>
    <hyperlink r:id="rId9686" ref="D4844"/>
    <hyperlink r:id="rId9687" ref="B4845"/>
    <hyperlink r:id="rId9688" ref="D4845"/>
    <hyperlink r:id="rId9689" ref="B4846"/>
    <hyperlink r:id="rId9690" ref="D4846"/>
    <hyperlink r:id="rId9691" ref="B4847"/>
    <hyperlink r:id="rId9692" ref="D4847"/>
    <hyperlink r:id="rId9693" ref="B4848"/>
    <hyperlink r:id="rId9694" ref="D4848"/>
    <hyperlink r:id="rId9695" ref="B4849"/>
    <hyperlink r:id="rId9696" ref="D4849"/>
    <hyperlink r:id="rId9697" ref="B4850"/>
    <hyperlink r:id="rId9698" ref="D4850"/>
    <hyperlink r:id="rId9699" ref="B4851"/>
    <hyperlink r:id="rId9700" ref="D4851"/>
    <hyperlink r:id="rId9701" ref="B4852"/>
    <hyperlink r:id="rId9702" ref="D4852"/>
    <hyperlink r:id="rId9703" ref="B4853"/>
    <hyperlink r:id="rId9704" ref="D4853"/>
    <hyperlink r:id="rId9705" ref="B4854"/>
    <hyperlink r:id="rId9706" ref="D4854"/>
    <hyperlink r:id="rId9707" ref="B4855"/>
    <hyperlink r:id="rId9708" ref="D4855"/>
    <hyperlink r:id="rId9709" ref="B4856"/>
    <hyperlink r:id="rId9710" ref="D4856"/>
    <hyperlink r:id="rId9711" ref="B4857"/>
    <hyperlink r:id="rId9712" ref="D4857"/>
    <hyperlink r:id="rId9713" ref="B4858"/>
    <hyperlink r:id="rId9714" ref="D4858"/>
    <hyperlink r:id="rId9715" ref="B4859"/>
    <hyperlink r:id="rId9716" ref="D4859"/>
    <hyperlink r:id="rId9717" ref="B4860"/>
    <hyperlink r:id="rId9718" ref="D4860"/>
    <hyperlink r:id="rId9719" ref="B4861"/>
    <hyperlink r:id="rId9720" ref="D4861"/>
    <hyperlink r:id="rId9721" ref="B4862"/>
    <hyperlink r:id="rId9722" ref="D4862"/>
    <hyperlink r:id="rId9723" ref="B4863"/>
    <hyperlink r:id="rId9724" ref="D4863"/>
    <hyperlink r:id="rId9725" ref="B4864"/>
    <hyperlink r:id="rId9726" ref="D4864"/>
    <hyperlink r:id="rId9727" ref="B4865"/>
    <hyperlink r:id="rId9728" ref="D4865"/>
    <hyperlink r:id="rId9729" ref="B4866"/>
    <hyperlink r:id="rId9730" ref="D4866"/>
    <hyperlink r:id="rId9731" ref="B4867"/>
    <hyperlink r:id="rId9732" ref="D4867"/>
    <hyperlink r:id="rId9733" ref="B4868"/>
    <hyperlink r:id="rId9734" ref="D4868"/>
    <hyperlink r:id="rId9735" ref="B4869"/>
    <hyperlink r:id="rId9736" ref="D4869"/>
    <hyperlink r:id="rId9737" ref="B4870"/>
    <hyperlink r:id="rId9738" ref="D4870"/>
    <hyperlink r:id="rId9739" ref="B4871"/>
    <hyperlink r:id="rId9740" ref="D4871"/>
    <hyperlink r:id="rId9741" ref="B4872"/>
    <hyperlink r:id="rId9742" ref="D4872"/>
    <hyperlink r:id="rId9743" ref="B4873"/>
    <hyperlink r:id="rId9744" ref="D4873"/>
    <hyperlink r:id="rId9745" ref="B4874"/>
    <hyperlink r:id="rId9746" ref="D4874"/>
    <hyperlink r:id="rId9747" ref="B4875"/>
    <hyperlink r:id="rId9748" ref="D4875"/>
    <hyperlink r:id="rId9749" ref="B4876"/>
    <hyperlink r:id="rId9750" ref="D4876"/>
    <hyperlink r:id="rId9751" ref="B4877"/>
    <hyperlink r:id="rId9752" ref="D4877"/>
    <hyperlink r:id="rId9753" ref="B4878"/>
    <hyperlink r:id="rId9754" ref="D4878"/>
    <hyperlink r:id="rId9755" ref="B4879"/>
    <hyperlink r:id="rId9756" ref="D4879"/>
    <hyperlink r:id="rId9757" ref="B4880"/>
    <hyperlink r:id="rId9758" ref="D4880"/>
    <hyperlink r:id="rId9759" ref="B4881"/>
    <hyperlink r:id="rId9760" ref="D4881"/>
    <hyperlink r:id="rId9761" ref="B4882"/>
    <hyperlink r:id="rId9762" ref="D4882"/>
    <hyperlink r:id="rId9763" ref="B4883"/>
    <hyperlink r:id="rId9764" ref="D4883"/>
    <hyperlink r:id="rId9765" ref="B4884"/>
    <hyperlink r:id="rId9766" ref="D4884"/>
    <hyperlink r:id="rId9767" ref="B4885"/>
    <hyperlink r:id="rId9768" ref="D4885"/>
    <hyperlink r:id="rId9769" ref="B4886"/>
    <hyperlink r:id="rId9770" ref="D4886"/>
    <hyperlink r:id="rId9771" ref="B4887"/>
    <hyperlink r:id="rId9772" ref="D4887"/>
    <hyperlink r:id="rId9773" ref="B4888"/>
    <hyperlink r:id="rId9774" ref="D4888"/>
    <hyperlink r:id="rId9775" ref="B4889"/>
    <hyperlink r:id="rId9776" ref="D4889"/>
    <hyperlink r:id="rId9777" ref="B4890"/>
    <hyperlink r:id="rId9778" ref="D4890"/>
    <hyperlink r:id="rId9779" ref="B4891"/>
    <hyperlink r:id="rId9780" ref="D4891"/>
    <hyperlink r:id="rId9781" ref="B4892"/>
    <hyperlink r:id="rId9782" ref="D4892"/>
    <hyperlink r:id="rId9783" ref="B4893"/>
    <hyperlink r:id="rId9784" ref="D4893"/>
    <hyperlink r:id="rId9785" ref="B4894"/>
    <hyperlink r:id="rId9786" ref="D4894"/>
    <hyperlink r:id="rId9787" ref="B4895"/>
    <hyperlink r:id="rId9788" ref="D4895"/>
    <hyperlink r:id="rId9789" ref="B4896"/>
    <hyperlink r:id="rId9790" ref="D4896"/>
    <hyperlink r:id="rId9791" ref="B4897"/>
    <hyperlink r:id="rId9792" ref="D4897"/>
    <hyperlink r:id="rId9793" ref="B4898"/>
    <hyperlink r:id="rId9794" ref="D4898"/>
    <hyperlink r:id="rId9795" ref="B4899"/>
    <hyperlink r:id="rId9796" ref="D4899"/>
    <hyperlink r:id="rId9797" ref="B4900"/>
    <hyperlink r:id="rId9798" ref="D4900"/>
    <hyperlink r:id="rId9799" ref="B4901"/>
    <hyperlink r:id="rId9800" ref="D4901"/>
    <hyperlink r:id="rId9801" ref="B4902"/>
    <hyperlink r:id="rId9802" ref="D4902"/>
    <hyperlink r:id="rId9803" ref="B4903"/>
    <hyperlink r:id="rId9804" ref="D4903"/>
    <hyperlink r:id="rId9805" ref="B4904"/>
    <hyperlink r:id="rId9806" ref="D4904"/>
    <hyperlink r:id="rId9807" ref="B4905"/>
    <hyperlink r:id="rId9808" ref="D4905"/>
    <hyperlink r:id="rId9809" ref="B4906"/>
    <hyperlink r:id="rId9810" ref="D4906"/>
    <hyperlink r:id="rId9811" ref="B4907"/>
    <hyperlink r:id="rId9812" ref="D4907"/>
    <hyperlink r:id="rId9813" ref="B4908"/>
    <hyperlink r:id="rId9814" ref="D4908"/>
    <hyperlink r:id="rId9815" ref="B4909"/>
    <hyperlink r:id="rId9816" ref="D4909"/>
    <hyperlink r:id="rId9817" ref="B4910"/>
    <hyperlink r:id="rId9818" ref="D4910"/>
    <hyperlink r:id="rId9819" ref="B4911"/>
    <hyperlink r:id="rId9820" ref="D4911"/>
    <hyperlink r:id="rId9821" ref="B4912"/>
    <hyperlink r:id="rId9822" ref="D4912"/>
    <hyperlink r:id="rId9823" ref="B4913"/>
    <hyperlink r:id="rId9824" ref="D4913"/>
    <hyperlink r:id="rId9825" ref="B4914"/>
    <hyperlink r:id="rId9826" ref="D4914"/>
    <hyperlink r:id="rId9827" ref="B4915"/>
    <hyperlink r:id="rId9828" ref="D4915"/>
    <hyperlink r:id="rId9829" ref="B4916"/>
    <hyperlink r:id="rId9830" ref="D4916"/>
    <hyperlink r:id="rId9831" ref="B4917"/>
    <hyperlink r:id="rId9832" ref="D4917"/>
    <hyperlink r:id="rId9833" ref="B4918"/>
    <hyperlink r:id="rId9834" ref="D4918"/>
    <hyperlink r:id="rId9835" ref="B4919"/>
    <hyperlink r:id="rId9836" ref="D4919"/>
    <hyperlink r:id="rId9837" ref="B4920"/>
    <hyperlink r:id="rId9838" ref="D4920"/>
    <hyperlink r:id="rId9839" ref="B4921"/>
    <hyperlink r:id="rId9840" ref="D4921"/>
    <hyperlink r:id="rId9841" ref="B4922"/>
    <hyperlink r:id="rId9842" ref="D4922"/>
    <hyperlink r:id="rId9843" ref="B4923"/>
    <hyperlink r:id="rId9844" ref="D4923"/>
    <hyperlink r:id="rId9845" ref="B4924"/>
    <hyperlink r:id="rId9846" ref="D4924"/>
    <hyperlink r:id="rId9847" ref="B4925"/>
    <hyperlink r:id="rId9848" ref="D4925"/>
    <hyperlink r:id="rId9849" ref="B4926"/>
    <hyperlink r:id="rId9850" ref="D4926"/>
    <hyperlink r:id="rId9851" ref="B4927"/>
    <hyperlink r:id="rId9852" ref="D4927"/>
    <hyperlink r:id="rId9853" ref="B4928"/>
    <hyperlink r:id="rId9854" ref="D4928"/>
    <hyperlink r:id="rId9855" ref="B4929"/>
    <hyperlink r:id="rId9856" ref="D4929"/>
    <hyperlink r:id="rId9857" ref="B4930"/>
    <hyperlink r:id="rId9858" ref="D4930"/>
    <hyperlink r:id="rId9859" ref="B4931"/>
    <hyperlink r:id="rId9860" ref="D4931"/>
    <hyperlink r:id="rId9861" ref="B4932"/>
    <hyperlink r:id="rId9862" ref="D4932"/>
    <hyperlink r:id="rId9863" ref="B4933"/>
    <hyperlink r:id="rId9864" ref="D4933"/>
    <hyperlink r:id="rId9865" ref="B4934"/>
    <hyperlink r:id="rId9866" ref="D4934"/>
    <hyperlink r:id="rId9867" ref="B4935"/>
    <hyperlink r:id="rId9868" ref="D4935"/>
    <hyperlink r:id="rId9869" ref="B4936"/>
    <hyperlink r:id="rId9870" ref="D4936"/>
    <hyperlink r:id="rId9871" ref="B4937"/>
    <hyperlink r:id="rId9872" ref="D4937"/>
    <hyperlink r:id="rId9873" ref="B4938"/>
    <hyperlink r:id="rId9874" ref="D4938"/>
    <hyperlink r:id="rId9875" ref="B4939"/>
    <hyperlink r:id="rId9876" ref="D4939"/>
    <hyperlink r:id="rId9877" ref="B4940"/>
    <hyperlink r:id="rId9878" ref="D4940"/>
    <hyperlink r:id="rId9879" ref="B4941"/>
    <hyperlink r:id="rId9880" ref="D4941"/>
    <hyperlink r:id="rId9881" ref="B4942"/>
    <hyperlink r:id="rId9882" ref="D4942"/>
    <hyperlink r:id="rId9883" ref="B4943"/>
    <hyperlink r:id="rId9884" ref="D4943"/>
    <hyperlink r:id="rId9885" ref="B4944"/>
    <hyperlink r:id="rId9886" ref="D4944"/>
    <hyperlink r:id="rId9887" ref="B4945"/>
    <hyperlink r:id="rId9888" ref="D4945"/>
    <hyperlink r:id="rId9889" ref="B4946"/>
    <hyperlink r:id="rId9890" ref="D4946"/>
    <hyperlink r:id="rId9891" ref="B4947"/>
    <hyperlink r:id="rId9892" ref="D4947"/>
    <hyperlink r:id="rId9893" ref="B4948"/>
    <hyperlink r:id="rId9894" ref="D4948"/>
    <hyperlink r:id="rId9895" ref="B4949"/>
    <hyperlink r:id="rId9896" ref="D4949"/>
    <hyperlink r:id="rId9897" ref="B4950"/>
    <hyperlink r:id="rId9898" ref="D4950"/>
    <hyperlink r:id="rId9899" ref="B4951"/>
    <hyperlink r:id="rId9900" ref="D4951"/>
    <hyperlink r:id="rId9901" ref="B4952"/>
    <hyperlink r:id="rId9902" ref="D4952"/>
    <hyperlink r:id="rId9903" ref="B4953"/>
    <hyperlink r:id="rId9904" ref="D4953"/>
    <hyperlink r:id="rId9905" ref="B4954"/>
    <hyperlink r:id="rId9906" ref="D4954"/>
    <hyperlink r:id="rId9907" ref="B4955"/>
    <hyperlink r:id="rId9908" ref="D4955"/>
    <hyperlink r:id="rId9909" ref="B4956"/>
    <hyperlink r:id="rId9910" ref="D4956"/>
    <hyperlink r:id="rId9911" ref="B4957"/>
    <hyperlink r:id="rId9912" ref="D4957"/>
    <hyperlink r:id="rId9913" ref="B4958"/>
    <hyperlink r:id="rId9914" ref="D4958"/>
    <hyperlink r:id="rId9915" ref="B4959"/>
    <hyperlink r:id="rId9916" ref="D4959"/>
    <hyperlink r:id="rId9917" ref="B4960"/>
    <hyperlink r:id="rId9918" ref="D4960"/>
    <hyperlink r:id="rId9919" ref="B4961"/>
    <hyperlink r:id="rId9920" ref="D4961"/>
    <hyperlink r:id="rId9921" ref="B4962"/>
    <hyperlink r:id="rId9922" ref="D4962"/>
    <hyperlink r:id="rId9923" ref="B4963"/>
    <hyperlink r:id="rId9924" ref="D4963"/>
    <hyperlink r:id="rId9925" ref="B4964"/>
    <hyperlink r:id="rId9926" ref="D4964"/>
    <hyperlink r:id="rId9927" ref="B4965"/>
    <hyperlink r:id="rId9928" ref="D4965"/>
    <hyperlink r:id="rId9929" ref="B4966"/>
    <hyperlink r:id="rId9930" ref="D4966"/>
    <hyperlink r:id="rId9931" ref="B4967"/>
    <hyperlink r:id="rId9932" ref="D4967"/>
    <hyperlink r:id="rId9933" ref="B4968"/>
    <hyperlink r:id="rId9934" ref="D4968"/>
    <hyperlink r:id="rId9935" ref="B4969"/>
    <hyperlink r:id="rId9936" ref="D4969"/>
    <hyperlink r:id="rId9937" ref="B4970"/>
    <hyperlink r:id="rId9938" ref="D4970"/>
    <hyperlink r:id="rId9939" ref="B4971"/>
    <hyperlink r:id="rId9940" ref="D4971"/>
    <hyperlink r:id="rId9941" ref="B4972"/>
    <hyperlink r:id="rId9942" ref="D4972"/>
    <hyperlink r:id="rId9943" ref="B4973"/>
    <hyperlink r:id="rId9944" ref="D4973"/>
    <hyperlink r:id="rId9945" ref="B4974"/>
    <hyperlink r:id="rId9946" ref="D4974"/>
    <hyperlink r:id="rId9947" ref="B4975"/>
    <hyperlink r:id="rId9948" ref="D4975"/>
    <hyperlink r:id="rId9949" ref="B4976"/>
    <hyperlink r:id="rId9950" ref="D4976"/>
    <hyperlink r:id="rId9951" ref="B4977"/>
    <hyperlink r:id="rId9952" ref="D4977"/>
    <hyperlink r:id="rId9953" ref="B4978"/>
    <hyperlink r:id="rId9954" ref="D4978"/>
    <hyperlink r:id="rId9955" ref="B4979"/>
    <hyperlink r:id="rId9956" ref="D4979"/>
    <hyperlink r:id="rId9957" ref="B4980"/>
    <hyperlink r:id="rId9958" ref="D4980"/>
    <hyperlink r:id="rId9959" ref="B4981"/>
    <hyperlink r:id="rId9960" ref="D4981"/>
    <hyperlink r:id="rId9961" ref="B4982"/>
    <hyperlink r:id="rId9962" ref="D4982"/>
    <hyperlink r:id="rId9963" ref="B4983"/>
    <hyperlink r:id="rId9964" ref="D4983"/>
    <hyperlink r:id="rId9965" ref="B4984"/>
    <hyperlink r:id="rId9966" ref="D4984"/>
    <hyperlink r:id="rId9967" ref="B4985"/>
    <hyperlink r:id="rId9968" ref="D4985"/>
    <hyperlink r:id="rId9969" ref="B4986"/>
    <hyperlink r:id="rId9970" ref="D4986"/>
    <hyperlink r:id="rId9971" ref="B4987"/>
    <hyperlink r:id="rId9972" ref="D4987"/>
    <hyperlink r:id="rId9973" ref="B4988"/>
    <hyperlink r:id="rId9974" ref="D4988"/>
    <hyperlink r:id="rId9975" ref="B4989"/>
    <hyperlink r:id="rId9976" ref="D4989"/>
    <hyperlink r:id="rId9977" ref="B4990"/>
    <hyperlink r:id="rId9978" ref="D4990"/>
    <hyperlink r:id="rId9979" ref="B4991"/>
    <hyperlink r:id="rId9980" ref="D4991"/>
    <hyperlink r:id="rId9981" ref="B4992"/>
    <hyperlink r:id="rId9982" ref="D4992"/>
    <hyperlink r:id="rId9983" ref="B4993"/>
    <hyperlink r:id="rId9984" ref="D4993"/>
    <hyperlink r:id="rId9985" ref="B4994"/>
    <hyperlink r:id="rId9986" ref="D4994"/>
    <hyperlink r:id="rId9987" ref="B4995"/>
    <hyperlink r:id="rId9988" ref="D4995"/>
    <hyperlink r:id="rId9989" ref="B4996"/>
    <hyperlink r:id="rId9990" ref="D4996"/>
    <hyperlink r:id="rId9991" ref="B4997"/>
    <hyperlink r:id="rId9992" ref="D4997"/>
    <hyperlink r:id="rId9993" ref="B4998"/>
    <hyperlink r:id="rId9994" ref="D4998"/>
    <hyperlink r:id="rId9995" ref="B4999"/>
    <hyperlink r:id="rId9996" ref="D4999"/>
    <hyperlink r:id="rId9997" ref="B5000"/>
    <hyperlink r:id="rId9998" ref="D5000"/>
    <hyperlink r:id="rId9999" ref="B5001"/>
    <hyperlink r:id="rId10000" ref="D5001"/>
    <hyperlink r:id="rId10001" ref="B5002"/>
    <hyperlink r:id="rId10002" ref="D5002"/>
    <hyperlink r:id="rId10003" ref="B5003"/>
    <hyperlink r:id="rId10004" ref="D5003"/>
    <hyperlink r:id="rId10005" ref="B5004"/>
    <hyperlink r:id="rId10006" ref="D5004"/>
    <hyperlink r:id="rId10007" ref="B5005"/>
    <hyperlink r:id="rId10008" ref="D5005"/>
    <hyperlink r:id="rId10009" ref="B5006"/>
    <hyperlink r:id="rId10010" ref="D5006"/>
    <hyperlink r:id="rId10011" ref="B5007"/>
    <hyperlink r:id="rId10012" ref="D5007"/>
    <hyperlink r:id="rId10013" ref="B5008"/>
    <hyperlink r:id="rId10014" ref="D5008"/>
    <hyperlink r:id="rId10015" ref="B5009"/>
    <hyperlink r:id="rId10016" ref="D5009"/>
    <hyperlink r:id="rId10017" ref="B5010"/>
    <hyperlink r:id="rId10018" ref="D5010"/>
    <hyperlink r:id="rId10019" ref="B5011"/>
    <hyperlink r:id="rId10020" ref="D5011"/>
    <hyperlink r:id="rId10021" ref="B5012"/>
    <hyperlink r:id="rId10022" ref="D5012"/>
    <hyperlink r:id="rId10023" ref="B5013"/>
    <hyperlink r:id="rId10024" ref="D5013"/>
    <hyperlink r:id="rId10025" ref="B5014"/>
    <hyperlink r:id="rId10026" ref="D5014"/>
    <hyperlink r:id="rId10027" ref="B5015"/>
    <hyperlink r:id="rId10028" ref="D5015"/>
    <hyperlink r:id="rId10029" ref="B5016"/>
    <hyperlink r:id="rId10030" ref="D5016"/>
    <hyperlink r:id="rId10031" ref="B5017"/>
    <hyperlink r:id="rId10032" ref="D5017"/>
    <hyperlink r:id="rId10033" ref="B5018"/>
    <hyperlink r:id="rId10034" ref="D5018"/>
    <hyperlink r:id="rId10035" ref="B5019"/>
    <hyperlink r:id="rId10036" ref="D5019"/>
    <hyperlink r:id="rId10037" ref="B5020"/>
    <hyperlink r:id="rId10038" ref="D5020"/>
    <hyperlink r:id="rId10039" ref="B5021"/>
    <hyperlink r:id="rId10040" ref="D5021"/>
    <hyperlink r:id="rId10041" ref="B5022"/>
    <hyperlink r:id="rId10042" ref="D5022"/>
    <hyperlink r:id="rId10043" ref="B5023"/>
    <hyperlink r:id="rId10044" ref="D5023"/>
    <hyperlink r:id="rId10045" ref="B5024"/>
    <hyperlink r:id="rId10046" ref="D5024"/>
    <hyperlink r:id="rId10047" ref="B5025"/>
    <hyperlink r:id="rId10048" ref="D5025"/>
    <hyperlink r:id="rId10049" ref="B5026"/>
    <hyperlink r:id="rId10050" ref="D5026"/>
    <hyperlink r:id="rId10051" ref="B5027"/>
    <hyperlink r:id="rId10052" ref="D5027"/>
    <hyperlink r:id="rId10053" ref="B5028"/>
    <hyperlink r:id="rId10054" ref="D5028"/>
    <hyperlink r:id="rId10055" ref="B5029"/>
    <hyperlink r:id="rId10056" ref="D5029"/>
    <hyperlink r:id="rId10057" ref="B5030"/>
    <hyperlink r:id="rId10058" ref="D5030"/>
    <hyperlink r:id="rId10059" ref="B5031"/>
    <hyperlink r:id="rId10060" ref="D5031"/>
    <hyperlink r:id="rId10061" ref="B5032"/>
    <hyperlink r:id="rId10062" ref="D5032"/>
    <hyperlink r:id="rId10063" ref="B5033"/>
    <hyperlink r:id="rId10064" ref="D5033"/>
    <hyperlink r:id="rId10065" ref="B5034"/>
    <hyperlink r:id="rId10066" ref="D5034"/>
    <hyperlink r:id="rId10067" ref="B5035"/>
    <hyperlink r:id="rId10068" ref="D5035"/>
    <hyperlink r:id="rId10069" ref="B5036"/>
    <hyperlink r:id="rId10070" ref="D5036"/>
    <hyperlink r:id="rId10071" ref="B5037"/>
    <hyperlink r:id="rId10072" ref="D5037"/>
    <hyperlink r:id="rId10073" ref="B5038"/>
    <hyperlink r:id="rId10074" ref="D5038"/>
    <hyperlink r:id="rId10075" ref="B5039"/>
    <hyperlink r:id="rId10076" ref="D5039"/>
    <hyperlink r:id="rId10077" ref="B5040"/>
    <hyperlink r:id="rId10078" ref="D5040"/>
    <hyperlink r:id="rId10079" ref="B5041"/>
    <hyperlink r:id="rId10080" ref="D5041"/>
    <hyperlink r:id="rId10081" ref="B5042"/>
    <hyperlink r:id="rId10082" ref="D5042"/>
    <hyperlink r:id="rId10083" ref="B5043"/>
    <hyperlink r:id="rId10084" ref="D5043"/>
    <hyperlink r:id="rId10085" ref="B5044"/>
    <hyperlink r:id="rId10086" ref="D5044"/>
    <hyperlink r:id="rId10087" ref="B5045"/>
    <hyperlink r:id="rId10088" ref="D5045"/>
    <hyperlink r:id="rId10089" ref="B5046"/>
    <hyperlink r:id="rId10090" ref="D5046"/>
    <hyperlink r:id="rId10091" ref="B5047"/>
    <hyperlink r:id="rId10092" ref="D5047"/>
    <hyperlink r:id="rId10093" ref="B5048"/>
    <hyperlink r:id="rId10094" ref="D5048"/>
    <hyperlink r:id="rId10095" ref="B5049"/>
    <hyperlink r:id="rId10096" ref="D5049"/>
    <hyperlink r:id="rId10097" ref="B5050"/>
    <hyperlink r:id="rId10098" ref="D5050"/>
    <hyperlink r:id="rId10099" ref="B5051"/>
    <hyperlink r:id="rId10100" ref="D5051"/>
    <hyperlink r:id="rId10101" ref="B5052"/>
    <hyperlink r:id="rId10102" ref="D5052"/>
    <hyperlink r:id="rId10103" ref="B5053"/>
    <hyperlink r:id="rId10104" ref="D5053"/>
    <hyperlink r:id="rId10105" ref="B5054"/>
    <hyperlink r:id="rId10106" ref="D5054"/>
    <hyperlink r:id="rId10107" ref="B5055"/>
    <hyperlink r:id="rId10108" ref="D5055"/>
    <hyperlink r:id="rId10109" ref="B5056"/>
    <hyperlink r:id="rId10110" ref="D5056"/>
    <hyperlink r:id="rId10111" ref="B5057"/>
    <hyperlink r:id="rId10112" ref="D5057"/>
    <hyperlink r:id="rId10113" ref="B5058"/>
    <hyperlink r:id="rId10114" ref="D5058"/>
    <hyperlink r:id="rId10115" ref="B5059"/>
    <hyperlink r:id="rId10116" ref="D5059"/>
    <hyperlink r:id="rId10117" ref="B5060"/>
    <hyperlink r:id="rId10118" ref="D5060"/>
    <hyperlink r:id="rId10119" ref="B5061"/>
    <hyperlink r:id="rId10120" ref="D5061"/>
    <hyperlink r:id="rId10121" ref="B5062"/>
    <hyperlink r:id="rId10122" ref="D5062"/>
    <hyperlink r:id="rId10123" ref="B5063"/>
    <hyperlink r:id="rId10124" ref="D5063"/>
    <hyperlink r:id="rId10125" ref="B5064"/>
    <hyperlink r:id="rId10126" ref="D5064"/>
    <hyperlink r:id="rId10127" ref="B5065"/>
    <hyperlink r:id="rId10128" ref="D5065"/>
    <hyperlink r:id="rId10129" ref="B5066"/>
    <hyperlink r:id="rId10130" ref="D5066"/>
    <hyperlink r:id="rId10131" ref="B5067"/>
    <hyperlink r:id="rId10132" ref="D5067"/>
    <hyperlink r:id="rId10133" ref="B5068"/>
    <hyperlink r:id="rId10134" ref="D5068"/>
    <hyperlink r:id="rId10135" ref="B5069"/>
    <hyperlink r:id="rId10136" ref="D5069"/>
    <hyperlink r:id="rId10137" ref="B5070"/>
    <hyperlink r:id="rId10138" ref="D5070"/>
    <hyperlink r:id="rId10139" ref="B5071"/>
    <hyperlink r:id="rId10140" ref="D5071"/>
    <hyperlink r:id="rId10141" ref="B5072"/>
    <hyperlink r:id="rId10142" ref="D5072"/>
    <hyperlink r:id="rId10143" ref="B5073"/>
    <hyperlink r:id="rId10144" ref="D5073"/>
    <hyperlink r:id="rId10145" ref="B5074"/>
    <hyperlink r:id="rId10146" ref="D5074"/>
    <hyperlink r:id="rId10147" ref="B5075"/>
    <hyperlink r:id="rId10148" ref="D5075"/>
    <hyperlink r:id="rId10149" ref="B5076"/>
    <hyperlink r:id="rId10150" ref="D5076"/>
    <hyperlink r:id="rId10151" ref="B5077"/>
    <hyperlink r:id="rId10152" ref="D5077"/>
    <hyperlink r:id="rId10153" ref="B5078"/>
    <hyperlink r:id="rId10154" ref="D5078"/>
    <hyperlink r:id="rId10155" ref="B5079"/>
    <hyperlink r:id="rId10156" ref="D5079"/>
    <hyperlink r:id="rId10157" ref="B5080"/>
    <hyperlink r:id="rId10158" ref="D5080"/>
    <hyperlink r:id="rId10159" ref="B5081"/>
    <hyperlink r:id="rId10160" ref="D5081"/>
    <hyperlink r:id="rId10161" ref="B5082"/>
    <hyperlink r:id="rId10162" ref="D5082"/>
    <hyperlink r:id="rId10163" ref="B5083"/>
    <hyperlink r:id="rId10164" ref="D5083"/>
    <hyperlink r:id="rId10165" ref="B5084"/>
    <hyperlink r:id="rId10166" ref="D5084"/>
    <hyperlink r:id="rId10167" ref="B5085"/>
    <hyperlink r:id="rId10168" ref="D5085"/>
    <hyperlink r:id="rId10169" ref="B5086"/>
    <hyperlink r:id="rId10170" ref="D5086"/>
    <hyperlink r:id="rId10171" ref="B5087"/>
    <hyperlink r:id="rId10172" ref="D5087"/>
    <hyperlink r:id="rId10173" ref="B5088"/>
    <hyperlink r:id="rId10174" ref="D5088"/>
    <hyperlink r:id="rId10175" ref="B5089"/>
    <hyperlink r:id="rId10176" ref="D5089"/>
    <hyperlink r:id="rId10177" ref="B5090"/>
    <hyperlink r:id="rId10178" ref="D5090"/>
    <hyperlink r:id="rId10179" ref="B5091"/>
    <hyperlink r:id="rId10180" ref="D5091"/>
    <hyperlink r:id="rId10181" ref="B5092"/>
    <hyperlink r:id="rId10182" ref="D5092"/>
    <hyperlink r:id="rId10183" ref="B5093"/>
    <hyperlink r:id="rId10184" ref="D5093"/>
    <hyperlink r:id="rId10185" ref="B5094"/>
    <hyperlink r:id="rId10186" ref="D5094"/>
    <hyperlink r:id="rId10187" ref="B5095"/>
    <hyperlink r:id="rId10188" ref="D5095"/>
    <hyperlink r:id="rId10189" ref="B5096"/>
    <hyperlink r:id="rId10190" ref="D5096"/>
    <hyperlink r:id="rId10191" ref="B5097"/>
    <hyperlink r:id="rId10192" ref="D5097"/>
    <hyperlink r:id="rId10193" ref="B5098"/>
    <hyperlink r:id="rId10194" ref="D5098"/>
    <hyperlink r:id="rId10195" ref="B5099"/>
    <hyperlink r:id="rId10196" ref="D5099"/>
    <hyperlink r:id="rId10197" ref="B5100"/>
    <hyperlink r:id="rId10198" ref="D5100"/>
    <hyperlink r:id="rId10199" ref="B5101"/>
    <hyperlink r:id="rId10200" ref="D5101"/>
    <hyperlink r:id="rId10201" ref="B5102"/>
    <hyperlink r:id="rId10202" ref="D5102"/>
    <hyperlink r:id="rId10203" ref="B5103"/>
    <hyperlink r:id="rId10204" ref="D5103"/>
    <hyperlink r:id="rId10205" ref="B5104"/>
    <hyperlink r:id="rId10206" ref="D5104"/>
    <hyperlink r:id="rId10207" ref="B5105"/>
    <hyperlink r:id="rId10208" ref="D5105"/>
    <hyperlink r:id="rId10209" ref="B5106"/>
    <hyperlink r:id="rId10210" ref="D5106"/>
    <hyperlink r:id="rId10211" ref="B5107"/>
    <hyperlink r:id="rId10212" ref="D5107"/>
    <hyperlink r:id="rId10213" ref="B5108"/>
    <hyperlink r:id="rId10214" ref="D5108"/>
    <hyperlink r:id="rId10215" ref="B5109"/>
    <hyperlink r:id="rId10216" ref="D5109"/>
    <hyperlink r:id="rId10217" ref="B5110"/>
    <hyperlink r:id="rId10218" ref="D5110"/>
    <hyperlink r:id="rId10219" ref="B5111"/>
    <hyperlink r:id="rId10220" ref="D5111"/>
    <hyperlink r:id="rId10221" ref="B5112"/>
    <hyperlink r:id="rId10222" ref="D5112"/>
    <hyperlink r:id="rId10223" ref="B5113"/>
    <hyperlink r:id="rId10224" ref="D5113"/>
    <hyperlink r:id="rId10225" ref="B5114"/>
    <hyperlink r:id="rId10226" ref="D5114"/>
    <hyperlink r:id="rId10227" ref="B5115"/>
    <hyperlink r:id="rId10228" ref="D5115"/>
    <hyperlink r:id="rId10229" ref="B5116"/>
    <hyperlink r:id="rId10230" ref="D5116"/>
    <hyperlink r:id="rId10231" ref="B5117"/>
    <hyperlink r:id="rId10232" ref="D5117"/>
    <hyperlink r:id="rId10233" ref="B5118"/>
    <hyperlink r:id="rId10234" ref="D5118"/>
    <hyperlink r:id="rId10235" ref="B5119"/>
    <hyperlink r:id="rId10236" ref="D5119"/>
    <hyperlink r:id="rId10237" ref="B5120"/>
    <hyperlink r:id="rId10238" ref="D5120"/>
    <hyperlink r:id="rId10239" ref="B5121"/>
    <hyperlink r:id="rId10240" ref="D5121"/>
    <hyperlink r:id="rId10241" ref="B5122"/>
    <hyperlink r:id="rId10242" ref="D5122"/>
    <hyperlink r:id="rId10243" ref="B5123"/>
    <hyperlink r:id="rId10244" ref="D5123"/>
    <hyperlink r:id="rId10245" ref="B5124"/>
    <hyperlink r:id="rId10246" ref="D5124"/>
    <hyperlink r:id="rId10247" ref="B5125"/>
    <hyperlink r:id="rId10248" ref="D5125"/>
    <hyperlink r:id="rId10249" ref="B5126"/>
    <hyperlink r:id="rId10250" ref="D5126"/>
    <hyperlink r:id="rId10251" ref="B5127"/>
    <hyperlink r:id="rId10252" ref="D5127"/>
    <hyperlink r:id="rId10253" ref="B5128"/>
    <hyperlink r:id="rId10254" ref="D5128"/>
    <hyperlink r:id="rId10255" ref="B5129"/>
    <hyperlink r:id="rId10256" ref="D5129"/>
    <hyperlink r:id="rId10257" ref="B5130"/>
    <hyperlink r:id="rId10258" ref="D5130"/>
    <hyperlink r:id="rId10259" ref="B5131"/>
    <hyperlink r:id="rId10260" ref="D5131"/>
    <hyperlink r:id="rId10261" ref="B5132"/>
    <hyperlink r:id="rId10262" ref="D5132"/>
    <hyperlink r:id="rId10263" ref="B5133"/>
    <hyperlink r:id="rId10264" ref="D5133"/>
    <hyperlink r:id="rId10265" ref="B5134"/>
    <hyperlink r:id="rId10266" ref="D5134"/>
    <hyperlink r:id="rId10267" ref="B5135"/>
    <hyperlink r:id="rId10268" ref="D5135"/>
    <hyperlink r:id="rId10269" ref="B5136"/>
    <hyperlink r:id="rId10270" ref="D5136"/>
    <hyperlink r:id="rId10271" ref="B5137"/>
    <hyperlink r:id="rId10272" ref="D5137"/>
    <hyperlink r:id="rId10273" ref="B5138"/>
    <hyperlink r:id="rId10274" ref="D5138"/>
    <hyperlink r:id="rId10275" ref="B5139"/>
    <hyperlink r:id="rId10276" ref="D5139"/>
    <hyperlink r:id="rId10277" ref="B5140"/>
    <hyperlink r:id="rId10278" ref="D5140"/>
    <hyperlink r:id="rId10279" ref="B5141"/>
    <hyperlink r:id="rId10280" ref="D5141"/>
    <hyperlink r:id="rId10281" ref="B5142"/>
    <hyperlink r:id="rId10282" ref="D5142"/>
    <hyperlink r:id="rId10283" ref="B5143"/>
    <hyperlink r:id="rId10284" ref="D5143"/>
    <hyperlink r:id="rId10285" ref="B5144"/>
    <hyperlink r:id="rId10286" ref="D5144"/>
    <hyperlink r:id="rId10287" ref="B5145"/>
    <hyperlink r:id="rId10288" ref="D5145"/>
    <hyperlink r:id="rId10289" ref="B5146"/>
    <hyperlink r:id="rId10290" ref="D5146"/>
    <hyperlink r:id="rId10291" ref="B5147"/>
    <hyperlink r:id="rId10292" ref="D5147"/>
    <hyperlink r:id="rId10293" ref="B5148"/>
    <hyperlink r:id="rId10294" ref="D5148"/>
    <hyperlink r:id="rId10295" ref="B5149"/>
    <hyperlink r:id="rId10296" ref="D5149"/>
    <hyperlink r:id="rId10297" ref="B5150"/>
    <hyperlink r:id="rId10298" ref="D5150"/>
    <hyperlink r:id="rId10299" ref="B5151"/>
    <hyperlink r:id="rId10300" ref="D5151"/>
    <hyperlink r:id="rId10301" ref="B5152"/>
    <hyperlink r:id="rId10302" ref="D5152"/>
    <hyperlink r:id="rId10303" ref="B5153"/>
    <hyperlink r:id="rId10304" ref="D5153"/>
    <hyperlink r:id="rId10305" ref="B5154"/>
    <hyperlink r:id="rId10306" ref="D5154"/>
    <hyperlink r:id="rId10307" ref="B5155"/>
    <hyperlink r:id="rId10308" ref="D5155"/>
    <hyperlink r:id="rId10309" ref="B5156"/>
    <hyperlink r:id="rId10310" ref="D5156"/>
    <hyperlink r:id="rId10311" ref="B5157"/>
    <hyperlink r:id="rId10312" ref="D5157"/>
    <hyperlink r:id="rId10313" ref="B5158"/>
    <hyperlink r:id="rId10314" ref="D5158"/>
    <hyperlink r:id="rId10315" ref="B5159"/>
    <hyperlink r:id="rId10316" ref="D5159"/>
    <hyperlink r:id="rId10317" ref="B5160"/>
    <hyperlink r:id="rId10318" ref="D5160"/>
    <hyperlink r:id="rId10319" ref="B5161"/>
    <hyperlink r:id="rId10320" ref="D5161"/>
    <hyperlink r:id="rId10321" ref="B5162"/>
    <hyperlink r:id="rId10322" ref="D5162"/>
    <hyperlink r:id="rId10323" ref="B5163"/>
    <hyperlink r:id="rId10324" ref="D5163"/>
    <hyperlink r:id="rId10325" ref="B5164"/>
    <hyperlink r:id="rId10326" ref="D5164"/>
    <hyperlink r:id="rId10327" ref="B5165"/>
    <hyperlink r:id="rId10328" ref="D5165"/>
    <hyperlink r:id="rId10329" ref="B5166"/>
    <hyperlink r:id="rId10330" ref="D5166"/>
    <hyperlink r:id="rId10331" ref="B5167"/>
    <hyperlink r:id="rId10332" ref="D5167"/>
    <hyperlink r:id="rId10333" ref="B5168"/>
    <hyperlink r:id="rId10334" ref="D5168"/>
    <hyperlink r:id="rId10335" ref="B5169"/>
    <hyperlink r:id="rId10336" ref="D5169"/>
    <hyperlink r:id="rId10337" ref="B5170"/>
    <hyperlink r:id="rId10338" ref="D5170"/>
    <hyperlink r:id="rId10339" ref="B5171"/>
    <hyperlink r:id="rId10340" ref="D5171"/>
    <hyperlink r:id="rId10341" ref="B5172"/>
    <hyperlink r:id="rId10342" ref="D5172"/>
    <hyperlink r:id="rId10343" ref="B5173"/>
    <hyperlink r:id="rId10344" ref="D5173"/>
    <hyperlink r:id="rId10345" ref="B5174"/>
    <hyperlink r:id="rId10346" ref="D5174"/>
    <hyperlink r:id="rId10347" ref="B5175"/>
    <hyperlink r:id="rId10348" ref="D5175"/>
    <hyperlink r:id="rId10349" ref="B5176"/>
    <hyperlink r:id="rId10350" ref="D5176"/>
    <hyperlink r:id="rId10351" ref="B5177"/>
    <hyperlink r:id="rId10352" ref="D5177"/>
    <hyperlink r:id="rId10353" ref="B5178"/>
    <hyperlink r:id="rId10354" ref="D5178"/>
    <hyperlink r:id="rId10355" ref="B5179"/>
    <hyperlink r:id="rId10356" ref="D5179"/>
    <hyperlink r:id="rId10357" ref="B5180"/>
    <hyperlink r:id="rId10358" ref="D5180"/>
    <hyperlink r:id="rId10359" ref="B5181"/>
    <hyperlink r:id="rId10360" ref="D5181"/>
    <hyperlink r:id="rId10361" ref="B5182"/>
    <hyperlink r:id="rId10362" ref="D5182"/>
    <hyperlink r:id="rId10363" ref="B5183"/>
    <hyperlink r:id="rId10364" ref="D5183"/>
    <hyperlink r:id="rId10365" ref="B5184"/>
    <hyperlink r:id="rId10366" ref="D5184"/>
    <hyperlink r:id="rId10367" ref="B5185"/>
    <hyperlink r:id="rId10368" ref="D5185"/>
    <hyperlink r:id="rId10369" ref="B5186"/>
    <hyperlink r:id="rId10370" ref="D5186"/>
    <hyperlink r:id="rId10371" ref="B5187"/>
    <hyperlink r:id="rId10372" ref="D5187"/>
    <hyperlink r:id="rId10373" ref="B5188"/>
    <hyperlink r:id="rId10374" ref="D5188"/>
    <hyperlink r:id="rId10375" ref="B5189"/>
    <hyperlink r:id="rId10376" ref="D5189"/>
    <hyperlink r:id="rId10377" ref="B5190"/>
    <hyperlink r:id="rId10378" ref="D5190"/>
    <hyperlink r:id="rId10379" ref="B5191"/>
    <hyperlink r:id="rId10380" ref="D5191"/>
    <hyperlink r:id="rId10381" ref="B5192"/>
    <hyperlink r:id="rId10382" ref="D5192"/>
    <hyperlink r:id="rId10383" ref="B5193"/>
    <hyperlink r:id="rId10384" ref="D5193"/>
    <hyperlink r:id="rId10385" ref="B5194"/>
    <hyperlink r:id="rId10386" ref="D5194"/>
    <hyperlink r:id="rId10387" ref="B5195"/>
    <hyperlink r:id="rId10388" ref="D5195"/>
    <hyperlink r:id="rId10389" ref="B5196"/>
    <hyperlink r:id="rId10390" ref="D5196"/>
    <hyperlink r:id="rId10391" ref="B5197"/>
    <hyperlink r:id="rId10392" ref="D5197"/>
    <hyperlink r:id="rId10393" ref="B5198"/>
    <hyperlink r:id="rId10394" ref="D5198"/>
    <hyperlink r:id="rId10395" ref="B5199"/>
    <hyperlink r:id="rId10396" ref="D5199"/>
    <hyperlink r:id="rId10397" ref="B5200"/>
    <hyperlink r:id="rId10398" ref="D5200"/>
    <hyperlink r:id="rId10399" ref="B5201"/>
    <hyperlink r:id="rId10400" ref="D5201"/>
    <hyperlink r:id="rId10401" ref="B5202"/>
    <hyperlink r:id="rId10402" ref="D5202"/>
    <hyperlink r:id="rId10403" ref="B5203"/>
    <hyperlink r:id="rId10404" ref="D5203"/>
    <hyperlink r:id="rId10405" ref="B5204"/>
    <hyperlink r:id="rId10406" ref="D5204"/>
    <hyperlink r:id="rId10407" ref="B5205"/>
    <hyperlink r:id="rId10408" ref="D5205"/>
    <hyperlink r:id="rId10409" ref="B5206"/>
    <hyperlink r:id="rId10410" ref="D5206"/>
    <hyperlink r:id="rId10411" ref="B5207"/>
    <hyperlink r:id="rId10412" ref="D5207"/>
    <hyperlink r:id="rId10413" ref="B5208"/>
    <hyperlink r:id="rId10414" ref="D5208"/>
    <hyperlink r:id="rId10415" ref="B5209"/>
    <hyperlink r:id="rId10416" ref="D5209"/>
    <hyperlink r:id="rId10417" ref="B5210"/>
    <hyperlink r:id="rId10418" ref="D5210"/>
    <hyperlink r:id="rId10419" ref="B5211"/>
    <hyperlink r:id="rId10420" ref="D5211"/>
    <hyperlink r:id="rId10421" ref="B5212"/>
    <hyperlink r:id="rId10422" ref="D5212"/>
    <hyperlink r:id="rId10423" ref="B5213"/>
    <hyperlink r:id="rId10424" ref="D5213"/>
    <hyperlink r:id="rId10425" ref="B5214"/>
    <hyperlink r:id="rId10426" ref="D5214"/>
    <hyperlink r:id="rId10427" ref="B5215"/>
    <hyperlink r:id="rId10428" ref="D5215"/>
    <hyperlink r:id="rId10429" ref="B5216"/>
    <hyperlink r:id="rId10430" ref="D5216"/>
    <hyperlink r:id="rId10431" ref="B5217"/>
    <hyperlink r:id="rId10432" ref="D5217"/>
    <hyperlink r:id="rId10433" ref="B5218"/>
    <hyperlink r:id="rId10434" ref="D5218"/>
    <hyperlink r:id="rId10435" ref="B5219"/>
    <hyperlink r:id="rId10436" ref="D5219"/>
    <hyperlink r:id="rId10437" ref="B5220"/>
    <hyperlink r:id="rId10438" ref="D5220"/>
    <hyperlink r:id="rId10439" ref="B5221"/>
    <hyperlink r:id="rId10440" ref="D5221"/>
    <hyperlink r:id="rId10441" ref="B5222"/>
    <hyperlink r:id="rId10442" ref="D5222"/>
    <hyperlink r:id="rId10443" ref="B5223"/>
    <hyperlink r:id="rId10444" ref="D5223"/>
    <hyperlink r:id="rId10445" ref="B5224"/>
    <hyperlink r:id="rId10446" ref="D5224"/>
    <hyperlink r:id="rId10447" ref="B5225"/>
    <hyperlink r:id="rId10448" ref="D5225"/>
    <hyperlink r:id="rId10449" ref="B5226"/>
    <hyperlink r:id="rId10450" ref="D5226"/>
    <hyperlink r:id="rId10451" ref="B5227"/>
    <hyperlink r:id="rId10452" ref="D5227"/>
    <hyperlink r:id="rId10453" ref="B5228"/>
    <hyperlink r:id="rId10454" ref="D5228"/>
    <hyperlink r:id="rId10455" ref="B5229"/>
    <hyperlink r:id="rId10456" ref="D5229"/>
    <hyperlink r:id="rId10457" ref="B5230"/>
    <hyperlink r:id="rId10458" ref="D5230"/>
    <hyperlink r:id="rId10459" ref="B5231"/>
    <hyperlink r:id="rId10460" ref="D5231"/>
    <hyperlink r:id="rId10461" ref="B5232"/>
    <hyperlink r:id="rId10462" ref="D5232"/>
    <hyperlink r:id="rId10463" ref="B5233"/>
    <hyperlink r:id="rId10464" ref="D5233"/>
    <hyperlink r:id="rId10465" ref="B5234"/>
    <hyperlink r:id="rId10466" ref="D5234"/>
    <hyperlink r:id="rId10467" ref="B5235"/>
    <hyperlink r:id="rId10468" ref="D5235"/>
    <hyperlink r:id="rId10469" ref="B5236"/>
    <hyperlink r:id="rId10470" ref="D5236"/>
    <hyperlink r:id="rId10471" ref="B5237"/>
    <hyperlink r:id="rId10472" ref="D5237"/>
    <hyperlink r:id="rId10473" ref="B5238"/>
    <hyperlink r:id="rId10474" ref="D5238"/>
    <hyperlink r:id="rId10475" ref="B5239"/>
    <hyperlink r:id="rId10476" ref="D5239"/>
    <hyperlink r:id="rId10477" ref="B5240"/>
    <hyperlink r:id="rId10478" ref="D5240"/>
    <hyperlink r:id="rId10479" ref="B5241"/>
    <hyperlink r:id="rId10480" ref="D5241"/>
    <hyperlink r:id="rId10481" ref="B5242"/>
    <hyperlink r:id="rId10482" ref="D5242"/>
    <hyperlink r:id="rId10483" ref="B5243"/>
    <hyperlink r:id="rId10484" ref="D5243"/>
    <hyperlink r:id="rId10485" ref="B5244"/>
    <hyperlink r:id="rId10486" ref="D5244"/>
    <hyperlink r:id="rId10487" ref="B5245"/>
    <hyperlink r:id="rId10488" ref="D5245"/>
    <hyperlink r:id="rId10489" ref="B5246"/>
    <hyperlink r:id="rId10490" ref="D5246"/>
    <hyperlink r:id="rId10491" ref="B5247"/>
    <hyperlink r:id="rId10492" ref="D5247"/>
    <hyperlink r:id="rId10493" ref="B5248"/>
    <hyperlink r:id="rId10494" ref="D5248"/>
    <hyperlink r:id="rId10495" ref="B5249"/>
    <hyperlink r:id="rId10496" ref="D5249"/>
    <hyperlink r:id="rId10497" ref="B5250"/>
    <hyperlink r:id="rId10498" ref="D5250"/>
    <hyperlink r:id="rId10499" ref="B5251"/>
    <hyperlink r:id="rId10500" ref="D5251"/>
    <hyperlink r:id="rId10501" ref="B5252"/>
    <hyperlink r:id="rId10502" ref="D5252"/>
    <hyperlink r:id="rId10503" ref="B5253"/>
    <hyperlink r:id="rId10504" ref="D5253"/>
    <hyperlink r:id="rId10505" ref="B5254"/>
    <hyperlink r:id="rId10506" ref="D5254"/>
    <hyperlink r:id="rId10507" ref="B5255"/>
    <hyperlink r:id="rId10508" ref="D5255"/>
    <hyperlink r:id="rId10509" ref="B5256"/>
    <hyperlink r:id="rId10510" ref="D5256"/>
    <hyperlink r:id="rId10511" ref="B5257"/>
    <hyperlink r:id="rId10512" ref="D5257"/>
    <hyperlink r:id="rId10513" ref="B5258"/>
    <hyperlink r:id="rId10514" ref="D5258"/>
    <hyperlink r:id="rId10515" ref="B5259"/>
    <hyperlink r:id="rId10516" ref="D5259"/>
    <hyperlink r:id="rId10517" ref="B5260"/>
    <hyperlink r:id="rId10518" ref="D5260"/>
    <hyperlink r:id="rId10519" ref="B5261"/>
    <hyperlink r:id="rId10520" ref="D5261"/>
    <hyperlink r:id="rId10521" ref="B5262"/>
    <hyperlink r:id="rId10522" ref="D5262"/>
    <hyperlink r:id="rId10523" ref="B5263"/>
    <hyperlink r:id="rId10524" ref="D5263"/>
    <hyperlink r:id="rId10525" ref="B5264"/>
    <hyperlink r:id="rId10526" ref="D5264"/>
    <hyperlink r:id="rId10527" ref="B5265"/>
    <hyperlink r:id="rId10528" ref="D5265"/>
    <hyperlink r:id="rId10529" ref="B5266"/>
    <hyperlink r:id="rId10530" ref="D5266"/>
    <hyperlink r:id="rId10531" ref="B5267"/>
    <hyperlink r:id="rId10532" ref="D5267"/>
    <hyperlink r:id="rId10533" ref="B5268"/>
    <hyperlink r:id="rId10534" ref="D5268"/>
    <hyperlink r:id="rId10535" ref="B5269"/>
    <hyperlink r:id="rId10536" ref="D5269"/>
    <hyperlink r:id="rId10537" ref="B5270"/>
    <hyperlink r:id="rId10538" ref="D5270"/>
    <hyperlink r:id="rId10539" ref="B5271"/>
    <hyperlink r:id="rId10540" ref="D5271"/>
    <hyperlink r:id="rId10541" ref="B5272"/>
    <hyperlink r:id="rId10542" ref="D5272"/>
    <hyperlink r:id="rId10543" ref="B5273"/>
    <hyperlink r:id="rId10544" ref="D5273"/>
    <hyperlink r:id="rId10545" ref="B5274"/>
    <hyperlink r:id="rId10546" ref="D5274"/>
    <hyperlink r:id="rId10547" ref="B5275"/>
    <hyperlink r:id="rId10548" ref="D5275"/>
    <hyperlink r:id="rId10549" ref="B5276"/>
    <hyperlink r:id="rId10550" ref="D5276"/>
    <hyperlink r:id="rId10551" ref="B5277"/>
    <hyperlink r:id="rId10552" ref="D5277"/>
    <hyperlink r:id="rId10553" ref="B5278"/>
    <hyperlink r:id="rId10554" ref="D5278"/>
    <hyperlink r:id="rId10555" ref="B5279"/>
    <hyperlink r:id="rId10556" ref="D5279"/>
    <hyperlink r:id="rId10557" ref="B5280"/>
    <hyperlink r:id="rId10558" ref="D5280"/>
    <hyperlink r:id="rId10559" ref="B5281"/>
    <hyperlink r:id="rId10560" ref="D5281"/>
    <hyperlink r:id="rId10561" ref="B5282"/>
    <hyperlink r:id="rId10562" ref="D5282"/>
    <hyperlink r:id="rId10563" ref="B5283"/>
    <hyperlink r:id="rId10564" ref="D5283"/>
    <hyperlink r:id="rId10565" ref="B5284"/>
    <hyperlink r:id="rId10566" ref="D5284"/>
    <hyperlink r:id="rId10567" ref="B5285"/>
    <hyperlink r:id="rId10568" ref="D5285"/>
    <hyperlink r:id="rId10569" ref="B5286"/>
    <hyperlink r:id="rId10570" ref="D5286"/>
    <hyperlink r:id="rId10571" ref="B5287"/>
    <hyperlink r:id="rId10572" ref="D5287"/>
    <hyperlink r:id="rId10573" ref="B5288"/>
    <hyperlink r:id="rId10574" ref="D5288"/>
    <hyperlink r:id="rId10575" ref="B5289"/>
    <hyperlink r:id="rId10576" ref="D5289"/>
    <hyperlink r:id="rId10577" ref="B5290"/>
    <hyperlink r:id="rId10578" ref="D5290"/>
    <hyperlink r:id="rId10579" ref="B5291"/>
    <hyperlink r:id="rId10580" ref="D5291"/>
    <hyperlink r:id="rId10581" ref="B5292"/>
    <hyperlink r:id="rId10582" ref="D5292"/>
    <hyperlink r:id="rId10583" ref="B5293"/>
    <hyperlink r:id="rId10584" ref="D5293"/>
    <hyperlink r:id="rId10585" ref="B5294"/>
    <hyperlink r:id="rId10586" ref="D5294"/>
    <hyperlink r:id="rId10587" ref="B5295"/>
    <hyperlink r:id="rId10588" ref="D5295"/>
    <hyperlink r:id="rId10589" ref="B5296"/>
    <hyperlink r:id="rId10590" ref="D5296"/>
    <hyperlink r:id="rId10591" ref="B5297"/>
    <hyperlink r:id="rId10592" ref="D5297"/>
    <hyperlink r:id="rId10593" ref="B5298"/>
    <hyperlink r:id="rId10594" ref="D5298"/>
    <hyperlink r:id="rId10595" ref="B5299"/>
    <hyperlink r:id="rId10596" ref="D5299"/>
    <hyperlink r:id="rId10597" ref="B5300"/>
    <hyperlink r:id="rId10598" ref="D5300"/>
    <hyperlink r:id="rId10599" ref="B5301"/>
    <hyperlink r:id="rId10600" ref="D5301"/>
    <hyperlink r:id="rId10601" ref="B5302"/>
    <hyperlink r:id="rId10602" ref="D5302"/>
    <hyperlink r:id="rId10603" ref="B5303"/>
    <hyperlink r:id="rId10604" ref="D5303"/>
    <hyperlink r:id="rId10605" ref="B5304"/>
    <hyperlink r:id="rId10606" ref="D5304"/>
    <hyperlink r:id="rId10607" ref="B5305"/>
    <hyperlink r:id="rId10608" ref="D5305"/>
    <hyperlink r:id="rId10609" ref="B5306"/>
    <hyperlink r:id="rId10610" ref="D5306"/>
    <hyperlink r:id="rId10611" ref="B5307"/>
    <hyperlink r:id="rId10612" ref="D5307"/>
    <hyperlink r:id="rId10613" ref="B5308"/>
    <hyperlink r:id="rId10614" ref="D5308"/>
    <hyperlink r:id="rId10615" ref="B5309"/>
    <hyperlink r:id="rId10616" ref="D5309"/>
    <hyperlink r:id="rId10617" ref="B5310"/>
    <hyperlink r:id="rId10618" ref="D5310"/>
    <hyperlink r:id="rId10619" ref="B5311"/>
    <hyperlink r:id="rId10620" ref="D5311"/>
    <hyperlink r:id="rId10621" ref="B5312"/>
    <hyperlink r:id="rId10622" ref="D5312"/>
    <hyperlink r:id="rId10623" ref="B5313"/>
    <hyperlink r:id="rId10624" ref="D5313"/>
    <hyperlink r:id="rId10625" ref="B5314"/>
    <hyperlink r:id="rId10626" ref="D5314"/>
    <hyperlink r:id="rId10627" ref="B5315"/>
    <hyperlink r:id="rId10628" ref="D5315"/>
    <hyperlink r:id="rId10629" ref="B5316"/>
    <hyperlink r:id="rId10630" ref="D5316"/>
    <hyperlink r:id="rId10631" ref="B5317"/>
    <hyperlink r:id="rId10632" ref="D5317"/>
    <hyperlink r:id="rId10633" ref="B5318"/>
    <hyperlink r:id="rId10634" ref="D5318"/>
    <hyperlink r:id="rId10635" ref="B5319"/>
    <hyperlink r:id="rId10636" ref="D5319"/>
    <hyperlink r:id="rId10637" ref="B5320"/>
    <hyperlink r:id="rId10638" ref="D5320"/>
    <hyperlink r:id="rId10639" ref="B5321"/>
    <hyperlink r:id="rId10640" ref="D5321"/>
    <hyperlink r:id="rId10641" ref="B5322"/>
    <hyperlink r:id="rId10642" ref="D5322"/>
    <hyperlink r:id="rId10643" ref="B5323"/>
    <hyperlink r:id="rId10644" ref="D5323"/>
    <hyperlink r:id="rId10645" ref="B5324"/>
    <hyperlink r:id="rId10646" ref="D5324"/>
    <hyperlink r:id="rId10647" ref="B5325"/>
    <hyperlink r:id="rId10648" ref="D5325"/>
    <hyperlink r:id="rId10649" ref="B5326"/>
    <hyperlink r:id="rId10650" ref="D5326"/>
    <hyperlink r:id="rId10651" ref="B5327"/>
    <hyperlink r:id="rId10652" ref="D5327"/>
    <hyperlink r:id="rId10653" ref="B5328"/>
    <hyperlink r:id="rId10654" ref="D5328"/>
    <hyperlink r:id="rId10655" ref="B5329"/>
    <hyperlink r:id="rId10656" ref="D5329"/>
    <hyperlink r:id="rId10657" ref="B5330"/>
    <hyperlink r:id="rId10658" ref="D5330"/>
    <hyperlink r:id="rId10659" ref="B5331"/>
    <hyperlink r:id="rId10660" ref="D5331"/>
    <hyperlink r:id="rId10661" ref="B5332"/>
    <hyperlink r:id="rId10662" ref="D5332"/>
    <hyperlink r:id="rId10663" ref="B5333"/>
    <hyperlink r:id="rId10664" ref="D5333"/>
    <hyperlink r:id="rId10665" ref="B5334"/>
    <hyperlink r:id="rId10666" ref="D5334"/>
    <hyperlink r:id="rId10667" ref="B5335"/>
    <hyperlink r:id="rId10668" ref="D5335"/>
    <hyperlink r:id="rId10669" ref="B5336"/>
    <hyperlink r:id="rId10670" ref="D5336"/>
    <hyperlink r:id="rId10671" ref="B5337"/>
    <hyperlink r:id="rId10672" ref="D5337"/>
    <hyperlink r:id="rId10673" ref="B5338"/>
    <hyperlink r:id="rId10674" ref="D5338"/>
    <hyperlink r:id="rId10675" ref="B5339"/>
    <hyperlink r:id="rId10676" ref="D5339"/>
    <hyperlink r:id="rId10677" ref="B5340"/>
    <hyperlink r:id="rId10678" ref="D5340"/>
    <hyperlink r:id="rId10679" ref="B5341"/>
    <hyperlink r:id="rId10680" ref="D5341"/>
    <hyperlink r:id="rId10681" ref="B5342"/>
    <hyperlink r:id="rId10682" ref="D5342"/>
    <hyperlink r:id="rId10683" ref="B5343"/>
    <hyperlink r:id="rId10684" ref="D5343"/>
    <hyperlink r:id="rId10685" ref="B5344"/>
    <hyperlink r:id="rId10686" ref="D5344"/>
    <hyperlink r:id="rId10687" ref="B5345"/>
    <hyperlink r:id="rId10688" ref="D5345"/>
    <hyperlink r:id="rId10689" ref="B5346"/>
    <hyperlink r:id="rId10690" ref="D5346"/>
    <hyperlink r:id="rId10691" ref="B5347"/>
    <hyperlink r:id="rId10692" ref="D5347"/>
    <hyperlink r:id="rId10693" ref="B5348"/>
    <hyperlink r:id="rId10694" ref="D5348"/>
    <hyperlink r:id="rId10695" ref="B5349"/>
    <hyperlink r:id="rId10696" ref="D5349"/>
    <hyperlink r:id="rId10697" ref="B5350"/>
    <hyperlink r:id="rId10698" ref="D5350"/>
    <hyperlink r:id="rId10699" ref="B5351"/>
    <hyperlink r:id="rId10700" ref="D5351"/>
    <hyperlink r:id="rId10701" ref="B5352"/>
    <hyperlink r:id="rId10702" ref="D5352"/>
    <hyperlink r:id="rId10703" ref="B5353"/>
    <hyperlink r:id="rId10704" ref="D5353"/>
    <hyperlink r:id="rId10705" ref="B5354"/>
    <hyperlink r:id="rId10706" ref="D5354"/>
    <hyperlink r:id="rId10707" ref="B5355"/>
    <hyperlink r:id="rId10708" ref="D5355"/>
    <hyperlink r:id="rId10709" ref="B5356"/>
    <hyperlink r:id="rId10710" ref="D5356"/>
    <hyperlink r:id="rId10711" ref="B5357"/>
    <hyperlink r:id="rId10712" ref="D5357"/>
    <hyperlink r:id="rId10713" ref="B5358"/>
    <hyperlink r:id="rId10714" ref="D5358"/>
    <hyperlink r:id="rId10715" ref="B5359"/>
    <hyperlink r:id="rId10716" ref="D5359"/>
    <hyperlink r:id="rId10717" ref="B5360"/>
    <hyperlink r:id="rId10718" ref="D5360"/>
    <hyperlink r:id="rId10719" ref="B5361"/>
    <hyperlink r:id="rId10720" ref="D5361"/>
    <hyperlink r:id="rId10721" ref="B5362"/>
    <hyperlink r:id="rId10722" ref="D5362"/>
    <hyperlink r:id="rId10723" ref="B5363"/>
    <hyperlink r:id="rId10724" ref="D5363"/>
    <hyperlink r:id="rId10725" ref="B5364"/>
    <hyperlink r:id="rId10726" ref="D5364"/>
    <hyperlink r:id="rId10727" ref="B5365"/>
    <hyperlink r:id="rId10728" ref="D5365"/>
    <hyperlink r:id="rId10729" ref="B5366"/>
    <hyperlink r:id="rId10730" ref="D5366"/>
    <hyperlink r:id="rId10731" ref="B5367"/>
    <hyperlink r:id="rId10732" ref="D5367"/>
    <hyperlink r:id="rId10733" ref="B5368"/>
    <hyperlink r:id="rId10734" ref="D5368"/>
    <hyperlink r:id="rId10735" ref="B5369"/>
    <hyperlink r:id="rId10736" ref="D5369"/>
    <hyperlink r:id="rId10737" ref="B5370"/>
    <hyperlink r:id="rId10738" ref="D5370"/>
    <hyperlink r:id="rId10739" ref="B5371"/>
    <hyperlink r:id="rId10740" ref="D5371"/>
    <hyperlink r:id="rId10741" ref="B5372"/>
    <hyperlink r:id="rId10742" ref="D5372"/>
    <hyperlink r:id="rId10743" ref="B5373"/>
    <hyperlink r:id="rId10744" ref="D5373"/>
    <hyperlink r:id="rId10745" ref="B5374"/>
    <hyperlink r:id="rId10746" ref="D5374"/>
    <hyperlink r:id="rId10747" ref="B5375"/>
    <hyperlink r:id="rId10748" ref="D5375"/>
    <hyperlink r:id="rId10749" ref="B5376"/>
    <hyperlink r:id="rId10750" ref="D5376"/>
    <hyperlink r:id="rId10751" ref="B5377"/>
    <hyperlink r:id="rId10752" ref="D5377"/>
    <hyperlink r:id="rId10753" ref="B5378"/>
    <hyperlink r:id="rId10754" ref="D5378"/>
    <hyperlink r:id="rId10755" ref="B5379"/>
    <hyperlink r:id="rId10756" ref="D5379"/>
    <hyperlink r:id="rId10757" ref="B5380"/>
    <hyperlink r:id="rId10758" ref="D5380"/>
    <hyperlink r:id="rId10759" ref="B5381"/>
    <hyperlink r:id="rId10760" ref="D5381"/>
    <hyperlink r:id="rId10761" ref="B5382"/>
    <hyperlink r:id="rId10762" ref="D5382"/>
    <hyperlink r:id="rId10763" ref="B5383"/>
    <hyperlink r:id="rId10764" ref="D5383"/>
    <hyperlink r:id="rId10765" ref="B5384"/>
    <hyperlink r:id="rId10766" ref="D5384"/>
    <hyperlink r:id="rId10767" ref="B5385"/>
    <hyperlink r:id="rId10768" ref="D5385"/>
    <hyperlink r:id="rId10769" ref="B5386"/>
    <hyperlink r:id="rId10770" ref="D5386"/>
    <hyperlink r:id="rId10771" ref="B5387"/>
    <hyperlink r:id="rId10772" ref="D5387"/>
    <hyperlink r:id="rId10773" ref="B5388"/>
    <hyperlink r:id="rId10774" ref="D5388"/>
    <hyperlink r:id="rId10775" ref="B5389"/>
    <hyperlink r:id="rId10776" ref="D5389"/>
    <hyperlink r:id="rId10777" ref="B5390"/>
    <hyperlink r:id="rId10778" ref="D5390"/>
    <hyperlink r:id="rId10779" ref="B5391"/>
    <hyperlink r:id="rId10780" ref="D5391"/>
    <hyperlink r:id="rId10781" ref="B5392"/>
    <hyperlink r:id="rId10782" ref="D5392"/>
    <hyperlink r:id="rId10783" ref="B5393"/>
    <hyperlink r:id="rId10784" ref="D5393"/>
    <hyperlink r:id="rId10785" ref="B5394"/>
    <hyperlink r:id="rId10786" ref="D5394"/>
    <hyperlink r:id="rId10787" ref="B5395"/>
    <hyperlink r:id="rId10788" ref="D5395"/>
    <hyperlink r:id="rId10789" ref="B5396"/>
    <hyperlink r:id="rId10790" ref="D5396"/>
    <hyperlink r:id="rId10791" ref="B5397"/>
    <hyperlink r:id="rId10792" ref="D5397"/>
    <hyperlink r:id="rId10793" ref="B5398"/>
    <hyperlink r:id="rId10794" ref="D5398"/>
    <hyperlink r:id="rId10795" ref="B5399"/>
    <hyperlink r:id="rId10796" ref="D5399"/>
    <hyperlink r:id="rId10797" ref="B5400"/>
    <hyperlink r:id="rId10798" ref="D5400"/>
    <hyperlink r:id="rId10799" ref="B5401"/>
    <hyperlink r:id="rId10800" ref="D5401"/>
    <hyperlink r:id="rId10801" ref="B5402"/>
    <hyperlink r:id="rId10802" ref="D5402"/>
    <hyperlink r:id="rId10803" ref="B5403"/>
    <hyperlink r:id="rId10804" ref="D5403"/>
    <hyperlink r:id="rId10805" ref="B5404"/>
    <hyperlink r:id="rId10806" ref="D5404"/>
    <hyperlink r:id="rId10807" ref="B5405"/>
    <hyperlink r:id="rId10808" ref="D5405"/>
    <hyperlink r:id="rId10809" ref="B5406"/>
    <hyperlink r:id="rId10810" ref="D5406"/>
    <hyperlink r:id="rId10811" ref="B5407"/>
    <hyperlink r:id="rId10812" ref="D5407"/>
    <hyperlink r:id="rId10813" ref="B5408"/>
    <hyperlink r:id="rId10814" ref="D5408"/>
    <hyperlink r:id="rId10815" ref="B5409"/>
    <hyperlink r:id="rId10816" ref="D5409"/>
    <hyperlink r:id="rId10817" ref="B5410"/>
    <hyperlink r:id="rId10818" ref="D5410"/>
    <hyperlink r:id="rId10819" ref="B5411"/>
    <hyperlink r:id="rId10820" ref="D5411"/>
    <hyperlink r:id="rId10821" ref="B5412"/>
    <hyperlink r:id="rId10822" ref="D5412"/>
    <hyperlink r:id="rId10823" ref="B5413"/>
    <hyperlink r:id="rId10824" ref="D5413"/>
    <hyperlink r:id="rId10825" ref="B5414"/>
    <hyperlink r:id="rId10826" ref="D5414"/>
    <hyperlink r:id="rId10827" ref="B5415"/>
    <hyperlink r:id="rId10828" ref="D5415"/>
    <hyperlink r:id="rId10829" ref="B5416"/>
    <hyperlink r:id="rId10830" ref="D5416"/>
    <hyperlink r:id="rId10831" ref="B5417"/>
    <hyperlink r:id="rId10832" ref="D5417"/>
    <hyperlink r:id="rId10833" ref="B5418"/>
    <hyperlink r:id="rId10834" ref="D5418"/>
    <hyperlink r:id="rId10835" ref="B5419"/>
    <hyperlink r:id="rId10836" ref="D5419"/>
    <hyperlink r:id="rId10837" ref="B5420"/>
    <hyperlink r:id="rId10838" ref="D5420"/>
    <hyperlink r:id="rId10839" ref="B5421"/>
    <hyperlink r:id="rId10840" ref="D5421"/>
    <hyperlink r:id="rId10841" ref="B5422"/>
    <hyperlink r:id="rId10842" ref="D5422"/>
    <hyperlink r:id="rId10843" ref="B5423"/>
    <hyperlink r:id="rId10844" ref="D5423"/>
    <hyperlink r:id="rId10845" ref="B5424"/>
    <hyperlink r:id="rId10846" ref="D5424"/>
    <hyperlink r:id="rId10847" ref="B5425"/>
    <hyperlink r:id="rId10848" ref="D5425"/>
    <hyperlink r:id="rId10849" ref="B5426"/>
    <hyperlink r:id="rId10850" ref="D5426"/>
    <hyperlink r:id="rId10851" ref="B5427"/>
    <hyperlink r:id="rId10852" ref="D5427"/>
    <hyperlink r:id="rId10853" ref="B5428"/>
    <hyperlink r:id="rId10854" ref="D5428"/>
    <hyperlink r:id="rId10855" ref="B5429"/>
    <hyperlink r:id="rId10856" ref="D5429"/>
    <hyperlink r:id="rId10857" ref="B5430"/>
    <hyperlink r:id="rId10858" ref="D5430"/>
    <hyperlink r:id="rId10859" ref="B5431"/>
    <hyperlink r:id="rId10860" ref="D5431"/>
    <hyperlink r:id="rId10861" ref="B5432"/>
    <hyperlink r:id="rId10862" ref="D5432"/>
    <hyperlink r:id="rId10863" ref="B5433"/>
    <hyperlink r:id="rId10864" ref="D5433"/>
    <hyperlink r:id="rId10865" ref="B5434"/>
    <hyperlink r:id="rId10866" ref="D5434"/>
    <hyperlink r:id="rId10867" ref="B5435"/>
    <hyperlink r:id="rId10868" ref="D5435"/>
    <hyperlink r:id="rId10869" ref="B5436"/>
    <hyperlink r:id="rId10870" ref="D5436"/>
    <hyperlink r:id="rId10871" ref="B5437"/>
    <hyperlink r:id="rId10872" ref="D5437"/>
    <hyperlink r:id="rId10873" ref="B5438"/>
    <hyperlink r:id="rId10874" ref="D5438"/>
    <hyperlink r:id="rId10875" ref="B5439"/>
    <hyperlink r:id="rId10876" ref="D5439"/>
    <hyperlink r:id="rId10877" ref="B5440"/>
    <hyperlink r:id="rId10878" ref="D5440"/>
    <hyperlink r:id="rId10879" ref="B5441"/>
    <hyperlink r:id="rId10880" ref="D5441"/>
    <hyperlink r:id="rId10881" ref="B5442"/>
    <hyperlink r:id="rId10882" ref="D5442"/>
    <hyperlink r:id="rId10883" ref="B5443"/>
    <hyperlink r:id="rId10884" ref="D5443"/>
    <hyperlink r:id="rId10885" ref="B5444"/>
    <hyperlink r:id="rId10886" ref="D5444"/>
    <hyperlink r:id="rId10887" ref="B5445"/>
    <hyperlink r:id="rId10888" ref="D5445"/>
    <hyperlink r:id="rId10889" ref="B5446"/>
    <hyperlink r:id="rId10890" ref="D5446"/>
    <hyperlink r:id="rId10891" ref="B5447"/>
    <hyperlink r:id="rId10892" ref="D5447"/>
    <hyperlink r:id="rId10893" ref="B5448"/>
    <hyperlink r:id="rId10894" ref="D5448"/>
    <hyperlink r:id="rId10895" ref="B5449"/>
    <hyperlink r:id="rId10896" ref="D5449"/>
    <hyperlink r:id="rId10897" ref="B5450"/>
    <hyperlink r:id="rId10898" ref="D5450"/>
    <hyperlink r:id="rId10899" ref="B5451"/>
    <hyperlink r:id="rId10900" ref="D5451"/>
    <hyperlink r:id="rId10901" ref="B5452"/>
    <hyperlink r:id="rId10902" ref="D5452"/>
    <hyperlink r:id="rId10903" ref="B5453"/>
    <hyperlink r:id="rId10904" ref="D5453"/>
    <hyperlink r:id="rId10905" ref="B5454"/>
    <hyperlink r:id="rId10906" ref="D5454"/>
    <hyperlink r:id="rId10907" ref="B5455"/>
    <hyperlink r:id="rId10908" ref="D5455"/>
    <hyperlink r:id="rId10909" ref="B5456"/>
    <hyperlink r:id="rId10910" ref="D5456"/>
    <hyperlink r:id="rId10911" ref="B5457"/>
    <hyperlink r:id="rId10912" ref="D5457"/>
    <hyperlink r:id="rId10913" ref="B5458"/>
    <hyperlink r:id="rId10914" ref="D5458"/>
    <hyperlink r:id="rId10915" ref="B5459"/>
    <hyperlink r:id="rId10916" ref="D5459"/>
    <hyperlink r:id="rId10917" ref="B5460"/>
    <hyperlink r:id="rId10918" ref="D5460"/>
    <hyperlink r:id="rId10919" ref="B5461"/>
    <hyperlink r:id="rId10920" ref="D5461"/>
    <hyperlink r:id="rId10921" ref="B5462"/>
    <hyperlink r:id="rId10922" ref="D5462"/>
    <hyperlink r:id="rId10923" ref="B5463"/>
    <hyperlink r:id="rId10924" ref="D5463"/>
    <hyperlink r:id="rId10925" ref="B5464"/>
    <hyperlink r:id="rId10926" ref="D5464"/>
    <hyperlink r:id="rId10927" ref="B5465"/>
    <hyperlink r:id="rId10928" ref="D5465"/>
    <hyperlink r:id="rId10929" ref="B5466"/>
    <hyperlink r:id="rId10930" ref="D5466"/>
    <hyperlink r:id="rId10931" ref="B5467"/>
    <hyperlink r:id="rId10932" ref="D5467"/>
    <hyperlink r:id="rId10933" ref="B5468"/>
    <hyperlink r:id="rId10934" ref="D5468"/>
    <hyperlink r:id="rId10935" ref="B5469"/>
    <hyperlink r:id="rId10936" ref="D5469"/>
    <hyperlink r:id="rId10937" ref="B5470"/>
    <hyperlink r:id="rId10938" ref="D5470"/>
    <hyperlink r:id="rId10939" ref="B5471"/>
    <hyperlink r:id="rId10940" ref="D5471"/>
    <hyperlink r:id="rId10941" ref="B5472"/>
    <hyperlink r:id="rId10942" ref="D5472"/>
    <hyperlink r:id="rId10943" ref="B5473"/>
    <hyperlink r:id="rId10944" ref="D5473"/>
    <hyperlink r:id="rId10945" ref="B5474"/>
    <hyperlink r:id="rId10946" ref="D5474"/>
    <hyperlink r:id="rId10947" ref="B5475"/>
    <hyperlink r:id="rId10948" ref="D5475"/>
    <hyperlink r:id="rId10949" ref="B5476"/>
    <hyperlink r:id="rId10950" ref="D5476"/>
    <hyperlink r:id="rId10951" ref="B5477"/>
    <hyperlink r:id="rId10952" ref="D5477"/>
    <hyperlink r:id="rId10953" ref="B5478"/>
    <hyperlink r:id="rId10954" ref="D5478"/>
    <hyperlink r:id="rId10955" ref="B5479"/>
    <hyperlink r:id="rId10956" ref="D5479"/>
    <hyperlink r:id="rId10957" ref="B5480"/>
    <hyperlink r:id="rId10958" ref="D5480"/>
    <hyperlink r:id="rId10959" ref="B5481"/>
    <hyperlink r:id="rId10960" ref="D5481"/>
    <hyperlink r:id="rId10961" ref="B5482"/>
    <hyperlink r:id="rId10962" ref="D5482"/>
    <hyperlink r:id="rId10963" ref="B5483"/>
    <hyperlink r:id="rId10964" ref="D5483"/>
    <hyperlink r:id="rId10965" ref="B5484"/>
    <hyperlink r:id="rId10966" ref="D5484"/>
    <hyperlink r:id="rId10967" ref="B5485"/>
    <hyperlink r:id="rId10968" ref="D5485"/>
    <hyperlink r:id="rId10969" ref="B5486"/>
    <hyperlink r:id="rId10970" ref="D5486"/>
    <hyperlink r:id="rId10971" ref="B5487"/>
    <hyperlink r:id="rId10972" ref="D5487"/>
    <hyperlink r:id="rId10973" ref="B5488"/>
    <hyperlink r:id="rId10974" ref="D5488"/>
    <hyperlink r:id="rId10975" ref="B5489"/>
    <hyperlink r:id="rId10976" ref="D5489"/>
    <hyperlink r:id="rId10977" ref="B5490"/>
    <hyperlink r:id="rId10978" ref="D5490"/>
    <hyperlink r:id="rId10979" ref="B5491"/>
    <hyperlink r:id="rId10980" ref="D5491"/>
    <hyperlink r:id="rId10981" ref="B5492"/>
    <hyperlink r:id="rId10982" ref="D5492"/>
    <hyperlink r:id="rId10983" ref="B5493"/>
    <hyperlink r:id="rId10984" ref="D5493"/>
    <hyperlink r:id="rId10985" ref="B5494"/>
    <hyperlink r:id="rId10986" ref="D5494"/>
    <hyperlink r:id="rId10987" ref="B5495"/>
    <hyperlink r:id="rId10988" ref="D5495"/>
    <hyperlink r:id="rId10989" ref="B5496"/>
    <hyperlink r:id="rId10990" ref="D5496"/>
    <hyperlink r:id="rId10991" ref="B5497"/>
    <hyperlink r:id="rId10992" ref="D5497"/>
    <hyperlink r:id="rId10993" ref="B5498"/>
    <hyperlink r:id="rId10994" ref="D5498"/>
    <hyperlink r:id="rId10995" ref="B5499"/>
    <hyperlink r:id="rId10996" ref="D5499"/>
    <hyperlink r:id="rId10997" ref="B5500"/>
    <hyperlink r:id="rId10998" ref="D5500"/>
    <hyperlink r:id="rId10999" ref="B5501"/>
    <hyperlink r:id="rId11000" ref="D5501"/>
    <hyperlink r:id="rId11001" ref="B5502"/>
    <hyperlink r:id="rId11002" ref="D5502"/>
    <hyperlink r:id="rId11003" ref="B5503"/>
    <hyperlink r:id="rId11004" ref="D5503"/>
    <hyperlink r:id="rId11005" ref="B5504"/>
    <hyperlink r:id="rId11006" ref="D5504"/>
    <hyperlink r:id="rId11007" ref="B5505"/>
    <hyperlink r:id="rId11008" ref="D5505"/>
    <hyperlink r:id="rId11009" ref="B5506"/>
    <hyperlink r:id="rId11010" ref="D5506"/>
    <hyperlink r:id="rId11011" ref="B5507"/>
    <hyperlink r:id="rId11012" ref="D5507"/>
    <hyperlink r:id="rId11013" ref="B5508"/>
    <hyperlink r:id="rId11014" ref="D5508"/>
    <hyperlink r:id="rId11015" ref="B5509"/>
    <hyperlink r:id="rId11016" ref="D5509"/>
    <hyperlink r:id="rId11017" ref="B5510"/>
    <hyperlink r:id="rId11018" ref="D5510"/>
    <hyperlink r:id="rId11019" ref="B5511"/>
    <hyperlink r:id="rId11020" ref="D5511"/>
    <hyperlink r:id="rId11021" ref="B5512"/>
    <hyperlink r:id="rId11022" ref="D5512"/>
    <hyperlink r:id="rId11023" ref="B5513"/>
    <hyperlink r:id="rId11024" ref="D5513"/>
    <hyperlink r:id="rId11025" ref="B5514"/>
    <hyperlink r:id="rId11026" ref="D5514"/>
    <hyperlink r:id="rId11027" ref="B5515"/>
    <hyperlink r:id="rId11028" ref="D5515"/>
    <hyperlink r:id="rId11029" ref="B5516"/>
    <hyperlink r:id="rId11030" ref="D5516"/>
    <hyperlink r:id="rId11031" ref="B5517"/>
    <hyperlink r:id="rId11032" ref="D5517"/>
    <hyperlink r:id="rId11033" ref="B5518"/>
    <hyperlink r:id="rId11034" ref="D5518"/>
    <hyperlink r:id="rId11035" ref="B5519"/>
    <hyperlink r:id="rId11036" ref="D5519"/>
    <hyperlink r:id="rId11037" ref="B5520"/>
    <hyperlink r:id="rId11038" ref="D5520"/>
    <hyperlink r:id="rId11039" ref="B5521"/>
    <hyperlink r:id="rId11040" ref="D5521"/>
    <hyperlink r:id="rId11041" ref="B5522"/>
    <hyperlink r:id="rId11042" ref="D5522"/>
    <hyperlink r:id="rId11043" ref="B5523"/>
    <hyperlink r:id="rId11044" ref="D5523"/>
    <hyperlink r:id="rId11045" ref="B5524"/>
    <hyperlink r:id="rId11046" ref="D5524"/>
    <hyperlink r:id="rId11047" ref="B5525"/>
    <hyperlink r:id="rId11048" ref="D5525"/>
    <hyperlink r:id="rId11049" ref="B5526"/>
    <hyperlink r:id="rId11050" ref="D5526"/>
    <hyperlink r:id="rId11051" ref="B5527"/>
    <hyperlink r:id="rId11052" ref="D5527"/>
    <hyperlink r:id="rId11053" ref="B5528"/>
    <hyperlink r:id="rId11054" ref="D5528"/>
    <hyperlink r:id="rId11055" ref="B5529"/>
    <hyperlink r:id="rId11056" ref="D5529"/>
    <hyperlink r:id="rId11057" ref="B5530"/>
    <hyperlink r:id="rId11058" ref="D5530"/>
    <hyperlink r:id="rId11059" ref="B5531"/>
    <hyperlink r:id="rId11060" ref="D5531"/>
    <hyperlink r:id="rId11061" ref="B5532"/>
    <hyperlink r:id="rId11062" ref="D5532"/>
    <hyperlink r:id="rId11063" ref="B5533"/>
    <hyperlink r:id="rId11064" ref="D5533"/>
    <hyperlink r:id="rId11065" ref="B5534"/>
    <hyperlink r:id="rId11066" ref="D5534"/>
    <hyperlink r:id="rId11067" ref="B5535"/>
    <hyperlink r:id="rId11068" ref="D5535"/>
    <hyperlink r:id="rId11069" ref="B5536"/>
    <hyperlink r:id="rId11070" ref="D5536"/>
    <hyperlink r:id="rId11071" ref="B5537"/>
    <hyperlink r:id="rId11072" ref="D5537"/>
    <hyperlink r:id="rId11073" ref="B5538"/>
    <hyperlink r:id="rId11074" ref="D5538"/>
    <hyperlink r:id="rId11075" ref="B5539"/>
    <hyperlink r:id="rId11076" ref="D5539"/>
    <hyperlink r:id="rId11077" ref="B5540"/>
    <hyperlink r:id="rId11078" ref="D5540"/>
    <hyperlink r:id="rId11079" ref="B5541"/>
    <hyperlink r:id="rId11080" ref="D5541"/>
    <hyperlink r:id="rId11081" ref="B5542"/>
    <hyperlink r:id="rId11082" ref="D5542"/>
    <hyperlink r:id="rId11083" ref="B5543"/>
    <hyperlink r:id="rId11084" ref="D5543"/>
    <hyperlink r:id="rId11085" ref="B5544"/>
    <hyperlink r:id="rId11086" ref="D5544"/>
    <hyperlink r:id="rId11087" ref="B5545"/>
    <hyperlink r:id="rId11088" ref="D5545"/>
    <hyperlink r:id="rId11089" ref="B5546"/>
    <hyperlink r:id="rId11090" ref="D5546"/>
    <hyperlink r:id="rId11091" ref="B5547"/>
    <hyperlink r:id="rId11092" ref="D5547"/>
    <hyperlink r:id="rId11093" ref="B5548"/>
    <hyperlink r:id="rId11094" ref="D5548"/>
    <hyperlink r:id="rId11095" ref="B5549"/>
    <hyperlink r:id="rId11096" ref="D5549"/>
    <hyperlink r:id="rId11097" ref="B5550"/>
    <hyperlink r:id="rId11098" ref="D5550"/>
    <hyperlink r:id="rId11099" ref="B5551"/>
    <hyperlink r:id="rId11100" ref="D5551"/>
    <hyperlink r:id="rId11101" ref="B5552"/>
    <hyperlink r:id="rId11102" ref="D5552"/>
    <hyperlink r:id="rId11103" ref="B5553"/>
    <hyperlink r:id="rId11104" ref="D5553"/>
    <hyperlink r:id="rId11105" ref="B5554"/>
    <hyperlink r:id="rId11106" ref="D5554"/>
    <hyperlink r:id="rId11107" ref="B5555"/>
    <hyperlink r:id="rId11108" ref="D5555"/>
    <hyperlink r:id="rId11109" ref="B5556"/>
    <hyperlink r:id="rId11110" ref="D5556"/>
    <hyperlink r:id="rId11111" ref="B5557"/>
    <hyperlink r:id="rId11112" ref="D5557"/>
    <hyperlink r:id="rId11113" ref="B5558"/>
    <hyperlink r:id="rId11114" ref="D5558"/>
    <hyperlink r:id="rId11115" ref="B5559"/>
    <hyperlink r:id="rId11116" ref="D5559"/>
    <hyperlink r:id="rId11117" ref="B5560"/>
    <hyperlink r:id="rId11118" ref="D5560"/>
    <hyperlink r:id="rId11119" ref="B5561"/>
    <hyperlink r:id="rId11120" ref="D5561"/>
    <hyperlink r:id="rId11121" ref="B5562"/>
    <hyperlink r:id="rId11122" ref="D5562"/>
    <hyperlink r:id="rId11123" ref="B5563"/>
    <hyperlink r:id="rId11124" ref="D5563"/>
    <hyperlink r:id="rId11125" ref="B5564"/>
    <hyperlink r:id="rId11126" ref="D5564"/>
    <hyperlink r:id="rId11127" ref="B5565"/>
    <hyperlink r:id="rId11128" ref="D5565"/>
    <hyperlink r:id="rId11129" ref="B5566"/>
    <hyperlink r:id="rId11130" ref="D5566"/>
    <hyperlink r:id="rId11131" ref="B5567"/>
    <hyperlink r:id="rId11132" ref="D5567"/>
    <hyperlink r:id="rId11133" ref="B5568"/>
    <hyperlink r:id="rId11134" ref="D5568"/>
    <hyperlink r:id="rId11135" ref="B5569"/>
    <hyperlink r:id="rId11136" ref="D5569"/>
    <hyperlink r:id="rId11137" ref="B5570"/>
    <hyperlink r:id="rId11138" ref="D5570"/>
    <hyperlink r:id="rId11139" ref="B5571"/>
    <hyperlink r:id="rId11140" ref="D5571"/>
    <hyperlink r:id="rId11141" ref="B5572"/>
    <hyperlink r:id="rId11142" ref="D5572"/>
    <hyperlink r:id="rId11143" ref="B5573"/>
    <hyperlink r:id="rId11144" ref="D5573"/>
    <hyperlink r:id="rId11145" ref="B5574"/>
    <hyperlink r:id="rId11146" ref="D5574"/>
    <hyperlink r:id="rId11147" ref="B5575"/>
    <hyperlink r:id="rId11148" ref="D5575"/>
    <hyperlink r:id="rId11149" ref="B5576"/>
    <hyperlink r:id="rId11150" ref="D5576"/>
    <hyperlink r:id="rId11151" ref="B5577"/>
    <hyperlink r:id="rId11152" ref="D5577"/>
    <hyperlink r:id="rId11153" ref="B5578"/>
    <hyperlink r:id="rId11154" ref="D5578"/>
    <hyperlink r:id="rId11155" ref="B5579"/>
    <hyperlink r:id="rId11156" ref="D5579"/>
    <hyperlink r:id="rId11157" ref="B5580"/>
    <hyperlink r:id="rId11158" ref="D5580"/>
    <hyperlink r:id="rId11159" ref="B5581"/>
    <hyperlink r:id="rId11160" ref="D5581"/>
    <hyperlink r:id="rId11161" ref="B5582"/>
    <hyperlink r:id="rId11162" ref="D5582"/>
    <hyperlink r:id="rId11163" ref="B5583"/>
    <hyperlink r:id="rId11164" ref="D5583"/>
    <hyperlink r:id="rId11165" ref="B5584"/>
    <hyperlink r:id="rId11166" ref="D5584"/>
    <hyperlink r:id="rId11167" ref="B5585"/>
    <hyperlink r:id="rId11168" ref="D5585"/>
    <hyperlink r:id="rId11169" ref="B5586"/>
    <hyperlink r:id="rId11170" ref="D5586"/>
    <hyperlink r:id="rId11171" ref="B5587"/>
    <hyperlink r:id="rId11172" ref="D5587"/>
    <hyperlink r:id="rId11173" ref="B5588"/>
    <hyperlink r:id="rId11174" ref="D5588"/>
    <hyperlink r:id="rId11175" ref="B5589"/>
    <hyperlink r:id="rId11176" ref="D5589"/>
    <hyperlink r:id="rId11177" ref="B5590"/>
    <hyperlink r:id="rId11178" ref="D5590"/>
    <hyperlink r:id="rId11179" ref="B5591"/>
    <hyperlink r:id="rId11180" ref="D5591"/>
    <hyperlink r:id="rId11181" ref="B5592"/>
    <hyperlink r:id="rId11182" ref="D5592"/>
    <hyperlink r:id="rId11183" ref="B5593"/>
    <hyperlink r:id="rId11184" ref="D5593"/>
    <hyperlink r:id="rId11185" ref="B5594"/>
    <hyperlink r:id="rId11186" ref="D5594"/>
    <hyperlink r:id="rId11187" ref="B5595"/>
    <hyperlink r:id="rId11188" ref="D5595"/>
    <hyperlink r:id="rId11189" ref="B5596"/>
    <hyperlink r:id="rId11190" ref="D5596"/>
    <hyperlink r:id="rId11191" ref="B5597"/>
    <hyperlink r:id="rId11192" ref="D5597"/>
    <hyperlink r:id="rId11193" ref="B5598"/>
    <hyperlink r:id="rId11194" ref="D5598"/>
    <hyperlink r:id="rId11195" ref="B5599"/>
    <hyperlink r:id="rId11196" ref="D5599"/>
    <hyperlink r:id="rId11197" ref="B5600"/>
    <hyperlink r:id="rId11198" ref="D5600"/>
    <hyperlink r:id="rId11199" ref="B5601"/>
    <hyperlink r:id="rId11200" ref="D5601"/>
    <hyperlink r:id="rId11201" ref="B5602"/>
    <hyperlink r:id="rId11202" ref="D5602"/>
    <hyperlink r:id="rId11203" ref="B5603"/>
    <hyperlink r:id="rId11204" ref="D5603"/>
    <hyperlink r:id="rId11205" ref="B5604"/>
    <hyperlink r:id="rId11206" ref="D5604"/>
    <hyperlink r:id="rId11207" ref="B5605"/>
    <hyperlink r:id="rId11208" ref="D5605"/>
    <hyperlink r:id="rId11209" ref="B5606"/>
    <hyperlink r:id="rId11210" ref="D5606"/>
    <hyperlink r:id="rId11211" ref="B5607"/>
    <hyperlink r:id="rId11212" ref="D5607"/>
    <hyperlink r:id="rId11213" ref="B5608"/>
    <hyperlink r:id="rId11214" ref="D5608"/>
    <hyperlink r:id="rId11215" ref="B5609"/>
    <hyperlink r:id="rId11216" ref="D5609"/>
    <hyperlink r:id="rId11217" ref="B5610"/>
    <hyperlink r:id="rId11218" ref="D5610"/>
    <hyperlink r:id="rId11219" ref="B5611"/>
    <hyperlink r:id="rId11220" ref="D5611"/>
    <hyperlink r:id="rId11221" ref="B5612"/>
    <hyperlink r:id="rId11222" ref="D5612"/>
    <hyperlink r:id="rId11223" ref="B5613"/>
    <hyperlink r:id="rId11224" ref="D5613"/>
    <hyperlink r:id="rId11225" ref="B5614"/>
    <hyperlink r:id="rId11226" ref="D5614"/>
    <hyperlink r:id="rId11227" ref="B5615"/>
    <hyperlink r:id="rId11228" ref="D5615"/>
    <hyperlink r:id="rId11229" ref="B5616"/>
    <hyperlink r:id="rId11230" ref="D5616"/>
    <hyperlink r:id="rId11231" ref="B5617"/>
    <hyperlink r:id="rId11232" ref="D5617"/>
    <hyperlink r:id="rId11233" ref="B5618"/>
    <hyperlink r:id="rId11234" ref="D5618"/>
    <hyperlink r:id="rId11235" ref="B5619"/>
    <hyperlink r:id="rId11236" ref="D5619"/>
    <hyperlink r:id="rId11237" ref="B5620"/>
    <hyperlink r:id="rId11238" ref="D5620"/>
    <hyperlink r:id="rId11239" ref="B5621"/>
    <hyperlink r:id="rId11240" ref="D5621"/>
    <hyperlink r:id="rId11241" ref="B5622"/>
    <hyperlink r:id="rId11242" ref="D5622"/>
    <hyperlink r:id="rId11243" ref="B5623"/>
    <hyperlink r:id="rId11244" ref="D5623"/>
    <hyperlink r:id="rId11245" ref="B5624"/>
    <hyperlink r:id="rId11246" ref="D5624"/>
    <hyperlink r:id="rId11247" ref="B5625"/>
    <hyperlink r:id="rId11248" ref="D5625"/>
    <hyperlink r:id="rId11249" ref="B5626"/>
    <hyperlink r:id="rId11250" ref="D5626"/>
    <hyperlink r:id="rId11251" ref="B5627"/>
    <hyperlink r:id="rId11252" ref="D5627"/>
    <hyperlink r:id="rId11253" ref="B5628"/>
    <hyperlink r:id="rId11254" ref="D5628"/>
    <hyperlink r:id="rId11255" ref="B5629"/>
    <hyperlink r:id="rId11256" ref="D5629"/>
    <hyperlink r:id="rId11257" ref="B5630"/>
    <hyperlink r:id="rId11258" ref="D5630"/>
    <hyperlink r:id="rId11259" ref="B5631"/>
    <hyperlink r:id="rId11260" ref="D5631"/>
    <hyperlink r:id="rId11261" ref="B5632"/>
    <hyperlink r:id="rId11262" ref="D5632"/>
    <hyperlink r:id="rId11263" ref="B5633"/>
    <hyperlink r:id="rId11264" ref="D5633"/>
    <hyperlink r:id="rId11265" ref="B5634"/>
    <hyperlink r:id="rId11266" ref="D5634"/>
    <hyperlink r:id="rId11267" ref="B5635"/>
    <hyperlink r:id="rId11268" ref="D5635"/>
    <hyperlink r:id="rId11269" ref="B5636"/>
    <hyperlink r:id="rId11270" ref="D5636"/>
    <hyperlink r:id="rId11271" ref="B5637"/>
    <hyperlink r:id="rId11272" ref="D5637"/>
    <hyperlink r:id="rId11273" ref="B5638"/>
    <hyperlink r:id="rId11274" ref="D5638"/>
    <hyperlink r:id="rId11275" ref="B5639"/>
    <hyperlink r:id="rId11276" ref="D5639"/>
    <hyperlink r:id="rId11277" ref="B5640"/>
    <hyperlink r:id="rId11278" ref="D5640"/>
    <hyperlink r:id="rId11279" ref="B5641"/>
    <hyperlink r:id="rId11280" ref="D5641"/>
    <hyperlink r:id="rId11281" ref="B5642"/>
    <hyperlink r:id="rId11282" ref="D5642"/>
    <hyperlink r:id="rId11283" ref="B5643"/>
    <hyperlink r:id="rId11284" ref="D5643"/>
    <hyperlink r:id="rId11285" ref="B5644"/>
    <hyperlink r:id="rId11286" ref="D5644"/>
    <hyperlink r:id="rId11287" ref="B5645"/>
    <hyperlink r:id="rId11288" ref="D5645"/>
    <hyperlink r:id="rId11289" ref="B5646"/>
    <hyperlink r:id="rId11290" ref="D5646"/>
    <hyperlink r:id="rId11291" ref="B5647"/>
    <hyperlink r:id="rId11292" ref="D5647"/>
    <hyperlink r:id="rId11293" ref="B5648"/>
    <hyperlink r:id="rId11294" ref="D5648"/>
    <hyperlink r:id="rId11295" ref="B5649"/>
    <hyperlink r:id="rId11296" ref="D5649"/>
    <hyperlink r:id="rId11297" ref="B5650"/>
    <hyperlink r:id="rId11298" ref="D5650"/>
    <hyperlink r:id="rId11299" ref="B5651"/>
    <hyperlink r:id="rId11300" ref="D5651"/>
    <hyperlink r:id="rId11301" ref="B5652"/>
    <hyperlink r:id="rId11302" ref="D5652"/>
    <hyperlink r:id="rId11303" ref="B5653"/>
    <hyperlink r:id="rId11304" ref="D5653"/>
    <hyperlink r:id="rId11305" ref="B5654"/>
    <hyperlink r:id="rId11306" ref="D5654"/>
    <hyperlink r:id="rId11307" ref="B5655"/>
    <hyperlink r:id="rId11308" ref="D5655"/>
    <hyperlink r:id="rId11309" ref="B5656"/>
    <hyperlink r:id="rId11310" ref="D5656"/>
    <hyperlink r:id="rId11311" ref="B5657"/>
    <hyperlink r:id="rId11312" ref="D5657"/>
    <hyperlink r:id="rId11313" ref="B5658"/>
    <hyperlink r:id="rId11314" ref="D5658"/>
    <hyperlink r:id="rId11315" ref="B5659"/>
    <hyperlink r:id="rId11316" ref="D5659"/>
    <hyperlink r:id="rId11317" ref="B5660"/>
    <hyperlink r:id="rId11318" ref="D5660"/>
    <hyperlink r:id="rId11319" ref="B5661"/>
    <hyperlink r:id="rId11320" ref="D5661"/>
    <hyperlink r:id="rId11321" ref="B5662"/>
    <hyperlink r:id="rId11322" ref="D5662"/>
    <hyperlink r:id="rId11323" ref="B5663"/>
    <hyperlink r:id="rId11324" ref="D5663"/>
    <hyperlink r:id="rId11325" ref="B5664"/>
    <hyperlink r:id="rId11326" ref="D5664"/>
    <hyperlink r:id="rId11327" ref="B5665"/>
    <hyperlink r:id="rId11328" ref="D5665"/>
    <hyperlink r:id="rId11329" ref="B5666"/>
    <hyperlink r:id="rId11330" ref="D5666"/>
    <hyperlink r:id="rId11331" ref="B5667"/>
    <hyperlink r:id="rId11332" ref="D5667"/>
    <hyperlink r:id="rId11333" ref="B5668"/>
    <hyperlink r:id="rId11334" ref="D5668"/>
    <hyperlink r:id="rId11335" ref="B5669"/>
    <hyperlink r:id="rId11336" ref="D5669"/>
    <hyperlink r:id="rId11337" ref="B5670"/>
    <hyperlink r:id="rId11338" ref="D5670"/>
    <hyperlink r:id="rId11339" ref="B5671"/>
    <hyperlink r:id="rId11340" ref="D5671"/>
    <hyperlink r:id="rId11341" ref="B5672"/>
    <hyperlink r:id="rId11342" ref="D5672"/>
    <hyperlink r:id="rId11343" ref="B5673"/>
    <hyperlink r:id="rId11344" ref="D5673"/>
    <hyperlink r:id="rId11345" ref="B5674"/>
    <hyperlink r:id="rId11346" ref="D5674"/>
    <hyperlink r:id="rId11347" ref="B5675"/>
    <hyperlink r:id="rId11348" ref="D5675"/>
    <hyperlink r:id="rId11349" ref="B5676"/>
    <hyperlink r:id="rId11350" ref="D5676"/>
    <hyperlink r:id="rId11351" ref="B5677"/>
    <hyperlink r:id="rId11352" ref="D5677"/>
    <hyperlink r:id="rId11353" ref="B5678"/>
    <hyperlink r:id="rId11354" ref="D5678"/>
    <hyperlink r:id="rId11355" ref="B5679"/>
    <hyperlink r:id="rId11356" ref="D5679"/>
    <hyperlink r:id="rId11357" ref="B5680"/>
    <hyperlink r:id="rId11358" ref="D5680"/>
    <hyperlink r:id="rId11359" ref="B5681"/>
    <hyperlink r:id="rId11360" ref="D5681"/>
    <hyperlink r:id="rId11361" ref="B5682"/>
    <hyperlink r:id="rId11362" ref="D5682"/>
    <hyperlink r:id="rId11363" ref="B5683"/>
    <hyperlink r:id="rId11364" ref="D5683"/>
    <hyperlink r:id="rId11365" ref="B5684"/>
    <hyperlink r:id="rId11366" ref="D5684"/>
    <hyperlink r:id="rId11367" ref="B5685"/>
    <hyperlink r:id="rId11368" ref="D5685"/>
    <hyperlink r:id="rId11369" ref="B5686"/>
    <hyperlink r:id="rId11370" ref="D5686"/>
    <hyperlink r:id="rId11371" ref="B5687"/>
    <hyperlink r:id="rId11372" ref="D5687"/>
    <hyperlink r:id="rId11373" ref="B5688"/>
    <hyperlink r:id="rId11374" ref="D5688"/>
    <hyperlink r:id="rId11375" ref="B5689"/>
    <hyperlink r:id="rId11376" ref="D5689"/>
    <hyperlink r:id="rId11377" ref="B5690"/>
    <hyperlink r:id="rId11378" ref="D5690"/>
    <hyperlink r:id="rId11379" ref="B5691"/>
    <hyperlink r:id="rId11380" ref="D5691"/>
    <hyperlink r:id="rId11381" ref="B5692"/>
    <hyperlink r:id="rId11382" ref="D5692"/>
    <hyperlink r:id="rId11383" ref="B5693"/>
    <hyperlink r:id="rId11384" ref="D5693"/>
    <hyperlink r:id="rId11385" ref="B5694"/>
    <hyperlink r:id="rId11386" ref="D5694"/>
    <hyperlink r:id="rId11387" ref="B5695"/>
    <hyperlink r:id="rId11388" ref="D5695"/>
    <hyperlink r:id="rId11389" ref="B5696"/>
    <hyperlink r:id="rId11390" ref="D5696"/>
    <hyperlink r:id="rId11391" ref="B5697"/>
    <hyperlink r:id="rId11392" ref="D5697"/>
    <hyperlink r:id="rId11393" ref="B5698"/>
    <hyperlink r:id="rId11394" ref="D5698"/>
    <hyperlink r:id="rId11395" ref="B5699"/>
    <hyperlink r:id="rId11396" ref="D5699"/>
    <hyperlink r:id="rId11397" ref="B5700"/>
    <hyperlink r:id="rId11398" ref="D5700"/>
    <hyperlink r:id="rId11399" ref="B5701"/>
    <hyperlink r:id="rId11400" ref="D5701"/>
    <hyperlink r:id="rId11401" ref="B5702"/>
    <hyperlink r:id="rId11402" ref="D5702"/>
    <hyperlink r:id="rId11403" ref="B5703"/>
    <hyperlink r:id="rId11404" ref="D5703"/>
    <hyperlink r:id="rId11405" ref="B5704"/>
    <hyperlink r:id="rId11406" ref="D5704"/>
    <hyperlink r:id="rId11407" ref="B5705"/>
    <hyperlink r:id="rId11408" ref="D5705"/>
    <hyperlink r:id="rId11409" ref="B5706"/>
    <hyperlink r:id="rId11410" ref="D5706"/>
    <hyperlink r:id="rId11411" ref="B5707"/>
    <hyperlink r:id="rId11412" ref="D5707"/>
    <hyperlink r:id="rId11413" ref="B5708"/>
    <hyperlink r:id="rId11414" ref="D5708"/>
    <hyperlink r:id="rId11415" ref="B5709"/>
    <hyperlink r:id="rId11416" ref="D5709"/>
    <hyperlink r:id="rId11417" ref="B5710"/>
    <hyperlink r:id="rId11418" ref="D5710"/>
    <hyperlink r:id="rId11419" ref="B5711"/>
    <hyperlink r:id="rId11420" ref="D5711"/>
    <hyperlink r:id="rId11421" ref="B5712"/>
    <hyperlink r:id="rId11422" ref="D5712"/>
    <hyperlink r:id="rId11423" ref="B5713"/>
    <hyperlink r:id="rId11424" ref="D5713"/>
    <hyperlink r:id="rId11425" ref="B5714"/>
    <hyperlink r:id="rId11426" ref="D5714"/>
    <hyperlink r:id="rId11427" ref="B5715"/>
    <hyperlink r:id="rId11428" ref="D5715"/>
    <hyperlink r:id="rId11429" ref="B5716"/>
    <hyperlink r:id="rId11430" ref="D5716"/>
    <hyperlink r:id="rId11431" ref="B5717"/>
    <hyperlink r:id="rId11432" ref="D5717"/>
    <hyperlink r:id="rId11433" ref="B5718"/>
    <hyperlink r:id="rId11434" ref="D5718"/>
    <hyperlink r:id="rId11435" ref="B5719"/>
    <hyperlink r:id="rId11436" ref="D5719"/>
    <hyperlink r:id="rId11437" ref="B5720"/>
    <hyperlink r:id="rId11438" ref="D5720"/>
    <hyperlink r:id="rId11439" ref="B5721"/>
    <hyperlink r:id="rId11440" ref="D5721"/>
    <hyperlink r:id="rId11441" ref="B5722"/>
    <hyperlink r:id="rId11442" ref="D5722"/>
    <hyperlink r:id="rId11443" ref="B5723"/>
    <hyperlink r:id="rId11444" ref="D5723"/>
    <hyperlink r:id="rId11445" ref="B5724"/>
    <hyperlink r:id="rId11446" ref="D5724"/>
    <hyperlink r:id="rId11447" ref="B5725"/>
    <hyperlink r:id="rId11448" ref="D5725"/>
    <hyperlink r:id="rId11449" ref="B5726"/>
    <hyperlink r:id="rId11450" ref="D5726"/>
    <hyperlink r:id="rId11451" ref="B5727"/>
    <hyperlink r:id="rId11452" ref="D5727"/>
    <hyperlink r:id="rId11453" ref="B5728"/>
    <hyperlink r:id="rId11454" ref="D5728"/>
    <hyperlink r:id="rId11455" ref="B5729"/>
    <hyperlink r:id="rId11456" ref="D5729"/>
    <hyperlink r:id="rId11457" ref="B5730"/>
    <hyperlink r:id="rId11458" ref="D5730"/>
    <hyperlink r:id="rId11459" ref="B5731"/>
    <hyperlink r:id="rId11460" ref="D5731"/>
    <hyperlink r:id="rId11461" ref="B5732"/>
    <hyperlink r:id="rId11462" ref="D5732"/>
    <hyperlink r:id="rId11463" ref="B5733"/>
    <hyperlink r:id="rId11464" ref="D5733"/>
    <hyperlink r:id="rId11465" ref="B5734"/>
    <hyperlink r:id="rId11466" ref="D5734"/>
    <hyperlink r:id="rId11467" ref="B5735"/>
    <hyperlink r:id="rId11468" ref="D5735"/>
    <hyperlink r:id="rId11469" ref="B5736"/>
    <hyperlink r:id="rId11470" ref="D5736"/>
    <hyperlink r:id="rId11471" ref="B5737"/>
    <hyperlink r:id="rId11472" ref="D5737"/>
    <hyperlink r:id="rId11473" ref="B5738"/>
    <hyperlink r:id="rId11474" ref="D5738"/>
    <hyperlink r:id="rId11475" ref="B5739"/>
    <hyperlink r:id="rId11476" ref="D5739"/>
    <hyperlink r:id="rId11477" ref="B5740"/>
    <hyperlink r:id="rId11478" ref="D5740"/>
    <hyperlink r:id="rId11479" ref="B5741"/>
    <hyperlink r:id="rId11480" ref="D5741"/>
    <hyperlink r:id="rId11481" ref="B5742"/>
    <hyperlink r:id="rId11482" ref="D5742"/>
    <hyperlink r:id="rId11483" ref="B5743"/>
    <hyperlink r:id="rId11484" ref="D5743"/>
    <hyperlink r:id="rId11485" ref="B5744"/>
    <hyperlink r:id="rId11486" ref="D5744"/>
    <hyperlink r:id="rId11487" ref="B5745"/>
    <hyperlink r:id="rId11488" ref="D5745"/>
    <hyperlink r:id="rId11489" ref="B5746"/>
    <hyperlink r:id="rId11490" ref="D5746"/>
    <hyperlink r:id="rId11491" ref="B5747"/>
    <hyperlink r:id="rId11492" ref="D5747"/>
    <hyperlink r:id="rId11493" ref="B5748"/>
    <hyperlink r:id="rId11494" ref="D5748"/>
    <hyperlink r:id="rId11495" ref="B5749"/>
    <hyperlink r:id="rId11496" ref="D5749"/>
    <hyperlink r:id="rId11497" ref="B5750"/>
    <hyperlink r:id="rId11498" ref="D5750"/>
    <hyperlink r:id="rId11499" ref="B5751"/>
    <hyperlink r:id="rId11500" ref="D5751"/>
    <hyperlink r:id="rId11501" ref="B5752"/>
    <hyperlink r:id="rId11502" ref="D5752"/>
    <hyperlink r:id="rId11503" ref="B5753"/>
    <hyperlink r:id="rId11504" ref="D5753"/>
    <hyperlink r:id="rId11505" ref="B5754"/>
    <hyperlink r:id="rId11506" ref="D5754"/>
    <hyperlink r:id="rId11507" ref="B5755"/>
    <hyperlink r:id="rId11508" ref="D5755"/>
    <hyperlink r:id="rId11509" ref="B5756"/>
    <hyperlink r:id="rId11510" ref="D5756"/>
    <hyperlink r:id="rId11511" ref="B5757"/>
    <hyperlink r:id="rId11512" ref="D5757"/>
    <hyperlink r:id="rId11513" ref="B5758"/>
    <hyperlink r:id="rId11514" ref="D5758"/>
    <hyperlink r:id="rId11515" ref="B5759"/>
    <hyperlink r:id="rId11516" ref="D5759"/>
    <hyperlink r:id="rId11517" ref="B5760"/>
    <hyperlink r:id="rId11518" ref="D5760"/>
    <hyperlink r:id="rId11519" ref="B5761"/>
    <hyperlink r:id="rId11520" ref="D5761"/>
    <hyperlink r:id="rId11521" ref="B5762"/>
    <hyperlink r:id="rId11522" ref="D5762"/>
    <hyperlink r:id="rId11523" ref="B5763"/>
    <hyperlink r:id="rId11524" ref="D5763"/>
    <hyperlink r:id="rId11525" ref="B5764"/>
    <hyperlink r:id="rId11526" ref="D5764"/>
    <hyperlink r:id="rId11527" ref="B5765"/>
    <hyperlink r:id="rId11528" ref="D5765"/>
    <hyperlink r:id="rId11529" ref="B5766"/>
    <hyperlink r:id="rId11530" ref="D5766"/>
    <hyperlink r:id="rId11531" ref="B5767"/>
    <hyperlink r:id="rId11532" ref="D5767"/>
    <hyperlink r:id="rId11533" ref="B5768"/>
    <hyperlink r:id="rId11534" ref="D5768"/>
    <hyperlink r:id="rId11535" ref="B5769"/>
    <hyperlink r:id="rId11536" ref="D5769"/>
    <hyperlink r:id="rId11537" ref="B5770"/>
    <hyperlink r:id="rId11538" ref="D5770"/>
    <hyperlink r:id="rId11539" ref="B5771"/>
    <hyperlink r:id="rId11540" ref="D5771"/>
    <hyperlink r:id="rId11541" ref="B5772"/>
    <hyperlink r:id="rId11542" ref="D5772"/>
    <hyperlink r:id="rId11543" ref="B5773"/>
    <hyperlink r:id="rId11544" ref="D5773"/>
    <hyperlink r:id="rId11545" ref="B5774"/>
    <hyperlink r:id="rId11546" ref="D5774"/>
    <hyperlink r:id="rId11547" ref="B5775"/>
    <hyperlink r:id="rId11548" ref="D5775"/>
    <hyperlink r:id="rId11549" ref="B5776"/>
    <hyperlink r:id="rId11550" ref="D5776"/>
    <hyperlink r:id="rId11551" ref="B5777"/>
    <hyperlink r:id="rId11552" ref="D5777"/>
    <hyperlink r:id="rId11553" ref="B5778"/>
    <hyperlink r:id="rId11554" ref="D5778"/>
    <hyperlink r:id="rId11555" ref="B5779"/>
    <hyperlink r:id="rId11556" ref="D5779"/>
    <hyperlink r:id="rId11557" ref="B5780"/>
    <hyperlink r:id="rId11558" ref="D5780"/>
    <hyperlink r:id="rId11559" ref="B5781"/>
    <hyperlink r:id="rId11560" ref="D5781"/>
    <hyperlink r:id="rId11561" ref="B5782"/>
    <hyperlink r:id="rId11562" ref="D5782"/>
    <hyperlink r:id="rId11563" ref="B5783"/>
    <hyperlink r:id="rId11564" ref="D5783"/>
    <hyperlink r:id="rId11565" ref="B5784"/>
    <hyperlink r:id="rId11566" ref="D5784"/>
    <hyperlink r:id="rId11567" ref="B5785"/>
    <hyperlink r:id="rId11568" ref="D5785"/>
    <hyperlink r:id="rId11569" ref="B5786"/>
    <hyperlink r:id="rId11570" ref="D5786"/>
    <hyperlink r:id="rId11571" ref="B5787"/>
    <hyperlink r:id="rId11572" ref="D5787"/>
    <hyperlink r:id="rId11573" ref="B5788"/>
    <hyperlink r:id="rId11574" ref="D5788"/>
    <hyperlink r:id="rId11575" ref="B5789"/>
    <hyperlink r:id="rId11576" ref="D5789"/>
    <hyperlink r:id="rId11577" ref="B5790"/>
    <hyperlink r:id="rId11578" ref="D5790"/>
    <hyperlink r:id="rId11579" ref="B5791"/>
    <hyperlink r:id="rId11580" ref="D5791"/>
    <hyperlink r:id="rId11581" ref="B5792"/>
    <hyperlink r:id="rId11582" ref="D5792"/>
    <hyperlink r:id="rId11583" ref="B5793"/>
    <hyperlink r:id="rId11584" ref="D5793"/>
    <hyperlink r:id="rId11585" ref="B5794"/>
    <hyperlink r:id="rId11586" ref="D5794"/>
    <hyperlink r:id="rId11587" ref="B5795"/>
    <hyperlink r:id="rId11588" ref="D5795"/>
    <hyperlink r:id="rId11589" ref="B5796"/>
    <hyperlink r:id="rId11590" ref="D5796"/>
    <hyperlink r:id="rId11591" ref="B5797"/>
    <hyperlink r:id="rId11592" ref="D5797"/>
    <hyperlink r:id="rId11593" ref="B5798"/>
    <hyperlink r:id="rId11594" ref="D5798"/>
    <hyperlink r:id="rId11595" ref="B5799"/>
    <hyperlink r:id="rId11596" ref="D5799"/>
    <hyperlink r:id="rId11597" ref="B5800"/>
    <hyperlink r:id="rId11598" ref="D5800"/>
    <hyperlink r:id="rId11599" ref="B5801"/>
    <hyperlink r:id="rId11600" ref="D5801"/>
    <hyperlink r:id="rId11601" ref="B5802"/>
    <hyperlink r:id="rId11602" ref="D5802"/>
    <hyperlink r:id="rId11603" ref="B5803"/>
    <hyperlink r:id="rId11604" ref="D5803"/>
    <hyperlink r:id="rId11605" ref="B5804"/>
    <hyperlink r:id="rId11606" ref="D5804"/>
    <hyperlink r:id="rId11607" ref="B5805"/>
    <hyperlink r:id="rId11608" ref="D5805"/>
    <hyperlink r:id="rId11609" ref="B5806"/>
    <hyperlink r:id="rId11610" ref="D5806"/>
    <hyperlink r:id="rId11611" ref="B5807"/>
    <hyperlink r:id="rId11612" ref="D5807"/>
    <hyperlink r:id="rId11613" ref="B5808"/>
    <hyperlink r:id="rId11614" ref="D5808"/>
    <hyperlink r:id="rId11615" ref="B5809"/>
    <hyperlink r:id="rId11616" ref="D5809"/>
    <hyperlink r:id="rId11617" ref="B5810"/>
    <hyperlink r:id="rId11618" ref="D5810"/>
    <hyperlink r:id="rId11619" ref="B5811"/>
    <hyperlink r:id="rId11620" ref="D5811"/>
    <hyperlink r:id="rId11621" ref="B5812"/>
    <hyperlink r:id="rId11622" ref="D5812"/>
    <hyperlink r:id="rId11623" ref="B5813"/>
    <hyperlink r:id="rId11624" ref="D5813"/>
    <hyperlink r:id="rId11625" ref="B5814"/>
    <hyperlink r:id="rId11626" ref="D5814"/>
    <hyperlink r:id="rId11627" ref="B5815"/>
    <hyperlink r:id="rId11628" ref="D5815"/>
    <hyperlink r:id="rId11629" ref="B5816"/>
    <hyperlink r:id="rId11630" ref="D5816"/>
    <hyperlink r:id="rId11631" ref="B5817"/>
    <hyperlink r:id="rId11632" ref="D5817"/>
    <hyperlink r:id="rId11633" ref="B5818"/>
    <hyperlink r:id="rId11634" ref="D5818"/>
    <hyperlink r:id="rId11635" ref="B5819"/>
    <hyperlink r:id="rId11636" ref="D5819"/>
    <hyperlink r:id="rId11637" ref="B5820"/>
    <hyperlink r:id="rId11638" ref="D5820"/>
    <hyperlink r:id="rId11639" ref="B5821"/>
    <hyperlink r:id="rId11640" ref="D5821"/>
    <hyperlink r:id="rId11641" ref="B5822"/>
    <hyperlink r:id="rId11642" ref="D5822"/>
    <hyperlink r:id="rId11643" ref="B5823"/>
    <hyperlink r:id="rId11644" ref="D5823"/>
    <hyperlink r:id="rId11645" ref="B5824"/>
    <hyperlink r:id="rId11646" ref="D5824"/>
    <hyperlink r:id="rId11647" ref="B5825"/>
    <hyperlink r:id="rId11648" ref="D5825"/>
    <hyperlink r:id="rId11649" ref="B5826"/>
    <hyperlink r:id="rId11650" ref="D5826"/>
    <hyperlink r:id="rId11651" ref="B5827"/>
    <hyperlink r:id="rId11652" ref="D5827"/>
    <hyperlink r:id="rId11653" ref="B5828"/>
    <hyperlink r:id="rId11654" ref="D5828"/>
    <hyperlink r:id="rId11655" ref="B5829"/>
    <hyperlink r:id="rId11656" ref="D5829"/>
    <hyperlink r:id="rId11657" ref="B5830"/>
    <hyperlink r:id="rId11658" ref="D5830"/>
    <hyperlink r:id="rId11659" ref="B5831"/>
    <hyperlink r:id="rId11660" ref="D5831"/>
    <hyperlink r:id="rId11661" ref="B5832"/>
    <hyperlink r:id="rId11662" ref="D5832"/>
    <hyperlink r:id="rId11663" ref="B5833"/>
    <hyperlink r:id="rId11664" ref="D5833"/>
    <hyperlink r:id="rId11665" ref="B5834"/>
    <hyperlink r:id="rId11666" ref="D5834"/>
    <hyperlink r:id="rId11667" ref="B5835"/>
    <hyperlink r:id="rId11668" ref="D5835"/>
    <hyperlink r:id="rId11669" ref="B5836"/>
    <hyperlink r:id="rId11670" ref="D5836"/>
    <hyperlink r:id="rId11671" ref="B5837"/>
    <hyperlink r:id="rId11672" ref="D5837"/>
    <hyperlink r:id="rId11673" ref="B5838"/>
    <hyperlink r:id="rId11674" ref="D5838"/>
    <hyperlink r:id="rId11675" ref="B5839"/>
    <hyperlink r:id="rId11676" ref="D5839"/>
    <hyperlink r:id="rId11677" ref="B5840"/>
    <hyperlink r:id="rId11678" ref="D5840"/>
    <hyperlink r:id="rId11679" ref="B5841"/>
    <hyperlink r:id="rId11680" ref="D5841"/>
    <hyperlink r:id="rId11681" ref="B5842"/>
    <hyperlink r:id="rId11682" ref="D5842"/>
    <hyperlink r:id="rId11683" ref="B5843"/>
    <hyperlink r:id="rId11684" ref="D5843"/>
    <hyperlink r:id="rId11685" ref="B5844"/>
    <hyperlink r:id="rId11686" ref="D5844"/>
    <hyperlink r:id="rId11687" ref="B5845"/>
    <hyperlink r:id="rId11688" ref="D5845"/>
    <hyperlink r:id="rId11689" ref="B5846"/>
    <hyperlink r:id="rId11690" ref="D5846"/>
    <hyperlink r:id="rId11691" ref="B5847"/>
    <hyperlink r:id="rId11692" ref="D5847"/>
    <hyperlink r:id="rId11693" ref="B5848"/>
    <hyperlink r:id="rId11694" ref="D5848"/>
    <hyperlink r:id="rId11695" ref="B5849"/>
    <hyperlink r:id="rId11696" ref="D5849"/>
    <hyperlink r:id="rId11697" ref="B5850"/>
    <hyperlink r:id="rId11698" ref="D5850"/>
    <hyperlink r:id="rId11699" ref="B5851"/>
    <hyperlink r:id="rId11700" ref="D5851"/>
    <hyperlink r:id="rId11701" ref="B5852"/>
    <hyperlink r:id="rId11702" ref="D5852"/>
    <hyperlink r:id="rId11703" ref="B5853"/>
    <hyperlink r:id="rId11704" ref="D5853"/>
    <hyperlink r:id="rId11705" ref="B5854"/>
    <hyperlink r:id="rId11706" ref="D5854"/>
    <hyperlink r:id="rId11707" ref="B5855"/>
    <hyperlink r:id="rId11708" ref="D5855"/>
    <hyperlink r:id="rId11709" ref="B5856"/>
    <hyperlink r:id="rId11710" ref="D5856"/>
    <hyperlink r:id="rId11711" ref="B5857"/>
    <hyperlink r:id="rId11712" ref="D5857"/>
    <hyperlink r:id="rId11713" ref="B5858"/>
    <hyperlink r:id="rId11714" ref="D5858"/>
    <hyperlink r:id="rId11715" ref="B5859"/>
    <hyperlink r:id="rId11716" ref="D5859"/>
    <hyperlink r:id="rId11717" ref="B5860"/>
    <hyperlink r:id="rId11718" ref="D5860"/>
    <hyperlink r:id="rId11719" ref="B5861"/>
    <hyperlink r:id="rId11720" ref="D5861"/>
    <hyperlink r:id="rId11721" ref="B5862"/>
    <hyperlink r:id="rId11722" ref="D5862"/>
    <hyperlink r:id="rId11723" ref="B5863"/>
    <hyperlink r:id="rId11724" ref="D5863"/>
    <hyperlink r:id="rId11725" ref="B5864"/>
    <hyperlink r:id="rId11726" ref="D5864"/>
    <hyperlink r:id="rId11727" ref="B5865"/>
    <hyperlink r:id="rId11728" ref="D5865"/>
    <hyperlink r:id="rId11729" ref="B5866"/>
    <hyperlink r:id="rId11730" ref="D5866"/>
    <hyperlink r:id="rId11731" ref="B5867"/>
    <hyperlink r:id="rId11732" ref="D5867"/>
    <hyperlink r:id="rId11733" ref="B5868"/>
    <hyperlink r:id="rId11734" ref="D5868"/>
    <hyperlink r:id="rId11735" ref="B5869"/>
    <hyperlink r:id="rId11736" ref="D5869"/>
    <hyperlink r:id="rId11737" ref="B5870"/>
    <hyperlink r:id="rId11738" ref="D5870"/>
    <hyperlink r:id="rId11739" ref="B5871"/>
    <hyperlink r:id="rId11740" ref="D5871"/>
    <hyperlink r:id="rId11741" ref="B5872"/>
    <hyperlink r:id="rId11742" ref="D5872"/>
    <hyperlink r:id="rId11743" ref="B5873"/>
    <hyperlink r:id="rId11744" ref="D5873"/>
    <hyperlink r:id="rId11745" ref="B5874"/>
    <hyperlink r:id="rId11746" ref="D5874"/>
    <hyperlink r:id="rId11747" ref="B5875"/>
    <hyperlink r:id="rId11748" ref="D5875"/>
    <hyperlink r:id="rId11749" ref="B5876"/>
    <hyperlink r:id="rId11750" ref="D5876"/>
    <hyperlink r:id="rId11751" ref="B5877"/>
    <hyperlink r:id="rId11752" ref="D5877"/>
    <hyperlink r:id="rId11753" ref="B5878"/>
    <hyperlink r:id="rId11754" ref="D5878"/>
    <hyperlink r:id="rId11755" ref="B5879"/>
    <hyperlink r:id="rId11756" ref="D5879"/>
    <hyperlink r:id="rId11757" ref="B5880"/>
    <hyperlink r:id="rId11758" ref="D5880"/>
    <hyperlink r:id="rId11759" ref="B5881"/>
    <hyperlink r:id="rId11760" ref="D5881"/>
    <hyperlink r:id="rId11761" ref="B5882"/>
    <hyperlink r:id="rId11762" ref="D5882"/>
    <hyperlink r:id="rId11763" ref="B5883"/>
    <hyperlink r:id="rId11764" ref="D5883"/>
    <hyperlink r:id="rId11765" ref="B5884"/>
    <hyperlink r:id="rId11766" ref="D5884"/>
    <hyperlink r:id="rId11767" ref="B5885"/>
    <hyperlink r:id="rId11768" ref="D5885"/>
    <hyperlink r:id="rId11769" ref="B5886"/>
    <hyperlink r:id="rId11770" ref="D5886"/>
    <hyperlink r:id="rId11771" ref="B5887"/>
    <hyperlink r:id="rId11772" ref="D5887"/>
    <hyperlink r:id="rId11773" ref="B5888"/>
    <hyperlink r:id="rId11774" ref="D5888"/>
    <hyperlink r:id="rId11775" ref="B5889"/>
    <hyperlink r:id="rId11776" ref="D5889"/>
    <hyperlink r:id="rId11777" ref="B5890"/>
    <hyperlink r:id="rId11778" ref="D5890"/>
    <hyperlink r:id="rId11779" ref="B5891"/>
    <hyperlink r:id="rId11780" ref="D5891"/>
    <hyperlink r:id="rId11781" ref="B5892"/>
    <hyperlink r:id="rId11782" ref="D5892"/>
    <hyperlink r:id="rId11783" ref="B5893"/>
    <hyperlink r:id="rId11784" ref="D5893"/>
    <hyperlink r:id="rId11785" ref="B5894"/>
    <hyperlink r:id="rId11786" ref="D5894"/>
    <hyperlink r:id="rId11787" ref="B5895"/>
    <hyperlink r:id="rId11788" ref="D5895"/>
    <hyperlink r:id="rId11789" ref="B5896"/>
    <hyperlink r:id="rId11790" ref="D5896"/>
    <hyperlink r:id="rId11791" ref="B5897"/>
    <hyperlink r:id="rId11792" ref="D5897"/>
    <hyperlink r:id="rId11793" ref="B5898"/>
    <hyperlink r:id="rId11794" ref="D5898"/>
    <hyperlink r:id="rId11795" ref="B5899"/>
    <hyperlink r:id="rId11796" ref="D5899"/>
    <hyperlink r:id="rId11797" ref="B5900"/>
    <hyperlink r:id="rId11798" ref="D5900"/>
    <hyperlink r:id="rId11799" ref="B5901"/>
    <hyperlink r:id="rId11800" ref="D5901"/>
    <hyperlink r:id="rId11801" ref="B5902"/>
    <hyperlink r:id="rId11802" ref="D5902"/>
    <hyperlink r:id="rId11803" ref="B5903"/>
    <hyperlink r:id="rId11804" ref="D5903"/>
    <hyperlink r:id="rId11805" ref="B5904"/>
    <hyperlink r:id="rId11806" ref="D5904"/>
    <hyperlink r:id="rId11807" ref="B5905"/>
    <hyperlink r:id="rId11808" ref="D5905"/>
    <hyperlink r:id="rId11809" ref="B5906"/>
    <hyperlink r:id="rId11810" ref="D5906"/>
    <hyperlink r:id="rId11811" ref="B5907"/>
    <hyperlink r:id="rId11812" ref="D5907"/>
    <hyperlink r:id="rId11813" ref="B5908"/>
    <hyperlink r:id="rId11814" ref="D5908"/>
    <hyperlink r:id="rId11815" ref="B5909"/>
    <hyperlink r:id="rId11816" ref="D5909"/>
    <hyperlink r:id="rId11817" ref="B5910"/>
    <hyperlink r:id="rId11818" ref="D5910"/>
    <hyperlink r:id="rId11819" ref="B5911"/>
    <hyperlink r:id="rId11820" ref="D5911"/>
    <hyperlink r:id="rId11821" ref="B5912"/>
    <hyperlink r:id="rId11822" ref="D5912"/>
    <hyperlink r:id="rId11823" ref="B5913"/>
    <hyperlink r:id="rId11824" ref="D5913"/>
    <hyperlink r:id="rId11825" ref="B5914"/>
    <hyperlink r:id="rId11826" ref="D5914"/>
    <hyperlink r:id="rId11827" ref="B5915"/>
    <hyperlink r:id="rId11828" ref="D5915"/>
    <hyperlink r:id="rId11829" ref="B5916"/>
    <hyperlink r:id="rId11830" ref="D5916"/>
    <hyperlink r:id="rId11831" ref="B5917"/>
    <hyperlink r:id="rId11832" ref="D5917"/>
    <hyperlink r:id="rId11833" ref="B5918"/>
    <hyperlink r:id="rId11834" ref="D5918"/>
    <hyperlink r:id="rId11835" ref="B5919"/>
    <hyperlink r:id="rId11836" ref="D5919"/>
    <hyperlink r:id="rId11837" ref="B5920"/>
    <hyperlink r:id="rId11838" ref="D5920"/>
    <hyperlink r:id="rId11839" ref="B5921"/>
    <hyperlink r:id="rId11840" ref="D5921"/>
    <hyperlink r:id="rId11841" ref="B5922"/>
    <hyperlink r:id="rId11842" ref="D5922"/>
    <hyperlink r:id="rId11843" ref="B5923"/>
    <hyperlink r:id="rId11844" ref="D5923"/>
    <hyperlink r:id="rId11845" ref="B5924"/>
    <hyperlink r:id="rId11846" ref="D5924"/>
    <hyperlink r:id="rId11847" ref="B5925"/>
    <hyperlink r:id="rId11848" ref="D5925"/>
    <hyperlink r:id="rId11849" ref="B5926"/>
    <hyperlink r:id="rId11850" ref="D5926"/>
    <hyperlink r:id="rId11851" ref="B5927"/>
    <hyperlink r:id="rId11852" ref="D5927"/>
    <hyperlink r:id="rId11853" ref="B5928"/>
    <hyperlink r:id="rId11854" ref="D5928"/>
    <hyperlink r:id="rId11855" ref="B5929"/>
    <hyperlink r:id="rId11856" ref="D5929"/>
    <hyperlink r:id="rId11857" ref="B5930"/>
    <hyperlink r:id="rId11858" ref="D5930"/>
    <hyperlink r:id="rId11859" ref="B5931"/>
    <hyperlink r:id="rId11860" ref="D5931"/>
    <hyperlink r:id="rId11861" ref="B5932"/>
    <hyperlink r:id="rId11862" ref="D5932"/>
    <hyperlink r:id="rId11863" ref="B5933"/>
    <hyperlink r:id="rId11864" ref="D5933"/>
    <hyperlink r:id="rId11865" ref="B5934"/>
    <hyperlink r:id="rId11866" ref="D5934"/>
    <hyperlink r:id="rId11867" ref="B5935"/>
    <hyperlink r:id="rId11868" ref="D5935"/>
    <hyperlink r:id="rId11869" ref="B5936"/>
    <hyperlink r:id="rId11870" ref="D5936"/>
    <hyperlink r:id="rId11871" ref="B5937"/>
    <hyperlink r:id="rId11872" ref="D5937"/>
    <hyperlink r:id="rId11873" ref="B5938"/>
    <hyperlink r:id="rId11874" ref="D5938"/>
    <hyperlink r:id="rId11875" ref="B5939"/>
    <hyperlink r:id="rId11876" ref="D5939"/>
    <hyperlink r:id="rId11877" ref="B5940"/>
    <hyperlink r:id="rId11878" ref="D5940"/>
    <hyperlink r:id="rId11879" ref="B5941"/>
    <hyperlink r:id="rId11880" ref="D5941"/>
    <hyperlink r:id="rId11881" ref="B5942"/>
    <hyperlink r:id="rId11882" ref="D5942"/>
    <hyperlink r:id="rId11883" ref="B5943"/>
    <hyperlink r:id="rId11884" ref="D5943"/>
    <hyperlink r:id="rId11885" ref="B5944"/>
    <hyperlink r:id="rId11886" ref="D5944"/>
    <hyperlink r:id="rId11887" ref="B5945"/>
    <hyperlink r:id="rId11888" ref="D5945"/>
    <hyperlink r:id="rId11889" ref="B5946"/>
    <hyperlink r:id="rId11890" ref="D5946"/>
    <hyperlink r:id="rId11891" ref="B5947"/>
    <hyperlink r:id="rId11892" ref="D5947"/>
    <hyperlink r:id="rId11893" ref="B5948"/>
    <hyperlink r:id="rId11894" ref="D5948"/>
    <hyperlink r:id="rId11895" ref="B5949"/>
    <hyperlink r:id="rId11896" ref="D5949"/>
    <hyperlink r:id="rId11897" ref="B5950"/>
    <hyperlink r:id="rId11898" ref="D5950"/>
    <hyperlink r:id="rId11899" ref="B5951"/>
    <hyperlink r:id="rId11900" ref="D5951"/>
    <hyperlink r:id="rId11901" ref="B5952"/>
    <hyperlink r:id="rId11902" ref="D5952"/>
    <hyperlink r:id="rId11903" ref="B5953"/>
    <hyperlink r:id="rId11904" ref="D5953"/>
    <hyperlink r:id="rId11905" ref="B5954"/>
    <hyperlink r:id="rId11906" ref="D5954"/>
    <hyperlink r:id="rId11907" ref="B5955"/>
    <hyperlink r:id="rId11908" ref="D5955"/>
    <hyperlink r:id="rId11909" ref="B5956"/>
    <hyperlink r:id="rId11910" ref="D5956"/>
    <hyperlink r:id="rId11911" ref="B5957"/>
    <hyperlink r:id="rId11912" ref="D5957"/>
    <hyperlink r:id="rId11913" ref="B5958"/>
    <hyperlink r:id="rId11914" ref="D5958"/>
    <hyperlink r:id="rId11915" ref="B5959"/>
    <hyperlink r:id="rId11916" ref="D5959"/>
    <hyperlink r:id="rId11917" ref="B5960"/>
    <hyperlink r:id="rId11918" ref="D5960"/>
    <hyperlink r:id="rId11919" ref="B5961"/>
    <hyperlink r:id="rId11920" ref="D5961"/>
    <hyperlink r:id="rId11921" ref="B5962"/>
    <hyperlink r:id="rId11922" ref="D5962"/>
    <hyperlink r:id="rId11923" ref="B5963"/>
    <hyperlink r:id="rId11924" ref="D5963"/>
    <hyperlink r:id="rId11925" ref="B5964"/>
    <hyperlink r:id="rId11926" ref="D5964"/>
    <hyperlink r:id="rId11927" ref="B5965"/>
    <hyperlink r:id="rId11928" ref="D5965"/>
    <hyperlink r:id="rId11929" ref="B5966"/>
    <hyperlink r:id="rId11930" ref="D5966"/>
    <hyperlink r:id="rId11931" ref="B5967"/>
    <hyperlink r:id="rId11932" ref="D5967"/>
    <hyperlink r:id="rId11933" ref="B5968"/>
    <hyperlink r:id="rId11934" ref="D5968"/>
    <hyperlink r:id="rId11935" ref="B5969"/>
    <hyperlink r:id="rId11936" ref="D5969"/>
    <hyperlink r:id="rId11937" ref="B5970"/>
    <hyperlink r:id="rId11938" ref="D5970"/>
    <hyperlink r:id="rId11939" ref="B5971"/>
    <hyperlink r:id="rId11940" ref="D5971"/>
    <hyperlink r:id="rId11941" ref="B5972"/>
    <hyperlink r:id="rId11942" ref="D5972"/>
    <hyperlink r:id="rId11943" ref="B5973"/>
    <hyperlink r:id="rId11944" ref="D5973"/>
    <hyperlink r:id="rId11945" ref="B5974"/>
    <hyperlink r:id="rId11946" ref="D5974"/>
    <hyperlink r:id="rId11947" ref="B5975"/>
    <hyperlink r:id="rId11948" ref="D5975"/>
    <hyperlink r:id="rId11949" ref="B5976"/>
    <hyperlink r:id="rId11950" ref="D5976"/>
    <hyperlink r:id="rId11951" ref="B5977"/>
    <hyperlink r:id="rId11952" ref="D5977"/>
    <hyperlink r:id="rId11953" ref="B5978"/>
    <hyperlink r:id="rId11954" ref="D5978"/>
    <hyperlink r:id="rId11955" ref="B5979"/>
    <hyperlink r:id="rId11956" ref="D5979"/>
    <hyperlink r:id="rId11957" ref="B5980"/>
    <hyperlink r:id="rId11958" ref="D5980"/>
    <hyperlink r:id="rId11959" ref="B5981"/>
    <hyperlink r:id="rId11960" ref="D5981"/>
    <hyperlink r:id="rId11961" ref="B5982"/>
    <hyperlink r:id="rId11962" ref="D5982"/>
    <hyperlink r:id="rId11963" ref="B5983"/>
    <hyperlink r:id="rId11964" ref="D5983"/>
    <hyperlink r:id="rId11965" ref="B5984"/>
    <hyperlink r:id="rId11966" ref="D5984"/>
    <hyperlink r:id="rId11967" ref="B5985"/>
    <hyperlink r:id="rId11968" ref="D5985"/>
    <hyperlink r:id="rId11969" ref="B5986"/>
    <hyperlink r:id="rId11970" ref="D5986"/>
    <hyperlink r:id="rId11971" ref="B5987"/>
    <hyperlink r:id="rId11972" ref="D5987"/>
    <hyperlink r:id="rId11973" ref="B5988"/>
    <hyperlink r:id="rId11974" ref="D5988"/>
    <hyperlink r:id="rId11975" ref="B5989"/>
    <hyperlink r:id="rId11976" ref="D5989"/>
    <hyperlink r:id="rId11977" ref="B5990"/>
    <hyperlink r:id="rId11978" ref="D5990"/>
    <hyperlink r:id="rId11979" ref="B5991"/>
    <hyperlink r:id="rId11980" ref="D5991"/>
    <hyperlink r:id="rId11981" ref="B5992"/>
    <hyperlink r:id="rId11982" ref="D5992"/>
    <hyperlink r:id="rId11983" ref="B5993"/>
    <hyperlink r:id="rId11984" ref="D5993"/>
    <hyperlink r:id="rId11985" ref="B5994"/>
    <hyperlink r:id="rId11986" ref="D5994"/>
    <hyperlink r:id="rId11987" ref="B5995"/>
    <hyperlink r:id="rId11988" ref="D5995"/>
    <hyperlink r:id="rId11989" ref="B5996"/>
    <hyperlink r:id="rId11990" ref="D5996"/>
    <hyperlink r:id="rId11991" ref="B5997"/>
    <hyperlink r:id="rId11992" ref="D5997"/>
    <hyperlink r:id="rId11993" ref="B5998"/>
    <hyperlink r:id="rId11994" ref="D5998"/>
    <hyperlink r:id="rId11995" ref="B5999"/>
    <hyperlink r:id="rId11996" ref="D5999"/>
    <hyperlink r:id="rId11997" ref="B6000"/>
    <hyperlink r:id="rId11998" ref="D6000"/>
    <hyperlink r:id="rId11999" ref="B6001"/>
    <hyperlink r:id="rId12000" ref="D6001"/>
    <hyperlink r:id="rId12001" ref="B6002"/>
    <hyperlink r:id="rId12002" ref="D6002"/>
    <hyperlink r:id="rId12003" ref="B6003"/>
    <hyperlink r:id="rId12004" ref="D6003"/>
    <hyperlink r:id="rId12005" ref="B6004"/>
    <hyperlink r:id="rId12006" ref="D6004"/>
    <hyperlink r:id="rId12007" ref="B6005"/>
    <hyperlink r:id="rId12008" ref="D6005"/>
    <hyperlink r:id="rId12009" ref="B6006"/>
    <hyperlink r:id="rId12010" ref="D6006"/>
    <hyperlink r:id="rId12011" ref="B6007"/>
    <hyperlink r:id="rId12012" ref="D6007"/>
    <hyperlink r:id="rId12013" ref="B6008"/>
    <hyperlink r:id="rId12014" ref="D6008"/>
    <hyperlink r:id="rId12015" ref="B6009"/>
    <hyperlink r:id="rId12016" ref="D6009"/>
    <hyperlink r:id="rId12017" ref="B6010"/>
    <hyperlink r:id="rId12018" ref="D6010"/>
    <hyperlink r:id="rId12019" ref="B6011"/>
    <hyperlink r:id="rId12020" ref="D6011"/>
    <hyperlink r:id="rId12021" ref="B6012"/>
    <hyperlink r:id="rId12022" ref="D6012"/>
    <hyperlink r:id="rId12023" ref="B6013"/>
    <hyperlink r:id="rId12024" ref="D6013"/>
    <hyperlink r:id="rId12025" ref="B6014"/>
    <hyperlink r:id="rId12026" ref="D6014"/>
    <hyperlink r:id="rId12027" ref="B6015"/>
    <hyperlink r:id="rId12028" ref="D6015"/>
    <hyperlink r:id="rId12029" ref="B6016"/>
    <hyperlink r:id="rId12030" ref="D6016"/>
    <hyperlink r:id="rId12031" ref="B6017"/>
    <hyperlink r:id="rId12032" ref="D6017"/>
    <hyperlink r:id="rId12033" ref="B6018"/>
    <hyperlink r:id="rId12034" ref="D6018"/>
    <hyperlink r:id="rId12035" ref="B6019"/>
    <hyperlink r:id="rId12036" ref="D6019"/>
    <hyperlink r:id="rId12037" ref="B6020"/>
    <hyperlink r:id="rId12038" ref="D6020"/>
    <hyperlink r:id="rId12039" ref="B6021"/>
    <hyperlink r:id="rId12040" ref="D6021"/>
    <hyperlink r:id="rId12041" ref="B6022"/>
    <hyperlink r:id="rId12042" ref="D6022"/>
    <hyperlink r:id="rId12043" ref="B6023"/>
    <hyperlink r:id="rId12044" ref="D6023"/>
    <hyperlink r:id="rId12045" ref="B6024"/>
    <hyperlink r:id="rId12046" ref="D6024"/>
    <hyperlink r:id="rId12047" ref="B6025"/>
    <hyperlink r:id="rId12048" ref="D6025"/>
    <hyperlink r:id="rId12049" ref="B6026"/>
    <hyperlink r:id="rId12050" ref="D6026"/>
    <hyperlink r:id="rId12051" ref="B6027"/>
    <hyperlink r:id="rId12052" ref="D6027"/>
    <hyperlink r:id="rId12053" ref="B6028"/>
    <hyperlink r:id="rId12054" ref="D6028"/>
    <hyperlink r:id="rId12055" ref="B6029"/>
    <hyperlink r:id="rId12056" ref="D6029"/>
    <hyperlink r:id="rId12057" ref="B6030"/>
    <hyperlink r:id="rId12058" ref="D6030"/>
    <hyperlink r:id="rId12059" ref="B6031"/>
    <hyperlink r:id="rId12060" ref="D6031"/>
    <hyperlink r:id="rId12061" ref="B6032"/>
    <hyperlink r:id="rId12062" ref="D6032"/>
    <hyperlink r:id="rId12063" ref="B6033"/>
    <hyperlink r:id="rId12064" ref="D6033"/>
    <hyperlink r:id="rId12065" ref="B6034"/>
    <hyperlink r:id="rId12066" ref="D6034"/>
    <hyperlink r:id="rId12067" ref="B6035"/>
    <hyperlink r:id="rId12068" ref="D6035"/>
    <hyperlink r:id="rId12069" ref="B6036"/>
    <hyperlink r:id="rId12070" ref="D6036"/>
    <hyperlink r:id="rId12071" ref="B6037"/>
    <hyperlink r:id="rId12072" ref="D6037"/>
    <hyperlink r:id="rId12073" ref="B6038"/>
    <hyperlink r:id="rId12074" ref="D6038"/>
    <hyperlink r:id="rId12075" ref="B6039"/>
    <hyperlink r:id="rId12076" ref="D6039"/>
    <hyperlink r:id="rId12077" ref="B6040"/>
    <hyperlink r:id="rId12078" ref="D6040"/>
    <hyperlink r:id="rId12079" ref="B6041"/>
    <hyperlink r:id="rId12080" ref="D6041"/>
    <hyperlink r:id="rId12081" ref="B6042"/>
    <hyperlink r:id="rId12082" ref="D6042"/>
    <hyperlink r:id="rId12083" ref="B6043"/>
    <hyperlink r:id="rId12084" ref="D6043"/>
    <hyperlink r:id="rId12085" ref="B6044"/>
    <hyperlink r:id="rId12086" ref="D6044"/>
    <hyperlink r:id="rId12087" ref="B6045"/>
    <hyperlink r:id="rId12088" ref="D6045"/>
    <hyperlink r:id="rId12089" ref="B6046"/>
    <hyperlink r:id="rId12090" ref="D6046"/>
    <hyperlink r:id="rId12091" ref="B6047"/>
    <hyperlink r:id="rId12092" ref="D6047"/>
    <hyperlink r:id="rId12093" ref="B6048"/>
    <hyperlink r:id="rId12094" ref="D6048"/>
    <hyperlink r:id="rId12095" ref="B6049"/>
    <hyperlink r:id="rId12096" ref="D6049"/>
    <hyperlink r:id="rId12097" ref="B6050"/>
    <hyperlink r:id="rId12098" ref="D6050"/>
    <hyperlink r:id="rId12099" ref="B6051"/>
    <hyperlink r:id="rId12100" ref="D6051"/>
    <hyperlink r:id="rId12101" ref="B6052"/>
    <hyperlink r:id="rId12102" ref="D6052"/>
    <hyperlink r:id="rId12103" ref="B6053"/>
    <hyperlink r:id="rId12104" ref="D6053"/>
    <hyperlink r:id="rId12105" ref="B6054"/>
    <hyperlink r:id="rId12106" ref="D6054"/>
    <hyperlink r:id="rId12107" ref="B6055"/>
    <hyperlink r:id="rId12108" ref="D6055"/>
    <hyperlink r:id="rId12109" ref="B6056"/>
    <hyperlink r:id="rId12110" ref="D6056"/>
    <hyperlink r:id="rId12111" ref="B6057"/>
    <hyperlink r:id="rId12112" ref="D6057"/>
    <hyperlink r:id="rId12113" ref="B6058"/>
    <hyperlink r:id="rId12114" ref="D6058"/>
    <hyperlink r:id="rId12115" ref="B6059"/>
    <hyperlink r:id="rId12116" ref="D6059"/>
    <hyperlink r:id="rId12117" ref="B6060"/>
    <hyperlink r:id="rId12118" ref="D6060"/>
    <hyperlink r:id="rId12119" ref="B6061"/>
    <hyperlink r:id="rId12120" ref="D6061"/>
    <hyperlink r:id="rId12121" ref="B6062"/>
    <hyperlink r:id="rId12122" ref="D6062"/>
    <hyperlink r:id="rId12123" ref="B6063"/>
    <hyperlink r:id="rId12124" ref="D6063"/>
    <hyperlink r:id="rId12125" ref="B6064"/>
    <hyperlink r:id="rId12126" ref="D6064"/>
    <hyperlink r:id="rId12127" ref="B6065"/>
    <hyperlink r:id="rId12128" ref="D6065"/>
    <hyperlink r:id="rId12129" ref="B6066"/>
    <hyperlink r:id="rId12130" ref="D6066"/>
    <hyperlink r:id="rId12131" ref="B6067"/>
    <hyperlink r:id="rId12132" ref="D6067"/>
    <hyperlink r:id="rId12133" ref="B6068"/>
    <hyperlink r:id="rId12134" ref="D6068"/>
    <hyperlink r:id="rId12135" ref="B6069"/>
    <hyperlink r:id="rId12136" ref="D6069"/>
    <hyperlink r:id="rId12137" ref="B6070"/>
    <hyperlink r:id="rId12138" ref="D6070"/>
    <hyperlink r:id="rId12139" ref="B6071"/>
    <hyperlink r:id="rId12140" ref="D6071"/>
    <hyperlink r:id="rId12141" ref="B6072"/>
    <hyperlink r:id="rId12142" ref="D6072"/>
    <hyperlink r:id="rId12143" ref="B6073"/>
    <hyperlink r:id="rId12144" ref="D6073"/>
    <hyperlink r:id="rId12145" ref="B6074"/>
    <hyperlink r:id="rId12146" ref="D6074"/>
    <hyperlink r:id="rId12147" ref="B6075"/>
    <hyperlink r:id="rId12148" ref="D6075"/>
    <hyperlink r:id="rId12149" ref="B6076"/>
    <hyperlink r:id="rId12150" ref="D6076"/>
    <hyperlink r:id="rId12151" ref="B6077"/>
    <hyperlink r:id="rId12152" ref="D6077"/>
    <hyperlink r:id="rId12153" ref="B6078"/>
    <hyperlink r:id="rId12154" ref="D6078"/>
    <hyperlink r:id="rId12155" ref="B6079"/>
    <hyperlink r:id="rId12156" ref="D6079"/>
    <hyperlink r:id="rId12157" ref="B6080"/>
    <hyperlink r:id="rId12158" ref="D6080"/>
    <hyperlink r:id="rId12159" ref="B6081"/>
    <hyperlink r:id="rId12160" ref="D6081"/>
    <hyperlink r:id="rId12161" ref="B6082"/>
    <hyperlink r:id="rId12162" ref="D6082"/>
    <hyperlink r:id="rId12163" ref="B6083"/>
    <hyperlink r:id="rId12164" ref="D6083"/>
    <hyperlink r:id="rId12165" ref="B6084"/>
    <hyperlink r:id="rId12166" ref="D6084"/>
    <hyperlink r:id="rId12167" ref="B6085"/>
    <hyperlink r:id="rId12168" ref="D6085"/>
    <hyperlink r:id="rId12169" ref="B6086"/>
    <hyperlink r:id="rId12170" ref="D6086"/>
    <hyperlink r:id="rId12171" ref="B6087"/>
    <hyperlink r:id="rId12172" ref="D6087"/>
    <hyperlink r:id="rId12173" ref="B6088"/>
    <hyperlink r:id="rId12174" ref="D6088"/>
    <hyperlink r:id="rId12175" ref="B6089"/>
    <hyperlink r:id="rId12176" ref="D6089"/>
    <hyperlink r:id="rId12177" ref="B6090"/>
    <hyperlink r:id="rId12178" ref="D6090"/>
    <hyperlink r:id="rId12179" ref="B6091"/>
    <hyperlink r:id="rId12180" ref="D6091"/>
    <hyperlink r:id="rId12181" ref="B6092"/>
    <hyperlink r:id="rId12182" ref="D6092"/>
    <hyperlink r:id="rId12183" ref="B6093"/>
    <hyperlink r:id="rId12184" ref="D6093"/>
    <hyperlink r:id="rId12185" ref="B6094"/>
    <hyperlink r:id="rId12186" ref="D6094"/>
    <hyperlink r:id="rId12187" ref="B6095"/>
    <hyperlink r:id="rId12188" ref="D6095"/>
    <hyperlink r:id="rId12189" ref="B6096"/>
    <hyperlink r:id="rId12190" ref="D6096"/>
    <hyperlink r:id="rId12191" ref="B6097"/>
    <hyperlink r:id="rId12192" ref="D6097"/>
    <hyperlink r:id="rId12193" ref="B6098"/>
    <hyperlink r:id="rId12194" ref="D6098"/>
    <hyperlink r:id="rId12195" ref="B6099"/>
    <hyperlink r:id="rId12196" ref="D6099"/>
    <hyperlink r:id="rId12197" ref="B6100"/>
    <hyperlink r:id="rId12198" ref="D6100"/>
    <hyperlink r:id="rId12199" ref="B6101"/>
    <hyperlink r:id="rId12200" ref="D6101"/>
    <hyperlink r:id="rId12201" ref="B6102"/>
    <hyperlink r:id="rId12202" ref="D6102"/>
    <hyperlink r:id="rId12203" ref="B6103"/>
    <hyperlink r:id="rId12204" ref="D6103"/>
    <hyperlink r:id="rId12205" ref="B6104"/>
    <hyperlink r:id="rId12206" ref="D6104"/>
    <hyperlink r:id="rId12207" ref="B6105"/>
    <hyperlink r:id="rId12208" ref="D6105"/>
    <hyperlink r:id="rId12209" ref="B6106"/>
    <hyperlink r:id="rId12210" ref="D6106"/>
    <hyperlink r:id="rId12211" ref="B6107"/>
    <hyperlink r:id="rId12212" ref="D6107"/>
    <hyperlink r:id="rId12213" ref="B6108"/>
    <hyperlink r:id="rId12214" ref="D6108"/>
    <hyperlink r:id="rId12215" ref="B6109"/>
    <hyperlink r:id="rId12216" ref="D6109"/>
    <hyperlink r:id="rId12217" ref="B6110"/>
    <hyperlink r:id="rId12218" ref="D6110"/>
    <hyperlink r:id="rId12219" ref="B6111"/>
    <hyperlink r:id="rId12220" ref="D6111"/>
    <hyperlink r:id="rId12221" ref="B6112"/>
    <hyperlink r:id="rId12222" ref="D6112"/>
    <hyperlink r:id="rId12223" ref="B6113"/>
    <hyperlink r:id="rId12224" ref="D6113"/>
    <hyperlink r:id="rId12225" ref="B6114"/>
    <hyperlink r:id="rId12226" ref="D6114"/>
    <hyperlink r:id="rId12227" ref="B6115"/>
    <hyperlink r:id="rId12228" ref="D6115"/>
    <hyperlink r:id="rId12229" ref="B6116"/>
    <hyperlink r:id="rId12230" ref="D6116"/>
    <hyperlink r:id="rId12231" ref="B6117"/>
    <hyperlink r:id="rId12232" ref="D6117"/>
    <hyperlink r:id="rId12233" ref="B6118"/>
    <hyperlink r:id="rId12234" ref="D6118"/>
    <hyperlink r:id="rId12235" ref="B6119"/>
    <hyperlink r:id="rId12236" ref="D6119"/>
    <hyperlink r:id="rId12237" ref="B6120"/>
    <hyperlink r:id="rId12238" ref="D6120"/>
    <hyperlink r:id="rId12239" ref="B6121"/>
    <hyperlink r:id="rId12240" ref="D6121"/>
    <hyperlink r:id="rId12241" ref="B6122"/>
    <hyperlink r:id="rId12242" ref="D6122"/>
    <hyperlink r:id="rId12243" ref="B6123"/>
    <hyperlink r:id="rId12244" ref="D6123"/>
    <hyperlink r:id="rId12245" ref="B6124"/>
    <hyperlink r:id="rId12246" ref="D6124"/>
    <hyperlink r:id="rId12247" ref="B6125"/>
    <hyperlink r:id="rId12248" ref="D6125"/>
    <hyperlink r:id="rId12249" ref="B6126"/>
    <hyperlink r:id="rId12250" ref="D6126"/>
    <hyperlink r:id="rId12251" ref="B6127"/>
    <hyperlink r:id="rId12252" ref="D6127"/>
    <hyperlink r:id="rId12253" ref="B6128"/>
    <hyperlink r:id="rId12254" ref="D6128"/>
    <hyperlink r:id="rId12255" ref="B6129"/>
    <hyperlink r:id="rId12256" ref="D6129"/>
    <hyperlink r:id="rId12257" ref="B6130"/>
    <hyperlink r:id="rId12258" ref="D6130"/>
    <hyperlink r:id="rId12259" ref="B6131"/>
    <hyperlink r:id="rId12260" ref="D6131"/>
    <hyperlink r:id="rId12261" ref="B6132"/>
    <hyperlink r:id="rId12262" ref="D6132"/>
    <hyperlink r:id="rId12263" ref="B6133"/>
    <hyperlink r:id="rId12264" ref="D6133"/>
    <hyperlink r:id="rId12265" ref="B6134"/>
    <hyperlink r:id="rId12266" ref="D6134"/>
    <hyperlink r:id="rId12267" ref="B6135"/>
    <hyperlink r:id="rId12268" ref="D6135"/>
    <hyperlink r:id="rId12269" ref="B6136"/>
    <hyperlink r:id="rId12270" ref="D6136"/>
    <hyperlink r:id="rId12271" ref="B6137"/>
    <hyperlink r:id="rId12272" ref="D6137"/>
    <hyperlink r:id="rId12273" ref="B6138"/>
    <hyperlink r:id="rId12274" ref="D6138"/>
    <hyperlink r:id="rId12275" ref="B6139"/>
    <hyperlink r:id="rId12276" ref="D6139"/>
    <hyperlink r:id="rId12277" ref="B6140"/>
    <hyperlink r:id="rId12278" ref="D6140"/>
    <hyperlink r:id="rId12279" ref="B6141"/>
    <hyperlink r:id="rId12280" ref="D6141"/>
    <hyperlink r:id="rId12281" ref="B6142"/>
    <hyperlink r:id="rId12282" ref="D6142"/>
    <hyperlink r:id="rId12283" ref="B6143"/>
    <hyperlink r:id="rId12284" ref="D6143"/>
    <hyperlink r:id="rId12285" ref="B6144"/>
    <hyperlink r:id="rId12286" ref="D6144"/>
    <hyperlink r:id="rId12287" ref="B6145"/>
    <hyperlink r:id="rId12288" ref="D6145"/>
    <hyperlink r:id="rId12289" ref="B6146"/>
    <hyperlink r:id="rId12290" ref="D6146"/>
    <hyperlink r:id="rId12291" ref="B6147"/>
    <hyperlink r:id="rId12292" ref="D6147"/>
    <hyperlink r:id="rId12293" ref="B6148"/>
    <hyperlink r:id="rId12294" ref="D6148"/>
    <hyperlink r:id="rId12295" ref="B6149"/>
    <hyperlink r:id="rId12296" ref="D6149"/>
    <hyperlink r:id="rId12297" ref="B6150"/>
    <hyperlink r:id="rId12298" ref="D6150"/>
    <hyperlink r:id="rId12299" ref="B6151"/>
    <hyperlink r:id="rId12300" ref="D6151"/>
    <hyperlink r:id="rId12301" ref="B6152"/>
    <hyperlink r:id="rId12302" ref="D6152"/>
    <hyperlink r:id="rId12303" ref="B6153"/>
    <hyperlink r:id="rId12304" ref="D6153"/>
    <hyperlink r:id="rId12305" ref="B6154"/>
    <hyperlink r:id="rId12306" ref="D6154"/>
    <hyperlink r:id="rId12307" ref="B6155"/>
    <hyperlink r:id="rId12308" ref="D6155"/>
    <hyperlink r:id="rId12309" ref="B6156"/>
    <hyperlink r:id="rId12310" ref="D6156"/>
    <hyperlink r:id="rId12311" ref="B6157"/>
    <hyperlink r:id="rId12312" ref="D6157"/>
    <hyperlink r:id="rId12313" ref="B6158"/>
    <hyperlink r:id="rId12314" ref="D6158"/>
    <hyperlink r:id="rId12315" ref="B6159"/>
    <hyperlink r:id="rId12316" ref="D6159"/>
    <hyperlink r:id="rId12317" ref="B6160"/>
    <hyperlink r:id="rId12318" ref="D6160"/>
    <hyperlink r:id="rId12319" ref="B6161"/>
    <hyperlink r:id="rId12320" ref="D6161"/>
    <hyperlink r:id="rId12321" ref="B6162"/>
    <hyperlink r:id="rId12322" ref="D6162"/>
    <hyperlink r:id="rId12323" ref="B6163"/>
    <hyperlink r:id="rId12324" ref="D6163"/>
    <hyperlink r:id="rId12325" ref="B6164"/>
    <hyperlink r:id="rId12326" ref="D6164"/>
    <hyperlink r:id="rId12327" ref="B6165"/>
    <hyperlink r:id="rId12328" ref="D6165"/>
    <hyperlink r:id="rId12329" ref="B6166"/>
    <hyperlink r:id="rId12330" ref="D6166"/>
    <hyperlink r:id="rId12331" ref="B6167"/>
    <hyperlink r:id="rId12332" ref="D6167"/>
    <hyperlink r:id="rId12333" ref="B6168"/>
    <hyperlink r:id="rId12334" ref="D6168"/>
    <hyperlink r:id="rId12335" ref="B6169"/>
    <hyperlink r:id="rId12336" ref="D6169"/>
    <hyperlink r:id="rId12337" ref="B6170"/>
    <hyperlink r:id="rId12338" ref="D6170"/>
    <hyperlink r:id="rId12339" ref="B6171"/>
    <hyperlink r:id="rId12340" ref="D6171"/>
    <hyperlink r:id="rId12341" ref="B6172"/>
    <hyperlink r:id="rId12342" ref="D6172"/>
    <hyperlink r:id="rId12343" ref="B6173"/>
    <hyperlink r:id="rId12344" ref="D6173"/>
    <hyperlink r:id="rId12345" ref="B6174"/>
    <hyperlink r:id="rId12346" ref="D6174"/>
    <hyperlink r:id="rId12347" ref="B6175"/>
    <hyperlink r:id="rId12348" ref="D6175"/>
    <hyperlink r:id="rId12349" ref="B6176"/>
    <hyperlink r:id="rId12350" ref="D6176"/>
    <hyperlink r:id="rId12351" ref="B6177"/>
    <hyperlink r:id="rId12352" ref="D6177"/>
    <hyperlink r:id="rId12353" ref="B6178"/>
    <hyperlink r:id="rId12354" ref="D6178"/>
    <hyperlink r:id="rId12355" ref="B6179"/>
    <hyperlink r:id="rId12356" ref="D6179"/>
    <hyperlink r:id="rId12357" ref="B6180"/>
    <hyperlink r:id="rId12358" ref="D6180"/>
    <hyperlink r:id="rId12359" ref="B6181"/>
    <hyperlink r:id="rId12360" ref="D6181"/>
    <hyperlink r:id="rId12361" ref="B6182"/>
    <hyperlink r:id="rId12362" ref="D6182"/>
    <hyperlink r:id="rId12363" ref="B6183"/>
    <hyperlink r:id="rId12364" ref="D6183"/>
    <hyperlink r:id="rId12365" ref="B6184"/>
    <hyperlink r:id="rId12366" ref="D6184"/>
    <hyperlink r:id="rId12367" ref="B6185"/>
    <hyperlink r:id="rId12368" ref="D6185"/>
    <hyperlink r:id="rId12369" ref="B6186"/>
    <hyperlink r:id="rId12370" ref="D6186"/>
    <hyperlink r:id="rId12371" ref="B6187"/>
    <hyperlink r:id="rId12372" ref="D6187"/>
    <hyperlink r:id="rId12373" ref="B6188"/>
    <hyperlink r:id="rId12374" ref="D6188"/>
    <hyperlink r:id="rId12375" ref="B6189"/>
    <hyperlink r:id="rId12376" ref="D6189"/>
    <hyperlink r:id="rId12377" ref="B6190"/>
    <hyperlink r:id="rId12378" ref="D6190"/>
    <hyperlink r:id="rId12379" ref="B6191"/>
    <hyperlink r:id="rId12380" ref="D6191"/>
    <hyperlink r:id="rId12381" ref="B6192"/>
    <hyperlink r:id="rId12382" ref="D6192"/>
    <hyperlink r:id="rId12383" ref="B6193"/>
    <hyperlink r:id="rId12384" ref="D6193"/>
    <hyperlink r:id="rId12385" ref="B6194"/>
    <hyperlink r:id="rId12386" ref="D6194"/>
    <hyperlink r:id="rId12387" ref="B6195"/>
    <hyperlink r:id="rId12388" ref="D6195"/>
    <hyperlink r:id="rId12389" ref="B6196"/>
    <hyperlink r:id="rId12390" ref="D6196"/>
    <hyperlink r:id="rId12391" ref="B6197"/>
    <hyperlink r:id="rId12392" ref="D6197"/>
    <hyperlink r:id="rId12393" ref="B6198"/>
    <hyperlink r:id="rId12394" ref="D6198"/>
    <hyperlink r:id="rId12395" ref="B6199"/>
    <hyperlink r:id="rId12396" ref="D6199"/>
    <hyperlink r:id="rId12397" ref="B6200"/>
    <hyperlink r:id="rId12398" ref="D6200"/>
    <hyperlink r:id="rId12399" ref="B6201"/>
    <hyperlink r:id="rId12400" ref="D6201"/>
    <hyperlink r:id="rId12401" ref="B6202"/>
    <hyperlink r:id="rId12402" ref="D6202"/>
    <hyperlink r:id="rId12403" ref="B6203"/>
    <hyperlink r:id="rId12404" ref="D6203"/>
    <hyperlink r:id="rId12405" ref="B6204"/>
    <hyperlink r:id="rId12406" ref="D6204"/>
    <hyperlink r:id="rId12407" ref="B6205"/>
    <hyperlink r:id="rId12408" ref="D6205"/>
    <hyperlink r:id="rId12409" ref="B6206"/>
    <hyperlink r:id="rId12410" ref="D6206"/>
    <hyperlink r:id="rId12411" ref="B6207"/>
    <hyperlink r:id="rId12412" ref="D6207"/>
    <hyperlink r:id="rId12413" ref="B6208"/>
    <hyperlink r:id="rId12414" ref="D6208"/>
    <hyperlink r:id="rId12415" ref="B6209"/>
    <hyperlink r:id="rId12416" ref="D6209"/>
    <hyperlink r:id="rId12417" ref="B6210"/>
    <hyperlink r:id="rId12418" ref="D6210"/>
    <hyperlink r:id="rId12419" ref="B6211"/>
    <hyperlink r:id="rId12420" ref="D6211"/>
    <hyperlink r:id="rId12421" ref="B6212"/>
    <hyperlink r:id="rId12422" ref="D6212"/>
    <hyperlink r:id="rId12423" ref="B6213"/>
    <hyperlink r:id="rId12424" ref="D6213"/>
    <hyperlink r:id="rId12425" ref="B6214"/>
    <hyperlink r:id="rId12426" ref="D6214"/>
    <hyperlink r:id="rId12427" ref="B6215"/>
    <hyperlink r:id="rId12428" ref="D6215"/>
    <hyperlink r:id="rId12429" ref="B6216"/>
    <hyperlink r:id="rId12430" ref="D6216"/>
    <hyperlink r:id="rId12431" ref="B6217"/>
    <hyperlink r:id="rId12432" ref="D6217"/>
    <hyperlink r:id="rId12433" ref="B6218"/>
    <hyperlink r:id="rId12434" ref="D6218"/>
    <hyperlink r:id="rId12435" ref="B6219"/>
    <hyperlink r:id="rId12436" ref="D6219"/>
    <hyperlink r:id="rId12437" ref="B6220"/>
    <hyperlink r:id="rId12438" ref="D6220"/>
    <hyperlink r:id="rId12439" ref="B6221"/>
    <hyperlink r:id="rId12440" ref="D6221"/>
    <hyperlink r:id="rId12441" ref="B6222"/>
    <hyperlink r:id="rId12442" ref="D6222"/>
    <hyperlink r:id="rId12443" ref="B6223"/>
    <hyperlink r:id="rId12444" ref="D6223"/>
    <hyperlink r:id="rId12445" ref="B6224"/>
    <hyperlink r:id="rId12446" ref="D6224"/>
    <hyperlink r:id="rId12447" ref="B6225"/>
    <hyperlink r:id="rId12448" ref="D6225"/>
    <hyperlink r:id="rId12449" ref="B6226"/>
    <hyperlink r:id="rId12450" ref="D6226"/>
    <hyperlink r:id="rId12451" ref="B6227"/>
    <hyperlink r:id="rId12452" ref="D6227"/>
    <hyperlink r:id="rId12453" ref="B6228"/>
    <hyperlink r:id="rId12454" ref="D6228"/>
    <hyperlink r:id="rId12455" ref="B6229"/>
    <hyperlink r:id="rId12456" ref="D6229"/>
    <hyperlink r:id="rId12457" ref="B6230"/>
    <hyperlink r:id="rId12458" ref="D6230"/>
    <hyperlink r:id="rId12459" ref="B6231"/>
    <hyperlink r:id="rId12460" ref="D6231"/>
    <hyperlink r:id="rId12461" ref="B6232"/>
    <hyperlink r:id="rId12462" ref="D6232"/>
    <hyperlink r:id="rId12463" ref="B6233"/>
    <hyperlink r:id="rId12464" ref="D6233"/>
    <hyperlink r:id="rId12465" ref="B6234"/>
    <hyperlink r:id="rId12466" ref="D6234"/>
    <hyperlink r:id="rId12467" ref="B6235"/>
    <hyperlink r:id="rId12468" ref="D6235"/>
    <hyperlink r:id="rId12469" ref="B6236"/>
    <hyperlink r:id="rId12470" ref="D6236"/>
    <hyperlink r:id="rId12471" ref="B6237"/>
    <hyperlink r:id="rId12472" ref="D6237"/>
    <hyperlink r:id="rId12473" ref="B6238"/>
    <hyperlink r:id="rId12474" ref="D6238"/>
    <hyperlink r:id="rId12475" ref="B6239"/>
    <hyperlink r:id="rId12476" ref="D6239"/>
    <hyperlink r:id="rId12477" ref="B6240"/>
    <hyperlink r:id="rId12478" ref="D6240"/>
    <hyperlink r:id="rId12479" ref="B6241"/>
    <hyperlink r:id="rId12480" ref="D6241"/>
    <hyperlink r:id="rId12481" ref="B6242"/>
    <hyperlink r:id="rId12482" ref="D6242"/>
    <hyperlink r:id="rId12483" ref="B6243"/>
    <hyperlink r:id="rId12484" ref="D6243"/>
    <hyperlink r:id="rId12485" ref="B6244"/>
    <hyperlink r:id="rId12486" ref="D6244"/>
    <hyperlink r:id="rId12487" ref="B6245"/>
    <hyperlink r:id="rId12488" ref="D6245"/>
    <hyperlink r:id="rId12489" ref="B6246"/>
    <hyperlink r:id="rId12490" ref="D6246"/>
    <hyperlink r:id="rId12491" ref="B6247"/>
    <hyperlink r:id="rId12492" ref="D6247"/>
    <hyperlink r:id="rId12493" ref="B6248"/>
    <hyperlink r:id="rId12494" ref="D6248"/>
    <hyperlink r:id="rId12495" ref="B6249"/>
    <hyperlink r:id="rId12496" ref="D6249"/>
    <hyperlink r:id="rId12497" ref="B6250"/>
    <hyperlink r:id="rId12498" ref="D6250"/>
    <hyperlink r:id="rId12499" ref="B6251"/>
    <hyperlink r:id="rId12500" ref="D6251"/>
    <hyperlink r:id="rId12501" ref="B6252"/>
    <hyperlink r:id="rId12502" ref="D6252"/>
    <hyperlink r:id="rId12503" ref="B6253"/>
    <hyperlink r:id="rId12504" ref="D6253"/>
    <hyperlink r:id="rId12505" ref="B6254"/>
    <hyperlink r:id="rId12506" ref="D6254"/>
    <hyperlink r:id="rId12507" ref="B6255"/>
    <hyperlink r:id="rId12508" ref="D6255"/>
    <hyperlink r:id="rId12509" ref="B6256"/>
    <hyperlink r:id="rId12510" ref="D6256"/>
    <hyperlink r:id="rId12511" ref="B6257"/>
    <hyperlink r:id="rId12512" ref="D6257"/>
    <hyperlink r:id="rId12513" ref="B6258"/>
    <hyperlink r:id="rId12514" ref="D6258"/>
    <hyperlink r:id="rId12515" ref="B6259"/>
    <hyperlink r:id="rId12516" ref="D6259"/>
    <hyperlink r:id="rId12517" ref="B6260"/>
    <hyperlink r:id="rId12518" ref="D6260"/>
    <hyperlink r:id="rId12519" ref="B6261"/>
    <hyperlink r:id="rId12520" ref="D6261"/>
  </hyperlinks>
  <drawing r:id="rId1252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8.43"/>
    <col customWidth="1" min="5" max="6" width="59.0"/>
  </cols>
  <sheetData>
    <row r="1">
      <c r="A1" s="14" t="s">
        <v>5</v>
      </c>
      <c r="B1" s="14" t="s">
        <v>6</v>
      </c>
      <c r="C1" s="14" t="s">
        <v>7</v>
      </c>
      <c r="D1" s="1" t="s">
        <v>15623</v>
      </c>
      <c r="E1" s="15" t="s">
        <v>15624</v>
      </c>
      <c r="F1" s="15" t="s">
        <v>15625</v>
      </c>
    </row>
    <row r="2">
      <c r="A2" s="4" t="s">
        <v>15626</v>
      </c>
      <c r="B2" s="4" t="s">
        <v>15446</v>
      </c>
      <c r="C2" s="4" t="s">
        <v>15462</v>
      </c>
      <c r="D2" s="4" t="str">
        <f>IFERROR(__xludf.DUMMYFUNCTION("array_constrain(filter(Descriptions!E:E, Descriptions!F:F = A2, Descriptions!G:G = B2, Descriptions!H:H = #REF!), 1, 1)"),"#N/A")</f>
        <v>#N/A</v>
      </c>
      <c r="E2" s="16" t="s">
        <v>15627</v>
      </c>
      <c r="F2" s="17" t="str">
        <f t="shared" ref="F2:F21" si="1">SUBSTITUTE(E2, "{{}}", D2)</f>
        <v>#N/A</v>
      </c>
      <c r="G2" s="2" t="s">
        <v>15628</v>
      </c>
    </row>
    <row r="3">
      <c r="A3" s="4" t="s">
        <v>15629</v>
      </c>
      <c r="B3" s="4" t="s">
        <v>15446</v>
      </c>
      <c r="D3" s="4" t="str">
        <f>IFERROR(__xludf.DUMMYFUNCTION("array_constrain(filter(Descriptions!E:E, Descriptions!F:F = A3, Descriptions!G:G = B3, Descriptions!H:H = C2), 1, 1)"),"Canton d'Appenzell RI")</f>
        <v>Canton d'Appenzell RI</v>
      </c>
      <c r="E3" s="16" t="s">
        <v>15630</v>
      </c>
      <c r="F3" s="17" t="str">
        <f t="shared" si="1"/>
        <v>🏘  L’appartement de vos rêves se trouve sur ImmoScout24.ch ✅ Découvrez les dernières annonces de vente dans le Canton d'Appenzell RI.</v>
      </c>
      <c r="G3" s="2" t="s">
        <v>15631</v>
      </c>
    </row>
    <row r="4">
      <c r="A4" s="4" t="s">
        <v>15626</v>
      </c>
      <c r="B4" s="4" t="s">
        <v>15442</v>
      </c>
      <c r="C4" s="4" t="s">
        <v>15462</v>
      </c>
      <c r="D4" s="4" t="str">
        <f>IFERROR(__xludf.DUMMYFUNCTION("array_constrain(filter(Descriptions!E:E, Descriptions!F:F = A4, Descriptions!G:G = B4, Descriptions!H:H = C4), 1, 1)"),"Canton de Genève")</f>
        <v>Canton de Genève</v>
      </c>
      <c r="E4" s="16" t="s">
        <v>15632</v>
      </c>
      <c r="F4" s="17" t="str">
        <f t="shared" si="1"/>
        <v>🏘  Vous cherchez une maison à louer dans le Canton de Genève? ✅ Découvrez nos nombreuses annonces sur ImmoScout24.ch.</v>
      </c>
      <c r="G4" s="2" t="s">
        <v>15633</v>
      </c>
    </row>
    <row r="5">
      <c r="A5" s="4" t="s">
        <v>15629</v>
      </c>
      <c r="B5" s="4" t="s">
        <v>15442</v>
      </c>
      <c r="C5" s="4" t="s">
        <v>15462</v>
      </c>
      <c r="D5" s="4" t="str">
        <f>IFERROR(__xludf.DUMMYFUNCTION("array_constrain(filter(Descriptions!E:E, Descriptions!F:F = A5, Descriptions!G:G = B5, Descriptions!H:H = C5), 1, 1)"),"Canton de Bâle-Campagne")</f>
        <v>Canton de Bâle-Campagne</v>
      </c>
      <c r="E5" s="16" t="s">
        <v>15634</v>
      </c>
      <c r="F5" s="17" t="str">
        <f t="shared" si="1"/>
        <v>🏘  Vous souhaitez acheter une maison dans le Canton de Bâle-Campagne? ✅ Jetez un œil aux dernières offres sur ImmoScout24.ch.</v>
      </c>
      <c r="G5" s="2" t="s">
        <v>15635</v>
      </c>
    </row>
    <row r="6">
      <c r="A6" s="4" t="s">
        <v>15626</v>
      </c>
      <c r="B6" s="4" t="s">
        <v>15446</v>
      </c>
      <c r="C6" s="4" t="s">
        <v>15444</v>
      </c>
      <c r="D6" s="4" t="str">
        <f>IFERROR(__xludf.DUMMYFUNCTION("array_constrain(filter(Descriptions!E:E, Descriptions!F:F = A6, Descriptions!G:G = B6, Descriptions!H:H = C6), 1, 1)"),"Hermenches")</f>
        <v>Hermenches</v>
      </c>
      <c r="E6" s="16" t="s">
        <v>15636</v>
      </c>
      <c r="F6" s="17" t="str">
        <f t="shared" si="1"/>
        <v>🏘  Vous cherchez un appartement à louer à Hermenches? ✅ Les annonces les plus actuelles sont sur ImmoScout24.ch.</v>
      </c>
    </row>
    <row r="7">
      <c r="A7" s="4" t="s">
        <v>15629</v>
      </c>
      <c r="B7" s="4" t="s">
        <v>15446</v>
      </c>
      <c r="C7" s="4" t="s">
        <v>15444</v>
      </c>
      <c r="D7" s="4" t="str">
        <f>IFERROR(__xludf.DUMMYFUNCTION("array_constrain(filter(Descriptions!E:E, Descriptions!F:F = A7, Descriptions!G:G = B7, Descriptions!H:H = C7), 1, 1)"),"Dombresson")</f>
        <v>Dombresson</v>
      </c>
      <c r="E7" s="16" t="s">
        <v>15637</v>
      </c>
      <c r="F7" s="17" t="str">
        <f t="shared" si="1"/>
        <v>🏘  L’appartement de vos rêves se trouve sur ImmoScout24.ch ✅ Découvrez les dernières annonces de vente à Dombresson.</v>
      </c>
    </row>
    <row r="8">
      <c r="A8" s="4" t="s">
        <v>15626</v>
      </c>
      <c r="B8" s="4" t="s">
        <v>15442</v>
      </c>
      <c r="C8" s="4" t="s">
        <v>15444</v>
      </c>
      <c r="D8" s="4" t="str">
        <f>IFERROR(__xludf.DUMMYFUNCTION("array_constrain(filter(Descriptions!E:E, Descriptions!F:F = A8, Descriptions!G:G = B8, Descriptions!H:H = C8), 1, 1)"),"Vandoeuvres")</f>
        <v>Vandoeuvres</v>
      </c>
      <c r="E8" s="16" t="s">
        <v>15638</v>
      </c>
      <c r="F8" s="17" t="str">
        <f t="shared" si="1"/>
        <v>🏘  Vous cherchez une maison à louer à Vandoeuvres? ✅ Découvrez nos nombreuses annonces sur ImmoScout24.ch.</v>
      </c>
    </row>
    <row r="9">
      <c r="A9" s="4" t="s">
        <v>15629</v>
      </c>
      <c r="B9" s="4" t="s">
        <v>15442</v>
      </c>
      <c r="C9" s="4" t="s">
        <v>15444</v>
      </c>
      <c r="D9" s="4" t="str">
        <f>IFERROR(__xludf.DUMMYFUNCTION("array_constrain(filter(Descriptions!E:E, Descriptions!F:F = A9, Descriptions!G:G = B9, Descriptions!H:H = C9), 1, 1)"),"Curio")</f>
        <v>Curio</v>
      </c>
      <c r="E9" s="16" t="s">
        <v>15639</v>
      </c>
      <c r="F9" s="17" t="str">
        <f t="shared" si="1"/>
        <v>🏘  Vous souhaitez acheter une maison à Curio? ✅ Jetez un œil aux dernières offres sur ImmoScout24.ch.</v>
      </c>
    </row>
    <row r="10">
      <c r="A10" s="4" t="s">
        <v>15626</v>
      </c>
      <c r="B10" s="4" t="s">
        <v>15446</v>
      </c>
      <c r="C10" s="4" t="s">
        <v>15461</v>
      </c>
      <c r="D10" s="4" t="str">
        <f>IFERROR(__xludf.DUMMYFUNCTION("array_constrain(filter(Descriptions!E:E, Descriptions!F:F = A10, Descriptions!G:G = B10, Descriptions!H:H = C10), 1, 1)"),"en Belgique")</f>
        <v>en Belgique</v>
      </c>
      <c r="E10" s="16" t="s">
        <v>15640</v>
      </c>
      <c r="F10" s="17" t="str">
        <f t="shared" si="1"/>
        <v>🏘  Vous cherchez un appartement à louer en Belgique? ✅ Les annonces les plus actuelles sont sur ImmoScout24.ch.</v>
      </c>
    </row>
    <row r="11">
      <c r="A11" s="4" t="s">
        <v>15629</v>
      </c>
      <c r="B11" s="4" t="s">
        <v>15446</v>
      </c>
      <c r="C11" s="4" t="s">
        <v>15461</v>
      </c>
      <c r="D11" s="4" t="str">
        <f>IFERROR(__xludf.DUMMYFUNCTION("array_constrain(filter(Descriptions!E:E, Descriptions!F:F = A11, Descriptions!G:G = B11, Descriptions!H:H = C11), 1, 1)"),"au Monténégro")</f>
        <v>au Monténégro</v>
      </c>
      <c r="E11" s="16" t="s">
        <v>15640</v>
      </c>
      <c r="F11" s="17" t="str">
        <f t="shared" si="1"/>
        <v>🏘  Vous cherchez un appartement à louer au Monténégro? ✅ Les annonces les plus actuelles sont sur ImmoScout24.ch.</v>
      </c>
      <c r="G11" s="2" t="s">
        <v>15641</v>
      </c>
    </row>
    <row r="12">
      <c r="A12" s="4" t="s">
        <v>15626</v>
      </c>
      <c r="B12" s="4" t="s">
        <v>15442</v>
      </c>
      <c r="C12" s="4" t="s">
        <v>15461</v>
      </c>
      <c r="D12" s="4" t="str">
        <f>IFERROR(__xludf.DUMMYFUNCTION("array_constrain(filter(Descriptions!E:E, Descriptions!F:F = A12, Descriptions!G:G = B12, Descriptions!H:H = C12), 1, 1)"),"au Liechtenstein")</f>
        <v>au Liechtenstein</v>
      </c>
      <c r="E12" s="16" t="s">
        <v>15640</v>
      </c>
      <c r="F12" s="17" t="str">
        <f t="shared" si="1"/>
        <v>🏘  Vous cherchez un appartement à louer au Liechtenstein? ✅ Les annonces les plus actuelles sont sur ImmoScout24.ch.</v>
      </c>
      <c r="G12" s="2" t="s">
        <v>15642</v>
      </c>
    </row>
    <row r="13">
      <c r="A13" s="4" t="s">
        <v>15629</v>
      </c>
      <c r="B13" s="4" t="s">
        <v>15442</v>
      </c>
      <c r="C13" s="4" t="s">
        <v>15461</v>
      </c>
      <c r="D13" s="4" t="str">
        <f>IFERROR(__xludf.DUMMYFUNCTION("array_constrain(filter(Descriptions!E:E, Descriptions!F:F = A13, Descriptions!G:G = B13, Descriptions!H:H = C13), 1, 1)"),"aux USA")</f>
        <v>aux USA</v>
      </c>
      <c r="E13" s="16" t="s">
        <v>15640</v>
      </c>
      <c r="F13" s="17" t="str">
        <f t="shared" si="1"/>
        <v>🏘  Vous cherchez un appartement à louer aux USA? ✅ Les annonces les plus actuelles sont sur ImmoScout24.ch.</v>
      </c>
      <c r="G13" s="2" t="s">
        <v>15643</v>
      </c>
    </row>
    <row r="14">
      <c r="A14" s="4" t="s">
        <v>15626</v>
      </c>
      <c r="B14" s="4" t="s">
        <v>15446</v>
      </c>
      <c r="C14" s="4" t="s">
        <v>15457</v>
      </c>
      <c r="D14" s="4" t="str">
        <f>IFERROR(__xludf.DUMMYFUNCTION("array_constrain(filter(Descriptions!E:E, Descriptions!F:F = A14, Descriptions!G:G = B14, Descriptions!H:H = C14), 1, 1)"),"dans le quartier de Vorstädte (Bâle)")</f>
        <v>dans le quartier de Vorstädte (Bâle)</v>
      </c>
      <c r="E14" s="16" t="s">
        <v>15640</v>
      </c>
      <c r="F14" s="17" t="str">
        <f t="shared" si="1"/>
        <v>🏘  Vous cherchez un appartement à louer dans le quartier de Vorstädte (Bâle)? ✅ Les annonces les plus actuelles sont sur ImmoScout24.ch.</v>
      </c>
      <c r="G14" s="2" t="s">
        <v>15644</v>
      </c>
    </row>
    <row r="15">
      <c r="A15" s="4" t="s">
        <v>15629</v>
      </c>
      <c r="B15" s="4" t="s">
        <v>15446</v>
      </c>
      <c r="C15" s="4" t="s">
        <v>15457</v>
      </c>
      <c r="D15" s="4" t="str">
        <f>IFERROR(__xludf.DUMMYFUNCTION("array_constrain(filter(Descriptions!E:E, Descriptions!F:F = A15, Descriptions!G:G = B15, Descriptions!H:H = C15), 1, 1)"),"dans le quartier de Bethlehem (Berne)")</f>
        <v>dans le quartier de Bethlehem (Berne)</v>
      </c>
      <c r="E15" s="16" t="s">
        <v>15645</v>
      </c>
      <c r="F15" s="17" t="str">
        <f t="shared" si="1"/>
        <v>🏘  L’appartement de vos rêves se trouve sur ImmoScout24.ch ✅ Découvrez les dernières annonces de vente dans le quartier de Bethlehem (Berne).</v>
      </c>
      <c r="G15" s="2" t="s">
        <v>15646</v>
      </c>
    </row>
    <row r="16">
      <c r="A16" s="4" t="s">
        <v>15626</v>
      </c>
      <c r="B16" s="4" t="s">
        <v>15442</v>
      </c>
      <c r="C16" s="4" t="s">
        <v>15457</v>
      </c>
      <c r="D16" s="4" t="str">
        <f>IFERROR(__xludf.DUMMYFUNCTION("array_constrain(filter(Descriptions!E:E, Descriptions!F:F = A16, Descriptions!G:G = B16, Descriptions!H:H = C16), 1, 1)"),"dans le quartier du Jura (Fribourg)")</f>
        <v>dans le quartier du Jura (Fribourg)</v>
      </c>
      <c r="E16" s="16" t="s">
        <v>15647</v>
      </c>
      <c r="F16" s="17" t="str">
        <f t="shared" si="1"/>
        <v>🏘  Vous cherchez une maison à louer dans le quartier du Jura (Fribourg)? ✅ Découvrez nos nombreuses annonces sur ImmoScout24.ch.</v>
      </c>
      <c r="G16" s="2" t="s">
        <v>15648</v>
      </c>
    </row>
    <row r="17">
      <c r="A17" s="4" t="s">
        <v>15629</v>
      </c>
      <c r="B17" s="4" t="s">
        <v>15442</v>
      </c>
      <c r="C17" s="4" t="s">
        <v>15457</v>
      </c>
      <c r="D17" s="4" t="str">
        <f>IFERROR(__xludf.DUMMYFUNCTION("array_constrain(filter(Descriptions!E:E, Descriptions!F:F = A17, Descriptions!G:G = B17, Descriptions!H:H = C17), 1, 1)"),"dans le quartier de l'Auge (Fribourg)")</f>
        <v>dans le quartier de l'Auge (Fribourg)</v>
      </c>
      <c r="E17" s="16" t="s">
        <v>15649</v>
      </c>
      <c r="F17" s="17" t="str">
        <f t="shared" si="1"/>
        <v>🏘  Vous souhaitez acheter une maison dans le quartier de l'Auge (Fribourg)? ✅ Jetez un œil aux dernières offres sur ImmoScout24.ch.</v>
      </c>
      <c r="G17" s="2" t="s">
        <v>15650</v>
      </c>
    </row>
    <row r="18">
      <c r="A18" s="4" t="s">
        <v>15626</v>
      </c>
      <c r="B18" s="4" t="s">
        <v>15446</v>
      </c>
      <c r="C18" s="4" t="s">
        <v>15455</v>
      </c>
      <c r="D18" s="4" t="str">
        <f>IFERROR(__xludf.DUMMYFUNCTION("array_constrain(filter(Descriptions!E:E, Descriptions!F:F = A18, Descriptions!G:G = B18, Descriptions!H:H = C18), 1, 1)"),"dans le Jura vaudois")</f>
        <v>dans le Jura vaudois</v>
      </c>
      <c r="E18" s="16" t="s">
        <v>15640</v>
      </c>
      <c r="F18" s="17" t="str">
        <f t="shared" si="1"/>
        <v>🏘  Vous cherchez un appartement à louer dans le Jura vaudois? ✅ Les annonces les plus actuelles sont sur ImmoScout24.ch.</v>
      </c>
      <c r="G18" s="2" t="s">
        <v>15651</v>
      </c>
    </row>
    <row r="19">
      <c r="A19" s="4" t="s">
        <v>15629</v>
      </c>
      <c r="B19" s="4" t="s">
        <v>15446</v>
      </c>
      <c r="C19" s="4" t="s">
        <v>15455</v>
      </c>
      <c r="D19" s="4" t="str">
        <f>IFERROR(__xludf.DUMMYFUNCTION("array_constrain(filter(Descriptions!E:E, Descriptions!F:F = A19, Descriptions!G:G = B19, Descriptions!H:H = C19), 1, 1)"),"dans la région d'Olten - Thal - Gäu - Gösgen")</f>
        <v>dans la région d'Olten - Thal - Gäu - Gösgen</v>
      </c>
      <c r="E19" s="16" t="s">
        <v>15645</v>
      </c>
      <c r="F19" s="17" t="str">
        <f t="shared" si="1"/>
        <v>🏘  L’appartement de vos rêves se trouve sur ImmoScout24.ch ✅ Découvrez les dernières annonces de vente dans la région d'Olten - Thal - Gäu - Gösgen.</v>
      </c>
    </row>
    <row r="20">
      <c r="A20" s="4" t="s">
        <v>15626</v>
      </c>
      <c r="B20" s="4" t="s">
        <v>15442</v>
      </c>
      <c r="C20" s="4" t="s">
        <v>15455</v>
      </c>
      <c r="D20" s="4" t="str">
        <f>IFERROR(__xludf.DUMMYFUNCTION("array_constrain(filter(Descriptions!E:E, Descriptions!F:F = A20, Descriptions!G:G = B20, Descriptions!H:H = C20), 1, 1)"),"dans la région d'Olten - Thal - Gäu - Gösgen")</f>
        <v>dans la région d'Olten - Thal - Gäu - Gösgen</v>
      </c>
      <c r="E20" s="16" t="s">
        <v>15647</v>
      </c>
      <c r="F20" s="17" t="str">
        <f t="shared" si="1"/>
        <v>🏘  Vous cherchez une maison à louer dans la région d'Olten - Thal - Gäu - Gösgen? ✅ Découvrez nos nombreuses annonces sur ImmoScout24.ch.</v>
      </c>
    </row>
    <row r="21">
      <c r="A21" s="4" t="s">
        <v>15629</v>
      </c>
      <c r="B21" s="4" t="s">
        <v>15442</v>
      </c>
      <c r="C21" s="4" t="s">
        <v>15455</v>
      </c>
      <c r="D21" s="4" t="str">
        <f>IFERROR(__xludf.DUMMYFUNCTION("array_constrain(filter(Descriptions!E:E, Descriptions!F:F = A21, Descriptions!G:G = B21, Descriptions!H:H = C21), 1, 1)"),"dans la région du Toggenburg")</f>
        <v>dans la région du Toggenburg</v>
      </c>
      <c r="E21" s="16" t="s">
        <v>15649</v>
      </c>
      <c r="F21" s="17" t="str">
        <f t="shared" si="1"/>
        <v>🏘  Vous souhaitez acheter une maison dans la région du Toggenburg? ✅ Jetez un œil aux dernières offres sur ImmoScout24.ch.</v>
      </c>
      <c r="G21" s="2" t="s">
        <v>15652</v>
      </c>
    </row>
    <row r="22">
      <c r="E22" s="17"/>
      <c r="F22" s="17"/>
    </row>
    <row r="23">
      <c r="E23" s="17"/>
      <c r="F23" s="17"/>
    </row>
    <row r="24">
      <c r="E24" s="17"/>
      <c r="F24" s="17"/>
    </row>
    <row r="25">
      <c r="E25" s="17"/>
      <c r="F25" s="17"/>
    </row>
    <row r="26">
      <c r="E26" s="17"/>
      <c r="F26" s="17"/>
    </row>
    <row r="27">
      <c r="E27" s="17"/>
      <c r="F27" s="17"/>
    </row>
    <row r="28">
      <c r="E28" s="17"/>
      <c r="F28" s="17"/>
    </row>
    <row r="29">
      <c r="E29" s="17"/>
      <c r="F29" s="17"/>
    </row>
    <row r="30">
      <c r="E30" s="17"/>
      <c r="F30" s="17"/>
    </row>
    <row r="31">
      <c r="E31" s="17"/>
      <c r="F31" s="17"/>
    </row>
    <row r="32">
      <c r="E32" s="17"/>
      <c r="F32" s="17"/>
    </row>
    <row r="33">
      <c r="E33" s="17"/>
      <c r="F33" s="17"/>
    </row>
    <row r="34">
      <c r="E34" s="17"/>
      <c r="F34" s="17"/>
    </row>
    <row r="35">
      <c r="E35" s="17"/>
      <c r="F35" s="17"/>
    </row>
    <row r="36">
      <c r="E36" s="17"/>
      <c r="F36" s="17"/>
    </row>
    <row r="37">
      <c r="E37" s="17"/>
      <c r="F37" s="17"/>
    </row>
    <row r="38">
      <c r="E38" s="17"/>
      <c r="F38" s="17"/>
    </row>
    <row r="39">
      <c r="E39" s="17"/>
      <c r="F39" s="17"/>
    </row>
    <row r="40">
      <c r="E40" s="17"/>
      <c r="F40" s="17"/>
    </row>
    <row r="41">
      <c r="E41" s="17"/>
      <c r="F41" s="17"/>
    </row>
    <row r="42">
      <c r="E42" s="17"/>
      <c r="F42" s="17"/>
    </row>
    <row r="43">
      <c r="E43" s="17"/>
      <c r="F43" s="17"/>
    </row>
    <row r="44">
      <c r="E44" s="17"/>
      <c r="F44" s="17"/>
    </row>
    <row r="45">
      <c r="E45" s="17"/>
      <c r="F45" s="17"/>
    </row>
    <row r="46">
      <c r="E46" s="17"/>
      <c r="F46" s="17"/>
    </row>
    <row r="47">
      <c r="E47" s="17"/>
      <c r="F47" s="17"/>
    </row>
    <row r="48">
      <c r="E48" s="17"/>
      <c r="F48" s="17"/>
    </row>
    <row r="49">
      <c r="E49" s="17"/>
      <c r="F49" s="17"/>
    </row>
    <row r="50">
      <c r="E50" s="17"/>
      <c r="F50" s="17"/>
    </row>
    <row r="51">
      <c r="E51" s="17"/>
      <c r="F51" s="17"/>
    </row>
    <row r="52">
      <c r="E52" s="17"/>
      <c r="F52" s="17"/>
    </row>
    <row r="53">
      <c r="E53" s="17"/>
      <c r="F53" s="17"/>
    </row>
    <row r="54">
      <c r="E54" s="17"/>
      <c r="F54" s="17"/>
    </row>
    <row r="55">
      <c r="E55" s="17"/>
      <c r="F55" s="17"/>
    </row>
    <row r="56">
      <c r="E56" s="17"/>
      <c r="F56" s="17"/>
    </row>
    <row r="57">
      <c r="E57" s="17"/>
      <c r="F57" s="17"/>
    </row>
    <row r="58">
      <c r="E58" s="17"/>
      <c r="F58" s="17"/>
    </row>
    <row r="59">
      <c r="E59" s="17"/>
      <c r="F59" s="17"/>
    </row>
    <row r="60">
      <c r="E60" s="17"/>
      <c r="F60" s="17"/>
    </row>
    <row r="61">
      <c r="E61" s="17"/>
      <c r="F61" s="17"/>
    </row>
    <row r="62">
      <c r="E62" s="17"/>
      <c r="F62" s="17"/>
    </row>
    <row r="63">
      <c r="E63" s="17"/>
      <c r="F63" s="17"/>
    </row>
    <row r="64">
      <c r="E64" s="17"/>
      <c r="F64" s="17"/>
    </row>
    <row r="65">
      <c r="E65" s="17"/>
      <c r="F65" s="17"/>
    </row>
    <row r="66">
      <c r="E66" s="17"/>
      <c r="F66" s="17"/>
    </row>
    <row r="67">
      <c r="E67" s="17"/>
      <c r="F67" s="17"/>
    </row>
    <row r="68">
      <c r="E68" s="17"/>
      <c r="F68" s="17"/>
    </row>
    <row r="69">
      <c r="E69" s="17"/>
      <c r="F69" s="17"/>
    </row>
    <row r="70">
      <c r="E70" s="17"/>
      <c r="F70" s="17"/>
    </row>
    <row r="71">
      <c r="E71" s="17"/>
      <c r="F71" s="17"/>
    </row>
    <row r="72">
      <c r="E72" s="17"/>
      <c r="F72" s="17"/>
    </row>
    <row r="73">
      <c r="E73" s="17"/>
      <c r="F73" s="17"/>
    </row>
    <row r="74">
      <c r="E74" s="17"/>
      <c r="F74" s="17"/>
    </row>
    <row r="75">
      <c r="E75" s="17"/>
      <c r="F75" s="17"/>
    </row>
    <row r="76">
      <c r="E76" s="17"/>
      <c r="F76" s="17"/>
    </row>
    <row r="77">
      <c r="E77" s="17"/>
      <c r="F77" s="17"/>
    </row>
    <row r="78">
      <c r="E78" s="17"/>
      <c r="F78" s="17"/>
    </row>
    <row r="79">
      <c r="E79" s="17"/>
      <c r="F79" s="17"/>
    </row>
    <row r="80">
      <c r="E80" s="17"/>
      <c r="F80" s="17"/>
    </row>
    <row r="81">
      <c r="E81" s="17"/>
      <c r="F81" s="17"/>
    </row>
    <row r="82">
      <c r="E82" s="17"/>
      <c r="F82" s="17"/>
    </row>
    <row r="83">
      <c r="E83" s="17"/>
      <c r="F83" s="17"/>
    </row>
    <row r="84">
      <c r="E84" s="17"/>
      <c r="F84" s="17"/>
    </row>
    <row r="85">
      <c r="E85" s="17"/>
      <c r="F85" s="17"/>
    </row>
    <row r="86">
      <c r="E86" s="17"/>
      <c r="F86" s="17"/>
    </row>
    <row r="87">
      <c r="E87" s="17"/>
      <c r="F87" s="17"/>
    </row>
    <row r="88">
      <c r="E88" s="17"/>
      <c r="F88" s="17"/>
    </row>
    <row r="89">
      <c r="E89" s="17"/>
      <c r="F89" s="17"/>
    </row>
    <row r="90">
      <c r="E90" s="17"/>
      <c r="F90" s="17"/>
    </row>
    <row r="91">
      <c r="E91" s="17"/>
      <c r="F91" s="17"/>
    </row>
    <row r="92">
      <c r="E92" s="17"/>
      <c r="F92" s="17"/>
    </row>
    <row r="93">
      <c r="E93" s="17"/>
      <c r="F93" s="17"/>
    </row>
    <row r="94">
      <c r="E94" s="17"/>
      <c r="F94" s="17"/>
    </row>
    <row r="95">
      <c r="E95" s="17"/>
      <c r="F95" s="17"/>
    </row>
    <row r="96">
      <c r="E96" s="17"/>
      <c r="F96" s="17"/>
    </row>
    <row r="97">
      <c r="E97" s="17"/>
      <c r="F97" s="17"/>
    </row>
    <row r="98">
      <c r="E98" s="17"/>
      <c r="F98" s="17"/>
    </row>
    <row r="99">
      <c r="E99" s="17"/>
      <c r="F99" s="17"/>
    </row>
    <row r="100">
      <c r="E100" s="17"/>
      <c r="F100" s="17"/>
    </row>
    <row r="101">
      <c r="E101" s="17"/>
      <c r="F101" s="17"/>
    </row>
    <row r="102">
      <c r="E102" s="17"/>
      <c r="F102" s="17"/>
    </row>
    <row r="103">
      <c r="E103" s="17"/>
      <c r="F103" s="17"/>
    </row>
    <row r="104">
      <c r="E104" s="17"/>
      <c r="F104" s="17"/>
    </row>
    <row r="105">
      <c r="E105" s="17"/>
      <c r="F105" s="17"/>
    </row>
    <row r="106">
      <c r="E106" s="17"/>
      <c r="F106" s="17"/>
    </row>
    <row r="107">
      <c r="E107" s="17"/>
      <c r="F107" s="17"/>
    </row>
    <row r="108">
      <c r="E108" s="17"/>
      <c r="F108" s="17"/>
    </row>
    <row r="109">
      <c r="E109" s="17"/>
      <c r="F109" s="17"/>
    </row>
    <row r="110">
      <c r="E110" s="17"/>
      <c r="F110" s="17"/>
    </row>
    <row r="111">
      <c r="E111" s="17"/>
      <c r="F111" s="17"/>
    </row>
    <row r="112">
      <c r="E112" s="17"/>
      <c r="F112" s="17"/>
    </row>
    <row r="113">
      <c r="E113" s="17"/>
      <c r="F113" s="17"/>
    </row>
    <row r="114">
      <c r="E114" s="17"/>
      <c r="F114" s="17"/>
    </row>
    <row r="115">
      <c r="E115" s="17"/>
      <c r="F115" s="17"/>
    </row>
    <row r="116">
      <c r="E116" s="17"/>
      <c r="F116" s="17"/>
    </row>
    <row r="117">
      <c r="E117" s="17"/>
      <c r="F117" s="17"/>
    </row>
    <row r="118">
      <c r="E118" s="17"/>
      <c r="F118" s="17"/>
    </row>
    <row r="119">
      <c r="E119" s="17"/>
      <c r="F119" s="17"/>
    </row>
    <row r="120">
      <c r="E120" s="17"/>
      <c r="F120" s="17"/>
    </row>
    <row r="121">
      <c r="E121" s="17"/>
      <c r="F121" s="17"/>
    </row>
    <row r="122">
      <c r="E122" s="17"/>
      <c r="F122" s="17"/>
    </row>
    <row r="123">
      <c r="E123" s="17"/>
      <c r="F123" s="17"/>
    </row>
    <row r="124">
      <c r="E124" s="17"/>
      <c r="F124" s="17"/>
    </row>
    <row r="125">
      <c r="E125" s="17"/>
      <c r="F125" s="17"/>
    </row>
    <row r="126">
      <c r="E126" s="17"/>
      <c r="F126" s="17"/>
    </row>
    <row r="127">
      <c r="E127" s="17"/>
      <c r="F127" s="17"/>
    </row>
    <row r="128">
      <c r="E128" s="17"/>
      <c r="F128" s="17"/>
    </row>
    <row r="129">
      <c r="E129" s="17"/>
      <c r="F129" s="17"/>
    </row>
    <row r="130">
      <c r="E130" s="17"/>
      <c r="F130" s="17"/>
    </row>
    <row r="131">
      <c r="E131" s="17"/>
      <c r="F131" s="17"/>
    </row>
    <row r="132">
      <c r="E132" s="17"/>
      <c r="F132" s="17"/>
    </row>
    <row r="133">
      <c r="E133" s="17"/>
      <c r="F133" s="17"/>
    </row>
    <row r="134">
      <c r="E134" s="17"/>
      <c r="F134" s="17"/>
    </row>
    <row r="135">
      <c r="E135" s="17"/>
      <c r="F135" s="17"/>
    </row>
    <row r="136">
      <c r="E136" s="17"/>
      <c r="F136" s="17"/>
    </row>
    <row r="137">
      <c r="E137" s="17"/>
      <c r="F137" s="17"/>
    </row>
    <row r="138">
      <c r="E138" s="17"/>
      <c r="F138" s="17"/>
    </row>
    <row r="139">
      <c r="E139" s="17"/>
      <c r="F139" s="17"/>
    </row>
    <row r="140">
      <c r="E140" s="17"/>
      <c r="F140" s="17"/>
    </row>
    <row r="141">
      <c r="E141" s="17"/>
      <c r="F141" s="17"/>
    </row>
    <row r="142">
      <c r="E142" s="17"/>
      <c r="F142" s="17"/>
    </row>
    <row r="143">
      <c r="E143" s="17"/>
      <c r="F143" s="17"/>
    </row>
    <row r="144">
      <c r="E144" s="17"/>
      <c r="F144" s="17"/>
    </row>
    <row r="145">
      <c r="E145" s="17"/>
      <c r="F145" s="17"/>
    </row>
    <row r="146">
      <c r="E146" s="17"/>
      <c r="F146" s="17"/>
    </row>
    <row r="147">
      <c r="E147" s="17"/>
      <c r="F147" s="17"/>
    </row>
    <row r="148">
      <c r="E148" s="17"/>
      <c r="F148" s="17"/>
    </row>
    <row r="149">
      <c r="E149" s="17"/>
      <c r="F149" s="17"/>
    </row>
    <row r="150">
      <c r="E150" s="17"/>
      <c r="F150" s="17"/>
    </row>
    <row r="151">
      <c r="E151" s="17"/>
      <c r="F151" s="17"/>
    </row>
    <row r="152">
      <c r="E152" s="17"/>
      <c r="F152" s="17"/>
    </row>
    <row r="153">
      <c r="E153" s="17"/>
      <c r="F153" s="17"/>
    </row>
    <row r="154">
      <c r="E154" s="17"/>
      <c r="F154" s="17"/>
    </row>
    <row r="155">
      <c r="E155" s="17"/>
      <c r="F155" s="17"/>
    </row>
    <row r="156">
      <c r="E156" s="17"/>
      <c r="F156" s="17"/>
    </row>
    <row r="157">
      <c r="E157" s="17"/>
      <c r="F157" s="17"/>
    </row>
    <row r="158">
      <c r="E158" s="17"/>
      <c r="F158" s="17"/>
    </row>
    <row r="159">
      <c r="E159" s="17"/>
      <c r="F159" s="17"/>
    </row>
    <row r="160">
      <c r="E160" s="17"/>
      <c r="F160" s="17"/>
    </row>
    <row r="161">
      <c r="E161" s="17"/>
      <c r="F161" s="17"/>
    </row>
    <row r="162">
      <c r="E162" s="17"/>
      <c r="F162" s="17"/>
    </row>
    <row r="163">
      <c r="E163" s="17"/>
      <c r="F163" s="17"/>
    </row>
    <row r="164">
      <c r="E164" s="17"/>
      <c r="F164" s="17"/>
    </row>
    <row r="165">
      <c r="E165" s="17"/>
      <c r="F165" s="17"/>
    </row>
    <row r="166">
      <c r="E166" s="17"/>
      <c r="F166" s="17"/>
    </row>
    <row r="167">
      <c r="E167" s="17"/>
      <c r="F167" s="17"/>
    </row>
    <row r="168">
      <c r="E168" s="17"/>
      <c r="F168" s="17"/>
    </row>
    <row r="169">
      <c r="E169" s="17"/>
      <c r="F169" s="17"/>
    </row>
    <row r="170">
      <c r="E170" s="17"/>
      <c r="F170" s="17"/>
    </row>
    <row r="171">
      <c r="E171" s="17"/>
      <c r="F171" s="17"/>
    </row>
    <row r="172">
      <c r="E172" s="17"/>
      <c r="F172" s="17"/>
    </row>
    <row r="173">
      <c r="E173" s="17"/>
      <c r="F173" s="17"/>
    </row>
    <row r="174">
      <c r="E174" s="17"/>
      <c r="F174" s="17"/>
    </row>
    <row r="175">
      <c r="E175" s="17"/>
      <c r="F175" s="17"/>
    </row>
    <row r="176">
      <c r="E176" s="17"/>
      <c r="F176" s="17"/>
    </row>
    <row r="177">
      <c r="E177" s="17"/>
      <c r="F177" s="17"/>
    </row>
    <row r="178">
      <c r="E178" s="17"/>
      <c r="F178" s="17"/>
    </row>
    <row r="179">
      <c r="E179" s="17"/>
      <c r="F179" s="17"/>
    </row>
    <row r="180">
      <c r="E180" s="17"/>
      <c r="F180" s="17"/>
    </row>
    <row r="181">
      <c r="E181" s="17"/>
      <c r="F181" s="17"/>
    </row>
    <row r="182">
      <c r="E182" s="17"/>
      <c r="F182" s="17"/>
    </row>
    <row r="183">
      <c r="E183" s="17"/>
      <c r="F183" s="17"/>
    </row>
    <row r="184">
      <c r="E184" s="17"/>
      <c r="F184" s="17"/>
    </row>
    <row r="185">
      <c r="E185" s="17"/>
      <c r="F185" s="17"/>
    </row>
    <row r="186">
      <c r="E186" s="17"/>
      <c r="F186" s="17"/>
    </row>
    <row r="187">
      <c r="E187" s="17"/>
      <c r="F187" s="17"/>
    </row>
    <row r="188">
      <c r="E188" s="17"/>
      <c r="F188" s="17"/>
    </row>
    <row r="189">
      <c r="E189" s="17"/>
      <c r="F189" s="17"/>
    </row>
    <row r="190">
      <c r="E190" s="17"/>
      <c r="F190" s="17"/>
    </row>
    <row r="191">
      <c r="E191" s="17"/>
      <c r="F191" s="17"/>
    </row>
    <row r="192">
      <c r="E192" s="17"/>
      <c r="F192" s="17"/>
    </row>
    <row r="193">
      <c r="E193" s="17"/>
      <c r="F193" s="17"/>
    </row>
    <row r="194">
      <c r="E194" s="17"/>
      <c r="F194" s="17"/>
    </row>
    <row r="195">
      <c r="E195" s="17"/>
      <c r="F195" s="17"/>
    </row>
    <row r="196">
      <c r="E196" s="17"/>
      <c r="F196" s="17"/>
    </row>
    <row r="197">
      <c r="E197" s="17"/>
      <c r="F197" s="17"/>
    </row>
    <row r="198">
      <c r="E198" s="17"/>
      <c r="F198" s="17"/>
    </row>
    <row r="199">
      <c r="E199" s="17"/>
      <c r="F199" s="17"/>
    </row>
    <row r="200">
      <c r="E200" s="17"/>
      <c r="F200" s="17"/>
    </row>
    <row r="201">
      <c r="E201" s="17"/>
      <c r="F201" s="17"/>
    </row>
    <row r="202">
      <c r="E202" s="17"/>
      <c r="F202" s="17"/>
    </row>
    <row r="203">
      <c r="E203" s="17"/>
      <c r="F203" s="17"/>
    </row>
    <row r="204">
      <c r="E204" s="17"/>
      <c r="F204" s="17"/>
    </row>
    <row r="205">
      <c r="E205" s="17"/>
      <c r="F205" s="17"/>
    </row>
    <row r="206">
      <c r="E206" s="17"/>
      <c r="F206" s="17"/>
    </row>
    <row r="207">
      <c r="E207" s="17"/>
      <c r="F207" s="17"/>
    </row>
    <row r="208">
      <c r="E208" s="17"/>
      <c r="F208" s="17"/>
    </row>
    <row r="209">
      <c r="E209" s="17"/>
      <c r="F209" s="17"/>
    </row>
    <row r="210">
      <c r="E210" s="17"/>
      <c r="F210" s="17"/>
    </row>
    <row r="211">
      <c r="E211" s="17"/>
      <c r="F211" s="17"/>
    </row>
    <row r="212">
      <c r="E212" s="17"/>
      <c r="F212" s="17"/>
    </row>
    <row r="213">
      <c r="E213" s="17"/>
      <c r="F213" s="17"/>
    </row>
    <row r="214">
      <c r="E214" s="17"/>
      <c r="F214" s="17"/>
    </row>
    <row r="215">
      <c r="E215" s="17"/>
      <c r="F215" s="17"/>
    </row>
    <row r="216">
      <c r="E216" s="17"/>
      <c r="F216" s="17"/>
    </row>
    <row r="217">
      <c r="E217" s="17"/>
      <c r="F217" s="17"/>
    </row>
    <row r="218">
      <c r="E218" s="17"/>
      <c r="F218" s="17"/>
    </row>
    <row r="219">
      <c r="E219" s="17"/>
      <c r="F219" s="17"/>
    </row>
    <row r="220">
      <c r="E220" s="17"/>
      <c r="F220" s="17"/>
    </row>
    <row r="221">
      <c r="E221" s="17"/>
      <c r="F221" s="17"/>
    </row>
    <row r="222">
      <c r="E222" s="17"/>
      <c r="F222" s="17"/>
    </row>
    <row r="223">
      <c r="E223" s="17"/>
      <c r="F223" s="17"/>
    </row>
    <row r="224">
      <c r="E224" s="17"/>
      <c r="F224" s="17"/>
    </row>
    <row r="225">
      <c r="E225" s="17"/>
      <c r="F225" s="17"/>
    </row>
    <row r="226">
      <c r="E226" s="17"/>
      <c r="F226" s="17"/>
    </row>
    <row r="227">
      <c r="E227" s="17"/>
      <c r="F227" s="17"/>
    </row>
    <row r="228">
      <c r="E228" s="17"/>
      <c r="F228" s="17"/>
    </row>
    <row r="229">
      <c r="E229" s="17"/>
      <c r="F229" s="17"/>
    </row>
    <row r="230">
      <c r="E230" s="17"/>
      <c r="F230" s="17"/>
    </row>
    <row r="231">
      <c r="E231" s="17"/>
      <c r="F231" s="17"/>
    </row>
    <row r="232">
      <c r="E232" s="17"/>
      <c r="F232" s="17"/>
    </row>
    <row r="233">
      <c r="E233" s="17"/>
      <c r="F233" s="17"/>
    </row>
    <row r="234">
      <c r="E234" s="17"/>
      <c r="F234" s="17"/>
    </row>
    <row r="235">
      <c r="E235" s="17"/>
      <c r="F235" s="17"/>
    </row>
    <row r="236">
      <c r="E236" s="17"/>
      <c r="F236" s="17"/>
    </row>
    <row r="237">
      <c r="E237" s="17"/>
      <c r="F237" s="17"/>
    </row>
    <row r="238">
      <c r="E238" s="17"/>
      <c r="F238" s="17"/>
    </row>
    <row r="239">
      <c r="E239" s="17"/>
      <c r="F239" s="17"/>
    </row>
    <row r="240">
      <c r="E240" s="17"/>
      <c r="F240" s="17"/>
    </row>
    <row r="241">
      <c r="E241" s="17"/>
      <c r="F241" s="17"/>
    </row>
    <row r="242">
      <c r="E242" s="17"/>
      <c r="F242" s="17"/>
    </row>
    <row r="243">
      <c r="E243" s="17"/>
      <c r="F243" s="17"/>
    </row>
    <row r="244">
      <c r="E244" s="17"/>
      <c r="F244" s="17"/>
    </row>
    <row r="245">
      <c r="E245" s="17"/>
      <c r="F245" s="17"/>
    </row>
    <row r="246">
      <c r="E246" s="17"/>
      <c r="F246" s="17"/>
    </row>
    <row r="247">
      <c r="E247" s="17"/>
      <c r="F247" s="17"/>
    </row>
    <row r="248">
      <c r="E248" s="17"/>
      <c r="F248" s="17"/>
    </row>
    <row r="249">
      <c r="E249" s="17"/>
      <c r="F249" s="17"/>
    </row>
    <row r="250">
      <c r="E250" s="17"/>
      <c r="F250" s="17"/>
    </row>
    <row r="251">
      <c r="E251" s="17"/>
      <c r="F251" s="17"/>
    </row>
    <row r="252">
      <c r="E252" s="17"/>
      <c r="F252" s="17"/>
    </row>
    <row r="253">
      <c r="E253" s="17"/>
      <c r="F253" s="17"/>
    </row>
    <row r="254">
      <c r="E254" s="17"/>
      <c r="F254" s="17"/>
    </row>
    <row r="255">
      <c r="E255" s="17"/>
      <c r="F255" s="17"/>
    </row>
    <row r="256">
      <c r="E256" s="17"/>
      <c r="F256" s="17"/>
    </row>
    <row r="257">
      <c r="E257" s="17"/>
      <c r="F257" s="17"/>
    </row>
    <row r="258">
      <c r="E258" s="17"/>
      <c r="F258" s="17"/>
    </row>
    <row r="259">
      <c r="E259" s="17"/>
      <c r="F259" s="17"/>
    </row>
    <row r="260">
      <c r="E260" s="17"/>
      <c r="F260" s="17"/>
    </row>
    <row r="261">
      <c r="E261" s="17"/>
      <c r="F261" s="17"/>
    </row>
    <row r="262">
      <c r="E262" s="17"/>
      <c r="F262" s="17"/>
    </row>
    <row r="263">
      <c r="E263" s="17"/>
      <c r="F263" s="17"/>
    </row>
    <row r="264">
      <c r="E264" s="17"/>
      <c r="F264" s="17"/>
    </row>
    <row r="265">
      <c r="E265" s="17"/>
      <c r="F265" s="17"/>
    </row>
    <row r="266">
      <c r="E266" s="17"/>
      <c r="F266" s="17"/>
    </row>
    <row r="267">
      <c r="E267" s="17"/>
      <c r="F267" s="17"/>
    </row>
    <row r="268">
      <c r="E268" s="17"/>
      <c r="F268" s="17"/>
    </row>
    <row r="269">
      <c r="E269" s="17"/>
      <c r="F269" s="17"/>
    </row>
    <row r="270">
      <c r="E270" s="17"/>
      <c r="F270" s="17"/>
    </row>
    <row r="271">
      <c r="E271" s="17"/>
      <c r="F271" s="17"/>
    </row>
    <row r="272">
      <c r="E272" s="17"/>
      <c r="F272" s="17"/>
    </row>
    <row r="273">
      <c r="E273" s="17"/>
      <c r="F273" s="17"/>
    </row>
    <row r="274">
      <c r="E274" s="17"/>
      <c r="F274" s="17"/>
    </row>
    <row r="275">
      <c r="E275" s="17"/>
      <c r="F275" s="17"/>
    </row>
    <row r="276">
      <c r="E276" s="17"/>
      <c r="F276" s="17"/>
    </row>
    <row r="277">
      <c r="E277" s="17"/>
      <c r="F277" s="17"/>
    </row>
    <row r="278">
      <c r="E278" s="17"/>
      <c r="F278" s="17"/>
    </row>
    <row r="279">
      <c r="E279" s="17"/>
      <c r="F279" s="17"/>
    </row>
    <row r="280">
      <c r="E280" s="17"/>
      <c r="F280" s="17"/>
    </row>
    <row r="281">
      <c r="E281" s="17"/>
      <c r="F281" s="17"/>
    </row>
    <row r="282">
      <c r="E282" s="17"/>
      <c r="F282" s="17"/>
    </row>
    <row r="283">
      <c r="E283" s="17"/>
      <c r="F283" s="17"/>
    </row>
    <row r="284">
      <c r="E284" s="17"/>
      <c r="F284" s="17"/>
    </row>
    <row r="285">
      <c r="E285" s="17"/>
      <c r="F285" s="17"/>
    </row>
    <row r="286">
      <c r="E286" s="17"/>
      <c r="F286" s="17"/>
    </row>
    <row r="287">
      <c r="E287" s="17"/>
      <c r="F287" s="17"/>
    </row>
    <row r="288">
      <c r="E288" s="17"/>
      <c r="F288" s="17"/>
    </row>
    <row r="289">
      <c r="E289" s="17"/>
      <c r="F289" s="17"/>
    </row>
    <row r="290">
      <c r="E290" s="17"/>
      <c r="F290" s="17"/>
    </row>
    <row r="291">
      <c r="E291" s="17"/>
      <c r="F291" s="17"/>
    </row>
    <row r="292">
      <c r="E292" s="17"/>
      <c r="F292" s="17"/>
    </row>
    <row r="293">
      <c r="E293" s="17"/>
      <c r="F293" s="17"/>
    </row>
    <row r="294">
      <c r="E294" s="17"/>
      <c r="F294" s="17"/>
    </row>
    <row r="295">
      <c r="E295" s="17"/>
      <c r="F295" s="17"/>
    </row>
    <row r="296">
      <c r="E296" s="17"/>
      <c r="F296" s="17"/>
    </row>
    <row r="297">
      <c r="E297" s="17"/>
      <c r="F297" s="17"/>
    </row>
    <row r="298">
      <c r="E298" s="17"/>
      <c r="F298" s="17"/>
    </row>
    <row r="299">
      <c r="E299" s="17"/>
      <c r="F299" s="17"/>
    </row>
    <row r="300">
      <c r="E300" s="17"/>
      <c r="F300" s="17"/>
    </row>
    <row r="301">
      <c r="E301" s="17"/>
      <c r="F301" s="17"/>
    </row>
    <row r="302">
      <c r="E302" s="17"/>
      <c r="F302" s="17"/>
    </row>
    <row r="303">
      <c r="E303" s="17"/>
      <c r="F303" s="17"/>
    </row>
    <row r="304">
      <c r="E304" s="17"/>
      <c r="F304" s="17"/>
    </row>
    <row r="305">
      <c r="E305" s="17"/>
      <c r="F305" s="17"/>
    </row>
    <row r="306">
      <c r="E306" s="17"/>
      <c r="F306" s="17"/>
    </row>
    <row r="307">
      <c r="E307" s="17"/>
      <c r="F307" s="17"/>
    </row>
    <row r="308">
      <c r="E308" s="17"/>
      <c r="F308" s="17"/>
    </row>
    <row r="309">
      <c r="E309" s="17"/>
      <c r="F309" s="17"/>
    </row>
    <row r="310">
      <c r="E310" s="17"/>
      <c r="F310" s="17"/>
    </row>
    <row r="311">
      <c r="E311" s="17"/>
      <c r="F311" s="17"/>
    </row>
    <row r="312">
      <c r="E312" s="17"/>
      <c r="F312" s="17"/>
    </row>
    <row r="313">
      <c r="E313" s="17"/>
      <c r="F313" s="17"/>
    </row>
    <row r="314">
      <c r="E314" s="17"/>
      <c r="F314" s="17"/>
    </row>
    <row r="315">
      <c r="E315" s="17"/>
      <c r="F315" s="17"/>
    </row>
    <row r="316">
      <c r="E316" s="17"/>
      <c r="F316" s="17"/>
    </row>
    <row r="317">
      <c r="E317" s="17"/>
      <c r="F317" s="17"/>
    </row>
    <row r="318">
      <c r="E318" s="17"/>
      <c r="F318" s="17"/>
    </row>
    <row r="319">
      <c r="E319" s="17"/>
      <c r="F319" s="17"/>
    </row>
    <row r="320">
      <c r="E320" s="17"/>
      <c r="F320" s="17"/>
    </row>
    <row r="321">
      <c r="E321" s="17"/>
      <c r="F321" s="17"/>
    </row>
    <row r="322">
      <c r="E322" s="17"/>
      <c r="F322" s="17"/>
    </row>
    <row r="323">
      <c r="E323" s="17"/>
      <c r="F323" s="17"/>
    </row>
    <row r="324">
      <c r="E324" s="17"/>
      <c r="F324" s="17"/>
    </row>
    <row r="325">
      <c r="E325" s="17"/>
      <c r="F325" s="17"/>
    </row>
    <row r="326">
      <c r="E326" s="17"/>
      <c r="F326" s="17"/>
    </row>
    <row r="327">
      <c r="E327" s="17"/>
      <c r="F327" s="17"/>
    </row>
    <row r="328">
      <c r="E328" s="17"/>
      <c r="F328" s="17"/>
    </row>
    <row r="329">
      <c r="E329" s="17"/>
      <c r="F329" s="17"/>
    </row>
    <row r="330">
      <c r="E330" s="17"/>
      <c r="F330" s="17"/>
    </row>
    <row r="331">
      <c r="E331" s="17"/>
      <c r="F331" s="17"/>
    </row>
    <row r="332">
      <c r="E332" s="17"/>
      <c r="F332" s="17"/>
    </row>
    <row r="333">
      <c r="E333" s="17"/>
      <c r="F333" s="17"/>
    </row>
    <row r="334">
      <c r="E334" s="17"/>
      <c r="F334" s="17"/>
    </row>
    <row r="335">
      <c r="E335" s="17"/>
      <c r="F335" s="17"/>
    </row>
    <row r="336">
      <c r="E336" s="17"/>
      <c r="F336" s="17"/>
    </row>
    <row r="337">
      <c r="E337" s="17"/>
      <c r="F337" s="17"/>
    </row>
    <row r="338">
      <c r="E338" s="17"/>
      <c r="F338" s="17"/>
    </row>
    <row r="339">
      <c r="E339" s="17"/>
      <c r="F339" s="17"/>
    </row>
    <row r="340">
      <c r="E340" s="17"/>
      <c r="F340" s="17"/>
    </row>
    <row r="341">
      <c r="E341" s="17"/>
      <c r="F341" s="17"/>
    </row>
    <row r="342">
      <c r="E342" s="17"/>
      <c r="F342" s="17"/>
    </row>
    <row r="343">
      <c r="E343" s="17"/>
      <c r="F343" s="17"/>
    </row>
    <row r="344">
      <c r="E344" s="17"/>
      <c r="F344" s="17"/>
    </row>
    <row r="345">
      <c r="E345" s="17"/>
      <c r="F345" s="17"/>
    </row>
    <row r="346">
      <c r="E346" s="17"/>
      <c r="F346" s="17"/>
    </row>
    <row r="347">
      <c r="E347" s="17"/>
      <c r="F347" s="17"/>
    </row>
    <row r="348">
      <c r="E348" s="17"/>
      <c r="F348" s="17"/>
    </row>
    <row r="349">
      <c r="E349" s="17"/>
      <c r="F349" s="17"/>
    </row>
    <row r="350">
      <c r="E350" s="17"/>
      <c r="F350" s="17"/>
    </row>
    <row r="351">
      <c r="E351" s="17"/>
      <c r="F351" s="17"/>
    </row>
    <row r="352">
      <c r="E352" s="17"/>
      <c r="F352" s="17"/>
    </row>
    <row r="353">
      <c r="E353" s="17"/>
      <c r="F353" s="17"/>
    </row>
    <row r="354">
      <c r="E354" s="17"/>
      <c r="F354" s="17"/>
    </row>
    <row r="355">
      <c r="E355" s="17"/>
      <c r="F355" s="17"/>
    </row>
    <row r="356">
      <c r="E356" s="17"/>
      <c r="F356" s="17"/>
    </row>
    <row r="357">
      <c r="E357" s="17"/>
      <c r="F357" s="17"/>
    </row>
    <row r="358">
      <c r="E358" s="17"/>
      <c r="F358" s="17"/>
    </row>
    <row r="359">
      <c r="E359" s="17"/>
      <c r="F359" s="17"/>
    </row>
    <row r="360">
      <c r="E360" s="17"/>
      <c r="F360" s="17"/>
    </row>
    <row r="361">
      <c r="E361" s="17"/>
      <c r="F361" s="17"/>
    </row>
    <row r="362">
      <c r="E362" s="17"/>
      <c r="F362" s="17"/>
    </row>
    <row r="363">
      <c r="E363" s="17"/>
      <c r="F363" s="17"/>
    </row>
    <row r="364">
      <c r="E364" s="17"/>
      <c r="F364" s="17"/>
    </row>
    <row r="365">
      <c r="E365" s="17"/>
      <c r="F365" s="17"/>
    </row>
    <row r="366">
      <c r="E366" s="17"/>
      <c r="F366" s="17"/>
    </row>
    <row r="367">
      <c r="E367" s="17"/>
      <c r="F367" s="17"/>
    </row>
    <row r="368">
      <c r="E368" s="17"/>
      <c r="F368" s="17"/>
    </row>
    <row r="369">
      <c r="E369" s="17"/>
      <c r="F369" s="17"/>
    </row>
    <row r="370">
      <c r="E370" s="17"/>
      <c r="F370" s="17"/>
    </row>
    <row r="371">
      <c r="E371" s="17"/>
      <c r="F371" s="17"/>
    </row>
    <row r="372">
      <c r="E372" s="17"/>
      <c r="F372" s="17"/>
    </row>
    <row r="373">
      <c r="E373" s="17"/>
      <c r="F373" s="17"/>
    </row>
    <row r="374">
      <c r="E374" s="17"/>
      <c r="F374" s="17"/>
    </row>
    <row r="375">
      <c r="E375" s="17"/>
      <c r="F375" s="17"/>
    </row>
    <row r="376">
      <c r="E376" s="17"/>
      <c r="F376" s="17"/>
    </row>
    <row r="377">
      <c r="E377" s="17"/>
      <c r="F377" s="17"/>
    </row>
    <row r="378">
      <c r="E378" s="17"/>
      <c r="F378" s="17"/>
    </row>
    <row r="379">
      <c r="E379" s="17"/>
      <c r="F379" s="17"/>
    </row>
    <row r="380">
      <c r="E380" s="17"/>
      <c r="F380" s="17"/>
    </row>
    <row r="381">
      <c r="E381" s="17"/>
      <c r="F381" s="17"/>
    </row>
    <row r="382">
      <c r="E382" s="17"/>
      <c r="F382" s="17"/>
    </row>
    <row r="383">
      <c r="E383" s="17"/>
      <c r="F383" s="17"/>
    </row>
    <row r="384">
      <c r="E384" s="17"/>
      <c r="F384" s="17"/>
    </row>
    <row r="385">
      <c r="E385" s="17"/>
      <c r="F385" s="17"/>
    </row>
    <row r="386">
      <c r="E386" s="17"/>
      <c r="F386" s="17"/>
    </row>
    <row r="387">
      <c r="E387" s="17"/>
      <c r="F387" s="17"/>
    </row>
    <row r="388">
      <c r="E388" s="17"/>
      <c r="F388" s="17"/>
    </row>
    <row r="389">
      <c r="E389" s="17"/>
      <c r="F389" s="17"/>
    </row>
    <row r="390">
      <c r="E390" s="17"/>
      <c r="F390" s="17"/>
    </row>
    <row r="391">
      <c r="E391" s="17"/>
      <c r="F391" s="17"/>
    </row>
    <row r="392">
      <c r="E392" s="17"/>
      <c r="F392" s="17"/>
    </row>
    <row r="393">
      <c r="E393" s="17"/>
      <c r="F393" s="17"/>
    </row>
    <row r="394">
      <c r="E394" s="17"/>
      <c r="F394" s="17"/>
    </row>
    <row r="395">
      <c r="E395" s="17"/>
      <c r="F395" s="17"/>
    </row>
    <row r="396">
      <c r="E396" s="17"/>
      <c r="F396" s="17"/>
    </row>
    <row r="397">
      <c r="E397" s="17"/>
      <c r="F397" s="17"/>
    </row>
    <row r="398">
      <c r="E398" s="17"/>
      <c r="F398" s="17"/>
    </row>
    <row r="399">
      <c r="E399" s="17"/>
      <c r="F399" s="17"/>
    </row>
    <row r="400">
      <c r="E400" s="17"/>
      <c r="F400" s="17"/>
    </row>
    <row r="401">
      <c r="E401" s="17"/>
      <c r="F401" s="17"/>
    </row>
    <row r="402">
      <c r="E402" s="17"/>
      <c r="F402" s="17"/>
    </row>
    <row r="403">
      <c r="E403" s="17"/>
      <c r="F403" s="17"/>
    </row>
    <row r="404">
      <c r="E404" s="17"/>
      <c r="F404" s="17"/>
    </row>
    <row r="405">
      <c r="E405" s="17"/>
      <c r="F405" s="17"/>
    </row>
    <row r="406">
      <c r="E406" s="17"/>
      <c r="F406" s="17"/>
    </row>
    <row r="407">
      <c r="E407" s="17"/>
      <c r="F407" s="17"/>
    </row>
    <row r="408">
      <c r="E408" s="17"/>
      <c r="F408" s="17"/>
    </row>
    <row r="409">
      <c r="E409" s="17"/>
      <c r="F409" s="17"/>
    </row>
    <row r="410">
      <c r="E410" s="17"/>
      <c r="F410" s="17"/>
    </row>
    <row r="411">
      <c r="E411" s="17"/>
      <c r="F411" s="17"/>
    </row>
    <row r="412">
      <c r="E412" s="17"/>
      <c r="F412" s="17"/>
    </row>
    <row r="413">
      <c r="E413" s="17"/>
      <c r="F413" s="17"/>
    </row>
    <row r="414">
      <c r="E414" s="17"/>
      <c r="F414" s="17"/>
    </row>
    <row r="415">
      <c r="E415" s="17"/>
      <c r="F415" s="17"/>
    </row>
    <row r="416">
      <c r="E416" s="17"/>
      <c r="F416" s="17"/>
    </row>
    <row r="417">
      <c r="E417" s="17"/>
      <c r="F417" s="17"/>
    </row>
    <row r="418">
      <c r="E418" s="17"/>
      <c r="F418" s="17"/>
    </row>
    <row r="419">
      <c r="E419" s="17"/>
      <c r="F419" s="17"/>
    </row>
    <row r="420">
      <c r="E420" s="17"/>
      <c r="F420" s="17"/>
    </row>
    <row r="421">
      <c r="E421" s="17"/>
      <c r="F421" s="17"/>
    </row>
    <row r="422">
      <c r="E422" s="17"/>
      <c r="F422" s="17"/>
    </row>
    <row r="423">
      <c r="E423" s="17"/>
      <c r="F423" s="17"/>
    </row>
    <row r="424">
      <c r="E424" s="17"/>
      <c r="F424" s="17"/>
    </row>
    <row r="425">
      <c r="E425" s="17"/>
      <c r="F425" s="17"/>
    </row>
    <row r="426">
      <c r="E426" s="17"/>
      <c r="F426" s="17"/>
    </row>
    <row r="427">
      <c r="E427" s="17"/>
      <c r="F427" s="17"/>
    </row>
    <row r="428">
      <c r="E428" s="17"/>
      <c r="F428" s="17"/>
    </row>
    <row r="429">
      <c r="E429" s="17"/>
      <c r="F429" s="17"/>
    </row>
    <row r="430">
      <c r="E430" s="17"/>
      <c r="F430" s="17"/>
    </row>
    <row r="431">
      <c r="E431" s="17"/>
      <c r="F431" s="17"/>
    </row>
    <row r="432">
      <c r="E432" s="17"/>
      <c r="F432" s="17"/>
    </row>
    <row r="433">
      <c r="E433" s="17"/>
      <c r="F433" s="17"/>
    </row>
    <row r="434">
      <c r="E434" s="17"/>
      <c r="F434" s="17"/>
    </row>
    <row r="435">
      <c r="E435" s="17"/>
      <c r="F435" s="17"/>
    </row>
    <row r="436">
      <c r="E436" s="17"/>
      <c r="F436" s="17"/>
    </row>
    <row r="437">
      <c r="E437" s="17"/>
      <c r="F437" s="17"/>
    </row>
    <row r="438">
      <c r="E438" s="17"/>
      <c r="F438" s="17"/>
    </row>
    <row r="439">
      <c r="E439" s="17"/>
      <c r="F439" s="17"/>
    </row>
    <row r="440">
      <c r="E440" s="17"/>
      <c r="F440" s="17"/>
    </row>
    <row r="441">
      <c r="E441" s="17"/>
      <c r="F441" s="17"/>
    </row>
    <row r="442">
      <c r="E442" s="17"/>
      <c r="F442" s="17"/>
    </row>
    <row r="443">
      <c r="E443" s="17"/>
      <c r="F443" s="17"/>
    </row>
    <row r="444">
      <c r="E444" s="17"/>
      <c r="F444" s="17"/>
    </row>
    <row r="445">
      <c r="E445" s="17"/>
      <c r="F445" s="17"/>
    </row>
    <row r="446">
      <c r="E446" s="17"/>
      <c r="F446" s="17"/>
    </row>
    <row r="447">
      <c r="E447" s="17"/>
      <c r="F447" s="17"/>
    </row>
    <row r="448">
      <c r="E448" s="17"/>
      <c r="F448" s="17"/>
    </row>
    <row r="449">
      <c r="E449" s="17"/>
      <c r="F449" s="17"/>
    </row>
    <row r="450">
      <c r="E450" s="17"/>
      <c r="F450" s="17"/>
    </row>
    <row r="451">
      <c r="E451" s="17"/>
      <c r="F451" s="17"/>
    </row>
    <row r="452">
      <c r="E452" s="17"/>
      <c r="F452" s="17"/>
    </row>
    <row r="453">
      <c r="E453" s="17"/>
      <c r="F453" s="17"/>
    </row>
    <row r="454">
      <c r="E454" s="17"/>
      <c r="F454" s="17"/>
    </row>
    <row r="455">
      <c r="E455" s="17"/>
      <c r="F455" s="17"/>
    </row>
    <row r="456">
      <c r="E456" s="17"/>
      <c r="F456" s="17"/>
    </row>
    <row r="457">
      <c r="E457" s="17"/>
      <c r="F457" s="17"/>
    </row>
    <row r="458">
      <c r="E458" s="17"/>
      <c r="F458" s="17"/>
    </row>
    <row r="459">
      <c r="E459" s="17"/>
      <c r="F459" s="17"/>
    </row>
    <row r="460">
      <c r="E460" s="17"/>
      <c r="F460" s="17"/>
    </row>
    <row r="461">
      <c r="E461" s="17"/>
      <c r="F461" s="17"/>
    </row>
    <row r="462">
      <c r="E462" s="17"/>
      <c r="F462" s="17"/>
    </row>
    <row r="463">
      <c r="E463" s="17"/>
      <c r="F463" s="17"/>
    </row>
    <row r="464">
      <c r="E464" s="17"/>
      <c r="F464" s="17"/>
    </row>
    <row r="465">
      <c r="E465" s="17"/>
      <c r="F465" s="17"/>
    </row>
    <row r="466">
      <c r="E466" s="17"/>
      <c r="F466" s="17"/>
    </row>
    <row r="467">
      <c r="E467" s="17"/>
      <c r="F467" s="17"/>
    </row>
    <row r="468">
      <c r="E468" s="17"/>
      <c r="F468" s="17"/>
    </row>
    <row r="469">
      <c r="E469" s="17"/>
      <c r="F469" s="17"/>
    </row>
    <row r="470">
      <c r="E470" s="17"/>
      <c r="F470" s="17"/>
    </row>
    <row r="471">
      <c r="E471" s="17"/>
      <c r="F471" s="17"/>
    </row>
    <row r="472">
      <c r="E472" s="17"/>
      <c r="F472" s="17"/>
    </row>
    <row r="473">
      <c r="E473" s="17"/>
      <c r="F473" s="17"/>
    </row>
    <row r="474">
      <c r="E474" s="17"/>
      <c r="F474" s="17"/>
    </row>
    <row r="475">
      <c r="E475" s="17"/>
      <c r="F475" s="17"/>
    </row>
    <row r="476">
      <c r="E476" s="17"/>
      <c r="F476" s="17"/>
    </row>
    <row r="477">
      <c r="E477" s="17"/>
      <c r="F477" s="17"/>
    </row>
    <row r="478">
      <c r="E478" s="17"/>
      <c r="F478" s="17"/>
    </row>
    <row r="479">
      <c r="E479" s="17"/>
      <c r="F479" s="17"/>
    </row>
    <row r="480">
      <c r="E480" s="17"/>
      <c r="F480" s="17"/>
    </row>
    <row r="481">
      <c r="E481" s="17"/>
      <c r="F481" s="17"/>
    </row>
    <row r="482">
      <c r="E482" s="17"/>
      <c r="F482" s="17"/>
    </row>
    <row r="483">
      <c r="E483" s="17"/>
      <c r="F483" s="17"/>
    </row>
    <row r="484">
      <c r="E484" s="17"/>
      <c r="F484" s="17"/>
    </row>
    <row r="485">
      <c r="E485" s="17"/>
      <c r="F485" s="17"/>
    </row>
    <row r="486">
      <c r="E486" s="17"/>
      <c r="F486" s="17"/>
    </row>
    <row r="487">
      <c r="E487" s="17"/>
      <c r="F487" s="17"/>
    </row>
    <row r="488">
      <c r="E488" s="17"/>
      <c r="F488" s="17"/>
    </row>
    <row r="489">
      <c r="E489" s="17"/>
      <c r="F489" s="17"/>
    </row>
    <row r="490">
      <c r="E490" s="17"/>
      <c r="F490" s="17"/>
    </row>
    <row r="491">
      <c r="E491" s="17"/>
      <c r="F491" s="17"/>
    </row>
    <row r="492">
      <c r="E492" s="17"/>
      <c r="F492" s="17"/>
    </row>
    <row r="493">
      <c r="E493" s="17"/>
      <c r="F493" s="17"/>
    </row>
    <row r="494">
      <c r="E494" s="17"/>
      <c r="F494" s="17"/>
    </row>
    <row r="495">
      <c r="E495" s="17"/>
      <c r="F495" s="17"/>
    </row>
    <row r="496">
      <c r="E496" s="17"/>
      <c r="F496" s="17"/>
    </row>
    <row r="497">
      <c r="E497" s="17"/>
      <c r="F497" s="17"/>
    </row>
    <row r="498">
      <c r="E498" s="17"/>
      <c r="F498" s="17"/>
    </row>
    <row r="499">
      <c r="E499" s="17"/>
      <c r="F499" s="17"/>
    </row>
    <row r="500">
      <c r="E500" s="17"/>
      <c r="F500" s="17"/>
    </row>
    <row r="501">
      <c r="E501" s="17"/>
      <c r="F501" s="17"/>
    </row>
    <row r="502">
      <c r="E502" s="17"/>
      <c r="F502" s="17"/>
    </row>
    <row r="503">
      <c r="E503" s="17"/>
      <c r="F503" s="17"/>
    </row>
    <row r="504">
      <c r="E504" s="17"/>
      <c r="F504" s="17"/>
    </row>
    <row r="505">
      <c r="E505" s="17"/>
      <c r="F505" s="17"/>
    </row>
    <row r="506">
      <c r="E506" s="17"/>
      <c r="F506" s="17"/>
    </row>
    <row r="507">
      <c r="E507" s="17"/>
      <c r="F507" s="17"/>
    </row>
    <row r="508">
      <c r="E508" s="17"/>
      <c r="F508" s="17"/>
    </row>
    <row r="509">
      <c r="E509" s="17"/>
      <c r="F509" s="17"/>
    </row>
    <row r="510">
      <c r="E510" s="17"/>
      <c r="F510" s="17"/>
    </row>
    <row r="511">
      <c r="E511" s="17"/>
      <c r="F511" s="17"/>
    </row>
    <row r="512">
      <c r="E512" s="17"/>
      <c r="F512" s="17"/>
    </row>
    <row r="513">
      <c r="E513" s="17"/>
      <c r="F513" s="17"/>
    </row>
    <row r="514">
      <c r="E514" s="17"/>
      <c r="F514" s="17"/>
    </row>
    <row r="515">
      <c r="E515" s="17"/>
      <c r="F515" s="17"/>
    </row>
    <row r="516">
      <c r="E516" s="17"/>
      <c r="F516" s="17"/>
    </row>
    <row r="517">
      <c r="E517" s="17"/>
      <c r="F517" s="17"/>
    </row>
    <row r="518">
      <c r="E518" s="17"/>
      <c r="F518" s="17"/>
    </row>
    <row r="519">
      <c r="E519" s="17"/>
      <c r="F519" s="17"/>
    </row>
    <row r="520">
      <c r="E520" s="17"/>
      <c r="F520" s="17"/>
    </row>
    <row r="521">
      <c r="E521" s="17"/>
      <c r="F521" s="17"/>
    </row>
    <row r="522">
      <c r="E522" s="17"/>
      <c r="F522" s="17"/>
    </row>
    <row r="523">
      <c r="E523" s="17"/>
      <c r="F523" s="17"/>
    </row>
    <row r="524">
      <c r="E524" s="17"/>
      <c r="F524" s="17"/>
    </row>
    <row r="525">
      <c r="E525" s="17"/>
      <c r="F525" s="17"/>
    </row>
    <row r="526">
      <c r="E526" s="17"/>
      <c r="F526" s="17"/>
    </row>
    <row r="527">
      <c r="E527" s="17"/>
      <c r="F527" s="17"/>
    </row>
    <row r="528">
      <c r="E528" s="17"/>
      <c r="F528" s="17"/>
    </row>
    <row r="529">
      <c r="E529" s="17"/>
      <c r="F529" s="17"/>
    </row>
    <row r="530">
      <c r="E530" s="17"/>
      <c r="F530" s="17"/>
    </row>
    <row r="531">
      <c r="E531" s="17"/>
      <c r="F531" s="17"/>
    </row>
    <row r="532">
      <c r="E532" s="17"/>
      <c r="F532" s="17"/>
    </row>
    <row r="533">
      <c r="E533" s="17"/>
      <c r="F533" s="17"/>
    </row>
    <row r="534">
      <c r="E534" s="17"/>
      <c r="F534" s="17"/>
    </row>
    <row r="535">
      <c r="E535" s="17"/>
      <c r="F535" s="17"/>
    </row>
    <row r="536">
      <c r="E536" s="17"/>
      <c r="F536" s="17"/>
    </row>
    <row r="537">
      <c r="E537" s="17"/>
      <c r="F537" s="17"/>
    </row>
    <row r="538">
      <c r="E538" s="17"/>
      <c r="F538" s="17"/>
    </row>
    <row r="539">
      <c r="E539" s="17"/>
      <c r="F539" s="17"/>
    </row>
    <row r="540">
      <c r="E540" s="17"/>
      <c r="F540" s="17"/>
    </row>
    <row r="541">
      <c r="E541" s="17"/>
      <c r="F541" s="17"/>
    </row>
    <row r="542">
      <c r="E542" s="17"/>
      <c r="F542" s="17"/>
    </row>
    <row r="543">
      <c r="E543" s="17"/>
      <c r="F543" s="17"/>
    </row>
    <row r="544">
      <c r="E544" s="17"/>
      <c r="F544" s="17"/>
    </row>
    <row r="545">
      <c r="E545" s="17"/>
      <c r="F545" s="17"/>
    </row>
    <row r="546">
      <c r="E546" s="17"/>
      <c r="F546" s="17"/>
    </row>
    <row r="547">
      <c r="E547" s="17"/>
      <c r="F547" s="17"/>
    </row>
    <row r="548">
      <c r="E548" s="17"/>
      <c r="F548" s="17"/>
    </row>
    <row r="549">
      <c r="E549" s="17"/>
      <c r="F549" s="17"/>
    </row>
    <row r="550">
      <c r="E550" s="17"/>
      <c r="F550" s="17"/>
    </row>
    <row r="551">
      <c r="E551" s="17"/>
      <c r="F551" s="17"/>
    </row>
    <row r="552">
      <c r="E552" s="17"/>
      <c r="F552" s="17"/>
    </row>
    <row r="553">
      <c r="E553" s="17"/>
      <c r="F553" s="17"/>
    </row>
    <row r="554">
      <c r="E554" s="17"/>
      <c r="F554" s="17"/>
    </row>
    <row r="555">
      <c r="E555" s="17"/>
      <c r="F555" s="17"/>
    </row>
    <row r="556">
      <c r="E556" s="17"/>
      <c r="F556" s="17"/>
    </row>
    <row r="557">
      <c r="E557" s="17"/>
      <c r="F557" s="17"/>
    </row>
    <row r="558">
      <c r="E558" s="17"/>
      <c r="F558" s="17"/>
    </row>
    <row r="559">
      <c r="E559" s="17"/>
      <c r="F559" s="17"/>
    </row>
    <row r="560">
      <c r="E560" s="17"/>
      <c r="F560" s="17"/>
    </row>
    <row r="561">
      <c r="E561" s="17"/>
      <c r="F561" s="17"/>
    </row>
    <row r="562">
      <c r="E562" s="17"/>
      <c r="F562" s="17"/>
    </row>
    <row r="563">
      <c r="E563" s="17"/>
      <c r="F563" s="17"/>
    </row>
    <row r="564">
      <c r="E564" s="17"/>
      <c r="F564" s="17"/>
    </row>
    <row r="565">
      <c r="E565" s="17"/>
      <c r="F565" s="17"/>
    </row>
    <row r="566">
      <c r="E566" s="17"/>
      <c r="F566" s="17"/>
    </row>
    <row r="567">
      <c r="E567" s="17"/>
      <c r="F567" s="17"/>
    </row>
    <row r="568">
      <c r="E568" s="17"/>
      <c r="F568" s="17"/>
    </row>
    <row r="569">
      <c r="E569" s="17"/>
      <c r="F569" s="17"/>
    </row>
    <row r="570">
      <c r="E570" s="17"/>
      <c r="F570" s="17"/>
    </row>
    <row r="571">
      <c r="E571" s="17"/>
      <c r="F571" s="17"/>
    </row>
    <row r="572">
      <c r="E572" s="17"/>
      <c r="F572" s="17"/>
    </row>
    <row r="573">
      <c r="E573" s="17"/>
      <c r="F573" s="17"/>
    </row>
    <row r="574">
      <c r="E574" s="17"/>
      <c r="F574" s="17"/>
    </row>
    <row r="575">
      <c r="E575" s="17"/>
      <c r="F575" s="17"/>
    </row>
    <row r="576">
      <c r="E576" s="17"/>
      <c r="F576" s="17"/>
    </row>
    <row r="577">
      <c r="E577" s="17"/>
      <c r="F577" s="17"/>
    </row>
    <row r="578">
      <c r="E578" s="17"/>
      <c r="F578" s="17"/>
    </row>
    <row r="579">
      <c r="E579" s="17"/>
      <c r="F579" s="17"/>
    </row>
    <row r="580">
      <c r="E580" s="17"/>
      <c r="F580" s="17"/>
    </row>
    <row r="581">
      <c r="E581" s="17"/>
      <c r="F581" s="17"/>
    </row>
    <row r="582">
      <c r="E582" s="17"/>
      <c r="F582" s="17"/>
    </row>
    <row r="583">
      <c r="E583" s="17"/>
      <c r="F583" s="17"/>
    </row>
    <row r="584">
      <c r="E584" s="17"/>
      <c r="F584" s="17"/>
    </row>
    <row r="585">
      <c r="E585" s="17"/>
      <c r="F585" s="17"/>
    </row>
    <row r="586">
      <c r="E586" s="17"/>
      <c r="F586" s="17"/>
    </row>
    <row r="587">
      <c r="E587" s="17"/>
      <c r="F587" s="17"/>
    </row>
    <row r="588">
      <c r="E588" s="17"/>
      <c r="F588" s="17"/>
    </row>
    <row r="589">
      <c r="E589" s="17"/>
      <c r="F589" s="17"/>
    </row>
    <row r="590">
      <c r="E590" s="17"/>
      <c r="F590" s="17"/>
    </row>
    <row r="591">
      <c r="E591" s="17"/>
      <c r="F591" s="17"/>
    </row>
    <row r="592">
      <c r="E592" s="17"/>
      <c r="F592" s="17"/>
    </row>
    <row r="593">
      <c r="E593" s="17"/>
      <c r="F593" s="17"/>
    </row>
    <row r="594">
      <c r="E594" s="17"/>
      <c r="F594" s="17"/>
    </row>
    <row r="595">
      <c r="E595" s="17"/>
      <c r="F595" s="17"/>
    </row>
    <row r="596">
      <c r="E596" s="17"/>
      <c r="F596" s="17"/>
    </row>
    <row r="597">
      <c r="E597" s="17"/>
      <c r="F597" s="17"/>
    </row>
    <row r="598">
      <c r="E598" s="17"/>
      <c r="F598" s="17"/>
    </row>
    <row r="599">
      <c r="E599" s="17"/>
      <c r="F599" s="17"/>
    </row>
    <row r="600">
      <c r="E600" s="17"/>
      <c r="F600" s="17"/>
    </row>
    <row r="601">
      <c r="E601" s="17"/>
      <c r="F601" s="17"/>
    </row>
    <row r="602">
      <c r="E602" s="17"/>
      <c r="F602" s="17"/>
    </row>
    <row r="603">
      <c r="E603" s="17"/>
      <c r="F603" s="17"/>
    </row>
    <row r="604">
      <c r="E604" s="17"/>
      <c r="F604" s="17"/>
    </row>
    <row r="605">
      <c r="E605" s="17"/>
      <c r="F605" s="17"/>
    </row>
    <row r="606">
      <c r="E606" s="17"/>
      <c r="F606" s="17"/>
    </row>
    <row r="607">
      <c r="E607" s="17"/>
      <c r="F607" s="17"/>
    </row>
    <row r="608">
      <c r="E608" s="17"/>
      <c r="F608" s="17"/>
    </row>
    <row r="609">
      <c r="E609" s="17"/>
      <c r="F609" s="17"/>
    </row>
    <row r="610">
      <c r="E610" s="17"/>
      <c r="F610" s="17"/>
    </row>
    <row r="611">
      <c r="E611" s="17"/>
      <c r="F611" s="17"/>
    </row>
    <row r="612">
      <c r="E612" s="17"/>
      <c r="F612" s="17"/>
    </row>
    <row r="613">
      <c r="E613" s="17"/>
      <c r="F613" s="17"/>
    </row>
    <row r="614">
      <c r="E614" s="17"/>
      <c r="F614" s="17"/>
    </row>
    <row r="615">
      <c r="E615" s="17"/>
      <c r="F615" s="17"/>
    </row>
    <row r="616">
      <c r="E616" s="17"/>
      <c r="F616" s="17"/>
    </row>
    <row r="617">
      <c r="E617" s="17"/>
      <c r="F617" s="17"/>
    </row>
    <row r="618">
      <c r="E618" s="17"/>
      <c r="F618" s="17"/>
    </row>
    <row r="619">
      <c r="E619" s="17"/>
      <c r="F619" s="17"/>
    </row>
    <row r="620">
      <c r="E620" s="17"/>
      <c r="F620" s="17"/>
    </row>
    <row r="621">
      <c r="E621" s="17"/>
      <c r="F621" s="17"/>
    </row>
    <row r="622">
      <c r="E622" s="17"/>
      <c r="F622" s="17"/>
    </row>
    <row r="623">
      <c r="E623" s="17"/>
      <c r="F623" s="17"/>
    </row>
    <row r="624">
      <c r="E624" s="17"/>
      <c r="F624" s="17"/>
    </row>
    <row r="625">
      <c r="E625" s="17"/>
      <c r="F625" s="17"/>
    </row>
    <row r="626">
      <c r="E626" s="17"/>
      <c r="F626" s="17"/>
    </row>
    <row r="627">
      <c r="E627" s="17"/>
      <c r="F627" s="17"/>
    </row>
    <row r="628">
      <c r="E628" s="17"/>
      <c r="F628" s="17"/>
    </row>
    <row r="629">
      <c r="E629" s="17"/>
      <c r="F629" s="17"/>
    </row>
    <row r="630">
      <c r="E630" s="17"/>
      <c r="F630" s="17"/>
    </row>
    <row r="631">
      <c r="E631" s="17"/>
      <c r="F631" s="17"/>
    </row>
    <row r="632">
      <c r="E632" s="17"/>
      <c r="F632" s="17"/>
    </row>
    <row r="633">
      <c r="E633" s="17"/>
      <c r="F633" s="17"/>
    </row>
    <row r="634">
      <c r="E634" s="17"/>
      <c r="F634" s="17"/>
    </row>
    <row r="635">
      <c r="E635" s="17"/>
      <c r="F635" s="17"/>
    </row>
    <row r="636">
      <c r="E636" s="17"/>
      <c r="F636" s="17"/>
    </row>
    <row r="637">
      <c r="E637" s="17"/>
      <c r="F637" s="17"/>
    </row>
    <row r="638">
      <c r="E638" s="17"/>
      <c r="F638" s="17"/>
    </row>
    <row r="639">
      <c r="E639" s="17"/>
      <c r="F639" s="17"/>
    </row>
    <row r="640">
      <c r="E640" s="17"/>
      <c r="F640" s="17"/>
    </row>
    <row r="641">
      <c r="E641" s="17"/>
      <c r="F641" s="17"/>
    </row>
    <row r="642">
      <c r="E642" s="17"/>
      <c r="F642" s="17"/>
    </row>
    <row r="643">
      <c r="E643" s="17"/>
      <c r="F643" s="17"/>
    </row>
    <row r="644">
      <c r="E644" s="17"/>
      <c r="F644" s="17"/>
    </row>
    <row r="645">
      <c r="E645" s="17"/>
      <c r="F645" s="17"/>
    </row>
    <row r="646">
      <c r="E646" s="17"/>
      <c r="F646" s="17"/>
    </row>
    <row r="647">
      <c r="E647" s="17"/>
      <c r="F647" s="17"/>
    </row>
    <row r="648">
      <c r="E648" s="17"/>
      <c r="F648" s="17"/>
    </row>
    <row r="649">
      <c r="E649" s="17"/>
      <c r="F649" s="17"/>
    </row>
    <row r="650">
      <c r="E650" s="17"/>
      <c r="F650" s="17"/>
    </row>
    <row r="651">
      <c r="E651" s="17"/>
      <c r="F651" s="17"/>
    </row>
    <row r="652">
      <c r="E652" s="17"/>
      <c r="F652" s="17"/>
    </row>
    <row r="653">
      <c r="E653" s="17"/>
      <c r="F653" s="17"/>
    </row>
    <row r="654">
      <c r="E654" s="17"/>
      <c r="F654" s="17"/>
    </row>
    <row r="655">
      <c r="E655" s="17"/>
      <c r="F655" s="17"/>
    </row>
    <row r="656">
      <c r="E656" s="17"/>
      <c r="F656" s="17"/>
    </row>
    <row r="657">
      <c r="E657" s="17"/>
      <c r="F657" s="17"/>
    </row>
    <row r="658">
      <c r="E658" s="17"/>
      <c r="F658" s="17"/>
    </row>
    <row r="659">
      <c r="E659" s="17"/>
      <c r="F659" s="17"/>
    </row>
    <row r="660">
      <c r="E660" s="17"/>
      <c r="F660" s="17"/>
    </row>
    <row r="661">
      <c r="E661" s="17"/>
      <c r="F661" s="17"/>
    </row>
    <row r="662">
      <c r="E662" s="17"/>
      <c r="F662" s="17"/>
    </row>
    <row r="663">
      <c r="E663" s="17"/>
      <c r="F663" s="17"/>
    </row>
    <row r="664">
      <c r="E664" s="17"/>
      <c r="F664" s="17"/>
    </row>
    <row r="665">
      <c r="E665" s="17"/>
      <c r="F665" s="17"/>
    </row>
    <row r="666">
      <c r="E666" s="17"/>
      <c r="F666" s="17"/>
    </row>
    <row r="667">
      <c r="E667" s="17"/>
      <c r="F667" s="17"/>
    </row>
    <row r="668">
      <c r="E668" s="17"/>
      <c r="F668" s="17"/>
    </row>
    <row r="669">
      <c r="E669" s="17"/>
      <c r="F669" s="17"/>
    </row>
    <row r="670">
      <c r="E670" s="17"/>
      <c r="F670" s="17"/>
    </row>
    <row r="671">
      <c r="E671" s="17"/>
      <c r="F671" s="17"/>
    </row>
    <row r="672">
      <c r="E672" s="17"/>
      <c r="F672" s="17"/>
    </row>
    <row r="673">
      <c r="E673" s="17"/>
      <c r="F673" s="17"/>
    </row>
    <row r="674">
      <c r="E674" s="17"/>
      <c r="F674" s="17"/>
    </row>
    <row r="675">
      <c r="E675" s="17"/>
      <c r="F675" s="17"/>
    </row>
    <row r="676">
      <c r="E676" s="17"/>
      <c r="F676" s="17"/>
    </row>
    <row r="677">
      <c r="E677" s="17"/>
      <c r="F677" s="17"/>
    </row>
    <row r="678">
      <c r="E678" s="17"/>
      <c r="F678" s="17"/>
    </row>
    <row r="679">
      <c r="E679" s="17"/>
      <c r="F679" s="17"/>
    </row>
    <row r="680">
      <c r="E680" s="17"/>
      <c r="F680" s="17"/>
    </row>
    <row r="681">
      <c r="E681" s="17"/>
      <c r="F681" s="17"/>
    </row>
    <row r="682">
      <c r="E682" s="17"/>
      <c r="F682" s="17"/>
    </row>
    <row r="683">
      <c r="E683" s="17"/>
      <c r="F683" s="17"/>
    </row>
    <row r="684">
      <c r="E684" s="17"/>
      <c r="F684" s="17"/>
    </row>
    <row r="685">
      <c r="E685" s="17"/>
      <c r="F685" s="17"/>
    </row>
    <row r="686">
      <c r="E686" s="17"/>
      <c r="F686" s="17"/>
    </row>
    <row r="687">
      <c r="E687" s="17"/>
      <c r="F687" s="17"/>
    </row>
    <row r="688">
      <c r="E688" s="17"/>
      <c r="F688" s="17"/>
    </row>
    <row r="689">
      <c r="E689" s="17"/>
      <c r="F689" s="17"/>
    </row>
    <row r="690">
      <c r="E690" s="17"/>
      <c r="F690" s="17"/>
    </row>
    <row r="691">
      <c r="E691" s="17"/>
      <c r="F691" s="17"/>
    </row>
    <row r="692">
      <c r="E692" s="17"/>
      <c r="F692" s="17"/>
    </row>
    <row r="693">
      <c r="E693" s="17"/>
      <c r="F693" s="17"/>
    </row>
    <row r="694">
      <c r="E694" s="17"/>
      <c r="F694" s="17"/>
    </row>
    <row r="695">
      <c r="E695" s="17"/>
      <c r="F695" s="17"/>
    </row>
    <row r="696">
      <c r="E696" s="17"/>
      <c r="F696" s="17"/>
    </row>
    <row r="697">
      <c r="E697" s="17"/>
      <c r="F697" s="17"/>
    </row>
    <row r="698">
      <c r="E698" s="17"/>
      <c r="F698" s="17"/>
    </row>
    <row r="699">
      <c r="E699" s="17"/>
      <c r="F699" s="17"/>
    </row>
    <row r="700">
      <c r="E700" s="17"/>
      <c r="F700" s="17"/>
    </row>
    <row r="701">
      <c r="E701" s="17"/>
      <c r="F701" s="17"/>
    </row>
    <row r="702">
      <c r="E702" s="17"/>
      <c r="F702" s="17"/>
    </row>
    <row r="703">
      <c r="E703" s="17"/>
      <c r="F703" s="17"/>
    </row>
    <row r="704">
      <c r="E704" s="17"/>
      <c r="F704" s="17"/>
    </row>
    <row r="705">
      <c r="E705" s="17"/>
      <c r="F705" s="17"/>
    </row>
    <row r="706">
      <c r="E706" s="17"/>
      <c r="F706" s="17"/>
    </row>
    <row r="707">
      <c r="E707" s="17"/>
      <c r="F707" s="17"/>
    </row>
    <row r="708">
      <c r="E708" s="17"/>
      <c r="F708" s="17"/>
    </row>
    <row r="709">
      <c r="E709" s="17"/>
      <c r="F709" s="17"/>
    </row>
    <row r="710">
      <c r="E710" s="17"/>
      <c r="F710" s="17"/>
    </row>
    <row r="711">
      <c r="E711" s="17"/>
      <c r="F711" s="17"/>
    </row>
    <row r="712">
      <c r="E712" s="17"/>
      <c r="F712" s="17"/>
    </row>
    <row r="713">
      <c r="E713" s="17"/>
      <c r="F713" s="17"/>
    </row>
    <row r="714">
      <c r="E714" s="17"/>
      <c r="F714" s="17"/>
    </row>
    <row r="715">
      <c r="E715" s="17"/>
      <c r="F715" s="17"/>
    </row>
    <row r="716">
      <c r="E716" s="17"/>
      <c r="F716" s="17"/>
    </row>
    <row r="717">
      <c r="E717" s="17"/>
      <c r="F717" s="17"/>
    </row>
    <row r="718">
      <c r="E718" s="17"/>
      <c r="F718" s="17"/>
    </row>
    <row r="719">
      <c r="E719" s="17"/>
      <c r="F719" s="17"/>
    </row>
    <row r="720">
      <c r="E720" s="17"/>
      <c r="F720" s="17"/>
    </row>
    <row r="721">
      <c r="E721" s="17"/>
      <c r="F721" s="17"/>
    </row>
    <row r="722">
      <c r="E722" s="17"/>
      <c r="F722" s="17"/>
    </row>
    <row r="723">
      <c r="E723" s="17"/>
      <c r="F723" s="17"/>
    </row>
    <row r="724">
      <c r="E724" s="17"/>
      <c r="F724" s="17"/>
    </row>
    <row r="725">
      <c r="E725" s="17"/>
      <c r="F725" s="17"/>
    </row>
    <row r="726">
      <c r="E726" s="17"/>
      <c r="F726" s="17"/>
    </row>
    <row r="727">
      <c r="E727" s="17"/>
      <c r="F727" s="17"/>
    </row>
    <row r="728">
      <c r="E728" s="17"/>
      <c r="F728" s="17"/>
    </row>
    <row r="729">
      <c r="E729" s="17"/>
      <c r="F729" s="17"/>
    </row>
    <row r="730">
      <c r="E730" s="17"/>
      <c r="F730" s="17"/>
    </row>
    <row r="731">
      <c r="E731" s="17"/>
      <c r="F731" s="17"/>
    </row>
    <row r="732">
      <c r="E732" s="17"/>
      <c r="F732" s="17"/>
    </row>
    <row r="733">
      <c r="E733" s="17"/>
      <c r="F733" s="17"/>
    </row>
    <row r="734">
      <c r="E734" s="17"/>
      <c r="F734" s="17"/>
    </row>
    <row r="735">
      <c r="E735" s="17"/>
      <c r="F735" s="17"/>
    </row>
    <row r="736">
      <c r="E736" s="17"/>
      <c r="F736" s="17"/>
    </row>
    <row r="737">
      <c r="E737" s="17"/>
      <c r="F737" s="17"/>
    </row>
    <row r="738">
      <c r="E738" s="17"/>
      <c r="F738" s="17"/>
    </row>
    <row r="739">
      <c r="E739" s="17"/>
      <c r="F739" s="17"/>
    </row>
    <row r="740">
      <c r="E740" s="17"/>
      <c r="F740" s="17"/>
    </row>
    <row r="741">
      <c r="E741" s="17"/>
      <c r="F741" s="17"/>
    </row>
    <row r="742">
      <c r="E742" s="17"/>
      <c r="F742" s="17"/>
    </row>
    <row r="743">
      <c r="E743" s="17"/>
      <c r="F743" s="17"/>
    </row>
    <row r="744">
      <c r="E744" s="17"/>
      <c r="F744" s="17"/>
    </row>
    <row r="745">
      <c r="E745" s="17"/>
      <c r="F745" s="17"/>
    </row>
    <row r="746">
      <c r="E746" s="17"/>
      <c r="F746" s="17"/>
    </row>
    <row r="747">
      <c r="E747" s="17"/>
      <c r="F747" s="17"/>
    </row>
    <row r="748">
      <c r="E748" s="17"/>
      <c r="F748" s="17"/>
    </row>
    <row r="749">
      <c r="E749" s="17"/>
      <c r="F749" s="17"/>
    </row>
    <row r="750">
      <c r="E750" s="17"/>
      <c r="F750" s="17"/>
    </row>
    <row r="751">
      <c r="E751" s="17"/>
      <c r="F751" s="17"/>
    </row>
    <row r="752">
      <c r="E752" s="17"/>
      <c r="F752" s="17"/>
    </row>
    <row r="753">
      <c r="E753" s="17"/>
      <c r="F753" s="17"/>
    </row>
    <row r="754">
      <c r="E754" s="17"/>
      <c r="F754" s="17"/>
    </row>
    <row r="755">
      <c r="E755" s="17"/>
      <c r="F755" s="17"/>
    </row>
    <row r="756">
      <c r="E756" s="17"/>
      <c r="F756" s="17"/>
    </row>
    <row r="757">
      <c r="E757" s="17"/>
      <c r="F757" s="17"/>
    </row>
    <row r="758">
      <c r="E758" s="17"/>
      <c r="F758" s="17"/>
    </row>
    <row r="759">
      <c r="E759" s="17"/>
      <c r="F759" s="17"/>
    </row>
    <row r="760">
      <c r="E760" s="17"/>
      <c r="F760" s="17"/>
    </row>
    <row r="761">
      <c r="E761" s="17"/>
      <c r="F761" s="17"/>
    </row>
    <row r="762">
      <c r="E762" s="17"/>
      <c r="F762" s="17"/>
    </row>
    <row r="763">
      <c r="E763" s="17"/>
      <c r="F763" s="17"/>
    </row>
    <row r="764">
      <c r="E764" s="17"/>
      <c r="F764" s="17"/>
    </row>
    <row r="765">
      <c r="E765" s="17"/>
      <c r="F765" s="17"/>
    </row>
    <row r="766">
      <c r="E766" s="17"/>
      <c r="F766" s="17"/>
    </row>
    <row r="767">
      <c r="E767" s="17"/>
      <c r="F767" s="17"/>
    </row>
    <row r="768">
      <c r="E768" s="17"/>
      <c r="F768" s="17"/>
    </row>
    <row r="769">
      <c r="E769" s="17"/>
      <c r="F769" s="17"/>
    </row>
    <row r="770">
      <c r="E770" s="17"/>
      <c r="F770" s="17"/>
    </row>
    <row r="771">
      <c r="E771" s="17"/>
      <c r="F771" s="17"/>
    </row>
    <row r="772">
      <c r="E772" s="17"/>
      <c r="F772" s="17"/>
    </row>
    <row r="773">
      <c r="E773" s="17"/>
      <c r="F773" s="17"/>
    </row>
    <row r="774">
      <c r="E774" s="17"/>
      <c r="F774" s="17"/>
    </row>
    <row r="775">
      <c r="E775" s="17"/>
      <c r="F775" s="17"/>
    </row>
    <row r="776">
      <c r="E776" s="17"/>
      <c r="F776" s="17"/>
    </row>
    <row r="777">
      <c r="E777" s="17"/>
      <c r="F777" s="17"/>
    </row>
    <row r="778">
      <c r="E778" s="17"/>
      <c r="F778" s="17"/>
    </row>
    <row r="779">
      <c r="E779" s="17"/>
      <c r="F779" s="17"/>
    </row>
    <row r="780">
      <c r="E780" s="17"/>
      <c r="F780" s="17"/>
    </row>
    <row r="781">
      <c r="E781" s="17"/>
      <c r="F781" s="17"/>
    </row>
    <row r="782">
      <c r="E782" s="17"/>
      <c r="F782" s="17"/>
    </row>
    <row r="783">
      <c r="E783" s="17"/>
      <c r="F783" s="17"/>
    </row>
    <row r="784">
      <c r="E784" s="17"/>
      <c r="F784" s="17"/>
    </row>
    <row r="785">
      <c r="E785" s="17"/>
      <c r="F785" s="17"/>
    </row>
    <row r="786">
      <c r="E786" s="17"/>
      <c r="F786" s="17"/>
    </row>
    <row r="787">
      <c r="E787" s="17"/>
      <c r="F787" s="17"/>
    </row>
    <row r="788">
      <c r="E788" s="17"/>
      <c r="F788" s="17"/>
    </row>
    <row r="789">
      <c r="E789" s="17"/>
      <c r="F789" s="17"/>
    </row>
    <row r="790">
      <c r="E790" s="17"/>
      <c r="F790" s="17"/>
    </row>
    <row r="791">
      <c r="E791" s="17"/>
      <c r="F791" s="17"/>
    </row>
    <row r="792">
      <c r="E792" s="17"/>
      <c r="F792" s="17"/>
    </row>
    <row r="793">
      <c r="E793" s="17"/>
      <c r="F793" s="17"/>
    </row>
    <row r="794">
      <c r="E794" s="17"/>
      <c r="F794" s="17"/>
    </row>
    <row r="795">
      <c r="E795" s="17"/>
      <c r="F795" s="17"/>
    </row>
    <row r="796">
      <c r="E796" s="17"/>
      <c r="F796" s="17"/>
    </row>
    <row r="797">
      <c r="E797" s="17"/>
      <c r="F797" s="17"/>
    </row>
    <row r="798">
      <c r="E798" s="17"/>
      <c r="F798" s="17"/>
    </row>
    <row r="799">
      <c r="E799" s="17"/>
      <c r="F799" s="17"/>
    </row>
    <row r="800">
      <c r="E800" s="17"/>
      <c r="F800" s="17"/>
    </row>
    <row r="801">
      <c r="E801" s="17"/>
      <c r="F801" s="17"/>
    </row>
    <row r="802">
      <c r="E802" s="17"/>
      <c r="F802" s="17"/>
    </row>
    <row r="803">
      <c r="E803" s="17"/>
      <c r="F803" s="17"/>
    </row>
    <row r="804">
      <c r="E804" s="17"/>
      <c r="F804" s="17"/>
    </row>
    <row r="805">
      <c r="E805" s="17"/>
      <c r="F805" s="17"/>
    </row>
    <row r="806">
      <c r="E806" s="17"/>
      <c r="F806" s="17"/>
    </row>
    <row r="807">
      <c r="E807" s="17"/>
      <c r="F807" s="17"/>
    </row>
    <row r="808">
      <c r="E808" s="17"/>
      <c r="F808" s="17"/>
    </row>
    <row r="809">
      <c r="E809" s="17"/>
      <c r="F809" s="17"/>
    </row>
    <row r="810">
      <c r="E810" s="17"/>
      <c r="F810" s="17"/>
    </row>
    <row r="811">
      <c r="E811" s="17"/>
      <c r="F811" s="17"/>
    </row>
    <row r="812">
      <c r="E812" s="17"/>
      <c r="F812" s="17"/>
    </row>
    <row r="813">
      <c r="E813" s="17"/>
      <c r="F813" s="17"/>
    </row>
    <row r="814">
      <c r="E814" s="17"/>
      <c r="F814" s="17"/>
    </row>
    <row r="815">
      <c r="E815" s="17"/>
      <c r="F815" s="17"/>
    </row>
    <row r="816">
      <c r="E816" s="17"/>
      <c r="F816" s="17"/>
    </row>
    <row r="817">
      <c r="E817" s="17"/>
      <c r="F817" s="17"/>
    </row>
    <row r="818">
      <c r="E818" s="17"/>
      <c r="F818" s="17"/>
    </row>
    <row r="819">
      <c r="E819" s="17"/>
      <c r="F819" s="17"/>
    </row>
    <row r="820">
      <c r="E820" s="17"/>
      <c r="F820" s="17"/>
    </row>
    <row r="821">
      <c r="E821" s="17"/>
      <c r="F821" s="17"/>
    </row>
    <row r="822">
      <c r="E822" s="17"/>
      <c r="F822" s="17"/>
    </row>
    <row r="823">
      <c r="E823" s="17"/>
      <c r="F823" s="17"/>
    </row>
    <row r="824">
      <c r="E824" s="17"/>
      <c r="F824" s="17"/>
    </row>
    <row r="825">
      <c r="E825" s="17"/>
      <c r="F825" s="17"/>
    </row>
    <row r="826">
      <c r="E826" s="17"/>
      <c r="F826" s="17"/>
    </row>
    <row r="827">
      <c r="E827" s="17"/>
      <c r="F827" s="17"/>
    </row>
    <row r="828">
      <c r="E828" s="17"/>
      <c r="F828" s="17"/>
    </row>
    <row r="829">
      <c r="E829" s="17"/>
      <c r="F829" s="17"/>
    </row>
    <row r="830">
      <c r="E830" s="17"/>
      <c r="F830" s="17"/>
    </row>
    <row r="831">
      <c r="E831" s="17"/>
      <c r="F831" s="17"/>
    </row>
    <row r="832">
      <c r="E832" s="17"/>
      <c r="F832" s="17"/>
    </row>
    <row r="833">
      <c r="E833" s="17"/>
      <c r="F833" s="17"/>
    </row>
    <row r="834">
      <c r="E834" s="17"/>
      <c r="F834" s="17"/>
    </row>
    <row r="835">
      <c r="E835" s="17"/>
      <c r="F835" s="17"/>
    </row>
    <row r="836">
      <c r="E836" s="17"/>
      <c r="F836" s="17"/>
    </row>
    <row r="837">
      <c r="E837" s="17"/>
      <c r="F837" s="17"/>
    </row>
    <row r="838">
      <c r="E838" s="17"/>
      <c r="F838" s="17"/>
    </row>
    <row r="839">
      <c r="E839" s="17"/>
      <c r="F839" s="17"/>
    </row>
    <row r="840">
      <c r="E840" s="17"/>
      <c r="F840" s="17"/>
    </row>
    <row r="841">
      <c r="E841" s="17"/>
      <c r="F841" s="17"/>
    </row>
    <row r="842">
      <c r="E842" s="17"/>
      <c r="F842" s="17"/>
    </row>
    <row r="843">
      <c r="E843" s="17"/>
      <c r="F843" s="17"/>
    </row>
    <row r="844">
      <c r="E844" s="17"/>
      <c r="F844" s="17"/>
    </row>
    <row r="845">
      <c r="E845" s="17"/>
      <c r="F845" s="17"/>
    </row>
    <row r="846">
      <c r="E846" s="17"/>
      <c r="F846" s="17"/>
    </row>
    <row r="847">
      <c r="E847" s="17"/>
      <c r="F847" s="17"/>
    </row>
    <row r="848">
      <c r="E848" s="17"/>
      <c r="F848" s="17"/>
    </row>
    <row r="849">
      <c r="E849" s="17"/>
      <c r="F849" s="17"/>
    </row>
    <row r="850">
      <c r="E850" s="17"/>
      <c r="F850" s="17"/>
    </row>
    <row r="851">
      <c r="E851" s="17"/>
      <c r="F851" s="17"/>
    </row>
    <row r="852">
      <c r="E852" s="17"/>
      <c r="F852" s="17"/>
    </row>
    <row r="853">
      <c r="E853" s="17"/>
      <c r="F853" s="17"/>
    </row>
    <row r="854">
      <c r="E854" s="17"/>
      <c r="F854" s="17"/>
    </row>
    <row r="855">
      <c r="E855" s="17"/>
      <c r="F855" s="17"/>
    </row>
    <row r="856">
      <c r="E856" s="17"/>
      <c r="F856" s="17"/>
    </row>
    <row r="857">
      <c r="E857" s="17"/>
      <c r="F857" s="17"/>
    </row>
    <row r="858">
      <c r="E858" s="17"/>
      <c r="F858" s="17"/>
    </row>
    <row r="859">
      <c r="E859" s="17"/>
      <c r="F859" s="17"/>
    </row>
    <row r="860">
      <c r="E860" s="17"/>
      <c r="F860" s="17"/>
    </row>
    <row r="861">
      <c r="E861" s="17"/>
      <c r="F861" s="17"/>
    </row>
    <row r="862">
      <c r="E862" s="17"/>
      <c r="F862" s="17"/>
    </row>
    <row r="863">
      <c r="E863" s="17"/>
      <c r="F863" s="17"/>
    </row>
    <row r="864">
      <c r="E864" s="17"/>
      <c r="F864" s="17"/>
    </row>
    <row r="865">
      <c r="E865" s="17"/>
      <c r="F865" s="17"/>
    </row>
    <row r="866">
      <c r="E866" s="17"/>
      <c r="F866" s="17"/>
    </row>
    <row r="867">
      <c r="E867" s="17"/>
      <c r="F867" s="17"/>
    </row>
    <row r="868">
      <c r="E868" s="17"/>
      <c r="F868" s="17"/>
    </row>
    <row r="869">
      <c r="E869" s="17"/>
      <c r="F869" s="17"/>
    </row>
    <row r="870">
      <c r="E870" s="17"/>
      <c r="F870" s="17"/>
    </row>
    <row r="871">
      <c r="E871" s="17"/>
      <c r="F871" s="17"/>
    </row>
    <row r="872">
      <c r="E872" s="17"/>
      <c r="F872" s="17"/>
    </row>
    <row r="873">
      <c r="E873" s="17"/>
      <c r="F873" s="17"/>
    </row>
    <row r="874">
      <c r="E874" s="17"/>
      <c r="F874" s="17"/>
    </row>
    <row r="875">
      <c r="E875" s="17"/>
      <c r="F875" s="17"/>
    </row>
    <row r="876">
      <c r="E876" s="17"/>
      <c r="F876" s="17"/>
    </row>
    <row r="877">
      <c r="E877" s="17"/>
      <c r="F877" s="17"/>
    </row>
    <row r="878">
      <c r="E878" s="17"/>
      <c r="F878" s="17"/>
    </row>
    <row r="879">
      <c r="E879" s="17"/>
      <c r="F879" s="17"/>
    </row>
    <row r="880">
      <c r="E880" s="17"/>
      <c r="F880" s="17"/>
    </row>
    <row r="881">
      <c r="E881" s="17"/>
      <c r="F881" s="17"/>
    </row>
    <row r="882">
      <c r="E882" s="17"/>
      <c r="F882" s="17"/>
    </row>
    <row r="883">
      <c r="E883" s="17"/>
      <c r="F883" s="17"/>
    </row>
    <row r="884">
      <c r="E884" s="17"/>
      <c r="F884" s="17"/>
    </row>
    <row r="885">
      <c r="E885" s="17"/>
      <c r="F885" s="17"/>
    </row>
    <row r="886">
      <c r="E886" s="17"/>
      <c r="F886" s="17"/>
    </row>
    <row r="887">
      <c r="E887" s="17"/>
      <c r="F887" s="17"/>
    </row>
    <row r="888">
      <c r="E888" s="17"/>
      <c r="F888" s="17"/>
    </row>
    <row r="889">
      <c r="E889" s="17"/>
      <c r="F889" s="17"/>
    </row>
    <row r="890">
      <c r="E890" s="17"/>
      <c r="F890" s="17"/>
    </row>
    <row r="891">
      <c r="E891" s="17"/>
      <c r="F891" s="17"/>
    </row>
    <row r="892">
      <c r="E892" s="17"/>
      <c r="F892" s="17"/>
    </row>
    <row r="893">
      <c r="E893" s="17"/>
      <c r="F893" s="17"/>
    </row>
    <row r="894">
      <c r="E894" s="17"/>
      <c r="F894" s="17"/>
    </row>
    <row r="895">
      <c r="E895" s="17"/>
      <c r="F895" s="17"/>
    </row>
    <row r="896">
      <c r="E896" s="17"/>
      <c r="F896" s="17"/>
    </row>
    <row r="897">
      <c r="E897" s="17"/>
      <c r="F897" s="17"/>
    </row>
    <row r="898">
      <c r="E898" s="17"/>
      <c r="F898" s="17"/>
    </row>
    <row r="899">
      <c r="E899" s="17"/>
      <c r="F899" s="17"/>
    </row>
    <row r="900">
      <c r="E900" s="17"/>
      <c r="F900" s="17"/>
    </row>
    <row r="901">
      <c r="E901" s="17"/>
      <c r="F901" s="17"/>
    </row>
    <row r="902">
      <c r="E902" s="17"/>
      <c r="F902" s="17"/>
    </row>
    <row r="903">
      <c r="E903" s="17"/>
      <c r="F903" s="17"/>
    </row>
    <row r="904">
      <c r="E904" s="17"/>
      <c r="F904" s="17"/>
    </row>
    <row r="905">
      <c r="E905" s="17"/>
      <c r="F905" s="17"/>
    </row>
    <row r="906">
      <c r="E906" s="17"/>
      <c r="F906" s="17"/>
    </row>
    <row r="907">
      <c r="E907" s="17"/>
      <c r="F907" s="17"/>
    </row>
    <row r="908">
      <c r="E908" s="17"/>
      <c r="F908" s="17"/>
    </row>
    <row r="909">
      <c r="E909" s="17"/>
      <c r="F909" s="17"/>
    </row>
    <row r="910">
      <c r="E910" s="17"/>
      <c r="F910" s="17"/>
    </row>
    <row r="911">
      <c r="E911" s="17"/>
      <c r="F911" s="17"/>
    </row>
    <row r="912">
      <c r="E912" s="17"/>
      <c r="F912" s="17"/>
    </row>
    <row r="913">
      <c r="E913" s="17"/>
      <c r="F913" s="17"/>
    </row>
    <row r="914">
      <c r="E914" s="17"/>
      <c r="F914" s="17"/>
    </row>
    <row r="915">
      <c r="E915" s="17"/>
      <c r="F915" s="17"/>
    </row>
    <row r="916">
      <c r="E916" s="17"/>
      <c r="F916" s="17"/>
    </row>
    <row r="917">
      <c r="E917" s="17"/>
      <c r="F917" s="17"/>
    </row>
    <row r="918">
      <c r="E918" s="17"/>
      <c r="F918" s="17"/>
    </row>
    <row r="919">
      <c r="E919" s="17"/>
      <c r="F919" s="17"/>
    </row>
    <row r="920">
      <c r="E920" s="17"/>
      <c r="F920" s="17"/>
    </row>
    <row r="921">
      <c r="E921" s="17"/>
      <c r="F921" s="17"/>
    </row>
    <row r="922">
      <c r="E922" s="17"/>
      <c r="F922" s="17"/>
    </row>
    <row r="923">
      <c r="E923" s="17"/>
      <c r="F923" s="17"/>
    </row>
    <row r="924">
      <c r="E924" s="17"/>
      <c r="F924" s="17"/>
    </row>
    <row r="925">
      <c r="E925" s="17"/>
      <c r="F925" s="17"/>
    </row>
    <row r="926">
      <c r="E926" s="17"/>
      <c r="F926" s="17"/>
    </row>
    <row r="927">
      <c r="E927" s="17"/>
      <c r="F927" s="17"/>
    </row>
    <row r="928">
      <c r="E928" s="17"/>
      <c r="F928" s="17"/>
    </row>
    <row r="929">
      <c r="E929" s="17"/>
      <c r="F929" s="17"/>
    </row>
    <row r="930">
      <c r="E930" s="17"/>
      <c r="F930" s="17"/>
    </row>
    <row r="931">
      <c r="E931" s="17"/>
      <c r="F931" s="17"/>
    </row>
    <row r="932">
      <c r="E932" s="17"/>
      <c r="F932" s="17"/>
    </row>
    <row r="933">
      <c r="E933" s="17"/>
      <c r="F933" s="17"/>
    </row>
    <row r="934">
      <c r="E934" s="17"/>
      <c r="F934" s="17"/>
    </row>
    <row r="935">
      <c r="E935" s="17"/>
      <c r="F935" s="17"/>
    </row>
    <row r="936">
      <c r="E936" s="17"/>
      <c r="F936" s="17"/>
    </row>
    <row r="937">
      <c r="E937" s="17"/>
      <c r="F937" s="17"/>
    </row>
    <row r="938">
      <c r="E938" s="17"/>
      <c r="F938" s="17"/>
    </row>
    <row r="939">
      <c r="E939" s="17"/>
      <c r="F939" s="17"/>
    </row>
    <row r="940">
      <c r="E940" s="17"/>
      <c r="F940" s="17"/>
    </row>
    <row r="941">
      <c r="E941" s="17"/>
      <c r="F941" s="17"/>
    </row>
    <row r="942">
      <c r="E942" s="17"/>
      <c r="F942" s="17"/>
    </row>
    <row r="943">
      <c r="E943" s="17"/>
      <c r="F943" s="17"/>
    </row>
    <row r="944">
      <c r="E944" s="17"/>
      <c r="F944" s="17"/>
    </row>
    <row r="945">
      <c r="E945" s="17"/>
      <c r="F945" s="17"/>
    </row>
    <row r="946">
      <c r="E946" s="17"/>
      <c r="F946" s="17"/>
    </row>
    <row r="947">
      <c r="E947" s="17"/>
      <c r="F947" s="17"/>
    </row>
    <row r="948">
      <c r="E948" s="17"/>
      <c r="F948" s="17"/>
    </row>
    <row r="949">
      <c r="E949" s="17"/>
      <c r="F949" s="17"/>
    </row>
    <row r="950">
      <c r="E950" s="17"/>
      <c r="F950" s="17"/>
    </row>
    <row r="951">
      <c r="E951" s="17"/>
      <c r="F951" s="17"/>
    </row>
    <row r="952">
      <c r="E952" s="17"/>
      <c r="F952" s="17"/>
    </row>
    <row r="953">
      <c r="E953" s="17"/>
      <c r="F953" s="17"/>
    </row>
    <row r="954">
      <c r="E954" s="17"/>
      <c r="F954" s="17"/>
    </row>
    <row r="955">
      <c r="E955" s="17"/>
      <c r="F955" s="17"/>
    </row>
    <row r="956">
      <c r="E956" s="17"/>
      <c r="F956" s="17"/>
    </row>
    <row r="957">
      <c r="E957" s="17"/>
      <c r="F957" s="17"/>
    </row>
    <row r="958">
      <c r="E958" s="17"/>
      <c r="F958" s="17"/>
    </row>
    <row r="959">
      <c r="E959" s="17"/>
      <c r="F959" s="17"/>
    </row>
    <row r="960">
      <c r="E960" s="17"/>
      <c r="F960" s="17"/>
    </row>
    <row r="961">
      <c r="E961" s="17"/>
      <c r="F961" s="17"/>
    </row>
    <row r="962">
      <c r="E962" s="17"/>
      <c r="F962" s="17"/>
    </row>
    <row r="963">
      <c r="E963" s="17"/>
      <c r="F963" s="17"/>
    </row>
    <row r="964">
      <c r="E964" s="17"/>
      <c r="F964" s="17"/>
    </row>
    <row r="965">
      <c r="E965" s="17"/>
      <c r="F965" s="17"/>
    </row>
    <row r="966">
      <c r="E966" s="17"/>
      <c r="F966" s="17"/>
    </row>
    <row r="967">
      <c r="E967" s="17"/>
      <c r="F967" s="17"/>
    </row>
    <row r="968">
      <c r="E968" s="17"/>
      <c r="F968" s="17"/>
    </row>
    <row r="969">
      <c r="E969" s="17"/>
      <c r="F969" s="17"/>
    </row>
    <row r="970">
      <c r="E970" s="17"/>
      <c r="F970" s="17"/>
    </row>
    <row r="971">
      <c r="E971" s="17"/>
      <c r="F971" s="17"/>
    </row>
    <row r="972">
      <c r="E972" s="17"/>
      <c r="F972" s="17"/>
    </row>
    <row r="973">
      <c r="E973" s="17"/>
      <c r="F973" s="17"/>
    </row>
    <row r="974">
      <c r="E974" s="17"/>
      <c r="F974" s="17"/>
    </row>
    <row r="975">
      <c r="E975" s="17"/>
      <c r="F975" s="17"/>
    </row>
    <row r="976">
      <c r="E976" s="17"/>
      <c r="F976" s="17"/>
    </row>
    <row r="977">
      <c r="E977" s="17"/>
      <c r="F977" s="17"/>
    </row>
    <row r="978">
      <c r="E978" s="17"/>
      <c r="F978" s="17"/>
    </row>
    <row r="979">
      <c r="E979" s="17"/>
      <c r="F979" s="17"/>
    </row>
    <row r="980">
      <c r="E980" s="17"/>
      <c r="F980" s="17"/>
    </row>
    <row r="981">
      <c r="E981" s="17"/>
      <c r="F981" s="17"/>
    </row>
    <row r="982">
      <c r="E982" s="17"/>
      <c r="F982" s="17"/>
    </row>
    <row r="983">
      <c r="E983" s="17"/>
      <c r="F983" s="17"/>
    </row>
    <row r="984">
      <c r="E984" s="17"/>
      <c r="F984" s="17"/>
    </row>
    <row r="985">
      <c r="E985" s="17"/>
      <c r="F985" s="17"/>
    </row>
    <row r="986">
      <c r="E986" s="17"/>
      <c r="F986" s="17"/>
    </row>
    <row r="987">
      <c r="E987" s="17"/>
      <c r="F987" s="17"/>
    </row>
    <row r="988">
      <c r="E988" s="17"/>
      <c r="F988" s="17"/>
    </row>
    <row r="989">
      <c r="E989" s="17"/>
      <c r="F989" s="17"/>
    </row>
    <row r="990">
      <c r="E990" s="17"/>
      <c r="F990" s="17"/>
    </row>
    <row r="991">
      <c r="E991" s="17"/>
      <c r="F991" s="17"/>
    </row>
    <row r="992">
      <c r="E992" s="17"/>
      <c r="F992" s="17"/>
    </row>
    <row r="993">
      <c r="E993" s="17"/>
      <c r="F993" s="17"/>
    </row>
    <row r="994">
      <c r="E994" s="17"/>
      <c r="F994" s="17"/>
    </row>
    <row r="995">
      <c r="E995" s="17"/>
      <c r="F995" s="17"/>
    </row>
    <row r="996">
      <c r="E996" s="17"/>
      <c r="F996" s="17"/>
    </row>
    <row r="997">
      <c r="E997" s="17"/>
      <c r="F997" s="17"/>
    </row>
    <row r="998">
      <c r="E998" s="17"/>
      <c r="F998" s="17"/>
    </row>
    <row r="999">
      <c r="E999" s="17"/>
      <c r="F999" s="17"/>
    </row>
    <row r="1000">
      <c r="E1000" s="17"/>
      <c r="F1000" s="17"/>
    </row>
    <row r="1001">
      <c r="E1001" s="17"/>
      <c r="F1001" s="17"/>
    </row>
    <row r="1002">
      <c r="E1002" s="17"/>
      <c r="F1002" s="17"/>
    </row>
    <row r="1003">
      <c r="E1003" s="17"/>
      <c r="F1003" s="17"/>
    </row>
    <row r="1004">
      <c r="E1004" s="17"/>
      <c r="F1004" s="17"/>
    </row>
    <row r="1005">
      <c r="E1005" s="17"/>
      <c r="F1005" s="17"/>
    </row>
    <row r="1006">
      <c r="E1006" s="17"/>
      <c r="F1006" s="17"/>
    </row>
    <row r="1007">
      <c r="E1007" s="17"/>
      <c r="F1007" s="17"/>
    </row>
    <row r="1008">
      <c r="E1008" s="17"/>
      <c r="F1008" s="17"/>
    </row>
    <row r="1009">
      <c r="E1009" s="17"/>
      <c r="F1009" s="17"/>
    </row>
    <row r="1010">
      <c r="E1010" s="17"/>
      <c r="F1010" s="17"/>
    </row>
    <row r="1011">
      <c r="E1011" s="17"/>
      <c r="F1011" s="17"/>
    </row>
    <row r="1012">
      <c r="E1012" s="17"/>
      <c r="F1012" s="17"/>
    </row>
    <row r="1013">
      <c r="E1013" s="17"/>
      <c r="F1013" s="17"/>
    </row>
    <row r="1014">
      <c r="E1014" s="17"/>
      <c r="F1014" s="17"/>
    </row>
    <row r="1015">
      <c r="E1015" s="17"/>
      <c r="F1015" s="17"/>
    </row>
    <row r="1016">
      <c r="E1016" s="17"/>
      <c r="F1016" s="17"/>
    </row>
    <row r="1017">
      <c r="E1017" s="17"/>
      <c r="F1017" s="17"/>
    </row>
    <row r="1018">
      <c r="E1018" s="17"/>
      <c r="F1018" s="17"/>
    </row>
    <row r="1019">
      <c r="E1019" s="17"/>
      <c r="F1019" s="17"/>
    </row>
    <row r="1020">
      <c r="E1020" s="17"/>
      <c r="F1020" s="17"/>
    </row>
    <row r="1021">
      <c r="E1021" s="17"/>
      <c r="F1021" s="17"/>
    </row>
    <row r="1022">
      <c r="E1022" s="17"/>
      <c r="F1022" s="17"/>
    </row>
    <row r="1023">
      <c r="E1023" s="17"/>
      <c r="F1023" s="17"/>
    </row>
    <row r="1024">
      <c r="E1024" s="17"/>
      <c r="F1024" s="17"/>
    </row>
    <row r="1025">
      <c r="E1025" s="17"/>
      <c r="F1025" s="17"/>
    </row>
    <row r="1026">
      <c r="E1026" s="17"/>
      <c r="F1026" s="17"/>
    </row>
    <row r="1027">
      <c r="E1027" s="17"/>
      <c r="F1027" s="17"/>
    </row>
    <row r="1028">
      <c r="E1028" s="17"/>
      <c r="F1028" s="17"/>
    </row>
    <row r="1029">
      <c r="E1029" s="17"/>
      <c r="F1029" s="17"/>
    </row>
    <row r="1030">
      <c r="E1030" s="17"/>
      <c r="F1030" s="17"/>
    </row>
    <row r="1031">
      <c r="E1031" s="17"/>
      <c r="F1031" s="17"/>
    </row>
    <row r="1032">
      <c r="E1032" s="17"/>
      <c r="F1032" s="17"/>
    </row>
    <row r="1033">
      <c r="E1033" s="17"/>
      <c r="F1033" s="17"/>
    </row>
    <row r="1034">
      <c r="E1034" s="17"/>
      <c r="F1034" s="17"/>
    </row>
    <row r="1035">
      <c r="E1035" s="17"/>
      <c r="F1035" s="17"/>
    </row>
    <row r="1036">
      <c r="E1036" s="17"/>
      <c r="F1036" s="17"/>
    </row>
    <row r="1037">
      <c r="E1037" s="17"/>
      <c r="F1037" s="17"/>
    </row>
    <row r="1038">
      <c r="E1038" s="17"/>
      <c r="F1038" s="17"/>
    </row>
    <row r="1039">
      <c r="E1039" s="17"/>
      <c r="F1039" s="17"/>
    </row>
    <row r="1040">
      <c r="E1040" s="17"/>
      <c r="F1040" s="17"/>
    </row>
    <row r="1041">
      <c r="E1041" s="17"/>
      <c r="F1041" s="17"/>
    </row>
    <row r="1042">
      <c r="E1042" s="17"/>
      <c r="F1042" s="17"/>
    </row>
    <row r="1043">
      <c r="E1043" s="17"/>
      <c r="F1043" s="17"/>
    </row>
    <row r="1044">
      <c r="E1044" s="17"/>
      <c r="F1044" s="17"/>
    </row>
    <row r="1045">
      <c r="E1045" s="17"/>
      <c r="F1045" s="17"/>
    </row>
    <row r="1046">
      <c r="E1046" s="17"/>
      <c r="F1046" s="17"/>
    </row>
    <row r="1047">
      <c r="E1047" s="17"/>
      <c r="F1047" s="17"/>
    </row>
    <row r="1048">
      <c r="E1048" s="17"/>
      <c r="F1048" s="17"/>
    </row>
    <row r="1049">
      <c r="E1049" s="17"/>
      <c r="F1049" s="17"/>
    </row>
    <row r="1050">
      <c r="E1050" s="17"/>
      <c r="F1050" s="17"/>
    </row>
    <row r="1051">
      <c r="E1051" s="17"/>
      <c r="F1051" s="17"/>
    </row>
    <row r="1052">
      <c r="E1052" s="17"/>
      <c r="F1052" s="17"/>
    </row>
    <row r="1053">
      <c r="E1053" s="17"/>
      <c r="F1053" s="17"/>
    </row>
    <row r="1054">
      <c r="E1054" s="17"/>
      <c r="F1054" s="17"/>
    </row>
    <row r="1055">
      <c r="E1055" s="17"/>
      <c r="F1055" s="17"/>
    </row>
    <row r="1056">
      <c r="E1056" s="17"/>
      <c r="F1056" s="17"/>
    </row>
    <row r="1057">
      <c r="E1057" s="17"/>
      <c r="F1057" s="17"/>
    </row>
    <row r="1058">
      <c r="E1058" s="17"/>
      <c r="F1058" s="17"/>
    </row>
    <row r="1059">
      <c r="E1059" s="17"/>
      <c r="F1059" s="17"/>
    </row>
    <row r="1060">
      <c r="E1060" s="17"/>
      <c r="F1060" s="17"/>
    </row>
    <row r="1061">
      <c r="E1061" s="17"/>
      <c r="F1061" s="17"/>
    </row>
    <row r="1062">
      <c r="E1062" s="17"/>
      <c r="F1062" s="17"/>
    </row>
    <row r="1063">
      <c r="E1063" s="17"/>
      <c r="F1063" s="17"/>
    </row>
    <row r="1064">
      <c r="E1064" s="17"/>
      <c r="F1064" s="17"/>
    </row>
    <row r="1065">
      <c r="E1065" s="17"/>
      <c r="F1065" s="17"/>
    </row>
    <row r="1066">
      <c r="E1066" s="17"/>
      <c r="F1066" s="17"/>
    </row>
    <row r="1067">
      <c r="E1067" s="17"/>
      <c r="F1067" s="17"/>
    </row>
    <row r="1068">
      <c r="E1068" s="17"/>
      <c r="F1068" s="17"/>
    </row>
    <row r="1069">
      <c r="E1069" s="17"/>
      <c r="F1069" s="17"/>
    </row>
    <row r="1070">
      <c r="E1070" s="17"/>
      <c r="F1070" s="17"/>
    </row>
    <row r="1071">
      <c r="E1071" s="17"/>
      <c r="F1071" s="17"/>
    </row>
    <row r="1072">
      <c r="E1072" s="17"/>
      <c r="F1072" s="17"/>
    </row>
    <row r="1073">
      <c r="E1073" s="17"/>
      <c r="F1073" s="17"/>
    </row>
    <row r="1074">
      <c r="E1074" s="17"/>
      <c r="F1074" s="17"/>
    </row>
    <row r="1075">
      <c r="E1075" s="17"/>
      <c r="F1075" s="17"/>
    </row>
    <row r="1076">
      <c r="E1076" s="17"/>
      <c r="F1076" s="17"/>
    </row>
    <row r="1077">
      <c r="E1077" s="17"/>
      <c r="F1077" s="17"/>
    </row>
    <row r="1078">
      <c r="E1078" s="17"/>
      <c r="F1078" s="17"/>
    </row>
    <row r="1079">
      <c r="E1079" s="17"/>
      <c r="F1079" s="17"/>
    </row>
    <row r="1080">
      <c r="E1080" s="17"/>
      <c r="F1080" s="17"/>
    </row>
    <row r="1081">
      <c r="E1081" s="17"/>
      <c r="F1081" s="17"/>
    </row>
    <row r="1082">
      <c r="E1082" s="17"/>
      <c r="F1082" s="17"/>
    </row>
    <row r="1083">
      <c r="E1083" s="17"/>
      <c r="F1083" s="17"/>
    </row>
    <row r="1084">
      <c r="E1084" s="17"/>
      <c r="F1084" s="17"/>
    </row>
    <row r="1085">
      <c r="E1085" s="17"/>
      <c r="F1085" s="17"/>
    </row>
    <row r="1086">
      <c r="E1086" s="17"/>
      <c r="F1086" s="17"/>
    </row>
    <row r="1087">
      <c r="E1087" s="17"/>
      <c r="F1087" s="17"/>
    </row>
    <row r="1088">
      <c r="E1088" s="17"/>
      <c r="F1088" s="17"/>
    </row>
    <row r="1089">
      <c r="E1089" s="17"/>
      <c r="F1089" s="17"/>
    </row>
    <row r="1090">
      <c r="E1090" s="17"/>
      <c r="F1090" s="17"/>
    </row>
    <row r="1091">
      <c r="E1091" s="17"/>
      <c r="F1091" s="17"/>
    </row>
    <row r="1092">
      <c r="E1092" s="17"/>
      <c r="F1092" s="17"/>
    </row>
    <row r="1093">
      <c r="E1093" s="17"/>
      <c r="F1093" s="17"/>
    </row>
    <row r="1094">
      <c r="E1094" s="17"/>
      <c r="F1094" s="17"/>
    </row>
    <row r="1095">
      <c r="E1095" s="17"/>
      <c r="F1095" s="17"/>
    </row>
    <row r="1096">
      <c r="E1096" s="17"/>
      <c r="F1096" s="17"/>
    </row>
    <row r="1097">
      <c r="E1097" s="17"/>
      <c r="F1097" s="17"/>
    </row>
    <row r="1098">
      <c r="E1098" s="17"/>
      <c r="F1098" s="17"/>
    </row>
    <row r="1099">
      <c r="E1099" s="17"/>
      <c r="F1099" s="17"/>
    </row>
    <row r="1100">
      <c r="E1100" s="17"/>
      <c r="F1100" s="17"/>
    </row>
    <row r="1101">
      <c r="E1101" s="17"/>
      <c r="F1101" s="17"/>
    </row>
    <row r="1102">
      <c r="E1102" s="17"/>
      <c r="F1102" s="17"/>
    </row>
    <row r="1103">
      <c r="E1103" s="17"/>
      <c r="F1103" s="17"/>
    </row>
    <row r="1104">
      <c r="E1104" s="17"/>
      <c r="F1104" s="17"/>
    </row>
    <row r="1105">
      <c r="E1105" s="17"/>
      <c r="F1105" s="17"/>
    </row>
    <row r="1106">
      <c r="E1106" s="17"/>
      <c r="F1106" s="17"/>
    </row>
    <row r="1107">
      <c r="E1107" s="17"/>
      <c r="F1107" s="17"/>
    </row>
    <row r="1108">
      <c r="E1108" s="17"/>
      <c r="F1108" s="17"/>
    </row>
    <row r="1109">
      <c r="E1109" s="17"/>
      <c r="F1109" s="17"/>
    </row>
    <row r="1110">
      <c r="E1110" s="17"/>
      <c r="F1110" s="17"/>
    </row>
    <row r="1111">
      <c r="E1111" s="17"/>
      <c r="F1111" s="17"/>
    </row>
    <row r="1112">
      <c r="E1112" s="17"/>
      <c r="F1112" s="17"/>
    </row>
    <row r="1113">
      <c r="E1113" s="17"/>
      <c r="F1113" s="17"/>
    </row>
    <row r="1114">
      <c r="E1114" s="17"/>
      <c r="F1114" s="17"/>
    </row>
    <row r="1115">
      <c r="E1115" s="17"/>
      <c r="F1115" s="17"/>
    </row>
    <row r="1116">
      <c r="E1116" s="17"/>
      <c r="F1116" s="17"/>
    </row>
    <row r="1117">
      <c r="E1117" s="17"/>
      <c r="F1117" s="17"/>
    </row>
    <row r="1118">
      <c r="E1118" s="17"/>
      <c r="F1118" s="17"/>
    </row>
    <row r="1119">
      <c r="E1119" s="17"/>
      <c r="F1119" s="17"/>
    </row>
    <row r="1120">
      <c r="E1120" s="17"/>
      <c r="F1120" s="17"/>
    </row>
    <row r="1121">
      <c r="E1121" s="17"/>
      <c r="F1121" s="17"/>
    </row>
    <row r="1122">
      <c r="E1122" s="17"/>
      <c r="F1122" s="17"/>
    </row>
    <row r="1123">
      <c r="E1123" s="17"/>
      <c r="F1123" s="17"/>
    </row>
    <row r="1124">
      <c r="E1124" s="17"/>
      <c r="F1124" s="17"/>
    </row>
    <row r="1125">
      <c r="E1125" s="17"/>
      <c r="F1125" s="17"/>
    </row>
    <row r="1126">
      <c r="E1126" s="17"/>
      <c r="F1126" s="17"/>
    </row>
    <row r="1127">
      <c r="E1127" s="17"/>
      <c r="F1127" s="17"/>
    </row>
    <row r="1128">
      <c r="E1128" s="17"/>
      <c r="F1128" s="17"/>
    </row>
    <row r="1129">
      <c r="E1129" s="17"/>
      <c r="F1129" s="17"/>
    </row>
    <row r="1130">
      <c r="E1130" s="17"/>
      <c r="F1130" s="17"/>
    </row>
    <row r="1131">
      <c r="E1131" s="17"/>
      <c r="F1131" s="17"/>
    </row>
    <row r="1132">
      <c r="E1132" s="17"/>
      <c r="F1132" s="17"/>
    </row>
    <row r="1133">
      <c r="E1133" s="17"/>
      <c r="F1133" s="17"/>
    </row>
    <row r="1134">
      <c r="E1134" s="17"/>
      <c r="F1134" s="17"/>
    </row>
    <row r="1135">
      <c r="E1135" s="17"/>
      <c r="F1135" s="17"/>
    </row>
    <row r="1136">
      <c r="E1136" s="17"/>
      <c r="F1136" s="17"/>
    </row>
    <row r="1137">
      <c r="E1137" s="17"/>
      <c r="F1137" s="17"/>
    </row>
    <row r="1138">
      <c r="E1138" s="17"/>
      <c r="F1138" s="17"/>
    </row>
    <row r="1139">
      <c r="E1139" s="17"/>
      <c r="F1139" s="17"/>
    </row>
    <row r="1140">
      <c r="E1140" s="17"/>
      <c r="F1140" s="17"/>
    </row>
    <row r="1141">
      <c r="E1141" s="17"/>
      <c r="F1141" s="17"/>
    </row>
    <row r="1142">
      <c r="E1142" s="17"/>
      <c r="F1142" s="17"/>
    </row>
    <row r="1143">
      <c r="E1143" s="17"/>
      <c r="F1143" s="17"/>
    </row>
    <row r="1144">
      <c r="E1144" s="17"/>
      <c r="F1144" s="17"/>
    </row>
    <row r="1145">
      <c r="E1145" s="17"/>
      <c r="F1145" s="17"/>
    </row>
    <row r="1146">
      <c r="E1146" s="17"/>
      <c r="F1146" s="17"/>
    </row>
    <row r="1147">
      <c r="E1147" s="17"/>
      <c r="F1147" s="17"/>
    </row>
    <row r="1148">
      <c r="E1148" s="17"/>
      <c r="F1148" s="17"/>
    </row>
    <row r="1149">
      <c r="E1149" s="17"/>
      <c r="F1149" s="17"/>
    </row>
    <row r="1150">
      <c r="E1150" s="17"/>
      <c r="F1150" s="17"/>
    </row>
    <row r="1151">
      <c r="E1151" s="17"/>
      <c r="F1151" s="17"/>
    </row>
    <row r="1152">
      <c r="E1152" s="17"/>
      <c r="F1152" s="17"/>
    </row>
    <row r="1153">
      <c r="E1153" s="17"/>
      <c r="F1153" s="17"/>
    </row>
    <row r="1154">
      <c r="E1154" s="17"/>
      <c r="F1154" s="17"/>
    </row>
    <row r="1155">
      <c r="E1155" s="17"/>
      <c r="F1155" s="17"/>
    </row>
    <row r="1156">
      <c r="E1156" s="17"/>
      <c r="F1156" s="17"/>
    </row>
    <row r="1157">
      <c r="E1157" s="17"/>
      <c r="F1157" s="17"/>
    </row>
    <row r="1158">
      <c r="E1158" s="17"/>
      <c r="F1158" s="17"/>
    </row>
    <row r="1159">
      <c r="E1159" s="17"/>
      <c r="F1159" s="17"/>
    </row>
    <row r="1160">
      <c r="E1160" s="17"/>
      <c r="F1160" s="17"/>
    </row>
    <row r="1161">
      <c r="E1161" s="17"/>
      <c r="F1161" s="17"/>
    </row>
    <row r="1162">
      <c r="E1162" s="17"/>
      <c r="F1162" s="17"/>
    </row>
    <row r="1163">
      <c r="E1163" s="17"/>
      <c r="F1163" s="17"/>
    </row>
    <row r="1164">
      <c r="E1164" s="17"/>
      <c r="F1164" s="17"/>
    </row>
    <row r="1165">
      <c r="E1165" s="17"/>
      <c r="F1165" s="17"/>
    </row>
    <row r="1166">
      <c r="E1166" s="17"/>
      <c r="F1166" s="17"/>
    </row>
    <row r="1167">
      <c r="E1167" s="17"/>
      <c r="F1167" s="17"/>
    </row>
    <row r="1168">
      <c r="E1168" s="17"/>
      <c r="F1168" s="17"/>
    </row>
    <row r="1169">
      <c r="E1169" s="17"/>
      <c r="F1169" s="17"/>
    </row>
    <row r="1170">
      <c r="E1170" s="17"/>
      <c r="F1170" s="17"/>
    </row>
    <row r="1171">
      <c r="E1171" s="17"/>
      <c r="F1171" s="17"/>
    </row>
    <row r="1172">
      <c r="E1172" s="17"/>
      <c r="F1172" s="17"/>
    </row>
    <row r="1173">
      <c r="E1173" s="17"/>
      <c r="F1173" s="17"/>
    </row>
    <row r="1174">
      <c r="E1174" s="17"/>
      <c r="F1174" s="17"/>
    </row>
    <row r="1175">
      <c r="E1175" s="17"/>
      <c r="F1175" s="17"/>
    </row>
    <row r="1176">
      <c r="E1176" s="17"/>
      <c r="F1176" s="17"/>
    </row>
    <row r="1177">
      <c r="E1177" s="17"/>
      <c r="F1177" s="17"/>
    </row>
    <row r="1178">
      <c r="E1178" s="17"/>
      <c r="F1178" s="17"/>
    </row>
    <row r="1179">
      <c r="E1179" s="17"/>
      <c r="F1179" s="17"/>
    </row>
    <row r="1180">
      <c r="E1180" s="17"/>
      <c r="F1180" s="17"/>
    </row>
    <row r="1181">
      <c r="E1181" s="17"/>
      <c r="F1181" s="17"/>
    </row>
    <row r="1182">
      <c r="E1182" s="17"/>
      <c r="F1182" s="17"/>
    </row>
    <row r="1183">
      <c r="E1183" s="17"/>
      <c r="F1183" s="17"/>
    </row>
    <row r="1184">
      <c r="E1184" s="17"/>
      <c r="F1184" s="17"/>
    </row>
    <row r="1185">
      <c r="E1185" s="17"/>
      <c r="F1185" s="17"/>
    </row>
    <row r="1186">
      <c r="E1186" s="17"/>
      <c r="F1186" s="17"/>
    </row>
    <row r="1187">
      <c r="E1187" s="17"/>
      <c r="F1187" s="17"/>
    </row>
    <row r="1188">
      <c r="E1188" s="17"/>
      <c r="F1188" s="17"/>
    </row>
    <row r="1189">
      <c r="E1189" s="17"/>
      <c r="F1189" s="17"/>
    </row>
    <row r="1190">
      <c r="E1190" s="17"/>
      <c r="F1190" s="17"/>
    </row>
    <row r="1191">
      <c r="E1191" s="17"/>
      <c r="F1191" s="17"/>
    </row>
    <row r="1192">
      <c r="E1192" s="17"/>
      <c r="F1192" s="17"/>
    </row>
    <row r="1193">
      <c r="E1193" s="17"/>
      <c r="F1193" s="17"/>
    </row>
    <row r="1194">
      <c r="E1194" s="17"/>
      <c r="F1194" s="17"/>
    </row>
    <row r="1195">
      <c r="E1195" s="17"/>
      <c r="F1195" s="17"/>
    </row>
    <row r="1196">
      <c r="E1196" s="17"/>
      <c r="F1196" s="17"/>
    </row>
    <row r="1197">
      <c r="E1197" s="17"/>
      <c r="F1197" s="17"/>
    </row>
    <row r="1198">
      <c r="E1198" s="17"/>
      <c r="F1198" s="17"/>
    </row>
    <row r="1199">
      <c r="E1199" s="17"/>
      <c r="F1199" s="17"/>
    </row>
    <row r="1200">
      <c r="E1200" s="17"/>
      <c r="F1200" s="17"/>
    </row>
    <row r="1201">
      <c r="E1201" s="17"/>
      <c r="F1201" s="17"/>
    </row>
    <row r="1202">
      <c r="E1202" s="17"/>
      <c r="F1202" s="17"/>
    </row>
    <row r="1203">
      <c r="E1203" s="17"/>
      <c r="F1203" s="17"/>
    </row>
    <row r="1204">
      <c r="E1204" s="17"/>
      <c r="F1204" s="17"/>
    </row>
    <row r="1205">
      <c r="E1205" s="17"/>
      <c r="F1205" s="17"/>
    </row>
    <row r="1206">
      <c r="E1206" s="17"/>
      <c r="F1206" s="17"/>
    </row>
    <row r="1207">
      <c r="E1207" s="17"/>
      <c r="F1207" s="17"/>
    </row>
    <row r="1208">
      <c r="E1208" s="17"/>
      <c r="F1208" s="17"/>
    </row>
    <row r="1209">
      <c r="E1209" s="17"/>
      <c r="F1209" s="17"/>
    </row>
    <row r="1210">
      <c r="E1210" s="17"/>
      <c r="F1210" s="17"/>
    </row>
    <row r="1211">
      <c r="E1211" s="17"/>
      <c r="F1211" s="17"/>
    </row>
    <row r="1212">
      <c r="E1212" s="17"/>
      <c r="F1212" s="17"/>
    </row>
    <row r="1213">
      <c r="E1213" s="17"/>
      <c r="F1213" s="17"/>
    </row>
    <row r="1214">
      <c r="E1214" s="17"/>
      <c r="F1214" s="17"/>
    </row>
    <row r="1215">
      <c r="E1215" s="17"/>
      <c r="F1215" s="17"/>
    </row>
    <row r="1216">
      <c r="E1216" s="17"/>
      <c r="F1216" s="17"/>
    </row>
    <row r="1217">
      <c r="E1217" s="17"/>
      <c r="F1217" s="17"/>
    </row>
    <row r="1218">
      <c r="E1218" s="17"/>
      <c r="F1218" s="17"/>
    </row>
    <row r="1219">
      <c r="E1219" s="17"/>
      <c r="F1219" s="17"/>
    </row>
    <row r="1220">
      <c r="E1220" s="17"/>
      <c r="F1220" s="17"/>
    </row>
    <row r="1221">
      <c r="E1221" s="17"/>
      <c r="F1221" s="17"/>
    </row>
    <row r="1222">
      <c r="E1222" s="17"/>
      <c r="F1222" s="17"/>
    </row>
    <row r="1223">
      <c r="E1223" s="17"/>
      <c r="F1223" s="17"/>
    </row>
    <row r="1224">
      <c r="E1224" s="17"/>
      <c r="F1224" s="17"/>
    </row>
    <row r="1225">
      <c r="E1225" s="17"/>
      <c r="F1225" s="17"/>
    </row>
    <row r="1226">
      <c r="E1226" s="17"/>
      <c r="F1226" s="17"/>
    </row>
    <row r="1227">
      <c r="E1227" s="17"/>
      <c r="F1227" s="17"/>
    </row>
    <row r="1228">
      <c r="E1228" s="17"/>
      <c r="F1228" s="17"/>
    </row>
    <row r="1229">
      <c r="E1229" s="17"/>
      <c r="F1229" s="17"/>
    </row>
    <row r="1230">
      <c r="E1230" s="17"/>
      <c r="F1230" s="17"/>
    </row>
    <row r="1231">
      <c r="E1231" s="17"/>
      <c r="F1231" s="17"/>
    </row>
    <row r="1232">
      <c r="E1232" s="17"/>
      <c r="F1232" s="17"/>
    </row>
    <row r="1233">
      <c r="E1233" s="17"/>
      <c r="F1233" s="17"/>
    </row>
    <row r="1234">
      <c r="E1234" s="17"/>
      <c r="F1234" s="17"/>
    </row>
    <row r="1235">
      <c r="E1235" s="17"/>
      <c r="F1235" s="17"/>
    </row>
    <row r="1236">
      <c r="E1236" s="17"/>
      <c r="F1236" s="17"/>
    </row>
    <row r="1237">
      <c r="E1237" s="17"/>
      <c r="F1237" s="17"/>
    </row>
    <row r="1238">
      <c r="E1238" s="17"/>
      <c r="F1238" s="17"/>
    </row>
    <row r="1239">
      <c r="E1239" s="17"/>
      <c r="F1239" s="17"/>
    </row>
    <row r="1240">
      <c r="E1240" s="17"/>
      <c r="F1240" s="17"/>
    </row>
    <row r="1241">
      <c r="E1241" s="17"/>
      <c r="F1241" s="17"/>
    </row>
    <row r="1242">
      <c r="E1242" s="17"/>
      <c r="F1242" s="17"/>
    </row>
    <row r="1243">
      <c r="E1243" s="17"/>
      <c r="F1243" s="17"/>
    </row>
    <row r="1244">
      <c r="E1244" s="17"/>
      <c r="F1244" s="17"/>
    </row>
    <row r="1245">
      <c r="E1245" s="17"/>
      <c r="F1245" s="17"/>
    </row>
    <row r="1246">
      <c r="E1246" s="17"/>
      <c r="F1246" s="17"/>
    </row>
    <row r="1247">
      <c r="E1247" s="17"/>
      <c r="F1247" s="17"/>
    </row>
    <row r="1248">
      <c r="E1248" s="17"/>
      <c r="F1248" s="17"/>
    </row>
    <row r="1249">
      <c r="E1249" s="17"/>
      <c r="F1249" s="17"/>
    </row>
    <row r="1250">
      <c r="E1250" s="17"/>
      <c r="F1250" s="17"/>
    </row>
    <row r="1251">
      <c r="E1251" s="17"/>
      <c r="F1251" s="17"/>
    </row>
    <row r="1252">
      <c r="E1252" s="17"/>
      <c r="F1252" s="17"/>
    </row>
    <row r="1253">
      <c r="E1253" s="17"/>
      <c r="F1253" s="17"/>
    </row>
    <row r="1254">
      <c r="E1254" s="17"/>
      <c r="F1254" s="17"/>
    </row>
    <row r="1255">
      <c r="E1255" s="17"/>
      <c r="F1255" s="17"/>
    </row>
    <row r="1256">
      <c r="E1256" s="17"/>
      <c r="F1256" s="17"/>
    </row>
    <row r="1257">
      <c r="E1257" s="17"/>
      <c r="F1257" s="17"/>
    </row>
    <row r="1258">
      <c r="E1258" s="17"/>
      <c r="F1258" s="17"/>
    </row>
    <row r="1259">
      <c r="E1259" s="17"/>
      <c r="F1259" s="17"/>
    </row>
    <row r="1260">
      <c r="E1260" s="17"/>
      <c r="F1260" s="17"/>
    </row>
    <row r="1261">
      <c r="E1261" s="17"/>
      <c r="F1261" s="17"/>
    </row>
    <row r="1262">
      <c r="E1262" s="17"/>
      <c r="F1262" s="17"/>
    </row>
    <row r="1263">
      <c r="E1263" s="17"/>
      <c r="F1263" s="17"/>
    </row>
    <row r="1264">
      <c r="E1264" s="17"/>
      <c r="F1264" s="17"/>
    </row>
    <row r="1265">
      <c r="E1265" s="17"/>
      <c r="F1265" s="17"/>
    </row>
    <row r="1266">
      <c r="E1266" s="17"/>
      <c r="F1266" s="17"/>
    </row>
    <row r="1267">
      <c r="E1267" s="17"/>
      <c r="F1267" s="17"/>
    </row>
    <row r="1268">
      <c r="E1268" s="17"/>
      <c r="F1268" s="17"/>
    </row>
    <row r="1269">
      <c r="E1269" s="17"/>
      <c r="F1269" s="17"/>
    </row>
    <row r="1270">
      <c r="E1270" s="17"/>
      <c r="F1270" s="17"/>
    </row>
    <row r="1271">
      <c r="E1271" s="17"/>
      <c r="F1271" s="17"/>
    </row>
    <row r="1272">
      <c r="E1272" s="17"/>
      <c r="F1272" s="17"/>
    </row>
    <row r="1273">
      <c r="E1273" s="17"/>
      <c r="F1273" s="17"/>
    </row>
    <row r="1274">
      <c r="E1274" s="17"/>
      <c r="F1274" s="17"/>
    </row>
    <row r="1275">
      <c r="E1275" s="17"/>
      <c r="F1275" s="17"/>
    </row>
    <row r="1276">
      <c r="E1276" s="17"/>
      <c r="F1276" s="17"/>
    </row>
    <row r="1277">
      <c r="E1277" s="17"/>
      <c r="F1277" s="17"/>
    </row>
    <row r="1278">
      <c r="E1278" s="17"/>
      <c r="F1278" s="17"/>
    </row>
    <row r="1279">
      <c r="E1279" s="17"/>
      <c r="F1279" s="17"/>
    </row>
    <row r="1280">
      <c r="E1280" s="17"/>
      <c r="F1280" s="17"/>
    </row>
    <row r="1281">
      <c r="E1281" s="17"/>
      <c r="F1281" s="17"/>
    </row>
    <row r="1282">
      <c r="E1282" s="17"/>
      <c r="F1282" s="17"/>
    </row>
    <row r="1283">
      <c r="E1283" s="17"/>
      <c r="F1283" s="17"/>
    </row>
    <row r="1284">
      <c r="E1284" s="17"/>
      <c r="F1284" s="17"/>
    </row>
    <row r="1285">
      <c r="E1285" s="17"/>
      <c r="F1285" s="17"/>
    </row>
    <row r="1286">
      <c r="E1286" s="17"/>
      <c r="F1286" s="17"/>
    </row>
    <row r="1287">
      <c r="E1287" s="17"/>
      <c r="F1287" s="17"/>
    </row>
    <row r="1288">
      <c r="E1288" s="17"/>
      <c r="F1288" s="17"/>
    </row>
    <row r="1289">
      <c r="E1289" s="17"/>
      <c r="F1289" s="17"/>
    </row>
    <row r="1290">
      <c r="E1290" s="17"/>
      <c r="F1290" s="17"/>
    </row>
    <row r="1291">
      <c r="E1291" s="17"/>
      <c r="F1291" s="17"/>
    </row>
    <row r="1292">
      <c r="E1292" s="17"/>
      <c r="F1292" s="17"/>
    </row>
    <row r="1293">
      <c r="E1293" s="17"/>
      <c r="F1293" s="17"/>
    </row>
    <row r="1294">
      <c r="E1294" s="17"/>
      <c r="F1294" s="17"/>
    </row>
    <row r="1295">
      <c r="E1295" s="17"/>
      <c r="F1295" s="17"/>
    </row>
    <row r="1296">
      <c r="E1296" s="17"/>
      <c r="F1296" s="17"/>
    </row>
    <row r="1297">
      <c r="E1297" s="17"/>
      <c r="F1297" s="17"/>
    </row>
    <row r="1298">
      <c r="E1298" s="17"/>
      <c r="F1298" s="17"/>
    </row>
    <row r="1299">
      <c r="E1299" s="17"/>
      <c r="F1299" s="17"/>
    </row>
    <row r="1300">
      <c r="E1300" s="17"/>
      <c r="F1300" s="17"/>
    </row>
    <row r="1301">
      <c r="E1301" s="17"/>
      <c r="F1301" s="17"/>
    </row>
    <row r="1302">
      <c r="E1302" s="17"/>
      <c r="F1302" s="17"/>
    </row>
    <row r="1303">
      <c r="E1303" s="17"/>
      <c r="F1303" s="17"/>
    </row>
    <row r="1304">
      <c r="E1304" s="17"/>
      <c r="F1304" s="17"/>
    </row>
    <row r="1305">
      <c r="E1305" s="17"/>
      <c r="F1305" s="17"/>
    </row>
    <row r="1306">
      <c r="E1306" s="17"/>
      <c r="F1306" s="17"/>
    </row>
    <row r="1307">
      <c r="E1307" s="17"/>
      <c r="F1307" s="17"/>
    </row>
    <row r="1308">
      <c r="E1308" s="17"/>
      <c r="F1308" s="17"/>
    </row>
    <row r="1309">
      <c r="E1309" s="17"/>
      <c r="F1309" s="17"/>
    </row>
    <row r="1310">
      <c r="E1310" s="17"/>
      <c r="F1310" s="17"/>
    </row>
    <row r="1311">
      <c r="E1311" s="17"/>
      <c r="F1311" s="17"/>
    </row>
    <row r="1312">
      <c r="E1312" s="17"/>
      <c r="F1312" s="17"/>
    </row>
    <row r="1313">
      <c r="E1313" s="17"/>
      <c r="F1313" s="17"/>
    </row>
    <row r="1314">
      <c r="E1314" s="17"/>
      <c r="F1314" s="17"/>
    </row>
    <row r="1315">
      <c r="E1315" s="17"/>
      <c r="F1315" s="17"/>
    </row>
    <row r="1316">
      <c r="E1316" s="17"/>
      <c r="F1316" s="17"/>
    </row>
    <row r="1317">
      <c r="E1317" s="17"/>
      <c r="F1317" s="17"/>
    </row>
    <row r="1318">
      <c r="E1318" s="17"/>
      <c r="F1318" s="17"/>
    </row>
    <row r="1319">
      <c r="E1319" s="17"/>
      <c r="F1319" s="17"/>
    </row>
    <row r="1320">
      <c r="E1320" s="17"/>
      <c r="F1320" s="17"/>
    </row>
    <row r="1321">
      <c r="E1321" s="17"/>
      <c r="F1321" s="17"/>
    </row>
    <row r="1322">
      <c r="E1322" s="17"/>
      <c r="F1322" s="17"/>
    </row>
    <row r="1323">
      <c r="E1323" s="17"/>
      <c r="F1323" s="17"/>
    </row>
    <row r="1324">
      <c r="E1324" s="17"/>
      <c r="F1324" s="17"/>
    </row>
    <row r="1325">
      <c r="E1325" s="17"/>
      <c r="F1325" s="17"/>
    </row>
    <row r="1326">
      <c r="E1326" s="17"/>
      <c r="F1326" s="17"/>
    </row>
    <row r="1327">
      <c r="E1327" s="17"/>
      <c r="F1327" s="17"/>
    </row>
    <row r="1328">
      <c r="E1328" s="17"/>
      <c r="F1328" s="17"/>
    </row>
    <row r="1329">
      <c r="E1329" s="17"/>
      <c r="F1329" s="17"/>
    </row>
    <row r="1330">
      <c r="E1330" s="17"/>
      <c r="F1330" s="17"/>
    </row>
    <row r="1331">
      <c r="E1331" s="17"/>
      <c r="F1331" s="17"/>
    </row>
    <row r="1332">
      <c r="E1332" s="17"/>
      <c r="F1332" s="17"/>
    </row>
    <row r="1333">
      <c r="E1333" s="17"/>
      <c r="F1333" s="17"/>
    </row>
    <row r="1334">
      <c r="E1334" s="17"/>
      <c r="F1334" s="17"/>
    </row>
    <row r="1335">
      <c r="E1335" s="17"/>
      <c r="F1335" s="17"/>
    </row>
    <row r="1336">
      <c r="E1336" s="17"/>
      <c r="F1336" s="17"/>
    </row>
    <row r="1337">
      <c r="E1337" s="17"/>
      <c r="F1337" s="17"/>
    </row>
    <row r="1338">
      <c r="E1338" s="17"/>
      <c r="F1338" s="17"/>
    </row>
    <row r="1339">
      <c r="E1339" s="17"/>
      <c r="F1339" s="17"/>
    </row>
    <row r="1340">
      <c r="E1340" s="17"/>
      <c r="F1340" s="17"/>
    </row>
    <row r="1341">
      <c r="E1341" s="17"/>
      <c r="F1341" s="17"/>
    </row>
    <row r="1342">
      <c r="E1342" s="17"/>
      <c r="F1342" s="17"/>
    </row>
    <row r="1343">
      <c r="E1343" s="17"/>
      <c r="F1343" s="17"/>
    </row>
    <row r="1344">
      <c r="E1344" s="17"/>
      <c r="F1344" s="17"/>
    </row>
    <row r="1345">
      <c r="E1345" s="17"/>
      <c r="F1345" s="17"/>
    </row>
    <row r="1346">
      <c r="E1346" s="17"/>
      <c r="F1346" s="17"/>
    </row>
    <row r="1347">
      <c r="E1347" s="17"/>
      <c r="F1347" s="17"/>
    </row>
    <row r="1348">
      <c r="E1348" s="17"/>
      <c r="F1348" s="17"/>
    </row>
    <row r="1349">
      <c r="E1349" s="17"/>
      <c r="F1349" s="17"/>
    </row>
    <row r="1350">
      <c r="E1350" s="17"/>
      <c r="F1350" s="17"/>
    </row>
    <row r="1351">
      <c r="E1351" s="17"/>
      <c r="F1351" s="17"/>
    </row>
    <row r="1352">
      <c r="E1352" s="17"/>
      <c r="F1352" s="17"/>
    </row>
    <row r="1353">
      <c r="E1353" s="17"/>
      <c r="F1353" s="17"/>
    </row>
    <row r="1354">
      <c r="E1354" s="17"/>
      <c r="F1354" s="17"/>
    </row>
    <row r="1355">
      <c r="E1355" s="17"/>
      <c r="F1355" s="17"/>
    </row>
    <row r="1356">
      <c r="E1356" s="17"/>
      <c r="F1356" s="17"/>
    </row>
    <row r="1357">
      <c r="E1357" s="17"/>
      <c r="F1357" s="17"/>
    </row>
    <row r="1358">
      <c r="E1358" s="17"/>
      <c r="F1358" s="17"/>
    </row>
    <row r="1359">
      <c r="E1359" s="17"/>
      <c r="F1359" s="17"/>
    </row>
    <row r="1360">
      <c r="E1360" s="17"/>
      <c r="F1360" s="17"/>
    </row>
    <row r="1361">
      <c r="E1361" s="17"/>
      <c r="F1361" s="17"/>
    </row>
    <row r="1362">
      <c r="E1362" s="17"/>
      <c r="F1362" s="17"/>
    </row>
    <row r="1363">
      <c r="E1363" s="17"/>
      <c r="F1363" s="17"/>
    </row>
    <row r="1364">
      <c r="E1364" s="17"/>
      <c r="F1364" s="17"/>
    </row>
    <row r="1365">
      <c r="E1365" s="17"/>
      <c r="F1365" s="17"/>
    </row>
    <row r="1366">
      <c r="E1366" s="17"/>
      <c r="F1366" s="17"/>
    </row>
    <row r="1367">
      <c r="E1367" s="17"/>
      <c r="F1367" s="17"/>
    </row>
    <row r="1368">
      <c r="E1368" s="17"/>
      <c r="F1368" s="17"/>
    </row>
    <row r="1369">
      <c r="E1369" s="17"/>
      <c r="F1369" s="17"/>
    </row>
    <row r="1370">
      <c r="E1370" s="17"/>
      <c r="F1370" s="17"/>
    </row>
    <row r="1371">
      <c r="E1371" s="17"/>
      <c r="F1371" s="17"/>
    </row>
    <row r="1372">
      <c r="E1372" s="17"/>
      <c r="F1372" s="17"/>
    </row>
    <row r="1373">
      <c r="E1373" s="17"/>
      <c r="F1373" s="17"/>
    </row>
    <row r="1374">
      <c r="E1374" s="17"/>
      <c r="F1374" s="17"/>
    </row>
    <row r="1375">
      <c r="E1375" s="17"/>
      <c r="F1375" s="17"/>
    </row>
    <row r="1376">
      <c r="E1376" s="17"/>
      <c r="F1376" s="17"/>
    </row>
    <row r="1377">
      <c r="E1377" s="17"/>
      <c r="F1377" s="17"/>
    </row>
    <row r="1378">
      <c r="E1378" s="17"/>
      <c r="F1378" s="17"/>
    </row>
    <row r="1379">
      <c r="E1379" s="17"/>
      <c r="F1379" s="17"/>
    </row>
    <row r="1380">
      <c r="E1380" s="17"/>
      <c r="F1380" s="17"/>
    </row>
    <row r="1381">
      <c r="E1381" s="17"/>
      <c r="F1381" s="17"/>
    </row>
    <row r="1382">
      <c r="E1382" s="17"/>
      <c r="F1382" s="17"/>
    </row>
    <row r="1383">
      <c r="E1383" s="17"/>
      <c r="F1383" s="17"/>
    </row>
    <row r="1384">
      <c r="E1384" s="17"/>
      <c r="F1384" s="17"/>
    </row>
    <row r="1385">
      <c r="E1385" s="17"/>
      <c r="F1385" s="17"/>
    </row>
    <row r="1386">
      <c r="E1386" s="17"/>
      <c r="F1386" s="17"/>
    </row>
    <row r="1387">
      <c r="E1387" s="17"/>
      <c r="F1387" s="17"/>
    </row>
    <row r="1388">
      <c r="E1388" s="17"/>
      <c r="F1388" s="17"/>
    </row>
    <row r="1389">
      <c r="E1389" s="17"/>
      <c r="F1389" s="17"/>
    </row>
    <row r="1390">
      <c r="E1390" s="17"/>
      <c r="F1390" s="17"/>
    </row>
    <row r="1391">
      <c r="E1391" s="17"/>
      <c r="F1391" s="17"/>
    </row>
    <row r="1392">
      <c r="E1392" s="17"/>
      <c r="F1392" s="17"/>
    </row>
    <row r="1393">
      <c r="E1393" s="17"/>
      <c r="F1393" s="17"/>
    </row>
    <row r="1394">
      <c r="E1394" s="17"/>
      <c r="F1394" s="17"/>
    </row>
    <row r="1395">
      <c r="E1395" s="17"/>
      <c r="F1395" s="17"/>
    </row>
    <row r="1396">
      <c r="E1396" s="17"/>
      <c r="F1396" s="17"/>
    </row>
    <row r="1397">
      <c r="E1397" s="17"/>
      <c r="F1397" s="17"/>
    </row>
    <row r="1398">
      <c r="E1398" s="17"/>
      <c r="F1398" s="17"/>
    </row>
    <row r="1399">
      <c r="E1399" s="17"/>
      <c r="F1399" s="17"/>
    </row>
    <row r="1400">
      <c r="E1400" s="17"/>
      <c r="F1400" s="17"/>
    </row>
    <row r="1401">
      <c r="E1401" s="17"/>
      <c r="F1401" s="17"/>
    </row>
    <row r="1402">
      <c r="E1402" s="17"/>
      <c r="F1402" s="17"/>
    </row>
    <row r="1403">
      <c r="E1403" s="17"/>
      <c r="F1403" s="17"/>
    </row>
    <row r="1404">
      <c r="E1404" s="17"/>
      <c r="F1404" s="17"/>
    </row>
    <row r="1405">
      <c r="E1405" s="17"/>
      <c r="F1405" s="17"/>
    </row>
    <row r="1406">
      <c r="E1406" s="17"/>
      <c r="F1406" s="17"/>
    </row>
    <row r="1407">
      <c r="E1407" s="17"/>
      <c r="F1407" s="17"/>
    </row>
    <row r="1408">
      <c r="E1408" s="17"/>
      <c r="F1408" s="17"/>
    </row>
    <row r="1409">
      <c r="E1409" s="17"/>
      <c r="F1409" s="17"/>
    </row>
    <row r="1410">
      <c r="E1410" s="17"/>
      <c r="F1410" s="17"/>
    </row>
    <row r="1411">
      <c r="E1411" s="17"/>
      <c r="F1411" s="17"/>
    </row>
    <row r="1412">
      <c r="E1412" s="17"/>
      <c r="F1412" s="17"/>
    </row>
    <row r="1413">
      <c r="E1413" s="17"/>
      <c r="F1413" s="17"/>
    </row>
    <row r="1414">
      <c r="E1414" s="17"/>
      <c r="F1414" s="17"/>
    </row>
    <row r="1415">
      <c r="E1415" s="17"/>
      <c r="F1415" s="17"/>
    </row>
    <row r="1416">
      <c r="E1416" s="17"/>
      <c r="F1416" s="17"/>
    </row>
    <row r="1417">
      <c r="E1417" s="17"/>
      <c r="F1417" s="17"/>
    </row>
    <row r="1418">
      <c r="E1418" s="17"/>
      <c r="F1418" s="17"/>
    </row>
    <row r="1419">
      <c r="E1419" s="17"/>
      <c r="F1419" s="17"/>
    </row>
    <row r="1420">
      <c r="E1420" s="17"/>
      <c r="F1420" s="17"/>
    </row>
    <row r="1421">
      <c r="E1421" s="17"/>
      <c r="F1421" s="17"/>
    </row>
    <row r="1422">
      <c r="E1422" s="17"/>
      <c r="F1422" s="17"/>
    </row>
    <row r="1423">
      <c r="E1423" s="17"/>
      <c r="F1423" s="17"/>
    </row>
    <row r="1424">
      <c r="E1424" s="17"/>
      <c r="F1424" s="17"/>
    </row>
    <row r="1425">
      <c r="E1425" s="17"/>
      <c r="F1425" s="17"/>
    </row>
    <row r="1426">
      <c r="E1426" s="17"/>
      <c r="F1426" s="17"/>
    </row>
    <row r="1427">
      <c r="E1427" s="17"/>
      <c r="F1427" s="17"/>
    </row>
    <row r="1428">
      <c r="E1428" s="17"/>
      <c r="F1428" s="17"/>
    </row>
    <row r="1429">
      <c r="E1429" s="17"/>
      <c r="F1429" s="17"/>
    </row>
    <row r="1430">
      <c r="E1430" s="17"/>
      <c r="F1430" s="17"/>
    </row>
    <row r="1431">
      <c r="E1431" s="17"/>
      <c r="F1431" s="17"/>
    </row>
    <row r="1432">
      <c r="E1432" s="17"/>
      <c r="F1432" s="17"/>
    </row>
    <row r="1433">
      <c r="E1433" s="17"/>
      <c r="F1433" s="17"/>
    </row>
    <row r="1434">
      <c r="E1434" s="17"/>
      <c r="F1434" s="17"/>
    </row>
    <row r="1435">
      <c r="E1435" s="17"/>
      <c r="F1435" s="17"/>
    </row>
    <row r="1436">
      <c r="E1436" s="17"/>
      <c r="F1436" s="17"/>
    </row>
    <row r="1437">
      <c r="E1437" s="17"/>
      <c r="F1437" s="17"/>
    </row>
    <row r="1438">
      <c r="E1438" s="17"/>
      <c r="F1438" s="17"/>
    </row>
    <row r="1439">
      <c r="E1439" s="17"/>
      <c r="F1439" s="17"/>
    </row>
    <row r="1440">
      <c r="E1440" s="17"/>
      <c r="F1440" s="17"/>
    </row>
    <row r="1441">
      <c r="E1441" s="17"/>
      <c r="F1441" s="17"/>
    </row>
    <row r="1442">
      <c r="E1442" s="17"/>
      <c r="F1442" s="17"/>
    </row>
    <row r="1443">
      <c r="E1443" s="17"/>
      <c r="F1443" s="17"/>
    </row>
    <row r="1444">
      <c r="E1444" s="17"/>
      <c r="F1444" s="17"/>
    </row>
    <row r="1445">
      <c r="E1445" s="17"/>
      <c r="F1445" s="17"/>
    </row>
    <row r="1446">
      <c r="E1446" s="17"/>
      <c r="F1446" s="17"/>
    </row>
    <row r="1447">
      <c r="E1447" s="17"/>
      <c r="F1447" s="17"/>
    </row>
    <row r="1448">
      <c r="E1448" s="17"/>
      <c r="F1448" s="17"/>
    </row>
    <row r="1449">
      <c r="E1449" s="17"/>
      <c r="F1449" s="17"/>
    </row>
    <row r="1450">
      <c r="E1450" s="17"/>
      <c r="F1450" s="17"/>
    </row>
    <row r="1451">
      <c r="E1451" s="17"/>
      <c r="F1451" s="17"/>
    </row>
    <row r="1452">
      <c r="E1452" s="17"/>
      <c r="F1452" s="17"/>
    </row>
    <row r="1453">
      <c r="E1453" s="17"/>
      <c r="F1453" s="17"/>
    </row>
    <row r="1454">
      <c r="E1454" s="17"/>
      <c r="F1454" s="17"/>
    </row>
    <row r="1455">
      <c r="E1455" s="17"/>
      <c r="F1455" s="17"/>
    </row>
    <row r="1456">
      <c r="E1456" s="17"/>
      <c r="F1456" s="17"/>
    </row>
    <row r="1457">
      <c r="E1457" s="17"/>
      <c r="F1457" s="17"/>
    </row>
    <row r="1458">
      <c r="E1458" s="17"/>
      <c r="F1458" s="17"/>
    </row>
    <row r="1459">
      <c r="E1459" s="17"/>
      <c r="F1459" s="17"/>
    </row>
    <row r="1460">
      <c r="E1460" s="17"/>
      <c r="F1460" s="17"/>
    </row>
    <row r="1461">
      <c r="E1461" s="17"/>
      <c r="F1461" s="17"/>
    </row>
    <row r="1462">
      <c r="E1462" s="17"/>
      <c r="F1462" s="17"/>
    </row>
    <row r="1463">
      <c r="E1463" s="17"/>
      <c r="F1463" s="17"/>
    </row>
    <row r="1464">
      <c r="E1464" s="17"/>
      <c r="F1464" s="17"/>
    </row>
    <row r="1465">
      <c r="E1465" s="17"/>
      <c r="F1465" s="17"/>
    </row>
    <row r="1466">
      <c r="E1466" s="17"/>
      <c r="F1466" s="17"/>
    </row>
    <row r="1467">
      <c r="E1467" s="17"/>
      <c r="F1467" s="17"/>
    </row>
    <row r="1468">
      <c r="E1468" s="17"/>
      <c r="F1468" s="17"/>
    </row>
    <row r="1469">
      <c r="E1469" s="17"/>
      <c r="F1469" s="17"/>
    </row>
    <row r="1470">
      <c r="E1470" s="17"/>
      <c r="F1470" s="17"/>
    </row>
    <row r="1471">
      <c r="E1471" s="17"/>
      <c r="F1471" s="17"/>
    </row>
    <row r="1472">
      <c r="E1472" s="17"/>
      <c r="F1472" s="17"/>
    </row>
    <row r="1473">
      <c r="E1473" s="17"/>
      <c r="F1473" s="17"/>
    </row>
    <row r="1474">
      <c r="E1474" s="17"/>
      <c r="F1474" s="17"/>
    </row>
    <row r="1475">
      <c r="E1475" s="17"/>
      <c r="F1475" s="17"/>
    </row>
    <row r="1476">
      <c r="E1476" s="17"/>
      <c r="F1476" s="17"/>
    </row>
    <row r="1477">
      <c r="E1477" s="17"/>
      <c r="F1477" s="17"/>
    </row>
    <row r="1478">
      <c r="E1478" s="17"/>
      <c r="F1478" s="17"/>
    </row>
    <row r="1479">
      <c r="E1479" s="17"/>
      <c r="F1479" s="17"/>
    </row>
    <row r="1480">
      <c r="E1480" s="17"/>
      <c r="F1480" s="17"/>
    </row>
    <row r="1481">
      <c r="E1481" s="17"/>
      <c r="F1481" s="17"/>
    </row>
    <row r="1482">
      <c r="E1482" s="17"/>
      <c r="F1482" s="17"/>
    </row>
    <row r="1483">
      <c r="E1483" s="17"/>
      <c r="F1483" s="17"/>
    </row>
    <row r="1484">
      <c r="E1484" s="17"/>
      <c r="F1484" s="17"/>
    </row>
    <row r="1485">
      <c r="E1485" s="17"/>
      <c r="F1485" s="17"/>
    </row>
    <row r="1486">
      <c r="E1486" s="17"/>
      <c r="F1486" s="17"/>
    </row>
    <row r="1487">
      <c r="E1487" s="17"/>
      <c r="F1487" s="17"/>
    </row>
    <row r="1488">
      <c r="E1488" s="17"/>
      <c r="F1488" s="17"/>
    </row>
    <row r="1489">
      <c r="E1489" s="17"/>
      <c r="F1489" s="17"/>
    </row>
    <row r="1490">
      <c r="E1490" s="17"/>
      <c r="F1490" s="17"/>
    </row>
    <row r="1491">
      <c r="E1491" s="17"/>
      <c r="F1491" s="17"/>
    </row>
    <row r="1492">
      <c r="E1492" s="17"/>
      <c r="F1492" s="17"/>
    </row>
    <row r="1493">
      <c r="E1493" s="17"/>
      <c r="F1493" s="17"/>
    </row>
    <row r="1494">
      <c r="E1494" s="17"/>
      <c r="F1494" s="17"/>
    </row>
    <row r="1495">
      <c r="E1495" s="17"/>
      <c r="F1495" s="17"/>
    </row>
    <row r="1496">
      <c r="E1496" s="17"/>
      <c r="F1496" s="17"/>
    </row>
    <row r="1497">
      <c r="E1497" s="17"/>
      <c r="F1497" s="17"/>
    </row>
    <row r="1498">
      <c r="E1498" s="17"/>
      <c r="F1498" s="17"/>
    </row>
    <row r="1499">
      <c r="E1499" s="17"/>
      <c r="F1499" s="17"/>
    </row>
    <row r="1500">
      <c r="E1500" s="17"/>
      <c r="F1500" s="17"/>
    </row>
    <row r="1501">
      <c r="E1501" s="17"/>
      <c r="F1501" s="17"/>
    </row>
    <row r="1502">
      <c r="E1502" s="17"/>
      <c r="F1502" s="17"/>
    </row>
    <row r="1503">
      <c r="E1503" s="17"/>
      <c r="F1503" s="17"/>
    </row>
    <row r="1504">
      <c r="E1504" s="17"/>
      <c r="F1504" s="17"/>
    </row>
    <row r="1505">
      <c r="E1505" s="17"/>
      <c r="F1505" s="17"/>
    </row>
    <row r="1506">
      <c r="E1506" s="17"/>
      <c r="F1506" s="17"/>
    </row>
    <row r="1507">
      <c r="E1507" s="17"/>
      <c r="F1507" s="17"/>
    </row>
    <row r="1508">
      <c r="E1508" s="17"/>
      <c r="F1508" s="17"/>
    </row>
    <row r="1509">
      <c r="E1509" s="17"/>
      <c r="F1509" s="17"/>
    </row>
    <row r="1510">
      <c r="E1510" s="17"/>
      <c r="F1510" s="17"/>
    </row>
    <row r="1511">
      <c r="E1511" s="17"/>
      <c r="F1511" s="17"/>
    </row>
    <row r="1512">
      <c r="E1512" s="17"/>
      <c r="F1512" s="17"/>
    </row>
    <row r="1513">
      <c r="E1513" s="17"/>
      <c r="F1513" s="17"/>
    </row>
    <row r="1514">
      <c r="E1514" s="17"/>
      <c r="F1514" s="17"/>
    </row>
    <row r="1515">
      <c r="E1515" s="17"/>
      <c r="F1515" s="17"/>
    </row>
    <row r="1516">
      <c r="E1516" s="17"/>
      <c r="F1516" s="17"/>
    </row>
    <row r="1517">
      <c r="E1517" s="17"/>
      <c r="F1517" s="17"/>
    </row>
    <row r="1518">
      <c r="E1518" s="17"/>
      <c r="F1518" s="17"/>
    </row>
    <row r="1519">
      <c r="E1519" s="17"/>
      <c r="F1519" s="17"/>
    </row>
    <row r="1520">
      <c r="E1520" s="17"/>
      <c r="F1520" s="17"/>
    </row>
    <row r="1521">
      <c r="E1521" s="17"/>
      <c r="F1521" s="17"/>
    </row>
    <row r="1522">
      <c r="E1522" s="17"/>
      <c r="F1522" s="17"/>
    </row>
    <row r="1523">
      <c r="E1523" s="17"/>
      <c r="F1523" s="17"/>
    </row>
    <row r="1524">
      <c r="E1524" s="17"/>
      <c r="F1524" s="17"/>
    </row>
    <row r="1525">
      <c r="E1525" s="17"/>
      <c r="F1525" s="17"/>
    </row>
  </sheetData>
  <autoFilter ref="$A$1:$G$21">
    <sortState ref="A1:G21">
      <sortCondition ref="C1:C21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4.71"/>
    <col customWidth="1" min="3" max="3" width="29.14"/>
  </cols>
  <sheetData>
    <row r="1">
      <c r="B1" s="1" t="s">
        <v>15653</v>
      </c>
      <c r="C1" s="1" t="s">
        <v>15654</v>
      </c>
      <c r="D1" s="1" t="s">
        <v>15655</v>
      </c>
    </row>
    <row r="2">
      <c r="A2" s="8" t="s">
        <v>15656</v>
      </c>
      <c r="B2" s="7" t="s">
        <v>15657</v>
      </c>
      <c r="C2" s="8"/>
      <c r="D2" s="8"/>
      <c r="E2" s="8" t="str">
        <f t="shared" ref="E2:E3" si="1">"dans le quartier "&amp;B2&amp;A2</f>
        <v>dans le quartier des Abeilles-Numa Droz (La Chaux-de-Fonds)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8" t="s">
        <v>15658</v>
      </c>
      <c r="B3" s="7" t="s">
        <v>15659</v>
      </c>
      <c r="C3" s="8"/>
      <c r="D3" s="8"/>
      <c r="E3" s="8" t="str">
        <f t="shared" si="1"/>
        <v>dans le quartier d'Albisrieden (Zurich)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10" t="s">
        <v>15660</v>
      </c>
      <c r="B4" s="12" t="s">
        <v>15657</v>
      </c>
      <c r="C4" s="12" t="s">
        <v>15661</v>
      </c>
      <c r="D4" s="12" t="s">
        <v>15662</v>
      </c>
      <c r="E4" s="12" t="s">
        <v>15662</v>
      </c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8" t="s">
        <v>15663</v>
      </c>
      <c r="B5" s="7" t="s">
        <v>15659</v>
      </c>
      <c r="C5" s="8"/>
      <c r="D5" s="8"/>
      <c r="E5" s="8" t="str">
        <f t="shared" ref="E5:E27" si="2">"dans le quartier "&amp;B5&amp;A5</f>
        <v>dans le quartier d'Alt-Wiedikon (Zurich)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8" t="s">
        <v>15664</v>
      </c>
      <c r="B6" s="7" t="s">
        <v>15665</v>
      </c>
      <c r="C6" s="8"/>
      <c r="D6" s="8"/>
      <c r="E6" s="8" t="str">
        <f t="shared" si="2"/>
        <v>dans le quartier de l'Auge (Fribourg)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8" t="s">
        <v>15666</v>
      </c>
      <c r="B7" s="7" t="s">
        <v>15667</v>
      </c>
      <c r="C7" s="7"/>
      <c r="D7" s="8"/>
      <c r="E7" s="8" t="str">
        <f t="shared" si="2"/>
        <v>dans le quartier de Bâtie - Acacias (Genève)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8" t="s">
        <v>15668</v>
      </c>
      <c r="B8" s="7" t="s">
        <v>15667</v>
      </c>
      <c r="C8" s="8"/>
      <c r="D8" s="8"/>
      <c r="E8" s="8" t="str">
        <f t="shared" si="2"/>
        <v>dans le quartier de Beauregard (Fribourg)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8" t="s">
        <v>15669</v>
      </c>
      <c r="B9" s="7" t="s">
        <v>15657</v>
      </c>
      <c r="C9" s="8"/>
      <c r="D9" s="8"/>
      <c r="E9" s="8" t="str">
        <f t="shared" si="2"/>
        <v>dans le quartier des Beaux-Arts (Neuchâtel)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8" t="s">
        <v>15670</v>
      </c>
      <c r="B10" s="7" t="s">
        <v>15667</v>
      </c>
      <c r="C10" s="8"/>
      <c r="D10" s="8"/>
      <c r="E10" s="8" t="str">
        <f t="shared" si="2"/>
        <v>dans le quartier de Bel-Air (La Chaux-de-Fonds)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8" t="s">
        <v>15671</v>
      </c>
      <c r="B11" s="7" t="s">
        <v>15667</v>
      </c>
      <c r="C11" s="8"/>
      <c r="D11" s="8"/>
      <c r="E11" s="8" t="str">
        <f t="shared" si="2"/>
        <v>dans le quartier de Bethlehem (Berne)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8" t="s">
        <v>15672</v>
      </c>
      <c r="B12" s="7" t="s">
        <v>15667</v>
      </c>
      <c r="C12" s="8"/>
      <c r="D12" s="8"/>
      <c r="E12" s="8" t="str">
        <f t="shared" si="2"/>
        <v>dans le quartier de Beundenfeld (Berne)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8" t="s">
        <v>15673</v>
      </c>
      <c r="B13" s="7" t="s">
        <v>15667</v>
      </c>
      <c r="C13" s="8"/>
      <c r="D13" s="8"/>
      <c r="E13" s="8" t="str">
        <f t="shared" si="2"/>
        <v>dans le quartier de Blumenau (Winterthur)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8" t="s">
        <v>15674</v>
      </c>
      <c r="B14" s="7" t="s">
        <v>15667</v>
      </c>
      <c r="C14" s="8"/>
      <c r="D14" s="8"/>
      <c r="E14" s="8" t="str">
        <f t="shared" si="2"/>
        <v>dans le quartier de Borde - Bellevaux (Lausanne)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8" t="s">
        <v>15675</v>
      </c>
      <c r="B15" s="7" t="s">
        <v>15667</v>
      </c>
      <c r="C15" s="8"/>
      <c r="D15" s="8"/>
      <c r="E15" s="8" t="str">
        <f t="shared" si="2"/>
        <v>dans le quartier de Bossons - Blécherette (Lausanne)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8" t="s">
        <v>15676</v>
      </c>
      <c r="B16" s="7" t="s">
        <v>15667</v>
      </c>
      <c r="C16" s="8"/>
      <c r="D16" s="8"/>
      <c r="E16" s="8" t="str">
        <f t="shared" si="2"/>
        <v>dans le quartier de Bouchet - Moillebeau (Genève)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8" t="s">
        <v>15677</v>
      </c>
      <c r="B17" s="7" t="s">
        <v>15667</v>
      </c>
      <c r="C17" s="8"/>
      <c r="D17" s="8"/>
      <c r="E17" s="8" t="str">
        <f t="shared" si="2"/>
        <v>dans le quartier de Boujean (Biel/Bienne)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8" t="s">
        <v>15678</v>
      </c>
      <c r="B18" s="7" t="s">
        <v>15679</v>
      </c>
      <c r="C18" s="8"/>
      <c r="D18" s="8"/>
      <c r="E18" s="8" t="str">
        <f t="shared" si="2"/>
        <v>dans le quartier du Bourg (Fribourg)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8" t="s">
        <v>15680</v>
      </c>
      <c r="B19" s="7" t="s">
        <v>15667</v>
      </c>
      <c r="C19" s="8"/>
      <c r="D19" s="8"/>
      <c r="E19" s="8" t="str">
        <f t="shared" si="2"/>
        <v>dans le quartier de Brè (Lugano)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8" t="s">
        <v>15681</v>
      </c>
      <c r="B20" s="7" t="s">
        <v>15667</v>
      </c>
      <c r="C20" s="8"/>
      <c r="D20" s="8"/>
      <c r="E20" s="8" t="str">
        <f t="shared" si="2"/>
        <v>dans le quartier de Breitenrain (Berne)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8" t="s">
        <v>15682</v>
      </c>
      <c r="B21" s="7" t="s">
        <v>15667</v>
      </c>
      <c r="C21" s="8"/>
      <c r="D21" s="8"/>
      <c r="E21" s="8" t="str">
        <f t="shared" si="2"/>
        <v>dans le quartier de Bruderholz (Bâle)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 t="s">
        <v>15683</v>
      </c>
      <c r="B22" s="7" t="s">
        <v>15667</v>
      </c>
      <c r="C22" s="8"/>
      <c r="D22" s="8"/>
      <c r="E22" s="8" t="str">
        <f t="shared" si="2"/>
        <v>dans le quartier de Bruggen (St-Gall)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 t="s">
        <v>15684</v>
      </c>
      <c r="B23" s="7" t="s">
        <v>15667</v>
      </c>
      <c r="C23" s="8"/>
      <c r="D23" s="8"/>
      <c r="E23" s="8" t="str">
        <f t="shared" si="2"/>
        <v>dans le quartier de Buchthalen (Schaffhouse)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 t="s">
        <v>15685</v>
      </c>
      <c r="B24" s="7" t="s">
        <v>15667</v>
      </c>
      <c r="C24" s="8"/>
      <c r="D24" s="8"/>
      <c r="E24" s="8" t="str">
        <f t="shared" si="2"/>
        <v>dans le quartier de Bümpliz (Berne)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 t="s">
        <v>15686</v>
      </c>
      <c r="B25" s="7" t="s">
        <v>15667</v>
      </c>
      <c r="C25" s="8"/>
      <c r="D25" s="8"/>
      <c r="E25" s="8" t="str">
        <f t="shared" si="2"/>
        <v>dans le quartier de Carona (Lugano)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 t="s">
        <v>15687</v>
      </c>
      <c r="B26" s="7" t="s">
        <v>15667</v>
      </c>
      <c r="C26" s="8"/>
      <c r="D26" s="8"/>
      <c r="E26" s="8" t="str">
        <f t="shared" si="2"/>
        <v>dans le quartier de Cassarate (Lugano)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 t="s">
        <v>15688</v>
      </c>
      <c r="B27" s="7" t="s">
        <v>15667</v>
      </c>
      <c r="C27" s="8"/>
      <c r="D27" s="8"/>
      <c r="E27" s="8" t="str">
        <f t="shared" si="2"/>
        <v>dans le quartier de Castagnola (Lugano)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10" t="s">
        <v>15689</v>
      </c>
      <c r="B28" s="12" t="s">
        <v>15690</v>
      </c>
      <c r="C28" s="12" t="s">
        <v>15691</v>
      </c>
      <c r="D28" s="12" t="s">
        <v>15692</v>
      </c>
      <c r="E28" s="18" t="s">
        <v>15693</v>
      </c>
      <c r="F28" s="10"/>
      <c r="G28" s="10"/>
      <c r="H28" s="12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>
      <c r="A29" s="10" t="s">
        <v>15694</v>
      </c>
      <c r="B29" s="12" t="s">
        <v>15695</v>
      </c>
      <c r="C29" s="12" t="s">
        <v>15691</v>
      </c>
      <c r="D29" s="12" t="s">
        <v>15696</v>
      </c>
      <c r="E29" s="18" t="s">
        <v>15697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>
      <c r="A30" s="10" t="s">
        <v>15698</v>
      </c>
      <c r="B30" s="12" t="s">
        <v>15690</v>
      </c>
      <c r="C30" s="12" t="s">
        <v>15691</v>
      </c>
      <c r="D30" s="12" t="s">
        <v>15699</v>
      </c>
      <c r="E30" s="18" t="s">
        <v>15699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>
      <c r="A31" s="10" t="s">
        <v>15700</v>
      </c>
      <c r="B31" s="12" t="s">
        <v>15701</v>
      </c>
      <c r="C31" s="12" t="s">
        <v>15691</v>
      </c>
      <c r="D31" s="12" t="s">
        <v>15702</v>
      </c>
      <c r="E31" s="18" t="s">
        <v>15703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>
      <c r="A32" s="8" t="s">
        <v>15704</v>
      </c>
      <c r="B32" s="7" t="s">
        <v>15667</v>
      </c>
      <c r="C32" s="8"/>
      <c r="D32" s="8"/>
      <c r="E32" s="8" t="str">
        <f t="shared" ref="E32:E35" si="3">"dans le quartier "&amp;B32&amp;A32</f>
        <v>dans le quartier de Chailly - Rovéréaz (Lausanne)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 t="s">
        <v>15705</v>
      </c>
      <c r="B33" s="7" t="s">
        <v>15667</v>
      </c>
      <c r="C33" s="8"/>
      <c r="D33" s="8"/>
      <c r="E33" s="8" t="str">
        <f t="shared" si="3"/>
        <v>dans le quartier de Champagne (Biel/Bienne)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 t="s">
        <v>15706</v>
      </c>
      <c r="B34" s="7" t="s">
        <v>15667</v>
      </c>
      <c r="C34" s="8"/>
      <c r="D34" s="8"/>
      <c r="E34" s="8" t="str">
        <f t="shared" si="3"/>
        <v>dans le quartier de Champel - Roseraie (Genève)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7" t="s">
        <v>15707</v>
      </c>
      <c r="B35" s="7" t="s">
        <v>15667</v>
      </c>
      <c r="C35" s="8"/>
      <c r="D35" s="8"/>
      <c r="E35" s="8" t="str">
        <f t="shared" si="3"/>
        <v>dans le quartier de La Charrière (La Chaux-de-Fonds)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10" t="s">
        <v>15708</v>
      </c>
      <c r="B36" s="12" t="s">
        <v>15701</v>
      </c>
      <c r="C36" s="12" t="s">
        <v>15691</v>
      </c>
      <c r="D36" s="12" t="s">
        <v>15709</v>
      </c>
      <c r="E36" s="12" t="s">
        <v>15709</v>
      </c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>
      <c r="A37" s="8" t="s">
        <v>15710</v>
      </c>
      <c r="B37" s="7" t="s">
        <v>15667</v>
      </c>
      <c r="C37" s="7" t="s">
        <v>15711</v>
      </c>
      <c r="D37" s="8"/>
      <c r="E37" s="8" t="str">
        <f t="shared" ref="E37:E49" si="4">"dans le quartier "&amp;B37&amp;A37</f>
        <v>dans le quartier de Cité - Centre (Genève)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 t="s">
        <v>15712</v>
      </c>
      <c r="B38" s="7" t="s">
        <v>15657</v>
      </c>
      <c r="C38" s="8"/>
      <c r="D38" s="8"/>
      <c r="E38" s="8" t="str">
        <f t="shared" si="4"/>
        <v>dans le quartier des Crêtets (La Chaux-de-Fonds)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 t="s">
        <v>15713</v>
      </c>
      <c r="B39" s="7" t="s">
        <v>15667</v>
      </c>
      <c r="C39" s="8"/>
      <c r="D39" s="8"/>
      <c r="E39" s="8" t="str">
        <f t="shared" si="4"/>
        <v>dans le quartier de Davesco-Soragno (Lugano)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 t="s">
        <v>15714</v>
      </c>
      <c r="B40" s="7" t="s">
        <v>15657</v>
      </c>
      <c r="C40" s="8"/>
      <c r="D40" s="8"/>
      <c r="E40" s="8" t="str">
        <f t="shared" si="4"/>
        <v>dans le quartier des Délices - Grottes (Genève)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 t="s">
        <v>15715</v>
      </c>
      <c r="B41" s="7" t="s">
        <v>15657</v>
      </c>
      <c r="C41" s="8"/>
      <c r="D41" s="8"/>
      <c r="E41" s="8" t="str">
        <f t="shared" si="4"/>
        <v>dans le quartier des Draizes - Vauseyon (Neuchâtel)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 t="s">
        <v>15716</v>
      </c>
      <c r="B42" s="7" t="s">
        <v>15657</v>
      </c>
      <c r="C42" s="8"/>
      <c r="D42" s="8"/>
      <c r="E42" s="8" t="str">
        <f t="shared" si="4"/>
        <v>dans le quartier des Eaux-Vives - Lac (Genève)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 t="s">
        <v>15717</v>
      </c>
      <c r="B43" s="7" t="s">
        <v>15659</v>
      </c>
      <c r="C43" s="8"/>
      <c r="D43" s="8"/>
      <c r="E43" s="8" t="str">
        <f t="shared" si="4"/>
        <v>dans le quartier d'Engeried (Berne)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 t="s">
        <v>15718</v>
      </c>
      <c r="B44" s="7" t="s">
        <v>15667</v>
      </c>
      <c r="C44" s="8"/>
      <c r="D44" s="8"/>
      <c r="E44" s="8" t="str">
        <f t="shared" si="4"/>
        <v>dans le quartier de Florimont - Chissiez (Lausanne)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 t="s">
        <v>15719</v>
      </c>
      <c r="B45" s="7" t="s">
        <v>15667</v>
      </c>
      <c r="C45" s="8"/>
      <c r="D45" s="8"/>
      <c r="E45" s="8" t="str">
        <f t="shared" si="4"/>
        <v>dans le quartier de Florissant - Malagnou (Genève)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 t="s">
        <v>15720</v>
      </c>
      <c r="B46" s="7" t="s">
        <v>15667</v>
      </c>
      <c r="C46" s="8"/>
      <c r="D46" s="8"/>
      <c r="E46" s="8" t="str">
        <f t="shared" si="4"/>
        <v>dans le quartier de Fluntern (Zurich)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 t="s">
        <v>15721</v>
      </c>
      <c r="B47" s="7" t="s">
        <v>15667</v>
      </c>
      <c r="C47" s="8"/>
      <c r="D47" s="8"/>
      <c r="E47" s="8" t="str">
        <f t="shared" si="4"/>
        <v>dans le quartier de Forges-Endroits (La Chaux-de-Fonds)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 t="s">
        <v>15722</v>
      </c>
      <c r="B48" s="7" t="s">
        <v>15667</v>
      </c>
      <c r="C48" s="8"/>
      <c r="D48" s="8"/>
      <c r="E48" s="8" t="str">
        <f t="shared" si="4"/>
        <v>dans le quartier de Gandria (Lugano)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 t="s">
        <v>15723</v>
      </c>
      <c r="B49" s="7" t="s">
        <v>15667</v>
      </c>
      <c r="C49" s="8"/>
      <c r="D49" s="8"/>
      <c r="E49" s="8" t="str">
        <f t="shared" si="4"/>
        <v>dans le quartier de Gasel (Köniz)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10" t="s">
        <v>15724</v>
      </c>
      <c r="B50" s="12" t="s">
        <v>15690</v>
      </c>
      <c r="C50" s="12" t="s">
        <v>15725</v>
      </c>
      <c r="D50" s="10"/>
      <c r="E50" s="7" t="s">
        <v>15726</v>
      </c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>
      <c r="A51" s="8" t="s">
        <v>15727</v>
      </c>
      <c r="B51" s="7" t="s">
        <v>15667</v>
      </c>
      <c r="C51" s="8"/>
      <c r="D51" s="8"/>
      <c r="E51" s="8" t="str">
        <f t="shared" ref="E51:E52" si="5">"dans le quartier "&amp;B51&amp;A51</f>
        <v>dans le quartier de Gotthelf (Bâle)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 t="s">
        <v>15728</v>
      </c>
      <c r="B52" s="7" t="s">
        <v>15667</v>
      </c>
      <c r="C52" s="8"/>
      <c r="D52" s="8"/>
      <c r="E52" s="8" t="str">
        <f t="shared" si="5"/>
        <v>dans le quartier de Grand-Pré - Vermont (Genève)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 t="s">
        <v>15729</v>
      </c>
      <c r="B53" s="7" t="s">
        <v>15667</v>
      </c>
      <c r="C53" s="7" t="s">
        <v>15730</v>
      </c>
      <c r="D53" s="8"/>
      <c r="E53" s="8" t="str">
        <f>"dans le quartier de Alstadt Grossbasel (Bâle)"</f>
        <v>dans le quartier de Alstadt Grossbasel (Bâle)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 t="s">
        <v>15731</v>
      </c>
      <c r="B54" s="7" t="s">
        <v>15667</v>
      </c>
      <c r="C54" s="8"/>
      <c r="D54" s="8"/>
      <c r="E54" s="8" t="str">
        <f>"dans le quartier "&amp;B54&amp;A54</f>
        <v>dans le quartier de Gruben (Schaffhouse)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10" t="s">
        <v>15732</v>
      </c>
      <c r="B55" s="12" t="s">
        <v>15690</v>
      </c>
      <c r="C55" s="12" t="s">
        <v>15733</v>
      </c>
      <c r="D55" s="19" t="s">
        <v>15734</v>
      </c>
      <c r="E55" s="19" t="s">
        <v>15734</v>
      </c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>
      <c r="A56" s="8" t="s">
        <v>15735</v>
      </c>
      <c r="B56" s="7" t="s">
        <v>15667</v>
      </c>
      <c r="C56" s="8"/>
      <c r="D56" s="8"/>
      <c r="E56" s="8" t="str">
        <f t="shared" ref="E56:E58" si="6">"dans le quartier "&amp;B56&amp;A56</f>
        <v>dans le quartier de Gryphenhübeli (Berne)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 t="s">
        <v>15736</v>
      </c>
      <c r="B57" s="7" t="s">
        <v>15667</v>
      </c>
      <c r="C57" s="8"/>
      <c r="D57" s="8"/>
      <c r="E57" s="8" t="str">
        <f t="shared" si="6"/>
        <v>dans le quartier de Guggenbühl (Winterthur)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 t="s">
        <v>15737</v>
      </c>
      <c r="B58" s="7" t="s">
        <v>15667</v>
      </c>
      <c r="C58" s="8"/>
      <c r="D58" s="8"/>
      <c r="E58" s="8" t="str">
        <f t="shared" si="6"/>
        <v>dans le quartier de Gundeldingen (Bâle)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10" t="s">
        <v>15738</v>
      </c>
      <c r="B59" s="12" t="s">
        <v>15667</v>
      </c>
      <c r="C59" s="12" t="s">
        <v>15739</v>
      </c>
      <c r="D59" s="10"/>
      <c r="E59" s="7" t="s">
        <v>15740</v>
      </c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>
      <c r="A60" s="8" t="s">
        <v>15741</v>
      </c>
      <c r="B60" s="7" t="s">
        <v>15667</v>
      </c>
      <c r="C60" s="8"/>
      <c r="D60" s="8"/>
      <c r="E60" s="8" t="str">
        <f t="shared" ref="E60:E67" si="7">"dans le quartier "&amp;B60&amp;A60</f>
        <v>dans le quartier de Hegi (Winterthur)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 t="s">
        <v>15742</v>
      </c>
      <c r="B61" s="7" t="s">
        <v>15667</v>
      </c>
      <c r="C61" s="8"/>
      <c r="D61" s="8"/>
      <c r="E61" s="8" t="str">
        <f t="shared" si="7"/>
        <v>dans le quartier de Hochstrasse (Schaffhouse)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 t="s">
        <v>15743</v>
      </c>
      <c r="B62" s="7" t="s">
        <v>15659</v>
      </c>
      <c r="C62" s="8"/>
      <c r="D62" s="8"/>
      <c r="E62" s="8" t="str">
        <f t="shared" si="7"/>
        <v>dans le quartier d'Iselin (Bâle)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 t="s">
        <v>15744</v>
      </c>
      <c r="B63" s="7" t="s">
        <v>15745</v>
      </c>
      <c r="C63" s="8"/>
      <c r="D63" s="8"/>
      <c r="E63" s="8" t="str">
        <f t="shared" si="7"/>
        <v>dans le quartier de la Jonction - Plainpalais (Genève)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 t="s">
        <v>15746</v>
      </c>
      <c r="B64" s="7" t="s">
        <v>15679</v>
      </c>
      <c r="C64" s="8"/>
      <c r="D64" s="8"/>
      <c r="E64" s="8" t="str">
        <f t="shared" si="7"/>
        <v>dans le quartier du Jura (Fribourg)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 t="s">
        <v>15747</v>
      </c>
      <c r="B65" s="7" t="s">
        <v>15667</v>
      </c>
      <c r="C65" s="8"/>
      <c r="D65" s="8"/>
      <c r="E65" s="8" t="str">
        <f t="shared" si="7"/>
        <v>dans le quartier de Kirchenfeld (Berne)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 t="s">
        <v>15748</v>
      </c>
      <c r="B66" s="7" t="s">
        <v>15667</v>
      </c>
      <c r="C66" s="8"/>
      <c r="D66" s="8"/>
      <c r="E66" s="8" t="str">
        <f t="shared" si="7"/>
        <v>dans le quartier de Kleinhüningen (Bâle)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 t="s">
        <v>15749</v>
      </c>
      <c r="B67" s="7" t="s">
        <v>15667</v>
      </c>
      <c r="C67" s="8"/>
      <c r="D67" s="8"/>
      <c r="E67" s="8" t="str">
        <f t="shared" si="7"/>
        <v>dans le quartier de La Coudre (Neuchâtel)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10" t="s">
        <v>15750</v>
      </c>
      <c r="B68" s="12" t="s">
        <v>15701</v>
      </c>
      <c r="C68" s="12" t="s">
        <v>15751</v>
      </c>
      <c r="D68" s="19" t="s">
        <v>15752</v>
      </c>
      <c r="E68" s="18" t="s">
        <v>15753</v>
      </c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>
      <c r="A69" s="8" t="s">
        <v>15754</v>
      </c>
      <c r="B69" s="7" t="s">
        <v>15667</v>
      </c>
      <c r="C69" s="8"/>
      <c r="D69" s="8"/>
      <c r="E69" s="8" t="str">
        <f t="shared" ref="E69:E96" si="8">"dans le quartier "&amp;B69&amp;A69</f>
        <v>dans le quartier de Länggasse (Berne)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 t="s">
        <v>15755</v>
      </c>
      <c r="B70" s="7" t="s">
        <v>15667</v>
      </c>
      <c r="C70" s="8"/>
      <c r="D70" s="8"/>
      <c r="E70" s="8" t="str">
        <f t="shared" si="8"/>
        <v>dans le quartier de Langstrasse (Zurich)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 t="s">
        <v>15756</v>
      </c>
      <c r="B71" s="7" t="s">
        <v>15667</v>
      </c>
      <c r="C71" s="8"/>
      <c r="D71" s="8"/>
      <c r="E71" s="8" t="str">
        <f t="shared" si="8"/>
        <v>dans le quartier de Linsebühl - Dreilinden (St-Gall)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 t="s">
        <v>15757</v>
      </c>
      <c r="B72" s="7" t="s">
        <v>15667</v>
      </c>
      <c r="C72" s="8"/>
      <c r="D72" s="8"/>
      <c r="E72" s="8" t="str">
        <f t="shared" si="8"/>
        <v>dans le quartier de Littau Dorf (Lucerne)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 t="s">
        <v>15758</v>
      </c>
      <c r="B73" s="7" t="s">
        <v>15667</v>
      </c>
      <c r="C73" s="8"/>
      <c r="D73" s="8"/>
      <c r="E73" s="8" t="str">
        <f t="shared" si="8"/>
        <v>dans le quartier de Mâche (Biel/Bienne)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 t="s">
        <v>15759</v>
      </c>
      <c r="B74" s="7" t="s">
        <v>15667</v>
      </c>
      <c r="C74" s="8"/>
      <c r="D74" s="8"/>
      <c r="E74" s="8" t="str">
        <f t="shared" si="8"/>
        <v>dans le quartier de Madretsch Nord (Biel/Bienne)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 t="s">
        <v>15760</v>
      </c>
      <c r="B75" s="7" t="s">
        <v>15667</v>
      </c>
      <c r="C75" s="8"/>
      <c r="D75" s="8"/>
      <c r="E75" s="8" t="str">
        <f t="shared" si="8"/>
        <v>dans le quartier de Mattenhof (Berne)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 t="s">
        <v>15761</v>
      </c>
      <c r="B76" s="7" t="s">
        <v>15667</v>
      </c>
      <c r="C76" s="8"/>
      <c r="D76" s="8"/>
      <c r="E76" s="8" t="str">
        <f t="shared" si="8"/>
        <v>dans le quartier de Maupas - Valency (Lausanne)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 t="s">
        <v>15762</v>
      </c>
      <c r="B77" s="7" t="s">
        <v>15667</v>
      </c>
      <c r="C77" s="8"/>
      <c r="D77" s="8"/>
      <c r="E77" s="8" t="str">
        <f t="shared" si="8"/>
        <v>dans le quartier de Monbijou (Berne)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 t="s">
        <v>15763</v>
      </c>
      <c r="B78" s="7" t="s">
        <v>15667</v>
      </c>
      <c r="C78" s="8"/>
      <c r="D78" s="8"/>
      <c r="E78" s="8" t="str">
        <f t="shared" si="8"/>
        <v>dans le quartier de Montchoisi (Lausanne)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 t="s">
        <v>15764</v>
      </c>
      <c r="B79" s="7" t="s">
        <v>15667</v>
      </c>
      <c r="C79" s="8"/>
      <c r="D79" s="8"/>
      <c r="E79" s="8" t="str">
        <f t="shared" si="8"/>
        <v>dans le quartier de Montoie - Bourdonette (Lausanne)</v>
      </c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 t="s">
        <v>15765</v>
      </c>
      <c r="B80" s="7" t="s">
        <v>15657</v>
      </c>
      <c r="C80" s="8"/>
      <c r="D80" s="8"/>
      <c r="E80" s="8" t="str">
        <f t="shared" si="8"/>
        <v>dans le quartier des Mousquines - Bellevue (Lausanne)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 t="s">
        <v>15766</v>
      </c>
      <c r="B81" s="7" t="s">
        <v>15667</v>
      </c>
      <c r="C81" s="8"/>
      <c r="D81" s="8"/>
      <c r="E81" s="8" t="str">
        <f t="shared" si="8"/>
        <v>dans le quartier de Neufeld (Berne)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 t="s">
        <v>15767</v>
      </c>
      <c r="B82" s="7" t="s">
        <v>15745</v>
      </c>
      <c r="C82" s="8"/>
      <c r="D82" s="8"/>
      <c r="E82" s="8" t="str">
        <f t="shared" si="8"/>
        <v>dans le quartier de la Neuveville (Fribourg)</v>
      </c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 t="s">
        <v>15768</v>
      </c>
      <c r="B83" s="7" t="s">
        <v>15667</v>
      </c>
      <c r="C83" s="8"/>
      <c r="D83" s="8"/>
      <c r="E83" s="8" t="str">
        <f t="shared" si="8"/>
        <v>dans le quartier de Neuwiesen (Winterthur)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 t="s">
        <v>15769</v>
      </c>
      <c r="B84" s="7" t="s">
        <v>15667</v>
      </c>
      <c r="C84" s="8"/>
      <c r="D84" s="8"/>
      <c r="E84" s="8" t="str">
        <f t="shared" si="8"/>
        <v>dans le quartier de Niederwangen (Köniz)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 t="s">
        <v>15770</v>
      </c>
      <c r="B85" s="7"/>
      <c r="C85" s="8"/>
      <c r="D85" s="8"/>
      <c r="E85" s="8" t="str">
        <f t="shared" si="8"/>
        <v>dans le quartier Nord (Neuchâtel)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 t="s">
        <v>15771</v>
      </c>
      <c r="B86" s="7" t="s">
        <v>15745</v>
      </c>
      <c r="C86" s="8"/>
      <c r="D86" s="8"/>
      <c r="E86" s="8" t="str">
        <f t="shared" si="8"/>
        <v>dans le quartier de la Nouvelle ville nord (Biel/Bienne)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 t="s">
        <v>15772</v>
      </c>
      <c r="B87" s="7" t="s">
        <v>15745</v>
      </c>
      <c r="C87" s="8"/>
      <c r="D87" s="8"/>
      <c r="E87" s="8" t="str">
        <f t="shared" si="8"/>
        <v>dans le quartier de la Nouvelle ville sud (Biel/Bienne)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 t="s">
        <v>15773</v>
      </c>
      <c r="B88" s="7" t="s">
        <v>15665</v>
      </c>
      <c r="C88" s="8"/>
      <c r="D88" s="8"/>
      <c r="E88" s="8" t="str">
        <f t="shared" si="8"/>
        <v>dans le quartier de l'ONU - Rigot (Genève)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 t="s">
        <v>15774</v>
      </c>
      <c r="B89" s="7" t="s">
        <v>15657</v>
      </c>
      <c r="C89" s="8"/>
      <c r="D89" s="8"/>
      <c r="E89" s="8" t="str">
        <f t="shared" si="8"/>
        <v>dans le quartier des Pâquis - Navigation (Genève)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 t="s">
        <v>15775</v>
      </c>
      <c r="B90" s="7" t="s">
        <v>15667</v>
      </c>
      <c r="C90" s="8"/>
      <c r="D90" s="8"/>
      <c r="E90" s="8" t="str">
        <f t="shared" si="8"/>
        <v>dans le quartier de Pérolles (Fribourg)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 t="s">
        <v>15776</v>
      </c>
      <c r="B91" s="7" t="s">
        <v>15657</v>
      </c>
      <c r="C91" s="8"/>
      <c r="D91" s="8"/>
      <c r="E91" s="8" t="str">
        <f t="shared" si="8"/>
        <v>dans le quartier des Places (Fribourg)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 t="s">
        <v>15777</v>
      </c>
      <c r="B92" s="7" t="s">
        <v>15667</v>
      </c>
      <c r="C92" s="8"/>
      <c r="D92" s="8"/>
      <c r="E92" s="8" t="str">
        <f t="shared" si="8"/>
        <v>dans le quartier de Pouillerel-Postiers-Chevreuils (La Chaux-de-Fonds)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 t="s">
        <v>15778</v>
      </c>
      <c r="B93" s="7" t="s">
        <v>15667</v>
      </c>
      <c r="C93" s="8"/>
      <c r="D93" s="8"/>
      <c r="E93" s="8" t="str">
        <f t="shared" si="8"/>
        <v>dans le quartier de Pregassona (Lugano)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 t="s">
        <v>15779</v>
      </c>
      <c r="B94" s="7"/>
      <c r="C94" s="8"/>
      <c r="D94" s="8"/>
      <c r="E94" s="8" t="str">
        <f t="shared" si="8"/>
        <v>dans le quartier Rathaus (Zurich)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 t="s">
        <v>15780</v>
      </c>
      <c r="B95" s="7" t="s">
        <v>15667</v>
      </c>
      <c r="C95" s="8"/>
      <c r="D95" s="8"/>
      <c r="E95" s="8" t="str">
        <f t="shared" si="8"/>
        <v>dans le quartier de Rosenberg (Winterthur)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 t="s">
        <v>15781</v>
      </c>
      <c r="B96" s="7" t="s">
        <v>15667</v>
      </c>
      <c r="C96" s="8"/>
      <c r="D96" s="8"/>
      <c r="E96" s="8" t="str">
        <f t="shared" si="8"/>
        <v>dans le quartier de Rosental (Bâle)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10" t="s">
        <v>15782</v>
      </c>
      <c r="B97" s="12" t="s">
        <v>15690</v>
      </c>
      <c r="C97" s="12" t="s">
        <v>15783</v>
      </c>
      <c r="D97" s="19" t="s">
        <v>15784</v>
      </c>
      <c r="E97" s="19" t="s">
        <v>15784</v>
      </c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>
      <c r="A98" s="8" t="s">
        <v>15785</v>
      </c>
      <c r="B98" s="7" t="s">
        <v>15745</v>
      </c>
      <c r="C98" s="8"/>
      <c r="D98" s="8"/>
      <c r="E98" s="8" t="str">
        <f t="shared" ref="E98:E103" si="9">"dans le quartier "&amp;B98&amp;A98</f>
        <v>dans le quartier de la Ruche (La Chaux-de-Fonds)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 t="s">
        <v>15786</v>
      </c>
      <c r="B99" s="7" t="s">
        <v>15667</v>
      </c>
      <c r="C99" s="8"/>
      <c r="D99" s="8"/>
      <c r="E99" s="8" t="str">
        <f t="shared" si="9"/>
        <v>dans le quartier de Sallaz - Vennes - Séchaud (Lausanne)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 t="s">
        <v>15787</v>
      </c>
      <c r="B100" s="7" t="s">
        <v>15667</v>
      </c>
      <c r="C100" s="8"/>
      <c r="D100" s="8"/>
      <c r="E100" s="8" t="str">
        <f t="shared" si="9"/>
        <v>dans le quartier de Sandrain (Berne)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 t="s">
        <v>15788</v>
      </c>
      <c r="B101" s="7" t="s">
        <v>15667</v>
      </c>
      <c r="C101" s="8"/>
      <c r="D101" s="8"/>
      <c r="E101" s="8" t="str">
        <f t="shared" si="9"/>
        <v>dans le quartier de Sauvabelin (Lausanne)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 t="s">
        <v>15789</v>
      </c>
      <c r="B102" s="7" t="s">
        <v>15667</v>
      </c>
      <c r="C102" s="8"/>
      <c r="D102" s="8"/>
      <c r="E102" s="8" t="str">
        <f t="shared" si="9"/>
        <v>dans le quartier de Schosshalde (Berne)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 t="s">
        <v>15790</v>
      </c>
      <c r="B103" s="7" t="s">
        <v>15667</v>
      </c>
      <c r="C103" s="8"/>
      <c r="D103" s="8"/>
      <c r="E103" s="8" t="str">
        <f t="shared" si="9"/>
        <v>dans le quartier de Sécheron - Prieuré (Genève)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10" t="s">
        <v>15791</v>
      </c>
      <c r="B104" s="12" t="s">
        <v>15690</v>
      </c>
      <c r="C104" s="12" t="s">
        <v>15792</v>
      </c>
      <c r="D104" s="10"/>
      <c r="E104" s="18" t="s">
        <v>15793</v>
      </c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>
      <c r="A105" s="10" t="s">
        <v>15794</v>
      </c>
      <c r="B105" s="12" t="s">
        <v>15690</v>
      </c>
      <c r="C105" s="12" t="s">
        <v>15795</v>
      </c>
      <c r="D105" s="10"/>
      <c r="E105" s="18" t="s">
        <v>15796</v>
      </c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>
      <c r="A106" s="8" t="s">
        <v>15797</v>
      </c>
      <c r="B106" s="7" t="s">
        <v>15667</v>
      </c>
      <c r="C106" s="8"/>
      <c r="D106" s="8"/>
      <c r="E106" s="8" t="str">
        <f t="shared" ref="E106:E115" si="10">"dans le quartier "&amp;B106&amp;A106</f>
        <v>dans le quartier de Seebach (Zurich)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 t="s">
        <v>15798</v>
      </c>
      <c r="B107" s="7" t="s">
        <v>15667</v>
      </c>
      <c r="C107" s="8"/>
      <c r="D107" s="8"/>
      <c r="E107" s="8" t="str">
        <f t="shared" si="10"/>
        <v>dans le quartier de Sennhof (Winterthur)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 t="s">
        <v>15799</v>
      </c>
      <c r="B108" s="7" t="s">
        <v>15667</v>
      </c>
      <c r="C108" s="8"/>
      <c r="D108" s="8"/>
      <c r="E108" s="8" t="str">
        <f t="shared" si="10"/>
        <v>dans le quartier de Serrières (Neuchâtel)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 t="s">
        <v>15800</v>
      </c>
      <c r="B109" s="7" t="s">
        <v>15667</v>
      </c>
      <c r="C109" s="8"/>
      <c r="D109" s="8"/>
      <c r="E109" s="8" t="str">
        <f t="shared" si="10"/>
        <v>dans le quartier de Sous-Gare - Ouchy (Lausanne)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 t="s">
        <v>15801</v>
      </c>
      <c r="B110" s="7" t="s">
        <v>15667</v>
      </c>
      <c r="C110" s="8"/>
      <c r="D110" s="8"/>
      <c r="E110" s="8" t="str">
        <f t="shared" si="10"/>
        <v>dans le quartier de St-Gervais - Chantepoulet (Genève)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 t="s">
        <v>15802</v>
      </c>
      <c r="B111" s="7" t="s">
        <v>15667</v>
      </c>
      <c r="C111" s="8"/>
      <c r="D111" s="8"/>
      <c r="E111" s="8" t="str">
        <f t="shared" si="10"/>
        <v>dans le quartier de St. Alban (Bâle)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 t="s">
        <v>15803</v>
      </c>
      <c r="B112" s="7" t="s">
        <v>15667</v>
      </c>
      <c r="C112" s="8"/>
      <c r="D112" s="8"/>
      <c r="E112" s="8" t="str">
        <f t="shared" si="10"/>
        <v>dans le quartier de St. Georgen (St-Gall)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 t="s">
        <v>15804</v>
      </c>
      <c r="B113" s="7" t="s">
        <v>15667</v>
      </c>
      <c r="C113" s="8"/>
      <c r="D113" s="8"/>
      <c r="E113" s="8" t="str">
        <f t="shared" si="10"/>
        <v>dans le quartier de St. Jakob (St-Gall)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 t="s">
        <v>15805</v>
      </c>
      <c r="B114" s="7" t="s">
        <v>15667</v>
      </c>
      <c r="C114" s="8"/>
      <c r="D114" s="8"/>
      <c r="E114" s="8" t="str">
        <f t="shared" si="10"/>
        <v>dans le quartier de St. Johann (Bâle)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 t="s">
        <v>15806</v>
      </c>
      <c r="B115" s="7" t="s">
        <v>15667</v>
      </c>
      <c r="C115" s="8"/>
      <c r="D115" s="8"/>
      <c r="E115" s="8" t="str">
        <f t="shared" si="10"/>
        <v>dans le quartier de Succès (La Chaux-de-Fonds)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10" t="s">
        <v>15807</v>
      </c>
      <c r="B116" s="12" t="s">
        <v>15701</v>
      </c>
      <c r="C116" s="12" t="s">
        <v>15691</v>
      </c>
      <c r="D116" s="12" t="s">
        <v>15808</v>
      </c>
      <c r="E116" s="12" t="s">
        <v>15808</v>
      </c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>
      <c r="A117" s="8" t="s">
        <v>15809</v>
      </c>
      <c r="B117" s="7" t="s">
        <v>15659</v>
      </c>
      <c r="C117" s="8"/>
      <c r="D117" s="8"/>
      <c r="E117" s="8" t="str">
        <f t="shared" ref="E117:E120" si="11">"dans le quartier "&amp;B117&amp;A117</f>
        <v>dans le quartier d'Unterstrass (Zurich)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 t="s">
        <v>15810</v>
      </c>
      <c r="B118" s="7" t="s">
        <v>15667</v>
      </c>
      <c r="C118" s="8"/>
      <c r="D118" s="8"/>
      <c r="E118" s="8" t="str">
        <f t="shared" si="11"/>
        <v>dans le quartier de Valcolla (Lugano)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 t="s">
        <v>15811</v>
      </c>
      <c r="B119" s="7" t="s">
        <v>15667</v>
      </c>
      <c r="C119" s="8"/>
      <c r="D119" s="8"/>
      <c r="E119" s="8" t="str">
        <f t="shared" si="11"/>
        <v>dans le quartier de Vallon - Béthusy (Lausanne)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 t="s">
        <v>15812</v>
      </c>
      <c r="B120" s="7" t="s">
        <v>15667</v>
      </c>
      <c r="C120" s="8"/>
      <c r="D120" s="8"/>
      <c r="E120" s="8" t="str">
        <f t="shared" si="11"/>
        <v>dans le quartier de Vernand (Lausanne)</v>
      </c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10" t="s">
        <v>15813</v>
      </c>
      <c r="B121" s="12" t="s">
        <v>15701</v>
      </c>
      <c r="C121" s="12" t="s">
        <v>15691</v>
      </c>
      <c r="D121" s="12" t="s">
        <v>15814</v>
      </c>
      <c r="E121" s="12" t="s">
        <v>15814</v>
      </c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>
      <c r="A122" s="8" t="s">
        <v>15815</v>
      </c>
      <c r="B122" s="7" t="s">
        <v>15667</v>
      </c>
      <c r="C122" s="8"/>
      <c r="D122" s="8"/>
      <c r="E122" s="8" t="str">
        <f t="shared" ref="E122:E124" si="12">"dans le quartier "&amp;B122&amp;A122</f>
        <v>dans le quartier de Viganello (Lugano)</v>
      </c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 t="s">
        <v>15816</v>
      </c>
      <c r="B123" s="7" t="s">
        <v>15667</v>
      </c>
      <c r="C123" s="8"/>
      <c r="D123" s="8"/>
      <c r="E123" s="8" t="str">
        <f t="shared" si="12"/>
        <v>dans le quartier de Vigneules (Biel/Bienne)</v>
      </c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 t="s">
        <v>15817</v>
      </c>
      <c r="B124" s="7" t="s">
        <v>15679</v>
      </c>
      <c r="C124" s="8"/>
      <c r="D124" s="8"/>
      <c r="E124" s="8" t="str">
        <f t="shared" si="12"/>
        <v>dans le quartier du Vignoble (Biel/Bienne)</v>
      </c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10" t="s">
        <v>15818</v>
      </c>
      <c r="B125" s="12" t="s">
        <v>15819</v>
      </c>
      <c r="C125" s="12" t="s">
        <v>15820</v>
      </c>
      <c r="D125" s="10"/>
      <c r="E125" s="7" t="s">
        <v>15821</v>
      </c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>
      <c r="A126" s="8" t="s">
        <v>15822</v>
      </c>
      <c r="B126" s="7" t="s">
        <v>15667</v>
      </c>
      <c r="C126" s="8"/>
      <c r="D126" s="8"/>
      <c r="E126" s="8" t="str">
        <f t="shared" ref="E126:E131" si="13">"dans le quartier "&amp;B126&amp;A126</f>
        <v>dans le quartier de Vinet - Pontaise (Lausanne)</v>
      </c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 t="s">
        <v>15823</v>
      </c>
      <c r="B127" s="7" t="s">
        <v>15667</v>
      </c>
      <c r="C127" s="8"/>
      <c r="D127" s="8"/>
      <c r="E127" s="8" t="str">
        <f t="shared" si="13"/>
        <v>dans le quartier de Vorstädte (Bâle)</v>
      </c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 t="s">
        <v>15824</v>
      </c>
      <c r="B128" s="7" t="s">
        <v>15667</v>
      </c>
      <c r="C128" s="8"/>
      <c r="D128" s="8"/>
      <c r="E128" s="8" t="str">
        <f t="shared" si="13"/>
        <v>dans le quartier de Weissenbühl (Berne)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 t="s">
        <v>15825</v>
      </c>
      <c r="B129" s="7" t="s">
        <v>15667</v>
      </c>
      <c r="C129" s="8"/>
      <c r="D129" s="8"/>
      <c r="E129" s="8" t="str">
        <f t="shared" si="13"/>
        <v>dans le quartier de Weissenstein (Berne)</v>
      </c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 t="s">
        <v>15826</v>
      </c>
      <c r="B130" s="7" t="s">
        <v>15667</v>
      </c>
      <c r="C130" s="8"/>
      <c r="D130" s="8"/>
      <c r="E130" s="8" t="str">
        <f t="shared" si="13"/>
        <v>dans le quartier de Wettstein (Bâle)</v>
      </c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 t="s">
        <v>15827</v>
      </c>
      <c r="B131" s="7" t="s">
        <v>15667</v>
      </c>
      <c r="C131" s="8"/>
      <c r="D131" s="8"/>
      <c r="E131" s="8" t="str">
        <f t="shared" si="13"/>
        <v>dans le quartier de Wipkingen (Zurich)</v>
      </c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29"/>
  </cols>
  <sheetData>
    <row r="1">
      <c r="A1" s="8" t="s">
        <v>15828</v>
      </c>
      <c r="B1" s="7" t="s">
        <v>15829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8" t="s">
        <v>15830</v>
      </c>
      <c r="B2" s="7" t="s">
        <v>15819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8" t="s">
        <v>15831</v>
      </c>
      <c r="B3" s="7" t="s">
        <v>15829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8" t="s">
        <v>15832</v>
      </c>
      <c r="B4" s="7" t="s">
        <v>15819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8" t="s">
        <v>15833</v>
      </c>
      <c r="B5" s="7" t="s">
        <v>15834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8" t="s">
        <v>15835</v>
      </c>
      <c r="B6" s="7" t="s">
        <v>15819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8" t="s">
        <v>15836</v>
      </c>
      <c r="B7" s="7" t="s">
        <v>15829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8" t="s">
        <v>15837</v>
      </c>
      <c r="B8" s="7" t="s">
        <v>15819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8" t="s">
        <v>15838</v>
      </c>
      <c r="B9" s="7" t="s">
        <v>15819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8" t="s">
        <v>15839</v>
      </c>
      <c r="B10" s="7" t="s">
        <v>15819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7" t="s">
        <v>15840</v>
      </c>
      <c r="B11" s="7" t="s">
        <v>15819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8" t="s">
        <v>15841</v>
      </c>
      <c r="B12" s="7" t="s">
        <v>15819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8" t="s">
        <v>15842</v>
      </c>
      <c r="B13" s="7" t="s">
        <v>15819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8" t="s">
        <v>15843</v>
      </c>
      <c r="B14" s="7" t="s">
        <v>15819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8" t="s">
        <v>15844</v>
      </c>
      <c r="B15" s="7" t="s">
        <v>15819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8" t="s">
        <v>15845</v>
      </c>
      <c r="B16" s="7" t="s">
        <v>15829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8" t="s">
        <v>15846</v>
      </c>
      <c r="B17" s="7" t="s">
        <v>15829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8" t="s">
        <v>15847</v>
      </c>
      <c r="B18" s="7" t="s">
        <v>15829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8" t="s">
        <v>15848</v>
      </c>
      <c r="B19" s="7" t="s">
        <v>15829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8" t="s">
        <v>15849</v>
      </c>
      <c r="B20" s="7" t="s">
        <v>15819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7" t="s">
        <v>15850</v>
      </c>
      <c r="B21" s="7" t="s">
        <v>15819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 t="s">
        <v>15851</v>
      </c>
      <c r="B22" s="7" t="s">
        <v>15819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 t="s">
        <v>15852</v>
      </c>
      <c r="B23" s="7" t="s">
        <v>15829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 t="s">
        <v>15853</v>
      </c>
      <c r="B24" s="7" t="s">
        <v>15819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 t="s">
        <v>15854</v>
      </c>
      <c r="B25" s="7" t="s">
        <v>15819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 t="s">
        <v>15855</v>
      </c>
      <c r="B26" s="7" t="s">
        <v>15834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 t="s">
        <v>15856</v>
      </c>
      <c r="B27" s="7" t="s">
        <v>15819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 t="s">
        <v>15857</v>
      </c>
      <c r="B28" s="7" t="s">
        <v>15819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 t="s">
        <v>15858</v>
      </c>
      <c r="B29" s="7" t="s">
        <v>15819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 t="s">
        <v>15859</v>
      </c>
      <c r="B30" s="7" t="s">
        <v>15829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 t="s">
        <v>15860</v>
      </c>
      <c r="B31" s="7" t="s">
        <v>15819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0.0"/>
    <col customWidth="1" min="2" max="2" width="32.14"/>
    <col customWidth="1" min="3" max="3" width="33.0"/>
    <col customWidth="1" min="4" max="4" width="47.29"/>
  </cols>
  <sheetData>
    <row r="1">
      <c r="A1" s="20"/>
      <c r="B1" s="21"/>
      <c r="C1" s="22" t="s">
        <v>15861</v>
      </c>
      <c r="D1" s="22" t="s">
        <v>15862</v>
      </c>
      <c r="E1" s="22" t="s">
        <v>15863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</row>
    <row r="2">
      <c r="A2" s="24" t="s">
        <v>15864</v>
      </c>
      <c r="B2" s="25" t="s">
        <v>15865</v>
      </c>
      <c r="C2" s="7" t="s">
        <v>15866</v>
      </c>
      <c r="D2" s="8"/>
      <c r="E2" s="8"/>
      <c r="F2" s="8" t="str">
        <f t="shared" ref="F2:F81" si="1">C2&amp;if(or(right(C2, 1)="'",right(C2, 1)=" "), "", " ")&amp; if(E2="", B2, E2)</f>
        <v>dans la région d'Olten - Thal - Gäu - Gösgen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>
      <c r="A3" s="24" t="s">
        <v>15864</v>
      </c>
      <c r="B3" s="26" t="s">
        <v>15867</v>
      </c>
      <c r="C3" s="7" t="s">
        <v>15690</v>
      </c>
      <c r="D3" s="7" t="s">
        <v>15868</v>
      </c>
      <c r="E3" s="7" t="s">
        <v>15869</v>
      </c>
      <c r="F3" s="8" t="str">
        <f t="shared" si="1"/>
        <v>dans le Jura vaudois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>
      <c r="A4" s="24" t="s">
        <v>15864</v>
      </c>
      <c r="B4" s="26" t="s">
        <v>15870</v>
      </c>
      <c r="C4" s="7" t="s">
        <v>15690</v>
      </c>
      <c r="D4" s="7" t="s">
        <v>15871</v>
      </c>
      <c r="E4" s="7" t="s">
        <v>15872</v>
      </c>
      <c r="F4" s="8" t="str">
        <f t="shared" si="1"/>
        <v>dans le Bas-Valais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>
      <c r="A5" s="24" t="s">
        <v>15864</v>
      </c>
      <c r="B5" s="25" t="s">
        <v>15873</v>
      </c>
      <c r="C5" s="7" t="s">
        <v>15874</v>
      </c>
      <c r="D5" s="8"/>
      <c r="E5" s="8"/>
      <c r="F5" s="8" t="str">
        <f t="shared" si="1"/>
        <v>dans la région du Toggenburg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>
      <c r="A6" s="24" t="s">
        <v>15864</v>
      </c>
      <c r="B6" s="25" t="s">
        <v>15875</v>
      </c>
      <c r="C6" s="7" t="s">
        <v>15876</v>
      </c>
      <c r="D6" s="8"/>
      <c r="E6" s="8"/>
      <c r="F6" s="8" t="str">
        <f t="shared" si="1"/>
        <v>à Gürbetal - Voralpen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>
      <c r="A7" s="24" t="s">
        <v>15864</v>
      </c>
      <c r="B7" s="26" t="s">
        <v>15877</v>
      </c>
      <c r="C7" s="7" t="s">
        <v>15876</v>
      </c>
      <c r="D7" s="8"/>
      <c r="E7" s="8"/>
      <c r="F7" s="8" t="str">
        <f t="shared" si="1"/>
        <v>à Rive droite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>
      <c r="A8" s="24" t="s">
        <v>15864</v>
      </c>
      <c r="B8" s="26" t="s">
        <v>15878</v>
      </c>
      <c r="C8" s="7" t="s">
        <v>15690</v>
      </c>
      <c r="D8" s="7" t="s">
        <v>15879</v>
      </c>
      <c r="E8" s="7" t="s">
        <v>15880</v>
      </c>
      <c r="F8" s="8" t="str">
        <f t="shared" si="1"/>
        <v>dans le Val-de-Travers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>
      <c r="A9" s="24" t="s">
        <v>15864</v>
      </c>
      <c r="B9" s="25" t="s">
        <v>15881</v>
      </c>
      <c r="C9" s="7" t="s">
        <v>15876</v>
      </c>
      <c r="D9" s="7" t="s">
        <v>15882</v>
      </c>
      <c r="E9" s="7" t="s">
        <v>15883</v>
      </c>
      <c r="F9" s="8" t="str">
        <f t="shared" si="1"/>
        <v>à Gros-de-Vaud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>
      <c r="A10" s="24" t="s">
        <v>15864</v>
      </c>
      <c r="B10" s="26" t="s">
        <v>15884</v>
      </c>
      <c r="C10" s="7" t="s">
        <v>15690</v>
      </c>
      <c r="D10" s="7" t="s">
        <v>15885</v>
      </c>
      <c r="E10" s="7" t="s">
        <v>15886</v>
      </c>
      <c r="F10" s="8" t="str">
        <f t="shared" si="1"/>
        <v>dans le Val-de-Ruz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>
      <c r="A11" s="24" t="s">
        <v>15864</v>
      </c>
      <c r="B11" s="25" t="s">
        <v>15887</v>
      </c>
      <c r="C11" s="7" t="s">
        <v>15876</v>
      </c>
      <c r="D11" s="7" t="s">
        <v>15888</v>
      </c>
      <c r="E11" s="7" t="s">
        <v>15889</v>
      </c>
      <c r="F11" s="8" t="str">
        <f t="shared" si="1"/>
        <v>à Laupen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>
      <c r="A12" s="24" t="s">
        <v>15864</v>
      </c>
      <c r="B12" s="25" t="s">
        <v>15890</v>
      </c>
      <c r="C12" s="7" t="s">
        <v>15695</v>
      </c>
      <c r="D12" s="8"/>
      <c r="E12" s="8"/>
      <c r="F12" s="8" t="str">
        <f t="shared" si="1"/>
        <v>dans le Glarnerland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>
      <c r="A13" s="24" t="s">
        <v>15864</v>
      </c>
      <c r="B13" s="25" t="s">
        <v>15891</v>
      </c>
      <c r="C13" s="7" t="s">
        <v>15892</v>
      </c>
      <c r="D13" s="8"/>
      <c r="E13" s="8"/>
      <c r="F13" s="8" t="str">
        <f t="shared" si="1"/>
        <v>dans la région de Tre Valli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>
      <c r="A14" s="24" t="s">
        <v>15864</v>
      </c>
      <c r="B14" s="26" t="s">
        <v>15893</v>
      </c>
      <c r="C14" s="7" t="s">
        <v>15894</v>
      </c>
      <c r="D14" s="26" t="s">
        <v>15895</v>
      </c>
      <c r="E14" s="27" t="s">
        <v>15896</v>
      </c>
      <c r="F14" s="8" t="str">
        <f t="shared" si="1"/>
        <v>sur le Littoral neuchâtelois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>
      <c r="A15" s="24" t="s">
        <v>15864</v>
      </c>
      <c r="B15" s="25" t="s">
        <v>15897</v>
      </c>
      <c r="C15" s="7" t="s">
        <v>15866</v>
      </c>
      <c r="D15" s="8"/>
      <c r="E15" s="8"/>
      <c r="F15" s="8" t="str">
        <f t="shared" si="1"/>
        <v>dans la région d'Avenches - Payerne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>
      <c r="A16" s="24" t="s">
        <v>15864</v>
      </c>
      <c r="B16" s="25" t="s">
        <v>15898</v>
      </c>
      <c r="C16" s="7" t="s">
        <v>15819</v>
      </c>
      <c r="D16" s="7" t="s">
        <v>15899</v>
      </c>
      <c r="E16" s="7" t="s">
        <v>15900</v>
      </c>
      <c r="F16" s="8" t="str">
        <f t="shared" si="1"/>
        <v>en Haute-Argovie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>
      <c r="A17" s="24" t="s">
        <v>15864</v>
      </c>
      <c r="B17" s="25" t="s">
        <v>15901</v>
      </c>
      <c r="C17" s="7" t="s">
        <v>15690</v>
      </c>
      <c r="D17" s="7" t="s">
        <v>15902</v>
      </c>
      <c r="E17" s="7" t="s">
        <v>15903</v>
      </c>
      <c r="F17" s="8" t="str">
        <f t="shared" si="1"/>
        <v>dans le Seetal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>
      <c r="A18" s="24" t="s">
        <v>15864</v>
      </c>
      <c r="B18" s="26" t="s">
        <v>15904</v>
      </c>
      <c r="C18" s="7" t="s">
        <v>15876</v>
      </c>
      <c r="D18" s="8"/>
      <c r="E18" s="8"/>
      <c r="F18" s="8" t="str">
        <f t="shared" si="1"/>
        <v>à Rive gauche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>
      <c r="A19" s="24" t="s">
        <v>15864</v>
      </c>
      <c r="B19" s="25" t="s">
        <v>15905</v>
      </c>
      <c r="C19" s="7" t="s">
        <v>15876</v>
      </c>
      <c r="D19" s="8"/>
      <c r="E19" s="8"/>
      <c r="F19" s="8" t="str">
        <f t="shared" si="1"/>
        <v>à Soleure et environs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>
      <c r="A20" s="24" t="s">
        <v>15864</v>
      </c>
      <c r="B20" s="26" t="s">
        <v>1443</v>
      </c>
      <c r="C20" s="7" t="s">
        <v>15906</v>
      </c>
      <c r="D20" s="8"/>
      <c r="E20" s="8"/>
      <c r="F20" s="8" t="str">
        <f t="shared" si="1"/>
        <v>dans le canton d'Obwalden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>
      <c r="A21" s="24" t="s">
        <v>15864</v>
      </c>
      <c r="B21" s="26" t="s">
        <v>15907</v>
      </c>
      <c r="C21" s="7" t="s">
        <v>15690</v>
      </c>
      <c r="D21" s="7" t="s">
        <v>15908</v>
      </c>
      <c r="E21" s="26" t="s">
        <v>15909</v>
      </c>
      <c r="F21" s="8" t="str">
        <f t="shared" si="1"/>
        <v>dans le Jura bernois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>
      <c r="A22" s="24" t="s">
        <v>15864</v>
      </c>
      <c r="B22" s="25" t="s">
        <v>15910</v>
      </c>
      <c r="C22" s="7" t="s">
        <v>15911</v>
      </c>
      <c r="D22" s="8"/>
      <c r="E22" s="8"/>
      <c r="F22" s="8" t="str">
        <f t="shared" si="1"/>
        <v>dans les districts de Gruyère - La Broye - Lac - Veveyse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>
      <c r="A23" s="24" t="s">
        <v>15864</v>
      </c>
      <c r="B23" s="25" t="s">
        <v>15912</v>
      </c>
      <c r="C23" s="7" t="s">
        <v>15913</v>
      </c>
      <c r="D23" s="7" t="s">
        <v>15914</v>
      </c>
      <c r="E23" s="7" t="s">
        <v>15915</v>
      </c>
      <c r="F23" s="8" t="str">
        <f t="shared" si="1"/>
        <v>en Basse-Engadine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>
      <c r="A24" s="24" t="s">
        <v>15864</v>
      </c>
      <c r="B24" s="25" t="s">
        <v>15916</v>
      </c>
      <c r="C24" s="7" t="s">
        <v>15876</v>
      </c>
      <c r="D24" s="8"/>
      <c r="E24" s="8"/>
      <c r="F24" s="8" t="str">
        <f t="shared" si="1"/>
        <v>à Appenzell et environs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>
      <c r="A25" s="24" t="s">
        <v>15864</v>
      </c>
      <c r="B25" s="25" t="s">
        <v>15917</v>
      </c>
      <c r="C25" s="7" t="s">
        <v>15876</v>
      </c>
      <c r="D25" s="8"/>
      <c r="E25" s="8"/>
      <c r="F25" s="8" t="str">
        <f t="shared" si="1"/>
        <v>à Lausanne et environs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>
      <c r="A26" s="24" t="s">
        <v>15864</v>
      </c>
      <c r="B26" s="26" t="s">
        <v>15918</v>
      </c>
      <c r="C26" s="7" t="s">
        <v>15919</v>
      </c>
      <c r="D26" s="8"/>
      <c r="E26" s="8"/>
      <c r="F26" s="8" t="str">
        <f t="shared" si="1"/>
        <v>dans l'Oberland zurichois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>
      <c r="A27" s="24" t="s">
        <v>15864</v>
      </c>
      <c r="B27" s="26" t="s">
        <v>15920</v>
      </c>
      <c r="C27" s="7" t="s">
        <v>15921</v>
      </c>
      <c r="D27" s="7" t="s">
        <v>15922</v>
      </c>
      <c r="E27" s="27" t="s">
        <v>15923</v>
      </c>
      <c r="F27" s="8" t="str">
        <f t="shared" si="1"/>
        <v>dans les Franches-Montagnes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>
      <c r="A28" s="24" t="s">
        <v>15864</v>
      </c>
      <c r="B28" s="25" t="s">
        <v>15924</v>
      </c>
      <c r="C28" s="7" t="s">
        <v>15892</v>
      </c>
      <c r="D28" s="8"/>
      <c r="E28" s="8"/>
      <c r="F28" s="8" t="str">
        <f t="shared" si="1"/>
        <v>dans la région de Rheintal - Werdenberg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>
      <c r="A29" s="24" t="s">
        <v>15864</v>
      </c>
      <c r="B29" s="25" t="s">
        <v>15925</v>
      </c>
      <c r="C29" s="7" t="s">
        <v>15892</v>
      </c>
      <c r="D29" s="8"/>
      <c r="E29" s="8"/>
      <c r="F29" s="8" t="str">
        <f t="shared" si="1"/>
        <v>dans la région de Pfannenstiel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>
      <c r="A30" s="24" t="s">
        <v>15864</v>
      </c>
      <c r="B30" s="25" t="s">
        <v>15926</v>
      </c>
      <c r="C30" s="7" t="s">
        <v>15866</v>
      </c>
      <c r="D30" s="8"/>
      <c r="E30" s="8"/>
      <c r="F30" s="8" t="str">
        <f t="shared" si="1"/>
        <v>dans la région d'Yverdon - Grandson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>
      <c r="A31" s="24" t="s">
        <v>15864</v>
      </c>
      <c r="B31" s="26" t="s">
        <v>15927</v>
      </c>
      <c r="C31" s="7" t="s">
        <v>15876</v>
      </c>
      <c r="D31" s="8"/>
      <c r="E31" s="8"/>
      <c r="F31" s="8" t="str">
        <f t="shared" si="1"/>
        <v>à Berne et environs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>
      <c r="A32" s="24" t="s">
        <v>15864</v>
      </c>
      <c r="B32" s="25" t="s">
        <v>15928</v>
      </c>
      <c r="C32" s="7" t="s">
        <v>15876</v>
      </c>
      <c r="D32" s="8"/>
      <c r="E32" s="8"/>
      <c r="F32" s="8" t="str">
        <f t="shared" si="1"/>
        <v>à Sion - Sierre et environs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>
      <c r="A33" s="24" t="s">
        <v>15864</v>
      </c>
      <c r="B33" s="25" t="s">
        <v>15929</v>
      </c>
      <c r="C33" s="7" t="s">
        <v>15911</v>
      </c>
      <c r="D33" s="8"/>
      <c r="E33" s="8"/>
      <c r="F33" s="8" t="str">
        <f t="shared" si="1"/>
        <v>dans les districts de Singine - Sarine - Lac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>
      <c r="A34" s="24" t="s">
        <v>15864</v>
      </c>
      <c r="B34" s="25" t="s">
        <v>15930</v>
      </c>
      <c r="C34" s="7" t="s">
        <v>15876</v>
      </c>
      <c r="D34" s="26" t="s">
        <v>15931</v>
      </c>
      <c r="E34" s="27" t="s">
        <v>15932</v>
      </c>
      <c r="F34" s="8" t="str">
        <f t="shared" si="1"/>
        <v>à Bâle-Campagne Est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>
      <c r="A35" s="24" t="s">
        <v>15864</v>
      </c>
      <c r="B35" s="26" t="s">
        <v>15933</v>
      </c>
      <c r="C35" s="7" t="s">
        <v>15876</v>
      </c>
      <c r="D35" s="8"/>
      <c r="E35" s="8"/>
      <c r="F35" s="8" t="str">
        <f t="shared" si="1"/>
        <v>à Winterthur et environs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>
      <c r="A36" s="24" t="s">
        <v>15864</v>
      </c>
      <c r="B36" s="26" t="s">
        <v>15934</v>
      </c>
      <c r="C36" s="7" t="s">
        <v>15876</v>
      </c>
      <c r="D36" s="8"/>
      <c r="E36" s="8"/>
      <c r="F36" s="8" t="str">
        <f t="shared" si="1"/>
        <v>à Genève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>
      <c r="A37" s="24" t="s">
        <v>15864</v>
      </c>
      <c r="B37" s="26" t="s">
        <v>15935</v>
      </c>
      <c r="C37" s="7" t="s">
        <v>15936</v>
      </c>
      <c r="D37" s="7" t="s">
        <v>15937</v>
      </c>
      <c r="E37" s="27" t="s">
        <v>15938</v>
      </c>
      <c r="F37" s="8" t="str">
        <f t="shared" si="1"/>
        <v>en  Valais central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>
      <c r="A38" s="24" t="s">
        <v>15864</v>
      </c>
      <c r="B38" s="26" t="s">
        <v>15939</v>
      </c>
      <c r="C38" s="7" t="s">
        <v>15919</v>
      </c>
      <c r="D38" s="8"/>
      <c r="E38" s="8"/>
      <c r="F38" s="8" t="str">
        <f t="shared" si="1"/>
        <v>dans l'Oberland-Ouest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>
      <c r="A39" s="24" t="s">
        <v>15864</v>
      </c>
      <c r="B39" s="25" t="s">
        <v>15940</v>
      </c>
      <c r="C39" s="7" t="s">
        <v>15941</v>
      </c>
      <c r="D39" s="8"/>
      <c r="E39" s="8"/>
      <c r="F39" s="8" t="str">
        <f t="shared" si="1"/>
        <v>dans la région de l'Emmental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>
      <c r="A40" s="24" t="s">
        <v>15864</v>
      </c>
      <c r="B40" s="25" t="s">
        <v>15942</v>
      </c>
      <c r="C40" s="7" t="s">
        <v>15695</v>
      </c>
      <c r="D40" s="8"/>
      <c r="E40" s="8"/>
      <c r="F40" s="8" t="str">
        <f t="shared" si="1"/>
        <v>dans le Seeland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>
      <c r="A41" s="24" t="s">
        <v>15864</v>
      </c>
      <c r="B41" s="25" t="s">
        <v>15943</v>
      </c>
      <c r="C41" s="7" t="s">
        <v>15911</v>
      </c>
      <c r="D41" s="8"/>
      <c r="E41" s="8"/>
      <c r="F41" s="8" t="str">
        <f t="shared" si="1"/>
        <v>dans les districts de Bremgarten - Lenzburg - Muri - Kulm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>
      <c r="A42" s="24" t="s">
        <v>15864</v>
      </c>
      <c r="B42" s="25" t="s">
        <v>15944</v>
      </c>
      <c r="C42" s="7" t="s">
        <v>15945</v>
      </c>
      <c r="D42" s="8"/>
      <c r="E42" s="8"/>
      <c r="F42" s="8" t="str">
        <f t="shared" si="1"/>
        <v>dans la région de Rhône-Arve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>
      <c r="A43" s="24" t="s">
        <v>15864</v>
      </c>
      <c r="B43" s="25" t="s">
        <v>15946</v>
      </c>
      <c r="C43" s="7" t="s">
        <v>15695</v>
      </c>
      <c r="D43" s="8"/>
      <c r="E43" s="8"/>
      <c r="F43" s="8" t="str">
        <f t="shared" si="1"/>
        <v>dans le Mendrisiotto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>
      <c r="A44" s="24" t="s">
        <v>15864</v>
      </c>
      <c r="B44" s="25" t="s">
        <v>15947</v>
      </c>
      <c r="C44" s="7" t="s">
        <v>15876</v>
      </c>
      <c r="D44" s="8"/>
      <c r="E44" s="8"/>
      <c r="F44" s="8" t="str">
        <f t="shared" si="1"/>
        <v>à Campagne - Rive droite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>
      <c r="A45" s="24" t="s">
        <v>15864</v>
      </c>
      <c r="B45" s="26" t="s">
        <v>15948</v>
      </c>
      <c r="C45" s="7" t="s">
        <v>15866</v>
      </c>
      <c r="D45" s="8"/>
      <c r="E45" s="8"/>
      <c r="F45" s="8" t="str">
        <f t="shared" si="1"/>
        <v>dans la région d'Aigle - Alpes vaudoises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>
      <c r="A46" s="24" t="s">
        <v>15864</v>
      </c>
      <c r="B46" s="25" t="s">
        <v>15949</v>
      </c>
      <c r="C46" s="7" t="s">
        <v>15892</v>
      </c>
      <c r="D46" s="8"/>
      <c r="E46" s="8"/>
      <c r="F46" s="8" t="str">
        <f t="shared" si="1"/>
        <v>dans la région de Laufenburg - Rheinfelden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>
      <c r="A47" s="24" t="s">
        <v>15864</v>
      </c>
      <c r="B47" s="25" t="s">
        <v>15950</v>
      </c>
      <c r="C47" s="7" t="s">
        <v>15876</v>
      </c>
      <c r="D47" s="8"/>
      <c r="E47" s="8"/>
      <c r="F47" s="8" t="str">
        <f t="shared" si="1"/>
        <v>à Sargans et environs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>
      <c r="A48" s="24" t="s">
        <v>15864</v>
      </c>
      <c r="B48" s="25" t="s">
        <v>15951</v>
      </c>
      <c r="C48" s="7" t="s">
        <v>15892</v>
      </c>
      <c r="D48" s="8"/>
      <c r="E48" s="8"/>
      <c r="F48" s="8" t="str">
        <f t="shared" si="1"/>
        <v>dans la région de Vallemaggia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>
      <c r="A49" s="24" t="s">
        <v>15864</v>
      </c>
      <c r="B49" s="25" t="s">
        <v>15952</v>
      </c>
      <c r="C49" s="7" t="s">
        <v>15892</v>
      </c>
      <c r="D49" s="8"/>
      <c r="E49" s="8"/>
      <c r="F49" s="8" t="str">
        <f t="shared" si="1"/>
        <v>dans la région de Lavaux - Vevey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>
      <c r="A50" s="24" t="s">
        <v>15864</v>
      </c>
      <c r="B50" s="25" t="s">
        <v>15953</v>
      </c>
      <c r="C50" s="7" t="s">
        <v>15892</v>
      </c>
      <c r="D50" s="26" t="s">
        <v>15954</v>
      </c>
      <c r="E50" s="27" t="s">
        <v>15955</v>
      </c>
      <c r="F50" s="8" t="str">
        <f t="shared" si="1"/>
        <v>dans la région de St-Gall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>
      <c r="A51" s="24" t="s">
        <v>15864</v>
      </c>
      <c r="B51" s="25" t="s">
        <v>15956</v>
      </c>
      <c r="C51" s="7" t="s">
        <v>15911</v>
      </c>
      <c r="D51" s="8"/>
      <c r="E51" s="8"/>
      <c r="F51" s="8" t="str">
        <f t="shared" si="1"/>
        <v>dans les districts de March - Höfe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>
      <c r="A52" s="24" t="s">
        <v>15864</v>
      </c>
      <c r="B52" s="8" t="s">
        <v>15957</v>
      </c>
      <c r="C52" s="7" t="s">
        <v>15958</v>
      </c>
      <c r="D52" s="8"/>
      <c r="E52" s="7"/>
      <c r="F52" s="8" t="str">
        <f t="shared" si="1"/>
        <v>près de Thoune - Lac de Thoune nord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>
      <c r="A53" s="24" t="s">
        <v>15864</v>
      </c>
      <c r="B53" s="26" t="s">
        <v>15959</v>
      </c>
      <c r="C53" s="7" t="s">
        <v>15892</v>
      </c>
      <c r="D53" s="8"/>
      <c r="E53" s="8"/>
      <c r="F53" s="8" t="str">
        <f t="shared" si="1"/>
        <v>dans la région de Fribourg 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>
      <c r="A54" s="24" t="s">
        <v>15864</v>
      </c>
      <c r="B54" s="25" t="s">
        <v>15960</v>
      </c>
      <c r="C54" s="7" t="s">
        <v>15876</v>
      </c>
      <c r="D54" s="8"/>
      <c r="E54" s="8"/>
      <c r="F54" s="8" t="str">
        <f t="shared" si="1"/>
        <v>à Einsiedeln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>
      <c r="A55" s="24" t="s">
        <v>15864</v>
      </c>
      <c r="B55" s="25" t="s">
        <v>15961</v>
      </c>
      <c r="C55" s="7" t="s">
        <v>15876</v>
      </c>
      <c r="D55" s="8"/>
      <c r="E55" s="8"/>
      <c r="F55" s="8" t="str">
        <f t="shared" si="1"/>
        <v>à Aarau et environs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>
      <c r="A56" s="24" t="s">
        <v>15864</v>
      </c>
      <c r="B56" s="25" t="s">
        <v>15962</v>
      </c>
      <c r="C56" s="27" t="s">
        <v>15963</v>
      </c>
      <c r="D56" s="26" t="s">
        <v>15964</v>
      </c>
      <c r="E56" s="27" t="s">
        <v>15965</v>
      </c>
      <c r="F56" s="8" t="str">
        <f t="shared" si="1"/>
        <v>près du lac d'Ägeri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>
      <c r="A57" s="24" t="s">
        <v>15864</v>
      </c>
      <c r="B57" s="26" t="s">
        <v>15966</v>
      </c>
      <c r="C57" s="7" t="s">
        <v>15967</v>
      </c>
      <c r="D57" s="8"/>
      <c r="E57" s="8"/>
      <c r="F57" s="8" t="str">
        <f t="shared" si="1"/>
        <v>près du Lac Majeur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>
      <c r="A58" s="24" t="s">
        <v>15864</v>
      </c>
      <c r="B58" s="25" t="s">
        <v>15968</v>
      </c>
      <c r="C58" s="7" t="s">
        <v>15876</v>
      </c>
      <c r="D58" s="8"/>
      <c r="E58" s="8"/>
      <c r="F58" s="8" t="str">
        <f t="shared" si="1"/>
        <v>à Bellinzone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>
      <c r="A59" s="24" t="s">
        <v>15864</v>
      </c>
      <c r="B59" s="27" t="s">
        <v>15969</v>
      </c>
      <c r="C59" s="7" t="s">
        <v>15970</v>
      </c>
      <c r="D59" s="7" t="s">
        <v>15971</v>
      </c>
      <c r="E59" s="27" t="s">
        <v>15972</v>
      </c>
      <c r="F59" s="8" t="str">
        <f t="shared" si="1"/>
        <v>dans le district de Vorderland (AR)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>
      <c r="A60" s="24" t="s">
        <v>15864</v>
      </c>
      <c r="B60" s="7" t="s">
        <v>15973</v>
      </c>
      <c r="C60" s="7" t="s">
        <v>15974</v>
      </c>
      <c r="D60" s="7" t="s">
        <v>15975</v>
      </c>
      <c r="E60" s="27" t="s">
        <v>15976</v>
      </c>
      <c r="F60" s="8" t="str">
        <f t="shared" si="1"/>
        <v>dans la vallée de la Limmat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>
      <c r="A61" s="24" t="s">
        <v>15864</v>
      </c>
      <c r="B61" s="26" t="s">
        <v>15977</v>
      </c>
      <c r="C61" s="7" t="s">
        <v>15978</v>
      </c>
      <c r="D61" s="8"/>
      <c r="E61" s="7"/>
      <c r="F61" s="8" t="str">
        <f t="shared" si="1"/>
        <v>près de Thoune - lac de Thoune sud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>
      <c r="A62" s="24" t="s">
        <v>15864</v>
      </c>
      <c r="B62" s="26" t="s">
        <v>15979</v>
      </c>
      <c r="C62" s="7" t="s">
        <v>15974</v>
      </c>
      <c r="D62" s="7" t="s">
        <v>15980</v>
      </c>
      <c r="E62" s="7" t="s">
        <v>15981</v>
      </c>
      <c r="F62" s="8" t="str">
        <f t="shared" si="1"/>
        <v>dans la vallée de la Furt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>
      <c r="A63" s="24" t="s">
        <v>15864</v>
      </c>
      <c r="B63" s="25" t="s">
        <v>15982</v>
      </c>
      <c r="C63" s="7" t="s">
        <v>15892</v>
      </c>
      <c r="D63" s="8"/>
      <c r="E63" s="8"/>
      <c r="F63" s="8" t="str">
        <f t="shared" si="1"/>
        <v>dans la région de Moesa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>
      <c r="A64" s="24" t="s">
        <v>15864</v>
      </c>
      <c r="B64" s="25" t="s">
        <v>15983</v>
      </c>
      <c r="C64" s="7" t="s">
        <v>15876</v>
      </c>
      <c r="D64" s="8"/>
      <c r="E64" s="8"/>
      <c r="F64" s="8" t="str">
        <f t="shared" si="1"/>
        <v>à Delémont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>
      <c r="A65" s="24" t="s">
        <v>15864</v>
      </c>
      <c r="B65" s="25" t="s">
        <v>15984</v>
      </c>
      <c r="C65" s="7" t="s">
        <v>15945</v>
      </c>
      <c r="D65" s="8"/>
      <c r="E65" s="8"/>
      <c r="F65" s="8" t="str">
        <f t="shared" si="1"/>
        <v>dans la région de Lucerne Hinterland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>
      <c r="A66" s="24" t="s">
        <v>15864</v>
      </c>
      <c r="B66" s="25" t="s">
        <v>15985</v>
      </c>
      <c r="C66" s="7" t="s">
        <v>15986</v>
      </c>
      <c r="D66" s="8"/>
      <c r="E66" s="8"/>
      <c r="F66" s="8" t="str">
        <f t="shared" si="1"/>
        <v>dans le canton de Bâle-Ville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>
      <c r="A67" s="24" t="s">
        <v>15864</v>
      </c>
      <c r="B67" s="28" t="s">
        <v>15987</v>
      </c>
      <c r="C67" s="7" t="s">
        <v>15970</v>
      </c>
      <c r="D67" s="26" t="s">
        <v>15988</v>
      </c>
      <c r="E67" s="7" t="s">
        <v>15989</v>
      </c>
      <c r="F67" s="8" t="str">
        <f t="shared" si="1"/>
        <v>dans le district de la Glâne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>
      <c r="A68" s="24" t="s">
        <v>15864</v>
      </c>
      <c r="B68" s="27" t="s">
        <v>15990</v>
      </c>
      <c r="C68" s="7" t="s">
        <v>15991</v>
      </c>
      <c r="D68" s="7" t="s">
        <v>15992</v>
      </c>
      <c r="E68" s="7" t="s">
        <v>15993</v>
      </c>
      <c r="F68" s="8" t="str">
        <f t="shared" si="1"/>
        <v>dans l'Unterland zurichois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>
      <c r="A69" s="24" t="s">
        <v>15864</v>
      </c>
      <c r="B69" s="25" t="s">
        <v>15994</v>
      </c>
      <c r="C69" s="7" t="s">
        <v>15892</v>
      </c>
      <c r="D69" s="8"/>
      <c r="E69" s="8"/>
      <c r="F69" s="8" t="str">
        <f t="shared" si="1"/>
        <v>dans la région de Frauenfeld - Münchwilen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>
      <c r="A70" s="24" t="s">
        <v>15864</v>
      </c>
      <c r="B70" s="26" t="s">
        <v>15995</v>
      </c>
      <c r="C70" s="7" t="s">
        <v>15876</v>
      </c>
      <c r="D70" s="8"/>
      <c r="E70" s="8"/>
      <c r="F70" s="8" t="str">
        <f t="shared" si="1"/>
        <v>à Herisau 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>
      <c r="A71" s="24" t="s">
        <v>15864</v>
      </c>
      <c r="B71" s="25" t="s">
        <v>15996</v>
      </c>
      <c r="C71" s="7" t="s">
        <v>15876</v>
      </c>
      <c r="D71" s="8"/>
      <c r="E71" s="8"/>
      <c r="F71" s="8" t="str">
        <f t="shared" si="1"/>
        <v>à Glaris et environs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>
      <c r="A72" s="24" t="s">
        <v>15864</v>
      </c>
      <c r="B72" s="25" t="s">
        <v>15997</v>
      </c>
      <c r="C72" s="7" t="s">
        <v>15892</v>
      </c>
      <c r="D72" s="8"/>
      <c r="E72" s="8"/>
      <c r="F72" s="8" t="str">
        <f t="shared" si="1"/>
        <v>dans la région de Surselva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>
      <c r="A73" s="24" t="s">
        <v>15864</v>
      </c>
      <c r="B73" s="25" t="s">
        <v>15998</v>
      </c>
      <c r="C73" s="7" t="s">
        <v>15974</v>
      </c>
      <c r="D73" s="7" t="s">
        <v>15999</v>
      </c>
      <c r="E73" s="7" t="s">
        <v>16000</v>
      </c>
      <c r="F73" s="8" t="str">
        <f t="shared" si="1"/>
        <v>dans la vallée de la Linth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>
      <c r="A74" s="24" t="s">
        <v>15864</v>
      </c>
      <c r="B74" s="25" t="s">
        <v>16001</v>
      </c>
      <c r="C74" s="7" t="s">
        <v>16002</v>
      </c>
      <c r="D74" s="7" t="s">
        <v>16003</v>
      </c>
      <c r="E74" s="7" t="s">
        <v>16004</v>
      </c>
      <c r="F74" s="8" t="str">
        <f t="shared" si="1"/>
        <v>dans le district d'Affoltern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>
      <c r="A75" s="24" t="s">
        <v>15864</v>
      </c>
      <c r="B75" s="25" t="s">
        <v>16005</v>
      </c>
      <c r="C75" s="7" t="s">
        <v>15876</v>
      </c>
      <c r="D75" s="7"/>
      <c r="E75" s="8"/>
      <c r="F75" s="8" t="str">
        <f t="shared" si="1"/>
        <v>à Zurich ville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>
      <c r="A76" s="24" t="s">
        <v>15864</v>
      </c>
      <c r="B76" s="8" t="s">
        <v>16006</v>
      </c>
      <c r="C76" s="7" t="s">
        <v>16007</v>
      </c>
      <c r="D76" s="7" t="s">
        <v>16008</v>
      </c>
      <c r="E76" s="7" t="s">
        <v>16009</v>
      </c>
      <c r="F76" s="8" t="str">
        <f t="shared" si="1"/>
        <v>près du lac des Quatre-Cantons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>
      <c r="A77" s="24" t="s">
        <v>15864</v>
      </c>
      <c r="B77" s="26" t="s">
        <v>16010</v>
      </c>
      <c r="C77" s="7" t="s">
        <v>15690</v>
      </c>
      <c r="D77" s="7" t="s">
        <v>16011</v>
      </c>
      <c r="E77" s="7" t="s">
        <v>16012</v>
      </c>
      <c r="F77" s="8" t="str">
        <f t="shared" si="1"/>
        <v>dans le Haut-Valais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>
      <c r="A78" s="24" t="s">
        <v>15864</v>
      </c>
      <c r="B78" s="25" t="s">
        <v>16013</v>
      </c>
      <c r="C78" s="7" t="s">
        <v>15986</v>
      </c>
      <c r="D78" s="8"/>
      <c r="E78" s="8"/>
      <c r="F78" s="8" t="str">
        <f t="shared" si="1"/>
        <v>dans le canton de Soleure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>
      <c r="A79" s="24" t="s">
        <v>15864</v>
      </c>
      <c r="B79" s="25" t="s">
        <v>16014</v>
      </c>
      <c r="C79" s="7" t="s">
        <v>16015</v>
      </c>
      <c r="D79" s="8"/>
      <c r="E79" s="8"/>
      <c r="F79" s="8" t="str">
        <f t="shared" si="1"/>
        <v>dans le canton de Nidwald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>
      <c r="A80" s="24" t="s">
        <v>15864</v>
      </c>
      <c r="B80" s="26" t="s">
        <v>16016</v>
      </c>
      <c r="C80" s="7" t="s">
        <v>15963</v>
      </c>
      <c r="D80" s="8"/>
      <c r="E80" s="8"/>
      <c r="F80" s="8" t="str">
        <f t="shared" si="1"/>
        <v>près du lac de Constance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>
      <c r="A81" s="24" t="s">
        <v>15864</v>
      </c>
      <c r="B81" s="25" t="s">
        <v>16017</v>
      </c>
      <c r="C81" s="7" t="s">
        <v>15876</v>
      </c>
      <c r="D81" s="8"/>
      <c r="E81" s="8"/>
      <c r="F81" s="8" t="str">
        <f t="shared" si="1"/>
        <v>à Zurich et environs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</sheetData>
  <drawing r:id="rId1"/>
</worksheet>
</file>